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PC\Documents\TECPAN DE GALEANA\CUENTA PÚBLICA\4.2. INFORMACIÓN CONTABLE\4.2.21 IC\"/>
    </mc:Choice>
  </mc:AlternateContent>
  <xr:revisionPtr revIDLastSave="0" documentId="8_{30861255-B30E-4068-89BB-C510B11FD6B1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CONSOLIDADA" sheetId="1" r:id="rId1"/>
    <sheet name="GASTO CORRIENTE" sheetId="2" r:id="rId2"/>
    <sheet name="OBRA PÚBLICA" sheetId="3" r:id="rId3"/>
    <sheet name="SEGURIDAD PÚBLICA" sheetId="4" r:id="rId4"/>
    <sheet name="INGRESOS FISCALES" sheetId="5" r:id="rId5"/>
    <sheet name="FAEISM" sheetId="6" r:id="rId6"/>
  </sheets>
  <definedNames>
    <definedName name="_xlnm.Print_Titles" localSheetId="0">CONSOLIDADA!$1:$8</definedName>
    <definedName name="_xlnm.Print_Titles" localSheetId="5">FAEISM!$1:$8</definedName>
    <definedName name="_xlnm.Print_Titles" localSheetId="1">'GASTO CORRIENTE'!$1:$8</definedName>
    <definedName name="_xlnm.Print_Titles" localSheetId="4">'INGRESOS FISCALES'!$1:$8</definedName>
    <definedName name="_xlnm.Print_Titles" localSheetId="2">'OBRA PÚBLICA'!$1:$8</definedName>
    <definedName name="_xlnm.Print_Titles" localSheetId="3">'SEGURIDAD PÚBLICA'!$1:$8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47" i="6" l="1"/>
  <c r="F347" i="6"/>
  <c r="E347" i="6"/>
  <c r="D347" i="6"/>
  <c r="H345" i="6"/>
  <c r="H344" i="6"/>
  <c r="H343" i="6"/>
  <c r="H342" i="6"/>
  <c r="I341" i="6"/>
  <c r="H340" i="6"/>
  <c r="I339" i="6"/>
  <c r="G338" i="6"/>
  <c r="F338" i="6"/>
  <c r="E338" i="6"/>
  <c r="I338" i="6" s="1"/>
  <c r="I337" i="6"/>
  <c r="I336" i="6"/>
  <c r="H335" i="6"/>
  <c r="I334" i="6"/>
  <c r="H333" i="6"/>
  <c r="H332" i="6"/>
  <c r="G332" i="6"/>
  <c r="F332" i="6"/>
  <c r="D332" i="6"/>
  <c r="G331" i="6"/>
  <c r="F331" i="6"/>
  <c r="D331" i="6"/>
  <c r="H331" i="6" s="1"/>
  <c r="H330" i="6"/>
  <c r="G329" i="6"/>
  <c r="F329" i="6"/>
  <c r="D329" i="6"/>
  <c r="H329" i="6" s="1"/>
  <c r="G328" i="6"/>
  <c r="F328" i="6"/>
  <c r="D328" i="6"/>
  <c r="H328" i="6" s="1"/>
  <c r="G327" i="6"/>
  <c r="F327" i="6"/>
  <c r="H327" i="6" s="1"/>
  <c r="D327" i="6"/>
  <c r="G326" i="6"/>
  <c r="F326" i="6"/>
  <c r="D326" i="6"/>
  <c r="H326" i="6" s="1"/>
  <c r="G325" i="6"/>
  <c r="F325" i="6"/>
  <c r="D325" i="6"/>
  <c r="H325" i="6" s="1"/>
  <c r="G324" i="6"/>
  <c r="F324" i="6"/>
  <c r="H324" i="6" s="1"/>
  <c r="D324" i="6"/>
  <c r="G323" i="6"/>
  <c r="F323" i="6"/>
  <c r="D323" i="6"/>
  <c r="H323" i="6" s="1"/>
  <c r="G322" i="6"/>
  <c r="F322" i="6"/>
  <c r="D322" i="6"/>
  <c r="H322" i="6" s="1"/>
  <c r="G321" i="6"/>
  <c r="F321" i="6"/>
  <c r="H321" i="6" s="1"/>
  <c r="D321" i="6"/>
  <c r="G320" i="6"/>
  <c r="F320" i="6"/>
  <c r="D320" i="6"/>
  <c r="H320" i="6" s="1"/>
  <c r="G319" i="6"/>
  <c r="F319" i="6"/>
  <c r="D319" i="6"/>
  <c r="H319" i="6" s="1"/>
  <c r="G318" i="6"/>
  <c r="F318" i="6"/>
  <c r="D318" i="6"/>
  <c r="H318" i="6" s="1"/>
  <c r="G317" i="6"/>
  <c r="F317" i="6"/>
  <c r="D317" i="6"/>
  <c r="H317" i="6" s="1"/>
  <c r="G316" i="6"/>
  <c r="F316" i="6"/>
  <c r="D316" i="6"/>
  <c r="H316" i="6" s="1"/>
  <c r="G315" i="6"/>
  <c r="F315" i="6"/>
  <c r="D315" i="6"/>
  <c r="H315" i="6" s="1"/>
  <c r="H314" i="6"/>
  <c r="H313" i="6"/>
  <c r="G313" i="6"/>
  <c r="F313" i="6"/>
  <c r="D313" i="6"/>
  <c r="G312" i="6"/>
  <c r="F312" i="6"/>
  <c r="D312" i="6"/>
  <c r="H312" i="6" s="1"/>
  <c r="H311" i="6"/>
  <c r="G311" i="6"/>
  <c r="F311" i="6"/>
  <c r="D311" i="6"/>
  <c r="H310" i="6"/>
  <c r="G310" i="6"/>
  <c r="F310" i="6"/>
  <c r="D310" i="6"/>
  <c r="G309" i="6"/>
  <c r="F309" i="6"/>
  <c r="D309" i="6"/>
  <c r="H309" i="6" s="1"/>
  <c r="H308" i="6"/>
  <c r="G308" i="6"/>
  <c r="F308" i="6"/>
  <c r="D308" i="6"/>
  <c r="H307" i="6"/>
  <c r="G307" i="6"/>
  <c r="F307" i="6"/>
  <c r="D307" i="6"/>
  <c r="G306" i="6"/>
  <c r="F306" i="6"/>
  <c r="D306" i="6"/>
  <c r="H306" i="6" s="1"/>
  <c r="H305" i="6"/>
  <c r="G305" i="6"/>
  <c r="F305" i="6"/>
  <c r="D305" i="6"/>
  <c r="H304" i="6"/>
  <c r="G304" i="6"/>
  <c r="F304" i="6"/>
  <c r="D304" i="6"/>
  <c r="G303" i="6"/>
  <c r="F303" i="6"/>
  <c r="D303" i="6"/>
  <c r="H303" i="6" s="1"/>
  <c r="G302" i="6"/>
  <c r="F302" i="6"/>
  <c r="D302" i="6"/>
  <c r="H302" i="6" s="1"/>
  <c r="H301" i="6"/>
  <c r="G301" i="6"/>
  <c r="F301" i="6"/>
  <c r="D301" i="6"/>
  <c r="G300" i="6"/>
  <c r="F300" i="6"/>
  <c r="D300" i="6"/>
  <c r="H300" i="6" s="1"/>
  <c r="G299" i="6"/>
  <c r="F299" i="6"/>
  <c r="D299" i="6"/>
  <c r="H299" i="6" s="1"/>
  <c r="H298" i="6"/>
  <c r="G298" i="6"/>
  <c r="F298" i="6"/>
  <c r="D298" i="6"/>
  <c r="H297" i="6"/>
  <c r="G296" i="6"/>
  <c r="F296" i="6"/>
  <c r="D296" i="6"/>
  <c r="H296" i="6" s="1"/>
  <c r="G295" i="6"/>
  <c r="F295" i="6"/>
  <c r="D295" i="6"/>
  <c r="H295" i="6" s="1"/>
  <c r="G294" i="6"/>
  <c r="F294" i="6"/>
  <c r="H294" i="6" s="1"/>
  <c r="D294" i="6"/>
  <c r="G293" i="6"/>
  <c r="F293" i="6"/>
  <c r="D293" i="6"/>
  <c r="H293" i="6" s="1"/>
  <c r="G292" i="6"/>
  <c r="F292" i="6"/>
  <c r="D292" i="6"/>
  <c r="H292" i="6" s="1"/>
  <c r="G291" i="6"/>
  <c r="F291" i="6"/>
  <c r="D291" i="6"/>
  <c r="H291" i="6" s="1"/>
  <c r="G290" i="6"/>
  <c r="F290" i="6"/>
  <c r="D290" i="6"/>
  <c r="H290" i="6" s="1"/>
  <c r="G289" i="6"/>
  <c r="F289" i="6"/>
  <c r="D289" i="6"/>
  <c r="H289" i="6" s="1"/>
  <c r="G288" i="6"/>
  <c r="F288" i="6"/>
  <c r="D288" i="6"/>
  <c r="H288" i="6" s="1"/>
  <c r="G287" i="6"/>
  <c r="F287" i="6"/>
  <c r="D287" i="6"/>
  <c r="H287" i="6" s="1"/>
  <c r="H286" i="6"/>
  <c r="G285" i="6"/>
  <c r="F285" i="6"/>
  <c r="H285" i="6" s="1"/>
  <c r="D285" i="6"/>
  <c r="H284" i="6"/>
  <c r="G284" i="6"/>
  <c r="F284" i="6"/>
  <c r="D284" i="6"/>
  <c r="G283" i="6"/>
  <c r="F283" i="6"/>
  <c r="H283" i="6" s="1"/>
  <c r="D283" i="6"/>
  <c r="G282" i="6"/>
  <c r="F282" i="6"/>
  <c r="H282" i="6" s="1"/>
  <c r="D282" i="6"/>
  <c r="H281" i="6"/>
  <c r="G281" i="6"/>
  <c r="F281" i="6"/>
  <c r="D281" i="6"/>
  <c r="G280" i="6"/>
  <c r="F280" i="6"/>
  <c r="H280" i="6" s="1"/>
  <c r="D280" i="6"/>
  <c r="G279" i="6"/>
  <c r="F279" i="6"/>
  <c r="H279" i="6" s="1"/>
  <c r="D279" i="6"/>
  <c r="H278" i="6"/>
  <c r="G278" i="6"/>
  <c r="F278" i="6"/>
  <c r="D278" i="6"/>
  <c r="G277" i="6"/>
  <c r="F277" i="6"/>
  <c r="D277" i="6"/>
  <c r="H277" i="6" s="1"/>
  <c r="G276" i="6"/>
  <c r="F276" i="6"/>
  <c r="D276" i="6"/>
  <c r="H276" i="6" s="1"/>
  <c r="H275" i="6"/>
  <c r="G275" i="6"/>
  <c r="F275" i="6"/>
  <c r="D275" i="6"/>
  <c r="G274" i="6"/>
  <c r="F274" i="6"/>
  <c r="D274" i="6"/>
  <c r="H274" i="6" s="1"/>
  <c r="G273" i="6"/>
  <c r="F273" i="6"/>
  <c r="D273" i="6"/>
  <c r="H273" i="6" s="1"/>
  <c r="H272" i="6"/>
  <c r="G272" i="6"/>
  <c r="F272" i="6"/>
  <c r="D272" i="6"/>
  <c r="G271" i="6"/>
  <c r="F271" i="6"/>
  <c r="D271" i="6"/>
  <c r="H271" i="6" s="1"/>
  <c r="G270" i="6"/>
  <c r="F270" i="6"/>
  <c r="D270" i="6"/>
  <c r="H270" i="6" s="1"/>
  <c r="H269" i="6"/>
  <c r="G268" i="6"/>
  <c r="F268" i="6"/>
  <c r="D268" i="6"/>
  <c r="H268" i="6" s="1"/>
  <c r="G267" i="6"/>
  <c r="H267" i="6" s="1"/>
  <c r="F267" i="6"/>
  <c r="D267" i="6"/>
  <c r="G266" i="6"/>
  <c r="F266" i="6"/>
  <c r="D266" i="6"/>
  <c r="H266" i="6" s="1"/>
  <c r="G265" i="6"/>
  <c r="F265" i="6"/>
  <c r="D265" i="6"/>
  <c r="H265" i="6" s="1"/>
  <c r="G264" i="6"/>
  <c r="H264" i="6" s="1"/>
  <c r="F264" i="6"/>
  <c r="D264" i="6"/>
  <c r="G263" i="6"/>
  <c r="F263" i="6"/>
  <c r="D263" i="6"/>
  <c r="H263" i="6" s="1"/>
  <c r="G262" i="6"/>
  <c r="F262" i="6"/>
  <c r="D262" i="6"/>
  <c r="H262" i="6" s="1"/>
  <c r="G261" i="6"/>
  <c r="F261" i="6"/>
  <c r="D261" i="6"/>
  <c r="H261" i="6" s="1"/>
  <c r="G260" i="6"/>
  <c r="F260" i="6"/>
  <c r="D260" i="6"/>
  <c r="H260" i="6" s="1"/>
  <c r="G259" i="6"/>
  <c r="F259" i="6"/>
  <c r="D259" i="6"/>
  <c r="H259" i="6" s="1"/>
  <c r="G258" i="6"/>
  <c r="F258" i="6"/>
  <c r="D258" i="6"/>
  <c r="H258" i="6" s="1"/>
  <c r="G257" i="6"/>
  <c r="F257" i="6"/>
  <c r="D257" i="6"/>
  <c r="H257" i="6" s="1"/>
  <c r="G256" i="6"/>
  <c r="F256" i="6"/>
  <c r="D256" i="6"/>
  <c r="H256" i="6" s="1"/>
  <c r="G255" i="6"/>
  <c r="F255" i="6"/>
  <c r="D255" i="6"/>
  <c r="H255" i="6" s="1"/>
  <c r="G254" i="6"/>
  <c r="F254" i="6"/>
  <c r="D254" i="6"/>
  <c r="H254" i="6" s="1"/>
  <c r="G253" i="6"/>
  <c r="F253" i="6"/>
  <c r="D253" i="6"/>
  <c r="H253" i="6" s="1"/>
  <c r="G252" i="6"/>
  <c r="F252" i="6"/>
  <c r="D252" i="6"/>
  <c r="H252" i="6" s="1"/>
  <c r="H251" i="6"/>
  <c r="H250" i="6"/>
  <c r="G250" i="6"/>
  <c r="F250" i="6"/>
  <c r="D250" i="6"/>
  <c r="G249" i="6"/>
  <c r="F249" i="6"/>
  <c r="H249" i="6" s="1"/>
  <c r="D249" i="6"/>
  <c r="H248" i="6"/>
  <c r="G248" i="6"/>
  <c r="F248" i="6"/>
  <c r="D248" i="6"/>
  <c r="H247" i="6"/>
  <c r="G247" i="6"/>
  <c r="F247" i="6"/>
  <c r="D247" i="6"/>
  <c r="G246" i="6"/>
  <c r="F246" i="6"/>
  <c r="D246" i="6"/>
  <c r="H246" i="6" s="1"/>
  <c r="H245" i="6"/>
  <c r="G245" i="6"/>
  <c r="F245" i="6"/>
  <c r="D245" i="6"/>
  <c r="H244" i="6"/>
  <c r="G244" i="6"/>
  <c r="F244" i="6"/>
  <c r="D244" i="6"/>
  <c r="G243" i="6"/>
  <c r="F243" i="6"/>
  <c r="D243" i="6"/>
  <c r="H243" i="6" s="1"/>
  <c r="H242" i="6"/>
  <c r="G242" i="6"/>
  <c r="F242" i="6"/>
  <c r="D242" i="6"/>
  <c r="H241" i="6"/>
  <c r="G241" i="6"/>
  <c r="F241" i="6"/>
  <c r="D241" i="6"/>
  <c r="H240" i="6"/>
  <c r="G239" i="6"/>
  <c r="F239" i="6"/>
  <c r="D239" i="6"/>
  <c r="H239" i="6" s="1"/>
  <c r="G238" i="6"/>
  <c r="F238" i="6"/>
  <c r="D238" i="6"/>
  <c r="H238" i="6" s="1"/>
  <c r="G237" i="6"/>
  <c r="F237" i="6"/>
  <c r="D237" i="6"/>
  <c r="H237" i="6" s="1"/>
  <c r="G236" i="6"/>
  <c r="F236" i="6"/>
  <c r="D236" i="6"/>
  <c r="H236" i="6" s="1"/>
  <c r="G235" i="6"/>
  <c r="F235" i="6"/>
  <c r="D235" i="6"/>
  <c r="H235" i="6" s="1"/>
  <c r="G234" i="6"/>
  <c r="F234" i="6"/>
  <c r="D234" i="6"/>
  <c r="H234" i="6" s="1"/>
  <c r="G233" i="6"/>
  <c r="F233" i="6"/>
  <c r="D233" i="6"/>
  <c r="H233" i="6" s="1"/>
  <c r="G232" i="6"/>
  <c r="F232" i="6"/>
  <c r="D232" i="6"/>
  <c r="H232" i="6" s="1"/>
  <c r="G231" i="6"/>
  <c r="F231" i="6"/>
  <c r="D231" i="6"/>
  <c r="H231" i="6" s="1"/>
  <c r="G230" i="6"/>
  <c r="F230" i="6"/>
  <c r="D230" i="6"/>
  <c r="H230" i="6" s="1"/>
  <c r="H229" i="6"/>
  <c r="G228" i="6"/>
  <c r="F228" i="6"/>
  <c r="H228" i="6" s="1"/>
  <c r="D228" i="6"/>
  <c r="H227" i="6"/>
  <c r="G227" i="6"/>
  <c r="F227" i="6"/>
  <c r="D227" i="6"/>
  <c r="G226" i="6"/>
  <c r="F226" i="6"/>
  <c r="H226" i="6" s="1"/>
  <c r="D226" i="6"/>
  <c r="G225" i="6"/>
  <c r="F225" i="6"/>
  <c r="H225" i="6" s="1"/>
  <c r="D225" i="6"/>
  <c r="H224" i="6"/>
  <c r="G224" i="6"/>
  <c r="F224" i="6"/>
  <c r="D224" i="6"/>
  <c r="G223" i="6"/>
  <c r="F223" i="6"/>
  <c r="H223" i="6" s="1"/>
  <c r="D223" i="6"/>
  <c r="G222" i="6"/>
  <c r="F222" i="6"/>
  <c r="H222" i="6" s="1"/>
  <c r="D222" i="6"/>
  <c r="H221" i="6"/>
  <c r="G221" i="6"/>
  <c r="F221" i="6"/>
  <c r="D221" i="6"/>
  <c r="G220" i="6"/>
  <c r="F220" i="6"/>
  <c r="D220" i="6"/>
  <c r="H220" i="6" s="1"/>
  <c r="G219" i="6"/>
  <c r="F219" i="6"/>
  <c r="H219" i="6" s="1"/>
  <c r="D219" i="6"/>
  <c r="H218" i="6"/>
  <c r="G217" i="6"/>
  <c r="F217" i="6"/>
  <c r="D217" i="6"/>
  <c r="H217" i="6" s="1"/>
  <c r="G216" i="6"/>
  <c r="F216" i="6"/>
  <c r="D216" i="6"/>
  <c r="H216" i="6" s="1"/>
  <c r="G215" i="6"/>
  <c r="F215" i="6"/>
  <c r="D215" i="6"/>
  <c r="H215" i="6" s="1"/>
  <c r="G214" i="6"/>
  <c r="F214" i="6"/>
  <c r="D214" i="6"/>
  <c r="H214" i="6" s="1"/>
  <c r="G213" i="6"/>
  <c r="F213" i="6"/>
  <c r="D213" i="6"/>
  <c r="H213" i="6" s="1"/>
  <c r="G212" i="6"/>
  <c r="F212" i="6"/>
  <c r="D212" i="6"/>
  <c r="H212" i="6" s="1"/>
  <c r="G211" i="6"/>
  <c r="F211" i="6"/>
  <c r="D211" i="6"/>
  <c r="H211" i="6" s="1"/>
  <c r="G210" i="6"/>
  <c r="F210" i="6"/>
  <c r="D210" i="6"/>
  <c r="H210" i="6" s="1"/>
  <c r="G209" i="6"/>
  <c r="F209" i="6"/>
  <c r="D209" i="6"/>
  <c r="H209" i="6" s="1"/>
  <c r="G208" i="6"/>
  <c r="F208" i="6"/>
  <c r="D208" i="6"/>
  <c r="H208" i="6" s="1"/>
  <c r="G207" i="6"/>
  <c r="F207" i="6"/>
  <c r="D207" i="6"/>
  <c r="H207" i="6" s="1"/>
  <c r="G206" i="6"/>
  <c r="F206" i="6"/>
  <c r="D206" i="6"/>
  <c r="H206" i="6" s="1"/>
  <c r="G205" i="6"/>
  <c r="F205" i="6"/>
  <c r="D205" i="6"/>
  <c r="H205" i="6" s="1"/>
  <c r="G204" i="6"/>
  <c r="F204" i="6"/>
  <c r="D204" i="6"/>
  <c r="H204" i="6" s="1"/>
  <c r="G203" i="6"/>
  <c r="F203" i="6"/>
  <c r="D203" i="6"/>
  <c r="H203" i="6" s="1"/>
  <c r="G202" i="6"/>
  <c r="F202" i="6"/>
  <c r="D202" i="6"/>
  <c r="H202" i="6" s="1"/>
  <c r="H201" i="6"/>
  <c r="H200" i="6"/>
  <c r="G200" i="6"/>
  <c r="F200" i="6"/>
  <c r="D200" i="6"/>
  <c r="H199" i="6"/>
  <c r="G199" i="6"/>
  <c r="F199" i="6"/>
  <c r="D199" i="6"/>
  <c r="G198" i="6"/>
  <c r="F198" i="6"/>
  <c r="H198" i="6" s="1"/>
  <c r="D198" i="6"/>
  <c r="H197" i="6"/>
  <c r="G197" i="6"/>
  <c r="F197" i="6"/>
  <c r="D197" i="6"/>
  <c r="H196" i="6"/>
  <c r="G196" i="6"/>
  <c r="F196" i="6"/>
  <c r="D196" i="6"/>
  <c r="G195" i="6"/>
  <c r="F195" i="6"/>
  <c r="H195" i="6" s="1"/>
  <c r="D195" i="6"/>
  <c r="H194" i="6"/>
  <c r="G194" i="6"/>
  <c r="F194" i="6"/>
  <c r="D194" i="6"/>
  <c r="H193" i="6"/>
  <c r="G193" i="6"/>
  <c r="F193" i="6"/>
  <c r="D193" i="6"/>
  <c r="G192" i="6"/>
  <c r="F192" i="6"/>
  <c r="D192" i="6"/>
  <c r="H192" i="6" s="1"/>
  <c r="H191" i="6"/>
  <c r="G191" i="6"/>
  <c r="F191" i="6"/>
  <c r="D191" i="6"/>
  <c r="H190" i="6"/>
  <c r="G190" i="6"/>
  <c r="F190" i="6"/>
  <c r="D190" i="6"/>
  <c r="G189" i="6"/>
  <c r="F189" i="6"/>
  <c r="D189" i="6"/>
  <c r="H189" i="6" s="1"/>
  <c r="G188" i="6"/>
  <c r="F188" i="6"/>
  <c r="D188" i="6"/>
  <c r="H188" i="6" s="1"/>
  <c r="H187" i="6"/>
  <c r="G187" i="6"/>
  <c r="F187" i="6"/>
  <c r="D187" i="6"/>
  <c r="G186" i="6"/>
  <c r="F186" i="6"/>
  <c r="D186" i="6"/>
  <c r="H186" i="6" s="1"/>
  <c r="G185" i="6"/>
  <c r="F185" i="6"/>
  <c r="D185" i="6"/>
  <c r="H185" i="6" s="1"/>
  <c r="H184" i="6"/>
  <c r="G184" i="6"/>
  <c r="F184" i="6"/>
  <c r="D184" i="6"/>
  <c r="G183" i="6"/>
  <c r="F183" i="6"/>
  <c r="D183" i="6"/>
  <c r="H183" i="6" s="1"/>
  <c r="G182" i="6"/>
  <c r="F182" i="6"/>
  <c r="D182" i="6"/>
  <c r="H182" i="6" s="1"/>
  <c r="I181" i="6"/>
  <c r="G180" i="6"/>
  <c r="F180" i="6"/>
  <c r="E180" i="6"/>
  <c r="I180" i="6" s="1"/>
  <c r="G179" i="6"/>
  <c r="F179" i="6"/>
  <c r="E179" i="6"/>
  <c r="I179" i="6" s="1"/>
  <c r="G178" i="6"/>
  <c r="F178" i="6"/>
  <c r="E178" i="6"/>
  <c r="I178" i="6" s="1"/>
  <c r="G177" i="6"/>
  <c r="F177" i="6"/>
  <c r="E177" i="6"/>
  <c r="I177" i="6" s="1"/>
  <c r="G176" i="6"/>
  <c r="F176" i="6"/>
  <c r="E176" i="6"/>
  <c r="I176" i="6" s="1"/>
  <c r="G175" i="6"/>
  <c r="F175" i="6"/>
  <c r="E175" i="6"/>
  <c r="I175" i="6" s="1"/>
  <c r="G174" i="6"/>
  <c r="F174" i="6"/>
  <c r="E174" i="6"/>
  <c r="I174" i="6" s="1"/>
  <c r="G173" i="6"/>
  <c r="F173" i="6"/>
  <c r="E173" i="6"/>
  <c r="I173" i="6" s="1"/>
  <c r="G172" i="6"/>
  <c r="F172" i="6"/>
  <c r="E172" i="6"/>
  <c r="I172" i="6" s="1"/>
  <c r="G171" i="6"/>
  <c r="F171" i="6"/>
  <c r="E171" i="6"/>
  <c r="I171" i="6" s="1"/>
  <c r="G170" i="6"/>
  <c r="F170" i="6"/>
  <c r="E170" i="6"/>
  <c r="I170" i="6" s="1"/>
  <c r="G169" i="6"/>
  <c r="F169" i="6"/>
  <c r="E169" i="6"/>
  <c r="I169" i="6" s="1"/>
  <c r="G168" i="6"/>
  <c r="F168" i="6"/>
  <c r="E168" i="6"/>
  <c r="I168" i="6" s="1"/>
  <c r="G167" i="6"/>
  <c r="F167" i="6"/>
  <c r="E167" i="6"/>
  <c r="I167" i="6" s="1"/>
  <c r="G166" i="6"/>
  <c r="F166" i="6"/>
  <c r="E166" i="6"/>
  <c r="I166" i="6" s="1"/>
  <c r="G165" i="6"/>
  <c r="F165" i="6"/>
  <c r="E165" i="6"/>
  <c r="I165" i="6" s="1"/>
  <c r="G164" i="6"/>
  <c r="F164" i="6"/>
  <c r="E164" i="6"/>
  <c r="I164" i="6" s="1"/>
  <c r="G163" i="6"/>
  <c r="F163" i="6"/>
  <c r="E163" i="6"/>
  <c r="I163" i="6" s="1"/>
  <c r="G162" i="6"/>
  <c r="F162" i="6"/>
  <c r="E162" i="6"/>
  <c r="I162" i="6" s="1"/>
  <c r="I161" i="6"/>
  <c r="G160" i="6"/>
  <c r="F160" i="6"/>
  <c r="I160" i="6" s="1"/>
  <c r="E160" i="6"/>
  <c r="G159" i="6"/>
  <c r="F159" i="6"/>
  <c r="I159" i="6" s="1"/>
  <c r="E159" i="6"/>
  <c r="I158" i="6"/>
  <c r="G158" i="6"/>
  <c r="F158" i="6"/>
  <c r="E158" i="6"/>
  <c r="G157" i="6"/>
  <c r="F157" i="6"/>
  <c r="I157" i="6" s="1"/>
  <c r="E157" i="6"/>
  <c r="G156" i="6"/>
  <c r="F156" i="6"/>
  <c r="I156" i="6" s="1"/>
  <c r="E156" i="6"/>
  <c r="I155" i="6"/>
  <c r="G155" i="6"/>
  <c r="F155" i="6"/>
  <c r="E155" i="6"/>
  <c r="G154" i="6"/>
  <c r="F154" i="6"/>
  <c r="I154" i="6" s="1"/>
  <c r="E154" i="6"/>
  <c r="G153" i="6"/>
  <c r="F153" i="6"/>
  <c r="I153" i="6" s="1"/>
  <c r="E153" i="6"/>
  <c r="I152" i="6"/>
  <c r="G152" i="6"/>
  <c r="F152" i="6"/>
  <c r="E152" i="6"/>
  <c r="G151" i="6"/>
  <c r="F151" i="6"/>
  <c r="I151" i="6" s="1"/>
  <c r="E151" i="6"/>
  <c r="G150" i="6"/>
  <c r="F150" i="6"/>
  <c r="I150" i="6" s="1"/>
  <c r="E150" i="6"/>
  <c r="I149" i="6"/>
  <c r="G149" i="6"/>
  <c r="F149" i="6"/>
  <c r="E149" i="6"/>
  <c r="G148" i="6"/>
  <c r="F148" i="6"/>
  <c r="E148" i="6"/>
  <c r="I148" i="6" s="1"/>
  <c r="G147" i="6"/>
  <c r="F147" i="6"/>
  <c r="I147" i="6" s="1"/>
  <c r="E147" i="6"/>
  <c r="I146" i="6"/>
  <c r="G146" i="6"/>
  <c r="F146" i="6"/>
  <c r="E146" i="6"/>
  <c r="G145" i="6"/>
  <c r="F145" i="6"/>
  <c r="E145" i="6"/>
  <c r="I145" i="6" s="1"/>
  <c r="G144" i="6"/>
  <c r="F144" i="6"/>
  <c r="I144" i="6" s="1"/>
  <c r="E144" i="6"/>
  <c r="I143" i="6"/>
  <c r="G143" i="6"/>
  <c r="F143" i="6"/>
  <c r="E143" i="6"/>
  <c r="G142" i="6"/>
  <c r="F142" i="6"/>
  <c r="E142" i="6"/>
  <c r="I142" i="6" s="1"/>
  <c r="G141" i="6"/>
  <c r="F141" i="6"/>
  <c r="E141" i="6"/>
  <c r="I141" i="6" s="1"/>
  <c r="I140" i="6"/>
  <c r="G139" i="6"/>
  <c r="F139" i="6"/>
  <c r="E139" i="6"/>
  <c r="I139" i="6" s="1"/>
  <c r="G138" i="6"/>
  <c r="I138" i="6" s="1"/>
  <c r="F138" i="6"/>
  <c r="E138" i="6"/>
  <c r="G137" i="6"/>
  <c r="F137" i="6"/>
  <c r="E137" i="6"/>
  <c r="I137" i="6" s="1"/>
  <c r="G136" i="6"/>
  <c r="F136" i="6"/>
  <c r="E136" i="6"/>
  <c r="I136" i="6" s="1"/>
  <c r="G135" i="6"/>
  <c r="I135" i="6" s="1"/>
  <c r="F135" i="6"/>
  <c r="E135" i="6"/>
  <c r="G134" i="6"/>
  <c r="F134" i="6"/>
  <c r="E134" i="6"/>
  <c r="I134" i="6" s="1"/>
  <c r="G133" i="6"/>
  <c r="F133" i="6"/>
  <c r="E133" i="6"/>
  <c r="I133" i="6" s="1"/>
  <c r="G132" i="6"/>
  <c r="F132" i="6"/>
  <c r="E132" i="6"/>
  <c r="I132" i="6" s="1"/>
  <c r="I131" i="6"/>
  <c r="G130" i="6"/>
  <c r="F130" i="6"/>
  <c r="I130" i="6" s="1"/>
  <c r="E130" i="6"/>
  <c r="G129" i="6"/>
  <c r="I129" i="6" s="1"/>
  <c r="F129" i="6"/>
  <c r="E129" i="6"/>
  <c r="I128" i="6"/>
  <c r="G128" i="6"/>
  <c r="F128" i="6"/>
  <c r="E128" i="6"/>
  <c r="G127" i="6"/>
  <c r="F127" i="6"/>
  <c r="I127" i="6" s="1"/>
  <c r="E127" i="6"/>
  <c r="G126" i="6"/>
  <c r="F126" i="6"/>
  <c r="E126" i="6"/>
  <c r="I126" i="6" s="1"/>
  <c r="G125" i="6"/>
  <c r="F125" i="6"/>
  <c r="E125" i="6"/>
  <c r="I125" i="6" s="1"/>
  <c r="G124" i="6"/>
  <c r="F124" i="6"/>
  <c r="I124" i="6" s="1"/>
  <c r="E124" i="6"/>
  <c r="G123" i="6"/>
  <c r="F123" i="6"/>
  <c r="E123" i="6"/>
  <c r="I123" i="6" s="1"/>
  <c r="I122" i="6"/>
  <c r="G121" i="6"/>
  <c r="F121" i="6"/>
  <c r="E121" i="6"/>
  <c r="I121" i="6" s="1"/>
  <c r="G120" i="6"/>
  <c r="F120" i="6"/>
  <c r="E120" i="6"/>
  <c r="I120" i="6" s="1"/>
  <c r="G119" i="6"/>
  <c r="F119" i="6"/>
  <c r="E119" i="6"/>
  <c r="I119" i="6" s="1"/>
  <c r="G118" i="6"/>
  <c r="F118" i="6"/>
  <c r="E118" i="6"/>
  <c r="I118" i="6" s="1"/>
  <c r="G117" i="6"/>
  <c r="F117" i="6"/>
  <c r="E117" i="6"/>
  <c r="I117" i="6" s="1"/>
  <c r="G116" i="6"/>
  <c r="F116" i="6"/>
  <c r="E116" i="6"/>
  <c r="I116" i="6" s="1"/>
  <c r="G115" i="6"/>
  <c r="F115" i="6"/>
  <c r="E115" i="6"/>
  <c r="I115" i="6" s="1"/>
  <c r="G114" i="6"/>
  <c r="F114" i="6"/>
  <c r="E114" i="6"/>
  <c r="I114" i="6" s="1"/>
  <c r="G113" i="6"/>
  <c r="F113" i="6"/>
  <c r="E113" i="6"/>
  <c r="I113" i="6" s="1"/>
  <c r="I112" i="6"/>
  <c r="G111" i="6"/>
  <c r="F111" i="6"/>
  <c r="I111" i="6" s="1"/>
  <c r="E111" i="6"/>
  <c r="I110" i="6"/>
  <c r="G110" i="6"/>
  <c r="F110" i="6"/>
  <c r="E110" i="6"/>
  <c r="G109" i="6"/>
  <c r="F109" i="6"/>
  <c r="I109" i="6" s="1"/>
  <c r="E109" i="6"/>
  <c r="G108" i="6"/>
  <c r="F108" i="6"/>
  <c r="E108" i="6"/>
  <c r="I108" i="6" s="1"/>
  <c r="I107" i="6"/>
  <c r="G107" i="6"/>
  <c r="F107" i="6"/>
  <c r="E107" i="6"/>
  <c r="G106" i="6"/>
  <c r="F106" i="6"/>
  <c r="E106" i="6"/>
  <c r="I106" i="6" s="1"/>
  <c r="G105" i="6"/>
  <c r="F105" i="6"/>
  <c r="E105" i="6"/>
  <c r="I105" i="6" s="1"/>
  <c r="I104" i="6"/>
  <c r="G104" i="6"/>
  <c r="F104" i="6"/>
  <c r="E104" i="6"/>
  <c r="G103" i="6"/>
  <c r="F103" i="6"/>
  <c r="E103" i="6"/>
  <c r="I103" i="6" s="1"/>
  <c r="G102" i="6"/>
  <c r="F102" i="6"/>
  <c r="E102" i="6"/>
  <c r="I102" i="6" s="1"/>
  <c r="I101" i="6"/>
  <c r="G101" i="6"/>
  <c r="F101" i="6"/>
  <c r="E101" i="6"/>
  <c r="I100" i="6"/>
  <c r="G99" i="6"/>
  <c r="I99" i="6" s="1"/>
  <c r="F99" i="6"/>
  <c r="E99" i="6"/>
  <c r="I98" i="6"/>
  <c r="G97" i="6"/>
  <c r="F97" i="6"/>
  <c r="I97" i="6" s="1"/>
  <c r="E97" i="6"/>
  <c r="G96" i="6"/>
  <c r="F96" i="6"/>
  <c r="E96" i="6"/>
  <c r="I96" i="6" s="1"/>
  <c r="I95" i="6"/>
  <c r="G95" i="6"/>
  <c r="F95" i="6"/>
  <c r="E95" i="6"/>
  <c r="G94" i="6"/>
  <c r="F94" i="6"/>
  <c r="I94" i="6" s="1"/>
  <c r="E94" i="6"/>
  <c r="G93" i="6"/>
  <c r="F93" i="6"/>
  <c r="E93" i="6"/>
  <c r="I93" i="6" s="1"/>
  <c r="G92" i="6"/>
  <c r="F92" i="6"/>
  <c r="E92" i="6"/>
  <c r="I92" i="6" s="1"/>
  <c r="G91" i="6"/>
  <c r="F91" i="6"/>
  <c r="I91" i="6" s="1"/>
  <c r="E91" i="6"/>
  <c r="G90" i="6"/>
  <c r="F90" i="6"/>
  <c r="E90" i="6"/>
  <c r="I90" i="6" s="1"/>
  <c r="G89" i="6"/>
  <c r="F89" i="6"/>
  <c r="E89" i="6"/>
  <c r="I89" i="6" s="1"/>
  <c r="G88" i="6"/>
  <c r="F88" i="6"/>
  <c r="I88" i="6" s="1"/>
  <c r="E88" i="6"/>
  <c r="I87" i="6"/>
  <c r="I86" i="6"/>
  <c r="I85" i="6"/>
  <c r="I84" i="6"/>
  <c r="I83" i="6"/>
  <c r="I347" i="6" s="1"/>
  <c r="G82" i="6"/>
  <c r="F82" i="6"/>
  <c r="E82" i="6"/>
  <c r="I82" i="6" s="1"/>
  <c r="G81" i="6"/>
  <c r="F81" i="6"/>
  <c r="I81" i="6" s="1"/>
  <c r="E81" i="6"/>
  <c r="G80" i="6"/>
  <c r="F80" i="6"/>
  <c r="E80" i="6"/>
  <c r="I80" i="6" s="1"/>
  <c r="G79" i="6"/>
  <c r="F79" i="6"/>
  <c r="E79" i="6"/>
  <c r="I79" i="6" s="1"/>
  <c r="G78" i="6"/>
  <c r="F78" i="6"/>
  <c r="E78" i="6"/>
  <c r="I78" i="6" s="1"/>
  <c r="G77" i="6"/>
  <c r="F77" i="6"/>
  <c r="E77" i="6"/>
  <c r="I77" i="6" s="1"/>
  <c r="G76" i="6"/>
  <c r="F76" i="6"/>
  <c r="E76" i="6"/>
  <c r="I76" i="6" s="1"/>
  <c r="G75" i="6"/>
  <c r="F75" i="6"/>
  <c r="E75" i="6"/>
  <c r="I75" i="6" s="1"/>
  <c r="G74" i="6"/>
  <c r="F74" i="6"/>
  <c r="E74" i="6"/>
  <c r="I74" i="6" s="1"/>
  <c r="G73" i="6"/>
  <c r="F73" i="6"/>
  <c r="E73" i="6"/>
  <c r="I73" i="6" s="1"/>
  <c r="H72" i="6"/>
  <c r="H71" i="6"/>
  <c r="G71" i="6"/>
  <c r="F71" i="6"/>
  <c r="D71" i="6"/>
  <c r="G70" i="6"/>
  <c r="F70" i="6"/>
  <c r="D70" i="6"/>
  <c r="H70" i="6" s="1"/>
  <c r="G69" i="6"/>
  <c r="F69" i="6"/>
  <c r="D69" i="6"/>
  <c r="H69" i="6" s="1"/>
  <c r="H68" i="6"/>
  <c r="G68" i="6"/>
  <c r="F68" i="6"/>
  <c r="D68" i="6"/>
  <c r="G67" i="6"/>
  <c r="F67" i="6"/>
  <c r="D67" i="6"/>
  <c r="H67" i="6" s="1"/>
  <c r="G66" i="6"/>
  <c r="F66" i="6"/>
  <c r="D66" i="6"/>
  <c r="H66" i="6" s="1"/>
  <c r="H65" i="6"/>
  <c r="G65" i="6"/>
  <c r="F65" i="6"/>
  <c r="D65" i="6"/>
  <c r="G64" i="6"/>
  <c r="F64" i="6"/>
  <c r="D64" i="6"/>
  <c r="H64" i="6" s="1"/>
  <c r="G63" i="6"/>
  <c r="F63" i="6"/>
  <c r="D63" i="6"/>
  <c r="H63" i="6" s="1"/>
  <c r="H62" i="6"/>
  <c r="G62" i="6"/>
  <c r="F62" i="6"/>
  <c r="D62" i="6"/>
  <c r="G61" i="6"/>
  <c r="F61" i="6"/>
  <c r="D61" i="6"/>
  <c r="H61" i="6" s="1"/>
  <c r="G60" i="6"/>
  <c r="F60" i="6"/>
  <c r="D60" i="6"/>
  <c r="H60" i="6" s="1"/>
  <c r="H59" i="6"/>
  <c r="G59" i="6"/>
  <c r="F59" i="6"/>
  <c r="D59" i="6"/>
  <c r="G58" i="6"/>
  <c r="F58" i="6"/>
  <c r="D58" i="6"/>
  <c r="H58" i="6" s="1"/>
  <c r="G57" i="6"/>
  <c r="F57" i="6"/>
  <c r="D57" i="6"/>
  <c r="H57" i="6" s="1"/>
  <c r="H56" i="6"/>
  <c r="G56" i="6"/>
  <c r="F56" i="6"/>
  <c r="D56" i="6"/>
  <c r="G55" i="6"/>
  <c r="F55" i="6"/>
  <c r="D55" i="6"/>
  <c r="H55" i="6" s="1"/>
  <c r="G54" i="6"/>
  <c r="F54" i="6"/>
  <c r="D54" i="6"/>
  <c r="H54" i="6" s="1"/>
  <c r="H53" i="6"/>
  <c r="H52" i="6"/>
  <c r="H51" i="6"/>
  <c r="H50" i="6"/>
  <c r="G49" i="6"/>
  <c r="F49" i="6"/>
  <c r="D49" i="6"/>
  <c r="H49" i="6" s="1"/>
  <c r="G48" i="6"/>
  <c r="F48" i="6"/>
  <c r="D48" i="6"/>
  <c r="H48" i="6" s="1"/>
  <c r="H47" i="6"/>
  <c r="G47" i="6"/>
  <c r="F47" i="6"/>
  <c r="D47" i="6"/>
  <c r="G46" i="6"/>
  <c r="F46" i="6"/>
  <c r="D46" i="6"/>
  <c r="H46" i="6" s="1"/>
  <c r="G45" i="6"/>
  <c r="F45" i="6"/>
  <c r="D45" i="6"/>
  <c r="H45" i="6" s="1"/>
  <c r="H44" i="6"/>
  <c r="G44" i="6"/>
  <c r="F44" i="6"/>
  <c r="D44" i="6"/>
  <c r="G43" i="6"/>
  <c r="F43" i="6"/>
  <c r="D43" i="6"/>
  <c r="H43" i="6" s="1"/>
  <c r="G42" i="6"/>
  <c r="F42" i="6"/>
  <c r="D42" i="6"/>
  <c r="H42" i="6" s="1"/>
  <c r="H41" i="6"/>
  <c r="G40" i="6"/>
  <c r="F40" i="6"/>
  <c r="H40" i="6" s="1"/>
  <c r="D40" i="6"/>
  <c r="G39" i="6"/>
  <c r="F39" i="6"/>
  <c r="H39" i="6" s="1"/>
  <c r="D39" i="6"/>
  <c r="G38" i="6"/>
  <c r="F38" i="6"/>
  <c r="D38" i="6"/>
  <c r="H38" i="6" s="1"/>
  <c r="G37" i="6"/>
  <c r="F37" i="6"/>
  <c r="H37" i="6" s="1"/>
  <c r="D37" i="6"/>
  <c r="G36" i="6"/>
  <c r="F36" i="6"/>
  <c r="H36" i="6" s="1"/>
  <c r="D36" i="6"/>
  <c r="G35" i="6"/>
  <c r="F35" i="6"/>
  <c r="D35" i="6"/>
  <c r="H35" i="6" s="1"/>
  <c r="G34" i="6"/>
  <c r="F34" i="6"/>
  <c r="H34" i="6" s="1"/>
  <c r="D34" i="6"/>
  <c r="G33" i="6"/>
  <c r="F33" i="6"/>
  <c r="H33" i="6" s="1"/>
  <c r="D33" i="6"/>
  <c r="H32" i="6"/>
  <c r="G31" i="6"/>
  <c r="F31" i="6"/>
  <c r="H31" i="6" s="1"/>
  <c r="D31" i="6"/>
  <c r="G30" i="6"/>
  <c r="F30" i="6"/>
  <c r="D30" i="6"/>
  <c r="H30" i="6" s="1"/>
  <c r="G29" i="6"/>
  <c r="F29" i="6"/>
  <c r="D29" i="6"/>
  <c r="H29" i="6" s="1"/>
  <c r="G28" i="6"/>
  <c r="F28" i="6"/>
  <c r="H28" i="6" s="1"/>
  <c r="D28" i="6"/>
  <c r="G27" i="6"/>
  <c r="F27" i="6"/>
  <c r="D27" i="6"/>
  <c r="H27" i="6" s="1"/>
  <c r="G26" i="6"/>
  <c r="F26" i="6"/>
  <c r="D26" i="6"/>
  <c r="H26" i="6" s="1"/>
  <c r="G25" i="6"/>
  <c r="F25" i="6"/>
  <c r="H25" i="6" s="1"/>
  <c r="D25" i="6"/>
  <c r="G24" i="6"/>
  <c r="F24" i="6"/>
  <c r="D24" i="6"/>
  <c r="H24" i="6" s="1"/>
  <c r="H23" i="6"/>
  <c r="H347" i="6" s="1"/>
  <c r="G22" i="6"/>
  <c r="F22" i="6"/>
  <c r="D22" i="6"/>
  <c r="H22" i="6" s="1"/>
  <c r="G21" i="6"/>
  <c r="H21" i="6" s="1"/>
  <c r="F21" i="6"/>
  <c r="D21" i="6"/>
  <c r="H20" i="6"/>
  <c r="G20" i="6"/>
  <c r="F20" i="6"/>
  <c r="D20" i="6"/>
  <c r="G19" i="6"/>
  <c r="F19" i="6"/>
  <c r="D19" i="6"/>
  <c r="H19" i="6" s="1"/>
  <c r="G18" i="6"/>
  <c r="H18" i="6" s="1"/>
  <c r="F18" i="6"/>
  <c r="D18" i="6"/>
  <c r="H17" i="6"/>
  <c r="G17" i="6"/>
  <c r="F17" i="6"/>
  <c r="D17" i="6"/>
  <c r="G16" i="6"/>
  <c r="F16" i="6"/>
  <c r="D16" i="6"/>
  <c r="H16" i="6" s="1"/>
  <c r="G15" i="6"/>
  <c r="H15" i="6" s="1"/>
  <c r="F15" i="6"/>
  <c r="D15" i="6"/>
  <c r="H14" i="6"/>
  <c r="G14" i="6"/>
  <c r="F14" i="6"/>
  <c r="D14" i="6"/>
  <c r="G13" i="6"/>
  <c r="F13" i="6"/>
  <c r="D13" i="6"/>
  <c r="H13" i="6" s="1"/>
  <c r="G12" i="6"/>
  <c r="H12" i="6" s="1"/>
  <c r="F12" i="6"/>
  <c r="D12" i="6"/>
  <c r="G1476" i="5"/>
  <c r="F1476" i="5"/>
  <c r="E1476" i="5"/>
  <c r="D1476" i="5"/>
  <c r="H1474" i="5"/>
  <c r="H1473" i="5"/>
  <c r="H1472" i="5"/>
  <c r="H1471" i="5"/>
  <c r="I1470" i="5"/>
  <c r="H1469" i="5"/>
  <c r="I1468" i="5"/>
  <c r="G1467" i="5"/>
  <c r="F1467" i="5"/>
  <c r="E1467" i="5"/>
  <c r="I1467" i="5" s="1"/>
  <c r="I1466" i="5"/>
  <c r="I1465" i="5"/>
  <c r="H1464" i="5"/>
  <c r="I1463" i="5"/>
  <c r="H1462" i="5"/>
  <c r="H1461" i="5"/>
  <c r="G1461" i="5"/>
  <c r="F1461" i="5"/>
  <c r="D1461" i="5"/>
  <c r="G1460" i="5"/>
  <c r="F1460" i="5"/>
  <c r="D1460" i="5"/>
  <c r="H1460" i="5" s="1"/>
  <c r="H1459" i="5"/>
  <c r="H1458" i="5"/>
  <c r="G1457" i="5"/>
  <c r="F1457" i="5"/>
  <c r="D1457" i="5"/>
  <c r="H1457" i="5" s="1"/>
  <c r="G1456" i="5"/>
  <c r="F1456" i="5"/>
  <c r="D1456" i="5"/>
  <c r="H1456" i="5" s="1"/>
  <c r="G1455" i="5"/>
  <c r="H1455" i="5" s="1"/>
  <c r="F1455" i="5"/>
  <c r="D1455" i="5"/>
  <c r="G1454" i="5"/>
  <c r="F1454" i="5"/>
  <c r="D1454" i="5"/>
  <c r="H1454" i="5" s="1"/>
  <c r="G1453" i="5"/>
  <c r="F1453" i="5"/>
  <c r="D1453" i="5"/>
  <c r="H1453" i="5" s="1"/>
  <c r="G1452" i="5"/>
  <c r="H1452" i="5" s="1"/>
  <c r="F1452" i="5"/>
  <c r="D1452" i="5"/>
  <c r="G1451" i="5"/>
  <c r="F1451" i="5"/>
  <c r="D1451" i="5"/>
  <c r="H1451" i="5" s="1"/>
  <c r="G1450" i="5"/>
  <c r="F1450" i="5"/>
  <c r="D1450" i="5"/>
  <c r="H1450" i="5" s="1"/>
  <c r="G1449" i="5"/>
  <c r="H1449" i="5" s="1"/>
  <c r="F1449" i="5"/>
  <c r="D1449" i="5"/>
  <c r="G1448" i="5"/>
  <c r="F1448" i="5"/>
  <c r="D1448" i="5"/>
  <c r="H1448" i="5" s="1"/>
  <c r="G1447" i="5"/>
  <c r="F1447" i="5"/>
  <c r="D1447" i="5"/>
  <c r="H1447" i="5" s="1"/>
  <c r="G1446" i="5"/>
  <c r="H1446" i="5" s="1"/>
  <c r="F1446" i="5"/>
  <c r="D1446" i="5"/>
  <c r="G1445" i="5"/>
  <c r="F1445" i="5"/>
  <c r="D1445" i="5"/>
  <c r="H1445" i="5" s="1"/>
  <c r="G1444" i="5"/>
  <c r="F1444" i="5"/>
  <c r="D1444" i="5"/>
  <c r="H1444" i="5" s="1"/>
  <c r="G1443" i="5"/>
  <c r="H1443" i="5" s="1"/>
  <c r="F1443" i="5"/>
  <c r="D1443" i="5"/>
  <c r="G1442" i="5"/>
  <c r="F1442" i="5"/>
  <c r="D1442" i="5"/>
  <c r="H1442" i="5" s="1"/>
  <c r="G1441" i="5"/>
  <c r="F1441" i="5"/>
  <c r="D1441" i="5"/>
  <c r="H1441" i="5" s="1"/>
  <c r="G1440" i="5"/>
  <c r="H1440" i="5" s="1"/>
  <c r="F1440" i="5"/>
  <c r="D1440" i="5"/>
  <c r="H1439" i="5"/>
  <c r="G1438" i="5"/>
  <c r="F1438" i="5"/>
  <c r="D1438" i="5"/>
  <c r="H1438" i="5" s="1"/>
  <c r="G1437" i="5"/>
  <c r="F1437" i="5"/>
  <c r="D1437" i="5"/>
  <c r="H1437" i="5" s="1"/>
  <c r="H1436" i="5"/>
  <c r="G1436" i="5"/>
  <c r="F1436" i="5"/>
  <c r="D1436" i="5"/>
  <c r="G1435" i="5"/>
  <c r="F1435" i="5"/>
  <c r="D1435" i="5"/>
  <c r="H1435" i="5" s="1"/>
  <c r="G1434" i="5"/>
  <c r="F1434" i="5"/>
  <c r="D1434" i="5"/>
  <c r="H1434" i="5" s="1"/>
  <c r="H1433" i="5"/>
  <c r="G1433" i="5"/>
  <c r="F1433" i="5"/>
  <c r="D1433" i="5"/>
  <c r="G1432" i="5"/>
  <c r="F1432" i="5"/>
  <c r="D1432" i="5"/>
  <c r="H1432" i="5" s="1"/>
  <c r="G1431" i="5"/>
  <c r="F1431" i="5"/>
  <c r="D1431" i="5"/>
  <c r="H1431" i="5" s="1"/>
  <c r="H1430" i="5"/>
  <c r="G1430" i="5"/>
  <c r="F1430" i="5"/>
  <c r="D1430" i="5"/>
  <c r="G1429" i="5"/>
  <c r="F1429" i="5"/>
  <c r="D1429" i="5"/>
  <c r="H1429" i="5" s="1"/>
  <c r="H1428" i="5"/>
  <c r="G1427" i="5"/>
  <c r="F1427" i="5"/>
  <c r="D1427" i="5"/>
  <c r="H1427" i="5" s="1"/>
  <c r="G1426" i="5"/>
  <c r="F1426" i="5"/>
  <c r="H1426" i="5" s="1"/>
  <c r="D1426" i="5"/>
  <c r="H1425" i="5"/>
  <c r="G1425" i="5"/>
  <c r="F1425" i="5"/>
  <c r="D1425" i="5"/>
  <c r="G1424" i="5"/>
  <c r="F1424" i="5"/>
  <c r="D1424" i="5"/>
  <c r="H1424" i="5" s="1"/>
  <c r="G1423" i="5"/>
  <c r="F1423" i="5"/>
  <c r="H1423" i="5" s="1"/>
  <c r="D1423" i="5"/>
  <c r="H1422" i="5"/>
  <c r="G1422" i="5"/>
  <c r="F1422" i="5"/>
  <c r="D1422" i="5"/>
  <c r="G1421" i="5"/>
  <c r="F1421" i="5"/>
  <c r="D1421" i="5"/>
  <c r="H1421" i="5" s="1"/>
  <c r="G1420" i="5"/>
  <c r="F1420" i="5"/>
  <c r="D1420" i="5"/>
  <c r="H1420" i="5" s="1"/>
  <c r="H1419" i="5"/>
  <c r="G1419" i="5"/>
  <c r="F1419" i="5"/>
  <c r="D1419" i="5"/>
  <c r="G1418" i="5"/>
  <c r="F1418" i="5"/>
  <c r="D1418" i="5"/>
  <c r="H1418" i="5" s="1"/>
  <c r="G1417" i="5"/>
  <c r="F1417" i="5"/>
  <c r="D1417" i="5"/>
  <c r="H1417" i="5" s="1"/>
  <c r="H1416" i="5"/>
  <c r="G1416" i="5"/>
  <c r="F1416" i="5"/>
  <c r="D1416" i="5"/>
  <c r="G1415" i="5"/>
  <c r="F1415" i="5"/>
  <c r="D1415" i="5"/>
  <c r="H1415" i="5" s="1"/>
  <c r="G1414" i="5"/>
  <c r="F1414" i="5"/>
  <c r="D1414" i="5"/>
  <c r="H1414" i="5" s="1"/>
  <c r="H1413" i="5"/>
  <c r="G1413" i="5"/>
  <c r="F1413" i="5"/>
  <c r="D1413" i="5"/>
  <c r="G1412" i="5"/>
  <c r="F1412" i="5"/>
  <c r="D1412" i="5"/>
  <c r="H1412" i="5" s="1"/>
  <c r="G1411" i="5"/>
  <c r="F1411" i="5"/>
  <c r="D1411" i="5"/>
  <c r="H1411" i="5" s="1"/>
  <c r="H1410" i="5"/>
  <c r="G1409" i="5"/>
  <c r="F1409" i="5"/>
  <c r="D1409" i="5"/>
  <c r="H1409" i="5" s="1"/>
  <c r="G1408" i="5"/>
  <c r="F1408" i="5"/>
  <c r="H1408" i="5" s="1"/>
  <c r="D1408" i="5"/>
  <c r="G1407" i="5"/>
  <c r="F1407" i="5"/>
  <c r="D1407" i="5"/>
  <c r="H1407" i="5" s="1"/>
  <c r="G1406" i="5"/>
  <c r="F1406" i="5"/>
  <c r="D1406" i="5"/>
  <c r="H1406" i="5" s="1"/>
  <c r="G1405" i="5"/>
  <c r="F1405" i="5"/>
  <c r="H1405" i="5" s="1"/>
  <c r="D1405" i="5"/>
  <c r="G1404" i="5"/>
  <c r="F1404" i="5"/>
  <c r="D1404" i="5"/>
  <c r="H1404" i="5" s="1"/>
  <c r="G1403" i="5"/>
  <c r="F1403" i="5"/>
  <c r="D1403" i="5"/>
  <c r="H1403" i="5" s="1"/>
  <c r="G1402" i="5"/>
  <c r="F1402" i="5"/>
  <c r="H1402" i="5" s="1"/>
  <c r="D1402" i="5"/>
  <c r="G1401" i="5"/>
  <c r="F1401" i="5"/>
  <c r="D1401" i="5"/>
  <c r="H1401" i="5" s="1"/>
  <c r="G1400" i="5"/>
  <c r="F1400" i="5"/>
  <c r="D1400" i="5"/>
  <c r="H1400" i="5" s="1"/>
  <c r="G1399" i="5"/>
  <c r="F1399" i="5"/>
  <c r="H1399" i="5" s="1"/>
  <c r="D1399" i="5"/>
  <c r="G1398" i="5"/>
  <c r="F1398" i="5"/>
  <c r="D1398" i="5"/>
  <c r="H1398" i="5" s="1"/>
  <c r="G1397" i="5"/>
  <c r="F1397" i="5"/>
  <c r="D1397" i="5"/>
  <c r="H1397" i="5" s="1"/>
  <c r="G1396" i="5"/>
  <c r="F1396" i="5"/>
  <c r="H1396" i="5" s="1"/>
  <c r="D1396" i="5"/>
  <c r="G1395" i="5"/>
  <c r="F1395" i="5"/>
  <c r="D1395" i="5"/>
  <c r="H1395" i="5" s="1"/>
  <c r="G1394" i="5"/>
  <c r="F1394" i="5"/>
  <c r="D1394" i="5"/>
  <c r="H1394" i="5" s="1"/>
  <c r="G1393" i="5"/>
  <c r="F1393" i="5"/>
  <c r="H1393" i="5" s="1"/>
  <c r="D1393" i="5"/>
  <c r="G1392" i="5"/>
  <c r="F1392" i="5"/>
  <c r="D1392" i="5"/>
  <c r="H1392" i="5" s="1"/>
  <c r="H1391" i="5"/>
  <c r="G1390" i="5"/>
  <c r="F1390" i="5"/>
  <c r="D1390" i="5"/>
  <c r="H1390" i="5" s="1"/>
  <c r="G1389" i="5"/>
  <c r="H1389" i="5" s="1"/>
  <c r="F1389" i="5"/>
  <c r="D1389" i="5"/>
  <c r="G1388" i="5"/>
  <c r="F1388" i="5"/>
  <c r="D1388" i="5"/>
  <c r="H1388" i="5" s="1"/>
  <c r="G1387" i="5"/>
  <c r="F1387" i="5"/>
  <c r="D1387" i="5"/>
  <c r="H1387" i="5" s="1"/>
  <c r="G1386" i="5"/>
  <c r="F1386" i="5"/>
  <c r="H1386" i="5" s="1"/>
  <c r="D1386" i="5"/>
  <c r="G1385" i="5"/>
  <c r="F1385" i="5"/>
  <c r="D1385" i="5"/>
  <c r="H1385" i="5" s="1"/>
  <c r="G1384" i="5"/>
  <c r="F1384" i="5"/>
  <c r="D1384" i="5"/>
  <c r="H1384" i="5" s="1"/>
  <c r="G1383" i="5"/>
  <c r="F1383" i="5"/>
  <c r="H1383" i="5" s="1"/>
  <c r="D1383" i="5"/>
  <c r="G1382" i="5"/>
  <c r="F1382" i="5"/>
  <c r="D1382" i="5"/>
  <c r="H1382" i="5" s="1"/>
  <c r="G1381" i="5"/>
  <c r="F1381" i="5"/>
  <c r="D1381" i="5"/>
  <c r="H1381" i="5" s="1"/>
  <c r="H1380" i="5"/>
  <c r="H1379" i="5"/>
  <c r="G1379" i="5"/>
  <c r="F1379" i="5"/>
  <c r="D1379" i="5"/>
  <c r="G1378" i="5"/>
  <c r="F1378" i="5"/>
  <c r="D1378" i="5"/>
  <c r="H1378" i="5" s="1"/>
  <c r="G1377" i="5"/>
  <c r="F1377" i="5"/>
  <c r="H1377" i="5" s="1"/>
  <c r="D1377" i="5"/>
  <c r="H1376" i="5"/>
  <c r="G1376" i="5"/>
  <c r="F1376" i="5"/>
  <c r="D1376" i="5"/>
  <c r="G1375" i="5"/>
  <c r="F1375" i="5"/>
  <c r="D1375" i="5"/>
  <c r="H1375" i="5" s="1"/>
  <c r="G1374" i="5"/>
  <c r="F1374" i="5"/>
  <c r="D1374" i="5"/>
  <c r="H1374" i="5" s="1"/>
  <c r="H1373" i="5"/>
  <c r="G1373" i="5"/>
  <c r="F1373" i="5"/>
  <c r="D1373" i="5"/>
  <c r="G1372" i="5"/>
  <c r="F1372" i="5"/>
  <c r="D1372" i="5"/>
  <c r="H1372" i="5" s="1"/>
  <c r="G1371" i="5"/>
  <c r="F1371" i="5"/>
  <c r="D1371" i="5"/>
  <c r="H1371" i="5" s="1"/>
  <c r="H1370" i="5"/>
  <c r="G1370" i="5"/>
  <c r="F1370" i="5"/>
  <c r="D1370" i="5"/>
  <c r="G1369" i="5"/>
  <c r="F1369" i="5"/>
  <c r="D1369" i="5"/>
  <c r="H1369" i="5" s="1"/>
  <c r="G1368" i="5"/>
  <c r="F1368" i="5"/>
  <c r="D1368" i="5"/>
  <c r="H1368" i="5" s="1"/>
  <c r="H1367" i="5"/>
  <c r="G1367" i="5"/>
  <c r="F1367" i="5"/>
  <c r="D1367" i="5"/>
  <c r="G1366" i="5"/>
  <c r="F1366" i="5"/>
  <c r="D1366" i="5"/>
  <c r="H1366" i="5" s="1"/>
  <c r="G1365" i="5"/>
  <c r="F1365" i="5"/>
  <c r="D1365" i="5"/>
  <c r="H1365" i="5" s="1"/>
  <c r="H1364" i="5"/>
  <c r="G1364" i="5"/>
  <c r="F1364" i="5"/>
  <c r="D1364" i="5"/>
  <c r="H1363" i="5"/>
  <c r="H1362" i="5"/>
  <c r="G1362" i="5"/>
  <c r="F1362" i="5"/>
  <c r="D1362" i="5"/>
  <c r="G1361" i="5"/>
  <c r="F1361" i="5"/>
  <c r="D1361" i="5"/>
  <c r="H1361" i="5" s="1"/>
  <c r="G1360" i="5"/>
  <c r="F1360" i="5"/>
  <c r="H1360" i="5" s="1"/>
  <c r="D1360" i="5"/>
  <c r="H1359" i="5"/>
  <c r="G1359" i="5"/>
  <c r="F1359" i="5"/>
  <c r="D1359" i="5"/>
  <c r="G1358" i="5"/>
  <c r="F1358" i="5"/>
  <c r="D1358" i="5"/>
  <c r="H1358" i="5" s="1"/>
  <c r="G1357" i="5"/>
  <c r="F1357" i="5"/>
  <c r="H1357" i="5" s="1"/>
  <c r="D1357" i="5"/>
  <c r="H1356" i="5"/>
  <c r="G1356" i="5"/>
  <c r="F1356" i="5"/>
  <c r="D1356" i="5"/>
  <c r="G1355" i="5"/>
  <c r="F1355" i="5"/>
  <c r="D1355" i="5"/>
  <c r="H1355" i="5" s="1"/>
  <c r="G1354" i="5"/>
  <c r="F1354" i="5"/>
  <c r="H1354" i="5" s="1"/>
  <c r="D1354" i="5"/>
  <c r="H1353" i="5"/>
  <c r="G1353" i="5"/>
  <c r="F1353" i="5"/>
  <c r="D1353" i="5"/>
  <c r="G1352" i="5"/>
  <c r="F1352" i="5"/>
  <c r="D1352" i="5"/>
  <c r="H1352" i="5" s="1"/>
  <c r="G1351" i="5"/>
  <c r="F1351" i="5"/>
  <c r="H1351" i="5" s="1"/>
  <c r="D1351" i="5"/>
  <c r="H1350" i="5"/>
  <c r="G1350" i="5"/>
  <c r="F1350" i="5"/>
  <c r="D1350" i="5"/>
  <c r="G1349" i="5"/>
  <c r="F1349" i="5"/>
  <c r="D1349" i="5"/>
  <c r="H1349" i="5" s="1"/>
  <c r="G1348" i="5"/>
  <c r="F1348" i="5"/>
  <c r="H1348" i="5" s="1"/>
  <c r="D1348" i="5"/>
  <c r="H1347" i="5"/>
  <c r="G1346" i="5"/>
  <c r="F1346" i="5"/>
  <c r="H1346" i="5" s="1"/>
  <c r="D1346" i="5"/>
  <c r="G1345" i="5"/>
  <c r="F1345" i="5"/>
  <c r="H1345" i="5" s="1"/>
  <c r="D1345" i="5"/>
  <c r="G1344" i="5"/>
  <c r="F1344" i="5"/>
  <c r="D1344" i="5"/>
  <c r="H1344" i="5" s="1"/>
  <c r="G1343" i="5"/>
  <c r="F1343" i="5"/>
  <c r="H1343" i="5" s="1"/>
  <c r="D1343" i="5"/>
  <c r="G1342" i="5"/>
  <c r="F1342" i="5"/>
  <c r="H1342" i="5" s="1"/>
  <c r="D1342" i="5"/>
  <c r="G1341" i="5"/>
  <c r="F1341" i="5"/>
  <c r="D1341" i="5"/>
  <c r="H1341" i="5" s="1"/>
  <c r="G1340" i="5"/>
  <c r="F1340" i="5"/>
  <c r="H1340" i="5" s="1"/>
  <c r="D1340" i="5"/>
  <c r="G1339" i="5"/>
  <c r="F1339" i="5"/>
  <c r="H1339" i="5" s="1"/>
  <c r="D1339" i="5"/>
  <c r="G1338" i="5"/>
  <c r="F1338" i="5"/>
  <c r="D1338" i="5"/>
  <c r="H1338" i="5" s="1"/>
  <c r="G1337" i="5"/>
  <c r="F1337" i="5"/>
  <c r="D1337" i="5"/>
  <c r="H1337" i="5" s="1"/>
  <c r="H1336" i="5"/>
  <c r="G1335" i="5"/>
  <c r="F1335" i="5"/>
  <c r="H1335" i="5" s="1"/>
  <c r="D1335" i="5"/>
  <c r="G1334" i="5"/>
  <c r="F1334" i="5"/>
  <c r="H1334" i="5" s="1"/>
  <c r="D1334" i="5"/>
  <c r="G1333" i="5"/>
  <c r="F1333" i="5"/>
  <c r="D1333" i="5"/>
  <c r="H1333" i="5" s="1"/>
  <c r="G1332" i="5"/>
  <c r="F1332" i="5"/>
  <c r="H1332" i="5" s="1"/>
  <c r="D1332" i="5"/>
  <c r="G1331" i="5"/>
  <c r="F1331" i="5"/>
  <c r="H1331" i="5" s="1"/>
  <c r="D1331" i="5"/>
  <c r="G1330" i="5"/>
  <c r="F1330" i="5"/>
  <c r="D1330" i="5"/>
  <c r="H1330" i="5" s="1"/>
  <c r="G1329" i="5"/>
  <c r="F1329" i="5"/>
  <c r="H1329" i="5" s="1"/>
  <c r="D1329" i="5"/>
  <c r="G1328" i="5"/>
  <c r="F1328" i="5"/>
  <c r="D1328" i="5"/>
  <c r="H1328" i="5" s="1"/>
  <c r="G1327" i="5"/>
  <c r="F1327" i="5"/>
  <c r="D1327" i="5"/>
  <c r="H1327" i="5" s="1"/>
  <c r="G1326" i="5"/>
  <c r="F1326" i="5"/>
  <c r="H1326" i="5" s="1"/>
  <c r="D1326" i="5"/>
  <c r="G1325" i="5"/>
  <c r="F1325" i="5"/>
  <c r="D1325" i="5"/>
  <c r="H1325" i="5" s="1"/>
  <c r="G1324" i="5"/>
  <c r="F1324" i="5"/>
  <c r="D1324" i="5"/>
  <c r="H1324" i="5" s="1"/>
  <c r="G1323" i="5"/>
  <c r="F1323" i="5"/>
  <c r="H1323" i="5" s="1"/>
  <c r="D1323" i="5"/>
  <c r="G1322" i="5"/>
  <c r="F1322" i="5"/>
  <c r="D1322" i="5"/>
  <c r="H1322" i="5" s="1"/>
  <c r="G1321" i="5"/>
  <c r="F1321" i="5"/>
  <c r="D1321" i="5"/>
  <c r="H1321" i="5" s="1"/>
  <c r="G1320" i="5"/>
  <c r="F1320" i="5"/>
  <c r="D1320" i="5"/>
  <c r="H1320" i="5" s="1"/>
  <c r="H1319" i="5"/>
  <c r="G1318" i="5"/>
  <c r="F1318" i="5"/>
  <c r="D1318" i="5"/>
  <c r="H1318" i="5" s="1"/>
  <c r="G1317" i="5"/>
  <c r="F1317" i="5"/>
  <c r="H1317" i="5" s="1"/>
  <c r="D1317" i="5"/>
  <c r="H1316" i="5"/>
  <c r="G1316" i="5"/>
  <c r="F1316" i="5"/>
  <c r="D1316" i="5"/>
  <c r="G1315" i="5"/>
  <c r="F1315" i="5"/>
  <c r="D1315" i="5"/>
  <c r="H1315" i="5" s="1"/>
  <c r="G1314" i="5"/>
  <c r="F1314" i="5"/>
  <c r="H1314" i="5" s="1"/>
  <c r="D1314" i="5"/>
  <c r="H1313" i="5"/>
  <c r="G1313" i="5"/>
  <c r="F1313" i="5"/>
  <c r="D1313" i="5"/>
  <c r="G1312" i="5"/>
  <c r="F1312" i="5"/>
  <c r="D1312" i="5"/>
  <c r="H1312" i="5" s="1"/>
  <c r="G1311" i="5"/>
  <c r="F1311" i="5"/>
  <c r="H1311" i="5" s="1"/>
  <c r="D1311" i="5"/>
  <c r="H1310" i="5"/>
  <c r="G1310" i="5"/>
  <c r="F1310" i="5"/>
  <c r="D1310" i="5"/>
  <c r="G1309" i="5"/>
  <c r="F1309" i="5"/>
  <c r="D1309" i="5"/>
  <c r="H1309" i="5" s="1"/>
  <c r="H1308" i="5"/>
  <c r="G1307" i="5"/>
  <c r="F1307" i="5"/>
  <c r="D1307" i="5"/>
  <c r="H1307" i="5" s="1"/>
  <c r="G1306" i="5"/>
  <c r="F1306" i="5"/>
  <c r="H1306" i="5" s="1"/>
  <c r="D1306" i="5"/>
  <c r="H1305" i="5"/>
  <c r="G1305" i="5"/>
  <c r="F1305" i="5"/>
  <c r="D1305" i="5"/>
  <c r="G1304" i="5"/>
  <c r="F1304" i="5"/>
  <c r="D1304" i="5"/>
  <c r="H1304" i="5" s="1"/>
  <c r="G1303" i="5"/>
  <c r="F1303" i="5"/>
  <c r="H1303" i="5" s="1"/>
  <c r="D1303" i="5"/>
  <c r="H1302" i="5"/>
  <c r="G1302" i="5"/>
  <c r="F1302" i="5"/>
  <c r="D1302" i="5"/>
  <c r="G1301" i="5"/>
  <c r="F1301" i="5"/>
  <c r="D1301" i="5"/>
  <c r="H1301" i="5" s="1"/>
  <c r="G1300" i="5"/>
  <c r="F1300" i="5"/>
  <c r="H1300" i="5" s="1"/>
  <c r="D1300" i="5"/>
  <c r="H1299" i="5"/>
  <c r="G1299" i="5"/>
  <c r="F1299" i="5"/>
  <c r="D1299" i="5"/>
  <c r="G1298" i="5"/>
  <c r="F1298" i="5"/>
  <c r="D1298" i="5"/>
  <c r="H1298" i="5" s="1"/>
  <c r="G1297" i="5"/>
  <c r="F1297" i="5"/>
  <c r="H1297" i="5" s="1"/>
  <c r="D1297" i="5"/>
  <c r="H1296" i="5"/>
  <c r="G1296" i="5"/>
  <c r="F1296" i="5"/>
  <c r="D1296" i="5"/>
  <c r="G1295" i="5"/>
  <c r="F1295" i="5"/>
  <c r="D1295" i="5"/>
  <c r="H1295" i="5" s="1"/>
  <c r="G1294" i="5"/>
  <c r="F1294" i="5"/>
  <c r="H1294" i="5" s="1"/>
  <c r="D1294" i="5"/>
  <c r="H1293" i="5"/>
  <c r="G1293" i="5"/>
  <c r="F1293" i="5"/>
  <c r="D1293" i="5"/>
  <c r="G1292" i="5"/>
  <c r="F1292" i="5"/>
  <c r="D1292" i="5"/>
  <c r="H1292" i="5" s="1"/>
  <c r="H1291" i="5"/>
  <c r="G1290" i="5"/>
  <c r="F1290" i="5"/>
  <c r="D1290" i="5"/>
  <c r="H1290" i="5" s="1"/>
  <c r="G1289" i="5"/>
  <c r="H1289" i="5" s="1"/>
  <c r="F1289" i="5"/>
  <c r="D1289" i="5"/>
  <c r="G1288" i="5"/>
  <c r="F1288" i="5"/>
  <c r="H1288" i="5" s="1"/>
  <c r="D1288" i="5"/>
  <c r="G1287" i="5"/>
  <c r="F1287" i="5"/>
  <c r="D1287" i="5"/>
  <c r="H1287" i="5" s="1"/>
  <c r="G1286" i="5"/>
  <c r="H1286" i="5" s="1"/>
  <c r="F1286" i="5"/>
  <c r="D1286" i="5"/>
  <c r="G1285" i="5"/>
  <c r="F1285" i="5"/>
  <c r="H1285" i="5" s="1"/>
  <c r="D1285" i="5"/>
  <c r="G1284" i="5"/>
  <c r="F1284" i="5"/>
  <c r="D1284" i="5"/>
  <c r="H1284" i="5" s="1"/>
  <c r="G1283" i="5"/>
  <c r="F1283" i="5"/>
  <c r="H1283" i="5" s="1"/>
  <c r="D1283" i="5"/>
  <c r="G1282" i="5"/>
  <c r="F1282" i="5"/>
  <c r="H1282" i="5" s="1"/>
  <c r="D1282" i="5"/>
  <c r="G1281" i="5"/>
  <c r="F1281" i="5"/>
  <c r="D1281" i="5"/>
  <c r="H1281" i="5" s="1"/>
  <c r="G1280" i="5"/>
  <c r="F1280" i="5"/>
  <c r="H1280" i="5" s="1"/>
  <c r="D1280" i="5"/>
  <c r="G1279" i="5"/>
  <c r="F1279" i="5"/>
  <c r="H1279" i="5" s="1"/>
  <c r="D1279" i="5"/>
  <c r="G1278" i="5"/>
  <c r="F1278" i="5"/>
  <c r="D1278" i="5"/>
  <c r="H1278" i="5" s="1"/>
  <c r="G1277" i="5"/>
  <c r="F1277" i="5"/>
  <c r="H1277" i="5" s="1"/>
  <c r="D1277" i="5"/>
  <c r="G1276" i="5"/>
  <c r="F1276" i="5"/>
  <c r="H1276" i="5" s="1"/>
  <c r="D1276" i="5"/>
  <c r="G1275" i="5"/>
  <c r="F1275" i="5"/>
  <c r="D1275" i="5"/>
  <c r="H1275" i="5" s="1"/>
  <c r="H1274" i="5"/>
  <c r="G1273" i="5"/>
  <c r="F1273" i="5"/>
  <c r="D1273" i="5"/>
  <c r="H1273" i="5" s="1"/>
  <c r="G1272" i="5"/>
  <c r="F1272" i="5"/>
  <c r="H1272" i="5" s="1"/>
  <c r="D1272" i="5"/>
  <c r="G1271" i="5"/>
  <c r="F1271" i="5"/>
  <c r="D1271" i="5"/>
  <c r="H1271" i="5" s="1"/>
  <c r="G1270" i="5"/>
  <c r="F1270" i="5"/>
  <c r="D1270" i="5"/>
  <c r="H1270" i="5" s="1"/>
  <c r="G1269" i="5"/>
  <c r="F1269" i="5"/>
  <c r="H1269" i="5" s="1"/>
  <c r="D1269" i="5"/>
  <c r="G1268" i="5"/>
  <c r="F1268" i="5"/>
  <c r="D1268" i="5"/>
  <c r="H1268" i="5" s="1"/>
  <c r="G1267" i="5"/>
  <c r="F1267" i="5"/>
  <c r="D1267" i="5"/>
  <c r="H1267" i="5" s="1"/>
  <c r="G1266" i="5"/>
  <c r="F1266" i="5"/>
  <c r="H1266" i="5" s="1"/>
  <c r="D1266" i="5"/>
  <c r="G1265" i="5"/>
  <c r="F1265" i="5"/>
  <c r="D1265" i="5"/>
  <c r="H1265" i="5" s="1"/>
  <c r="G1264" i="5"/>
  <c r="F1264" i="5"/>
  <c r="D1264" i="5"/>
  <c r="H1264" i="5" s="1"/>
  <c r="G1263" i="5"/>
  <c r="F1263" i="5"/>
  <c r="D1263" i="5"/>
  <c r="H1263" i="5" s="1"/>
  <c r="G1262" i="5"/>
  <c r="F1262" i="5"/>
  <c r="D1262" i="5"/>
  <c r="H1262" i="5" s="1"/>
  <c r="G1261" i="5"/>
  <c r="F1261" i="5"/>
  <c r="D1261" i="5"/>
  <c r="H1261" i="5" s="1"/>
  <c r="G1260" i="5"/>
  <c r="F1260" i="5"/>
  <c r="D1260" i="5"/>
  <c r="H1260" i="5" s="1"/>
  <c r="G1259" i="5"/>
  <c r="F1259" i="5"/>
  <c r="D1259" i="5"/>
  <c r="H1259" i="5" s="1"/>
  <c r="H1258" i="5"/>
  <c r="G1257" i="5"/>
  <c r="F1257" i="5"/>
  <c r="H1257" i="5" s="1"/>
  <c r="D1257" i="5"/>
  <c r="H1256" i="5"/>
  <c r="G1256" i="5"/>
  <c r="F1256" i="5"/>
  <c r="D1256" i="5"/>
  <c r="G1255" i="5"/>
  <c r="F1255" i="5"/>
  <c r="D1255" i="5"/>
  <c r="H1255" i="5" s="1"/>
  <c r="G1254" i="5"/>
  <c r="F1254" i="5"/>
  <c r="H1254" i="5" s="1"/>
  <c r="D1254" i="5"/>
  <c r="H1253" i="5"/>
  <c r="G1253" i="5"/>
  <c r="F1253" i="5"/>
  <c r="D1253" i="5"/>
  <c r="G1252" i="5"/>
  <c r="F1252" i="5"/>
  <c r="D1252" i="5"/>
  <c r="H1252" i="5" s="1"/>
  <c r="G1251" i="5"/>
  <c r="F1251" i="5"/>
  <c r="H1251" i="5" s="1"/>
  <c r="D1251" i="5"/>
  <c r="H1250" i="5"/>
  <c r="G1250" i="5"/>
  <c r="F1250" i="5"/>
  <c r="D1250" i="5"/>
  <c r="G1249" i="5"/>
  <c r="F1249" i="5"/>
  <c r="D1249" i="5"/>
  <c r="H1249" i="5" s="1"/>
  <c r="G1248" i="5"/>
  <c r="F1248" i="5"/>
  <c r="H1248" i="5" s="1"/>
  <c r="D1248" i="5"/>
  <c r="H1247" i="5"/>
  <c r="G1247" i="5"/>
  <c r="F1247" i="5"/>
  <c r="D1247" i="5"/>
  <c r="G1246" i="5"/>
  <c r="F1246" i="5"/>
  <c r="D1246" i="5"/>
  <c r="H1246" i="5" s="1"/>
  <c r="G1245" i="5"/>
  <c r="F1245" i="5"/>
  <c r="H1245" i="5" s="1"/>
  <c r="D1245" i="5"/>
  <c r="H1244" i="5"/>
  <c r="G1244" i="5"/>
  <c r="F1244" i="5"/>
  <c r="D1244" i="5"/>
  <c r="G1243" i="5"/>
  <c r="F1243" i="5"/>
  <c r="D1243" i="5"/>
  <c r="H1243" i="5" s="1"/>
  <c r="G1242" i="5"/>
  <c r="F1242" i="5"/>
  <c r="D1242" i="5"/>
  <c r="H1242" i="5" s="1"/>
  <c r="H1241" i="5"/>
  <c r="G1240" i="5"/>
  <c r="F1240" i="5"/>
  <c r="H1240" i="5" s="1"/>
  <c r="D1240" i="5"/>
  <c r="H1239" i="5"/>
  <c r="G1239" i="5"/>
  <c r="F1239" i="5"/>
  <c r="D1239" i="5"/>
  <c r="G1238" i="5"/>
  <c r="F1238" i="5"/>
  <c r="D1238" i="5"/>
  <c r="H1238" i="5" s="1"/>
  <c r="G1237" i="5"/>
  <c r="F1237" i="5"/>
  <c r="H1237" i="5" s="1"/>
  <c r="D1237" i="5"/>
  <c r="H1236" i="5"/>
  <c r="G1236" i="5"/>
  <c r="F1236" i="5"/>
  <c r="D1236" i="5"/>
  <c r="G1235" i="5"/>
  <c r="F1235" i="5"/>
  <c r="D1235" i="5"/>
  <c r="H1235" i="5" s="1"/>
  <c r="G1234" i="5"/>
  <c r="F1234" i="5"/>
  <c r="H1234" i="5" s="1"/>
  <c r="D1234" i="5"/>
  <c r="H1233" i="5"/>
  <c r="G1233" i="5"/>
  <c r="F1233" i="5"/>
  <c r="D1233" i="5"/>
  <c r="G1232" i="5"/>
  <c r="F1232" i="5"/>
  <c r="D1232" i="5"/>
  <c r="H1232" i="5" s="1"/>
  <c r="G1231" i="5"/>
  <c r="F1231" i="5"/>
  <c r="H1231" i="5" s="1"/>
  <c r="D1231" i="5"/>
  <c r="H1230" i="5"/>
  <c r="G1229" i="5"/>
  <c r="H1229" i="5" s="1"/>
  <c r="F1229" i="5"/>
  <c r="D1229" i="5"/>
  <c r="G1228" i="5"/>
  <c r="F1228" i="5"/>
  <c r="H1228" i="5" s="1"/>
  <c r="D1228" i="5"/>
  <c r="G1227" i="5"/>
  <c r="F1227" i="5"/>
  <c r="D1227" i="5"/>
  <c r="H1227" i="5" s="1"/>
  <c r="G1226" i="5"/>
  <c r="H1226" i="5" s="1"/>
  <c r="F1226" i="5"/>
  <c r="D1226" i="5"/>
  <c r="G1225" i="5"/>
  <c r="F1225" i="5"/>
  <c r="H1225" i="5" s="1"/>
  <c r="D1225" i="5"/>
  <c r="G1224" i="5"/>
  <c r="F1224" i="5"/>
  <c r="D1224" i="5"/>
  <c r="H1224" i="5" s="1"/>
  <c r="G1223" i="5"/>
  <c r="F1223" i="5"/>
  <c r="H1223" i="5" s="1"/>
  <c r="D1223" i="5"/>
  <c r="G1222" i="5"/>
  <c r="F1222" i="5"/>
  <c r="H1222" i="5" s="1"/>
  <c r="D1222" i="5"/>
  <c r="G1221" i="5"/>
  <c r="F1221" i="5"/>
  <c r="D1221" i="5"/>
  <c r="H1221" i="5" s="1"/>
  <c r="G1220" i="5"/>
  <c r="F1220" i="5"/>
  <c r="D1220" i="5"/>
  <c r="H1220" i="5" s="1"/>
  <c r="G1219" i="5"/>
  <c r="F1219" i="5"/>
  <c r="H1219" i="5" s="1"/>
  <c r="D1219" i="5"/>
  <c r="G1218" i="5"/>
  <c r="F1218" i="5"/>
  <c r="D1218" i="5"/>
  <c r="H1218" i="5" s="1"/>
  <c r="G1217" i="5"/>
  <c r="F1217" i="5"/>
  <c r="D1217" i="5"/>
  <c r="H1217" i="5" s="1"/>
  <c r="G1216" i="5"/>
  <c r="F1216" i="5"/>
  <c r="D1216" i="5"/>
  <c r="H1216" i="5" s="1"/>
  <c r="G1215" i="5"/>
  <c r="F1215" i="5"/>
  <c r="D1215" i="5"/>
  <c r="H1215" i="5" s="1"/>
  <c r="G1214" i="5"/>
  <c r="F1214" i="5"/>
  <c r="D1214" i="5"/>
  <c r="H1214" i="5" s="1"/>
  <c r="H1213" i="5"/>
  <c r="G1212" i="5"/>
  <c r="F1212" i="5"/>
  <c r="H1212" i="5" s="1"/>
  <c r="D1212" i="5"/>
  <c r="G1211" i="5"/>
  <c r="F1211" i="5"/>
  <c r="H1211" i="5" s="1"/>
  <c r="D1211" i="5"/>
  <c r="G1210" i="5"/>
  <c r="F1210" i="5"/>
  <c r="D1210" i="5"/>
  <c r="H1210" i="5" s="1"/>
  <c r="G1209" i="5"/>
  <c r="F1209" i="5"/>
  <c r="H1209" i="5" s="1"/>
  <c r="D1209" i="5"/>
  <c r="G1208" i="5"/>
  <c r="F1208" i="5"/>
  <c r="D1208" i="5"/>
  <c r="H1208" i="5" s="1"/>
  <c r="G1207" i="5"/>
  <c r="F1207" i="5"/>
  <c r="D1207" i="5"/>
  <c r="H1207" i="5" s="1"/>
  <c r="G1206" i="5"/>
  <c r="F1206" i="5"/>
  <c r="H1206" i="5" s="1"/>
  <c r="D1206" i="5"/>
  <c r="G1205" i="5"/>
  <c r="F1205" i="5"/>
  <c r="D1205" i="5"/>
  <c r="H1205" i="5" s="1"/>
  <c r="G1204" i="5"/>
  <c r="F1204" i="5"/>
  <c r="D1204" i="5"/>
  <c r="H1204" i="5" s="1"/>
  <c r="G1203" i="5"/>
  <c r="F1203" i="5"/>
  <c r="D1203" i="5"/>
  <c r="H1203" i="5" s="1"/>
  <c r="G1202" i="5"/>
  <c r="F1202" i="5"/>
  <c r="D1202" i="5"/>
  <c r="H1202" i="5" s="1"/>
  <c r="G1201" i="5"/>
  <c r="F1201" i="5"/>
  <c r="D1201" i="5"/>
  <c r="H1201" i="5" s="1"/>
  <c r="G1200" i="5"/>
  <c r="F1200" i="5"/>
  <c r="D1200" i="5"/>
  <c r="H1200" i="5" s="1"/>
  <c r="G1199" i="5"/>
  <c r="F1199" i="5"/>
  <c r="D1199" i="5"/>
  <c r="H1199" i="5" s="1"/>
  <c r="G1198" i="5"/>
  <c r="F1198" i="5"/>
  <c r="D1198" i="5"/>
  <c r="H1198" i="5" s="1"/>
  <c r="G1197" i="5"/>
  <c r="F1197" i="5"/>
  <c r="D1197" i="5"/>
  <c r="H1197" i="5" s="1"/>
  <c r="H1196" i="5"/>
  <c r="G1195" i="5"/>
  <c r="F1195" i="5"/>
  <c r="D1195" i="5"/>
  <c r="H1195" i="5" s="1"/>
  <c r="G1194" i="5"/>
  <c r="F1194" i="5"/>
  <c r="H1194" i="5" s="1"/>
  <c r="D1194" i="5"/>
  <c r="H1193" i="5"/>
  <c r="G1193" i="5"/>
  <c r="F1193" i="5"/>
  <c r="D1193" i="5"/>
  <c r="G1192" i="5"/>
  <c r="F1192" i="5"/>
  <c r="D1192" i="5"/>
  <c r="H1192" i="5" s="1"/>
  <c r="G1191" i="5"/>
  <c r="F1191" i="5"/>
  <c r="H1191" i="5" s="1"/>
  <c r="D1191" i="5"/>
  <c r="H1190" i="5"/>
  <c r="G1190" i="5"/>
  <c r="F1190" i="5"/>
  <c r="D1190" i="5"/>
  <c r="G1189" i="5"/>
  <c r="F1189" i="5"/>
  <c r="D1189" i="5"/>
  <c r="H1189" i="5" s="1"/>
  <c r="G1188" i="5"/>
  <c r="F1188" i="5"/>
  <c r="D1188" i="5"/>
  <c r="H1188" i="5" s="1"/>
  <c r="H1187" i="5"/>
  <c r="G1187" i="5"/>
  <c r="F1187" i="5"/>
  <c r="D1187" i="5"/>
  <c r="G1186" i="5"/>
  <c r="F1186" i="5"/>
  <c r="D1186" i="5"/>
  <c r="H1186" i="5" s="1"/>
  <c r="H1185" i="5"/>
  <c r="G1184" i="5"/>
  <c r="F1184" i="5"/>
  <c r="D1184" i="5"/>
  <c r="H1184" i="5" s="1"/>
  <c r="H1183" i="5"/>
  <c r="G1183" i="5"/>
  <c r="F1183" i="5"/>
  <c r="D1183" i="5"/>
  <c r="H1182" i="5"/>
  <c r="G1182" i="5"/>
  <c r="F1182" i="5"/>
  <c r="D1182" i="5"/>
  <c r="G1181" i="5"/>
  <c r="F1181" i="5"/>
  <c r="D1181" i="5"/>
  <c r="H1181" i="5" s="1"/>
  <c r="H1180" i="5"/>
  <c r="G1180" i="5"/>
  <c r="F1180" i="5"/>
  <c r="D1180" i="5"/>
  <c r="H1179" i="5"/>
  <c r="G1179" i="5"/>
  <c r="F1179" i="5"/>
  <c r="D1179" i="5"/>
  <c r="G1178" i="5"/>
  <c r="F1178" i="5"/>
  <c r="D1178" i="5"/>
  <c r="H1178" i="5" s="1"/>
  <c r="H1177" i="5"/>
  <c r="G1177" i="5"/>
  <c r="F1177" i="5"/>
  <c r="D1177" i="5"/>
  <c r="H1176" i="5"/>
  <c r="G1176" i="5"/>
  <c r="F1176" i="5"/>
  <c r="D1176" i="5"/>
  <c r="G1175" i="5"/>
  <c r="F1175" i="5"/>
  <c r="D1175" i="5"/>
  <c r="H1175" i="5" s="1"/>
  <c r="H1174" i="5"/>
  <c r="G1173" i="5"/>
  <c r="F1173" i="5"/>
  <c r="D1173" i="5"/>
  <c r="H1173" i="5" s="1"/>
  <c r="G1172" i="5"/>
  <c r="H1172" i="5" s="1"/>
  <c r="F1172" i="5"/>
  <c r="D1172" i="5"/>
  <c r="G1171" i="5"/>
  <c r="F1171" i="5"/>
  <c r="H1171" i="5" s="1"/>
  <c r="D1171" i="5"/>
  <c r="G1170" i="5"/>
  <c r="F1170" i="5"/>
  <c r="D1170" i="5"/>
  <c r="H1170" i="5" s="1"/>
  <c r="G1169" i="5"/>
  <c r="F1169" i="5"/>
  <c r="D1169" i="5"/>
  <c r="H1169" i="5" s="1"/>
  <c r="G1168" i="5"/>
  <c r="F1168" i="5"/>
  <c r="H1168" i="5" s="1"/>
  <c r="D1168" i="5"/>
  <c r="G1167" i="5"/>
  <c r="F1167" i="5"/>
  <c r="D1167" i="5"/>
  <c r="H1167" i="5" s="1"/>
  <c r="G1166" i="5"/>
  <c r="F1166" i="5"/>
  <c r="D1166" i="5"/>
  <c r="H1166" i="5" s="1"/>
  <c r="G1165" i="5"/>
  <c r="F1165" i="5"/>
  <c r="H1165" i="5" s="1"/>
  <c r="D1165" i="5"/>
  <c r="G1164" i="5"/>
  <c r="F1164" i="5"/>
  <c r="D1164" i="5"/>
  <c r="H1164" i="5" s="1"/>
  <c r="G1163" i="5"/>
  <c r="F1163" i="5"/>
  <c r="D1163" i="5"/>
  <c r="H1163" i="5" s="1"/>
  <c r="G1162" i="5"/>
  <c r="F1162" i="5"/>
  <c r="D1162" i="5"/>
  <c r="H1162" i="5" s="1"/>
  <c r="G1161" i="5"/>
  <c r="F1161" i="5"/>
  <c r="D1161" i="5"/>
  <c r="H1161" i="5" s="1"/>
  <c r="G1160" i="5"/>
  <c r="F1160" i="5"/>
  <c r="D1160" i="5"/>
  <c r="H1160" i="5" s="1"/>
  <c r="G1159" i="5"/>
  <c r="F1159" i="5"/>
  <c r="D1159" i="5"/>
  <c r="H1159" i="5" s="1"/>
  <c r="H1158" i="5"/>
  <c r="G1157" i="5"/>
  <c r="F1157" i="5"/>
  <c r="H1157" i="5" s="1"/>
  <c r="D1157" i="5"/>
  <c r="G1156" i="5"/>
  <c r="F1156" i="5"/>
  <c r="D1156" i="5"/>
  <c r="H1156" i="5" s="1"/>
  <c r="G1155" i="5"/>
  <c r="F1155" i="5"/>
  <c r="H1155" i="5" s="1"/>
  <c r="D1155" i="5"/>
  <c r="G1154" i="5"/>
  <c r="F1154" i="5"/>
  <c r="D1154" i="5"/>
  <c r="H1154" i="5" s="1"/>
  <c r="G1153" i="5"/>
  <c r="F1153" i="5"/>
  <c r="D1153" i="5"/>
  <c r="H1153" i="5" s="1"/>
  <c r="G1152" i="5"/>
  <c r="F1152" i="5"/>
  <c r="H1152" i="5" s="1"/>
  <c r="D1152" i="5"/>
  <c r="G1151" i="5"/>
  <c r="F1151" i="5"/>
  <c r="D1151" i="5"/>
  <c r="H1151" i="5" s="1"/>
  <c r="G1150" i="5"/>
  <c r="F1150" i="5"/>
  <c r="D1150" i="5"/>
  <c r="H1150" i="5" s="1"/>
  <c r="G1149" i="5"/>
  <c r="F1149" i="5"/>
  <c r="D1149" i="5"/>
  <c r="H1149" i="5" s="1"/>
  <c r="G1148" i="5"/>
  <c r="F1148" i="5"/>
  <c r="D1148" i="5"/>
  <c r="H1148" i="5" s="1"/>
  <c r="H1147" i="5"/>
  <c r="G1146" i="5"/>
  <c r="F1146" i="5"/>
  <c r="H1146" i="5" s="1"/>
  <c r="D1146" i="5"/>
  <c r="H1145" i="5"/>
  <c r="G1145" i="5"/>
  <c r="F1145" i="5"/>
  <c r="D1145" i="5"/>
  <c r="G1144" i="5"/>
  <c r="F1144" i="5"/>
  <c r="D1144" i="5"/>
  <c r="H1144" i="5" s="1"/>
  <c r="G1143" i="5"/>
  <c r="F1143" i="5"/>
  <c r="D1143" i="5"/>
  <c r="H1143" i="5" s="1"/>
  <c r="H1142" i="5"/>
  <c r="G1142" i="5"/>
  <c r="F1142" i="5"/>
  <c r="D1142" i="5"/>
  <c r="G1141" i="5"/>
  <c r="F1141" i="5"/>
  <c r="D1141" i="5"/>
  <c r="H1141" i="5" s="1"/>
  <c r="G1140" i="5"/>
  <c r="F1140" i="5"/>
  <c r="D1140" i="5"/>
  <c r="H1140" i="5" s="1"/>
  <c r="H1139" i="5"/>
  <c r="G1139" i="5"/>
  <c r="F1139" i="5"/>
  <c r="D1139" i="5"/>
  <c r="G1138" i="5"/>
  <c r="F1138" i="5"/>
  <c r="D1138" i="5"/>
  <c r="H1138" i="5" s="1"/>
  <c r="G1137" i="5"/>
  <c r="F1137" i="5"/>
  <c r="D1137" i="5"/>
  <c r="H1137" i="5" s="1"/>
  <c r="G1136" i="5"/>
  <c r="H1136" i="5" s="1"/>
  <c r="F1136" i="5"/>
  <c r="D1136" i="5"/>
  <c r="G1135" i="5"/>
  <c r="F1135" i="5"/>
  <c r="D1135" i="5"/>
  <c r="H1135" i="5" s="1"/>
  <c r="G1134" i="5"/>
  <c r="F1134" i="5"/>
  <c r="D1134" i="5"/>
  <c r="H1134" i="5" s="1"/>
  <c r="G1133" i="5"/>
  <c r="H1133" i="5" s="1"/>
  <c r="F1133" i="5"/>
  <c r="D1133" i="5"/>
  <c r="G1132" i="5"/>
  <c r="F1132" i="5"/>
  <c r="D1132" i="5"/>
  <c r="H1132" i="5" s="1"/>
  <c r="G1131" i="5"/>
  <c r="F1131" i="5"/>
  <c r="D1131" i="5"/>
  <c r="H1131" i="5" s="1"/>
  <c r="H1130" i="5"/>
  <c r="H1129" i="5"/>
  <c r="G1129" i="5"/>
  <c r="F1129" i="5"/>
  <c r="D1129" i="5"/>
  <c r="H1128" i="5"/>
  <c r="G1128" i="5"/>
  <c r="F1128" i="5"/>
  <c r="D1128" i="5"/>
  <c r="G1127" i="5"/>
  <c r="F1127" i="5"/>
  <c r="H1127" i="5" s="1"/>
  <c r="D1127" i="5"/>
  <c r="G1126" i="5"/>
  <c r="F1126" i="5"/>
  <c r="H1126" i="5" s="1"/>
  <c r="D1126" i="5"/>
  <c r="H1125" i="5"/>
  <c r="G1125" i="5"/>
  <c r="F1125" i="5"/>
  <c r="D1125" i="5"/>
  <c r="G1124" i="5"/>
  <c r="F1124" i="5"/>
  <c r="D1124" i="5"/>
  <c r="H1124" i="5" s="1"/>
  <c r="G1123" i="5"/>
  <c r="F1123" i="5"/>
  <c r="H1123" i="5" s="1"/>
  <c r="D1123" i="5"/>
  <c r="H1122" i="5"/>
  <c r="G1122" i="5"/>
  <c r="F1122" i="5"/>
  <c r="D1122" i="5"/>
  <c r="G1121" i="5"/>
  <c r="F1121" i="5"/>
  <c r="D1121" i="5"/>
  <c r="H1121" i="5" s="1"/>
  <c r="G1120" i="5"/>
  <c r="F1120" i="5"/>
  <c r="H1120" i="5" s="1"/>
  <c r="D1120" i="5"/>
  <c r="H1119" i="5"/>
  <c r="G1119" i="5"/>
  <c r="F1119" i="5"/>
  <c r="D1119" i="5"/>
  <c r="G1118" i="5"/>
  <c r="F1118" i="5"/>
  <c r="D1118" i="5"/>
  <c r="H1118" i="5" s="1"/>
  <c r="G1117" i="5"/>
  <c r="F1117" i="5"/>
  <c r="D1117" i="5"/>
  <c r="H1117" i="5" s="1"/>
  <c r="H1116" i="5"/>
  <c r="G1116" i="5"/>
  <c r="F1116" i="5"/>
  <c r="D1116" i="5"/>
  <c r="G1115" i="5"/>
  <c r="F1115" i="5"/>
  <c r="D1115" i="5"/>
  <c r="H1115" i="5" s="1"/>
  <c r="H1114" i="5"/>
  <c r="G1113" i="5"/>
  <c r="F1113" i="5"/>
  <c r="D1113" i="5"/>
  <c r="H1113" i="5" s="1"/>
  <c r="G1112" i="5"/>
  <c r="F1112" i="5"/>
  <c r="D1112" i="5"/>
  <c r="H1112" i="5" s="1"/>
  <c r="G1111" i="5"/>
  <c r="F1111" i="5"/>
  <c r="H1111" i="5" s="1"/>
  <c r="D1111" i="5"/>
  <c r="G1110" i="5"/>
  <c r="F1110" i="5"/>
  <c r="D1110" i="5"/>
  <c r="H1110" i="5" s="1"/>
  <c r="G1109" i="5"/>
  <c r="F1109" i="5"/>
  <c r="D1109" i="5"/>
  <c r="H1109" i="5" s="1"/>
  <c r="G1108" i="5"/>
  <c r="F1108" i="5"/>
  <c r="H1108" i="5" s="1"/>
  <c r="D1108" i="5"/>
  <c r="G1107" i="5"/>
  <c r="F1107" i="5"/>
  <c r="D1107" i="5"/>
  <c r="H1107" i="5" s="1"/>
  <c r="G1106" i="5"/>
  <c r="F1106" i="5"/>
  <c r="D1106" i="5"/>
  <c r="H1106" i="5" s="1"/>
  <c r="G1105" i="5"/>
  <c r="F1105" i="5"/>
  <c r="H1105" i="5" s="1"/>
  <c r="D1105" i="5"/>
  <c r="G1104" i="5"/>
  <c r="F1104" i="5"/>
  <c r="D1104" i="5"/>
  <c r="H1104" i="5" s="1"/>
  <c r="G1103" i="5"/>
  <c r="F1103" i="5"/>
  <c r="D1103" i="5"/>
  <c r="H1103" i="5" s="1"/>
  <c r="G1102" i="5"/>
  <c r="F1102" i="5"/>
  <c r="D1102" i="5"/>
  <c r="H1102" i="5" s="1"/>
  <c r="G1101" i="5"/>
  <c r="F1101" i="5"/>
  <c r="D1101" i="5"/>
  <c r="H1101" i="5" s="1"/>
  <c r="G1100" i="5"/>
  <c r="F1100" i="5"/>
  <c r="D1100" i="5"/>
  <c r="H1100" i="5" s="1"/>
  <c r="G1099" i="5"/>
  <c r="F1099" i="5"/>
  <c r="D1099" i="5"/>
  <c r="H1099" i="5" s="1"/>
  <c r="H1098" i="5"/>
  <c r="G1097" i="5"/>
  <c r="F1097" i="5"/>
  <c r="H1097" i="5" s="1"/>
  <c r="D1097" i="5"/>
  <c r="G1096" i="5"/>
  <c r="F1096" i="5"/>
  <c r="H1096" i="5" s="1"/>
  <c r="D1096" i="5"/>
  <c r="G1095" i="5"/>
  <c r="H1095" i="5" s="1"/>
  <c r="F1095" i="5"/>
  <c r="D1095" i="5"/>
  <c r="G1094" i="5"/>
  <c r="F1094" i="5"/>
  <c r="H1094" i="5" s="1"/>
  <c r="D1094" i="5"/>
  <c r="G1093" i="5"/>
  <c r="F1093" i="5"/>
  <c r="D1093" i="5"/>
  <c r="H1093" i="5" s="1"/>
  <c r="G1092" i="5"/>
  <c r="F1092" i="5"/>
  <c r="H1092" i="5" s="1"/>
  <c r="D1092" i="5"/>
  <c r="G1091" i="5"/>
  <c r="F1091" i="5"/>
  <c r="D1091" i="5"/>
  <c r="H1091" i="5" s="1"/>
  <c r="G1090" i="5"/>
  <c r="F1090" i="5"/>
  <c r="D1090" i="5"/>
  <c r="H1090" i="5" s="1"/>
  <c r="G1089" i="5"/>
  <c r="F1089" i="5"/>
  <c r="H1089" i="5" s="1"/>
  <c r="D1089" i="5"/>
  <c r="G1088" i="5"/>
  <c r="F1088" i="5"/>
  <c r="D1088" i="5"/>
  <c r="H1088" i="5" s="1"/>
  <c r="H1087" i="5"/>
  <c r="G1086" i="5"/>
  <c r="F1086" i="5"/>
  <c r="D1086" i="5"/>
  <c r="H1086" i="5" s="1"/>
  <c r="H1085" i="5"/>
  <c r="G1085" i="5"/>
  <c r="F1085" i="5"/>
  <c r="D1085" i="5"/>
  <c r="G1084" i="5"/>
  <c r="F1084" i="5"/>
  <c r="D1084" i="5"/>
  <c r="H1084" i="5" s="1"/>
  <c r="G1083" i="5"/>
  <c r="F1083" i="5"/>
  <c r="D1083" i="5"/>
  <c r="H1083" i="5" s="1"/>
  <c r="H1082" i="5"/>
  <c r="G1082" i="5"/>
  <c r="F1082" i="5"/>
  <c r="D1082" i="5"/>
  <c r="G1081" i="5"/>
  <c r="F1081" i="5"/>
  <c r="D1081" i="5"/>
  <c r="H1081" i="5" s="1"/>
  <c r="G1080" i="5"/>
  <c r="F1080" i="5"/>
  <c r="D1080" i="5"/>
  <c r="H1080" i="5" s="1"/>
  <c r="H1079" i="5"/>
  <c r="G1079" i="5"/>
  <c r="F1079" i="5"/>
  <c r="D1079" i="5"/>
  <c r="G1078" i="5"/>
  <c r="F1078" i="5"/>
  <c r="D1078" i="5"/>
  <c r="H1078" i="5" s="1"/>
  <c r="G1077" i="5"/>
  <c r="F1077" i="5"/>
  <c r="D1077" i="5"/>
  <c r="H1077" i="5" s="1"/>
  <c r="H1076" i="5"/>
  <c r="G1076" i="5"/>
  <c r="F1076" i="5"/>
  <c r="D1076" i="5"/>
  <c r="G1075" i="5"/>
  <c r="F1075" i="5"/>
  <c r="D1075" i="5"/>
  <c r="H1075" i="5" s="1"/>
  <c r="G1074" i="5"/>
  <c r="F1074" i="5"/>
  <c r="D1074" i="5"/>
  <c r="H1074" i="5" s="1"/>
  <c r="H1073" i="5"/>
  <c r="G1073" i="5"/>
  <c r="F1073" i="5"/>
  <c r="D1073" i="5"/>
  <c r="G1072" i="5"/>
  <c r="F1072" i="5"/>
  <c r="D1072" i="5"/>
  <c r="H1072" i="5" s="1"/>
  <c r="G1071" i="5"/>
  <c r="F1071" i="5"/>
  <c r="D1071" i="5"/>
  <c r="H1071" i="5" s="1"/>
  <c r="H1070" i="5"/>
  <c r="G1070" i="5"/>
  <c r="F1070" i="5"/>
  <c r="D1070" i="5"/>
  <c r="H1069" i="5"/>
  <c r="H1068" i="5"/>
  <c r="G1068" i="5"/>
  <c r="F1068" i="5"/>
  <c r="D1068" i="5"/>
  <c r="G1067" i="5"/>
  <c r="F1067" i="5"/>
  <c r="D1067" i="5"/>
  <c r="H1067" i="5" s="1"/>
  <c r="G1066" i="5"/>
  <c r="F1066" i="5"/>
  <c r="H1066" i="5" s="1"/>
  <c r="D1066" i="5"/>
  <c r="H1065" i="5"/>
  <c r="G1065" i="5"/>
  <c r="F1065" i="5"/>
  <c r="D1065" i="5"/>
  <c r="G1064" i="5"/>
  <c r="F1064" i="5"/>
  <c r="D1064" i="5"/>
  <c r="H1064" i="5" s="1"/>
  <c r="G1063" i="5"/>
  <c r="F1063" i="5"/>
  <c r="H1063" i="5" s="1"/>
  <c r="D1063" i="5"/>
  <c r="H1062" i="5"/>
  <c r="G1062" i="5"/>
  <c r="F1062" i="5"/>
  <c r="D1062" i="5"/>
  <c r="G1061" i="5"/>
  <c r="F1061" i="5"/>
  <c r="D1061" i="5"/>
  <c r="H1061" i="5" s="1"/>
  <c r="G1060" i="5"/>
  <c r="F1060" i="5"/>
  <c r="H1060" i="5" s="1"/>
  <c r="D1060" i="5"/>
  <c r="H1059" i="5"/>
  <c r="G1059" i="5"/>
  <c r="F1059" i="5"/>
  <c r="D1059" i="5"/>
  <c r="H1058" i="5"/>
  <c r="G1057" i="5"/>
  <c r="F1057" i="5"/>
  <c r="H1057" i="5" s="1"/>
  <c r="D1057" i="5"/>
  <c r="G1056" i="5"/>
  <c r="F1056" i="5"/>
  <c r="D1056" i="5"/>
  <c r="H1056" i="5" s="1"/>
  <c r="G1055" i="5"/>
  <c r="F1055" i="5"/>
  <c r="D1055" i="5"/>
  <c r="H1055" i="5" s="1"/>
  <c r="G1054" i="5"/>
  <c r="F1054" i="5"/>
  <c r="D1054" i="5"/>
  <c r="H1054" i="5" s="1"/>
  <c r="G1053" i="5"/>
  <c r="F1053" i="5"/>
  <c r="D1053" i="5"/>
  <c r="H1053" i="5" s="1"/>
  <c r="G1052" i="5"/>
  <c r="F1052" i="5"/>
  <c r="D1052" i="5"/>
  <c r="H1052" i="5" s="1"/>
  <c r="G1051" i="5"/>
  <c r="F1051" i="5"/>
  <c r="D1051" i="5"/>
  <c r="H1051" i="5" s="1"/>
  <c r="G1050" i="5"/>
  <c r="F1050" i="5"/>
  <c r="D1050" i="5"/>
  <c r="H1050" i="5" s="1"/>
  <c r="G1049" i="5"/>
  <c r="F1049" i="5"/>
  <c r="D1049" i="5"/>
  <c r="H1049" i="5" s="1"/>
  <c r="G1048" i="5"/>
  <c r="F1048" i="5"/>
  <c r="D1048" i="5"/>
  <c r="H1048" i="5" s="1"/>
  <c r="H1047" i="5"/>
  <c r="G1046" i="5"/>
  <c r="F1046" i="5"/>
  <c r="H1046" i="5" s="1"/>
  <c r="D1046" i="5"/>
  <c r="G1045" i="5"/>
  <c r="F1045" i="5"/>
  <c r="H1045" i="5" s="1"/>
  <c r="D1045" i="5"/>
  <c r="G1044" i="5"/>
  <c r="H1044" i="5" s="1"/>
  <c r="F1044" i="5"/>
  <c r="D1044" i="5"/>
  <c r="G1043" i="5"/>
  <c r="F1043" i="5"/>
  <c r="H1043" i="5" s="1"/>
  <c r="D1043" i="5"/>
  <c r="G1042" i="5"/>
  <c r="F1042" i="5"/>
  <c r="H1042" i="5" s="1"/>
  <c r="D1042" i="5"/>
  <c r="G1041" i="5"/>
  <c r="H1041" i="5" s="1"/>
  <c r="F1041" i="5"/>
  <c r="D1041" i="5"/>
  <c r="G1040" i="5"/>
  <c r="F1040" i="5"/>
  <c r="H1040" i="5" s="1"/>
  <c r="D1040" i="5"/>
  <c r="G1039" i="5"/>
  <c r="F1039" i="5"/>
  <c r="D1039" i="5"/>
  <c r="H1039" i="5" s="1"/>
  <c r="G1038" i="5"/>
  <c r="F1038" i="5"/>
  <c r="H1038" i="5" s="1"/>
  <c r="D1038" i="5"/>
  <c r="G1037" i="5"/>
  <c r="F1037" i="5"/>
  <c r="D1037" i="5"/>
  <c r="H1037" i="5" s="1"/>
  <c r="G1036" i="5"/>
  <c r="F1036" i="5"/>
  <c r="D1036" i="5"/>
  <c r="H1036" i="5" s="1"/>
  <c r="G1035" i="5"/>
  <c r="F1035" i="5"/>
  <c r="H1035" i="5" s="1"/>
  <c r="D1035" i="5"/>
  <c r="G1034" i="5"/>
  <c r="F1034" i="5"/>
  <c r="D1034" i="5"/>
  <c r="H1034" i="5" s="1"/>
  <c r="G1033" i="5"/>
  <c r="F1033" i="5"/>
  <c r="D1033" i="5"/>
  <c r="H1033" i="5" s="1"/>
  <c r="G1032" i="5"/>
  <c r="F1032" i="5"/>
  <c r="H1032" i="5" s="1"/>
  <c r="D1032" i="5"/>
  <c r="H1031" i="5"/>
  <c r="G1030" i="5"/>
  <c r="F1030" i="5"/>
  <c r="D1030" i="5"/>
  <c r="H1030" i="5" s="1"/>
  <c r="G1029" i="5"/>
  <c r="F1029" i="5"/>
  <c r="D1029" i="5"/>
  <c r="H1029" i="5" s="1"/>
  <c r="H1028" i="5"/>
  <c r="G1028" i="5"/>
  <c r="F1028" i="5"/>
  <c r="D1028" i="5"/>
  <c r="G1027" i="5"/>
  <c r="F1027" i="5"/>
  <c r="D1027" i="5"/>
  <c r="H1027" i="5" s="1"/>
  <c r="G1026" i="5"/>
  <c r="F1026" i="5"/>
  <c r="D1026" i="5"/>
  <c r="H1026" i="5" s="1"/>
  <c r="H1025" i="5"/>
  <c r="G1025" i="5"/>
  <c r="F1025" i="5"/>
  <c r="D1025" i="5"/>
  <c r="G1024" i="5"/>
  <c r="F1024" i="5"/>
  <c r="D1024" i="5"/>
  <c r="H1024" i="5" s="1"/>
  <c r="G1023" i="5"/>
  <c r="F1023" i="5"/>
  <c r="D1023" i="5"/>
  <c r="H1023" i="5" s="1"/>
  <c r="H1022" i="5"/>
  <c r="G1022" i="5"/>
  <c r="F1022" i="5"/>
  <c r="D1022" i="5"/>
  <c r="G1021" i="5"/>
  <c r="F1021" i="5"/>
  <c r="D1021" i="5"/>
  <c r="H1021" i="5" s="1"/>
  <c r="G1020" i="5"/>
  <c r="F1020" i="5"/>
  <c r="D1020" i="5"/>
  <c r="H1020" i="5" s="1"/>
  <c r="H1019" i="5"/>
  <c r="G1019" i="5"/>
  <c r="F1019" i="5"/>
  <c r="D1019" i="5"/>
  <c r="G1018" i="5"/>
  <c r="F1018" i="5"/>
  <c r="D1018" i="5"/>
  <c r="H1018" i="5" s="1"/>
  <c r="G1017" i="5"/>
  <c r="F1017" i="5"/>
  <c r="D1017" i="5"/>
  <c r="H1017" i="5" s="1"/>
  <c r="H1016" i="5"/>
  <c r="G1016" i="5"/>
  <c r="F1016" i="5"/>
  <c r="D1016" i="5"/>
  <c r="G1015" i="5"/>
  <c r="F1015" i="5"/>
  <c r="D1015" i="5"/>
  <c r="H1015" i="5" s="1"/>
  <c r="H1014" i="5"/>
  <c r="G1013" i="5"/>
  <c r="F1013" i="5"/>
  <c r="D1013" i="5"/>
  <c r="H1013" i="5" s="1"/>
  <c r="G1012" i="5"/>
  <c r="F1012" i="5"/>
  <c r="H1012" i="5" s="1"/>
  <c r="D1012" i="5"/>
  <c r="H1011" i="5"/>
  <c r="G1011" i="5"/>
  <c r="F1011" i="5"/>
  <c r="D1011" i="5"/>
  <c r="G1010" i="5"/>
  <c r="F1010" i="5"/>
  <c r="D1010" i="5"/>
  <c r="H1010" i="5" s="1"/>
  <c r="G1009" i="5"/>
  <c r="F1009" i="5"/>
  <c r="H1009" i="5" s="1"/>
  <c r="D1009" i="5"/>
  <c r="H1008" i="5"/>
  <c r="G1008" i="5"/>
  <c r="F1008" i="5"/>
  <c r="D1008" i="5"/>
  <c r="G1007" i="5"/>
  <c r="F1007" i="5"/>
  <c r="D1007" i="5"/>
  <c r="H1007" i="5" s="1"/>
  <c r="G1006" i="5"/>
  <c r="F1006" i="5"/>
  <c r="H1006" i="5" s="1"/>
  <c r="D1006" i="5"/>
  <c r="H1005" i="5"/>
  <c r="G1005" i="5"/>
  <c r="F1005" i="5"/>
  <c r="D1005" i="5"/>
  <c r="G1004" i="5"/>
  <c r="F1004" i="5"/>
  <c r="D1004" i="5"/>
  <c r="H1004" i="5" s="1"/>
  <c r="G1003" i="5"/>
  <c r="F1003" i="5"/>
  <c r="H1003" i="5" s="1"/>
  <c r="D1003" i="5"/>
  <c r="H1002" i="5"/>
  <c r="G1002" i="5"/>
  <c r="F1002" i="5"/>
  <c r="D1002" i="5"/>
  <c r="G1001" i="5"/>
  <c r="F1001" i="5"/>
  <c r="D1001" i="5"/>
  <c r="H1001" i="5" s="1"/>
  <c r="G1000" i="5"/>
  <c r="F1000" i="5"/>
  <c r="H1000" i="5" s="1"/>
  <c r="D1000" i="5"/>
  <c r="H999" i="5"/>
  <c r="G999" i="5"/>
  <c r="F999" i="5"/>
  <c r="D999" i="5"/>
  <c r="G998" i="5"/>
  <c r="F998" i="5"/>
  <c r="D998" i="5"/>
  <c r="H998" i="5" s="1"/>
  <c r="H997" i="5"/>
  <c r="G996" i="5"/>
  <c r="F996" i="5"/>
  <c r="D996" i="5"/>
  <c r="H996" i="5" s="1"/>
  <c r="G995" i="5"/>
  <c r="H995" i="5" s="1"/>
  <c r="F995" i="5"/>
  <c r="D995" i="5"/>
  <c r="G994" i="5"/>
  <c r="F994" i="5"/>
  <c r="H994" i="5" s="1"/>
  <c r="D994" i="5"/>
  <c r="G993" i="5"/>
  <c r="F993" i="5"/>
  <c r="D993" i="5"/>
  <c r="H993" i="5" s="1"/>
  <c r="G992" i="5"/>
  <c r="H992" i="5" s="1"/>
  <c r="F992" i="5"/>
  <c r="D992" i="5"/>
  <c r="G991" i="5"/>
  <c r="F991" i="5"/>
  <c r="H991" i="5" s="1"/>
  <c r="D991" i="5"/>
  <c r="G990" i="5"/>
  <c r="F990" i="5"/>
  <c r="D990" i="5"/>
  <c r="H990" i="5" s="1"/>
  <c r="G989" i="5"/>
  <c r="F989" i="5"/>
  <c r="D989" i="5"/>
  <c r="H989" i="5" s="1"/>
  <c r="G988" i="5"/>
  <c r="F988" i="5"/>
  <c r="H988" i="5" s="1"/>
  <c r="D988" i="5"/>
  <c r="G987" i="5"/>
  <c r="F987" i="5"/>
  <c r="D987" i="5"/>
  <c r="H987" i="5" s="1"/>
  <c r="H986" i="5"/>
  <c r="H985" i="5"/>
  <c r="G985" i="5"/>
  <c r="F985" i="5"/>
  <c r="D985" i="5"/>
  <c r="G984" i="5"/>
  <c r="H984" i="5" s="1"/>
  <c r="F984" i="5"/>
  <c r="D984" i="5"/>
  <c r="G983" i="5"/>
  <c r="F983" i="5"/>
  <c r="H983" i="5" s="1"/>
  <c r="D983" i="5"/>
  <c r="G982" i="5"/>
  <c r="F982" i="5"/>
  <c r="D982" i="5"/>
  <c r="H982" i="5" s="1"/>
  <c r="G981" i="5"/>
  <c r="H981" i="5" s="1"/>
  <c r="F981" i="5"/>
  <c r="D981" i="5"/>
  <c r="G980" i="5"/>
  <c r="F980" i="5"/>
  <c r="D980" i="5"/>
  <c r="H980" i="5" s="1"/>
  <c r="G979" i="5"/>
  <c r="F979" i="5"/>
  <c r="D979" i="5"/>
  <c r="H979" i="5" s="1"/>
  <c r="G978" i="5"/>
  <c r="H978" i="5" s="1"/>
  <c r="F978" i="5"/>
  <c r="D978" i="5"/>
  <c r="G977" i="5"/>
  <c r="F977" i="5"/>
  <c r="D977" i="5"/>
  <c r="H977" i="5" s="1"/>
  <c r="G976" i="5"/>
  <c r="F976" i="5"/>
  <c r="D976" i="5"/>
  <c r="H976" i="5" s="1"/>
  <c r="G975" i="5"/>
  <c r="H975" i="5" s="1"/>
  <c r="F975" i="5"/>
  <c r="D975" i="5"/>
  <c r="G974" i="5"/>
  <c r="F974" i="5"/>
  <c r="D974" i="5"/>
  <c r="H974" i="5" s="1"/>
  <c r="G973" i="5"/>
  <c r="F973" i="5"/>
  <c r="D973" i="5"/>
  <c r="H973" i="5" s="1"/>
  <c r="G972" i="5"/>
  <c r="F972" i="5"/>
  <c r="H972" i="5" s="1"/>
  <c r="D972" i="5"/>
  <c r="G971" i="5"/>
  <c r="F971" i="5"/>
  <c r="D971" i="5"/>
  <c r="H971" i="5" s="1"/>
  <c r="H970" i="5"/>
  <c r="G969" i="5"/>
  <c r="F969" i="5"/>
  <c r="D969" i="5"/>
  <c r="H969" i="5" s="1"/>
  <c r="H968" i="5"/>
  <c r="G968" i="5"/>
  <c r="F968" i="5"/>
  <c r="D968" i="5"/>
  <c r="G967" i="5"/>
  <c r="F967" i="5"/>
  <c r="D967" i="5"/>
  <c r="H967" i="5" s="1"/>
  <c r="G966" i="5"/>
  <c r="F966" i="5"/>
  <c r="D966" i="5"/>
  <c r="H966" i="5" s="1"/>
  <c r="H965" i="5"/>
  <c r="G965" i="5"/>
  <c r="F965" i="5"/>
  <c r="D965" i="5"/>
  <c r="G964" i="5"/>
  <c r="F964" i="5"/>
  <c r="D964" i="5"/>
  <c r="H964" i="5" s="1"/>
  <c r="G963" i="5"/>
  <c r="F963" i="5"/>
  <c r="D963" i="5"/>
  <c r="H963" i="5" s="1"/>
  <c r="H962" i="5"/>
  <c r="G962" i="5"/>
  <c r="F962" i="5"/>
  <c r="D962" i="5"/>
  <c r="G961" i="5"/>
  <c r="F961" i="5"/>
  <c r="D961" i="5"/>
  <c r="H961" i="5" s="1"/>
  <c r="G960" i="5"/>
  <c r="F960" i="5"/>
  <c r="D960" i="5"/>
  <c r="H960" i="5" s="1"/>
  <c r="H959" i="5"/>
  <c r="G959" i="5"/>
  <c r="F959" i="5"/>
  <c r="D959" i="5"/>
  <c r="G958" i="5"/>
  <c r="F958" i="5"/>
  <c r="D958" i="5"/>
  <c r="H958" i="5" s="1"/>
  <c r="G957" i="5"/>
  <c r="F957" i="5"/>
  <c r="D957" i="5"/>
  <c r="H957" i="5" s="1"/>
  <c r="H956" i="5"/>
  <c r="G956" i="5"/>
  <c r="F956" i="5"/>
  <c r="D956" i="5"/>
  <c r="G955" i="5"/>
  <c r="F955" i="5"/>
  <c r="D955" i="5"/>
  <c r="H955" i="5" s="1"/>
  <c r="H954" i="5"/>
  <c r="G953" i="5"/>
  <c r="F953" i="5"/>
  <c r="D953" i="5"/>
  <c r="H953" i="5" s="1"/>
  <c r="G952" i="5"/>
  <c r="F952" i="5"/>
  <c r="H952" i="5" s="1"/>
  <c r="D952" i="5"/>
  <c r="H951" i="5"/>
  <c r="G951" i="5"/>
  <c r="F951" i="5"/>
  <c r="D951" i="5"/>
  <c r="G950" i="5"/>
  <c r="F950" i="5"/>
  <c r="D950" i="5"/>
  <c r="H950" i="5" s="1"/>
  <c r="G949" i="5"/>
  <c r="F949" i="5"/>
  <c r="H949" i="5" s="1"/>
  <c r="D949" i="5"/>
  <c r="H948" i="5"/>
  <c r="G948" i="5"/>
  <c r="F948" i="5"/>
  <c r="D948" i="5"/>
  <c r="G947" i="5"/>
  <c r="F947" i="5"/>
  <c r="D947" i="5"/>
  <c r="H947" i="5" s="1"/>
  <c r="G946" i="5"/>
  <c r="F946" i="5"/>
  <c r="H946" i="5" s="1"/>
  <c r="D946" i="5"/>
  <c r="H945" i="5"/>
  <c r="G945" i="5"/>
  <c r="F945" i="5"/>
  <c r="D945" i="5"/>
  <c r="G944" i="5"/>
  <c r="F944" i="5"/>
  <c r="D944" i="5"/>
  <c r="H944" i="5" s="1"/>
  <c r="G943" i="5"/>
  <c r="F943" i="5"/>
  <c r="D943" i="5"/>
  <c r="H943" i="5" s="1"/>
  <c r="H942" i="5"/>
  <c r="G942" i="5"/>
  <c r="F942" i="5"/>
  <c r="D942" i="5"/>
  <c r="G941" i="5"/>
  <c r="F941" i="5"/>
  <c r="D941" i="5"/>
  <c r="H941" i="5" s="1"/>
  <c r="G940" i="5"/>
  <c r="F940" i="5"/>
  <c r="D940" i="5"/>
  <c r="H940" i="5" s="1"/>
  <c r="G939" i="5"/>
  <c r="H939" i="5" s="1"/>
  <c r="F939" i="5"/>
  <c r="D939" i="5"/>
  <c r="H938" i="5"/>
  <c r="G937" i="5"/>
  <c r="F937" i="5"/>
  <c r="H937" i="5" s="1"/>
  <c r="D937" i="5"/>
  <c r="G936" i="5"/>
  <c r="F936" i="5"/>
  <c r="D936" i="5"/>
  <c r="H936" i="5" s="1"/>
  <c r="H935" i="5"/>
  <c r="G935" i="5"/>
  <c r="F935" i="5"/>
  <c r="D935" i="5"/>
  <c r="G934" i="5"/>
  <c r="F934" i="5"/>
  <c r="H934" i="5" s="1"/>
  <c r="D934" i="5"/>
  <c r="G933" i="5"/>
  <c r="F933" i="5"/>
  <c r="D933" i="5"/>
  <c r="H933" i="5" s="1"/>
  <c r="G932" i="5"/>
  <c r="H932" i="5" s="1"/>
  <c r="F932" i="5"/>
  <c r="D932" i="5"/>
  <c r="G931" i="5"/>
  <c r="F931" i="5"/>
  <c r="H931" i="5" s="1"/>
  <c r="D931" i="5"/>
  <c r="G930" i="5"/>
  <c r="F930" i="5"/>
  <c r="D930" i="5"/>
  <c r="H930" i="5" s="1"/>
  <c r="G929" i="5"/>
  <c r="H929" i="5" s="1"/>
  <c r="F929" i="5"/>
  <c r="D929" i="5"/>
  <c r="G928" i="5"/>
  <c r="F928" i="5"/>
  <c r="H928" i="5" s="1"/>
  <c r="D928" i="5"/>
  <c r="G927" i="5"/>
  <c r="F927" i="5"/>
  <c r="D927" i="5"/>
  <c r="H927" i="5" s="1"/>
  <c r="G926" i="5"/>
  <c r="H926" i="5" s="1"/>
  <c r="F926" i="5"/>
  <c r="D926" i="5"/>
  <c r="G925" i="5"/>
  <c r="F925" i="5"/>
  <c r="D925" i="5"/>
  <c r="H925" i="5" s="1"/>
  <c r="G924" i="5"/>
  <c r="F924" i="5"/>
  <c r="D924" i="5"/>
  <c r="H924" i="5" s="1"/>
  <c r="G923" i="5"/>
  <c r="H923" i="5" s="1"/>
  <c r="F923" i="5"/>
  <c r="D923" i="5"/>
  <c r="H922" i="5"/>
  <c r="G921" i="5"/>
  <c r="H921" i="5" s="1"/>
  <c r="F921" i="5"/>
  <c r="D921" i="5"/>
  <c r="G920" i="5"/>
  <c r="F920" i="5"/>
  <c r="H920" i="5" s="1"/>
  <c r="D920" i="5"/>
  <c r="H919" i="5"/>
  <c r="G919" i="5"/>
  <c r="F919" i="5"/>
  <c r="D919" i="5"/>
  <c r="G918" i="5"/>
  <c r="H918" i="5" s="1"/>
  <c r="F918" i="5"/>
  <c r="D918" i="5"/>
  <c r="G917" i="5"/>
  <c r="F917" i="5"/>
  <c r="D917" i="5"/>
  <c r="H917" i="5" s="1"/>
  <c r="G916" i="5"/>
  <c r="F916" i="5"/>
  <c r="D916" i="5"/>
  <c r="H916" i="5" s="1"/>
  <c r="G915" i="5"/>
  <c r="H915" i="5" s="1"/>
  <c r="F915" i="5"/>
  <c r="D915" i="5"/>
  <c r="G914" i="5"/>
  <c r="F914" i="5"/>
  <c r="D914" i="5"/>
  <c r="H914" i="5" s="1"/>
  <c r="G913" i="5"/>
  <c r="F913" i="5"/>
  <c r="D913" i="5"/>
  <c r="H913" i="5" s="1"/>
  <c r="G912" i="5"/>
  <c r="H912" i="5" s="1"/>
  <c r="F912" i="5"/>
  <c r="D912" i="5"/>
  <c r="G911" i="5"/>
  <c r="F911" i="5"/>
  <c r="D911" i="5"/>
  <c r="H911" i="5" s="1"/>
  <c r="G910" i="5"/>
  <c r="F910" i="5"/>
  <c r="D910" i="5"/>
  <c r="H910" i="5" s="1"/>
  <c r="G909" i="5"/>
  <c r="F909" i="5"/>
  <c r="H909" i="5" s="1"/>
  <c r="D909" i="5"/>
  <c r="G908" i="5"/>
  <c r="F908" i="5"/>
  <c r="D908" i="5"/>
  <c r="H908" i="5" s="1"/>
  <c r="G907" i="5"/>
  <c r="F907" i="5"/>
  <c r="D907" i="5"/>
  <c r="H907" i="5" s="1"/>
  <c r="G906" i="5"/>
  <c r="F906" i="5"/>
  <c r="D906" i="5"/>
  <c r="H906" i="5" s="1"/>
  <c r="H905" i="5"/>
  <c r="G904" i="5"/>
  <c r="F904" i="5"/>
  <c r="D904" i="5"/>
  <c r="H904" i="5" s="1"/>
  <c r="G903" i="5"/>
  <c r="F903" i="5"/>
  <c r="D903" i="5"/>
  <c r="H903" i="5" s="1"/>
  <c r="H902" i="5"/>
  <c r="G902" i="5"/>
  <c r="F902" i="5"/>
  <c r="D902" i="5"/>
  <c r="G901" i="5"/>
  <c r="F901" i="5"/>
  <c r="D901" i="5"/>
  <c r="H901" i="5" s="1"/>
  <c r="G900" i="5"/>
  <c r="F900" i="5"/>
  <c r="D900" i="5"/>
  <c r="H900" i="5" s="1"/>
  <c r="H899" i="5"/>
  <c r="G899" i="5"/>
  <c r="F899" i="5"/>
  <c r="D899" i="5"/>
  <c r="G898" i="5"/>
  <c r="F898" i="5"/>
  <c r="D898" i="5"/>
  <c r="H898" i="5" s="1"/>
  <c r="G897" i="5"/>
  <c r="F897" i="5"/>
  <c r="D897" i="5"/>
  <c r="H897" i="5" s="1"/>
  <c r="H896" i="5"/>
  <c r="G896" i="5"/>
  <c r="F896" i="5"/>
  <c r="D896" i="5"/>
  <c r="G895" i="5"/>
  <c r="F895" i="5"/>
  <c r="D895" i="5"/>
  <c r="H895" i="5" s="1"/>
  <c r="G894" i="5"/>
  <c r="F894" i="5"/>
  <c r="D894" i="5"/>
  <c r="H894" i="5" s="1"/>
  <c r="H893" i="5"/>
  <c r="G893" i="5"/>
  <c r="F893" i="5"/>
  <c r="D893" i="5"/>
  <c r="G892" i="5"/>
  <c r="F892" i="5"/>
  <c r="D892" i="5"/>
  <c r="H892" i="5" s="1"/>
  <c r="G891" i="5"/>
  <c r="F891" i="5"/>
  <c r="D891" i="5"/>
  <c r="H891" i="5" s="1"/>
  <c r="H890" i="5"/>
  <c r="G890" i="5"/>
  <c r="F890" i="5"/>
  <c r="D890" i="5"/>
  <c r="G889" i="5"/>
  <c r="F889" i="5"/>
  <c r="D889" i="5"/>
  <c r="H889" i="5" s="1"/>
  <c r="H888" i="5"/>
  <c r="G887" i="5"/>
  <c r="F887" i="5"/>
  <c r="D887" i="5"/>
  <c r="H887" i="5" s="1"/>
  <c r="G886" i="5"/>
  <c r="F886" i="5"/>
  <c r="H886" i="5" s="1"/>
  <c r="D886" i="5"/>
  <c r="H885" i="5"/>
  <c r="G885" i="5"/>
  <c r="F885" i="5"/>
  <c r="D885" i="5"/>
  <c r="G884" i="5"/>
  <c r="F884" i="5"/>
  <c r="D884" i="5"/>
  <c r="H884" i="5" s="1"/>
  <c r="G883" i="5"/>
  <c r="F883" i="5"/>
  <c r="H883" i="5" s="1"/>
  <c r="D883" i="5"/>
  <c r="H882" i="5"/>
  <c r="G882" i="5"/>
  <c r="F882" i="5"/>
  <c r="D882" i="5"/>
  <c r="G881" i="5"/>
  <c r="F881" i="5"/>
  <c r="D881" i="5"/>
  <c r="H881" i="5" s="1"/>
  <c r="G880" i="5"/>
  <c r="F880" i="5"/>
  <c r="H880" i="5" s="1"/>
  <c r="D880" i="5"/>
  <c r="H879" i="5"/>
  <c r="G879" i="5"/>
  <c r="F879" i="5"/>
  <c r="D879" i="5"/>
  <c r="G878" i="5"/>
  <c r="F878" i="5"/>
  <c r="D878" i="5"/>
  <c r="H878" i="5" s="1"/>
  <c r="H877" i="5"/>
  <c r="G876" i="5"/>
  <c r="F876" i="5"/>
  <c r="D876" i="5"/>
  <c r="H876" i="5" s="1"/>
  <c r="H875" i="5"/>
  <c r="G875" i="5"/>
  <c r="F875" i="5"/>
  <c r="D875" i="5"/>
  <c r="G874" i="5"/>
  <c r="F874" i="5"/>
  <c r="H874" i="5" s="1"/>
  <c r="D874" i="5"/>
  <c r="G873" i="5"/>
  <c r="F873" i="5"/>
  <c r="D873" i="5"/>
  <c r="H873" i="5" s="1"/>
  <c r="G872" i="5"/>
  <c r="H872" i="5" s="1"/>
  <c r="F872" i="5"/>
  <c r="D872" i="5"/>
  <c r="G871" i="5"/>
  <c r="F871" i="5"/>
  <c r="H871" i="5" s="1"/>
  <c r="D871" i="5"/>
  <c r="G870" i="5"/>
  <c r="F870" i="5"/>
  <c r="D870" i="5"/>
  <c r="H870" i="5" s="1"/>
  <c r="G869" i="5"/>
  <c r="H869" i="5" s="1"/>
  <c r="F869" i="5"/>
  <c r="D869" i="5"/>
  <c r="G868" i="5"/>
  <c r="F868" i="5"/>
  <c r="H868" i="5" s="1"/>
  <c r="D868" i="5"/>
  <c r="G867" i="5"/>
  <c r="F867" i="5"/>
  <c r="D867" i="5"/>
  <c r="H867" i="5" s="1"/>
  <c r="G866" i="5"/>
  <c r="H866" i="5" s="1"/>
  <c r="F866" i="5"/>
  <c r="D866" i="5"/>
  <c r="G865" i="5"/>
  <c r="F865" i="5"/>
  <c r="D865" i="5"/>
  <c r="H865" i="5" s="1"/>
  <c r="G864" i="5"/>
  <c r="F864" i="5"/>
  <c r="D864" i="5"/>
  <c r="H864" i="5" s="1"/>
  <c r="G863" i="5"/>
  <c r="F863" i="5"/>
  <c r="D863" i="5"/>
  <c r="H863" i="5" s="1"/>
  <c r="G862" i="5"/>
  <c r="F862" i="5"/>
  <c r="D862" i="5"/>
  <c r="H862" i="5" s="1"/>
  <c r="H861" i="5"/>
  <c r="G860" i="5"/>
  <c r="F860" i="5"/>
  <c r="D860" i="5"/>
  <c r="H860" i="5" s="1"/>
  <c r="H859" i="5"/>
  <c r="G859" i="5"/>
  <c r="F859" i="5"/>
  <c r="D859" i="5"/>
  <c r="G858" i="5"/>
  <c r="H858" i="5" s="1"/>
  <c r="F858" i="5"/>
  <c r="D858" i="5"/>
  <c r="G857" i="5"/>
  <c r="F857" i="5"/>
  <c r="D857" i="5"/>
  <c r="H857" i="5" s="1"/>
  <c r="H856" i="5"/>
  <c r="G856" i="5"/>
  <c r="F856" i="5"/>
  <c r="D856" i="5"/>
  <c r="G855" i="5"/>
  <c r="H855" i="5" s="1"/>
  <c r="F855" i="5"/>
  <c r="D855" i="5"/>
  <c r="G854" i="5"/>
  <c r="F854" i="5"/>
  <c r="D854" i="5"/>
  <c r="H854" i="5" s="1"/>
  <c r="G853" i="5"/>
  <c r="F853" i="5"/>
  <c r="D853" i="5"/>
  <c r="H853" i="5" s="1"/>
  <c r="G852" i="5"/>
  <c r="F852" i="5"/>
  <c r="H852" i="5" s="1"/>
  <c r="D852" i="5"/>
  <c r="G851" i="5"/>
  <c r="F851" i="5"/>
  <c r="D851" i="5"/>
  <c r="H851" i="5" s="1"/>
  <c r="H850" i="5"/>
  <c r="G849" i="5"/>
  <c r="F849" i="5"/>
  <c r="D849" i="5"/>
  <c r="H849" i="5" s="1"/>
  <c r="H848" i="5"/>
  <c r="G848" i="5"/>
  <c r="F848" i="5"/>
  <c r="D848" i="5"/>
  <c r="G847" i="5"/>
  <c r="F847" i="5"/>
  <c r="D847" i="5"/>
  <c r="H847" i="5" s="1"/>
  <c r="G846" i="5"/>
  <c r="F846" i="5"/>
  <c r="D846" i="5"/>
  <c r="H846" i="5" s="1"/>
  <c r="H845" i="5"/>
  <c r="G845" i="5"/>
  <c r="F845" i="5"/>
  <c r="D845" i="5"/>
  <c r="G844" i="5"/>
  <c r="F844" i="5"/>
  <c r="D844" i="5"/>
  <c r="H844" i="5" s="1"/>
  <c r="G843" i="5"/>
  <c r="F843" i="5"/>
  <c r="D843" i="5"/>
  <c r="H843" i="5" s="1"/>
  <c r="H842" i="5"/>
  <c r="G842" i="5"/>
  <c r="F842" i="5"/>
  <c r="D842" i="5"/>
  <c r="G841" i="5"/>
  <c r="F841" i="5"/>
  <c r="D841" i="5"/>
  <c r="H841" i="5" s="1"/>
  <c r="G840" i="5"/>
  <c r="F840" i="5"/>
  <c r="D840" i="5"/>
  <c r="H840" i="5" s="1"/>
  <c r="H839" i="5"/>
  <c r="G838" i="5"/>
  <c r="F838" i="5"/>
  <c r="H838" i="5" s="1"/>
  <c r="D838" i="5"/>
  <c r="H837" i="5"/>
  <c r="G837" i="5"/>
  <c r="F837" i="5"/>
  <c r="D837" i="5"/>
  <c r="G836" i="5"/>
  <c r="F836" i="5"/>
  <c r="D836" i="5"/>
  <c r="H836" i="5" s="1"/>
  <c r="G835" i="5"/>
  <c r="F835" i="5"/>
  <c r="H835" i="5" s="1"/>
  <c r="D835" i="5"/>
  <c r="H834" i="5"/>
  <c r="G834" i="5"/>
  <c r="F834" i="5"/>
  <c r="D834" i="5"/>
  <c r="G833" i="5"/>
  <c r="F833" i="5"/>
  <c r="D833" i="5"/>
  <c r="H833" i="5" s="1"/>
  <c r="G832" i="5"/>
  <c r="F832" i="5"/>
  <c r="H832" i="5" s="1"/>
  <c r="D832" i="5"/>
  <c r="H831" i="5"/>
  <c r="G831" i="5"/>
  <c r="F831" i="5"/>
  <c r="D831" i="5"/>
  <c r="G830" i="5"/>
  <c r="F830" i="5"/>
  <c r="D830" i="5"/>
  <c r="H830" i="5" s="1"/>
  <c r="G829" i="5"/>
  <c r="F829" i="5"/>
  <c r="D829" i="5"/>
  <c r="H829" i="5" s="1"/>
  <c r="H828" i="5"/>
  <c r="G828" i="5"/>
  <c r="F828" i="5"/>
  <c r="D828" i="5"/>
  <c r="G827" i="5"/>
  <c r="F827" i="5"/>
  <c r="D827" i="5"/>
  <c r="H827" i="5" s="1"/>
  <c r="G826" i="5"/>
  <c r="F826" i="5"/>
  <c r="D826" i="5"/>
  <c r="H826" i="5" s="1"/>
  <c r="H825" i="5"/>
  <c r="G825" i="5"/>
  <c r="F825" i="5"/>
  <c r="D825" i="5"/>
  <c r="G824" i="5"/>
  <c r="F824" i="5"/>
  <c r="D824" i="5"/>
  <c r="H824" i="5" s="1"/>
  <c r="H823" i="5"/>
  <c r="G822" i="5"/>
  <c r="F822" i="5"/>
  <c r="D822" i="5"/>
  <c r="H822" i="5" s="1"/>
  <c r="H821" i="5"/>
  <c r="G821" i="5"/>
  <c r="F821" i="5"/>
  <c r="D821" i="5"/>
  <c r="G820" i="5"/>
  <c r="F820" i="5"/>
  <c r="H820" i="5" s="1"/>
  <c r="D820" i="5"/>
  <c r="G819" i="5"/>
  <c r="F819" i="5"/>
  <c r="D819" i="5"/>
  <c r="H819" i="5" s="1"/>
  <c r="G818" i="5"/>
  <c r="H818" i="5" s="1"/>
  <c r="F818" i="5"/>
  <c r="D818" i="5"/>
  <c r="G817" i="5"/>
  <c r="F817" i="5"/>
  <c r="H817" i="5" s="1"/>
  <c r="D817" i="5"/>
  <c r="G816" i="5"/>
  <c r="F816" i="5"/>
  <c r="D816" i="5"/>
  <c r="H816" i="5" s="1"/>
  <c r="G815" i="5"/>
  <c r="H815" i="5" s="1"/>
  <c r="F815" i="5"/>
  <c r="D815" i="5"/>
  <c r="G814" i="5"/>
  <c r="F814" i="5"/>
  <c r="H814" i="5" s="1"/>
  <c r="D814" i="5"/>
  <c r="G813" i="5"/>
  <c r="F813" i="5"/>
  <c r="D813" i="5"/>
  <c r="H813" i="5" s="1"/>
  <c r="G812" i="5"/>
  <c r="H812" i="5" s="1"/>
  <c r="F812" i="5"/>
  <c r="D812" i="5"/>
  <c r="G811" i="5"/>
  <c r="F811" i="5"/>
  <c r="D811" i="5"/>
  <c r="H811" i="5" s="1"/>
  <c r="G810" i="5"/>
  <c r="F810" i="5"/>
  <c r="D810" i="5"/>
  <c r="H810" i="5" s="1"/>
  <c r="G809" i="5"/>
  <c r="F809" i="5"/>
  <c r="D809" i="5"/>
  <c r="H809" i="5" s="1"/>
  <c r="G808" i="5"/>
  <c r="F808" i="5"/>
  <c r="D808" i="5"/>
  <c r="H808" i="5" s="1"/>
  <c r="H807" i="5"/>
  <c r="G806" i="5"/>
  <c r="F806" i="5"/>
  <c r="D806" i="5"/>
  <c r="H806" i="5" s="1"/>
  <c r="H805" i="5"/>
  <c r="G805" i="5"/>
  <c r="F805" i="5"/>
  <c r="D805" i="5"/>
  <c r="G804" i="5"/>
  <c r="H804" i="5" s="1"/>
  <c r="F804" i="5"/>
  <c r="D804" i="5"/>
  <c r="G803" i="5"/>
  <c r="F803" i="5"/>
  <c r="D803" i="5"/>
  <c r="H803" i="5" s="1"/>
  <c r="G802" i="5"/>
  <c r="F802" i="5"/>
  <c r="H802" i="5" s="1"/>
  <c r="D802" i="5"/>
  <c r="G801" i="5"/>
  <c r="H801" i="5" s="1"/>
  <c r="F801" i="5"/>
  <c r="D801" i="5"/>
  <c r="G800" i="5"/>
  <c r="F800" i="5"/>
  <c r="D800" i="5"/>
  <c r="H800" i="5" s="1"/>
  <c r="G799" i="5"/>
  <c r="F799" i="5"/>
  <c r="D799" i="5"/>
  <c r="H799" i="5" s="1"/>
  <c r="G798" i="5"/>
  <c r="H798" i="5" s="1"/>
  <c r="F798" i="5"/>
  <c r="D798" i="5"/>
  <c r="G797" i="5"/>
  <c r="F797" i="5"/>
  <c r="D797" i="5"/>
  <c r="H797" i="5" s="1"/>
  <c r="G796" i="5"/>
  <c r="F796" i="5"/>
  <c r="D796" i="5"/>
  <c r="H796" i="5" s="1"/>
  <c r="G795" i="5"/>
  <c r="F795" i="5"/>
  <c r="H795" i="5" s="1"/>
  <c r="D795" i="5"/>
  <c r="G794" i="5"/>
  <c r="F794" i="5"/>
  <c r="D794" i="5"/>
  <c r="H794" i="5" s="1"/>
  <c r="G793" i="5"/>
  <c r="F793" i="5"/>
  <c r="D793" i="5"/>
  <c r="H793" i="5" s="1"/>
  <c r="G792" i="5"/>
  <c r="F792" i="5"/>
  <c r="H792" i="5" s="1"/>
  <c r="D792" i="5"/>
  <c r="H791" i="5"/>
  <c r="G790" i="5"/>
  <c r="F790" i="5"/>
  <c r="D790" i="5"/>
  <c r="H790" i="5" s="1"/>
  <c r="G789" i="5"/>
  <c r="F789" i="5"/>
  <c r="D789" i="5"/>
  <c r="H789" i="5" s="1"/>
  <c r="H788" i="5"/>
  <c r="G788" i="5"/>
  <c r="F788" i="5"/>
  <c r="D788" i="5"/>
  <c r="G787" i="5"/>
  <c r="F787" i="5"/>
  <c r="D787" i="5"/>
  <c r="H787" i="5" s="1"/>
  <c r="G786" i="5"/>
  <c r="F786" i="5"/>
  <c r="D786" i="5"/>
  <c r="H786" i="5" s="1"/>
  <c r="H785" i="5"/>
  <c r="G785" i="5"/>
  <c r="F785" i="5"/>
  <c r="D785" i="5"/>
  <c r="G784" i="5"/>
  <c r="F784" i="5"/>
  <c r="D784" i="5"/>
  <c r="H784" i="5" s="1"/>
  <c r="G783" i="5"/>
  <c r="F783" i="5"/>
  <c r="D783" i="5"/>
  <c r="H783" i="5" s="1"/>
  <c r="H782" i="5"/>
  <c r="G782" i="5"/>
  <c r="F782" i="5"/>
  <c r="D782" i="5"/>
  <c r="G781" i="5"/>
  <c r="F781" i="5"/>
  <c r="D781" i="5"/>
  <c r="H781" i="5" s="1"/>
  <c r="G780" i="5"/>
  <c r="F780" i="5"/>
  <c r="D780" i="5"/>
  <c r="H780" i="5" s="1"/>
  <c r="H779" i="5"/>
  <c r="G779" i="5"/>
  <c r="F779" i="5"/>
  <c r="D779" i="5"/>
  <c r="G778" i="5"/>
  <c r="F778" i="5"/>
  <c r="D778" i="5"/>
  <c r="H778" i="5" s="1"/>
  <c r="G777" i="5"/>
  <c r="F777" i="5"/>
  <c r="D777" i="5"/>
  <c r="H777" i="5" s="1"/>
  <c r="H776" i="5"/>
  <c r="G776" i="5"/>
  <c r="F776" i="5"/>
  <c r="D776" i="5"/>
  <c r="H775" i="5"/>
  <c r="H774" i="5"/>
  <c r="G774" i="5"/>
  <c r="F774" i="5"/>
  <c r="D774" i="5"/>
  <c r="G773" i="5"/>
  <c r="F773" i="5"/>
  <c r="D773" i="5"/>
  <c r="H773" i="5" s="1"/>
  <c r="G772" i="5"/>
  <c r="F772" i="5"/>
  <c r="H772" i="5" s="1"/>
  <c r="D772" i="5"/>
  <c r="H771" i="5"/>
  <c r="G771" i="5"/>
  <c r="F771" i="5"/>
  <c r="D771" i="5"/>
  <c r="G770" i="5"/>
  <c r="F770" i="5"/>
  <c r="D770" i="5"/>
  <c r="H770" i="5" s="1"/>
  <c r="G769" i="5"/>
  <c r="F769" i="5"/>
  <c r="H769" i="5" s="1"/>
  <c r="D769" i="5"/>
  <c r="H768" i="5"/>
  <c r="G768" i="5"/>
  <c r="F768" i="5"/>
  <c r="D768" i="5"/>
  <c r="G767" i="5"/>
  <c r="F767" i="5"/>
  <c r="D767" i="5"/>
  <c r="H767" i="5" s="1"/>
  <c r="G766" i="5"/>
  <c r="F766" i="5"/>
  <c r="H766" i="5" s="1"/>
  <c r="D766" i="5"/>
  <c r="H765" i="5"/>
  <c r="G765" i="5"/>
  <c r="F765" i="5"/>
  <c r="D765" i="5"/>
  <c r="H764" i="5"/>
  <c r="G763" i="5"/>
  <c r="F763" i="5"/>
  <c r="H763" i="5" s="1"/>
  <c r="D763" i="5"/>
  <c r="G762" i="5"/>
  <c r="F762" i="5"/>
  <c r="D762" i="5"/>
  <c r="H762" i="5" s="1"/>
  <c r="G761" i="5"/>
  <c r="H761" i="5" s="1"/>
  <c r="F761" i="5"/>
  <c r="D761" i="5"/>
  <c r="G760" i="5"/>
  <c r="F760" i="5"/>
  <c r="H760" i="5" s="1"/>
  <c r="D760" i="5"/>
  <c r="G759" i="5"/>
  <c r="F759" i="5"/>
  <c r="D759" i="5"/>
  <c r="H759" i="5" s="1"/>
  <c r="G758" i="5"/>
  <c r="H758" i="5" s="1"/>
  <c r="F758" i="5"/>
  <c r="D758" i="5"/>
  <c r="G757" i="5"/>
  <c r="F757" i="5"/>
  <c r="D757" i="5"/>
  <c r="H757" i="5" s="1"/>
  <c r="G756" i="5"/>
  <c r="F756" i="5"/>
  <c r="D756" i="5"/>
  <c r="H756" i="5" s="1"/>
  <c r="G755" i="5"/>
  <c r="H755" i="5" s="1"/>
  <c r="F755" i="5"/>
  <c r="D755" i="5"/>
  <c r="G754" i="5"/>
  <c r="F754" i="5"/>
  <c r="D754" i="5"/>
  <c r="H754" i="5" s="1"/>
  <c r="G753" i="5"/>
  <c r="F753" i="5"/>
  <c r="D753" i="5"/>
  <c r="H753" i="5" s="1"/>
  <c r="G752" i="5"/>
  <c r="F752" i="5"/>
  <c r="D752" i="5"/>
  <c r="H752" i="5" s="1"/>
  <c r="G751" i="5"/>
  <c r="F751" i="5"/>
  <c r="D751" i="5"/>
  <c r="H751" i="5" s="1"/>
  <c r="G750" i="5"/>
  <c r="F750" i="5"/>
  <c r="D750" i="5"/>
  <c r="H750" i="5" s="1"/>
  <c r="G749" i="5"/>
  <c r="F749" i="5"/>
  <c r="D749" i="5"/>
  <c r="H749" i="5" s="1"/>
  <c r="G748" i="5"/>
  <c r="F748" i="5"/>
  <c r="D748" i="5"/>
  <c r="H748" i="5" s="1"/>
  <c r="G747" i="5"/>
  <c r="F747" i="5"/>
  <c r="D747" i="5"/>
  <c r="H747" i="5" s="1"/>
  <c r="G746" i="5"/>
  <c r="F746" i="5"/>
  <c r="D746" i="5"/>
  <c r="H746" i="5" s="1"/>
  <c r="G745" i="5"/>
  <c r="F745" i="5"/>
  <c r="D745" i="5"/>
  <c r="H745" i="5" s="1"/>
  <c r="I744" i="5"/>
  <c r="G743" i="5"/>
  <c r="F743" i="5"/>
  <c r="I743" i="5" s="1"/>
  <c r="E743" i="5"/>
  <c r="G742" i="5"/>
  <c r="F742" i="5"/>
  <c r="I742" i="5" s="1"/>
  <c r="E742" i="5"/>
  <c r="G741" i="5"/>
  <c r="F741" i="5"/>
  <c r="I741" i="5" s="1"/>
  <c r="E741" i="5"/>
  <c r="G740" i="5"/>
  <c r="F740" i="5"/>
  <c r="E740" i="5"/>
  <c r="I740" i="5" s="1"/>
  <c r="G739" i="5"/>
  <c r="F739" i="5"/>
  <c r="I739" i="5" s="1"/>
  <c r="E739" i="5"/>
  <c r="G738" i="5"/>
  <c r="F738" i="5"/>
  <c r="I738" i="5" s="1"/>
  <c r="E738" i="5"/>
  <c r="G737" i="5"/>
  <c r="F737" i="5"/>
  <c r="E737" i="5"/>
  <c r="I737" i="5" s="1"/>
  <c r="G736" i="5"/>
  <c r="F736" i="5"/>
  <c r="I736" i="5" s="1"/>
  <c r="E736" i="5"/>
  <c r="G735" i="5"/>
  <c r="F735" i="5"/>
  <c r="I735" i="5" s="1"/>
  <c r="E735" i="5"/>
  <c r="G734" i="5"/>
  <c r="F734" i="5"/>
  <c r="E734" i="5"/>
  <c r="I734" i="5" s="1"/>
  <c r="G733" i="5"/>
  <c r="F733" i="5"/>
  <c r="E733" i="5"/>
  <c r="I733" i="5" s="1"/>
  <c r="G732" i="5"/>
  <c r="F732" i="5"/>
  <c r="I732" i="5" s="1"/>
  <c r="E732" i="5"/>
  <c r="G731" i="5"/>
  <c r="F731" i="5"/>
  <c r="E731" i="5"/>
  <c r="I731" i="5" s="1"/>
  <c r="G730" i="5"/>
  <c r="F730" i="5"/>
  <c r="E730" i="5"/>
  <c r="I730" i="5" s="1"/>
  <c r="G729" i="5"/>
  <c r="F729" i="5"/>
  <c r="I729" i="5" s="1"/>
  <c r="E729" i="5"/>
  <c r="G728" i="5"/>
  <c r="F728" i="5"/>
  <c r="E728" i="5"/>
  <c r="I728" i="5" s="1"/>
  <c r="G727" i="5"/>
  <c r="F727" i="5"/>
  <c r="E727" i="5"/>
  <c r="I727" i="5" s="1"/>
  <c r="G726" i="5"/>
  <c r="F726" i="5"/>
  <c r="I726" i="5" s="1"/>
  <c r="E726" i="5"/>
  <c r="I725" i="5"/>
  <c r="I724" i="5"/>
  <c r="I723" i="5"/>
  <c r="G723" i="5"/>
  <c r="F723" i="5"/>
  <c r="E723" i="5"/>
  <c r="G722" i="5"/>
  <c r="F722" i="5"/>
  <c r="E722" i="5"/>
  <c r="I722" i="5" s="1"/>
  <c r="I721" i="5"/>
  <c r="G721" i="5"/>
  <c r="F721" i="5"/>
  <c r="E721" i="5"/>
  <c r="I720" i="5"/>
  <c r="G720" i="5"/>
  <c r="F720" i="5"/>
  <c r="E720" i="5"/>
  <c r="G719" i="5"/>
  <c r="F719" i="5"/>
  <c r="E719" i="5"/>
  <c r="I719" i="5" s="1"/>
  <c r="I718" i="5"/>
  <c r="G718" i="5"/>
  <c r="F718" i="5"/>
  <c r="E718" i="5"/>
  <c r="I717" i="5"/>
  <c r="G717" i="5"/>
  <c r="F717" i="5"/>
  <c r="E717" i="5"/>
  <c r="G716" i="5"/>
  <c r="F716" i="5"/>
  <c r="E716" i="5"/>
  <c r="I716" i="5" s="1"/>
  <c r="I715" i="5"/>
  <c r="G715" i="5"/>
  <c r="F715" i="5"/>
  <c r="E715" i="5"/>
  <c r="I714" i="5"/>
  <c r="G714" i="5"/>
  <c r="F714" i="5"/>
  <c r="E714" i="5"/>
  <c r="G713" i="5"/>
  <c r="F713" i="5"/>
  <c r="E713" i="5"/>
  <c r="I713" i="5" s="1"/>
  <c r="I712" i="5"/>
  <c r="G712" i="5"/>
  <c r="F712" i="5"/>
  <c r="E712" i="5"/>
  <c r="I711" i="5"/>
  <c r="G711" i="5"/>
  <c r="F711" i="5"/>
  <c r="E711" i="5"/>
  <c r="G710" i="5"/>
  <c r="F710" i="5"/>
  <c r="E710" i="5"/>
  <c r="I710" i="5" s="1"/>
  <c r="G709" i="5"/>
  <c r="F709" i="5"/>
  <c r="E709" i="5"/>
  <c r="I709" i="5" s="1"/>
  <c r="I708" i="5"/>
  <c r="G708" i="5"/>
  <c r="F708" i="5"/>
  <c r="E708" i="5"/>
  <c r="G707" i="5"/>
  <c r="F707" i="5"/>
  <c r="E707" i="5"/>
  <c r="I707" i="5" s="1"/>
  <c r="G706" i="5"/>
  <c r="F706" i="5"/>
  <c r="E706" i="5"/>
  <c r="I706" i="5" s="1"/>
  <c r="I705" i="5"/>
  <c r="G705" i="5"/>
  <c r="F705" i="5"/>
  <c r="E705" i="5"/>
  <c r="I704" i="5"/>
  <c r="G703" i="5"/>
  <c r="F703" i="5"/>
  <c r="I703" i="5" s="1"/>
  <c r="E703" i="5"/>
  <c r="I702" i="5"/>
  <c r="G701" i="5"/>
  <c r="F701" i="5"/>
  <c r="E701" i="5"/>
  <c r="I701" i="5" s="1"/>
  <c r="I700" i="5"/>
  <c r="I699" i="5"/>
  <c r="G699" i="5"/>
  <c r="F699" i="5"/>
  <c r="E699" i="5"/>
  <c r="I698" i="5"/>
  <c r="G697" i="5"/>
  <c r="F697" i="5"/>
  <c r="E697" i="5"/>
  <c r="I697" i="5" s="1"/>
  <c r="I696" i="5"/>
  <c r="G696" i="5"/>
  <c r="F696" i="5"/>
  <c r="E696" i="5"/>
  <c r="G695" i="5"/>
  <c r="F695" i="5"/>
  <c r="E695" i="5"/>
  <c r="I695" i="5" s="1"/>
  <c r="G694" i="5"/>
  <c r="F694" i="5"/>
  <c r="E694" i="5"/>
  <c r="I694" i="5" s="1"/>
  <c r="G693" i="5"/>
  <c r="F693" i="5"/>
  <c r="E693" i="5"/>
  <c r="I693" i="5" s="1"/>
  <c r="G692" i="5"/>
  <c r="F692" i="5"/>
  <c r="E692" i="5"/>
  <c r="I692" i="5" s="1"/>
  <c r="G691" i="5"/>
  <c r="F691" i="5"/>
  <c r="E691" i="5"/>
  <c r="I691" i="5" s="1"/>
  <c r="G690" i="5"/>
  <c r="F690" i="5"/>
  <c r="E690" i="5"/>
  <c r="I690" i="5" s="1"/>
  <c r="G689" i="5"/>
  <c r="F689" i="5"/>
  <c r="E689" i="5"/>
  <c r="I689" i="5" s="1"/>
  <c r="G688" i="5"/>
  <c r="F688" i="5"/>
  <c r="E688" i="5"/>
  <c r="I688" i="5" s="1"/>
  <c r="G687" i="5"/>
  <c r="F687" i="5"/>
  <c r="E687" i="5"/>
  <c r="I687" i="5" s="1"/>
  <c r="G686" i="5"/>
  <c r="F686" i="5"/>
  <c r="E686" i="5"/>
  <c r="I686" i="5" s="1"/>
  <c r="G685" i="5"/>
  <c r="F685" i="5"/>
  <c r="E685" i="5"/>
  <c r="I685" i="5" s="1"/>
  <c r="G684" i="5"/>
  <c r="F684" i="5"/>
  <c r="E684" i="5"/>
  <c r="I684" i="5" s="1"/>
  <c r="G683" i="5"/>
  <c r="F683" i="5"/>
  <c r="E683" i="5"/>
  <c r="I683" i="5" s="1"/>
  <c r="G682" i="5"/>
  <c r="F682" i="5"/>
  <c r="E682" i="5"/>
  <c r="I682" i="5" s="1"/>
  <c r="G681" i="5"/>
  <c r="F681" i="5"/>
  <c r="E681" i="5"/>
  <c r="I681" i="5" s="1"/>
  <c r="G680" i="5"/>
  <c r="F680" i="5"/>
  <c r="E680" i="5"/>
  <c r="I680" i="5" s="1"/>
  <c r="G679" i="5"/>
  <c r="F679" i="5"/>
  <c r="E679" i="5"/>
  <c r="I679" i="5" s="1"/>
  <c r="I678" i="5"/>
  <c r="G677" i="5"/>
  <c r="F677" i="5"/>
  <c r="I677" i="5" s="1"/>
  <c r="E677" i="5"/>
  <c r="I676" i="5"/>
  <c r="I675" i="5"/>
  <c r="I674" i="5"/>
  <c r="G673" i="5"/>
  <c r="F673" i="5"/>
  <c r="E673" i="5"/>
  <c r="I673" i="5" s="1"/>
  <c r="I672" i="5"/>
  <c r="G671" i="5"/>
  <c r="F671" i="5"/>
  <c r="I671" i="5" s="1"/>
  <c r="E671" i="5"/>
  <c r="I670" i="5"/>
  <c r="G669" i="5"/>
  <c r="I669" i="5" s="1"/>
  <c r="F669" i="5"/>
  <c r="E669" i="5"/>
  <c r="G668" i="5"/>
  <c r="F668" i="5"/>
  <c r="E668" i="5"/>
  <c r="I668" i="5" s="1"/>
  <c r="G667" i="5"/>
  <c r="F667" i="5"/>
  <c r="E667" i="5"/>
  <c r="I667" i="5" s="1"/>
  <c r="G666" i="5"/>
  <c r="F666" i="5"/>
  <c r="E666" i="5"/>
  <c r="I666" i="5" s="1"/>
  <c r="G665" i="5"/>
  <c r="F665" i="5"/>
  <c r="E665" i="5"/>
  <c r="I665" i="5" s="1"/>
  <c r="G664" i="5"/>
  <c r="F664" i="5"/>
  <c r="E664" i="5"/>
  <c r="I664" i="5" s="1"/>
  <c r="G663" i="5"/>
  <c r="F663" i="5"/>
  <c r="E663" i="5"/>
  <c r="I663" i="5" s="1"/>
  <c r="G662" i="5"/>
  <c r="F662" i="5"/>
  <c r="E662" i="5"/>
  <c r="I662" i="5" s="1"/>
  <c r="G661" i="5"/>
  <c r="F661" i="5"/>
  <c r="E661" i="5"/>
  <c r="I661" i="5" s="1"/>
  <c r="G660" i="5"/>
  <c r="F660" i="5"/>
  <c r="E660" i="5"/>
  <c r="I660" i="5" s="1"/>
  <c r="G659" i="5"/>
  <c r="F659" i="5"/>
  <c r="E659" i="5"/>
  <c r="I659" i="5" s="1"/>
  <c r="G658" i="5"/>
  <c r="F658" i="5"/>
  <c r="E658" i="5"/>
  <c r="I658" i="5" s="1"/>
  <c r="G657" i="5"/>
  <c r="F657" i="5"/>
  <c r="E657" i="5"/>
  <c r="I657" i="5" s="1"/>
  <c r="G656" i="5"/>
  <c r="F656" i="5"/>
  <c r="E656" i="5"/>
  <c r="I656" i="5" s="1"/>
  <c r="G655" i="5"/>
  <c r="F655" i="5"/>
  <c r="E655" i="5"/>
  <c r="I655" i="5" s="1"/>
  <c r="G654" i="5"/>
  <c r="F654" i="5"/>
  <c r="E654" i="5"/>
  <c r="I654" i="5" s="1"/>
  <c r="G653" i="5"/>
  <c r="F653" i="5"/>
  <c r="E653" i="5"/>
  <c r="I653" i="5" s="1"/>
  <c r="G652" i="5"/>
  <c r="F652" i="5"/>
  <c r="E652" i="5"/>
  <c r="I652" i="5" s="1"/>
  <c r="G651" i="5"/>
  <c r="F651" i="5"/>
  <c r="E651" i="5"/>
  <c r="I651" i="5" s="1"/>
  <c r="I650" i="5"/>
  <c r="G649" i="5"/>
  <c r="F649" i="5"/>
  <c r="I649" i="5" s="1"/>
  <c r="E649" i="5"/>
  <c r="I648" i="5"/>
  <c r="I647" i="5"/>
  <c r="I646" i="5"/>
  <c r="I645" i="5"/>
  <c r="I644" i="5"/>
  <c r="G643" i="5"/>
  <c r="F643" i="5"/>
  <c r="E643" i="5"/>
  <c r="I643" i="5" s="1"/>
  <c r="I642" i="5"/>
  <c r="I641" i="5"/>
  <c r="G641" i="5"/>
  <c r="F641" i="5"/>
  <c r="E641" i="5"/>
  <c r="I640" i="5"/>
  <c r="I639" i="5"/>
  <c r="I638" i="5"/>
  <c r="G638" i="5"/>
  <c r="F638" i="5"/>
  <c r="E638" i="5"/>
  <c r="I637" i="5"/>
  <c r="I636" i="5"/>
  <c r="I635" i="5"/>
  <c r="G634" i="5"/>
  <c r="F634" i="5"/>
  <c r="E634" i="5"/>
  <c r="I634" i="5" s="1"/>
  <c r="I633" i="5"/>
  <c r="I632" i="5"/>
  <c r="I631" i="5"/>
  <c r="I630" i="5"/>
  <c r="I629" i="5"/>
  <c r="I628" i="5"/>
  <c r="G627" i="5"/>
  <c r="F627" i="5"/>
  <c r="E627" i="5"/>
  <c r="I627" i="5" s="1"/>
  <c r="I626" i="5"/>
  <c r="G625" i="5"/>
  <c r="F625" i="5"/>
  <c r="I625" i="5" s="1"/>
  <c r="E625" i="5"/>
  <c r="I624" i="5"/>
  <c r="G623" i="5"/>
  <c r="F623" i="5"/>
  <c r="E623" i="5"/>
  <c r="I623" i="5" s="1"/>
  <c r="I622" i="5"/>
  <c r="I621" i="5"/>
  <c r="I620" i="5"/>
  <c r="G619" i="5"/>
  <c r="F619" i="5"/>
  <c r="I619" i="5" s="1"/>
  <c r="E619" i="5"/>
  <c r="I618" i="5"/>
  <c r="I617" i="5"/>
  <c r="I616" i="5"/>
  <c r="G615" i="5"/>
  <c r="F615" i="5"/>
  <c r="E615" i="5"/>
  <c r="I615" i="5" s="1"/>
  <c r="I614" i="5"/>
  <c r="G613" i="5"/>
  <c r="F613" i="5"/>
  <c r="I613" i="5" s="1"/>
  <c r="E613" i="5"/>
  <c r="I612" i="5"/>
  <c r="G611" i="5"/>
  <c r="F611" i="5"/>
  <c r="E611" i="5"/>
  <c r="I611" i="5" s="1"/>
  <c r="G610" i="5"/>
  <c r="F610" i="5"/>
  <c r="E610" i="5"/>
  <c r="I610" i="5" s="1"/>
  <c r="G609" i="5"/>
  <c r="F609" i="5"/>
  <c r="E609" i="5"/>
  <c r="I609" i="5" s="1"/>
  <c r="G608" i="5"/>
  <c r="F608" i="5"/>
  <c r="E608" i="5"/>
  <c r="I608" i="5" s="1"/>
  <c r="G607" i="5"/>
  <c r="F607" i="5"/>
  <c r="E607" i="5"/>
  <c r="I607" i="5" s="1"/>
  <c r="G606" i="5"/>
  <c r="F606" i="5"/>
  <c r="E606" i="5"/>
  <c r="I606" i="5" s="1"/>
  <c r="G605" i="5"/>
  <c r="F605" i="5"/>
  <c r="E605" i="5"/>
  <c r="I605" i="5" s="1"/>
  <c r="G604" i="5"/>
  <c r="F604" i="5"/>
  <c r="E604" i="5"/>
  <c r="I604" i="5" s="1"/>
  <c r="G603" i="5"/>
  <c r="F603" i="5"/>
  <c r="E603" i="5"/>
  <c r="I603" i="5" s="1"/>
  <c r="G602" i="5"/>
  <c r="F602" i="5"/>
  <c r="E602" i="5"/>
  <c r="I602" i="5" s="1"/>
  <c r="G601" i="5"/>
  <c r="F601" i="5"/>
  <c r="E601" i="5"/>
  <c r="I601" i="5" s="1"/>
  <c r="G600" i="5"/>
  <c r="F600" i="5"/>
  <c r="E600" i="5"/>
  <c r="I600" i="5" s="1"/>
  <c r="G599" i="5"/>
  <c r="F599" i="5"/>
  <c r="E599" i="5"/>
  <c r="I599" i="5" s="1"/>
  <c r="G598" i="5"/>
  <c r="F598" i="5"/>
  <c r="E598" i="5"/>
  <c r="I598" i="5" s="1"/>
  <c r="G597" i="5"/>
  <c r="F597" i="5"/>
  <c r="E597" i="5"/>
  <c r="I597" i="5" s="1"/>
  <c r="G596" i="5"/>
  <c r="F596" i="5"/>
  <c r="E596" i="5"/>
  <c r="I596" i="5" s="1"/>
  <c r="G595" i="5"/>
  <c r="F595" i="5"/>
  <c r="E595" i="5"/>
  <c r="I595" i="5" s="1"/>
  <c r="G594" i="5"/>
  <c r="F594" i="5"/>
  <c r="E594" i="5"/>
  <c r="I594" i="5" s="1"/>
  <c r="I593" i="5"/>
  <c r="G592" i="5"/>
  <c r="F592" i="5"/>
  <c r="I592" i="5" s="1"/>
  <c r="E592" i="5"/>
  <c r="G591" i="5"/>
  <c r="F591" i="5"/>
  <c r="I591" i="5" s="1"/>
  <c r="E591" i="5"/>
  <c r="I590" i="5"/>
  <c r="G590" i="5"/>
  <c r="F590" i="5"/>
  <c r="E590" i="5"/>
  <c r="G589" i="5"/>
  <c r="F589" i="5"/>
  <c r="I589" i="5" s="1"/>
  <c r="E589" i="5"/>
  <c r="G588" i="5"/>
  <c r="F588" i="5"/>
  <c r="I588" i="5" s="1"/>
  <c r="E588" i="5"/>
  <c r="I587" i="5"/>
  <c r="G587" i="5"/>
  <c r="F587" i="5"/>
  <c r="E587" i="5"/>
  <c r="G586" i="5"/>
  <c r="F586" i="5"/>
  <c r="I586" i="5" s="1"/>
  <c r="E586" i="5"/>
  <c r="G585" i="5"/>
  <c r="F585" i="5"/>
  <c r="I585" i="5" s="1"/>
  <c r="E585" i="5"/>
  <c r="I584" i="5"/>
  <c r="G584" i="5"/>
  <c r="F584" i="5"/>
  <c r="E584" i="5"/>
  <c r="G583" i="5"/>
  <c r="F583" i="5"/>
  <c r="I583" i="5" s="1"/>
  <c r="E583" i="5"/>
  <c r="G582" i="5"/>
  <c r="F582" i="5"/>
  <c r="I582" i="5" s="1"/>
  <c r="E582" i="5"/>
  <c r="I581" i="5"/>
  <c r="G581" i="5"/>
  <c r="F581" i="5"/>
  <c r="E581" i="5"/>
  <c r="G580" i="5"/>
  <c r="F580" i="5"/>
  <c r="I580" i="5" s="1"/>
  <c r="E580" i="5"/>
  <c r="G579" i="5"/>
  <c r="F579" i="5"/>
  <c r="I579" i="5" s="1"/>
  <c r="E579" i="5"/>
  <c r="I578" i="5"/>
  <c r="G578" i="5"/>
  <c r="F578" i="5"/>
  <c r="E578" i="5"/>
  <c r="G577" i="5"/>
  <c r="F577" i="5"/>
  <c r="I577" i="5" s="1"/>
  <c r="E577" i="5"/>
  <c r="G576" i="5"/>
  <c r="F576" i="5"/>
  <c r="I576" i="5" s="1"/>
  <c r="E576" i="5"/>
  <c r="I575" i="5"/>
  <c r="G575" i="5"/>
  <c r="F575" i="5"/>
  <c r="E575" i="5"/>
  <c r="I574" i="5"/>
  <c r="G573" i="5"/>
  <c r="F573" i="5"/>
  <c r="E573" i="5"/>
  <c r="I573" i="5" s="1"/>
  <c r="I572" i="5"/>
  <c r="G571" i="5"/>
  <c r="F571" i="5"/>
  <c r="I571" i="5" s="1"/>
  <c r="E571" i="5"/>
  <c r="I570" i="5"/>
  <c r="G569" i="5"/>
  <c r="F569" i="5"/>
  <c r="E569" i="5"/>
  <c r="I569" i="5" s="1"/>
  <c r="I568" i="5"/>
  <c r="G567" i="5"/>
  <c r="F567" i="5"/>
  <c r="I567" i="5" s="1"/>
  <c r="E567" i="5"/>
  <c r="I566" i="5"/>
  <c r="G565" i="5"/>
  <c r="F565" i="5"/>
  <c r="E565" i="5"/>
  <c r="I565" i="5" s="1"/>
  <c r="I564" i="5"/>
  <c r="I563" i="5"/>
  <c r="G563" i="5"/>
  <c r="F563" i="5"/>
  <c r="E563" i="5"/>
  <c r="I562" i="5"/>
  <c r="G561" i="5"/>
  <c r="F561" i="5"/>
  <c r="E561" i="5"/>
  <c r="I561" i="5" s="1"/>
  <c r="G560" i="5"/>
  <c r="F560" i="5"/>
  <c r="E560" i="5"/>
  <c r="I560" i="5" s="1"/>
  <c r="G559" i="5"/>
  <c r="F559" i="5"/>
  <c r="E559" i="5"/>
  <c r="I559" i="5" s="1"/>
  <c r="G558" i="5"/>
  <c r="F558" i="5"/>
  <c r="E558" i="5"/>
  <c r="I558" i="5" s="1"/>
  <c r="G557" i="5"/>
  <c r="F557" i="5"/>
  <c r="E557" i="5"/>
  <c r="I557" i="5" s="1"/>
  <c r="G556" i="5"/>
  <c r="F556" i="5"/>
  <c r="E556" i="5"/>
  <c r="I556" i="5" s="1"/>
  <c r="G555" i="5"/>
  <c r="F555" i="5"/>
  <c r="E555" i="5"/>
  <c r="I555" i="5" s="1"/>
  <c r="G554" i="5"/>
  <c r="F554" i="5"/>
  <c r="E554" i="5"/>
  <c r="I554" i="5" s="1"/>
  <c r="G553" i="5"/>
  <c r="F553" i="5"/>
  <c r="E553" i="5"/>
  <c r="I553" i="5" s="1"/>
  <c r="G552" i="5"/>
  <c r="F552" i="5"/>
  <c r="E552" i="5"/>
  <c r="I552" i="5" s="1"/>
  <c r="G551" i="5"/>
  <c r="F551" i="5"/>
  <c r="E551" i="5"/>
  <c r="I551" i="5" s="1"/>
  <c r="G550" i="5"/>
  <c r="F550" i="5"/>
  <c r="E550" i="5"/>
  <c r="I550" i="5" s="1"/>
  <c r="G549" i="5"/>
  <c r="F549" i="5"/>
  <c r="E549" i="5"/>
  <c r="I549" i="5" s="1"/>
  <c r="G548" i="5"/>
  <c r="F548" i="5"/>
  <c r="E548" i="5"/>
  <c r="I548" i="5" s="1"/>
  <c r="G547" i="5"/>
  <c r="F547" i="5"/>
  <c r="E547" i="5"/>
  <c r="I547" i="5" s="1"/>
  <c r="G546" i="5"/>
  <c r="F546" i="5"/>
  <c r="E546" i="5"/>
  <c r="I546" i="5" s="1"/>
  <c r="G545" i="5"/>
  <c r="F545" i="5"/>
  <c r="E545" i="5"/>
  <c r="I545" i="5" s="1"/>
  <c r="G544" i="5"/>
  <c r="F544" i="5"/>
  <c r="E544" i="5"/>
  <c r="I544" i="5" s="1"/>
  <c r="I543" i="5"/>
  <c r="I542" i="5"/>
  <c r="G542" i="5"/>
  <c r="F542" i="5"/>
  <c r="E542" i="5"/>
  <c r="G541" i="5"/>
  <c r="F541" i="5"/>
  <c r="I541" i="5" s="1"/>
  <c r="E541" i="5"/>
  <c r="G540" i="5"/>
  <c r="F540" i="5"/>
  <c r="I540" i="5" s="1"/>
  <c r="E540" i="5"/>
  <c r="I539" i="5"/>
  <c r="G539" i="5"/>
  <c r="F539" i="5"/>
  <c r="E539" i="5"/>
  <c r="G538" i="5"/>
  <c r="F538" i="5"/>
  <c r="I538" i="5" s="1"/>
  <c r="E538" i="5"/>
  <c r="G537" i="5"/>
  <c r="F537" i="5"/>
  <c r="I537" i="5" s="1"/>
  <c r="E537" i="5"/>
  <c r="I536" i="5"/>
  <c r="G536" i="5"/>
  <c r="F536" i="5"/>
  <c r="E536" i="5"/>
  <c r="G535" i="5"/>
  <c r="F535" i="5"/>
  <c r="I535" i="5" s="1"/>
  <c r="E535" i="5"/>
  <c r="G534" i="5"/>
  <c r="F534" i="5"/>
  <c r="I534" i="5" s="1"/>
  <c r="E534" i="5"/>
  <c r="I533" i="5"/>
  <c r="G533" i="5"/>
  <c r="F533" i="5"/>
  <c r="E533" i="5"/>
  <c r="G532" i="5"/>
  <c r="F532" i="5"/>
  <c r="I532" i="5" s="1"/>
  <c r="E532" i="5"/>
  <c r="G531" i="5"/>
  <c r="F531" i="5"/>
  <c r="I531" i="5" s="1"/>
  <c r="E531" i="5"/>
  <c r="I530" i="5"/>
  <c r="G530" i="5"/>
  <c r="F530" i="5"/>
  <c r="E530" i="5"/>
  <c r="G529" i="5"/>
  <c r="F529" i="5"/>
  <c r="I529" i="5" s="1"/>
  <c r="E529" i="5"/>
  <c r="G528" i="5"/>
  <c r="F528" i="5"/>
  <c r="I528" i="5" s="1"/>
  <c r="E528" i="5"/>
  <c r="I527" i="5"/>
  <c r="G527" i="5"/>
  <c r="F527" i="5"/>
  <c r="E527" i="5"/>
  <c r="G526" i="5"/>
  <c r="F526" i="5"/>
  <c r="I526" i="5" s="1"/>
  <c r="E526" i="5"/>
  <c r="G525" i="5"/>
  <c r="F525" i="5"/>
  <c r="I525" i="5" s="1"/>
  <c r="E525" i="5"/>
  <c r="I524" i="5"/>
  <c r="G524" i="5"/>
  <c r="F524" i="5"/>
  <c r="E524" i="5"/>
  <c r="I523" i="5"/>
  <c r="G522" i="5"/>
  <c r="F522" i="5"/>
  <c r="E522" i="5"/>
  <c r="I522" i="5" s="1"/>
  <c r="G521" i="5"/>
  <c r="F521" i="5"/>
  <c r="E521" i="5"/>
  <c r="I521" i="5" s="1"/>
  <c r="G520" i="5"/>
  <c r="F520" i="5"/>
  <c r="E520" i="5"/>
  <c r="I520" i="5" s="1"/>
  <c r="G519" i="5"/>
  <c r="F519" i="5"/>
  <c r="E519" i="5"/>
  <c r="I519" i="5" s="1"/>
  <c r="G518" i="5"/>
  <c r="F518" i="5"/>
  <c r="E518" i="5"/>
  <c r="I518" i="5" s="1"/>
  <c r="G517" i="5"/>
  <c r="F517" i="5"/>
  <c r="E517" i="5"/>
  <c r="I517" i="5" s="1"/>
  <c r="G516" i="5"/>
  <c r="F516" i="5"/>
  <c r="E516" i="5"/>
  <c r="I516" i="5" s="1"/>
  <c r="G515" i="5"/>
  <c r="F515" i="5"/>
  <c r="E515" i="5"/>
  <c r="I515" i="5" s="1"/>
  <c r="G514" i="5"/>
  <c r="F514" i="5"/>
  <c r="E514" i="5"/>
  <c r="I514" i="5" s="1"/>
  <c r="G513" i="5"/>
  <c r="F513" i="5"/>
  <c r="E513" i="5"/>
  <c r="I513" i="5" s="1"/>
  <c r="G512" i="5"/>
  <c r="F512" i="5"/>
  <c r="E512" i="5"/>
  <c r="I512" i="5" s="1"/>
  <c r="G511" i="5"/>
  <c r="F511" i="5"/>
  <c r="E511" i="5"/>
  <c r="I511" i="5" s="1"/>
  <c r="G510" i="5"/>
  <c r="F510" i="5"/>
  <c r="E510" i="5"/>
  <c r="I510" i="5" s="1"/>
  <c r="G509" i="5"/>
  <c r="F509" i="5"/>
  <c r="E509" i="5"/>
  <c r="I509" i="5" s="1"/>
  <c r="G508" i="5"/>
  <c r="F508" i="5"/>
  <c r="E508" i="5"/>
  <c r="I508" i="5" s="1"/>
  <c r="G507" i="5"/>
  <c r="F507" i="5"/>
  <c r="E507" i="5"/>
  <c r="I507" i="5" s="1"/>
  <c r="G506" i="5"/>
  <c r="F506" i="5"/>
  <c r="E506" i="5"/>
  <c r="I506" i="5" s="1"/>
  <c r="G505" i="5"/>
  <c r="F505" i="5"/>
  <c r="E505" i="5"/>
  <c r="I505" i="5" s="1"/>
  <c r="I504" i="5"/>
  <c r="I503" i="5"/>
  <c r="G503" i="5"/>
  <c r="F503" i="5"/>
  <c r="E503" i="5"/>
  <c r="G502" i="5"/>
  <c r="F502" i="5"/>
  <c r="I502" i="5" s="1"/>
  <c r="E502" i="5"/>
  <c r="I501" i="5"/>
  <c r="G501" i="5"/>
  <c r="F501" i="5"/>
  <c r="E501" i="5"/>
  <c r="I500" i="5"/>
  <c r="G500" i="5"/>
  <c r="F500" i="5"/>
  <c r="E500" i="5"/>
  <c r="G499" i="5"/>
  <c r="F499" i="5"/>
  <c r="I499" i="5" s="1"/>
  <c r="E499" i="5"/>
  <c r="I498" i="5"/>
  <c r="G498" i="5"/>
  <c r="F498" i="5"/>
  <c r="E498" i="5"/>
  <c r="I497" i="5"/>
  <c r="G497" i="5"/>
  <c r="F497" i="5"/>
  <c r="E497" i="5"/>
  <c r="G496" i="5"/>
  <c r="F496" i="5"/>
  <c r="I496" i="5" s="1"/>
  <c r="E496" i="5"/>
  <c r="I495" i="5"/>
  <c r="G495" i="5"/>
  <c r="F495" i="5"/>
  <c r="E495" i="5"/>
  <c r="I494" i="5"/>
  <c r="G494" i="5"/>
  <c r="F494" i="5"/>
  <c r="E494" i="5"/>
  <c r="G493" i="5"/>
  <c r="F493" i="5"/>
  <c r="I493" i="5" s="1"/>
  <c r="E493" i="5"/>
  <c r="I492" i="5"/>
  <c r="G492" i="5"/>
  <c r="F492" i="5"/>
  <c r="E492" i="5"/>
  <c r="I491" i="5"/>
  <c r="G491" i="5"/>
  <c r="F491" i="5"/>
  <c r="E491" i="5"/>
  <c r="G490" i="5"/>
  <c r="F490" i="5"/>
  <c r="I490" i="5" s="1"/>
  <c r="E490" i="5"/>
  <c r="I489" i="5"/>
  <c r="G489" i="5"/>
  <c r="F489" i="5"/>
  <c r="E489" i="5"/>
  <c r="I488" i="5"/>
  <c r="G488" i="5"/>
  <c r="F488" i="5"/>
  <c r="E488" i="5"/>
  <c r="G487" i="5"/>
  <c r="F487" i="5"/>
  <c r="I487" i="5" s="1"/>
  <c r="E487" i="5"/>
  <c r="I486" i="5"/>
  <c r="I485" i="5"/>
  <c r="G484" i="5"/>
  <c r="F484" i="5"/>
  <c r="I484" i="5" s="1"/>
  <c r="E484" i="5"/>
  <c r="G483" i="5"/>
  <c r="F483" i="5"/>
  <c r="I483" i="5" s="1"/>
  <c r="E483" i="5"/>
  <c r="I482" i="5"/>
  <c r="G482" i="5"/>
  <c r="F482" i="5"/>
  <c r="E482" i="5"/>
  <c r="G481" i="5"/>
  <c r="F481" i="5"/>
  <c r="I481" i="5" s="1"/>
  <c r="E481" i="5"/>
  <c r="G480" i="5"/>
  <c r="F480" i="5"/>
  <c r="I480" i="5" s="1"/>
  <c r="E480" i="5"/>
  <c r="I479" i="5"/>
  <c r="G479" i="5"/>
  <c r="F479" i="5"/>
  <c r="E479" i="5"/>
  <c r="G478" i="5"/>
  <c r="F478" i="5"/>
  <c r="I478" i="5" s="1"/>
  <c r="E478" i="5"/>
  <c r="G477" i="5"/>
  <c r="F477" i="5"/>
  <c r="I477" i="5" s="1"/>
  <c r="E477" i="5"/>
  <c r="I476" i="5"/>
  <c r="G476" i="5"/>
  <c r="F476" i="5"/>
  <c r="E476" i="5"/>
  <c r="G475" i="5"/>
  <c r="F475" i="5"/>
  <c r="I475" i="5" s="1"/>
  <c r="E475" i="5"/>
  <c r="G474" i="5"/>
  <c r="F474" i="5"/>
  <c r="I474" i="5" s="1"/>
  <c r="E474" i="5"/>
  <c r="I473" i="5"/>
  <c r="G473" i="5"/>
  <c r="F473" i="5"/>
  <c r="E473" i="5"/>
  <c r="G472" i="5"/>
  <c r="F472" i="5"/>
  <c r="E472" i="5"/>
  <c r="I472" i="5" s="1"/>
  <c r="G471" i="5"/>
  <c r="F471" i="5"/>
  <c r="I471" i="5" s="1"/>
  <c r="E471" i="5"/>
  <c r="I470" i="5"/>
  <c r="G470" i="5"/>
  <c r="F470" i="5"/>
  <c r="E470" i="5"/>
  <c r="G469" i="5"/>
  <c r="F469" i="5"/>
  <c r="E469" i="5"/>
  <c r="I469" i="5" s="1"/>
  <c r="G468" i="5"/>
  <c r="F468" i="5"/>
  <c r="E468" i="5"/>
  <c r="I468" i="5" s="1"/>
  <c r="I467" i="5"/>
  <c r="G467" i="5"/>
  <c r="F467" i="5"/>
  <c r="E467" i="5"/>
  <c r="I466" i="5"/>
  <c r="G465" i="5"/>
  <c r="F465" i="5"/>
  <c r="E465" i="5"/>
  <c r="I465" i="5" s="1"/>
  <c r="G464" i="5"/>
  <c r="F464" i="5"/>
  <c r="E464" i="5"/>
  <c r="I464" i="5" s="1"/>
  <c r="I463" i="5"/>
  <c r="I462" i="5"/>
  <c r="I461" i="5"/>
  <c r="G460" i="5"/>
  <c r="F460" i="5"/>
  <c r="E460" i="5"/>
  <c r="G459" i="5"/>
  <c r="F459" i="5"/>
  <c r="E459" i="5"/>
  <c r="I459" i="5" s="1"/>
  <c r="I458" i="5"/>
  <c r="G458" i="5"/>
  <c r="F458" i="5"/>
  <c r="E458" i="5"/>
  <c r="G457" i="5"/>
  <c r="F457" i="5"/>
  <c r="E457" i="5"/>
  <c r="G456" i="5"/>
  <c r="F456" i="5"/>
  <c r="E456" i="5"/>
  <c r="I456" i="5" s="1"/>
  <c r="I455" i="5"/>
  <c r="G455" i="5"/>
  <c r="F455" i="5"/>
  <c r="E455" i="5"/>
  <c r="G454" i="5"/>
  <c r="F454" i="5"/>
  <c r="E454" i="5"/>
  <c r="G453" i="5"/>
  <c r="F453" i="5"/>
  <c r="E453" i="5"/>
  <c r="I453" i="5" s="1"/>
  <c r="I452" i="5"/>
  <c r="G452" i="5"/>
  <c r="F452" i="5"/>
  <c r="E452" i="5"/>
  <c r="G451" i="5"/>
  <c r="F451" i="5"/>
  <c r="E451" i="5"/>
  <c r="I451" i="5" s="1"/>
  <c r="G450" i="5"/>
  <c r="F450" i="5"/>
  <c r="E450" i="5"/>
  <c r="I450" i="5" s="1"/>
  <c r="I449" i="5"/>
  <c r="G449" i="5"/>
  <c r="F449" i="5"/>
  <c r="E449" i="5"/>
  <c r="G448" i="5"/>
  <c r="F448" i="5"/>
  <c r="E448" i="5"/>
  <c r="G447" i="5"/>
  <c r="F447" i="5"/>
  <c r="E447" i="5"/>
  <c r="I447" i="5" s="1"/>
  <c r="I446" i="5"/>
  <c r="G446" i="5"/>
  <c r="F446" i="5"/>
  <c r="E446" i="5"/>
  <c r="G445" i="5"/>
  <c r="F445" i="5"/>
  <c r="E445" i="5"/>
  <c r="G444" i="5"/>
  <c r="F444" i="5"/>
  <c r="E444" i="5"/>
  <c r="I444" i="5" s="1"/>
  <c r="I443" i="5"/>
  <c r="G443" i="5"/>
  <c r="F443" i="5"/>
  <c r="E443" i="5"/>
  <c r="I442" i="5"/>
  <c r="G441" i="5"/>
  <c r="F441" i="5"/>
  <c r="E441" i="5"/>
  <c r="G440" i="5"/>
  <c r="F440" i="5"/>
  <c r="E440" i="5"/>
  <c r="I440" i="5" s="1"/>
  <c r="I439" i="5"/>
  <c r="I438" i="5"/>
  <c r="G438" i="5"/>
  <c r="F438" i="5"/>
  <c r="E438" i="5"/>
  <c r="I437" i="5"/>
  <c r="G437" i="5"/>
  <c r="F437" i="5"/>
  <c r="E437" i="5"/>
  <c r="G436" i="5"/>
  <c r="F436" i="5"/>
  <c r="I436" i="5" s="1"/>
  <c r="E436" i="5"/>
  <c r="I435" i="5"/>
  <c r="G435" i="5"/>
  <c r="F435" i="5"/>
  <c r="E435" i="5"/>
  <c r="I434" i="5"/>
  <c r="G434" i="5"/>
  <c r="F434" i="5"/>
  <c r="E434" i="5"/>
  <c r="G433" i="5"/>
  <c r="F433" i="5"/>
  <c r="I433" i="5" s="1"/>
  <c r="E433" i="5"/>
  <c r="G432" i="5"/>
  <c r="I432" i="5" s="1"/>
  <c r="F432" i="5"/>
  <c r="E432" i="5"/>
  <c r="I431" i="5"/>
  <c r="G431" i="5"/>
  <c r="F431" i="5"/>
  <c r="E431" i="5"/>
  <c r="G430" i="5"/>
  <c r="F430" i="5"/>
  <c r="I430" i="5" s="1"/>
  <c r="E430" i="5"/>
  <c r="G429" i="5"/>
  <c r="I429" i="5" s="1"/>
  <c r="F429" i="5"/>
  <c r="E429" i="5"/>
  <c r="G428" i="5"/>
  <c r="I428" i="5" s="1"/>
  <c r="F428" i="5"/>
  <c r="E428" i="5"/>
  <c r="G427" i="5"/>
  <c r="F427" i="5"/>
  <c r="I427" i="5" s="1"/>
  <c r="E427" i="5"/>
  <c r="G426" i="5"/>
  <c r="F426" i="5"/>
  <c r="E426" i="5"/>
  <c r="I426" i="5" s="1"/>
  <c r="G425" i="5"/>
  <c r="I425" i="5" s="1"/>
  <c r="F425" i="5"/>
  <c r="E425" i="5"/>
  <c r="G424" i="5"/>
  <c r="F424" i="5"/>
  <c r="I424" i="5" s="1"/>
  <c r="E424" i="5"/>
  <c r="G423" i="5"/>
  <c r="F423" i="5"/>
  <c r="E423" i="5"/>
  <c r="I423" i="5" s="1"/>
  <c r="I422" i="5"/>
  <c r="G422" i="5"/>
  <c r="F422" i="5"/>
  <c r="E422" i="5"/>
  <c r="G421" i="5"/>
  <c r="F421" i="5"/>
  <c r="I421" i="5" s="1"/>
  <c r="E421" i="5"/>
  <c r="I420" i="5"/>
  <c r="I419" i="5"/>
  <c r="I418" i="5"/>
  <c r="I417" i="5"/>
  <c r="G416" i="5"/>
  <c r="I416" i="5" s="1"/>
  <c r="F416" i="5"/>
  <c r="E416" i="5"/>
  <c r="G415" i="5"/>
  <c r="F415" i="5"/>
  <c r="E415" i="5"/>
  <c r="I415" i="5" s="1"/>
  <c r="G414" i="5"/>
  <c r="F414" i="5"/>
  <c r="E414" i="5"/>
  <c r="I414" i="5" s="1"/>
  <c r="G413" i="5"/>
  <c r="I413" i="5" s="1"/>
  <c r="F413" i="5"/>
  <c r="E413" i="5"/>
  <c r="G412" i="5"/>
  <c r="F412" i="5"/>
  <c r="E412" i="5"/>
  <c r="I412" i="5" s="1"/>
  <c r="G411" i="5"/>
  <c r="F411" i="5"/>
  <c r="E411" i="5"/>
  <c r="I411" i="5" s="1"/>
  <c r="G410" i="5"/>
  <c r="F410" i="5"/>
  <c r="E410" i="5"/>
  <c r="I410" i="5" s="1"/>
  <c r="G409" i="5"/>
  <c r="F409" i="5"/>
  <c r="E409" i="5"/>
  <c r="I409" i="5" s="1"/>
  <c r="G408" i="5"/>
  <c r="F408" i="5"/>
  <c r="E408" i="5"/>
  <c r="I407" i="5"/>
  <c r="G407" i="5"/>
  <c r="F407" i="5"/>
  <c r="E407" i="5"/>
  <c r="I406" i="5"/>
  <c r="G406" i="5"/>
  <c r="F406" i="5"/>
  <c r="E406" i="5"/>
  <c r="G405" i="5"/>
  <c r="F405" i="5"/>
  <c r="E405" i="5"/>
  <c r="G404" i="5"/>
  <c r="F404" i="5"/>
  <c r="E404" i="5"/>
  <c r="I404" i="5" s="1"/>
  <c r="G403" i="5"/>
  <c r="F403" i="5"/>
  <c r="E403" i="5"/>
  <c r="I403" i="5" s="1"/>
  <c r="G402" i="5"/>
  <c r="F402" i="5"/>
  <c r="E402" i="5"/>
  <c r="I402" i="5" s="1"/>
  <c r="I401" i="5"/>
  <c r="G401" i="5"/>
  <c r="F401" i="5"/>
  <c r="E401" i="5"/>
  <c r="G400" i="5"/>
  <c r="F400" i="5"/>
  <c r="E400" i="5"/>
  <c r="I400" i="5" s="1"/>
  <c r="G399" i="5"/>
  <c r="F399" i="5"/>
  <c r="E399" i="5"/>
  <c r="I399" i="5" s="1"/>
  <c r="I398" i="5"/>
  <c r="G397" i="5"/>
  <c r="F397" i="5"/>
  <c r="I397" i="5" s="1"/>
  <c r="E397" i="5"/>
  <c r="G396" i="5"/>
  <c r="F396" i="5"/>
  <c r="I396" i="5" s="1"/>
  <c r="E396" i="5"/>
  <c r="G395" i="5"/>
  <c r="F395" i="5"/>
  <c r="E395" i="5"/>
  <c r="I395" i="5" s="1"/>
  <c r="G394" i="5"/>
  <c r="F394" i="5"/>
  <c r="E394" i="5"/>
  <c r="I394" i="5" s="1"/>
  <c r="G393" i="5"/>
  <c r="F393" i="5"/>
  <c r="I393" i="5" s="1"/>
  <c r="E393" i="5"/>
  <c r="G392" i="5"/>
  <c r="F392" i="5"/>
  <c r="E392" i="5"/>
  <c r="I392" i="5" s="1"/>
  <c r="G391" i="5"/>
  <c r="F391" i="5"/>
  <c r="E391" i="5"/>
  <c r="I391" i="5" s="1"/>
  <c r="G390" i="5"/>
  <c r="F390" i="5"/>
  <c r="E390" i="5"/>
  <c r="I390" i="5" s="1"/>
  <c r="G389" i="5"/>
  <c r="F389" i="5"/>
  <c r="E389" i="5"/>
  <c r="I389" i="5" s="1"/>
  <c r="G388" i="5"/>
  <c r="F388" i="5"/>
  <c r="E388" i="5"/>
  <c r="I388" i="5" s="1"/>
  <c r="G387" i="5"/>
  <c r="F387" i="5"/>
  <c r="E387" i="5"/>
  <c r="I387" i="5" s="1"/>
  <c r="G386" i="5"/>
  <c r="F386" i="5"/>
  <c r="E386" i="5"/>
  <c r="I386" i="5" s="1"/>
  <c r="G385" i="5"/>
  <c r="F385" i="5"/>
  <c r="E385" i="5"/>
  <c r="I385" i="5" s="1"/>
  <c r="G384" i="5"/>
  <c r="F384" i="5"/>
  <c r="E384" i="5"/>
  <c r="I384" i="5" s="1"/>
  <c r="G383" i="5"/>
  <c r="F383" i="5"/>
  <c r="E383" i="5"/>
  <c r="I383" i="5" s="1"/>
  <c r="G382" i="5"/>
  <c r="F382" i="5"/>
  <c r="E382" i="5"/>
  <c r="I382" i="5" s="1"/>
  <c r="G381" i="5"/>
  <c r="F381" i="5"/>
  <c r="E381" i="5"/>
  <c r="I381" i="5" s="1"/>
  <c r="G380" i="5"/>
  <c r="F380" i="5"/>
  <c r="E380" i="5"/>
  <c r="I380" i="5" s="1"/>
  <c r="G379" i="5"/>
  <c r="F379" i="5"/>
  <c r="E379" i="5"/>
  <c r="I379" i="5" s="1"/>
  <c r="G378" i="5"/>
  <c r="F378" i="5"/>
  <c r="E378" i="5"/>
  <c r="I378" i="5" s="1"/>
  <c r="G377" i="5"/>
  <c r="F377" i="5"/>
  <c r="E377" i="5"/>
  <c r="I377" i="5" s="1"/>
  <c r="I376" i="5"/>
  <c r="G375" i="5"/>
  <c r="F375" i="5"/>
  <c r="I375" i="5" s="1"/>
  <c r="E375" i="5"/>
  <c r="G374" i="5"/>
  <c r="F374" i="5"/>
  <c r="I374" i="5" s="1"/>
  <c r="E374" i="5"/>
  <c r="G373" i="5"/>
  <c r="F373" i="5"/>
  <c r="E373" i="5"/>
  <c r="I373" i="5" s="1"/>
  <c r="G372" i="5"/>
  <c r="F372" i="5"/>
  <c r="E372" i="5"/>
  <c r="I372" i="5" s="1"/>
  <c r="G371" i="5"/>
  <c r="F371" i="5"/>
  <c r="E371" i="5"/>
  <c r="I371" i="5" s="1"/>
  <c r="G370" i="5"/>
  <c r="F370" i="5"/>
  <c r="E370" i="5"/>
  <c r="I370" i="5" s="1"/>
  <c r="G369" i="5"/>
  <c r="F369" i="5"/>
  <c r="E369" i="5"/>
  <c r="I369" i="5" s="1"/>
  <c r="I368" i="5"/>
  <c r="G368" i="5"/>
  <c r="F368" i="5"/>
  <c r="E368" i="5"/>
  <c r="G367" i="5"/>
  <c r="F367" i="5"/>
  <c r="E367" i="5"/>
  <c r="I366" i="5"/>
  <c r="I365" i="5"/>
  <c r="G364" i="5"/>
  <c r="F364" i="5"/>
  <c r="E364" i="5"/>
  <c r="I364" i="5" s="1"/>
  <c r="G363" i="5"/>
  <c r="F363" i="5"/>
  <c r="E363" i="5"/>
  <c r="I363" i="5" s="1"/>
  <c r="G362" i="5"/>
  <c r="F362" i="5"/>
  <c r="E362" i="5"/>
  <c r="I362" i="5" s="1"/>
  <c r="G361" i="5"/>
  <c r="F361" i="5"/>
  <c r="E361" i="5"/>
  <c r="I361" i="5" s="1"/>
  <c r="G360" i="5"/>
  <c r="F360" i="5"/>
  <c r="E360" i="5"/>
  <c r="I360" i="5" s="1"/>
  <c r="G359" i="5"/>
  <c r="F359" i="5"/>
  <c r="E359" i="5"/>
  <c r="I359" i="5" s="1"/>
  <c r="G358" i="5"/>
  <c r="F358" i="5"/>
  <c r="E358" i="5"/>
  <c r="I358" i="5" s="1"/>
  <c r="G357" i="5"/>
  <c r="F357" i="5"/>
  <c r="E357" i="5"/>
  <c r="I357" i="5" s="1"/>
  <c r="I356" i="5"/>
  <c r="G355" i="5"/>
  <c r="F355" i="5"/>
  <c r="E355" i="5"/>
  <c r="I355" i="5" s="1"/>
  <c r="G354" i="5"/>
  <c r="F354" i="5"/>
  <c r="I354" i="5" s="1"/>
  <c r="E354" i="5"/>
  <c r="G353" i="5"/>
  <c r="F353" i="5"/>
  <c r="I353" i="5" s="1"/>
  <c r="E353" i="5"/>
  <c r="G352" i="5"/>
  <c r="F352" i="5"/>
  <c r="E352" i="5"/>
  <c r="I352" i="5" s="1"/>
  <c r="G351" i="5"/>
  <c r="F351" i="5"/>
  <c r="I351" i="5" s="1"/>
  <c r="E351" i="5"/>
  <c r="G350" i="5"/>
  <c r="F350" i="5"/>
  <c r="I350" i="5" s="1"/>
  <c r="E350" i="5"/>
  <c r="G349" i="5"/>
  <c r="F349" i="5"/>
  <c r="E349" i="5"/>
  <c r="I349" i="5" s="1"/>
  <c r="G348" i="5"/>
  <c r="F348" i="5"/>
  <c r="I348" i="5" s="1"/>
  <c r="E348" i="5"/>
  <c r="G347" i="5"/>
  <c r="F347" i="5"/>
  <c r="I347" i="5" s="1"/>
  <c r="E347" i="5"/>
  <c r="G346" i="5"/>
  <c r="F346" i="5"/>
  <c r="E346" i="5"/>
  <c r="I346" i="5" s="1"/>
  <c r="I345" i="5"/>
  <c r="I344" i="5"/>
  <c r="G344" i="5"/>
  <c r="F344" i="5"/>
  <c r="E344" i="5"/>
  <c r="G343" i="5"/>
  <c r="I343" i="5" s="1"/>
  <c r="F343" i="5"/>
  <c r="E343" i="5"/>
  <c r="G342" i="5"/>
  <c r="I342" i="5" s="1"/>
  <c r="F342" i="5"/>
  <c r="E342" i="5"/>
  <c r="I341" i="5"/>
  <c r="G341" i="5"/>
  <c r="F341" i="5"/>
  <c r="E341" i="5"/>
  <c r="G340" i="5"/>
  <c r="I340" i="5" s="1"/>
  <c r="F340" i="5"/>
  <c r="E340" i="5"/>
  <c r="G339" i="5"/>
  <c r="I339" i="5" s="1"/>
  <c r="F339" i="5"/>
  <c r="E339" i="5"/>
  <c r="I338" i="5"/>
  <c r="G338" i="5"/>
  <c r="F338" i="5"/>
  <c r="E338" i="5"/>
  <c r="G337" i="5"/>
  <c r="I337" i="5" s="1"/>
  <c r="F337" i="5"/>
  <c r="E337" i="5"/>
  <c r="G336" i="5"/>
  <c r="I336" i="5" s="1"/>
  <c r="F336" i="5"/>
  <c r="E336" i="5"/>
  <c r="I335" i="5"/>
  <c r="G335" i="5"/>
  <c r="F335" i="5"/>
  <c r="E335" i="5"/>
  <c r="G334" i="5"/>
  <c r="I334" i="5" s="1"/>
  <c r="F334" i="5"/>
  <c r="E334" i="5"/>
  <c r="I333" i="5"/>
  <c r="G332" i="5"/>
  <c r="F332" i="5"/>
  <c r="E332" i="5"/>
  <c r="I332" i="5" s="1"/>
  <c r="I331" i="5"/>
  <c r="G331" i="5"/>
  <c r="F331" i="5"/>
  <c r="E331" i="5"/>
  <c r="I330" i="5"/>
  <c r="G330" i="5"/>
  <c r="F330" i="5"/>
  <c r="E330" i="5"/>
  <c r="G329" i="5"/>
  <c r="F329" i="5"/>
  <c r="E329" i="5"/>
  <c r="I329" i="5" s="1"/>
  <c r="I328" i="5"/>
  <c r="G328" i="5"/>
  <c r="F328" i="5"/>
  <c r="E328" i="5"/>
  <c r="I327" i="5"/>
  <c r="G327" i="5"/>
  <c r="F327" i="5"/>
  <c r="E327" i="5"/>
  <c r="G326" i="5"/>
  <c r="F326" i="5"/>
  <c r="E326" i="5"/>
  <c r="I326" i="5" s="1"/>
  <c r="I325" i="5"/>
  <c r="G325" i="5"/>
  <c r="F325" i="5"/>
  <c r="E325" i="5"/>
  <c r="G324" i="5"/>
  <c r="F324" i="5"/>
  <c r="E324" i="5"/>
  <c r="I324" i="5" s="1"/>
  <c r="I323" i="5"/>
  <c r="G322" i="5"/>
  <c r="F322" i="5"/>
  <c r="E322" i="5"/>
  <c r="I322" i="5" s="1"/>
  <c r="G321" i="5"/>
  <c r="F321" i="5"/>
  <c r="E321" i="5"/>
  <c r="I321" i="5" s="1"/>
  <c r="G320" i="5"/>
  <c r="F320" i="5"/>
  <c r="E320" i="5"/>
  <c r="I320" i="5" s="1"/>
  <c r="G319" i="5"/>
  <c r="F319" i="5"/>
  <c r="E319" i="5"/>
  <c r="I319" i="5" s="1"/>
  <c r="G318" i="5"/>
  <c r="F318" i="5"/>
  <c r="E318" i="5"/>
  <c r="I318" i="5" s="1"/>
  <c r="G317" i="5"/>
  <c r="F317" i="5"/>
  <c r="E317" i="5"/>
  <c r="I317" i="5" s="1"/>
  <c r="G316" i="5"/>
  <c r="F316" i="5"/>
  <c r="E316" i="5"/>
  <c r="I316" i="5" s="1"/>
  <c r="G315" i="5"/>
  <c r="F315" i="5"/>
  <c r="E315" i="5"/>
  <c r="I315" i="5" s="1"/>
  <c r="G314" i="5"/>
  <c r="F314" i="5"/>
  <c r="E314" i="5"/>
  <c r="I314" i="5" s="1"/>
  <c r="I313" i="5"/>
  <c r="I312" i="5"/>
  <c r="I311" i="5"/>
  <c r="I310" i="5"/>
  <c r="G309" i="5"/>
  <c r="F309" i="5"/>
  <c r="E309" i="5"/>
  <c r="I309" i="5" s="1"/>
  <c r="I308" i="5"/>
  <c r="I307" i="5"/>
  <c r="I306" i="5"/>
  <c r="G305" i="5"/>
  <c r="F305" i="5"/>
  <c r="E305" i="5"/>
  <c r="I305" i="5" s="1"/>
  <c r="I304" i="5"/>
  <c r="G304" i="5"/>
  <c r="F304" i="5"/>
  <c r="E304" i="5"/>
  <c r="I303" i="5"/>
  <c r="G302" i="5"/>
  <c r="F302" i="5"/>
  <c r="E302" i="5"/>
  <c r="I302" i="5" s="1"/>
  <c r="I301" i="5"/>
  <c r="I300" i="5"/>
  <c r="I299" i="5"/>
  <c r="I298" i="5"/>
  <c r="I297" i="5"/>
  <c r="G296" i="5"/>
  <c r="F296" i="5"/>
  <c r="I296" i="5" s="1"/>
  <c r="E296" i="5"/>
  <c r="I295" i="5"/>
  <c r="G294" i="5"/>
  <c r="I294" i="5" s="1"/>
  <c r="F294" i="5"/>
  <c r="E294" i="5"/>
  <c r="I293" i="5"/>
  <c r="G293" i="5"/>
  <c r="F293" i="5"/>
  <c r="E293" i="5"/>
  <c r="G292" i="5"/>
  <c r="I292" i="5" s="1"/>
  <c r="F292" i="5"/>
  <c r="E292" i="5"/>
  <c r="G291" i="5"/>
  <c r="F291" i="5"/>
  <c r="E291" i="5"/>
  <c r="I291" i="5" s="1"/>
  <c r="I290" i="5"/>
  <c r="G290" i="5"/>
  <c r="F290" i="5"/>
  <c r="E290" i="5"/>
  <c r="G289" i="5"/>
  <c r="I289" i="5" s="1"/>
  <c r="F289" i="5"/>
  <c r="E289" i="5"/>
  <c r="G288" i="5"/>
  <c r="F288" i="5"/>
  <c r="E288" i="5"/>
  <c r="I288" i="5" s="1"/>
  <c r="I287" i="5"/>
  <c r="G287" i="5"/>
  <c r="F287" i="5"/>
  <c r="E287" i="5"/>
  <c r="I286" i="5"/>
  <c r="I285" i="5"/>
  <c r="G285" i="5"/>
  <c r="F285" i="5"/>
  <c r="E285" i="5"/>
  <c r="G284" i="5"/>
  <c r="F284" i="5"/>
  <c r="E284" i="5"/>
  <c r="I284" i="5" s="1"/>
  <c r="I283" i="5"/>
  <c r="G283" i="5"/>
  <c r="F283" i="5"/>
  <c r="E283" i="5"/>
  <c r="I282" i="5"/>
  <c r="G282" i="5"/>
  <c r="F282" i="5"/>
  <c r="E282" i="5"/>
  <c r="G281" i="5"/>
  <c r="F281" i="5"/>
  <c r="E281" i="5"/>
  <c r="I281" i="5" s="1"/>
  <c r="I280" i="5"/>
  <c r="G280" i="5"/>
  <c r="F280" i="5"/>
  <c r="E280" i="5"/>
  <c r="I279" i="5"/>
  <c r="G278" i="5"/>
  <c r="F278" i="5"/>
  <c r="E278" i="5"/>
  <c r="I278" i="5" s="1"/>
  <c r="G277" i="5"/>
  <c r="F277" i="5"/>
  <c r="E277" i="5"/>
  <c r="I277" i="5" s="1"/>
  <c r="G276" i="5"/>
  <c r="F276" i="5"/>
  <c r="E276" i="5"/>
  <c r="I276" i="5" s="1"/>
  <c r="G275" i="5"/>
  <c r="F275" i="5"/>
  <c r="E275" i="5"/>
  <c r="I275" i="5" s="1"/>
  <c r="G274" i="5"/>
  <c r="F274" i="5"/>
  <c r="E274" i="5"/>
  <c r="I274" i="5" s="1"/>
  <c r="G273" i="5"/>
  <c r="F273" i="5"/>
  <c r="E273" i="5"/>
  <c r="I273" i="5" s="1"/>
  <c r="G272" i="5"/>
  <c r="F272" i="5"/>
  <c r="E272" i="5"/>
  <c r="I272" i="5" s="1"/>
  <c r="G271" i="5"/>
  <c r="F271" i="5"/>
  <c r="E271" i="5"/>
  <c r="I271" i="5" s="1"/>
  <c r="I270" i="5"/>
  <c r="G269" i="5"/>
  <c r="F269" i="5"/>
  <c r="I269" i="5" s="1"/>
  <c r="E269" i="5"/>
  <c r="G268" i="5"/>
  <c r="F268" i="5"/>
  <c r="I268" i="5" s="1"/>
  <c r="E268" i="5"/>
  <c r="G267" i="5"/>
  <c r="F267" i="5"/>
  <c r="I267" i="5" s="1"/>
  <c r="E267" i="5"/>
  <c r="G266" i="5"/>
  <c r="F266" i="5"/>
  <c r="I266" i="5" s="1"/>
  <c r="E266" i="5"/>
  <c r="G265" i="5"/>
  <c r="F265" i="5"/>
  <c r="I265" i="5" s="1"/>
  <c r="E265" i="5"/>
  <c r="G264" i="5"/>
  <c r="F264" i="5"/>
  <c r="I264" i="5" s="1"/>
  <c r="E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G237" i="5"/>
  <c r="F237" i="5"/>
  <c r="E237" i="5"/>
  <c r="G236" i="5"/>
  <c r="F236" i="5"/>
  <c r="E236" i="5"/>
  <c r="I236" i="5" s="1"/>
  <c r="I235" i="5"/>
  <c r="G235" i="5"/>
  <c r="F235" i="5"/>
  <c r="E235" i="5"/>
  <c r="G234" i="5"/>
  <c r="F234" i="5"/>
  <c r="E234" i="5"/>
  <c r="I234" i="5" s="1"/>
  <c r="G233" i="5"/>
  <c r="F233" i="5"/>
  <c r="E233" i="5"/>
  <c r="I233" i="5" s="1"/>
  <c r="I232" i="5"/>
  <c r="G232" i="5"/>
  <c r="F232" i="5"/>
  <c r="E232" i="5"/>
  <c r="G231" i="5"/>
  <c r="F231" i="5"/>
  <c r="E231" i="5"/>
  <c r="I231" i="5" s="1"/>
  <c r="G230" i="5"/>
  <c r="F230" i="5"/>
  <c r="E230" i="5"/>
  <c r="I230" i="5" s="1"/>
  <c r="I229" i="5"/>
  <c r="G229" i="5"/>
  <c r="F229" i="5"/>
  <c r="E229" i="5"/>
  <c r="G228" i="5"/>
  <c r="F228" i="5"/>
  <c r="E228" i="5"/>
  <c r="I228" i="5" s="1"/>
  <c r="G227" i="5"/>
  <c r="F227" i="5"/>
  <c r="E227" i="5"/>
  <c r="I227" i="5" s="1"/>
  <c r="G226" i="5"/>
  <c r="F226" i="5"/>
  <c r="E226" i="5"/>
  <c r="I226" i="5" s="1"/>
  <c r="I225" i="5"/>
  <c r="I224" i="5"/>
  <c r="I223" i="5"/>
  <c r="I222" i="5"/>
  <c r="I221" i="5"/>
  <c r="G220" i="5"/>
  <c r="F220" i="5"/>
  <c r="E220" i="5"/>
  <c r="I220" i="5" s="1"/>
  <c r="G219" i="5"/>
  <c r="F219" i="5"/>
  <c r="E219" i="5"/>
  <c r="I219" i="5" s="1"/>
  <c r="G218" i="5"/>
  <c r="F218" i="5"/>
  <c r="E218" i="5"/>
  <c r="I218" i="5" s="1"/>
  <c r="G217" i="5"/>
  <c r="F217" i="5"/>
  <c r="E217" i="5"/>
  <c r="I217" i="5" s="1"/>
  <c r="G216" i="5"/>
  <c r="F216" i="5"/>
  <c r="E216" i="5"/>
  <c r="I216" i="5" s="1"/>
  <c r="G215" i="5"/>
  <c r="F215" i="5"/>
  <c r="E215" i="5"/>
  <c r="I215" i="5" s="1"/>
  <c r="G214" i="5"/>
  <c r="F214" i="5"/>
  <c r="E214" i="5"/>
  <c r="I214" i="5" s="1"/>
  <c r="G213" i="5"/>
  <c r="F213" i="5"/>
  <c r="E213" i="5"/>
  <c r="I213" i="5" s="1"/>
  <c r="G212" i="5"/>
  <c r="F212" i="5"/>
  <c r="E212" i="5"/>
  <c r="I212" i="5" s="1"/>
  <c r="H211" i="5"/>
  <c r="H210" i="5"/>
  <c r="H209" i="5"/>
  <c r="G209" i="5"/>
  <c r="F209" i="5"/>
  <c r="D209" i="5"/>
  <c r="H208" i="5"/>
  <c r="G208" i="5"/>
  <c r="F208" i="5"/>
  <c r="D208" i="5"/>
  <c r="G207" i="5"/>
  <c r="H207" i="5" s="1"/>
  <c r="F207" i="5"/>
  <c r="D207" i="5"/>
  <c r="H206" i="5"/>
  <c r="G206" i="5"/>
  <c r="F206" i="5"/>
  <c r="D206" i="5"/>
  <c r="G205" i="5"/>
  <c r="H205" i="5" s="1"/>
  <c r="F205" i="5"/>
  <c r="D205" i="5"/>
  <c r="G204" i="5"/>
  <c r="H204" i="5" s="1"/>
  <c r="F204" i="5"/>
  <c r="D204" i="5"/>
  <c r="H203" i="5"/>
  <c r="G203" i="5"/>
  <c r="F203" i="5"/>
  <c r="D203" i="5"/>
  <c r="G202" i="5"/>
  <c r="H202" i="5" s="1"/>
  <c r="F202" i="5"/>
  <c r="D202" i="5"/>
  <c r="H201" i="5"/>
  <c r="H200" i="5"/>
  <c r="G199" i="5"/>
  <c r="F199" i="5"/>
  <c r="D199" i="5"/>
  <c r="H199" i="5" s="1"/>
  <c r="G198" i="5"/>
  <c r="F198" i="5"/>
  <c r="D198" i="5"/>
  <c r="H198" i="5" s="1"/>
  <c r="G197" i="5"/>
  <c r="F197" i="5"/>
  <c r="D197" i="5"/>
  <c r="H197" i="5" s="1"/>
  <c r="G196" i="5"/>
  <c r="F196" i="5"/>
  <c r="D196" i="5"/>
  <c r="H196" i="5" s="1"/>
  <c r="G195" i="5"/>
  <c r="F195" i="5"/>
  <c r="D195" i="5"/>
  <c r="H195" i="5" s="1"/>
  <c r="G194" i="5"/>
  <c r="F194" i="5"/>
  <c r="D194" i="5"/>
  <c r="H194" i="5" s="1"/>
  <c r="G193" i="5"/>
  <c r="F193" i="5"/>
  <c r="D193" i="5"/>
  <c r="H193" i="5" s="1"/>
  <c r="G192" i="5"/>
  <c r="F192" i="5"/>
  <c r="D192" i="5"/>
  <c r="H192" i="5" s="1"/>
  <c r="H191" i="5"/>
  <c r="G190" i="5"/>
  <c r="F190" i="5"/>
  <c r="H190" i="5" s="1"/>
  <c r="D190" i="5"/>
  <c r="G189" i="5"/>
  <c r="F189" i="5"/>
  <c r="H189" i="5" s="1"/>
  <c r="D189" i="5"/>
  <c r="G188" i="5"/>
  <c r="F188" i="5"/>
  <c r="H188" i="5" s="1"/>
  <c r="D188" i="5"/>
  <c r="G187" i="5"/>
  <c r="F187" i="5"/>
  <c r="H187" i="5" s="1"/>
  <c r="D187" i="5"/>
  <c r="G186" i="5"/>
  <c r="F186" i="5"/>
  <c r="H186" i="5" s="1"/>
  <c r="D186" i="5"/>
  <c r="G185" i="5"/>
  <c r="F185" i="5"/>
  <c r="H185" i="5" s="1"/>
  <c r="D185" i="5"/>
  <c r="G184" i="5"/>
  <c r="F184" i="5"/>
  <c r="H184" i="5" s="1"/>
  <c r="D184" i="5"/>
  <c r="G183" i="5"/>
  <c r="F183" i="5"/>
  <c r="H183" i="5" s="1"/>
  <c r="D183" i="5"/>
  <c r="H182" i="5"/>
  <c r="H181" i="5"/>
  <c r="H180" i="5"/>
  <c r="G179" i="5"/>
  <c r="F179" i="5"/>
  <c r="D179" i="5"/>
  <c r="H179" i="5" s="1"/>
  <c r="G178" i="5"/>
  <c r="F178" i="5"/>
  <c r="D178" i="5"/>
  <c r="H178" i="5" s="1"/>
  <c r="G177" i="5"/>
  <c r="F177" i="5"/>
  <c r="D177" i="5"/>
  <c r="H177" i="5" s="1"/>
  <c r="G176" i="5"/>
  <c r="F176" i="5"/>
  <c r="D176" i="5"/>
  <c r="H176" i="5" s="1"/>
  <c r="G175" i="5"/>
  <c r="F175" i="5"/>
  <c r="D175" i="5"/>
  <c r="H175" i="5" s="1"/>
  <c r="G174" i="5"/>
  <c r="F174" i="5"/>
  <c r="D174" i="5"/>
  <c r="H174" i="5" s="1"/>
  <c r="G173" i="5"/>
  <c r="F173" i="5"/>
  <c r="D173" i="5"/>
  <c r="H173" i="5" s="1"/>
  <c r="H172" i="5"/>
  <c r="H171" i="5"/>
  <c r="H170" i="5"/>
  <c r="G170" i="5"/>
  <c r="F170" i="5"/>
  <c r="D170" i="5"/>
  <c r="G169" i="5"/>
  <c r="H169" i="5" s="1"/>
  <c r="F169" i="5"/>
  <c r="D169" i="5"/>
  <c r="G168" i="5"/>
  <c r="H168" i="5" s="1"/>
  <c r="F168" i="5"/>
  <c r="D168" i="5"/>
  <c r="H167" i="5"/>
  <c r="G167" i="5"/>
  <c r="F167" i="5"/>
  <c r="D167" i="5"/>
  <c r="G166" i="5"/>
  <c r="H166" i="5" s="1"/>
  <c r="F166" i="5"/>
  <c r="D166" i="5"/>
  <c r="G165" i="5"/>
  <c r="F165" i="5"/>
  <c r="D165" i="5"/>
  <c r="H165" i="5" s="1"/>
  <c r="H164" i="5"/>
  <c r="G164" i="5"/>
  <c r="F164" i="5"/>
  <c r="D164" i="5"/>
  <c r="H163" i="5"/>
  <c r="H162" i="5"/>
  <c r="G162" i="5"/>
  <c r="F162" i="5"/>
  <c r="D162" i="5"/>
  <c r="G161" i="5"/>
  <c r="F161" i="5"/>
  <c r="D161" i="5"/>
  <c r="H161" i="5" s="1"/>
  <c r="H160" i="5"/>
  <c r="G160" i="5"/>
  <c r="F160" i="5"/>
  <c r="D160" i="5"/>
  <c r="H159" i="5"/>
  <c r="G159" i="5"/>
  <c r="F159" i="5"/>
  <c r="D159" i="5"/>
  <c r="G158" i="5"/>
  <c r="F158" i="5"/>
  <c r="D158" i="5"/>
  <c r="H158" i="5" s="1"/>
  <c r="H157" i="5"/>
  <c r="G157" i="5"/>
  <c r="F157" i="5"/>
  <c r="D157" i="5"/>
  <c r="H156" i="5"/>
  <c r="G156" i="5"/>
  <c r="F156" i="5"/>
  <c r="D156" i="5"/>
  <c r="H155" i="5"/>
  <c r="G154" i="5"/>
  <c r="F154" i="5"/>
  <c r="D154" i="5"/>
  <c r="H154" i="5" s="1"/>
  <c r="G153" i="5"/>
  <c r="F153" i="5"/>
  <c r="D153" i="5"/>
  <c r="H153" i="5" s="1"/>
  <c r="G152" i="5"/>
  <c r="F152" i="5"/>
  <c r="D152" i="5"/>
  <c r="H152" i="5" s="1"/>
  <c r="G151" i="5"/>
  <c r="F151" i="5"/>
  <c r="D151" i="5"/>
  <c r="H151" i="5" s="1"/>
  <c r="G150" i="5"/>
  <c r="F150" i="5"/>
  <c r="D150" i="5"/>
  <c r="H150" i="5" s="1"/>
  <c r="G149" i="5"/>
  <c r="F149" i="5"/>
  <c r="D149" i="5"/>
  <c r="H149" i="5" s="1"/>
  <c r="G148" i="5"/>
  <c r="F148" i="5"/>
  <c r="D148" i="5"/>
  <c r="H148" i="5" s="1"/>
  <c r="G147" i="5"/>
  <c r="F147" i="5"/>
  <c r="D147" i="5"/>
  <c r="H147" i="5" s="1"/>
  <c r="G146" i="5"/>
  <c r="F146" i="5"/>
  <c r="D146" i="5"/>
  <c r="H146" i="5" s="1"/>
  <c r="H145" i="5"/>
  <c r="H144" i="5"/>
  <c r="H143" i="5"/>
  <c r="G143" i="5"/>
  <c r="F143" i="5"/>
  <c r="D143" i="5"/>
  <c r="G142" i="5"/>
  <c r="H142" i="5" s="1"/>
  <c r="F142" i="5"/>
  <c r="D142" i="5"/>
  <c r="G141" i="5"/>
  <c r="H141" i="5" s="1"/>
  <c r="F141" i="5"/>
  <c r="D141" i="5"/>
  <c r="H140" i="5"/>
  <c r="G140" i="5"/>
  <c r="F140" i="5"/>
  <c r="D140" i="5"/>
  <c r="G139" i="5"/>
  <c r="H139" i="5" s="1"/>
  <c r="F139" i="5"/>
  <c r="D139" i="5"/>
  <c r="G138" i="5"/>
  <c r="F138" i="5"/>
  <c r="D138" i="5"/>
  <c r="H138" i="5" s="1"/>
  <c r="H137" i="5"/>
  <c r="G137" i="5"/>
  <c r="F137" i="5"/>
  <c r="D137" i="5"/>
  <c r="G136" i="5"/>
  <c r="F136" i="5"/>
  <c r="D136" i="5"/>
  <c r="H136" i="5" s="1"/>
  <c r="G135" i="5"/>
  <c r="F135" i="5"/>
  <c r="D135" i="5"/>
  <c r="H135" i="5" s="1"/>
  <c r="H134" i="5"/>
  <c r="G134" i="5"/>
  <c r="F134" i="5"/>
  <c r="D134" i="5"/>
  <c r="G133" i="5"/>
  <c r="F133" i="5"/>
  <c r="D133" i="5"/>
  <c r="H133" i="5" s="1"/>
  <c r="G132" i="5"/>
  <c r="F132" i="5"/>
  <c r="D132" i="5"/>
  <c r="H132" i="5" s="1"/>
  <c r="H131" i="5"/>
  <c r="G131" i="5"/>
  <c r="F131" i="5"/>
  <c r="D131" i="5"/>
  <c r="G130" i="5"/>
  <c r="F130" i="5"/>
  <c r="D130" i="5"/>
  <c r="H130" i="5" s="1"/>
  <c r="G129" i="5"/>
  <c r="F129" i="5"/>
  <c r="D129" i="5"/>
  <c r="H129" i="5" s="1"/>
  <c r="H128" i="5"/>
  <c r="G128" i="5"/>
  <c r="F128" i="5"/>
  <c r="D128" i="5"/>
  <c r="H127" i="5"/>
  <c r="H126" i="5"/>
  <c r="G126" i="5"/>
  <c r="F126" i="5"/>
  <c r="D126" i="5"/>
  <c r="G125" i="5"/>
  <c r="F125" i="5"/>
  <c r="D125" i="5"/>
  <c r="H125" i="5" s="1"/>
  <c r="H124" i="5"/>
  <c r="G124" i="5"/>
  <c r="F124" i="5"/>
  <c r="D124" i="5"/>
  <c r="H123" i="5"/>
  <c r="G123" i="5"/>
  <c r="F123" i="5"/>
  <c r="D123" i="5"/>
  <c r="G122" i="5"/>
  <c r="F122" i="5"/>
  <c r="D122" i="5"/>
  <c r="H122" i="5" s="1"/>
  <c r="H121" i="5"/>
  <c r="G121" i="5"/>
  <c r="F121" i="5"/>
  <c r="D121" i="5"/>
  <c r="H120" i="5"/>
  <c r="G120" i="5"/>
  <c r="F120" i="5"/>
  <c r="D120" i="5"/>
  <c r="G119" i="5"/>
  <c r="F119" i="5"/>
  <c r="D119" i="5"/>
  <c r="H119" i="5" s="1"/>
  <c r="H118" i="5"/>
  <c r="G118" i="5"/>
  <c r="F118" i="5"/>
  <c r="D118" i="5"/>
  <c r="H117" i="5"/>
  <c r="G117" i="5"/>
  <c r="F117" i="5"/>
  <c r="D117" i="5"/>
  <c r="H116" i="5"/>
  <c r="G115" i="5"/>
  <c r="F115" i="5"/>
  <c r="D115" i="5"/>
  <c r="H115" i="5" s="1"/>
  <c r="G114" i="5"/>
  <c r="F114" i="5"/>
  <c r="D114" i="5"/>
  <c r="H114" i="5" s="1"/>
  <c r="G113" i="5"/>
  <c r="F113" i="5"/>
  <c r="D113" i="5"/>
  <c r="H113" i="5" s="1"/>
  <c r="G112" i="5"/>
  <c r="F112" i="5"/>
  <c r="D112" i="5"/>
  <c r="H112" i="5" s="1"/>
  <c r="G111" i="5"/>
  <c r="F111" i="5"/>
  <c r="D111" i="5"/>
  <c r="H111" i="5" s="1"/>
  <c r="G110" i="5"/>
  <c r="F110" i="5"/>
  <c r="D110" i="5"/>
  <c r="H110" i="5" s="1"/>
  <c r="G109" i="5"/>
  <c r="F109" i="5"/>
  <c r="D109" i="5"/>
  <c r="H109" i="5" s="1"/>
  <c r="G108" i="5"/>
  <c r="F108" i="5"/>
  <c r="D108" i="5"/>
  <c r="H108" i="5" s="1"/>
  <c r="H107" i="5"/>
  <c r="H106" i="5"/>
  <c r="H105" i="5"/>
  <c r="H104" i="5"/>
  <c r="G103" i="5"/>
  <c r="F103" i="5"/>
  <c r="D103" i="5"/>
  <c r="H103" i="5" s="1"/>
  <c r="G102" i="5"/>
  <c r="F102" i="5"/>
  <c r="D102" i="5"/>
  <c r="H102" i="5" s="1"/>
  <c r="G101" i="5"/>
  <c r="F101" i="5"/>
  <c r="D101" i="5"/>
  <c r="H101" i="5" s="1"/>
  <c r="G100" i="5"/>
  <c r="F100" i="5"/>
  <c r="D100" i="5"/>
  <c r="H100" i="5" s="1"/>
  <c r="G99" i="5"/>
  <c r="F99" i="5"/>
  <c r="D99" i="5"/>
  <c r="H99" i="5" s="1"/>
  <c r="G98" i="5"/>
  <c r="F98" i="5"/>
  <c r="D98" i="5"/>
  <c r="H98" i="5" s="1"/>
  <c r="G97" i="5"/>
  <c r="F97" i="5"/>
  <c r="D97" i="5"/>
  <c r="H97" i="5" s="1"/>
  <c r="G96" i="5"/>
  <c r="F96" i="5"/>
  <c r="D96" i="5"/>
  <c r="H96" i="5" s="1"/>
  <c r="G95" i="5"/>
  <c r="F95" i="5"/>
  <c r="D95" i="5"/>
  <c r="H95" i="5" s="1"/>
  <c r="H94" i="5"/>
  <c r="G93" i="5"/>
  <c r="F93" i="5"/>
  <c r="H93" i="5" s="1"/>
  <c r="D93" i="5"/>
  <c r="G92" i="5"/>
  <c r="F92" i="5"/>
  <c r="H92" i="5" s="1"/>
  <c r="D92" i="5"/>
  <c r="G91" i="5"/>
  <c r="F91" i="5"/>
  <c r="H91" i="5" s="1"/>
  <c r="D91" i="5"/>
  <c r="G90" i="5"/>
  <c r="F90" i="5"/>
  <c r="H90" i="5" s="1"/>
  <c r="D90" i="5"/>
  <c r="G89" i="5"/>
  <c r="F89" i="5"/>
  <c r="H89" i="5" s="1"/>
  <c r="D89" i="5"/>
  <c r="G88" i="5"/>
  <c r="F88" i="5"/>
  <c r="H88" i="5" s="1"/>
  <c r="D88" i="5"/>
  <c r="G87" i="5"/>
  <c r="F87" i="5"/>
  <c r="H87" i="5" s="1"/>
  <c r="D87" i="5"/>
  <c r="G86" i="5"/>
  <c r="F86" i="5"/>
  <c r="H86" i="5" s="1"/>
  <c r="D86" i="5"/>
  <c r="H85" i="5"/>
  <c r="G84" i="5"/>
  <c r="H84" i="5" s="1"/>
  <c r="F84" i="5"/>
  <c r="D84" i="5"/>
  <c r="H83" i="5"/>
  <c r="G83" i="5"/>
  <c r="F83" i="5"/>
  <c r="D83" i="5"/>
  <c r="G82" i="5"/>
  <c r="F82" i="5"/>
  <c r="D82" i="5"/>
  <c r="H82" i="5" s="1"/>
  <c r="G81" i="5"/>
  <c r="H81" i="5" s="1"/>
  <c r="F81" i="5"/>
  <c r="D81" i="5"/>
  <c r="H80" i="5"/>
  <c r="G80" i="5"/>
  <c r="F80" i="5"/>
  <c r="D80" i="5"/>
  <c r="G79" i="5"/>
  <c r="F79" i="5"/>
  <c r="D79" i="5"/>
  <c r="H79" i="5" s="1"/>
  <c r="G78" i="5"/>
  <c r="F78" i="5"/>
  <c r="D78" i="5"/>
  <c r="H78" i="5" s="1"/>
  <c r="H77" i="5"/>
  <c r="H76" i="5"/>
  <c r="G76" i="5"/>
  <c r="F76" i="5"/>
  <c r="D76" i="5"/>
  <c r="H75" i="5"/>
  <c r="G75" i="5"/>
  <c r="F75" i="5"/>
  <c r="D75" i="5"/>
  <c r="G74" i="5"/>
  <c r="F74" i="5"/>
  <c r="D74" i="5"/>
  <c r="H74" i="5" s="1"/>
  <c r="H73" i="5"/>
  <c r="G73" i="5"/>
  <c r="F73" i="5"/>
  <c r="D73" i="5"/>
  <c r="H72" i="5"/>
  <c r="G72" i="5"/>
  <c r="F72" i="5"/>
  <c r="D72" i="5"/>
  <c r="G71" i="5"/>
  <c r="F71" i="5"/>
  <c r="D71" i="5"/>
  <c r="H71" i="5" s="1"/>
  <c r="H70" i="5"/>
  <c r="G70" i="5"/>
  <c r="F70" i="5"/>
  <c r="D70" i="5"/>
  <c r="H69" i="5"/>
  <c r="G68" i="5"/>
  <c r="F68" i="5"/>
  <c r="D68" i="5"/>
  <c r="H68" i="5" s="1"/>
  <c r="G67" i="5"/>
  <c r="F67" i="5"/>
  <c r="D67" i="5"/>
  <c r="H67" i="5" s="1"/>
  <c r="G66" i="5"/>
  <c r="F66" i="5"/>
  <c r="D66" i="5"/>
  <c r="H66" i="5" s="1"/>
  <c r="G65" i="5"/>
  <c r="F65" i="5"/>
  <c r="D65" i="5"/>
  <c r="H65" i="5" s="1"/>
  <c r="G64" i="5"/>
  <c r="F64" i="5"/>
  <c r="D64" i="5"/>
  <c r="H64" i="5" s="1"/>
  <c r="G63" i="5"/>
  <c r="F63" i="5"/>
  <c r="D63" i="5"/>
  <c r="H63" i="5" s="1"/>
  <c r="G62" i="5"/>
  <c r="F62" i="5"/>
  <c r="D62" i="5"/>
  <c r="H62" i="5" s="1"/>
  <c r="H61" i="5"/>
  <c r="G60" i="5"/>
  <c r="F60" i="5"/>
  <c r="H60" i="5" s="1"/>
  <c r="D60" i="5"/>
  <c r="G59" i="5"/>
  <c r="F59" i="5"/>
  <c r="H59" i="5" s="1"/>
  <c r="D59" i="5"/>
  <c r="G58" i="5"/>
  <c r="F58" i="5"/>
  <c r="H58" i="5" s="1"/>
  <c r="D58" i="5"/>
  <c r="G57" i="5"/>
  <c r="F57" i="5"/>
  <c r="H57" i="5" s="1"/>
  <c r="D57" i="5"/>
  <c r="G56" i="5"/>
  <c r="F56" i="5"/>
  <c r="H56" i="5" s="1"/>
  <c r="D56" i="5"/>
  <c r="G55" i="5"/>
  <c r="F55" i="5"/>
  <c r="H55" i="5" s="1"/>
  <c r="D55" i="5"/>
  <c r="G54" i="5"/>
  <c r="F54" i="5"/>
  <c r="H54" i="5" s="1"/>
  <c r="D54" i="5"/>
  <c r="G53" i="5"/>
  <c r="F53" i="5"/>
  <c r="H53" i="5" s="1"/>
  <c r="D53" i="5"/>
  <c r="H52" i="5"/>
  <c r="H51" i="5"/>
  <c r="G50" i="5"/>
  <c r="F50" i="5"/>
  <c r="D50" i="5"/>
  <c r="H50" i="5" s="1"/>
  <c r="H49" i="5"/>
  <c r="G49" i="5"/>
  <c r="F49" i="5"/>
  <c r="D49" i="5"/>
  <c r="H48" i="5"/>
  <c r="G48" i="5"/>
  <c r="F48" i="5"/>
  <c r="D48" i="5"/>
  <c r="G47" i="5"/>
  <c r="F47" i="5"/>
  <c r="D47" i="5"/>
  <c r="H47" i="5" s="1"/>
  <c r="H46" i="5"/>
  <c r="G46" i="5"/>
  <c r="F46" i="5"/>
  <c r="D46" i="5"/>
  <c r="H45" i="5"/>
  <c r="G45" i="5"/>
  <c r="F45" i="5"/>
  <c r="D45" i="5"/>
  <c r="G44" i="5"/>
  <c r="F44" i="5"/>
  <c r="D44" i="5"/>
  <c r="H44" i="5" s="1"/>
  <c r="H43" i="5"/>
  <c r="G43" i="5"/>
  <c r="F43" i="5"/>
  <c r="D43" i="5"/>
  <c r="H42" i="5"/>
  <c r="G42" i="5"/>
  <c r="F42" i="5"/>
  <c r="D42" i="5"/>
  <c r="H41" i="5"/>
  <c r="G40" i="5"/>
  <c r="F40" i="5"/>
  <c r="D40" i="5"/>
  <c r="H40" i="5" s="1"/>
  <c r="H39" i="5"/>
  <c r="G38" i="5"/>
  <c r="F38" i="5"/>
  <c r="H38" i="5" s="1"/>
  <c r="D38" i="5"/>
  <c r="H37" i="5"/>
  <c r="H36" i="5"/>
  <c r="H35" i="5"/>
  <c r="H34" i="5"/>
  <c r="H33" i="5"/>
  <c r="H32" i="5"/>
  <c r="H31" i="5"/>
  <c r="G31" i="5"/>
  <c r="F31" i="5"/>
  <c r="D31" i="5"/>
  <c r="H30" i="5"/>
  <c r="G30" i="5"/>
  <c r="F30" i="5"/>
  <c r="D30" i="5"/>
  <c r="G29" i="5"/>
  <c r="F29" i="5"/>
  <c r="D29" i="5"/>
  <c r="H29" i="5" s="1"/>
  <c r="H28" i="5"/>
  <c r="G28" i="5"/>
  <c r="F28" i="5"/>
  <c r="D28" i="5"/>
  <c r="H27" i="5"/>
  <c r="G27" i="5"/>
  <c r="F27" i="5"/>
  <c r="D27" i="5"/>
  <c r="G26" i="5"/>
  <c r="F26" i="5"/>
  <c r="D26" i="5"/>
  <c r="H26" i="5" s="1"/>
  <c r="H25" i="5"/>
  <c r="G25" i="5"/>
  <c r="F25" i="5"/>
  <c r="D25" i="5"/>
  <c r="H24" i="5"/>
  <c r="G24" i="5"/>
  <c r="F24" i="5"/>
  <c r="D24" i="5"/>
  <c r="H23" i="5"/>
  <c r="G22" i="5"/>
  <c r="F22" i="5"/>
  <c r="D22" i="5"/>
  <c r="H22" i="5" s="1"/>
  <c r="G21" i="5"/>
  <c r="F21" i="5"/>
  <c r="D21" i="5"/>
  <c r="H21" i="5" s="1"/>
  <c r="G20" i="5"/>
  <c r="F20" i="5"/>
  <c r="D20" i="5"/>
  <c r="H20" i="5" s="1"/>
  <c r="G19" i="5"/>
  <c r="F19" i="5"/>
  <c r="D19" i="5"/>
  <c r="H19" i="5" s="1"/>
  <c r="G18" i="5"/>
  <c r="F18" i="5"/>
  <c r="D18" i="5"/>
  <c r="H18" i="5" s="1"/>
  <c r="G17" i="5"/>
  <c r="F17" i="5"/>
  <c r="D17" i="5"/>
  <c r="H17" i="5" s="1"/>
  <c r="G16" i="5"/>
  <c r="F16" i="5"/>
  <c r="D16" i="5"/>
  <c r="H16" i="5" s="1"/>
  <c r="G15" i="5"/>
  <c r="F15" i="5"/>
  <c r="D15" i="5"/>
  <c r="H15" i="5" s="1"/>
  <c r="G14" i="5"/>
  <c r="F14" i="5"/>
  <c r="D14" i="5"/>
  <c r="H14" i="5" s="1"/>
  <c r="G13" i="5"/>
  <c r="F13" i="5"/>
  <c r="D13" i="5"/>
  <c r="H13" i="5" s="1"/>
  <c r="G12" i="5"/>
  <c r="F12" i="5"/>
  <c r="D12" i="5"/>
  <c r="H12" i="5" s="1"/>
  <c r="G1498" i="4"/>
  <c r="F1498" i="4"/>
  <c r="E1498" i="4"/>
  <c r="D1498" i="4"/>
  <c r="H1496" i="4"/>
  <c r="H1495" i="4"/>
  <c r="H1494" i="4"/>
  <c r="H1493" i="4"/>
  <c r="I1492" i="4"/>
  <c r="H1491" i="4"/>
  <c r="I1490" i="4"/>
  <c r="G1489" i="4"/>
  <c r="F1489" i="4"/>
  <c r="E1489" i="4"/>
  <c r="I1489" i="4" s="1"/>
  <c r="I1488" i="4"/>
  <c r="I1487" i="4"/>
  <c r="H1486" i="4"/>
  <c r="I1485" i="4"/>
  <c r="H1484" i="4"/>
  <c r="G1483" i="4"/>
  <c r="F1483" i="4"/>
  <c r="D1483" i="4"/>
  <c r="H1483" i="4" s="1"/>
  <c r="G1482" i="4"/>
  <c r="F1482" i="4"/>
  <c r="D1482" i="4"/>
  <c r="H1482" i="4" s="1"/>
  <c r="H1481" i="4"/>
  <c r="G1480" i="4"/>
  <c r="H1480" i="4" s="1"/>
  <c r="F1480" i="4"/>
  <c r="D1480" i="4"/>
  <c r="G1479" i="4"/>
  <c r="F1479" i="4"/>
  <c r="D1479" i="4"/>
  <c r="H1479" i="4" s="1"/>
  <c r="G1478" i="4"/>
  <c r="F1478" i="4"/>
  <c r="H1478" i="4" s="1"/>
  <c r="D1478" i="4"/>
  <c r="G1477" i="4"/>
  <c r="H1477" i="4" s="1"/>
  <c r="F1477" i="4"/>
  <c r="D1477" i="4"/>
  <c r="G1476" i="4"/>
  <c r="F1476" i="4"/>
  <c r="D1476" i="4"/>
  <c r="H1476" i="4" s="1"/>
  <c r="G1475" i="4"/>
  <c r="F1475" i="4"/>
  <c r="H1475" i="4" s="1"/>
  <c r="D1475" i="4"/>
  <c r="G1474" i="4"/>
  <c r="H1474" i="4" s="1"/>
  <c r="F1474" i="4"/>
  <c r="D1474" i="4"/>
  <c r="G1473" i="4"/>
  <c r="F1473" i="4"/>
  <c r="D1473" i="4"/>
  <c r="H1473" i="4" s="1"/>
  <c r="G1472" i="4"/>
  <c r="F1472" i="4"/>
  <c r="H1472" i="4" s="1"/>
  <c r="D1472" i="4"/>
  <c r="G1471" i="4"/>
  <c r="H1471" i="4" s="1"/>
  <c r="F1471" i="4"/>
  <c r="D1471" i="4"/>
  <c r="G1470" i="4"/>
  <c r="F1470" i="4"/>
  <c r="D1470" i="4"/>
  <c r="H1470" i="4" s="1"/>
  <c r="H1469" i="4"/>
  <c r="H1468" i="4"/>
  <c r="G1467" i="4"/>
  <c r="F1467" i="4"/>
  <c r="D1467" i="4"/>
  <c r="H1467" i="4" s="1"/>
  <c r="G1466" i="4"/>
  <c r="F1466" i="4"/>
  <c r="D1466" i="4"/>
  <c r="H1466" i="4" s="1"/>
  <c r="G1465" i="4"/>
  <c r="F1465" i="4"/>
  <c r="D1465" i="4"/>
  <c r="H1465" i="4" s="1"/>
  <c r="G1464" i="4"/>
  <c r="F1464" i="4"/>
  <c r="D1464" i="4"/>
  <c r="H1464" i="4" s="1"/>
  <c r="G1463" i="4"/>
  <c r="F1463" i="4"/>
  <c r="D1463" i="4"/>
  <c r="H1463" i="4" s="1"/>
  <c r="G1462" i="4"/>
  <c r="F1462" i="4"/>
  <c r="D1462" i="4"/>
  <c r="H1462" i="4" s="1"/>
  <c r="G1461" i="4"/>
  <c r="F1461" i="4"/>
  <c r="D1461" i="4"/>
  <c r="H1461" i="4" s="1"/>
  <c r="G1460" i="4"/>
  <c r="F1460" i="4"/>
  <c r="D1460" i="4"/>
  <c r="H1460" i="4" s="1"/>
  <c r="G1459" i="4"/>
  <c r="F1459" i="4"/>
  <c r="D1459" i="4"/>
  <c r="H1459" i="4" s="1"/>
  <c r="G1458" i="4"/>
  <c r="F1458" i="4"/>
  <c r="D1458" i="4"/>
  <c r="H1458" i="4" s="1"/>
  <c r="G1457" i="4"/>
  <c r="F1457" i="4"/>
  <c r="D1457" i="4"/>
  <c r="H1457" i="4" s="1"/>
  <c r="G1456" i="4"/>
  <c r="F1456" i="4"/>
  <c r="D1456" i="4"/>
  <c r="H1456" i="4" s="1"/>
  <c r="G1455" i="4"/>
  <c r="F1455" i="4"/>
  <c r="D1455" i="4"/>
  <c r="H1455" i="4" s="1"/>
  <c r="G1454" i="4"/>
  <c r="F1454" i="4"/>
  <c r="D1454" i="4"/>
  <c r="H1454" i="4" s="1"/>
  <c r="G1453" i="4"/>
  <c r="F1453" i="4"/>
  <c r="D1453" i="4"/>
  <c r="H1453" i="4" s="1"/>
  <c r="G1452" i="4"/>
  <c r="F1452" i="4"/>
  <c r="D1452" i="4"/>
  <c r="H1452" i="4" s="1"/>
  <c r="G1451" i="4"/>
  <c r="F1451" i="4"/>
  <c r="D1451" i="4"/>
  <c r="H1451" i="4" s="1"/>
  <c r="H1450" i="4"/>
  <c r="G1449" i="4"/>
  <c r="F1449" i="4"/>
  <c r="D1449" i="4"/>
  <c r="H1449" i="4" s="1"/>
  <c r="G1448" i="4"/>
  <c r="F1448" i="4"/>
  <c r="H1448" i="4" s="1"/>
  <c r="D1448" i="4"/>
  <c r="G1447" i="4"/>
  <c r="F1447" i="4"/>
  <c r="H1447" i="4" s="1"/>
  <c r="D1447" i="4"/>
  <c r="G1446" i="4"/>
  <c r="F1446" i="4"/>
  <c r="D1446" i="4"/>
  <c r="H1446" i="4" s="1"/>
  <c r="G1445" i="4"/>
  <c r="F1445" i="4"/>
  <c r="H1445" i="4" s="1"/>
  <c r="D1445" i="4"/>
  <c r="G1444" i="4"/>
  <c r="F1444" i="4"/>
  <c r="H1444" i="4" s="1"/>
  <c r="D1444" i="4"/>
  <c r="G1443" i="4"/>
  <c r="F1443" i="4"/>
  <c r="D1443" i="4"/>
  <c r="H1443" i="4" s="1"/>
  <c r="G1442" i="4"/>
  <c r="F1442" i="4"/>
  <c r="D1442" i="4"/>
  <c r="H1442" i="4" s="1"/>
  <c r="G1441" i="4"/>
  <c r="F1441" i="4"/>
  <c r="H1441" i="4" s="1"/>
  <c r="D1441" i="4"/>
  <c r="G1440" i="4"/>
  <c r="F1440" i="4"/>
  <c r="D1440" i="4"/>
  <c r="H1440" i="4" s="1"/>
  <c r="G1439" i="4"/>
  <c r="F1439" i="4"/>
  <c r="D1439" i="4"/>
  <c r="H1439" i="4" s="1"/>
  <c r="G1438" i="4"/>
  <c r="F1438" i="4"/>
  <c r="H1438" i="4" s="1"/>
  <c r="D1438" i="4"/>
  <c r="G1437" i="4"/>
  <c r="F1437" i="4"/>
  <c r="D1437" i="4"/>
  <c r="H1437" i="4" s="1"/>
  <c r="G1436" i="4"/>
  <c r="F1436" i="4"/>
  <c r="D1436" i="4"/>
  <c r="H1436" i="4" s="1"/>
  <c r="G1435" i="4"/>
  <c r="F1435" i="4"/>
  <c r="D1435" i="4"/>
  <c r="H1435" i="4" s="1"/>
  <c r="G1434" i="4"/>
  <c r="F1434" i="4"/>
  <c r="D1434" i="4"/>
  <c r="H1434" i="4" s="1"/>
  <c r="G1433" i="4"/>
  <c r="F1433" i="4"/>
  <c r="D1433" i="4"/>
  <c r="H1433" i="4" s="1"/>
  <c r="G1432" i="4"/>
  <c r="F1432" i="4"/>
  <c r="D1432" i="4"/>
  <c r="H1432" i="4" s="1"/>
  <c r="H1431" i="4"/>
  <c r="G1430" i="4"/>
  <c r="F1430" i="4"/>
  <c r="H1430" i="4" s="1"/>
  <c r="D1430" i="4"/>
  <c r="G1429" i="4"/>
  <c r="H1429" i="4" s="1"/>
  <c r="F1429" i="4"/>
  <c r="D1429" i="4"/>
  <c r="G1428" i="4"/>
  <c r="F1428" i="4"/>
  <c r="D1428" i="4"/>
  <c r="H1428" i="4" s="1"/>
  <c r="G1427" i="4"/>
  <c r="F1427" i="4"/>
  <c r="H1427" i="4" s="1"/>
  <c r="D1427" i="4"/>
  <c r="G1426" i="4"/>
  <c r="H1426" i="4" s="1"/>
  <c r="F1426" i="4"/>
  <c r="D1426" i="4"/>
  <c r="G1425" i="4"/>
  <c r="F1425" i="4"/>
  <c r="D1425" i="4"/>
  <c r="H1425" i="4" s="1"/>
  <c r="G1424" i="4"/>
  <c r="F1424" i="4"/>
  <c r="H1424" i="4" s="1"/>
  <c r="D1424" i="4"/>
  <c r="G1423" i="4"/>
  <c r="H1423" i="4" s="1"/>
  <c r="F1423" i="4"/>
  <c r="D1423" i="4"/>
  <c r="G1422" i="4"/>
  <c r="F1422" i="4"/>
  <c r="D1422" i="4"/>
  <c r="H1422" i="4" s="1"/>
  <c r="G1421" i="4"/>
  <c r="F1421" i="4"/>
  <c r="H1421" i="4" s="1"/>
  <c r="D1421" i="4"/>
  <c r="G1420" i="4"/>
  <c r="H1420" i="4" s="1"/>
  <c r="F1420" i="4"/>
  <c r="D1420" i="4"/>
  <c r="G1419" i="4"/>
  <c r="F1419" i="4"/>
  <c r="D1419" i="4"/>
  <c r="H1419" i="4" s="1"/>
  <c r="G1418" i="4"/>
  <c r="F1418" i="4"/>
  <c r="H1418" i="4" s="1"/>
  <c r="D1418" i="4"/>
  <c r="G1417" i="4"/>
  <c r="H1417" i="4" s="1"/>
  <c r="F1417" i="4"/>
  <c r="D1417" i="4"/>
  <c r="G1416" i="4"/>
  <c r="F1416" i="4"/>
  <c r="D1416" i="4"/>
  <c r="H1416" i="4" s="1"/>
  <c r="H1415" i="4"/>
  <c r="G1414" i="4"/>
  <c r="F1414" i="4"/>
  <c r="D1414" i="4"/>
  <c r="H1414" i="4" s="1"/>
  <c r="H1413" i="4"/>
  <c r="G1413" i="4"/>
  <c r="F1413" i="4"/>
  <c r="D1413" i="4"/>
  <c r="H1412" i="4"/>
  <c r="G1412" i="4"/>
  <c r="F1412" i="4"/>
  <c r="D1412" i="4"/>
  <c r="G1411" i="4"/>
  <c r="F1411" i="4"/>
  <c r="D1411" i="4"/>
  <c r="H1411" i="4" s="1"/>
  <c r="H1410" i="4"/>
  <c r="G1410" i="4"/>
  <c r="F1410" i="4"/>
  <c r="D1410" i="4"/>
  <c r="G1409" i="4"/>
  <c r="F1409" i="4"/>
  <c r="H1409" i="4" s="1"/>
  <c r="D1409" i="4"/>
  <c r="G1408" i="4"/>
  <c r="F1408" i="4"/>
  <c r="D1408" i="4"/>
  <c r="H1408" i="4" s="1"/>
  <c r="H1407" i="4"/>
  <c r="G1407" i="4"/>
  <c r="F1407" i="4"/>
  <c r="D1407" i="4"/>
  <c r="G1406" i="4"/>
  <c r="F1406" i="4"/>
  <c r="H1406" i="4" s="1"/>
  <c r="D1406" i="4"/>
  <c r="G1405" i="4"/>
  <c r="F1405" i="4"/>
  <c r="D1405" i="4"/>
  <c r="H1405" i="4" s="1"/>
  <c r="H1404" i="4"/>
  <c r="H1403" i="4"/>
  <c r="G1402" i="4"/>
  <c r="F1402" i="4"/>
  <c r="H1402" i="4" s="1"/>
  <c r="D1402" i="4"/>
  <c r="G1401" i="4"/>
  <c r="F1401" i="4"/>
  <c r="D1401" i="4"/>
  <c r="H1401" i="4" s="1"/>
  <c r="G1400" i="4"/>
  <c r="F1400" i="4"/>
  <c r="D1400" i="4"/>
  <c r="H1400" i="4" s="1"/>
  <c r="G1399" i="4"/>
  <c r="F1399" i="4"/>
  <c r="H1399" i="4" s="1"/>
  <c r="D1399" i="4"/>
  <c r="G1398" i="4"/>
  <c r="F1398" i="4"/>
  <c r="D1398" i="4"/>
  <c r="H1398" i="4" s="1"/>
  <c r="G1397" i="4"/>
  <c r="F1397" i="4"/>
  <c r="D1397" i="4"/>
  <c r="H1397" i="4" s="1"/>
  <c r="G1396" i="4"/>
  <c r="F1396" i="4"/>
  <c r="H1396" i="4" s="1"/>
  <c r="D1396" i="4"/>
  <c r="G1395" i="4"/>
  <c r="F1395" i="4"/>
  <c r="D1395" i="4"/>
  <c r="H1395" i="4" s="1"/>
  <c r="G1394" i="4"/>
  <c r="F1394" i="4"/>
  <c r="D1394" i="4"/>
  <c r="H1394" i="4" s="1"/>
  <c r="G1393" i="4"/>
  <c r="F1393" i="4"/>
  <c r="D1393" i="4"/>
  <c r="H1393" i="4" s="1"/>
  <c r="G1392" i="4"/>
  <c r="F1392" i="4"/>
  <c r="D1392" i="4"/>
  <c r="H1392" i="4" s="1"/>
  <c r="G1391" i="4"/>
  <c r="F1391" i="4"/>
  <c r="D1391" i="4"/>
  <c r="H1391" i="4" s="1"/>
  <c r="G1390" i="4"/>
  <c r="F1390" i="4"/>
  <c r="D1390" i="4"/>
  <c r="H1390" i="4" s="1"/>
  <c r="G1389" i="4"/>
  <c r="F1389" i="4"/>
  <c r="D1389" i="4"/>
  <c r="H1389" i="4" s="1"/>
  <c r="G1388" i="4"/>
  <c r="F1388" i="4"/>
  <c r="D1388" i="4"/>
  <c r="H1388" i="4" s="1"/>
  <c r="G1387" i="4"/>
  <c r="F1387" i="4"/>
  <c r="D1387" i="4"/>
  <c r="H1387" i="4" s="1"/>
  <c r="H1386" i="4"/>
  <c r="G1385" i="4"/>
  <c r="F1385" i="4"/>
  <c r="H1385" i="4" s="1"/>
  <c r="D1385" i="4"/>
  <c r="G1384" i="4"/>
  <c r="H1384" i="4" s="1"/>
  <c r="F1384" i="4"/>
  <c r="D1384" i="4"/>
  <c r="G1383" i="4"/>
  <c r="F1383" i="4"/>
  <c r="D1383" i="4"/>
  <c r="H1383" i="4" s="1"/>
  <c r="G1382" i="4"/>
  <c r="F1382" i="4"/>
  <c r="H1382" i="4" s="1"/>
  <c r="D1382" i="4"/>
  <c r="G1381" i="4"/>
  <c r="H1381" i="4" s="1"/>
  <c r="F1381" i="4"/>
  <c r="D1381" i="4"/>
  <c r="G1380" i="4"/>
  <c r="F1380" i="4"/>
  <c r="D1380" i="4"/>
  <c r="H1380" i="4" s="1"/>
  <c r="G1379" i="4"/>
  <c r="F1379" i="4"/>
  <c r="H1379" i="4" s="1"/>
  <c r="D1379" i="4"/>
  <c r="G1378" i="4"/>
  <c r="H1378" i="4" s="1"/>
  <c r="F1378" i="4"/>
  <c r="D1378" i="4"/>
  <c r="G1377" i="4"/>
  <c r="F1377" i="4"/>
  <c r="D1377" i="4"/>
  <c r="H1377" i="4" s="1"/>
  <c r="G1376" i="4"/>
  <c r="F1376" i="4"/>
  <c r="H1376" i="4" s="1"/>
  <c r="D1376" i="4"/>
  <c r="G1375" i="4"/>
  <c r="H1375" i="4" s="1"/>
  <c r="F1375" i="4"/>
  <c r="D1375" i="4"/>
  <c r="G1374" i="4"/>
  <c r="F1374" i="4"/>
  <c r="D1374" i="4"/>
  <c r="H1374" i="4" s="1"/>
  <c r="G1373" i="4"/>
  <c r="F1373" i="4"/>
  <c r="H1373" i="4" s="1"/>
  <c r="D1373" i="4"/>
  <c r="G1372" i="4"/>
  <c r="H1372" i="4" s="1"/>
  <c r="F1372" i="4"/>
  <c r="D1372" i="4"/>
  <c r="G1371" i="4"/>
  <c r="F1371" i="4"/>
  <c r="D1371" i="4"/>
  <c r="H1371" i="4" s="1"/>
  <c r="H1370" i="4"/>
  <c r="G1369" i="4"/>
  <c r="F1369" i="4"/>
  <c r="D1369" i="4"/>
  <c r="H1369" i="4" s="1"/>
  <c r="H1368" i="4"/>
  <c r="G1368" i="4"/>
  <c r="F1368" i="4"/>
  <c r="D1368" i="4"/>
  <c r="H1367" i="4"/>
  <c r="G1367" i="4"/>
  <c r="F1367" i="4"/>
  <c r="D1367" i="4"/>
  <c r="G1366" i="4"/>
  <c r="F1366" i="4"/>
  <c r="D1366" i="4"/>
  <c r="H1366" i="4" s="1"/>
  <c r="H1365" i="4"/>
  <c r="G1365" i="4"/>
  <c r="F1365" i="4"/>
  <c r="D1365" i="4"/>
  <c r="H1364" i="4"/>
  <c r="G1364" i="4"/>
  <c r="F1364" i="4"/>
  <c r="D1364" i="4"/>
  <c r="G1363" i="4"/>
  <c r="F1363" i="4"/>
  <c r="D1363" i="4"/>
  <c r="H1363" i="4" s="1"/>
  <c r="H1362" i="4"/>
  <c r="G1362" i="4"/>
  <c r="F1362" i="4"/>
  <c r="D1362" i="4"/>
  <c r="G1361" i="4"/>
  <c r="F1361" i="4"/>
  <c r="H1361" i="4" s="1"/>
  <c r="D1361" i="4"/>
  <c r="G1360" i="4"/>
  <c r="F1360" i="4"/>
  <c r="D1360" i="4"/>
  <c r="H1360" i="4" s="1"/>
  <c r="H1359" i="4"/>
  <c r="G1359" i="4"/>
  <c r="F1359" i="4"/>
  <c r="D1359" i="4"/>
  <c r="G1358" i="4"/>
  <c r="F1358" i="4"/>
  <c r="H1358" i="4" s="1"/>
  <c r="D1358" i="4"/>
  <c r="G1357" i="4"/>
  <c r="F1357" i="4"/>
  <c r="D1357" i="4"/>
  <c r="H1357" i="4" s="1"/>
  <c r="H1356" i="4"/>
  <c r="G1356" i="4"/>
  <c r="F1356" i="4"/>
  <c r="D1356" i="4"/>
  <c r="G1355" i="4"/>
  <c r="F1355" i="4"/>
  <c r="H1355" i="4" s="1"/>
  <c r="D1355" i="4"/>
  <c r="G1354" i="4"/>
  <c r="F1354" i="4"/>
  <c r="D1354" i="4"/>
  <c r="H1354" i="4" s="1"/>
  <c r="H1353" i="4"/>
  <c r="G1352" i="4"/>
  <c r="F1352" i="4"/>
  <c r="D1352" i="4"/>
  <c r="H1352" i="4" s="1"/>
  <c r="G1351" i="4"/>
  <c r="F1351" i="4"/>
  <c r="D1351" i="4"/>
  <c r="H1351" i="4" s="1"/>
  <c r="G1350" i="4"/>
  <c r="F1350" i="4"/>
  <c r="D1350" i="4"/>
  <c r="H1350" i="4" s="1"/>
  <c r="G1349" i="4"/>
  <c r="F1349" i="4"/>
  <c r="D1349" i="4"/>
  <c r="H1349" i="4" s="1"/>
  <c r="G1348" i="4"/>
  <c r="F1348" i="4"/>
  <c r="D1348" i="4"/>
  <c r="H1348" i="4" s="1"/>
  <c r="G1347" i="4"/>
  <c r="F1347" i="4"/>
  <c r="D1347" i="4"/>
  <c r="H1347" i="4" s="1"/>
  <c r="G1346" i="4"/>
  <c r="F1346" i="4"/>
  <c r="D1346" i="4"/>
  <c r="H1346" i="4" s="1"/>
  <c r="G1345" i="4"/>
  <c r="F1345" i="4"/>
  <c r="D1345" i="4"/>
  <c r="H1345" i="4" s="1"/>
  <c r="G1344" i="4"/>
  <c r="F1344" i="4"/>
  <c r="D1344" i="4"/>
  <c r="H1344" i="4" s="1"/>
  <c r="G1343" i="4"/>
  <c r="F1343" i="4"/>
  <c r="D1343" i="4"/>
  <c r="H1343" i="4" s="1"/>
  <c r="H1342" i="4"/>
  <c r="G1341" i="4"/>
  <c r="F1341" i="4"/>
  <c r="D1341" i="4"/>
  <c r="H1341" i="4" s="1"/>
  <c r="G1340" i="4"/>
  <c r="F1340" i="4"/>
  <c r="D1340" i="4"/>
  <c r="H1340" i="4" s="1"/>
  <c r="G1339" i="4"/>
  <c r="F1339" i="4"/>
  <c r="H1339" i="4" s="1"/>
  <c r="D1339" i="4"/>
  <c r="G1338" i="4"/>
  <c r="F1338" i="4"/>
  <c r="D1338" i="4"/>
  <c r="H1338" i="4" s="1"/>
  <c r="G1337" i="4"/>
  <c r="F1337" i="4"/>
  <c r="D1337" i="4"/>
  <c r="H1337" i="4" s="1"/>
  <c r="G1336" i="4"/>
  <c r="F1336" i="4"/>
  <c r="H1336" i="4" s="1"/>
  <c r="D1336" i="4"/>
  <c r="G1335" i="4"/>
  <c r="F1335" i="4"/>
  <c r="D1335" i="4"/>
  <c r="H1335" i="4" s="1"/>
  <c r="G1334" i="4"/>
  <c r="F1334" i="4"/>
  <c r="D1334" i="4"/>
  <c r="H1334" i="4" s="1"/>
  <c r="G1333" i="4"/>
  <c r="F1333" i="4"/>
  <c r="H1333" i="4" s="1"/>
  <c r="D1333" i="4"/>
  <c r="G1332" i="4"/>
  <c r="F1332" i="4"/>
  <c r="D1332" i="4"/>
  <c r="H1332" i="4" s="1"/>
  <c r="H1331" i="4"/>
  <c r="G1330" i="4"/>
  <c r="H1330" i="4" s="1"/>
  <c r="F1330" i="4"/>
  <c r="D1330" i="4"/>
  <c r="G1329" i="4"/>
  <c r="F1329" i="4"/>
  <c r="D1329" i="4"/>
  <c r="H1329" i="4" s="1"/>
  <c r="G1328" i="4"/>
  <c r="F1328" i="4"/>
  <c r="H1328" i="4" s="1"/>
  <c r="D1328" i="4"/>
  <c r="G1327" i="4"/>
  <c r="H1327" i="4" s="1"/>
  <c r="F1327" i="4"/>
  <c r="D1327" i="4"/>
  <c r="G1326" i="4"/>
  <c r="F1326" i="4"/>
  <c r="D1326" i="4"/>
  <c r="H1326" i="4" s="1"/>
  <c r="G1325" i="4"/>
  <c r="F1325" i="4"/>
  <c r="H1325" i="4" s="1"/>
  <c r="D1325" i="4"/>
  <c r="G1324" i="4"/>
  <c r="H1324" i="4" s="1"/>
  <c r="F1324" i="4"/>
  <c r="D1324" i="4"/>
  <c r="G1323" i="4"/>
  <c r="F1323" i="4"/>
  <c r="D1323" i="4"/>
  <c r="H1323" i="4" s="1"/>
  <c r="G1322" i="4"/>
  <c r="F1322" i="4"/>
  <c r="H1322" i="4" s="1"/>
  <c r="D1322" i="4"/>
  <c r="G1321" i="4"/>
  <c r="H1321" i="4" s="1"/>
  <c r="F1321" i="4"/>
  <c r="D1321" i="4"/>
  <c r="G1320" i="4"/>
  <c r="F1320" i="4"/>
  <c r="D1320" i="4"/>
  <c r="H1320" i="4" s="1"/>
  <c r="G1319" i="4"/>
  <c r="F1319" i="4"/>
  <c r="H1319" i="4" s="1"/>
  <c r="D1319" i="4"/>
  <c r="G1318" i="4"/>
  <c r="H1318" i="4" s="1"/>
  <c r="F1318" i="4"/>
  <c r="D1318" i="4"/>
  <c r="G1317" i="4"/>
  <c r="F1317" i="4"/>
  <c r="D1317" i="4"/>
  <c r="H1317" i="4" s="1"/>
  <c r="G1316" i="4"/>
  <c r="F1316" i="4"/>
  <c r="D1316" i="4"/>
  <c r="H1316" i="4" s="1"/>
  <c r="G1315" i="4"/>
  <c r="F1315" i="4"/>
  <c r="D1315" i="4"/>
  <c r="H1315" i="4" s="1"/>
  <c r="H1314" i="4"/>
  <c r="G1313" i="4"/>
  <c r="F1313" i="4"/>
  <c r="H1313" i="4" s="1"/>
  <c r="D1313" i="4"/>
  <c r="G1312" i="4"/>
  <c r="F1312" i="4"/>
  <c r="D1312" i="4"/>
  <c r="H1312" i="4" s="1"/>
  <c r="G1311" i="4"/>
  <c r="F1311" i="4"/>
  <c r="H1311" i="4" s="1"/>
  <c r="D1311" i="4"/>
  <c r="G1310" i="4"/>
  <c r="F1310" i="4"/>
  <c r="H1310" i="4" s="1"/>
  <c r="D1310" i="4"/>
  <c r="G1309" i="4"/>
  <c r="F1309" i="4"/>
  <c r="D1309" i="4"/>
  <c r="H1309" i="4" s="1"/>
  <c r="G1308" i="4"/>
  <c r="F1308" i="4"/>
  <c r="H1308" i="4" s="1"/>
  <c r="D1308" i="4"/>
  <c r="G1307" i="4"/>
  <c r="F1307" i="4"/>
  <c r="H1307" i="4" s="1"/>
  <c r="D1307" i="4"/>
  <c r="G1306" i="4"/>
  <c r="F1306" i="4"/>
  <c r="D1306" i="4"/>
  <c r="H1306" i="4" s="1"/>
  <c r="G1305" i="4"/>
  <c r="F1305" i="4"/>
  <c r="H1305" i="4" s="1"/>
  <c r="D1305" i="4"/>
  <c r="G1304" i="4"/>
  <c r="F1304" i="4"/>
  <c r="H1304" i="4" s="1"/>
  <c r="D1304" i="4"/>
  <c r="G1303" i="4"/>
  <c r="F1303" i="4"/>
  <c r="D1303" i="4"/>
  <c r="H1303" i="4" s="1"/>
  <c r="G1302" i="4"/>
  <c r="F1302" i="4"/>
  <c r="H1302" i="4" s="1"/>
  <c r="D1302" i="4"/>
  <c r="G1301" i="4"/>
  <c r="F1301" i="4"/>
  <c r="H1301" i="4" s="1"/>
  <c r="D1301" i="4"/>
  <c r="G1300" i="4"/>
  <c r="F1300" i="4"/>
  <c r="D1300" i="4"/>
  <c r="H1300" i="4" s="1"/>
  <c r="G1299" i="4"/>
  <c r="F1299" i="4"/>
  <c r="H1299" i="4" s="1"/>
  <c r="D1299" i="4"/>
  <c r="H1298" i="4"/>
  <c r="G1297" i="4"/>
  <c r="F1297" i="4"/>
  <c r="D1297" i="4"/>
  <c r="H1297" i="4" s="1"/>
  <c r="G1296" i="4"/>
  <c r="F1296" i="4"/>
  <c r="D1296" i="4"/>
  <c r="H1296" i="4" s="1"/>
  <c r="G1295" i="4"/>
  <c r="F1295" i="4"/>
  <c r="D1295" i="4"/>
  <c r="H1295" i="4" s="1"/>
  <c r="G1294" i="4"/>
  <c r="F1294" i="4"/>
  <c r="D1294" i="4"/>
  <c r="H1294" i="4" s="1"/>
  <c r="G1293" i="4"/>
  <c r="F1293" i="4"/>
  <c r="D1293" i="4"/>
  <c r="H1293" i="4" s="1"/>
  <c r="G1292" i="4"/>
  <c r="F1292" i="4"/>
  <c r="D1292" i="4"/>
  <c r="H1292" i="4" s="1"/>
  <c r="G1291" i="4"/>
  <c r="F1291" i="4"/>
  <c r="D1291" i="4"/>
  <c r="H1291" i="4" s="1"/>
  <c r="G1290" i="4"/>
  <c r="F1290" i="4"/>
  <c r="D1290" i="4"/>
  <c r="H1290" i="4" s="1"/>
  <c r="G1289" i="4"/>
  <c r="F1289" i="4"/>
  <c r="D1289" i="4"/>
  <c r="H1289" i="4" s="1"/>
  <c r="G1288" i="4"/>
  <c r="F1288" i="4"/>
  <c r="D1288" i="4"/>
  <c r="H1288" i="4" s="1"/>
  <c r="G1287" i="4"/>
  <c r="F1287" i="4"/>
  <c r="D1287" i="4"/>
  <c r="H1287" i="4" s="1"/>
  <c r="G1286" i="4"/>
  <c r="F1286" i="4"/>
  <c r="D1286" i="4"/>
  <c r="H1286" i="4" s="1"/>
  <c r="G1285" i="4"/>
  <c r="F1285" i="4"/>
  <c r="D1285" i="4"/>
  <c r="H1285" i="4" s="1"/>
  <c r="G1284" i="4"/>
  <c r="F1284" i="4"/>
  <c r="D1284" i="4"/>
  <c r="H1284" i="4" s="1"/>
  <c r="G1283" i="4"/>
  <c r="F1283" i="4"/>
  <c r="D1283" i="4"/>
  <c r="H1283" i="4" s="1"/>
  <c r="H1282" i="4"/>
  <c r="G1281" i="4"/>
  <c r="F1281" i="4"/>
  <c r="D1281" i="4"/>
  <c r="H1281" i="4" s="1"/>
  <c r="G1280" i="4"/>
  <c r="F1280" i="4"/>
  <c r="H1280" i="4" s="1"/>
  <c r="D1280" i="4"/>
  <c r="H1279" i="4"/>
  <c r="G1279" i="4"/>
  <c r="F1279" i="4"/>
  <c r="D1279" i="4"/>
  <c r="G1278" i="4"/>
  <c r="F1278" i="4"/>
  <c r="D1278" i="4"/>
  <c r="H1278" i="4" s="1"/>
  <c r="G1277" i="4"/>
  <c r="F1277" i="4"/>
  <c r="D1277" i="4"/>
  <c r="H1277" i="4" s="1"/>
  <c r="H1276" i="4"/>
  <c r="G1276" i="4"/>
  <c r="F1276" i="4"/>
  <c r="D1276" i="4"/>
  <c r="G1275" i="4"/>
  <c r="F1275" i="4"/>
  <c r="D1275" i="4"/>
  <c r="H1275" i="4" s="1"/>
  <c r="G1274" i="4"/>
  <c r="F1274" i="4"/>
  <c r="D1274" i="4"/>
  <c r="H1274" i="4" s="1"/>
  <c r="H1273" i="4"/>
  <c r="G1273" i="4"/>
  <c r="F1273" i="4"/>
  <c r="D1273" i="4"/>
  <c r="G1272" i="4"/>
  <c r="F1272" i="4"/>
  <c r="D1272" i="4"/>
  <c r="H1272" i="4" s="1"/>
  <c r="H1271" i="4"/>
  <c r="G1270" i="4"/>
  <c r="F1270" i="4"/>
  <c r="D1270" i="4"/>
  <c r="H1270" i="4" s="1"/>
  <c r="G1269" i="4"/>
  <c r="F1269" i="4"/>
  <c r="D1269" i="4"/>
  <c r="H1269" i="4" s="1"/>
  <c r="G1268" i="4"/>
  <c r="F1268" i="4"/>
  <c r="H1268" i="4" s="1"/>
  <c r="D1268" i="4"/>
  <c r="G1267" i="4"/>
  <c r="F1267" i="4"/>
  <c r="D1267" i="4"/>
  <c r="H1267" i="4" s="1"/>
  <c r="G1266" i="4"/>
  <c r="F1266" i="4"/>
  <c r="D1266" i="4"/>
  <c r="H1266" i="4" s="1"/>
  <c r="G1265" i="4"/>
  <c r="F1265" i="4"/>
  <c r="H1265" i="4" s="1"/>
  <c r="D1265" i="4"/>
  <c r="G1264" i="4"/>
  <c r="F1264" i="4"/>
  <c r="D1264" i="4"/>
  <c r="H1264" i="4" s="1"/>
  <c r="G1263" i="4"/>
  <c r="F1263" i="4"/>
  <c r="D1263" i="4"/>
  <c r="H1263" i="4" s="1"/>
  <c r="G1262" i="4"/>
  <c r="F1262" i="4"/>
  <c r="H1262" i="4" s="1"/>
  <c r="D1262" i="4"/>
  <c r="G1261" i="4"/>
  <c r="F1261" i="4"/>
  <c r="D1261" i="4"/>
  <c r="H1261" i="4" s="1"/>
  <c r="G1260" i="4"/>
  <c r="F1260" i="4"/>
  <c r="D1260" i="4"/>
  <c r="H1260" i="4" s="1"/>
  <c r="G1259" i="4"/>
  <c r="F1259" i="4"/>
  <c r="D1259" i="4"/>
  <c r="H1259" i="4" s="1"/>
  <c r="G1258" i="4"/>
  <c r="F1258" i="4"/>
  <c r="D1258" i="4"/>
  <c r="H1258" i="4" s="1"/>
  <c r="G1257" i="4"/>
  <c r="F1257" i="4"/>
  <c r="D1257" i="4"/>
  <c r="H1257" i="4" s="1"/>
  <c r="G1256" i="4"/>
  <c r="F1256" i="4"/>
  <c r="D1256" i="4"/>
  <c r="H1256" i="4" s="1"/>
  <c r="G1255" i="4"/>
  <c r="F1255" i="4"/>
  <c r="D1255" i="4"/>
  <c r="H1255" i="4" s="1"/>
  <c r="H1254" i="4"/>
  <c r="G1253" i="4"/>
  <c r="F1253" i="4"/>
  <c r="H1253" i="4" s="1"/>
  <c r="D1253" i="4"/>
  <c r="G1252" i="4"/>
  <c r="F1252" i="4"/>
  <c r="D1252" i="4"/>
  <c r="H1252" i="4" s="1"/>
  <c r="G1251" i="4"/>
  <c r="F1251" i="4"/>
  <c r="H1251" i="4" s="1"/>
  <c r="D1251" i="4"/>
  <c r="G1250" i="4"/>
  <c r="F1250" i="4"/>
  <c r="H1250" i="4" s="1"/>
  <c r="D1250" i="4"/>
  <c r="G1249" i="4"/>
  <c r="F1249" i="4"/>
  <c r="D1249" i="4"/>
  <c r="H1249" i="4" s="1"/>
  <c r="G1248" i="4"/>
  <c r="F1248" i="4"/>
  <c r="H1248" i="4" s="1"/>
  <c r="D1248" i="4"/>
  <c r="G1247" i="4"/>
  <c r="F1247" i="4"/>
  <c r="H1247" i="4" s="1"/>
  <c r="D1247" i="4"/>
  <c r="G1246" i="4"/>
  <c r="F1246" i="4"/>
  <c r="D1246" i="4"/>
  <c r="H1246" i="4" s="1"/>
  <c r="G1245" i="4"/>
  <c r="F1245" i="4"/>
  <c r="H1245" i="4" s="1"/>
  <c r="D1245" i="4"/>
  <c r="G1244" i="4"/>
  <c r="F1244" i="4"/>
  <c r="H1244" i="4" s="1"/>
  <c r="D1244" i="4"/>
  <c r="G1243" i="4"/>
  <c r="F1243" i="4"/>
  <c r="D1243" i="4"/>
  <c r="H1243" i="4" s="1"/>
  <c r="G1242" i="4"/>
  <c r="F1242" i="4"/>
  <c r="H1242" i="4" s="1"/>
  <c r="D1242" i="4"/>
  <c r="G1241" i="4"/>
  <c r="F1241" i="4"/>
  <c r="D1241" i="4"/>
  <c r="H1241" i="4" s="1"/>
  <c r="G1240" i="4"/>
  <c r="F1240" i="4"/>
  <c r="D1240" i="4"/>
  <c r="H1240" i="4" s="1"/>
  <c r="G1239" i="4"/>
  <c r="F1239" i="4"/>
  <c r="H1239" i="4" s="1"/>
  <c r="D1239" i="4"/>
  <c r="G1238" i="4"/>
  <c r="F1238" i="4"/>
  <c r="D1238" i="4"/>
  <c r="H1238" i="4" s="1"/>
  <c r="H1237" i="4"/>
  <c r="G1236" i="4"/>
  <c r="F1236" i="4"/>
  <c r="D1236" i="4"/>
  <c r="H1236" i="4" s="1"/>
  <c r="G1235" i="4"/>
  <c r="F1235" i="4"/>
  <c r="D1235" i="4"/>
  <c r="H1235" i="4" s="1"/>
  <c r="G1234" i="4"/>
  <c r="F1234" i="4"/>
  <c r="D1234" i="4"/>
  <c r="H1234" i="4" s="1"/>
  <c r="G1233" i="4"/>
  <c r="F1233" i="4"/>
  <c r="D1233" i="4"/>
  <c r="H1233" i="4" s="1"/>
  <c r="G1232" i="4"/>
  <c r="F1232" i="4"/>
  <c r="D1232" i="4"/>
  <c r="H1232" i="4" s="1"/>
  <c r="G1231" i="4"/>
  <c r="F1231" i="4"/>
  <c r="D1231" i="4"/>
  <c r="H1231" i="4" s="1"/>
  <c r="G1230" i="4"/>
  <c r="F1230" i="4"/>
  <c r="D1230" i="4"/>
  <c r="H1230" i="4" s="1"/>
  <c r="G1229" i="4"/>
  <c r="F1229" i="4"/>
  <c r="D1229" i="4"/>
  <c r="H1229" i="4" s="1"/>
  <c r="G1228" i="4"/>
  <c r="F1228" i="4"/>
  <c r="D1228" i="4"/>
  <c r="H1228" i="4" s="1"/>
  <c r="G1227" i="4"/>
  <c r="F1227" i="4"/>
  <c r="D1227" i="4"/>
  <c r="H1227" i="4" s="1"/>
  <c r="G1226" i="4"/>
  <c r="F1226" i="4"/>
  <c r="D1226" i="4"/>
  <c r="H1226" i="4" s="1"/>
  <c r="G1225" i="4"/>
  <c r="F1225" i="4"/>
  <c r="D1225" i="4"/>
  <c r="H1225" i="4" s="1"/>
  <c r="G1224" i="4"/>
  <c r="F1224" i="4"/>
  <c r="D1224" i="4"/>
  <c r="H1224" i="4" s="1"/>
  <c r="G1223" i="4"/>
  <c r="F1223" i="4"/>
  <c r="D1223" i="4"/>
  <c r="H1223" i="4" s="1"/>
  <c r="G1222" i="4"/>
  <c r="F1222" i="4"/>
  <c r="D1222" i="4"/>
  <c r="H1222" i="4" s="1"/>
  <c r="G1221" i="4"/>
  <c r="F1221" i="4"/>
  <c r="D1221" i="4"/>
  <c r="H1221" i="4" s="1"/>
  <c r="G1220" i="4"/>
  <c r="F1220" i="4"/>
  <c r="D1220" i="4"/>
  <c r="H1220" i="4" s="1"/>
  <c r="H1219" i="4"/>
  <c r="G1218" i="4"/>
  <c r="F1218" i="4"/>
  <c r="D1218" i="4"/>
  <c r="H1218" i="4" s="1"/>
  <c r="G1217" i="4"/>
  <c r="F1217" i="4"/>
  <c r="H1217" i="4" s="1"/>
  <c r="D1217" i="4"/>
  <c r="H1216" i="4"/>
  <c r="G1216" i="4"/>
  <c r="F1216" i="4"/>
  <c r="D1216" i="4"/>
  <c r="G1215" i="4"/>
  <c r="F1215" i="4"/>
  <c r="D1215" i="4"/>
  <c r="H1215" i="4" s="1"/>
  <c r="G1214" i="4"/>
  <c r="F1214" i="4"/>
  <c r="H1214" i="4" s="1"/>
  <c r="D1214" i="4"/>
  <c r="H1213" i="4"/>
  <c r="G1213" i="4"/>
  <c r="F1213" i="4"/>
  <c r="D1213" i="4"/>
  <c r="G1212" i="4"/>
  <c r="F1212" i="4"/>
  <c r="D1212" i="4"/>
  <c r="H1212" i="4" s="1"/>
  <c r="G1211" i="4"/>
  <c r="F1211" i="4"/>
  <c r="H1211" i="4" s="1"/>
  <c r="D1211" i="4"/>
  <c r="H1210" i="4"/>
  <c r="G1210" i="4"/>
  <c r="F1210" i="4"/>
  <c r="D1210" i="4"/>
  <c r="G1209" i="4"/>
  <c r="F1209" i="4"/>
  <c r="D1209" i="4"/>
  <c r="H1209" i="4" s="1"/>
  <c r="H1208" i="4"/>
  <c r="G1207" i="4"/>
  <c r="F1207" i="4"/>
  <c r="D1207" i="4"/>
  <c r="H1207" i="4" s="1"/>
  <c r="G1206" i="4"/>
  <c r="F1206" i="4"/>
  <c r="D1206" i="4"/>
  <c r="H1206" i="4" s="1"/>
  <c r="G1205" i="4"/>
  <c r="F1205" i="4"/>
  <c r="H1205" i="4" s="1"/>
  <c r="D1205" i="4"/>
  <c r="G1204" i="4"/>
  <c r="F1204" i="4"/>
  <c r="D1204" i="4"/>
  <c r="H1204" i="4" s="1"/>
  <c r="G1203" i="4"/>
  <c r="F1203" i="4"/>
  <c r="D1203" i="4"/>
  <c r="H1203" i="4" s="1"/>
  <c r="G1202" i="4"/>
  <c r="F1202" i="4"/>
  <c r="H1202" i="4" s="1"/>
  <c r="D1202" i="4"/>
  <c r="G1201" i="4"/>
  <c r="F1201" i="4"/>
  <c r="D1201" i="4"/>
  <c r="H1201" i="4" s="1"/>
  <c r="G1200" i="4"/>
  <c r="F1200" i="4"/>
  <c r="D1200" i="4"/>
  <c r="H1200" i="4" s="1"/>
  <c r="G1199" i="4"/>
  <c r="F1199" i="4"/>
  <c r="H1199" i="4" s="1"/>
  <c r="D1199" i="4"/>
  <c r="G1198" i="4"/>
  <c r="F1198" i="4"/>
  <c r="D1198" i="4"/>
  <c r="H1198" i="4" s="1"/>
  <c r="H1197" i="4"/>
  <c r="G1196" i="4"/>
  <c r="F1196" i="4"/>
  <c r="H1196" i="4" s="1"/>
  <c r="D1196" i="4"/>
  <c r="G1195" i="4"/>
  <c r="F1195" i="4"/>
  <c r="D1195" i="4"/>
  <c r="H1195" i="4" s="1"/>
  <c r="G1194" i="4"/>
  <c r="F1194" i="4"/>
  <c r="H1194" i="4" s="1"/>
  <c r="D1194" i="4"/>
  <c r="G1193" i="4"/>
  <c r="F1193" i="4"/>
  <c r="D1193" i="4"/>
  <c r="H1193" i="4" s="1"/>
  <c r="G1192" i="4"/>
  <c r="F1192" i="4"/>
  <c r="D1192" i="4"/>
  <c r="H1192" i="4" s="1"/>
  <c r="G1191" i="4"/>
  <c r="F1191" i="4"/>
  <c r="H1191" i="4" s="1"/>
  <c r="D1191" i="4"/>
  <c r="G1190" i="4"/>
  <c r="F1190" i="4"/>
  <c r="D1190" i="4"/>
  <c r="H1190" i="4" s="1"/>
  <c r="G1189" i="4"/>
  <c r="F1189" i="4"/>
  <c r="D1189" i="4"/>
  <c r="H1189" i="4" s="1"/>
  <c r="G1188" i="4"/>
  <c r="F1188" i="4"/>
  <c r="H1188" i="4" s="1"/>
  <c r="D1188" i="4"/>
  <c r="G1187" i="4"/>
  <c r="F1187" i="4"/>
  <c r="D1187" i="4"/>
  <c r="H1187" i="4" s="1"/>
  <c r="G1186" i="4"/>
  <c r="F1186" i="4"/>
  <c r="D1186" i="4"/>
  <c r="H1186" i="4" s="1"/>
  <c r="G1185" i="4"/>
  <c r="F1185" i="4"/>
  <c r="H1185" i="4" s="1"/>
  <c r="D1185" i="4"/>
  <c r="G1184" i="4"/>
  <c r="F1184" i="4"/>
  <c r="D1184" i="4"/>
  <c r="H1184" i="4" s="1"/>
  <c r="G1183" i="4"/>
  <c r="F1183" i="4"/>
  <c r="D1183" i="4"/>
  <c r="H1183" i="4" s="1"/>
  <c r="G1182" i="4"/>
  <c r="F1182" i="4"/>
  <c r="H1182" i="4" s="1"/>
  <c r="D1182" i="4"/>
  <c r="H1181" i="4"/>
  <c r="G1180" i="4"/>
  <c r="F1180" i="4"/>
  <c r="D1180" i="4"/>
  <c r="H1180" i="4" s="1"/>
  <c r="G1179" i="4"/>
  <c r="F1179" i="4"/>
  <c r="D1179" i="4"/>
  <c r="H1179" i="4" s="1"/>
  <c r="G1178" i="4"/>
  <c r="F1178" i="4"/>
  <c r="D1178" i="4"/>
  <c r="H1178" i="4" s="1"/>
  <c r="G1177" i="4"/>
  <c r="F1177" i="4"/>
  <c r="D1177" i="4"/>
  <c r="H1177" i="4" s="1"/>
  <c r="G1176" i="4"/>
  <c r="F1176" i="4"/>
  <c r="D1176" i="4"/>
  <c r="H1176" i="4" s="1"/>
  <c r="G1175" i="4"/>
  <c r="F1175" i="4"/>
  <c r="D1175" i="4"/>
  <c r="H1175" i="4" s="1"/>
  <c r="G1174" i="4"/>
  <c r="F1174" i="4"/>
  <c r="D1174" i="4"/>
  <c r="H1174" i="4" s="1"/>
  <c r="G1173" i="4"/>
  <c r="F1173" i="4"/>
  <c r="D1173" i="4"/>
  <c r="H1173" i="4" s="1"/>
  <c r="G1172" i="4"/>
  <c r="F1172" i="4"/>
  <c r="D1172" i="4"/>
  <c r="H1172" i="4" s="1"/>
  <c r="G1171" i="4"/>
  <c r="F1171" i="4"/>
  <c r="D1171" i="4"/>
  <c r="H1171" i="4" s="1"/>
  <c r="H1170" i="4"/>
  <c r="G1169" i="4"/>
  <c r="F1169" i="4"/>
  <c r="H1169" i="4" s="1"/>
  <c r="D1169" i="4"/>
  <c r="H1168" i="4"/>
  <c r="G1168" i="4"/>
  <c r="F1168" i="4"/>
  <c r="D1168" i="4"/>
  <c r="G1167" i="4"/>
  <c r="F1167" i="4"/>
  <c r="D1167" i="4"/>
  <c r="H1167" i="4" s="1"/>
  <c r="G1166" i="4"/>
  <c r="F1166" i="4"/>
  <c r="H1166" i="4" s="1"/>
  <c r="D1166" i="4"/>
  <c r="H1165" i="4"/>
  <c r="G1165" i="4"/>
  <c r="F1165" i="4"/>
  <c r="D1165" i="4"/>
  <c r="G1164" i="4"/>
  <c r="F1164" i="4"/>
  <c r="D1164" i="4"/>
  <c r="H1164" i="4" s="1"/>
  <c r="G1163" i="4"/>
  <c r="F1163" i="4"/>
  <c r="D1163" i="4"/>
  <c r="H1163" i="4" s="1"/>
  <c r="H1162" i="4"/>
  <c r="G1162" i="4"/>
  <c r="F1162" i="4"/>
  <c r="D1162" i="4"/>
  <c r="G1161" i="4"/>
  <c r="F1161" i="4"/>
  <c r="D1161" i="4"/>
  <c r="H1161" i="4" s="1"/>
  <c r="G1160" i="4"/>
  <c r="F1160" i="4"/>
  <c r="D1160" i="4"/>
  <c r="H1160" i="4" s="1"/>
  <c r="H1159" i="4"/>
  <c r="G1158" i="4"/>
  <c r="F1158" i="4"/>
  <c r="D1158" i="4"/>
  <c r="H1158" i="4" s="1"/>
  <c r="G1157" i="4"/>
  <c r="F1157" i="4"/>
  <c r="H1157" i="4" s="1"/>
  <c r="D1157" i="4"/>
  <c r="G1156" i="4"/>
  <c r="F1156" i="4"/>
  <c r="D1156" i="4"/>
  <c r="H1156" i="4" s="1"/>
  <c r="G1155" i="4"/>
  <c r="F1155" i="4"/>
  <c r="D1155" i="4"/>
  <c r="H1155" i="4" s="1"/>
  <c r="G1154" i="4"/>
  <c r="F1154" i="4"/>
  <c r="H1154" i="4" s="1"/>
  <c r="D1154" i="4"/>
  <c r="G1153" i="4"/>
  <c r="F1153" i="4"/>
  <c r="D1153" i="4"/>
  <c r="H1153" i="4" s="1"/>
  <c r="G1152" i="4"/>
  <c r="F1152" i="4"/>
  <c r="D1152" i="4"/>
  <c r="H1152" i="4" s="1"/>
  <c r="G1151" i="4"/>
  <c r="F1151" i="4"/>
  <c r="H1151" i="4" s="1"/>
  <c r="D1151" i="4"/>
  <c r="G1150" i="4"/>
  <c r="F1150" i="4"/>
  <c r="D1150" i="4"/>
  <c r="H1150" i="4" s="1"/>
  <c r="G1149" i="4"/>
  <c r="F1149" i="4"/>
  <c r="D1149" i="4"/>
  <c r="H1149" i="4" s="1"/>
  <c r="H1148" i="4"/>
  <c r="G1147" i="4"/>
  <c r="F1147" i="4"/>
  <c r="D1147" i="4"/>
  <c r="H1147" i="4" s="1"/>
  <c r="G1146" i="4"/>
  <c r="F1146" i="4"/>
  <c r="H1146" i="4" s="1"/>
  <c r="D1146" i="4"/>
  <c r="G1145" i="4"/>
  <c r="F1145" i="4"/>
  <c r="D1145" i="4"/>
  <c r="H1145" i="4" s="1"/>
  <c r="G1144" i="4"/>
  <c r="F1144" i="4"/>
  <c r="D1144" i="4"/>
  <c r="H1144" i="4" s="1"/>
  <c r="G1143" i="4"/>
  <c r="F1143" i="4"/>
  <c r="H1143" i="4" s="1"/>
  <c r="D1143" i="4"/>
  <c r="G1142" i="4"/>
  <c r="F1142" i="4"/>
  <c r="D1142" i="4"/>
  <c r="H1142" i="4" s="1"/>
  <c r="G1141" i="4"/>
  <c r="F1141" i="4"/>
  <c r="D1141" i="4"/>
  <c r="H1141" i="4" s="1"/>
  <c r="G1140" i="4"/>
  <c r="F1140" i="4"/>
  <c r="H1140" i="4" s="1"/>
  <c r="D1140" i="4"/>
  <c r="G1139" i="4"/>
  <c r="F1139" i="4"/>
  <c r="D1139" i="4"/>
  <c r="H1139" i="4" s="1"/>
  <c r="G1138" i="4"/>
  <c r="F1138" i="4"/>
  <c r="D1138" i="4"/>
  <c r="H1138" i="4" s="1"/>
  <c r="G1137" i="4"/>
  <c r="F1137" i="4"/>
  <c r="H1137" i="4" s="1"/>
  <c r="D1137" i="4"/>
  <c r="G1136" i="4"/>
  <c r="F1136" i="4"/>
  <c r="D1136" i="4"/>
  <c r="H1136" i="4" s="1"/>
  <c r="G1135" i="4"/>
  <c r="F1135" i="4"/>
  <c r="D1135" i="4"/>
  <c r="H1135" i="4" s="1"/>
  <c r="G1134" i="4"/>
  <c r="F1134" i="4"/>
  <c r="H1134" i="4" s="1"/>
  <c r="D1134" i="4"/>
  <c r="G1133" i="4"/>
  <c r="F1133" i="4"/>
  <c r="D1133" i="4"/>
  <c r="H1133" i="4" s="1"/>
  <c r="H1132" i="4"/>
  <c r="G1131" i="4"/>
  <c r="F1131" i="4"/>
  <c r="D1131" i="4"/>
  <c r="H1131" i="4" s="1"/>
  <c r="G1130" i="4"/>
  <c r="F1130" i="4"/>
  <c r="D1130" i="4"/>
  <c r="H1130" i="4" s="1"/>
  <c r="G1129" i="4"/>
  <c r="F1129" i="4"/>
  <c r="D1129" i="4"/>
  <c r="H1129" i="4" s="1"/>
  <c r="G1128" i="4"/>
  <c r="F1128" i="4"/>
  <c r="D1128" i="4"/>
  <c r="H1128" i="4" s="1"/>
  <c r="G1127" i="4"/>
  <c r="F1127" i="4"/>
  <c r="D1127" i="4"/>
  <c r="H1127" i="4" s="1"/>
  <c r="G1126" i="4"/>
  <c r="F1126" i="4"/>
  <c r="D1126" i="4"/>
  <c r="H1126" i="4" s="1"/>
  <c r="G1125" i="4"/>
  <c r="F1125" i="4"/>
  <c r="D1125" i="4"/>
  <c r="H1125" i="4" s="1"/>
  <c r="G1124" i="4"/>
  <c r="F1124" i="4"/>
  <c r="D1124" i="4"/>
  <c r="H1124" i="4" s="1"/>
  <c r="G1123" i="4"/>
  <c r="F1123" i="4"/>
  <c r="D1123" i="4"/>
  <c r="H1123" i="4" s="1"/>
  <c r="G1122" i="4"/>
  <c r="F1122" i="4"/>
  <c r="D1122" i="4"/>
  <c r="H1122" i="4" s="1"/>
  <c r="G1121" i="4"/>
  <c r="F1121" i="4"/>
  <c r="D1121" i="4"/>
  <c r="H1121" i="4" s="1"/>
  <c r="G1120" i="4"/>
  <c r="F1120" i="4"/>
  <c r="D1120" i="4"/>
  <c r="H1120" i="4" s="1"/>
  <c r="G1119" i="4"/>
  <c r="F1119" i="4"/>
  <c r="D1119" i="4"/>
  <c r="H1119" i="4" s="1"/>
  <c r="G1118" i="4"/>
  <c r="F1118" i="4"/>
  <c r="D1118" i="4"/>
  <c r="H1118" i="4" s="1"/>
  <c r="G1117" i="4"/>
  <c r="F1117" i="4"/>
  <c r="D1117" i="4"/>
  <c r="H1117" i="4" s="1"/>
  <c r="H1116" i="4"/>
  <c r="G1115" i="4"/>
  <c r="F1115" i="4"/>
  <c r="H1115" i="4" s="1"/>
  <c r="D1115" i="4"/>
  <c r="H1114" i="4"/>
  <c r="G1114" i="4"/>
  <c r="F1114" i="4"/>
  <c r="D1114" i="4"/>
  <c r="G1113" i="4"/>
  <c r="H1113" i="4" s="1"/>
  <c r="F1113" i="4"/>
  <c r="D1113" i="4"/>
  <c r="G1112" i="4"/>
  <c r="F1112" i="4"/>
  <c r="H1112" i="4" s="1"/>
  <c r="D1112" i="4"/>
  <c r="H1111" i="4"/>
  <c r="G1111" i="4"/>
  <c r="F1111" i="4"/>
  <c r="D1111" i="4"/>
  <c r="G1110" i="4"/>
  <c r="F1110" i="4"/>
  <c r="H1110" i="4" s="1"/>
  <c r="D1110" i="4"/>
  <c r="G1109" i="4"/>
  <c r="F1109" i="4"/>
  <c r="D1109" i="4"/>
  <c r="H1109" i="4" s="1"/>
  <c r="H1108" i="4"/>
  <c r="G1108" i="4"/>
  <c r="F1108" i="4"/>
  <c r="D1108" i="4"/>
  <c r="G1107" i="4"/>
  <c r="F1107" i="4"/>
  <c r="D1107" i="4"/>
  <c r="H1107" i="4" s="1"/>
  <c r="G1106" i="4"/>
  <c r="F1106" i="4"/>
  <c r="D1106" i="4"/>
  <c r="H1106" i="4" s="1"/>
  <c r="H1105" i="4"/>
  <c r="G1105" i="4"/>
  <c r="F1105" i="4"/>
  <c r="D1105" i="4"/>
  <c r="G1104" i="4"/>
  <c r="F1104" i="4"/>
  <c r="D1104" i="4"/>
  <c r="H1104" i="4" s="1"/>
  <c r="G1103" i="4"/>
  <c r="F1103" i="4"/>
  <c r="D1103" i="4"/>
  <c r="H1103" i="4" s="1"/>
  <c r="H1102" i="4"/>
  <c r="G1102" i="4"/>
  <c r="F1102" i="4"/>
  <c r="D1102" i="4"/>
  <c r="G1101" i="4"/>
  <c r="F1101" i="4"/>
  <c r="D1101" i="4"/>
  <c r="H1101" i="4" s="1"/>
  <c r="H1100" i="4"/>
  <c r="G1099" i="4"/>
  <c r="F1099" i="4"/>
  <c r="D1099" i="4"/>
  <c r="H1099" i="4" s="1"/>
  <c r="G1098" i="4"/>
  <c r="F1098" i="4"/>
  <c r="D1098" i="4"/>
  <c r="H1098" i="4" s="1"/>
  <c r="G1097" i="4"/>
  <c r="F1097" i="4"/>
  <c r="H1097" i="4" s="1"/>
  <c r="D1097" i="4"/>
  <c r="G1096" i="4"/>
  <c r="F1096" i="4"/>
  <c r="D1096" i="4"/>
  <c r="H1096" i="4" s="1"/>
  <c r="G1095" i="4"/>
  <c r="F1095" i="4"/>
  <c r="D1095" i="4"/>
  <c r="H1095" i="4" s="1"/>
  <c r="G1094" i="4"/>
  <c r="F1094" i="4"/>
  <c r="H1094" i="4" s="1"/>
  <c r="D1094" i="4"/>
  <c r="G1093" i="4"/>
  <c r="F1093" i="4"/>
  <c r="D1093" i="4"/>
  <c r="H1093" i="4" s="1"/>
  <c r="G1092" i="4"/>
  <c r="F1092" i="4"/>
  <c r="D1092" i="4"/>
  <c r="H1092" i="4" s="1"/>
  <c r="G1091" i="4"/>
  <c r="F1091" i="4"/>
  <c r="H1091" i="4" s="1"/>
  <c r="D1091" i="4"/>
  <c r="G1090" i="4"/>
  <c r="F1090" i="4"/>
  <c r="D1090" i="4"/>
  <c r="H1090" i="4" s="1"/>
  <c r="H1089" i="4"/>
  <c r="G1088" i="4"/>
  <c r="F1088" i="4"/>
  <c r="D1088" i="4"/>
  <c r="H1088" i="4" s="1"/>
  <c r="G1087" i="4"/>
  <c r="F1087" i="4"/>
  <c r="D1087" i="4"/>
  <c r="H1087" i="4" s="1"/>
  <c r="G1086" i="4"/>
  <c r="F1086" i="4"/>
  <c r="H1086" i="4" s="1"/>
  <c r="D1086" i="4"/>
  <c r="G1085" i="4"/>
  <c r="F1085" i="4"/>
  <c r="D1085" i="4"/>
  <c r="H1085" i="4" s="1"/>
  <c r="G1084" i="4"/>
  <c r="F1084" i="4"/>
  <c r="D1084" i="4"/>
  <c r="H1084" i="4" s="1"/>
  <c r="G1083" i="4"/>
  <c r="F1083" i="4"/>
  <c r="H1083" i="4" s="1"/>
  <c r="D1083" i="4"/>
  <c r="G1082" i="4"/>
  <c r="F1082" i="4"/>
  <c r="D1082" i="4"/>
  <c r="H1082" i="4" s="1"/>
  <c r="G1081" i="4"/>
  <c r="F1081" i="4"/>
  <c r="D1081" i="4"/>
  <c r="H1081" i="4" s="1"/>
  <c r="G1080" i="4"/>
  <c r="F1080" i="4"/>
  <c r="H1080" i="4" s="1"/>
  <c r="D1080" i="4"/>
  <c r="G1079" i="4"/>
  <c r="F1079" i="4"/>
  <c r="D1079" i="4"/>
  <c r="H1079" i="4" s="1"/>
  <c r="G1078" i="4"/>
  <c r="F1078" i="4"/>
  <c r="D1078" i="4"/>
  <c r="H1078" i="4" s="1"/>
  <c r="G1077" i="4"/>
  <c r="F1077" i="4"/>
  <c r="H1077" i="4" s="1"/>
  <c r="D1077" i="4"/>
  <c r="G1076" i="4"/>
  <c r="F1076" i="4"/>
  <c r="D1076" i="4"/>
  <c r="H1076" i="4" s="1"/>
  <c r="G1075" i="4"/>
  <c r="F1075" i="4"/>
  <c r="D1075" i="4"/>
  <c r="H1075" i="4" s="1"/>
  <c r="G1074" i="4"/>
  <c r="F1074" i="4"/>
  <c r="H1074" i="4" s="1"/>
  <c r="D1074" i="4"/>
  <c r="G1073" i="4"/>
  <c r="F1073" i="4"/>
  <c r="D1073" i="4"/>
  <c r="H1073" i="4" s="1"/>
  <c r="H1072" i="4"/>
  <c r="G1071" i="4"/>
  <c r="F1071" i="4"/>
  <c r="D1071" i="4"/>
  <c r="H1071" i="4" s="1"/>
  <c r="G1070" i="4"/>
  <c r="F1070" i="4"/>
  <c r="H1070" i="4" s="1"/>
  <c r="D1070" i="4"/>
  <c r="G1069" i="4"/>
  <c r="F1069" i="4"/>
  <c r="D1069" i="4"/>
  <c r="H1069" i="4" s="1"/>
  <c r="G1068" i="4"/>
  <c r="F1068" i="4"/>
  <c r="D1068" i="4"/>
  <c r="H1068" i="4" s="1"/>
  <c r="G1067" i="4"/>
  <c r="F1067" i="4"/>
  <c r="D1067" i="4"/>
  <c r="H1067" i="4" s="1"/>
  <c r="G1066" i="4"/>
  <c r="F1066" i="4"/>
  <c r="D1066" i="4"/>
  <c r="H1066" i="4" s="1"/>
  <c r="G1065" i="4"/>
  <c r="F1065" i="4"/>
  <c r="D1065" i="4"/>
  <c r="H1065" i="4" s="1"/>
  <c r="G1064" i="4"/>
  <c r="F1064" i="4"/>
  <c r="D1064" i="4"/>
  <c r="H1064" i="4" s="1"/>
  <c r="G1063" i="4"/>
  <c r="F1063" i="4"/>
  <c r="D1063" i="4"/>
  <c r="H1063" i="4" s="1"/>
  <c r="G1062" i="4"/>
  <c r="F1062" i="4"/>
  <c r="D1062" i="4"/>
  <c r="H1062" i="4" s="1"/>
  <c r="G1061" i="4"/>
  <c r="F1061" i="4"/>
  <c r="D1061" i="4"/>
  <c r="H1061" i="4" s="1"/>
  <c r="G1060" i="4"/>
  <c r="F1060" i="4"/>
  <c r="D1060" i="4"/>
  <c r="H1060" i="4" s="1"/>
  <c r="G1059" i="4"/>
  <c r="F1059" i="4"/>
  <c r="D1059" i="4"/>
  <c r="H1059" i="4" s="1"/>
  <c r="G1058" i="4"/>
  <c r="F1058" i="4"/>
  <c r="D1058" i="4"/>
  <c r="H1058" i="4" s="1"/>
  <c r="G1057" i="4"/>
  <c r="F1057" i="4"/>
  <c r="D1057" i="4"/>
  <c r="H1057" i="4" s="1"/>
  <c r="H1056" i="4"/>
  <c r="G1055" i="4"/>
  <c r="F1055" i="4"/>
  <c r="H1055" i="4" s="1"/>
  <c r="D1055" i="4"/>
  <c r="H1054" i="4"/>
  <c r="G1054" i="4"/>
  <c r="F1054" i="4"/>
  <c r="D1054" i="4"/>
  <c r="G1053" i="4"/>
  <c r="H1053" i="4" s="1"/>
  <c r="F1053" i="4"/>
  <c r="D1053" i="4"/>
  <c r="G1052" i="4"/>
  <c r="F1052" i="4"/>
  <c r="D1052" i="4"/>
  <c r="H1052" i="4" s="1"/>
  <c r="H1051" i="4"/>
  <c r="G1051" i="4"/>
  <c r="F1051" i="4"/>
  <c r="D1051" i="4"/>
  <c r="G1050" i="4"/>
  <c r="F1050" i="4"/>
  <c r="H1050" i="4" s="1"/>
  <c r="D1050" i="4"/>
  <c r="G1049" i="4"/>
  <c r="F1049" i="4"/>
  <c r="D1049" i="4"/>
  <c r="H1049" i="4" s="1"/>
  <c r="H1048" i="4"/>
  <c r="G1048" i="4"/>
  <c r="F1048" i="4"/>
  <c r="D1048" i="4"/>
  <c r="G1047" i="4"/>
  <c r="F1047" i="4"/>
  <c r="D1047" i="4"/>
  <c r="H1047" i="4" s="1"/>
  <c r="G1046" i="4"/>
  <c r="F1046" i="4"/>
  <c r="D1046" i="4"/>
  <c r="H1046" i="4" s="1"/>
  <c r="H1045" i="4"/>
  <c r="G1044" i="4"/>
  <c r="F1044" i="4"/>
  <c r="D1044" i="4"/>
  <c r="H1044" i="4" s="1"/>
  <c r="H1043" i="4"/>
  <c r="G1043" i="4"/>
  <c r="F1043" i="4"/>
  <c r="D1043" i="4"/>
  <c r="G1042" i="4"/>
  <c r="F1042" i="4"/>
  <c r="D1042" i="4"/>
  <c r="H1042" i="4" s="1"/>
  <c r="G1041" i="4"/>
  <c r="F1041" i="4"/>
  <c r="D1041" i="4"/>
  <c r="H1041" i="4" s="1"/>
  <c r="H1040" i="4"/>
  <c r="G1040" i="4"/>
  <c r="F1040" i="4"/>
  <c r="D1040" i="4"/>
  <c r="G1039" i="4"/>
  <c r="F1039" i="4"/>
  <c r="D1039" i="4"/>
  <c r="H1039" i="4" s="1"/>
  <c r="G1038" i="4"/>
  <c r="F1038" i="4"/>
  <c r="D1038" i="4"/>
  <c r="H1038" i="4" s="1"/>
  <c r="H1037" i="4"/>
  <c r="G1037" i="4"/>
  <c r="F1037" i="4"/>
  <c r="D1037" i="4"/>
  <c r="G1036" i="4"/>
  <c r="F1036" i="4"/>
  <c r="D1036" i="4"/>
  <c r="H1036" i="4" s="1"/>
  <c r="G1035" i="4"/>
  <c r="F1035" i="4"/>
  <c r="D1035" i="4"/>
  <c r="H1035" i="4" s="1"/>
  <c r="H1034" i="4"/>
  <c r="G1034" i="4"/>
  <c r="F1034" i="4"/>
  <c r="D1034" i="4"/>
  <c r="G1033" i="4"/>
  <c r="F1033" i="4"/>
  <c r="D1033" i="4"/>
  <c r="H1033" i="4" s="1"/>
  <c r="G1032" i="4"/>
  <c r="F1032" i="4"/>
  <c r="D1032" i="4"/>
  <c r="H1032" i="4" s="1"/>
  <c r="H1031" i="4"/>
  <c r="G1031" i="4"/>
  <c r="F1031" i="4"/>
  <c r="D1031" i="4"/>
  <c r="G1030" i="4"/>
  <c r="F1030" i="4"/>
  <c r="D1030" i="4"/>
  <c r="H1030" i="4" s="1"/>
  <c r="G1029" i="4"/>
  <c r="F1029" i="4"/>
  <c r="D1029" i="4"/>
  <c r="H1029" i="4" s="1"/>
  <c r="H1028" i="4"/>
  <c r="G1027" i="4"/>
  <c r="F1027" i="4"/>
  <c r="D1027" i="4"/>
  <c r="H1027" i="4" s="1"/>
  <c r="G1026" i="4"/>
  <c r="F1026" i="4"/>
  <c r="H1026" i="4" s="1"/>
  <c r="D1026" i="4"/>
  <c r="G1025" i="4"/>
  <c r="F1025" i="4"/>
  <c r="D1025" i="4"/>
  <c r="H1025" i="4" s="1"/>
  <c r="G1024" i="4"/>
  <c r="F1024" i="4"/>
  <c r="D1024" i="4"/>
  <c r="H1024" i="4" s="1"/>
  <c r="G1023" i="4"/>
  <c r="F1023" i="4"/>
  <c r="H1023" i="4" s="1"/>
  <c r="D1023" i="4"/>
  <c r="G1022" i="4"/>
  <c r="F1022" i="4"/>
  <c r="D1022" i="4"/>
  <c r="H1022" i="4" s="1"/>
  <c r="G1021" i="4"/>
  <c r="F1021" i="4"/>
  <c r="D1021" i="4"/>
  <c r="H1021" i="4" s="1"/>
  <c r="G1020" i="4"/>
  <c r="F1020" i="4"/>
  <c r="H1020" i="4" s="1"/>
  <c r="D1020" i="4"/>
  <c r="G1019" i="4"/>
  <c r="F1019" i="4"/>
  <c r="D1019" i="4"/>
  <c r="H1019" i="4" s="1"/>
  <c r="G1018" i="4"/>
  <c r="F1018" i="4"/>
  <c r="D1018" i="4"/>
  <c r="H1018" i="4" s="1"/>
  <c r="H1017" i="4"/>
  <c r="G1016" i="4"/>
  <c r="F1016" i="4"/>
  <c r="D1016" i="4"/>
  <c r="H1016" i="4" s="1"/>
  <c r="G1015" i="4"/>
  <c r="F1015" i="4"/>
  <c r="D1015" i="4"/>
  <c r="H1015" i="4" s="1"/>
  <c r="G1014" i="4"/>
  <c r="F1014" i="4"/>
  <c r="D1014" i="4"/>
  <c r="H1014" i="4" s="1"/>
  <c r="G1013" i="4"/>
  <c r="F1013" i="4"/>
  <c r="D1013" i="4"/>
  <c r="H1013" i="4" s="1"/>
  <c r="G1012" i="4"/>
  <c r="F1012" i="4"/>
  <c r="D1012" i="4"/>
  <c r="H1012" i="4" s="1"/>
  <c r="G1011" i="4"/>
  <c r="F1011" i="4"/>
  <c r="D1011" i="4"/>
  <c r="H1011" i="4" s="1"/>
  <c r="G1010" i="4"/>
  <c r="F1010" i="4"/>
  <c r="D1010" i="4"/>
  <c r="H1010" i="4" s="1"/>
  <c r="G1009" i="4"/>
  <c r="F1009" i="4"/>
  <c r="D1009" i="4"/>
  <c r="H1009" i="4" s="1"/>
  <c r="G1008" i="4"/>
  <c r="F1008" i="4"/>
  <c r="D1008" i="4"/>
  <c r="H1008" i="4" s="1"/>
  <c r="G1007" i="4"/>
  <c r="F1007" i="4"/>
  <c r="D1007" i="4"/>
  <c r="H1007" i="4" s="1"/>
  <c r="H1006" i="4"/>
  <c r="H1005" i="4"/>
  <c r="G1005" i="4"/>
  <c r="F1005" i="4"/>
  <c r="D1005" i="4"/>
  <c r="G1004" i="4"/>
  <c r="F1004" i="4"/>
  <c r="H1004" i="4" s="1"/>
  <c r="D1004" i="4"/>
  <c r="H1003" i="4"/>
  <c r="G1003" i="4"/>
  <c r="F1003" i="4"/>
  <c r="D1003" i="4"/>
  <c r="H1002" i="4"/>
  <c r="G1002" i="4"/>
  <c r="F1002" i="4"/>
  <c r="D1002" i="4"/>
  <c r="G1001" i="4"/>
  <c r="F1001" i="4"/>
  <c r="D1001" i="4"/>
  <c r="H1001" i="4" s="1"/>
  <c r="H1000" i="4"/>
  <c r="G1000" i="4"/>
  <c r="F1000" i="4"/>
  <c r="D1000" i="4"/>
  <c r="G999" i="4"/>
  <c r="H999" i="4" s="1"/>
  <c r="F999" i="4"/>
  <c r="D999" i="4"/>
  <c r="G998" i="4"/>
  <c r="F998" i="4"/>
  <c r="D998" i="4"/>
  <c r="H998" i="4" s="1"/>
  <c r="H997" i="4"/>
  <c r="G997" i="4"/>
  <c r="F997" i="4"/>
  <c r="D997" i="4"/>
  <c r="G996" i="4"/>
  <c r="F996" i="4"/>
  <c r="D996" i="4"/>
  <c r="H996" i="4" s="1"/>
  <c r="H995" i="4"/>
  <c r="G994" i="4"/>
  <c r="F994" i="4"/>
  <c r="D994" i="4"/>
  <c r="H994" i="4" s="1"/>
  <c r="G993" i="4"/>
  <c r="F993" i="4"/>
  <c r="D993" i="4"/>
  <c r="H993" i="4" s="1"/>
  <c r="H992" i="4"/>
  <c r="G992" i="4"/>
  <c r="F992" i="4"/>
  <c r="D992" i="4"/>
  <c r="G991" i="4"/>
  <c r="F991" i="4"/>
  <c r="D991" i="4"/>
  <c r="H991" i="4" s="1"/>
  <c r="G990" i="4"/>
  <c r="F990" i="4"/>
  <c r="D990" i="4"/>
  <c r="H990" i="4" s="1"/>
  <c r="G989" i="4"/>
  <c r="F989" i="4"/>
  <c r="H989" i="4" s="1"/>
  <c r="D989" i="4"/>
  <c r="G988" i="4"/>
  <c r="F988" i="4"/>
  <c r="D988" i="4"/>
  <c r="H988" i="4" s="1"/>
  <c r="G987" i="4"/>
  <c r="F987" i="4"/>
  <c r="D987" i="4"/>
  <c r="H987" i="4" s="1"/>
  <c r="G986" i="4"/>
  <c r="F986" i="4"/>
  <c r="H986" i="4" s="1"/>
  <c r="D986" i="4"/>
  <c r="G985" i="4"/>
  <c r="F985" i="4"/>
  <c r="D985" i="4"/>
  <c r="H985" i="4" s="1"/>
  <c r="G984" i="4"/>
  <c r="F984" i="4"/>
  <c r="D984" i="4"/>
  <c r="H984" i="4" s="1"/>
  <c r="G983" i="4"/>
  <c r="F983" i="4"/>
  <c r="H983" i="4" s="1"/>
  <c r="D983" i="4"/>
  <c r="G982" i="4"/>
  <c r="F982" i="4"/>
  <c r="D982" i="4"/>
  <c r="H982" i="4" s="1"/>
  <c r="G981" i="4"/>
  <c r="F981" i="4"/>
  <c r="D981" i="4"/>
  <c r="H981" i="4" s="1"/>
  <c r="G980" i="4"/>
  <c r="F980" i="4"/>
  <c r="H980" i="4" s="1"/>
  <c r="D980" i="4"/>
  <c r="G979" i="4"/>
  <c r="F979" i="4"/>
  <c r="D979" i="4"/>
  <c r="H979" i="4" s="1"/>
  <c r="H978" i="4"/>
  <c r="G977" i="4"/>
  <c r="F977" i="4"/>
  <c r="D977" i="4"/>
  <c r="H977" i="4" s="1"/>
  <c r="G976" i="4"/>
  <c r="F976" i="4"/>
  <c r="D976" i="4"/>
  <c r="H976" i="4" s="1"/>
  <c r="G975" i="4"/>
  <c r="F975" i="4"/>
  <c r="H975" i="4" s="1"/>
  <c r="D975" i="4"/>
  <c r="G974" i="4"/>
  <c r="F974" i="4"/>
  <c r="D974" i="4"/>
  <c r="H974" i="4" s="1"/>
  <c r="G973" i="4"/>
  <c r="F973" i="4"/>
  <c r="D973" i="4"/>
  <c r="H973" i="4" s="1"/>
  <c r="G972" i="4"/>
  <c r="F972" i="4"/>
  <c r="H972" i="4" s="1"/>
  <c r="D972" i="4"/>
  <c r="G971" i="4"/>
  <c r="F971" i="4"/>
  <c r="D971" i="4"/>
  <c r="H971" i="4" s="1"/>
  <c r="G970" i="4"/>
  <c r="F970" i="4"/>
  <c r="D970" i="4"/>
  <c r="H970" i="4" s="1"/>
  <c r="G969" i="4"/>
  <c r="F969" i="4"/>
  <c r="H969" i="4" s="1"/>
  <c r="D969" i="4"/>
  <c r="G968" i="4"/>
  <c r="F968" i="4"/>
  <c r="D968" i="4"/>
  <c r="H968" i="4" s="1"/>
  <c r="G967" i="4"/>
  <c r="F967" i="4"/>
  <c r="D967" i="4"/>
  <c r="H967" i="4" s="1"/>
  <c r="G966" i="4"/>
  <c r="F966" i="4"/>
  <c r="H966" i="4" s="1"/>
  <c r="D966" i="4"/>
  <c r="G965" i="4"/>
  <c r="F965" i="4"/>
  <c r="D965" i="4"/>
  <c r="H965" i="4" s="1"/>
  <c r="G964" i="4"/>
  <c r="F964" i="4"/>
  <c r="D964" i="4"/>
  <c r="H964" i="4" s="1"/>
  <c r="G963" i="4"/>
  <c r="F963" i="4"/>
  <c r="H963" i="4" s="1"/>
  <c r="D963" i="4"/>
  <c r="G962" i="4"/>
  <c r="F962" i="4"/>
  <c r="D962" i="4"/>
  <c r="H962" i="4" s="1"/>
  <c r="H961" i="4"/>
  <c r="G960" i="4"/>
  <c r="F960" i="4"/>
  <c r="D960" i="4"/>
  <c r="H960" i="4" s="1"/>
  <c r="G959" i="4"/>
  <c r="F959" i="4"/>
  <c r="D959" i="4"/>
  <c r="H959" i="4" s="1"/>
  <c r="G958" i="4"/>
  <c r="F958" i="4"/>
  <c r="D958" i="4"/>
  <c r="H958" i="4" s="1"/>
  <c r="G957" i="4"/>
  <c r="F957" i="4"/>
  <c r="D957" i="4"/>
  <c r="H957" i="4" s="1"/>
  <c r="G956" i="4"/>
  <c r="F956" i="4"/>
  <c r="D956" i="4"/>
  <c r="H956" i="4" s="1"/>
  <c r="G955" i="4"/>
  <c r="F955" i="4"/>
  <c r="D955" i="4"/>
  <c r="H955" i="4" s="1"/>
  <c r="G954" i="4"/>
  <c r="F954" i="4"/>
  <c r="D954" i="4"/>
  <c r="H954" i="4" s="1"/>
  <c r="G953" i="4"/>
  <c r="F953" i="4"/>
  <c r="D953" i="4"/>
  <c r="H953" i="4" s="1"/>
  <c r="G952" i="4"/>
  <c r="F952" i="4"/>
  <c r="D952" i="4"/>
  <c r="H952" i="4" s="1"/>
  <c r="G951" i="4"/>
  <c r="F951" i="4"/>
  <c r="D951" i="4"/>
  <c r="H951" i="4" s="1"/>
  <c r="G950" i="4"/>
  <c r="F950" i="4"/>
  <c r="D950" i="4"/>
  <c r="H950" i="4" s="1"/>
  <c r="G949" i="4"/>
  <c r="F949" i="4"/>
  <c r="D949" i="4"/>
  <c r="H949" i="4" s="1"/>
  <c r="G948" i="4"/>
  <c r="F948" i="4"/>
  <c r="D948" i="4"/>
  <c r="H948" i="4" s="1"/>
  <c r="G947" i="4"/>
  <c r="F947" i="4"/>
  <c r="D947" i="4"/>
  <c r="H947" i="4" s="1"/>
  <c r="G946" i="4"/>
  <c r="F946" i="4"/>
  <c r="D946" i="4"/>
  <c r="H946" i="4" s="1"/>
  <c r="H945" i="4"/>
  <c r="G944" i="4"/>
  <c r="F944" i="4"/>
  <c r="H944" i="4" s="1"/>
  <c r="D944" i="4"/>
  <c r="H943" i="4"/>
  <c r="G943" i="4"/>
  <c r="F943" i="4"/>
  <c r="D943" i="4"/>
  <c r="H942" i="4"/>
  <c r="G942" i="4"/>
  <c r="F942" i="4"/>
  <c r="D942" i="4"/>
  <c r="G941" i="4"/>
  <c r="F941" i="4"/>
  <c r="H941" i="4" s="1"/>
  <c r="D941" i="4"/>
  <c r="H940" i="4"/>
  <c r="G940" i="4"/>
  <c r="F940" i="4"/>
  <c r="D940" i="4"/>
  <c r="G939" i="4"/>
  <c r="H939" i="4" s="1"/>
  <c r="F939" i="4"/>
  <c r="D939" i="4"/>
  <c r="G938" i="4"/>
  <c r="F938" i="4"/>
  <c r="D938" i="4"/>
  <c r="H938" i="4" s="1"/>
  <c r="H937" i="4"/>
  <c r="G937" i="4"/>
  <c r="F937" i="4"/>
  <c r="D937" i="4"/>
  <c r="G936" i="4"/>
  <c r="H936" i="4" s="1"/>
  <c r="F936" i="4"/>
  <c r="D936" i="4"/>
  <c r="G935" i="4"/>
  <c r="F935" i="4"/>
  <c r="D935" i="4"/>
  <c r="H935" i="4" s="1"/>
  <c r="H934" i="4"/>
  <c r="G934" i="4"/>
  <c r="F934" i="4"/>
  <c r="D934" i="4"/>
  <c r="G933" i="4"/>
  <c r="H933" i="4" s="1"/>
  <c r="F933" i="4"/>
  <c r="D933" i="4"/>
  <c r="G932" i="4"/>
  <c r="F932" i="4"/>
  <c r="D932" i="4"/>
  <c r="H932" i="4" s="1"/>
  <c r="H931" i="4"/>
  <c r="G931" i="4"/>
  <c r="F931" i="4"/>
  <c r="D931" i="4"/>
  <c r="G930" i="4"/>
  <c r="F930" i="4"/>
  <c r="D930" i="4"/>
  <c r="H930" i="4" s="1"/>
  <c r="H929" i="4"/>
  <c r="G928" i="4"/>
  <c r="F928" i="4"/>
  <c r="D928" i="4"/>
  <c r="H928" i="4" s="1"/>
  <c r="G927" i="4"/>
  <c r="F927" i="4"/>
  <c r="D927" i="4"/>
  <c r="H927" i="4" s="1"/>
  <c r="H926" i="4"/>
  <c r="G926" i="4"/>
  <c r="F926" i="4"/>
  <c r="D926" i="4"/>
  <c r="G925" i="4"/>
  <c r="F925" i="4"/>
  <c r="D925" i="4"/>
  <c r="H925" i="4" s="1"/>
  <c r="G924" i="4"/>
  <c r="F924" i="4"/>
  <c r="D924" i="4"/>
  <c r="H924" i="4" s="1"/>
  <c r="H923" i="4"/>
  <c r="G923" i="4"/>
  <c r="F923" i="4"/>
  <c r="D923" i="4"/>
  <c r="G922" i="4"/>
  <c r="F922" i="4"/>
  <c r="D922" i="4"/>
  <c r="H922" i="4" s="1"/>
  <c r="G921" i="4"/>
  <c r="F921" i="4"/>
  <c r="D921" i="4"/>
  <c r="H921" i="4" s="1"/>
  <c r="G920" i="4"/>
  <c r="F920" i="4"/>
  <c r="H920" i="4" s="1"/>
  <c r="D920" i="4"/>
  <c r="G919" i="4"/>
  <c r="F919" i="4"/>
  <c r="D919" i="4"/>
  <c r="H919" i="4" s="1"/>
  <c r="G918" i="4"/>
  <c r="F918" i="4"/>
  <c r="D918" i="4"/>
  <c r="H918" i="4" s="1"/>
  <c r="G917" i="4"/>
  <c r="F917" i="4"/>
  <c r="H917" i="4" s="1"/>
  <c r="D917" i="4"/>
  <c r="G916" i="4"/>
  <c r="F916" i="4"/>
  <c r="D916" i="4"/>
  <c r="H916" i="4" s="1"/>
  <c r="G915" i="4"/>
  <c r="F915" i="4"/>
  <c r="D915" i="4"/>
  <c r="H915" i="4" s="1"/>
  <c r="G914" i="4"/>
  <c r="F914" i="4"/>
  <c r="H914" i="4" s="1"/>
  <c r="D914" i="4"/>
  <c r="G913" i="4"/>
  <c r="F913" i="4"/>
  <c r="D913" i="4"/>
  <c r="H913" i="4" s="1"/>
  <c r="H912" i="4"/>
  <c r="G911" i="4"/>
  <c r="F911" i="4"/>
  <c r="D911" i="4"/>
  <c r="H911" i="4" s="1"/>
  <c r="G910" i="4"/>
  <c r="F910" i="4"/>
  <c r="D910" i="4"/>
  <c r="H910" i="4" s="1"/>
  <c r="G909" i="4"/>
  <c r="F909" i="4"/>
  <c r="H909" i="4" s="1"/>
  <c r="D909" i="4"/>
  <c r="G908" i="4"/>
  <c r="F908" i="4"/>
  <c r="D908" i="4"/>
  <c r="H908" i="4" s="1"/>
  <c r="G907" i="4"/>
  <c r="F907" i="4"/>
  <c r="D907" i="4"/>
  <c r="H907" i="4" s="1"/>
  <c r="G906" i="4"/>
  <c r="F906" i="4"/>
  <c r="H906" i="4" s="1"/>
  <c r="D906" i="4"/>
  <c r="G905" i="4"/>
  <c r="F905" i="4"/>
  <c r="D905" i="4"/>
  <c r="H905" i="4" s="1"/>
  <c r="G904" i="4"/>
  <c r="F904" i="4"/>
  <c r="D904" i="4"/>
  <c r="H904" i="4" s="1"/>
  <c r="G903" i="4"/>
  <c r="F903" i="4"/>
  <c r="H903" i="4" s="1"/>
  <c r="D903" i="4"/>
  <c r="G902" i="4"/>
  <c r="F902" i="4"/>
  <c r="D902" i="4"/>
  <c r="H902" i="4" s="1"/>
  <c r="G901" i="4"/>
  <c r="F901" i="4"/>
  <c r="D901" i="4"/>
  <c r="H901" i="4" s="1"/>
  <c r="G900" i="4"/>
  <c r="F900" i="4"/>
  <c r="H900" i="4" s="1"/>
  <c r="D900" i="4"/>
  <c r="G899" i="4"/>
  <c r="F899" i="4"/>
  <c r="D899" i="4"/>
  <c r="H899" i="4" s="1"/>
  <c r="G898" i="4"/>
  <c r="F898" i="4"/>
  <c r="D898" i="4"/>
  <c r="H898" i="4" s="1"/>
  <c r="G897" i="4"/>
  <c r="F897" i="4"/>
  <c r="H897" i="4" s="1"/>
  <c r="D897" i="4"/>
  <c r="G896" i="4"/>
  <c r="F896" i="4"/>
  <c r="D896" i="4"/>
  <c r="H896" i="4" s="1"/>
  <c r="H895" i="4"/>
  <c r="G894" i="4"/>
  <c r="F894" i="4"/>
  <c r="D894" i="4"/>
  <c r="H894" i="4" s="1"/>
  <c r="G893" i="4"/>
  <c r="H893" i="4" s="1"/>
  <c r="F893" i="4"/>
  <c r="D893" i="4"/>
  <c r="G892" i="4"/>
  <c r="F892" i="4"/>
  <c r="H892" i="4" s="1"/>
  <c r="D892" i="4"/>
  <c r="G891" i="4"/>
  <c r="F891" i="4"/>
  <c r="D891" i="4"/>
  <c r="H891" i="4" s="1"/>
  <c r="G890" i="4"/>
  <c r="F890" i="4"/>
  <c r="D890" i="4"/>
  <c r="H890" i="4" s="1"/>
  <c r="G889" i="4"/>
  <c r="F889" i="4"/>
  <c r="D889" i="4"/>
  <c r="H889" i="4" s="1"/>
  <c r="G888" i="4"/>
  <c r="F888" i="4"/>
  <c r="D888" i="4"/>
  <c r="H888" i="4" s="1"/>
  <c r="G887" i="4"/>
  <c r="F887" i="4"/>
  <c r="D887" i="4"/>
  <c r="H887" i="4" s="1"/>
  <c r="G886" i="4"/>
  <c r="F886" i="4"/>
  <c r="D886" i="4"/>
  <c r="H886" i="4" s="1"/>
  <c r="G885" i="4"/>
  <c r="F885" i="4"/>
  <c r="D885" i="4"/>
  <c r="H885" i="4" s="1"/>
  <c r="G884" i="4"/>
  <c r="F884" i="4"/>
  <c r="D884" i="4"/>
  <c r="H884" i="4" s="1"/>
  <c r="G883" i="4"/>
  <c r="F883" i="4"/>
  <c r="D883" i="4"/>
  <c r="H883" i="4" s="1"/>
  <c r="G882" i="4"/>
  <c r="F882" i="4"/>
  <c r="D882" i="4"/>
  <c r="H882" i="4" s="1"/>
  <c r="G881" i="4"/>
  <c r="F881" i="4"/>
  <c r="D881" i="4"/>
  <c r="H881" i="4" s="1"/>
  <c r="G880" i="4"/>
  <c r="F880" i="4"/>
  <c r="D880" i="4"/>
  <c r="H880" i="4" s="1"/>
  <c r="H879" i="4"/>
  <c r="G878" i="4"/>
  <c r="F878" i="4"/>
  <c r="H878" i="4" s="1"/>
  <c r="D878" i="4"/>
  <c r="H877" i="4"/>
  <c r="G877" i="4"/>
  <c r="F877" i="4"/>
  <c r="D877" i="4"/>
  <c r="G876" i="4"/>
  <c r="H876" i="4" s="1"/>
  <c r="F876" i="4"/>
  <c r="D876" i="4"/>
  <c r="G875" i="4"/>
  <c r="F875" i="4"/>
  <c r="H875" i="4" s="1"/>
  <c r="D875" i="4"/>
  <c r="H874" i="4"/>
  <c r="G874" i="4"/>
  <c r="F874" i="4"/>
  <c r="D874" i="4"/>
  <c r="G873" i="4"/>
  <c r="H873" i="4" s="1"/>
  <c r="F873" i="4"/>
  <c r="D873" i="4"/>
  <c r="G872" i="4"/>
  <c r="F872" i="4"/>
  <c r="D872" i="4"/>
  <c r="H872" i="4" s="1"/>
  <c r="H871" i="4"/>
  <c r="G871" i="4"/>
  <c r="F871" i="4"/>
  <c r="D871" i="4"/>
  <c r="G870" i="4"/>
  <c r="H870" i="4" s="1"/>
  <c r="F870" i="4"/>
  <c r="D870" i="4"/>
  <c r="G869" i="4"/>
  <c r="F869" i="4"/>
  <c r="D869" i="4"/>
  <c r="H869" i="4" s="1"/>
  <c r="H868" i="4"/>
  <c r="G867" i="4"/>
  <c r="F867" i="4"/>
  <c r="D867" i="4"/>
  <c r="H867" i="4" s="1"/>
  <c r="H866" i="4"/>
  <c r="G866" i="4"/>
  <c r="F866" i="4"/>
  <c r="D866" i="4"/>
  <c r="G865" i="4"/>
  <c r="F865" i="4"/>
  <c r="D865" i="4"/>
  <c r="H865" i="4" s="1"/>
  <c r="G864" i="4"/>
  <c r="F864" i="4"/>
  <c r="D864" i="4"/>
  <c r="H864" i="4" s="1"/>
  <c r="H863" i="4"/>
  <c r="G863" i="4"/>
  <c r="F863" i="4"/>
  <c r="D863" i="4"/>
  <c r="G862" i="4"/>
  <c r="F862" i="4"/>
  <c r="D862" i="4"/>
  <c r="H862" i="4" s="1"/>
  <c r="G861" i="4"/>
  <c r="F861" i="4"/>
  <c r="D861" i="4"/>
  <c r="H861" i="4" s="1"/>
  <c r="H860" i="4"/>
  <c r="G860" i="4"/>
  <c r="F860" i="4"/>
  <c r="D860" i="4"/>
  <c r="G859" i="4"/>
  <c r="F859" i="4"/>
  <c r="D859" i="4"/>
  <c r="H859" i="4" s="1"/>
  <c r="G858" i="4"/>
  <c r="F858" i="4"/>
  <c r="D858" i="4"/>
  <c r="H858" i="4" s="1"/>
  <c r="H857" i="4"/>
  <c r="G856" i="4"/>
  <c r="F856" i="4"/>
  <c r="D856" i="4"/>
  <c r="H856" i="4" s="1"/>
  <c r="G855" i="4"/>
  <c r="F855" i="4"/>
  <c r="H855" i="4" s="1"/>
  <c r="D855" i="4"/>
  <c r="G854" i="4"/>
  <c r="F854" i="4"/>
  <c r="D854" i="4"/>
  <c r="H854" i="4" s="1"/>
  <c r="G853" i="4"/>
  <c r="F853" i="4"/>
  <c r="D853" i="4"/>
  <c r="H853" i="4" s="1"/>
  <c r="G852" i="4"/>
  <c r="F852" i="4"/>
  <c r="H852" i="4" s="1"/>
  <c r="D852" i="4"/>
  <c r="G851" i="4"/>
  <c r="F851" i="4"/>
  <c r="D851" i="4"/>
  <c r="H851" i="4" s="1"/>
  <c r="G850" i="4"/>
  <c r="F850" i="4"/>
  <c r="D850" i="4"/>
  <c r="H850" i="4" s="1"/>
  <c r="G849" i="4"/>
  <c r="F849" i="4"/>
  <c r="H849" i="4" s="1"/>
  <c r="D849" i="4"/>
  <c r="G848" i="4"/>
  <c r="F848" i="4"/>
  <c r="D848" i="4"/>
  <c r="H848" i="4" s="1"/>
  <c r="G847" i="4"/>
  <c r="F847" i="4"/>
  <c r="D847" i="4"/>
  <c r="H847" i="4" s="1"/>
  <c r="G846" i="4"/>
  <c r="F846" i="4"/>
  <c r="H846" i="4" s="1"/>
  <c r="D846" i="4"/>
  <c r="G845" i="4"/>
  <c r="F845" i="4"/>
  <c r="D845" i="4"/>
  <c r="H845" i="4" s="1"/>
  <c r="G844" i="4"/>
  <c r="F844" i="4"/>
  <c r="D844" i="4"/>
  <c r="H844" i="4" s="1"/>
  <c r="G843" i="4"/>
  <c r="F843" i="4"/>
  <c r="H843" i="4" s="1"/>
  <c r="D843" i="4"/>
  <c r="G842" i="4"/>
  <c r="F842" i="4"/>
  <c r="D842" i="4"/>
  <c r="H842" i="4" s="1"/>
  <c r="H841" i="4"/>
  <c r="G840" i="4"/>
  <c r="F840" i="4"/>
  <c r="D840" i="4"/>
  <c r="H840" i="4" s="1"/>
  <c r="G839" i="4"/>
  <c r="F839" i="4"/>
  <c r="H839" i="4" s="1"/>
  <c r="D839" i="4"/>
  <c r="G838" i="4"/>
  <c r="F838" i="4"/>
  <c r="H838" i="4" s="1"/>
  <c r="D838" i="4"/>
  <c r="G837" i="4"/>
  <c r="F837" i="4"/>
  <c r="D837" i="4"/>
  <c r="H837" i="4" s="1"/>
  <c r="G836" i="4"/>
  <c r="F836" i="4"/>
  <c r="D836" i="4"/>
  <c r="H836" i="4" s="1"/>
  <c r="G835" i="4"/>
  <c r="F835" i="4"/>
  <c r="D835" i="4"/>
  <c r="H835" i="4" s="1"/>
  <c r="G834" i="4"/>
  <c r="F834" i="4"/>
  <c r="D834" i="4"/>
  <c r="H834" i="4" s="1"/>
  <c r="G833" i="4"/>
  <c r="F833" i="4"/>
  <c r="D833" i="4"/>
  <c r="H833" i="4" s="1"/>
  <c r="G832" i="4"/>
  <c r="F832" i="4"/>
  <c r="D832" i="4"/>
  <c r="H832" i="4" s="1"/>
  <c r="G831" i="4"/>
  <c r="F831" i="4"/>
  <c r="D831" i="4"/>
  <c r="H831" i="4" s="1"/>
  <c r="H830" i="4"/>
  <c r="H829" i="4"/>
  <c r="G829" i="4"/>
  <c r="F829" i="4"/>
  <c r="D829" i="4"/>
  <c r="G828" i="4"/>
  <c r="H828" i="4" s="1"/>
  <c r="F828" i="4"/>
  <c r="D828" i="4"/>
  <c r="G827" i="4"/>
  <c r="F827" i="4"/>
  <c r="H827" i="4" s="1"/>
  <c r="D827" i="4"/>
  <c r="H826" i="4"/>
  <c r="G826" i="4"/>
  <c r="F826" i="4"/>
  <c r="D826" i="4"/>
  <c r="G825" i="4"/>
  <c r="H825" i="4" s="1"/>
  <c r="F825" i="4"/>
  <c r="D825" i="4"/>
  <c r="G824" i="4"/>
  <c r="F824" i="4"/>
  <c r="D824" i="4"/>
  <c r="H824" i="4" s="1"/>
  <c r="H823" i="4"/>
  <c r="G823" i="4"/>
  <c r="F823" i="4"/>
  <c r="D823" i="4"/>
  <c r="G822" i="4"/>
  <c r="H822" i="4" s="1"/>
  <c r="F822" i="4"/>
  <c r="D822" i="4"/>
  <c r="G821" i="4"/>
  <c r="F821" i="4"/>
  <c r="D821" i="4"/>
  <c r="H821" i="4" s="1"/>
  <c r="H820" i="4"/>
  <c r="G820" i="4"/>
  <c r="F820" i="4"/>
  <c r="D820" i="4"/>
  <c r="H819" i="4"/>
  <c r="H818" i="4"/>
  <c r="G818" i="4"/>
  <c r="F818" i="4"/>
  <c r="D818" i="4"/>
  <c r="G817" i="4"/>
  <c r="F817" i="4"/>
  <c r="D817" i="4"/>
  <c r="H817" i="4" s="1"/>
  <c r="G816" i="4"/>
  <c r="F816" i="4"/>
  <c r="D816" i="4"/>
  <c r="H816" i="4" s="1"/>
  <c r="H815" i="4"/>
  <c r="G815" i="4"/>
  <c r="F815" i="4"/>
  <c r="D815" i="4"/>
  <c r="G814" i="4"/>
  <c r="F814" i="4"/>
  <c r="D814" i="4"/>
  <c r="H814" i="4" s="1"/>
  <c r="G813" i="4"/>
  <c r="F813" i="4"/>
  <c r="D813" i="4"/>
  <c r="H813" i="4" s="1"/>
  <c r="H812" i="4"/>
  <c r="G812" i="4"/>
  <c r="F812" i="4"/>
  <c r="D812" i="4"/>
  <c r="G811" i="4"/>
  <c r="F811" i="4"/>
  <c r="D811" i="4"/>
  <c r="H811" i="4" s="1"/>
  <c r="G810" i="4"/>
  <c r="F810" i="4"/>
  <c r="D810" i="4"/>
  <c r="H810" i="4" s="1"/>
  <c r="H809" i="4"/>
  <c r="G809" i="4"/>
  <c r="F809" i="4"/>
  <c r="D809" i="4"/>
  <c r="H808" i="4"/>
  <c r="G807" i="4"/>
  <c r="F807" i="4"/>
  <c r="H807" i="4" s="1"/>
  <c r="D807" i="4"/>
  <c r="G806" i="4"/>
  <c r="F806" i="4"/>
  <c r="D806" i="4"/>
  <c r="H806" i="4" s="1"/>
  <c r="G805" i="4"/>
  <c r="F805" i="4"/>
  <c r="D805" i="4"/>
  <c r="H805" i="4" s="1"/>
  <c r="G804" i="4"/>
  <c r="F804" i="4"/>
  <c r="H804" i="4" s="1"/>
  <c r="D804" i="4"/>
  <c r="G803" i="4"/>
  <c r="F803" i="4"/>
  <c r="D803" i="4"/>
  <c r="H803" i="4" s="1"/>
  <c r="G802" i="4"/>
  <c r="F802" i="4"/>
  <c r="D802" i="4"/>
  <c r="H802" i="4" s="1"/>
  <c r="G801" i="4"/>
  <c r="F801" i="4"/>
  <c r="H801" i="4" s="1"/>
  <c r="D801" i="4"/>
  <c r="G800" i="4"/>
  <c r="F800" i="4"/>
  <c r="D800" i="4"/>
  <c r="H800" i="4" s="1"/>
  <c r="G799" i="4"/>
  <c r="F799" i="4"/>
  <c r="D799" i="4"/>
  <c r="H799" i="4" s="1"/>
  <c r="G798" i="4"/>
  <c r="F798" i="4"/>
  <c r="H798" i="4" s="1"/>
  <c r="D798" i="4"/>
  <c r="G797" i="4"/>
  <c r="F797" i="4"/>
  <c r="D797" i="4"/>
  <c r="H797" i="4" s="1"/>
  <c r="G796" i="4"/>
  <c r="F796" i="4"/>
  <c r="D796" i="4"/>
  <c r="H796" i="4" s="1"/>
  <c r="G795" i="4"/>
  <c r="F795" i="4"/>
  <c r="H795" i="4" s="1"/>
  <c r="D795" i="4"/>
  <c r="G794" i="4"/>
  <c r="F794" i="4"/>
  <c r="D794" i="4"/>
  <c r="H794" i="4" s="1"/>
  <c r="G793" i="4"/>
  <c r="F793" i="4"/>
  <c r="D793" i="4"/>
  <c r="H793" i="4" s="1"/>
  <c r="G792" i="4"/>
  <c r="F792" i="4"/>
  <c r="H792" i="4" s="1"/>
  <c r="D792" i="4"/>
  <c r="G791" i="4"/>
  <c r="F791" i="4"/>
  <c r="D791" i="4"/>
  <c r="H791" i="4" s="1"/>
  <c r="H790" i="4"/>
  <c r="G789" i="4"/>
  <c r="F789" i="4"/>
  <c r="D789" i="4"/>
  <c r="H789" i="4" s="1"/>
  <c r="G788" i="4"/>
  <c r="F788" i="4"/>
  <c r="H788" i="4" s="1"/>
  <c r="D788" i="4"/>
  <c r="G787" i="4"/>
  <c r="F787" i="4"/>
  <c r="H787" i="4" s="1"/>
  <c r="D787" i="4"/>
  <c r="G786" i="4"/>
  <c r="F786" i="4"/>
  <c r="D786" i="4"/>
  <c r="H786" i="4" s="1"/>
  <c r="G785" i="4"/>
  <c r="F785" i="4"/>
  <c r="H785" i="4" s="1"/>
  <c r="D785" i="4"/>
  <c r="G784" i="4"/>
  <c r="F784" i="4"/>
  <c r="H784" i="4" s="1"/>
  <c r="D784" i="4"/>
  <c r="G783" i="4"/>
  <c r="F783" i="4"/>
  <c r="D783" i="4"/>
  <c r="H783" i="4" s="1"/>
  <c r="G782" i="4"/>
  <c r="F782" i="4"/>
  <c r="D782" i="4"/>
  <c r="H782" i="4" s="1"/>
  <c r="G781" i="4"/>
  <c r="F781" i="4"/>
  <c r="H781" i="4" s="1"/>
  <c r="D781" i="4"/>
  <c r="G780" i="4"/>
  <c r="F780" i="4"/>
  <c r="D780" i="4"/>
  <c r="H780" i="4" s="1"/>
  <c r="G779" i="4"/>
  <c r="F779" i="4"/>
  <c r="D779" i="4"/>
  <c r="H779" i="4" s="1"/>
  <c r="G778" i="4"/>
  <c r="F778" i="4"/>
  <c r="D778" i="4"/>
  <c r="H778" i="4" s="1"/>
  <c r="G777" i="4"/>
  <c r="F777" i="4"/>
  <c r="D777" i="4"/>
  <c r="H777" i="4" s="1"/>
  <c r="G776" i="4"/>
  <c r="F776" i="4"/>
  <c r="D776" i="4"/>
  <c r="H776" i="4" s="1"/>
  <c r="G775" i="4"/>
  <c r="F775" i="4"/>
  <c r="D775" i="4"/>
  <c r="H775" i="4" s="1"/>
  <c r="H774" i="4"/>
  <c r="G773" i="4"/>
  <c r="F773" i="4"/>
  <c r="H773" i="4" s="1"/>
  <c r="D773" i="4"/>
  <c r="H772" i="4"/>
  <c r="G772" i="4"/>
  <c r="F772" i="4"/>
  <c r="D772" i="4"/>
  <c r="G771" i="4"/>
  <c r="H771" i="4" s="1"/>
  <c r="F771" i="4"/>
  <c r="D771" i="4"/>
  <c r="G770" i="4"/>
  <c r="F770" i="4"/>
  <c r="H770" i="4" s="1"/>
  <c r="D770" i="4"/>
  <c r="H769" i="4"/>
  <c r="G769" i="4"/>
  <c r="F769" i="4"/>
  <c r="D769" i="4"/>
  <c r="G768" i="4"/>
  <c r="H768" i="4" s="1"/>
  <c r="F768" i="4"/>
  <c r="D768" i="4"/>
  <c r="G767" i="4"/>
  <c r="F767" i="4"/>
  <c r="D767" i="4"/>
  <c r="H767" i="4" s="1"/>
  <c r="H766" i="4"/>
  <c r="G766" i="4"/>
  <c r="F766" i="4"/>
  <c r="D766" i="4"/>
  <c r="G765" i="4"/>
  <c r="H765" i="4" s="1"/>
  <c r="F765" i="4"/>
  <c r="D765" i="4"/>
  <c r="G764" i="4"/>
  <c r="F764" i="4"/>
  <c r="D764" i="4"/>
  <c r="H764" i="4" s="1"/>
  <c r="H763" i="4"/>
  <c r="G763" i="4"/>
  <c r="F763" i="4"/>
  <c r="D763" i="4"/>
  <c r="G762" i="4"/>
  <c r="H762" i="4" s="1"/>
  <c r="F762" i="4"/>
  <c r="D762" i="4"/>
  <c r="G761" i="4"/>
  <c r="F761" i="4"/>
  <c r="D761" i="4"/>
  <c r="H761" i="4" s="1"/>
  <c r="H760" i="4"/>
  <c r="G760" i="4"/>
  <c r="F760" i="4"/>
  <c r="D760" i="4"/>
  <c r="G759" i="4"/>
  <c r="H759" i="4" s="1"/>
  <c r="F759" i="4"/>
  <c r="D759" i="4"/>
  <c r="G758" i="4"/>
  <c r="F758" i="4"/>
  <c r="D758" i="4"/>
  <c r="H758" i="4" s="1"/>
  <c r="H757" i="4"/>
  <c r="G756" i="4"/>
  <c r="F756" i="4"/>
  <c r="D756" i="4"/>
  <c r="H756" i="4" s="1"/>
  <c r="H755" i="4"/>
  <c r="G755" i="4"/>
  <c r="F755" i="4"/>
  <c r="D755" i="4"/>
  <c r="G754" i="4"/>
  <c r="F754" i="4"/>
  <c r="D754" i="4"/>
  <c r="H754" i="4" s="1"/>
  <c r="G753" i="4"/>
  <c r="F753" i="4"/>
  <c r="D753" i="4"/>
  <c r="H753" i="4" s="1"/>
  <c r="H752" i="4"/>
  <c r="G752" i="4"/>
  <c r="F752" i="4"/>
  <c r="D752" i="4"/>
  <c r="G751" i="4"/>
  <c r="F751" i="4"/>
  <c r="D751" i="4"/>
  <c r="H751" i="4" s="1"/>
  <c r="G750" i="4"/>
  <c r="F750" i="4"/>
  <c r="D750" i="4"/>
  <c r="H750" i="4" s="1"/>
  <c r="H749" i="4"/>
  <c r="G749" i="4"/>
  <c r="F749" i="4"/>
  <c r="D749" i="4"/>
  <c r="G748" i="4"/>
  <c r="F748" i="4"/>
  <c r="D748" i="4"/>
  <c r="H748" i="4" s="1"/>
  <c r="G747" i="4"/>
  <c r="F747" i="4"/>
  <c r="D747" i="4"/>
  <c r="H747" i="4" s="1"/>
  <c r="H746" i="4"/>
  <c r="G746" i="4"/>
  <c r="F746" i="4"/>
  <c r="D746" i="4"/>
  <c r="G745" i="4"/>
  <c r="F745" i="4"/>
  <c r="D745" i="4"/>
  <c r="H745" i="4" s="1"/>
  <c r="G744" i="4"/>
  <c r="F744" i="4"/>
  <c r="D744" i="4"/>
  <c r="H744" i="4" s="1"/>
  <c r="H743" i="4"/>
  <c r="G743" i="4"/>
  <c r="F743" i="4"/>
  <c r="D743" i="4"/>
  <c r="G742" i="4"/>
  <c r="F742" i="4"/>
  <c r="D742" i="4"/>
  <c r="H742" i="4" s="1"/>
  <c r="G741" i="4"/>
  <c r="F741" i="4"/>
  <c r="D741" i="4"/>
  <c r="H741" i="4" s="1"/>
  <c r="H740" i="4"/>
  <c r="G739" i="4"/>
  <c r="F739" i="4"/>
  <c r="D739" i="4"/>
  <c r="H739" i="4" s="1"/>
  <c r="G738" i="4"/>
  <c r="F738" i="4"/>
  <c r="H738" i="4" s="1"/>
  <c r="D738" i="4"/>
  <c r="G737" i="4"/>
  <c r="F737" i="4"/>
  <c r="D737" i="4"/>
  <c r="H737" i="4" s="1"/>
  <c r="G736" i="4"/>
  <c r="F736" i="4"/>
  <c r="D736" i="4"/>
  <c r="H736" i="4" s="1"/>
  <c r="G735" i="4"/>
  <c r="F735" i="4"/>
  <c r="H735" i="4" s="1"/>
  <c r="D735" i="4"/>
  <c r="G734" i="4"/>
  <c r="F734" i="4"/>
  <c r="D734" i="4"/>
  <c r="H734" i="4" s="1"/>
  <c r="G733" i="4"/>
  <c r="F733" i="4"/>
  <c r="D733" i="4"/>
  <c r="H733" i="4" s="1"/>
  <c r="G732" i="4"/>
  <c r="F732" i="4"/>
  <c r="H732" i="4" s="1"/>
  <c r="D732" i="4"/>
  <c r="G731" i="4"/>
  <c r="F731" i="4"/>
  <c r="D731" i="4"/>
  <c r="H731" i="4" s="1"/>
  <c r="G730" i="4"/>
  <c r="F730" i="4"/>
  <c r="D730" i="4"/>
  <c r="H730" i="4" s="1"/>
  <c r="H729" i="4"/>
  <c r="G728" i="4"/>
  <c r="F728" i="4"/>
  <c r="H728" i="4" s="1"/>
  <c r="D728" i="4"/>
  <c r="G727" i="4"/>
  <c r="F727" i="4"/>
  <c r="H727" i="4" s="1"/>
  <c r="D727" i="4"/>
  <c r="G726" i="4"/>
  <c r="F726" i="4"/>
  <c r="D726" i="4"/>
  <c r="H726" i="4" s="1"/>
  <c r="G725" i="4"/>
  <c r="F725" i="4"/>
  <c r="H725" i="4" s="1"/>
  <c r="D725" i="4"/>
  <c r="G724" i="4"/>
  <c r="F724" i="4"/>
  <c r="D724" i="4"/>
  <c r="H724" i="4" s="1"/>
  <c r="G723" i="4"/>
  <c r="F723" i="4"/>
  <c r="D723" i="4"/>
  <c r="H723" i="4" s="1"/>
  <c r="G722" i="4"/>
  <c r="F722" i="4"/>
  <c r="D722" i="4"/>
  <c r="H722" i="4" s="1"/>
  <c r="G721" i="4"/>
  <c r="F721" i="4"/>
  <c r="D721" i="4"/>
  <c r="H721" i="4" s="1"/>
  <c r="G720" i="4"/>
  <c r="F720" i="4"/>
  <c r="D720" i="4"/>
  <c r="H720" i="4" s="1"/>
  <c r="G719" i="4"/>
  <c r="F719" i="4"/>
  <c r="D719" i="4"/>
  <c r="H719" i="4" s="1"/>
  <c r="G718" i="4"/>
  <c r="F718" i="4"/>
  <c r="D718" i="4"/>
  <c r="H718" i="4" s="1"/>
  <c r="G717" i="4"/>
  <c r="F717" i="4"/>
  <c r="D717" i="4"/>
  <c r="H717" i="4" s="1"/>
  <c r="G716" i="4"/>
  <c r="F716" i="4"/>
  <c r="D716" i="4"/>
  <c r="H716" i="4" s="1"/>
  <c r="G715" i="4"/>
  <c r="F715" i="4"/>
  <c r="D715" i="4"/>
  <c r="H715" i="4" s="1"/>
  <c r="G714" i="4"/>
  <c r="F714" i="4"/>
  <c r="D714" i="4"/>
  <c r="H714" i="4" s="1"/>
  <c r="H713" i="4"/>
  <c r="H712" i="4"/>
  <c r="G712" i="4"/>
  <c r="F712" i="4"/>
  <c r="D712" i="4"/>
  <c r="G711" i="4"/>
  <c r="H711" i="4" s="1"/>
  <c r="F711" i="4"/>
  <c r="D711" i="4"/>
  <c r="G710" i="4"/>
  <c r="F710" i="4"/>
  <c r="H710" i="4" s="1"/>
  <c r="D710" i="4"/>
  <c r="H709" i="4"/>
  <c r="G709" i="4"/>
  <c r="F709" i="4"/>
  <c r="D709" i="4"/>
  <c r="G708" i="4"/>
  <c r="H708" i="4" s="1"/>
  <c r="F708" i="4"/>
  <c r="D708" i="4"/>
  <c r="G707" i="4"/>
  <c r="F707" i="4"/>
  <c r="H707" i="4" s="1"/>
  <c r="D707" i="4"/>
  <c r="H706" i="4"/>
  <c r="G706" i="4"/>
  <c r="F706" i="4"/>
  <c r="D706" i="4"/>
  <c r="G705" i="4"/>
  <c r="H705" i="4" s="1"/>
  <c r="F705" i="4"/>
  <c r="D705" i="4"/>
  <c r="G704" i="4"/>
  <c r="F704" i="4"/>
  <c r="D704" i="4"/>
  <c r="H704" i="4" s="1"/>
  <c r="H703" i="4"/>
  <c r="G703" i="4"/>
  <c r="F703" i="4"/>
  <c r="D703" i="4"/>
  <c r="H702" i="4"/>
  <c r="H701" i="4"/>
  <c r="G701" i="4"/>
  <c r="F701" i="4"/>
  <c r="D701" i="4"/>
  <c r="G700" i="4"/>
  <c r="F700" i="4"/>
  <c r="D700" i="4"/>
  <c r="H700" i="4" s="1"/>
  <c r="G699" i="4"/>
  <c r="F699" i="4"/>
  <c r="D699" i="4"/>
  <c r="H699" i="4" s="1"/>
  <c r="H698" i="4"/>
  <c r="G698" i="4"/>
  <c r="F698" i="4"/>
  <c r="D698" i="4"/>
  <c r="G697" i="4"/>
  <c r="F697" i="4"/>
  <c r="D697" i="4"/>
  <c r="H697" i="4" s="1"/>
  <c r="G696" i="4"/>
  <c r="F696" i="4"/>
  <c r="D696" i="4"/>
  <c r="H696" i="4" s="1"/>
  <c r="H695" i="4"/>
  <c r="G695" i="4"/>
  <c r="F695" i="4"/>
  <c r="D695" i="4"/>
  <c r="G694" i="4"/>
  <c r="F694" i="4"/>
  <c r="D694" i="4"/>
  <c r="H694" i="4" s="1"/>
  <c r="G693" i="4"/>
  <c r="F693" i="4"/>
  <c r="D693" i="4"/>
  <c r="H693" i="4" s="1"/>
  <c r="H692" i="4"/>
  <c r="G692" i="4"/>
  <c r="F692" i="4"/>
  <c r="D692" i="4"/>
  <c r="H691" i="4"/>
  <c r="G690" i="4"/>
  <c r="F690" i="4"/>
  <c r="H690" i="4" s="1"/>
  <c r="D690" i="4"/>
  <c r="G689" i="4"/>
  <c r="F689" i="4"/>
  <c r="D689" i="4"/>
  <c r="H689" i="4" s="1"/>
  <c r="G688" i="4"/>
  <c r="F688" i="4"/>
  <c r="D688" i="4"/>
  <c r="H688" i="4" s="1"/>
  <c r="G687" i="4"/>
  <c r="F687" i="4"/>
  <c r="H687" i="4" s="1"/>
  <c r="D687" i="4"/>
  <c r="G686" i="4"/>
  <c r="F686" i="4"/>
  <c r="D686" i="4"/>
  <c r="H686" i="4" s="1"/>
  <c r="G685" i="4"/>
  <c r="F685" i="4"/>
  <c r="D685" i="4"/>
  <c r="H685" i="4" s="1"/>
  <c r="G684" i="4"/>
  <c r="F684" i="4"/>
  <c r="H684" i="4" s="1"/>
  <c r="D684" i="4"/>
  <c r="G683" i="4"/>
  <c r="F683" i="4"/>
  <c r="D683" i="4"/>
  <c r="H683" i="4" s="1"/>
  <c r="G682" i="4"/>
  <c r="F682" i="4"/>
  <c r="D682" i="4"/>
  <c r="H682" i="4" s="1"/>
  <c r="G681" i="4"/>
  <c r="F681" i="4"/>
  <c r="H681" i="4" s="1"/>
  <c r="D681" i="4"/>
  <c r="H680" i="4"/>
  <c r="G679" i="4"/>
  <c r="F679" i="4"/>
  <c r="D679" i="4"/>
  <c r="H679" i="4" s="1"/>
  <c r="G678" i="4"/>
  <c r="F678" i="4"/>
  <c r="D678" i="4"/>
  <c r="H678" i="4" s="1"/>
  <c r="G677" i="4"/>
  <c r="F677" i="4"/>
  <c r="D677" i="4"/>
  <c r="H677" i="4" s="1"/>
  <c r="G676" i="4"/>
  <c r="F676" i="4"/>
  <c r="D676" i="4"/>
  <c r="H676" i="4" s="1"/>
  <c r="G675" i="4"/>
  <c r="F675" i="4"/>
  <c r="D675" i="4"/>
  <c r="H675" i="4" s="1"/>
  <c r="G674" i="4"/>
  <c r="F674" i="4"/>
  <c r="D674" i="4"/>
  <c r="H674" i="4" s="1"/>
  <c r="G673" i="4"/>
  <c r="F673" i="4"/>
  <c r="D673" i="4"/>
  <c r="H673" i="4" s="1"/>
  <c r="G672" i="4"/>
  <c r="F672" i="4"/>
  <c r="D672" i="4"/>
  <c r="H672" i="4" s="1"/>
  <c r="G671" i="4"/>
  <c r="F671" i="4"/>
  <c r="D671" i="4"/>
  <c r="H671" i="4" s="1"/>
  <c r="G670" i="4"/>
  <c r="F670" i="4"/>
  <c r="D670" i="4"/>
  <c r="H670" i="4" s="1"/>
  <c r="G669" i="4"/>
  <c r="F669" i="4"/>
  <c r="D669" i="4"/>
  <c r="H669" i="4" s="1"/>
  <c r="G668" i="4"/>
  <c r="F668" i="4"/>
  <c r="D668" i="4"/>
  <c r="H668" i="4" s="1"/>
  <c r="G667" i="4"/>
  <c r="F667" i="4"/>
  <c r="D667" i="4"/>
  <c r="H667" i="4" s="1"/>
  <c r="G666" i="4"/>
  <c r="F666" i="4"/>
  <c r="D666" i="4"/>
  <c r="H666" i="4" s="1"/>
  <c r="G665" i="4"/>
  <c r="F665" i="4"/>
  <c r="D665" i="4"/>
  <c r="H665" i="4" s="1"/>
  <c r="G664" i="4"/>
  <c r="F664" i="4"/>
  <c r="D664" i="4"/>
  <c r="H664" i="4" s="1"/>
  <c r="H663" i="4"/>
  <c r="G662" i="4"/>
  <c r="F662" i="4"/>
  <c r="H662" i="4" s="1"/>
  <c r="D662" i="4"/>
  <c r="H661" i="4"/>
  <c r="G661" i="4"/>
  <c r="F661" i="4"/>
  <c r="D661" i="4"/>
  <c r="G660" i="4"/>
  <c r="H660" i="4" s="1"/>
  <c r="F660" i="4"/>
  <c r="D660" i="4"/>
  <c r="G659" i="4"/>
  <c r="F659" i="4"/>
  <c r="H659" i="4" s="1"/>
  <c r="D659" i="4"/>
  <c r="H658" i="4"/>
  <c r="G658" i="4"/>
  <c r="F658" i="4"/>
  <c r="D658" i="4"/>
  <c r="G657" i="4"/>
  <c r="F657" i="4"/>
  <c r="H657" i="4" s="1"/>
  <c r="D657" i="4"/>
  <c r="G656" i="4"/>
  <c r="F656" i="4"/>
  <c r="H656" i="4" s="1"/>
  <c r="D656" i="4"/>
  <c r="H655" i="4"/>
  <c r="G655" i="4"/>
  <c r="F655" i="4"/>
  <c r="D655" i="4"/>
  <c r="G654" i="4"/>
  <c r="F654" i="4"/>
  <c r="H654" i="4" s="1"/>
  <c r="D654" i="4"/>
  <c r="G653" i="4"/>
  <c r="F653" i="4"/>
  <c r="D653" i="4"/>
  <c r="H653" i="4" s="1"/>
  <c r="H652" i="4"/>
  <c r="G651" i="4"/>
  <c r="F651" i="4"/>
  <c r="D651" i="4"/>
  <c r="H651" i="4" s="1"/>
  <c r="G650" i="4"/>
  <c r="H650" i="4" s="1"/>
  <c r="F650" i="4"/>
  <c r="D650" i="4"/>
  <c r="G649" i="4"/>
  <c r="F649" i="4"/>
  <c r="D649" i="4"/>
  <c r="H649" i="4" s="1"/>
  <c r="G648" i="4"/>
  <c r="F648" i="4"/>
  <c r="D648" i="4"/>
  <c r="H648" i="4" s="1"/>
  <c r="G647" i="4"/>
  <c r="H647" i="4" s="1"/>
  <c r="F647" i="4"/>
  <c r="D647" i="4"/>
  <c r="G646" i="4"/>
  <c r="F646" i="4"/>
  <c r="D646" i="4"/>
  <c r="H646" i="4" s="1"/>
  <c r="G645" i="4"/>
  <c r="F645" i="4"/>
  <c r="D645" i="4"/>
  <c r="H645" i="4" s="1"/>
  <c r="G644" i="4"/>
  <c r="H644" i="4" s="1"/>
  <c r="F644" i="4"/>
  <c r="D644" i="4"/>
  <c r="G643" i="4"/>
  <c r="F643" i="4"/>
  <c r="D643" i="4"/>
  <c r="H643" i="4" s="1"/>
  <c r="G642" i="4"/>
  <c r="F642" i="4"/>
  <c r="D642" i="4"/>
  <c r="H642" i="4" s="1"/>
  <c r="H641" i="4"/>
  <c r="H640" i="4"/>
  <c r="G640" i="4"/>
  <c r="F640" i="4"/>
  <c r="D640" i="4"/>
  <c r="G639" i="4"/>
  <c r="F639" i="4"/>
  <c r="H639" i="4" s="1"/>
  <c r="D639" i="4"/>
  <c r="G638" i="4"/>
  <c r="F638" i="4"/>
  <c r="D638" i="4"/>
  <c r="H638" i="4" s="1"/>
  <c r="H637" i="4"/>
  <c r="G637" i="4"/>
  <c r="F637" i="4"/>
  <c r="D637" i="4"/>
  <c r="G636" i="4"/>
  <c r="F636" i="4"/>
  <c r="H636" i="4" s="1"/>
  <c r="D636" i="4"/>
  <c r="G635" i="4"/>
  <c r="F635" i="4"/>
  <c r="D635" i="4"/>
  <c r="H635" i="4" s="1"/>
  <c r="H634" i="4"/>
  <c r="G634" i="4"/>
  <c r="F634" i="4"/>
  <c r="D634" i="4"/>
  <c r="G633" i="4"/>
  <c r="F633" i="4"/>
  <c r="H633" i="4" s="1"/>
  <c r="D633" i="4"/>
  <c r="G632" i="4"/>
  <c r="F632" i="4"/>
  <c r="D632" i="4"/>
  <c r="H632" i="4" s="1"/>
  <c r="H631" i="4"/>
  <c r="G631" i="4"/>
  <c r="F631" i="4"/>
  <c r="D631" i="4"/>
  <c r="H630" i="4"/>
  <c r="G629" i="4"/>
  <c r="F629" i="4"/>
  <c r="D629" i="4"/>
  <c r="H629" i="4" s="1"/>
  <c r="G628" i="4"/>
  <c r="F628" i="4"/>
  <c r="D628" i="4"/>
  <c r="H628" i="4" s="1"/>
  <c r="G627" i="4"/>
  <c r="F627" i="4"/>
  <c r="D627" i="4"/>
  <c r="H627" i="4" s="1"/>
  <c r="G626" i="4"/>
  <c r="F626" i="4"/>
  <c r="D626" i="4"/>
  <c r="H626" i="4" s="1"/>
  <c r="G625" i="4"/>
  <c r="F625" i="4"/>
  <c r="D625" i="4"/>
  <c r="H625" i="4" s="1"/>
  <c r="G624" i="4"/>
  <c r="F624" i="4"/>
  <c r="D624" i="4"/>
  <c r="H624" i="4" s="1"/>
  <c r="G623" i="4"/>
  <c r="F623" i="4"/>
  <c r="D623" i="4"/>
  <c r="H623" i="4" s="1"/>
  <c r="G622" i="4"/>
  <c r="F622" i="4"/>
  <c r="D622" i="4"/>
  <c r="H622" i="4" s="1"/>
  <c r="G621" i="4"/>
  <c r="F621" i="4"/>
  <c r="D621" i="4"/>
  <c r="H621" i="4" s="1"/>
  <c r="G620" i="4"/>
  <c r="F620" i="4"/>
  <c r="D620" i="4"/>
  <c r="G619" i="4"/>
  <c r="F619" i="4"/>
  <c r="D619" i="4"/>
  <c r="H619" i="4" s="1"/>
  <c r="G618" i="4"/>
  <c r="F618" i="4"/>
  <c r="D618" i="4"/>
  <c r="H618" i="4" s="1"/>
  <c r="G617" i="4"/>
  <c r="F617" i="4"/>
  <c r="D617" i="4"/>
  <c r="H617" i="4" s="1"/>
  <c r="G616" i="4"/>
  <c r="F616" i="4"/>
  <c r="D616" i="4"/>
  <c r="H616" i="4" s="1"/>
  <c r="G615" i="4"/>
  <c r="F615" i="4"/>
  <c r="D615" i="4"/>
  <c r="H615" i="4" s="1"/>
  <c r="G614" i="4"/>
  <c r="F614" i="4"/>
  <c r="D614" i="4"/>
  <c r="H614" i="4" s="1"/>
  <c r="G613" i="4"/>
  <c r="F613" i="4"/>
  <c r="D613" i="4"/>
  <c r="H613" i="4" s="1"/>
  <c r="G612" i="4"/>
  <c r="F612" i="4"/>
  <c r="D612" i="4"/>
  <c r="H612" i="4" s="1"/>
  <c r="G611" i="4"/>
  <c r="F611" i="4"/>
  <c r="D611" i="4"/>
  <c r="I610" i="4"/>
  <c r="G609" i="4"/>
  <c r="F609" i="4"/>
  <c r="I609" i="4" s="1"/>
  <c r="E609" i="4"/>
  <c r="G608" i="4"/>
  <c r="F608" i="4"/>
  <c r="I608" i="4" s="1"/>
  <c r="E608" i="4"/>
  <c r="I607" i="4"/>
  <c r="G607" i="4"/>
  <c r="F607" i="4"/>
  <c r="E607" i="4"/>
  <c r="G606" i="4"/>
  <c r="F606" i="4"/>
  <c r="I606" i="4" s="1"/>
  <c r="E606" i="4"/>
  <c r="G605" i="4"/>
  <c r="F605" i="4"/>
  <c r="I605" i="4" s="1"/>
  <c r="E605" i="4"/>
  <c r="I604" i="4"/>
  <c r="G604" i="4"/>
  <c r="F604" i="4"/>
  <c r="E604" i="4"/>
  <c r="G603" i="4"/>
  <c r="F603" i="4"/>
  <c r="I603" i="4" s="1"/>
  <c r="E603" i="4"/>
  <c r="G602" i="4"/>
  <c r="F602" i="4"/>
  <c r="I602" i="4" s="1"/>
  <c r="E602" i="4"/>
  <c r="I601" i="4"/>
  <c r="G601" i="4"/>
  <c r="F601" i="4"/>
  <c r="E601" i="4"/>
  <c r="G600" i="4"/>
  <c r="F600" i="4"/>
  <c r="I600" i="4" s="1"/>
  <c r="E600" i="4"/>
  <c r="G599" i="4"/>
  <c r="F599" i="4"/>
  <c r="I599" i="4" s="1"/>
  <c r="E599" i="4"/>
  <c r="I598" i="4"/>
  <c r="G598" i="4"/>
  <c r="F598" i="4"/>
  <c r="E598" i="4"/>
  <c r="G597" i="4"/>
  <c r="F597" i="4"/>
  <c r="I597" i="4" s="1"/>
  <c r="E597" i="4"/>
  <c r="G596" i="4"/>
  <c r="F596" i="4"/>
  <c r="E596" i="4"/>
  <c r="I596" i="4" s="1"/>
  <c r="I595" i="4"/>
  <c r="G595" i="4"/>
  <c r="F595" i="4"/>
  <c r="E595" i="4"/>
  <c r="G594" i="4"/>
  <c r="F594" i="4"/>
  <c r="I594" i="4" s="1"/>
  <c r="E594" i="4"/>
  <c r="G593" i="4"/>
  <c r="F593" i="4"/>
  <c r="E593" i="4"/>
  <c r="I593" i="4" s="1"/>
  <c r="I592" i="4"/>
  <c r="G592" i="4"/>
  <c r="F592" i="4"/>
  <c r="E592" i="4"/>
  <c r="G591" i="4"/>
  <c r="F591" i="4"/>
  <c r="I591" i="4" s="1"/>
  <c r="E591" i="4"/>
  <c r="G590" i="4"/>
  <c r="F590" i="4"/>
  <c r="E590" i="4"/>
  <c r="I590" i="4" s="1"/>
  <c r="I589" i="4"/>
  <c r="G588" i="4"/>
  <c r="F588" i="4"/>
  <c r="E588" i="4"/>
  <c r="I588" i="4" s="1"/>
  <c r="G587" i="4"/>
  <c r="I587" i="4" s="1"/>
  <c r="F587" i="4"/>
  <c r="E587" i="4"/>
  <c r="G586" i="4"/>
  <c r="F586" i="4"/>
  <c r="E586" i="4"/>
  <c r="I586" i="4" s="1"/>
  <c r="G585" i="4"/>
  <c r="F585" i="4"/>
  <c r="E585" i="4"/>
  <c r="I585" i="4" s="1"/>
  <c r="G584" i="4"/>
  <c r="I584" i="4" s="1"/>
  <c r="F584" i="4"/>
  <c r="E584" i="4"/>
  <c r="G583" i="4"/>
  <c r="F583" i="4"/>
  <c r="E583" i="4"/>
  <c r="I583" i="4" s="1"/>
  <c r="G582" i="4"/>
  <c r="F582" i="4"/>
  <c r="E582" i="4"/>
  <c r="I582" i="4" s="1"/>
  <c r="G581" i="4"/>
  <c r="I581" i="4" s="1"/>
  <c r="F581" i="4"/>
  <c r="E581" i="4"/>
  <c r="G580" i="4"/>
  <c r="F580" i="4"/>
  <c r="E580" i="4"/>
  <c r="I580" i="4" s="1"/>
  <c r="G579" i="4"/>
  <c r="F579" i="4"/>
  <c r="E579" i="4"/>
  <c r="I579" i="4" s="1"/>
  <c r="G578" i="4"/>
  <c r="I578" i="4" s="1"/>
  <c r="F578" i="4"/>
  <c r="E578" i="4"/>
  <c r="G577" i="4"/>
  <c r="F577" i="4"/>
  <c r="E577" i="4"/>
  <c r="I577" i="4" s="1"/>
  <c r="G576" i="4"/>
  <c r="F576" i="4"/>
  <c r="E576" i="4"/>
  <c r="I576" i="4" s="1"/>
  <c r="G575" i="4"/>
  <c r="I575" i="4" s="1"/>
  <c r="F575" i="4"/>
  <c r="E575" i="4"/>
  <c r="G574" i="4"/>
  <c r="F574" i="4"/>
  <c r="E574" i="4"/>
  <c r="I574" i="4" s="1"/>
  <c r="G573" i="4"/>
  <c r="F573" i="4"/>
  <c r="E573" i="4"/>
  <c r="I573" i="4" s="1"/>
  <c r="G572" i="4"/>
  <c r="F572" i="4"/>
  <c r="E572" i="4"/>
  <c r="G571" i="4"/>
  <c r="F571" i="4"/>
  <c r="E571" i="4"/>
  <c r="I571" i="4" s="1"/>
  <c r="G570" i="4"/>
  <c r="F570" i="4"/>
  <c r="E570" i="4"/>
  <c r="I570" i="4" s="1"/>
  <c r="G569" i="4"/>
  <c r="F569" i="4"/>
  <c r="E569" i="4"/>
  <c r="I568" i="4"/>
  <c r="G567" i="4"/>
  <c r="F567" i="4"/>
  <c r="I567" i="4" s="1"/>
  <c r="E567" i="4"/>
  <c r="G566" i="4"/>
  <c r="F566" i="4"/>
  <c r="I566" i="4" s="1"/>
  <c r="E566" i="4"/>
  <c r="I565" i="4"/>
  <c r="G565" i="4"/>
  <c r="F565" i="4"/>
  <c r="E565" i="4"/>
  <c r="G564" i="4"/>
  <c r="F564" i="4"/>
  <c r="I564" i="4" s="1"/>
  <c r="E564" i="4"/>
  <c r="G563" i="4"/>
  <c r="F563" i="4"/>
  <c r="I563" i="4" s="1"/>
  <c r="E563" i="4"/>
  <c r="I562" i="4"/>
  <c r="G562" i="4"/>
  <c r="F562" i="4"/>
  <c r="E562" i="4"/>
  <c r="G561" i="4"/>
  <c r="F561" i="4"/>
  <c r="I561" i="4" s="1"/>
  <c r="E561" i="4"/>
  <c r="G560" i="4"/>
  <c r="F560" i="4"/>
  <c r="I560" i="4" s="1"/>
  <c r="E560" i="4"/>
  <c r="I559" i="4"/>
  <c r="G558" i="4"/>
  <c r="F558" i="4"/>
  <c r="E558" i="4"/>
  <c r="I558" i="4" s="1"/>
  <c r="G557" i="4"/>
  <c r="F557" i="4"/>
  <c r="E557" i="4"/>
  <c r="I557" i="4" s="1"/>
  <c r="G556" i="4"/>
  <c r="F556" i="4"/>
  <c r="E556" i="4"/>
  <c r="I556" i="4" s="1"/>
  <c r="G555" i="4"/>
  <c r="F555" i="4"/>
  <c r="E555" i="4"/>
  <c r="I555" i="4" s="1"/>
  <c r="G554" i="4"/>
  <c r="F554" i="4"/>
  <c r="E554" i="4"/>
  <c r="I554" i="4" s="1"/>
  <c r="G553" i="4"/>
  <c r="F553" i="4"/>
  <c r="E553" i="4"/>
  <c r="I553" i="4" s="1"/>
  <c r="G552" i="4"/>
  <c r="F552" i="4"/>
  <c r="E552" i="4"/>
  <c r="I552" i="4" s="1"/>
  <c r="G551" i="4"/>
  <c r="F551" i="4"/>
  <c r="E551" i="4"/>
  <c r="I551" i="4" s="1"/>
  <c r="I550" i="4"/>
  <c r="G549" i="4"/>
  <c r="F549" i="4"/>
  <c r="I549" i="4" s="1"/>
  <c r="E549" i="4"/>
  <c r="G548" i="4"/>
  <c r="F548" i="4"/>
  <c r="I548" i="4" s="1"/>
  <c r="E548" i="4"/>
  <c r="I547" i="4"/>
  <c r="G547" i="4"/>
  <c r="F547" i="4"/>
  <c r="E547" i="4"/>
  <c r="G546" i="4"/>
  <c r="F546" i="4"/>
  <c r="I546" i="4" s="1"/>
  <c r="E546" i="4"/>
  <c r="G545" i="4"/>
  <c r="F545" i="4"/>
  <c r="I545" i="4" s="1"/>
  <c r="E545" i="4"/>
  <c r="I544" i="4"/>
  <c r="G544" i="4"/>
  <c r="F544" i="4"/>
  <c r="E544" i="4"/>
  <c r="I543" i="4"/>
  <c r="G542" i="4"/>
  <c r="F542" i="4"/>
  <c r="E542" i="4"/>
  <c r="I542" i="4" s="1"/>
  <c r="G541" i="4"/>
  <c r="F541" i="4"/>
  <c r="E541" i="4"/>
  <c r="I541" i="4" s="1"/>
  <c r="G540" i="4"/>
  <c r="F540" i="4"/>
  <c r="E540" i="4"/>
  <c r="I540" i="4" s="1"/>
  <c r="G539" i="4"/>
  <c r="F539" i="4"/>
  <c r="E539" i="4"/>
  <c r="G538" i="4"/>
  <c r="F538" i="4"/>
  <c r="E538" i="4"/>
  <c r="I538" i="4" s="1"/>
  <c r="G537" i="4"/>
  <c r="F537" i="4"/>
  <c r="E537" i="4"/>
  <c r="I537" i="4" s="1"/>
  <c r="G536" i="4"/>
  <c r="F536" i="4"/>
  <c r="E536" i="4"/>
  <c r="G535" i="4"/>
  <c r="F535" i="4"/>
  <c r="E535" i="4"/>
  <c r="I535" i="4" s="1"/>
  <c r="I534" i="4"/>
  <c r="G533" i="4"/>
  <c r="F533" i="4"/>
  <c r="I533" i="4" s="1"/>
  <c r="E533" i="4"/>
  <c r="I532" i="4"/>
  <c r="G532" i="4"/>
  <c r="F532" i="4"/>
  <c r="E532" i="4"/>
  <c r="G531" i="4"/>
  <c r="F531" i="4"/>
  <c r="I531" i="4" s="1"/>
  <c r="E531" i="4"/>
  <c r="G530" i="4"/>
  <c r="F530" i="4"/>
  <c r="I530" i="4" s="1"/>
  <c r="E530" i="4"/>
  <c r="G529" i="4"/>
  <c r="F529" i="4"/>
  <c r="E529" i="4"/>
  <c r="I529" i="4" s="1"/>
  <c r="G528" i="4"/>
  <c r="F528" i="4"/>
  <c r="I528" i="4" s="1"/>
  <c r="E528" i="4"/>
  <c r="G527" i="4"/>
  <c r="F527" i="4"/>
  <c r="I527" i="4" s="1"/>
  <c r="E527" i="4"/>
  <c r="G526" i="4"/>
  <c r="F526" i="4"/>
  <c r="E526" i="4"/>
  <c r="I526" i="4" s="1"/>
  <c r="G525" i="4"/>
  <c r="F525" i="4"/>
  <c r="I525" i="4" s="1"/>
  <c r="E525" i="4"/>
  <c r="G524" i="4"/>
  <c r="F524" i="4"/>
  <c r="I524" i="4" s="1"/>
  <c r="E524" i="4"/>
  <c r="G523" i="4"/>
  <c r="F523" i="4"/>
  <c r="E523" i="4"/>
  <c r="I523" i="4" s="1"/>
  <c r="G522" i="4"/>
  <c r="F522" i="4"/>
  <c r="I522" i="4" s="1"/>
  <c r="E522" i="4"/>
  <c r="I521" i="4"/>
  <c r="I520" i="4"/>
  <c r="I519" i="4"/>
  <c r="G518" i="4"/>
  <c r="F518" i="4"/>
  <c r="E518" i="4"/>
  <c r="I518" i="4" s="1"/>
  <c r="G517" i="4"/>
  <c r="F517" i="4"/>
  <c r="E517" i="4"/>
  <c r="I517" i="4" s="1"/>
  <c r="G516" i="4"/>
  <c r="F516" i="4"/>
  <c r="E516" i="4"/>
  <c r="I516" i="4" s="1"/>
  <c r="I515" i="4"/>
  <c r="G515" i="4"/>
  <c r="F515" i="4"/>
  <c r="E515" i="4"/>
  <c r="I514" i="4"/>
  <c r="G514" i="4"/>
  <c r="F514" i="4"/>
  <c r="E514" i="4"/>
  <c r="G513" i="4"/>
  <c r="F513" i="4"/>
  <c r="E513" i="4"/>
  <c r="G512" i="4"/>
  <c r="F512" i="4"/>
  <c r="E512" i="4"/>
  <c r="I512" i="4" s="1"/>
  <c r="G511" i="4"/>
  <c r="I511" i="4" s="1"/>
  <c r="F511" i="4"/>
  <c r="E511" i="4"/>
  <c r="G510" i="4"/>
  <c r="F510" i="4"/>
  <c r="E510" i="4"/>
  <c r="I509" i="4"/>
  <c r="G508" i="4"/>
  <c r="F508" i="4"/>
  <c r="E508" i="4"/>
  <c r="I508" i="4" s="1"/>
  <c r="I507" i="4"/>
  <c r="G506" i="4"/>
  <c r="F506" i="4"/>
  <c r="E506" i="4"/>
  <c r="G505" i="4"/>
  <c r="F505" i="4"/>
  <c r="E505" i="4"/>
  <c r="G504" i="4"/>
  <c r="F504" i="4"/>
  <c r="E504" i="4"/>
  <c r="I504" i="4" s="1"/>
  <c r="G503" i="4"/>
  <c r="F503" i="4"/>
  <c r="E503" i="4"/>
  <c r="I503" i="4" s="1"/>
  <c r="G502" i="4"/>
  <c r="F502" i="4"/>
  <c r="E502" i="4"/>
  <c r="G501" i="4"/>
  <c r="F501" i="4"/>
  <c r="E501" i="4"/>
  <c r="G500" i="4"/>
  <c r="F500" i="4"/>
  <c r="E500" i="4"/>
  <c r="I500" i="4" s="1"/>
  <c r="I499" i="4"/>
  <c r="I498" i="4"/>
  <c r="G497" i="4"/>
  <c r="F497" i="4"/>
  <c r="E497" i="4"/>
  <c r="I497" i="4" s="1"/>
  <c r="I496" i="4"/>
  <c r="G496" i="4"/>
  <c r="F496" i="4"/>
  <c r="E496" i="4"/>
  <c r="G495" i="4"/>
  <c r="F495" i="4"/>
  <c r="E495" i="4"/>
  <c r="I495" i="4" s="1"/>
  <c r="G494" i="4"/>
  <c r="F494" i="4"/>
  <c r="E494" i="4"/>
  <c r="I494" i="4" s="1"/>
  <c r="G493" i="4"/>
  <c r="F493" i="4"/>
  <c r="I493" i="4" s="1"/>
  <c r="E493" i="4"/>
  <c r="G492" i="4"/>
  <c r="F492" i="4"/>
  <c r="E492" i="4"/>
  <c r="I492" i="4" s="1"/>
  <c r="G491" i="4"/>
  <c r="F491" i="4"/>
  <c r="E491" i="4"/>
  <c r="I491" i="4" s="1"/>
  <c r="G490" i="4"/>
  <c r="F490" i="4"/>
  <c r="E490" i="4"/>
  <c r="I490" i="4" s="1"/>
  <c r="I489" i="4"/>
  <c r="I488" i="4"/>
  <c r="I487" i="4"/>
  <c r="I486" i="4"/>
  <c r="G486" i="4"/>
  <c r="F486" i="4"/>
  <c r="E486" i="4"/>
  <c r="I485" i="4"/>
  <c r="G485" i="4"/>
  <c r="F485" i="4"/>
  <c r="E485" i="4"/>
  <c r="G484" i="4"/>
  <c r="I484" i="4" s="1"/>
  <c r="F484" i="4"/>
  <c r="E484" i="4"/>
  <c r="I483" i="4"/>
  <c r="G483" i="4"/>
  <c r="F483" i="4"/>
  <c r="E483" i="4"/>
  <c r="I482" i="4"/>
  <c r="G482" i="4"/>
  <c r="F482" i="4"/>
  <c r="E482" i="4"/>
  <c r="G481" i="4"/>
  <c r="I481" i="4" s="1"/>
  <c r="F481" i="4"/>
  <c r="E481" i="4"/>
  <c r="G480" i="4"/>
  <c r="F480" i="4"/>
  <c r="E480" i="4"/>
  <c r="I480" i="4" s="1"/>
  <c r="I479" i="4"/>
  <c r="I478" i="4"/>
  <c r="I477" i="4"/>
  <c r="I476" i="4"/>
  <c r="G476" i="4"/>
  <c r="F476" i="4"/>
  <c r="E476" i="4"/>
  <c r="I475" i="4"/>
  <c r="G474" i="4"/>
  <c r="F474" i="4"/>
  <c r="E474" i="4"/>
  <c r="I474" i="4" s="1"/>
  <c r="I473" i="4"/>
  <c r="G472" i="4"/>
  <c r="F472" i="4"/>
  <c r="E472" i="4"/>
  <c r="I472" i="4" s="1"/>
  <c r="I471" i="4"/>
  <c r="I470" i="4"/>
  <c r="I469" i="4"/>
  <c r="I468" i="4"/>
  <c r="I467" i="4"/>
  <c r="I466" i="4"/>
  <c r="G465" i="4"/>
  <c r="I465" i="4" s="1"/>
  <c r="F465" i="4"/>
  <c r="E465" i="4"/>
  <c r="I464" i="4"/>
  <c r="G464" i="4"/>
  <c r="F464" i="4"/>
  <c r="E464" i="4"/>
  <c r="G463" i="4"/>
  <c r="F463" i="4"/>
  <c r="E463" i="4"/>
  <c r="I463" i="4" s="1"/>
  <c r="G462" i="4"/>
  <c r="F462" i="4"/>
  <c r="E462" i="4"/>
  <c r="I462" i="4" s="1"/>
  <c r="I461" i="4"/>
  <c r="G461" i="4"/>
  <c r="F461" i="4"/>
  <c r="E461" i="4"/>
  <c r="G460" i="4"/>
  <c r="F460" i="4"/>
  <c r="E460" i="4"/>
  <c r="I460" i="4" s="1"/>
  <c r="G459" i="4"/>
  <c r="F459" i="4"/>
  <c r="E459" i="4"/>
  <c r="I459" i="4" s="1"/>
  <c r="I458" i="4"/>
  <c r="I457" i="4"/>
  <c r="I456" i="4"/>
  <c r="G456" i="4"/>
  <c r="F456" i="4"/>
  <c r="E456" i="4"/>
  <c r="G455" i="4"/>
  <c r="F455" i="4"/>
  <c r="E455" i="4"/>
  <c r="I455" i="4" s="1"/>
  <c r="G454" i="4"/>
  <c r="F454" i="4"/>
  <c r="E454" i="4"/>
  <c r="I454" i="4" s="1"/>
  <c r="G453" i="4"/>
  <c r="F453" i="4"/>
  <c r="E453" i="4"/>
  <c r="I453" i="4" s="1"/>
  <c r="G452" i="4"/>
  <c r="F452" i="4"/>
  <c r="E452" i="4"/>
  <c r="I452" i="4" s="1"/>
  <c r="G451" i="4"/>
  <c r="F451" i="4"/>
  <c r="E451" i="4"/>
  <c r="I451" i="4" s="1"/>
  <c r="G450" i="4"/>
  <c r="F450" i="4"/>
  <c r="E450" i="4"/>
  <c r="I450" i="4" s="1"/>
  <c r="I449" i="4"/>
  <c r="G448" i="4"/>
  <c r="F448" i="4"/>
  <c r="I448" i="4" s="1"/>
  <c r="E448" i="4"/>
  <c r="I447" i="4"/>
  <c r="I446" i="4"/>
  <c r="G446" i="4"/>
  <c r="F446" i="4"/>
  <c r="E446" i="4"/>
  <c r="G445" i="4"/>
  <c r="F445" i="4"/>
  <c r="E445" i="4"/>
  <c r="I445" i="4" s="1"/>
  <c r="G444" i="4"/>
  <c r="F444" i="4"/>
  <c r="E444" i="4"/>
  <c r="I444" i="4" s="1"/>
  <c r="I443" i="4"/>
  <c r="G443" i="4"/>
  <c r="F443" i="4"/>
  <c r="E443" i="4"/>
  <c r="G442" i="4"/>
  <c r="F442" i="4"/>
  <c r="E442" i="4"/>
  <c r="I442" i="4" s="1"/>
  <c r="G441" i="4"/>
  <c r="F441" i="4"/>
  <c r="E441" i="4"/>
  <c r="I441" i="4" s="1"/>
  <c r="I440" i="4"/>
  <c r="G440" i="4"/>
  <c r="F440" i="4"/>
  <c r="E440" i="4"/>
  <c r="I439" i="4"/>
  <c r="I438" i="4"/>
  <c r="I437" i="4"/>
  <c r="I436" i="4"/>
  <c r="I435" i="4"/>
  <c r="I434" i="4"/>
  <c r="G433" i="4"/>
  <c r="F433" i="4"/>
  <c r="E433" i="4"/>
  <c r="I433" i="4" s="1"/>
  <c r="G432" i="4"/>
  <c r="F432" i="4"/>
  <c r="E432" i="4"/>
  <c r="I432" i="4" s="1"/>
  <c r="G431" i="4"/>
  <c r="F431" i="4"/>
  <c r="E431" i="4"/>
  <c r="I431" i="4" s="1"/>
  <c r="G430" i="4"/>
  <c r="F430" i="4"/>
  <c r="E430" i="4"/>
  <c r="I430" i="4" s="1"/>
  <c r="G429" i="4"/>
  <c r="F429" i="4"/>
  <c r="E429" i="4"/>
  <c r="I429" i="4" s="1"/>
  <c r="G428" i="4"/>
  <c r="F428" i="4"/>
  <c r="E428" i="4"/>
  <c r="I428" i="4" s="1"/>
  <c r="G427" i="4"/>
  <c r="F427" i="4"/>
  <c r="E427" i="4"/>
  <c r="I427" i="4" s="1"/>
  <c r="G426" i="4"/>
  <c r="F426" i="4"/>
  <c r="E426" i="4"/>
  <c r="I426" i="4" s="1"/>
  <c r="I425" i="4"/>
  <c r="G424" i="4"/>
  <c r="F424" i="4"/>
  <c r="I424" i="4" s="1"/>
  <c r="E424" i="4"/>
  <c r="G423" i="4"/>
  <c r="F423" i="4"/>
  <c r="I423" i="4" s="1"/>
  <c r="E423" i="4"/>
  <c r="G422" i="4"/>
  <c r="F422" i="4"/>
  <c r="I422" i="4" s="1"/>
  <c r="E422" i="4"/>
  <c r="G421" i="4"/>
  <c r="F421" i="4"/>
  <c r="I421" i="4" s="1"/>
  <c r="E421" i="4"/>
  <c r="G420" i="4"/>
  <c r="F420" i="4"/>
  <c r="I420" i="4" s="1"/>
  <c r="E420" i="4"/>
  <c r="G419" i="4"/>
  <c r="F419" i="4"/>
  <c r="I419" i="4" s="1"/>
  <c r="E419" i="4"/>
  <c r="I418" i="4"/>
  <c r="I417" i="4"/>
  <c r="I416" i="4"/>
  <c r="G415" i="4"/>
  <c r="F415" i="4"/>
  <c r="E415" i="4"/>
  <c r="I415" i="4" s="1"/>
  <c r="G414" i="4"/>
  <c r="F414" i="4"/>
  <c r="E414" i="4"/>
  <c r="I414" i="4" s="1"/>
  <c r="G413" i="4"/>
  <c r="F413" i="4"/>
  <c r="E413" i="4"/>
  <c r="I413" i="4" s="1"/>
  <c r="G412" i="4"/>
  <c r="F412" i="4"/>
  <c r="E412" i="4"/>
  <c r="I412" i="4" s="1"/>
  <c r="G411" i="4"/>
  <c r="F411" i="4"/>
  <c r="E411" i="4"/>
  <c r="I411" i="4" s="1"/>
  <c r="G410" i="4"/>
  <c r="F410" i="4"/>
  <c r="E410" i="4"/>
  <c r="I410" i="4" s="1"/>
  <c r="G409" i="4"/>
  <c r="F409" i="4"/>
  <c r="E409" i="4"/>
  <c r="I409" i="4" s="1"/>
  <c r="I408" i="4"/>
  <c r="I407" i="4"/>
  <c r="G406" i="4"/>
  <c r="F406" i="4"/>
  <c r="E406" i="4"/>
  <c r="I406" i="4" s="1"/>
  <c r="G405" i="4"/>
  <c r="F405" i="4"/>
  <c r="E405" i="4"/>
  <c r="I405" i="4" s="1"/>
  <c r="G404" i="4"/>
  <c r="I404" i="4" s="1"/>
  <c r="F404" i="4"/>
  <c r="E404" i="4"/>
  <c r="G403" i="4"/>
  <c r="F403" i="4"/>
  <c r="E403" i="4"/>
  <c r="I403" i="4" s="1"/>
  <c r="G402" i="4"/>
  <c r="F402" i="4"/>
  <c r="E402" i="4"/>
  <c r="I402" i="4" s="1"/>
  <c r="G401" i="4"/>
  <c r="I401" i="4" s="1"/>
  <c r="F401" i="4"/>
  <c r="E401" i="4"/>
  <c r="G400" i="4"/>
  <c r="F400" i="4"/>
  <c r="E400" i="4"/>
  <c r="I400" i="4" s="1"/>
  <c r="G399" i="4"/>
  <c r="F399" i="4"/>
  <c r="E399" i="4"/>
  <c r="I399" i="4" s="1"/>
  <c r="I398" i="4"/>
  <c r="G397" i="4"/>
  <c r="I397" i="4" s="1"/>
  <c r="F397" i="4"/>
  <c r="E397" i="4"/>
  <c r="I396" i="4"/>
  <c r="I395" i="4"/>
  <c r="I394" i="4"/>
  <c r="I393" i="4"/>
  <c r="I392" i="4"/>
  <c r="I391" i="4"/>
  <c r="I390" i="4"/>
  <c r="I389" i="4"/>
  <c r="G388" i="4"/>
  <c r="I388" i="4" s="1"/>
  <c r="F388" i="4"/>
  <c r="E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G361" i="4"/>
  <c r="F361" i="4"/>
  <c r="I361" i="4" s="1"/>
  <c r="E361" i="4"/>
  <c r="G360" i="4"/>
  <c r="F360" i="4"/>
  <c r="E360" i="4"/>
  <c r="I360" i="4" s="1"/>
  <c r="G359" i="4"/>
  <c r="F359" i="4"/>
  <c r="I359" i="4" s="1"/>
  <c r="E359" i="4"/>
  <c r="G358" i="4"/>
  <c r="F358" i="4"/>
  <c r="I358" i="4" s="1"/>
  <c r="E358" i="4"/>
  <c r="G357" i="4"/>
  <c r="F357" i="4"/>
  <c r="E357" i="4"/>
  <c r="I357" i="4" s="1"/>
  <c r="G356" i="4"/>
  <c r="F356" i="4"/>
  <c r="I356" i="4" s="1"/>
  <c r="E356" i="4"/>
  <c r="G355" i="4"/>
  <c r="F355" i="4"/>
  <c r="E355" i="4"/>
  <c r="I355" i="4" s="1"/>
  <c r="G354" i="4"/>
  <c r="F354" i="4"/>
  <c r="E354" i="4"/>
  <c r="I354" i="4" s="1"/>
  <c r="I353" i="4"/>
  <c r="I352" i="4"/>
  <c r="I351" i="4"/>
  <c r="G351" i="4"/>
  <c r="F351" i="4"/>
  <c r="E351" i="4"/>
  <c r="I350" i="4"/>
  <c r="G350" i="4"/>
  <c r="F350" i="4"/>
  <c r="E350" i="4"/>
  <c r="G349" i="4"/>
  <c r="I349" i="4" s="1"/>
  <c r="F349" i="4"/>
  <c r="E349" i="4"/>
  <c r="I348" i="4"/>
  <c r="G348" i="4"/>
  <c r="F348" i="4"/>
  <c r="E348" i="4"/>
  <c r="I347" i="4"/>
  <c r="G347" i="4"/>
  <c r="F347" i="4"/>
  <c r="E347" i="4"/>
  <c r="G346" i="4"/>
  <c r="I346" i="4" s="1"/>
  <c r="F346" i="4"/>
  <c r="E346" i="4"/>
  <c r="I345" i="4"/>
  <c r="G345" i="4"/>
  <c r="F345" i="4"/>
  <c r="E345" i="4"/>
  <c r="I344" i="4"/>
  <c r="G344" i="4"/>
  <c r="F344" i="4"/>
  <c r="E344" i="4"/>
  <c r="G343" i="4"/>
  <c r="I343" i="4" s="1"/>
  <c r="F343" i="4"/>
  <c r="E343" i="4"/>
  <c r="I342" i="4"/>
  <c r="G342" i="4"/>
  <c r="F342" i="4"/>
  <c r="E342" i="4"/>
  <c r="I341" i="4"/>
  <c r="G341" i="4"/>
  <c r="F341" i="4"/>
  <c r="E341" i="4"/>
  <c r="I340" i="4"/>
  <c r="I339" i="4"/>
  <c r="I338" i="4"/>
  <c r="I337" i="4"/>
  <c r="I336" i="4"/>
  <c r="I335" i="4"/>
  <c r="I334" i="4"/>
  <c r="I333" i="4"/>
  <c r="I332" i="4"/>
  <c r="G332" i="4"/>
  <c r="F332" i="4"/>
  <c r="E332" i="4"/>
  <c r="G331" i="4"/>
  <c r="I331" i="4" s="1"/>
  <c r="F331" i="4"/>
  <c r="E331" i="4"/>
  <c r="G330" i="4"/>
  <c r="F330" i="4"/>
  <c r="E330" i="4"/>
  <c r="I330" i="4" s="1"/>
  <c r="I329" i="4"/>
  <c r="G329" i="4"/>
  <c r="F329" i="4"/>
  <c r="E329" i="4"/>
  <c r="G328" i="4"/>
  <c r="I328" i="4" s="1"/>
  <c r="F328" i="4"/>
  <c r="E328" i="4"/>
  <c r="G327" i="4"/>
  <c r="F327" i="4"/>
  <c r="E327" i="4"/>
  <c r="I327" i="4" s="1"/>
  <c r="I326" i="4"/>
  <c r="G326" i="4"/>
  <c r="F326" i="4"/>
  <c r="E326" i="4"/>
  <c r="G325" i="4"/>
  <c r="I325" i="4" s="1"/>
  <c r="F325" i="4"/>
  <c r="E325" i="4"/>
  <c r="G324" i="4"/>
  <c r="F324" i="4"/>
  <c r="E324" i="4"/>
  <c r="I324" i="4" s="1"/>
  <c r="H323" i="4"/>
  <c r="G322" i="4"/>
  <c r="F322" i="4"/>
  <c r="D322" i="4"/>
  <c r="H322" i="4" s="1"/>
  <c r="H321" i="4"/>
  <c r="G321" i="4"/>
  <c r="F321" i="4"/>
  <c r="D321" i="4"/>
  <c r="G320" i="4"/>
  <c r="F320" i="4"/>
  <c r="D320" i="4"/>
  <c r="H320" i="4" s="1"/>
  <c r="G319" i="4"/>
  <c r="F319" i="4"/>
  <c r="D319" i="4"/>
  <c r="H319" i="4" s="1"/>
  <c r="H318" i="4"/>
  <c r="G318" i="4"/>
  <c r="F318" i="4"/>
  <c r="D318" i="4"/>
  <c r="G317" i="4"/>
  <c r="F317" i="4"/>
  <c r="D317" i="4"/>
  <c r="H317" i="4" s="1"/>
  <c r="G316" i="4"/>
  <c r="F316" i="4"/>
  <c r="D316" i="4"/>
  <c r="H316" i="4" s="1"/>
  <c r="H315" i="4"/>
  <c r="G315" i="4"/>
  <c r="F315" i="4"/>
  <c r="D315" i="4"/>
  <c r="G314" i="4"/>
  <c r="F314" i="4"/>
  <c r="D314" i="4"/>
  <c r="H314" i="4" s="1"/>
  <c r="H313" i="4"/>
  <c r="G312" i="4"/>
  <c r="F312" i="4"/>
  <c r="D312" i="4"/>
  <c r="H312" i="4" s="1"/>
  <c r="G311" i="4"/>
  <c r="F311" i="4"/>
  <c r="H311" i="4" s="1"/>
  <c r="D311" i="4"/>
  <c r="G310" i="4"/>
  <c r="F310" i="4"/>
  <c r="D310" i="4"/>
  <c r="H310" i="4" s="1"/>
  <c r="G309" i="4"/>
  <c r="F309" i="4"/>
  <c r="D309" i="4"/>
  <c r="H309" i="4" s="1"/>
  <c r="G308" i="4"/>
  <c r="F308" i="4"/>
  <c r="H308" i="4" s="1"/>
  <c r="D308" i="4"/>
  <c r="G307" i="4"/>
  <c r="F307" i="4"/>
  <c r="D307" i="4"/>
  <c r="H307" i="4" s="1"/>
  <c r="G306" i="4"/>
  <c r="F306" i="4"/>
  <c r="D306" i="4"/>
  <c r="H306" i="4" s="1"/>
  <c r="H305" i="4"/>
  <c r="H304" i="4"/>
  <c r="G303" i="4"/>
  <c r="F303" i="4"/>
  <c r="D303" i="4"/>
  <c r="H303" i="4" s="1"/>
  <c r="H302" i="4"/>
  <c r="G302" i="4"/>
  <c r="F302" i="4"/>
  <c r="D302" i="4"/>
  <c r="G301" i="4"/>
  <c r="H301" i="4" s="1"/>
  <c r="F301" i="4"/>
  <c r="D301" i="4"/>
  <c r="G300" i="4"/>
  <c r="F300" i="4"/>
  <c r="D300" i="4"/>
  <c r="H300" i="4" s="1"/>
  <c r="H299" i="4"/>
  <c r="G299" i="4"/>
  <c r="F299" i="4"/>
  <c r="D299" i="4"/>
  <c r="G298" i="4"/>
  <c r="H298" i="4" s="1"/>
  <c r="F298" i="4"/>
  <c r="D298" i="4"/>
  <c r="G297" i="4"/>
  <c r="F297" i="4"/>
  <c r="D297" i="4"/>
  <c r="H297" i="4" s="1"/>
  <c r="H296" i="4"/>
  <c r="H295" i="4"/>
  <c r="H294" i="4"/>
  <c r="G293" i="4"/>
  <c r="F293" i="4"/>
  <c r="H293" i="4" s="1"/>
  <c r="D293" i="4"/>
  <c r="G292" i="4"/>
  <c r="H292" i="4" s="1"/>
  <c r="F292" i="4"/>
  <c r="D292" i="4"/>
  <c r="G291" i="4"/>
  <c r="H291" i="4" s="1"/>
  <c r="F291" i="4"/>
  <c r="D291" i="4"/>
  <c r="G290" i="4"/>
  <c r="F290" i="4"/>
  <c r="H290" i="4" s="1"/>
  <c r="D290" i="4"/>
  <c r="G289" i="4"/>
  <c r="F289" i="4"/>
  <c r="D289" i="4"/>
  <c r="H289" i="4" s="1"/>
  <c r="G288" i="4"/>
  <c r="H288" i="4" s="1"/>
  <c r="F288" i="4"/>
  <c r="D288" i="4"/>
  <c r="G287" i="4"/>
  <c r="F287" i="4"/>
  <c r="D287" i="4"/>
  <c r="H287" i="4" s="1"/>
  <c r="H286" i="4"/>
  <c r="G285" i="4"/>
  <c r="F285" i="4"/>
  <c r="D285" i="4"/>
  <c r="H285" i="4" s="1"/>
  <c r="H284" i="4"/>
  <c r="G284" i="4"/>
  <c r="F284" i="4"/>
  <c r="D284" i="4"/>
  <c r="G283" i="4"/>
  <c r="F283" i="4"/>
  <c r="H283" i="4" s="1"/>
  <c r="D283" i="4"/>
  <c r="G282" i="4"/>
  <c r="F282" i="4"/>
  <c r="D282" i="4"/>
  <c r="H282" i="4" s="1"/>
  <c r="H281" i="4"/>
  <c r="G281" i="4"/>
  <c r="F281" i="4"/>
  <c r="D281" i="4"/>
  <c r="G280" i="4"/>
  <c r="F280" i="4"/>
  <c r="H280" i="4" s="1"/>
  <c r="D280" i="4"/>
  <c r="G279" i="4"/>
  <c r="F279" i="4"/>
  <c r="D279" i="4"/>
  <c r="H279" i="4" s="1"/>
  <c r="H278" i="4"/>
  <c r="G277" i="4"/>
  <c r="F277" i="4"/>
  <c r="D277" i="4"/>
  <c r="H277" i="4" s="1"/>
  <c r="H276" i="4"/>
  <c r="G276" i="4"/>
  <c r="F276" i="4"/>
  <c r="D276" i="4"/>
  <c r="G275" i="4"/>
  <c r="F275" i="4"/>
  <c r="D275" i="4"/>
  <c r="H275" i="4" s="1"/>
  <c r="G274" i="4"/>
  <c r="F274" i="4"/>
  <c r="D274" i="4"/>
  <c r="H274" i="4" s="1"/>
  <c r="H273" i="4"/>
  <c r="G273" i="4"/>
  <c r="F273" i="4"/>
  <c r="D273" i="4"/>
  <c r="G272" i="4"/>
  <c r="F272" i="4"/>
  <c r="D272" i="4"/>
  <c r="H272" i="4" s="1"/>
  <c r="G271" i="4"/>
  <c r="F271" i="4"/>
  <c r="D271" i="4"/>
  <c r="H271" i="4" s="1"/>
  <c r="H270" i="4"/>
  <c r="H269" i="4"/>
  <c r="G269" i="4"/>
  <c r="F269" i="4"/>
  <c r="D269" i="4"/>
  <c r="G268" i="4"/>
  <c r="F268" i="4"/>
  <c r="H268" i="4" s="1"/>
  <c r="D268" i="4"/>
  <c r="G267" i="4"/>
  <c r="F267" i="4"/>
  <c r="D267" i="4"/>
  <c r="H267" i="4" s="1"/>
  <c r="H266" i="4"/>
  <c r="G266" i="4"/>
  <c r="F266" i="4"/>
  <c r="D266" i="4"/>
  <c r="G265" i="4"/>
  <c r="F265" i="4"/>
  <c r="D265" i="4"/>
  <c r="H265" i="4" s="1"/>
  <c r="G264" i="4"/>
  <c r="F264" i="4"/>
  <c r="D264" i="4"/>
  <c r="H264" i="4" s="1"/>
  <c r="H263" i="4"/>
  <c r="G263" i="4"/>
  <c r="F263" i="4"/>
  <c r="D263" i="4"/>
  <c r="G262" i="4"/>
  <c r="F262" i="4"/>
  <c r="D262" i="4"/>
  <c r="H262" i="4" s="1"/>
  <c r="H261" i="4"/>
  <c r="G260" i="4"/>
  <c r="F260" i="4"/>
  <c r="D260" i="4"/>
  <c r="H260" i="4" s="1"/>
  <c r="G259" i="4"/>
  <c r="H259" i="4" s="1"/>
  <c r="F259" i="4"/>
  <c r="D259" i="4"/>
  <c r="G258" i="4"/>
  <c r="H258" i="4" s="1"/>
  <c r="F258" i="4"/>
  <c r="D258" i="4"/>
  <c r="G257" i="4"/>
  <c r="F257" i="4"/>
  <c r="D257" i="4"/>
  <c r="H257" i="4" s="1"/>
  <c r="G256" i="4"/>
  <c r="F256" i="4"/>
  <c r="D256" i="4"/>
  <c r="H256" i="4" s="1"/>
  <c r="G255" i="4"/>
  <c r="H255" i="4" s="1"/>
  <c r="F255" i="4"/>
  <c r="D255" i="4"/>
  <c r="G254" i="4"/>
  <c r="F254" i="4"/>
  <c r="D254" i="4"/>
  <c r="H254" i="4" s="1"/>
  <c r="G253" i="4"/>
  <c r="F253" i="4"/>
  <c r="D253" i="4"/>
  <c r="H253" i="4" s="1"/>
  <c r="H252" i="4"/>
  <c r="H251" i="4"/>
  <c r="G251" i="4"/>
  <c r="F251" i="4"/>
  <c r="D251" i="4"/>
  <c r="G250" i="4"/>
  <c r="F250" i="4"/>
  <c r="H250" i="4" s="1"/>
  <c r="D250" i="4"/>
  <c r="G249" i="4"/>
  <c r="F249" i="4"/>
  <c r="D249" i="4"/>
  <c r="H249" i="4" s="1"/>
  <c r="H248" i="4"/>
  <c r="G248" i="4"/>
  <c r="F248" i="4"/>
  <c r="D248" i="4"/>
  <c r="G247" i="4"/>
  <c r="F247" i="4"/>
  <c r="H247" i="4" s="1"/>
  <c r="D247" i="4"/>
  <c r="G246" i="4"/>
  <c r="F246" i="4"/>
  <c r="D246" i="4"/>
  <c r="H246" i="4" s="1"/>
  <c r="H245" i="4"/>
  <c r="G245" i="4"/>
  <c r="F245" i="4"/>
  <c r="D245" i="4"/>
  <c r="G244" i="4"/>
  <c r="F244" i="4"/>
  <c r="H244" i="4" s="1"/>
  <c r="D244" i="4"/>
  <c r="G243" i="4"/>
  <c r="F243" i="4"/>
  <c r="D243" i="4"/>
  <c r="H243" i="4" s="1"/>
  <c r="H242" i="4"/>
  <c r="G242" i="4"/>
  <c r="F242" i="4"/>
  <c r="D242" i="4"/>
  <c r="H241" i="4"/>
  <c r="H240" i="4"/>
  <c r="H239" i="4"/>
  <c r="H238" i="4"/>
  <c r="G237" i="4"/>
  <c r="F237" i="4"/>
  <c r="D237" i="4"/>
  <c r="H237" i="4" s="1"/>
  <c r="H236" i="4"/>
  <c r="G236" i="4"/>
  <c r="F236" i="4"/>
  <c r="D236" i="4"/>
  <c r="G235" i="4"/>
  <c r="F235" i="4"/>
  <c r="H235" i="4" s="1"/>
  <c r="D235" i="4"/>
  <c r="G234" i="4"/>
  <c r="F234" i="4"/>
  <c r="D234" i="4"/>
  <c r="H234" i="4" s="1"/>
  <c r="H233" i="4"/>
  <c r="G233" i="4"/>
  <c r="F233" i="4"/>
  <c r="D233" i="4"/>
  <c r="G232" i="4"/>
  <c r="F232" i="4"/>
  <c r="D232" i="4"/>
  <c r="H232" i="4" s="1"/>
  <c r="G231" i="4"/>
  <c r="F231" i="4"/>
  <c r="D231" i="4"/>
  <c r="H231" i="4" s="1"/>
  <c r="H230" i="4"/>
  <c r="G230" i="4"/>
  <c r="F230" i="4"/>
  <c r="D230" i="4"/>
  <c r="H229" i="4"/>
  <c r="H228" i="4"/>
  <c r="G228" i="4"/>
  <c r="F228" i="4"/>
  <c r="D228" i="4"/>
  <c r="G227" i="4"/>
  <c r="F227" i="4"/>
  <c r="D227" i="4"/>
  <c r="H227" i="4" s="1"/>
  <c r="G226" i="4"/>
  <c r="F226" i="4"/>
  <c r="D226" i="4"/>
  <c r="H226" i="4" s="1"/>
  <c r="H225" i="4"/>
  <c r="G225" i="4"/>
  <c r="F225" i="4"/>
  <c r="D225" i="4"/>
  <c r="G224" i="4"/>
  <c r="F224" i="4"/>
  <c r="D224" i="4"/>
  <c r="H224" i="4" s="1"/>
  <c r="G223" i="4"/>
  <c r="F223" i="4"/>
  <c r="D223" i="4"/>
  <c r="H223" i="4" s="1"/>
  <c r="H222" i="4"/>
  <c r="G222" i="4"/>
  <c r="F222" i="4"/>
  <c r="D222" i="4"/>
  <c r="H221" i="4"/>
  <c r="G220" i="4"/>
  <c r="F220" i="4"/>
  <c r="H220" i="4" s="1"/>
  <c r="D220" i="4"/>
  <c r="G219" i="4"/>
  <c r="F219" i="4"/>
  <c r="D219" i="4"/>
  <c r="H219" i="4" s="1"/>
  <c r="H218" i="4"/>
  <c r="G218" i="4"/>
  <c r="F218" i="4"/>
  <c r="D218" i="4"/>
  <c r="G217" i="4"/>
  <c r="F217" i="4"/>
  <c r="D217" i="4"/>
  <c r="H217" i="4" s="1"/>
  <c r="G216" i="4"/>
  <c r="F216" i="4"/>
  <c r="D216" i="4"/>
  <c r="H216" i="4" s="1"/>
  <c r="H215" i="4"/>
  <c r="G215" i="4"/>
  <c r="F215" i="4"/>
  <c r="D215" i="4"/>
  <c r="G214" i="4"/>
  <c r="F214" i="4"/>
  <c r="D214" i="4"/>
  <c r="H214" i="4" s="1"/>
  <c r="G213" i="4"/>
  <c r="F213" i="4"/>
  <c r="D213" i="4"/>
  <c r="H213" i="4" s="1"/>
  <c r="H212" i="4"/>
  <c r="H211" i="4"/>
  <c r="G211" i="4"/>
  <c r="F211" i="4"/>
  <c r="D211" i="4"/>
  <c r="G210" i="4"/>
  <c r="H210" i="4" s="1"/>
  <c r="F210" i="4"/>
  <c r="D210" i="4"/>
  <c r="G209" i="4"/>
  <c r="F209" i="4"/>
  <c r="D209" i="4"/>
  <c r="H209" i="4" s="1"/>
  <c r="G208" i="4"/>
  <c r="F208" i="4"/>
  <c r="D208" i="4"/>
  <c r="H208" i="4" s="1"/>
  <c r="G207" i="4"/>
  <c r="H207" i="4" s="1"/>
  <c r="F207" i="4"/>
  <c r="D207" i="4"/>
  <c r="G206" i="4"/>
  <c r="F206" i="4"/>
  <c r="D206" i="4"/>
  <c r="H206" i="4" s="1"/>
  <c r="G205" i="4"/>
  <c r="F205" i="4"/>
  <c r="D205" i="4"/>
  <c r="H205" i="4" s="1"/>
  <c r="H204" i="4"/>
  <c r="H203" i="4"/>
  <c r="G202" i="4"/>
  <c r="F202" i="4"/>
  <c r="D202" i="4"/>
  <c r="H202" i="4" s="1"/>
  <c r="H201" i="4"/>
  <c r="G201" i="4"/>
  <c r="F201" i="4"/>
  <c r="D201" i="4"/>
  <c r="G200" i="4"/>
  <c r="F200" i="4"/>
  <c r="D200" i="4"/>
  <c r="H200" i="4" s="1"/>
  <c r="G199" i="4"/>
  <c r="F199" i="4"/>
  <c r="D199" i="4"/>
  <c r="H199" i="4" s="1"/>
  <c r="H198" i="4"/>
  <c r="G198" i="4"/>
  <c r="F198" i="4"/>
  <c r="D198" i="4"/>
  <c r="G197" i="4"/>
  <c r="F197" i="4"/>
  <c r="D197" i="4"/>
  <c r="H197" i="4" s="1"/>
  <c r="G196" i="4"/>
  <c r="F196" i="4"/>
  <c r="D196" i="4"/>
  <c r="H196" i="4" s="1"/>
  <c r="H195" i="4"/>
  <c r="H194" i="4"/>
  <c r="G194" i="4"/>
  <c r="F194" i="4"/>
  <c r="D194" i="4"/>
  <c r="G193" i="4"/>
  <c r="F193" i="4"/>
  <c r="H193" i="4" s="1"/>
  <c r="D193" i="4"/>
  <c r="G192" i="4"/>
  <c r="F192" i="4"/>
  <c r="D192" i="4"/>
  <c r="H192" i="4" s="1"/>
  <c r="H191" i="4"/>
  <c r="G191" i="4"/>
  <c r="F191" i="4"/>
  <c r="D191" i="4"/>
  <c r="G190" i="4"/>
  <c r="F190" i="4"/>
  <c r="D190" i="4"/>
  <c r="H190" i="4" s="1"/>
  <c r="G189" i="4"/>
  <c r="F189" i="4"/>
  <c r="D189" i="4"/>
  <c r="H189" i="4" s="1"/>
  <c r="H188" i="4"/>
  <c r="G188" i="4"/>
  <c r="F188" i="4"/>
  <c r="D188" i="4"/>
  <c r="G187" i="4"/>
  <c r="F187" i="4"/>
  <c r="D187" i="4"/>
  <c r="H187" i="4" s="1"/>
  <c r="H186" i="4"/>
  <c r="G185" i="4"/>
  <c r="F185" i="4"/>
  <c r="H185" i="4" s="1"/>
  <c r="D185" i="4"/>
  <c r="G184" i="4"/>
  <c r="F184" i="4"/>
  <c r="D184" i="4"/>
  <c r="H184" i="4" s="1"/>
  <c r="G183" i="4"/>
  <c r="H183" i="4" s="1"/>
  <c r="F183" i="4"/>
  <c r="D183" i="4"/>
  <c r="G182" i="4"/>
  <c r="F182" i="4"/>
  <c r="D182" i="4"/>
  <c r="H182" i="4" s="1"/>
  <c r="G181" i="4"/>
  <c r="F181" i="4"/>
  <c r="D181" i="4"/>
  <c r="H181" i="4" s="1"/>
  <c r="G180" i="4"/>
  <c r="H180" i="4" s="1"/>
  <c r="F180" i="4"/>
  <c r="D180" i="4"/>
  <c r="G179" i="4"/>
  <c r="F179" i="4"/>
  <c r="D179" i="4"/>
  <c r="H179" i="4" s="1"/>
  <c r="H178" i="4"/>
  <c r="G177" i="4"/>
  <c r="F177" i="4"/>
  <c r="D177" i="4"/>
  <c r="H177" i="4" s="1"/>
  <c r="H176" i="4"/>
  <c r="G176" i="4"/>
  <c r="F176" i="4"/>
  <c r="D176" i="4"/>
  <c r="G175" i="4"/>
  <c r="F175" i="4"/>
  <c r="H175" i="4" s="1"/>
  <c r="D175" i="4"/>
  <c r="G174" i="4"/>
  <c r="F174" i="4"/>
  <c r="D174" i="4"/>
  <c r="H174" i="4" s="1"/>
  <c r="H173" i="4"/>
  <c r="G173" i="4"/>
  <c r="F173" i="4"/>
  <c r="D173" i="4"/>
  <c r="G172" i="4"/>
  <c r="F172" i="4"/>
  <c r="H172" i="4" s="1"/>
  <c r="D172" i="4"/>
  <c r="G171" i="4"/>
  <c r="F171" i="4"/>
  <c r="D171" i="4"/>
  <c r="H171" i="4" s="1"/>
  <c r="H170" i="4"/>
  <c r="G170" i="4"/>
  <c r="F170" i="4"/>
  <c r="D170" i="4"/>
  <c r="G169" i="4"/>
  <c r="F169" i="4"/>
  <c r="H169" i="4" s="1"/>
  <c r="D169" i="4"/>
  <c r="G168" i="4"/>
  <c r="F168" i="4"/>
  <c r="D168" i="4"/>
  <c r="H168" i="4" s="1"/>
  <c r="H167" i="4"/>
  <c r="G166" i="4"/>
  <c r="F166" i="4"/>
  <c r="D166" i="4"/>
  <c r="H166" i="4" s="1"/>
  <c r="H165" i="4"/>
  <c r="G165" i="4"/>
  <c r="F165" i="4"/>
  <c r="D165" i="4"/>
  <c r="G164" i="4"/>
  <c r="F164" i="4"/>
  <c r="D164" i="4"/>
  <c r="H164" i="4" s="1"/>
  <c r="G163" i="4"/>
  <c r="F163" i="4"/>
  <c r="D163" i="4"/>
  <c r="H163" i="4" s="1"/>
  <c r="H162" i="4"/>
  <c r="G162" i="4"/>
  <c r="F162" i="4"/>
  <c r="D162" i="4"/>
  <c r="G161" i="4"/>
  <c r="F161" i="4"/>
  <c r="D161" i="4"/>
  <c r="H161" i="4" s="1"/>
  <c r="G160" i="4"/>
  <c r="F160" i="4"/>
  <c r="D160" i="4"/>
  <c r="H160" i="4" s="1"/>
  <c r="H159" i="4"/>
  <c r="G159" i="4"/>
  <c r="F159" i="4"/>
  <c r="D159" i="4"/>
  <c r="G158" i="4"/>
  <c r="F158" i="4"/>
  <c r="D158" i="4"/>
  <c r="H158" i="4" s="1"/>
  <c r="G157" i="4"/>
  <c r="F157" i="4"/>
  <c r="D157" i="4"/>
  <c r="H157" i="4" s="1"/>
  <c r="H156" i="4"/>
  <c r="H155" i="4"/>
  <c r="H154" i="4"/>
  <c r="G153" i="4"/>
  <c r="F153" i="4"/>
  <c r="D153" i="4"/>
  <c r="H153" i="4" s="1"/>
  <c r="H152" i="4"/>
  <c r="G152" i="4"/>
  <c r="F152" i="4"/>
  <c r="D152" i="4"/>
  <c r="G151" i="4"/>
  <c r="F151" i="4"/>
  <c r="H151" i="4" s="1"/>
  <c r="D151" i="4"/>
  <c r="G150" i="4"/>
  <c r="F150" i="4"/>
  <c r="D150" i="4"/>
  <c r="H150" i="4" s="1"/>
  <c r="H149" i="4"/>
  <c r="G149" i="4"/>
  <c r="F149" i="4"/>
  <c r="D149" i="4"/>
  <c r="G148" i="4"/>
  <c r="F148" i="4"/>
  <c r="H148" i="4" s="1"/>
  <c r="D148" i="4"/>
  <c r="G147" i="4"/>
  <c r="F147" i="4"/>
  <c r="D147" i="4"/>
  <c r="H147" i="4" s="1"/>
  <c r="H146" i="4"/>
  <c r="H145" i="4"/>
  <c r="G144" i="4"/>
  <c r="F144" i="4"/>
  <c r="D144" i="4"/>
  <c r="H144" i="4" s="1"/>
  <c r="H143" i="4"/>
  <c r="G143" i="4"/>
  <c r="F143" i="4"/>
  <c r="D143" i="4"/>
  <c r="G142" i="4"/>
  <c r="F142" i="4"/>
  <c r="H142" i="4" s="1"/>
  <c r="D142" i="4"/>
  <c r="G141" i="4"/>
  <c r="F141" i="4"/>
  <c r="D141" i="4"/>
  <c r="H141" i="4" s="1"/>
  <c r="H140" i="4"/>
  <c r="G140" i="4"/>
  <c r="F140" i="4"/>
  <c r="D140" i="4"/>
  <c r="G139" i="4"/>
  <c r="F139" i="4"/>
  <c r="H139" i="4" s="1"/>
  <c r="D139" i="4"/>
  <c r="G138" i="4"/>
  <c r="F138" i="4"/>
  <c r="D138" i="4"/>
  <c r="H138" i="4" s="1"/>
  <c r="H137" i="4"/>
  <c r="G136" i="4"/>
  <c r="F136" i="4"/>
  <c r="D136" i="4"/>
  <c r="H136" i="4" s="1"/>
  <c r="G135" i="4"/>
  <c r="H135" i="4" s="1"/>
  <c r="F135" i="4"/>
  <c r="D135" i="4"/>
  <c r="G134" i="4"/>
  <c r="F134" i="4"/>
  <c r="H134" i="4" s="1"/>
  <c r="D134" i="4"/>
  <c r="G133" i="4"/>
  <c r="F133" i="4"/>
  <c r="D133" i="4"/>
  <c r="H133" i="4" s="1"/>
  <c r="G132" i="4"/>
  <c r="H132" i="4" s="1"/>
  <c r="F132" i="4"/>
  <c r="D132" i="4"/>
  <c r="G131" i="4"/>
  <c r="F131" i="4"/>
  <c r="D131" i="4"/>
  <c r="H131" i="4" s="1"/>
  <c r="G130" i="4"/>
  <c r="F130" i="4"/>
  <c r="D130" i="4"/>
  <c r="H130" i="4" s="1"/>
  <c r="G129" i="4"/>
  <c r="H129" i="4" s="1"/>
  <c r="F129" i="4"/>
  <c r="D129" i="4"/>
  <c r="G128" i="4"/>
  <c r="F128" i="4"/>
  <c r="D128" i="4"/>
  <c r="H128" i="4" s="1"/>
  <c r="H127" i="4"/>
  <c r="G126" i="4"/>
  <c r="F126" i="4"/>
  <c r="D126" i="4"/>
  <c r="H126" i="4" s="1"/>
  <c r="H125" i="4"/>
  <c r="G125" i="4"/>
  <c r="F125" i="4"/>
  <c r="D125" i="4"/>
  <c r="G124" i="4"/>
  <c r="F124" i="4"/>
  <c r="H124" i="4" s="1"/>
  <c r="D124" i="4"/>
  <c r="G123" i="4"/>
  <c r="F123" i="4"/>
  <c r="D123" i="4"/>
  <c r="H123" i="4" s="1"/>
  <c r="H122" i="4"/>
  <c r="G122" i="4"/>
  <c r="F122" i="4"/>
  <c r="D122" i="4"/>
  <c r="G121" i="4"/>
  <c r="F121" i="4"/>
  <c r="H121" i="4" s="1"/>
  <c r="D121" i="4"/>
  <c r="G120" i="4"/>
  <c r="F120" i="4"/>
  <c r="D120" i="4"/>
  <c r="H120" i="4" s="1"/>
  <c r="H119" i="4"/>
  <c r="G119" i="4"/>
  <c r="F119" i="4"/>
  <c r="D119" i="4"/>
  <c r="G118" i="4"/>
  <c r="F118" i="4"/>
  <c r="H118" i="4" s="1"/>
  <c r="D118" i="4"/>
  <c r="G117" i="4"/>
  <c r="F117" i="4"/>
  <c r="D117" i="4"/>
  <c r="H117" i="4" s="1"/>
  <c r="H116" i="4"/>
  <c r="G116" i="4"/>
  <c r="F116" i="4"/>
  <c r="D116" i="4"/>
  <c r="G115" i="4"/>
  <c r="F115" i="4"/>
  <c r="D115" i="4"/>
  <c r="H115" i="4" s="1"/>
  <c r="G114" i="4"/>
  <c r="F114" i="4"/>
  <c r="D114" i="4"/>
  <c r="H114" i="4" s="1"/>
  <c r="H113" i="4"/>
  <c r="G113" i="4"/>
  <c r="F113" i="4"/>
  <c r="D113" i="4"/>
  <c r="G112" i="4"/>
  <c r="F112" i="4"/>
  <c r="D112" i="4"/>
  <c r="H112" i="4" s="1"/>
  <c r="G111" i="4"/>
  <c r="F111" i="4"/>
  <c r="D111" i="4"/>
  <c r="H111" i="4" s="1"/>
  <c r="H110" i="4"/>
  <c r="G110" i="4"/>
  <c r="F110" i="4"/>
  <c r="D110" i="4"/>
  <c r="G109" i="4"/>
  <c r="F109" i="4"/>
  <c r="D109" i="4"/>
  <c r="H109" i="4" s="1"/>
  <c r="G108" i="4"/>
  <c r="F108" i="4"/>
  <c r="D108" i="4"/>
  <c r="H108" i="4" s="1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G89" i="4"/>
  <c r="F89" i="4"/>
  <c r="D89" i="4"/>
  <c r="G88" i="4"/>
  <c r="F88" i="4"/>
  <c r="H88" i="4" s="1"/>
  <c r="D88" i="4"/>
  <c r="G87" i="4"/>
  <c r="F87" i="4"/>
  <c r="D87" i="4"/>
  <c r="H87" i="4" s="1"/>
  <c r="H86" i="4"/>
  <c r="G86" i="4"/>
  <c r="F86" i="4"/>
  <c r="D86" i="4"/>
  <c r="G85" i="4"/>
  <c r="F85" i="4"/>
  <c r="D85" i="4"/>
  <c r="H85" i="4" s="1"/>
  <c r="G84" i="4"/>
  <c r="F84" i="4"/>
  <c r="D84" i="4"/>
  <c r="H84" i="4" s="1"/>
  <c r="H83" i="4"/>
  <c r="G83" i="4"/>
  <c r="F83" i="4"/>
  <c r="D83" i="4"/>
  <c r="G82" i="4"/>
  <c r="F82" i="4"/>
  <c r="D82" i="4"/>
  <c r="H82" i="4" s="1"/>
  <c r="G81" i="4"/>
  <c r="F81" i="4"/>
  <c r="D81" i="4"/>
  <c r="H81" i="4" s="1"/>
  <c r="H80" i="4"/>
  <c r="H79" i="4"/>
  <c r="H78" i="4"/>
  <c r="H77" i="4"/>
  <c r="G76" i="4"/>
  <c r="F76" i="4"/>
  <c r="D76" i="4"/>
  <c r="H76" i="4" s="1"/>
  <c r="G75" i="4"/>
  <c r="F75" i="4"/>
  <c r="D75" i="4"/>
  <c r="H75" i="4" s="1"/>
  <c r="H74" i="4"/>
  <c r="G74" i="4"/>
  <c r="F74" i="4"/>
  <c r="D74" i="4"/>
  <c r="G73" i="4"/>
  <c r="F73" i="4"/>
  <c r="D73" i="4"/>
  <c r="H73" i="4" s="1"/>
  <c r="G72" i="4"/>
  <c r="F72" i="4"/>
  <c r="D72" i="4"/>
  <c r="H72" i="4" s="1"/>
  <c r="H71" i="4"/>
  <c r="G71" i="4"/>
  <c r="F71" i="4"/>
  <c r="D71" i="4"/>
  <c r="G70" i="4"/>
  <c r="F70" i="4"/>
  <c r="D70" i="4"/>
  <c r="H70" i="4" s="1"/>
  <c r="G69" i="4"/>
  <c r="F69" i="4"/>
  <c r="D69" i="4"/>
  <c r="H69" i="4" s="1"/>
  <c r="H68" i="4"/>
  <c r="G67" i="4"/>
  <c r="F67" i="4"/>
  <c r="H67" i="4" s="1"/>
  <c r="D67" i="4"/>
  <c r="G66" i="4"/>
  <c r="H66" i="4" s="1"/>
  <c r="F66" i="4"/>
  <c r="D66" i="4"/>
  <c r="G65" i="4"/>
  <c r="F65" i="4"/>
  <c r="H65" i="4" s="1"/>
  <c r="D65" i="4"/>
  <c r="G64" i="4"/>
  <c r="F64" i="4"/>
  <c r="H64" i="4" s="1"/>
  <c r="D64" i="4"/>
  <c r="G63" i="4"/>
  <c r="H63" i="4" s="1"/>
  <c r="F63" i="4"/>
  <c r="D63" i="4"/>
  <c r="G62" i="4"/>
  <c r="F62" i="4"/>
  <c r="H62" i="4" s="1"/>
  <c r="D62" i="4"/>
  <c r="H61" i="4"/>
  <c r="H60" i="4"/>
  <c r="H59" i="4"/>
  <c r="H58" i="4"/>
  <c r="G57" i="4"/>
  <c r="H57" i="4" s="1"/>
  <c r="F57" i="4"/>
  <c r="D57" i="4"/>
  <c r="G56" i="4"/>
  <c r="F56" i="4"/>
  <c r="H56" i="4" s="1"/>
  <c r="D56" i="4"/>
  <c r="G55" i="4"/>
  <c r="F55" i="4"/>
  <c r="D55" i="4"/>
  <c r="H55" i="4" s="1"/>
  <c r="G54" i="4"/>
  <c r="H54" i="4" s="1"/>
  <c r="F54" i="4"/>
  <c r="D54" i="4"/>
  <c r="G53" i="4"/>
  <c r="F53" i="4"/>
  <c r="D53" i="4"/>
  <c r="H53" i="4" s="1"/>
  <c r="G52" i="4"/>
  <c r="F52" i="4"/>
  <c r="D52" i="4"/>
  <c r="H52" i="4" s="1"/>
  <c r="G51" i="4"/>
  <c r="H51" i="4" s="1"/>
  <c r="F51" i="4"/>
  <c r="D51" i="4"/>
  <c r="G50" i="4"/>
  <c r="F50" i="4"/>
  <c r="D50" i="4"/>
  <c r="H50" i="4" s="1"/>
  <c r="G49" i="4"/>
  <c r="F49" i="4"/>
  <c r="D49" i="4"/>
  <c r="H49" i="4" s="1"/>
  <c r="H48" i="4"/>
  <c r="H47" i="4"/>
  <c r="G47" i="4"/>
  <c r="F47" i="4"/>
  <c r="D47" i="4"/>
  <c r="G46" i="4"/>
  <c r="F46" i="4"/>
  <c r="D46" i="4"/>
  <c r="H46" i="4" s="1"/>
  <c r="G45" i="4"/>
  <c r="F45" i="4"/>
  <c r="D45" i="4"/>
  <c r="H45" i="4" s="1"/>
  <c r="H44" i="4"/>
  <c r="G43" i="4"/>
  <c r="F43" i="4"/>
  <c r="H43" i="4" s="1"/>
  <c r="D43" i="4"/>
  <c r="H42" i="4"/>
  <c r="G42" i="4"/>
  <c r="F42" i="4"/>
  <c r="D42" i="4"/>
  <c r="G41" i="4"/>
  <c r="F41" i="4"/>
  <c r="D41" i="4"/>
  <c r="H41" i="4" s="1"/>
  <c r="G40" i="4"/>
  <c r="F40" i="4"/>
  <c r="H40" i="4" s="1"/>
  <c r="D40" i="4"/>
  <c r="H39" i="4"/>
  <c r="G39" i="4"/>
  <c r="F39" i="4"/>
  <c r="D39" i="4"/>
  <c r="G38" i="4"/>
  <c r="F38" i="4"/>
  <c r="D38" i="4"/>
  <c r="H38" i="4" s="1"/>
  <c r="G37" i="4"/>
  <c r="F37" i="4"/>
  <c r="H37" i="4" s="1"/>
  <c r="D37" i="4"/>
  <c r="H36" i="4"/>
  <c r="G36" i="4"/>
  <c r="F36" i="4"/>
  <c r="D36" i="4"/>
  <c r="G35" i="4"/>
  <c r="F35" i="4"/>
  <c r="D35" i="4"/>
  <c r="H35" i="4" s="1"/>
  <c r="G34" i="4"/>
  <c r="F34" i="4"/>
  <c r="D34" i="4"/>
  <c r="H34" i="4" s="1"/>
  <c r="H33" i="4"/>
  <c r="H32" i="4"/>
  <c r="G31" i="4"/>
  <c r="F31" i="4"/>
  <c r="D31" i="4"/>
  <c r="H31" i="4" s="1"/>
  <c r="G30" i="4"/>
  <c r="H30" i="4" s="1"/>
  <c r="F30" i="4"/>
  <c r="D30" i="4"/>
  <c r="G29" i="4"/>
  <c r="F29" i="4"/>
  <c r="D29" i="4"/>
  <c r="H29" i="4" s="1"/>
  <c r="G28" i="4"/>
  <c r="F28" i="4"/>
  <c r="D28" i="4"/>
  <c r="H28" i="4" s="1"/>
  <c r="G27" i="4"/>
  <c r="H27" i="4" s="1"/>
  <c r="F27" i="4"/>
  <c r="D27" i="4"/>
  <c r="G26" i="4"/>
  <c r="F26" i="4"/>
  <c r="D26" i="4"/>
  <c r="H26" i="4" s="1"/>
  <c r="G25" i="4"/>
  <c r="F25" i="4"/>
  <c r="D25" i="4"/>
  <c r="H25" i="4" s="1"/>
  <c r="G24" i="4"/>
  <c r="H24" i="4" s="1"/>
  <c r="F24" i="4"/>
  <c r="D24" i="4"/>
  <c r="H23" i="4"/>
  <c r="G22" i="4"/>
  <c r="F22" i="4"/>
  <c r="H22" i="4" s="1"/>
  <c r="D22" i="4"/>
  <c r="G21" i="4"/>
  <c r="F21" i="4"/>
  <c r="D21" i="4"/>
  <c r="H21" i="4" s="1"/>
  <c r="H20" i="4"/>
  <c r="G20" i="4"/>
  <c r="F20" i="4"/>
  <c r="D20" i="4"/>
  <c r="G19" i="4"/>
  <c r="F19" i="4"/>
  <c r="H19" i="4" s="1"/>
  <c r="D19" i="4"/>
  <c r="G18" i="4"/>
  <c r="F18" i="4"/>
  <c r="D18" i="4"/>
  <c r="H18" i="4" s="1"/>
  <c r="H17" i="4"/>
  <c r="G17" i="4"/>
  <c r="F17" i="4"/>
  <c r="D17" i="4"/>
  <c r="G16" i="4"/>
  <c r="F16" i="4"/>
  <c r="H16" i="4" s="1"/>
  <c r="D16" i="4"/>
  <c r="G15" i="4"/>
  <c r="F15" i="4"/>
  <c r="D15" i="4"/>
  <c r="H15" i="4" s="1"/>
  <c r="H14" i="4"/>
  <c r="G14" i="4"/>
  <c r="F14" i="4"/>
  <c r="D14" i="4"/>
  <c r="G13" i="4"/>
  <c r="F13" i="4"/>
  <c r="D13" i="4"/>
  <c r="H13" i="4" s="1"/>
  <c r="G12" i="4"/>
  <c r="F12" i="4"/>
  <c r="D12" i="4"/>
  <c r="H12" i="4" s="1"/>
  <c r="G542" i="3"/>
  <c r="F542" i="3"/>
  <c r="E542" i="3"/>
  <c r="D542" i="3"/>
  <c r="H540" i="3"/>
  <c r="H539" i="3"/>
  <c r="H538" i="3"/>
  <c r="H537" i="3"/>
  <c r="I536" i="3"/>
  <c r="H535" i="3"/>
  <c r="I534" i="3"/>
  <c r="G533" i="3"/>
  <c r="F533" i="3"/>
  <c r="E533" i="3"/>
  <c r="I533" i="3" s="1"/>
  <c r="I532" i="3"/>
  <c r="I531" i="3"/>
  <c r="H530" i="3"/>
  <c r="I529" i="3"/>
  <c r="H528" i="3"/>
  <c r="H527" i="3"/>
  <c r="G527" i="3"/>
  <c r="F527" i="3"/>
  <c r="D527" i="3"/>
  <c r="G526" i="3"/>
  <c r="F526" i="3"/>
  <c r="D526" i="3"/>
  <c r="H526" i="3" s="1"/>
  <c r="H525" i="3"/>
  <c r="H524" i="3"/>
  <c r="H523" i="3"/>
  <c r="H522" i="3"/>
  <c r="H521" i="3"/>
  <c r="H520" i="3"/>
  <c r="H519" i="3"/>
  <c r="H518" i="3"/>
  <c r="H517" i="3"/>
  <c r="H516" i="3"/>
  <c r="H515" i="3"/>
  <c r="H514" i="3"/>
  <c r="G513" i="3"/>
  <c r="F513" i="3"/>
  <c r="D513" i="3"/>
  <c r="H513" i="3" s="1"/>
  <c r="H512" i="3"/>
  <c r="G512" i="3"/>
  <c r="F512" i="3"/>
  <c r="D512" i="3"/>
  <c r="G511" i="3"/>
  <c r="F511" i="3"/>
  <c r="D511" i="3"/>
  <c r="H511" i="3" s="1"/>
  <c r="G510" i="3"/>
  <c r="F510" i="3"/>
  <c r="D510" i="3"/>
  <c r="H510" i="3" s="1"/>
  <c r="H509" i="3"/>
  <c r="G509" i="3"/>
  <c r="F509" i="3"/>
  <c r="D509" i="3"/>
  <c r="G508" i="3"/>
  <c r="F508" i="3"/>
  <c r="D508" i="3"/>
  <c r="H508" i="3" s="1"/>
  <c r="G507" i="3"/>
  <c r="F507" i="3"/>
  <c r="D507" i="3"/>
  <c r="H507" i="3" s="1"/>
  <c r="H506" i="3"/>
  <c r="G506" i="3"/>
  <c r="F506" i="3"/>
  <c r="D506" i="3"/>
  <c r="G505" i="3"/>
  <c r="F505" i="3"/>
  <c r="D505" i="3"/>
  <c r="H505" i="3" s="1"/>
  <c r="G504" i="3"/>
  <c r="F504" i="3"/>
  <c r="D504" i="3"/>
  <c r="H504" i="3" s="1"/>
  <c r="H503" i="3"/>
  <c r="G503" i="3"/>
  <c r="F503" i="3"/>
  <c r="D503" i="3"/>
  <c r="H502" i="3"/>
  <c r="G501" i="3"/>
  <c r="F501" i="3"/>
  <c r="H501" i="3" s="1"/>
  <c r="D501" i="3"/>
  <c r="G500" i="3"/>
  <c r="F500" i="3"/>
  <c r="D500" i="3"/>
  <c r="H500" i="3" s="1"/>
  <c r="G499" i="3"/>
  <c r="F499" i="3"/>
  <c r="H499" i="3" s="1"/>
  <c r="D499" i="3"/>
  <c r="G498" i="3"/>
  <c r="F498" i="3"/>
  <c r="H498" i="3" s="1"/>
  <c r="D498" i="3"/>
  <c r="G497" i="3"/>
  <c r="F497" i="3"/>
  <c r="D497" i="3"/>
  <c r="H497" i="3" s="1"/>
  <c r="G496" i="3"/>
  <c r="F496" i="3"/>
  <c r="D496" i="3"/>
  <c r="H496" i="3" s="1"/>
  <c r="G495" i="3"/>
  <c r="F495" i="3"/>
  <c r="H495" i="3" s="1"/>
  <c r="D495" i="3"/>
  <c r="G494" i="3"/>
  <c r="F494" i="3"/>
  <c r="D494" i="3"/>
  <c r="H494" i="3" s="1"/>
  <c r="G493" i="3"/>
  <c r="F493" i="3"/>
  <c r="D493" i="3"/>
  <c r="H493" i="3" s="1"/>
  <c r="G492" i="3"/>
  <c r="F492" i="3"/>
  <c r="H492" i="3" s="1"/>
  <c r="D492" i="3"/>
  <c r="G491" i="3"/>
  <c r="F491" i="3"/>
  <c r="D491" i="3"/>
  <c r="H491" i="3" s="1"/>
  <c r="G490" i="3"/>
  <c r="F490" i="3"/>
  <c r="D490" i="3"/>
  <c r="H490" i="3" s="1"/>
  <c r="G489" i="3"/>
  <c r="F489" i="3"/>
  <c r="D489" i="3"/>
  <c r="H489" i="3" s="1"/>
  <c r="G488" i="3"/>
  <c r="F488" i="3"/>
  <c r="D488" i="3"/>
  <c r="H488" i="3" s="1"/>
  <c r="G487" i="3"/>
  <c r="F487" i="3"/>
  <c r="D487" i="3"/>
  <c r="H487" i="3" s="1"/>
  <c r="G486" i="3"/>
  <c r="F486" i="3"/>
  <c r="D486" i="3"/>
  <c r="H486" i="3" s="1"/>
  <c r="G485" i="3"/>
  <c r="F485" i="3"/>
  <c r="D485" i="3"/>
  <c r="H485" i="3" s="1"/>
  <c r="G484" i="3"/>
  <c r="F484" i="3"/>
  <c r="D484" i="3"/>
  <c r="H484" i="3" s="1"/>
  <c r="G483" i="3"/>
  <c r="F483" i="3"/>
  <c r="D483" i="3"/>
  <c r="H483" i="3" s="1"/>
  <c r="I482" i="3"/>
  <c r="G481" i="3"/>
  <c r="F481" i="3"/>
  <c r="I481" i="3" s="1"/>
  <c r="E481" i="3"/>
  <c r="I480" i="3"/>
  <c r="G480" i="3"/>
  <c r="F480" i="3"/>
  <c r="E480" i="3"/>
  <c r="G479" i="3"/>
  <c r="I479" i="3" s="1"/>
  <c r="F479" i="3"/>
  <c r="E479" i="3"/>
  <c r="G478" i="3"/>
  <c r="F478" i="3"/>
  <c r="I478" i="3" s="1"/>
  <c r="E478" i="3"/>
  <c r="I477" i="3"/>
  <c r="G477" i="3"/>
  <c r="F477" i="3"/>
  <c r="E477" i="3"/>
  <c r="G476" i="3"/>
  <c r="I476" i="3" s="1"/>
  <c r="F476" i="3"/>
  <c r="E476" i="3"/>
  <c r="G475" i="3"/>
  <c r="F475" i="3"/>
  <c r="I475" i="3" s="1"/>
  <c r="E475" i="3"/>
  <c r="I474" i="3"/>
  <c r="G474" i="3"/>
  <c r="F474" i="3"/>
  <c r="E474" i="3"/>
  <c r="G473" i="3"/>
  <c r="I473" i="3" s="1"/>
  <c r="F473" i="3"/>
  <c r="E473" i="3"/>
  <c r="G472" i="3"/>
  <c r="F472" i="3"/>
  <c r="I472" i="3" s="1"/>
  <c r="E472" i="3"/>
  <c r="I471" i="3"/>
  <c r="G471" i="3"/>
  <c r="F471" i="3"/>
  <c r="E471" i="3"/>
  <c r="G470" i="3"/>
  <c r="I470" i="3" s="1"/>
  <c r="F470" i="3"/>
  <c r="E470" i="3"/>
  <c r="G469" i="3"/>
  <c r="F469" i="3"/>
  <c r="I469" i="3" s="1"/>
  <c r="E469" i="3"/>
  <c r="I468" i="3"/>
  <c r="G468" i="3"/>
  <c r="F468" i="3"/>
  <c r="E468" i="3"/>
  <c r="G467" i="3"/>
  <c r="I467" i="3" s="1"/>
  <c r="F467" i="3"/>
  <c r="E467" i="3"/>
  <c r="G466" i="3"/>
  <c r="F466" i="3"/>
  <c r="I466" i="3" s="1"/>
  <c r="E466" i="3"/>
  <c r="G465" i="3"/>
  <c r="F465" i="3"/>
  <c r="E465" i="3"/>
  <c r="I465" i="3" s="1"/>
  <c r="G464" i="3"/>
  <c r="I464" i="3" s="1"/>
  <c r="F464" i="3"/>
  <c r="E464" i="3"/>
  <c r="G463" i="3"/>
  <c r="F463" i="3"/>
  <c r="I463" i="3" s="1"/>
  <c r="E463" i="3"/>
  <c r="I462" i="3"/>
  <c r="G461" i="3"/>
  <c r="F461" i="3"/>
  <c r="E461" i="3"/>
  <c r="I461" i="3" s="1"/>
  <c r="G460" i="3"/>
  <c r="F460" i="3"/>
  <c r="E460" i="3"/>
  <c r="I460" i="3" s="1"/>
  <c r="G459" i="3"/>
  <c r="F459" i="3"/>
  <c r="E459" i="3"/>
  <c r="I459" i="3" s="1"/>
  <c r="G458" i="3"/>
  <c r="F458" i="3"/>
  <c r="E458" i="3"/>
  <c r="I458" i="3" s="1"/>
  <c r="G457" i="3"/>
  <c r="F457" i="3"/>
  <c r="E457" i="3"/>
  <c r="I457" i="3" s="1"/>
  <c r="G456" i="3"/>
  <c r="F456" i="3"/>
  <c r="E456" i="3"/>
  <c r="I456" i="3" s="1"/>
  <c r="G455" i="3"/>
  <c r="F455" i="3"/>
  <c r="E455" i="3"/>
  <c r="I455" i="3" s="1"/>
  <c r="G454" i="3"/>
  <c r="F454" i="3"/>
  <c r="E454" i="3"/>
  <c r="I454" i="3" s="1"/>
  <c r="G453" i="3"/>
  <c r="F453" i="3"/>
  <c r="E453" i="3"/>
  <c r="I453" i="3" s="1"/>
  <c r="G452" i="3"/>
  <c r="F452" i="3"/>
  <c r="E452" i="3"/>
  <c r="I452" i="3" s="1"/>
  <c r="G451" i="3"/>
  <c r="F451" i="3"/>
  <c r="E451" i="3"/>
  <c r="I451" i="3" s="1"/>
  <c r="G450" i="3"/>
  <c r="F450" i="3"/>
  <c r="E450" i="3"/>
  <c r="I450" i="3" s="1"/>
  <c r="G449" i="3"/>
  <c r="F449" i="3"/>
  <c r="E449" i="3"/>
  <c r="I449" i="3" s="1"/>
  <c r="G448" i="3"/>
  <c r="F448" i="3"/>
  <c r="E448" i="3"/>
  <c r="I448" i="3" s="1"/>
  <c r="G447" i="3"/>
  <c r="F447" i="3"/>
  <c r="E447" i="3"/>
  <c r="I447" i="3" s="1"/>
  <c r="G446" i="3"/>
  <c r="F446" i="3"/>
  <c r="E446" i="3"/>
  <c r="I446" i="3" s="1"/>
  <c r="G445" i="3"/>
  <c r="F445" i="3"/>
  <c r="E445" i="3"/>
  <c r="I445" i="3" s="1"/>
  <c r="G444" i="3"/>
  <c r="F444" i="3"/>
  <c r="E444" i="3"/>
  <c r="I444" i="3" s="1"/>
  <c r="G443" i="3"/>
  <c r="F443" i="3"/>
  <c r="E443" i="3"/>
  <c r="I443" i="3" s="1"/>
  <c r="G442" i="3"/>
  <c r="F442" i="3"/>
  <c r="E442" i="3"/>
  <c r="I442" i="3" s="1"/>
  <c r="I441" i="3"/>
  <c r="I440" i="3"/>
  <c r="G440" i="3"/>
  <c r="F440" i="3"/>
  <c r="E440" i="3"/>
  <c r="G439" i="3"/>
  <c r="F439" i="3"/>
  <c r="E439" i="3"/>
  <c r="I439" i="3" s="1"/>
  <c r="G438" i="3"/>
  <c r="F438" i="3"/>
  <c r="I438" i="3" s="1"/>
  <c r="E438" i="3"/>
  <c r="I437" i="3"/>
  <c r="G437" i="3"/>
  <c r="F437" i="3"/>
  <c r="E437" i="3"/>
  <c r="G436" i="3"/>
  <c r="F436" i="3"/>
  <c r="E436" i="3"/>
  <c r="I436" i="3" s="1"/>
  <c r="G435" i="3"/>
  <c r="F435" i="3"/>
  <c r="I435" i="3" s="1"/>
  <c r="E435" i="3"/>
  <c r="I434" i="3"/>
  <c r="G434" i="3"/>
  <c r="F434" i="3"/>
  <c r="E434" i="3"/>
  <c r="G433" i="3"/>
  <c r="F433" i="3"/>
  <c r="E433" i="3"/>
  <c r="I433" i="3" s="1"/>
  <c r="I432" i="3"/>
  <c r="G431" i="3"/>
  <c r="F431" i="3"/>
  <c r="E431" i="3"/>
  <c r="I431" i="3" s="1"/>
  <c r="G430" i="3"/>
  <c r="I430" i="3" s="1"/>
  <c r="F430" i="3"/>
  <c r="E430" i="3"/>
  <c r="G429" i="3"/>
  <c r="F429" i="3"/>
  <c r="I429" i="3" s="1"/>
  <c r="E429" i="3"/>
  <c r="G428" i="3"/>
  <c r="F428" i="3"/>
  <c r="E428" i="3"/>
  <c r="I428" i="3" s="1"/>
  <c r="G427" i="3"/>
  <c r="I427" i="3" s="1"/>
  <c r="F427" i="3"/>
  <c r="E427" i="3"/>
  <c r="G426" i="3"/>
  <c r="F426" i="3"/>
  <c r="I426" i="3" s="1"/>
  <c r="E426" i="3"/>
  <c r="G425" i="3"/>
  <c r="F425" i="3"/>
  <c r="E425" i="3"/>
  <c r="I425" i="3" s="1"/>
  <c r="G424" i="3"/>
  <c r="I424" i="3" s="1"/>
  <c r="F424" i="3"/>
  <c r="E424" i="3"/>
  <c r="G423" i="3"/>
  <c r="F423" i="3"/>
  <c r="I423" i="3" s="1"/>
  <c r="E423" i="3"/>
  <c r="I422" i="3"/>
  <c r="I421" i="3"/>
  <c r="G420" i="3"/>
  <c r="F420" i="3"/>
  <c r="E420" i="3"/>
  <c r="I420" i="3" s="1"/>
  <c r="G419" i="3"/>
  <c r="F419" i="3"/>
  <c r="E419" i="3"/>
  <c r="I419" i="3" s="1"/>
  <c r="G418" i="3"/>
  <c r="F418" i="3"/>
  <c r="E418" i="3"/>
  <c r="I418" i="3" s="1"/>
  <c r="G417" i="3"/>
  <c r="F417" i="3"/>
  <c r="E417" i="3"/>
  <c r="I417" i="3" s="1"/>
  <c r="G416" i="3"/>
  <c r="F416" i="3"/>
  <c r="E416" i="3"/>
  <c r="I416" i="3" s="1"/>
  <c r="G415" i="3"/>
  <c r="F415" i="3"/>
  <c r="E415" i="3"/>
  <c r="I415" i="3" s="1"/>
  <c r="G414" i="3"/>
  <c r="F414" i="3"/>
  <c r="E414" i="3"/>
  <c r="I414" i="3" s="1"/>
  <c r="G413" i="3"/>
  <c r="F413" i="3"/>
  <c r="E413" i="3"/>
  <c r="I413" i="3" s="1"/>
  <c r="I412" i="3"/>
  <c r="G411" i="3"/>
  <c r="F411" i="3"/>
  <c r="I411" i="3" s="1"/>
  <c r="E411" i="3"/>
  <c r="I410" i="3"/>
  <c r="G410" i="3"/>
  <c r="F410" i="3"/>
  <c r="E410" i="3"/>
  <c r="G409" i="3"/>
  <c r="F409" i="3"/>
  <c r="E409" i="3"/>
  <c r="I409" i="3" s="1"/>
  <c r="G408" i="3"/>
  <c r="F408" i="3"/>
  <c r="I408" i="3" s="1"/>
  <c r="E408" i="3"/>
  <c r="I407" i="3"/>
  <c r="G407" i="3"/>
  <c r="F407" i="3"/>
  <c r="E407" i="3"/>
  <c r="G406" i="3"/>
  <c r="F406" i="3"/>
  <c r="E406" i="3"/>
  <c r="I406" i="3" s="1"/>
  <c r="G405" i="3"/>
  <c r="F405" i="3"/>
  <c r="E405" i="3"/>
  <c r="I405" i="3" s="1"/>
  <c r="I404" i="3"/>
  <c r="G404" i="3"/>
  <c r="F404" i="3"/>
  <c r="E404" i="3"/>
  <c r="G403" i="3"/>
  <c r="F403" i="3"/>
  <c r="E403" i="3"/>
  <c r="I403" i="3" s="1"/>
  <c r="G402" i="3"/>
  <c r="F402" i="3"/>
  <c r="E402" i="3"/>
  <c r="I402" i="3" s="1"/>
  <c r="I401" i="3"/>
  <c r="G400" i="3"/>
  <c r="I400" i="3" s="1"/>
  <c r="F400" i="3"/>
  <c r="E400" i="3"/>
  <c r="G399" i="3"/>
  <c r="F399" i="3"/>
  <c r="I399" i="3" s="1"/>
  <c r="E399" i="3"/>
  <c r="G398" i="3"/>
  <c r="F398" i="3"/>
  <c r="E398" i="3"/>
  <c r="I398" i="3" s="1"/>
  <c r="G397" i="3"/>
  <c r="I397" i="3" s="1"/>
  <c r="F397" i="3"/>
  <c r="E397" i="3"/>
  <c r="G396" i="3"/>
  <c r="F396" i="3"/>
  <c r="I396" i="3" s="1"/>
  <c r="E396" i="3"/>
  <c r="G395" i="3"/>
  <c r="F395" i="3"/>
  <c r="E395" i="3"/>
  <c r="I395" i="3" s="1"/>
  <c r="G394" i="3"/>
  <c r="I394" i="3" s="1"/>
  <c r="F394" i="3"/>
  <c r="E394" i="3"/>
  <c r="G393" i="3"/>
  <c r="F393" i="3"/>
  <c r="E393" i="3"/>
  <c r="I393" i="3" s="1"/>
  <c r="G392" i="3"/>
  <c r="F392" i="3"/>
  <c r="E392" i="3"/>
  <c r="I392" i="3" s="1"/>
  <c r="G391" i="3"/>
  <c r="I391" i="3" s="1"/>
  <c r="F391" i="3"/>
  <c r="E391" i="3"/>
  <c r="G390" i="3"/>
  <c r="F390" i="3"/>
  <c r="E390" i="3"/>
  <c r="I390" i="3" s="1"/>
  <c r="I389" i="3"/>
  <c r="G388" i="3"/>
  <c r="F388" i="3"/>
  <c r="I388" i="3" s="1"/>
  <c r="E388" i="3"/>
  <c r="I387" i="3"/>
  <c r="G387" i="3"/>
  <c r="F387" i="3"/>
  <c r="E387" i="3"/>
  <c r="I386" i="3"/>
  <c r="G386" i="3"/>
  <c r="F386" i="3"/>
  <c r="E386" i="3"/>
  <c r="G385" i="3"/>
  <c r="F385" i="3"/>
  <c r="I385" i="3" s="1"/>
  <c r="E385" i="3"/>
  <c r="I384" i="3"/>
  <c r="G384" i="3"/>
  <c r="F384" i="3"/>
  <c r="E384" i="3"/>
  <c r="I383" i="3"/>
  <c r="G383" i="3"/>
  <c r="F383" i="3"/>
  <c r="E383" i="3"/>
  <c r="G382" i="3"/>
  <c r="F382" i="3"/>
  <c r="I382" i="3" s="1"/>
  <c r="E382" i="3"/>
  <c r="I381" i="3"/>
  <c r="G381" i="3"/>
  <c r="F381" i="3"/>
  <c r="E381" i="3"/>
  <c r="I380" i="3"/>
  <c r="G379" i="3"/>
  <c r="F379" i="3"/>
  <c r="E379" i="3"/>
  <c r="I379" i="3" s="1"/>
  <c r="I378" i="3"/>
  <c r="I377" i="3"/>
  <c r="G377" i="3"/>
  <c r="F377" i="3"/>
  <c r="E377" i="3"/>
  <c r="G376" i="3"/>
  <c r="F376" i="3"/>
  <c r="E376" i="3"/>
  <c r="I376" i="3" s="1"/>
  <c r="G375" i="3"/>
  <c r="F375" i="3"/>
  <c r="I375" i="3" s="1"/>
  <c r="E375" i="3"/>
  <c r="I374" i="3"/>
  <c r="G374" i="3"/>
  <c r="F374" i="3"/>
  <c r="E374" i="3"/>
  <c r="G373" i="3"/>
  <c r="F373" i="3"/>
  <c r="E373" i="3"/>
  <c r="I373" i="3" s="1"/>
  <c r="G372" i="3"/>
  <c r="F372" i="3"/>
  <c r="E372" i="3"/>
  <c r="I372" i="3" s="1"/>
  <c r="I371" i="3"/>
  <c r="G371" i="3"/>
  <c r="F371" i="3"/>
  <c r="E371" i="3"/>
  <c r="G370" i="3"/>
  <c r="F370" i="3"/>
  <c r="E370" i="3"/>
  <c r="I370" i="3" s="1"/>
  <c r="I369" i="3"/>
  <c r="G368" i="3"/>
  <c r="F368" i="3"/>
  <c r="E368" i="3"/>
  <c r="I368" i="3" s="1"/>
  <c r="G367" i="3"/>
  <c r="I367" i="3" s="1"/>
  <c r="F367" i="3"/>
  <c r="E367" i="3"/>
  <c r="G366" i="3"/>
  <c r="F366" i="3"/>
  <c r="I366" i="3" s="1"/>
  <c r="E366" i="3"/>
  <c r="G365" i="3"/>
  <c r="F365" i="3"/>
  <c r="E365" i="3"/>
  <c r="I365" i="3" s="1"/>
  <c r="G364" i="3"/>
  <c r="I364" i="3" s="1"/>
  <c r="F364" i="3"/>
  <c r="E364" i="3"/>
  <c r="G363" i="3"/>
  <c r="F363" i="3"/>
  <c r="E363" i="3"/>
  <c r="I363" i="3" s="1"/>
  <c r="G362" i="3"/>
  <c r="F362" i="3"/>
  <c r="E362" i="3"/>
  <c r="I362" i="3" s="1"/>
  <c r="I361" i="3"/>
  <c r="I360" i="3"/>
  <c r="G360" i="3"/>
  <c r="F360" i="3"/>
  <c r="E360" i="3"/>
  <c r="I359" i="3"/>
  <c r="I358" i="3"/>
  <c r="G357" i="3"/>
  <c r="F357" i="3"/>
  <c r="E357" i="3"/>
  <c r="I357" i="3" s="1"/>
  <c r="I356" i="3"/>
  <c r="G356" i="3"/>
  <c r="F356" i="3"/>
  <c r="E356" i="3"/>
  <c r="G355" i="3"/>
  <c r="F355" i="3"/>
  <c r="E355" i="3"/>
  <c r="I355" i="3" s="1"/>
  <c r="G354" i="3"/>
  <c r="F354" i="3"/>
  <c r="E354" i="3"/>
  <c r="I354" i="3" s="1"/>
  <c r="I353" i="3"/>
  <c r="G353" i="3"/>
  <c r="F353" i="3"/>
  <c r="E353" i="3"/>
  <c r="G352" i="3"/>
  <c r="F352" i="3"/>
  <c r="E352" i="3"/>
  <c r="I352" i="3" s="1"/>
  <c r="G351" i="3"/>
  <c r="F351" i="3"/>
  <c r="E351" i="3"/>
  <c r="I351" i="3" s="1"/>
  <c r="I350" i="3"/>
  <c r="G350" i="3"/>
  <c r="F350" i="3"/>
  <c r="E350" i="3"/>
  <c r="I349" i="3"/>
  <c r="G348" i="3"/>
  <c r="F348" i="3"/>
  <c r="I348" i="3" s="1"/>
  <c r="E348" i="3"/>
  <c r="G347" i="3"/>
  <c r="F347" i="3"/>
  <c r="E347" i="3"/>
  <c r="I347" i="3" s="1"/>
  <c r="G346" i="3"/>
  <c r="I346" i="3" s="1"/>
  <c r="F346" i="3"/>
  <c r="E346" i="3"/>
  <c r="G345" i="3"/>
  <c r="F345" i="3"/>
  <c r="E345" i="3"/>
  <c r="I345" i="3" s="1"/>
  <c r="G344" i="3"/>
  <c r="F344" i="3"/>
  <c r="E344" i="3"/>
  <c r="I344" i="3" s="1"/>
  <c r="G343" i="3"/>
  <c r="I343" i="3" s="1"/>
  <c r="F343" i="3"/>
  <c r="E343" i="3"/>
  <c r="G342" i="3"/>
  <c r="F342" i="3"/>
  <c r="E342" i="3"/>
  <c r="I342" i="3" s="1"/>
  <c r="G341" i="3"/>
  <c r="F341" i="3"/>
  <c r="E341" i="3"/>
  <c r="I341" i="3" s="1"/>
  <c r="G340" i="3"/>
  <c r="I340" i="3" s="1"/>
  <c r="F340" i="3"/>
  <c r="E340" i="3"/>
  <c r="I339" i="3"/>
  <c r="I542" i="3" s="1"/>
  <c r="G338" i="3"/>
  <c r="I338" i="3" s="1"/>
  <c r="F338" i="3"/>
  <c r="E338" i="3"/>
  <c r="G337" i="3"/>
  <c r="F337" i="3"/>
  <c r="I337" i="3" s="1"/>
  <c r="E337" i="3"/>
  <c r="I336" i="3"/>
  <c r="G336" i="3"/>
  <c r="F336" i="3"/>
  <c r="E336" i="3"/>
  <c r="G335" i="3"/>
  <c r="I335" i="3" s="1"/>
  <c r="F335" i="3"/>
  <c r="E335" i="3"/>
  <c r="G334" i="3"/>
  <c r="F334" i="3"/>
  <c r="I334" i="3" s="1"/>
  <c r="E334" i="3"/>
  <c r="I333" i="3"/>
  <c r="G333" i="3"/>
  <c r="F333" i="3"/>
  <c r="E333" i="3"/>
  <c r="G332" i="3"/>
  <c r="I332" i="3" s="1"/>
  <c r="F332" i="3"/>
  <c r="E332" i="3"/>
  <c r="G331" i="3"/>
  <c r="F331" i="3"/>
  <c r="I331" i="3" s="1"/>
  <c r="E331" i="3"/>
  <c r="I330" i="3"/>
  <c r="G330" i="3"/>
  <c r="F330" i="3"/>
  <c r="E330" i="3"/>
  <c r="H329" i="3"/>
  <c r="H328" i="3"/>
  <c r="G328" i="3"/>
  <c r="F328" i="3"/>
  <c r="D328" i="3"/>
  <c r="G327" i="3"/>
  <c r="F327" i="3"/>
  <c r="D327" i="3"/>
  <c r="H327" i="3" s="1"/>
  <c r="G326" i="3"/>
  <c r="F326" i="3"/>
  <c r="D326" i="3"/>
  <c r="H326" i="3" s="1"/>
  <c r="G325" i="3"/>
  <c r="F325" i="3"/>
  <c r="D325" i="3"/>
  <c r="H325" i="3" s="1"/>
  <c r="G324" i="3"/>
  <c r="F324" i="3"/>
  <c r="D324" i="3"/>
  <c r="H324" i="3" s="1"/>
  <c r="G323" i="3"/>
  <c r="F323" i="3"/>
  <c r="D323" i="3"/>
  <c r="H323" i="3" s="1"/>
  <c r="G322" i="3"/>
  <c r="F322" i="3"/>
  <c r="D322" i="3"/>
  <c r="H322" i="3" s="1"/>
  <c r="G321" i="3"/>
  <c r="F321" i="3"/>
  <c r="D321" i="3"/>
  <c r="H321" i="3" s="1"/>
  <c r="H320" i="3"/>
  <c r="G319" i="3"/>
  <c r="F319" i="3"/>
  <c r="D319" i="3"/>
  <c r="H319" i="3" s="1"/>
  <c r="G318" i="3"/>
  <c r="F318" i="3"/>
  <c r="D318" i="3"/>
  <c r="H318" i="3" s="1"/>
  <c r="H317" i="3"/>
  <c r="G317" i="3"/>
  <c r="F317" i="3"/>
  <c r="D317" i="3"/>
  <c r="G316" i="3"/>
  <c r="F316" i="3"/>
  <c r="D316" i="3"/>
  <c r="H316" i="3" s="1"/>
  <c r="G315" i="3"/>
  <c r="F315" i="3"/>
  <c r="D315" i="3"/>
  <c r="H315" i="3" s="1"/>
  <c r="H314" i="3"/>
  <c r="G314" i="3"/>
  <c r="F314" i="3"/>
  <c r="D314" i="3"/>
  <c r="G313" i="3"/>
  <c r="F313" i="3"/>
  <c r="D313" i="3"/>
  <c r="H313" i="3" s="1"/>
  <c r="G312" i="3"/>
  <c r="F312" i="3"/>
  <c r="D312" i="3"/>
  <c r="H312" i="3" s="1"/>
  <c r="H311" i="3"/>
  <c r="G310" i="3"/>
  <c r="H310" i="3" s="1"/>
  <c r="F310" i="3"/>
  <c r="D310" i="3"/>
  <c r="G309" i="3"/>
  <c r="F309" i="3"/>
  <c r="H309" i="3" s="1"/>
  <c r="D309" i="3"/>
  <c r="G308" i="3"/>
  <c r="F308" i="3"/>
  <c r="D308" i="3"/>
  <c r="H308" i="3" s="1"/>
  <c r="G307" i="3"/>
  <c r="H307" i="3" s="1"/>
  <c r="F307" i="3"/>
  <c r="D307" i="3"/>
  <c r="G306" i="3"/>
  <c r="F306" i="3"/>
  <c r="D306" i="3"/>
  <c r="H306" i="3" s="1"/>
  <c r="G305" i="3"/>
  <c r="F305" i="3"/>
  <c r="D305" i="3"/>
  <c r="H305" i="3" s="1"/>
  <c r="G304" i="3"/>
  <c r="H304" i="3" s="1"/>
  <c r="F304" i="3"/>
  <c r="D304" i="3"/>
  <c r="H303" i="3"/>
  <c r="G302" i="3"/>
  <c r="H302" i="3" s="1"/>
  <c r="F302" i="3"/>
  <c r="D302" i="3"/>
  <c r="G301" i="3"/>
  <c r="F301" i="3"/>
  <c r="H301" i="3" s="1"/>
  <c r="D301" i="3"/>
  <c r="H300" i="3"/>
  <c r="G300" i="3"/>
  <c r="F300" i="3"/>
  <c r="D300" i="3"/>
  <c r="G299" i="3"/>
  <c r="H299" i="3" s="1"/>
  <c r="F299" i="3"/>
  <c r="D299" i="3"/>
  <c r="G298" i="3"/>
  <c r="F298" i="3"/>
  <c r="H298" i="3" s="1"/>
  <c r="D298" i="3"/>
  <c r="H297" i="3"/>
  <c r="G297" i="3"/>
  <c r="F297" i="3"/>
  <c r="D297" i="3"/>
  <c r="G296" i="3"/>
  <c r="H296" i="3" s="1"/>
  <c r="F296" i="3"/>
  <c r="D296" i="3"/>
  <c r="G295" i="3"/>
  <c r="F295" i="3"/>
  <c r="H295" i="3" s="1"/>
  <c r="D295" i="3"/>
  <c r="H294" i="3"/>
  <c r="G293" i="3"/>
  <c r="F293" i="3"/>
  <c r="D293" i="3"/>
  <c r="H293" i="3" s="1"/>
  <c r="H292" i="3"/>
  <c r="G292" i="3"/>
  <c r="F292" i="3"/>
  <c r="D292" i="3"/>
  <c r="G291" i="3"/>
  <c r="F291" i="3"/>
  <c r="D291" i="3"/>
  <c r="H291" i="3" s="1"/>
  <c r="G290" i="3"/>
  <c r="F290" i="3"/>
  <c r="D290" i="3"/>
  <c r="H290" i="3" s="1"/>
  <c r="G289" i="3"/>
  <c r="F289" i="3"/>
  <c r="D289" i="3"/>
  <c r="H289" i="3" s="1"/>
  <c r="G288" i="3"/>
  <c r="F288" i="3"/>
  <c r="D288" i="3"/>
  <c r="H288" i="3" s="1"/>
  <c r="G287" i="3"/>
  <c r="F287" i="3"/>
  <c r="D287" i="3"/>
  <c r="H287" i="3" s="1"/>
  <c r="H286" i="3"/>
  <c r="G285" i="3"/>
  <c r="F285" i="3"/>
  <c r="D285" i="3"/>
  <c r="H285" i="3" s="1"/>
  <c r="H284" i="3"/>
  <c r="G284" i="3"/>
  <c r="F284" i="3"/>
  <c r="D284" i="3"/>
  <c r="G283" i="3"/>
  <c r="F283" i="3"/>
  <c r="D283" i="3"/>
  <c r="H283" i="3" s="1"/>
  <c r="G282" i="3"/>
  <c r="F282" i="3"/>
  <c r="D282" i="3"/>
  <c r="H282" i="3" s="1"/>
  <c r="H281" i="3"/>
  <c r="G281" i="3"/>
  <c r="F281" i="3"/>
  <c r="D281" i="3"/>
  <c r="G280" i="3"/>
  <c r="F280" i="3"/>
  <c r="D280" i="3"/>
  <c r="H280" i="3" s="1"/>
  <c r="G279" i="3"/>
  <c r="F279" i="3"/>
  <c r="D279" i="3"/>
  <c r="H279" i="3" s="1"/>
  <c r="H278" i="3"/>
  <c r="G278" i="3"/>
  <c r="F278" i="3"/>
  <c r="D278" i="3"/>
  <c r="G277" i="3"/>
  <c r="F277" i="3"/>
  <c r="D277" i="3"/>
  <c r="H277" i="3" s="1"/>
  <c r="H276" i="3"/>
  <c r="G275" i="3"/>
  <c r="F275" i="3"/>
  <c r="D275" i="3"/>
  <c r="H275" i="3" s="1"/>
  <c r="G274" i="3"/>
  <c r="H274" i="3" s="1"/>
  <c r="F274" i="3"/>
  <c r="D274" i="3"/>
  <c r="G273" i="3"/>
  <c r="F273" i="3"/>
  <c r="H273" i="3" s="1"/>
  <c r="D273" i="3"/>
  <c r="G272" i="3"/>
  <c r="F272" i="3"/>
  <c r="D272" i="3"/>
  <c r="H272" i="3" s="1"/>
  <c r="G271" i="3"/>
  <c r="H271" i="3" s="1"/>
  <c r="F271" i="3"/>
  <c r="D271" i="3"/>
  <c r="G270" i="3"/>
  <c r="F270" i="3"/>
  <c r="D270" i="3"/>
  <c r="H270" i="3" s="1"/>
  <c r="G269" i="3"/>
  <c r="F269" i="3"/>
  <c r="D269" i="3"/>
  <c r="H269" i="3" s="1"/>
  <c r="G268" i="3"/>
  <c r="F268" i="3"/>
  <c r="H268" i="3" s="1"/>
  <c r="D268" i="3"/>
  <c r="G267" i="3"/>
  <c r="F267" i="3"/>
  <c r="D267" i="3"/>
  <c r="H267" i="3" s="1"/>
  <c r="G266" i="3"/>
  <c r="F266" i="3"/>
  <c r="D266" i="3"/>
  <c r="H266" i="3" s="1"/>
  <c r="G265" i="3"/>
  <c r="F265" i="3"/>
  <c r="H265" i="3" s="1"/>
  <c r="D265" i="3"/>
  <c r="G264" i="3"/>
  <c r="F264" i="3"/>
  <c r="D264" i="3"/>
  <c r="H264" i="3" s="1"/>
  <c r="G263" i="3"/>
  <c r="F263" i="3"/>
  <c r="D263" i="3"/>
  <c r="H263" i="3" s="1"/>
  <c r="G262" i="3"/>
  <c r="F262" i="3"/>
  <c r="H262" i="3" s="1"/>
  <c r="D262" i="3"/>
  <c r="G261" i="3"/>
  <c r="F261" i="3"/>
  <c r="D261" i="3"/>
  <c r="H261" i="3" s="1"/>
  <c r="G260" i="3"/>
  <c r="F260" i="3"/>
  <c r="D260" i="3"/>
  <c r="H260" i="3" s="1"/>
  <c r="G259" i="3"/>
  <c r="F259" i="3"/>
  <c r="D259" i="3"/>
  <c r="H259" i="3" s="1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G205" i="3"/>
  <c r="F205" i="3"/>
  <c r="H205" i="3" s="1"/>
  <c r="D205" i="3"/>
  <c r="H204" i="3"/>
  <c r="G204" i="3"/>
  <c r="F204" i="3"/>
  <c r="D204" i="3"/>
  <c r="G203" i="3"/>
  <c r="H203" i="3" s="1"/>
  <c r="F203" i="3"/>
  <c r="D203" i="3"/>
  <c r="G202" i="3"/>
  <c r="F202" i="3"/>
  <c r="D202" i="3"/>
  <c r="H202" i="3" s="1"/>
  <c r="G201" i="3"/>
  <c r="H201" i="3" s="1"/>
  <c r="F201" i="3"/>
  <c r="D201" i="3"/>
  <c r="G200" i="3"/>
  <c r="H200" i="3" s="1"/>
  <c r="F200" i="3"/>
  <c r="D200" i="3"/>
  <c r="G199" i="3"/>
  <c r="F199" i="3"/>
  <c r="D199" i="3"/>
  <c r="H199" i="3" s="1"/>
  <c r="G198" i="3"/>
  <c r="F198" i="3"/>
  <c r="D198" i="3"/>
  <c r="H198" i="3" s="1"/>
  <c r="G197" i="3"/>
  <c r="F197" i="3"/>
  <c r="H197" i="3" s="1"/>
  <c r="D197" i="3"/>
  <c r="G196" i="3"/>
  <c r="F196" i="3"/>
  <c r="D196" i="3"/>
  <c r="H196" i="3" s="1"/>
  <c r="G195" i="3"/>
  <c r="F195" i="3"/>
  <c r="D195" i="3"/>
  <c r="H195" i="3" s="1"/>
  <c r="G194" i="3"/>
  <c r="F194" i="3"/>
  <c r="D194" i="3"/>
  <c r="H194" i="3" s="1"/>
  <c r="G193" i="3"/>
  <c r="F193" i="3"/>
  <c r="D193" i="3"/>
  <c r="H193" i="3" s="1"/>
  <c r="G192" i="3"/>
  <c r="F192" i="3"/>
  <c r="D192" i="3"/>
  <c r="H192" i="3" s="1"/>
  <c r="G191" i="3"/>
  <c r="F191" i="3"/>
  <c r="D191" i="3"/>
  <c r="H191" i="3" s="1"/>
  <c r="G190" i="3"/>
  <c r="F190" i="3"/>
  <c r="D190" i="3"/>
  <c r="H190" i="3" s="1"/>
  <c r="H189" i="3"/>
  <c r="H188" i="3"/>
  <c r="G187" i="3"/>
  <c r="F187" i="3"/>
  <c r="D187" i="3"/>
  <c r="H187" i="3" s="1"/>
  <c r="H186" i="3"/>
  <c r="H185" i="3"/>
  <c r="H184" i="3"/>
  <c r="H183" i="3"/>
  <c r="H182" i="3"/>
  <c r="H181" i="3"/>
  <c r="G181" i="3"/>
  <c r="F181" i="3"/>
  <c r="D181" i="3"/>
  <c r="G180" i="3"/>
  <c r="F180" i="3"/>
  <c r="H180" i="3" s="1"/>
  <c r="D180" i="3"/>
  <c r="G179" i="3"/>
  <c r="F179" i="3"/>
  <c r="D179" i="3"/>
  <c r="H179" i="3" s="1"/>
  <c r="H178" i="3"/>
  <c r="G178" i="3"/>
  <c r="F178" i="3"/>
  <c r="D178" i="3"/>
  <c r="G177" i="3"/>
  <c r="F177" i="3"/>
  <c r="D177" i="3"/>
  <c r="H177" i="3" s="1"/>
  <c r="G176" i="3"/>
  <c r="F176" i="3"/>
  <c r="D176" i="3"/>
  <c r="H176" i="3" s="1"/>
  <c r="H175" i="3"/>
  <c r="G175" i="3"/>
  <c r="F175" i="3"/>
  <c r="D175" i="3"/>
  <c r="G174" i="3"/>
  <c r="F174" i="3"/>
  <c r="D174" i="3"/>
  <c r="H174" i="3" s="1"/>
  <c r="G173" i="3"/>
  <c r="F173" i="3"/>
  <c r="D173" i="3"/>
  <c r="H173" i="3" s="1"/>
  <c r="H172" i="3"/>
  <c r="G172" i="3"/>
  <c r="F172" i="3"/>
  <c r="D172" i="3"/>
  <c r="G171" i="3"/>
  <c r="F171" i="3"/>
  <c r="D171" i="3"/>
  <c r="H171" i="3" s="1"/>
  <c r="G170" i="3"/>
  <c r="F170" i="3"/>
  <c r="D170" i="3"/>
  <c r="H170" i="3" s="1"/>
  <c r="H169" i="3"/>
  <c r="G169" i="3"/>
  <c r="F169" i="3"/>
  <c r="D169" i="3"/>
  <c r="G168" i="3"/>
  <c r="F168" i="3"/>
  <c r="D168" i="3"/>
  <c r="H168" i="3" s="1"/>
  <c r="G167" i="3"/>
  <c r="F167" i="3"/>
  <c r="D167" i="3"/>
  <c r="H167" i="3" s="1"/>
  <c r="G166" i="3"/>
  <c r="F166" i="3"/>
  <c r="D166" i="3"/>
  <c r="H166" i="3" s="1"/>
  <c r="H165" i="3"/>
  <c r="H164" i="3"/>
  <c r="H163" i="3"/>
  <c r="H162" i="3"/>
  <c r="H161" i="3"/>
  <c r="G160" i="3"/>
  <c r="F160" i="3"/>
  <c r="D160" i="3"/>
  <c r="H160" i="3" s="1"/>
  <c r="G159" i="3"/>
  <c r="F159" i="3"/>
  <c r="D159" i="3"/>
  <c r="H159" i="3" s="1"/>
  <c r="G158" i="3"/>
  <c r="F158" i="3"/>
  <c r="H158" i="3" s="1"/>
  <c r="D158" i="3"/>
  <c r="G157" i="3"/>
  <c r="F157" i="3"/>
  <c r="D157" i="3"/>
  <c r="H157" i="3" s="1"/>
  <c r="G156" i="3"/>
  <c r="F156" i="3"/>
  <c r="D156" i="3"/>
  <c r="H156" i="3" s="1"/>
  <c r="G155" i="3"/>
  <c r="F155" i="3"/>
  <c r="D155" i="3"/>
  <c r="H155" i="3" s="1"/>
  <c r="G154" i="3"/>
  <c r="F154" i="3"/>
  <c r="D154" i="3"/>
  <c r="H154" i="3" s="1"/>
  <c r="G153" i="3"/>
  <c r="F153" i="3"/>
  <c r="D153" i="3"/>
  <c r="H153" i="3" s="1"/>
  <c r="G152" i="3"/>
  <c r="F152" i="3"/>
  <c r="D152" i="3"/>
  <c r="H152" i="3" s="1"/>
  <c r="G151" i="3"/>
  <c r="F151" i="3"/>
  <c r="D151" i="3"/>
  <c r="H151" i="3" s="1"/>
  <c r="G150" i="3"/>
  <c r="F150" i="3"/>
  <c r="D150" i="3"/>
  <c r="H150" i="3" s="1"/>
  <c r="G149" i="3"/>
  <c r="F149" i="3"/>
  <c r="D149" i="3"/>
  <c r="H149" i="3" s="1"/>
  <c r="G148" i="3"/>
  <c r="F148" i="3"/>
  <c r="D148" i="3"/>
  <c r="H148" i="3" s="1"/>
  <c r="G147" i="3"/>
  <c r="F147" i="3"/>
  <c r="D147" i="3"/>
  <c r="H147" i="3" s="1"/>
  <c r="G146" i="3"/>
  <c r="F146" i="3"/>
  <c r="D146" i="3"/>
  <c r="H146" i="3" s="1"/>
  <c r="G145" i="3"/>
  <c r="F145" i="3"/>
  <c r="D145" i="3"/>
  <c r="H145" i="3" s="1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G127" i="3"/>
  <c r="H127" i="3" s="1"/>
  <c r="F127" i="3"/>
  <c r="D127" i="3"/>
  <c r="H126" i="3"/>
  <c r="H125" i="3"/>
  <c r="H124" i="3"/>
  <c r="H123" i="3"/>
  <c r="H122" i="3"/>
  <c r="G121" i="3"/>
  <c r="F121" i="3"/>
  <c r="D121" i="3"/>
  <c r="H121" i="3" s="1"/>
  <c r="G120" i="3"/>
  <c r="F120" i="3"/>
  <c r="D120" i="3"/>
  <c r="H120" i="3" s="1"/>
  <c r="H119" i="3"/>
  <c r="G119" i="3"/>
  <c r="F119" i="3"/>
  <c r="D119" i="3"/>
  <c r="G118" i="3"/>
  <c r="F118" i="3"/>
  <c r="D118" i="3"/>
  <c r="H118" i="3" s="1"/>
  <c r="G117" i="3"/>
  <c r="F117" i="3"/>
  <c r="D117" i="3"/>
  <c r="H117" i="3" s="1"/>
  <c r="H116" i="3"/>
  <c r="G116" i="3"/>
  <c r="F116" i="3"/>
  <c r="D116" i="3"/>
  <c r="G115" i="3"/>
  <c r="F115" i="3"/>
  <c r="D115" i="3"/>
  <c r="H115" i="3" s="1"/>
  <c r="G114" i="3"/>
  <c r="F114" i="3"/>
  <c r="D114" i="3"/>
  <c r="H114" i="3" s="1"/>
  <c r="H113" i="3"/>
  <c r="G113" i="3"/>
  <c r="F113" i="3"/>
  <c r="D113" i="3"/>
  <c r="G112" i="3"/>
  <c r="F112" i="3"/>
  <c r="D112" i="3"/>
  <c r="H112" i="3" s="1"/>
  <c r="G111" i="3"/>
  <c r="F111" i="3"/>
  <c r="D111" i="3"/>
  <c r="H111" i="3" s="1"/>
  <c r="H110" i="3"/>
  <c r="G110" i="3"/>
  <c r="F110" i="3"/>
  <c r="D110" i="3"/>
  <c r="G109" i="3"/>
  <c r="F109" i="3"/>
  <c r="D109" i="3"/>
  <c r="H109" i="3" s="1"/>
  <c r="G108" i="3"/>
  <c r="F108" i="3"/>
  <c r="D108" i="3"/>
  <c r="H108" i="3" s="1"/>
  <c r="H107" i="3"/>
  <c r="G107" i="3"/>
  <c r="F107" i="3"/>
  <c r="D107" i="3"/>
  <c r="G106" i="3"/>
  <c r="F106" i="3"/>
  <c r="D106" i="3"/>
  <c r="H106" i="3" s="1"/>
  <c r="H105" i="3"/>
  <c r="H104" i="3"/>
  <c r="H103" i="3"/>
  <c r="H102" i="3"/>
  <c r="H101" i="3"/>
  <c r="H100" i="3"/>
  <c r="G99" i="3"/>
  <c r="F99" i="3"/>
  <c r="D99" i="3"/>
  <c r="H99" i="3" s="1"/>
  <c r="G98" i="3"/>
  <c r="F98" i="3"/>
  <c r="D98" i="3"/>
  <c r="H98" i="3" s="1"/>
  <c r="G97" i="3"/>
  <c r="F97" i="3"/>
  <c r="D97" i="3"/>
  <c r="H97" i="3" s="1"/>
  <c r="G96" i="3"/>
  <c r="F96" i="3"/>
  <c r="D96" i="3"/>
  <c r="H96" i="3" s="1"/>
  <c r="G95" i="3"/>
  <c r="F95" i="3"/>
  <c r="D95" i="3"/>
  <c r="H95" i="3" s="1"/>
  <c r="G94" i="3"/>
  <c r="F94" i="3"/>
  <c r="D94" i="3"/>
  <c r="H94" i="3" s="1"/>
  <c r="G93" i="3"/>
  <c r="F93" i="3"/>
  <c r="D93" i="3"/>
  <c r="H93" i="3" s="1"/>
  <c r="G92" i="3"/>
  <c r="F92" i="3"/>
  <c r="D92" i="3"/>
  <c r="H92" i="3" s="1"/>
  <c r="G91" i="3"/>
  <c r="F91" i="3"/>
  <c r="D91" i="3"/>
  <c r="H91" i="3" s="1"/>
  <c r="G90" i="3"/>
  <c r="F90" i="3"/>
  <c r="D90" i="3"/>
  <c r="H90" i="3" s="1"/>
  <c r="G89" i="3"/>
  <c r="F89" i="3"/>
  <c r="D89" i="3"/>
  <c r="H89" i="3" s="1"/>
  <c r="G88" i="3"/>
  <c r="F88" i="3"/>
  <c r="D88" i="3"/>
  <c r="H88" i="3" s="1"/>
  <c r="G87" i="3"/>
  <c r="F87" i="3"/>
  <c r="D87" i="3"/>
  <c r="H87" i="3" s="1"/>
  <c r="G86" i="3"/>
  <c r="F86" i="3"/>
  <c r="D86" i="3"/>
  <c r="H86" i="3" s="1"/>
  <c r="G85" i="3"/>
  <c r="F85" i="3"/>
  <c r="D85" i="3"/>
  <c r="H85" i="3" s="1"/>
  <c r="G84" i="3"/>
  <c r="F84" i="3"/>
  <c r="D84" i="3"/>
  <c r="H84" i="3" s="1"/>
  <c r="G83" i="3"/>
  <c r="F83" i="3"/>
  <c r="D83" i="3"/>
  <c r="H83" i="3" s="1"/>
  <c r="H82" i="3"/>
  <c r="G81" i="3"/>
  <c r="F81" i="3"/>
  <c r="H81" i="3" s="1"/>
  <c r="D81" i="3"/>
  <c r="G80" i="3"/>
  <c r="F80" i="3"/>
  <c r="H80" i="3" s="1"/>
  <c r="D80" i="3"/>
  <c r="H79" i="3"/>
  <c r="G79" i="3"/>
  <c r="F79" i="3"/>
  <c r="D79" i="3"/>
  <c r="G78" i="3"/>
  <c r="F78" i="3"/>
  <c r="H78" i="3" s="1"/>
  <c r="D78" i="3"/>
  <c r="G77" i="3"/>
  <c r="F77" i="3"/>
  <c r="H77" i="3" s="1"/>
  <c r="D77" i="3"/>
  <c r="H76" i="3"/>
  <c r="G76" i="3"/>
  <c r="F76" i="3"/>
  <c r="D76" i="3"/>
  <c r="G75" i="3"/>
  <c r="F75" i="3"/>
  <c r="H75" i="3" s="1"/>
  <c r="D75" i="3"/>
  <c r="H74" i="3"/>
  <c r="G73" i="3"/>
  <c r="F73" i="3"/>
  <c r="D73" i="3"/>
  <c r="H73" i="3" s="1"/>
  <c r="G72" i="3"/>
  <c r="F72" i="3"/>
  <c r="D72" i="3"/>
  <c r="H72" i="3" s="1"/>
  <c r="H71" i="3"/>
  <c r="G71" i="3"/>
  <c r="F71" i="3"/>
  <c r="D71" i="3"/>
  <c r="G70" i="3"/>
  <c r="F70" i="3"/>
  <c r="D70" i="3"/>
  <c r="H70" i="3" s="1"/>
  <c r="G69" i="3"/>
  <c r="F69" i="3"/>
  <c r="D69" i="3"/>
  <c r="H69" i="3" s="1"/>
  <c r="H68" i="3"/>
  <c r="G68" i="3"/>
  <c r="F68" i="3"/>
  <c r="D68" i="3"/>
  <c r="G67" i="3"/>
  <c r="F67" i="3"/>
  <c r="D67" i="3"/>
  <c r="H67" i="3" s="1"/>
  <c r="G66" i="3"/>
  <c r="F66" i="3"/>
  <c r="D66" i="3"/>
  <c r="H66" i="3" s="1"/>
  <c r="H65" i="3"/>
  <c r="G65" i="3"/>
  <c r="F65" i="3"/>
  <c r="D65" i="3"/>
  <c r="G64" i="3"/>
  <c r="F64" i="3"/>
  <c r="D64" i="3"/>
  <c r="H64" i="3" s="1"/>
  <c r="H63" i="3"/>
  <c r="H62" i="3"/>
  <c r="H61" i="3"/>
  <c r="H60" i="3"/>
  <c r="H59" i="3"/>
  <c r="G59" i="3"/>
  <c r="F59" i="3"/>
  <c r="D59" i="3"/>
  <c r="G58" i="3"/>
  <c r="F58" i="3"/>
  <c r="D58" i="3"/>
  <c r="H58" i="3" s="1"/>
  <c r="G57" i="3"/>
  <c r="F57" i="3"/>
  <c r="D57" i="3"/>
  <c r="H57" i="3" s="1"/>
  <c r="H56" i="3"/>
  <c r="G56" i="3"/>
  <c r="F56" i="3"/>
  <c r="D56" i="3"/>
  <c r="G55" i="3"/>
  <c r="F55" i="3"/>
  <c r="D55" i="3"/>
  <c r="H55" i="3" s="1"/>
  <c r="G54" i="3"/>
  <c r="F54" i="3"/>
  <c r="D54" i="3"/>
  <c r="H54" i="3" s="1"/>
  <c r="H53" i="3"/>
  <c r="G53" i="3"/>
  <c r="F53" i="3"/>
  <c r="D53" i="3"/>
  <c r="G52" i="3"/>
  <c r="F52" i="3"/>
  <c r="D52" i="3"/>
  <c r="H52" i="3" s="1"/>
  <c r="G51" i="3"/>
  <c r="F51" i="3"/>
  <c r="D51" i="3"/>
  <c r="H51" i="3" s="1"/>
  <c r="H50" i="3"/>
  <c r="H49" i="3"/>
  <c r="G49" i="3"/>
  <c r="F49" i="3"/>
  <c r="D49" i="3"/>
  <c r="G48" i="3"/>
  <c r="F48" i="3"/>
  <c r="H48" i="3" s="1"/>
  <c r="D48" i="3"/>
  <c r="G47" i="3"/>
  <c r="F47" i="3"/>
  <c r="D47" i="3"/>
  <c r="H47" i="3" s="1"/>
  <c r="H46" i="3"/>
  <c r="G46" i="3"/>
  <c r="F46" i="3"/>
  <c r="D46" i="3"/>
  <c r="G45" i="3"/>
  <c r="F45" i="3"/>
  <c r="H45" i="3" s="1"/>
  <c r="D45" i="3"/>
  <c r="G44" i="3"/>
  <c r="F44" i="3"/>
  <c r="D44" i="3"/>
  <c r="H44" i="3" s="1"/>
  <c r="H43" i="3"/>
  <c r="G42" i="3"/>
  <c r="F42" i="3"/>
  <c r="D42" i="3"/>
  <c r="H42" i="3" s="1"/>
  <c r="G41" i="3"/>
  <c r="F41" i="3"/>
  <c r="D41" i="3"/>
  <c r="H41" i="3" s="1"/>
  <c r="G40" i="3"/>
  <c r="F40" i="3"/>
  <c r="D40" i="3"/>
  <c r="H40" i="3" s="1"/>
  <c r="G39" i="3"/>
  <c r="F39" i="3"/>
  <c r="D39" i="3"/>
  <c r="H39" i="3" s="1"/>
  <c r="G38" i="3"/>
  <c r="F38" i="3"/>
  <c r="D38" i="3"/>
  <c r="H38" i="3" s="1"/>
  <c r="G37" i="3"/>
  <c r="F37" i="3"/>
  <c r="D37" i="3"/>
  <c r="H37" i="3" s="1"/>
  <c r="G36" i="3"/>
  <c r="F36" i="3"/>
  <c r="D36" i="3"/>
  <c r="H36" i="3" s="1"/>
  <c r="H35" i="3"/>
  <c r="H34" i="3"/>
  <c r="G34" i="3"/>
  <c r="F34" i="3"/>
  <c r="D34" i="3"/>
  <c r="G33" i="3"/>
  <c r="F33" i="3"/>
  <c r="H33" i="3" s="1"/>
  <c r="D33" i="3"/>
  <c r="G32" i="3"/>
  <c r="F32" i="3"/>
  <c r="H32" i="3" s="1"/>
  <c r="D32" i="3"/>
  <c r="H31" i="3"/>
  <c r="G31" i="3"/>
  <c r="F31" i="3"/>
  <c r="D31" i="3"/>
  <c r="G30" i="3"/>
  <c r="F30" i="3"/>
  <c r="H30" i="3" s="1"/>
  <c r="D30" i="3"/>
  <c r="G29" i="3"/>
  <c r="F29" i="3"/>
  <c r="H29" i="3" s="1"/>
  <c r="D29" i="3"/>
  <c r="H28" i="3"/>
  <c r="G28" i="3"/>
  <c r="F28" i="3"/>
  <c r="D28" i="3"/>
  <c r="G27" i="3"/>
  <c r="F27" i="3"/>
  <c r="H27" i="3" s="1"/>
  <c r="D27" i="3"/>
  <c r="G26" i="3"/>
  <c r="F26" i="3"/>
  <c r="H26" i="3" s="1"/>
  <c r="D26" i="3"/>
  <c r="H25" i="3"/>
  <c r="G24" i="3"/>
  <c r="F24" i="3"/>
  <c r="D24" i="3"/>
  <c r="H24" i="3" s="1"/>
  <c r="H23" i="3"/>
  <c r="H542" i="3" s="1"/>
  <c r="H22" i="3"/>
  <c r="G22" i="3"/>
  <c r="F22" i="3"/>
  <c r="D22" i="3"/>
  <c r="G21" i="3"/>
  <c r="F21" i="3"/>
  <c r="H21" i="3" s="1"/>
  <c r="D21" i="3"/>
  <c r="G20" i="3"/>
  <c r="F20" i="3"/>
  <c r="D20" i="3"/>
  <c r="H20" i="3" s="1"/>
  <c r="H19" i="3"/>
  <c r="G19" i="3"/>
  <c r="F19" i="3"/>
  <c r="D19" i="3"/>
  <c r="G18" i="3"/>
  <c r="F18" i="3"/>
  <c r="H18" i="3" s="1"/>
  <c r="D18" i="3"/>
  <c r="G17" i="3"/>
  <c r="F17" i="3"/>
  <c r="D17" i="3"/>
  <c r="H17" i="3" s="1"/>
  <c r="H16" i="3"/>
  <c r="G16" i="3"/>
  <c r="F16" i="3"/>
  <c r="D16" i="3"/>
  <c r="G15" i="3"/>
  <c r="F15" i="3"/>
  <c r="H15" i="3" s="1"/>
  <c r="D15" i="3"/>
  <c r="G14" i="3"/>
  <c r="F14" i="3"/>
  <c r="D14" i="3"/>
  <c r="H14" i="3" s="1"/>
  <c r="H13" i="3"/>
  <c r="G13" i="3"/>
  <c r="F13" i="3"/>
  <c r="D13" i="3"/>
  <c r="G12" i="3"/>
  <c r="F12" i="3"/>
  <c r="H12" i="3" s="1"/>
  <c r="D12" i="3"/>
  <c r="G6464" i="2"/>
  <c r="F6464" i="2"/>
  <c r="E6464" i="2"/>
  <c r="D6464" i="2"/>
  <c r="H6462" i="2"/>
  <c r="H6461" i="2"/>
  <c r="H6460" i="2"/>
  <c r="H6459" i="2"/>
  <c r="I6458" i="2"/>
  <c r="H6457" i="2"/>
  <c r="I6456" i="2"/>
  <c r="G6455" i="2"/>
  <c r="F6455" i="2"/>
  <c r="E6455" i="2"/>
  <c r="I6455" i="2" s="1"/>
  <c r="I6454" i="2"/>
  <c r="I6453" i="2"/>
  <c r="H6452" i="2"/>
  <c r="I6451" i="2"/>
  <c r="H6450" i="2"/>
  <c r="G6449" i="2"/>
  <c r="F6449" i="2"/>
  <c r="D6449" i="2"/>
  <c r="H6449" i="2" s="1"/>
  <c r="G6448" i="2"/>
  <c r="F6448" i="2"/>
  <c r="D6448" i="2"/>
  <c r="H6448" i="2" s="1"/>
  <c r="H6447" i="2"/>
  <c r="H6446" i="2"/>
  <c r="H6445" i="2"/>
  <c r="G6444" i="2"/>
  <c r="F6444" i="2"/>
  <c r="D6444" i="2"/>
  <c r="H6444" i="2" s="1"/>
  <c r="G6443" i="2"/>
  <c r="F6443" i="2"/>
  <c r="D6443" i="2"/>
  <c r="H6443" i="2" s="1"/>
  <c r="H6442" i="2"/>
  <c r="G6442" i="2"/>
  <c r="F6442" i="2"/>
  <c r="D6442" i="2"/>
  <c r="G6441" i="2"/>
  <c r="F6441" i="2"/>
  <c r="D6441" i="2"/>
  <c r="H6441" i="2" s="1"/>
  <c r="G6440" i="2"/>
  <c r="F6440" i="2"/>
  <c r="D6440" i="2"/>
  <c r="H6440" i="2" s="1"/>
  <c r="H6439" i="2"/>
  <c r="G6439" i="2"/>
  <c r="F6439" i="2"/>
  <c r="D6439" i="2"/>
  <c r="G6438" i="2"/>
  <c r="F6438" i="2"/>
  <c r="D6438" i="2"/>
  <c r="H6438" i="2" s="1"/>
  <c r="G6437" i="2"/>
  <c r="F6437" i="2"/>
  <c r="D6437" i="2"/>
  <c r="H6437" i="2" s="1"/>
  <c r="H6436" i="2"/>
  <c r="G6436" i="2"/>
  <c r="F6436" i="2"/>
  <c r="D6436" i="2"/>
  <c r="G6435" i="2"/>
  <c r="F6435" i="2"/>
  <c r="D6435" i="2"/>
  <c r="H6435" i="2" s="1"/>
  <c r="G6434" i="2"/>
  <c r="F6434" i="2"/>
  <c r="D6434" i="2"/>
  <c r="H6434" i="2" s="1"/>
  <c r="H6433" i="2"/>
  <c r="G6433" i="2"/>
  <c r="F6433" i="2"/>
  <c r="D6433" i="2"/>
  <c r="G6432" i="2"/>
  <c r="F6432" i="2"/>
  <c r="D6432" i="2"/>
  <c r="H6432" i="2" s="1"/>
  <c r="G6431" i="2"/>
  <c r="F6431" i="2"/>
  <c r="D6431" i="2"/>
  <c r="H6431" i="2" s="1"/>
  <c r="H6430" i="2"/>
  <c r="G6430" i="2"/>
  <c r="F6430" i="2"/>
  <c r="D6430" i="2"/>
  <c r="G6429" i="2"/>
  <c r="F6429" i="2"/>
  <c r="D6429" i="2"/>
  <c r="H6429" i="2" s="1"/>
  <c r="G6428" i="2"/>
  <c r="F6428" i="2"/>
  <c r="D6428" i="2"/>
  <c r="H6428" i="2" s="1"/>
  <c r="H6427" i="2"/>
  <c r="G6426" i="2"/>
  <c r="F6426" i="2"/>
  <c r="H6426" i="2" s="1"/>
  <c r="D6426" i="2"/>
  <c r="G6425" i="2"/>
  <c r="F6425" i="2"/>
  <c r="H6425" i="2" s="1"/>
  <c r="D6425" i="2"/>
  <c r="G6424" i="2"/>
  <c r="F6424" i="2"/>
  <c r="D6424" i="2"/>
  <c r="H6424" i="2" s="1"/>
  <c r="G6423" i="2"/>
  <c r="F6423" i="2"/>
  <c r="D6423" i="2"/>
  <c r="H6423" i="2" s="1"/>
  <c r="G6422" i="2"/>
  <c r="F6422" i="2"/>
  <c r="H6422" i="2" s="1"/>
  <c r="D6422" i="2"/>
  <c r="G6421" i="2"/>
  <c r="F6421" i="2"/>
  <c r="D6421" i="2"/>
  <c r="H6421" i="2" s="1"/>
  <c r="G6420" i="2"/>
  <c r="F6420" i="2"/>
  <c r="D6420" i="2"/>
  <c r="H6420" i="2" s="1"/>
  <c r="G6419" i="2"/>
  <c r="F6419" i="2"/>
  <c r="H6419" i="2" s="1"/>
  <c r="D6419" i="2"/>
  <c r="G6418" i="2"/>
  <c r="F6418" i="2"/>
  <c r="D6418" i="2"/>
  <c r="H6418" i="2" s="1"/>
  <c r="G6417" i="2"/>
  <c r="F6417" i="2"/>
  <c r="D6417" i="2"/>
  <c r="H6417" i="2" s="1"/>
  <c r="G6416" i="2"/>
  <c r="F6416" i="2"/>
  <c r="D6416" i="2"/>
  <c r="H6416" i="2" s="1"/>
  <c r="G6415" i="2"/>
  <c r="F6415" i="2"/>
  <c r="D6415" i="2"/>
  <c r="H6415" i="2" s="1"/>
  <c r="G6414" i="2"/>
  <c r="F6414" i="2"/>
  <c r="D6414" i="2"/>
  <c r="H6414" i="2" s="1"/>
  <c r="G6413" i="2"/>
  <c r="F6413" i="2"/>
  <c r="D6413" i="2"/>
  <c r="H6413" i="2" s="1"/>
  <c r="G6412" i="2"/>
  <c r="F6412" i="2"/>
  <c r="D6412" i="2"/>
  <c r="H6412" i="2" s="1"/>
  <c r="G6411" i="2"/>
  <c r="F6411" i="2"/>
  <c r="D6411" i="2"/>
  <c r="H6411" i="2" s="1"/>
  <c r="G6410" i="2"/>
  <c r="F6410" i="2"/>
  <c r="D6410" i="2"/>
  <c r="H6410" i="2" s="1"/>
  <c r="G6409" i="2"/>
  <c r="F6409" i="2"/>
  <c r="D6409" i="2"/>
  <c r="H6409" i="2" s="1"/>
  <c r="H6408" i="2"/>
  <c r="G6407" i="2"/>
  <c r="H6407" i="2" s="1"/>
  <c r="F6407" i="2"/>
  <c r="D6407" i="2"/>
  <c r="G6406" i="2"/>
  <c r="F6406" i="2"/>
  <c r="D6406" i="2"/>
  <c r="H6406" i="2" s="1"/>
  <c r="G6405" i="2"/>
  <c r="F6405" i="2"/>
  <c r="H6405" i="2" s="1"/>
  <c r="D6405" i="2"/>
  <c r="G6404" i="2"/>
  <c r="H6404" i="2" s="1"/>
  <c r="F6404" i="2"/>
  <c r="D6404" i="2"/>
  <c r="G6403" i="2"/>
  <c r="F6403" i="2"/>
  <c r="D6403" i="2"/>
  <c r="H6403" i="2" s="1"/>
  <c r="G6402" i="2"/>
  <c r="F6402" i="2"/>
  <c r="H6402" i="2" s="1"/>
  <c r="D6402" i="2"/>
  <c r="G6401" i="2"/>
  <c r="H6401" i="2" s="1"/>
  <c r="F6401" i="2"/>
  <c r="D6401" i="2"/>
  <c r="G6400" i="2"/>
  <c r="F6400" i="2"/>
  <c r="D6400" i="2"/>
  <c r="H6400" i="2" s="1"/>
  <c r="G6399" i="2"/>
  <c r="F6399" i="2"/>
  <c r="H6399" i="2" s="1"/>
  <c r="D6399" i="2"/>
  <c r="G6398" i="2"/>
  <c r="H6398" i="2" s="1"/>
  <c r="F6398" i="2"/>
  <c r="D6398" i="2"/>
  <c r="H6397" i="2"/>
  <c r="G6396" i="2"/>
  <c r="F6396" i="2"/>
  <c r="D6396" i="2"/>
  <c r="H6396" i="2" s="1"/>
  <c r="H6395" i="2"/>
  <c r="G6395" i="2"/>
  <c r="F6395" i="2"/>
  <c r="D6395" i="2"/>
  <c r="H6394" i="2"/>
  <c r="G6394" i="2"/>
  <c r="F6394" i="2"/>
  <c r="D6394" i="2"/>
  <c r="G6393" i="2"/>
  <c r="F6393" i="2"/>
  <c r="D6393" i="2"/>
  <c r="H6393" i="2" s="1"/>
  <c r="H6392" i="2"/>
  <c r="G6392" i="2"/>
  <c r="F6392" i="2"/>
  <c r="D6392" i="2"/>
  <c r="H6391" i="2"/>
  <c r="G6391" i="2"/>
  <c r="F6391" i="2"/>
  <c r="D6391" i="2"/>
  <c r="G6390" i="2"/>
  <c r="F6390" i="2"/>
  <c r="D6390" i="2"/>
  <c r="H6390" i="2" s="1"/>
  <c r="H6389" i="2"/>
  <c r="G6389" i="2"/>
  <c r="F6389" i="2"/>
  <c r="D6389" i="2"/>
  <c r="H6388" i="2"/>
  <c r="G6388" i="2"/>
  <c r="F6388" i="2"/>
  <c r="D6388" i="2"/>
  <c r="G6387" i="2"/>
  <c r="F6387" i="2"/>
  <c r="D6387" i="2"/>
  <c r="H6387" i="2" s="1"/>
  <c r="H6386" i="2"/>
  <c r="H6385" i="2"/>
  <c r="G6385" i="2"/>
  <c r="F6385" i="2"/>
  <c r="D6385" i="2"/>
  <c r="G6384" i="2"/>
  <c r="F6384" i="2"/>
  <c r="D6384" i="2"/>
  <c r="H6384" i="2" s="1"/>
  <c r="G6383" i="2"/>
  <c r="F6383" i="2"/>
  <c r="D6383" i="2"/>
  <c r="H6383" i="2" s="1"/>
  <c r="H6382" i="2"/>
  <c r="G6382" i="2"/>
  <c r="F6382" i="2"/>
  <c r="D6382" i="2"/>
  <c r="G6381" i="2"/>
  <c r="F6381" i="2"/>
  <c r="D6381" i="2"/>
  <c r="H6381" i="2" s="1"/>
  <c r="G6380" i="2"/>
  <c r="F6380" i="2"/>
  <c r="D6380" i="2"/>
  <c r="H6380" i="2" s="1"/>
  <c r="H6379" i="2"/>
  <c r="G6379" i="2"/>
  <c r="F6379" i="2"/>
  <c r="D6379" i="2"/>
  <c r="G6378" i="2"/>
  <c r="F6378" i="2"/>
  <c r="D6378" i="2"/>
  <c r="H6378" i="2" s="1"/>
  <c r="G6377" i="2"/>
  <c r="F6377" i="2"/>
  <c r="D6377" i="2"/>
  <c r="H6377" i="2" s="1"/>
  <c r="H6376" i="2"/>
  <c r="G6376" i="2"/>
  <c r="F6376" i="2"/>
  <c r="D6376" i="2"/>
  <c r="G6375" i="2"/>
  <c r="F6375" i="2"/>
  <c r="D6375" i="2"/>
  <c r="H6375" i="2" s="1"/>
  <c r="G6374" i="2"/>
  <c r="F6374" i="2"/>
  <c r="D6374" i="2"/>
  <c r="H6374" i="2" s="1"/>
  <c r="H6373" i="2"/>
  <c r="G6373" i="2"/>
  <c r="F6373" i="2"/>
  <c r="D6373" i="2"/>
  <c r="G6372" i="2"/>
  <c r="F6372" i="2"/>
  <c r="D6372" i="2"/>
  <c r="H6372" i="2" s="1"/>
  <c r="G6371" i="2"/>
  <c r="F6371" i="2"/>
  <c r="D6371" i="2"/>
  <c r="H6371" i="2" s="1"/>
  <c r="H6370" i="2"/>
  <c r="G6369" i="2"/>
  <c r="F6369" i="2"/>
  <c r="D6369" i="2"/>
  <c r="H6369" i="2" s="1"/>
  <c r="G6368" i="2"/>
  <c r="F6368" i="2"/>
  <c r="H6368" i="2" s="1"/>
  <c r="D6368" i="2"/>
  <c r="G6367" i="2"/>
  <c r="F6367" i="2"/>
  <c r="D6367" i="2"/>
  <c r="H6367" i="2" s="1"/>
  <c r="G6366" i="2"/>
  <c r="F6366" i="2"/>
  <c r="D6366" i="2"/>
  <c r="H6366" i="2" s="1"/>
  <c r="G6365" i="2"/>
  <c r="F6365" i="2"/>
  <c r="H6365" i="2" s="1"/>
  <c r="D6365" i="2"/>
  <c r="G6364" i="2"/>
  <c r="F6364" i="2"/>
  <c r="D6364" i="2"/>
  <c r="H6364" i="2" s="1"/>
  <c r="G6363" i="2"/>
  <c r="F6363" i="2"/>
  <c r="D6363" i="2"/>
  <c r="H6363" i="2" s="1"/>
  <c r="G6362" i="2"/>
  <c r="F6362" i="2"/>
  <c r="H6362" i="2" s="1"/>
  <c r="D6362" i="2"/>
  <c r="G6361" i="2"/>
  <c r="F6361" i="2"/>
  <c r="D6361" i="2"/>
  <c r="H6361" i="2" s="1"/>
  <c r="G6360" i="2"/>
  <c r="F6360" i="2"/>
  <c r="D6360" i="2"/>
  <c r="H6360" i="2" s="1"/>
  <c r="H6359" i="2"/>
  <c r="G6358" i="2"/>
  <c r="F6358" i="2"/>
  <c r="D6358" i="2"/>
  <c r="H6358" i="2" s="1"/>
  <c r="G6357" i="2"/>
  <c r="H6357" i="2" s="1"/>
  <c r="F6357" i="2"/>
  <c r="D6357" i="2"/>
  <c r="G6356" i="2"/>
  <c r="H6356" i="2" s="1"/>
  <c r="F6356" i="2"/>
  <c r="D6356" i="2"/>
  <c r="G6355" i="2"/>
  <c r="F6355" i="2"/>
  <c r="D6355" i="2"/>
  <c r="H6355" i="2" s="1"/>
  <c r="G6354" i="2"/>
  <c r="H6354" i="2" s="1"/>
  <c r="F6354" i="2"/>
  <c r="D6354" i="2"/>
  <c r="G6353" i="2"/>
  <c r="F6353" i="2"/>
  <c r="D6353" i="2"/>
  <c r="H6353" i="2" s="1"/>
  <c r="G6352" i="2"/>
  <c r="F6352" i="2"/>
  <c r="D6352" i="2"/>
  <c r="H6352" i="2" s="1"/>
  <c r="G6351" i="2"/>
  <c r="H6351" i="2" s="1"/>
  <c r="F6351" i="2"/>
  <c r="D6351" i="2"/>
  <c r="G6350" i="2"/>
  <c r="F6350" i="2"/>
  <c r="D6350" i="2"/>
  <c r="H6350" i="2" s="1"/>
  <c r="G6349" i="2"/>
  <c r="F6349" i="2"/>
  <c r="D6349" i="2"/>
  <c r="H6349" i="2" s="1"/>
  <c r="H6348" i="2"/>
  <c r="H6347" i="2"/>
  <c r="G6347" i="2"/>
  <c r="F6347" i="2"/>
  <c r="D6347" i="2"/>
  <c r="H6346" i="2"/>
  <c r="G6346" i="2"/>
  <c r="F6346" i="2"/>
  <c r="D6346" i="2"/>
  <c r="G6345" i="2"/>
  <c r="F6345" i="2"/>
  <c r="D6345" i="2"/>
  <c r="H6345" i="2" s="1"/>
  <c r="H6344" i="2"/>
  <c r="G6344" i="2"/>
  <c r="F6344" i="2"/>
  <c r="D6344" i="2"/>
  <c r="H6343" i="2"/>
  <c r="G6343" i="2"/>
  <c r="F6343" i="2"/>
  <c r="D6343" i="2"/>
  <c r="G6342" i="2"/>
  <c r="F6342" i="2"/>
  <c r="D6342" i="2"/>
  <c r="H6342" i="2" s="1"/>
  <c r="H6341" i="2"/>
  <c r="G6341" i="2"/>
  <c r="F6341" i="2"/>
  <c r="D6341" i="2"/>
  <c r="H6340" i="2"/>
  <c r="G6340" i="2"/>
  <c r="F6340" i="2"/>
  <c r="D6340" i="2"/>
  <c r="G6339" i="2"/>
  <c r="F6339" i="2"/>
  <c r="D6339" i="2"/>
  <c r="H6339" i="2" s="1"/>
  <c r="H6338" i="2"/>
  <c r="G6338" i="2"/>
  <c r="F6338" i="2"/>
  <c r="D6338" i="2"/>
  <c r="H6337" i="2"/>
  <c r="G6336" i="2"/>
  <c r="F6336" i="2"/>
  <c r="D6336" i="2"/>
  <c r="H6336" i="2" s="1"/>
  <c r="G6335" i="2"/>
  <c r="F6335" i="2"/>
  <c r="D6335" i="2"/>
  <c r="H6335" i="2" s="1"/>
  <c r="H6334" i="2"/>
  <c r="G6334" i="2"/>
  <c r="F6334" i="2"/>
  <c r="D6334" i="2"/>
  <c r="G6333" i="2"/>
  <c r="F6333" i="2"/>
  <c r="D6333" i="2"/>
  <c r="H6333" i="2" s="1"/>
  <c r="G6332" i="2"/>
  <c r="F6332" i="2"/>
  <c r="D6332" i="2"/>
  <c r="H6332" i="2" s="1"/>
  <c r="H6331" i="2"/>
  <c r="G6331" i="2"/>
  <c r="F6331" i="2"/>
  <c r="D6331" i="2"/>
  <c r="G6330" i="2"/>
  <c r="F6330" i="2"/>
  <c r="D6330" i="2"/>
  <c r="H6330" i="2" s="1"/>
  <c r="G6329" i="2"/>
  <c r="F6329" i="2"/>
  <c r="D6329" i="2"/>
  <c r="H6329" i="2" s="1"/>
  <c r="H6328" i="2"/>
  <c r="G6328" i="2"/>
  <c r="F6328" i="2"/>
  <c r="D6328" i="2"/>
  <c r="G6327" i="2"/>
  <c r="F6327" i="2"/>
  <c r="D6327" i="2"/>
  <c r="H6327" i="2" s="1"/>
  <c r="H6326" i="2"/>
  <c r="G6325" i="2"/>
  <c r="F6325" i="2"/>
  <c r="D6325" i="2"/>
  <c r="H6325" i="2" s="1"/>
  <c r="G6324" i="2"/>
  <c r="F6324" i="2"/>
  <c r="D6324" i="2"/>
  <c r="H6324" i="2" s="1"/>
  <c r="G6323" i="2"/>
  <c r="F6323" i="2"/>
  <c r="H6323" i="2" s="1"/>
  <c r="D6323" i="2"/>
  <c r="G6322" i="2"/>
  <c r="F6322" i="2"/>
  <c r="D6322" i="2"/>
  <c r="H6322" i="2" s="1"/>
  <c r="G6321" i="2"/>
  <c r="F6321" i="2"/>
  <c r="D6321" i="2"/>
  <c r="H6321" i="2" s="1"/>
  <c r="G6320" i="2"/>
  <c r="F6320" i="2"/>
  <c r="H6320" i="2" s="1"/>
  <c r="D6320" i="2"/>
  <c r="G6319" i="2"/>
  <c r="F6319" i="2"/>
  <c r="D6319" i="2"/>
  <c r="H6319" i="2" s="1"/>
  <c r="G6318" i="2"/>
  <c r="F6318" i="2"/>
  <c r="D6318" i="2"/>
  <c r="H6318" i="2" s="1"/>
  <c r="G6317" i="2"/>
  <c r="F6317" i="2"/>
  <c r="H6317" i="2" s="1"/>
  <c r="D6317" i="2"/>
  <c r="G6316" i="2"/>
  <c r="F6316" i="2"/>
  <c r="D6316" i="2"/>
  <c r="H6316" i="2" s="1"/>
  <c r="H6315" i="2"/>
  <c r="G6314" i="2"/>
  <c r="F6314" i="2"/>
  <c r="D6314" i="2"/>
  <c r="H6314" i="2" s="1"/>
  <c r="G6313" i="2"/>
  <c r="F6313" i="2"/>
  <c r="D6313" i="2"/>
  <c r="H6313" i="2" s="1"/>
  <c r="G6312" i="2"/>
  <c r="F6312" i="2"/>
  <c r="H6312" i="2" s="1"/>
  <c r="D6312" i="2"/>
  <c r="G6311" i="2"/>
  <c r="F6311" i="2"/>
  <c r="D6311" i="2"/>
  <c r="H6311" i="2" s="1"/>
  <c r="G6310" i="2"/>
  <c r="F6310" i="2"/>
  <c r="D6310" i="2"/>
  <c r="H6310" i="2" s="1"/>
  <c r="G6309" i="2"/>
  <c r="F6309" i="2"/>
  <c r="H6309" i="2" s="1"/>
  <c r="D6309" i="2"/>
  <c r="G6308" i="2"/>
  <c r="F6308" i="2"/>
  <c r="D6308" i="2"/>
  <c r="H6308" i="2" s="1"/>
  <c r="G6307" i="2"/>
  <c r="F6307" i="2"/>
  <c r="D6307" i="2"/>
  <c r="H6307" i="2" s="1"/>
  <c r="G6306" i="2"/>
  <c r="F6306" i="2"/>
  <c r="H6306" i="2" s="1"/>
  <c r="D6306" i="2"/>
  <c r="G6305" i="2"/>
  <c r="F6305" i="2"/>
  <c r="D6305" i="2"/>
  <c r="H6305" i="2" s="1"/>
  <c r="H6304" i="2"/>
  <c r="G6303" i="2"/>
  <c r="F6303" i="2"/>
  <c r="D6303" i="2"/>
  <c r="H6303" i="2" s="1"/>
  <c r="H6302" i="2"/>
  <c r="G6302" i="2"/>
  <c r="F6302" i="2"/>
  <c r="D6302" i="2"/>
  <c r="H6301" i="2"/>
  <c r="G6301" i="2"/>
  <c r="F6301" i="2"/>
  <c r="D6301" i="2"/>
  <c r="G6300" i="2"/>
  <c r="F6300" i="2"/>
  <c r="D6300" i="2"/>
  <c r="H6300" i="2" s="1"/>
  <c r="H6299" i="2"/>
  <c r="G6299" i="2"/>
  <c r="F6299" i="2"/>
  <c r="D6299" i="2"/>
  <c r="H6298" i="2"/>
  <c r="G6298" i="2"/>
  <c r="F6298" i="2"/>
  <c r="D6298" i="2"/>
  <c r="G6297" i="2"/>
  <c r="F6297" i="2"/>
  <c r="D6297" i="2"/>
  <c r="H6297" i="2" s="1"/>
  <c r="G6296" i="2"/>
  <c r="H6296" i="2" s="1"/>
  <c r="F6296" i="2"/>
  <c r="D6296" i="2"/>
  <c r="H6295" i="2"/>
  <c r="G6295" i="2"/>
  <c r="F6295" i="2"/>
  <c r="D6295" i="2"/>
  <c r="G6294" i="2"/>
  <c r="F6294" i="2"/>
  <c r="D6294" i="2"/>
  <c r="H6294" i="2" s="1"/>
  <c r="H6293" i="2"/>
  <c r="H6292" i="2"/>
  <c r="G6292" i="2"/>
  <c r="F6292" i="2"/>
  <c r="D6292" i="2"/>
  <c r="G6291" i="2"/>
  <c r="F6291" i="2"/>
  <c r="D6291" i="2"/>
  <c r="H6291" i="2" s="1"/>
  <c r="G6290" i="2"/>
  <c r="F6290" i="2"/>
  <c r="D6290" i="2"/>
  <c r="H6290" i="2" s="1"/>
  <c r="H6289" i="2"/>
  <c r="G6289" i="2"/>
  <c r="F6289" i="2"/>
  <c r="D6289" i="2"/>
  <c r="G6288" i="2"/>
  <c r="F6288" i="2"/>
  <c r="D6288" i="2"/>
  <c r="H6288" i="2" s="1"/>
  <c r="G6287" i="2"/>
  <c r="F6287" i="2"/>
  <c r="D6287" i="2"/>
  <c r="H6287" i="2" s="1"/>
  <c r="H6286" i="2"/>
  <c r="G6286" i="2"/>
  <c r="F6286" i="2"/>
  <c r="D6286" i="2"/>
  <c r="G6285" i="2"/>
  <c r="F6285" i="2"/>
  <c r="D6285" i="2"/>
  <c r="H6285" i="2" s="1"/>
  <c r="G6284" i="2"/>
  <c r="F6284" i="2"/>
  <c r="D6284" i="2"/>
  <c r="H6284" i="2" s="1"/>
  <c r="H6283" i="2"/>
  <c r="G6283" i="2"/>
  <c r="F6283" i="2"/>
  <c r="D6283" i="2"/>
  <c r="H6282" i="2"/>
  <c r="G6281" i="2"/>
  <c r="F6281" i="2"/>
  <c r="H6281" i="2" s="1"/>
  <c r="D6281" i="2"/>
  <c r="G6280" i="2"/>
  <c r="F6280" i="2"/>
  <c r="D6280" i="2"/>
  <c r="H6280" i="2" s="1"/>
  <c r="G6279" i="2"/>
  <c r="F6279" i="2"/>
  <c r="D6279" i="2"/>
  <c r="H6279" i="2" s="1"/>
  <c r="G6278" i="2"/>
  <c r="F6278" i="2"/>
  <c r="H6278" i="2" s="1"/>
  <c r="D6278" i="2"/>
  <c r="G6277" i="2"/>
  <c r="F6277" i="2"/>
  <c r="D6277" i="2"/>
  <c r="H6277" i="2" s="1"/>
  <c r="G6276" i="2"/>
  <c r="F6276" i="2"/>
  <c r="D6276" i="2"/>
  <c r="H6276" i="2" s="1"/>
  <c r="G6275" i="2"/>
  <c r="F6275" i="2"/>
  <c r="H6275" i="2" s="1"/>
  <c r="D6275" i="2"/>
  <c r="G6274" i="2"/>
  <c r="F6274" i="2"/>
  <c r="D6274" i="2"/>
  <c r="H6274" i="2" s="1"/>
  <c r="G6273" i="2"/>
  <c r="F6273" i="2"/>
  <c r="D6273" i="2"/>
  <c r="H6273" i="2" s="1"/>
  <c r="G6272" i="2"/>
  <c r="F6272" i="2"/>
  <c r="H6272" i="2" s="1"/>
  <c r="D6272" i="2"/>
  <c r="H6271" i="2"/>
  <c r="G6270" i="2"/>
  <c r="F6270" i="2"/>
  <c r="H6270" i="2" s="1"/>
  <c r="D6270" i="2"/>
  <c r="G6269" i="2"/>
  <c r="F6269" i="2"/>
  <c r="D6269" i="2"/>
  <c r="H6269" i="2" s="1"/>
  <c r="G6268" i="2"/>
  <c r="F6268" i="2"/>
  <c r="D6268" i="2"/>
  <c r="H6268" i="2" s="1"/>
  <c r="G6267" i="2"/>
  <c r="F6267" i="2"/>
  <c r="H6267" i="2" s="1"/>
  <c r="D6267" i="2"/>
  <c r="G6266" i="2"/>
  <c r="F6266" i="2"/>
  <c r="D6266" i="2"/>
  <c r="H6266" i="2" s="1"/>
  <c r="G6265" i="2"/>
  <c r="F6265" i="2"/>
  <c r="D6265" i="2"/>
  <c r="H6265" i="2" s="1"/>
  <c r="G6264" i="2"/>
  <c r="F6264" i="2"/>
  <c r="H6264" i="2" s="1"/>
  <c r="D6264" i="2"/>
  <c r="G6263" i="2"/>
  <c r="F6263" i="2"/>
  <c r="D6263" i="2"/>
  <c r="H6263" i="2" s="1"/>
  <c r="G6262" i="2"/>
  <c r="F6262" i="2"/>
  <c r="D6262" i="2"/>
  <c r="H6262" i="2" s="1"/>
  <c r="G6261" i="2"/>
  <c r="F6261" i="2"/>
  <c r="H6261" i="2" s="1"/>
  <c r="D6261" i="2"/>
  <c r="H6260" i="2"/>
  <c r="H6259" i="2"/>
  <c r="G6259" i="2"/>
  <c r="F6259" i="2"/>
  <c r="D6259" i="2"/>
  <c r="G6258" i="2"/>
  <c r="F6258" i="2"/>
  <c r="D6258" i="2"/>
  <c r="H6258" i="2" s="1"/>
  <c r="G6257" i="2"/>
  <c r="H6257" i="2" s="1"/>
  <c r="F6257" i="2"/>
  <c r="D6257" i="2"/>
  <c r="H6256" i="2"/>
  <c r="G6256" i="2"/>
  <c r="F6256" i="2"/>
  <c r="D6256" i="2"/>
  <c r="G6255" i="2"/>
  <c r="F6255" i="2"/>
  <c r="D6255" i="2"/>
  <c r="H6255" i="2" s="1"/>
  <c r="G6254" i="2"/>
  <c r="H6254" i="2" s="1"/>
  <c r="F6254" i="2"/>
  <c r="D6254" i="2"/>
  <c r="H6253" i="2"/>
  <c r="G6253" i="2"/>
  <c r="F6253" i="2"/>
  <c r="D6253" i="2"/>
  <c r="G6252" i="2"/>
  <c r="F6252" i="2"/>
  <c r="D6252" i="2"/>
  <c r="H6252" i="2" s="1"/>
  <c r="G6251" i="2"/>
  <c r="H6251" i="2" s="1"/>
  <c r="F6251" i="2"/>
  <c r="D6251" i="2"/>
  <c r="H6250" i="2"/>
  <c r="G6250" i="2"/>
  <c r="F6250" i="2"/>
  <c r="D6250" i="2"/>
  <c r="H6249" i="2"/>
  <c r="G6248" i="2"/>
  <c r="F6248" i="2"/>
  <c r="D6248" i="2"/>
  <c r="H6248" i="2" s="1"/>
  <c r="H6247" i="2"/>
  <c r="G6247" i="2"/>
  <c r="F6247" i="2"/>
  <c r="D6247" i="2"/>
  <c r="G6246" i="2"/>
  <c r="F6246" i="2"/>
  <c r="D6246" i="2"/>
  <c r="H6246" i="2" s="1"/>
  <c r="G6245" i="2"/>
  <c r="F6245" i="2"/>
  <c r="D6245" i="2"/>
  <c r="H6245" i="2" s="1"/>
  <c r="H6244" i="2"/>
  <c r="G6244" i="2"/>
  <c r="F6244" i="2"/>
  <c r="D6244" i="2"/>
  <c r="G6243" i="2"/>
  <c r="F6243" i="2"/>
  <c r="D6243" i="2"/>
  <c r="H6243" i="2" s="1"/>
  <c r="G6242" i="2"/>
  <c r="F6242" i="2"/>
  <c r="D6242" i="2"/>
  <c r="H6242" i="2" s="1"/>
  <c r="H6241" i="2"/>
  <c r="G6241" i="2"/>
  <c r="F6241" i="2"/>
  <c r="D6241" i="2"/>
  <c r="G6240" i="2"/>
  <c r="F6240" i="2"/>
  <c r="D6240" i="2"/>
  <c r="H6240" i="2" s="1"/>
  <c r="G6239" i="2"/>
  <c r="F6239" i="2"/>
  <c r="D6239" i="2"/>
  <c r="H6239" i="2" s="1"/>
  <c r="H6238" i="2"/>
  <c r="G6237" i="2"/>
  <c r="F6237" i="2"/>
  <c r="H6237" i="2" s="1"/>
  <c r="D6237" i="2"/>
  <c r="G6236" i="2"/>
  <c r="F6236" i="2"/>
  <c r="H6236" i="2" s="1"/>
  <c r="D6236" i="2"/>
  <c r="G6235" i="2"/>
  <c r="F6235" i="2"/>
  <c r="D6235" i="2"/>
  <c r="H6235" i="2" s="1"/>
  <c r="G6234" i="2"/>
  <c r="F6234" i="2"/>
  <c r="D6234" i="2"/>
  <c r="H6234" i="2" s="1"/>
  <c r="G6233" i="2"/>
  <c r="F6233" i="2"/>
  <c r="H6233" i="2" s="1"/>
  <c r="D6233" i="2"/>
  <c r="G6232" i="2"/>
  <c r="F6232" i="2"/>
  <c r="D6232" i="2"/>
  <c r="H6232" i="2" s="1"/>
  <c r="G6231" i="2"/>
  <c r="F6231" i="2"/>
  <c r="D6231" i="2"/>
  <c r="H6231" i="2" s="1"/>
  <c r="G6230" i="2"/>
  <c r="F6230" i="2"/>
  <c r="H6230" i="2" s="1"/>
  <c r="D6230" i="2"/>
  <c r="G6229" i="2"/>
  <c r="F6229" i="2"/>
  <c r="D6229" i="2"/>
  <c r="H6229" i="2" s="1"/>
  <c r="G6228" i="2"/>
  <c r="F6228" i="2"/>
  <c r="D6228" i="2"/>
  <c r="H6228" i="2" s="1"/>
  <c r="H6227" i="2"/>
  <c r="G6226" i="2"/>
  <c r="F6226" i="2"/>
  <c r="D6226" i="2"/>
  <c r="H6226" i="2" s="1"/>
  <c r="G6225" i="2"/>
  <c r="F6225" i="2"/>
  <c r="H6225" i="2" s="1"/>
  <c r="D6225" i="2"/>
  <c r="G6224" i="2"/>
  <c r="F6224" i="2"/>
  <c r="D6224" i="2"/>
  <c r="H6224" i="2" s="1"/>
  <c r="G6223" i="2"/>
  <c r="F6223" i="2"/>
  <c r="D6223" i="2"/>
  <c r="H6223" i="2" s="1"/>
  <c r="G6222" i="2"/>
  <c r="F6222" i="2"/>
  <c r="H6222" i="2" s="1"/>
  <c r="D6222" i="2"/>
  <c r="G6221" i="2"/>
  <c r="F6221" i="2"/>
  <c r="D6221" i="2"/>
  <c r="H6221" i="2" s="1"/>
  <c r="G6220" i="2"/>
  <c r="F6220" i="2"/>
  <c r="D6220" i="2"/>
  <c r="H6220" i="2" s="1"/>
  <c r="G6219" i="2"/>
  <c r="F6219" i="2"/>
  <c r="H6219" i="2" s="1"/>
  <c r="D6219" i="2"/>
  <c r="G6218" i="2"/>
  <c r="F6218" i="2"/>
  <c r="D6218" i="2"/>
  <c r="H6218" i="2" s="1"/>
  <c r="G6217" i="2"/>
  <c r="F6217" i="2"/>
  <c r="D6217" i="2"/>
  <c r="H6217" i="2" s="1"/>
  <c r="H6216" i="2"/>
  <c r="H6215" i="2"/>
  <c r="G6215" i="2"/>
  <c r="F6215" i="2"/>
  <c r="D6215" i="2"/>
  <c r="H6214" i="2"/>
  <c r="G6214" i="2"/>
  <c r="F6214" i="2"/>
  <c r="D6214" i="2"/>
  <c r="G6213" i="2"/>
  <c r="F6213" i="2"/>
  <c r="D6213" i="2"/>
  <c r="H6213" i="2" s="1"/>
  <c r="H6212" i="2"/>
  <c r="G6212" i="2"/>
  <c r="F6212" i="2"/>
  <c r="D6212" i="2"/>
  <c r="H6211" i="2"/>
  <c r="G6211" i="2"/>
  <c r="F6211" i="2"/>
  <c r="D6211" i="2"/>
  <c r="G6210" i="2"/>
  <c r="F6210" i="2"/>
  <c r="D6210" i="2"/>
  <c r="H6210" i="2" s="1"/>
  <c r="G6209" i="2"/>
  <c r="H6209" i="2" s="1"/>
  <c r="F6209" i="2"/>
  <c r="D6209" i="2"/>
  <c r="H6208" i="2"/>
  <c r="G6208" i="2"/>
  <c r="F6208" i="2"/>
  <c r="D6208" i="2"/>
  <c r="G6207" i="2"/>
  <c r="F6207" i="2"/>
  <c r="D6207" i="2"/>
  <c r="H6207" i="2" s="1"/>
  <c r="G6206" i="2"/>
  <c r="H6206" i="2" s="1"/>
  <c r="F6206" i="2"/>
  <c r="D6206" i="2"/>
  <c r="H6205" i="2"/>
  <c r="G6204" i="2"/>
  <c r="F6204" i="2"/>
  <c r="D6204" i="2"/>
  <c r="H6204" i="2" s="1"/>
  <c r="G6203" i="2"/>
  <c r="F6203" i="2"/>
  <c r="D6203" i="2"/>
  <c r="H6203" i="2" s="1"/>
  <c r="H6202" i="2"/>
  <c r="G6202" i="2"/>
  <c r="F6202" i="2"/>
  <c r="D6202" i="2"/>
  <c r="G6201" i="2"/>
  <c r="F6201" i="2"/>
  <c r="D6201" i="2"/>
  <c r="H6201" i="2" s="1"/>
  <c r="G6200" i="2"/>
  <c r="F6200" i="2"/>
  <c r="D6200" i="2"/>
  <c r="H6200" i="2" s="1"/>
  <c r="H6199" i="2"/>
  <c r="G6199" i="2"/>
  <c r="F6199" i="2"/>
  <c r="D6199" i="2"/>
  <c r="G6198" i="2"/>
  <c r="F6198" i="2"/>
  <c r="D6198" i="2"/>
  <c r="H6198" i="2" s="1"/>
  <c r="G6197" i="2"/>
  <c r="F6197" i="2"/>
  <c r="D6197" i="2"/>
  <c r="H6197" i="2" s="1"/>
  <c r="H6196" i="2"/>
  <c r="G6196" i="2"/>
  <c r="F6196" i="2"/>
  <c r="D6196" i="2"/>
  <c r="G6195" i="2"/>
  <c r="F6195" i="2"/>
  <c r="D6195" i="2"/>
  <c r="H6195" i="2" s="1"/>
  <c r="H6194" i="2"/>
  <c r="G6193" i="2"/>
  <c r="F6193" i="2"/>
  <c r="D6193" i="2"/>
  <c r="H6193" i="2" s="1"/>
  <c r="G6192" i="2"/>
  <c r="F6192" i="2"/>
  <c r="H6192" i="2" s="1"/>
  <c r="D6192" i="2"/>
  <c r="G6191" i="2"/>
  <c r="F6191" i="2"/>
  <c r="H6191" i="2" s="1"/>
  <c r="D6191" i="2"/>
  <c r="G6190" i="2"/>
  <c r="F6190" i="2"/>
  <c r="D6190" i="2"/>
  <c r="H6190" i="2" s="1"/>
  <c r="G6189" i="2"/>
  <c r="F6189" i="2"/>
  <c r="D6189" i="2"/>
  <c r="H6189" i="2" s="1"/>
  <c r="G6188" i="2"/>
  <c r="F6188" i="2"/>
  <c r="H6188" i="2" s="1"/>
  <c r="D6188" i="2"/>
  <c r="G6187" i="2"/>
  <c r="F6187" i="2"/>
  <c r="D6187" i="2"/>
  <c r="H6187" i="2" s="1"/>
  <c r="G6186" i="2"/>
  <c r="F6186" i="2"/>
  <c r="D6186" i="2"/>
  <c r="H6186" i="2" s="1"/>
  <c r="G6185" i="2"/>
  <c r="F6185" i="2"/>
  <c r="H6185" i="2" s="1"/>
  <c r="D6185" i="2"/>
  <c r="G6184" i="2"/>
  <c r="F6184" i="2"/>
  <c r="D6184" i="2"/>
  <c r="H6184" i="2" s="1"/>
  <c r="H6183" i="2"/>
  <c r="G6182" i="2"/>
  <c r="H6182" i="2" s="1"/>
  <c r="F6182" i="2"/>
  <c r="D6182" i="2"/>
  <c r="G6181" i="2"/>
  <c r="F6181" i="2"/>
  <c r="D6181" i="2"/>
  <c r="H6181" i="2" s="1"/>
  <c r="G6180" i="2"/>
  <c r="F6180" i="2"/>
  <c r="H6180" i="2" s="1"/>
  <c r="D6180" i="2"/>
  <c r="G6179" i="2"/>
  <c r="F6179" i="2"/>
  <c r="D6179" i="2"/>
  <c r="H6179" i="2" s="1"/>
  <c r="G6178" i="2"/>
  <c r="F6178" i="2"/>
  <c r="D6178" i="2"/>
  <c r="H6178" i="2" s="1"/>
  <c r="G6177" i="2"/>
  <c r="F6177" i="2"/>
  <c r="H6177" i="2" s="1"/>
  <c r="D6177" i="2"/>
  <c r="G6176" i="2"/>
  <c r="F6176" i="2"/>
  <c r="D6176" i="2"/>
  <c r="H6176" i="2" s="1"/>
  <c r="G6175" i="2"/>
  <c r="F6175" i="2"/>
  <c r="D6175" i="2"/>
  <c r="H6175" i="2" s="1"/>
  <c r="G6174" i="2"/>
  <c r="F6174" i="2"/>
  <c r="H6174" i="2" s="1"/>
  <c r="D6174" i="2"/>
  <c r="G6173" i="2"/>
  <c r="F6173" i="2"/>
  <c r="D6173" i="2"/>
  <c r="H6173" i="2" s="1"/>
  <c r="H6172" i="2"/>
  <c r="G6171" i="2"/>
  <c r="F6171" i="2"/>
  <c r="D6171" i="2"/>
  <c r="H6171" i="2" s="1"/>
  <c r="G6170" i="2"/>
  <c r="H6170" i="2" s="1"/>
  <c r="F6170" i="2"/>
  <c r="D6170" i="2"/>
  <c r="H6169" i="2"/>
  <c r="G6169" i="2"/>
  <c r="F6169" i="2"/>
  <c r="D6169" i="2"/>
  <c r="G6168" i="2"/>
  <c r="F6168" i="2"/>
  <c r="D6168" i="2"/>
  <c r="H6168" i="2" s="1"/>
  <c r="G6167" i="2"/>
  <c r="H6167" i="2" s="1"/>
  <c r="F6167" i="2"/>
  <c r="D6167" i="2"/>
  <c r="H6166" i="2"/>
  <c r="G6166" i="2"/>
  <c r="F6166" i="2"/>
  <c r="D6166" i="2"/>
  <c r="G6165" i="2"/>
  <c r="F6165" i="2"/>
  <c r="D6165" i="2"/>
  <c r="H6165" i="2" s="1"/>
  <c r="G6164" i="2"/>
  <c r="H6164" i="2" s="1"/>
  <c r="F6164" i="2"/>
  <c r="D6164" i="2"/>
  <c r="H6163" i="2"/>
  <c r="G6163" i="2"/>
  <c r="F6163" i="2"/>
  <c r="D6163" i="2"/>
  <c r="G6162" i="2"/>
  <c r="F6162" i="2"/>
  <c r="D6162" i="2"/>
  <c r="H6162" i="2" s="1"/>
  <c r="H6161" i="2"/>
  <c r="H6160" i="2"/>
  <c r="G6160" i="2"/>
  <c r="F6160" i="2"/>
  <c r="D6160" i="2"/>
  <c r="G6159" i="2"/>
  <c r="F6159" i="2"/>
  <c r="D6159" i="2"/>
  <c r="H6159" i="2" s="1"/>
  <c r="G6158" i="2"/>
  <c r="F6158" i="2"/>
  <c r="D6158" i="2"/>
  <c r="H6158" i="2" s="1"/>
  <c r="H6157" i="2"/>
  <c r="G6157" i="2"/>
  <c r="F6157" i="2"/>
  <c r="D6157" i="2"/>
  <c r="G6156" i="2"/>
  <c r="F6156" i="2"/>
  <c r="D6156" i="2"/>
  <c r="H6156" i="2" s="1"/>
  <c r="G6155" i="2"/>
  <c r="F6155" i="2"/>
  <c r="D6155" i="2"/>
  <c r="H6155" i="2" s="1"/>
  <c r="H6154" i="2"/>
  <c r="G6154" i="2"/>
  <c r="F6154" i="2"/>
  <c r="D6154" i="2"/>
  <c r="G6153" i="2"/>
  <c r="F6153" i="2"/>
  <c r="D6153" i="2"/>
  <c r="H6153" i="2" s="1"/>
  <c r="G6152" i="2"/>
  <c r="F6152" i="2"/>
  <c r="D6152" i="2"/>
  <c r="H6152" i="2" s="1"/>
  <c r="H6151" i="2"/>
  <c r="G6151" i="2"/>
  <c r="F6151" i="2"/>
  <c r="D6151" i="2"/>
  <c r="H6150" i="2"/>
  <c r="G6149" i="2"/>
  <c r="F6149" i="2"/>
  <c r="H6149" i="2" s="1"/>
  <c r="D6149" i="2"/>
  <c r="G6148" i="2"/>
  <c r="F6148" i="2"/>
  <c r="D6148" i="2"/>
  <c r="H6148" i="2" s="1"/>
  <c r="G6147" i="2"/>
  <c r="F6147" i="2"/>
  <c r="H6147" i="2" s="1"/>
  <c r="D6147" i="2"/>
  <c r="G6146" i="2"/>
  <c r="F6146" i="2"/>
  <c r="H6146" i="2" s="1"/>
  <c r="D6146" i="2"/>
  <c r="G6145" i="2"/>
  <c r="F6145" i="2"/>
  <c r="D6145" i="2"/>
  <c r="H6145" i="2" s="1"/>
  <c r="G6144" i="2"/>
  <c r="F6144" i="2"/>
  <c r="D6144" i="2"/>
  <c r="H6144" i="2" s="1"/>
  <c r="G6143" i="2"/>
  <c r="F6143" i="2"/>
  <c r="D6143" i="2"/>
  <c r="H6143" i="2" s="1"/>
  <c r="G6142" i="2"/>
  <c r="F6142" i="2"/>
  <c r="D6142" i="2"/>
  <c r="H6142" i="2" s="1"/>
  <c r="G6141" i="2"/>
  <c r="F6141" i="2"/>
  <c r="D6141" i="2"/>
  <c r="H6141" i="2" s="1"/>
  <c r="G6140" i="2"/>
  <c r="F6140" i="2"/>
  <c r="D6140" i="2"/>
  <c r="H6140" i="2" s="1"/>
  <c r="H6139" i="2"/>
  <c r="G6138" i="2"/>
  <c r="F6138" i="2"/>
  <c r="H6138" i="2" s="1"/>
  <c r="D6138" i="2"/>
  <c r="G6137" i="2"/>
  <c r="H6137" i="2" s="1"/>
  <c r="F6137" i="2"/>
  <c r="D6137" i="2"/>
  <c r="G6136" i="2"/>
  <c r="F6136" i="2"/>
  <c r="D6136" i="2"/>
  <c r="H6136" i="2" s="1"/>
  <c r="G6135" i="2"/>
  <c r="F6135" i="2"/>
  <c r="H6135" i="2" s="1"/>
  <c r="D6135" i="2"/>
  <c r="G6134" i="2"/>
  <c r="F6134" i="2"/>
  <c r="D6134" i="2"/>
  <c r="H6134" i="2" s="1"/>
  <c r="G6133" i="2"/>
  <c r="F6133" i="2"/>
  <c r="D6133" i="2"/>
  <c r="H6133" i="2" s="1"/>
  <c r="G6132" i="2"/>
  <c r="F6132" i="2"/>
  <c r="H6132" i="2" s="1"/>
  <c r="D6132" i="2"/>
  <c r="G6131" i="2"/>
  <c r="F6131" i="2"/>
  <c r="D6131" i="2"/>
  <c r="H6131" i="2" s="1"/>
  <c r="G6130" i="2"/>
  <c r="F6130" i="2"/>
  <c r="D6130" i="2"/>
  <c r="H6130" i="2" s="1"/>
  <c r="G6129" i="2"/>
  <c r="F6129" i="2"/>
  <c r="H6129" i="2" s="1"/>
  <c r="D6129" i="2"/>
  <c r="H6128" i="2"/>
  <c r="H6127" i="2"/>
  <c r="G6127" i="2"/>
  <c r="F6127" i="2"/>
  <c r="D6127" i="2"/>
  <c r="G6126" i="2"/>
  <c r="F6126" i="2"/>
  <c r="D6126" i="2"/>
  <c r="H6126" i="2" s="1"/>
  <c r="G6125" i="2"/>
  <c r="H6125" i="2" s="1"/>
  <c r="F6125" i="2"/>
  <c r="D6125" i="2"/>
  <c r="H6124" i="2"/>
  <c r="G6124" i="2"/>
  <c r="F6124" i="2"/>
  <c r="D6124" i="2"/>
  <c r="G6123" i="2"/>
  <c r="F6123" i="2"/>
  <c r="D6123" i="2"/>
  <c r="H6123" i="2" s="1"/>
  <c r="G6122" i="2"/>
  <c r="H6122" i="2" s="1"/>
  <c r="F6122" i="2"/>
  <c r="D6122" i="2"/>
  <c r="H6121" i="2"/>
  <c r="G6121" i="2"/>
  <c r="F6121" i="2"/>
  <c r="D6121" i="2"/>
  <c r="G6120" i="2"/>
  <c r="F6120" i="2"/>
  <c r="D6120" i="2"/>
  <c r="H6120" i="2" s="1"/>
  <c r="G6119" i="2"/>
  <c r="H6119" i="2" s="1"/>
  <c r="F6119" i="2"/>
  <c r="D6119" i="2"/>
  <c r="H6118" i="2"/>
  <c r="G6118" i="2"/>
  <c r="F6118" i="2"/>
  <c r="D6118" i="2"/>
  <c r="H6117" i="2"/>
  <c r="G6116" i="2"/>
  <c r="F6116" i="2"/>
  <c r="D6116" i="2"/>
  <c r="H6116" i="2" s="1"/>
  <c r="H6115" i="2"/>
  <c r="G6115" i="2"/>
  <c r="F6115" i="2"/>
  <c r="D6115" i="2"/>
  <c r="G6114" i="2"/>
  <c r="F6114" i="2"/>
  <c r="D6114" i="2"/>
  <c r="H6114" i="2" s="1"/>
  <c r="G6113" i="2"/>
  <c r="F6113" i="2"/>
  <c r="D6113" i="2"/>
  <c r="H6113" i="2" s="1"/>
  <c r="H6112" i="2"/>
  <c r="G6112" i="2"/>
  <c r="F6112" i="2"/>
  <c r="D6112" i="2"/>
  <c r="G6111" i="2"/>
  <c r="F6111" i="2"/>
  <c r="D6111" i="2"/>
  <c r="H6111" i="2" s="1"/>
  <c r="G6110" i="2"/>
  <c r="F6110" i="2"/>
  <c r="D6110" i="2"/>
  <c r="H6110" i="2" s="1"/>
  <c r="H6109" i="2"/>
  <c r="G6109" i="2"/>
  <c r="F6109" i="2"/>
  <c r="D6109" i="2"/>
  <c r="G6108" i="2"/>
  <c r="F6108" i="2"/>
  <c r="D6108" i="2"/>
  <c r="H6108" i="2" s="1"/>
  <c r="G6107" i="2"/>
  <c r="F6107" i="2"/>
  <c r="D6107" i="2"/>
  <c r="H6107" i="2" s="1"/>
  <c r="H6106" i="2"/>
  <c r="G6105" i="2"/>
  <c r="F6105" i="2"/>
  <c r="H6105" i="2" s="1"/>
  <c r="D6105" i="2"/>
  <c r="G6104" i="2"/>
  <c r="F6104" i="2"/>
  <c r="H6104" i="2" s="1"/>
  <c r="D6104" i="2"/>
  <c r="G6103" i="2"/>
  <c r="F6103" i="2"/>
  <c r="D6103" i="2"/>
  <c r="H6103" i="2" s="1"/>
  <c r="G6102" i="2"/>
  <c r="F6102" i="2"/>
  <c r="D6102" i="2"/>
  <c r="H6102" i="2" s="1"/>
  <c r="G6101" i="2"/>
  <c r="F6101" i="2"/>
  <c r="H6101" i="2" s="1"/>
  <c r="D6101" i="2"/>
  <c r="G6100" i="2"/>
  <c r="F6100" i="2"/>
  <c r="D6100" i="2"/>
  <c r="H6100" i="2" s="1"/>
  <c r="G6099" i="2"/>
  <c r="F6099" i="2"/>
  <c r="D6099" i="2"/>
  <c r="H6099" i="2" s="1"/>
  <c r="G6098" i="2"/>
  <c r="F6098" i="2"/>
  <c r="D6098" i="2"/>
  <c r="H6098" i="2" s="1"/>
  <c r="G6097" i="2"/>
  <c r="F6097" i="2"/>
  <c r="D6097" i="2"/>
  <c r="H6097" i="2" s="1"/>
  <c r="G6096" i="2"/>
  <c r="F6096" i="2"/>
  <c r="D6096" i="2"/>
  <c r="H6096" i="2" s="1"/>
  <c r="H6095" i="2"/>
  <c r="G6094" i="2"/>
  <c r="F6094" i="2"/>
  <c r="D6094" i="2"/>
  <c r="H6094" i="2" s="1"/>
  <c r="G6093" i="2"/>
  <c r="F6093" i="2"/>
  <c r="H6093" i="2" s="1"/>
  <c r="D6093" i="2"/>
  <c r="G6092" i="2"/>
  <c r="H6092" i="2" s="1"/>
  <c r="F6092" i="2"/>
  <c r="D6092" i="2"/>
  <c r="G6091" i="2"/>
  <c r="F6091" i="2"/>
  <c r="D6091" i="2"/>
  <c r="H6091" i="2" s="1"/>
  <c r="G6090" i="2"/>
  <c r="F6090" i="2"/>
  <c r="H6090" i="2" s="1"/>
  <c r="D6090" i="2"/>
  <c r="G6089" i="2"/>
  <c r="F6089" i="2"/>
  <c r="D6089" i="2"/>
  <c r="H6089" i="2" s="1"/>
  <c r="G6088" i="2"/>
  <c r="F6088" i="2"/>
  <c r="D6088" i="2"/>
  <c r="H6088" i="2" s="1"/>
  <c r="G6087" i="2"/>
  <c r="F6087" i="2"/>
  <c r="H6087" i="2" s="1"/>
  <c r="D6087" i="2"/>
  <c r="G6086" i="2"/>
  <c r="F6086" i="2"/>
  <c r="D6086" i="2"/>
  <c r="H6086" i="2" s="1"/>
  <c r="G6085" i="2"/>
  <c r="F6085" i="2"/>
  <c r="D6085" i="2"/>
  <c r="H6085" i="2" s="1"/>
  <c r="H6084" i="2"/>
  <c r="H6083" i="2"/>
  <c r="G6083" i="2"/>
  <c r="F6083" i="2"/>
  <c r="D6083" i="2"/>
  <c r="H6082" i="2"/>
  <c r="G6082" i="2"/>
  <c r="F6082" i="2"/>
  <c r="D6082" i="2"/>
  <c r="G6081" i="2"/>
  <c r="F6081" i="2"/>
  <c r="D6081" i="2"/>
  <c r="H6081" i="2" s="1"/>
  <c r="G6080" i="2"/>
  <c r="H6080" i="2" s="1"/>
  <c r="F6080" i="2"/>
  <c r="D6080" i="2"/>
  <c r="H6079" i="2"/>
  <c r="G6079" i="2"/>
  <c r="F6079" i="2"/>
  <c r="D6079" i="2"/>
  <c r="G6078" i="2"/>
  <c r="F6078" i="2"/>
  <c r="D6078" i="2"/>
  <c r="H6078" i="2" s="1"/>
  <c r="G6077" i="2"/>
  <c r="H6077" i="2" s="1"/>
  <c r="F6077" i="2"/>
  <c r="D6077" i="2"/>
  <c r="H6076" i="2"/>
  <c r="G6076" i="2"/>
  <c r="F6076" i="2"/>
  <c r="D6076" i="2"/>
  <c r="G6075" i="2"/>
  <c r="F6075" i="2"/>
  <c r="D6075" i="2"/>
  <c r="H6075" i="2" s="1"/>
  <c r="G6074" i="2"/>
  <c r="H6074" i="2" s="1"/>
  <c r="F6074" i="2"/>
  <c r="D6074" i="2"/>
  <c r="H6073" i="2"/>
  <c r="G6072" i="2"/>
  <c r="F6072" i="2"/>
  <c r="D6072" i="2"/>
  <c r="H6072" i="2" s="1"/>
  <c r="G6071" i="2"/>
  <c r="F6071" i="2"/>
  <c r="D6071" i="2"/>
  <c r="H6071" i="2" s="1"/>
  <c r="H6070" i="2"/>
  <c r="G6070" i="2"/>
  <c r="F6070" i="2"/>
  <c r="D6070" i="2"/>
  <c r="G6069" i="2"/>
  <c r="F6069" i="2"/>
  <c r="D6069" i="2"/>
  <c r="H6069" i="2" s="1"/>
  <c r="G6068" i="2"/>
  <c r="F6068" i="2"/>
  <c r="D6068" i="2"/>
  <c r="H6068" i="2" s="1"/>
  <c r="H6067" i="2"/>
  <c r="G6067" i="2"/>
  <c r="F6067" i="2"/>
  <c r="D6067" i="2"/>
  <c r="G6066" i="2"/>
  <c r="F6066" i="2"/>
  <c r="D6066" i="2"/>
  <c r="H6066" i="2" s="1"/>
  <c r="G6065" i="2"/>
  <c r="F6065" i="2"/>
  <c r="D6065" i="2"/>
  <c r="H6065" i="2" s="1"/>
  <c r="H6064" i="2"/>
  <c r="G6064" i="2"/>
  <c r="F6064" i="2"/>
  <c r="D6064" i="2"/>
  <c r="G6063" i="2"/>
  <c r="F6063" i="2"/>
  <c r="D6063" i="2"/>
  <c r="H6063" i="2" s="1"/>
  <c r="H6062" i="2"/>
  <c r="G6061" i="2"/>
  <c r="F6061" i="2"/>
  <c r="D6061" i="2"/>
  <c r="H6061" i="2" s="1"/>
  <c r="G6060" i="2"/>
  <c r="F6060" i="2"/>
  <c r="H6060" i="2" s="1"/>
  <c r="D6060" i="2"/>
  <c r="G6059" i="2"/>
  <c r="F6059" i="2"/>
  <c r="H6059" i="2" s="1"/>
  <c r="D6059" i="2"/>
  <c r="G6058" i="2"/>
  <c r="F6058" i="2"/>
  <c r="D6058" i="2"/>
  <c r="H6058" i="2" s="1"/>
  <c r="G6057" i="2"/>
  <c r="F6057" i="2"/>
  <c r="D6057" i="2"/>
  <c r="H6057" i="2" s="1"/>
  <c r="G6056" i="2"/>
  <c r="F6056" i="2"/>
  <c r="H6056" i="2" s="1"/>
  <c r="D6056" i="2"/>
  <c r="G6055" i="2"/>
  <c r="F6055" i="2"/>
  <c r="D6055" i="2"/>
  <c r="H6055" i="2" s="1"/>
  <c r="G6054" i="2"/>
  <c r="F6054" i="2"/>
  <c r="D6054" i="2"/>
  <c r="H6054" i="2" s="1"/>
  <c r="G6053" i="2"/>
  <c r="F6053" i="2"/>
  <c r="D6053" i="2"/>
  <c r="H6053" i="2" s="1"/>
  <c r="G6052" i="2"/>
  <c r="F6052" i="2"/>
  <c r="D6052" i="2"/>
  <c r="H6052" i="2" s="1"/>
  <c r="H6051" i="2"/>
  <c r="G6050" i="2"/>
  <c r="H6050" i="2" s="1"/>
  <c r="F6050" i="2"/>
  <c r="D6050" i="2"/>
  <c r="G6049" i="2"/>
  <c r="F6049" i="2"/>
  <c r="D6049" i="2"/>
  <c r="H6049" i="2" s="1"/>
  <c r="G6048" i="2"/>
  <c r="F6048" i="2"/>
  <c r="H6048" i="2" s="1"/>
  <c r="D6048" i="2"/>
  <c r="G6047" i="2"/>
  <c r="H6047" i="2" s="1"/>
  <c r="F6047" i="2"/>
  <c r="D6047" i="2"/>
  <c r="G6046" i="2"/>
  <c r="F6046" i="2"/>
  <c r="D6046" i="2"/>
  <c r="H6046" i="2" s="1"/>
  <c r="G6045" i="2"/>
  <c r="F6045" i="2"/>
  <c r="H6045" i="2" s="1"/>
  <c r="D6045" i="2"/>
  <c r="G6044" i="2"/>
  <c r="F6044" i="2"/>
  <c r="D6044" i="2"/>
  <c r="H6044" i="2" s="1"/>
  <c r="G6043" i="2"/>
  <c r="F6043" i="2"/>
  <c r="D6043" i="2"/>
  <c r="H6043" i="2" s="1"/>
  <c r="G6042" i="2"/>
  <c r="F6042" i="2"/>
  <c r="H6042" i="2" s="1"/>
  <c r="D6042" i="2"/>
  <c r="G6041" i="2"/>
  <c r="F6041" i="2"/>
  <c r="D6041" i="2"/>
  <c r="H6041" i="2" s="1"/>
  <c r="H6040" i="2"/>
  <c r="G6039" i="2"/>
  <c r="F6039" i="2"/>
  <c r="D6039" i="2"/>
  <c r="H6039" i="2" s="1"/>
  <c r="H6038" i="2"/>
  <c r="G6038" i="2"/>
  <c r="F6038" i="2"/>
  <c r="D6038" i="2"/>
  <c r="H6037" i="2"/>
  <c r="G6037" i="2"/>
  <c r="F6037" i="2"/>
  <c r="D6037" i="2"/>
  <c r="G6036" i="2"/>
  <c r="F6036" i="2"/>
  <c r="D6036" i="2"/>
  <c r="H6036" i="2" s="1"/>
  <c r="H6035" i="2"/>
  <c r="G6035" i="2"/>
  <c r="F6035" i="2"/>
  <c r="D6035" i="2"/>
  <c r="H6034" i="2"/>
  <c r="G6034" i="2"/>
  <c r="F6034" i="2"/>
  <c r="D6034" i="2"/>
  <c r="G6033" i="2"/>
  <c r="F6033" i="2"/>
  <c r="D6033" i="2"/>
  <c r="H6033" i="2" s="1"/>
  <c r="H6032" i="2"/>
  <c r="G6032" i="2"/>
  <c r="F6032" i="2"/>
  <c r="D6032" i="2"/>
  <c r="H6031" i="2"/>
  <c r="G6031" i="2"/>
  <c r="F6031" i="2"/>
  <c r="D6031" i="2"/>
  <c r="G6030" i="2"/>
  <c r="F6030" i="2"/>
  <c r="D6030" i="2"/>
  <c r="H6030" i="2" s="1"/>
  <c r="H6029" i="2"/>
  <c r="H6028" i="2"/>
  <c r="G6028" i="2"/>
  <c r="F6028" i="2"/>
  <c r="D6028" i="2"/>
  <c r="G6027" i="2"/>
  <c r="F6027" i="2"/>
  <c r="D6027" i="2"/>
  <c r="H6027" i="2" s="1"/>
  <c r="G6026" i="2"/>
  <c r="F6026" i="2"/>
  <c r="D6026" i="2"/>
  <c r="H6026" i="2" s="1"/>
  <c r="H6025" i="2"/>
  <c r="G6025" i="2"/>
  <c r="F6025" i="2"/>
  <c r="D6025" i="2"/>
  <c r="G6024" i="2"/>
  <c r="F6024" i="2"/>
  <c r="D6024" i="2"/>
  <c r="H6024" i="2" s="1"/>
  <c r="G6023" i="2"/>
  <c r="F6023" i="2"/>
  <c r="D6023" i="2"/>
  <c r="H6023" i="2" s="1"/>
  <c r="H6022" i="2"/>
  <c r="G6022" i="2"/>
  <c r="F6022" i="2"/>
  <c r="D6022" i="2"/>
  <c r="G6021" i="2"/>
  <c r="F6021" i="2"/>
  <c r="D6021" i="2"/>
  <c r="H6021" i="2" s="1"/>
  <c r="G6020" i="2"/>
  <c r="F6020" i="2"/>
  <c r="D6020" i="2"/>
  <c r="H6020" i="2" s="1"/>
  <c r="H6019" i="2"/>
  <c r="G6019" i="2"/>
  <c r="F6019" i="2"/>
  <c r="D6019" i="2"/>
  <c r="H6018" i="2"/>
  <c r="G6017" i="2"/>
  <c r="F6017" i="2"/>
  <c r="H6017" i="2" s="1"/>
  <c r="D6017" i="2"/>
  <c r="G6016" i="2"/>
  <c r="F6016" i="2"/>
  <c r="D6016" i="2"/>
  <c r="H6016" i="2" s="1"/>
  <c r="G6015" i="2"/>
  <c r="F6015" i="2"/>
  <c r="H6015" i="2" s="1"/>
  <c r="D6015" i="2"/>
  <c r="G6014" i="2"/>
  <c r="F6014" i="2"/>
  <c r="H6014" i="2" s="1"/>
  <c r="D6014" i="2"/>
  <c r="G6013" i="2"/>
  <c r="F6013" i="2"/>
  <c r="D6013" i="2"/>
  <c r="H6013" i="2" s="1"/>
  <c r="G6012" i="2"/>
  <c r="F6012" i="2"/>
  <c r="D6012" i="2"/>
  <c r="H6012" i="2" s="1"/>
  <c r="G6011" i="2"/>
  <c r="F6011" i="2"/>
  <c r="D6011" i="2"/>
  <c r="H6011" i="2" s="1"/>
  <c r="G6010" i="2"/>
  <c r="F6010" i="2"/>
  <c r="D6010" i="2"/>
  <c r="H6010" i="2" s="1"/>
  <c r="G6009" i="2"/>
  <c r="F6009" i="2"/>
  <c r="D6009" i="2"/>
  <c r="H6009" i="2" s="1"/>
  <c r="G6008" i="2"/>
  <c r="F6008" i="2"/>
  <c r="D6008" i="2"/>
  <c r="H6008" i="2" s="1"/>
  <c r="H6007" i="2"/>
  <c r="G6006" i="2"/>
  <c r="H6006" i="2" s="1"/>
  <c r="F6006" i="2"/>
  <c r="D6006" i="2"/>
  <c r="G6005" i="2"/>
  <c r="H6005" i="2" s="1"/>
  <c r="F6005" i="2"/>
  <c r="D6005" i="2"/>
  <c r="G6004" i="2"/>
  <c r="F6004" i="2"/>
  <c r="D6004" i="2"/>
  <c r="H6004" i="2" s="1"/>
  <c r="G6003" i="2"/>
  <c r="H6003" i="2" s="1"/>
  <c r="F6003" i="2"/>
  <c r="D6003" i="2"/>
  <c r="G6002" i="2"/>
  <c r="H6002" i="2" s="1"/>
  <c r="F6002" i="2"/>
  <c r="D6002" i="2"/>
  <c r="G6001" i="2"/>
  <c r="F6001" i="2"/>
  <c r="D6001" i="2"/>
  <c r="H6001" i="2" s="1"/>
  <c r="G6000" i="2"/>
  <c r="F6000" i="2"/>
  <c r="H6000" i="2" s="1"/>
  <c r="D6000" i="2"/>
  <c r="G5999" i="2"/>
  <c r="F5999" i="2"/>
  <c r="D5999" i="2"/>
  <c r="H5999" i="2" s="1"/>
  <c r="G5998" i="2"/>
  <c r="F5998" i="2"/>
  <c r="D5998" i="2"/>
  <c r="H5998" i="2" s="1"/>
  <c r="G5997" i="2"/>
  <c r="F5997" i="2"/>
  <c r="H5997" i="2" s="1"/>
  <c r="D5997" i="2"/>
  <c r="H5996" i="2"/>
  <c r="H5995" i="2"/>
  <c r="G5995" i="2"/>
  <c r="F5995" i="2"/>
  <c r="D5995" i="2"/>
  <c r="G5994" i="2"/>
  <c r="F5994" i="2"/>
  <c r="D5994" i="2"/>
  <c r="H5994" i="2" s="1"/>
  <c r="H5993" i="2"/>
  <c r="G5993" i="2"/>
  <c r="F5993" i="2"/>
  <c r="D5993" i="2"/>
  <c r="H5992" i="2"/>
  <c r="G5992" i="2"/>
  <c r="F5992" i="2"/>
  <c r="D5992" i="2"/>
  <c r="G5991" i="2"/>
  <c r="F5991" i="2"/>
  <c r="D5991" i="2"/>
  <c r="H5991" i="2" s="1"/>
  <c r="H5990" i="2"/>
  <c r="G5990" i="2"/>
  <c r="F5990" i="2"/>
  <c r="D5990" i="2"/>
  <c r="H5989" i="2"/>
  <c r="G5989" i="2"/>
  <c r="F5989" i="2"/>
  <c r="D5989" i="2"/>
  <c r="G5988" i="2"/>
  <c r="F5988" i="2"/>
  <c r="D5988" i="2"/>
  <c r="H5988" i="2" s="1"/>
  <c r="H5987" i="2"/>
  <c r="G5987" i="2"/>
  <c r="F5987" i="2"/>
  <c r="D5987" i="2"/>
  <c r="G5986" i="2"/>
  <c r="F5986" i="2"/>
  <c r="D5986" i="2"/>
  <c r="H5986" i="2" s="1"/>
  <c r="H5985" i="2"/>
  <c r="G5984" i="2"/>
  <c r="F5984" i="2"/>
  <c r="D5984" i="2"/>
  <c r="H5984" i="2" s="1"/>
  <c r="H5983" i="2"/>
  <c r="G5983" i="2"/>
  <c r="F5983" i="2"/>
  <c r="D5983" i="2"/>
  <c r="G5982" i="2"/>
  <c r="F5982" i="2"/>
  <c r="D5982" i="2"/>
  <c r="H5982" i="2" s="1"/>
  <c r="G5981" i="2"/>
  <c r="F5981" i="2"/>
  <c r="D5981" i="2"/>
  <c r="H5981" i="2" s="1"/>
  <c r="H5980" i="2"/>
  <c r="G5980" i="2"/>
  <c r="F5980" i="2"/>
  <c r="D5980" i="2"/>
  <c r="G5979" i="2"/>
  <c r="F5979" i="2"/>
  <c r="D5979" i="2"/>
  <c r="H5979" i="2" s="1"/>
  <c r="G5978" i="2"/>
  <c r="F5978" i="2"/>
  <c r="D5978" i="2"/>
  <c r="H5978" i="2" s="1"/>
  <c r="H5977" i="2"/>
  <c r="G5977" i="2"/>
  <c r="F5977" i="2"/>
  <c r="D5977" i="2"/>
  <c r="G5976" i="2"/>
  <c r="F5976" i="2"/>
  <c r="D5976" i="2"/>
  <c r="H5976" i="2" s="1"/>
  <c r="G5975" i="2"/>
  <c r="F5975" i="2"/>
  <c r="D5975" i="2"/>
  <c r="H5975" i="2" s="1"/>
  <c r="H5974" i="2"/>
  <c r="G5973" i="2"/>
  <c r="F5973" i="2"/>
  <c r="H5973" i="2" s="1"/>
  <c r="D5973" i="2"/>
  <c r="G5972" i="2"/>
  <c r="F5972" i="2"/>
  <c r="H5972" i="2" s="1"/>
  <c r="D5972" i="2"/>
  <c r="G5971" i="2"/>
  <c r="F5971" i="2"/>
  <c r="D5971" i="2"/>
  <c r="H5971" i="2" s="1"/>
  <c r="G5970" i="2"/>
  <c r="F5970" i="2"/>
  <c r="D5970" i="2"/>
  <c r="H5970" i="2" s="1"/>
  <c r="G5969" i="2"/>
  <c r="F5969" i="2"/>
  <c r="H5969" i="2" s="1"/>
  <c r="D5969" i="2"/>
  <c r="G5968" i="2"/>
  <c r="F5968" i="2"/>
  <c r="D5968" i="2"/>
  <c r="H5968" i="2" s="1"/>
  <c r="G5967" i="2"/>
  <c r="F5967" i="2"/>
  <c r="D5967" i="2"/>
  <c r="H5967" i="2" s="1"/>
  <c r="G5966" i="2"/>
  <c r="F5966" i="2"/>
  <c r="D5966" i="2"/>
  <c r="H5966" i="2" s="1"/>
  <c r="G5965" i="2"/>
  <c r="F5965" i="2"/>
  <c r="D5965" i="2"/>
  <c r="H5965" i="2" s="1"/>
  <c r="G5964" i="2"/>
  <c r="F5964" i="2"/>
  <c r="D5964" i="2"/>
  <c r="H5964" i="2" s="1"/>
  <c r="H5963" i="2"/>
  <c r="G5962" i="2"/>
  <c r="F5962" i="2"/>
  <c r="D5962" i="2"/>
  <c r="H5962" i="2" s="1"/>
  <c r="G5961" i="2"/>
  <c r="H5961" i="2" s="1"/>
  <c r="F5961" i="2"/>
  <c r="D5961" i="2"/>
  <c r="G5960" i="2"/>
  <c r="H5960" i="2" s="1"/>
  <c r="F5960" i="2"/>
  <c r="D5960" i="2"/>
  <c r="G5959" i="2"/>
  <c r="F5959" i="2"/>
  <c r="D5959" i="2"/>
  <c r="H5959" i="2" s="1"/>
  <c r="G5958" i="2"/>
  <c r="H5958" i="2" s="1"/>
  <c r="F5958" i="2"/>
  <c r="D5958" i="2"/>
  <c r="G5957" i="2"/>
  <c r="H5957" i="2" s="1"/>
  <c r="F5957" i="2"/>
  <c r="D5957" i="2"/>
  <c r="G5956" i="2"/>
  <c r="F5956" i="2"/>
  <c r="D5956" i="2"/>
  <c r="H5956" i="2" s="1"/>
  <c r="G5955" i="2"/>
  <c r="F5955" i="2"/>
  <c r="H5955" i="2" s="1"/>
  <c r="D5955" i="2"/>
  <c r="G5954" i="2"/>
  <c r="H5954" i="2" s="1"/>
  <c r="F5954" i="2"/>
  <c r="D5954" i="2"/>
  <c r="G5953" i="2"/>
  <c r="F5953" i="2"/>
  <c r="D5953" i="2"/>
  <c r="H5953" i="2" s="1"/>
  <c r="H5952" i="2"/>
  <c r="H5951" i="2"/>
  <c r="G5951" i="2"/>
  <c r="F5951" i="2"/>
  <c r="D5951" i="2"/>
  <c r="H5950" i="2"/>
  <c r="G5950" i="2"/>
  <c r="F5950" i="2"/>
  <c r="D5950" i="2"/>
  <c r="G5949" i="2"/>
  <c r="F5949" i="2"/>
  <c r="D5949" i="2"/>
  <c r="H5949" i="2" s="1"/>
  <c r="H5948" i="2"/>
  <c r="G5948" i="2"/>
  <c r="F5948" i="2"/>
  <c r="D5948" i="2"/>
  <c r="H5947" i="2"/>
  <c r="G5947" i="2"/>
  <c r="F5947" i="2"/>
  <c r="D5947" i="2"/>
  <c r="G5946" i="2"/>
  <c r="F5946" i="2"/>
  <c r="D5946" i="2"/>
  <c r="H5946" i="2" s="1"/>
  <c r="H5945" i="2"/>
  <c r="G5945" i="2"/>
  <c r="F5945" i="2"/>
  <c r="D5945" i="2"/>
  <c r="G5944" i="2"/>
  <c r="F5944" i="2"/>
  <c r="H5944" i="2" s="1"/>
  <c r="D5944" i="2"/>
  <c r="G5943" i="2"/>
  <c r="F5943" i="2"/>
  <c r="D5943" i="2"/>
  <c r="H5943" i="2" s="1"/>
  <c r="H5942" i="2"/>
  <c r="G5942" i="2"/>
  <c r="F5942" i="2"/>
  <c r="D5942" i="2"/>
  <c r="H5941" i="2"/>
  <c r="G5940" i="2"/>
  <c r="F5940" i="2"/>
  <c r="D5940" i="2"/>
  <c r="H5940" i="2" s="1"/>
  <c r="G5939" i="2"/>
  <c r="F5939" i="2"/>
  <c r="D5939" i="2"/>
  <c r="H5939" i="2" s="1"/>
  <c r="G5938" i="2"/>
  <c r="F5938" i="2"/>
  <c r="H5938" i="2" s="1"/>
  <c r="D5938" i="2"/>
  <c r="G5937" i="2"/>
  <c r="F5937" i="2"/>
  <c r="D5937" i="2"/>
  <c r="H5937" i="2" s="1"/>
  <c r="G5936" i="2"/>
  <c r="F5936" i="2"/>
  <c r="D5936" i="2"/>
  <c r="H5936" i="2" s="1"/>
  <c r="G5935" i="2"/>
  <c r="F5935" i="2"/>
  <c r="H5935" i="2" s="1"/>
  <c r="D5935" i="2"/>
  <c r="G5934" i="2"/>
  <c r="F5934" i="2"/>
  <c r="D5934" i="2"/>
  <c r="H5934" i="2" s="1"/>
  <c r="G5933" i="2"/>
  <c r="F5933" i="2"/>
  <c r="D5933" i="2"/>
  <c r="H5933" i="2" s="1"/>
  <c r="G5932" i="2"/>
  <c r="F5932" i="2"/>
  <c r="H5932" i="2" s="1"/>
  <c r="D5932" i="2"/>
  <c r="G5931" i="2"/>
  <c r="F5931" i="2"/>
  <c r="D5931" i="2"/>
  <c r="H5931" i="2" s="1"/>
  <c r="H5930" i="2"/>
  <c r="G5929" i="2"/>
  <c r="F5929" i="2"/>
  <c r="H5929" i="2" s="1"/>
  <c r="D5929" i="2"/>
  <c r="G5928" i="2"/>
  <c r="F5928" i="2"/>
  <c r="H5928" i="2" s="1"/>
  <c r="D5928" i="2"/>
  <c r="G5927" i="2"/>
  <c r="F5927" i="2"/>
  <c r="H5927" i="2" s="1"/>
  <c r="D5927" i="2"/>
  <c r="G5926" i="2"/>
  <c r="F5926" i="2"/>
  <c r="D5926" i="2"/>
  <c r="H5926" i="2" s="1"/>
  <c r="G5925" i="2"/>
  <c r="F5925" i="2"/>
  <c r="D5925" i="2"/>
  <c r="H5925" i="2" s="1"/>
  <c r="G5924" i="2"/>
  <c r="F5924" i="2"/>
  <c r="H5924" i="2" s="1"/>
  <c r="D5924" i="2"/>
  <c r="G5923" i="2"/>
  <c r="F5923" i="2"/>
  <c r="D5923" i="2"/>
  <c r="H5923" i="2" s="1"/>
  <c r="G5922" i="2"/>
  <c r="F5922" i="2"/>
  <c r="D5922" i="2"/>
  <c r="H5922" i="2" s="1"/>
  <c r="G5921" i="2"/>
  <c r="F5921" i="2"/>
  <c r="H5921" i="2" s="1"/>
  <c r="D5921" i="2"/>
  <c r="G5920" i="2"/>
  <c r="F5920" i="2"/>
  <c r="D5920" i="2"/>
  <c r="H5920" i="2" s="1"/>
  <c r="H5919" i="2"/>
  <c r="H5918" i="2"/>
  <c r="G5918" i="2"/>
  <c r="F5918" i="2"/>
  <c r="D5918" i="2"/>
  <c r="G5917" i="2"/>
  <c r="F5917" i="2"/>
  <c r="D5917" i="2"/>
  <c r="H5917" i="2" s="1"/>
  <c r="G5916" i="2"/>
  <c r="F5916" i="2"/>
  <c r="H5916" i="2" s="1"/>
  <c r="D5916" i="2"/>
  <c r="H5915" i="2"/>
  <c r="G5915" i="2"/>
  <c r="F5915" i="2"/>
  <c r="D5915" i="2"/>
  <c r="G5914" i="2"/>
  <c r="F5914" i="2"/>
  <c r="D5914" i="2"/>
  <c r="H5914" i="2" s="1"/>
  <c r="G5913" i="2"/>
  <c r="F5913" i="2"/>
  <c r="H5913" i="2" s="1"/>
  <c r="D5913" i="2"/>
  <c r="G5912" i="2"/>
  <c r="H5912" i="2" s="1"/>
  <c r="F5912" i="2"/>
  <c r="D5912" i="2"/>
  <c r="G5911" i="2"/>
  <c r="F5911" i="2"/>
  <c r="D5911" i="2"/>
  <c r="H5911" i="2" s="1"/>
  <c r="G5910" i="2"/>
  <c r="F5910" i="2"/>
  <c r="H5910" i="2" s="1"/>
  <c r="D5910" i="2"/>
  <c r="G5909" i="2"/>
  <c r="F5909" i="2"/>
  <c r="D5909" i="2"/>
  <c r="H5909" i="2" s="1"/>
  <c r="H5908" i="2"/>
  <c r="G5907" i="2"/>
  <c r="F5907" i="2"/>
  <c r="D5907" i="2"/>
  <c r="H5907" i="2" s="1"/>
  <c r="H5906" i="2"/>
  <c r="G5906" i="2"/>
  <c r="F5906" i="2"/>
  <c r="D5906" i="2"/>
  <c r="H5905" i="2"/>
  <c r="G5905" i="2"/>
  <c r="F5905" i="2"/>
  <c r="D5905" i="2"/>
  <c r="G5904" i="2"/>
  <c r="F5904" i="2"/>
  <c r="D5904" i="2"/>
  <c r="H5904" i="2" s="1"/>
  <c r="H5903" i="2"/>
  <c r="G5903" i="2"/>
  <c r="F5903" i="2"/>
  <c r="D5903" i="2"/>
  <c r="G5902" i="2"/>
  <c r="F5902" i="2"/>
  <c r="H5902" i="2" s="1"/>
  <c r="D5902" i="2"/>
  <c r="G5901" i="2"/>
  <c r="F5901" i="2"/>
  <c r="D5901" i="2"/>
  <c r="H5901" i="2" s="1"/>
  <c r="H5900" i="2"/>
  <c r="G5900" i="2"/>
  <c r="F5900" i="2"/>
  <c r="D5900" i="2"/>
  <c r="G5899" i="2"/>
  <c r="F5899" i="2"/>
  <c r="H5899" i="2" s="1"/>
  <c r="D5899" i="2"/>
  <c r="G5898" i="2"/>
  <c r="F5898" i="2"/>
  <c r="D5898" i="2"/>
  <c r="H5898" i="2" s="1"/>
  <c r="H5897" i="2"/>
  <c r="H5896" i="2"/>
  <c r="G5896" i="2"/>
  <c r="F5896" i="2"/>
  <c r="D5896" i="2"/>
  <c r="G5895" i="2"/>
  <c r="F5895" i="2"/>
  <c r="D5895" i="2"/>
  <c r="H5895" i="2" s="1"/>
  <c r="G5894" i="2"/>
  <c r="F5894" i="2"/>
  <c r="D5894" i="2"/>
  <c r="H5894" i="2" s="1"/>
  <c r="H5893" i="2"/>
  <c r="G5893" i="2"/>
  <c r="F5893" i="2"/>
  <c r="D5893" i="2"/>
  <c r="G5892" i="2"/>
  <c r="F5892" i="2"/>
  <c r="D5892" i="2"/>
  <c r="H5892" i="2" s="1"/>
  <c r="G5891" i="2"/>
  <c r="F5891" i="2"/>
  <c r="D5891" i="2"/>
  <c r="H5891" i="2" s="1"/>
  <c r="G5890" i="2"/>
  <c r="F5890" i="2"/>
  <c r="H5890" i="2" s="1"/>
  <c r="D5890" i="2"/>
  <c r="G5889" i="2"/>
  <c r="F5889" i="2"/>
  <c r="D5889" i="2"/>
  <c r="H5889" i="2" s="1"/>
  <c r="G5888" i="2"/>
  <c r="F5888" i="2"/>
  <c r="D5888" i="2"/>
  <c r="H5888" i="2" s="1"/>
  <c r="G5887" i="2"/>
  <c r="F5887" i="2"/>
  <c r="D5887" i="2"/>
  <c r="H5887" i="2" s="1"/>
  <c r="H5886" i="2"/>
  <c r="G5885" i="2"/>
  <c r="F5885" i="2"/>
  <c r="H5885" i="2" s="1"/>
  <c r="D5885" i="2"/>
  <c r="G5884" i="2"/>
  <c r="F5884" i="2"/>
  <c r="D5884" i="2"/>
  <c r="H5884" i="2" s="1"/>
  <c r="G5883" i="2"/>
  <c r="F5883" i="2"/>
  <c r="H5883" i="2" s="1"/>
  <c r="D5883" i="2"/>
  <c r="G5882" i="2"/>
  <c r="F5882" i="2"/>
  <c r="H5882" i="2" s="1"/>
  <c r="D5882" i="2"/>
  <c r="G5881" i="2"/>
  <c r="F5881" i="2"/>
  <c r="D5881" i="2"/>
  <c r="H5881" i="2" s="1"/>
  <c r="G5880" i="2"/>
  <c r="F5880" i="2"/>
  <c r="D5880" i="2"/>
  <c r="H5880" i="2" s="1"/>
  <c r="G5879" i="2"/>
  <c r="F5879" i="2"/>
  <c r="H5879" i="2" s="1"/>
  <c r="D5879" i="2"/>
  <c r="G5878" i="2"/>
  <c r="F5878" i="2"/>
  <c r="D5878" i="2"/>
  <c r="H5878" i="2" s="1"/>
  <c r="G5877" i="2"/>
  <c r="F5877" i="2"/>
  <c r="D5877" i="2"/>
  <c r="H5877" i="2" s="1"/>
  <c r="G5876" i="2"/>
  <c r="F5876" i="2"/>
  <c r="D5876" i="2"/>
  <c r="H5876" i="2" s="1"/>
  <c r="H5875" i="2"/>
  <c r="G5874" i="2"/>
  <c r="H5874" i="2" s="1"/>
  <c r="F5874" i="2"/>
  <c r="D5874" i="2"/>
  <c r="G5873" i="2"/>
  <c r="H5873" i="2" s="1"/>
  <c r="F5873" i="2"/>
  <c r="D5873" i="2"/>
  <c r="G5872" i="2"/>
  <c r="F5872" i="2"/>
  <c r="D5872" i="2"/>
  <c r="H5872" i="2" s="1"/>
  <c r="G5871" i="2"/>
  <c r="H5871" i="2" s="1"/>
  <c r="F5871" i="2"/>
  <c r="D5871" i="2"/>
  <c r="G5870" i="2"/>
  <c r="H5870" i="2" s="1"/>
  <c r="F5870" i="2"/>
  <c r="D5870" i="2"/>
  <c r="G5869" i="2"/>
  <c r="F5869" i="2"/>
  <c r="D5869" i="2"/>
  <c r="H5869" i="2" s="1"/>
  <c r="G5868" i="2"/>
  <c r="F5868" i="2"/>
  <c r="H5868" i="2" s="1"/>
  <c r="D5868" i="2"/>
  <c r="G5867" i="2"/>
  <c r="H5867" i="2" s="1"/>
  <c r="F5867" i="2"/>
  <c r="D5867" i="2"/>
  <c r="G5866" i="2"/>
  <c r="F5866" i="2"/>
  <c r="D5866" i="2"/>
  <c r="H5866" i="2" s="1"/>
  <c r="G5865" i="2"/>
  <c r="F5865" i="2"/>
  <c r="H5865" i="2" s="1"/>
  <c r="D5865" i="2"/>
  <c r="H5864" i="2"/>
  <c r="H5863" i="2"/>
  <c r="G5863" i="2"/>
  <c r="F5863" i="2"/>
  <c r="D5863" i="2"/>
  <c r="G5862" i="2"/>
  <c r="F5862" i="2"/>
  <c r="D5862" i="2"/>
  <c r="H5862" i="2" s="1"/>
  <c r="H5861" i="2"/>
  <c r="G5861" i="2"/>
  <c r="F5861" i="2"/>
  <c r="D5861" i="2"/>
  <c r="H5860" i="2"/>
  <c r="G5860" i="2"/>
  <c r="F5860" i="2"/>
  <c r="D5860" i="2"/>
  <c r="G5859" i="2"/>
  <c r="F5859" i="2"/>
  <c r="D5859" i="2"/>
  <c r="H5859" i="2" s="1"/>
  <c r="H5858" i="2"/>
  <c r="G5858" i="2"/>
  <c r="F5858" i="2"/>
  <c r="D5858" i="2"/>
  <c r="H5857" i="2"/>
  <c r="G5857" i="2"/>
  <c r="F5857" i="2"/>
  <c r="D5857" i="2"/>
  <c r="G5856" i="2"/>
  <c r="F5856" i="2"/>
  <c r="D5856" i="2"/>
  <c r="H5856" i="2" s="1"/>
  <c r="H5855" i="2"/>
  <c r="G5855" i="2"/>
  <c r="F5855" i="2"/>
  <c r="D5855" i="2"/>
  <c r="G5854" i="2"/>
  <c r="F5854" i="2"/>
  <c r="D5854" i="2"/>
  <c r="H5854" i="2" s="1"/>
  <c r="H5853" i="2"/>
  <c r="G5852" i="2"/>
  <c r="F5852" i="2"/>
  <c r="D5852" i="2"/>
  <c r="H5852" i="2" s="1"/>
  <c r="H5851" i="2"/>
  <c r="G5851" i="2"/>
  <c r="F5851" i="2"/>
  <c r="D5851" i="2"/>
  <c r="G5850" i="2"/>
  <c r="F5850" i="2"/>
  <c r="D5850" i="2"/>
  <c r="H5850" i="2" s="1"/>
  <c r="G5849" i="2"/>
  <c r="F5849" i="2"/>
  <c r="D5849" i="2"/>
  <c r="H5849" i="2" s="1"/>
  <c r="H5848" i="2"/>
  <c r="G5848" i="2"/>
  <c r="F5848" i="2"/>
  <c r="D5848" i="2"/>
  <c r="G5847" i="2"/>
  <c r="F5847" i="2"/>
  <c r="D5847" i="2"/>
  <c r="H5847" i="2" s="1"/>
  <c r="G5846" i="2"/>
  <c r="F5846" i="2"/>
  <c r="D5846" i="2"/>
  <c r="H5846" i="2" s="1"/>
  <c r="G5845" i="2"/>
  <c r="F5845" i="2"/>
  <c r="H5845" i="2" s="1"/>
  <c r="D5845" i="2"/>
  <c r="G5844" i="2"/>
  <c r="F5844" i="2"/>
  <c r="D5844" i="2"/>
  <c r="H5844" i="2" s="1"/>
  <c r="G5843" i="2"/>
  <c r="F5843" i="2"/>
  <c r="D5843" i="2"/>
  <c r="H5843" i="2" s="1"/>
  <c r="H5842" i="2"/>
  <c r="G5841" i="2"/>
  <c r="F5841" i="2"/>
  <c r="H5841" i="2" s="1"/>
  <c r="D5841" i="2"/>
  <c r="G5840" i="2"/>
  <c r="F5840" i="2"/>
  <c r="H5840" i="2" s="1"/>
  <c r="D5840" i="2"/>
  <c r="G5839" i="2"/>
  <c r="F5839" i="2"/>
  <c r="D5839" i="2"/>
  <c r="H5839" i="2" s="1"/>
  <c r="G5838" i="2"/>
  <c r="F5838" i="2"/>
  <c r="D5838" i="2"/>
  <c r="H5838" i="2" s="1"/>
  <c r="G5837" i="2"/>
  <c r="F5837" i="2"/>
  <c r="H5837" i="2" s="1"/>
  <c r="D5837" i="2"/>
  <c r="G5836" i="2"/>
  <c r="F5836" i="2"/>
  <c r="D5836" i="2"/>
  <c r="H5836" i="2" s="1"/>
  <c r="G5835" i="2"/>
  <c r="F5835" i="2"/>
  <c r="D5835" i="2"/>
  <c r="H5835" i="2" s="1"/>
  <c r="G5834" i="2"/>
  <c r="F5834" i="2"/>
  <c r="D5834" i="2"/>
  <c r="H5834" i="2" s="1"/>
  <c r="G5833" i="2"/>
  <c r="F5833" i="2"/>
  <c r="D5833" i="2"/>
  <c r="H5833" i="2" s="1"/>
  <c r="G5832" i="2"/>
  <c r="F5832" i="2"/>
  <c r="D5832" i="2"/>
  <c r="H5832" i="2" s="1"/>
  <c r="H5831" i="2"/>
  <c r="G5830" i="2"/>
  <c r="F5830" i="2"/>
  <c r="D5830" i="2"/>
  <c r="H5830" i="2" s="1"/>
  <c r="G5829" i="2"/>
  <c r="H5829" i="2" s="1"/>
  <c r="F5829" i="2"/>
  <c r="D5829" i="2"/>
  <c r="G5828" i="2"/>
  <c r="H5828" i="2" s="1"/>
  <c r="F5828" i="2"/>
  <c r="D5828" i="2"/>
  <c r="G5827" i="2"/>
  <c r="F5827" i="2"/>
  <c r="D5827" i="2"/>
  <c r="H5827" i="2" s="1"/>
  <c r="G5826" i="2"/>
  <c r="H5826" i="2" s="1"/>
  <c r="F5826" i="2"/>
  <c r="D5826" i="2"/>
  <c r="G5825" i="2"/>
  <c r="H5825" i="2" s="1"/>
  <c r="F5825" i="2"/>
  <c r="D5825" i="2"/>
  <c r="G5824" i="2"/>
  <c r="F5824" i="2"/>
  <c r="D5824" i="2"/>
  <c r="H5824" i="2" s="1"/>
  <c r="G5823" i="2"/>
  <c r="F5823" i="2"/>
  <c r="H5823" i="2" s="1"/>
  <c r="D5823" i="2"/>
  <c r="G5822" i="2"/>
  <c r="H5822" i="2" s="1"/>
  <c r="F5822" i="2"/>
  <c r="D5822" i="2"/>
  <c r="G5821" i="2"/>
  <c r="F5821" i="2"/>
  <c r="D5821" i="2"/>
  <c r="H5821" i="2" s="1"/>
  <c r="H5820" i="2"/>
  <c r="H5819" i="2"/>
  <c r="G5819" i="2"/>
  <c r="F5819" i="2"/>
  <c r="D5819" i="2"/>
  <c r="H5818" i="2"/>
  <c r="G5818" i="2"/>
  <c r="F5818" i="2"/>
  <c r="D5818" i="2"/>
  <c r="G5817" i="2"/>
  <c r="F5817" i="2"/>
  <c r="D5817" i="2"/>
  <c r="H5817" i="2" s="1"/>
  <c r="H5816" i="2"/>
  <c r="G5816" i="2"/>
  <c r="F5816" i="2"/>
  <c r="D5816" i="2"/>
  <c r="H5815" i="2"/>
  <c r="G5815" i="2"/>
  <c r="F5815" i="2"/>
  <c r="D5815" i="2"/>
  <c r="G5814" i="2"/>
  <c r="F5814" i="2"/>
  <c r="D5814" i="2"/>
  <c r="H5814" i="2" s="1"/>
  <c r="H5813" i="2"/>
  <c r="G5813" i="2"/>
  <c r="F5813" i="2"/>
  <c r="D5813" i="2"/>
  <c r="G5812" i="2"/>
  <c r="F5812" i="2"/>
  <c r="D5812" i="2"/>
  <c r="H5812" i="2" s="1"/>
  <c r="G5811" i="2"/>
  <c r="F5811" i="2"/>
  <c r="D5811" i="2"/>
  <c r="H5811" i="2" s="1"/>
  <c r="H5810" i="2"/>
  <c r="G5810" i="2"/>
  <c r="F5810" i="2"/>
  <c r="D5810" i="2"/>
  <c r="H5809" i="2"/>
  <c r="G5808" i="2"/>
  <c r="F5808" i="2"/>
  <c r="D5808" i="2"/>
  <c r="H5808" i="2" s="1"/>
  <c r="G5807" i="2"/>
  <c r="F5807" i="2"/>
  <c r="D5807" i="2"/>
  <c r="H5807" i="2" s="1"/>
  <c r="G5806" i="2"/>
  <c r="F5806" i="2"/>
  <c r="H5806" i="2" s="1"/>
  <c r="D5806" i="2"/>
  <c r="G5805" i="2"/>
  <c r="F5805" i="2"/>
  <c r="D5805" i="2"/>
  <c r="H5805" i="2" s="1"/>
  <c r="G5804" i="2"/>
  <c r="F5804" i="2"/>
  <c r="D5804" i="2"/>
  <c r="H5804" i="2" s="1"/>
  <c r="G5803" i="2"/>
  <c r="F5803" i="2"/>
  <c r="H5803" i="2" s="1"/>
  <c r="D5803" i="2"/>
  <c r="G5802" i="2"/>
  <c r="F5802" i="2"/>
  <c r="D5802" i="2"/>
  <c r="H5802" i="2" s="1"/>
  <c r="G5801" i="2"/>
  <c r="F5801" i="2"/>
  <c r="D5801" i="2"/>
  <c r="H5801" i="2" s="1"/>
  <c r="G5800" i="2"/>
  <c r="F5800" i="2"/>
  <c r="H5800" i="2" s="1"/>
  <c r="D5800" i="2"/>
  <c r="G5799" i="2"/>
  <c r="F5799" i="2"/>
  <c r="D5799" i="2"/>
  <c r="H5799" i="2" s="1"/>
  <c r="H5798" i="2"/>
  <c r="G5797" i="2"/>
  <c r="F5797" i="2"/>
  <c r="H5797" i="2" s="1"/>
  <c r="D5797" i="2"/>
  <c r="G5796" i="2"/>
  <c r="F5796" i="2"/>
  <c r="H5796" i="2" s="1"/>
  <c r="D5796" i="2"/>
  <c r="G5795" i="2"/>
  <c r="F5795" i="2"/>
  <c r="H5795" i="2" s="1"/>
  <c r="D5795" i="2"/>
  <c r="G5794" i="2"/>
  <c r="F5794" i="2"/>
  <c r="H5794" i="2" s="1"/>
  <c r="D5794" i="2"/>
  <c r="G5793" i="2"/>
  <c r="F5793" i="2"/>
  <c r="D5793" i="2"/>
  <c r="H5793" i="2" s="1"/>
  <c r="G5792" i="2"/>
  <c r="F5792" i="2"/>
  <c r="H5792" i="2" s="1"/>
  <c r="D5792" i="2"/>
  <c r="G5791" i="2"/>
  <c r="F5791" i="2"/>
  <c r="D5791" i="2"/>
  <c r="H5791" i="2" s="1"/>
  <c r="G5790" i="2"/>
  <c r="F5790" i="2"/>
  <c r="D5790" i="2"/>
  <c r="H5790" i="2" s="1"/>
  <c r="G5789" i="2"/>
  <c r="F5789" i="2"/>
  <c r="D5789" i="2"/>
  <c r="H5789" i="2" s="1"/>
  <c r="G5788" i="2"/>
  <c r="F5788" i="2"/>
  <c r="D5788" i="2"/>
  <c r="H5788" i="2" s="1"/>
  <c r="H5787" i="2"/>
  <c r="H5786" i="2"/>
  <c r="G5786" i="2"/>
  <c r="F5786" i="2"/>
  <c r="D5786" i="2"/>
  <c r="G5785" i="2"/>
  <c r="F5785" i="2"/>
  <c r="D5785" i="2"/>
  <c r="H5785" i="2" s="1"/>
  <c r="G5784" i="2"/>
  <c r="F5784" i="2"/>
  <c r="H5784" i="2" s="1"/>
  <c r="D5784" i="2"/>
  <c r="H5783" i="2"/>
  <c r="G5783" i="2"/>
  <c r="F5783" i="2"/>
  <c r="D5783" i="2"/>
  <c r="G5782" i="2"/>
  <c r="F5782" i="2"/>
  <c r="D5782" i="2"/>
  <c r="H5782" i="2" s="1"/>
  <c r="G5781" i="2"/>
  <c r="F5781" i="2"/>
  <c r="H5781" i="2" s="1"/>
  <c r="D5781" i="2"/>
  <c r="G5780" i="2"/>
  <c r="H5780" i="2" s="1"/>
  <c r="F5780" i="2"/>
  <c r="D5780" i="2"/>
  <c r="G5779" i="2"/>
  <c r="F5779" i="2"/>
  <c r="D5779" i="2"/>
  <c r="H5779" i="2" s="1"/>
  <c r="G5778" i="2"/>
  <c r="F5778" i="2"/>
  <c r="H5778" i="2" s="1"/>
  <c r="D5778" i="2"/>
  <c r="G5777" i="2"/>
  <c r="F5777" i="2"/>
  <c r="D5777" i="2"/>
  <c r="H5777" i="2" s="1"/>
  <c r="H5776" i="2"/>
  <c r="G5775" i="2"/>
  <c r="F5775" i="2"/>
  <c r="D5775" i="2"/>
  <c r="H5775" i="2" s="1"/>
  <c r="H5774" i="2"/>
  <c r="G5774" i="2"/>
  <c r="F5774" i="2"/>
  <c r="D5774" i="2"/>
  <c r="G5773" i="2"/>
  <c r="F5773" i="2"/>
  <c r="H5773" i="2" s="1"/>
  <c r="D5773" i="2"/>
  <c r="G5772" i="2"/>
  <c r="F5772" i="2"/>
  <c r="D5772" i="2"/>
  <c r="H5772" i="2" s="1"/>
  <c r="H5771" i="2"/>
  <c r="G5771" i="2"/>
  <c r="F5771" i="2"/>
  <c r="D5771" i="2"/>
  <c r="G5770" i="2"/>
  <c r="F5770" i="2"/>
  <c r="H5770" i="2" s="1"/>
  <c r="D5770" i="2"/>
  <c r="G5769" i="2"/>
  <c r="F5769" i="2"/>
  <c r="D5769" i="2"/>
  <c r="H5769" i="2" s="1"/>
  <c r="H5768" i="2"/>
  <c r="G5768" i="2"/>
  <c r="F5768" i="2"/>
  <c r="D5768" i="2"/>
  <c r="G5767" i="2"/>
  <c r="F5767" i="2"/>
  <c r="H5767" i="2" s="1"/>
  <c r="D5767" i="2"/>
  <c r="G5766" i="2"/>
  <c r="F5766" i="2"/>
  <c r="D5766" i="2"/>
  <c r="H5766" i="2" s="1"/>
  <c r="H5765" i="2"/>
  <c r="H5764" i="2"/>
  <c r="G5764" i="2"/>
  <c r="F5764" i="2"/>
  <c r="D5764" i="2"/>
  <c r="G5763" i="2"/>
  <c r="F5763" i="2"/>
  <c r="D5763" i="2"/>
  <c r="H5763" i="2" s="1"/>
  <c r="G5762" i="2"/>
  <c r="F5762" i="2"/>
  <c r="D5762" i="2"/>
  <c r="H5762" i="2" s="1"/>
  <c r="H5761" i="2"/>
  <c r="G5761" i="2"/>
  <c r="F5761" i="2"/>
  <c r="D5761" i="2"/>
  <c r="G5760" i="2"/>
  <c r="F5760" i="2"/>
  <c r="D5760" i="2"/>
  <c r="H5760" i="2" s="1"/>
  <c r="G5759" i="2"/>
  <c r="F5759" i="2"/>
  <c r="D5759" i="2"/>
  <c r="H5759" i="2" s="1"/>
  <c r="G5758" i="2"/>
  <c r="F5758" i="2"/>
  <c r="H5758" i="2" s="1"/>
  <c r="D5758" i="2"/>
  <c r="G5757" i="2"/>
  <c r="F5757" i="2"/>
  <c r="D5757" i="2"/>
  <c r="H5757" i="2" s="1"/>
  <c r="G5756" i="2"/>
  <c r="F5756" i="2"/>
  <c r="D5756" i="2"/>
  <c r="H5756" i="2" s="1"/>
  <c r="G5755" i="2"/>
  <c r="F5755" i="2"/>
  <c r="D5755" i="2"/>
  <c r="H5755" i="2" s="1"/>
  <c r="H5754" i="2"/>
  <c r="G5753" i="2"/>
  <c r="F5753" i="2"/>
  <c r="H5753" i="2" s="1"/>
  <c r="D5753" i="2"/>
  <c r="G5752" i="2"/>
  <c r="F5752" i="2"/>
  <c r="H5752" i="2" s="1"/>
  <c r="D5752" i="2"/>
  <c r="G5751" i="2"/>
  <c r="F5751" i="2"/>
  <c r="H5751" i="2" s="1"/>
  <c r="D5751" i="2"/>
  <c r="G5750" i="2"/>
  <c r="F5750" i="2"/>
  <c r="H5750" i="2" s="1"/>
  <c r="D5750" i="2"/>
  <c r="G5749" i="2"/>
  <c r="F5749" i="2"/>
  <c r="H5749" i="2" s="1"/>
  <c r="D5749" i="2"/>
  <c r="G5748" i="2"/>
  <c r="F5748" i="2"/>
  <c r="D5748" i="2"/>
  <c r="H5748" i="2" s="1"/>
  <c r="G5747" i="2"/>
  <c r="F5747" i="2"/>
  <c r="D5747" i="2"/>
  <c r="H5747" i="2" s="1"/>
  <c r="G5746" i="2"/>
  <c r="F5746" i="2"/>
  <c r="D5746" i="2"/>
  <c r="H5746" i="2" s="1"/>
  <c r="G5745" i="2"/>
  <c r="F5745" i="2"/>
  <c r="D5745" i="2"/>
  <c r="H5745" i="2" s="1"/>
  <c r="G5744" i="2"/>
  <c r="F5744" i="2"/>
  <c r="D5744" i="2"/>
  <c r="H5744" i="2" s="1"/>
  <c r="H5743" i="2"/>
  <c r="G5742" i="2"/>
  <c r="H5742" i="2" s="1"/>
  <c r="F5742" i="2"/>
  <c r="D5742" i="2"/>
  <c r="G5741" i="2"/>
  <c r="H5741" i="2" s="1"/>
  <c r="F5741" i="2"/>
  <c r="D5741" i="2"/>
  <c r="G5740" i="2"/>
  <c r="F5740" i="2"/>
  <c r="D5740" i="2"/>
  <c r="H5740" i="2" s="1"/>
  <c r="G5739" i="2"/>
  <c r="H5739" i="2" s="1"/>
  <c r="F5739" i="2"/>
  <c r="D5739" i="2"/>
  <c r="G5738" i="2"/>
  <c r="H5738" i="2" s="1"/>
  <c r="F5738" i="2"/>
  <c r="D5738" i="2"/>
  <c r="G5737" i="2"/>
  <c r="F5737" i="2"/>
  <c r="D5737" i="2"/>
  <c r="H5737" i="2" s="1"/>
  <c r="G5736" i="2"/>
  <c r="F5736" i="2"/>
  <c r="H5736" i="2" s="1"/>
  <c r="D5736" i="2"/>
  <c r="G5735" i="2"/>
  <c r="H5735" i="2" s="1"/>
  <c r="F5735" i="2"/>
  <c r="D5735" i="2"/>
  <c r="G5734" i="2"/>
  <c r="F5734" i="2"/>
  <c r="D5734" i="2"/>
  <c r="H5734" i="2" s="1"/>
  <c r="G5733" i="2"/>
  <c r="F5733" i="2"/>
  <c r="H5733" i="2" s="1"/>
  <c r="D5733" i="2"/>
  <c r="H5732" i="2"/>
  <c r="H5731" i="2"/>
  <c r="G5731" i="2"/>
  <c r="F5731" i="2"/>
  <c r="D5731" i="2"/>
  <c r="G5730" i="2"/>
  <c r="F5730" i="2"/>
  <c r="D5730" i="2"/>
  <c r="H5730" i="2" s="1"/>
  <c r="H5729" i="2"/>
  <c r="G5729" i="2"/>
  <c r="F5729" i="2"/>
  <c r="D5729" i="2"/>
  <c r="H5728" i="2"/>
  <c r="G5728" i="2"/>
  <c r="F5728" i="2"/>
  <c r="D5728" i="2"/>
  <c r="G5727" i="2"/>
  <c r="F5727" i="2"/>
  <c r="D5727" i="2"/>
  <c r="H5727" i="2" s="1"/>
  <c r="H5726" i="2"/>
  <c r="G5726" i="2"/>
  <c r="F5726" i="2"/>
  <c r="D5726" i="2"/>
  <c r="G5725" i="2"/>
  <c r="F5725" i="2"/>
  <c r="H5725" i="2" s="1"/>
  <c r="D5725" i="2"/>
  <c r="G5724" i="2"/>
  <c r="F5724" i="2"/>
  <c r="D5724" i="2"/>
  <c r="H5724" i="2" s="1"/>
  <c r="H5723" i="2"/>
  <c r="G5723" i="2"/>
  <c r="F5723" i="2"/>
  <c r="D5723" i="2"/>
  <c r="G5722" i="2"/>
  <c r="F5722" i="2"/>
  <c r="D5722" i="2"/>
  <c r="H5722" i="2" s="1"/>
  <c r="H5721" i="2"/>
  <c r="G5720" i="2"/>
  <c r="F5720" i="2"/>
  <c r="D5720" i="2"/>
  <c r="H5720" i="2" s="1"/>
  <c r="H5719" i="2"/>
  <c r="G5719" i="2"/>
  <c r="F5719" i="2"/>
  <c r="D5719" i="2"/>
  <c r="G5718" i="2"/>
  <c r="F5718" i="2"/>
  <c r="D5718" i="2"/>
  <c r="H5718" i="2" s="1"/>
  <c r="G5717" i="2"/>
  <c r="F5717" i="2"/>
  <c r="D5717" i="2"/>
  <c r="H5717" i="2" s="1"/>
  <c r="H5716" i="2"/>
  <c r="G5716" i="2"/>
  <c r="F5716" i="2"/>
  <c r="D5716" i="2"/>
  <c r="G5715" i="2"/>
  <c r="F5715" i="2"/>
  <c r="D5715" i="2"/>
  <c r="H5715" i="2" s="1"/>
  <c r="G5714" i="2"/>
  <c r="F5714" i="2"/>
  <c r="D5714" i="2"/>
  <c r="H5714" i="2" s="1"/>
  <c r="G5713" i="2"/>
  <c r="F5713" i="2"/>
  <c r="D5713" i="2"/>
  <c r="H5713" i="2" s="1"/>
  <c r="G5712" i="2"/>
  <c r="F5712" i="2"/>
  <c r="D5712" i="2"/>
  <c r="H5712" i="2" s="1"/>
  <c r="G5711" i="2"/>
  <c r="F5711" i="2"/>
  <c r="D5711" i="2"/>
  <c r="H5711" i="2" s="1"/>
  <c r="H5710" i="2"/>
  <c r="G5709" i="2"/>
  <c r="F5709" i="2"/>
  <c r="H5709" i="2" s="1"/>
  <c r="D5709" i="2"/>
  <c r="G5708" i="2"/>
  <c r="F5708" i="2"/>
  <c r="H5708" i="2" s="1"/>
  <c r="D5708" i="2"/>
  <c r="G5707" i="2"/>
  <c r="F5707" i="2"/>
  <c r="H5707" i="2" s="1"/>
  <c r="D5707" i="2"/>
  <c r="G5706" i="2"/>
  <c r="F5706" i="2"/>
  <c r="D5706" i="2"/>
  <c r="H5706" i="2" s="1"/>
  <c r="G5705" i="2"/>
  <c r="F5705" i="2"/>
  <c r="H5705" i="2" s="1"/>
  <c r="D5705" i="2"/>
  <c r="G5704" i="2"/>
  <c r="F5704" i="2"/>
  <c r="H5704" i="2" s="1"/>
  <c r="D5704" i="2"/>
  <c r="G5703" i="2"/>
  <c r="F5703" i="2"/>
  <c r="D5703" i="2"/>
  <c r="H5703" i="2" s="1"/>
  <c r="G5702" i="2"/>
  <c r="F5702" i="2"/>
  <c r="D5702" i="2"/>
  <c r="H5702" i="2" s="1"/>
  <c r="G5701" i="2"/>
  <c r="F5701" i="2"/>
  <c r="D5701" i="2"/>
  <c r="H5701" i="2" s="1"/>
  <c r="G5700" i="2"/>
  <c r="F5700" i="2"/>
  <c r="D5700" i="2"/>
  <c r="H5700" i="2" s="1"/>
  <c r="G5699" i="2"/>
  <c r="F5699" i="2"/>
  <c r="D5699" i="2"/>
  <c r="H5699" i="2" s="1"/>
  <c r="G5698" i="2"/>
  <c r="F5698" i="2"/>
  <c r="D5698" i="2"/>
  <c r="H5698" i="2" s="1"/>
  <c r="G5697" i="2"/>
  <c r="F5697" i="2"/>
  <c r="D5697" i="2"/>
  <c r="H5697" i="2" s="1"/>
  <c r="G5696" i="2"/>
  <c r="F5696" i="2"/>
  <c r="D5696" i="2"/>
  <c r="H5696" i="2" s="1"/>
  <c r="G5695" i="2"/>
  <c r="F5695" i="2"/>
  <c r="D5695" i="2"/>
  <c r="H5695" i="2" s="1"/>
  <c r="H5694" i="2"/>
  <c r="H5693" i="2"/>
  <c r="G5692" i="2"/>
  <c r="F5692" i="2"/>
  <c r="D5692" i="2"/>
  <c r="H5692" i="2" s="1"/>
  <c r="G5691" i="2"/>
  <c r="F5691" i="2"/>
  <c r="D5691" i="2"/>
  <c r="H5691" i="2" s="1"/>
  <c r="H5690" i="2"/>
  <c r="G5690" i="2"/>
  <c r="F5690" i="2"/>
  <c r="D5690" i="2"/>
  <c r="G5689" i="2"/>
  <c r="F5689" i="2"/>
  <c r="D5689" i="2"/>
  <c r="H5689" i="2" s="1"/>
  <c r="G5688" i="2"/>
  <c r="F5688" i="2"/>
  <c r="D5688" i="2"/>
  <c r="H5688" i="2" s="1"/>
  <c r="H5687" i="2"/>
  <c r="G5687" i="2"/>
  <c r="F5687" i="2"/>
  <c r="D5687" i="2"/>
  <c r="G5686" i="2"/>
  <c r="F5686" i="2"/>
  <c r="D5686" i="2"/>
  <c r="H5686" i="2" s="1"/>
  <c r="G5685" i="2"/>
  <c r="F5685" i="2"/>
  <c r="D5685" i="2"/>
  <c r="H5685" i="2" s="1"/>
  <c r="H5684" i="2"/>
  <c r="G5684" i="2"/>
  <c r="F5684" i="2"/>
  <c r="D5684" i="2"/>
  <c r="G5683" i="2"/>
  <c r="F5683" i="2"/>
  <c r="D5683" i="2"/>
  <c r="H5683" i="2" s="1"/>
  <c r="G5682" i="2"/>
  <c r="F5682" i="2"/>
  <c r="D5682" i="2"/>
  <c r="H5682" i="2" s="1"/>
  <c r="H5681" i="2"/>
  <c r="G5681" i="2"/>
  <c r="F5681" i="2"/>
  <c r="D5681" i="2"/>
  <c r="G5680" i="2"/>
  <c r="F5680" i="2"/>
  <c r="D5680" i="2"/>
  <c r="H5680" i="2" s="1"/>
  <c r="G5679" i="2"/>
  <c r="F5679" i="2"/>
  <c r="D5679" i="2"/>
  <c r="H5679" i="2" s="1"/>
  <c r="H5678" i="2"/>
  <c r="G5678" i="2"/>
  <c r="F5678" i="2"/>
  <c r="D5678" i="2"/>
  <c r="H5677" i="2"/>
  <c r="G5676" i="2"/>
  <c r="F5676" i="2"/>
  <c r="H5676" i="2" s="1"/>
  <c r="D5676" i="2"/>
  <c r="G5675" i="2"/>
  <c r="F5675" i="2"/>
  <c r="D5675" i="2"/>
  <c r="H5675" i="2" s="1"/>
  <c r="G5674" i="2"/>
  <c r="F5674" i="2"/>
  <c r="H5674" i="2" s="1"/>
  <c r="D5674" i="2"/>
  <c r="G5673" i="2"/>
  <c r="F5673" i="2"/>
  <c r="H5673" i="2" s="1"/>
  <c r="D5673" i="2"/>
  <c r="G5672" i="2"/>
  <c r="F5672" i="2"/>
  <c r="D5672" i="2"/>
  <c r="H5672" i="2" s="1"/>
  <c r="G5671" i="2"/>
  <c r="F5671" i="2"/>
  <c r="H5671" i="2" s="1"/>
  <c r="D5671" i="2"/>
  <c r="G5670" i="2"/>
  <c r="F5670" i="2"/>
  <c r="D5670" i="2"/>
  <c r="H5670" i="2" s="1"/>
  <c r="G5669" i="2"/>
  <c r="F5669" i="2"/>
  <c r="D5669" i="2"/>
  <c r="H5669" i="2" s="1"/>
  <c r="G5668" i="2"/>
  <c r="F5668" i="2"/>
  <c r="H5668" i="2" s="1"/>
  <c r="D5668" i="2"/>
  <c r="G5667" i="2"/>
  <c r="F5667" i="2"/>
  <c r="D5667" i="2"/>
  <c r="H5667" i="2" s="1"/>
  <c r="G5666" i="2"/>
  <c r="F5666" i="2"/>
  <c r="D5666" i="2"/>
  <c r="H5666" i="2" s="1"/>
  <c r="G5665" i="2"/>
  <c r="F5665" i="2"/>
  <c r="H5665" i="2" s="1"/>
  <c r="D5665" i="2"/>
  <c r="G5664" i="2"/>
  <c r="F5664" i="2"/>
  <c r="D5664" i="2"/>
  <c r="H5664" i="2" s="1"/>
  <c r="G5663" i="2"/>
  <c r="F5663" i="2"/>
  <c r="D5663" i="2"/>
  <c r="H5663" i="2" s="1"/>
  <c r="G5662" i="2"/>
  <c r="F5662" i="2"/>
  <c r="D5662" i="2"/>
  <c r="H5662" i="2" s="1"/>
  <c r="H5661" i="2"/>
  <c r="G5660" i="2"/>
  <c r="F5660" i="2"/>
  <c r="D5660" i="2"/>
  <c r="H5660" i="2" s="1"/>
  <c r="G5659" i="2"/>
  <c r="F5659" i="2"/>
  <c r="D5659" i="2"/>
  <c r="H5659" i="2" s="1"/>
  <c r="G5658" i="2"/>
  <c r="F5658" i="2"/>
  <c r="D5658" i="2"/>
  <c r="H5658" i="2" s="1"/>
  <c r="G5657" i="2"/>
  <c r="F5657" i="2"/>
  <c r="D5657" i="2"/>
  <c r="H5657" i="2" s="1"/>
  <c r="G5656" i="2"/>
  <c r="F5656" i="2"/>
  <c r="D5656" i="2"/>
  <c r="H5656" i="2" s="1"/>
  <c r="G5655" i="2"/>
  <c r="F5655" i="2"/>
  <c r="D5655" i="2"/>
  <c r="H5655" i="2" s="1"/>
  <c r="G5654" i="2"/>
  <c r="F5654" i="2"/>
  <c r="D5654" i="2"/>
  <c r="H5654" i="2" s="1"/>
  <c r="G5653" i="2"/>
  <c r="F5653" i="2"/>
  <c r="D5653" i="2"/>
  <c r="H5653" i="2" s="1"/>
  <c r="G5652" i="2"/>
  <c r="F5652" i="2"/>
  <c r="D5652" i="2"/>
  <c r="H5652" i="2" s="1"/>
  <c r="G5651" i="2"/>
  <c r="F5651" i="2"/>
  <c r="D5651" i="2"/>
  <c r="H5651" i="2" s="1"/>
  <c r="G5650" i="2"/>
  <c r="F5650" i="2"/>
  <c r="D5650" i="2"/>
  <c r="H5650" i="2" s="1"/>
  <c r="G5649" i="2"/>
  <c r="F5649" i="2"/>
  <c r="D5649" i="2"/>
  <c r="H5649" i="2" s="1"/>
  <c r="G5648" i="2"/>
  <c r="F5648" i="2"/>
  <c r="D5648" i="2"/>
  <c r="H5648" i="2" s="1"/>
  <c r="G5647" i="2"/>
  <c r="F5647" i="2"/>
  <c r="D5647" i="2"/>
  <c r="H5647" i="2" s="1"/>
  <c r="G5646" i="2"/>
  <c r="F5646" i="2"/>
  <c r="D5646" i="2"/>
  <c r="H5646" i="2" s="1"/>
  <c r="G5645" i="2"/>
  <c r="F5645" i="2"/>
  <c r="D5645" i="2"/>
  <c r="H5645" i="2" s="1"/>
  <c r="H5644" i="2"/>
  <c r="G5643" i="2"/>
  <c r="H5643" i="2" s="1"/>
  <c r="F5643" i="2"/>
  <c r="D5643" i="2"/>
  <c r="H5642" i="2"/>
  <c r="G5642" i="2"/>
  <c r="F5642" i="2"/>
  <c r="D5642" i="2"/>
  <c r="H5641" i="2"/>
  <c r="G5641" i="2"/>
  <c r="F5641" i="2"/>
  <c r="D5641" i="2"/>
  <c r="G5640" i="2"/>
  <c r="H5640" i="2" s="1"/>
  <c r="F5640" i="2"/>
  <c r="D5640" i="2"/>
  <c r="H5639" i="2"/>
  <c r="G5639" i="2"/>
  <c r="F5639" i="2"/>
  <c r="D5639" i="2"/>
  <c r="H5638" i="2"/>
  <c r="G5638" i="2"/>
  <c r="F5638" i="2"/>
  <c r="D5638" i="2"/>
  <c r="G5637" i="2"/>
  <c r="H5637" i="2" s="1"/>
  <c r="F5637" i="2"/>
  <c r="D5637" i="2"/>
  <c r="H5636" i="2"/>
  <c r="G5636" i="2"/>
  <c r="F5636" i="2"/>
  <c r="D5636" i="2"/>
  <c r="H5635" i="2"/>
  <c r="G5635" i="2"/>
  <c r="F5635" i="2"/>
  <c r="D5635" i="2"/>
  <c r="G5634" i="2"/>
  <c r="H5634" i="2" s="1"/>
  <c r="F5634" i="2"/>
  <c r="D5634" i="2"/>
  <c r="G5633" i="2"/>
  <c r="H5633" i="2" s="1"/>
  <c r="F5633" i="2"/>
  <c r="D5633" i="2"/>
  <c r="H5632" i="2"/>
  <c r="G5632" i="2"/>
  <c r="F5632" i="2"/>
  <c r="D5632" i="2"/>
  <c r="G5631" i="2"/>
  <c r="H5631" i="2" s="1"/>
  <c r="F5631" i="2"/>
  <c r="D5631" i="2"/>
  <c r="G5630" i="2"/>
  <c r="H5630" i="2" s="1"/>
  <c r="F5630" i="2"/>
  <c r="D5630" i="2"/>
  <c r="G5629" i="2"/>
  <c r="F5629" i="2"/>
  <c r="D5629" i="2"/>
  <c r="H5629" i="2" s="1"/>
  <c r="G5628" i="2"/>
  <c r="F5628" i="2"/>
  <c r="H5628" i="2" s="1"/>
  <c r="D5628" i="2"/>
  <c r="H5627" i="2"/>
  <c r="G5626" i="2"/>
  <c r="F5626" i="2"/>
  <c r="D5626" i="2"/>
  <c r="H5626" i="2" s="1"/>
  <c r="G5625" i="2"/>
  <c r="F5625" i="2"/>
  <c r="D5625" i="2"/>
  <c r="H5625" i="2" s="1"/>
  <c r="H5624" i="2"/>
  <c r="G5624" i="2"/>
  <c r="F5624" i="2"/>
  <c r="D5624" i="2"/>
  <c r="G5623" i="2"/>
  <c r="F5623" i="2"/>
  <c r="D5623" i="2"/>
  <c r="H5623" i="2" s="1"/>
  <c r="G5622" i="2"/>
  <c r="F5622" i="2"/>
  <c r="D5622" i="2"/>
  <c r="H5622" i="2" s="1"/>
  <c r="H5621" i="2"/>
  <c r="G5621" i="2"/>
  <c r="F5621" i="2"/>
  <c r="D5621" i="2"/>
  <c r="G5620" i="2"/>
  <c r="F5620" i="2"/>
  <c r="D5620" i="2"/>
  <c r="H5620" i="2" s="1"/>
  <c r="G5619" i="2"/>
  <c r="F5619" i="2"/>
  <c r="D5619" i="2"/>
  <c r="H5619" i="2" s="1"/>
  <c r="H5618" i="2"/>
  <c r="G5618" i="2"/>
  <c r="F5618" i="2"/>
  <c r="D5618" i="2"/>
  <c r="G5617" i="2"/>
  <c r="F5617" i="2"/>
  <c r="D5617" i="2"/>
  <c r="H5617" i="2" s="1"/>
  <c r="G5616" i="2"/>
  <c r="F5616" i="2"/>
  <c r="D5616" i="2"/>
  <c r="H5616" i="2" s="1"/>
  <c r="H5615" i="2"/>
  <c r="G5615" i="2"/>
  <c r="F5615" i="2"/>
  <c r="D5615" i="2"/>
  <c r="G5614" i="2"/>
  <c r="F5614" i="2"/>
  <c r="D5614" i="2"/>
  <c r="H5614" i="2" s="1"/>
  <c r="G5613" i="2"/>
  <c r="F5613" i="2"/>
  <c r="D5613" i="2"/>
  <c r="H5613" i="2" s="1"/>
  <c r="H5612" i="2"/>
  <c r="G5612" i="2"/>
  <c r="F5612" i="2"/>
  <c r="D5612" i="2"/>
  <c r="G5611" i="2"/>
  <c r="F5611" i="2"/>
  <c r="D5611" i="2"/>
  <c r="H5611" i="2" s="1"/>
  <c r="H5610" i="2"/>
  <c r="G5609" i="2"/>
  <c r="F5609" i="2"/>
  <c r="D5609" i="2"/>
  <c r="H5609" i="2" s="1"/>
  <c r="G5608" i="2"/>
  <c r="F5608" i="2"/>
  <c r="H5608" i="2" s="1"/>
  <c r="D5608" i="2"/>
  <c r="G5607" i="2"/>
  <c r="F5607" i="2"/>
  <c r="H5607" i="2" s="1"/>
  <c r="D5607" i="2"/>
  <c r="G5606" i="2"/>
  <c r="F5606" i="2"/>
  <c r="D5606" i="2"/>
  <c r="H5606" i="2" s="1"/>
  <c r="G5605" i="2"/>
  <c r="F5605" i="2"/>
  <c r="H5605" i="2" s="1"/>
  <c r="D5605" i="2"/>
  <c r="G5604" i="2"/>
  <c r="F5604" i="2"/>
  <c r="H5604" i="2" s="1"/>
  <c r="D5604" i="2"/>
  <c r="G5603" i="2"/>
  <c r="F5603" i="2"/>
  <c r="D5603" i="2"/>
  <c r="H5603" i="2" s="1"/>
  <c r="G5602" i="2"/>
  <c r="F5602" i="2"/>
  <c r="H5602" i="2" s="1"/>
  <c r="D5602" i="2"/>
  <c r="G5601" i="2"/>
  <c r="F5601" i="2"/>
  <c r="D5601" i="2"/>
  <c r="H5601" i="2" s="1"/>
  <c r="G5600" i="2"/>
  <c r="F5600" i="2"/>
  <c r="D5600" i="2"/>
  <c r="H5600" i="2" s="1"/>
  <c r="H5599" i="2"/>
  <c r="G5598" i="2"/>
  <c r="F5598" i="2"/>
  <c r="D5598" i="2"/>
  <c r="H5598" i="2" s="1"/>
  <c r="G5597" i="2"/>
  <c r="F5597" i="2"/>
  <c r="D5597" i="2"/>
  <c r="H5597" i="2" s="1"/>
  <c r="G5596" i="2"/>
  <c r="F5596" i="2"/>
  <c r="D5596" i="2"/>
  <c r="H5596" i="2" s="1"/>
  <c r="G5595" i="2"/>
  <c r="F5595" i="2"/>
  <c r="D5595" i="2"/>
  <c r="H5595" i="2" s="1"/>
  <c r="G5594" i="2"/>
  <c r="F5594" i="2"/>
  <c r="D5594" i="2"/>
  <c r="H5594" i="2" s="1"/>
  <c r="G5593" i="2"/>
  <c r="F5593" i="2"/>
  <c r="D5593" i="2"/>
  <c r="H5593" i="2" s="1"/>
  <c r="G5592" i="2"/>
  <c r="F5592" i="2"/>
  <c r="D5592" i="2"/>
  <c r="H5592" i="2" s="1"/>
  <c r="G5591" i="2"/>
  <c r="F5591" i="2"/>
  <c r="D5591" i="2"/>
  <c r="H5591" i="2" s="1"/>
  <c r="G5590" i="2"/>
  <c r="F5590" i="2"/>
  <c r="D5590" i="2"/>
  <c r="H5590" i="2" s="1"/>
  <c r="G5589" i="2"/>
  <c r="F5589" i="2"/>
  <c r="D5589" i="2"/>
  <c r="H5589" i="2" s="1"/>
  <c r="G5588" i="2"/>
  <c r="F5588" i="2"/>
  <c r="D5588" i="2"/>
  <c r="H5588" i="2" s="1"/>
  <c r="G5587" i="2"/>
  <c r="F5587" i="2"/>
  <c r="D5587" i="2"/>
  <c r="H5587" i="2" s="1"/>
  <c r="G5586" i="2"/>
  <c r="F5586" i="2"/>
  <c r="D5586" i="2"/>
  <c r="H5586" i="2" s="1"/>
  <c r="G5585" i="2"/>
  <c r="F5585" i="2"/>
  <c r="D5585" i="2"/>
  <c r="H5585" i="2" s="1"/>
  <c r="G5584" i="2"/>
  <c r="F5584" i="2"/>
  <c r="D5584" i="2"/>
  <c r="H5584" i="2" s="1"/>
  <c r="G5583" i="2"/>
  <c r="F5583" i="2"/>
  <c r="D5583" i="2"/>
  <c r="H5583" i="2" s="1"/>
  <c r="H5582" i="2"/>
  <c r="H5581" i="2"/>
  <c r="G5581" i="2"/>
  <c r="F5581" i="2"/>
  <c r="D5581" i="2"/>
  <c r="G5580" i="2"/>
  <c r="H5580" i="2" s="1"/>
  <c r="F5580" i="2"/>
  <c r="D5580" i="2"/>
  <c r="H5579" i="2"/>
  <c r="G5579" i="2"/>
  <c r="F5579" i="2"/>
  <c r="D5579" i="2"/>
  <c r="H5578" i="2"/>
  <c r="G5578" i="2"/>
  <c r="F5578" i="2"/>
  <c r="D5578" i="2"/>
  <c r="G5577" i="2"/>
  <c r="H5577" i="2" s="1"/>
  <c r="F5577" i="2"/>
  <c r="D5577" i="2"/>
  <c r="H5576" i="2"/>
  <c r="G5576" i="2"/>
  <c r="F5576" i="2"/>
  <c r="D5576" i="2"/>
  <c r="H5575" i="2"/>
  <c r="G5575" i="2"/>
  <c r="F5575" i="2"/>
  <c r="D5575" i="2"/>
  <c r="G5574" i="2"/>
  <c r="H5574" i="2" s="1"/>
  <c r="F5574" i="2"/>
  <c r="D5574" i="2"/>
  <c r="G5573" i="2"/>
  <c r="F5573" i="2"/>
  <c r="H5573" i="2" s="1"/>
  <c r="D5573" i="2"/>
  <c r="H5572" i="2"/>
  <c r="G5572" i="2"/>
  <c r="F5572" i="2"/>
  <c r="D5572" i="2"/>
  <c r="H5571" i="2"/>
  <c r="H5570" i="2"/>
  <c r="G5570" i="2"/>
  <c r="F5570" i="2"/>
  <c r="D5570" i="2"/>
  <c r="G5569" i="2"/>
  <c r="F5569" i="2"/>
  <c r="D5569" i="2"/>
  <c r="H5569" i="2" s="1"/>
  <c r="G5568" i="2"/>
  <c r="F5568" i="2"/>
  <c r="D5568" i="2"/>
  <c r="H5568" i="2" s="1"/>
  <c r="H5567" i="2"/>
  <c r="G5567" i="2"/>
  <c r="F5567" i="2"/>
  <c r="D5567" i="2"/>
  <c r="G5566" i="2"/>
  <c r="F5566" i="2"/>
  <c r="D5566" i="2"/>
  <c r="H5566" i="2" s="1"/>
  <c r="G5565" i="2"/>
  <c r="F5565" i="2"/>
  <c r="D5565" i="2"/>
  <c r="H5565" i="2" s="1"/>
  <c r="H5564" i="2"/>
  <c r="G5564" i="2"/>
  <c r="F5564" i="2"/>
  <c r="D5564" i="2"/>
  <c r="G5563" i="2"/>
  <c r="F5563" i="2"/>
  <c r="D5563" i="2"/>
  <c r="H5563" i="2" s="1"/>
  <c r="G5562" i="2"/>
  <c r="F5562" i="2"/>
  <c r="D5562" i="2"/>
  <c r="H5562" i="2" s="1"/>
  <c r="H5561" i="2"/>
  <c r="G5561" i="2"/>
  <c r="F5561" i="2"/>
  <c r="D5561" i="2"/>
  <c r="G5560" i="2"/>
  <c r="F5560" i="2"/>
  <c r="D5560" i="2"/>
  <c r="H5560" i="2" s="1"/>
  <c r="G5559" i="2"/>
  <c r="F5559" i="2"/>
  <c r="D5559" i="2"/>
  <c r="H5559" i="2" s="1"/>
  <c r="H5558" i="2"/>
  <c r="G5558" i="2"/>
  <c r="F5558" i="2"/>
  <c r="D5558" i="2"/>
  <c r="G5557" i="2"/>
  <c r="F5557" i="2"/>
  <c r="D5557" i="2"/>
  <c r="H5557" i="2" s="1"/>
  <c r="G5556" i="2"/>
  <c r="F5556" i="2"/>
  <c r="D5556" i="2"/>
  <c r="H5556" i="2" s="1"/>
  <c r="H5555" i="2"/>
  <c r="G5554" i="2"/>
  <c r="F5554" i="2"/>
  <c r="H5554" i="2" s="1"/>
  <c r="D5554" i="2"/>
  <c r="G5553" i="2"/>
  <c r="F5553" i="2"/>
  <c r="H5553" i="2" s="1"/>
  <c r="D5553" i="2"/>
  <c r="G5552" i="2"/>
  <c r="F5552" i="2"/>
  <c r="D5552" i="2"/>
  <c r="H5552" i="2" s="1"/>
  <c r="G5551" i="2"/>
  <c r="F5551" i="2"/>
  <c r="H5551" i="2" s="1"/>
  <c r="D5551" i="2"/>
  <c r="G5550" i="2"/>
  <c r="F5550" i="2"/>
  <c r="H5550" i="2" s="1"/>
  <c r="D5550" i="2"/>
  <c r="G5549" i="2"/>
  <c r="F5549" i="2"/>
  <c r="D5549" i="2"/>
  <c r="H5549" i="2" s="1"/>
  <c r="G5548" i="2"/>
  <c r="F5548" i="2"/>
  <c r="H5548" i="2" s="1"/>
  <c r="D5548" i="2"/>
  <c r="G5547" i="2"/>
  <c r="F5547" i="2"/>
  <c r="H5547" i="2" s="1"/>
  <c r="D5547" i="2"/>
  <c r="G5546" i="2"/>
  <c r="F5546" i="2"/>
  <c r="D5546" i="2"/>
  <c r="H5546" i="2" s="1"/>
  <c r="G5545" i="2"/>
  <c r="F5545" i="2"/>
  <c r="H5545" i="2" s="1"/>
  <c r="D5545" i="2"/>
  <c r="G5544" i="2"/>
  <c r="F5544" i="2"/>
  <c r="H5544" i="2" s="1"/>
  <c r="D5544" i="2"/>
  <c r="G5543" i="2"/>
  <c r="F5543" i="2"/>
  <c r="D5543" i="2"/>
  <c r="H5543" i="2" s="1"/>
  <c r="G5542" i="2"/>
  <c r="F5542" i="2"/>
  <c r="H5542" i="2" s="1"/>
  <c r="D5542" i="2"/>
  <c r="G5541" i="2"/>
  <c r="F5541" i="2"/>
  <c r="H5541" i="2" s="1"/>
  <c r="D5541" i="2"/>
  <c r="G5540" i="2"/>
  <c r="F5540" i="2"/>
  <c r="D5540" i="2"/>
  <c r="H5540" i="2" s="1"/>
  <c r="G5539" i="2"/>
  <c r="F5539" i="2"/>
  <c r="D5539" i="2"/>
  <c r="H5539" i="2" s="1"/>
  <c r="H5538" i="2"/>
  <c r="G5537" i="2"/>
  <c r="F5537" i="2"/>
  <c r="D5537" i="2"/>
  <c r="H5537" i="2" s="1"/>
  <c r="G5536" i="2"/>
  <c r="F5536" i="2"/>
  <c r="D5536" i="2"/>
  <c r="H5536" i="2" s="1"/>
  <c r="G5535" i="2"/>
  <c r="F5535" i="2"/>
  <c r="D5535" i="2"/>
  <c r="H5535" i="2" s="1"/>
  <c r="G5534" i="2"/>
  <c r="F5534" i="2"/>
  <c r="D5534" i="2"/>
  <c r="H5534" i="2" s="1"/>
  <c r="G5533" i="2"/>
  <c r="F5533" i="2"/>
  <c r="D5533" i="2"/>
  <c r="H5533" i="2" s="1"/>
  <c r="G5532" i="2"/>
  <c r="F5532" i="2"/>
  <c r="D5532" i="2"/>
  <c r="H5532" i="2" s="1"/>
  <c r="G5531" i="2"/>
  <c r="F5531" i="2"/>
  <c r="D5531" i="2"/>
  <c r="H5531" i="2" s="1"/>
  <c r="G5530" i="2"/>
  <c r="F5530" i="2"/>
  <c r="D5530" i="2"/>
  <c r="H5530" i="2" s="1"/>
  <c r="G5529" i="2"/>
  <c r="F5529" i="2"/>
  <c r="D5529" i="2"/>
  <c r="H5529" i="2" s="1"/>
  <c r="G5528" i="2"/>
  <c r="F5528" i="2"/>
  <c r="D5528" i="2"/>
  <c r="H5528" i="2" s="1"/>
  <c r="G5527" i="2"/>
  <c r="F5527" i="2"/>
  <c r="D5527" i="2"/>
  <c r="H5527" i="2" s="1"/>
  <c r="G5526" i="2"/>
  <c r="F5526" i="2"/>
  <c r="D5526" i="2"/>
  <c r="H5526" i="2" s="1"/>
  <c r="G5525" i="2"/>
  <c r="F5525" i="2"/>
  <c r="D5525" i="2"/>
  <c r="H5525" i="2" s="1"/>
  <c r="G5524" i="2"/>
  <c r="F5524" i="2"/>
  <c r="D5524" i="2"/>
  <c r="H5524" i="2" s="1"/>
  <c r="G5523" i="2"/>
  <c r="F5523" i="2"/>
  <c r="D5523" i="2"/>
  <c r="H5523" i="2" s="1"/>
  <c r="H5522" i="2"/>
  <c r="H5521" i="2"/>
  <c r="G5521" i="2"/>
  <c r="F5521" i="2"/>
  <c r="D5521" i="2"/>
  <c r="G5520" i="2"/>
  <c r="H5520" i="2" s="1"/>
  <c r="F5520" i="2"/>
  <c r="D5520" i="2"/>
  <c r="H5519" i="2"/>
  <c r="G5519" i="2"/>
  <c r="F5519" i="2"/>
  <c r="D5519" i="2"/>
  <c r="H5518" i="2"/>
  <c r="G5518" i="2"/>
  <c r="F5518" i="2"/>
  <c r="D5518" i="2"/>
  <c r="G5517" i="2"/>
  <c r="H5517" i="2" s="1"/>
  <c r="F5517" i="2"/>
  <c r="D5517" i="2"/>
  <c r="H5516" i="2"/>
  <c r="G5516" i="2"/>
  <c r="F5516" i="2"/>
  <c r="D5516" i="2"/>
  <c r="H5515" i="2"/>
  <c r="G5515" i="2"/>
  <c r="F5515" i="2"/>
  <c r="D5515" i="2"/>
  <c r="G5514" i="2"/>
  <c r="H5514" i="2" s="1"/>
  <c r="F5514" i="2"/>
  <c r="D5514" i="2"/>
  <c r="H5513" i="2"/>
  <c r="G5513" i="2"/>
  <c r="F5513" i="2"/>
  <c r="D5513" i="2"/>
  <c r="H5512" i="2"/>
  <c r="G5512" i="2"/>
  <c r="F5512" i="2"/>
  <c r="D5512" i="2"/>
  <c r="H5511" i="2"/>
  <c r="H5510" i="2"/>
  <c r="G5510" i="2"/>
  <c r="F5510" i="2"/>
  <c r="D5510" i="2"/>
  <c r="G5509" i="2"/>
  <c r="F5509" i="2"/>
  <c r="D5509" i="2"/>
  <c r="H5509" i="2" s="1"/>
  <c r="G5508" i="2"/>
  <c r="F5508" i="2"/>
  <c r="D5508" i="2"/>
  <c r="H5508" i="2" s="1"/>
  <c r="H5507" i="2"/>
  <c r="G5507" i="2"/>
  <c r="F5507" i="2"/>
  <c r="D5507" i="2"/>
  <c r="G5506" i="2"/>
  <c r="F5506" i="2"/>
  <c r="D5506" i="2"/>
  <c r="H5506" i="2" s="1"/>
  <c r="G5505" i="2"/>
  <c r="F5505" i="2"/>
  <c r="D5505" i="2"/>
  <c r="H5505" i="2" s="1"/>
  <c r="H5504" i="2"/>
  <c r="G5504" i="2"/>
  <c r="F5504" i="2"/>
  <c r="D5504" i="2"/>
  <c r="G5503" i="2"/>
  <c r="F5503" i="2"/>
  <c r="D5503" i="2"/>
  <c r="H5503" i="2" s="1"/>
  <c r="G5502" i="2"/>
  <c r="F5502" i="2"/>
  <c r="D5502" i="2"/>
  <c r="H5502" i="2" s="1"/>
  <c r="H5501" i="2"/>
  <c r="G5501" i="2"/>
  <c r="F5501" i="2"/>
  <c r="D5501" i="2"/>
  <c r="G5500" i="2"/>
  <c r="F5500" i="2"/>
  <c r="D5500" i="2"/>
  <c r="H5500" i="2" s="1"/>
  <c r="G5499" i="2"/>
  <c r="F5499" i="2"/>
  <c r="D5499" i="2"/>
  <c r="H5499" i="2" s="1"/>
  <c r="H5498" i="2"/>
  <c r="G5498" i="2"/>
  <c r="F5498" i="2"/>
  <c r="D5498" i="2"/>
  <c r="G5497" i="2"/>
  <c r="F5497" i="2"/>
  <c r="D5497" i="2"/>
  <c r="H5497" i="2" s="1"/>
  <c r="G5496" i="2"/>
  <c r="F5496" i="2"/>
  <c r="D5496" i="2"/>
  <c r="H5496" i="2" s="1"/>
  <c r="H5495" i="2"/>
  <c r="G5495" i="2"/>
  <c r="F5495" i="2"/>
  <c r="D5495" i="2"/>
  <c r="H5494" i="2"/>
  <c r="G5493" i="2"/>
  <c r="F5493" i="2"/>
  <c r="H5493" i="2" s="1"/>
  <c r="D5493" i="2"/>
  <c r="G5492" i="2"/>
  <c r="F5492" i="2"/>
  <c r="D5492" i="2"/>
  <c r="H5492" i="2" s="1"/>
  <c r="G5491" i="2"/>
  <c r="F5491" i="2"/>
  <c r="H5491" i="2" s="1"/>
  <c r="D5491" i="2"/>
  <c r="G5490" i="2"/>
  <c r="F5490" i="2"/>
  <c r="H5490" i="2" s="1"/>
  <c r="D5490" i="2"/>
  <c r="G5489" i="2"/>
  <c r="F5489" i="2"/>
  <c r="D5489" i="2"/>
  <c r="H5489" i="2" s="1"/>
  <c r="G5488" i="2"/>
  <c r="F5488" i="2"/>
  <c r="H5488" i="2" s="1"/>
  <c r="D5488" i="2"/>
  <c r="G5487" i="2"/>
  <c r="F5487" i="2"/>
  <c r="H5487" i="2" s="1"/>
  <c r="D5487" i="2"/>
  <c r="G5486" i="2"/>
  <c r="F5486" i="2"/>
  <c r="D5486" i="2"/>
  <c r="H5486" i="2" s="1"/>
  <c r="G5485" i="2"/>
  <c r="F5485" i="2"/>
  <c r="H5485" i="2" s="1"/>
  <c r="D5485" i="2"/>
  <c r="G5484" i="2"/>
  <c r="F5484" i="2"/>
  <c r="H5484" i="2" s="1"/>
  <c r="D5484" i="2"/>
  <c r="H5483" i="2"/>
  <c r="G5482" i="2"/>
  <c r="F5482" i="2"/>
  <c r="D5482" i="2"/>
  <c r="G5481" i="2"/>
  <c r="F5481" i="2"/>
  <c r="D5481" i="2"/>
  <c r="G5480" i="2"/>
  <c r="F5480" i="2"/>
  <c r="D5480" i="2"/>
  <c r="G5479" i="2"/>
  <c r="F5479" i="2"/>
  <c r="D5479" i="2"/>
  <c r="G5478" i="2"/>
  <c r="F5478" i="2"/>
  <c r="D5478" i="2"/>
  <c r="G5477" i="2"/>
  <c r="F5477" i="2"/>
  <c r="D5477" i="2"/>
  <c r="G5476" i="2"/>
  <c r="F5476" i="2"/>
  <c r="D5476" i="2"/>
  <c r="G5475" i="2"/>
  <c r="F5475" i="2"/>
  <c r="D5475" i="2"/>
  <c r="G5474" i="2"/>
  <c r="F5474" i="2"/>
  <c r="D5474" i="2"/>
  <c r="G5473" i="2"/>
  <c r="F5473" i="2"/>
  <c r="D5473" i="2"/>
  <c r="H5472" i="2"/>
  <c r="H5471" i="2"/>
  <c r="G5471" i="2"/>
  <c r="F5471" i="2"/>
  <c r="D5471" i="2"/>
  <c r="H5470" i="2"/>
  <c r="G5470" i="2"/>
  <c r="F5470" i="2"/>
  <c r="D5470" i="2"/>
  <c r="H5469" i="2"/>
  <c r="G5469" i="2"/>
  <c r="F5469" i="2"/>
  <c r="D5469" i="2"/>
  <c r="H5468" i="2"/>
  <c r="G5468" i="2"/>
  <c r="F5468" i="2"/>
  <c r="D5468" i="2"/>
  <c r="G5467" i="2"/>
  <c r="F5467" i="2"/>
  <c r="H5467" i="2" s="1"/>
  <c r="D5467" i="2"/>
  <c r="G5466" i="2"/>
  <c r="H5466" i="2" s="1"/>
  <c r="F5466" i="2"/>
  <c r="D5466" i="2"/>
  <c r="H5465" i="2"/>
  <c r="G5465" i="2"/>
  <c r="F5465" i="2"/>
  <c r="D5465" i="2"/>
  <c r="G5464" i="2"/>
  <c r="F5464" i="2"/>
  <c r="D5464" i="2"/>
  <c r="H5464" i="2" s="1"/>
  <c r="G5463" i="2"/>
  <c r="F5463" i="2"/>
  <c r="H5463" i="2" s="1"/>
  <c r="D5463" i="2"/>
  <c r="G5462" i="2"/>
  <c r="F5462" i="2"/>
  <c r="H5462" i="2" s="1"/>
  <c r="D5462" i="2"/>
  <c r="H5461" i="2"/>
  <c r="G5460" i="2"/>
  <c r="F5460" i="2"/>
  <c r="D5460" i="2"/>
  <c r="G5459" i="2"/>
  <c r="F5459" i="2"/>
  <c r="D5459" i="2"/>
  <c r="H5459" i="2" s="1"/>
  <c r="G5458" i="2"/>
  <c r="F5458" i="2"/>
  <c r="D5458" i="2"/>
  <c r="H5458" i="2" s="1"/>
  <c r="G5457" i="2"/>
  <c r="F5457" i="2"/>
  <c r="D5457" i="2"/>
  <c r="G5456" i="2"/>
  <c r="F5456" i="2"/>
  <c r="D5456" i="2"/>
  <c r="H5456" i="2" s="1"/>
  <c r="G5455" i="2"/>
  <c r="F5455" i="2"/>
  <c r="D5455" i="2"/>
  <c r="H5455" i="2" s="1"/>
  <c r="G5454" i="2"/>
  <c r="F5454" i="2"/>
  <c r="D5454" i="2"/>
  <c r="H5454" i="2" s="1"/>
  <c r="G5453" i="2"/>
  <c r="F5453" i="2"/>
  <c r="D5453" i="2"/>
  <c r="H5453" i="2" s="1"/>
  <c r="H5452" i="2"/>
  <c r="G5452" i="2"/>
  <c r="F5452" i="2"/>
  <c r="D5452" i="2"/>
  <c r="G5451" i="2"/>
  <c r="F5451" i="2"/>
  <c r="D5451" i="2"/>
  <c r="H5450" i="2"/>
  <c r="G5450" i="2"/>
  <c r="F5450" i="2"/>
  <c r="D5450" i="2"/>
  <c r="H5449" i="2"/>
  <c r="G5449" i="2"/>
  <c r="F5449" i="2"/>
  <c r="D5449" i="2"/>
  <c r="G5448" i="2"/>
  <c r="F5448" i="2"/>
  <c r="D5448" i="2"/>
  <c r="G5447" i="2"/>
  <c r="F5447" i="2"/>
  <c r="D5447" i="2"/>
  <c r="H5447" i="2" s="1"/>
  <c r="G5446" i="2"/>
  <c r="F5446" i="2"/>
  <c r="D5446" i="2"/>
  <c r="H5446" i="2" s="1"/>
  <c r="H5445" i="2"/>
  <c r="G5444" i="2"/>
  <c r="F5444" i="2"/>
  <c r="D5444" i="2"/>
  <c r="H5444" i="2" s="1"/>
  <c r="H5443" i="2"/>
  <c r="G5443" i="2"/>
  <c r="F5443" i="2"/>
  <c r="D5443" i="2"/>
  <c r="G5442" i="2"/>
  <c r="F5442" i="2"/>
  <c r="H5442" i="2" s="1"/>
  <c r="D5442" i="2"/>
  <c r="G5441" i="2"/>
  <c r="F5441" i="2"/>
  <c r="D5441" i="2"/>
  <c r="H5441" i="2" s="1"/>
  <c r="H5440" i="2"/>
  <c r="G5440" i="2"/>
  <c r="F5440" i="2"/>
  <c r="D5440" i="2"/>
  <c r="G5439" i="2"/>
  <c r="F5439" i="2"/>
  <c r="H5439" i="2" s="1"/>
  <c r="D5439" i="2"/>
  <c r="G5438" i="2"/>
  <c r="F5438" i="2"/>
  <c r="D5438" i="2"/>
  <c r="H5438" i="2" s="1"/>
  <c r="H5437" i="2"/>
  <c r="G5437" i="2"/>
  <c r="F5437" i="2"/>
  <c r="D5437" i="2"/>
  <c r="G5436" i="2"/>
  <c r="F5436" i="2"/>
  <c r="H5436" i="2" s="1"/>
  <c r="D5436" i="2"/>
  <c r="G5435" i="2"/>
  <c r="F5435" i="2"/>
  <c r="D5435" i="2"/>
  <c r="H5435" i="2" s="1"/>
  <c r="H5434" i="2"/>
  <c r="G5434" i="2"/>
  <c r="F5434" i="2"/>
  <c r="D5434" i="2"/>
  <c r="G5433" i="2"/>
  <c r="F5433" i="2"/>
  <c r="D5433" i="2"/>
  <c r="H5433" i="2" s="1"/>
  <c r="G5432" i="2"/>
  <c r="F5432" i="2"/>
  <c r="D5432" i="2"/>
  <c r="H5432" i="2" s="1"/>
  <c r="G5431" i="2"/>
  <c r="F5431" i="2"/>
  <c r="D5431" i="2"/>
  <c r="H5431" i="2" s="1"/>
  <c r="G5430" i="2"/>
  <c r="F5430" i="2"/>
  <c r="D5430" i="2"/>
  <c r="H5430" i="2" s="1"/>
  <c r="G5429" i="2"/>
  <c r="F5429" i="2"/>
  <c r="D5429" i="2"/>
  <c r="H5429" i="2" s="1"/>
  <c r="H5428" i="2"/>
  <c r="G5427" i="2"/>
  <c r="F5427" i="2"/>
  <c r="D5427" i="2"/>
  <c r="H5427" i="2" s="1"/>
  <c r="G5426" i="2"/>
  <c r="F5426" i="2"/>
  <c r="D5426" i="2"/>
  <c r="H5426" i="2" s="1"/>
  <c r="G5425" i="2"/>
  <c r="F5425" i="2"/>
  <c r="D5425" i="2"/>
  <c r="H5425" i="2" s="1"/>
  <c r="G5424" i="2"/>
  <c r="F5424" i="2"/>
  <c r="D5424" i="2"/>
  <c r="H5423" i="2"/>
  <c r="G5423" i="2"/>
  <c r="F5423" i="2"/>
  <c r="D5423" i="2"/>
  <c r="G5422" i="2"/>
  <c r="F5422" i="2"/>
  <c r="D5422" i="2"/>
  <c r="H5422" i="2" s="1"/>
  <c r="G5421" i="2"/>
  <c r="F5421" i="2"/>
  <c r="D5421" i="2"/>
  <c r="G5420" i="2"/>
  <c r="H5420" i="2" s="1"/>
  <c r="F5420" i="2"/>
  <c r="D5420" i="2"/>
  <c r="G5419" i="2"/>
  <c r="F5419" i="2"/>
  <c r="D5419" i="2"/>
  <c r="H5419" i="2" s="1"/>
  <c r="G5418" i="2"/>
  <c r="F5418" i="2"/>
  <c r="D5418" i="2"/>
  <c r="G5417" i="2"/>
  <c r="F5417" i="2"/>
  <c r="D5417" i="2"/>
  <c r="H5417" i="2" s="1"/>
  <c r="G5416" i="2"/>
  <c r="F5416" i="2"/>
  <c r="H5416" i="2" s="1"/>
  <c r="D5416" i="2"/>
  <c r="G5415" i="2"/>
  <c r="F5415" i="2"/>
  <c r="D5415" i="2"/>
  <c r="H5415" i="2" s="1"/>
  <c r="G5414" i="2"/>
  <c r="F5414" i="2"/>
  <c r="D5414" i="2"/>
  <c r="H5414" i="2" s="1"/>
  <c r="G5413" i="2"/>
  <c r="F5413" i="2"/>
  <c r="D5413" i="2"/>
  <c r="H5413" i="2" s="1"/>
  <c r="H5412" i="2"/>
  <c r="G5411" i="2"/>
  <c r="F5411" i="2"/>
  <c r="D5411" i="2"/>
  <c r="H5411" i="2" s="1"/>
  <c r="G5410" i="2"/>
  <c r="F5410" i="2"/>
  <c r="D5410" i="2"/>
  <c r="H5410" i="2" s="1"/>
  <c r="G5409" i="2"/>
  <c r="F5409" i="2"/>
  <c r="H5409" i="2" s="1"/>
  <c r="D5409" i="2"/>
  <c r="G5408" i="2"/>
  <c r="F5408" i="2"/>
  <c r="D5408" i="2"/>
  <c r="H5408" i="2" s="1"/>
  <c r="H5407" i="2"/>
  <c r="G5406" i="2"/>
  <c r="H5406" i="2" s="1"/>
  <c r="F5406" i="2"/>
  <c r="D5406" i="2"/>
  <c r="G5405" i="2"/>
  <c r="F5405" i="2"/>
  <c r="D5405" i="2"/>
  <c r="H5405" i="2" s="1"/>
  <c r="G5404" i="2"/>
  <c r="F5404" i="2"/>
  <c r="H5404" i="2" s="1"/>
  <c r="D5404" i="2"/>
  <c r="G5403" i="2"/>
  <c r="F5403" i="2"/>
  <c r="D5403" i="2"/>
  <c r="H5403" i="2" s="1"/>
  <c r="G5402" i="2"/>
  <c r="F5402" i="2"/>
  <c r="D5402" i="2"/>
  <c r="H5402" i="2" s="1"/>
  <c r="G5401" i="2"/>
  <c r="F5401" i="2"/>
  <c r="H5401" i="2" s="1"/>
  <c r="D5401" i="2"/>
  <c r="G5400" i="2"/>
  <c r="F5400" i="2"/>
  <c r="D5400" i="2"/>
  <c r="H5400" i="2" s="1"/>
  <c r="G5399" i="2"/>
  <c r="F5399" i="2"/>
  <c r="D5399" i="2"/>
  <c r="H5399" i="2" s="1"/>
  <c r="G5398" i="2"/>
  <c r="F5398" i="2"/>
  <c r="H5398" i="2" s="1"/>
  <c r="D5398" i="2"/>
  <c r="G5397" i="2"/>
  <c r="F5397" i="2"/>
  <c r="D5397" i="2"/>
  <c r="H5397" i="2" s="1"/>
  <c r="G5396" i="2"/>
  <c r="F5396" i="2"/>
  <c r="D5396" i="2"/>
  <c r="H5396" i="2" s="1"/>
  <c r="G5395" i="2"/>
  <c r="F5395" i="2"/>
  <c r="H5395" i="2" s="1"/>
  <c r="D5395" i="2"/>
  <c r="G5394" i="2"/>
  <c r="F5394" i="2"/>
  <c r="D5394" i="2"/>
  <c r="H5394" i="2" s="1"/>
  <c r="G5393" i="2"/>
  <c r="F5393" i="2"/>
  <c r="D5393" i="2"/>
  <c r="H5393" i="2" s="1"/>
  <c r="G5392" i="2"/>
  <c r="F5392" i="2"/>
  <c r="D5392" i="2"/>
  <c r="H5392" i="2" s="1"/>
  <c r="H5391" i="2"/>
  <c r="H5390" i="2"/>
  <c r="G5390" i="2"/>
  <c r="F5390" i="2"/>
  <c r="D5390" i="2"/>
  <c r="G5389" i="2"/>
  <c r="F5389" i="2"/>
  <c r="H5389" i="2" s="1"/>
  <c r="D5389" i="2"/>
  <c r="G5388" i="2"/>
  <c r="H5388" i="2" s="1"/>
  <c r="F5388" i="2"/>
  <c r="D5388" i="2"/>
  <c r="H5387" i="2"/>
  <c r="G5387" i="2"/>
  <c r="F5387" i="2"/>
  <c r="D5387" i="2"/>
  <c r="G5386" i="2"/>
  <c r="F5386" i="2"/>
  <c r="D5386" i="2"/>
  <c r="H5386" i="2" s="1"/>
  <c r="G5385" i="2"/>
  <c r="H5385" i="2" s="1"/>
  <c r="F5385" i="2"/>
  <c r="D5385" i="2"/>
  <c r="H5384" i="2"/>
  <c r="G5384" i="2"/>
  <c r="F5384" i="2"/>
  <c r="D5384" i="2"/>
  <c r="G5383" i="2"/>
  <c r="F5383" i="2"/>
  <c r="D5383" i="2"/>
  <c r="H5383" i="2" s="1"/>
  <c r="G5382" i="2"/>
  <c r="H5382" i="2" s="1"/>
  <c r="F5382" i="2"/>
  <c r="D5382" i="2"/>
  <c r="H5381" i="2"/>
  <c r="G5381" i="2"/>
  <c r="F5381" i="2"/>
  <c r="D5381" i="2"/>
  <c r="H5380" i="2"/>
  <c r="G5379" i="2"/>
  <c r="F5379" i="2"/>
  <c r="D5379" i="2"/>
  <c r="H5379" i="2" s="1"/>
  <c r="G5378" i="2"/>
  <c r="F5378" i="2"/>
  <c r="D5378" i="2"/>
  <c r="H5378" i="2" s="1"/>
  <c r="G5377" i="2"/>
  <c r="F5377" i="2"/>
  <c r="D5377" i="2"/>
  <c r="H5377" i="2" s="1"/>
  <c r="G5376" i="2"/>
  <c r="F5376" i="2"/>
  <c r="D5376" i="2"/>
  <c r="H5376" i="2" s="1"/>
  <c r="G5375" i="2"/>
  <c r="F5375" i="2"/>
  <c r="D5375" i="2"/>
  <c r="H5375" i="2" s="1"/>
  <c r="G5374" i="2"/>
  <c r="F5374" i="2"/>
  <c r="D5374" i="2"/>
  <c r="H5374" i="2" s="1"/>
  <c r="G5373" i="2"/>
  <c r="F5373" i="2"/>
  <c r="D5373" i="2"/>
  <c r="H5373" i="2" s="1"/>
  <c r="G5372" i="2"/>
  <c r="F5372" i="2"/>
  <c r="D5372" i="2"/>
  <c r="H5372" i="2" s="1"/>
  <c r="G5371" i="2"/>
  <c r="F5371" i="2"/>
  <c r="D5371" i="2"/>
  <c r="H5371" i="2" s="1"/>
  <c r="G5370" i="2"/>
  <c r="F5370" i="2"/>
  <c r="D5370" i="2"/>
  <c r="H5370" i="2" s="1"/>
  <c r="G5369" i="2"/>
  <c r="F5369" i="2"/>
  <c r="D5369" i="2"/>
  <c r="H5369" i="2" s="1"/>
  <c r="G5368" i="2"/>
  <c r="F5368" i="2"/>
  <c r="D5368" i="2"/>
  <c r="H5368" i="2" s="1"/>
  <c r="G5367" i="2"/>
  <c r="F5367" i="2"/>
  <c r="D5367" i="2"/>
  <c r="H5367" i="2" s="1"/>
  <c r="G5366" i="2"/>
  <c r="F5366" i="2"/>
  <c r="D5366" i="2"/>
  <c r="H5366" i="2" s="1"/>
  <c r="G5365" i="2"/>
  <c r="F5365" i="2"/>
  <c r="D5365" i="2"/>
  <c r="H5365" i="2" s="1"/>
  <c r="G5364" i="2"/>
  <c r="F5364" i="2"/>
  <c r="D5364" i="2"/>
  <c r="H5364" i="2" s="1"/>
  <c r="H5363" i="2"/>
  <c r="G5362" i="2"/>
  <c r="F5362" i="2"/>
  <c r="H5362" i="2" s="1"/>
  <c r="D5362" i="2"/>
  <c r="G5361" i="2"/>
  <c r="F5361" i="2"/>
  <c r="H5361" i="2" s="1"/>
  <c r="D5361" i="2"/>
  <c r="G5360" i="2"/>
  <c r="F5360" i="2"/>
  <c r="H5360" i="2" s="1"/>
  <c r="D5360" i="2"/>
  <c r="G5359" i="2"/>
  <c r="F5359" i="2"/>
  <c r="H5359" i="2" s="1"/>
  <c r="D5359" i="2"/>
  <c r="G5358" i="2"/>
  <c r="F5358" i="2"/>
  <c r="H5358" i="2" s="1"/>
  <c r="D5358" i="2"/>
  <c r="G5357" i="2"/>
  <c r="F5357" i="2"/>
  <c r="H5357" i="2" s="1"/>
  <c r="D5357" i="2"/>
  <c r="G5356" i="2"/>
  <c r="F5356" i="2"/>
  <c r="D5356" i="2"/>
  <c r="H5356" i="2" s="1"/>
  <c r="G5355" i="2"/>
  <c r="F5355" i="2"/>
  <c r="H5355" i="2" s="1"/>
  <c r="D5355" i="2"/>
  <c r="G5354" i="2"/>
  <c r="F5354" i="2"/>
  <c r="H5354" i="2" s="1"/>
  <c r="D5354" i="2"/>
  <c r="G5353" i="2"/>
  <c r="F5353" i="2"/>
  <c r="D5353" i="2"/>
  <c r="H5353" i="2" s="1"/>
  <c r="G5352" i="2"/>
  <c r="F5352" i="2"/>
  <c r="H5352" i="2" s="1"/>
  <c r="D5352" i="2"/>
  <c r="G5351" i="2"/>
  <c r="F5351" i="2"/>
  <c r="H5351" i="2" s="1"/>
  <c r="D5351" i="2"/>
  <c r="G5350" i="2"/>
  <c r="F5350" i="2"/>
  <c r="D5350" i="2"/>
  <c r="H5350" i="2" s="1"/>
  <c r="G5349" i="2"/>
  <c r="F5349" i="2"/>
  <c r="H5349" i="2" s="1"/>
  <c r="D5349" i="2"/>
  <c r="G5348" i="2"/>
  <c r="F5348" i="2"/>
  <c r="D5348" i="2"/>
  <c r="H5348" i="2" s="1"/>
  <c r="H5347" i="2"/>
  <c r="G5346" i="2"/>
  <c r="F5346" i="2"/>
  <c r="D5346" i="2"/>
  <c r="H5346" i="2" s="1"/>
  <c r="G5345" i="2"/>
  <c r="F5345" i="2"/>
  <c r="D5345" i="2"/>
  <c r="H5345" i="2" s="1"/>
  <c r="G5344" i="2"/>
  <c r="H5344" i="2" s="1"/>
  <c r="F5344" i="2"/>
  <c r="D5344" i="2"/>
  <c r="G5343" i="2"/>
  <c r="F5343" i="2"/>
  <c r="D5343" i="2"/>
  <c r="H5343" i="2" s="1"/>
  <c r="G5342" i="2"/>
  <c r="F5342" i="2"/>
  <c r="D5342" i="2"/>
  <c r="H5342" i="2" s="1"/>
  <c r="G5341" i="2"/>
  <c r="H5341" i="2" s="1"/>
  <c r="F5341" i="2"/>
  <c r="D5341" i="2"/>
  <c r="G5340" i="2"/>
  <c r="F5340" i="2"/>
  <c r="D5340" i="2"/>
  <c r="H5340" i="2" s="1"/>
  <c r="G5339" i="2"/>
  <c r="F5339" i="2"/>
  <c r="D5339" i="2"/>
  <c r="H5339" i="2" s="1"/>
  <c r="G5338" i="2"/>
  <c r="H5338" i="2" s="1"/>
  <c r="F5338" i="2"/>
  <c r="D5338" i="2"/>
  <c r="G5337" i="2"/>
  <c r="F5337" i="2"/>
  <c r="D5337" i="2"/>
  <c r="H5337" i="2" s="1"/>
  <c r="H5336" i="2"/>
  <c r="G5335" i="2"/>
  <c r="F5335" i="2"/>
  <c r="D5335" i="2"/>
  <c r="H5335" i="2" s="1"/>
  <c r="H5334" i="2"/>
  <c r="G5334" i="2"/>
  <c r="F5334" i="2"/>
  <c r="D5334" i="2"/>
  <c r="H5333" i="2"/>
  <c r="G5333" i="2"/>
  <c r="F5333" i="2"/>
  <c r="D5333" i="2"/>
  <c r="G5332" i="2"/>
  <c r="F5332" i="2"/>
  <c r="D5332" i="2"/>
  <c r="H5332" i="2" s="1"/>
  <c r="H5331" i="2"/>
  <c r="G5331" i="2"/>
  <c r="F5331" i="2"/>
  <c r="D5331" i="2"/>
  <c r="H5330" i="2"/>
  <c r="G5330" i="2"/>
  <c r="F5330" i="2"/>
  <c r="D5330" i="2"/>
  <c r="G5329" i="2"/>
  <c r="F5329" i="2"/>
  <c r="D5329" i="2"/>
  <c r="H5329" i="2" s="1"/>
  <c r="H5328" i="2"/>
  <c r="G5328" i="2"/>
  <c r="F5328" i="2"/>
  <c r="D5328" i="2"/>
  <c r="H5327" i="2"/>
  <c r="G5327" i="2"/>
  <c r="F5327" i="2"/>
  <c r="D5327" i="2"/>
  <c r="G5326" i="2"/>
  <c r="F5326" i="2"/>
  <c r="D5326" i="2"/>
  <c r="H5326" i="2" s="1"/>
  <c r="H5325" i="2"/>
  <c r="G5325" i="2"/>
  <c r="F5325" i="2"/>
  <c r="D5325" i="2"/>
  <c r="H5324" i="2"/>
  <c r="G5324" i="2"/>
  <c r="F5324" i="2"/>
  <c r="D5324" i="2"/>
  <c r="G5323" i="2"/>
  <c r="F5323" i="2"/>
  <c r="D5323" i="2"/>
  <c r="H5323" i="2" s="1"/>
  <c r="G5322" i="2"/>
  <c r="H5322" i="2" s="1"/>
  <c r="F5322" i="2"/>
  <c r="D5322" i="2"/>
  <c r="H5321" i="2"/>
  <c r="G5321" i="2"/>
  <c r="F5321" i="2"/>
  <c r="D5321" i="2"/>
  <c r="G5320" i="2"/>
  <c r="F5320" i="2"/>
  <c r="D5320" i="2"/>
  <c r="H5320" i="2" s="1"/>
  <c r="G5319" i="2"/>
  <c r="H5319" i="2" s="1"/>
  <c r="F5319" i="2"/>
  <c r="D5319" i="2"/>
  <c r="H5318" i="2"/>
  <c r="G5317" i="2"/>
  <c r="F5317" i="2"/>
  <c r="H5317" i="2" s="1"/>
  <c r="D5317" i="2"/>
  <c r="G5316" i="2"/>
  <c r="F5316" i="2"/>
  <c r="D5316" i="2"/>
  <c r="H5316" i="2" s="1"/>
  <c r="G5315" i="2"/>
  <c r="F5315" i="2"/>
  <c r="D5315" i="2"/>
  <c r="H5315" i="2" s="1"/>
  <c r="G5314" i="2"/>
  <c r="F5314" i="2"/>
  <c r="D5314" i="2"/>
  <c r="H5314" i="2" s="1"/>
  <c r="G5313" i="2"/>
  <c r="F5313" i="2"/>
  <c r="D5313" i="2"/>
  <c r="H5313" i="2" s="1"/>
  <c r="G5312" i="2"/>
  <c r="F5312" i="2"/>
  <c r="D5312" i="2"/>
  <c r="H5312" i="2" s="1"/>
  <c r="G5311" i="2"/>
  <c r="F5311" i="2"/>
  <c r="D5311" i="2"/>
  <c r="H5311" i="2" s="1"/>
  <c r="G5310" i="2"/>
  <c r="F5310" i="2"/>
  <c r="D5310" i="2"/>
  <c r="H5310" i="2" s="1"/>
  <c r="G5309" i="2"/>
  <c r="F5309" i="2"/>
  <c r="D5309" i="2"/>
  <c r="H5309" i="2" s="1"/>
  <c r="G5308" i="2"/>
  <c r="F5308" i="2"/>
  <c r="D5308" i="2"/>
  <c r="H5308" i="2" s="1"/>
  <c r="H5307" i="2"/>
  <c r="G5306" i="2"/>
  <c r="F5306" i="2"/>
  <c r="H5306" i="2" s="1"/>
  <c r="D5306" i="2"/>
  <c r="G5305" i="2"/>
  <c r="F5305" i="2"/>
  <c r="D5305" i="2"/>
  <c r="H5305" i="2" s="1"/>
  <c r="G5304" i="2"/>
  <c r="H5304" i="2" s="1"/>
  <c r="F5304" i="2"/>
  <c r="D5304" i="2"/>
  <c r="G5303" i="2"/>
  <c r="F5303" i="2"/>
  <c r="H5303" i="2" s="1"/>
  <c r="D5303" i="2"/>
  <c r="G5302" i="2"/>
  <c r="F5302" i="2"/>
  <c r="D5302" i="2"/>
  <c r="H5302" i="2" s="1"/>
  <c r="G5301" i="2"/>
  <c r="F5301" i="2"/>
  <c r="H5301" i="2" s="1"/>
  <c r="D5301" i="2"/>
  <c r="G5300" i="2"/>
  <c r="F5300" i="2"/>
  <c r="D5300" i="2"/>
  <c r="H5300" i="2" s="1"/>
  <c r="G5299" i="2"/>
  <c r="F5299" i="2"/>
  <c r="D5299" i="2"/>
  <c r="H5299" i="2" s="1"/>
  <c r="G5298" i="2"/>
  <c r="F5298" i="2"/>
  <c r="H5298" i="2" s="1"/>
  <c r="D5298" i="2"/>
  <c r="G5297" i="2"/>
  <c r="F5297" i="2"/>
  <c r="D5297" i="2"/>
  <c r="H5297" i="2" s="1"/>
  <c r="G5296" i="2"/>
  <c r="F5296" i="2"/>
  <c r="D5296" i="2"/>
  <c r="H5296" i="2" s="1"/>
  <c r="G5295" i="2"/>
  <c r="F5295" i="2"/>
  <c r="H5295" i="2" s="1"/>
  <c r="D5295" i="2"/>
  <c r="G5294" i="2"/>
  <c r="F5294" i="2"/>
  <c r="D5294" i="2"/>
  <c r="H5294" i="2" s="1"/>
  <c r="G5293" i="2"/>
  <c r="F5293" i="2"/>
  <c r="D5293" i="2"/>
  <c r="H5293" i="2" s="1"/>
  <c r="G5292" i="2"/>
  <c r="F5292" i="2"/>
  <c r="H5292" i="2" s="1"/>
  <c r="D5292" i="2"/>
  <c r="H5291" i="2"/>
  <c r="H5290" i="2"/>
  <c r="G5290" i="2"/>
  <c r="F5290" i="2"/>
  <c r="D5290" i="2"/>
  <c r="G5289" i="2"/>
  <c r="F5289" i="2"/>
  <c r="H5289" i="2" s="1"/>
  <c r="D5289" i="2"/>
  <c r="G5288" i="2"/>
  <c r="F5288" i="2"/>
  <c r="D5288" i="2"/>
  <c r="H5288" i="2" s="1"/>
  <c r="H5287" i="2"/>
  <c r="G5287" i="2"/>
  <c r="F5287" i="2"/>
  <c r="D5287" i="2"/>
  <c r="G5286" i="2"/>
  <c r="F5286" i="2"/>
  <c r="D5286" i="2"/>
  <c r="H5286" i="2" s="1"/>
  <c r="G5285" i="2"/>
  <c r="F5285" i="2"/>
  <c r="D5285" i="2"/>
  <c r="H5285" i="2" s="1"/>
  <c r="H5284" i="2"/>
  <c r="G5284" i="2"/>
  <c r="F5284" i="2"/>
  <c r="D5284" i="2"/>
  <c r="G5283" i="2"/>
  <c r="F5283" i="2"/>
  <c r="D5283" i="2"/>
  <c r="H5283" i="2" s="1"/>
  <c r="G5282" i="2"/>
  <c r="F5282" i="2"/>
  <c r="D5282" i="2"/>
  <c r="H5282" i="2" s="1"/>
  <c r="G5281" i="2"/>
  <c r="F5281" i="2"/>
  <c r="H5281" i="2" s="1"/>
  <c r="D5281" i="2"/>
  <c r="H5280" i="2"/>
  <c r="H5279" i="2"/>
  <c r="G5279" i="2"/>
  <c r="F5279" i="2"/>
  <c r="D5279" i="2"/>
  <c r="G5278" i="2"/>
  <c r="F5278" i="2"/>
  <c r="D5278" i="2"/>
  <c r="H5278" i="2" s="1"/>
  <c r="G5277" i="2"/>
  <c r="H5277" i="2" s="1"/>
  <c r="F5277" i="2"/>
  <c r="D5277" i="2"/>
  <c r="H5276" i="2"/>
  <c r="G5276" i="2"/>
  <c r="F5276" i="2"/>
  <c r="D5276" i="2"/>
  <c r="G5275" i="2"/>
  <c r="F5275" i="2"/>
  <c r="D5275" i="2"/>
  <c r="H5275" i="2" s="1"/>
  <c r="G5274" i="2"/>
  <c r="H5274" i="2" s="1"/>
  <c r="F5274" i="2"/>
  <c r="D5274" i="2"/>
  <c r="H5273" i="2"/>
  <c r="G5273" i="2"/>
  <c r="F5273" i="2"/>
  <c r="D5273" i="2"/>
  <c r="G5272" i="2"/>
  <c r="F5272" i="2"/>
  <c r="D5272" i="2"/>
  <c r="H5272" i="2" s="1"/>
  <c r="G5271" i="2"/>
  <c r="H5271" i="2" s="1"/>
  <c r="F5271" i="2"/>
  <c r="D5271" i="2"/>
  <c r="H5270" i="2"/>
  <c r="G5270" i="2"/>
  <c r="F5270" i="2"/>
  <c r="D5270" i="2"/>
  <c r="G5269" i="2"/>
  <c r="F5269" i="2"/>
  <c r="D5269" i="2"/>
  <c r="H5269" i="2" s="1"/>
  <c r="G5268" i="2"/>
  <c r="H5268" i="2" s="1"/>
  <c r="F5268" i="2"/>
  <c r="D5268" i="2"/>
  <c r="G5267" i="2"/>
  <c r="F5267" i="2"/>
  <c r="D5267" i="2"/>
  <c r="H5267" i="2" s="1"/>
  <c r="G5266" i="2"/>
  <c r="F5266" i="2"/>
  <c r="D5266" i="2"/>
  <c r="H5266" i="2" s="1"/>
  <c r="G5265" i="2"/>
  <c r="F5265" i="2"/>
  <c r="D5265" i="2"/>
  <c r="H5265" i="2" s="1"/>
  <c r="H5264" i="2"/>
  <c r="G5263" i="2"/>
  <c r="F5263" i="2"/>
  <c r="H5263" i="2" s="1"/>
  <c r="D5263" i="2"/>
  <c r="G5262" i="2"/>
  <c r="F5262" i="2"/>
  <c r="D5262" i="2"/>
  <c r="H5262" i="2" s="1"/>
  <c r="H5261" i="2"/>
  <c r="G5261" i="2"/>
  <c r="F5261" i="2"/>
  <c r="D5261" i="2"/>
  <c r="G5260" i="2"/>
  <c r="F5260" i="2"/>
  <c r="H5260" i="2" s="1"/>
  <c r="D5260" i="2"/>
  <c r="G5259" i="2"/>
  <c r="F5259" i="2"/>
  <c r="D5259" i="2"/>
  <c r="H5259" i="2" s="1"/>
  <c r="G5258" i="2"/>
  <c r="F5258" i="2"/>
  <c r="D5258" i="2"/>
  <c r="H5258" i="2" s="1"/>
  <c r="G5257" i="2"/>
  <c r="F5257" i="2"/>
  <c r="D5257" i="2"/>
  <c r="H5257" i="2" s="1"/>
  <c r="G5256" i="2"/>
  <c r="F5256" i="2"/>
  <c r="D5256" i="2"/>
  <c r="H5256" i="2" s="1"/>
  <c r="G5255" i="2"/>
  <c r="F5255" i="2"/>
  <c r="D5255" i="2"/>
  <c r="H5255" i="2" s="1"/>
  <c r="G5254" i="2"/>
  <c r="F5254" i="2"/>
  <c r="D5254" i="2"/>
  <c r="H5254" i="2" s="1"/>
  <c r="H5253" i="2"/>
  <c r="G5252" i="2"/>
  <c r="F5252" i="2"/>
  <c r="D5252" i="2"/>
  <c r="H5252" i="2" s="1"/>
  <c r="G5251" i="2"/>
  <c r="F5251" i="2"/>
  <c r="D5251" i="2"/>
  <c r="H5251" i="2" s="1"/>
  <c r="G5250" i="2"/>
  <c r="F5250" i="2"/>
  <c r="H5250" i="2" s="1"/>
  <c r="D5250" i="2"/>
  <c r="G5249" i="2"/>
  <c r="F5249" i="2"/>
  <c r="D5249" i="2"/>
  <c r="H5249" i="2" s="1"/>
  <c r="G5248" i="2"/>
  <c r="F5248" i="2"/>
  <c r="D5248" i="2"/>
  <c r="H5248" i="2" s="1"/>
  <c r="G5247" i="2"/>
  <c r="F5247" i="2"/>
  <c r="H5247" i="2" s="1"/>
  <c r="D5247" i="2"/>
  <c r="G5246" i="2"/>
  <c r="F5246" i="2"/>
  <c r="D5246" i="2"/>
  <c r="H5246" i="2" s="1"/>
  <c r="G5245" i="2"/>
  <c r="F5245" i="2"/>
  <c r="D5245" i="2"/>
  <c r="H5245" i="2" s="1"/>
  <c r="G5244" i="2"/>
  <c r="F5244" i="2"/>
  <c r="H5244" i="2" s="1"/>
  <c r="D5244" i="2"/>
  <c r="G5243" i="2"/>
  <c r="F5243" i="2"/>
  <c r="D5243" i="2"/>
  <c r="H5243" i="2" s="1"/>
  <c r="H5242" i="2"/>
  <c r="G5241" i="2"/>
  <c r="H5241" i="2" s="1"/>
  <c r="F5241" i="2"/>
  <c r="D5241" i="2"/>
  <c r="H5240" i="2"/>
  <c r="G5240" i="2"/>
  <c r="F5240" i="2"/>
  <c r="D5240" i="2"/>
  <c r="H5239" i="2"/>
  <c r="G5239" i="2"/>
  <c r="F5239" i="2"/>
  <c r="D5239" i="2"/>
  <c r="G5238" i="2"/>
  <c r="F5238" i="2"/>
  <c r="D5238" i="2"/>
  <c r="H5238" i="2" s="1"/>
  <c r="H5237" i="2"/>
  <c r="G5237" i="2"/>
  <c r="F5237" i="2"/>
  <c r="D5237" i="2"/>
  <c r="H5236" i="2"/>
  <c r="G5236" i="2"/>
  <c r="F5236" i="2"/>
  <c r="D5236" i="2"/>
  <c r="G5235" i="2"/>
  <c r="F5235" i="2"/>
  <c r="D5235" i="2"/>
  <c r="H5235" i="2" s="1"/>
  <c r="G5234" i="2"/>
  <c r="F5234" i="2"/>
  <c r="D5234" i="2"/>
  <c r="H5234" i="2" s="1"/>
  <c r="H5233" i="2"/>
  <c r="G5233" i="2"/>
  <c r="F5233" i="2"/>
  <c r="D5233" i="2"/>
  <c r="G5232" i="2"/>
  <c r="F5232" i="2"/>
  <c r="D5232" i="2"/>
  <c r="H5232" i="2" s="1"/>
  <c r="H5231" i="2"/>
  <c r="G5230" i="2"/>
  <c r="F5230" i="2"/>
  <c r="D5230" i="2"/>
  <c r="H5230" i="2" s="1"/>
  <c r="G5229" i="2"/>
  <c r="H5229" i="2" s="1"/>
  <c r="F5229" i="2"/>
  <c r="D5229" i="2"/>
  <c r="H5228" i="2"/>
  <c r="G5228" i="2"/>
  <c r="F5228" i="2"/>
  <c r="D5228" i="2"/>
  <c r="G5227" i="2"/>
  <c r="F5227" i="2"/>
  <c r="D5227" i="2"/>
  <c r="H5227" i="2" s="1"/>
  <c r="G5226" i="2"/>
  <c r="H5226" i="2" s="1"/>
  <c r="F5226" i="2"/>
  <c r="D5226" i="2"/>
  <c r="H5225" i="2"/>
  <c r="G5225" i="2"/>
  <c r="F5225" i="2"/>
  <c r="D5225" i="2"/>
  <c r="G5224" i="2"/>
  <c r="F5224" i="2"/>
  <c r="D5224" i="2"/>
  <c r="H5224" i="2" s="1"/>
  <c r="G5223" i="2"/>
  <c r="F5223" i="2"/>
  <c r="D5223" i="2"/>
  <c r="H5223" i="2" s="1"/>
  <c r="G5222" i="2"/>
  <c r="F5222" i="2"/>
  <c r="D5222" i="2"/>
  <c r="H5222" i="2" s="1"/>
  <c r="G5221" i="2"/>
  <c r="F5221" i="2"/>
  <c r="D5221" i="2"/>
  <c r="H5221" i="2" s="1"/>
  <c r="H5220" i="2"/>
  <c r="H5219" i="2"/>
  <c r="G5219" i="2"/>
  <c r="F5219" i="2"/>
  <c r="D5219" i="2"/>
  <c r="G5218" i="2"/>
  <c r="F5218" i="2"/>
  <c r="H5218" i="2" s="1"/>
  <c r="D5218" i="2"/>
  <c r="G5217" i="2"/>
  <c r="F5217" i="2"/>
  <c r="D5217" i="2"/>
  <c r="H5217" i="2" s="1"/>
  <c r="G5216" i="2"/>
  <c r="F5216" i="2"/>
  <c r="D5216" i="2"/>
  <c r="H5216" i="2" s="1"/>
  <c r="G5215" i="2"/>
  <c r="F5215" i="2"/>
  <c r="D5215" i="2"/>
  <c r="H5215" i="2" s="1"/>
  <c r="G5214" i="2"/>
  <c r="F5214" i="2"/>
  <c r="D5214" i="2"/>
  <c r="H5214" i="2" s="1"/>
  <c r="G5213" i="2"/>
  <c r="F5213" i="2"/>
  <c r="D5213" i="2"/>
  <c r="H5213" i="2" s="1"/>
  <c r="G5212" i="2"/>
  <c r="F5212" i="2"/>
  <c r="D5212" i="2"/>
  <c r="H5212" i="2" s="1"/>
  <c r="G5211" i="2"/>
  <c r="F5211" i="2"/>
  <c r="D5211" i="2"/>
  <c r="H5211" i="2" s="1"/>
  <c r="G5210" i="2"/>
  <c r="F5210" i="2"/>
  <c r="D5210" i="2"/>
  <c r="H5210" i="2" s="1"/>
  <c r="H5209" i="2"/>
  <c r="G5208" i="2"/>
  <c r="H5208" i="2" s="1"/>
  <c r="F5208" i="2"/>
  <c r="D5208" i="2"/>
  <c r="G5207" i="2"/>
  <c r="F5207" i="2"/>
  <c r="D5207" i="2"/>
  <c r="H5207" i="2" s="1"/>
  <c r="G5206" i="2"/>
  <c r="F5206" i="2"/>
  <c r="D5206" i="2"/>
  <c r="H5206" i="2" s="1"/>
  <c r="G5205" i="2"/>
  <c r="H5205" i="2" s="1"/>
  <c r="F5205" i="2"/>
  <c r="D5205" i="2"/>
  <c r="G5204" i="2"/>
  <c r="F5204" i="2"/>
  <c r="D5204" i="2"/>
  <c r="H5204" i="2" s="1"/>
  <c r="G5203" i="2"/>
  <c r="F5203" i="2"/>
  <c r="D5203" i="2"/>
  <c r="H5203" i="2" s="1"/>
  <c r="G5202" i="2"/>
  <c r="F5202" i="2"/>
  <c r="H5202" i="2" s="1"/>
  <c r="D5202" i="2"/>
  <c r="G5201" i="2"/>
  <c r="F5201" i="2"/>
  <c r="D5201" i="2"/>
  <c r="H5201" i="2" s="1"/>
  <c r="G5200" i="2"/>
  <c r="F5200" i="2"/>
  <c r="D5200" i="2"/>
  <c r="H5200" i="2" s="1"/>
  <c r="G5199" i="2"/>
  <c r="F5199" i="2"/>
  <c r="H5199" i="2" s="1"/>
  <c r="D5199" i="2"/>
  <c r="H5198" i="2"/>
  <c r="H5197" i="2"/>
  <c r="G5197" i="2"/>
  <c r="F5197" i="2"/>
  <c r="D5197" i="2"/>
  <c r="G5196" i="2"/>
  <c r="H5196" i="2" s="1"/>
  <c r="F5196" i="2"/>
  <c r="D5196" i="2"/>
  <c r="H5195" i="2"/>
  <c r="G5195" i="2"/>
  <c r="F5195" i="2"/>
  <c r="D5195" i="2"/>
  <c r="H5194" i="2"/>
  <c r="G5194" i="2"/>
  <c r="F5194" i="2"/>
  <c r="D5194" i="2"/>
  <c r="G5193" i="2"/>
  <c r="F5193" i="2"/>
  <c r="D5193" i="2"/>
  <c r="H5193" i="2" s="1"/>
  <c r="H5192" i="2"/>
  <c r="G5192" i="2"/>
  <c r="F5192" i="2"/>
  <c r="D5192" i="2"/>
  <c r="H5191" i="2"/>
  <c r="G5191" i="2"/>
  <c r="F5191" i="2"/>
  <c r="D5191" i="2"/>
  <c r="G5190" i="2"/>
  <c r="F5190" i="2"/>
  <c r="D5190" i="2"/>
  <c r="H5190" i="2" s="1"/>
  <c r="G5189" i="2"/>
  <c r="F5189" i="2"/>
  <c r="D5189" i="2"/>
  <c r="H5189" i="2" s="1"/>
  <c r="H5188" i="2"/>
  <c r="G5188" i="2"/>
  <c r="F5188" i="2"/>
  <c r="D5188" i="2"/>
  <c r="H5187" i="2"/>
  <c r="H5186" i="2"/>
  <c r="G5186" i="2"/>
  <c r="F5186" i="2"/>
  <c r="D5186" i="2"/>
  <c r="G5185" i="2"/>
  <c r="F5185" i="2"/>
  <c r="D5185" i="2"/>
  <c r="H5185" i="2" s="1"/>
  <c r="G5184" i="2"/>
  <c r="H5184" i="2" s="1"/>
  <c r="F5184" i="2"/>
  <c r="D5184" i="2"/>
  <c r="H5183" i="2"/>
  <c r="G5183" i="2"/>
  <c r="F5183" i="2"/>
  <c r="D5183" i="2"/>
  <c r="G5182" i="2"/>
  <c r="F5182" i="2"/>
  <c r="D5182" i="2"/>
  <c r="H5182" i="2" s="1"/>
  <c r="G5181" i="2"/>
  <c r="H5181" i="2" s="1"/>
  <c r="F5181" i="2"/>
  <c r="D5181" i="2"/>
  <c r="H5180" i="2"/>
  <c r="G5180" i="2"/>
  <c r="F5180" i="2"/>
  <c r="D5180" i="2"/>
  <c r="G5179" i="2"/>
  <c r="F5179" i="2"/>
  <c r="D5179" i="2"/>
  <c r="H5179" i="2" s="1"/>
  <c r="G5178" i="2"/>
  <c r="F5178" i="2"/>
  <c r="D5178" i="2"/>
  <c r="H5178" i="2" s="1"/>
  <c r="G5177" i="2"/>
  <c r="F5177" i="2"/>
  <c r="D5177" i="2"/>
  <c r="H5177" i="2" s="1"/>
  <c r="G5176" i="2"/>
  <c r="F5176" i="2"/>
  <c r="D5176" i="2"/>
  <c r="H5176" i="2" s="1"/>
  <c r="G5175" i="2"/>
  <c r="F5175" i="2"/>
  <c r="D5175" i="2"/>
  <c r="H5175" i="2" s="1"/>
  <c r="G5174" i="2"/>
  <c r="F5174" i="2"/>
  <c r="D5174" i="2"/>
  <c r="H5174" i="2" s="1"/>
  <c r="G5173" i="2"/>
  <c r="F5173" i="2"/>
  <c r="D5173" i="2"/>
  <c r="H5173" i="2" s="1"/>
  <c r="G5172" i="2"/>
  <c r="F5172" i="2"/>
  <c r="D5172" i="2"/>
  <c r="H5172" i="2" s="1"/>
  <c r="H5171" i="2"/>
  <c r="G5170" i="2"/>
  <c r="F5170" i="2"/>
  <c r="H5170" i="2" s="1"/>
  <c r="D5170" i="2"/>
  <c r="G5169" i="2"/>
  <c r="F5169" i="2"/>
  <c r="D5169" i="2"/>
  <c r="H5169" i="2" s="1"/>
  <c r="H5168" i="2"/>
  <c r="G5168" i="2"/>
  <c r="F5168" i="2"/>
  <c r="D5168" i="2"/>
  <c r="G5167" i="2"/>
  <c r="F5167" i="2"/>
  <c r="H5167" i="2" s="1"/>
  <c r="D5167" i="2"/>
  <c r="G5166" i="2"/>
  <c r="F5166" i="2"/>
  <c r="D5166" i="2"/>
  <c r="H5166" i="2" s="1"/>
  <c r="G5165" i="2"/>
  <c r="F5165" i="2"/>
  <c r="D5165" i="2"/>
  <c r="H5165" i="2" s="1"/>
  <c r="G5164" i="2"/>
  <c r="F5164" i="2"/>
  <c r="D5164" i="2"/>
  <c r="H5164" i="2" s="1"/>
  <c r="G5163" i="2"/>
  <c r="F5163" i="2"/>
  <c r="D5163" i="2"/>
  <c r="H5163" i="2" s="1"/>
  <c r="G5162" i="2"/>
  <c r="F5162" i="2"/>
  <c r="D5162" i="2"/>
  <c r="H5162" i="2" s="1"/>
  <c r="G5161" i="2"/>
  <c r="F5161" i="2"/>
  <c r="D5161" i="2"/>
  <c r="H5161" i="2" s="1"/>
  <c r="G5160" i="2"/>
  <c r="F5160" i="2"/>
  <c r="D5160" i="2"/>
  <c r="H5160" i="2" s="1"/>
  <c r="G5159" i="2"/>
  <c r="F5159" i="2"/>
  <c r="D5159" i="2"/>
  <c r="H5159" i="2" s="1"/>
  <c r="G5158" i="2"/>
  <c r="F5158" i="2"/>
  <c r="D5158" i="2"/>
  <c r="H5158" i="2" s="1"/>
  <c r="G5157" i="2"/>
  <c r="F5157" i="2"/>
  <c r="D5157" i="2"/>
  <c r="H5157" i="2" s="1"/>
  <c r="G5156" i="2"/>
  <c r="F5156" i="2"/>
  <c r="D5156" i="2"/>
  <c r="H5156" i="2" s="1"/>
  <c r="H5155" i="2"/>
  <c r="G5154" i="2"/>
  <c r="H5154" i="2" s="1"/>
  <c r="F5154" i="2"/>
  <c r="D5154" i="2"/>
  <c r="G5153" i="2"/>
  <c r="F5153" i="2"/>
  <c r="D5153" i="2"/>
  <c r="H5153" i="2" s="1"/>
  <c r="G5152" i="2"/>
  <c r="F5152" i="2"/>
  <c r="H5152" i="2" s="1"/>
  <c r="D5152" i="2"/>
  <c r="G5151" i="2"/>
  <c r="F5151" i="2"/>
  <c r="H5151" i="2" s="1"/>
  <c r="D5151" i="2"/>
  <c r="G5150" i="2"/>
  <c r="F5150" i="2"/>
  <c r="D5150" i="2"/>
  <c r="H5150" i="2" s="1"/>
  <c r="G5149" i="2"/>
  <c r="F5149" i="2"/>
  <c r="D5149" i="2"/>
  <c r="H5149" i="2" s="1"/>
  <c r="G5148" i="2"/>
  <c r="F5148" i="2"/>
  <c r="H5148" i="2" s="1"/>
  <c r="D5148" i="2"/>
  <c r="G5147" i="2"/>
  <c r="F5147" i="2"/>
  <c r="D5147" i="2"/>
  <c r="H5147" i="2" s="1"/>
  <c r="G5146" i="2"/>
  <c r="F5146" i="2"/>
  <c r="D5146" i="2"/>
  <c r="H5146" i="2" s="1"/>
  <c r="G5145" i="2"/>
  <c r="F5145" i="2"/>
  <c r="H5145" i="2" s="1"/>
  <c r="D5145" i="2"/>
  <c r="H5144" i="2"/>
  <c r="H5143" i="2"/>
  <c r="G5143" i="2"/>
  <c r="F5143" i="2"/>
  <c r="D5143" i="2"/>
  <c r="G5142" i="2"/>
  <c r="H5142" i="2" s="1"/>
  <c r="F5142" i="2"/>
  <c r="D5142" i="2"/>
  <c r="H5141" i="2"/>
  <c r="G5141" i="2"/>
  <c r="F5141" i="2"/>
  <c r="D5141" i="2"/>
  <c r="H5140" i="2"/>
  <c r="G5140" i="2"/>
  <c r="F5140" i="2"/>
  <c r="D5140" i="2"/>
  <c r="G5139" i="2"/>
  <c r="F5139" i="2"/>
  <c r="D5139" i="2"/>
  <c r="H5139" i="2" s="1"/>
  <c r="H5138" i="2"/>
  <c r="G5138" i="2"/>
  <c r="F5138" i="2"/>
  <c r="D5138" i="2"/>
  <c r="H5137" i="2"/>
  <c r="G5137" i="2"/>
  <c r="F5137" i="2"/>
  <c r="D5137" i="2"/>
  <c r="G5136" i="2"/>
  <c r="F5136" i="2"/>
  <c r="D5136" i="2"/>
  <c r="H5136" i="2" s="1"/>
  <c r="H5135" i="2"/>
  <c r="G5135" i="2"/>
  <c r="F5135" i="2"/>
  <c r="D5135" i="2"/>
  <c r="H5134" i="2"/>
  <c r="G5134" i="2"/>
  <c r="F5134" i="2"/>
  <c r="D5134" i="2"/>
  <c r="G5133" i="2"/>
  <c r="F5133" i="2"/>
  <c r="D5133" i="2"/>
  <c r="H5133" i="2" s="1"/>
  <c r="G5132" i="2"/>
  <c r="F5132" i="2"/>
  <c r="D5132" i="2"/>
  <c r="H5132" i="2" s="1"/>
  <c r="H5131" i="2"/>
  <c r="G5131" i="2"/>
  <c r="F5131" i="2"/>
  <c r="D5131" i="2"/>
  <c r="G5130" i="2"/>
  <c r="F5130" i="2"/>
  <c r="D5130" i="2"/>
  <c r="H5130" i="2" s="1"/>
  <c r="G5129" i="2"/>
  <c r="F5129" i="2"/>
  <c r="D5129" i="2"/>
  <c r="H5129" i="2" s="1"/>
  <c r="H5128" i="2"/>
  <c r="G5127" i="2"/>
  <c r="H5127" i="2" s="1"/>
  <c r="F5127" i="2"/>
  <c r="D5127" i="2"/>
  <c r="H5126" i="2"/>
  <c r="G5126" i="2"/>
  <c r="F5126" i="2"/>
  <c r="D5126" i="2"/>
  <c r="G5125" i="2"/>
  <c r="F5125" i="2"/>
  <c r="D5125" i="2"/>
  <c r="H5125" i="2" s="1"/>
  <c r="G5124" i="2"/>
  <c r="H5124" i="2" s="1"/>
  <c r="F5124" i="2"/>
  <c r="D5124" i="2"/>
  <c r="H5123" i="2"/>
  <c r="G5123" i="2"/>
  <c r="F5123" i="2"/>
  <c r="D5123" i="2"/>
  <c r="G5122" i="2"/>
  <c r="F5122" i="2"/>
  <c r="D5122" i="2"/>
  <c r="H5122" i="2" s="1"/>
  <c r="G5121" i="2"/>
  <c r="F5121" i="2"/>
  <c r="D5121" i="2"/>
  <c r="H5121" i="2" s="1"/>
  <c r="H5120" i="2"/>
  <c r="G5120" i="2"/>
  <c r="F5120" i="2"/>
  <c r="D5120" i="2"/>
  <c r="G5119" i="2"/>
  <c r="F5119" i="2"/>
  <c r="D5119" i="2"/>
  <c r="H5119" i="2" s="1"/>
  <c r="G5118" i="2"/>
  <c r="F5118" i="2"/>
  <c r="D5118" i="2"/>
  <c r="H5118" i="2" s="1"/>
  <c r="H5117" i="2"/>
  <c r="G5116" i="2"/>
  <c r="F5116" i="2"/>
  <c r="D5116" i="2"/>
  <c r="H5116" i="2" s="1"/>
  <c r="G5115" i="2"/>
  <c r="F5115" i="2"/>
  <c r="D5115" i="2"/>
  <c r="H5115" i="2" s="1"/>
  <c r="G5114" i="2"/>
  <c r="F5114" i="2"/>
  <c r="D5114" i="2"/>
  <c r="H5114" i="2" s="1"/>
  <c r="G5113" i="2"/>
  <c r="F5113" i="2"/>
  <c r="D5113" i="2"/>
  <c r="H5113" i="2" s="1"/>
  <c r="G5112" i="2"/>
  <c r="F5112" i="2"/>
  <c r="D5112" i="2"/>
  <c r="H5112" i="2" s="1"/>
  <c r="G5111" i="2"/>
  <c r="F5111" i="2"/>
  <c r="D5111" i="2"/>
  <c r="H5111" i="2" s="1"/>
  <c r="G5110" i="2"/>
  <c r="F5110" i="2"/>
  <c r="D5110" i="2"/>
  <c r="H5110" i="2" s="1"/>
  <c r="G5109" i="2"/>
  <c r="F5109" i="2"/>
  <c r="D5109" i="2"/>
  <c r="H5109" i="2" s="1"/>
  <c r="G5108" i="2"/>
  <c r="F5108" i="2"/>
  <c r="D5108" i="2"/>
  <c r="H5108" i="2" s="1"/>
  <c r="G5107" i="2"/>
  <c r="F5107" i="2"/>
  <c r="D5107" i="2"/>
  <c r="H5107" i="2" s="1"/>
  <c r="H5106" i="2"/>
  <c r="G5105" i="2"/>
  <c r="F5105" i="2"/>
  <c r="D5105" i="2"/>
  <c r="H5105" i="2" s="1"/>
  <c r="G5104" i="2"/>
  <c r="F5104" i="2"/>
  <c r="H5104" i="2" s="1"/>
  <c r="D5104" i="2"/>
  <c r="G5103" i="2"/>
  <c r="H5103" i="2" s="1"/>
  <c r="F5103" i="2"/>
  <c r="D5103" i="2"/>
  <c r="G5102" i="2"/>
  <c r="F5102" i="2"/>
  <c r="D5102" i="2"/>
  <c r="H5102" i="2" s="1"/>
  <c r="G5101" i="2"/>
  <c r="F5101" i="2"/>
  <c r="H5101" i="2" s="1"/>
  <c r="D5101" i="2"/>
  <c r="G5100" i="2"/>
  <c r="F5100" i="2"/>
  <c r="H5100" i="2" s="1"/>
  <c r="D5100" i="2"/>
  <c r="G5099" i="2"/>
  <c r="F5099" i="2"/>
  <c r="D5099" i="2"/>
  <c r="H5099" i="2" s="1"/>
  <c r="G5098" i="2"/>
  <c r="F5098" i="2"/>
  <c r="H5098" i="2" s="1"/>
  <c r="D5098" i="2"/>
  <c r="G5097" i="2"/>
  <c r="F5097" i="2"/>
  <c r="H5097" i="2" s="1"/>
  <c r="D5097" i="2"/>
  <c r="G5096" i="2"/>
  <c r="F5096" i="2"/>
  <c r="D5096" i="2"/>
  <c r="H5096" i="2" s="1"/>
  <c r="H5095" i="2"/>
  <c r="G5094" i="2"/>
  <c r="F5094" i="2"/>
  <c r="D5094" i="2"/>
  <c r="H5094" i="2" s="1"/>
  <c r="H5093" i="2"/>
  <c r="G5093" i="2"/>
  <c r="F5093" i="2"/>
  <c r="D5093" i="2"/>
  <c r="H5092" i="2"/>
  <c r="G5092" i="2"/>
  <c r="F5092" i="2"/>
  <c r="D5092" i="2"/>
  <c r="G5091" i="2"/>
  <c r="F5091" i="2"/>
  <c r="D5091" i="2"/>
  <c r="H5091" i="2" s="1"/>
  <c r="H5090" i="2"/>
  <c r="G5090" i="2"/>
  <c r="F5090" i="2"/>
  <c r="D5090" i="2"/>
  <c r="H5089" i="2"/>
  <c r="G5089" i="2"/>
  <c r="F5089" i="2"/>
  <c r="D5089" i="2"/>
  <c r="G5088" i="2"/>
  <c r="F5088" i="2"/>
  <c r="D5088" i="2"/>
  <c r="H5088" i="2" s="1"/>
  <c r="G5087" i="2"/>
  <c r="F5087" i="2"/>
  <c r="D5087" i="2"/>
  <c r="H5087" i="2" s="1"/>
  <c r="H5086" i="2"/>
  <c r="G5086" i="2"/>
  <c r="F5086" i="2"/>
  <c r="D5086" i="2"/>
  <c r="G5085" i="2"/>
  <c r="F5085" i="2"/>
  <c r="D5085" i="2"/>
  <c r="H5085" i="2" s="1"/>
  <c r="H5084" i="2"/>
  <c r="G5083" i="2"/>
  <c r="F5083" i="2"/>
  <c r="D5083" i="2"/>
  <c r="H5083" i="2" s="1"/>
  <c r="G5082" i="2"/>
  <c r="H5082" i="2" s="1"/>
  <c r="F5082" i="2"/>
  <c r="D5082" i="2"/>
  <c r="H5081" i="2"/>
  <c r="G5081" i="2"/>
  <c r="F5081" i="2"/>
  <c r="D5081" i="2"/>
  <c r="G5080" i="2"/>
  <c r="F5080" i="2"/>
  <c r="D5080" i="2"/>
  <c r="H5080" i="2" s="1"/>
  <c r="G5079" i="2"/>
  <c r="H5079" i="2" s="1"/>
  <c r="F5079" i="2"/>
  <c r="D5079" i="2"/>
  <c r="H5078" i="2"/>
  <c r="G5078" i="2"/>
  <c r="F5078" i="2"/>
  <c r="D5078" i="2"/>
  <c r="G5077" i="2"/>
  <c r="F5077" i="2"/>
  <c r="D5077" i="2"/>
  <c r="H5077" i="2" s="1"/>
  <c r="G5076" i="2"/>
  <c r="F5076" i="2"/>
  <c r="D5076" i="2"/>
  <c r="H5076" i="2" s="1"/>
  <c r="H5075" i="2"/>
  <c r="G5075" i="2"/>
  <c r="F5075" i="2"/>
  <c r="D5075" i="2"/>
  <c r="G5074" i="2"/>
  <c r="F5074" i="2"/>
  <c r="D5074" i="2"/>
  <c r="H5074" i="2" s="1"/>
  <c r="H5073" i="2"/>
  <c r="G5072" i="2"/>
  <c r="F5072" i="2"/>
  <c r="D5072" i="2"/>
  <c r="H5072" i="2" s="1"/>
  <c r="G5071" i="2"/>
  <c r="F5071" i="2"/>
  <c r="D5071" i="2"/>
  <c r="H5071" i="2" s="1"/>
  <c r="G5070" i="2"/>
  <c r="F5070" i="2"/>
  <c r="D5070" i="2"/>
  <c r="H5070" i="2" s="1"/>
  <c r="G5069" i="2"/>
  <c r="F5069" i="2"/>
  <c r="D5069" i="2"/>
  <c r="H5069" i="2" s="1"/>
  <c r="G5068" i="2"/>
  <c r="F5068" i="2"/>
  <c r="D5068" i="2"/>
  <c r="H5068" i="2" s="1"/>
  <c r="G5067" i="2"/>
  <c r="F5067" i="2"/>
  <c r="D5067" i="2"/>
  <c r="H5067" i="2" s="1"/>
  <c r="G5066" i="2"/>
  <c r="F5066" i="2"/>
  <c r="D5066" i="2"/>
  <c r="H5066" i="2" s="1"/>
  <c r="G5065" i="2"/>
  <c r="F5065" i="2"/>
  <c r="D5065" i="2"/>
  <c r="H5065" i="2" s="1"/>
  <c r="G5064" i="2"/>
  <c r="F5064" i="2"/>
  <c r="D5064" i="2"/>
  <c r="H5064" i="2" s="1"/>
  <c r="G5063" i="2"/>
  <c r="F5063" i="2"/>
  <c r="D5063" i="2"/>
  <c r="H5063" i="2" s="1"/>
  <c r="H5062" i="2"/>
  <c r="G5061" i="2"/>
  <c r="H5061" i="2" s="1"/>
  <c r="F5061" i="2"/>
  <c r="D5061" i="2"/>
  <c r="G5060" i="2"/>
  <c r="F5060" i="2"/>
  <c r="D5060" i="2"/>
  <c r="H5060" i="2" s="1"/>
  <c r="G5059" i="2"/>
  <c r="F5059" i="2"/>
  <c r="H5059" i="2" s="1"/>
  <c r="D5059" i="2"/>
  <c r="G5058" i="2"/>
  <c r="H5058" i="2" s="1"/>
  <c r="F5058" i="2"/>
  <c r="D5058" i="2"/>
  <c r="G5057" i="2"/>
  <c r="F5057" i="2"/>
  <c r="D5057" i="2"/>
  <c r="H5057" i="2" s="1"/>
  <c r="G5056" i="2"/>
  <c r="F5056" i="2"/>
  <c r="H5056" i="2" s="1"/>
  <c r="D5056" i="2"/>
  <c r="G5055" i="2"/>
  <c r="H5055" i="2" s="1"/>
  <c r="F5055" i="2"/>
  <c r="D5055" i="2"/>
  <c r="G5054" i="2"/>
  <c r="F5054" i="2"/>
  <c r="D5054" i="2"/>
  <c r="H5054" i="2" s="1"/>
  <c r="G5053" i="2"/>
  <c r="F5053" i="2"/>
  <c r="H5053" i="2" s="1"/>
  <c r="D5053" i="2"/>
  <c r="G5052" i="2"/>
  <c r="F5052" i="2"/>
  <c r="H5052" i="2" s="1"/>
  <c r="D5052" i="2"/>
  <c r="H5051" i="2"/>
  <c r="H5050" i="2"/>
  <c r="G5050" i="2"/>
  <c r="F5050" i="2"/>
  <c r="D5050" i="2"/>
  <c r="G5049" i="2"/>
  <c r="F5049" i="2"/>
  <c r="D5049" i="2"/>
  <c r="H5049" i="2" s="1"/>
  <c r="H5048" i="2"/>
  <c r="G5048" i="2"/>
  <c r="F5048" i="2"/>
  <c r="D5048" i="2"/>
  <c r="H5047" i="2"/>
  <c r="G5047" i="2"/>
  <c r="F5047" i="2"/>
  <c r="D5047" i="2"/>
  <c r="G5046" i="2"/>
  <c r="F5046" i="2"/>
  <c r="D5046" i="2"/>
  <c r="H5046" i="2" s="1"/>
  <c r="H5045" i="2"/>
  <c r="G5045" i="2"/>
  <c r="F5045" i="2"/>
  <c r="D5045" i="2"/>
  <c r="H5044" i="2"/>
  <c r="G5044" i="2"/>
  <c r="F5044" i="2"/>
  <c r="D5044" i="2"/>
  <c r="G5043" i="2"/>
  <c r="F5043" i="2"/>
  <c r="D5043" i="2"/>
  <c r="H5043" i="2" s="1"/>
  <c r="G5042" i="2"/>
  <c r="F5042" i="2"/>
  <c r="D5042" i="2"/>
  <c r="H5042" i="2" s="1"/>
  <c r="H5041" i="2"/>
  <c r="G5041" i="2"/>
  <c r="F5041" i="2"/>
  <c r="D5041" i="2"/>
  <c r="H5040" i="2"/>
  <c r="H5039" i="2"/>
  <c r="G5039" i="2"/>
  <c r="F5039" i="2"/>
  <c r="D5039" i="2"/>
  <c r="G5038" i="2"/>
  <c r="F5038" i="2"/>
  <c r="D5038" i="2"/>
  <c r="H5038" i="2" s="1"/>
  <c r="G5037" i="2"/>
  <c r="F5037" i="2"/>
  <c r="H5037" i="2" s="1"/>
  <c r="D5037" i="2"/>
  <c r="H5036" i="2"/>
  <c r="G5036" i="2"/>
  <c r="F5036" i="2"/>
  <c r="D5036" i="2"/>
  <c r="G5035" i="2"/>
  <c r="F5035" i="2"/>
  <c r="D5035" i="2"/>
  <c r="H5035" i="2" s="1"/>
  <c r="G5034" i="2"/>
  <c r="F5034" i="2"/>
  <c r="H5034" i="2" s="1"/>
  <c r="D5034" i="2"/>
  <c r="H5033" i="2"/>
  <c r="G5033" i="2"/>
  <c r="F5033" i="2"/>
  <c r="D5033" i="2"/>
  <c r="G5032" i="2"/>
  <c r="F5032" i="2"/>
  <c r="D5032" i="2"/>
  <c r="H5032" i="2" s="1"/>
  <c r="G5031" i="2"/>
  <c r="F5031" i="2"/>
  <c r="D5031" i="2"/>
  <c r="H5031" i="2" s="1"/>
  <c r="G5030" i="2"/>
  <c r="F5030" i="2"/>
  <c r="H5030" i="2" s="1"/>
  <c r="D5030" i="2"/>
  <c r="H5029" i="2"/>
  <c r="G5028" i="2"/>
  <c r="F5028" i="2"/>
  <c r="D5028" i="2"/>
  <c r="H5028" i="2" s="1"/>
  <c r="G5027" i="2"/>
  <c r="F5027" i="2"/>
  <c r="D5027" i="2"/>
  <c r="H5027" i="2" s="1"/>
  <c r="G5026" i="2"/>
  <c r="F5026" i="2"/>
  <c r="D5026" i="2"/>
  <c r="H5026" i="2" s="1"/>
  <c r="G5025" i="2"/>
  <c r="F5025" i="2"/>
  <c r="D5025" i="2"/>
  <c r="H5025" i="2" s="1"/>
  <c r="G5024" i="2"/>
  <c r="F5024" i="2"/>
  <c r="D5024" i="2"/>
  <c r="H5024" i="2" s="1"/>
  <c r="G5023" i="2"/>
  <c r="F5023" i="2"/>
  <c r="D5023" i="2"/>
  <c r="H5023" i="2" s="1"/>
  <c r="G5022" i="2"/>
  <c r="F5022" i="2"/>
  <c r="D5022" i="2"/>
  <c r="H5022" i="2" s="1"/>
  <c r="G5021" i="2"/>
  <c r="F5021" i="2"/>
  <c r="D5021" i="2"/>
  <c r="H5021" i="2" s="1"/>
  <c r="G5020" i="2"/>
  <c r="F5020" i="2"/>
  <c r="D5020" i="2"/>
  <c r="H5020" i="2" s="1"/>
  <c r="G5019" i="2"/>
  <c r="F5019" i="2"/>
  <c r="D5019" i="2"/>
  <c r="H5019" i="2" s="1"/>
  <c r="H5018" i="2"/>
  <c r="G5017" i="2"/>
  <c r="F5017" i="2"/>
  <c r="H5017" i="2" s="1"/>
  <c r="D5017" i="2"/>
  <c r="H5016" i="2"/>
  <c r="G5016" i="2"/>
  <c r="F5016" i="2"/>
  <c r="D5016" i="2"/>
  <c r="G5015" i="2"/>
  <c r="F5015" i="2"/>
  <c r="D5015" i="2"/>
  <c r="H5015" i="2" s="1"/>
  <c r="G5014" i="2"/>
  <c r="F5014" i="2"/>
  <c r="H5014" i="2" s="1"/>
  <c r="D5014" i="2"/>
  <c r="G5013" i="2"/>
  <c r="H5013" i="2" s="1"/>
  <c r="F5013" i="2"/>
  <c r="D5013" i="2"/>
  <c r="G5012" i="2"/>
  <c r="F5012" i="2"/>
  <c r="D5012" i="2"/>
  <c r="H5012" i="2" s="1"/>
  <c r="G5011" i="2"/>
  <c r="F5011" i="2"/>
  <c r="H5011" i="2" s="1"/>
  <c r="D5011" i="2"/>
  <c r="G5010" i="2"/>
  <c r="H5010" i="2" s="1"/>
  <c r="F5010" i="2"/>
  <c r="D5010" i="2"/>
  <c r="G5009" i="2"/>
  <c r="F5009" i="2"/>
  <c r="D5009" i="2"/>
  <c r="H5009" i="2" s="1"/>
  <c r="G5008" i="2"/>
  <c r="F5008" i="2"/>
  <c r="D5008" i="2"/>
  <c r="H5008" i="2" s="1"/>
  <c r="G5007" i="2"/>
  <c r="H5007" i="2" s="1"/>
  <c r="F5007" i="2"/>
  <c r="D5007" i="2"/>
  <c r="G5006" i="2"/>
  <c r="F5006" i="2"/>
  <c r="D5006" i="2"/>
  <c r="H5006" i="2" s="1"/>
  <c r="G5005" i="2"/>
  <c r="F5005" i="2"/>
  <c r="D5005" i="2"/>
  <c r="H5005" i="2" s="1"/>
  <c r="G5004" i="2"/>
  <c r="H5004" i="2" s="1"/>
  <c r="F5004" i="2"/>
  <c r="D5004" i="2"/>
  <c r="G5003" i="2"/>
  <c r="F5003" i="2"/>
  <c r="D5003" i="2"/>
  <c r="H5003" i="2" s="1"/>
  <c r="G5002" i="2"/>
  <c r="F5002" i="2"/>
  <c r="D5002" i="2"/>
  <c r="H5002" i="2" s="1"/>
  <c r="H5001" i="2"/>
  <c r="H5000" i="2"/>
  <c r="G5000" i="2"/>
  <c r="F5000" i="2"/>
  <c r="D5000" i="2"/>
  <c r="H4999" i="2"/>
  <c r="G4999" i="2"/>
  <c r="F4999" i="2"/>
  <c r="D4999" i="2"/>
  <c r="G4998" i="2"/>
  <c r="F4998" i="2"/>
  <c r="D4998" i="2"/>
  <c r="H4998" i="2" s="1"/>
  <c r="H4997" i="2"/>
  <c r="G4997" i="2"/>
  <c r="F4997" i="2"/>
  <c r="D4997" i="2"/>
  <c r="H4996" i="2"/>
  <c r="G4996" i="2"/>
  <c r="F4996" i="2"/>
  <c r="D4996" i="2"/>
  <c r="G4995" i="2"/>
  <c r="F4995" i="2"/>
  <c r="D4995" i="2"/>
  <c r="H4995" i="2" s="1"/>
  <c r="H4994" i="2"/>
  <c r="G4994" i="2"/>
  <c r="F4994" i="2"/>
  <c r="D4994" i="2"/>
  <c r="H4993" i="2"/>
  <c r="G4993" i="2"/>
  <c r="F4993" i="2"/>
  <c r="D4993" i="2"/>
  <c r="G4992" i="2"/>
  <c r="F4992" i="2"/>
  <c r="D4992" i="2"/>
  <c r="H4992" i="2" s="1"/>
  <c r="G4991" i="2"/>
  <c r="F4991" i="2"/>
  <c r="D4991" i="2"/>
  <c r="H4991" i="2" s="1"/>
  <c r="H4990" i="2"/>
  <c r="G4990" i="2"/>
  <c r="F4990" i="2"/>
  <c r="D4990" i="2"/>
  <c r="G4989" i="2"/>
  <c r="F4989" i="2"/>
  <c r="D4989" i="2"/>
  <c r="H4989" i="2" s="1"/>
  <c r="G4988" i="2"/>
  <c r="F4988" i="2"/>
  <c r="D4988" i="2"/>
  <c r="H4988" i="2" s="1"/>
  <c r="G4987" i="2"/>
  <c r="F4987" i="2"/>
  <c r="H4987" i="2" s="1"/>
  <c r="D4987" i="2"/>
  <c r="G4986" i="2"/>
  <c r="F4986" i="2"/>
  <c r="D4986" i="2"/>
  <c r="H4986" i="2" s="1"/>
  <c r="H4985" i="2"/>
  <c r="G4984" i="2"/>
  <c r="F4984" i="2"/>
  <c r="D4984" i="2"/>
  <c r="H4984" i="2" s="1"/>
  <c r="G4983" i="2"/>
  <c r="H4983" i="2" s="1"/>
  <c r="F4983" i="2"/>
  <c r="D4983" i="2"/>
  <c r="H4982" i="2"/>
  <c r="G4982" i="2"/>
  <c r="F4982" i="2"/>
  <c r="D4982" i="2"/>
  <c r="G4981" i="2"/>
  <c r="F4981" i="2"/>
  <c r="D4981" i="2"/>
  <c r="H4981" i="2" s="1"/>
  <c r="G4980" i="2"/>
  <c r="F4980" i="2"/>
  <c r="H4980" i="2" s="1"/>
  <c r="D4980" i="2"/>
  <c r="H4979" i="2"/>
  <c r="G4979" i="2"/>
  <c r="F4979" i="2"/>
  <c r="D4979" i="2"/>
  <c r="G4978" i="2"/>
  <c r="F4978" i="2"/>
  <c r="D4978" i="2"/>
  <c r="H4978" i="2" s="1"/>
  <c r="G4977" i="2"/>
  <c r="F4977" i="2"/>
  <c r="H4977" i="2" s="1"/>
  <c r="D4977" i="2"/>
  <c r="H4976" i="2"/>
  <c r="G4976" i="2"/>
  <c r="F4976" i="2"/>
  <c r="D4976" i="2"/>
  <c r="G4975" i="2"/>
  <c r="F4975" i="2"/>
  <c r="D4975" i="2"/>
  <c r="H4975" i="2" s="1"/>
  <c r="H4974" i="2"/>
  <c r="G4973" i="2"/>
  <c r="F4973" i="2"/>
  <c r="D4973" i="2"/>
  <c r="H4973" i="2" s="1"/>
  <c r="G4972" i="2"/>
  <c r="F4972" i="2"/>
  <c r="H4972" i="2" s="1"/>
  <c r="D4972" i="2"/>
  <c r="G4971" i="2"/>
  <c r="F4971" i="2"/>
  <c r="H4971" i="2" s="1"/>
  <c r="D4971" i="2"/>
  <c r="G4970" i="2"/>
  <c r="F4970" i="2"/>
  <c r="D4970" i="2"/>
  <c r="H4970" i="2" s="1"/>
  <c r="G4969" i="2"/>
  <c r="F4969" i="2"/>
  <c r="D4969" i="2"/>
  <c r="H4969" i="2" s="1"/>
  <c r="G4968" i="2"/>
  <c r="F4968" i="2"/>
  <c r="H4968" i="2" s="1"/>
  <c r="D4968" i="2"/>
  <c r="G4967" i="2"/>
  <c r="F4967" i="2"/>
  <c r="D4967" i="2"/>
  <c r="H4967" i="2" s="1"/>
  <c r="G4966" i="2"/>
  <c r="F4966" i="2"/>
  <c r="D4966" i="2"/>
  <c r="H4966" i="2" s="1"/>
  <c r="G4965" i="2"/>
  <c r="F4965" i="2"/>
  <c r="H4965" i="2" s="1"/>
  <c r="D4965" i="2"/>
  <c r="G4964" i="2"/>
  <c r="F4964" i="2"/>
  <c r="D4964" i="2"/>
  <c r="H4964" i="2" s="1"/>
  <c r="H4963" i="2"/>
  <c r="G4962" i="2"/>
  <c r="F4962" i="2"/>
  <c r="D4962" i="2"/>
  <c r="H4962" i="2" s="1"/>
  <c r="G4961" i="2"/>
  <c r="F4961" i="2"/>
  <c r="D4961" i="2"/>
  <c r="H4961" i="2" s="1"/>
  <c r="G4960" i="2"/>
  <c r="F4960" i="2"/>
  <c r="H4960" i="2" s="1"/>
  <c r="D4960" i="2"/>
  <c r="G4959" i="2"/>
  <c r="F4959" i="2"/>
  <c r="D4959" i="2"/>
  <c r="H4959" i="2" s="1"/>
  <c r="G4958" i="2"/>
  <c r="F4958" i="2"/>
  <c r="D4958" i="2"/>
  <c r="H4958" i="2" s="1"/>
  <c r="G4957" i="2"/>
  <c r="F4957" i="2"/>
  <c r="H4957" i="2" s="1"/>
  <c r="D4957" i="2"/>
  <c r="G4956" i="2"/>
  <c r="F4956" i="2"/>
  <c r="D4956" i="2"/>
  <c r="H4956" i="2" s="1"/>
  <c r="G4955" i="2"/>
  <c r="F4955" i="2"/>
  <c r="D4955" i="2"/>
  <c r="H4955" i="2" s="1"/>
  <c r="G4954" i="2"/>
  <c r="F4954" i="2"/>
  <c r="D4954" i="2"/>
  <c r="H4954" i="2" s="1"/>
  <c r="G4953" i="2"/>
  <c r="F4953" i="2"/>
  <c r="D4953" i="2"/>
  <c r="H4953" i="2" s="1"/>
  <c r="G4952" i="2"/>
  <c r="F4952" i="2"/>
  <c r="D4952" i="2"/>
  <c r="H4952" i="2" s="1"/>
  <c r="G4951" i="2"/>
  <c r="F4951" i="2"/>
  <c r="D4951" i="2"/>
  <c r="H4951" i="2" s="1"/>
  <c r="G4950" i="2"/>
  <c r="F4950" i="2"/>
  <c r="D4950" i="2"/>
  <c r="H4950" i="2" s="1"/>
  <c r="G4949" i="2"/>
  <c r="F4949" i="2"/>
  <c r="D4949" i="2"/>
  <c r="H4949" i="2" s="1"/>
  <c r="G4948" i="2"/>
  <c r="F4948" i="2"/>
  <c r="D4948" i="2"/>
  <c r="H4948" i="2" s="1"/>
  <c r="H4947" i="2"/>
  <c r="G4946" i="2"/>
  <c r="F4946" i="2"/>
  <c r="H4946" i="2" s="1"/>
  <c r="D4946" i="2"/>
  <c r="H4945" i="2"/>
  <c r="G4945" i="2"/>
  <c r="F4945" i="2"/>
  <c r="D4945" i="2"/>
  <c r="G4944" i="2"/>
  <c r="F4944" i="2"/>
  <c r="D4944" i="2"/>
  <c r="H4944" i="2" s="1"/>
  <c r="G4943" i="2"/>
  <c r="F4943" i="2"/>
  <c r="D4943" i="2"/>
  <c r="H4943" i="2" s="1"/>
  <c r="H4942" i="2"/>
  <c r="G4942" i="2"/>
  <c r="F4942" i="2"/>
  <c r="D4942" i="2"/>
  <c r="G4941" i="2"/>
  <c r="F4941" i="2"/>
  <c r="D4941" i="2"/>
  <c r="H4941" i="2" s="1"/>
  <c r="G4940" i="2"/>
  <c r="F4940" i="2"/>
  <c r="D4940" i="2"/>
  <c r="H4940" i="2" s="1"/>
  <c r="H4939" i="2"/>
  <c r="G4939" i="2"/>
  <c r="F4939" i="2"/>
  <c r="D4939" i="2"/>
  <c r="G4938" i="2"/>
  <c r="F4938" i="2"/>
  <c r="D4938" i="2"/>
  <c r="H4938" i="2" s="1"/>
  <c r="G4937" i="2"/>
  <c r="F4937" i="2"/>
  <c r="D4937" i="2"/>
  <c r="H4937" i="2" s="1"/>
  <c r="H4936" i="2"/>
  <c r="G4936" i="2"/>
  <c r="F4936" i="2"/>
  <c r="D4936" i="2"/>
  <c r="G4935" i="2"/>
  <c r="F4935" i="2"/>
  <c r="D4935" i="2"/>
  <c r="H4935" i="2" s="1"/>
  <c r="G4934" i="2"/>
  <c r="F4934" i="2"/>
  <c r="D4934" i="2"/>
  <c r="H4934" i="2" s="1"/>
  <c r="H4933" i="2"/>
  <c r="G4933" i="2"/>
  <c r="F4933" i="2"/>
  <c r="D4933" i="2"/>
  <c r="G4932" i="2"/>
  <c r="F4932" i="2"/>
  <c r="D4932" i="2"/>
  <c r="H4932" i="2" s="1"/>
  <c r="G4931" i="2"/>
  <c r="F4931" i="2"/>
  <c r="D4931" i="2"/>
  <c r="H4931" i="2" s="1"/>
  <c r="H4930" i="2"/>
  <c r="G4929" i="2"/>
  <c r="F4929" i="2"/>
  <c r="H4929" i="2" s="1"/>
  <c r="D4929" i="2"/>
  <c r="H4928" i="2"/>
  <c r="G4928" i="2"/>
  <c r="F4928" i="2"/>
  <c r="D4928" i="2"/>
  <c r="G4927" i="2"/>
  <c r="F4927" i="2"/>
  <c r="D4927" i="2"/>
  <c r="H4927" i="2" s="1"/>
  <c r="G4926" i="2"/>
  <c r="F4926" i="2"/>
  <c r="H4926" i="2" s="1"/>
  <c r="D4926" i="2"/>
  <c r="H4925" i="2"/>
  <c r="G4925" i="2"/>
  <c r="F4925" i="2"/>
  <c r="D4925" i="2"/>
  <c r="G4924" i="2"/>
  <c r="F4924" i="2"/>
  <c r="D4924" i="2"/>
  <c r="H4924" i="2" s="1"/>
  <c r="G4923" i="2"/>
  <c r="F4923" i="2"/>
  <c r="H4923" i="2" s="1"/>
  <c r="D4923" i="2"/>
  <c r="H4922" i="2"/>
  <c r="G4922" i="2"/>
  <c r="F4922" i="2"/>
  <c r="D4922" i="2"/>
  <c r="G4921" i="2"/>
  <c r="F4921" i="2"/>
  <c r="D4921" i="2"/>
  <c r="H4921" i="2" s="1"/>
  <c r="G4920" i="2"/>
  <c r="F4920" i="2"/>
  <c r="D4920" i="2"/>
  <c r="H4920" i="2" s="1"/>
  <c r="H4919" i="2"/>
  <c r="G4918" i="2"/>
  <c r="H4918" i="2" s="1"/>
  <c r="F4918" i="2"/>
  <c r="D4918" i="2"/>
  <c r="G4917" i="2"/>
  <c r="F4917" i="2"/>
  <c r="H4917" i="2" s="1"/>
  <c r="D4917" i="2"/>
  <c r="G4916" i="2"/>
  <c r="F4916" i="2"/>
  <c r="D4916" i="2"/>
  <c r="H4916" i="2" s="1"/>
  <c r="G4915" i="2"/>
  <c r="F4915" i="2"/>
  <c r="H4915" i="2" s="1"/>
  <c r="D4915" i="2"/>
  <c r="G4914" i="2"/>
  <c r="F4914" i="2"/>
  <c r="H4914" i="2" s="1"/>
  <c r="D4914" i="2"/>
  <c r="G4913" i="2"/>
  <c r="F4913" i="2"/>
  <c r="D4913" i="2"/>
  <c r="H4913" i="2" s="1"/>
  <c r="G4912" i="2"/>
  <c r="F4912" i="2"/>
  <c r="D4912" i="2"/>
  <c r="H4912" i="2" s="1"/>
  <c r="G4911" i="2"/>
  <c r="F4911" i="2"/>
  <c r="H4911" i="2" s="1"/>
  <c r="D4911" i="2"/>
  <c r="G4910" i="2"/>
  <c r="F4910" i="2"/>
  <c r="D4910" i="2"/>
  <c r="H4910" i="2" s="1"/>
  <c r="G4909" i="2"/>
  <c r="F4909" i="2"/>
  <c r="D4909" i="2"/>
  <c r="H4909" i="2" s="1"/>
  <c r="H4908" i="2"/>
  <c r="G4907" i="2"/>
  <c r="F4907" i="2"/>
  <c r="D4907" i="2"/>
  <c r="H4907" i="2" s="1"/>
  <c r="G4906" i="2"/>
  <c r="F4906" i="2"/>
  <c r="H4906" i="2" s="1"/>
  <c r="D4906" i="2"/>
  <c r="G4905" i="2"/>
  <c r="F4905" i="2"/>
  <c r="D4905" i="2"/>
  <c r="H4905" i="2" s="1"/>
  <c r="G4904" i="2"/>
  <c r="F4904" i="2"/>
  <c r="D4904" i="2"/>
  <c r="H4904" i="2" s="1"/>
  <c r="G4903" i="2"/>
  <c r="F4903" i="2"/>
  <c r="D4903" i="2"/>
  <c r="H4903" i="2" s="1"/>
  <c r="G4902" i="2"/>
  <c r="F4902" i="2"/>
  <c r="D4902" i="2"/>
  <c r="H4902" i="2" s="1"/>
  <c r="G4901" i="2"/>
  <c r="F4901" i="2"/>
  <c r="D4901" i="2"/>
  <c r="H4901" i="2" s="1"/>
  <c r="G4900" i="2"/>
  <c r="F4900" i="2"/>
  <c r="D4900" i="2"/>
  <c r="H4900" i="2" s="1"/>
  <c r="G4899" i="2"/>
  <c r="F4899" i="2"/>
  <c r="D4899" i="2"/>
  <c r="H4899" i="2" s="1"/>
  <c r="G4898" i="2"/>
  <c r="F4898" i="2"/>
  <c r="D4898" i="2"/>
  <c r="H4898" i="2" s="1"/>
  <c r="H4897" i="2"/>
  <c r="G4896" i="2"/>
  <c r="F4896" i="2"/>
  <c r="D4896" i="2"/>
  <c r="H4896" i="2" s="1"/>
  <c r="G4895" i="2"/>
  <c r="F4895" i="2"/>
  <c r="D4895" i="2"/>
  <c r="H4895" i="2" s="1"/>
  <c r="H4894" i="2"/>
  <c r="G4894" i="2"/>
  <c r="F4894" i="2"/>
  <c r="D4894" i="2"/>
  <c r="G4893" i="2"/>
  <c r="F4893" i="2"/>
  <c r="D4893" i="2"/>
  <c r="H4893" i="2" s="1"/>
  <c r="G4892" i="2"/>
  <c r="F4892" i="2"/>
  <c r="D4892" i="2"/>
  <c r="H4892" i="2" s="1"/>
  <c r="H4891" i="2"/>
  <c r="G4891" i="2"/>
  <c r="F4891" i="2"/>
  <c r="D4891" i="2"/>
  <c r="G4890" i="2"/>
  <c r="F4890" i="2"/>
  <c r="D4890" i="2"/>
  <c r="H4890" i="2" s="1"/>
  <c r="G4889" i="2"/>
  <c r="F4889" i="2"/>
  <c r="D4889" i="2"/>
  <c r="H4889" i="2" s="1"/>
  <c r="H4888" i="2"/>
  <c r="G4888" i="2"/>
  <c r="F4888" i="2"/>
  <c r="D4888" i="2"/>
  <c r="G4887" i="2"/>
  <c r="F4887" i="2"/>
  <c r="D4887" i="2"/>
  <c r="H4887" i="2" s="1"/>
  <c r="H4886" i="2"/>
  <c r="G4885" i="2"/>
  <c r="F4885" i="2"/>
  <c r="D4885" i="2"/>
  <c r="H4885" i="2" s="1"/>
  <c r="G4884" i="2"/>
  <c r="F4884" i="2"/>
  <c r="H4884" i="2" s="1"/>
  <c r="D4884" i="2"/>
  <c r="H4883" i="2"/>
  <c r="G4883" i="2"/>
  <c r="F4883" i="2"/>
  <c r="D4883" i="2"/>
  <c r="G4882" i="2"/>
  <c r="F4882" i="2"/>
  <c r="D4882" i="2"/>
  <c r="H4882" i="2" s="1"/>
  <c r="G4881" i="2"/>
  <c r="F4881" i="2"/>
  <c r="H4881" i="2" s="1"/>
  <c r="D4881" i="2"/>
  <c r="H4880" i="2"/>
  <c r="G4880" i="2"/>
  <c r="F4880" i="2"/>
  <c r="D4880" i="2"/>
  <c r="G4879" i="2"/>
  <c r="F4879" i="2"/>
  <c r="D4879" i="2"/>
  <c r="H4879" i="2" s="1"/>
  <c r="G4878" i="2"/>
  <c r="F4878" i="2"/>
  <c r="H4878" i="2" s="1"/>
  <c r="D4878" i="2"/>
  <c r="G4877" i="2"/>
  <c r="F4877" i="2"/>
  <c r="H4877" i="2" s="1"/>
  <c r="D4877" i="2"/>
  <c r="G4876" i="2"/>
  <c r="F4876" i="2"/>
  <c r="D4876" i="2"/>
  <c r="H4876" i="2" s="1"/>
  <c r="H4875" i="2"/>
  <c r="H4874" i="2"/>
  <c r="G4874" i="2"/>
  <c r="F4874" i="2"/>
  <c r="D4874" i="2"/>
  <c r="G4873" i="2"/>
  <c r="H4873" i="2" s="1"/>
  <c r="F4873" i="2"/>
  <c r="D4873" i="2"/>
  <c r="G4872" i="2"/>
  <c r="F4872" i="2"/>
  <c r="H4872" i="2" s="1"/>
  <c r="D4872" i="2"/>
  <c r="G4871" i="2"/>
  <c r="F4871" i="2"/>
  <c r="D4871" i="2"/>
  <c r="H4871" i="2" s="1"/>
  <c r="G4870" i="2"/>
  <c r="F4870" i="2"/>
  <c r="D4870" i="2"/>
  <c r="H4870" i="2" s="1"/>
  <c r="G4869" i="2"/>
  <c r="F4869" i="2"/>
  <c r="H4869" i="2" s="1"/>
  <c r="D4869" i="2"/>
  <c r="G4868" i="2"/>
  <c r="F4868" i="2"/>
  <c r="D4868" i="2"/>
  <c r="H4868" i="2" s="1"/>
  <c r="G4867" i="2"/>
  <c r="F4867" i="2"/>
  <c r="D4867" i="2"/>
  <c r="H4867" i="2" s="1"/>
  <c r="G4866" i="2"/>
  <c r="F4866" i="2"/>
  <c r="H4866" i="2" s="1"/>
  <c r="D4866" i="2"/>
  <c r="G4865" i="2"/>
  <c r="F4865" i="2"/>
  <c r="D4865" i="2"/>
  <c r="H4865" i="2" s="1"/>
  <c r="H4864" i="2"/>
  <c r="G4863" i="2"/>
  <c r="F4863" i="2"/>
  <c r="D4863" i="2"/>
  <c r="H4863" i="2" s="1"/>
  <c r="G4862" i="2"/>
  <c r="F4862" i="2"/>
  <c r="D4862" i="2"/>
  <c r="H4862" i="2" s="1"/>
  <c r="G4861" i="2"/>
  <c r="F4861" i="2"/>
  <c r="H4861" i="2" s="1"/>
  <c r="D4861" i="2"/>
  <c r="G4860" i="2"/>
  <c r="F4860" i="2"/>
  <c r="D4860" i="2"/>
  <c r="H4860" i="2" s="1"/>
  <c r="G4859" i="2"/>
  <c r="F4859" i="2"/>
  <c r="D4859" i="2"/>
  <c r="H4859" i="2" s="1"/>
  <c r="G4858" i="2"/>
  <c r="F4858" i="2"/>
  <c r="D4858" i="2"/>
  <c r="H4858" i="2" s="1"/>
  <c r="G4857" i="2"/>
  <c r="F4857" i="2"/>
  <c r="D4857" i="2"/>
  <c r="H4857" i="2" s="1"/>
  <c r="G4856" i="2"/>
  <c r="F4856" i="2"/>
  <c r="D4856" i="2"/>
  <c r="H4856" i="2" s="1"/>
  <c r="G4855" i="2"/>
  <c r="F4855" i="2"/>
  <c r="D4855" i="2"/>
  <c r="H4855" i="2" s="1"/>
  <c r="G4854" i="2"/>
  <c r="F4854" i="2"/>
  <c r="D4854" i="2"/>
  <c r="H4854" i="2" s="1"/>
  <c r="H4853" i="2"/>
  <c r="H4852" i="2"/>
  <c r="G4852" i="2"/>
  <c r="F4852" i="2"/>
  <c r="D4852" i="2"/>
  <c r="G4851" i="2"/>
  <c r="F4851" i="2"/>
  <c r="D4851" i="2"/>
  <c r="H4851" i="2" s="1"/>
  <c r="G4850" i="2"/>
  <c r="F4850" i="2"/>
  <c r="D4850" i="2"/>
  <c r="H4850" i="2" s="1"/>
  <c r="H4849" i="2"/>
  <c r="G4849" i="2"/>
  <c r="F4849" i="2"/>
  <c r="D4849" i="2"/>
  <c r="G4848" i="2"/>
  <c r="F4848" i="2"/>
  <c r="D4848" i="2"/>
  <c r="H4848" i="2" s="1"/>
  <c r="G4847" i="2"/>
  <c r="F4847" i="2"/>
  <c r="D4847" i="2"/>
  <c r="H4847" i="2" s="1"/>
  <c r="H4846" i="2"/>
  <c r="G4846" i="2"/>
  <c r="F4846" i="2"/>
  <c r="D4846" i="2"/>
  <c r="G4845" i="2"/>
  <c r="F4845" i="2"/>
  <c r="D4845" i="2"/>
  <c r="H4845" i="2" s="1"/>
  <c r="G4844" i="2"/>
  <c r="F4844" i="2"/>
  <c r="D4844" i="2"/>
  <c r="H4844" i="2" s="1"/>
  <c r="H4843" i="2"/>
  <c r="G4843" i="2"/>
  <c r="F4843" i="2"/>
  <c r="D4843" i="2"/>
  <c r="H4842" i="2"/>
  <c r="H4841" i="2"/>
  <c r="G4841" i="2"/>
  <c r="F4841" i="2"/>
  <c r="D4841" i="2"/>
  <c r="G4840" i="2"/>
  <c r="F4840" i="2"/>
  <c r="D4840" i="2"/>
  <c r="H4840" i="2" s="1"/>
  <c r="G4839" i="2"/>
  <c r="F4839" i="2"/>
  <c r="H4839" i="2" s="1"/>
  <c r="D4839" i="2"/>
  <c r="H4838" i="2"/>
  <c r="G4838" i="2"/>
  <c r="F4838" i="2"/>
  <c r="D4838" i="2"/>
  <c r="G4837" i="2"/>
  <c r="F4837" i="2"/>
  <c r="D4837" i="2"/>
  <c r="H4837" i="2" s="1"/>
  <c r="G4836" i="2"/>
  <c r="F4836" i="2"/>
  <c r="H4836" i="2" s="1"/>
  <c r="D4836" i="2"/>
  <c r="H4835" i="2"/>
  <c r="G4835" i="2"/>
  <c r="F4835" i="2"/>
  <c r="D4835" i="2"/>
  <c r="G4834" i="2"/>
  <c r="F4834" i="2"/>
  <c r="D4834" i="2"/>
  <c r="H4834" i="2" s="1"/>
  <c r="G4833" i="2"/>
  <c r="F4833" i="2"/>
  <c r="H4833" i="2" s="1"/>
  <c r="D4833" i="2"/>
  <c r="H4832" i="2"/>
  <c r="G4832" i="2"/>
  <c r="F4832" i="2"/>
  <c r="D4832" i="2"/>
  <c r="H4831" i="2"/>
  <c r="G4830" i="2"/>
  <c r="F4830" i="2"/>
  <c r="H4830" i="2" s="1"/>
  <c r="D4830" i="2"/>
  <c r="G4829" i="2"/>
  <c r="F4829" i="2"/>
  <c r="D4829" i="2"/>
  <c r="H4829" i="2" s="1"/>
  <c r="G4828" i="2"/>
  <c r="F4828" i="2"/>
  <c r="H4828" i="2" s="1"/>
  <c r="D4828" i="2"/>
  <c r="G4827" i="2"/>
  <c r="F4827" i="2"/>
  <c r="H4827" i="2" s="1"/>
  <c r="D4827" i="2"/>
  <c r="G4826" i="2"/>
  <c r="F4826" i="2"/>
  <c r="D4826" i="2"/>
  <c r="H4826" i="2" s="1"/>
  <c r="G4825" i="2"/>
  <c r="F4825" i="2"/>
  <c r="D4825" i="2"/>
  <c r="H4825" i="2" s="1"/>
  <c r="G4824" i="2"/>
  <c r="F4824" i="2"/>
  <c r="H4824" i="2" s="1"/>
  <c r="D4824" i="2"/>
  <c r="G4823" i="2"/>
  <c r="F4823" i="2"/>
  <c r="D4823" i="2"/>
  <c r="H4823" i="2" s="1"/>
  <c r="G4822" i="2"/>
  <c r="F4822" i="2"/>
  <c r="D4822" i="2"/>
  <c r="H4822" i="2" s="1"/>
  <c r="G4821" i="2"/>
  <c r="F4821" i="2"/>
  <c r="H4821" i="2" s="1"/>
  <c r="D4821" i="2"/>
  <c r="H4820" i="2"/>
  <c r="G4819" i="2"/>
  <c r="F4819" i="2"/>
  <c r="H4819" i="2" s="1"/>
  <c r="D4819" i="2"/>
  <c r="G4818" i="2"/>
  <c r="F4818" i="2"/>
  <c r="D4818" i="2"/>
  <c r="H4818" i="2" s="1"/>
  <c r="G4817" i="2"/>
  <c r="F4817" i="2"/>
  <c r="D4817" i="2"/>
  <c r="H4817" i="2" s="1"/>
  <c r="G4816" i="2"/>
  <c r="F4816" i="2"/>
  <c r="H4816" i="2" s="1"/>
  <c r="D4816" i="2"/>
  <c r="G4815" i="2"/>
  <c r="F4815" i="2"/>
  <c r="D4815" i="2"/>
  <c r="H4815" i="2" s="1"/>
  <c r="G4814" i="2"/>
  <c r="F4814" i="2"/>
  <c r="D4814" i="2"/>
  <c r="H4814" i="2" s="1"/>
  <c r="G4813" i="2"/>
  <c r="F4813" i="2"/>
  <c r="D4813" i="2"/>
  <c r="H4813" i="2" s="1"/>
  <c r="G4812" i="2"/>
  <c r="F4812" i="2"/>
  <c r="D4812" i="2"/>
  <c r="H4812" i="2" s="1"/>
  <c r="G4811" i="2"/>
  <c r="F4811" i="2"/>
  <c r="D4811" i="2"/>
  <c r="H4811" i="2" s="1"/>
  <c r="G4810" i="2"/>
  <c r="F4810" i="2"/>
  <c r="D4810" i="2"/>
  <c r="H4810" i="2" s="1"/>
  <c r="H4809" i="2"/>
  <c r="G4808" i="2"/>
  <c r="F4808" i="2"/>
  <c r="D4808" i="2"/>
  <c r="H4808" i="2" s="1"/>
  <c r="H4807" i="2"/>
  <c r="G4807" i="2"/>
  <c r="F4807" i="2"/>
  <c r="D4807" i="2"/>
  <c r="G4806" i="2"/>
  <c r="F4806" i="2"/>
  <c r="D4806" i="2"/>
  <c r="H4806" i="2" s="1"/>
  <c r="G4805" i="2"/>
  <c r="F4805" i="2"/>
  <c r="D4805" i="2"/>
  <c r="H4805" i="2" s="1"/>
  <c r="H4804" i="2"/>
  <c r="G4804" i="2"/>
  <c r="F4804" i="2"/>
  <c r="D4804" i="2"/>
  <c r="G4803" i="2"/>
  <c r="F4803" i="2"/>
  <c r="D4803" i="2"/>
  <c r="H4803" i="2" s="1"/>
  <c r="G4802" i="2"/>
  <c r="F4802" i="2"/>
  <c r="D4802" i="2"/>
  <c r="H4802" i="2" s="1"/>
  <c r="H4801" i="2"/>
  <c r="G4801" i="2"/>
  <c r="F4801" i="2"/>
  <c r="D4801" i="2"/>
  <c r="G4800" i="2"/>
  <c r="F4800" i="2"/>
  <c r="D4800" i="2"/>
  <c r="H4800" i="2" s="1"/>
  <c r="G4799" i="2"/>
  <c r="F4799" i="2"/>
  <c r="D4799" i="2"/>
  <c r="H4799" i="2" s="1"/>
  <c r="H4798" i="2"/>
  <c r="G4798" i="2"/>
  <c r="F4798" i="2"/>
  <c r="D4798" i="2"/>
  <c r="G4797" i="2"/>
  <c r="F4797" i="2"/>
  <c r="D4797" i="2"/>
  <c r="H4797" i="2" s="1"/>
  <c r="G4796" i="2"/>
  <c r="F4796" i="2"/>
  <c r="D4796" i="2"/>
  <c r="H4796" i="2" s="1"/>
  <c r="H4795" i="2"/>
  <c r="G4795" i="2"/>
  <c r="F4795" i="2"/>
  <c r="D4795" i="2"/>
  <c r="G4794" i="2"/>
  <c r="F4794" i="2"/>
  <c r="D4794" i="2"/>
  <c r="H4794" i="2" s="1"/>
  <c r="G4793" i="2"/>
  <c r="F4793" i="2"/>
  <c r="D4793" i="2"/>
  <c r="H4793" i="2" s="1"/>
  <c r="H4792" i="2"/>
  <c r="G4791" i="2"/>
  <c r="F4791" i="2"/>
  <c r="H4791" i="2" s="1"/>
  <c r="D4791" i="2"/>
  <c r="G4790" i="2"/>
  <c r="F4790" i="2"/>
  <c r="H4790" i="2" s="1"/>
  <c r="D4790" i="2"/>
  <c r="G4789" i="2"/>
  <c r="F4789" i="2"/>
  <c r="D4789" i="2"/>
  <c r="H4789" i="2" s="1"/>
  <c r="G4788" i="2"/>
  <c r="F4788" i="2"/>
  <c r="H4788" i="2" s="1"/>
  <c r="D4788" i="2"/>
  <c r="G4787" i="2"/>
  <c r="F4787" i="2"/>
  <c r="H4787" i="2" s="1"/>
  <c r="D4787" i="2"/>
  <c r="G4786" i="2"/>
  <c r="F4786" i="2"/>
  <c r="D4786" i="2"/>
  <c r="H4786" i="2" s="1"/>
  <c r="G4785" i="2"/>
  <c r="F4785" i="2"/>
  <c r="H4785" i="2" s="1"/>
  <c r="D4785" i="2"/>
  <c r="G4784" i="2"/>
  <c r="F4784" i="2"/>
  <c r="H4784" i="2" s="1"/>
  <c r="D4784" i="2"/>
  <c r="G4783" i="2"/>
  <c r="F4783" i="2"/>
  <c r="D4783" i="2"/>
  <c r="H4783" i="2" s="1"/>
  <c r="G4782" i="2"/>
  <c r="F4782" i="2"/>
  <c r="H4782" i="2" s="1"/>
  <c r="D4782" i="2"/>
  <c r="H4781" i="2"/>
  <c r="G4780" i="2"/>
  <c r="H4780" i="2" s="1"/>
  <c r="F4780" i="2"/>
  <c r="D4780" i="2"/>
  <c r="G4779" i="2"/>
  <c r="F4779" i="2"/>
  <c r="H4779" i="2" s="1"/>
  <c r="D4779" i="2"/>
  <c r="G4778" i="2"/>
  <c r="F4778" i="2"/>
  <c r="D4778" i="2"/>
  <c r="H4778" i="2" s="1"/>
  <c r="G4777" i="2"/>
  <c r="H4777" i="2" s="1"/>
  <c r="F4777" i="2"/>
  <c r="D4777" i="2"/>
  <c r="G4776" i="2"/>
  <c r="F4776" i="2"/>
  <c r="H4776" i="2" s="1"/>
  <c r="D4776" i="2"/>
  <c r="G4775" i="2"/>
  <c r="F4775" i="2"/>
  <c r="D4775" i="2"/>
  <c r="H4775" i="2" s="1"/>
  <c r="G4774" i="2"/>
  <c r="F4774" i="2"/>
  <c r="D4774" i="2"/>
  <c r="H4774" i="2" s="1"/>
  <c r="G4773" i="2"/>
  <c r="F4773" i="2"/>
  <c r="H4773" i="2" s="1"/>
  <c r="D4773" i="2"/>
  <c r="G4772" i="2"/>
  <c r="F4772" i="2"/>
  <c r="D4772" i="2"/>
  <c r="H4772" i="2" s="1"/>
  <c r="G4771" i="2"/>
  <c r="F4771" i="2"/>
  <c r="D4771" i="2"/>
  <c r="H4771" i="2" s="1"/>
  <c r="G4770" i="2"/>
  <c r="F4770" i="2"/>
  <c r="H4770" i="2" s="1"/>
  <c r="D4770" i="2"/>
  <c r="G4769" i="2"/>
  <c r="F4769" i="2"/>
  <c r="D4769" i="2"/>
  <c r="H4769" i="2" s="1"/>
  <c r="G4768" i="2"/>
  <c r="F4768" i="2"/>
  <c r="D4768" i="2"/>
  <c r="H4768" i="2" s="1"/>
  <c r="G4767" i="2"/>
  <c r="F4767" i="2"/>
  <c r="H4767" i="2" s="1"/>
  <c r="D4767" i="2"/>
  <c r="G4766" i="2"/>
  <c r="F4766" i="2"/>
  <c r="D4766" i="2"/>
  <c r="H4766" i="2" s="1"/>
  <c r="H4765" i="2"/>
  <c r="H4764" i="2"/>
  <c r="G4764" i="2"/>
  <c r="F4764" i="2"/>
  <c r="D4764" i="2"/>
  <c r="G4763" i="2"/>
  <c r="H4763" i="2" s="1"/>
  <c r="F4763" i="2"/>
  <c r="D4763" i="2"/>
  <c r="G4762" i="2"/>
  <c r="F4762" i="2"/>
  <c r="H4762" i="2" s="1"/>
  <c r="D4762" i="2"/>
  <c r="G4761" i="2"/>
  <c r="F4761" i="2"/>
  <c r="D4761" i="2"/>
  <c r="H4761" i="2" s="1"/>
  <c r="G4760" i="2"/>
  <c r="H4760" i="2" s="1"/>
  <c r="F4760" i="2"/>
  <c r="D4760" i="2"/>
  <c r="G4759" i="2"/>
  <c r="F4759" i="2"/>
  <c r="H4759" i="2" s="1"/>
  <c r="D4759" i="2"/>
  <c r="G4758" i="2"/>
  <c r="F4758" i="2"/>
  <c r="D4758" i="2"/>
  <c r="H4758" i="2" s="1"/>
  <c r="G4757" i="2"/>
  <c r="F4757" i="2"/>
  <c r="D4757" i="2"/>
  <c r="H4757" i="2" s="1"/>
  <c r="G4756" i="2"/>
  <c r="F4756" i="2"/>
  <c r="H4756" i="2" s="1"/>
  <c r="D4756" i="2"/>
  <c r="G4755" i="2"/>
  <c r="F4755" i="2"/>
  <c r="D4755" i="2"/>
  <c r="H4755" i="2" s="1"/>
  <c r="H4754" i="2"/>
  <c r="H4753" i="2"/>
  <c r="G4753" i="2"/>
  <c r="F4753" i="2"/>
  <c r="D4753" i="2"/>
  <c r="G4752" i="2"/>
  <c r="F4752" i="2"/>
  <c r="D4752" i="2"/>
  <c r="H4752" i="2" s="1"/>
  <c r="G4751" i="2"/>
  <c r="F4751" i="2"/>
  <c r="D4751" i="2"/>
  <c r="H4751" i="2" s="1"/>
  <c r="H4750" i="2"/>
  <c r="G4750" i="2"/>
  <c r="F4750" i="2"/>
  <c r="D4750" i="2"/>
  <c r="G4749" i="2"/>
  <c r="F4749" i="2"/>
  <c r="D4749" i="2"/>
  <c r="H4749" i="2" s="1"/>
  <c r="G4748" i="2"/>
  <c r="F4748" i="2"/>
  <c r="D4748" i="2"/>
  <c r="H4748" i="2" s="1"/>
  <c r="H4747" i="2"/>
  <c r="G4747" i="2"/>
  <c r="F4747" i="2"/>
  <c r="D4747" i="2"/>
  <c r="G4746" i="2"/>
  <c r="F4746" i="2"/>
  <c r="D4746" i="2"/>
  <c r="H4746" i="2" s="1"/>
  <c r="G4745" i="2"/>
  <c r="F4745" i="2"/>
  <c r="D4745" i="2"/>
  <c r="H4745" i="2" s="1"/>
  <c r="H4744" i="2"/>
  <c r="G4744" i="2"/>
  <c r="F4744" i="2"/>
  <c r="D4744" i="2"/>
  <c r="G4743" i="2"/>
  <c r="F4743" i="2"/>
  <c r="D4743" i="2"/>
  <c r="H4743" i="2" s="1"/>
  <c r="G4742" i="2"/>
  <c r="F4742" i="2"/>
  <c r="D4742" i="2"/>
  <c r="H4742" i="2" s="1"/>
  <c r="G4741" i="2"/>
  <c r="F4741" i="2"/>
  <c r="D4741" i="2"/>
  <c r="H4741" i="2" s="1"/>
  <c r="G4740" i="2"/>
  <c r="F4740" i="2"/>
  <c r="D4740" i="2"/>
  <c r="H4740" i="2" s="1"/>
  <c r="G4739" i="2"/>
  <c r="F4739" i="2"/>
  <c r="D4739" i="2"/>
  <c r="H4739" i="2" s="1"/>
  <c r="H4738" i="2"/>
  <c r="G4737" i="2"/>
  <c r="F4737" i="2"/>
  <c r="H4737" i="2" s="1"/>
  <c r="D4737" i="2"/>
  <c r="G4736" i="2"/>
  <c r="F4736" i="2"/>
  <c r="H4736" i="2" s="1"/>
  <c r="D4736" i="2"/>
  <c r="G4735" i="2"/>
  <c r="F4735" i="2"/>
  <c r="D4735" i="2"/>
  <c r="H4735" i="2" s="1"/>
  <c r="G4734" i="2"/>
  <c r="F4734" i="2"/>
  <c r="H4734" i="2" s="1"/>
  <c r="D4734" i="2"/>
  <c r="G4733" i="2"/>
  <c r="F4733" i="2"/>
  <c r="H4733" i="2" s="1"/>
  <c r="D4733" i="2"/>
  <c r="G4732" i="2"/>
  <c r="F4732" i="2"/>
  <c r="D4732" i="2"/>
  <c r="H4732" i="2" s="1"/>
  <c r="G4731" i="2"/>
  <c r="F4731" i="2"/>
  <c r="H4731" i="2" s="1"/>
  <c r="D4731" i="2"/>
  <c r="G4730" i="2"/>
  <c r="F4730" i="2"/>
  <c r="H4730" i="2" s="1"/>
  <c r="D4730" i="2"/>
  <c r="G4729" i="2"/>
  <c r="F4729" i="2"/>
  <c r="D4729" i="2"/>
  <c r="H4729" i="2" s="1"/>
  <c r="G4728" i="2"/>
  <c r="F4728" i="2"/>
  <c r="H4728" i="2" s="1"/>
  <c r="D4728" i="2"/>
  <c r="H4727" i="2"/>
  <c r="G4726" i="2"/>
  <c r="F4726" i="2"/>
  <c r="D4726" i="2"/>
  <c r="H4726" i="2" s="1"/>
  <c r="H4725" i="2"/>
  <c r="G4725" i="2"/>
  <c r="F4725" i="2"/>
  <c r="D4725" i="2"/>
  <c r="G4724" i="2"/>
  <c r="F4724" i="2"/>
  <c r="D4724" i="2"/>
  <c r="H4724" i="2" s="1"/>
  <c r="G4723" i="2"/>
  <c r="F4723" i="2"/>
  <c r="D4723" i="2"/>
  <c r="H4723" i="2" s="1"/>
  <c r="G4722" i="2"/>
  <c r="F4722" i="2"/>
  <c r="H4722" i="2" s="1"/>
  <c r="D4722" i="2"/>
  <c r="G4721" i="2"/>
  <c r="F4721" i="2"/>
  <c r="D4721" i="2"/>
  <c r="H4721" i="2" s="1"/>
  <c r="G4720" i="2"/>
  <c r="F4720" i="2"/>
  <c r="D4720" i="2"/>
  <c r="H4720" i="2" s="1"/>
  <c r="G4719" i="2"/>
  <c r="F4719" i="2"/>
  <c r="H4719" i="2" s="1"/>
  <c r="D4719" i="2"/>
  <c r="G4718" i="2"/>
  <c r="F4718" i="2"/>
  <c r="D4718" i="2"/>
  <c r="H4718" i="2" s="1"/>
  <c r="G4717" i="2"/>
  <c r="F4717" i="2"/>
  <c r="D4717" i="2"/>
  <c r="H4717" i="2" s="1"/>
  <c r="G4716" i="2"/>
  <c r="F4716" i="2"/>
  <c r="H4716" i="2" s="1"/>
  <c r="D4716" i="2"/>
  <c r="G4715" i="2"/>
  <c r="F4715" i="2"/>
  <c r="D4715" i="2"/>
  <c r="H4715" i="2" s="1"/>
  <c r="G4714" i="2"/>
  <c r="F4714" i="2"/>
  <c r="D4714" i="2"/>
  <c r="H4714" i="2" s="1"/>
  <c r="G4713" i="2"/>
  <c r="F4713" i="2"/>
  <c r="H4713" i="2" s="1"/>
  <c r="D4713" i="2"/>
  <c r="G4712" i="2"/>
  <c r="F4712" i="2"/>
  <c r="D4712" i="2"/>
  <c r="H4712" i="2" s="1"/>
  <c r="G4711" i="2"/>
  <c r="F4711" i="2"/>
  <c r="D4711" i="2"/>
  <c r="H4711" i="2" s="1"/>
  <c r="H4710" i="2"/>
  <c r="G4709" i="2"/>
  <c r="H4709" i="2" s="1"/>
  <c r="F4709" i="2"/>
  <c r="D4709" i="2"/>
  <c r="G4708" i="2"/>
  <c r="F4708" i="2"/>
  <c r="H4708" i="2" s="1"/>
  <c r="D4708" i="2"/>
  <c r="H4707" i="2"/>
  <c r="G4707" i="2"/>
  <c r="F4707" i="2"/>
  <c r="D4707" i="2"/>
  <c r="G4706" i="2"/>
  <c r="H4706" i="2" s="1"/>
  <c r="F4706" i="2"/>
  <c r="D4706" i="2"/>
  <c r="G4705" i="2"/>
  <c r="F4705" i="2"/>
  <c r="H4705" i="2" s="1"/>
  <c r="D4705" i="2"/>
  <c r="H4704" i="2"/>
  <c r="G4704" i="2"/>
  <c r="F4704" i="2"/>
  <c r="D4704" i="2"/>
  <c r="G4703" i="2"/>
  <c r="F4703" i="2"/>
  <c r="H4703" i="2" s="1"/>
  <c r="D4703" i="2"/>
  <c r="G4702" i="2"/>
  <c r="F4702" i="2"/>
  <c r="H4702" i="2" s="1"/>
  <c r="D4702" i="2"/>
  <c r="G4701" i="2"/>
  <c r="F4701" i="2"/>
  <c r="D4701" i="2"/>
  <c r="H4701" i="2" s="1"/>
  <c r="G4700" i="2"/>
  <c r="F4700" i="2"/>
  <c r="D4700" i="2"/>
  <c r="H4700" i="2" s="1"/>
  <c r="H4699" i="2"/>
  <c r="G4698" i="2"/>
  <c r="F4698" i="2"/>
  <c r="D4698" i="2"/>
  <c r="H4698" i="2" s="1"/>
  <c r="G4697" i="2"/>
  <c r="F4697" i="2"/>
  <c r="D4697" i="2"/>
  <c r="H4697" i="2" s="1"/>
  <c r="H4696" i="2"/>
  <c r="G4696" i="2"/>
  <c r="F4696" i="2"/>
  <c r="D4696" i="2"/>
  <c r="G4695" i="2"/>
  <c r="F4695" i="2"/>
  <c r="D4695" i="2"/>
  <c r="H4695" i="2" s="1"/>
  <c r="G4694" i="2"/>
  <c r="F4694" i="2"/>
  <c r="D4694" i="2"/>
  <c r="H4694" i="2" s="1"/>
  <c r="H4693" i="2"/>
  <c r="G4693" i="2"/>
  <c r="F4693" i="2"/>
  <c r="D4693" i="2"/>
  <c r="G4692" i="2"/>
  <c r="F4692" i="2"/>
  <c r="D4692" i="2"/>
  <c r="H4692" i="2" s="1"/>
  <c r="G4691" i="2"/>
  <c r="F4691" i="2"/>
  <c r="D4691" i="2"/>
  <c r="H4691" i="2" s="1"/>
  <c r="G4690" i="2"/>
  <c r="F4690" i="2"/>
  <c r="D4690" i="2"/>
  <c r="H4690" i="2" s="1"/>
  <c r="G4689" i="2"/>
  <c r="F4689" i="2"/>
  <c r="D4689" i="2"/>
  <c r="H4689" i="2" s="1"/>
  <c r="H4688" i="2"/>
  <c r="G4687" i="2"/>
  <c r="F4687" i="2"/>
  <c r="D4687" i="2"/>
  <c r="H4687" i="2" s="1"/>
  <c r="G4686" i="2"/>
  <c r="F4686" i="2"/>
  <c r="H4686" i="2" s="1"/>
  <c r="D4686" i="2"/>
  <c r="G4685" i="2"/>
  <c r="F4685" i="2"/>
  <c r="H4685" i="2" s="1"/>
  <c r="D4685" i="2"/>
  <c r="G4684" i="2"/>
  <c r="F4684" i="2"/>
  <c r="D4684" i="2"/>
  <c r="H4684" i="2" s="1"/>
  <c r="G4683" i="2"/>
  <c r="F4683" i="2"/>
  <c r="H4683" i="2" s="1"/>
  <c r="D4683" i="2"/>
  <c r="G4682" i="2"/>
  <c r="F4682" i="2"/>
  <c r="H4682" i="2" s="1"/>
  <c r="D4682" i="2"/>
  <c r="G4681" i="2"/>
  <c r="F4681" i="2"/>
  <c r="D4681" i="2"/>
  <c r="H4681" i="2" s="1"/>
  <c r="G4680" i="2"/>
  <c r="F4680" i="2"/>
  <c r="H4680" i="2" s="1"/>
  <c r="D4680" i="2"/>
  <c r="G4679" i="2"/>
  <c r="F4679" i="2"/>
  <c r="H4679" i="2" s="1"/>
  <c r="D4679" i="2"/>
  <c r="G4678" i="2"/>
  <c r="F4678" i="2"/>
  <c r="D4678" i="2"/>
  <c r="H4678" i="2" s="1"/>
  <c r="H4677" i="2"/>
  <c r="G4676" i="2"/>
  <c r="F4676" i="2"/>
  <c r="D4676" i="2"/>
  <c r="H4676" i="2" s="1"/>
  <c r="G4675" i="2"/>
  <c r="F4675" i="2"/>
  <c r="D4675" i="2"/>
  <c r="H4675" i="2" s="1"/>
  <c r="G4674" i="2"/>
  <c r="F4674" i="2"/>
  <c r="H4674" i="2" s="1"/>
  <c r="D4674" i="2"/>
  <c r="G4673" i="2"/>
  <c r="F4673" i="2"/>
  <c r="D4673" i="2"/>
  <c r="H4673" i="2" s="1"/>
  <c r="G4672" i="2"/>
  <c r="F4672" i="2"/>
  <c r="D4672" i="2"/>
  <c r="H4672" i="2" s="1"/>
  <c r="G4671" i="2"/>
  <c r="F4671" i="2"/>
  <c r="H4671" i="2" s="1"/>
  <c r="D4671" i="2"/>
  <c r="G4670" i="2"/>
  <c r="F4670" i="2"/>
  <c r="D4670" i="2"/>
  <c r="H4670" i="2" s="1"/>
  <c r="G4669" i="2"/>
  <c r="F4669" i="2"/>
  <c r="D4669" i="2"/>
  <c r="H4669" i="2" s="1"/>
  <c r="G4668" i="2"/>
  <c r="F4668" i="2"/>
  <c r="H4668" i="2" s="1"/>
  <c r="D4668" i="2"/>
  <c r="G4667" i="2"/>
  <c r="F4667" i="2"/>
  <c r="D4667" i="2"/>
  <c r="H4667" i="2" s="1"/>
  <c r="H4666" i="2"/>
  <c r="H4665" i="2"/>
  <c r="G4665" i="2"/>
  <c r="F4665" i="2"/>
  <c r="D4665" i="2"/>
  <c r="G4664" i="2"/>
  <c r="H4664" i="2" s="1"/>
  <c r="F4664" i="2"/>
  <c r="D4664" i="2"/>
  <c r="G4663" i="2"/>
  <c r="F4663" i="2"/>
  <c r="H4663" i="2" s="1"/>
  <c r="D4663" i="2"/>
  <c r="H4662" i="2"/>
  <c r="G4662" i="2"/>
  <c r="F4662" i="2"/>
  <c r="D4662" i="2"/>
  <c r="G4661" i="2"/>
  <c r="H4661" i="2" s="1"/>
  <c r="F4661" i="2"/>
  <c r="D4661" i="2"/>
  <c r="G4660" i="2"/>
  <c r="F4660" i="2"/>
  <c r="H4660" i="2" s="1"/>
  <c r="D4660" i="2"/>
  <c r="H4659" i="2"/>
  <c r="G4659" i="2"/>
  <c r="F4659" i="2"/>
  <c r="D4659" i="2"/>
  <c r="G4658" i="2"/>
  <c r="F4658" i="2"/>
  <c r="H4658" i="2" s="1"/>
  <c r="D4658" i="2"/>
  <c r="G4657" i="2"/>
  <c r="F4657" i="2"/>
  <c r="H4657" i="2" s="1"/>
  <c r="D4657" i="2"/>
  <c r="G4656" i="2"/>
  <c r="F4656" i="2"/>
  <c r="D4656" i="2"/>
  <c r="H4656" i="2" s="1"/>
  <c r="H4655" i="2"/>
  <c r="H4654" i="2"/>
  <c r="G4654" i="2"/>
  <c r="F4654" i="2"/>
  <c r="D4654" i="2"/>
  <c r="G4653" i="2"/>
  <c r="F4653" i="2"/>
  <c r="D4653" i="2"/>
  <c r="H4653" i="2" s="1"/>
  <c r="G4652" i="2"/>
  <c r="F4652" i="2"/>
  <c r="D4652" i="2"/>
  <c r="H4652" i="2" s="1"/>
  <c r="H4651" i="2"/>
  <c r="G4651" i="2"/>
  <c r="F4651" i="2"/>
  <c r="D4651" i="2"/>
  <c r="G4650" i="2"/>
  <c r="F4650" i="2"/>
  <c r="D4650" i="2"/>
  <c r="H4650" i="2" s="1"/>
  <c r="G4649" i="2"/>
  <c r="F4649" i="2"/>
  <c r="D4649" i="2"/>
  <c r="H4649" i="2" s="1"/>
  <c r="H4648" i="2"/>
  <c r="G4648" i="2"/>
  <c r="F4648" i="2"/>
  <c r="D4648" i="2"/>
  <c r="G4647" i="2"/>
  <c r="F4647" i="2"/>
  <c r="D4647" i="2"/>
  <c r="H4647" i="2" s="1"/>
  <c r="G4646" i="2"/>
  <c r="F4646" i="2"/>
  <c r="D4646" i="2"/>
  <c r="H4646" i="2" s="1"/>
  <c r="G4645" i="2"/>
  <c r="F4645" i="2"/>
  <c r="D4645" i="2"/>
  <c r="H4645" i="2" s="1"/>
  <c r="H4644" i="2"/>
  <c r="H4643" i="2"/>
  <c r="G4643" i="2"/>
  <c r="F4643" i="2"/>
  <c r="D4643" i="2"/>
  <c r="G4642" i="2"/>
  <c r="F4642" i="2"/>
  <c r="D4642" i="2"/>
  <c r="H4642" i="2" s="1"/>
  <c r="G4641" i="2"/>
  <c r="F4641" i="2"/>
  <c r="H4641" i="2" s="1"/>
  <c r="D4641" i="2"/>
  <c r="G4640" i="2"/>
  <c r="F4640" i="2"/>
  <c r="H4640" i="2" s="1"/>
  <c r="D4640" i="2"/>
  <c r="G4639" i="2"/>
  <c r="F4639" i="2"/>
  <c r="D4639" i="2"/>
  <c r="H4639" i="2" s="1"/>
  <c r="G4638" i="2"/>
  <c r="F4638" i="2"/>
  <c r="H4638" i="2" s="1"/>
  <c r="D4638" i="2"/>
  <c r="G4637" i="2"/>
  <c r="F4637" i="2"/>
  <c r="H4637" i="2" s="1"/>
  <c r="D4637" i="2"/>
  <c r="G4636" i="2"/>
  <c r="F4636" i="2"/>
  <c r="D4636" i="2"/>
  <c r="H4636" i="2" s="1"/>
  <c r="G4635" i="2"/>
  <c r="F4635" i="2"/>
  <c r="H4635" i="2" s="1"/>
  <c r="D4635" i="2"/>
  <c r="G4634" i="2"/>
  <c r="F4634" i="2"/>
  <c r="H4634" i="2" s="1"/>
  <c r="D4634" i="2"/>
  <c r="H4633" i="2"/>
  <c r="G4632" i="2"/>
  <c r="F4632" i="2"/>
  <c r="H4632" i="2" s="1"/>
  <c r="D4632" i="2"/>
  <c r="G4631" i="2"/>
  <c r="F4631" i="2"/>
  <c r="D4631" i="2"/>
  <c r="H4631" i="2" s="1"/>
  <c r="G4630" i="2"/>
  <c r="F4630" i="2"/>
  <c r="D4630" i="2"/>
  <c r="H4630" i="2" s="1"/>
  <c r="G4629" i="2"/>
  <c r="F4629" i="2"/>
  <c r="H4629" i="2" s="1"/>
  <c r="D4629" i="2"/>
  <c r="G4628" i="2"/>
  <c r="F4628" i="2"/>
  <c r="D4628" i="2"/>
  <c r="H4628" i="2" s="1"/>
  <c r="G4627" i="2"/>
  <c r="F4627" i="2"/>
  <c r="D4627" i="2"/>
  <c r="H4627" i="2" s="1"/>
  <c r="G4626" i="2"/>
  <c r="F4626" i="2"/>
  <c r="H4626" i="2" s="1"/>
  <c r="D4626" i="2"/>
  <c r="G4625" i="2"/>
  <c r="F4625" i="2"/>
  <c r="D4625" i="2"/>
  <c r="H4625" i="2" s="1"/>
  <c r="G4624" i="2"/>
  <c r="F4624" i="2"/>
  <c r="D4624" i="2"/>
  <c r="H4624" i="2" s="1"/>
  <c r="G4623" i="2"/>
  <c r="F4623" i="2"/>
  <c r="D4623" i="2"/>
  <c r="H4623" i="2" s="1"/>
  <c r="H4622" i="2"/>
  <c r="G4621" i="2"/>
  <c r="F4621" i="2"/>
  <c r="H4621" i="2" s="1"/>
  <c r="D4621" i="2"/>
  <c r="H4620" i="2"/>
  <c r="G4620" i="2"/>
  <c r="F4620" i="2"/>
  <c r="D4620" i="2"/>
  <c r="G4619" i="2"/>
  <c r="F4619" i="2"/>
  <c r="H4619" i="2" s="1"/>
  <c r="D4619" i="2"/>
  <c r="G4618" i="2"/>
  <c r="F4618" i="2"/>
  <c r="H4618" i="2" s="1"/>
  <c r="D4618" i="2"/>
  <c r="H4617" i="2"/>
  <c r="G4617" i="2"/>
  <c r="F4617" i="2"/>
  <c r="D4617" i="2"/>
  <c r="G4616" i="2"/>
  <c r="F4616" i="2"/>
  <c r="H4616" i="2" s="1"/>
  <c r="D4616" i="2"/>
  <c r="G4615" i="2"/>
  <c r="F4615" i="2"/>
  <c r="H4615" i="2" s="1"/>
  <c r="D4615" i="2"/>
  <c r="G4614" i="2"/>
  <c r="F4614" i="2"/>
  <c r="D4614" i="2"/>
  <c r="H4614" i="2" s="1"/>
  <c r="G4613" i="2"/>
  <c r="F4613" i="2"/>
  <c r="H4613" i="2" s="1"/>
  <c r="D4613" i="2"/>
  <c r="G4612" i="2"/>
  <c r="F4612" i="2"/>
  <c r="H4612" i="2" s="1"/>
  <c r="D4612" i="2"/>
  <c r="G4611" i="2"/>
  <c r="F4611" i="2"/>
  <c r="D4611" i="2"/>
  <c r="H4611" i="2" s="1"/>
  <c r="G4610" i="2"/>
  <c r="F4610" i="2"/>
  <c r="D4610" i="2"/>
  <c r="H4610" i="2" s="1"/>
  <c r="G4609" i="2"/>
  <c r="F4609" i="2"/>
  <c r="H4609" i="2" s="1"/>
  <c r="D4609" i="2"/>
  <c r="G4608" i="2"/>
  <c r="F4608" i="2"/>
  <c r="D4608" i="2"/>
  <c r="H4608" i="2" s="1"/>
  <c r="G4607" i="2"/>
  <c r="F4607" i="2"/>
  <c r="D4607" i="2"/>
  <c r="H4607" i="2" s="1"/>
  <c r="H4606" i="2"/>
  <c r="G4605" i="2"/>
  <c r="F4605" i="2"/>
  <c r="D4605" i="2"/>
  <c r="H4605" i="2" s="1"/>
  <c r="G4604" i="2"/>
  <c r="F4604" i="2"/>
  <c r="D4604" i="2"/>
  <c r="H4604" i="2" s="1"/>
  <c r="H4603" i="2"/>
  <c r="G4603" i="2"/>
  <c r="F4603" i="2"/>
  <c r="D4603" i="2"/>
  <c r="G4602" i="2"/>
  <c r="F4602" i="2"/>
  <c r="D4602" i="2"/>
  <c r="H4602" i="2" s="1"/>
  <c r="G4601" i="2"/>
  <c r="F4601" i="2"/>
  <c r="D4601" i="2"/>
  <c r="H4601" i="2" s="1"/>
  <c r="H4600" i="2"/>
  <c r="G4600" i="2"/>
  <c r="F4600" i="2"/>
  <c r="D4600" i="2"/>
  <c r="G4599" i="2"/>
  <c r="F4599" i="2"/>
  <c r="D4599" i="2"/>
  <c r="H4599" i="2" s="1"/>
  <c r="G4598" i="2"/>
  <c r="F4598" i="2"/>
  <c r="D4598" i="2"/>
  <c r="H4598" i="2" s="1"/>
  <c r="H4597" i="2"/>
  <c r="G4597" i="2"/>
  <c r="F4597" i="2"/>
  <c r="D4597" i="2"/>
  <c r="G4596" i="2"/>
  <c r="F4596" i="2"/>
  <c r="D4596" i="2"/>
  <c r="H4596" i="2" s="1"/>
  <c r="H4595" i="2"/>
  <c r="G4594" i="2"/>
  <c r="F4594" i="2"/>
  <c r="D4594" i="2"/>
  <c r="H4594" i="2" s="1"/>
  <c r="G4593" i="2"/>
  <c r="F4593" i="2"/>
  <c r="H4593" i="2" s="1"/>
  <c r="D4593" i="2"/>
  <c r="H4592" i="2"/>
  <c r="G4592" i="2"/>
  <c r="F4592" i="2"/>
  <c r="D4592" i="2"/>
  <c r="G4591" i="2"/>
  <c r="F4591" i="2"/>
  <c r="D4591" i="2"/>
  <c r="H4591" i="2" s="1"/>
  <c r="G4590" i="2"/>
  <c r="F4590" i="2"/>
  <c r="H4590" i="2" s="1"/>
  <c r="D4590" i="2"/>
  <c r="G4589" i="2"/>
  <c r="F4589" i="2"/>
  <c r="H4589" i="2" s="1"/>
  <c r="D4589" i="2"/>
  <c r="G4588" i="2"/>
  <c r="F4588" i="2"/>
  <c r="D4588" i="2"/>
  <c r="H4588" i="2" s="1"/>
  <c r="G4587" i="2"/>
  <c r="F4587" i="2"/>
  <c r="H4587" i="2" s="1"/>
  <c r="D4587" i="2"/>
  <c r="G4586" i="2"/>
  <c r="F4586" i="2"/>
  <c r="H4586" i="2" s="1"/>
  <c r="D4586" i="2"/>
  <c r="G4585" i="2"/>
  <c r="F4585" i="2"/>
  <c r="D4585" i="2"/>
  <c r="H4585" i="2" s="1"/>
  <c r="G4584" i="2"/>
  <c r="F4584" i="2"/>
  <c r="H4584" i="2" s="1"/>
  <c r="D4584" i="2"/>
  <c r="G4583" i="2"/>
  <c r="F4583" i="2"/>
  <c r="H4583" i="2" s="1"/>
  <c r="D4583" i="2"/>
  <c r="G4582" i="2"/>
  <c r="F4582" i="2"/>
  <c r="D4582" i="2"/>
  <c r="H4582" i="2" s="1"/>
  <c r="G4581" i="2"/>
  <c r="F4581" i="2"/>
  <c r="H4581" i="2" s="1"/>
  <c r="D4581" i="2"/>
  <c r="G4580" i="2"/>
  <c r="F4580" i="2"/>
  <c r="H4580" i="2" s="1"/>
  <c r="D4580" i="2"/>
  <c r="H4579" i="2"/>
  <c r="G4578" i="2"/>
  <c r="F4578" i="2"/>
  <c r="H4578" i="2" s="1"/>
  <c r="D4578" i="2"/>
  <c r="G4577" i="2"/>
  <c r="F4577" i="2"/>
  <c r="D4577" i="2"/>
  <c r="H4577" i="2" s="1"/>
  <c r="G4576" i="2"/>
  <c r="F4576" i="2"/>
  <c r="D4576" i="2"/>
  <c r="H4576" i="2" s="1"/>
  <c r="G4575" i="2"/>
  <c r="F4575" i="2"/>
  <c r="H4575" i="2" s="1"/>
  <c r="D4575" i="2"/>
  <c r="G4574" i="2"/>
  <c r="F4574" i="2"/>
  <c r="D4574" i="2"/>
  <c r="H4574" i="2" s="1"/>
  <c r="G4573" i="2"/>
  <c r="F4573" i="2"/>
  <c r="D4573" i="2"/>
  <c r="H4573" i="2" s="1"/>
  <c r="G4572" i="2"/>
  <c r="F4572" i="2"/>
  <c r="H4572" i="2" s="1"/>
  <c r="D4572" i="2"/>
  <c r="G4571" i="2"/>
  <c r="F4571" i="2"/>
  <c r="D4571" i="2"/>
  <c r="H4571" i="2" s="1"/>
  <c r="G4570" i="2"/>
  <c r="F4570" i="2"/>
  <c r="D4570" i="2"/>
  <c r="H4570" i="2" s="1"/>
  <c r="G4569" i="2"/>
  <c r="F4569" i="2"/>
  <c r="H4569" i="2" s="1"/>
  <c r="D4569" i="2"/>
  <c r="H4568" i="2"/>
  <c r="G4567" i="2"/>
  <c r="F4567" i="2"/>
  <c r="H4567" i="2" s="1"/>
  <c r="D4567" i="2"/>
  <c r="H4566" i="2"/>
  <c r="G4566" i="2"/>
  <c r="F4566" i="2"/>
  <c r="D4566" i="2"/>
  <c r="G4565" i="2"/>
  <c r="F4565" i="2"/>
  <c r="H4565" i="2" s="1"/>
  <c r="D4565" i="2"/>
  <c r="G4564" i="2"/>
  <c r="F4564" i="2"/>
  <c r="H4564" i="2" s="1"/>
  <c r="D4564" i="2"/>
  <c r="G4563" i="2"/>
  <c r="F4563" i="2"/>
  <c r="D4563" i="2"/>
  <c r="H4563" i="2" s="1"/>
  <c r="G4562" i="2"/>
  <c r="F4562" i="2"/>
  <c r="D4562" i="2"/>
  <c r="H4562" i="2" s="1"/>
  <c r="G4561" i="2"/>
  <c r="F4561" i="2"/>
  <c r="H4561" i="2" s="1"/>
  <c r="D4561" i="2"/>
  <c r="G4560" i="2"/>
  <c r="F4560" i="2"/>
  <c r="D4560" i="2"/>
  <c r="H4560" i="2" s="1"/>
  <c r="G4559" i="2"/>
  <c r="F4559" i="2"/>
  <c r="D4559" i="2"/>
  <c r="H4559" i="2" s="1"/>
  <c r="G4558" i="2"/>
  <c r="F4558" i="2"/>
  <c r="D4558" i="2"/>
  <c r="H4558" i="2" s="1"/>
  <c r="H4557" i="2"/>
  <c r="G4556" i="2"/>
  <c r="F4556" i="2"/>
  <c r="D4556" i="2"/>
  <c r="H4556" i="2" s="1"/>
  <c r="H4555" i="2"/>
  <c r="G4555" i="2"/>
  <c r="F4555" i="2"/>
  <c r="D4555" i="2"/>
  <c r="G4554" i="2"/>
  <c r="F4554" i="2"/>
  <c r="D4554" i="2"/>
  <c r="H4554" i="2" s="1"/>
  <c r="G4553" i="2"/>
  <c r="F4553" i="2"/>
  <c r="D4553" i="2"/>
  <c r="H4553" i="2" s="1"/>
  <c r="H4552" i="2"/>
  <c r="G4552" i="2"/>
  <c r="F4552" i="2"/>
  <c r="D4552" i="2"/>
  <c r="G4551" i="2"/>
  <c r="F4551" i="2"/>
  <c r="D4551" i="2"/>
  <c r="H4551" i="2" s="1"/>
  <c r="G4550" i="2"/>
  <c r="F4550" i="2"/>
  <c r="D4550" i="2"/>
  <c r="H4550" i="2" s="1"/>
  <c r="H4549" i="2"/>
  <c r="G4549" i="2"/>
  <c r="F4549" i="2"/>
  <c r="D4549" i="2"/>
  <c r="G4548" i="2"/>
  <c r="F4548" i="2"/>
  <c r="D4548" i="2"/>
  <c r="H4548" i="2" s="1"/>
  <c r="G4547" i="2"/>
  <c r="F4547" i="2"/>
  <c r="D4547" i="2"/>
  <c r="H4547" i="2" s="1"/>
  <c r="H4546" i="2"/>
  <c r="G4545" i="2"/>
  <c r="F4545" i="2"/>
  <c r="H4545" i="2" s="1"/>
  <c r="D4545" i="2"/>
  <c r="G4544" i="2"/>
  <c r="F4544" i="2"/>
  <c r="H4544" i="2" s="1"/>
  <c r="D4544" i="2"/>
  <c r="G4543" i="2"/>
  <c r="F4543" i="2"/>
  <c r="D4543" i="2"/>
  <c r="H4543" i="2" s="1"/>
  <c r="G4542" i="2"/>
  <c r="F4542" i="2"/>
  <c r="H4542" i="2" s="1"/>
  <c r="D4542" i="2"/>
  <c r="G4541" i="2"/>
  <c r="F4541" i="2"/>
  <c r="H4541" i="2" s="1"/>
  <c r="D4541" i="2"/>
  <c r="G4540" i="2"/>
  <c r="F4540" i="2"/>
  <c r="D4540" i="2"/>
  <c r="H4540" i="2" s="1"/>
  <c r="G4539" i="2"/>
  <c r="F4539" i="2"/>
  <c r="H4539" i="2" s="1"/>
  <c r="D4539" i="2"/>
  <c r="G4538" i="2"/>
  <c r="F4538" i="2"/>
  <c r="H4538" i="2" s="1"/>
  <c r="D4538" i="2"/>
  <c r="G4537" i="2"/>
  <c r="F4537" i="2"/>
  <c r="D4537" i="2"/>
  <c r="H4537" i="2" s="1"/>
  <c r="G4536" i="2"/>
  <c r="F4536" i="2"/>
  <c r="H4536" i="2" s="1"/>
  <c r="D4536" i="2"/>
  <c r="H4535" i="2"/>
  <c r="G4534" i="2"/>
  <c r="F4534" i="2"/>
  <c r="D4534" i="2"/>
  <c r="H4534" i="2" s="1"/>
  <c r="G4533" i="2"/>
  <c r="F4533" i="2"/>
  <c r="H4533" i="2" s="1"/>
  <c r="D4533" i="2"/>
  <c r="G4532" i="2"/>
  <c r="F4532" i="2"/>
  <c r="D4532" i="2"/>
  <c r="H4532" i="2" s="1"/>
  <c r="G4531" i="2"/>
  <c r="F4531" i="2"/>
  <c r="D4531" i="2"/>
  <c r="H4531" i="2" s="1"/>
  <c r="G4530" i="2"/>
  <c r="F4530" i="2"/>
  <c r="H4530" i="2" s="1"/>
  <c r="D4530" i="2"/>
  <c r="G4529" i="2"/>
  <c r="F4529" i="2"/>
  <c r="D4529" i="2"/>
  <c r="H4529" i="2" s="1"/>
  <c r="G4528" i="2"/>
  <c r="F4528" i="2"/>
  <c r="D4528" i="2"/>
  <c r="H4528" i="2" s="1"/>
  <c r="G4527" i="2"/>
  <c r="F4527" i="2"/>
  <c r="H4527" i="2" s="1"/>
  <c r="D4527" i="2"/>
  <c r="G4526" i="2"/>
  <c r="F4526" i="2"/>
  <c r="D4526" i="2"/>
  <c r="H4526" i="2" s="1"/>
  <c r="G4525" i="2"/>
  <c r="F4525" i="2"/>
  <c r="D4525" i="2"/>
  <c r="H4525" i="2" s="1"/>
  <c r="H4524" i="2"/>
  <c r="G4523" i="2"/>
  <c r="H4523" i="2" s="1"/>
  <c r="F4523" i="2"/>
  <c r="D4523" i="2"/>
  <c r="G4522" i="2"/>
  <c r="F4522" i="2"/>
  <c r="H4522" i="2" s="1"/>
  <c r="D4522" i="2"/>
  <c r="H4521" i="2"/>
  <c r="G4521" i="2"/>
  <c r="F4521" i="2"/>
  <c r="D4521" i="2"/>
  <c r="G4520" i="2"/>
  <c r="F4520" i="2"/>
  <c r="H4520" i="2" s="1"/>
  <c r="D4520" i="2"/>
  <c r="G4519" i="2"/>
  <c r="F4519" i="2"/>
  <c r="H4519" i="2" s="1"/>
  <c r="D4519" i="2"/>
  <c r="G4518" i="2"/>
  <c r="F4518" i="2"/>
  <c r="D4518" i="2"/>
  <c r="H4518" i="2" s="1"/>
  <c r="G4517" i="2"/>
  <c r="F4517" i="2"/>
  <c r="D4517" i="2"/>
  <c r="H4517" i="2" s="1"/>
  <c r="G4516" i="2"/>
  <c r="F4516" i="2"/>
  <c r="H4516" i="2" s="1"/>
  <c r="D4516" i="2"/>
  <c r="G4515" i="2"/>
  <c r="F4515" i="2"/>
  <c r="D4515" i="2"/>
  <c r="H4515" i="2" s="1"/>
  <c r="G4514" i="2"/>
  <c r="F4514" i="2"/>
  <c r="D4514" i="2"/>
  <c r="H4514" i="2" s="1"/>
  <c r="G4513" i="2"/>
  <c r="F4513" i="2"/>
  <c r="D4513" i="2"/>
  <c r="H4513" i="2" s="1"/>
  <c r="G4512" i="2"/>
  <c r="F4512" i="2"/>
  <c r="D4512" i="2"/>
  <c r="H4512" i="2" s="1"/>
  <c r="G4511" i="2"/>
  <c r="F4511" i="2"/>
  <c r="D4511" i="2"/>
  <c r="H4511" i="2" s="1"/>
  <c r="G4510" i="2"/>
  <c r="F4510" i="2"/>
  <c r="D4510" i="2"/>
  <c r="H4510" i="2" s="1"/>
  <c r="G4509" i="2"/>
  <c r="F4509" i="2"/>
  <c r="D4509" i="2"/>
  <c r="H4509" i="2" s="1"/>
  <c r="H4508" i="2"/>
  <c r="H4507" i="2"/>
  <c r="G4507" i="2"/>
  <c r="F4507" i="2"/>
  <c r="D4507" i="2"/>
  <c r="G4506" i="2"/>
  <c r="F4506" i="2"/>
  <c r="D4506" i="2"/>
  <c r="H4506" i="2" s="1"/>
  <c r="G4505" i="2"/>
  <c r="F4505" i="2"/>
  <c r="D4505" i="2"/>
  <c r="H4505" i="2" s="1"/>
  <c r="H4504" i="2"/>
  <c r="G4504" i="2"/>
  <c r="F4504" i="2"/>
  <c r="D4504" i="2"/>
  <c r="G4503" i="2"/>
  <c r="F4503" i="2"/>
  <c r="D4503" i="2"/>
  <c r="H4503" i="2" s="1"/>
  <c r="G4502" i="2"/>
  <c r="F4502" i="2"/>
  <c r="D4502" i="2"/>
  <c r="H4502" i="2" s="1"/>
  <c r="H4501" i="2"/>
  <c r="G4501" i="2"/>
  <c r="F4501" i="2"/>
  <c r="D4501" i="2"/>
  <c r="G4500" i="2"/>
  <c r="F4500" i="2"/>
  <c r="D4500" i="2"/>
  <c r="H4500" i="2" s="1"/>
  <c r="G4499" i="2"/>
  <c r="F4499" i="2"/>
  <c r="D4499" i="2"/>
  <c r="H4498" i="2"/>
  <c r="G4498" i="2"/>
  <c r="F4498" i="2"/>
  <c r="D4498" i="2"/>
  <c r="H4497" i="2"/>
  <c r="H4496" i="2"/>
  <c r="G4496" i="2"/>
  <c r="F4496" i="2"/>
  <c r="D4496" i="2"/>
  <c r="G4495" i="2"/>
  <c r="F4495" i="2"/>
  <c r="D4495" i="2"/>
  <c r="G4494" i="2"/>
  <c r="F4494" i="2"/>
  <c r="H4494" i="2" s="1"/>
  <c r="D4494" i="2"/>
  <c r="H4493" i="2"/>
  <c r="G4493" i="2"/>
  <c r="F4493" i="2"/>
  <c r="D4493" i="2"/>
  <c r="G4492" i="2"/>
  <c r="F4492" i="2"/>
  <c r="D4492" i="2"/>
  <c r="H4492" i="2" s="1"/>
  <c r="G4491" i="2"/>
  <c r="F4491" i="2"/>
  <c r="H4491" i="2" s="1"/>
  <c r="D4491" i="2"/>
  <c r="G4490" i="2"/>
  <c r="F4490" i="2"/>
  <c r="H4490" i="2" s="1"/>
  <c r="D4490" i="2"/>
  <c r="G4489" i="2"/>
  <c r="F4489" i="2"/>
  <c r="D4489" i="2"/>
  <c r="H4489" i="2" s="1"/>
  <c r="G4488" i="2"/>
  <c r="F4488" i="2"/>
  <c r="H4488" i="2" s="1"/>
  <c r="D4488" i="2"/>
  <c r="G4487" i="2"/>
  <c r="F4487" i="2"/>
  <c r="H4487" i="2" s="1"/>
  <c r="D4487" i="2"/>
  <c r="H4486" i="2"/>
  <c r="G4485" i="2"/>
  <c r="F4485" i="2"/>
  <c r="H4485" i="2" s="1"/>
  <c r="D4485" i="2"/>
  <c r="G4484" i="2"/>
  <c r="F4484" i="2"/>
  <c r="D4484" i="2"/>
  <c r="H4484" i="2" s="1"/>
  <c r="G4483" i="2"/>
  <c r="H4483" i="2" s="1"/>
  <c r="F4483" i="2"/>
  <c r="D4483" i="2"/>
  <c r="G4482" i="2"/>
  <c r="F4482" i="2"/>
  <c r="H4482" i="2" s="1"/>
  <c r="D4482" i="2"/>
  <c r="G4481" i="2"/>
  <c r="F4481" i="2"/>
  <c r="D4481" i="2"/>
  <c r="H4481" i="2" s="1"/>
  <c r="G4480" i="2"/>
  <c r="F4480" i="2"/>
  <c r="D4480" i="2"/>
  <c r="G4479" i="2"/>
  <c r="F4479" i="2"/>
  <c r="H4479" i="2" s="1"/>
  <c r="D4479" i="2"/>
  <c r="G4478" i="2"/>
  <c r="F4478" i="2"/>
  <c r="D4478" i="2"/>
  <c r="H4478" i="2" s="1"/>
  <c r="G4477" i="2"/>
  <c r="F4477" i="2"/>
  <c r="D4477" i="2"/>
  <c r="G4476" i="2"/>
  <c r="F4476" i="2"/>
  <c r="D4476" i="2"/>
  <c r="H4476" i="2" s="1"/>
  <c r="H4475" i="2"/>
  <c r="G4474" i="2"/>
  <c r="F4474" i="2"/>
  <c r="H4474" i="2" s="1"/>
  <c r="D4474" i="2"/>
  <c r="H4473" i="2"/>
  <c r="G4473" i="2"/>
  <c r="F4473" i="2"/>
  <c r="D4473" i="2"/>
  <c r="G4472" i="2"/>
  <c r="F4472" i="2"/>
  <c r="D4472" i="2"/>
  <c r="H4472" i="2" s="1"/>
  <c r="G4471" i="2"/>
  <c r="F4471" i="2"/>
  <c r="H4471" i="2" s="1"/>
  <c r="D4471" i="2"/>
  <c r="G4470" i="2"/>
  <c r="F4470" i="2"/>
  <c r="D4470" i="2"/>
  <c r="H4470" i="2" s="1"/>
  <c r="G4469" i="2"/>
  <c r="F4469" i="2"/>
  <c r="D4469" i="2"/>
  <c r="H4469" i="2" s="1"/>
  <c r="G4468" i="2"/>
  <c r="F4468" i="2"/>
  <c r="D4468" i="2"/>
  <c r="H4468" i="2" s="1"/>
  <c r="G4467" i="2"/>
  <c r="F4467" i="2"/>
  <c r="D4467" i="2"/>
  <c r="H4467" i="2" s="1"/>
  <c r="G4466" i="2"/>
  <c r="F4466" i="2"/>
  <c r="D4466" i="2"/>
  <c r="H4466" i="2" s="1"/>
  <c r="G4465" i="2"/>
  <c r="F4465" i="2"/>
  <c r="D4465" i="2"/>
  <c r="H4465" i="2" s="1"/>
  <c r="H4464" i="2"/>
  <c r="G4463" i="2"/>
  <c r="F4463" i="2"/>
  <c r="H4463" i="2" s="1"/>
  <c r="D4463" i="2"/>
  <c r="G4462" i="2"/>
  <c r="F4462" i="2"/>
  <c r="H4462" i="2" s="1"/>
  <c r="D4462" i="2"/>
  <c r="G4461" i="2"/>
  <c r="F4461" i="2"/>
  <c r="D4461" i="2"/>
  <c r="H4461" i="2" s="1"/>
  <c r="G4460" i="2"/>
  <c r="F4460" i="2"/>
  <c r="D4460" i="2"/>
  <c r="H4460" i="2" s="1"/>
  <c r="G4459" i="2"/>
  <c r="F4459" i="2"/>
  <c r="D4459" i="2"/>
  <c r="H4459" i="2" s="1"/>
  <c r="G4458" i="2"/>
  <c r="F4458" i="2"/>
  <c r="D4458" i="2"/>
  <c r="H4458" i="2" s="1"/>
  <c r="H4457" i="2"/>
  <c r="G4457" i="2"/>
  <c r="F4457" i="2"/>
  <c r="D4457" i="2"/>
  <c r="G4456" i="2"/>
  <c r="F4456" i="2"/>
  <c r="D4456" i="2"/>
  <c r="H4456" i="2" s="1"/>
  <c r="G4455" i="2"/>
  <c r="F4455" i="2"/>
  <c r="D4455" i="2"/>
  <c r="G4454" i="2"/>
  <c r="F4454" i="2"/>
  <c r="D4454" i="2"/>
  <c r="H4454" i="2" s="1"/>
  <c r="H4453" i="2"/>
  <c r="G4452" i="2"/>
  <c r="F4452" i="2"/>
  <c r="D4452" i="2"/>
  <c r="H4452" i="2" s="1"/>
  <c r="H4451" i="2"/>
  <c r="G4451" i="2"/>
  <c r="F4451" i="2"/>
  <c r="D4451" i="2"/>
  <c r="H4450" i="2"/>
  <c r="G4450" i="2"/>
  <c r="F4450" i="2"/>
  <c r="D4450" i="2"/>
  <c r="G4449" i="2"/>
  <c r="F4449" i="2"/>
  <c r="D4449" i="2"/>
  <c r="H4449" i="2" s="1"/>
  <c r="H4448" i="2"/>
  <c r="G4448" i="2"/>
  <c r="F4448" i="2"/>
  <c r="D4448" i="2"/>
  <c r="H4447" i="2"/>
  <c r="G4447" i="2"/>
  <c r="F4447" i="2"/>
  <c r="D4447" i="2"/>
  <c r="G4446" i="2"/>
  <c r="F4446" i="2"/>
  <c r="D4446" i="2"/>
  <c r="H4446" i="2" s="1"/>
  <c r="G4445" i="2"/>
  <c r="F4445" i="2"/>
  <c r="D4445" i="2"/>
  <c r="H4445" i="2" s="1"/>
  <c r="H4444" i="2"/>
  <c r="G4444" i="2"/>
  <c r="F4444" i="2"/>
  <c r="D4444" i="2"/>
  <c r="G4443" i="2"/>
  <c r="F4443" i="2"/>
  <c r="D4443" i="2"/>
  <c r="H4443" i="2" s="1"/>
  <c r="H4442" i="2"/>
  <c r="G4441" i="2"/>
  <c r="F4441" i="2"/>
  <c r="D4441" i="2"/>
  <c r="H4441" i="2" s="1"/>
  <c r="G4440" i="2"/>
  <c r="F4440" i="2"/>
  <c r="D4440" i="2"/>
  <c r="H4440" i="2" s="1"/>
  <c r="G4439" i="2"/>
  <c r="F4439" i="2"/>
  <c r="D4439" i="2"/>
  <c r="H4439" i="2" s="1"/>
  <c r="G4438" i="2"/>
  <c r="F4438" i="2"/>
  <c r="D4438" i="2"/>
  <c r="H4438" i="2" s="1"/>
  <c r="G4437" i="2"/>
  <c r="F4437" i="2"/>
  <c r="D4437" i="2"/>
  <c r="H4437" i="2" s="1"/>
  <c r="G4436" i="2"/>
  <c r="F4436" i="2"/>
  <c r="D4436" i="2"/>
  <c r="H4436" i="2" s="1"/>
  <c r="G4435" i="2"/>
  <c r="F4435" i="2"/>
  <c r="D4435" i="2"/>
  <c r="H4435" i="2" s="1"/>
  <c r="G4434" i="2"/>
  <c r="F4434" i="2"/>
  <c r="D4434" i="2"/>
  <c r="H4434" i="2" s="1"/>
  <c r="G4433" i="2"/>
  <c r="F4433" i="2"/>
  <c r="D4433" i="2"/>
  <c r="H4433" i="2" s="1"/>
  <c r="G4432" i="2"/>
  <c r="F4432" i="2"/>
  <c r="D4432" i="2"/>
  <c r="H4432" i="2" s="1"/>
  <c r="G4431" i="2"/>
  <c r="F4431" i="2"/>
  <c r="D4431" i="2"/>
  <c r="H4431" i="2" s="1"/>
  <c r="G4430" i="2"/>
  <c r="F4430" i="2"/>
  <c r="D4430" i="2"/>
  <c r="H4430" i="2" s="1"/>
  <c r="G4429" i="2"/>
  <c r="F4429" i="2"/>
  <c r="D4429" i="2"/>
  <c r="H4429" i="2" s="1"/>
  <c r="G4428" i="2"/>
  <c r="F4428" i="2"/>
  <c r="D4428" i="2"/>
  <c r="H4428" i="2" s="1"/>
  <c r="G4427" i="2"/>
  <c r="F4427" i="2"/>
  <c r="D4427" i="2"/>
  <c r="H4427" i="2" s="1"/>
  <c r="H4426" i="2"/>
  <c r="G4425" i="2"/>
  <c r="F4425" i="2"/>
  <c r="H4425" i="2" s="1"/>
  <c r="D4425" i="2"/>
  <c r="G4424" i="2"/>
  <c r="F4424" i="2"/>
  <c r="H4424" i="2" s="1"/>
  <c r="D4424" i="2"/>
  <c r="G4423" i="2"/>
  <c r="F4423" i="2"/>
  <c r="H4423" i="2" s="1"/>
  <c r="D4423" i="2"/>
  <c r="G4422" i="2"/>
  <c r="F4422" i="2"/>
  <c r="H4422" i="2" s="1"/>
  <c r="D4422" i="2"/>
  <c r="G4421" i="2"/>
  <c r="F4421" i="2"/>
  <c r="H4421" i="2" s="1"/>
  <c r="D4421" i="2"/>
  <c r="G4420" i="2"/>
  <c r="F4420" i="2"/>
  <c r="H4420" i="2" s="1"/>
  <c r="D4420" i="2"/>
  <c r="G4419" i="2"/>
  <c r="F4419" i="2"/>
  <c r="H4419" i="2" s="1"/>
  <c r="D4419" i="2"/>
  <c r="G4418" i="2"/>
  <c r="F4418" i="2"/>
  <c r="H4418" i="2" s="1"/>
  <c r="D4418" i="2"/>
  <c r="G4417" i="2"/>
  <c r="F4417" i="2"/>
  <c r="H4417" i="2" s="1"/>
  <c r="D4417" i="2"/>
  <c r="G4416" i="2"/>
  <c r="F4416" i="2"/>
  <c r="D4416" i="2"/>
  <c r="H4416" i="2" s="1"/>
  <c r="H4415" i="2"/>
  <c r="G4414" i="2"/>
  <c r="H4414" i="2" s="1"/>
  <c r="F4414" i="2"/>
  <c r="D4414" i="2"/>
  <c r="H4413" i="2"/>
  <c r="G4413" i="2"/>
  <c r="F4413" i="2"/>
  <c r="D4413" i="2"/>
  <c r="G4412" i="2"/>
  <c r="H4412" i="2" s="1"/>
  <c r="F4412" i="2"/>
  <c r="D4412" i="2"/>
  <c r="G4411" i="2"/>
  <c r="H4411" i="2" s="1"/>
  <c r="F4411" i="2"/>
  <c r="D4411" i="2"/>
  <c r="G4410" i="2"/>
  <c r="H4410" i="2" s="1"/>
  <c r="F4410" i="2"/>
  <c r="D4410" i="2"/>
  <c r="G4409" i="2"/>
  <c r="H4409" i="2" s="1"/>
  <c r="F4409" i="2"/>
  <c r="D4409" i="2"/>
  <c r="G4408" i="2"/>
  <c r="F4408" i="2"/>
  <c r="D4408" i="2"/>
  <c r="H4408" i="2" s="1"/>
  <c r="G4407" i="2"/>
  <c r="H4407" i="2" s="1"/>
  <c r="F4407" i="2"/>
  <c r="D4407" i="2"/>
  <c r="G4406" i="2"/>
  <c r="H4406" i="2" s="1"/>
  <c r="F4406" i="2"/>
  <c r="D4406" i="2"/>
  <c r="G4405" i="2"/>
  <c r="F4405" i="2"/>
  <c r="D4405" i="2"/>
  <c r="H4405" i="2" s="1"/>
  <c r="H4404" i="2"/>
  <c r="H4403" i="2"/>
  <c r="G4403" i="2"/>
  <c r="F4403" i="2"/>
  <c r="D4403" i="2"/>
  <c r="H4402" i="2"/>
  <c r="G4402" i="2"/>
  <c r="F4402" i="2"/>
  <c r="D4402" i="2"/>
  <c r="G4401" i="2"/>
  <c r="F4401" i="2"/>
  <c r="D4401" i="2"/>
  <c r="H4401" i="2" s="1"/>
  <c r="H4400" i="2"/>
  <c r="G4400" i="2"/>
  <c r="F4400" i="2"/>
  <c r="D4400" i="2"/>
  <c r="H4399" i="2"/>
  <c r="G4399" i="2"/>
  <c r="F4399" i="2"/>
  <c r="D4399" i="2"/>
  <c r="G4398" i="2"/>
  <c r="F4398" i="2"/>
  <c r="D4398" i="2"/>
  <c r="H4398" i="2" s="1"/>
  <c r="G4397" i="2"/>
  <c r="F4397" i="2"/>
  <c r="D4397" i="2"/>
  <c r="H4397" i="2" s="1"/>
  <c r="H4396" i="2"/>
  <c r="G4396" i="2"/>
  <c r="F4396" i="2"/>
  <c r="D4396" i="2"/>
  <c r="G4395" i="2"/>
  <c r="F4395" i="2"/>
  <c r="D4395" i="2"/>
  <c r="H4395" i="2" s="1"/>
  <c r="G4394" i="2"/>
  <c r="F4394" i="2"/>
  <c r="D4394" i="2"/>
  <c r="H4394" i="2" s="1"/>
  <c r="H4393" i="2"/>
  <c r="G4393" i="2"/>
  <c r="F4393" i="2"/>
  <c r="D4393" i="2"/>
  <c r="G4392" i="2"/>
  <c r="F4392" i="2"/>
  <c r="D4392" i="2"/>
  <c r="H4392" i="2" s="1"/>
  <c r="G4391" i="2"/>
  <c r="F4391" i="2"/>
  <c r="D4391" i="2"/>
  <c r="H4391" i="2" s="1"/>
  <c r="H4390" i="2"/>
  <c r="G4390" i="2"/>
  <c r="F4390" i="2"/>
  <c r="D4390" i="2"/>
  <c r="H4389" i="2"/>
  <c r="G4388" i="2"/>
  <c r="F4388" i="2"/>
  <c r="D4388" i="2"/>
  <c r="H4388" i="2" s="1"/>
  <c r="G4387" i="2"/>
  <c r="F4387" i="2"/>
  <c r="D4387" i="2"/>
  <c r="H4387" i="2" s="1"/>
  <c r="G4386" i="2"/>
  <c r="F4386" i="2"/>
  <c r="D4386" i="2"/>
  <c r="H4386" i="2" s="1"/>
  <c r="G4385" i="2"/>
  <c r="F4385" i="2"/>
  <c r="D4385" i="2"/>
  <c r="H4385" i="2" s="1"/>
  <c r="G4384" i="2"/>
  <c r="F4384" i="2"/>
  <c r="D4384" i="2"/>
  <c r="H4384" i="2" s="1"/>
  <c r="G4383" i="2"/>
  <c r="F4383" i="2"/>
  <c r="D4383" i="2"/>
  <c r="H4383" i="2" s="1"/>
  <c r="G4382" i="2"/>
  <c r="F4382" i="2"/>
  <c r="D4382" i="2"/>
  <c r="H4382" i="2" s="1"/>
  <c r="G4381" i="2"/>
  <c r="F4381" i="2"/>
  <c r="D4381" i="2"/>
  <c r="H4381" i="2" s="1"/>
  <c r="G4380" i="2"/>
  <c r="F4380" i="2"/>
  <c r="D4380" i="2"/>
  <c r="H4380" i="2" s="1"/>
  <c r="G4379" i="2"/>
  <c r="F4379" i="2"/>
  <c r="D4379" i="2"/>
  <c r="H4379" i="2" s="1"/>
  <c r="H4378" i="2"/>
  <c r="G4377" i="2"/>
  <c r="F4377" i="2"/>
  <c r="H4377" i="2" s="1"/>
  <c r="D4377" i="2"/>
  <c r="G4376" i="2"/>
  <c r="F4376" i="2"/>
  <c r="H4376" i="2" s="1"/>
  <c r="D4376" i="2"/>
  <c r="G4375" i="2"/>
  <c r="F4375" i="2"/>
  <c r="H4375" i="2" s="1"/>
  <c r="D4375" i="2"/>
  <c r="G4374" i="2"/>
  <c r="F4374" i="2"/>
  <c r="H4374" i="2" s="1"/>
  <c r="D4374" i="2"/>
  <c r="G4373" i="2"/>
  <c r="F4373" i="2"/>
  <c r="H4373" i="2" s="1"/>
  <c r="D4373" i="2"/>
  <c r="G4372" i="2"/>
  <c r="F4372" i="2"/>
  <c r="H4372" i="2" s="1"/>
  <c r="D4372" i="2"/>
  <c r="G4371" i="2"/>
  <c r="F4371" i="2"/>
  <c r="D4371" i="2"/>
  <c r="H4371" i="2" s="1"/>
  <c r="G4370" i="2"/>
  <c r="F4370" i="2"/>
  <c r="H4370" i="2" s="1"/>
  <c r="D4370" i="2"/>
  <c r="G4369" i="2"/>
  <c r="F4369" i="2"/>
  <c r="H4369" i="2" s="1"/>
  <c r="D4369" i="2"/>
  <c r="G4368" i="2"/>
  <c r="F4368" i="2"/>
  <c r="D4368" i="2"/>
  <c r="H4368" i="2" s="1"/>
  <c r="G4367" i="2"/>
  <c r="F4367" i="2"/>
  <c r="D4367" i="2"/>
  <c r="H4367" i="2" s="1"/>
  <c r="G4366" i="2"/>
  <c r="F4366" i="2"/>
  <c r="H4366" i="2" s="1"/>
  <c r="D4366" i="2"/>
  <c r="G4365" i="2"/>
  <c r="F4365" i="2"/>
  <c r="D4365" i="2"/>
  <c r="H4365" i="2" s="1"/>
  <c r="G4364" i="2"/>
  <c r="F4364" i="2"/>
  <c r="D4364" i="2"/>
  <c r="H4364" i="2" s="1"/>
  <c r="G4363" i="2"/>
  <c r="F4363" i="2"/>
  <c r="H4363" i="2" s="1"/>
  <c r="D4363" i="2"/>
  <c r="H4362" i="2"/>
  <c r="G4361" i="2"/>
  <c r="H4361" i="2" s="1"/>
  <c r="F4361" i="2"/>
  <c r="D4361" i="2"/>
  <c r="H4360" i="2"/>
  <c r="G4360" i="2"/>
  <c r="F4360" i="2"/>
  <c r="D4360" i="2"/>
  <c r="H4359" i="2"/>
  <c r="G4359" i="2"/>
  <c r="F4359" i="2"/>
  <c r="D4359" i="2"/>
  <c r="G4358" i="2"/>
  <c r="H4358" i="2" s="1"/>
  <c r="F4358" i="2"/>
  <c r="D4358" i="2"/>
  <c r="G4357" i="2"/>
  <c r="H4357" i="2" s="1"/>
  <c r="F4357" i="2"/>
  <c r="D4357" i="2"/>
  <c r="H4356" i="2"/>
  <c r="G4356" i="2"/>
  <c r="F4356" i="2"/>
  <c r="D4356" i="2"/>
  <c r="G4355" i="2"/>
  <c r="H4355" i="2" s="1"/>
  <c r="F4355" i="2"/>
  <c r="D4355" i="2"/>
  <c r="G4354" i="2"/>
  <c r="H4354" i="2" s="1"/>
  <c r="F4354" i="2"/>
  <c r="D4354" i="2"/>
  <c r="G4353" i="2"/>
  <c r="H4353" i="2" s="1"/>
  <c r="F4353" i="2"/>
  <c r="D4353" i="2"/>
  <c r="G4352" i="2"/>
  <c r="H4352" i="2" s="1"/>
  <c r="F4352" i="2"/>
  <c r="D4352" i="2"/>
  <c r="H4351" i="2"/>
  <c r="G4350" i="2"/>
  <c r="F4350" i="2"/>
  <c r="D4350" i="2"/>
  <c r="H4350" i="2" s="1"/>
  <c r="G4349" i="2"/>
  <c r="F4349" i="2"/>
  <c r="D4349" i="2"/>
  <c r="H4349" i="2" s="1"/>
  <c r="H4348" i="2"/>
  <c r="G4348" i="2"/>
  <c r="F4348" i="2"/>
  <c r="D4348" i="2"/>
  <c r="G4347" i="2"/>
  <c r="F4347" i="2"/>
  <c r="D4347" i="2"/>
  <c r="H4347" i="2" s="1"/>
  <c r="G4346" i="2"/>
  <c r="F4346" i="2"/>
  <c r="D4346" i="2"/>
  <c r="H4346" i="2" s="1"/>
  <c r="H4345" i="2"/>
  <c r="G4345" i="2"/>
  <c r="F4345" i="2"/>
  <c r="D4345" i="2"/>
  <c r="G4344" i="2"/>
  <c r="F4344" i="2"/>
  <c r="D4344" i="2"/>
  <c r="H4344" i="2" s="1"/>
  <c r="G4343" i="2"/>
  <c r="F4343" i="2"/>
  <c r="D4343" i="2"/>
  <c r="H4343" i="2" s="1"/>
  <c r="H4342" i="2"/>
  <c r="G4342" i="2"/>
  <c r="F4342" i="2"/>
  <c r="D4342" i="2"/>
  <c r="G4341" i="2"/>
  <c r="F4341" i="2"/>
  <c r="D4341" i="2"/>
  <c r="H4341" i="2" s="1"/>
  <c r="H4340" i="2"/>
  <c r="G4339" i="2"/>
  <c r="F4339" i="2"/>
  <c r="D4339" i="2"/>
  <c r="H4339" i="2" s="1"/>
  <c r="G4338" i="2"/>
  <c r="F4338" i="2"/>
  <c r="D4338" i="2"/>
  <c r="H4338" i="2" s="1"/>
  <c r="G4337" i="2"/>
  <c r="F4337" i="2"/>
  <c r="D4337" i="2"/>
  <c r="H4337" i="2" s="1"/>
  <c r="G4336" i="2"/>
  <c r="F4336" i="2"/>
  <c r="D4336" i="2"/>
  <c r="H4336" i="2" s="1"/>
  <c r="G4335" i="2"/>
  <c r="F4335" i="2"/>
  <c r="D4335" i="2"/>
  <c r="H4335" i="2" s="1"/>
  <c r="G4334" i="2"/>
  <c r="F4334" i="2"/>
  <c r="D4334" i="2"/>
  <c r="H4334" i="2" s="1"/>
  <c r="G4333" i="2"/>
  <c r="F4333" i="2"/>
  <c r="D4333" i="2"/>
  <c r="H4333" i="2" s="1"/>
  <c r="G4332" i="2"/>
  <c r="F4332" i="2"/>
  <c r="D4332" i="2"/>
  <c r="H4332" i="2" s="1"/>
  <c r="G4331" i="2"/>
  <c r="F4331" i="2"/>
  <c r="D4331" i="2"/>
  <c r="H4331" i="2" s="1"/>
  <c r="G4330" i="2"/>
  <c r="F4330" i="2"/>
  <c r="D4330" i="2"/>
  <c r="H4330" i="2" s="1"/>
  <c r="G4329" i="2"/>
  <c r="F4329" i="2"/>
  <c r="D4329" i="2"/>
  <c r="H4329" i="2" s="1"/>
  <c r="G4328" i="2"/>
  <c r="F4328" i="2"/>
  <c r="D4328" i="2"/>
  <c r="H4328" i="2" s="1"/>
  <c r="G4327" i="2"/>
  <c r="F4327" i="2"/>
  <c r="D4327" i="2"/>
  <c r="H4327" i="2" s="1"/>
  <c r="G4326" i="2"/>
  <c r="F4326" i="2"/>
  <c r="D4326" i="2"/>
  <c r="H4326" i="2" s="1"/>
  <c r="G4325" i="2"/>
  <c r="F4325" i="2"/>
  <c r="D4325" i="2"/>
  <c r="H4325" i="2" s="1"/>
  <c r="G4324" i="2"/>
  <c r="F4324" i="2"/>
  <c r="D4324" i="2"/>
  <c r="H4324" i="2" s="1"/>
  <c r="H4323" i="2"/>
  <c r="G4322" i="2"/>
  <c r="F4322" i="2"/>
  <c r="H4322" i="2" s="1"/>
  <c r="D4322" i="2"/>
  <c r="G4321" i="2"/>
  <c r="F4321" i="2"/>
  <c r="H4321" i="2" s="1"/>
  <c r="D4321" i="2"/>
  <c r="G4320" i="2"/>
  <c r="F4320" i="2"/>
  <c r="H4320" i="2" s="1"/>
  <c r="D4320" i="2"/>
  <c r="G4319" i="2"/>
  <c r="F4319" i="2"/>
  <c r="H4319" i="2" s="1"/>
  <c r="D4319" i="2"/>
  <c r="G4318" i="2"/>
  <c r="F4318" i="2"/>
  <c r="H4318" i="2" s="1"/>
  <c r="D4318" i="2"/>
  <c r="G4317" i="2"/>
  <c r="F4317" i="2"/>
  <c r="D4317" i="2"/>
  <c r="H4317" i="2" s="1"/>
  <c r="G4316" i="2"/>
  <c r="F4316" i="2"/>
  <c r="H4316" i="2" s="1"/>
  <c r="D4316" i="2"/>
  <c r="G4315" i="2"/>
  <c r="F4315" i="2"/>
  <c r="H4315" i="2" s="1"/>
  <c r="D4315" i="2"/>
  <c r="G4314" i="2"/>
  <c r="F4314" i="2"/>
  <c r="D4314" i="2"/>
  <c r="H4314" i="2" s="1"/>
  <c r="G4313" i="2"/>
  <c r="F4313" i="2"/>
  <c r="D4313" i="2"/>
  <c r="H4313" i="2" s="1"/>
  <c r="G4312" i="2"/>
  <c r="F4312" i="2"/>
  <c r="H4312" i="2" s="1"/>
  <c r="D4312" i="2"/>
  <c r="G4311" i="2"/>
  <c r="F4311" i="2"/>
  <c r="D4311" i="2"/>
  <c r="H4311" i="2" s="1"/>
  <c r="G4310" i="2"/>
  <c r="F4310" i="2"/>
  <c r="D4310" i="2"/>
  <c r="H4310" i="2" s="1"/>
  <c r="G4309" i="2"/>
  <c r="F4309" i="2"/>
  <c r="D4309" i="2"/>
  <c r="H4309" i="2" s="1"/>
  <c r="G4308" i="2"/>
  <c r="F4308" i="2"/>
  <c r="D4308" i="2"/>
  <c r="H4308" i="2" s="1"/>
  <c r="G4307" i="2"/>
  <c r="F4307" i="2"/>
  <c r="D4307" i="2"/>
  <c r="H4307" i="2" s="1"/>
  <c r="H4306" i="2"/>
  <c r="H4305" i="2"/>
  <c r="G4305" i="2"/>
  <c r="F4305" i="2"/>
  <c r="D4305" i="2"/>
  <c r="G4304" i="2"/>
  <c r="H4304" i="2" s="1"/>
  <c r="F4304" i="2"/>
  <c r="D4304" i="2"/>
  <c r="G4303" i="2"/>
  <c r="H4303" i="2" s="1"/>
  <c r="F4303" i="2"/>
  <c r="D4303" i="2"/>
  <c r="H4302" i="2"/>
  <c r="G4302" i="2"/>
  <c r="F4302" i="2"/>
  <c r="D4302" i="2"/>
  <c r="G4301" i="2"/>
  <c r="H4301" i="2" s="1"/>
  <c r="F4301" i="2"/>
  <c r="D4301" i="2"/>
  <c r="G4300" i="2"/>
  <c r="H4300" i="2" s="1"/>
  <c r="F4300" i="2"/>
  <c r="D4300" i="2"/>
  <c r="G4299" i="2"/>
  <c r="H4299" i="2" s="1"/>
  <c r="F4299" i="2"/>
  <c r="D4299" i="2"/>
  <c r="G4298" i="2"/>
  <c r="H4298" i="2" s="1"/>
  <c r="F4298" i="2"/>
  <c r="D4298" i="2"/>
  <c r="G4297" i="2"/>
  <c r="H4297" i="2" s="1"/>
  <c r="F4297" i="2"/>
  <c r="D4297" i="2"/>
  <c r="G4296" i="2"/>
  <c r="H4296" i="2" s="1"/>
  <c r="F4296" i="2"/>
  <c r="D4296" i="2"/>
  <c r="H4295" i="2"/>
  <c r="H4294" i="2"/>
  <c r="G4294" i="2"/>
  <c r="F4294" i="2"/>
  <c r="D4294" i="2"/>
  <c r="G4293" i="2"/>
  <c r="F4293" i="2"/>
  <c r="D4293" i="2"/>
  <c r="H4293" i="2" s="1"/>
  <c r="H4292" i="2"/>
  <c r="G4292" i="2"/>
  <c r="F4292" i="2"/>
  <c r="D4292" i="2"/>
  <c r="H4291" i="2"/>
  <c r="G4291" i="2"/>
  <c r="F4291" i="2"/>
  <c r="D4291" i="2"/>
  <c r="G4290" i="2"/>
  <c r="F4290" i="2"/>
  <c r="D4290" i="2"/>
  <c r="H4290" i="2" s="1"/>
  <c r="G4289" i="2"/>
  <c r="F4289" i="2"/>
  <c r="D4289" i="2"/>
  <c r="H4289" i="2" s="1"/>
  <c r="H4288" i="2"/>
  <c r="G4288" i="2"/>
  <c r="F4288" i="2"/>
  <c r="D4288" i="2"/>
  <c r="G4287" i="2"/>
  <c r="F4287" i="2"/>
  <c r="D4287" i="2"/>
  <c r="H4287" i="2" s="1"/>
  <c r="G4286" i="2"/>
  <c r="F4286" i="2"/>
  <c r="D4286" i="2"/>
  <c r="H4286" i="2" s="1"/>
  <c r="H4285" i="2"/>
  <c r="G4285" i="2"/>
  <c r="F4285" i="2"/>
  <c r="D4285" i="2"/>
  <c r="G4284" i="2"/>
  <c r="F4284" i="2"/>
  <c r="D4284" i="2"/>
  <c r="H4284" i="2" s="1"/>
  <c r="G4283" i="2"/>
  <c r="F4283" i="2"/>
  <c r="D4283" i="2"/>
  <c r="H4283" i="2" s="1"/>
  <c r="H4282" i="2"/>
  <c r="G4282" i="2"/>
  <c r="F4282" i="2"/>
  <c r="D4282" i="2"/>
  <c r="G4281" i="2"/>
  <c r="F4281" i="2"/>
  <c r="D4281" i="2"/>
  <c r="H4281" i="2" s="1"/>
  <c r="G4280" i="2"/>
  <c r="F4280" i="2"/>
  <c r="D4280" i="2"/>
  <c r="H4280" i="2" s="1"/>
  <c r="H4279" i="2"/>
  <c r="G4278" i="2"/>
  <c r="F4278" i="2"/>
  <c r="D4278" i="2"/>
  <c r="H4278" i="2" s="1"/>
  <c r="G4277" i="2"/>
  <c r="F4277" i="2"/>
  <c r="D4277" i="2"/>
  <c r="H4277" i="2" s="1"/>
  <c r="G4276" i="2"/>
  <c r="F4276" i="2"/>
  <c r="D4276" i="2"/>
  <c r="H4276" i="2" s="1"/>
  <c r="G4275" i="2"/>
  <c r="F4275" i="2"/>
  <c r="D4275" i="2"/>
  <c r="H4275" i="2" s="1"/>
  <c r="G4274" i="2"/>
  <c r="F4274" i="2"/>
  <c r="D4274" i="2"/>
  <c r="H4274" i="2" s="1"/>
  <c r="G4273" i="2"/>
  <c r="F4273" i="2"/>
  <c r="D4273" i="2"/>
  <c r="H4273" i="2" s="1"/>
  <c r="G4272" i="2"/>
  <c r="F4272" i="2"/>
  <c r="D4272" i="2"/>
  <c r="H4272" i="2" s="1"/>
  <c r="G4271" i="2"/>
  <c r="F4271" i="2"/>
  <c r="D4271" i="2"/>
  <c r="H4271" i="2" s="1"/>
  <c r="G4270" i="2"/>
  <c r="F4270" i="2"/>
  <c r="D4270" i="2"/>
  <c r="H4270" i="2" s="1"/>
  <c r="G4269" i="2"/>
  <c r="F4269" i="2"/>
  <c r="D4269" i="2"/>
  <c r="H4269" i="2" s="1"/>
  <c r="H4268" i="2"/>
  <c r="G4267" i="2"/>
  <c r="F4267" i="2"/>
  <c r="H4267" i="2" s="1"/>
  <c r="D4267" i="2"/>
  <c r="G4266" i="2"/>
  <c r="F4266" i="2"/>
  <c r="D4266" i="2"/>
  <c r="H4266" i="2" s="1"/>
  <c r="G4265" i="2"/>
  <c r="F4265" i="2"/>
  <c r="D4265" i="2"/>
  <c r="H4265" i="2" s="1"/>
  <c r="G4264" i="2"/>
  <c r="F4264" i="2"/>
  <c r="H4264" i="2" s="1"/>
  <c r="D4264" i="2"/>
  <c r="G4263" i="2"/>
  <c r="F4263" i="2"/>
  <c r="D4263" i="2"/>
  <c r="H4263" i="2" s="1"/>
  <c r="G4262" i="2"/>
  <c r="F4262" i="2"/>
  <c r="D4262" i="2"/>
  <c r="H4262" i="2" s="1"/>
  <c r="G4261" i="2"/>
  <c r="F4261" i="2"/>
  <c r="D4261" i="2"/>
  <c r="H4261" i="2" s="1"/>
  <c r="G4260" i="2"/>
  <c r="F4260" i="2"/>
  <c r="D4260" i="2"/>
  <c r="H4260" i="2" s="1"/>
  <c r="G4259" i="2"/>
  <c r="F4259" i="2"/>
  <c r="D4259" i="2"/>
  <c r="H4259" i="2" s="1"/>
  <c r="G4258" i="2"/>
  <c r="F4258" i="2"/>
  <c r="D4258" i="2"/>
  <c r="H4258" i="2" s="1"/>
  <c r="G4257" i="2"/>
  <c r="F4257" i="2"/>
  <c r="D4257" i="2"/>
  <c r="H4257" i="2" s="1"/>
  <c r="G4256" i="2"/>
  <c r="F4256" i="2"/>
  <c r="D4256" i="2"/>
  <c r="H4256" i="2" s="1"/>
  <c r="G4255" i="2"/>
  <c r="F4255" i="2"/>
  <c r="D4255" i="2"/>
  <c r="H4255" i="2" s="1"/>
  <c r="G4254" i="2"/>
  <c r="F4254" i="2"/>
  <c r="D4254" i="2"/>
  <c r="H4254" i="2" s="1"/>
  <c r="G4253" i="2"/>
  <c r="F4253" i="2"/>
  <c r="D4253" i="2"/>
  <c r="H4253" i="2" s="1"/>
  <c r="G4252" i="2"/>
  <c r="F4252" i="2"/>
  <c r="D4252" i="2"/>
  <c r="H4252" i="2" s="1"/>
  <c r="H4251" i="2"/>
  <c r="G4250" i="2"/>
  <c r="H4250" i="2" s="1"/>
  <c r="F4250" i="2"/>
  <c r="D4250" i="2"/>
  <c r="H4249" i="2"/>
  <c r="G4249" i="2"/>
  <c r="F4249" i="2"/>
  <c r="D4249" i="2"/>
  <c r="H4248" i="2"/>
  <c r="G4248" i="2"/>
  <c r="F4248" i="2"/>
  <c r="D4248" i="2"/>
  <c r="G4247" i="2"/>
  <c r="H4247" i="2" s="1"/>
  <c r="F4247" i="2"/>
  <c r="D4247" i="2"/>
  <c r="H4246" i="2"/>
  <c r="G4246" i="2"/>
  <c r="F4246" i="2"/>
  <c r="D4246" i="2"/>
  <c r="H4245" i="2"/>
  <c r="G4245" i="2"/>
  <c r="F4245" i="2"/>
  <c r="D4245" i="2"/>
  <c r="G4244" i="2"/>
  <c r="H4244" i="2" s="1"/>
  <c r="F4244" i="2"/>
  <c r="D4244" i="2"/>
  <c r="G4243" i="2"/>
  <c r="H4243" i="2" s="1"/>
  <c r="F4243" i="2"/>
  <c r="D4243" i="2"/>
  <c r="H4242" i="2"/>
  <c r="G4242" i="2"/>
  <c r="F4242" i="2"/>
  <c r="D4242" i="2"/>
  <c r="G4241" i="2"/>
  <c r="H4241" i="2" s="1"/>
  <c r="F4241" i="2"/>
  <c r="D4241" i="2"/>
  <c r="H4240" i="2"/>
  <c r="G4239" i="2"/>
  <c r="F4239" i="2"/>
  <c r="D4239" i="2"/>
  <c r="H4239" i="2" s="1"/>
  <c r="G4238" i="2"/>
  <c r="F4238" i="2"/>
  <c r="D4238" i="2"/>
  <c r="H4238" i="2" s="1"/>
  <c r="H4237" i="2"/>
  <c r="G4237" i="2"/>
  <c r="F4237" i="2"/>
  <c r="D4237" i="2"/>
  <c r="G4236" i="2"/>
  <c r="F4236" i="2"/>
  <c r="D4236" i="2"/>
  <c r="H4236" i="2" s="1"/>
  <c r="G4235" i="2"/>
  <c r="F4235" i="2"/>
  <c r="D4235" i="2"/>
  <c r="H4235" i="2" s="1"/>
  <c r="H4234" i="2"/>
  <c r="G4234" i="2"/>
  <c r="F4234" i="2"/>
  <c r="D4234" i="2"/>
  <c r="G4233" i="2"/>
  <c r="F4233" i="2"/>
  <c r="D4233" i="2"/>
  <c r="H4233" i="2" s="1"/>
  <c r="G4232" i="2"/>
  <c r="F4232" i="2"/>
  <c r="D4232" i="2"/>
  <c r="H4232" i="2" s="1"/>
  <c r="H4231" i="2"/>
  <c r="G4231" i="2"/>
  <c r="F4231" i="2"/>
  <c r="D4231" i="2"/>
  <c r="G4230" i="2"/>
  <c r="F4230" i="2"/>
  <c r="D4230" i="2"/>
  <c r="H4230" i="2" s="1"/>
  <c r="H4229" i="2"/>
  <c r="G4228" i="2"/>
  <c r="F4228" i="2"/>
  <c r="D4228" i="2"/>
  <c r="H4228" i="2" s="1"/>
  <c r="G4227" i="2"/>
  <c r="F4227" i="2"/>
  <c r="D4227" i="2"/>
  <c r="H4227" i="2" s="1"/>
  <c r="G4226" i="2"/>
  <c r="F4226" i="2"/>
  <c r="D4226" i="2"/>
  <c r="H4226" i="2" s="1"/>
  <c r="G4225" i="2"/>
  <c r="F4225" i="2"/>
  <c r="D4225" i="2"/>
  <c r="H4225" i="2" s="1"/>
  <c r="G4224" i="2"/>
  <c r="F4224" i="2"/>
  <c r="D4224" i="2"/>
  <c r="H4224" i="2" s="1"/>
  <c r="G4223" i="2"/>
  <c r="F4223" i="2"/>
  <c r="D4223" i="2"/>
  <c r="H4223" i="2" s="1"/>
  <c r="G4222" i="2"/>
  <c r="F4222" i="2"/>
  <c r="D4222" i="2"/>
  <c r="H4222" i="2" s="1"/>
  <c r="G4221" i="2"/>
  <c r="F4221" i="2"/>
  <c r="D4221" i="2"/>
  <c r="H4221" i="2" s="1"/>
  <c r="G4220" i="2"/>
  <c r="F4220" i="2"/>
  <c r="D4220" i="2"/>
  <c r="H4220" i="2" s="1"/>
  <c r="G4219" i="2"/>
  <c r="F4219" i="2"/>
  <c r="D4219" i="2"/>
  <c r="H4219" i="2" s="1"/>
  <c r="H4218" i="2"/>
  <c r="G4217" i="2"/>
  <c r="F4217" i="2"/>
  <c r="D4217" i="2"/>
  <c r="H4217" i="2" s="1"/>
  <c r="G4216" i="2"/>
  <c r="F4216" i="2"/>
  <c r="D4216" i="2"/>
  <c r="H4216" i="2" s="1"/>
  <c r="G4215" i="2"/>
  <c r="F4215" i="2"/>
  <c r="D4215" i="2"/>
  <c r="H4215" i="2" s="1"/>
  <c r="G4214" i="2"/>
  <c r="F4214" i="2"/>
  <c r="D4214" i="2"/>
  <c r="H4214" i="2" s="1"/>
  <c r="G4213" i="2"/>
  <c r="F4213" i="2"/>
  <c r="D4213" i="2"/>
  <c r="H4213" i="2" s="1"/>
  <c r="G4212" i="2"/>
  <c r="F4212" i="2"/>
  <c r="D4212" i="2"/>
  <c r="H4212" i="2" s="1"/>
  <c r="G4211" i="2"/>
  <c r="F4211" i="2"/>
  <c r="D4211" i="2"/>
  <c r="H4211" i="2" s="1"/>
  <c r="G4210" i="2"/>
  <c r="F4210" i="2"/>
  <c r="D4210" i="2"/>
  <c r="H4210" i="2" s="1"/>
  <c r="G4209" i="2"/>
  <c r="F4209" i="2"/>
  <c r="D4209" i="2"/>
  <c r="H4209" i="2" s="1"/>
  <c r="G4208" i="2"/>
  <c r="F4208" i="2"/>
  <c r="D4208" i="2"/>
  <c r="H4208" i="2" s="1"/>
  <c r="H4207" i="2"/>
  <c r="H4206" i="2"/>
  <c r="G4206" i="2"/>
  <c r="F4206" i="2"/>
  <c r="D4206" i="2"/>
  <c r="G4205" i="2"/>
  <c r="H4205" i="2" s="1"/>
  <c r="F4205" i="2"/>
  <c r="D4205" i="2"/>
  <c r="H4204" i="2"/>
  <c r="G4204" i="2"/>
  <c r="F4204" i="2"/>
  <c r="D4204" i="2"/>
  <c r="H4203" i="2"/>
  <c r="G4203" i="2"/>
  <c r="F4203" i="2"/>
  <c r="D4203" i="2"/>
  <c r="G4202" i="2"/>
  <c r="H4202" i="2" s="1"/>
  <c r="F4202" i="2"/>
  <c r="D4202" i="2"/>
  <c r="H4201" i="2"/>
  <c r="G4201" i="2"/>
  <c r="F4201" i="2"/>
  <c r="D4201" i="2"/>
  <c r="H4200" i="2"/>
  <c r="G4200" i="2"/>
  <c r="F4200" i="2"/>
  <c r="D4200" i="2"/>
  <c r="G4199" i="2"/>
  <c r="H4199" i="2" s="1"/>
  <c r="F4199" i="2"/>
  <c r="D4199" i="2"/>
  <c r="G4198" i="2"/>
  <c r="H4198" i="2" s="1"/>
  <c r="F4198" i="2"/>
  <c r="D4198" i="2"/>
  <c r="H4197" i="2"/>
  <c r="G4197" i="2"/>
  <c r="F4197" i="2"/>
  <c r="D4197" i="2"/>
  <c r="H4196" i="2"/>
  <c r="H4195" i="2"/>
  <c r="G4195" i="2"/>
  <c r="F4195" i="2"/>
  <c r="D4195" i="2"/>
  <c r="G4194" i="2"/>
  <c r="F4194" i="2"/>
  <c r="D4194" i="2"/>
  <c r="H4194" i="2" s="1"/>
  <c r="G4193" i="2"/>
  <c r="F4193" i="2"/>
  <c r="D4193" i="2"/>
  <c r="H4193" i="2" s="1"/>
  <c r="H4192" i="2"/>
  <c r="G4192" i="2"/>
  <c r="F4192" i="2"/>
  <c r="D4192" i="2"/>
  <c r="G4191" i="2"/>
  <c r="F4191" i="2"/>
  <c r="D4191" i="2"/>
  <c r="H4191" i="2" s="1"/>
  <c r="G4190" i="2"/>
  <c r="F4190" i="2"/>
  <c r="D4190" i="2"/>
  <c r="H4190" i="2" s="1"/>
  <c r="H4189" i="2"/>
  <c r="G4189" i="2"/>
  <c r="F4189" i="2"/>
  <c r="D4189" i="2"/>
  <c r="G4188" i="2"/>
  <c r="F4188" i="2"/>
  <c r="D4188" i="2"/>
  <c r="H4188" i="2" s="1"/>
  <c r="G4187" i="2"/>
  <c r="F4187" i="2"/>
  <c r="D4187" i="2"/>
  <c r="H4187" i="2" s="1"/>
  <c r="H4186" i="2"/>
  <c r="G4186" i="2"/>
  <c r="F4186" i="2"/>
  <c r="D4186" i="2"/>
  <c r="H4185" i="2"/>
  <c r="G4184" i="2"/>
  <c r="F4184" i="2"/>
  <c r="D4184" i="2"/>
  <c r="H4184" i="2" s="1"/>
  <c r="G4183" i="2"/>
  <c r="F4183" i="2"/>
  <c r="D4183" i="2"/>
  <c r="H4183" i="2" s="1"/>
  <c r="G4182" i="2"/>
  <c r="F4182" i="2"/>
  <c r="D4182" i="2"/>
  <c r="H4182" i="2" s="1"/>
  <c r="G4181" i="2"/>
  <c r="F4181" i="2"/>
  <c r="D4181" i="2"/>
  <c r="H4181" i="2" s="1"/>
  <c r="G4180" i="2"/>
  <c r="F4180" i="2"/>
  <c r="D4180" i="2"/>
  <c r="H4180" i="2" s="1"/>
  <c r="G4179" i="2"/>
  <c r="F4179" i="2"/>
  <c r="D4179" i="2"/>
  <c r="H4179" i="2" s="1"/>
  <c r="G4178" i="2"/>
  <c r="F4178" i="2"/>
  <c r="D4178" i="2"/>
  <c r="H4178" i="2" s="1"/>
  <c r="G4177" i="2"/>
  <c r="F4177" i="2"/>
  <c r="D4177" i="2"/>
  <c r="H4177" i="2" s="1"/>
  <c r="G4176" i="2"/>
  <c r="F4176" i="2"/>
  <c r="D4176" i="2"/>
  <c r="H4176" i="2" s="1"/>
  <c r="G4175" i="2"/>
  <c r="F4175" i="2"/>
  <c r="D4175" i="2"/>
  <c r="H4175" i="2" s="1"/>
  <c r="H4174" i="2"/>
  <c r="G4173" i="2"/>
  <c r="F4173" i="2"/>
  <c r="D4173" i="2"/>
  <c r="H4173" i="2" s="1"/>
  <c r="G4172" i="2"/>
  <c r="F4172" i="2"/>
  <c r="D4172" i="2"/>
  <c r="H4172" i="2" s="1"/>
  <c r="G4171" i="2"/>
  <c r="F4171" i="2"/>
  <c r="D4171" i="2"/>
  <c r="H4171" i="2" s="1"/>
  <c r="G4170" i="2"/>
  <c r="F4170" i="2"/>
  <c r="D4170" i="2"/>
  <c r="H4170" i="2" s="1"/>
  <c r="G4169" i="2"/>
  <c r="F4169" i="2"/>
  <c r="D4169" i="2"/>
  <c r="H4169" i="2" s="1"/>
  <c r="G4168" i="2"/>
  <c r="F4168" i="2"/>
  <c r="D4168" i="2"/>
  <c r="H4168" i="2" s="1"/>
  <c r="G4167" i="2"/>
  <c r="F4167" i="2"/>
  <c r="D4167" i="2"/>
  <c r="H4167" i="2" s="1"/>
  <c r="G4166" i="2"/>
  <c r="F4166" i="2"/>
  <c r="D4166" i="2"/>
  <c r="H4166" i="2" s="1"/>
  <c r="G4165" i="2"/>
  <c r="F4165" i="2"/>
  <c r="D4165" i="2"/>
  <c r="H4165" i="2" s="1"/>
  <c r="G4164" i="2"/>
  <c r="F4164" i="2"/>
  <c r="D4164" i="2"/>
  <c r="H4164" i="2" s="1"/>
  <c r="G4163" i="2"/>
  <c r="F4163" i="2"/>
  <c r="D4163" i="2"/>
  <c r="H4163" i="2" s="1"/>
  <c r="G4162" i="2"/>
  <c r="F4162" i="2"/>
  <c r="D4162" i="2"/>
  <c r="H4162" i="2" s="1"/>
  <c r="G4161" i="2"/>
  <c r="F4161" i="2"/>
  <c r="D4161" i="2"/>
  <c r="H4161" i="2" s="1"/>
  <c r="G4160" i="2"/>
  <c r="F4160" i="2"/>
  <c r="D4160" i="2"/>
  <c r="H4160" i="2" s="1"/>
  <c r="G4159" i="2"/>
  <c r="F4159" i="2"/>
  <c r="D4159" i="2"/>
  <c r="H4159" i="2" s="1"/>
  <c r="H4158" i="2"/>
  <c r="G4157" i="2"/>
  <c r="H4157" i="2" s="1"/>
  <c r="F4157" i="2"/>
  <c r="D4157" i="2"/>
  <c r="H4156" i="2"/>
  <c r="G4156" i="2"/>
  <c r="F4156" i="2"/>
  <c r="D4156" i="2"/>
  <c r="H4155" i="2"/>
  <c r="G4155" i="2"/>
  <c r="F4155" i="2"/>
  <c r="D4155" i="2"/>
  <c r="G4154" i="2"/>
  <c r="H4154" i="2" s="1"/>
  <c r="F4154" i="2"/>
  <c r="D4154" i="2"/>
  <c r="H4153" i="2"/>
  <c r="G4153" i="2"/>
  <c r="F4153" i="2"/>
  <c r="D4153" i="2"/>
  <c r="H4152" i="2"/>
  <c r="G4152" i="2"/>
  <c r="F4152" i="2"/>
  <c r="D4152" i="2"/>
  <c r="G4151" i="2"/>
  <c r="H4151" i="2" s="1"/>
  <c r="F4151" i="2"/>
  <c r="D4151" i="2"/>
  <c r="H4150" i="2"/>
  <c r="G4150" i="2"/>
  <c r="F4150" i="2"/>
  <c r="D4150" i="2"/>
  <c r="H4149" i="2"/>
  <c r="G4149" i="2"/>
  <c r="F4149" i="2"/>
  <c r="D4149" i="2"/>
  <c r="G4148" i="2"/>
  <c r="H4148" i="2" s="1"/>
  <c r="F4148" i="2"/>
  <c r="D4148" i="2"/>
  <c r="G4147" i="2"/>
  <c r="F4147" i="2"/>
  <c r="H4147" i="2" s="1"/>
  <c r="D4147" i="2"/>
  <c r="H4146" i="2"/>
  <c r="G4146" i="2"/>
  <c r="F4146" i="2"/>
  <c r="D4146" i="2"/>
  <c r="G4145" i="2"/>
  <c r="H4145" i="2" s="1"/>
  <c r="F4145" i="2"/>
  <c r="D4145" i="2"/>
  <c r="G4144" i="2"/>
  <c r="F4144" i="2"/>
  <c r="H4144" i="2" s="1"/>
  <c r="D4144" i="2"/>
  <c r="G4143" i="2"/>
  <c r="H4143" i="2" s="1"/>
  <c r="F4143" i="2"/>
  <c r="D4143" i="2"/>
  <c r="H4142" i="2"/>
  <c r="H4141" i="2"/>
  <c r="G4141" i="2"/>
  <c r="F4141" i="2"/>
  <c r="D4141" i="2"/>
  <c r="G4140" i="2"/>
  <c r="F4140" i="2"/>
  <c r="D4140" i="2"/>
  <c r="H4140" i="2" s="1"/>
  <c r="G4139" i="2"/>
  <c r="F4139" i="2"/>
  <c r="D4139" i="2"/>
  <c r="H4139" i="2" s="1"/>
  <c r="H4138" i="2"/>
  <c r="G4138" i="2"/>
  <c r="F4138" i="2"/>
  <c r="D4138" i="2"/>
  <c r="G4137" i="2"/>
  <c r="F4137" i="2"/>
  <c r="D4137" i="2"/>
  <c r="H4137" i="2" s="1"/>
  <c r="G4136" i="2"/>
  <c r="F4136" i="2"/>
  <c r="D4136" i="2"/>
  <c r="H4136" i="2" s="1"/>
  <c r="H4135" i="2"/>
  <c r="G4135" i="2"/>
  <c r="F4135" i="2"/>
  <c r="D4135" i="2"/>
  <c r="G4134" i="2"/>
  <c r="F4134" i="2"/>
  <c r="D4134" i="2"/>
  <c r="H4134" i="2" s="1"/>
  <c r="G4133" i="2"/>
  <c r="F4133" i="2"/>
  <c r="D4133" i="2"/>
  <c r="H4133" i="2" s="1"/>
  <c r="H4132" i="2"/>
  <c r="G4132" i="2"/>
  <c r="F4132" i="2"/>
  <c r="D4132" i="2"/>
  <c r="H4131" i="2"/>
  <c r="G4130" i="2"/>
  <c r="F4130" i="2"/>
  <c r="D4130" i="2"/>
  <c r="H4130" i="2" s="1"/>
  <c r="G4129" i="2"/>
  <c r="F4129" i="2"/>
  <c r="D4129" i="2"/>
  <c r="H4129" i="2" s="1"/>
  <c r="G4128" i="2"/>
  <c r="F4128" i="2"/>
  <c r="H4128" i="2" s="1"/>
  <c r="D4128" i="2"/>
  <c r="G4127" i="2"/>
  <c r="F4127" i="2"/>
  <c r="D4127" i="2"/>
  <c r="H4127" i="2" s="1"/>
  <c r="G4126" i="2"/>
  <c r="F4126" i="2"/>
  <c r="D4126" i="2"/>
  <c r="H4126" i="2" s="1"/>
  <c r="G4125" i="2"/>
  <c r="F4125" i="2"/>
  <c r="D4125" i="2"/>
  <c r="H4125" i="2" s="1"/>
  <c r="G4124" i="2"/>
  <c r="F4124" i="2"/>
  <c r="D4124" i="2"/>
  <c r="H4124" i="2" s="1"/>
  <c r="G4123" i="2"/>
  <c r="F4123" i="2"/>
  <c r="D4123" i="2"/>
  <c r="H4123" i="2" s="1"/>
  <c r="G4122" i="2"/>
  <c r="F4122" i="2"/>
  <c r="D4122" i="2"/>
  <c r="H4122" i="2" s="1"/>
  <c r="G4121" i="2"/>
  <c r="F4121" i="2"/>
  <c r="D4121" i="2"/>
  <c r="H4121" i="2" s="1"/>
  <c r="G4120" i="2"/>
  <c r="F4120" i="2"/>
  <c r="D4120" i="2"/>
  <c r="H4120" i="2" s="1"/>
  <c r="G4119" i="2"/>
  <c r="F4119" i="2"/>
  <c r="D4119" i="2"/>
  <c r="H4119" i="2" s="1"/>
  <c r="G4118" i="2"/>
  <c r="F4118" i="2"/>
  <c r="D4118" i="2"/>
  <c r="H4118" i="2" s="1"/>
  <c r="G4117" i="2"/>
  <c r="F4117" i="2"/>
  <c r="D4117" i="2"/>
  <c r="H4117" i="2" s="1"/>
  <c r="G4116" i="2"/>
  <c r="F4116" i="2"/>
  <c r="D4116" i="2"/>
  <c r="H4116" i="2" s="1"/>
  <c r="H4115" i="2"/>
  <c r="G4114" i="2"/>
  <c r="F4114" i="2"/>
  <c r="D4114" i="2"/>
  <c r="H4114" i="2" s="1"/>
  <c r="G4113" i="2"/>
  <c r="F4113" i="2"/>
  <c r="D4113" i="2"/>
  <c r="H4113" i="2" s="1"/>
  <c r="G4112" i="2"/>
  <c r="F4112" i="2"/>
  <c r="D4112" i="2"/>
  <c r="H4112" i="2" s="1"/>
  <c r="G4111" i="2"/>
  <c r="F4111" i="2"/>
  <c r="D4111" i="2"/>
  <c r="H4111" i="2" s="1"/>
  <c r="G4110" i="2"/>
  <c r="F4110" i="2"/>
  <c r="D4110" i="2"/>
  <c r="H4110" i="2" s="1"/>
  <c r="G4109" i="2"/>
  <c r="F4109" i="2"/>
  <c r="D4109" i="2"/>
  <c r="H4109" i="2" s="1"/>
  <c r="G4108" i="2"/>
  <c r="F4108" i="2"/>
  <c r="D4108" i="2"/>
  <c r="H4108" i="2" s="1"/>
  <c r="G4107" i="2"/>
  <c r="F4107" i="2"/>
  <c r="D4107" i="2"/>
  <c r="H4107" i="2" s="1"/>
  <c r="G4106" i="2"/>
  <c r="F4106" i="2"/>
  <c r="D4106" i="2"/>
  <c r="H4106" i="2" s="1"/>
  <c r="G4105" i="2"/>
  <c r="F4105" i="2"/>
  <c r="D4105" i="2"/>
  <c r="H4105" i="2" s="1"/>
  <c r="H4104" i="2"/>
  <c r="G4103" i="2"/>
  <c r="H4103" i="2" s="1"/>
  <c r="F4103" i="2"/>
  <c r="D4103" i="2"/>
  <c r="H4102" i="2"/>
  <c r="G4102" i="2"/>
  <c r="F4102" i="2"/>
  <c r="D4102" i="2"/>
  <c r="G4101" i="2"/>
  <c r="H4101" i="2" s="1"/>
  <c r="F4101" i="2"/>
  <c r="D4101" i="2"/>
  <c r="G4100" i="2"/>
  <c r="H4100" i="2" s="1"/>
  <c r="F4100" i="2"/>
  <c r="D4100" i="2"/>
  <c r="G4099" i="2"/>
  <c r="H4099" i="2" s="1"/>
  <c r="F4099" i="2"/>
  <c r="D4099" i="2"/>
  <c r="G4098" i="2"/>
  <c r="H4098" i="2" s="1"/>
  <c r="F4098" i="2"/>
  <c r="D4098" i="2"/>
  <c r="G4097" i="2"/>
  <c r="H4097" i="2" s="1"/>
  <c r="F4097" i="2"/>
  <c r="D4097" i="2"/>
  <c r="G4096" i="2"/>
  <c r="H4096" i="2" s="1"/>
  <c r="F4096" i="2"/>
  <c r="D4096" i="2"/>
  <c r="G4095" i="2"/>
  <c r="H4095" i="2" s="1"/>
  <c r="F4095" i="2"/>
  <c r="D4095" i="2"/>
  <c r="G4094" i="2"/>
  <c r="H4094" i="2" s="1"/>
  <c r="F4094" i="2"/>
  <c r="D4094" i="2"/>
  <c r="G4093" i="2"/>
  <c r="H4093" i="2" s="1"/>
  <c r="F4093" i="2"/>
  <c r="D4093" i="2"/>
  <c r="G4092" i="2"/>
  <c r="H4092" i="2" s="1"/>
  <c r="F4092" i="2"/>
  <c r="D4092" i="2"/>
  <c r="G4091" i="2"/>
  <c r="H4091" i="2" s="1"/>
  <c r="F4091" i="2"/>
  <c r="D4091" i="2"/>
  <c r="G4090" i="2"/>
  <c r="H4090" i="2" s="1"/>
  <c r="F4090" i="2"/>
  <c r="D4090" i="2"/>
  <c r="G4089" i="2"/>
  <c r="H4089" i="2" s="1"/>
  <c r="F4089" i="2"/>
  <c r="D4089" i="2"/>
  <c r="H4088" i="2"/>
  <c r="H4087" i="2"/>
  <c r="G4087" i="2"/>
  <c r="F4087" i="2"/>
  <c r="D4087" i="2"/>
  <c r="G4086" i="2"/>
  <c r="F4086" i="2"/>
  <c r="D4086" i="2"/>
  <c r="H4086" i="2" s="1"/>
  <c r="H4085" i="2"/>
  <c r="G4085" i="2"/>
  <c r="F4085" i="2"/>
  <c r="D4085" i="2"/>
  <c r="H4084" i="2"/>
  <c r="G4084" i="2"/>
  <c r="F4084" i="2"/>
  <c r="D4084" i="2"/>
  <c r="G4083" i="2"/>
  <c r="F4083" i="2"/>
  <c r="D4083" i="2"/>
  <c r="H4083" i="2" s="1"/>
  <c r="H4082" i="2"/>
  <c r="G4082" i="2"/>
  <c r="F4082" i="2"/>
  <c r="D4082" i="2"/>
  <c r="H4081" i="2"/>
  <c r="G4081" i="2"/>
  <c r="F4081" i="2"/>
  <c r="D4081" i="2"/>
  <c r="G4080" i="2"/>
  <c r="F4080" i="2"/>
  <c r="D4080" i="2"/>
  <c r="H4080" i="2" s="1"/>
  <c r="G4079" i="2"/>
  <c r="F4079" i="2"/>
  <c r="D4079" i="2"/>
  <c r="H4079" i="2" s="1"/>
  <c r="H4078" i="2"/>
  <c r="G4078" i="2"/>
  <c r="F4078" i="2"/>
  <c r="D4078" i="2"/>
  <c r="H4077" i="2"/>
  <c r="G4076" i="2"/>
  <c r="F4076" i="2"/>
  <c r="D4076" i="2"/>
  <c r="H4076" i="2" s="1"/>
  <c r="G4075" i="2"/>
  <c r="F4075" i="2"/>
  <c r="D4075" i="2"/>
  <c r="H4075" i="2" s="1"/>
  <c r="G4074" i="2"/>
  <c r="F4074" i="2"/>
  <c r="D4074" i="2"/>
  <c r="H4074" i="2" s="1"/>
  <c r="G4073" i="2"/>
  <c r="F4073" i="2"/>
  <c r="D4073" i="2"/>
  <c r="H4073" i="2" s="1"/>
  <c r="G4072" i="2"/>
  <c r="F4072" i="2"/>
  <c r="D4072" i="2"/>
  <c r="H4072" i="2" s="1"/>
  <c r="G4071" i="2"/>
  <c r="F4071" i="2"/>
  <c r="D4071" i="2"/>
  <c r="H4071" i="2" s="1"/>
  <c r="G4070" i="2"/>
  <c r="F4070" i="2"/>
  <c r="D4070" i="2"/>
  <c r="H4070" i="2" s="1"/>
  <c r="G4069" i="2"/>
  <c r="F4069" i="2"/>
  <c r="D4069" i="2"/>
  <c r="H4069" i="2" s="1"/>
  <c r="G4068" i="2"/>
  <c r="F4068" i="2"/>
  <c r="D4068" i="2"/>
  <c r="H4068" i="2" s="1"/>
  <c r="G4067" i="2"/>
  <c r="F4067" i="2"/>
  <c r="D4067" i="2"/>
  <c r="H4067" i="2" s="1"/>
  <c r="H4066" i="2"/>
  <c r="G4065" i="2"/>
  <c r="F4065" i="2"/>
  <c r="D4065" i="2"/>
  <c r="H4065" i="2" s="1"/>
  <c r="G4064" i="2"/>
  <c r="F4064" i="2"/>
  <c r="H4064" i="2" s="1"/>
  <c r="D4064" i="2"/>
  <c r="G4063" i="2"/>
  <c r="F4063" i="2"/>
  <c r="D4063" i="2"/>
  <c r="H4063" i="2" s="1"/>
  <c r="G4062" i="2"/>
  <c r="F4062" i="2"/>
  <c r="D4062" i="2"/>
  <c r="H4062" i="2" s="1"/>
  <c r="G4061" i="2"/>
  <c r="F4061" i="2"/>
  <c r="D4061" i="2"/>
  <c r="H4061" i="2" s="1"/>
  <c r="G4060" i="2"/>
  <c r="F4060" i="2"/>
  <c r="D4060" i="2"/>
  <c r="H4060" i="2" s="1"/>
  <c r="G4059" i="2"/>
  <c r="F4059" i="2"/>
  <c r="D4059" i="2"/>
  <c r="H4059" i="2" s="1"/>
  <c r="G4058" i="2"/>
  <c r="F4058" i="2"/>
  <c r="D4058" i="2"/>
  <c r="H4058" i="2" s="1"/>
  <c r="G4057" i="2"/>
  <c r="F4057" i="2"/>
  <c r="D4057" i="2"/>
  <c r="H4057" i="2" s="1"/>
  <c r="G4056" i="2"/>
  <c r="F4056" i="2"/>
  <c r="D4056" i="2"/>
  <c r="H4056" i="2" s="1"/>
  <c r="H4055" i="2"/>
  <c r="H4054" i="2"/>
  <c r="G4054" i="2"/>
  <c r="F4054" i="2"/>
  <c r="D4054" i="2"/>
  <c r="G4053" i="2"/>
  <c r="H4053" i="2" s="1"/>
  <c r="F4053" i="2"/>
  <c r="D4053" i="2"/>
  <c r="G4052" i="2"/>
  <c r="H4052" i="2" s="1"/>
  <c r="F4052" i="2"/>
  <c r="D4052" i="2"/>
  <c r="G4051" i="2"/>
  <c r="H4051" i="2" s="1"/>
  <c r="F4051" i="2"/>
  <c r="D4051" i="2"/>
  <c r="G4050" i="2"/>
  <c r="H4050" i="2" s="1"/>
  <c r="F4050" i="2"/>
  <c r="D4050" i="2"/>
  <c r="G4049" i="2"/>
  <c r="H4049" i="2" s="1"/>
  <c r="F4049" i="2"/>
  <c r="D4049" i="2"/>
  <c r="G4048" i="2"/>
  <c r="H4048" i="2" s="1"/>
  <c r="F4048" i="2"/>
  <c r="D4048" i="2"/>
  <c r="G4047" i="2"/>
  <c r="H4047" i="2" s="1"/>
  <c r="F4047" i="2"/>
  <c r="D4047" i="2"/>
  <c r="G4046" i="2"/>
  <c r="F4046" i="2"/>
  <c r="H4046" i="2" s="1"/>
  <c r="D4046" i="2"/>
  <c r="G4045" i="2"/>
  <c r="H4045" i="2" s="1"/>
  <c r="F4045" i="2"/>
  <c r="D4045" i="2"/>
  <c r="H4044" i="2"/>
  <c r="H4043" i="2"/>
  <c r="G4043" i="2"/>
  <c r="F4043" i="2"/>
  <c r="D4043" i="2"/>
  <c r="H4042" i="2"/>
  <c r="G4042" i="2"/>
  <c r="F4042" i="2"/>
  <c r="D4042" i="2"/>
  <c r="G4041" i="2"/>
  <c r="F4041" i="2"/>
  <c r="D4041" i="2"/>
  <c r="H4041" i="2" s="1"/>
  <c r="H4040" i="2"/>
  <c r="G4040" i="2"/>
  <c r="F4040" i="2"/>
  <c r="D4040" i="2"/>
  <c r="H4039" i="2"/>
  <c r="G4039" i="2"/>
  <c r="F4039" i="2"/>
  <c r="D4039" i="2"/>
  <c r="G4038" i="2"/>
  <c r="F4038" i="2"/>
  <c r="D4038" i="2"/>
  <c r="H4038" i="2" s="1"/>
  <c r="G4037" i="2"/>
  <c r="F4037" i="2"/>
  <c r="D4037" i="2"/>
  <c r="H4037" i="2" s="1"/>
  <c r="H4036" i="2"/>
  <c r="G4036" i="2"/>
  <c r="F4036" i="2"/>
  <c r="D4036" i="2"/>
  <c r="G4035" i="2"/>
  <c r="F4035" i="2"/>
  <c r="D4035" i="2"/>
  <c r="H4035" i="2" s="1"/>
  <c r="G4034" i="2"/>
  <c r="F4034" i="2"/>
  <c r="D4034" i="2"/>
  <c r="H4034" i="2" s="1"/>
  <c r="H4033" i="2"/>
  <c r="G4032" i="2"/>
  <c r="F4032" i="2"/>
  <c r="D4032" i="2"/>
  <c r="H4032" i="2" s="1"/>
  <c r="G4031" i="2"/>
  <c r="F4031" i="2"/>
  <c r="D4031" i="2"/>
  <c r="H4031" i="2" s="1"/>
  <c r="G4030" i="2"/>
  <c r="F4030" i="2"/>
  <c r="D4030" i="2"/>
  <c r="H4030" i="2" s="1"/>
  <c r="G4029" i="2"/>
  <c r="F4029" i="2"/>
  <c r="D4029" i="2"/>
  <c r="H4029" i="2" s="1"/>
  <c r="G4028" i="2"/>
  <c r="F4028" i="2"/>
  <c r="D4028" i="2"/>
  <c r="H4028" i="2" s="1"/>
  <c r="G4027" i="2"/>
  <c r="F4027" i="2"/>
  <c r="D4027" i="2"/>
  <c r="H4027" i="2" s="1"/>
  <c r="G4026" i="2"/>
  <c r="F4026" i="2"/>
  <c r="D4026" i="2"/>
  <c r="H4026" i="2" s="1"/>
  <c r="G4025" i="2"/>
  <c r="F4025" i="2"/>
  <c r="D4025" i="2"/>
  <c r="H4025" i="2" s="1"/>
  <c r="G4024" i="2"/>
  <c r="F4024" i="2"/>
  <c r="D4024" i="2"/>
  <c r="H4024" i="2" s="1"/>
  <c r="G4023" i="2"/>
  <c r="F4023" i="2"/>
  <c r="D4023" i="2"/>
  <c r="H4023" i="2" s="1"/>
  <c r="H4022" i="2"/>
  <c r="G4021" i="2"/>
  <c r="F4021" i="2"/>
  <c r="H4021" i="2" s="1"/>
  <c r="D4021" i="2"/>
  <c r="G4020" i="2"/>
  <c r="F4020" i="2"/>
  <c r="D4020" i="2"/>
  <c r="H4020" i="2" s="1"/>
  <c r="G4019" i="2"/>
  <c r="F4019" i="2"/>
  <c r="H4019" i="2" s="1"/>
  <c r="D4019" i="2"/>
  <c r="G4018" i="2"/>
  <c r="F4018" i="2"/>
  <c r="D4018" i="2"/>
  <c r="H4018" i="2" s="1"/>
  <c r="G4017" i="2"/>
  <c r="F4017" i="2"/>
  <c r="D4017" i="2"/>
  <c r="H4017" i="2" s="1"/>
  <c r="G4016" i="2"/>
  <c r="F4016" i="2"/>
  <c r="D4016" i="2"/>
  <c r="H4016" i="2" s="1"/>
  <c r="G4015" i="2"/>
  <c r="F4015" i="2"/>
  <c r="D4015" i="2"/>
  <c r="H4015" i="2" s="1"/>
  <c r="G4014" i="2"/>
  <c r="F4014" i="2"/>
  <c r="D4014" i="2"/>
  <c r="H4014" i="2" s="1"/>
  <c r="G4013" i="2"/>
  <c r="F4013" i="2"/>
  <c r="D4013" i="2"/>
  <c r="H4013" i="2" s="1"/>
  <c r="G4012" i="2"/>
  <c r="F4012" i="2"/>
  <c r="D4012" i="2"/>
  <c r="H4012" i="2" s="1"/>
  <c r="H4011" i="2"/>
  <c r="G4010" i="2"/>
  <c r="H4010" i="2" s="1"/>
  <c r="F4010" i="2"/>
  <c r="D4010" i="2"/>
  <c r="G4009" i="2"/>
  <c r="H4009" i="2" s="1"/>
  <c r="F4009" i="2"/>
  <c r="D4009" i="2"/>
  <c r="G4008" i="2"/>
  <c r="H4008" i="2" s="1"/>
  <c r="F4008" i="2"/>
  <c r="D4008" i="2"/>
  <c r="G4007" i="2"/>
  <c r="H4007" i="2" s="1"/>
  <c r="F4007" i="2"/>
  <c r="D4007" i="2"/>
  <c r="G4006" i="2"/>
  <c r="H4006" i="2" s="1"/>
  <c r="F4006" i="2"/>
  <c r="D4006" i="2"/>
  <c r="G4005" i="2"/>
  <c r="H4005" i="2" s="1"/>
  <c r="F4005" i="2"/>
  <c r="D4005" i="2"/>
  <c r="G4004" i="2"/>
  <c r="H4004" i="2" s="1"/>
  <c r="F4004" i="2"/>
  <c r="D4004" i="2"/>
  <c r="G4003" i="2"/>
  <c r="H4003" i="2" s="1"/>
  <c r="F4003" i="2"/>
  <c r="D4003" i="2"/>
  <c r="G4002" i="2"/>
  <c r="H4002" i="2" s="1"/>
  <c r="F4002" i="2"/>
  <c r="D4002" i="2"/>
  <c r="G4001" i="2"/>
  <c r="H4001" i="2" s="1"/>
  <c r="F4001" i="2"/>
  <c r="D4001" i="2"/>
  <c r="H4000" i="2"/>
  <c r="H3999" i="2"/>
  <c r="G3999" i="2"/>
  <c r="F3999" i="2"/>
  <c r="D3999" i="2"/>
  <c r="H3998" i="2"/>
  <c r="G3998" i="2"/>
  <c r="F3998" i="2"/>
  <c r="D3998" i="2"/>
  <c r="H3997" i="2"/>
  <c r="G3997" i="2"/>
  <c r="F3997" i="2"/>
  <c r="D3997" i="2"/>
  <c r="G3996" i="2"/>
  <c r="F3996" i="2"/>
  <c r="D3996" i="2"/>
  <c r="H3996" i="2" s="1"/>
  <c r="H3995" i="2"/>
  <c r="G3995" i="2"/>
  <c r="F3995" i="2"/>
  <c r="D3995" i="2"/>
  <c r="H3994" i="2"/>
  <c r="G3994" i="2"/>
  <c r="F3994" i="2"/>
  <c r="D3994" i="2"/>
  <c r="G3993" i="2"/>
  <c r="F3993" i="2"/>
  <c r="D3993" i="2"/>
  <c r="H3993" i="2" s="1"/>
  <c r="G3992" i="2"/>
  <c r="F3992" i="2"/>
  <c r="D3992" i="2"/>
  <c r="H3992" i="2" s="1"/>
  <c r="H3991" i="2"/>
  <c r="G3991" i="2"/>
  <c r="F3991" i="2"/>
  <c r="D3991" i="2"/>
  <c r="G3990" i="2"/>
  <c r="F3990" i="2"/>
  <c r="D3990" i="2"/>
  <c r="H3990" i="2" s="1"/>
  <c r="H3989" i="2"/>
  <c r="G3988" i="2"/>
  <c r="F3988" i="2"/>
  <c r="D3988" i="2"/>
  <c r="H3988" i="2" s="1"/>
  <c r="G3987" i="2"/>
  <c r="F3987" i="2"/>
  <c r="D3987" i="2"/>
  <c r="H3987" i="2" s="1"/>
  <c r="G3986" i="2"/>
  <c r="F3986" i="2"/>
  <c r="D3986" i="2"/>
  <c r="H3986" i="2" s="1"/>
  <c r="G3985" i="2"/>
  <c r="F3985" i="2"/>
  <c r="D3985" i="2"/>
  <c r="H3985" i="2" s="1"/>
  <c r="G3984" i="2"/>
  <c r="F3984" i="2"/>
  <c r="D3984" i="2"/>
  <c r="H3984" i="2" s="1"/>
  <c r="G3983" i="2"/>
  <c r="F3983" i="2"/>
  <c r="D3983" i="2"/>
  <c r="H3983" i="2" s="1"/>
  <c r="G3982" i="2"/>
  <c r="F3982" i="2"/>
  <c r="D3982" i="2"/>
  <c r="H3982" i="2" s="1"/>
  <c r="G3981" i="2"/>
  <c r="F3981" i="2"/>
  <c r="D3981" i="2"/>
  <c r="H3981" i="2" s="1"/>
  <c r="G3980" i="2"/>
  <c r="F3980" i="2"/>
  <c r="D3980" i="2"/>
  <c r="H3980" i="2" s="1"/>
  <c r="G3979" i="2"/>
  <c r="F3979" i="2"/>
  <c r="D3979" i="2"/>
  <c r="H3979" i="2" s="1"/>
  <c r="H3978" i="2"/>
  <c r="G3977" i="2"/>
  <c r="F3977" i="2"/>
  <c r="H3977" i="2" s="1"/>
  <c r="D3977" i="2"/>
  <c r="G3976" i="2"/>
  <c r="F3976" i="2"/>
  <c r="H3976" i="2" s="1"/>
  <c r="D3976" i="2"/>
  <c r="G3975" i="2"/>
  <c r="F3975" i="2"/>
  <c r="D3975" i="2"/>
  <c r="H3975" i="2" s="1"/>
  <c r="G3974" i="2"/>
  <c r="F3974" i="2"/>
  <c r="D3974" i="2"/>
  <c r="H3974" i="2" s="1"/>
  <c r="G3973" i="2"/>
  <c r="F3973" i="2"/>
  <c r="D3973" i="2"/>
  <c r="H3973" i="2" s="1"/>
  <c r="G3972" i="2"/>
  <c r="F3972" i="2"/>
  <c r="D3972" i="2"/>
  <c r="H3972" i="2" s="1"/>
  <c r="G3971" i="2"/>
  <c r="F3971" i="2"/>
  <c r="D3971" i="2"/>
  <c r="H3971" i="2" s="1"/>
  <c r="G3970" i="2"/>
  <c r="F3970" i="2"/>
  <c r="D3970" i="2"/>
  <c r="H3970" i="2" s="1"/>
  <c r="G3969" i="2"/>
  <c r="F3969" i="2"/>
  <c r="D3969" i="2"/>
  <c r="H3969" i="2" s="1"/>
  <c r="G3968" i="2"/>
  <c r="F3968" i="2"/>
  <c r="D3968" i="2"/>
  <c r="H3968" i="2" s="1"/>
  <c r="H3967" i="2"/>
  <c r="G3966" i="2"/>
  <c r="H3966" i="2" s="1"/>
  <c r="F3966" i="2"/>
  <c r="D3966" i="2"/>
  <c r="G3965" i="2"/>
  <c r="H3965" i="2" s="1"/>
  <c r="F3965" i="2"/>
  <c r="D3965" i="2"/>
  <c r="G3964" i="2"/>
  <c r="H3964" i="2" s="1"/>
  <c r="F3964" i="2"/>
  <c r="D3964" i="2"/>
  <c r="G3963" i="2"/>
  <c r="H3963" i="2" s="1"/>
  <c r="F3963" i="2"/>
  <c r="D3963" i="2"/>
  <c r="G3962" i="2"/>
  <c r="H3962" i="2" s="1"/>
  <c r="F3962" i="2"/>
  <c r="D3962" i="2"/>
  <c r="G3961" i="2"/>
  <c r="H3961" i="2" s="1"/>
  <c r="F3961" i="2"/>
  <c r="D3961" i="2"/>
  <c r="G3960" i="2"/>
  <c r="H3960" i="2" s="1"/>
  <c r="F3960" i="2"/>
  <c r="D3960" i="2"/>
  <c r="G3959" i="2"/>
  <c r="H3959" i="2" s="1"/>
  <c r="F3959" i="2"/>
  <c r="D3959" i="2"/>
  <c r="G3958" i="2"/>
  <c r="H3958" i="2" s="1"/>
  <c r="F3958" i="2"/>
  <c r="D3958" i="2"/>
  <c r="G3957" i="2"/>
  <c r="H3957" i="2" s="1"/>
  <c r="F3957" i="2"/>
  <c r="D3957" i="2"/>
  <c r="H3956" i="2"/>
  <c r="H3955" i="2"/>
  <c r="G3955" i="2"/>
  <c r="F3955" i="2"/>
  <c r="D3955" i="2"/>
  <c r="G3954" i="2"/>
  <c r="F3954" i="2"/>
  <c r="D3954" i="2"/>
  <c r="H3954" i="2" s="1"/>
  <c r="H3953" i="2"/>
  <c r="G3953" i="2"/>
  <c r="F3953" i="2"/>
  <c r="D3953" i="2"/>
  <c r="H3952" i="2"/>
  <c r="G3952" i="2"/>
  <c r="F3952" i="2"/>
  <c r="D3952" i="2"/>
  <c r="G3951" i="2"/>
  <c r="F3951" i="2"/>
  <c r="D3951" i="2"/>
  <c r="H3951" i="2" s="1"/>
  <c r="H3950" i="2"/>
  <c r="G3950" i="2"/>
  <c r="F3950" i="2"/>
  <c r="D3950" i="2"/>
  <c r="H3949" i="2"/>
  <c r="G3949" i="2"/>
  <c r="F3949" i="2"/>
  <c r="D3949" i="2"/>
  <c r="G3948" i="2"/>
  <c r="F3948" i="2"/>
  <c r="D3948" i="2"/>
  <c r="H3948" i="2" s="1"/>
  <c r="H3947" i="2"/>
  <c r="G3947" i="2"/>
  <c r="F3947" i="2"/>
  <c r="D3947" i="2"/>
  <c r="H3946" i="2"/>
  <c r="G3946" i="2"/>
  <c r="F3946" i="2"/>
  <c r="D3946" i="2"/>
  <c r="H3945" i="2"/>
  <c r="G3944" i="2"/>
  <c r="F3944" i="2"/>
  <c r="D3944" i="2"/>
  <c r="H3944" i="2" s="1"/>
  <c r="G3943" i="2"/>
  <c r="F3943" i="2"/>
  <c r="D3943" i="2"/>
  <c r="H3943" i="2" s="1"/>
  <c r="G3942" i="2"/>
  <c r="F3942" i="2"/>
  <c r="D3942" i="2"/>
  <c r="H3942" i="2" s="1"/>
  <c r="G3941" i="2"/>
  <c r="F3941" i="2"/>
  <c r="D3941" i="2"/>
  <c r="H3941" i="2" s="1"/>
  <c r="G3940" i="2"/>
  <c r="F3940" i="2"/>
  <c r="D3940" i="2"/>
  <c r="H3940" i="2" s="1"/>
  <c r="G3939" i="2"/>
  <c r="F3939" i="2"/>
  <c r="D3939" i="2"/>
  <c r="H3939" i="2" s="1"/>
  <c r="G3938" i="2"/>
  <c r="F3938" i="2"/>
  <c r="D3938" i="2"/>
  <c r="H3938" i="2" s="1"/>
  <c r="G3937" i="2"/>
  <c r="F3937" i="2"/>
  <c r="D3937" i="2"/>
  <c r="H3937" i="2" s="1"/>
  <c r="G3936" i="2"/>
  <c r="F3936" i="2"/>
  <c r="D3936" i="2"/>
  <c r="H3936" i="2" s="1"/>
  <c r="G3935" i="2"/>
  <c r="F3935" i="2"/>
  <c r="D3935" i="2"/>
  <c r="H3935" i="2" s="1"/>
  <c r="H3934" i="2"/>
  <c r="G3933" i="2"/>
  <c r="F3933" i="2"/>
  <c r="D3933" i="2"/>
  <c r="H3933" i="2" s="1"/>
  <c r="G3932" i="2"/>
  <c r="F3932" i="2"/>
  <c r="H3932" i="2" s="1"/>
  <c r="D3932" i="2"/>
  <c r="G3931" i="2"/>
  <c r="F3931" i="2"/>
  <c r="H3931" i="2" s="1"/>
  <c r="D3931" i="2"/>
  <c r="G3930" i="2"/>
  <c r="F3930" i="2"/>
  <c r="D3930" i="2"/>
  <c r="H3930" i="2" s="1"/>
  <c r="G3929" i="2"/>
  <c r="F3929" i="2"/>
  <c r="D3929" i="2"/>
  <c r="H3929" i="2" s="1"/>
  <c r="G3928" i="2"/>
  <c r="F3928" i="2"/>
  <c r="D3928" i="2"/>
  <c r="H3928" i="2" s="1"/>
  <c r="G3927" i="2"/>
  <c r="F3927" i="2"/>
  <c r="D3927" i="2"/>
  <c r="H3927" i="2" s="1"/>
  <c r="G3926" i="2"/>
  <c r="F3926" i="2"/>
  <c r="D3926" i="2"/>
  <c r="H3926" i="2" s="1"/>
  <c r="G3925" i="2"/>
  <c r="F3925" i="2"/>
  <c r="D3925" i="2"/>
  <c r="H3925" i="2" s="1"/>
  <c r="G3924" i="2"/>
  <c r="F3924" i="2"/>
  <c r="D3924" i="2"/>
  <c r="H3924" i="2" s="1"/>
  <c r="H3923" i="2"/>
  <c r="H3922" i="2"/>
  <c r="G3922" i="2"/>
  <c r="F3922" i="2"/>
  <c r="D3922" i="2"/>
  <c r="G3921" i="2"/>
  <c r="H3921" i="2" s="1"/>
  <c r="F3921" i="2"/>
  <c r="D3921" i="2"/>
  <c r="G3920" i="2"/>
  <c r="H3920" i="2" s="1"/>
  <c r="F3920" i="2"/>
  <c r="D3920" i="2"/>
  <c r="H3919" i="2"/>
  <c r="G3919" i="2"/>
  <c r="F3919" i="2"/>
  <c r="D3919" i="2"/>
  <c r="G3918" i="2"/>
  <c r="H3918" i="2" s="1"/>
  <c r="F3918" i="2"/>
  <c r="D3918" i="2"/>
  <c r="G3917" i="2"/>
  <c r="H3917" i="2" s="1"/>
  <c r="F3917" i="2"/>
  <c r="D3917" i="2"/>
  <c r="G3916" i="2"/>
  <c r="H3916" i="2" s="1"/>
  <c r="F3916" i="2"/>
  <c r="D3916" i="2"/>
  <c r="G3915" i="2"/>
  <c r="H3915" i="2" s="1"/>
  <c r="F3915" i="2"/>
  <c r="D3915" i="2"/>
  <c r="G3914" i="2"/>
  <c r="H3914" i="2" s="1"/>
  <c r="F3914" i="2"/>
  <c r="D3914" i="2"/>
  <c r="G3913" i="2"/>
  <c r="H3913" i="2" s="1"/>
  <c r="F3913" i="2"/>
  <c r="D3913" i="2"/>
  <c r="H3912" i="2"/>
  <c r="H3911" i="2"/>
  <c r="G3911" i="2"/>
  <c r="F3911" i="2"/>
  <c r="D3911" i="2"/>
  <c r="H3910" i="2"/>
  <c r="G3910" i="2"/>
  <c r="F3910" i="2"/>
  <c r="D3910" i="2"/>
  <c r="G3909" i="2"/>
  <c r="F3909" i="2"/>
  <c r="D3909" i="2"/>
  <c r="H3909" i="2" s="1"/>
  <c r="H3908" i="2"/>
  <c r="G3908" i="2"/>
  <c r="F3908" i="2"/>
  <c r="D3908" i="2"/>
  <c r="H3907" i="2"/>
  <c r="G3907" i="2"/>
  <c r="F3907" i="2"/>
  <c r="D3907" i="2"/>
  <c r="G3906" i="2"/>
  <c r="F3906" i="2"/>
  <c r="D3906" i="2"/>
  <c r="H3906" i="2" s="1"/>
  <c r="H3905" i="2"/>
  <c r="G3905" i="2"/>
  <c r="F3905" i="2"/>
  <c r="D3905" i="2"/>
  <c r="H3904" i="2"/>
  <c r="G3904" i="2"/>
  <c r="F3904" i="2"/>
  <c r="D3904" i="2"/>
  <c r="G3903" i="2"/>
  <c r="F3903" i="2"/>
  <c r="D3903" i="2"/>
  <c r="H3903" i="2" s="1"/>
  <c r="H3902" i="2"/>
  <c r="G3902" i="2"/>
  <c r="F3902" i="2"/>
  <c r="D3902" i="2"/>
  <c r="H3901" i="2"/>
  <c r="G3900" i="2"/>
  <c r="F3900" i="2"/>
  <c r="H3900" i="2" s="1"/>
  <c r="D3900" i="2"/>
  <c r="G3899" i="2"/>
  <c r="F3899" i="2"/>
  <c r="D3899" i="2"/>
  <c r="H3899" i="2" s="1"/>
  <c r="G3898" i="2"/>
  <c r="F3898" i="2"/>
  <c r="D3898" i="2"/>
  <c r="H3898" i="2" s="1"/>
  <c r="G3897" i="2"/>
  <c r="F3897" i="2"/>
  <c r="D3897" i="2"/>
  <c r="H3897" i="2" s="1"/>
  <c r="G3896" i="2"/>
  <c r="F3896" i="2"/>
  <c r="D3896" i="2"/>
  <c r="H3896" i="2" s="1"/>
  <c r="G3895" i="2"/>
  <c r="F3895" i="2"/>
  <c r="D3895" i="2"/>
  <c r="H3895" i="2" s="1"/>
  <c r="G3894" i="2"/>
  <c r="F3894" i="2"/>
  <c r="D3894" i="2"/>
  <c r="H3894" i="2" s="1"/>
  <c r="G3893" i="2"/>
  <c r="F3893" i="2"/>
  <c r="D3893" i="2"/>
  <c r="H3893" i="2" s="1"/>
  <c r="G3892" i="2"/>
  <c r="F3892" i="2"/>
  <c r="D3892" i="2"/>
  <c r="H3892" i="2" s="1"/>
  <c r="G3891" i="2"/>
  <c r="F3891" i="2"/>
  <c r="D3891" i="2"/>
  <c r="H3891" i="2" s="1"/>
  <c r="H3890" i="2"/>
  <c r="G3889" i="2"/>
  <c r="F3889" i="2"/>
  <c r="H3889" i="2" s="1"/>
  <c r="D3889" i="2"/>
  <c r="G3888" i="2"/>
  <c r="F3888" i="2"/>
  <c r="D3888" i="2"/>
  <c r="H3888" i="2" s="1"/>
  <c r="G3887" i="2"/>
  <c r="F3887" i="2"/>
  <c r="H3887" i="2" s="1"/>
  <c r="D3887" i="2"/>
  <c r="G3886" i="2"/>
  <c r="F3886" i="2"/>
  <c r="D3886" i="2"/>
  <c r="H3886" i="2" s="1"/>
  <c r="G3885" i="2"/>
  <c r="F3885" i="2"/>
  <c r="D3885" i="2"/>
  <c r="H3885" i="2" s="1"/>
  <c r="G3884" i="2"/>
  <c r="F3884" i="2"/>
  <c r="D3884" i="2"/>
  <c r="H3884" i="2" s="1"/>
  <c r="G3883" i="2"/>
  <c r="F3883" i="2"/>
  <c r="D3883" i="2"/>
  <c r="H3883" i="2" s="1"/>
  <c r="G3882" i="2"/>
  <c r="F3882" i="2"/>
  <c r="D3882" i="2"/>
  <c r="H3882" i="2" s="1"/>
  <c r="G3881" i="2"/>
  <c r="F3881" i="2"/>
  <c r="D3881" i="2"/>
  <c r="H3881" i="2" s="1"/>
  <c r="G3880" i="2"/>
  <c r="F3880" i="2"/>
  <c r="D3880" i="2"/>
  <c r="H3880" i="2" s="1"/>
  <c r="H3879" i="2"/>
  <c r="G3878" i="2"/>
  <c r="H3878" i="2" s="1"/>
  <c r="F3878" i="2"/>
  <c r="D3878" i="2"/>
  <c r="G3877" i="2"/>
  <c r="H3877" i="2" s="1"/>
  <c r="F3877" i="2"/>
  <c r="D3877" i="2"/>
  <c r="G3876" i="2"/>
  <c r="H3876" i="2" s="1"/>
  <c r="F3876" i="2"/>
  <c r="D3876" i="2"/>
  <c r="G3875" i="2"/>
  <c r="H3875" i="2" s="1"/>
  <c r="F3875" i="2"/>
  <c r="D3875" i="2"/>
  <c r="G3874" i="2"/>
  <c r="H3874" i="2" s="1"/>
  <c r="F3874" i="2"/>
  <c r="D3874" i="2"/>
  <c r="G3873" i="2"/>
  <c r="H3873" i="2" s="1"/>
  <c r="F3873" i="2"/>
  <c r="D3873" i="2"/>
  <c r="G3872" i="2"/>
  <c r="H3872" i="2" s="1"/>
  <c r="F3872" i="2"/>
  <c r="D3872" i="2"/>
  <c r="G3871" i="2"/>
  <c r="H3871" i="2" s="1"/>
  <c r="F3871" i="2"/>
  <c r="D3871" i="2"/>
  <c r="G3870" i="2"/>
  <c r="H3870" i="2" s="1"/>
  <c r="F3870" i="2"/>
  <c r="D3870" i="2"/>
  <c r="G3869" i="2"/>
  <c r="H3869" i="2" s="1"/>
  <c r="F3869" i="2"/>
  <c r="D3869" i="2"/>
  <c r="H3868" i="2"/>
  <c r="H3867" i="2"/>
  <c r="G3867" i="2"/>
  <c r="F3867" i="2"/>
  <c r="D3867" i="2"/>
  <c r="H3866" i="2"/>
  <c r="G3866" i="2"/>
  <c r="F3866" i="2"/>
  <c r="D3866" i="2"/>
  <c r="H3865" i="2"/>
  <c r="G3865" i="2"/>
  <c r="F3865" i="2"/>
  <c r="D3865" i="2"/>
  <c r="G3864" i="2"/>
  <c r="F3864" i="2"/>
  <c r="D3864" i="2"/>
  <c r="H3864" i="2" s="1"/>
  <c r="H3863" i="2"/>
  <c r="G3863" i="2"/>
  <c r="F3863" i="2"/>
  <c r="D3863" i="2"/>
  <c r="H3862" i="2"/>
  <c r="G3862" i="2"/>
  <c r="F3862" i="2"/>
  <c r="D3862" i="2"/>
  <c r="G3861" i="2"/>
  <c r="F3861" i="2"/>
  <c r="D3861" i="2"/>
  <c r="H3861" i="2" s="1"/>
  <c r="H3860" i="2"/>
  <c r="G3860" i="2"/>
  <c r="F3860" i="2"/>
  <c r="D3860" i="2"/>
  <c r="H3859" i="2"/>
  <c r="G3859" i="2"/>
  <c r="F3859" i="2"/>
  <c r="D3859" i="2"/>
  <c r="G3858" i="2"/>
  <c r="F3858" i="2"/>
  <c r="D3858" i="2"/>
  <c r="H3858" i="2" s="1"/>
  <c r="H3857" i="2"/>
  <c r="G3856" i="2"/>
  <c r="F3856" i="2"/>
  <c r="D3856" i="2"/>
  <c r="H3856" i="2" s="1"/>
  <c r="G3855" i="2"/>
  <c r="F3855" i="2"/>
  <c r="D3855" i="2"/>
  <c r="H3855" i="2" s="1"/>
  <c r="G3854" i="2"/>
  <c r="F3854" i="2"/>
  <c r="D3854" i="2"/>
  <c r="H3854" i="2" s="1"/>
  <c r="G3853" i="2"/>
  <c r="F3853" i="2"/>
  <c r="D3853" i="2"/>
  <c r="H3853" i="2" s="1"/>
  <c r="G3852" i="2"/>
  <c r="F3852" i="2"/>
  <c r="D3852" i="2"/>
  <c r="H3852" i="2" s="1"/>
  <c r="G3851" i="2"/>
  <c r="F3851" i="2"/>
  <c r="D3851" i="2"/>
  <c r="H3851" i="2" s="1"/>
  <c r="G3850" i="2"/>
  <c r="F3850" i="2"/>
  <c r="D3850" i="2"/>
  <c r="H3850" i="2" s="1"/>
  <c r="G3849" i="2"/>
  <c r="F3849" i="2"/>
  <c r="D3849" i="2"/>
  <c r="H3849" i="2" s="1"/>
  <c r="G3848" i="2"/>
  <c r="F3848" i="2"/>
  <c r="D3848" i="2"/>
  <c r="H3848" i="2" s="1"/>
  <c r="G3847" i="2"/>
  <c r="F3847" i="2"/>
  <c r="D3847" i="2"/>
  <c r="H3847" i="2" s="1"/>
  <c r="H3846" i="2"/>
  <c r="G3845" i="2"/>
  <c r="F3845" i="2"/>
  <c r="H3845" i="2" s="1"/>
  <c r="D3845" i="2"/>
  <c r="G3844" i="2"/>
  <c r="F3844" i="2"/>
  <c r="D3844" i="2"/>
  <c r="H3844" i="2" s="1"/>
  <c r="G3843" i="2"/>
  <c r="F3843" i="2"/>
  <c r="D3843" i="2"/>
  <c r="H3843" i="2" s="1"/>
  <c r="G3842" i="2"/>
  <c r="F3842" i="2"/>
  <c r="H3842" i="2" s="1"/>
  <c r="D3842" i="2"/>
  <c r="G3841" i="2"/>
  <c r="F3841" i="2"/>
  <c r="D3841" i="2"/>
  <c r="H3841" i="2" s="1"/>
  <c r="G3840" i="2"/>
  <c r="F3840" i="2"/>
  <c r="D3840" i="2"/>
  <c r="H3840" i="2" s="1"/>
  <c r="G3839" i="2"/>
  <c r="F3839" i="2"/>
  <c r="D3839" i="2"/>
  <c r="H3839" i="2" s="1"/>
  <c r="G3838" i="2"/>
  <c r="F3838" i="2"/>
  <c r="D3838" i="2"/>
  <c r="H3838" i="2" s="1"/>
  <c r="G3837" i="2"/>
  <c r="F3837" i="2"/>
  <c r="D3837" i="2"/>
  <c r="H3837" i="2" s="1"/>
  <c r="G3836" i="2"/>
  <c r="F3836" i="2"/>
  <c r="D3836" i="2"/>
  <c r="H3836" i="2" s="1"/>
  <c r="H3835" i="2"/>
  <c r="G3834" i="2"/>
  <c r="H3834" i="2" s="1"/>
  <c r="F3834" i="2"/>
  <c r="D3834" i="2"/>
  <c r="G3833" i="2"/>
  <c r="H3833" i="2" s="1"/>
  <c r="F3833" i="2"/>
  <c r="D3833" i="2"/>
  <c r="G3832" i="2"/>
  <c r="H3832" i="2" s="1"/>
  <c r="F3832" i="2"/>
  <c r="D3832" i="2"/>
  <c r="G3831" i="2"/>
  <c r="H3831" i="2" s="1"/>
  <c r="F3831" i="2"/>
  <c r="D3831" i="2"/>
  <c r="G3830" i="2"/>
  <c r="H3830" i="2" s="1"/>
  <c r="F3830" i="2"/>
  <c r="D3830" i="2"/>
  <c r="G3829" i="2"/>
  <c r="H3829" i="2" s="1"/>
  <c r="F3829" i="2"/>
  <c r="D3829" i="2"/>
  <c r="G3828" i="2"/>
  <c r="H3828" i="2" s="1"/>
  <c r="F3828" i="2"/>
  <c r="D3828" i="2"/>
  <c r="G3827" i="2"/>
  <c r="H3827" i="2" s="1"/>
  <c r="F3827" i="2"/>
  <c r="D3827" i="2"/>
  <c r="G3826" i="2"/>
  <c r="H3826" i="2" s="1"/>
  <c r="F3826" i="2"/>
  <c r="D3826" i="2"/>
  <c r="G3825" i="2"/>
  <c r="H3825" i="2" s="1"/>
  <c r="F3825" i="2"/>
  <c r="D3825" i="2"/>
  <c r="H3824" i="2"/>
  <c r="H3823" i="2"/>
  <c r="G3823" i="2"/>
  <c r="F3823" i="2"/>
  <c r="D3823" i="2"/>
  <c r="G3822" i="2"/>
  <c r="F3822" i="2"/>
  <c r="D3822" i="2"/>
  <c r="H3822" i="2" s="1"/>
  <c r="H3821" i="2"/>
  <c r="G3821" i="2"/>
  <c r="F3821" i="2"/>
  <c r="D3821" i="2"/>
  <c r="H3820" i="2"/>
  <c r="G3820" i="2"/>
  <c r="F3820" i="2"/>
  <c r="D3820" i="2"/>
  <c r="G3819" i="2"/>
  <c r="F3819" i="2"/>
  <c r="D3819" i="2"/>
  <c r="H3819" i="2" s="1"/>
  <c r="H3818" i="2"/>
  <c r="G3818" i="2"/>
  <c r="F3818" i="2"/>
  <c r="D3818" i="2"/>
  <c r="H3817" i="2"/>
  <c r="G3817" i="2"/>
  <c r="F3817" i="2"/>
  <c r="D3817" i="2"/>
  <c r="G3816" i="2"/>
  <c r="F3816" i="2"/>
  <c r="D3816" i="2"/>
  <c r="H3816" i="2" s="1"/>
  <c r="H3815" i="2"/>
  <c r="G3815" i="2"/>
  <c r="F3815" i="2"/>
  <c r="D3815" i="2"/>
  <c r="H3814" i="2"/>
  <c r="G3814" i="2"/>
  <c r="F3814" i="2"/>
  <c r="D3814" i="2"/>
  <c r="H3813" i="2"/>
  <c r="G3812" i="2"/>
  <c r="F3812" i="2"/>
  <c r="D3812" i="2"/>
  <c r="H3812" i="2" s="1"/>
  <c r="G3811" i="2"/>
  <c r="F3811" i="2"/>
  <c r="D3811" i="2"/>
  <c r="H3811" i="2" s="1"/>
  <c r="G3810" i="2"/>
  <c r="F3810" i="2"/>
  <c r="D3810" i="2"/>
  <c r="H3810" i="2" s="1"/>
  <c r="G3809" i="2"/>
  <c r="F3809" i="2"/>
  <c r="D3809" i="2"/>
  <c r="H3809" i="2" s="1"/>
  <c r="G3808" i="2"/>
  <c r="F3808" i="2"/>
  <c r="D3808" i="2"/>
  <c r="H3808" i="2" s="1"/>
  <c r="G3807" i="2"/>
  <c r="F3807" i="2"/>
  <c r="D3807" i="2"/>
  <c r="H3807" i="2" s="1"/>
  <c r="G3806" i="2"/>
  <c r="F3806" i="2"/>
  <c r="D3806" i="2"/>
  <c r="H3806" i="2" s="1"/>
  <c r="G3805" i="2"/>
  <c r="F3805" i="2"/>
  <c r="D3805" i="2"/>
  <c r="H3805" i="2" s="1"/>
  <c r="G3804" i="2"/>
  <c r="F3804" i="2"/>
  <c r="D3804" i="2"/>
  <c r="H3804" i="2" s="1"/>
  <c r="G3803" i="2"/>
  <c r="F3803" i="2"/>
  <c r="D3803" i="2"/>
  <c r="H3803" i="2" s="1"/>
  <c r="H3802" i="2"/>
  <c r="G3801" i="2"/>
  <c r="F3801" i="2"/>
  <c r="D3801" i="2"/>
  <c r="H3801" i="2" s="1"/>
  <c r="G3800" i="2"/>
  <c r="F3800" i="2"/>
  <c r="H3800" i="2" s="1"/>
  <c r="D3800" i="2"/>
  <c r="G3799" i="2"/>
  <c r="F3799" i="2"/>
  <c r="D3799" i="2"/>
  <c r="H3799" i="2" s="1"/>
  <c r="G3798" i="2"/>
  <c r="F3798" i="2"/>
  <c r="D3798" i="2"/>
  <c r="H3798" i="2" s="1"/>
  <c r="G3797" i="2"/>
  <c r="F3797" i="2"/>
  <c r="D3797" i="2"/>
  <c r="H3797" i="2" s="1"/>
  <c r="G3796" i="2"/>
  <c r="F3796" i="2"/>
  <c r="D3796" i="2"/>
  <c r="H3796" i="2" s="1"/>
  <c r="G3795" i="2"/>
  <c r="F3795" i="2"/>
  <c r="D3795" i="2"/>
  <c r="H3795" i="2" s="1"/>
  <c r="G3794" i="2"/>
  <c r="F3794" i="2"/>
  <c r="D3794" i="2"/>
  <c r="H3794" i="2" s="1"/>
  <c r="G3793" i="2"/>
  <c r="F3793" i="2"/>
  <c r="D3793" i="2"/>
  <c r="H3793" i="2" s="1"/>
  <c r="G3792" i="2"/>
  <c r="F3792" i="2"/>
  <c r="D3792" i="2"/>
  <c r="H3792" i="2" s="1"/>
  <c r="H3791" i="2"/>
  <c r="H3790" i="2"/>
  <c r="G3790" i="2"/>
  <c r="F3790" i="2"/>
  <c r="D3790" i="2"/>
  <c r="G3789" i="2"/>
  <c r="H3789" i="2" s="1"/>
  <c r="F3789" i="2"/>
  <c r="D3789" i="2"/>
  <c r="G3788" i="2"/>
  <c r="H3788" i="2" s="1"/>
  <c r="F3788" i="2"/>
  <c r="D3788" i="2"/>
  <c r="H3787" i="2"/>
  <c r="G3787" i="2"/>
  <c r="F3787" i="2"/>
  <c r="D3787" i="2"/>
  <c r="G3786" i="2"/>
  <c r="H3786" i="2" s="1"/>
  <c r="F3786" i="2"/>
  <c r="D3786" i="2"/>
  <c r="G3785" i="2"/>
  <c r="H3785" i="2" s="1"/>
  <c r="F3785" i="2"/>
  <c r="D3785" i="2"/>
  <c r="G3784" i="2"/>
  <c r="H3784" i="2" s="1"/>
  <c r="F3784" i="2"/>
  <c r="D3784" i="2"/>
  <c r="G3783" i="2"/>
  <c r="H3783" i="2" s="1"/>
  <c r="F3783" i="2"/>
  <c r="D3783" i="2"/>
  <c r="G3782" i="2"/>
  <c r="H3782" i="2" s="1"/>
  <c r="F3782" i="2"/>
  <c r="D3782" i="2"/>
  <c r="G3781" i="2"/>
  <c r="H3781" i="2" s="1"/>
  <c r="F3781" i="2"/>
  <c r="D3781" i="2"/>
  <c r="H3780" i="2"/>
  <c r="H3779" i="2"/>
  <c r="G3779" i="2"/>
  <c r="F3779" i="2"/>
  <c r="D3779" i="2"/>
  <c r="H3778" i="2"/>
  <c r="G3778" i="2"/>
  <c r="F3778" i="2"/>
  <c r="D3778" i="2"/>
  <c r="G3777" i="2"/>
  <c r="F3777" i="2"/>
  <c r="D3777" i="2"/>
  <c r="H3777" i="2" s="1"/>
  <c r="H3776" i="2"/>
  <c r="G3776" i="2"/>
  <c r="F3776" i="2"/>
  <c r="D3776" i="2"/>
  <c r="H3775" i="2"/>
  <c r="G3775" i="2"/>
  <c r="F3775" i="2"/>
  <c r="D3775" i="2"/>
  <c r="G3774" i="2"/>
  <c r="F3774" i="2"/>
  <c r="D3774" i="2"/>
  <c r="H3774" i="2" s="1"/>
  <c r="H3773" i="2"/>
  <c r="G3773" i="2"/>
  <c r="F3773" i="2"/>
  <c r="D3773" i="2"/>
  <c r="H3772" i="2"/>
  <c r="G3772" i="2"/>
  <c r="F3772" i="2"/>
  <c r="D3772" i="2"/>
  <c r="G3771" i="2"/>
  <c r="F3771" i="2"/>
  <c r="D3771" i="2"/>
  <c r="H3771" i="2" s="1"/>
  <c r="H3770" i="2"/>
  <c r="G3770" i="2"/>
  <c r="F3770" i="2"/>
  <c r="D3770" i="2"/>
  <c r="H3769" i="2"/>
  <c r="G3768" i="2"/>
  <c r="F3768" i="2"/>
  <c r="H3768" i="2" s="1"/>
  <c r="D3768" i="2"/>
  <c r="G3767" i="2"/>
  <c r="F3767" i="2"/>
  <c r="D3767" i="2"/>
  <c r="H3767" i="2" s="1"/>
  <c r="G3766" i="2"/>
  <c r="F3766" i="2"/>
  <c r="D3766" i="2"/>
  <c r="H3766" i="2" s="1"/>
  <c r="G3765" i="2"/>
  <c r="F3765" i="2"/>
  <c r="D3765" i="2"/>
  <c r="H3765" i="2" s="1"/>
  <c r="G3764" i="2"/>
  <c r="F3764" i="2"/>
  <c r="D3764" i="2"/>
  <c r="H3764" i="2" s="1"/>
  <c r="G3763" i="2"/>
  <c r="F3763" i="2"/>
  <c r="D3763" i="2"/>
  <c r="H3763" i="2" s="1"/>
  <c r="G3762" i="2"/>
  <c r="F3762" i="2"/>
  <c r="D3762" i="2"/>
  <c r="H3762" i="2" s="1"/>
  <c r="G3761" i="2"/>
  <c r="F3761" i="2"/>
  <c r="D3761" i="2"/>
  <c r="H3761" i="2" s="1"/>
  <c r="G3760" i="2"/>
  <c r="F3760" i="2"/>
  <c r="D3760" i="2"/>
  <c r="H3760" i="2" s="1"/>
  <c r="G3759" i="2"/>
  <c r="F3759" i="2"/>
  <c r="D3759" i="2"/>
  <c r="H3759" i="2" s="1"/>
  <c r="H3758" i="2"/>
  <c r="G3757" i="2"/>
  <c r="F3757" i="2"/>
  <c r="H3757" i="2" s="1"/>
  <c r="D3757" i="2"/>
  <c r="G3756" i="2"/>
  <c r="F3756" i="2"/>
  <c r="D3756" i="2"/>
  <c r="H3756" i="2" s="1"/>
  <c r="G3755" i="2"/>
  <c r="F3755" i="2"/>
  <c r="H3755" i="2" s="1"/>
  <c r="D3755" i="2"/>
  <c r="G3754" i="2"/>
  <c r="F3754" i="2"/>
  <c r="D3754" i="2"/>
  <c r="H3754" i="2" s="1"/>
  <c r="G3753" i="2"/>
  <c r="F3753" i="2"/>
  <c r="D3753" i="2"/>
  <c r="H3753" i="2" s="1"/>
  <c r="G3752" i="2"/>
  <c r="F3752" i="2"/>
  <c r="D3752" i="2"/>
  <c r="H3752" i="2" s="1"/>
  <c r="G3751" i="2"/>
  <c r="F3751" i="2"/>
  <c r="D3751" i="2"/>
  <c r="H3751" i="2" s="1"/>
  <c r="G3750" i="2"/>
  <c r="F3750" i="2"/>
  <c r="D3750" i="2"/>
  <c r="H3750" i="2" s="1"/>
  <c r="G3749" i="2"/>
  <c r="F3749" i="2"/>
  <c r="D3749" i="2"/>
  <c r="H3749" i="2" s="1"/>
  <c r="G3748" i="2"/>
  <c r="F3748" i="2"/>
  <c r="D3748" i="2"/>
  <c r="H3748" i="2" s="1"/>
  <c r="H3747" i="2"/>
  <c r="G3746" i="2"/>
  <c r="H3746" i="2" s="1"/>
  <c r="F3746" i="2"/>
  <c r="D3746" i="2"/>
  <c r="G3745" i="2"/>
  <c r="H3745" i="2" s="1"/>
  <c r="F3745" i="2"/>
  <c r="D3745" i="2"/>
  <c r="G3744" i="2"/>
  <c r="H3744" i="2" s="1"/>
  <c r="F3744" i="2"/>
  <c r="D3744" i="2"/>
  <c r="G3743" i="2"/>
  <c r="H3743" i="2" s="1"/>
  <c r="F3743" i="2"/>
  <c r="D3743" i="2"/>
  <c r="G3742" i="2"/>
  <c r="H3742" i="2" s="1"/>
  <c r="F3742" i="2"/>
  <c r="D3742" i="2"/>
  <c r="G3741" i="2"/>
  <c r="H3741" i="2" s="1"/>
  <c r="F3741" i="2"/>
  <c r="D3741" i="2"/>
  <c r="G3740" i="2"/>
  <c r="H3740" i="2" s="1"/>
  <c r="F3740" i="2"/>
  <c r="D3740" i="2"/>
  <c r="G3739" i="2"/>
  <c r="H3739" i="2" s="1"/>
  <c r="F3739" i="2"/>
  <c r="D3739" i="2"/>
  <c r="G3738" i="2"/>
  <c r="H3738" i="2" s="1"/>
  <c r="F3738" i="2"/>
  <c r="D3738" i="2"/>
  <c r="G3737" i="2"/>
  <c r="H3737" i="2" s="1"/>
  <c r="F3737" i="2"/>
  <c r="D3737" i="2"/>
  <c r="H3736" i="2"/>
  <c r="H3735" i="2"/>
  <c r="G3735" i="2"/>
  <c r="F3735" i="2"/>
  <c r="D3735" i="2"/>
  <c r="H3734" i="2"/>
  <c r="G3734" i="2"/>
  <c r="F3734" i="2"/>
  <c r="D3734" i="2"/>
  <c r="H3733" i="2"/>
  <c r="G3733" i="2"/>
  <c r="F3733" i="2"/>
  <c r="D3733" i="2"/>
  <c r="G3732" i="2"/>
  <c r="F3732" i="2"/>
  <c r="D3732" i="2"/>
  <c r="H3732" i="2" s="1"/>
  <c r="H3731" i="2"/>
  <c r="G3731" i="2"/>
  <c r="F3731" i="2"/>
  <c r="D3731" i="2"/>
  <c r="H3730" i="2"/>
  <c r="G3730" i="2"/>
  <c r="F3730" i="2"/>
  <c r="D3730" i="2"/>
  <c r="G3729" i="2"/>
  <c r="F3729" i="2"/>
  <c r="D3729" i="2"/>
  <c r="H3729" i="2" s="1"/>
  <c r="H3728" i="2"/>
  <c r="G3728" i="2"/>
  <c r="F3728" i="2"/>
  <c r="D3728" i="2"/>
  <c r="H3727" i="2"/>
  <c r="G3727" i="2"/>
  <c r="F3727" i="2"/>
  <c r="D3727" i="2"/>
  <c r="G3726" i="2"/>
  <c r="F3726" i="2"/>
  <c r="D3726" i="2"/>
  <c r="H3726" i="2" s="1"/>
  <c r="H3725" i="2"/>
  <c r="G3724" i="2"/>
  <c r="F3724" i="2"/>
  <c r="D3724" i="2"/>
  <c r="H3724" i="2" s="1"/>
  <c r="G3723" i="2"/>
  <c r="F3723" i="2"/>
  <c r="D3723" i="2"/>
  <c r="H3723" i="2" s="1"/>
  <c r="G3722" i="2"/>
  <c r="F3722" i="2"/>
  <c r="D3722" i="2"/>
  <c r="H3722" i="2" s="1"/>
  <c r="G3721" i="2"/>
  <c r="F3721" i="2"/>
  <c r="D3721" i="2"/>
  <c r="H3721" i="2" s="1"/>
  <c r="G3720" i="2"/>
  <c r="F3720" i="2"/>
  <c r="D3720" i="2"/>
  <c r="H3720" i="2" s="1"/>
  <c r="G3719" i="2"/>
  <c r="F3719" i="2"/>
  <c r="D3719" i="2"/>
  <c r="H3719" i="2" s="1"/>
  <c r="G3718" i="2"/>
  <c r="F3718" i="2"/>
  <c r="D3718" i="2"/>
  <c r="H3718" i="2" s="1"/>
  <c r="G3717" i="2"/>
  <c r="F3717" i="2"/>
  <c r="D3717" i="2"/>
  <c r="H3717" i="2" s="1"/>
  <c r="G3716" i="2"/>
  <c r="F3716" i="2"/>
  <c r="D3716" i="2"/>
  <c r="H3716" i="2" s="1"/>
  <c r="G3715" i="2"/>
  <c r="F3715" i="2"/>
  <c r="D3715" i="2"/>
  <c r="H3715" i="2" s="1"/>
  <c r="H3714" i="2"/>
  <c r="G3713" i="2"/>
  <c r="F3713" i="2"/>
  <c r="H3713" i="2" s="1"/>
  <c r="D3713" i="2"/>
  <c r="G3712" i="2"/>
  <c r="F3712" i="2"/>
  <c r="D3712" i="2"/>
  <c r="H3712" i="2" s="1"/>
  <c r="G3711" i="2"/>
  <c r="F3711" i="2"/>
  <c r="D3711" i="2"/>
  <c r="H3711" i="2" s="1"/>
  <c r="G3710" i="2"/>
  <c r="F3710" i="2"/>
  <c r="D3710" i="2"/>
  <c r="H3710" i="2" s="1"/>
  <c r="G3709" i="2"/>
  <c r="F3709" i="2"/>
  <c r="D3709" i="2"/>
  <c r="H3709" i="2" s="1"/>
  <c r="G3708" i="2"/>
  <c r="F3708" i="2"/>
  <c r="D3708" i="2"/>
  <c r="H3708" i="2" s="1"/>
  <c r="G3707" i="2"/>
  <c r="F3707" i="2"/>
  <c r="D3707" i="2"/>
  <c r="H3707" i="2" s="1"/>
  <c r="G3706" i="2"/>
  <c r="F3706" i="2"/>
  <c r="D3706" i="2"/>
  <c r="H3706" i="2" s="1"/>
  <c r="G3705" i="2"/>
  <c r="F3705" i="2"/>
  <c r="D3705" i="2"/>
  <c r="H3705" i="2" s="1"/>
  <c r="G3704" i="2"/>
  <c r="F3704" i="2"/>
  <c r="D3704" i="2"/>
  <c r="H3704" i="2" s="1"/>
  <c r="H3703" i="2"/>
  <c r="G3702" i="2"/>
  <c r="H3702" i="2" s="1"/>
  <c r="F3702" i="2"/>
  <c r="D3702" i="2"/>
  <c r="G3701" i="2"/>
  <c r="H3701" i="2" s="1"/>
  <c r="F3701" i="2"/>
  <c r="D3701" i="2"/>
  <c r="G3700" i="2"/>
  <c r="H3700" i="2" s="1"/>
  <c r="F3700" i="2"/>
  <c r="D3700" i="2"/>
  <c r="G3699" i="2"/>
  <c r="H3699" i="2" s="1"/>
  <c r="F3699" i="2"/>
  <c r="D3699" i="2"/>
  <c r="G3698" i="2"/>
  <c r="H3698" i="2" s="1"/>
  <c r="F3698" i="2"/>
  <c r="D3698" i="2"/>
  <c r="G3697" i="2"/>
  <c r="H3697" i="2" s="1"/>
  <c r="F3697" i="2"/>
  <c r="D3697" i="2"/>
  <c r="G3696" i="2"/>
  <c r="H3696" i="2" s="1"/>
  <c r="F3696" i="2"/>
  <c r="D3696" i="2"/>
  <c r="G3695" i="2"/>
  <c r="H3695" i="2" s="1"/>
  <c r="F3695" i="2"/>
  <c r="D3695" i="2"/>
  <c r="G3694" i="2"/>
  <c r="H3694" i="2" s="1"/>
  <c r="F3694" i="2"/>
  <c r="D3694" i="2"/>
  <c r="G3693" i="2"/>
  <c r="H3693" i="2" s="1"/>
  <c r="F3693" i="2"/>
  <c r="D3693" i="2"/>
  <c r="H3692" i="2"/>
  <c r="H3691" i="2"/>
  <c r="G3691" i="2"/>
  <c r="F3691" i="2"/>
  <c r="D3691" i="2"/>
  <c r="G3690" i="2"/>
  <c r="F3690" i="2"/>
  <c r="D3690" i="2"/>
  <c r="H3690" i="2" s="1"/>
  <c r="H3689" i="2"/>
  <c r="G3689" i="2"/>
  <c r="F3689" i="2"/>
  <c r="D3689" i="2"/>
  <c r="H3688" i="2"/>
  <c r="G3688" i="2"/>
  <c r="F3688" i="2"/>
  <c r="D3688" i="2"/>
  <c r="G3687" i="2"/>
  <c r="F3687" i="2"/>
  <c r="D3687" i="2"/>
  <c r="H3687" i="2" s="1"/>
  <c r="H3686" i="2"/>
  <c r="G3686" i="2"/>
  <c r="F3686" i="2"/>
  <c r="D3686" i="2"/>
  <c r="H3685" i="2"/>
  <c r="G3685" i="2"/>
  <c r="F3685" i="2"/>
  <c r="D3685" i="2"/>
  <c r="G3684" i="2"/>
  <c r="F3684" i="2"/>
  <c r="D3684" i="2"/>
  <c r="H3684" i="2" s="1"/>
  <c r="H3683" i="2"/>
  <c r="G3683" i="2"/>
  <c r="F3683" i="2"/>
  <c r="D3683" i="2"/>
  <c r="H3682" i="2"/>
  <c r="G3682" i="2"/>
  <c r="F3682" i="2"/>
  <c r="D3682" i="2"/>
  <c r="H3681" i="2"/>
  <c r="G3680" i="2"/>
  <c r="F3680" i="2"/>
  <c r="D3680" i="2"/>
  <c r="H3680" i="2" s="1"/>
  <c r="G3679" i="2"/>
  <c r="F3679" i="2"/>
  <c r="D3679" i="2"/>
  <c r="H3679" i="2" s="1"/>
  <c r="G3678" i="2"/>
  <c r="F3678" i="2"/>
  <c r="D3678" i="2"/>
  <c r="H3678" i="2" s="1"/>
  <c r="G3677" i="2"/>
  <c r="F3677" i="2"/>
  <c r="D3677" i="2"/>
  <c r="H3677" i="2" s="1"/>
  <c r="G3676" i="2"/>
  <c r="F3676" i="2"/>
  <c r="D3676" i="2"/>
  <c r="H3676" i="2" s="1"/>
  <c r="G3675" i="2"/>
  <c r="F3675" i="2"/>
  <c r="D3675" i="2"/>
  <c r="H3675" i="2" s="1"/>
  <c r="G3674" i="2"/>
  <c r="F3674" i="2"/>
  <c r="D3674" i="2"/>
  <c r="H3674" i="2" s="1"/>
  <c r="G3673" i="2"/>
  <c r="F3673" i="2"/>
  <c r="D3673" i="2"/>
  <c r="H3673" i="2" s="1"/>
  <c r="G3672" i="2"/>
  <c r="F3672" i="2"/>
  <c r="D3672" i="2"/>
  <c r="H3672" i="2" s="1"/>
  <c r="G3671" i="2"/>
  <c r="F3671" i="2"/>
  <c r="D3671" i="2"/>
  <c r="H3671" i="2" s="1"/>
  <c r="H3670" i="2"/>
  <c r="G3669" i="2"/>
  <c r="F3669" i="2"/>
  <c r="D3669" i="2"/>
  <c r="H3669" i="2" s="1"/>
  <c r="G3668" i="2"/>
  <c r="F3668" i="2"/>
  <c r="D3668" i="2"/>
  <c r="H3668" i="2" s="1"/>
  <c r="G3667" i="2"/>
  <c r="F3667" i="2"/>
  <c r="H3667" i="2" s="1"/>
  <c r="D3667" i="2"/>
  <c r="G3666" i="2"/>
  <c r="F3666" i="2"/>
  <c r="D3666" i="2"/>
  <c r="H3666" i="2" s="1"/>
  <c r="G3665" i="2"/>
  <c r="F3665" i="2"/>
  <c r="D3665" i="2"/>
  <c r="H3665" i="2" s="1"/>
  <c r="G3664" i="2"/>
  <c r="F3664" i="2"/>
  <c r="D3664" i="2"/>
  <c r="H3664" i="2" s="1"/>
  <c r="G3663" i="2"/>
  <c r="F3663" i="2"/>
  <c r="D3663" i="2"/>
  <c r="H3663" i="2" s="1"/>
  <c r="G3662" i="2"/>
  <c r="F3662" i="2"/>
  <c r="D3662" i="2"/>
  <c r="H3662" i="2" s="1"/>
  <c r="G3661" i="2"/>
  <c r="F3661" i="2"/>
  <c r="D3661" i="2"/>
  <c r="H3661" i="2" s="1"/>
  <c r="G3660" i="2"/>
  <c r="F3660" i="2"/>
  <c r="D3660" i="2"/>
  <c r="H3660" i="2" s="1"/>
  <c r="H3659" i="2"/>
  <c r="H3658" i="2"/>
  <c r="G3658" i="2"/>
  <c r="F3658" i="2"/>
  <c r="D3658" i="2"/>
  <c r="G3657" i="2"/>
  <c r="H3657" i="2" s="1"/>
  <c r="F3657" i="2"/>
  <c r="D3657" i="2"/>
  <c r="G3656" i="2"/>
  <c r="H3656" i="2" s="1"/>
  <c r="F3656" i="2"/>
  <c r="D3656" i="2"/>
  <c r="H3655" i="2"/>
  <c r="G3655" i="2"/>
  <c r="F3655" i="2"/>
  <c r="D3655" i="2"/>
  <c r="G3654" i="2"/>
  <c r="H3654" i="2" s="1"/>
  <c r="F3654" i="2"/>
  <c r="D3654" i="2"/>
  <c r="G3653" i="2"/>
  <c r="H3653" i="2" s="1"/>
  <c r="F3653" i="2"/>
  <c r="D3653" i="2"/>
  <c r="G3652" i="2"/>
  <c r="H3652" i="2" s="1"/>
  <c r="F3652" i="2"/>
  <c r="D3652" i="2"/>
  <c r="G3651" i="2"/>
  <c r="H3651" i="2" s="1"/>
  <c r="F3651" i="2"/>
  <c r="D3651" i="2"/>
  <c r="G3650" i="2"/>
  <c r="H3650" i="2" s="1"/>
  <c r="F3650" i="2"/>
  <c r="D3650" i="2"/>
  <c r="G3649" i="2"/>
  <c r="H3649" i="2" s="1"/>
  <c r="F3649" i="2"/>
  <c r="D3649" i="2"/>
  <c r="H3648" i="2"/>
  <c r="H3647" i="2"/>
  <c r="G3647" i="2"/>
  <c r="F3647" i="2"/>
  <c r="D3647" i="2"/>
  <c r="H3646" i="2"/>
  <c r="G3646" i="2"/>
  <c r="F3646" i="2"/>
  <c r="D3646" i="2"/>
  <c r="G3645" i="2"/>
  <c r="F3645" i="2"/>
  <c r="D3645" i="2"/>
  <c r="H3645" i="2" s="1"/>
  <c r="H3644" i="2"/>
  <c r="G3644" i="2"/>
  <c r="F3644" i="2"/>
  <c r="D3644" i="2"/>
  <c r="H3643" i="2"/>
  <c r="G3643" i="2"/>
  <c r="F3643" i="2"/>
  <c r="D3643" i="2"/>
  <c r="G3642" i="2"/>
  <c r="F3642" i="2"/>
  <c r="D3642" i="2"/>
  <c r="H3642" i="2" s="1"/>
  <c r="H3641" i="2"/>
  <c r="G3641" i="2"/>
  <c r="F3641" i="2"/>
  <c r="D3641" i="2"/>
  <c r="H3640" i="2"/>
  <c r="G3640" i="2"/>
  <c r="F3640" i="2"/>
  <c r="D3640" i="2"/>
  <c r="G3639" i="2"/>
  <c r="F3639" i="2"/>
  <c r="D3639" i="2"/>
  <c r="H3639" i="2" s="1"/>
  <c r="G3638" i="2"/>
  <c r="F3638" i="2"/>
  <c r="D3638" i="2"/>
  <c r="H3638" i="2" s="1"/>
  <c r="H3637" i="2"/>
  <c r="G3636" i="2"/>
  <c r="F3636" i="2"/>
  <c r="H3636" i="2" s="1"/>
  <c r="D3636" i="2"/>
  <c r="G3635" i="2"/>
  <c r="F3635" i="2"/>
  <c r="D3635" i="2"/>
  <c r="H3635" i="2" s="1"/>
  <c r="G3634" i="2"/>
  <c r="F3634" i="2"/>
  <c r="D3634" i="2"/>
  <c r="H3634" i="2" s="1"/>
  <c r="G3633" i="2"/>
  <c r="F3633" i="2"/>
  <c r="D3633" i="2"/>
  <c r="H3633" i="2" s="1"/>
  <c r="G3632" i="2"/>
  <c r="F3632" i="2"/>
  <c r="D3632" i="2"/>
  <c r="H3632" i="2" s="1"/>
  <c r="G3631" i="2"/>
  <c r="F3631" i="2"/>
  <c r="D3631" i="2"/>
  <c r="H3631" i="2" s="1"/>
  <c r="G3630" i="2"/>
  <c r="F3630" i="2"/>
  <c r="D3630" i="2"/>
  <c r="H3630" i="2" s="1"/>
  <c r="G3629" i="2"/>
  <c r="F3629" i="2"/>
  <c r="D3629" i="2"/>
  <c r="H3629" i="2" s="1"/>
  <c r="G3628" i="2"/>
  <c r="F3628" i="2"/>
  <c r="D3628" i="2"/>
  <c r="H3628" i="2" s="1"/>
  <c r="G3627" i="2"/>
  <c r="F3627" i="2"/>
  <c r="D3627" i="2"/>
  <c r="H3627" i="2" s="1"/>
  <c r="H3626" i="2"/>
  <c r="G3625" i="2"/>
  <c r="F3625" i="2"/>
  <c r="H3625" i="2" s="1"/>
  <c r="D3625" i="2"/>
  <c r="G3624" i="2"/>
  <c r="F3624" i="2"/>
  <c r="D3624" i="2"/>
  <c r="H3624" i="2" s="1"/>
  <c r="G3623" i="2"/>
  <c r="F3623" i="2"/>
  <c r="D3623" i="2"/>
  <c r="H3623" i="2" s="1"/>
  <c r="G3622" i="2"/>
  <c r="F3622" i="2"/>
  <c r="D3622" i="2"/>
  <c r="H3622" i="2" s="1"/>
  <c r="G3621" i="2"/>
  <c r="F3621" i="2"/>
  <c r="D3621" i="2"/>
  <c r="H3621" i="2" s="1"/>
  <c r="G3620" i="2"/>
  <c r="F3620" i="2"/>
  <c r="D3620" i="2"/>
  <c r="H3620" i="2" s="1"/>
  <c r="G3619" i="2"/>
  <c r="F3619" i="2"/>
  <c r="D3619" i="2"/>
  <c r="H3619" i="2" s="1"/>
  <c r="G3618" i="2"/>
  <c r="F3618" i="2"/>
  <c r="D3618" i="2"/>
  <c r="H3618" i="2" s="1"/>
  <c r="G3617" i="2"/>
  <c r="F3617" i="2"/>
  <c r="D3617" i="2"/>
  <c r="H3617" i="2" s="1"/>
  <c r="G3616" i="2"/>
  <c r="F3616" i="2"/>
  <c r="D3616" i="2"/>
  <c r="H3616" i="2" s="1"/>
  <c r="H3615" i="2"/>
  <c r="G3614" i="2"/>
  <c r="H3614" i="2" s="1"/>
  <c r="F3614" i="2"/>
  <c r="D3614" i="2"/>
  <c r="H3613" i="2"/>
  <c r="G3613" i="2"/>
  <c r="F3613" i="2"/>
  <c r="D3613" i="2"/>
  <c r="G3612" i="2"/>
  <c r="H3612" i="2" s="1"/>
  <c r="F3612" i="2"/>
  <c r="D3612" i="2"/>
  <c r="G3611" i="2"/>
  <c r="H3611" i="2" s="1"/>
  <c r="F3611" i="2"/>
  <c r="D3611" i="2"/>
  <c r="G3610" i="2"/>
  <c r="H3610" i="2" s="1"/>
  <c r="F3610" i="2"/>
  <c r="D3610" i="2"/>
  <c r="G3609" i="2"/>
  <c r="H3609" i="2" s="1"/>
  <c r="F3609" i="2"/>
  <c r="D3609" i="2"/>
  <c r="G3608" i="2"/>
  <c r="H3608" i="2" s="1"/>
  <c r="F3608" i="2"/>
  <c r="D3608" i="2"/>
  <c r="G3607" i="2"/>
  <c r="H3607" i="2" s="1"/>
  <c r="F3607" i="2"/>
  <c r="D3607" i="2"/>
  <c r="G3606" i="2"/>
  <c r="H3606" i="2" s="1"/>
  <c r="F3606" i="2"/>
  <c r="D3606" i="2"/>
  <c r="G3605" i="2"/>
  <c r="H3605" i="2" s="1"/>
  <c r="F3605" i="2"/>
  <c r="D3605" i="2"/>
  <c r="H3604" i="2"/>
  <c r="H3603" i="2"/>
  <c r="G3603" i="2"/>
  <c r="F3603" i="2"/>
  <c r="D3603" i="2"/>
  <c r="H3602" i="2"/>
  <c r="G3602" i="2"/>
  <c r="F3602" i="2"/>
  <c r="D3602" i="2"/>
  <c r="H3601" i="2"/>
  <c r="G3601" i="2"/>
  <c r="F3601" i="2"/>
  <c r="D3601" i="2"/>
  <c r="G3600" i="2"/>
  <c r="F3600" i="2"/>
  <c r="D3600" i="2"/>
  <c r="H3600" i="2" s="1"/>
  <c r="H3599" i="2"/>
  <c r="G3599" i="2"/>
  <c r="F3599" i="2"/>
  <c r="D3599" i="2"/>
  <c r="H3598" i="2"/>
  <c r="G3598" i="2"/>
  <c r="F3598" i="2"/>
  <c r="D3598" i="2"/>
  <c r="G3597" i="2"/>
  <c r="F3597" i="2"/>
  <c r="D3597" i="2"/>
  <c r="H3597" i="2" s="1"/>
  <c r="H3596" i="2"/>
  <c r="G3596" i="2"/>
  <c r="F3596" i="2"/>
  <c r="D3596" i="2"/>
  <c r="H3595" i="2"/>
  <c r="G3595" i="2"/>
  <c r="F3595" i="2"/>
  <c r="D3595" i="2"/>
  <c r="G3594" i="2"/>
  <c r="F3594" i="2"/>
  <c r="D3594" i="2"/>
  <c r="H3594" i="2" s="1"/>
  <c r="H3593" i="2"/>
  <c r="G3592" i="2"/>
  <c r="F3592" i="2"/>
  <c r="D3592" i="2"/>
  <c r="H3592" i="2" s="1"/>
  <c r="G3591" i="2"/>
  <c r="F3591" i="2"/>
  <c r="D3591" i="2"/>
  <c r="H3591" i="2" s="1"/>
  <c r="G3590" i="2"/>
  <c r="F3590" i="2"/>
  <c r="D3590" i="2"/>
  <c r="H3590" i="2" s="1"/>
  <c r="G3589" i="2"/>
  <c r="F3589" i="2"/>
  <c r="D3589" i="2"/>
  <c r="H3589" i="2" s="1"/>
  <c r="G3588" i="2"/>
  <c r="F3588" i="2"/>
  <c r="D3588" i="2"/>
  <c r="H3588" i="2" s="1"/>
  <c r="G3587" i="2"/>
  <c r="F3587" i="2"/>
  <c r="D3587" i="2"/>
  <c r="H3587" i="2" s="1"/>
  <c r="G3586" i="2"/>
  <c r="F3586" i="2"/>
  <c r="D3586" i="2"/>
  <c r="H3586" i="2" s="1"/>
  <c r="G3585" i="2"/>
  <c r="F3585" i="2"/>
  <c r="D3585" i="2"/>
  <c r="H3585" i="2" s="1"/>
  <c r="G3584" i="2"/>
  <c r="F3584" i="2"/>
  <c r="D3584" i="2"/>
  <c r="H3584" i="2" s="1"/>
  <c r="G3583" i="2"/>
  <c r="F3583" i="2"/>
  <c r="D3583" i="2"/>
  <c r="H3583" i="2" s="1"/>
  <c r="H3582" i="2"/>
  <c r="G3581" i="2"/>
  <c r="F3581" i="2"/>
  <c r="H3581" i="2" s="1"/>
  <c r="D3581" i="2"/>
  <c r="G3580" i="2"/>
  <c r="F3580" i="2"/>
  <c r="H3580" i="2" s="1"/>
  <c r="D3580" i="2"/>
  <c r="G3579" i="2"/>
  <c r="F3579" i="2"/>
  <c r="D3579" i="2"/>
  <c r="H3579" i="2" s="1"/>
  <c r="G3578" i="2"/>
  <c r="F3578" i="2"/>
  <c r="D3578" i="2"/>
  <c r="H3578" i="2" s="1"/>
  <c r="G3577" i="2"/>
  <c r="F3577" i="2"/>
  <c r="D3577" i="2"/>
  <c r="H3577" i="2" s="1"/>
  <c r="G3576" i="2"/>
  <c r="F3576" i="2"/>
  <c r="D3576" i="2"/>
  <c r="H3576" i="2" s="1"/>
  <c r="G3575" i="2"/>
  <c r="F3575" i="2"/>
  <c r="D3575" i="2"/>
  <c r="H3575" i="2" s="1"/>
  <c r="G3574" i="2"/>
  <c r="F3574" i="2"/>
  <c r="D3574" i="2"/>
  <c r="H3574" i="2" s="1"/>
  <c r="G3573" i="2"/>
  <c r="F3573" i="2"/>
  <c r="D3573" i="2"/>
  <c r="H3573" i="2" s="1"/>
  <c r="G3572" i="2"/>
  <c r="F3572" i="2"/>
  <c r="D3572" i="2"/>
  <c r="H3572" i="2" s="1"/>
  <c r="H3571" i="2"/>
  <c r="G3570" i="2"/>
  <c r="H3570" i="2" s="1"/>
  <c r="F3570" i="2"/>
  <c r="D3570" i="2"/>
  <c r="G3569" i="2"/>
  <c r="H3569" i="2" s="1"/>
  <c r="F3569" i="2"/>
  <c r="D3569" i="2"/>
  <c r="H3568" i="2"/>
  <c r="G3568" i="2"/>
  <c r="F3568" i="2"/>
  <c r="D3568" i="2"/>
  <c r="G3567" i="2"/>
  <c r="H3567" i="2" s="1"/>
  <c r="F3567" i="2"/>
  <c r="D3567" i="2"/>
  <c r="G3566" i="2"/>
  <c r="H3566" i="2" s="1"/>
  <c r="F3566" i="2"/>
  <c r="D3566" i="2"/>
  <c r="G3565" i="2"/>
  <c r="H3565" i="2" s="1"/>
  <c r="F3565" i="2"/>
  <c r="D3565" i="2"/>
  <c r="G3564" i="2"/>
  <c r="H3564" i="2" s="1"/>
  <c r="F3564" i="2"/>
  <c r="D3564" i="2"/>
  <c r="G3563" i="2"/>
  <c r="H3563" i="2" s="1"/>
  <c r="F3563" i="2"/>
  <c r="D3563" i="2"/>
  <c r="G3562" i="2"/>
  <c r="F3562" i="2"/>
  <c r="H3562" i="2" s="1"/>
  <c r="D3562" i="2"/>
  <c r="G3561" i="2"/>
  <c r="H3561" i="2" s="1"/>
  <c r="F3561" i="2"/>
  <c r="D3561" i="2"/>
  <c r="G3560" i="2"/>
  <c r="H3560" i="2" s="1"/>
  <c r="F3560" i="2"/>
  <c r="D3560" i="2"/>
  <c r="H3559" i="2"/>
  <c r="G3558" i="2"/>
  <c r="F3558" i="2"/>
  <c r="D3558" i="2"/>
  <c r="H3558" i="2" s="1"/>
  <c r="H3557" i="2"/>
  <c r="G3557" i="2"/>
  <c r="F3557" i="2"/>
  <c r="D3557" i="2"/>
  <c r="H3556" i="2"/>
  <c r="G3556" i="2"/>
  <c r="F3556" i="2"/>
  <c r="D3556" i="2"/>
  <c r="G3555" i="2"/>
  <c r="F3555" i="2"/>
  <c r="D3555" i="2"/>
  <c r="H3555" i="2" s="1"/>
  <c r="H3554" i="2"/>
  <c r="G3554" i="2"/>
  <c r="F3554" i="2"/>
  <c r="D3554" i="2"/>
  <c r="H3553" i="2"/>
  <c r="G3553" i="2"/>
  <c r="F3553" i="2"/>
  <c r="D3553" i="2"/>
  <c r="G3552" i="2"/>
  <c r="F3552" i="2"/>
  <c r="D3552" i="2"/>
  <c r="H3552" i="2" s="1"/>
  <c r="H3551" i="2"/>
  <c r="G3551" i="2"/>
  <c r="F3551" i="2"/>
  <c r="D3551" i="2"/>
  <c r="H3550" i="2"/>
  <c r="G3550" i="2"/>
  <c r="F3550" i="2"/>
  <c r="D3550" i="2"/>
  <c r="G3549" i="2"/>
  <c r="F3549" i="2"/>
  <c r="D3549" i="2"/>
  <c r="H3549" i="2" s="1"/>
  <c r="H3548" i="2"/>
  <c r="G3547" i="2"/>
  <c r="F3547" i="2"/>
  <c r="D3547" i="2"/>
  <c r="H3547" i="2" s="1"/>
  <c r="G3546" i="2"/>
  <c r="F3546" i="2"/>
  <c r="H3546" i="2" s="1"/>
  <c r="D3546" i="2"/>
  <c r="G3545" i="2"/>
  <c r="F3545" i="2"/>
  <c r="D3545" i="2"/>
  <c r="H3545" i="2" s="1"/>
  <c r="G3544" i="2"/>
  <c r="F3544" i="2"/>
  <c r="D3544" i="2"/>
  <c r="H3544" i="2" s="1"/>
  <c r="G3543" i="2"/>
  <c r="F3543" i="2"/>
  <c r="D3543" i="2"/>
  <c r="H3543" i="2" s="1"/>
  <c r="G3542" i="2"/>
  <c r="F3542" i="2"/>
  <c r="D3542" i="2"/>
  <c r="H3542" i="2" s="1"/>
  <c r="G3541" i="2"/>
  <c r="F3541" i="2"/>
  <c r="D3541" i="2"/>
  <c r="H3541" i="2" s="1"/>
  <c r="G3540" i="2"/>
  <c r="F3540" i="2"/>
  <c r="D3540" i="2"/>
  <c r="H3540" i="2" s="1"/>
  <c r="G3539" i="2"/>
  <c r="F3539" i="2"/>
  <c r="D3539" i="2"/>
  <c r="H3539" i="2" s="1"/>
  <c r="G3538" i="2"/>
  <c r="F3538" i="2"/>
  <c r="D3538" i="2"/>
  <c r="H3538" i="2" s="1"/>
  <c r="H3537" i="2"/>
  <c r="G3536" i="2"/>
  <c r="F3536" i="2"/>
  <c r="D3536" i="2"/>
  <c r="H3536" i="2" s="1"/>
  <c r="G3535" i="2"/>
  <c r="F3535" i="2"/>
  <c r="H3535" i="2" s="1"/>
  <c r="D3535" i="2"/>
  <c r="G3534" i="2"/>
  <c r="F3534" i="2"/>
  <c r="D3534" i="2"/>
  <c r="H3534" i="2" s="1"/>
  <c r="G3533" i="2"/>
  <c r="F3533" i="2"/>
  <c r="D3533" i="2"/>
  <c r="H3533" i="2" s="1"/>
  <c r="G3532" i="2"/>
  <c r="F3532" i="2"/>
  <c r="D3532" i="2"/>
  <c r="H3532" i="2" s="1"/>
  <c r="G3531" i="2"/>
  <c r="F3531" i="2"/>
  <c r="D3531" i="2"/>
  <c r="H3531" i="2" s="1"/>
  <c r="G3530" i="2"/>
  <c r="F3530" i="2"/>
  <c r="D3530" i="2"/>
  <c r="H3530" i="2" s="1"/>
  <c r="G3529" i="2"/>
  <c r="F3529" i="2"/>
  <c r="D3529" i="2"/>
  <c r="H3529" i="2" s="1"/>
  <c r="G3528" i="2"/>
  <c r="F3528" i="2"/>
  <c r="D3528" i="2"/>
  <c r="H3528" i="2" s="1"/>
  <c r="G3527" i="2"/>
  <c r="F3527" i="2"/>
  <c r="D3527" i="2"/>
  <c r="H3527" i="2" s="1"/>
  <c r="H3526" i="2"/>
  <c r="G3525" i="2"/>
  <c r="H3525" i="2" s="1"/>
  <c r="F3525" i="2"/>
  <c r="D3525" i="2"/>
  <c r="G3524" i="2"/>
  <c r="H3524" i="2" s="1"/>
  <c r="F3524" i="2"/>
  <c r="D3524" i="2"/>
  <c r="G3523" i="2"/>
  <c r="F3523" i="2"/>
  <c r="H3523" i="2" s="1"/>
  <c r="D3523" i="2"/>
  <c r="G3522" i="2"/>
  <c r="H3522" i="2" s="1"/>
  <c r="F3522" i="2"/>
  <c r="D3522" i="2"/>
  <c r="G3521" i="2"/>
  <c r="H3521" i="2" s="1"/>
  <c r="F3521" i="2"/>
  <c r="D3521" i="2"/>
  <c r="G3520" i="2"/>
  <c r="F3520" i="2"/>
  <c r="H3520" i="2" s="1"/>
  <c r="D3520" i="2"/>
  <c r="G3519" i="2"/>
  <c r="H3519" i="2" s="1"/>
  <c r="F3519" i="2"/>
  <c r="D3519" i="2"/>
  <c r="G3518" i="2"/>
  <c r="H3518" i="2" s="1"/>
  <c r="F3518" i="2"/>
  <c r="D3518" i="2"/>
  <c r="G3517" i="2"/>
  <c r="F3517" i="2"/>
  <c r="H3517" i="2" s="1"/>
  <c r="D3517" i="2"/>
  <c r="G3516" i="2"/>
  <c r="H3516" i="2" s="1"/>
  <c r="F3516" i="2"/>
  <c r="D3516" i="2"/>
  <c r="H3515" i="2"/>
  <c r="H3514" i="2"/>
  <c r="G3514" i="2"/>
  <c r="F3514" i="2"/>
  <c r="D3514" i="2"/>
  <c r="G3513" i="2"/>
  <c r="F3513" i="2"/>
  <c r="D3513" i="2"/>
  <c r="H3513" i="2" s="1"/>
  <c r="H3512" i="2"/>
  <c r="G3512" i="2"/>
  <c r="F3512" i="2"/>
  <c r="D3512" i="2"/>
  <c r="H3511" i="2"/>
  <c r="G3511" i="2"/>
  <c r="F3511" i="2"/>
  <c r="D3511" i="2"/>
  <c r="G3510" i="2"/>
  <c r="F3510" i="2"/>
  <c r="D3510" i="2"/>
  <c r="H3510" i="2" s="1"/>
  <c r="H3509" i="2"/>
  <c r="G3509" i="2"/>
  <c r="F3509" i="2"/>
  <c r="D3509" i="2"/>
  <c r="H3508" i="2"/>
  <c r="G3508" i="2"/>
  <c r="F3508" i="2"/>
  <c r="D3508" i="2"/>
  <c r="G3507" i="2"/>
  <c r="F3507" i="2"/>
  <c r="D3507" i="2"/>
  <c r="H3507" i="2" s="1"/>
  <c r="H3506" i="2"/>
  <c r="G3506" i="2"/>
  <c r="F3506" i="2"/>
  <c r="D3506" i="2"/>
  <c r="H3505" i="2"/>
  <c r="G3505" i="2"/>
  <c r="F3505" i="2"/>
  <c r="D3505" i="2"/>
  <c r="H3504" i="2"/>
  <c r="G3503" i="2"/>
  <c r="F3503" i="2"/>
  <c r="D3503" i="2"/>
  <c r="H3503" i="2" s="1"/>
  <c r="G3502" i="2"/>
  <c r="F3502" i="2"/>
  <c r="D3502" i="2"/>
  <c r="H3502" i="2" s="1"/>
  <c r="G3501" i="2"/>
  <c r="F3501" i="2"/>
  <c r="H3501" i="2" s="1"/>
  <c r="D3501" i="2"/>
  <c r="G3500" i="2"/>
  <c r="F3500" i="2"/>
  <c r="D3500" i="2"/>
  <c r="H3500" i="2" s="1"/>
  <c r="G3499" i="2"/>
  <c r="F3499" i="2"/>
  <c r="D3499" i="2"/>
  <c r="H3499" i="2" s="1"/>
  <c r="G3498" i="2"/>
  <c r="F3498" i="2"/>
  <c r="D3498" i="2"/>
  <c r="H3498" i="2" s="1"/>
  <c r="G3497" i="2"/>
  <c r="F3497" i="2"/>
  <c r="D3497" i="2"/>
  <c r="H3497" i="2" s="1"/>
  <c r="G3496" i="2"/>
  <c r="F3496" i="2"/>
  <c r="D3496" i="2"/>
  <c r="H3496" i="2" s="1"/>
  <c r="G3495" i="2"/>
  <c r="F3495" i="2"/>
  <c r="D3495" i="2"/>
  <c r="H3495" i="2" s="1"/>
  <c r="G3494" i="2"/>
  <c r="F3494" i="2"/>
  <c r="D3494" i="2"/>
  <c r="H3494" i="2" s="1"/>
  <c r="H3493" i="2"/>
  <c r="G3492" i="2"/>
  <c r="F3492" i="2"/>
  <c r="D3492" i="2"/>
  <c r="G3491" i="2"/>
  <c r="F3491" i="2"/>
  <c r="D3491" i="2"/>
  <c r="H3491" i="2" s="1"/>
  <c r="G3490" i="2"/>
  <c r="F3490" i="2"/>
  <c r="H3490" i="2" s="1"/>
  <c r="D3490" i="2"/>
  <c r="G3489" i="2"/>
  <c r="F3489" i="2"/>
  <c r="D3489" i="2"/>
  <c r="G3488" i="2"/>
  <c r="F3488" i="2"/>
  <c r="D3488" i="2"/>
  <c r="H3488" i="2" s="1"/>
  <c r="G3487" i="2"/>
  <c r="F3487" i="2"/>
  <c r="D3487" i="2"/>
  <c r="H3487" i="2" s="1"/>
  <c r="G3486" i="2"/>
  <c r="F3486" i="2"/>
  <c r="D3486" i="2"/>
  <c r="G3485" i="2"/>
  <c r="F3485" i="2"/>
  <c r="D3485" i="2"/>
  <c r="H3485" i="2" s="1"/>
  <c r="G3484" i="2"/>
  <c r="F3484" i="2"/>
  <c r="D3484" i="2"/>
  <c r="H3484" i="2" s="1"/>
  <c r="G3483" i="2"/>
  <c r="F3483" i="2"/>
  <c r="D3483" i="2"/>
  <c r="H3482" i="2"/>
  <c r="H3481" i="2"/>
  <c r="G3481" i="2"/>
  <c r="F3481" i="2"/>
  <c r="D3481" i="2"/>
  <c r="G3480" i="2"/>
  <c r="H3480" i="2" s="1"/>
  <c r="F3480" i="2"/>
  <c r="D3480" i="2"/>
  <c r="G3479" i="2"/>
  <c r="H3479" i="2" s="1"/>
  <c r="F3479" i="2"/>
  <c r="D3479" i="2"/>
  <c r="H3478" i="2"/>
  <c r="G3478" i="2"/>
  <c r="F3478" i="2"/>
  <c r="D3478" i="2"/>
  <c r="G3477" i="2"/>
  <c r="H3477" i="2" s="1"/>
  <c r="F3477" i="2"/>
  <c r="D3477" i="2"/>
  <c r="G3476" i="2"/>
  <c r="H3476" i="2" s="1"/>
  <c r="F3476" i="2"/>
  <c r="D3476" i="2"/>
  <c r="G3475" i="2"/>
  <c r="F3475" i="2"/>
  <c r="H3475" i="2" s="1"/>
  <c r="D3475" i="2"/>
  <c r="G3474" i="2"/>
  <c r="H3474" i="2" s="1"/>
  <c r="F3474" i="2"/>
  <c r="D3474" i="2"/>
  <c r="G3473" i="2"/>
  <c r="H3473" i="2" s="1"/>
  <c r="F3473" i="2"/>
  <c r="D3473" i="2"/>
  <c r="G3472" i="2"/>
  <c r="F3472" i="2"/>
  <c r="H3472" i="2" s="1"/>
  <c r="D3472" i="2"/>
  <c r="G3471" i="2"/>
  <c r="H3471" i="2" s="1"/>
  <c r="F3471" i="2"/>
  <c r="D3471" i="2"/>
  <c r="G3470" i="2"/>
  <c r="H3470" i="2" s="1"/>
  <c r="F3470" i="2"/>
  <c r="D3470" i="2"/>
  <c r="G3469" i="2"/>
  <c r="F3469" i="2"/>
  <c r="H3469" i="2" s="1"/>
  <c r="D3469" i="2"/>
  <c r="G3468" i="2"/>
  <c r="F3468" i="2"/>
  <c r="D3468" i="2"/>
  <c r="G3467" i="2"/>
  <c r="F3467" i="2"/>
  <c r="H3467" i="2" s="1"/>
  <c r="D3467" i="2"/>
  <c r="G3466" i="2"/>
  <c r="F3466" i="2"/>
  <c r="D3466" i="2"/>
  <c r="H3466" i="2" s="1"/>
  <c r="G3465" i="2"/>
  <c r="F3465" i="2"/>
  <c r="D3465" i="2"/>
  <c r="H3464" i="2"/>
  <c r="H3463" i="2"/>
  <c r="G3462" i="2"/>
  <c r="F3462" i="2"/>
  <c r="D3462" i="2"/>
  <c r="H3462" i="2" s="1"/>
  <c r="G3461" i="2"/>
  <c r="F3461" i="2"/>
  <c r="D3461" i="2"/>
  <c r="H3461" i="2" s="1"/>
  <c r="G3460" i="2"/>
  <c r="F3460" i="2"/>
  <c r="D3460" i="2"/>
  <c r="H3460" i="2" s="1"/>
  <c r="G3459" i="2"/>
  <c r="F3459" i="2"/>
  <c r="D3459" i="2"/>
  <c r="H3459" i="2" s="1"/>
  <c r="G3458" i="2"/>
  <c r="F3458" i="2"/>
  <c r="D3458" i="2"/>
  <c r="H3458" i="2" s="1"/>
  <c r="G3457" i="2"/>
  <c r="F3457" i="2"/>
  <c r="D3457" i="2"/>
  <c r="H3457" i="2" s="1"/>
  <c r="G3456" i="2"/>
  <c r="F3456" i="2"/>
  <c r="D3456" i="2"/>
  <c r="H3456" i="2" s="1"/>
  <c r="G3455" i="2"/>
  <c r="F3455" i="2"/>
  <c r="D3455" i="2"/>
  <c r="H3455" i="2" s="1"/>
  <c r="G3454" i="2"/>
  <c r="F3454" i="2"/>
  <c r="D3454" i="2"/>
  <c r="H3454" i="2" s="1"/>
  <c r="G3453" i="2"/>
  <c r="F3453" i="2"/>
  <c r="D3453" i="2"/>
  <c r="H3453" i="2" s="1"/>
  <c r="H3452" i="2"/>
  <c r="H3451" i="2"/>
  <c r="H3450" i="2"/>
  <c r="G3449" i="2"/>
  <c r="F3449" i="2"/>
  <c r="H3449" i="2" s="1"/>
  <c r="D3449" i="2"/>
  <c r="H3448" i="2"/>
  <c r="G3448" i="2"/>
  <c r="F3448" i="2"/>
  <c r="D3448" i="2"/>
  <c r="H3447" i="2"/>
  <c r="G3447" i="2"/>
  <c r="F3447" i="2"/>
  <c r="D3447" i="2"/>
  <c r="G3446" i="2"/>
  <c r="F3446" i="2"/>
  <c r="D3446" i="2"/>
  <c r="H3446" i="2" s="1"/>
  <c r="H3445" i="2"/>
  <c r="G3445" i="2"/>
  <c r="F3445" i="2"/>
  <c r="D3445" i="2"/>
  <c r="H3444" i="2"/>
  <c r="G3444" i="2"/>
  <c r="F3444" i="2"/>
  <c r="D3444" i="2"/>
  <c r="G3443" i="2"/>
  <c r="F3443" i="2"/>
  <c r="D3443" i="2"/>
  <c r="H3443" i="2" s="1"/>
  <c r="G3442" i="2"/>
  <c r="F3442" i="2"/>
  <c r="D3442" i="2"/>
  <c r="H3442" i="2" s="1"/>
  <c r="G3441" i="2"/>
  <c r="F3441" i="2"/>
  <c r="D3441" i="2"/>
  <c r="H3441" i="2" s="1"/>
  <c r="G3440" i="2"/>
  <c r="F3440" i="2"/>
  <c r="D3440" i="2"/>
  <c r="H3440" i="2" s="1"/>
  <c r="H3439" i="2"/>
  <c r="H3438" i="2"/>
  <c r="H3437" i="2"/>
  <c r="G3436" i="2"/>
  <c r="F3436" i="2"/>
  <c r="D3436" i="2"/>
  <c r="H3436" i="2" s="1"/>
  <c r="H3435" i="2"/>
  <c r="G3435" i="2"/>
  <c r="F3435" i="2"/>
  <c r="D3435" i="2"/>
  <c r="H3434" i="2"/>
  <c r="G3434" i="2"/>
  <c r="F3434" i="2"/>
  <c r="D3434" i="2"/>
  <c r="G3433" i="2"/>
  <c r="F3433" i="2"/>
  <c r="D3433" i="2"/>
  <c r="H3433" i="2" s="1"/>
  <c r="H3432" i="2"/>
  <c r="G3432" i="2"/>
  <c r="F3432" i="2"/>
  <c r="D3432" i="2"/>
  <c r="G3431" i="2"/>
  <c r="F3431" i="2"/>
  <c r="D3431" i="2"/>
  <c r="H3431" i="2" s="1"/>
  <c r="G3430" i="2"/>
  <c r="F3430" i="2"/>
  <c r="D3430" i="2"/>
  <c r="H3430" i="2" s="1"/>
  <c r="H3429" i="2"/>
  <c r="G3429" i="2"/>
  <c r="F3429" i="2"/>
  <c r="D3429" i="2"/>
  <c r="G3428" i="2"/>
  <c r="F3428" i="2"/>
  <c r="D3428" i="2"/>
  <c r="H3428" i="2" s="1"/>
  <c r="G3427" i="2"/>
  <c r="F3427" i="2"/>
  <c r="D3427" i="2"/>
  <c r="H3427" i="2" s="1"/>
  <c r="H3426" i="2"/>
  <c r="H3425" i="2"/>
  <c r="G3424" i="2"/>
  <c r="F3424" i="2"/>
  <c r="D3424" i="2"/>
  <c r="G3423" i="2"/>
  <c r="F3423" i="2"/>
  <c r="D3423" i="2"/>
  <c r="H3423" i="2" s="1"/>
  <c r="G3422" i="2"/>
  <c r="F3422" i="2"/>
  <c r="D3422" i="2"/>
  <c r="H3422" i="2" s="1"/>
  <c r="G3421" i="2"/>
  <c r="F3421" i="2"/>
  <c r="D3421" i="2"/>
  <c r="H3421" i="2" s="1"/>
  <c r="G3420" i="2"/>
  <c r="F3420" i="2"/>
  <c r="D3420" i="2"/>
  <c r="H3420" i="2" s="1"/>
  <c r="G3419" i="2"/>
  <c r="F3419" i="2"/>
  <c r="D3419" i="2"/>
  <c r="H3419" i="2" s="1"/>
  <c r="G3418" i="2"/>
  <c r="F3418" i="2"/>
  <c r="D3418" i="2"/>
  <c r="H3418" i="2" s="1"/>
  <c r="G3417" i="2"/>
  <c r="F3417" i="2"/>
  <c r="D3417" i="2"/>
  <c r="H3417" i="2" s="1"/>
  <c r="G3416" i="2"/>
  <c r="F3416" i="2"/>
  <c r="D3416" i="2"/>
  <c r="H3416" i="2" s="1"/>
  <c r="G3415" i="2"/>
  <c r="F3415" i="2"/>
  <c r="D3415" i="2"/>
  <c r="H3415" i="2" s="1"/>
  <c r="H3414" i="2"/>
  <c r="H3413" i="2"/>
  <c r="H3412" i="2"/>
  <c r="G3411" i="2"/>
  <c r="F3411" i="2"/>
  <c r="D3411" i="2"/>
  <c r="H3411" i="2" s="1"/>
  <c r="H3410" i="2"/>
  <c r="G3410" i="2"/>
  <c r="F3410" i="2"/>
  <c r="D3410" i="2"/>
  <c r="G3409" i="2"/>
  <c r="F3409" i="2"/>
  <c r="D3409" i="2"/>
  <c r="H3409" i="2" s="1"/>
  <c r="G3408" i="2"/>
  <c r="F3408" i="2"/>
  <c r="D3408" i="2"/>
  <c r="H3408" i="2" s="1"/>
  <c r="H3407" i="2"/>
  <c r="G3407" i="2"/>
  <c r="F3407" i="2"/>
  <c r="D3407" i="2"/>
  <c r="G3406" i="2"/>
  <c r="F3406" i="2"/>
  <c r="D3406" i="2"/>
  <c r="H3406" i="2" s="1"/>
  <c r="G3405" i="2"/>
  <c r="F3405" i="2"/>
  <c r="D3405" i="2"/>
  <c r="H3405" i="2" s="1"/>
  <c r="H3404" i="2"/>
  <c r="G3404" i="2"/>
  <c r="F3404" i="2"/>
  <c r="D3404" i="2"/>
  <c r="G3403" i="2"/>
  <c r="F3403" i="2"/>
  <c r="D3403" i="2"/>
  <c r="H3403" i="2" s="1"/>
  <c r="G3402" i="2"/>
  <c r="F3402" i="2"/>
  <c r="D3402" i="2"/>
  <c r="H3402" i="2" s="1"/>
  <c r="H3401" i="2"/>
  <c r="H3400" i="2"/>
  <c r="H3399" i="2"/>
  <c r="H3398" i="2"/>
  <c r="G3398" i="2"/>
  <c r="F3398" i="2"/>
  <c r="D3398" i="2"/>
  <c r="H3397" i="2"/>
  <c r="G3397" i="2"/>
  <c r="F3397" i="2"/>
  <c r="D3397" i="2"/>
  <c r="G3396" i="2"/>
  <c r="H3396" i="2" s="1"/>
  <c r="F3396" i="2"/>
  <c r="D3396" i="2"/>
  <c r="H3395" i="2"/>
  <c r="G3395" i="2"/>
  <c r="F3395" i="2"/>
  <c r="D3395" i="2"/>
  <c r="H3394" i="2"/>
  <c r="G3394" i="2"/>
  <c r="F3394" i="2"/>
  <c r="D3394" i="2"/>
  <c r="G3393" i="2"/>
  <c r="H3393" i="2" s="1"/>
  <c r="F3393" i="2"/>
  <c r="D3393" i="2"/>
  <c r="G3392" i="2"/>
  <c r="F3392" i="2"/>
  <c r="D3392" i="2"/>
  <c r="H3392" i="2" s="1"/>
  <c r="H3391" i="2"/>
  <c r="G3391" i="2"/>
  <c r="F3391" i="2"/>
  <c r="D3391" i="2"/>
  <c r="G3390" i="2"/>
  <c r="H3390" i="2" s="1"/>
  <c r="F3390" i="2"/>
  <c r="D3390" i="2"/>
  <c r="G3389" i="2"/>
  <c r="F3389" i="2"/>
  <c r="D3389" i="2"/>
  <c r="H3389" i="2" s="1"/>
  <c r="H3388" i="2"/>
  <c r="H3387" i="2"/>
  <c r="H3386" i="2"/>
  <c r="G3385" i="2"/>
  <c r="F3385" i="2"/>
  <c r="H3385" i="2" s="1"/>
  <c r="D3385" i="2"/>
  <c r="G3384" i="2"/>
  <c r="F3384" i="2"/>
  <c r="H3384" i="2" s="1"/>
  <c r="D3384" i="2"/>
  <c r="H3383" i="2"/>
  <c r="G3383" i="2"/>
  <c r="F3383" i="2"/>
  <c r="D3383" i="2"/>
  <c r="G3382" i="2"/>
  <c r="F3382" i="2"/>
  <c r="H3382" i="2" s="1"/>
  <c r="D3382" i="2"/>
  <c r="G3381" i="2"/>
  <c r="F3381" i="2"/>
  <c r="D3381" i="2"/>
  <c r="H3381" i="2" s="1"/>
  <c r="H3380" i="2"/>
  <c r="G3380" i="2"/>
  <c r="F3380" i="2"/>
  <c r="D3380" i="2"/>
  <c r="G3379" i="2"/>
  <c r="F3379" i="2"/>
  <c r="H3379" i="2" s="1"/>
  <c r="D3379" i="2"/>
  <c r="G3378" i="2"/>
  <c r="F3378" i="2"/>
  <c r="D3378" i="2"/>
  <c r="H3378" i="2" s="1"/>
  <c r="H3377" i="2"/>
  <c r="G3377" i="2"/>
  <c r="F3377" i="2"/>
  <c r="D3377" i="2"/>
  <c r="G3376" i="2"/>
  <c r="F3376" i="2"/>
  <c r="D3376" i="2"/>
  <c r="H3376" i="2" s="1"/>
  <c r="H3375" i="2"/>
  <c r="H3374" i="2"/>
  <c r="H3373" i="2"/>
  <c r="G3372" i="2"/>
  <c r="F3372" i="2"/>
  <c r="D3372" i="2"/>
  <c r="H3372" i="2" s="1"/>
  <c r="G3371" i="2"/>
  <c r="F3371" i="2"/>
  <c r="D3371" i="2"/>
  <c r="H3371" i="2" s="1"/>
  <c r="G3370" i="2"/>
  <c r="F3370" i="2"/>
  <c r="D3370" i="2"/>
  <c r="H3370" i="2" s="1"/>
  <c r="G3369" i="2"/>
  <c r="F3369" i="2"/>
  <c r="D3369" i="2"/>
  <c r="H3369" i="2" s="1"/>
  <c r="G3368" i="2"/>
  <c r="F3368" i="2"/>
  <c r="D3368" i="2"/>
  <c r="H3368" i="2" s="1"/>
  <c r="G3367" i="2"/>
  <c r="F3367" i="2"/>
  <c r="D3367" i="2"/>
  <c r="H3367" i="2" s="1"/>
  <c r="G3366" i="2"/>
  <c r="F3366" i="2"/>
  <c r="D3366" i="2"/>
  <c r="H3366" i="2" s="1"/>
  <c r="G3365" i="2"/>
  <c r="F3365" i="2"/>
  <c r="D3365" i="2"/>
  <c r="H3365" i="2" s="1"/>
  <c r="G3364" i="2"/>
  <c r="F3364" i="2"/>
  <c r="D3364" i="2"/>
  <c r="H3364" i="2" s="1"/>
  <c r="G3363" i="2"/>
  <c r="F3363" i="2"/>
  <c r="D3363" i="2"/>
  <c r="H3363" i="2" s="1"/>
  <c r="H3362" i="2"/>
  <c r="H3361" i="2"/>
  <c r="H3360" i="2"/>
  <c r="H3359" i="2"/>
  <c r="G3359" i="2"/>
  <c r="F3359" i="2"/>
  <c r="D3359" i="2"/>
  <c r="G3358" i="2"/>
  <c r="F3358" i="2"/>
  <c r="D3358" i="2"/>
  <c r="H3358" i="2" s="1"/>
  <c r="G3357" i="2"/>
  <c r="F3357" i="2"/>
  <c r="D3357" i="2"/>
  <c r="H3357" i="2" s="1"/>
  <c r="H3356" i="2"/>
  <c r="G3356" i="2"/>
  <c r="F3356" i="2"/>
  <c r="D3356" i="2"/>
  <c r="G3355" i="2"/>
  <c r="F3355" i="2"/>
  <c r="D3355" i="2"/>
  <c r="H3355" i="2" s="1"/>
  <c r="G3354" i="2"/>
  <c r="F3354" i="2"/>
  <c r="D3354" i="2"/>
  <c r="H3354" i="2" s="1"/>
  <c r="H3353" i="2"/>
  <c r="G3353" i="2"/>
  <c r="F3353" i="2"/>
  <c r="D3353" i="2"/>
  <c r="G3352" i="2"/>
  <c r="F3352" i="2"/>
  <c r="D3352" i="2"/>
  <c r="H3352" i="2" s="1"/>
  <c r="G3351" i="2"/>
  <c r="F3351" i="2"/>
  <c r="D3351" i="2"/>
  <c r="H3351" i="2" s="1"/>
  <c r="H3350" i="2"/>
  <c r="G3350" i="2"/>
  <c r="F3350" i="2"/>
  <c r="D3350" i="2"/>
  <c r="H3349" i="2"/>
  <c r="H3348" i="2"/>
  <c r="G3347" i="2"/>
  <c r="H3347" i="2" s="1"/>
  <c r="F3347" i="2"/>
  <c r="D3347" i="2"/>
  <c r="G3346" i="2"/>
  <c r="F3346" i="2"/>
  <c r="D3346" i="2"/>
  <c r="H3346" i="2" s="1"/>
  <c r="G3345" i="2"/>
  <c r="F3345" i="2"/>
  <c r="D3345" i="2"/>
  <c r="H3345" i="2" s="1"/>
  <c r="G3344" i="2"/>
  <c r="H3344" i="2" s="1"/>
  <c r="F3344" i="2"/>
  <c r="D3344" i="2"/>
  <c r="G3343" i="2"/>
  <c r="F3343" i="2"/>
  <c r="D3343" i="2"/>
  <c r="H3343" i="2" s="1"/>
  <c r="G3342" i="2"/>
  <c r="F3342" i="2"/>
  <c r="D3342" i="2"/>
  <c r="H3342" i="2" s="1"/>
  <c r="G3341" i="2"/>
  <c r="H3341" i="2" s="1"/>
  <c r="F3341" i="2"/>
  <c r="D3341" i="2"/>
  <c r="G3340" i="2"/>
  <c r="F3340" i="2"/>
  <c r="D3340" i="2"/>
  <c r="H3340" i="2" s="1"/>
  <c r="G3339" i="2"/>
  <c r="F3339" i="2"/>
  <c r="D3339" i="2"/>
  <c r="H3339" i="2" s="1"/>
  <c r="G3338" i="2"/>
  <c r="F3338" i="2"/>
  <c r="D3338" i="2"/>
  <c r="H3338" i="2" s="1"/>
  <c r="H3337" i="2"/>
  <c r="H3336" i="2"/>
  <c r="H3335" i="2"/>
  <c r="G3335" i="2"/>
  <c r="F3335" i="2"/>
  <c r="D3335" i="2"/>
  <c r="G3334" i="2"/>
  <c r="F3334" i="2"/>
  <c r="D3334" i="2"/>
  <c r="H3334" i="2" s="1"/>
  <c r="G3333" i="2"/>
  <c r="F3333" i="2"/>
  <c r="D3333" i="2"/>
  <c r="H3333" i="2" s="1"/>
  <c r="H3332" i="2"/>
  <c r="G3332" i="2"/>
  <c r="F3332" i="2"/>
  <c r="D3332" i="2"/>
  <c r="G3331" i="2"/>
  <c r="F3331" i="2"/>
  <c r="D3331" i="2"/>
  <c r="H3331" i="2" s="1"/>
  <c r="G3330" i="2"/>
  <c r="F3330" i="2"/>
  <c r="D3330" i="2"/>
  <c r="H3330" i="2" s="1"/>
  <c r="H3329" i="2"/>
  <c r="G3329" i="2"/>
  <c r="F3329" i="2"/>
  <c r="D3329" i="2"/>
  <c r="G3328" i="2"/>
  <c r="F3328" i="2"/>
  <c r="D3328" i="2"/>
  <c r="H3328" i="2" s="1"/>
  <c r="G3327" i="2"/>
  <c r="F3327" i="2"/>
  <c r="D3327" i="2"/>
  <c r="H3327" i="2" s="1"/>
  <c r="G3326" i="2"/>
  <c r="F3326" i="2"/>
  <c r="D3326" i="2"/>
  <c r="H3326" i="2" s="1"/>
  <c r="H3325" i="2"/>
  <c r="H3324" i="2"/>
  <c r="G3323" i="2"/>
  <c r="F3323" i="2"/>
  <c r="D3323" i="2"/>
  <c r="H3323" i="2" s="1"/>
  <c r="G3322" i="2"/>
  <c r="F3322" i="2"/>
  <c r="D3322" i="2"/>
  <c r="H3322" i="2" s="1"/>
  <c r="G3321" i="2"/>
  <c r="F3321" i="2"/>
  <c r="D3321" i="2"/>
  <c r="H3321" i="2" s="1"/>
  <c r="G3320" i="2"/>
  <c r="F3320" i="2"/>
  <c r="D3320" i="2"/>
  <c r="H3320" i="2" s="1"/>
  <c r="G3319" i="2"/>
  <c r="F3319" i="2"/>
  <c r="D3319" i="2"/>
  <c r="H3319" i="2" s="1"/>
  <c r="G3318" i="2"/>
  <c r="F3318" i="2"/>
  <c r="D3318" i="2"/>
  <c r="H3318" i="2" s="1"/>
  <c r="G3317" i="2"/>
  <c r="F3317" i="2"/>
  <c r="D3317" i="2"/>
  <c r="H3317" i="2" s="1"/>
  <c r="G3316" i="2"/>
  <c r="F3316" i="2"/>
  <c r="D3316" i="2"/>
  <c r="H3316" i="2" s="1"/>
  <c r="G3315" i="2"/>
  <c r="F3315" i="2"/>
  <c r="D3315" i="2"/>
  <c r="H3315" i="2" s="1"/>
  <c r="G3314" i="2"/>
  <c r="F3314" i="2"/>
  <c r="D3314" i="2"/>
  <c r="H3314" i="2" s="1"/>
  <c r="H3313" i="2"/>
  <c r="H3312" i="2"/>
  <c r="G3311" i="2"/>
  <c r="F3311" i="2"/>
  <c r="D3311" i="2"/>
  <c r="H3311" i="2" s="1"/>
  <c r="G3310" i="2"/>
  <c r="F3310" i="2"/>
  <c r="D3310" i="2"/>
  <c r="H3310" i="2" s="1"/>
  <c r="G3309" i="2"/>
  <c r="F3309" i="2"/>
  <c r="D3309" i="2"/>
  <c r="H3309" i="2" s="1"/>
  <c r="G3308" i="2"/>
  <c r="F3308" i="2"/>
  <c r="D3308" i="2"/>
  <c r="H3308" i="2" s="1"/>
  <c r="G3307" i="2"/>
  <c r="F3307" i="2"/>
  <c r="D3307" i="2"/>
  <c r="H3307" i="2" s="1"/>
  <c r="G3306" i="2"/>
  <c r="F3306" i="2"/>
  <c r="D3306" i="2"/>
  <c r="H3306" i="2" s="1"/>
  <c r="G3305" i="2"/>
  <c r="F3305" i="2"/>
  <c r="D3305" i="2"/>
  <c r="H3305" i="2" s="1"/>
  <c r="G3304" i="2"/>
  <c r="F3304" i="2"/>
  <c r="D3304" i="2"/>
  <c r="H3304" i="2" s="1"/>
  <c r="G3303" i="2"/>
  <c r="F3303" i="2"/>
  <c r="D3303" i="2"/>
  <c r="H3303" i="2" s="1"/>
  <c r="G3302" i="2"/>
  <c r="F3302" i="2"/>
  <c r="D3302" i="2"/>
  <c r="H3302" i="2" s="1"/>
  <c r="H3301" i="2"/>
  <c r="H3300" i="2"/>
  <c r="H3299" i="2"/>
  <c r="H3298" i="2"/>
  <c r="G3298" i="2"/>
  <c r="F3298" i="2"/>
  <c r="D3298" i="2"/>
  <c r="H3297" i="2"/>
  <c r="G3297" i="2"/>
  <c r="F3297" i="2"/>
  <c r="D3297" i="2"/>
  <c r="H3296" i="2"/>
  <c r="G3296" i="2"/>
  <c r="F3296" i="2"/>
  <c r="D3296" i="2"/>
  <c r="H3295" i="2"/>
  <c r="G3295" i="2"/>
  <c r="F3295" i="2"/>
  <c r="D3295" i="2"/>
  <c r="H3294" i="2"/>
  <c r="G3294" i="2"/>
  <c r="F3294" i="2"/>
  <c r="D3294" i="2"/>
  <c r="H3293" i="2"/>
  <c r="G3293" i="2"/>
  <c r="F3293" i="2"/>
  <c r="D3293" i="2"/>
  <c r="H3292" i="2"/>
  <c r="G3292" i="2"/>
  <c r="F3292" i="2"/>
  <c r="D3292" i="2"/>
  <c r="H3291" i="2"/>
  <c r="G3291" i="2"/>
  <c r="F3291" i="2"/>
  <c r="D3291" i="2"/>
  <c r="H3290" i="2"/>
  <c r="G3290" i="2"/>
  <c r="F3290" i="2"/>
  <c r="D3290" i="2"/>
  <c r="H3289" i="2"/>
  <c r="G3289" i="2"/>
  <c r="F3289" i="2"/>
  <c r="D3289" i="2"/>
  <c r="H3288" i="2"/>
  <c r="H3287" i="2"/>
  <c r="G3286" i="2"/>
  <c r="F3286" i="2"/>
  <c r="H3286" i="2" s="1"/>
  <c r="D3286" i="2"/>
  <c r="G3285" i="2"/>
  <c r="F3285" i="2"/>
  <c r="H3285" i="2" s="1"/>
  <c r="D3285" i="2"/>
  <c r="G3284" i="2"/>
  <c r="F3284" i="2"/>
  <c r="D3284" i="2"/>
  <c r="H3284" i="2" s="1"/>
  <c r="G3283" i="2"/>
  <c r="F3283" i="2"/>
  <c r="H3283" i="2" s="1"/>
  <c r="D3283" i="2"/>
  <c r="G3282" i="2"/>
  <c r="F3282" i="2"/>
  <c r="H3282" i="2" s="1"/>
  <c r="D3282" i="2"/>
  <c r="G3281" i="2"/>
  <c r="F3281" i="2"/>
  <c r="D3281" i="2"/>
  <c r="H3281" i="2" s="1"/>
  <c r="G3280" i="2"/>
  <c r="F3280" i="2"/>
  <c r="H3280" i="2" s="1"/>
  <c r="D3280" i="2"/>
  <c r="G3279" i="2"/>
  <c r="F3279" i="2"/>
  <c r="H3279" i="2" s="1"/>
  <c r="D3279" i="2"/>
  <c r="G3278" i="2"/>
  <c r="F3278" i="2"/>
  <c r="D3278" i="2"/>
  <c r="H3278" i="2" s="1"/>
  <c r="G3277" i="2"/>
  <c r="F3277" i="2"/>
  <c r="H3277" i="2" s="1"/>
  <c r="D3277" i="2"/>
  <c r="H3276" i="2"/>
  <c r="H3275" i="2"/>
  <c r="H3274" i="2"/>
  <c r="G3274" i="2"/>
  <c r="F3274" i="2"/>
  <c r="D3274" i="2"/>
  <c r="G3273" i="2"/>
  <c r="H3273" i="2" s="1"/>
  <c r="F3273" i="2"/>
  <c r="D3273" i="2"/>
  <c r="H3272" i="2"/>
  <c r="G3272" i="2"/>
  <c r="F3272" i="2"/>
  <c r="D3272" i="2"/>
  <c r="H3271" i="2"/>
  <c r="G3271" i="2"/>
  <c r="F3271" i="2"/>
  <c r="D3271" i="2"/>
  <c r="G3270" i="2"/>
  <c r="H3270" i="2" s="1"/>
  <c r="F3270" i="2"/>
  <c r="D3270" i="2"/>
  <c r="H3269" i="2"/>
  <c r="G3269" i="2"/>
  <c r="F3269" i="2"/>
  <c r="D3269" i="2"/>
  <c r="H3268" i="2"/>
  <c r="G3268" i="2"/>
  <c r="F3268" i="2"/>
  <c r="D3268" i="2"/>
  <c r="G3267" i="2"/>
  <c r="H3267" i="2" s="1"/>
  <c r="F3267" i="2"/>
  <c r="D3267" i="2"/>
  <c r="H3266" i="2"/>
  <c r="G3266" i="2"/>
  <c r="F3266" i="2"/>
  <c r="D3266" i="2"/>
  <c r="H3265" i="2"/>
  <c r="G3265" i="2"/>
  <c r="F3265" i="2"/>
  <c r="D3265" i="2"/>
  <c r="H3264" i="2"/>
  <c r="H3263" i="2"/>
  <c r="H3262" i="2"/>
  <c r="G3261" i="2"/>
  <c r="F3261" i="2"/>
  <c r="D3261" i="2"/>
  <c r="H3261" i="2" s="1"/>
  <c r="G3260" i="2"/>
  <c r="F3260" i="2"/>
  <c r="D3260" i="2"/>
  <c r="H3260" i="2" s="1"/>
  <c r="G3259" i="2"/>
  <c r="F3259" i="2"/>
  <c r="D3259" i="2"/>
  <c r="H3259" i="2" s="1"/>
  <c r="G3258" i="2"/>
  <c r="F3258" i="2"/>
  <c r="D3258" i="2"/>
  <c r="H3258" i="2" s="1"/>
  <c r="G3257" i="2"/>
  <c r="F3257" i="2"/>
  <c r="D3257" i="2"/>
  <c r="H3257" i="2" s="1"/>
  <c r="G3256" i="2"/>
  <c r="F3256" i="2"/>
  <c r="D3256" i="2"/>
  <c r="H3256" i="2" s="1"/>
  <c r="G3255" i="2"/>
  <c r="F3255" i="2"/>
  <c r="D3255" i="2"/>
  <c r="H3255" i="2" s="1"/>
  <c r="G3254" i="2"/>
  <c r="F3254" i="2"/>
  <c r="D3254" i="2"/>
  <c r="H3254" i="2" s="1"/>
  <c r="G3253" i="2"/>
  <c r="F3253" i="2"/>
  <c r="D3253" i="2"/>
  <c r="H3253" i="2" s="1"/>
  <c r="G3252" i="2"/>
  <c r="F3252" i="2"/>
  <c r="D3252" i="2"/>
  <c r="H3252" i="2" s="1"/>
  <c r="H3251" i="2"/>
  <c r="H3250" i="2"/>
  <c r="H3249" i="2"/>
  <c r="G3248" i="2"/>
  <c r="F3248" i="2"/>
  <c r="D3248" i="2"/>
  <c r="H3248" i="2" s="1"/>
  <c r="G3247" i="2"/>
  <c r="F3247" i="2"/>
  <c r="H3247" i="2" s="1"/>
  <c r="D3247" i="2"/>
  <c r="G3246" i="2"/>
  <c r="F3246" i="2"/>
  <c r="H3246" i="2" s="1"/>
  <c r="D3246" i="2"/>
  <c r="G3245" i="2"/>
  <c r="F3245" i="2"/>
  <c r="D3245" i="2"/>
  <c r="H3245" i="2" s="1"/>
  <c r="G3244" i="2"/>
  <c r="F3244" i="2"/>
  <c r="D3244" i="2"/>
  <c r="H3244" i="2" s="1"/>
  <c r="G3243" i="2"/>
  <c r="F3243" i="2"/>
  <c r="H3243" i="2" s="1"/>
  <c r="D3243" i="2"/>
  <c r="G3242" i="2"/>
  <c r="F3242" i="2"/>
  <c r="D3242" i="2"/>
  <c r="H3242" i="2" s="1"/>
  <c r="G3241" i="2"/>
  <c r="F3241" i="2"/>
  <c r="D3241" i="2"/>
  <c r="H3241" i="2" s="1"/>
  <c r="G3240" i="2"/>
  <c r="F3240" i="2"/>
  <c r="H3240" i="2" s="1"/>
  <c r="D3240" i="2"/>
  <c r="G3239" i="2"/>
  <c r="F3239" i="2"/>
  <c r="D3239" i="2"/>
  <c r="H3239" i="2" s="1"/>
  <c r="H3238" i="2"/>
  <c r="H3237" i="2"/>
  <c r="H3236" i="2"/>
  <c r="G3236" i="2"/>
  <c r="F3236" i="2"/>
  <c r="D3236" i="2"/>
  <c r="H3235" i="2"/>
  <c r="G3235" i="2"/>
  <c r="F3235" i="2"/>
  <c r="D3235" i="2"/>
  <c r="G3234" i="2"/>
  <c r="H3234" i="2" s="1"/>
  <c r="F3234" i="2"/>
  <c r="D3234" i="2"/>
  <c r="H3233" i="2"/>
  <c r="G3233" i="2"/>
  <c r="F3233" i="2"/>
  <c r="D3233" i="2"/>
  <c r="H3232" i="2"/>
  <c r="G3232" i="2"/>
  <c r="F3232" i="2"/>
  <c r="D3232" i="2"/>
  <c r="G3231" i="2"/>
  <c r="H3231" i="2" s="1"/>
  <c r="F3231" i="2"/>
  <c r="D3231" i="2"/>
  <c r="H3230" i="2"/>
  <c r="G3230" i="2"/>
  <c r="F3230" i="2"/>
  <c r="D3230" i="2"/>
  <c r="H3229" i="2"/>
  <c r="G3229" i="2"/>
  <c r="F3229" i="2"/>
  <c r="D3229" i="2"/>
  <c r="G3228" i="2"/>
  <c r="H3228" i="2" s="1"/>
  <c r="F3228" i="2"/>
  <c r="D3228" i="2"/>
  <c r="H3227" i="2"/>
  <c r="G3227" i="2"/>
  <c r="F3227" i="2"/>
  <c r="D3227" i="2"/>
  <c r="H3226" i="2"/>
  <c r="H3225" i="2"/>
  <c r="G3224" i="2"/>
  <c r="F3224" i="2"/>
  <c r="D3224" i="2"/>
  <c r="H3224" i="2" s="1"/>
  <c r="G3223" i="2"/>
  <c r="F3223" i="2"/>
  <c r="D3223" i="2"/>
  <c r="H3223" i="2" s="1"/>
  <c r="G3222" i="2"/>
  <c r="F3222" i="2"/>
  <c r="H3222" i="2" s="1"/>
  <c r="D3222" i="2"/>
  <c r="G3221" i="2"/>
  <c r="F3221" i="2"/>
  <c r="D3221" i="2"/>
  <c r="H3221" i="2" s="1"/>
  <c r="G3220" i="2"/>
  <c r="F3220" i="2"/>
  <c r="D3220" i="2"/>
  <c r="H3220" i="2" s="1"/>
  <c r="G3219" i="2"/>
  <c r="F3219" i="2"/>
  <c r="H3219" i="2" s="1"/>
  <c r="D3219" i="2"/>
  <c r="G3218" i="2"/>
  <c r="F3218" i="2"/>
  <c r="D3218" i="2"/>
  <c r="H3218" i="2" s="1"/>
  <c r="G3217" i="2"/>
  <c r="F3217" i="2"/>
  <c r="D3217" i="2"/>
  <c r="H3217" i="2" s="1"/>
  <c r="G3216" i="2"/>
  <c r="F3216" i="2"/>
  <c r="D3216" i="2"/>
  <c r="H3216" i="2" s="1"/>
  <c r="G3215" i="2"/>
  <c r="F3215" i="2"/>
  <c r="D3215" i="2"/>
  <c r="H3215" i="2" s="1"/>
  <c r="H3214" i="2"/>
  <c r="H3213" i="2"/>
  <c r="H3212" i="2"/>
  <c r="G3211" i="2"/>
  <c r="F3211" i="2"/>
  <c r="D3211" i="2"/>
  <c r="H3211" i="2" s="1"/>
  <c r="G3210" i="2"/>
  <c r="F3210" i="2"/>
  <c r="D3210" i="2"/>
  <c r="H3210" i="2" s="1"/>
  <c r="H3209" i="2"/>
  <c r="G3209" i="2"/>
  <c r="F3209" i="2"/>
  <c r="D3209" i="2"/>
  <c r="G3208" i="2"/>
  <c r="F3208" i="2"/>
  <c r="D3208" i="2"/>
  <c r="H3208" i="2" s="1"/>
  <c r="G3207" i="2"/>
  <c r="F3207" i="2"/>
  <c r="D3207" i="2"/>
  <c r="H3207" i="2" s="1"/>
  <c r="H3206" i="2"/>
  <c r="G3206" i="2"/>
  <c r="F3206" i="2"/>
  <c r="D3206" i="2"/>
  <c r="G3205" i="2"/>
  <c r="F3205" i="2"/>
  <c r="D3205" i="2"/>
  <c r="H3205" i="2" s="1"/>
  <c r="G3204" i="2"/>
  <c r="F3204" i="2"/>
  <c r="D3204" i="2"/>
  <c r="H3204" i="2" s="1"/>
  <c r="H3203" i="2"/>
  <c r="G3203" i="2"/>
  <c r="F3203" i="2"/>
  <c r="D3203" i="2"/>
  <c r="G3202" i="2"/>
  <c r="F3202" i="2"/>
  <c r="D3202" i="2"/>
  <c r="H3202" i="2" s="1"/>
  <c r="H3201" i="2"/>
  <c r="H3200" i="2"/>
  <c r="G3199" i="2"/>
  <c r="F3199" i="2"/>
  <c r="H3199" i="2" s="1"/>
  <c r="D3199" i="2"/>
  <c r="G3198" i="2"/>
  <c r="F3198" i="2"/>
  <c r="D3198" i="2"/>
  <c r="H3198" i="2" s="1"/>
  <c r="G3197" i="2"/>
  <c r="H3197" i="2" s="1"/>
  <c r="F3197" i="2"/>
  <c r="D3197" i="2"/>
  <c r="G3196" i="2"/>
  <c r="F3196" i="2"/>
  <c r="H3196" i="2" s="1"/>
  <c r="D3196" i="2"/>
  <c r="G3195" i="2"/>
  <c r="F3195" i="2"/>
  <c r="D3195" i="2"/>
  <c r="H3195" i="2" s="1"/>
  <c r="G3194" i="2"/>
  <c r="F3194" i="2"/>
  <c r="D3194" i="2"/>
  <c r="H3194" i="2" s="1"/>
  <c r="G3193" i="2"/>
  <c r="F3193" i="2"/>
  <c r="D3193" i="2"/>
  <c r="H3193" i="2" s="1"/>
  <c r="G3192" i="2"/>
  <c r="F3192" i="2"/>
  <c r="D3192" i="2"/>
  <c r="H3192" i="2" s="1"/>
  <c r="G3191" i="2"/>
  <c r="F3191" i="2"/>
  <c r="D3191" i="2"/>
  <c r="H3191" i="2" s="1"/>
  <c r="G3190" i="2"/>
  <c r="F3190" i="2"/>
  <c r="D3190" i="2"/>
  <c r="H3190" i="2" s="1"/>
  <c r="H3189" i="2"/>
  <c r="H3188" i="2"/>
  <c r="G3187" i="2"/>
  <c r="F3187" i="2"/>
  <c r="D3187" i="2"/>
  <c r="H3187" i="2" s="1"/>
  <c r="G3186" i="2"/>
  <c r="F3186" i="2"/>
  <c r="D3186" i="2"/>
  <c r="H3186" i="2" s="1"/>
  <c r="H3185" i="2"/>
  <c r="G3185" i="2"/>
  <c r="F3185" i="2"/>
  <c r="D3185" i="2"/>
  <c r="G3184" i="2"/>
  <c r="F3184" i="2"/>
  <c r="D3184" i="2"/>
  <c r="H3184" i="2" s="1"/>
  <c r="G3183" i="2"/>
  <c r="F3183" i="2"/>
  <c r="D3183" i="2"/>
  <c r="H3183" i="2" s="1"/>
  <c r="H3182" i="2"/>
  <c r="G3182" i="2"/>
  <c r="F3182" i="2"/>
  <c r="D3182" i="2"/>
  <c r="G3181" i="2"/>
  <c r="F3181" i="2"/>
  <c r="D3181" i="2"/>
  <c r="H3181" i="2" s="1"/>
  <c r="G3180" i="2"/>
  <c r="F3180" i="2"/>
  <c r="D3180" i="2"/>
  <c r="H3180" i="2" s="1"/>
  <c r="H3179" i="2"/>
  <c r="G3179" i="2"/>
  <c r="F3179" i="2"/>
  <c r="D3179" i="2"/>
  <c r="G3178" i="2"/>
  <c r="F3178" i="2"/>
  <c r="D3178" i="2"/>
  <c r="H3178" i="2" s="1"/>
  <c r="H3177" i="2"/>
  <c r="H3176" i="2"/>
  <c r="G3175" i="2"/>
  <c r="F3175" i="2"/>
  <c r="D3175" i="2"/>
  <c r="H3175" i="2" s="1"/>
  <c r="G3174" i="2"/>
  <c r="F3174" i="2"/>
  <c r="D3174" i="2"/>
  <c r="H3174" i="2" s="1"/>
  <c r="G3173" i="2"/>
  <c r="H3173" i="2" s="1"/>
  <c r="F3173" i="2"/>
  <c r="D3173" i="2"/>
  <c r="G3172" i="2"/>
  <c r="F3172" i="2"/>
  <c r="D3172" i="2"/>
  <c r="H3172" i="2" s="1"/>
  <c r="G3171" i="2"/>
  <c r="F3171" i="2"/>
  <c r="D3171" i="2"/>
  <c r="H3171" i="2" s="1"/>
  <c r="G3170" i="2"/>
  <c r="H3170" i="2" s="1"/>
  <c r="F3170" i="2"/>
  <c r="D3170" i="2"/>
  <c r="G3169" i="2"/>
  <c r="F3169" i="2"/>
  <c r="D3169" i="2"/>
  <c r="H3169" i="2" s="1"/>
  <c r="G3168" i="2"/>
  <c r="F3168" i="2"/>
  <c r="D3168" i="2"/>
  <c r="H3168" i="2" s="1"/>
  <c r="G3167" i="2"/>
  <c r="F3167" i="2"/>
  <c r="D3167" i="2"/>
  <c r="H3167" i="2" s="1"/>
  <c r="G3166" i="2"/>
  <c r="F3166" i="2"/>
  <c r="D3166" i="2"/>
  <c r="H3166" i="2" s="1"/>
  <c r="H3165" i="2"/>
  <c r="G3164" i="2"/>
  <c r="F3164" i="2"/>
  <c r="H3164" i="2" s="1"/>
  <c r="D3164" i="2"/>
  <c r="H3163" i="2"/>
  <c r="G3163" i="2"/>
  <c r="F3163" i="2"/>
  <c r="D3163" i="2"/>
  <c r="G3162" i="2"/>
  <c r="H3162" i="2" s="1"/>
  <c r="F3162" i="2"/>
  <c r="D3162" i="2"/>
  <c r="G3161" i="2"/>
  <c r="F3161" i="2"/>
  <c r="H3161" i="2" s="1"/>
  <c r="D3161" i="2"/>
  <c r="H3160" i="2"/>
  <c r="G3160" i="2"/>
  <c r="F3160" i="2"/>
  <c r="D3160" i="2"/>
  <c r="G3159" i="2"/>
  <c r="H3159" i="2" s="1"/>
  <c r="F3159" i="2"/>
  <c r="D3159" i="2"/>
  <c r="G3158" i="2"/>
  <c r="F3158" i="2"/>
  <c r="H3158" i="2" s="1"/>
  <c r="D3158" i="2"/>
  <c r="H3157" i="2"/>
  <c r="G3157" i="2"/>
  <c r="F3157" i="2"/>
  <c r="D3157" i="2"/>
  <c r="G3156" i="2"/>
  <c r="H3156" i="2" s="1"/>
  <c r="F3156" i="2"/>
  <c r="D3156" i="2"/>
  <c r="G3155" i="2"/>
  <c r="F3155" i="2"/>
  <c r="D3155" i="2"/>
  <c r="H3155" i="2" s="1"/>
  <c r="H3154" i="2"/>
  <c r="H3153" i="2"/>
  <c r="G3152" i="2"/>
  <c r="F3152" i="2"/>
  <c r="D3152" i="2"/>
  <c r="H3152" i="2" s="1"/>
  <c r="G3151" i="2"/>
  <c r="F3151" i="2"/>
  <c r="H3151" i="2" s="1"/>
  <c r="D3151" i="2"/>
  <c r="G3150" i="2"/>
  <c r="F3150" i="2"/>
  <c r="H3150" i="2" s="1"/>
  <c r="D3150" i="2"/>
  <c r="G3149" i="2"/>
  <c r="F3149" i="2"/>
  <c r="D3149" i="2"/>
  <c r="H3149" i="2" s="1"/>
  <c r="G3148" i="2"/>
  <c r="F3148" i="2"/>
  <c r="H3148" i="2" s="1"/>
  <c r="D3148" i="2"/>
  <c r="G3147" i="2"/>
  <c r="F3147" i="2"/>
  <c r="H3147" i="2" s="1"/>
  <c r="D3147" i="2"/>
  <c r="G3146" i="2"/>
  <c r="F3146" i="2"/>
  <c r="D3146" i="2"/>
  <c r="H3146" i="2" s="1"/>
  <c r="G3145" i="2"/>
  <c r="F3145" i="2"/>
  <c r="D3145" i="2"/>
  <c r="H3145" i="2" s="1"/>
  <c r="G3144" i="2"/>
  <c r="F3144" i="2"/>
  <c r="H3144" i="2" s="1"/>
  <c r="D3144" i="2"/>
  <c r="G3143" i="2"/>
  <c r="F3143" i="2"/>
  <c r="D3143" i="2"/>
  <c r="H3143" i="2" s="1"/>
  <c r="H3142" i="2"/>
  <c r="H3141" i="2"/>
  <c r="H3140" i="2"/>
  <c r="G3139" i="2"/>
  <c r="F3139" i="2"/>
  <c r="D3139" i="2"/>
  <c r="H3139" i="2" s="1"/>
  <c r="G3138" i="2"/>
  <c r="F3138" i="2"/>
  <c r="D3138" i="2"/>
  <c r="H3138" i="2" s="1"/>
  <c r="H3137" i="2"/>
  <c r="G3137" i="2"/>
  <c r="F3137" i="2"/>
  <c r="D3137" i="2"/>
  <c r="G3136" i="2"/>
  <c r="F3136" i="2"/>
  <c r="D3136" i="2"/>
  <c r="H3136" i="2" s="1"/>
  <c r="G3135" i="2"/>
  <c r="F3135" i="2"/>
  <c r="D3135" i="2"/>
  <c r="H3135" i="2" s="1"/>
  <c r="H3134" i="2"/>
  <c r="G3134" i="2"/>
  <c r="F3134" i="2"/>
  <c r="D3134" i="2"/>
  <c r="G3133" i="2"/>
  <c r="F3133" i="2"/>
  <c r="D3133" i="2"/>
  <c r="H3133" i="2" s="1"/>
  <c r="G3132" i="2"/>
  <c r="F3132" i="2"/>
  <c r="D3132" i="2"/>
  <c r="H3132" i="2" s="1"/>
  <c r="H3131" i="2"/>
  <c r="G3131" i="2"/>
  <c r="F3131" i="2"/>
  <c r="D3131" i="2"/>
  <c r="G3130" i="2"/>
  <c r="F3130" i="2"/>
  <c r="D3130" i="2"/>
  <c r="H3130" i="2" s="1"/>
  <c r="H3129" i="2"/>
  <c r="H3128" i="2"/>
  <c r="H3127" i="2"/>
  <c r="G3126" i="2"/>
  <c r="H3126" i="2" s="1"/>
  <c r="F3126" i="2"/>
  <c r="D3126" i="2"/>
  <c r="G3125" i="2"/>
  <c r="F3125" i="2"/>
  <c r="D3125" i="2"/>
  <c r="H3125" i="2" s="1"/>
  <c r="H3124" i="2"/>
  <c r="G3124" i="2"/>
  <c r="F3124" i="2"/>
  <c r="D3124" i="2"/>
  <c r="G3123" i="2"/>
  <c r="H3123" i="2" s="1"/>
  <c r="F3123" i="2"/>
  <c r="D3123" i="2"/>
  <c r="G3122" i="2"/>
  <c r="F3122" i="2"/>
  <c r="D3122" i="2"/>
  <c r="H3122" i="2" s="1"/>
  <c r="H3121" i="2"/>
  <c r="G3121" i="2"/>
  <c r="F3121" i="2"/>
  <c r="D3121" i="2"/>
  <c r="G3120" i="2"/>
  <c r="H3120" i="2" s="1"/>
  <c r="F3120" i="2"/>
  <c r="D3120" i="2"/>
  <c r="G3119" i="2"/>
  <c r="F3119" i="2"/>
  <c r="D3119" i="2"/>
  <c r="H3119" i="2" s="1"/>
  <c r="H3118" i="2"/>
  <c r="G3118" i="2"/>
  <c r="F3118" i="2"/>
  <c r="D3118" i="2"/>
  <c r="G3117" i="2"/>
  <c r="H3117" i="2" s="1"/>
  <c r="F3117" i="2"/>
  <c r="D3117" i="2"/>
  <c r="H3116" i="2"/>
  <c r="H3115" i="2"/>
  <c r="G3114" i="2"/>
  <c r="F3114" i="2"/>
  <c r="H3114" i="2" s="1"/>
  <c r="D3114" i="2"/>
  <c r="G3113" i="2"/>
  <c r="F3113" i="2"/>
  <c r="D3113" i="2"/>
  <c r="H3113" i="2" s="1"/>
  <c r="G3112" i="2"/>
  <c r="F3112" i="2"/>
  <c r="H3112" i="2" s="1"/>
  <c r="D3112" i="2"/>
  <c r="G3111" i="2"/>
  <c r="F3111" i="2"/>
  <c r="H3111" i="2" s="1"/>
  <c r="D3111" i="2"/>
  <c r="G3110" i="2"/>
  <c r="F3110" i="2"/>
  <c r="D3110" i="2"/>
  <c r="H3110" i="2" s="1"/>
  <c r="G3109" i="2"/>
  <c r="F3109" i="2"/>
  <c r="D3109" i="2"/>
  <c r="H3109" i="2" s="1"/>
  <c r="G3108" i="2"/>
  <c r="F3108" i="2"/>
  <c r="H3108" i="2" s="1"/>
  <c r="D3108" i="2"/>
  <c r="G3107" i="2"/>
  <c r="F3107" i="2"/>
  <c r="D3107" i="2"/>
  <c r="H3107" i="2" s="1"/>
  <c r="G3106" i="2"/>
  <c r="F3106" i="2"/>
  <c r="D3106" i="2"/>
  <c r="H3106" i="2" s="1"/>
  <c r="G3105" i="2"/>
  <c r="F3105" i="2"/>
  <c r="H3105" i="2" s="1"/>
  <c r="D3105" i="2"/>
  <c r="G3104" i="2"/>
  <c r="F3104" i="2"/>
  <c r="D3104" i="2"/>
  <c r="H3104" i="2" s="1"/>
  <c r="G3103" i="2"/>
  <c r="F3103" i="2"/>
  <c r="D3103" i="2"/>
  <c r="H3103" i="2" s="1"/>
  <c r="G3102" i="2"/>
  <c r="F3102" i="2"/>
  <c r="H3102" i="2" s="1"/>
  <c r="D3102" i="2"/>
  <c r="G3101" i="2"/>
  <c r="F3101" i="2"/>
  <c r="D3101" i="2"/>
  <c r="H3101" i="2" s="1"/>
  <c r="G3100" i="2"/>
  <c r="F3100" i="2"/>
  <c r="D3100" i="2"/>
  <c r="H3100" i="2" s="1"/>
  <c r="H3099" i="2"/>
  <c r="G3098" i="2"/>
  <c r="H3098" i="2" s="1"/>
  <c r="F3098" i="2"/>
  <c r="D3098" i="2"/>
  <c r="G3097" i="2"/>
  <c r="F3097" i="2"/>
  <c r="H3097" i="2" s="1"/>
  <c r="D3097" i="2"/>
  <c r="G3096" i="2"/>
  <c r="F3096" i="2"/>
  <c r="D3096" i="2"/>
  <c r="H3096" i="2" s="1"/>
  <c r="G3095" i="2"/>
  <c r="H3095" i="2" s="1"/>
  <c r="F3095" i="2"/>
  <c r="D3095" i="2"/>
  <c r="G3094" i="2"/>
  <c r="F3094" i="2"/>
  <c r="D3094" i="2"/>
  <c r="H3094" i="2" s="1"/>
  <c r="G3093" i="2"/>
  <c r="F3093" i="2"/>
  <c r="D3093" i="2"/>
  <c r="H3093" i="2" s="1"/>
  <c r="G3092" i="2"/>
  <c r="H3092" i="2" s="1"/>
  <c r="F3092" i="2"/>
  <c r="D3092" i="2"/>
  <c r="G3091" i="2"/>
  <c r="F3091" i="2"/>
  <c r="D3091" i="2"/>
  <c r="H3091" i="2" s="1"/>
  <c r="G3090" i="2"/>
  <c r="F3090" i="2"/>
  <c r="D3090" i="2"/>
  <c r="H3090" i="2" s="1"/>
  <c r="G3089" i="2"/>
  <c r="H3089" i="2" s="1"/>
  <c r="F3089" i="2"/>
  <c r="D3089" i="2"/>
  <c r="G3088" i="2"/>
  <c r="F3088" i="2"/>
  <c r="D3088" i="2"/>
  <c r="H3088" i="2" s="1"/>
  <c r="G3087" i="2"/>
  <c r="F3087" i="2"/>
  <c r="D3087" i="2"/>
  <c r="H3087" i="2" s="1"/>
  <c r="G3086" i="2"/>
  <c r="H3086" i="2" s="1"/>
  <c r="F3086" i="2"/>
  <c r="D3086" i="2"/>
  <c r="G3085" i="2"/>
  <c r="F3085" i="2"/>
  <c r="D3085" i="2"/>
  <c r="H3085" i="2" s="1"/>
  <c r="G3084" i="2"/>
  <c r="F3084" i="2"/>
  <c r="D3084" i="2"/>
  <c r="H3084" i="2" s="1"/>
  <c r="G3083" i="2"/>
  <c r="H3083" i="2" s="1"/>
  <c r="F3083" i="2"/>
  <c r="D3083" i="2"/>
  <c r="H3082" i="2"/>
  <c r="G3081" i="2"/>
  <c r="H3081" i="2" s="1"/>
  <c r="F3081" i="2"/>
  <c r="D3081" i="2"/>
  <c r="G3080" i="2"/>
  <c r="F3080" i="2"/>
  <c r="D3080" i="2"/>
  <c r="H3080" i="2" s="1"/>
  <c r="H3079" i="2"/>
  <c r="G3079" i="2"/>
  <c r="F3079" i="2"/>
  <c r="D3079" i="2"/>
  <c r="G3078" i="2"/>
  <c r="H3078" i="2" s="1"/>
  <c r="F3078" i="2"/>
  <c r="D3078" i="2"/>
  <c r="G3077" i="2"/>
  <c r="F3077" i="2"/>
  <c r="D3077" i="2"/>
  <c r="H3077" i="2" s="1"/>
  <c r="H3076" i="2"/>
  <c r="G3076" i="2"/>
  <c r="F3076" i="2"/>
  <c r="D3076" i="2"/>
  <c r="G3075" i="2"/>
  <c r="H3075" i="2" s="1"/>
  <c r="F3075" i="2"/>
  <c r="D3075" i="2"/>
  <c r="G3074" i="2"/>
  <c r="F3074" i="2"/>
  <c r="D3074" i="2"/>
  <c r="H3074" i="2" s="1"/>
  <c r="H3073" i="2"/>
  <c r="G3073" i="2"/>
  <c r="F3073" i="2"/>
  <c r="D3073" i="2"/>
  <c r="G3072" i="2"/>
  <c r="H3072" i="2" s="1"/>
  <c r="F3072" i="2"/>
  <c r="D3072" i="2"/>
  <c r="H3071" i="2"/>
  <c r="G3070" i="2"/>
  <c r="F3070" i="2"/>
  <c r="D3070" i="2"/>
  <c r="H3070" i="2" s="1"/>
  <c r="G3069" i="2"/>
  <c r="F3069" i="2"/>
  <c r="D3069" i="2"/>
  <c r="H3069" i="2" s="1"/>
  <c r="H3068" i="2"/>
  <c r="G3068" i="2"/>
  <c r="F3068" i="2"/>
  <c r="D3068" i="2"/>
  <c r="G3067" i="2"/>
  <c r="F3067" i="2"/>
  <c r="D3067" i="2"/>
  <c r="H3067" i="2" s="1"/>
  <c r="G3066" i="2"/>
  <c r="F3066" i="2"/>
  <c r="D3066" i="2"/>
  <c r="H3066" i="2" s="1"/>
  <c r="H3065" i="2"/>
  <c r="G3065" i="2"/>
  <c r="F3065" i="2"/>
  <c r="D3065" i="2"/>
  <c r="G3064" i="2"/>
  <c r="F3064" i="2"/>
  <c r="D3064" i="2"/>
  <c r="H3064" i="2" s="1"/>
  <c r="G3063" i="2"/>
  <c r="F3063" i="2"/>
  <c r="D3063" i="2"/>
  <c r="H3063" i="2" s="1"/>
  <c r="H3062" i="2"/>
  <c r="G3062" i="2"/>
  <c r="F3062" i="2"/>
  <c r="D3062" i="2"/>
  <c r="G3061" i="2"/>
  <c r="F3061" i="2"/>
  <c r="D3061" i="2"/>
  <c r="H3061" i="2" s="1"/>
  <c r="H3060" i="2"/>
  <c r="G3059" i="2"/>
  <c r="F3059" i="2"/>
  <c r="D3059" i="2"/>
  <c r="H3059" i="2" s="1"/>
  <c r="G3058" i="2"/>
  <c r="F3058" i="2"/>
  <c r="D3058" i="2"/>
  <c r="H3058" i="2" s="1"/>
  <c r="G3057" i="2"/>
  <c r="F3057" i="2"/>
  <c r="H3057" i="2" s="1"/>
  <c r="D3057" i="2"/>
  <c r="G3056" i="2"/>
  <c r="F3056" i="2"/>
  <c r="D3056" i="2"/>
  <c r="H3056" i="2" s="1"/>
  <c r="G3055" i="2"/>
  <c r="F3055" i="2"/>
  <c r="D3055" i="2"/>
  <c r="H3055" i="2" s="1"/>
  <c r="G3054" i="2"/>
  <c r="F3054" i="2"/>
  <c r="H3054" i="2" s="1"/>
  <c r="D3054" i="2"/>
  <c r="G3053" i="2"/>
  <c r="F3053" i="2"/>
  <c r="D3053" i="2"/>
  <c r="H3053" i="2" s="1"/>
  <c r="G3052" i="2"/>
  <c r="F3052" i="2"/>
  <c r="D3052" i="2"/>
  <c r="H3052" i="2" s="1"/>
  <c r="G3051" i="2"/>
  <c r="F3051" i="2"/>
  <c r="H3051" i="2" s="1"/>
  <c r="D3051" i="2"/>
  <c r="G3050" i="2"/>
  <c r="F3050" i="2"/>
  <c r="D3050" i="2"/>
  <c r="H3050" i="2" s="1"/>
  <c r="H3049" i="2"/>
  <c r="G3048" i="2"/>
  <c r="F3048" i="2"/>
  <c r="D3048" i="2"/>
  <c r="H3048" i="2" s="1"/>
  <c r="G3047" i="2"/>
  <c r="H3047" i="2" s="1"/>
  <c r="F3047" i="2"/>
  <c r="D3047" i="2"/>
  <c r="G3046" i="2"/>
  <c r="F3046" i="2"/>
  <c r="D3046" i="2"/>
  <c r="H3046" i="2" s="1"/>
  <c r="G3045" i="2"/>
  <c r="F3045" i="2"/>
  <c r="D3045" i="2"/>
  <c r="H3045" i="2" s="1"/>
  <c r="G3044" i="2"/>
  <c r="H3044" i="2" s="1"/>
  <c r="F3044" i="2"/>
  <c r="D3044" i="2"/>
  <c r="G3043" i="2"/>
  <c r="F3043" i="2"/>
  <c r="D3043" i="2"/>
  <c r="H3043" i="2" s="1"/>
  <c r="G3042" i="2"/>
  <c r="F3042" i="2"/>
  <c r="D3042" i="2"/>
  <c r="H3042" i="2" s="1"/>
  <c r="G3041" i="2"/>
  <c r="H3041" i="2" s="1"/>
  <c r="F3041" i="2"/>
  <c r="D3041" i="2"/>
  <c r="G3040" i="2"/>
  <c r="F3040" i="2"/>
  <c r="D3040" i="2"/>
  <c r="H3040" i="2" s="1"/>
  <c r="G3039" i="2"/>
  <c r="F3039" i="2"/>
  <c r="D3039" i="2"/>
  <c r="H3039" i="2" s="1"/>
  <c r="H3038" i="2"/>
  <c r="H3037" i="2"/>
  <c r="G3037" i="2"/>
  <c r="F3037" i="2"/>
  <c r="D3037" i="2"/>
  <c r="G3036" i="2"/>
  <c r="H3036" i="2" s="1"/>
  <c r="F3036" i="2"/>
  <c r="D3036" i="2"/>
  <c r="G3035" i="2"/>
  <c r="F3035" i="2"/>
  <c r="D3035" i="2"/>
  <c r="H3035" i="2" s="1"/>
  <c r="H3034" i="2"/>
  <c r="G3034" i="2"/>
  <c r="F3034" i="2"/>
  <c r="D3034" i="2"/>
  <c r="G3033" i="2"/>
  <c r="H3033" i="2" s="1"/>
  <c r="F3033" i="2"/>
  <c r="D3033" i="2"/>
  <c r="G3032" i="2"/>
  <c r="F3032" i="2"/>
  <c r="D3032" i="2"/>
  <c r="H3032" i="2" s="1"/>
  <c r="H3031" i="2"/>
  <c r="G3031" i="2"/>
  <c r="F3031" i="2"/>
  <c r="D3031" i="2"/>
  <c r="G3030" i="2"/>
  <c r="H3030" i="2" s="1"/>
  <c r="F3030" i="2"/>
  <c r="D3030" i="2"/>
  <c r="G3029" i="2"/>
  <c r="F3029" i="2"/>
  <c r="D3029" i="2"/>
  <c r="H3029" i="2" s="1"/>
  <c r="H3028" i="2"/>
  <c r="G3028" i="2"/>
  <c r="F3028" i="2"/>
  <c r="D3028" i="2"/>
  <c r="H3027" i="2"/>
  <c r="H3026" i="2"/>
  <c r="G3026" i="2"/>
  <c r="F3026" i="2"/>
  <c r="D3026" i="2"/>
  <c r="G3025" i="2"/>
  <c r="F3025" i="2"/>
  <c r="D3025" i="2"/>
  <c r="H3025" i="2" s="1"/>
  <c r="G3024" i="2"/>
  <c r="F3024" i="2"/>
  <c r="D3024" i="2"/>
  <c r="H3024" i="2" s="1"/>
  <c r="H3023" i="2"/>
  <c r="G3023" i="2"/>
  <c r="F3023" i="2"/>
  <c r="D3023" i="2"/>
  <c r="G3022" i="2"/>
  <c r="F3022" i="2"/>
  <c r="D3022" i="2"/>
  <c r="H3022" i="2" s="1"/>
  <c r="G3021" i="2"/>
  <c r="F3021" i="2"/>
  <c r="D3021" i="2"/>
  <c r="H3021" i="2" s="1"/>
  <c r="H3020" i="2"/>
  <c r="G3020" i="2"/>
  <c r="F3020" i="2"/>
  <c r="D3020" i="2"/>
  <c r="G3019" i="2"/>
  <c r="F3019" i="2"/>
  <c r="D3019" i="2"/>
  <c r="H3019" i="2" s="1"/>
  <c r="G3018" i="2"/>
  <c r="F3018" i="2"/>
  <c r="D3018" i="2"/>
  <c r="H3018" i="2" s="1"/>
  <c r="H3017" i="2"/>
  <c r="G3017" i="2"/>
  <c r="F3017" i="2"/>
  <c r="D3017" i="2"/>
  <c r="H3016" i="2"/>
  <c r="G3015" i="2"/>
  <c r="F3015" i="2"/>
  <c r="H3015" i="2" s="1"/>
  <c r="D3015" i="2"/>
  <c r="G3014" i="2"/>
  <c r="F3014" i="2"/>
  <c r="D3014" i="2"/>
  <c r="H3014" i="2" s="1"/>
  <c r="G3013" i="2"/>
  <c r="F3013" i="2"/>
  <c r="H3013" i="2" s="1"/>
  <c r="D3013" i="2"/>
  <c r="G3012" i="2"/>
  <c r="F3012" i="2"/>
  <c r="H3012" i="2" s="1"/>
  <c r="D3012" i="2"/>
  <c r="G3011" i="2"/>
  <c r="F3011" i="2"/>
  <c r="D3011" i="2"/>
  <c r="H3011" i="2" s="1"/>
  <c r="G3010" i="2"/>
  <c r="F3010" i="2"/>
  <c r="D3010" i="2"/>
  <c r="H3010" i="2" s="1"/>
  <c r="G3009" i="2"/>
  <c r="F3009" i="2"/>
  <c r="H3009" i="2" s="1"/>
  <c r="D3009" i="2"/>
  <c r="G3008" i="2"/>
  <c r="F3008" i="2"/>
  <c r="D3008" i="2"/>
  <c r="H3008" i="2" s="1"/>
  <c r="G3007" i="2"/>
  <c r="F3007" i="2"/>
  <c r="D3007" i="2"/>
  <c r="H3007" i="2" s="1"/>
  <c r="G3006" i="2"/>
  <c r="F3006" i="2"/>
  <c r="H3006" i="2" s="1"/>
  <c r="D3006" i="2"/>
  <c r="H3005" i="2"/>
  <c r="G3004" i="2"/>
  <c r="F3004" i="2"/>
  <c r="D3004" i="2"/>
  <c r="H3004" i="2" s="1"/>
  <c r="G3003" i="2"/>
  <c r="F3003" i="2"/>
  <c r="D3003" i="2"/>
  <c r="H3003" i="2" s="1"/>
  <c r="G3002" i="2"/>
  <c r="H3002" i="2" s="1"/>
  <c r="F3002" i="2"/>
  <c r="D3002" i="2"/>
  <c r="G3001" i="2"/>
  <c r="F3001" i="2"/>
  <c r="D3001" i="2"/>
  <c r="H3001" i="2" s="1"/>
  <c r="G3000" i="2"/>
  <c r="F3000" i="2"/>
  <c r="D3000" i="2"/>
  <c r="H3000" i="2" s="1"/>
  <c r="G2999" i="2"/>
  <c r="H2999" i="2" s="1"/>
  <c r="F2999" i="2"/>
  <c r="D2999" i="2"/>
  <c r="G2998" i="2"/>
  <c r="F2998" i="2"/>
  <c r="D2998" i="2"/>
  <c r="H2998" i="2" s="1"/>
  <c r="G2997" i="2"/>
  <c r="F2997" i="2"/>
  <c r="D2997" i="2"/>
  <c r="H2997" i="2" s="1"/>
  <c r="G2996" i="2"/>
  <c r="H2996" i="2" s="1"/>
  <c r="F2996" i="2"/>
  <c r="D2996" i="2"/>
  <c r="G2995" i="2"/>
  <c r="F2995" i="2"/>
  <c r="D2995" i="2"/>
  <c r="H2995" i="2" s="1"/>
  <c r="H2994" i="2"/>
  <c r="G2993" i="2"/>
  <c r="F2993" i="2"/>
  <c r="D2993" i="2"/>
  <c r="H2993" i="2" s="1"/>
  <c r="H2992" i="2"/>
  <c r="G2992" i="2"/>
  <c r="F2992" i="2"/>
  <c r="D2992" i="2"/>
  <c r="G2991" i="2"/>
  <c r="H2991" i="2" s="1"/>
  <c r="F2991" i="2"/>
  <c r="D2991" i="2"/>
  <c r="G2990" i="2"/>
  <c r="F2990" i="2"/>
  <c r="D2990" i="2"/>
  <c r="H2990" i="2" s="1"/>
  <c r="H2989" i="2"/>
  <c r="G2989" i="2"/>
  <c r="F2989" i="2"/>
  <c r="D2989" i="2"/>
  <c r="G2988" i="2"/>
  <c r="H2988" i="2" s="1"/>
  <c r="F2988" i="2"/>
  <c r="D2988" i="2"/>
  <c r="G2987" i="2"/>
  <c r="F2987" i="2"/>
  <c r="D2987" i="2"/>
  <c r="H2987" i="2" s="1"/>
  <c r="H2986" i="2"/>
  <c r="G2986" i="2"/>
  <c r="F2986" i="2"/>
  <c r="D2986" i="2"/>
  <c r="G2985" i="2"/>
  <c r="H2985" i="2" s="1"/>
  <c r="F2985" i="2"/>
  <c r="D2985" i="2"/>
  <c r="G2984" i="2"/>
  <c r="F2984" i="2"/>
  <c r="D2984" i="2"/>
  <c r="H2984" i="2" s="1"/>
  <c r="H2983" i="2"/>
  <c r="G2982" i="2"/>
  <c r="F2982" i="2"/>
  <c r="D2982" i="2"/>
  <c r="H2982" i="2" s="1"/>
  <c r="H2981" i="2"/>
  <c r="G2981" i="2"/>
  <c r="F2981" i="2"/>
  <c r="D2981" i="2"/>
  <c r="G2980" i="2"/>
  <c r="F2980" i="2"/>
  <c r="D2980" i="2"/>
  <c r="H2980" i="2" s="1"/>
  <c r="G2979" i="2"/>
  <c r="F2979" i="2"/>
  <c r="D2979" i="2"/>
  <c r="H2979" i="2" s="1"/>
  <c r="H2978" i="2"/>
  <c r="G2978" i="2"/>
  <c r="F2978" i="2"/>
  <c r="D2978" i="2"/>
  <c r="G2977" i="2"/>
  <c r="F2977" i="2"/>
  <c r="D2977" i="2"/>
  <c r="H2977" i="2" s="1"/>
  <c r="G2976" i="2"/>
  <c r="F2976" i="2"/>
  <c r="D2976" i="2"/>
  <c r="H2976" i="2" s="1"/>
  <c r="H2975" i="2"/>
  <c r="G2975" i="2"/>
  <c r="F2975" i="2"/>
  <c r="D2975" i="2"/>
  <c r="G2974" i="2"/>
  <c r="F2974" i="2"/>
  <c r="D2974" i="2"/>
  <c r="H2974" i="2" s="1"/>
  <c r="G2973" i="2"/>
  <c r="F2973" i="2"/>
  <c r="D2973" i="2"/>
  <c r="H2973" i="2" s="1"/>
  <c r="H2972" i="2"/>
  <c r="G2971" i="2"/>
  <c r="F2971" i="2"/>
  <c r="H2971" i="2" s="1"/>
  <c r="D2971" i="2"/>
  <c r="G2970" i="2"/>
  <c r="F2970" i="2"/>
  <c r="H2970" i="2" s="1"/>
  <c r="D2970" i="2"/>
  <c r="G2969" i="2"/>
  <c r="F2969" i="2"/>
  <c r="D2969" i="2"/>
  <c r="H2969" i="2" s="1"/>
  <c r="G2968" i="2"/>
  <c r="F2968" i="2"/>
  <c r="D2968" i="2"/>
  <c r="H2968" i="2" s="1"/>
  <c r="G2967" i="2"/>
  <c r="F2967" i="2"/>
  <c r="H2967" i="2" s="1"/>
  <c r="D2967" i="2"/>
  <c r="G2966" i="2"/>
  <c r="F2966" i="2"/>
  <c r="D2966" i="2"/>
  <c r="H2966" i="2" s="1"/>
  <c r="G2965" i="2"/>
  <c r="F2965" i="2"/>
  <c r="D2965" i="2"/>
  <c r="H2965" i="2" s="1"/>
  <c r="G2964" i="2"/>
  <c r="F2964" i="2"/>
  <c r="H2964" i="2" s="1"/>
  <c r="D2964" i="2"/>
  <c r="G2963" i="2"/>
  <c r="F2963" i="2"/>
  <c r="D2963" i="2"/>
  <c r="H2963" i="2" s="1"/>
  <c r="G2962" i="2"/>
  <c r="F2962" i="2"/>
  <c r="D2962" i="2"/>
  <c r="H2962" i="2" s="1"/>
  <c r="H2961" i="2"/>
  <c r="G2960" i="2"/>
  <c r="H2960" i="2" s="1"/>
  <c r="F2960" i="2"/>
  <c r="D2960" i="2"/>
  <c r="G2959" i="2"/>
  <c r="F2959" i="2"/>
  <c r="D2959" i="2"/>
  <c r="H2959" i="2" s="1"/>
  <c r="G2958" i="2"/>
  <c r="F2958" i="2"/>
  <c r="D2958" i="2"/>
  <c r="H2958" i="2" s="1"/>
  <c r="G2957" i="2"/>
  <c r="H2957" i="2" s="1"/>
  <c r="F2957" i="2"/>
  <c r="D2957" i="2"/>
  <c r="G2956" i="2"/>
  <c r="F2956" i="2"/>
  <c r="D2956" i="2"/>
  <c r="H2956" i="2" s="1"/>
  <c r="G2955" i="2"/>
  <c r="F2955" i="2"/>
  <c r="D2955" i="2"/>
  <c r="H2955" i="2" s="1"/>
  <c r="G2954" i="2"/>
  <c r="H2954" i="2" s="1"/>
  <c r="F2954" i="2"/>
  <c r="D2954" i="2"/>
  <c r="G2953" i="2"/>
  <c r="F2953" i="2"/>
  <c r="D2953" i="2"/>
  <c r="H2953" i="2" s="1"/>
  <c r="G2952" i="2"/>
  <c r="F2952" i="2"/>
  <c r="D2952" i="2"/>
  <c r="H2952" i="2" s="1"/>
  <c r="G2951" i="2"/>
  <c r="H2951" i="2" s="1"/>
  <c r="F2951" i="2"/>
  <c r="D2951" i="2"/>
  <c r="H2950" i="2"/>
  <c r="G2949" i="2"/>
  <c r="H2949" i="2" s="1"/>
  <c r="F2949" i="2"/>
  <c r="D2949" i="2"/>
  <c r="G2948" i="2"/>
  <c r="F2948" i="2"/>
  <c r="D2948" i="2"/>
  <c r="H2948" i="2" s="1"/>
  <c r="H2947" i="2"/>
  <c r="G2947" i="2"/>
  <c r="F2947" i="2"/>
  <c r="D2947" i="2"/>
  <c r="G2946" i="2"/>
  <c r="H2946" i="2" s="1"/>
  <c r="F2946" i="2"/>
  <c r="D2946" i="2"/>
  <c r="G2945" i="2"/>
  <c r="F2945" i="2"/>
  <c r="D2945" i="2"/>
  <c r="H2945" i="2" s="1"/>
  <c r="H2944" i="2"/>
  <c r="G2944" i="2"/>
  <c r="F2944" i="2"/>
  <c r="D2944" i="2"/>
  <c r="G2943" i="2"/>
  <c r="H2943" i="2" s="1"/>
  <c r="F2943" i="2"/>
  <c r="D2943" i="2"/>
  <c r="G2942" i="2"/>
  <c r="F2942" i="2"/>
  <c r="D2942" i="2"/>
  <c r="H2942" i="2" s="1"/>
  <c r="H2941" i="2"/>
  <c r="G2941" i="2"/>
  <c r="F2941" i="2"/>
  <c r="D2941" i="2"/>
  <c r="G2940" i="2"/>
  <c r="H2940" i="2" s="1"/>
  <c r="F2940" i="2"/>
  <c r="D2940" i="2"/>
  <c r="H2939" i="2"/>
  <c r="G2938" i="2"/>
  <c r="F2938" i="2"/>
  <c r="D2938" i="2"/>
  <c r="H2938" i="2" s="1"/>
  <c r="G2937" i="2"/>
  <c r="F2937" i="2"/>
  <c r="D2937" i="2"/>
  <c r="H2937" i="2" s="1"/>
  <c r="H2936" i="2"/>
  <c r="G2936" i="2"/>
  <c r="F2936" i="2"/>
  <c r="D2936" i="2"/>
  <c r="G2935" i="2"/>
  <c r="F2935" i="2"/>
  <c r="D2935" i="2"/>
  <c r="H2935" i="2" s="1"/>
  <c r="G2934" i="2"/>
  <c r="F2934" i="2"/>
  <c r="D2934" i="2"/>
  <c r="H2934" i="2" s="1"/>
  <c r="H2933" i="2"/>
  <c r="G2933" i="2"/>
  <c r="F2933" i="2"/>
  <c r="D2933" i="2"/>
  <c r="G2932" i="2"/>
  <c r="F2932" i="2"/>
  <c r="D2932" i="2"/>
  <c r="H2932" i="2" s="1"/>
  <c r="G2931" i="2"/>
  <c r="F2931" i="2"/>
  <c r="D2931" i="2"/>
  <c r="H2931" i="2" s="1"/>
  <c r="H2930" i="2"/>
  <c r="G2930" i="2"/>
  <c r="F2930" i="2"/>
  <c r="D2930" i="2"/>
  <c r="G2929" i="2"/>
  <c r="F2929" i="2"/>
  <c r="D2929" i="2"/>
  <c r="H2929" i="2" s="1"/>
  <c r="H2928" i="2"/>
  <c r="G2927" i="2"/>
  <c r="F2927" i="2"/>
  <c r="D2927" i="2"/>
  <c r="H2927" i="2" s="1"/>
  <c r="G2926" i="2"/>
  <c r="F2926" i="2"/>
  <c r="H2926" i="2" s="1"/>
  <c r="D2926" i="2"/>
  <c r="G2925" i="2"/>
  <c r="F2925" i="2"/>
  <c r="H2925" i="2" s="1"/>
  <c r="D2925" i="2"/>
  <c r="G2924" i="2"/>
  <c r="F2924" i="2"/>
  <c r="D2924" i="2"/>
  <c r="H2924" i="2" s="1"/>
  <c r="G2923" i="2"/>
  <c r="F2923" i="2"/>
  <c r="D2923" i="2"/>
  <c r="H2923" i="2" s="1"/>
  <c r="G2922" i="2"/>
  <c r="F2922" i="2"/>
  <c r="H2922" i="2" s="1"/>
  <c r="D2922" i="2"/>
  <c r="G2921" i="2"/>
  <c r="F2921" i="2"/>
  <c r="D2921" i="2"/>
  <c r="H2921" i="2" s="1"/>
  <c r="G2920" i="2"/>
  <c r="F2920" i="2"/>
  <c r="D2920" i="2"/>
  <c r="H2920" i="2" s="1"/>
  <c r="G2919" i="2"/>
  <c r="F2919" i="2"/>
  <c r="H2919" i="2" s="1"/>
  <c r="D2919" i="2"/>
  <c r="G2918" i="2"/>
  <c r="F2918" i="2"/>
  <c r="D2918" i="2"/>
  <c r="H2918" i="2" s="1"/>
  <c r="H2917" i="2"/>
  <c r="G2916" i="2"/>
  <c r="F2916" i="2"/>
  <c r="D2916" i="2"/>
  <c r="H2916" i="2" s="1"/>
  <c r="G2915" i="2"/>
  <c r="H2915" i="2" s="1"/>
  <c r="F2915" i="2"/>
  <c r="D2915" i="2"/>
  <c r="G2914" i="2"/>
  <c r="F2914" i="2"/>
  <c r="D2914" i="2"/>
  <c r="H2914" i="2" s="1"/>
  <c r="G2913" i="2"/>
  <c r="F2913" i="2"/>
  <c r="D2913" i="2"/>
  <c r="H2913" i="2" s="1"/>
  <c r="G2912" i="2"/>
  <c r="H2912" i="2" s="1"/>
  <c r="F2912" i="2"/>
  <c r="D2912" i="2"/>
  <c r="G2911" i="2"/>
  <c r="F2911" i="2"/>
  <c r="D2911" i="2"/>
  <c r="H2911" i="2" s="1"/>
  <c r="G2910" i="2"/>
  <c r="F2910" i="2"/>
  <c r="D2910" i="2"/>
  <c r="H2910" i="2" s="1"/>
  <c r="G2909" i="2"/>
  <c r="H2909" i="2" s="1"/>
  <c r="F2909" i="2"/>
  <c r="D2909" i="2"/>
  <c r="G2908" i="2"/>
  <c r="F2908" i="2"/>
  <c r="D2908" i="2"/>
  <c r="H2908" i="2" s="1"/>
  <c r="G2907" i="2"/>
  <c r="F2907" i="2"/>
  <c r="D2907" i="2"/>
  <c r="H2907" i="2" s="1"/>
  <c r="H2906" i="2"/>
  <c r="H2905" i="2"/>
  <c r="G2905" i="2"/>
  <c r="F2905" i="2"/>
  <c r="D2905" i="2"/>
  <c r="G2904" i="2"/>
  <c r="H2904" i="2" s="1"/>
  <c r="F2904" i="2"/>
  <c r="D2904" i="2"/>
  <c r="G2903" i="2"/>
  <c r="F2903" i="2"/>
  <c r="D2903" i="2"/>
  <c r="H2903" i="2" s="1"/>
  <c r="H2902" i="2"/>
  <c r="G2902" i="2"/>
  <c r="F2902" i="2"/>
  <c r="D2902" i="2"/>
  <c r="G2901" i="2"/>
  <c r="H2901" i="2" s="1"/>
  <c r="F2901" i="2"/>
  <c r="D2901" i="2"/>
  <c r="G2900" i="2"/>
  <c r="F2900" i="2"/>
  <c r="D2900" i="2"/>
  <c r="H2900" i="2" s="1"/>
  <c r="H2899" i="2"/>
  <c r="G2899" i="2"/>
  <c r="F2899" i="2"/>
  <c r="D2899" i="2"/>
  <c r="G2898" i="2"/>
  <c r="H2898" i="2" s="1"/>
  <c r="F2898" i="2"/>
  <c r="D2898" i="2"/>
  <c r="G2897" i="2"/>
  <c r="F2897" i="2"/>
  <c r="D2897" i="2"/>
  <c r="H2897" i="2" s="1"/>
  <c r="H2896" i="2"/>
  <c r="G2896" i="2"/>
  <c r="F2896" i="2"/>
  <c r="D2896" i="2"/>
  <c r="H2895" i="2"/>
  <c r="H2894" i="2"/>
  <c r="G2894" i="2"/>
  <c r="F2894" i="2"/>
  <c r="D2894" i="2"/>
  <c r="G2893" i="2"/>
  <c r="F2893" i="2"/>
  <c r="D2893" i="2"/>
  <c r="H2893" i="2" s="1"/>
  <c r="G2892" i="2"/>
  <c r="F2892" i="2"/>
  <c r="D2892" i="2"/>
  <c r="H2892" i="2" s="1"/>
  <c r="H2891" i="2"/>
  <c r="G2891" i="2"/>
  <c r="F2891" i="2"/>
  <c r="D2891" i="2"/>
  <c r="G2890" i="2"/>
  <c r="F2890" i="2"/>
  <c r="D2890" i="2"/>
  <c r="H2890" i="2" s="1"/>
  <c r="G2889" i="2"/>
  <c r="F2889" i="2"/>
  <c r="D2889" i="2"/>
  <c r="H2889" i="2" s="1"/>
  <c r="H2888" i="2"/>
  <c r="G2888" i="2"/>
  <c r="F2888" i="2"/>
  <c r="D2888" i="2"/>
  <c r="G2887" i="2"/>
  <c r="F2887" i="2"/>
  <c r="D2887" i="2"/>
  <c r="H2887" i="2" s="1"/>
  <c r="G2886" i="2"/>
  <c r="F2886" i="2"/>
  <c r="D2886" i="2"/>
  <c r="H2886" i="2" s="1"/>
  <c r="H2885" i="2"/>
  <c r="G2885" i="2"/>
  <c r="F2885" i="2"/>
  <c r="D2885" i="2"/>
  <c r="H2884" i="2"/>
  <c r="G2883" i="2"/>
  <c r="F2883" i="2"/>
  <c r="H2883" i="2" s="1"/>
  <c r="D2883" i="2"/>
  <c r="G2882" i="2"/>
  <c r="F2882" i="2"/>
  <c r="D2882" i="2"/>
  <c r="H2882" i="2" s="1"/>
  <c r="G2881" i="2"/>
  <c r="F2881" i="2"/>
  <c r="H2881" i="2" s="1"/>
  <c r="D2881" i="2"/>
  <c r="G2880" i="2"/>
  <c r="F2880" i="2"/>
  <c r="H2880" i="2" s="1"/>
  <c r="D2880" i="2"/>
  <c r="G2879" i="2"/>
  <c r="F2879" i="2"/>
  <c r="D2879" i="2"/>
  <c r="H2879" i="2" s="1"/>
  <c r="G2878" i="2"/>
  <c r="F2878" i="2"/>
  <c r="D2878" i="2"/>
  <c r="H2878" i="2" s="1"/>
  <c r="G2877" i="2"/>
  <c r="F2877" i="2"/>
  <c r="H2877" i="2" s="1"/>
  <c r="D2877" i="2"/>
  <c r="G2876" i="2"/>
  <c r="F2876" i="2"/>
  <c r="D2876" i="2"/>
  <c r="H2876" i="2" s="1"/>
  <c r="G2875" i="2"/>
  <c r="F2875" i="2"/>
  <c r="D2875" i="2"/>
  <c r="H2875" i="2" s="1"/>
  <c r="G2874" i="2"/>
  <c r="F2874" i="2"/>
  <c r="H2874" i="2" s="1"/>
  <c r="D2874" i="2"/>
  <c r="G2873" i="2"/>
  <c r="F2873" i="2"/>
  <c r="D2873" i="2"/>
  <c r="H2873" i="2" s="1"/>
  <c r="G2872" i="2"/>
  <c r="F2872" i="2"/>
  <c r="D2872" i="2"/>
  <c r="H2872" i="2" s="1"/>
  <c r="G2871" i="2"/>
  <c r="F2871" i="2"/>
  <c r="H2871" i="2" s="1"/>
  <c r="D2871" i="2"/>
  <c r="G2870" i="2"/>
  <c r="F2870" i="2"/>
  <c r="D2870" i="2"/>
  <c r="H2870" i="2" s="1"/>
  <c r="G2869" i="2"/>
  <c r="F2869" i="2"/>
  <c r="D2869" i="2"/>
  <c r="H2869" i="2" s="1"/>
  <c r="G2868" i="2"/>
  <c r="F2868" i="2"/>
  <c r="H2868" i="2" s="1"/>
  <c r="D2868" i="2"/>
  <c r="H2867" i="2"/>
  <c r="G2866" i="2"/>
  <c r="F2866" i="2"/>
  <c r="D2866" i="2"/>
  <c r="H2866" i="2" s="1"/>
  <c r="G2865" i="2"/>
  <c r="F2865" i="2"/>
  <c r="D2865" i="2"/>
  <c r="H2865" i="2" s="1"/>
  <c r="G2864" i="2"/>
  <c r="H2864" i="2" s="1"/>
  <c r="F2864" i="2"/>
  <c r="D2864" i="2"/>
  <c r="G2863" i="2"/>
  <c r="F2863" i="2"/>
  <c r="D2863" i="2"/>
  <c r="H2863" i="2" s="1"/>
  <c r="G2862" i="2"/>
  <c r="F2862" i="2"/>
  <c r="D2862" i="2"/>
  <c r="H2862" i="2" s="1"/>
  <c r="G2861" i="2"/>
  <c r="H2861" i="2" s="1"/>
  <c r="F2861" i="2"/>
  <c r="D2861" i="2"/>
  <c r="G2860" i="2"/>
  <c r="F2860" i="2"/>
  <c r="D2860" i="2"/>
  <c r="H2860" i="2" s="1"/>
  <c r="G2859" i="2"/>
  <c r="F2859" i="2"/>
  <c r="D2859" i="2"/>
  <c r="H2859" i="2" s="1"/>
  <c r="G2858" i="2"/>
  <c r="H2858" i="2" s="1"/>
  <c r="F2858" i="2"/>
  <c r="D2858" i="2"/>
  <c r="G2857" i="2"/>
  <c r="F2857" i="2"/>
  <c r="D2857" i="2"/>
  <c r="H2857" i="2" s="1"/>
  <c r="H2856" i="2"/>
  <c r="G2855" i="2"/>
  <c r="F2855" i="2"/>
  <c r="D2855" i="2"/>
  <c r="H2855" i="2" s="1"/>
  <c r="H2854" i="2"/>
  <c r="G2854" i="2"/>
  <c r="F2854" i="2"/>
  <c r="D2854" i="2"/>
  <c r="G2853" i="2"/>
  <c r="H2853" i="2" s="1"/>
  <c r="F2853" i="2"/>
  <c r="D2853" i="2"/>
  <c r="G2852" i="2"/>
  <c r="F2852" i="2"/>
  <c r="D2852" i="2"/>
  <c r="H2852" i="2" s="1"/>
  <c r="H2851" i="2"/>
  <c r="G2851" i="2"/>
  <c r="F2851" i="2"/>
  <c r="D2851" i="2"/>
  <c r="G2850" i="2"/>
  <c r="H2850" i="2" s="1"/>
  <c r="F2850" i="2"/>
  <c r="D2850" i="2"/>
  <c r="G2849" i="2"/>
  <c r="F2849" i="2"/>
  <c r="D2849" i="2"/>
  <c r="H2849" i="2" s="1"/>
  <c r="H2848" i="2"/>
  <c r="G2848" i="2"/>
  <c r="F2848" i="2"/>
  <c r="D2848" i="2"/>
  <c r="G2847" i="2"/>
  <c r="H2847" i="2" s="1"/>
  <c r="F2847" i="2"/>
  <c r="D2847" i="2"/>
  <c r="G2846" i="2"/>
  <c r="F2846" i="2"/>
  <c r="D2846" i="2"/>
  <c r="H2846" i="2" s="1"/>
  <c r="H2845" i="2"/>
  <c r="G2844" i="2"/>
  <c r="F2844" i="2"/>
  <c r="D2844" i="2"/>
  <c r="H2844" i="2" s="1"/>
  <c r="H2843" i="2"/>
  <c r="G2843" i="2"/>
  <c r="F2843" i="2"/>
  <c r="D2843" i="2"/>
  <c r="G2842" i="2"/>
  <c r="F2842" i="2"/>
  <c r="D2842" i="2"/>
  <c r="H2842" i="2" s="1"/>
  <c r="G2841" i="2"/>
  <c r="F2841" i="2"/>
  <c r="D2841" i="2"/>
  <c r="H2841" i="2" s="1"/>
  <c r="H2840" i="2"/>
  <c r="G2840" i="2"/>
  <c r="F2840" i="2"/>
  <c r="D2840" i="2"/>
  <c r="G2839" i="2"/>
  <c r="F2839" i="2"/>
  <c r="D2839" i="2"/>
  <c r="H2839" i="2" s="1"/>
  <c r="G2838" i="2"/>
  <c r="F2838" i="2"/>
  <c r="D2838" i="2"/>
  <c r="H2838" i="2" s="1"/>
  <c r="H2837" i="2"/>
  <c r="G2837" i="2"/>
  <c r="F2837" i="2"/>
  <c r="D2837" i="2"/>
  <c r="G2836" i="2"/>
  <c r="F2836" i="2"/>
  <c r="D2836" i="2"/>
  <c r="H2836" i="2" s="1"/>
  <c r="G2835" i="2"/>
  <c r="F2835" i="2"/>
  <c r="D2835" i="2"/>
  <c r="H2835" i="2" s="1"/>
  <c r="H2834" i="2"/>
  <c r="G2833" i="2"/>
  <c r="F2833" i="2"/>
  <c r="D2833" i="2"/>
  <c r="H2833" i="2" s="1"/>
  <c r="G2832" i="2"/>
  <c r="F2832" i="2"/>
  <c r="H2832" i="2" s="1"/>
  <c r="D2832" i="2"/>
  <c r="G2831" i="2"/>
  <c r="F2831" i="2"/>
  <c r="D2831" i="2"/>
  <c r="H2831" i="2" s="1"/>
  <c r="G2830" i="2"/>
  <c r="F2830" i="2"/>
  <c r="D2830" i="2"/>
  <c r="H2830" i="2" s="1"/>
  <c r="G2829" i="2"/>
  <c r="F2829" i="2"/>
  <c r="H2829" i="2" s="1"/>
  <c r="D2829" i="2"/>
  <c r="G2828" i="2"/>
  <c r="F2828" i="2"/>
  <c r="D2828" i="2"/>
  <c r="H2828" i="2" s="1"/>
  <c r="G2827" i="2"/>
  <c r="F2827" i="2"/>
  <c r="D2827" i="2"/>
  <c r="H2827" i="2" s="1"/>
  <c r="G2826" i="2"/>
  <c r="F2826" i="2"/>
  <c r="H2826" i="2" s="1"/>
  <c r="D2826" i="2"/>
  <c r="G2825" i="2"/>
  <c r="F2825" i="2"/>
  <c r="D2825" i="2"/>
  <c r="H2825" i="2" s="1"/>
  <c r="G2824" i="2"/>
  <c r="F2824" i="2"/>
  <c r="D2824" i="2"/>
  <c r="H2824" i="2" s="1"/>
  <c r="H2823" i="2"/>
  <c r="G2822" i="2"/>
  <c r="H2822" i="2" s="1"/>
  <c r="F2822" i="2"/>
  <c r="D2822" i="2"/>
  <c r="G2821" i="2"/>
  <c r="F2821" i="2"/>
  <c r="D2821" i="2"/>
  <c r="H2821" i="2" s="1"/>
  <c r="G2820" i="2"/>
  <c r="F2820" i="2"/>
  <c r="D2820" i="2"/>
  <c r="H2820" i="2" s="1"/>
  <c r="G2819" i="2"/>
  <c r="H2819" i="2" s="1"/>
  <c r="F2819" i="2"/>
  <c r="D2819" i="2"/>
  <c r="G2818" i="2"/>
  <c r="F2818" i="2"/>
  <c r="D2818" i="2"/>
  <c r="H2818" i="2" s="1"/>
  <c r="G2817" i="2"/>
  <c r="F2817" i="2"/>
  <c r="D2817" i="2"/>
  <c r="H2817" i="2" s="1"/>
  <c r="G2816" i="2"/>
  <c r="H2816" i="2" s="1"/>
  <c r="F2816" i="2"/>
  <c r="D2816" i="2"/>
  <c r="G2815" i="2"/>
  <c r="F2815" i="2"/>
  <c r="D2815" i="2"/>
  <c r="H2815" i="2" s="1"/>
  <c r="G2814" i="2"/>
  <c r="F2814" i="2"/>
  <c r="D2814" i="2"/>
  <c r="H2814" i="2" s="1"/>
  <c r="G2813" i="2"/>
  <c r="H2813" i="2" s="1"/>
  <c r="F2813" i="2"/>
  <c r="D2813" i="2"/>
  <c r="H2812" i="2"/>
  <c r="G2811" i="2"/>
  <c r="H2811" i="2" s="1"/>
  <c r="F2811" i="2"/>
  <c r="D2811" i="2"/>
  <c r="G2810" i="2"/>
  <c r="F2810" i="2"/>
  <c r="D2810" i="2"/>
  <c r="H2810" i="2" s="1"/>
  <c r="H2809" i="2"/>
  <c r="G2809" i="2"/>
  <c r="F2809" i="2"/>
  <c r="D2809" i="2"/>
  <c r="G2808" i="2"/>
  <c r="H2808" i="2" s="1"/>
  <c r="F2808" i="2"/>
  <c r="D2808" i="2"/>
  <c r="G2807" i="2"/>
  <c r="F2807" i="2"/>
  <c r="D2807" i="2"/>
  <c r="H2807" i="2" s="1"/>
  <c r="H2806" i="2"/>
  <c r="G2806" i="2"/>
  <c r="F2806" i="2"/>
  <c r="D2806" i="2"/>
  <c r="G2805" i="2"/>
  <c r="H2805" i="2" s="1"/>
  <c r="F2805" i="2"/>
  <c r="D2805" i="2"/>
  <c r="G2804" i="2"/>
  <c r="F2804" i="2"/>
  <c r="D2804" i="2"/>
  <c r="H2804" i="2" s="1"/>
  <c r="H2803" i="2"/>
  <c r="G2803" i="2"/>
  <c r="F2803" i="2"/>
  <c r="D2803" i="2"/>
  <c r="G2802" i="2"/>
  <c r="H2802" i="2" s="1"/>
  <c r="F2802" i="2"/>
  <c r="D2802" i="2"/>
  <c r="H2801" i="2"/>
  <c r="G2800" i="2"/>
  <c r="F2800" i="2"/>
  <c r="D2800" i="2"/>
  <c r="H2800" i="2" s="1"/>
  <c r="G2799" i="2"/>
  <c r="F2799" i="2"/>
  <c r="D2799" i="2"/>
  <c r="H2799" i="2" s="1"/>
  <c r="H2798" i="2"/>
  <c r="G2798" i="2"/>
  <c r="F2798" i="2"/>
  <c r="D2798" i="2"/>
  <c r="G2797" i="2"/>
  <c r="F2797" i="2"/>
  <c r="D2797" i="2"/>
  <c r="H2797" i="2" s="1"/>
  <c r="G2796" i="2"/>
  <c r="F2796" i="2"/>
  <c r="D2796" i="2"/>
  <c r="H2796" i="2" s="1"/>
  <c r="H2795" i="2"/>
  <c r="G2795" i="2"/>
  <c r="F2795" i="2"/>
  <c r="D2795" i="2"/>
  <c r="G2794" i="2"/>
  <c r="F2794" i="2"/>
  <c r="D2794" i="2"/>
  <c r="H2794" i="2" s="1"/>
  <c r="G2793" i="2"/>
  <c r="F2793" i="2"/>
  <c r="D2793" i="2"/>
  <c r="H2793" i="2" s="1"/>
  <c r="H2792" i="2"/>
  <c r="G2792" i="2"/>
  <c r="F2792" i="2"/>
  <c r="D2792" i="2"/>
  <c r="G2791" i="2"/>
  <c r="F2791" i="2"/>
  <c r="D2791" i="2"/>
  <c r="H2791" i="2" s="1"/>
  <c r="H2790" i="2"/>
  <c r="G2789" i="2"/>
  <c r="F2789" i="2"/>
  <c r="D2789" i="2"/>
  <c r="H2789" i="2" s="1"/>
  <c r="G2788" i="2"/>
  <c r="F2788" i="2"/>
  <c r="D2788" i="2"/>
  <c r="H2788" i="2" s="1"/>
  <c r="G2787" i="2"/>
  <c r="F2787" i="2"/>
  <c r="H2787" i="2" s="1"/>
  <c r="D2787" i="2"/>
  <c r="G2786" i="2"/>
  <c r="F2786" i="2"/>
  <c r="D2786" i="2"/>
  <c r="H2786" i="2" s="1"/>
  <c r="G2785" i="2"/>
  <c r="F2785" i="2"/>
  <c r="D2785" i="2"/>
  <c r="H2785" i="2" s="1"/>
  <c r="G2784" i="2"/>
  <c r="F2784" i="2"/>
  <c r="H2784" i="2" s="1"/>
  <c r="D2784" i="2"/>
  <c r="G2783" i="2"/>
  <c r="F2783" i="2"/>
  <c r="D2783" i="2"/>
  <c r="H2783" i="2" s="1"/>
  <c r="G2782" i="2"/>
  <c r="F2782" i="2"/>
  <c r="D2782" i="2"/>
  <c r="H2782" i="2" s="1"/>
  <c r="G2781" i="2"/>
  <c r="F2781" i="2"/>
  <c r="H2781" i="2" s="1"/>
  <c r="D2781" i="2"/>
  <c r="G2780" i="2"/>
  <c r="F2780" i="2"/>
  <c r="D2780" i="2"/>
  <c r="H2780" i="2" s="1"/>
  <c r="H2779" i="2"/>
  <c r="G2778" i="2"/>
  <c r="F2778" i="2"/>
  <c r="D2778" i="2"/>
  <c r="H2778" i="2" s="1"/>
  <c r="G2777" i="2"/>
  <c r="H2777" i="2" s="1"/>
  <c r="F2777" i="2"/>
  <c r="D2777" i="2"/>
  <c r="G2776" i="2"/>
  <c r="F2776" i="2"/>
  <c r="D2776" i="2"/>
  <c r="H2776" i="2" s="1"/>
  <c r="G2775" i="2"/>
  <c r="F2775" i="2"/>
  <c r="D2775" i="2"/>
  <c r="H2775" i="2" s="1"/>
  <c r="G2774" i="2"/>
  <c r="H2774" i="2" s="1"/>
  <c r="F2774" i="2"/>
  <c r="D2774" i="2"/>
  <c r="G2773" i="2"/>
  <c r="F2773" i="2"/>
  <c r="D2773" i="2"/>
  <c r="H2773" i="2" s="1"/>
  <c r="G2772" i="2"/>
  <c r="F2772" i="2"/>
  <c r="D2772" i="2"/>
  <c r="H2772" i="2" s="1"/>
  <c r="G2771" i="2"/>
  <c r="H2771" i="2" s="1"/>
  <c r="F2771" i="2"/>
  <c r="D2771" i="2"/>
  <c r="G2770" i="2"/>
  <c r="F2770" i="2"/>
  <c r="D2770" i="2"/>
  <c r="H2770" i="2" s="1"/>
  <c r="G2769" i="2"/>
  <c r="F2769" i="2"/>
  <c r="D2769" i="2"/>
  <c r="H2769" i="2" s="1"/>
  <c r="H2768" i="2"/>
  <c r="H2767" i="2"/>
  <c r="G2767" i="2"/>
  <c r="F2767" i="2"/>
  <c r="D2767" i="2"/>
  <c r="G2766" i="2"/>
  <c r="H2766" i="2" s="1"/>
  <c r="F2766" i="2"/>
  <c r="D2766" i="2"/>
  <c r="G2765" i="2"/>
  <c r="F2765" i="2"/>
  <c r="D2765" i="2"/>
  <c r="H2765" i="2" s="1"/>
  <c r="H2764" i="2"/>
  <c r="G2764" i="2"/>
  <c r="F2764" i="2"/>
  <c r="D2764" i="2"/>
  <c r="G2763" i="2"/>
  <c r="H2763" i="2" s="1"/>
  <c r="F2763" i="2"/>
  <c r="D2763" i="2"/>
  <c r="G2762" i="2"/>
  <c r="F2762" i="2"/>
  <c r="D2762" i="2"/>
  <c r="H2762" i="2" s="1"/>
  <c r="H2761" i="2"/>
  <c r="G2761" i="2"/>
  <c r="F2761" i="2"/>
  <c r="D2761" i="2"/>
  <c r="G2760" i="2"/>
  <c r="H2760" i="2" s="1"/>
  <c r="F2760" i="2"/>
  <c r="D2760" i="2"/>
  <c r="G2759" i="2"/>
  <c r="F2759" i="2"/>
  <c r="D2759" i="2"/>
  <c r="H2759" i="2" s="1"/>
  <c r="H2758" i="2"/>
  <c r="G2758" i="2"/>
  <c r="F2758" i="2"/>
  <c r="D2758" i="2"/>
  <c r="H2757" i="2"/>
  <c r="H2756" i="2"/>
  <c r="G2756" i="2"/>
  <c r="F2756" i="2"/>
  <c r="D2756" i="2"/>
  <c r="G2755" i="2"/>
  <c r="F2755" i="2"/>
  <c r="D2755" i="2"/>
  <c r="H2755" i="2" s="1"/>
  <c r="G2754" i="2"/>
  <c r="F2754" i="2"/>
  <c r="D2754" i="2"/>
  <c r="H2754" i="2" s="1"/>
  <c r="H2753" i="2"/>
  <c r="G2753" i="2"/>
  <c r="F2753" i="2"/>
  <c r="D2753" i="2"/>
  <c r="G2752" i="2"/>
  <c r="F2752" i="2"/>
  <c r="D2752" i="2"/>
  <c r="H2752" i="2" s="1"/>
  <c r="G2751" i="2"/>
  <c r="F2751" i="2"/>
  <c r="D2751" i="2"/>
  <c r="H2751" i="2" s="1"/>
  <c r="H2750" i="2"/>
  <c r="G2750" i="2"/>
  <c r="F2750" i="2"/>
  <c r="D2750" i="2"/>
  <c r="G2749" i="2"/>
  <c r="F2749" i="2"/>
  <c r="D2749" i="2"/>
  <c r="H2749" i="2" s="1"/>
  <c r="G2748" i="2"/>
  <c r="F2748" i="2"/>
  <c r="D2748" i="2"/>
  <c r="H2748" i="2" s="1"/>
  <c r="H2747" i="2"/>
  <c r="G2747" i="2"/>
  <c r="F2747" i="2"/>
  <c r="D2747" i="2"/>
  <c r="H2746" i="2"/>
  <c r="G2745" i="2"/>
  <c r="F2745" i="2"/>
  <c r="H2745" i="2" s="1"/>
  <c r="D2745" i="2"/>
  <c r="G2744" i="2"/>
  <c r="F2744" i="2"/>
  <c r="D2744" i="2"/>
  <c r="H2744" i="2" s="1"/>
  <c r="G2743" i="2"/>
  <c r="F2743" i="2"/>
  <c r="D2743" i="2"/>
  <c r="H2743" i="2" s="1"/>
  <c r="G2742" i="2"/>
  <c r="F2742" i="2"/>
  <c r="H2742" i="2" s="1"/>
  <c r="D2742" i="2"/>
  <c r="G2741" i="2"/>
  <c r="F2741" i="2"/>
  <c r="D2741" i="2"/>
  <c r="H2741" i="2" s="1"/>
  <c r="G2740" i="2"/>
  <c r="F2740" i="2"/>
  <c r="D2740" i="2"/>
  <c r="H2740" i="2" s="1"/>
  <c r="G2739" i="2"/>
  <c r="F2739" i="2"/>
  <c r="H2739" i="2" s="1"/>
  <c r="D2739" i="2"/>
  <c r="G2738" i="2"/>
  <c r="F2738" i="2"/>
  <c r="D2738" i="2"/>
  <c r="H2738" i="2" s="1"/>
  <c r="G2737" i="2"/>
  <c r="F2737" i="2"/>
  <c r="D2737" i="2"/>
  <c r="H2737" i="2" s="1"/>
  <c r="G2736" i="2"/>
  <c r="F2736" i="2"/>
  <c r="H2736" i="2" s="1"/>
  <c r="D2736" i="2"/>
  <c r="H2735" i="2"/>
  <c r="G2734" i="2"/>
  <c r="F2734" i="2"/>
  <c r="D2734" i="2"/>
  <c r="H2734" i="2" s="1"/>
  <c r="G2733" i="2"/>
  <c r="F2733" i="2"/>
  <c r="D2733" i="2"/>
  <c r="H2733" i="2" s="1"/>
  <c r="G2732" i="2"/>
  <c r="H2732" i="2" s="1"/>
  <c r="F2732" i="2"/>
  <c r="D2732" i="2"/>
  <c r="G2731" i="2"/>
  <c r="F2731" i="2"/>
  <c r="D2731" i="2"/>
  <c r="H2731" i="2" s="1"/>
  <c r="G2730" i="2"/>
  <c r="F2730" i="2"/>
  <c r="D2730" i="2"/>
  <c r="H2730" i="2" s="1"/>
  <c r="G2729" i="2"/>
  <c r="H2729" i="2" s="1"/>
  <c r="F2729" i="2"/>
  <c r="D2729" i="2"/>
  <c r="G2728" i="2"/>
  <c r="F2728" i="2"/>
  <c r="D2728" i="2"/>
  <c r="H2728" i="2" s="1"/>
  <c r="G2727" i="2"/>
  <c r="F2727" i="2"/>
  <c r="D2727" i="2"/>
  <c r="H2727" i="2" s="1"/>
  <c r="G2726" i="2"/>
  <c r="H2726" i="2" s="1"/>
  <c r="F2726" i="2"/>
  <c r="D2726" i="2"/>
  <c r="G2725" i="2"/>
  <c r="F2725" i="2"/>
  <c r="D2725" i="2"/>
  <c r="H2725" i="2" s="1"/>
  <c r="H2724" i="2"/>
  <c r="G2723" i="2"/>
  <c r="F2723" i="2"/>
  <c r="D2723" i="2"/>
  <c r="H2723" i="2" s="1"/>
  <c r="H2722" i="2"/>
  <c r="G2722" i="2"/>
  <c r="F2722" i="2"/>
  <c r="D2722" i="2"/>
  <c r="G2721" i="2"/>
  <c r="H2721" i="2" s="1"/>
  <c r="F2721" i="2"/>
  <c r="D2721" i="2"/>
  <c r="G2720" i="2"/>
  <c r="F2720" i="2"/>
  <c r="D2720" i="2"/>
  <c r="H2720" i="2" s="1"/>
  <c r="H2719" i="2"/>
  <c r="G2719" i="2"/>
  <c r="F2719" i="2"/>
  <c r="D2719" i="2"/>
  <c r="G2718" i="2"/>
  <c r="H2718" i="2" s="1"/>
  <c r="F2718" i="2"/>
  <c r="D2718" i="2"/>
  <c r="G2717" i="2"/>
  <c r="F2717" i="2"/>
  <c r="D2717" i="2"/>
  <c r="H2717" i="2" s="1"/>
  <c r="H2716" i="2"/>
  <c r="G2716" i="2"/>
  <c r="F2716" i="2"/>
  <c r="D2716" i="2"/>
  <c r="G2715" i="2"/>
  <c r="H2715" i="2" s="1"/>
  <c r="F2715" i="2"/>
  <c r="D2715" i="2"/>
  <c r="G2714" i="2"/>
  <c r="F2714" i="2"/>
  <c r="D2714" i="2"/>
  <c r="H2714" i="2" s="1"/>
  <c r="H2713" i="2"/>
  <c r="G2712" i="2"/>
  <c r="F2712" i="2"/>
  <c r="D2712" i="2"/>
  <c r="H2712" i="2" s="1"/>
  <c r="H2711" i="2"/>
  <c r="G2711" i="2"/>
  <c r="F2711" i="2"/>
  <c r="D2711" i="2"/>
  <c r="G2710" i="2"/>
  <c r="F2710" i="2"/>
  <c r="D2710" i="2"/>
  <c r="H2710" i="2" s="1"/>
  <c r="G2709" i="2"/>
  <c r="F2709" i="2"/>
  <c r="D2709" i="2"/>
  <c r="H2709" i="2" s="1"/>
  <c r="H2708" i="2"/>
  <c r="G2708" i="2"/>
  <c r="F2708" i="2"/>
  <c r="D2708" i="2"/>
  <c r="G2707" i="2"/>
  <c r="F2707" i="2"/>
  <c r="D2707" i="2"/>
  <c r="H2707" i="2" s="1"/>
  <c r="G2706" i="2"/>
  <c r="F2706" i="2"/>
  <c r="D2706" i="2"/>
  <c r="H2706" i="2" s="1"/>
  <c r="H2705" i="2"/>
  <c r="G2705" i="2"/>
  <c r="F2705" i="2"/>
  <c r="D2705" i="2"/>
  <c r="G2704" i="2"/>
  <c r="F2704" i="2"/>
  <c r="D2704" i="2"/>
  <c r="H2704" i="2" s="1"/>
  <c r="G2703" i="2"/>
  <c r="F2703" i="2"/>
  <c r="D2703" i="2"/>
  <c r="H2703" i="2" s="1"/>
  <c r="H2702" i="2"/>
  <c r="G2701" i="2"/>
  <c r="F2701" i="2"/>
  <c r="D2701" i="2"/>
  <c r="H2701" i="2" s="1"/>
  <c r="G2700" i="2"/>
  <c r="F2700" i="2"/>
  <c r="H2700" i="2" s="1"/>
  <c r="D2700" i="2"/>
  <c r="G2699" i="2"/>
  <c r="F2699" i="2"/>
  <c r="D2699" i="2"/>
  <c r="H2699" i="2" s="1"/>
  <c r="G2698" i="2"/>
  <c r="F2698" i="2"/>
  <c r="D2698" i="2"/>
  <c r="H2698" i="2" s="1"/>
  <c r="G2697" i="2"/>
  <c r="F2697" i="2"/>
  <c r="H2697" i="2" s="1"/>
  <c r="D2697" i="2"/>
  <c r="G2696" i="2"/>
  <c r="F2696" i="2"/>
  <c r="D2696" i="2"/>
  <c r="H2696" i="2" s="1"/>
  <c r="G2695" i="2"/>
  <c r="F2695" i="2"/>
  <c r="D2695" i="2"/>
  <c r="H2695" i="2" s="1"/>
  <c r="G2694" i="2"/>
  <c r="F2694" i="2"/>
  <c r="H2694" i="2" s="1"/>
  <c r="D2694" i="2"/>
  <c r="G2693" i="2"/>
  <c r="F2693" i="2"/>
  <c r="D2693" i="2"/>
  <c r="H2693" i="2" s="1"/>
  <c r="G2692" i="2"/>
  <c r="F2692" i="2"/>
  <c r="D2692" i="2"/>
  <c r="H2692" i="2" s="1"/>
  <c r="H2691" i="2"/>
  <c r="G2690" i="2"/>
  <c r="H2690" i="2" s="1"/>
  <c r="F2690" i="2"/>
  <c r="D2690" i="2"/>
  <c r="G2689" i="2"/>
  <c r="F2689" i="2"/>
  <c r="D2689" i="2"/>
  <c r="H2689" i="2" s="1"/>
  <c r="G2688" i="2"/>
  <c r="F2688" i="2"/>
  <c r="D2688" i="2"/>
  <c r="H2688" i="2" s="1"/>
  <c r="G2687" i="2"/>
  <c r="H2687" i="2" s="1"/>
  <c r="F2687" i="2"/>
  <c r="D2687" i="2"/>
  <c r="G2686" i="2"/>
  <c r="F2686" i="2"/>
  <c r="D2686" i="2"/>
  <c r="H2686" i="2" s="1"/>
  <c r="G2685" i="2"/>
  <c r="F2685" i="2"/>
  <c r="D2685" i="2"/>
  <c r="H2685" i="2" s="1"/>
  <c r="G2684" i="2"/>
  <c r="H2684" i="2" s="1"/>
  <c r="F2684" i="2"/>
  <c r="D2684" i="2"/>
  <c r="G2683" i="2"/>
  <c r="F2683" i="2"/>
  <c r="D2683" i="2"/>
  <c r="H2683" i="2" s="1"/>
  <c r="G2682" i="2"/>
  <c r="F2682" i="2"/>
  <c r="D2682" i="2"/>
  <c r="H2682" i="2" s="1"/>
  <c r="G2681" i="2"/>
  <c r="H2681" i="2" s="1"/>
  <c r="F2681" i="2"/>
  <c r="D2681" i="2"/>
  <c r="H2680" i="2"/>
  <c r="G2679" i="2"/>
  <c r="H2679" i="2" s="1"/>
  <c r="F2679" i="2"/>
  <c r="D2679" i="2"/>
  <c r="G2678" i="2"/>
  <c r="F2678" i="2"/>
  <c r="D2678" i="2"/>
  <c r="H2678" i="2" s="1"/>
  <c r="H2677" i="2"/>
  <c r="G2677" i="2"/>
  <c r="F2677" i="2"/>
  <c r="D2677" i="2"/>
  <c r="G2676" i="2"/>
  <c r="H2676" i="2" s="1"/>
  <c r="F2676" i="2"/>
  <c r="D2676" i="2"/>
  <c r="G2675" i="2"/>
  <c r="F2675" i="2"/>
  <c r="D2675" i="2"/>
  <c r="H2675" i="2" s="1"/>
  <c r="H2674" i="2"/>
  <c r="G2674" i="2"/>
  <c r="F2674" i="2"/>
  <c r="D2674" i="2"/>
  <c r="G2673" i="2"/>
  <c r="H2673" i="2" s="1"/>
  <c r="F2673" i="2"/>
  <c r="D2673" i="2"/>
  <c r="G2672" i="2"/>
  <c r="F2672" i="2"/>
  <c r="D2672" i="2"/>
  <c r="H2672" i="2" s="1"/>
  <c r="H2671" i="2"/>
  <c r="G2671" i="2"/>
  <c r="F2671" i="2"/>
  <c r="D2671" i="2"/>
  <c r="G2670" i="2"/>
  <c r="H2670" i="2" s="1"/>
  <c r="F2670" i="2"/>
  <c r="D2670" i="2"/>
  <c r="H2669" i="2"/>
  <c r="G2668" i="2"/>
  <c r="F2668" i="2"/>
  <c r="D2668" i="2"/>
  <c r="H2668" i="2" s="1"/>
  <c r="G2667" i="2"/>
  <c r="F2667" i="2"/>
  <c r="D2667" i="2"/>
  <c r="H2667" i="2" s="1"/>
  <c r="H2666" i="2"/>
  <c r="G2666" i="2"/>
  <c r="F2666" i="2"/>
  <c r="D2666" i="2"/>
  <c r="G2665" i="2"/>
  <c r="F2665" i="2"/>
  <c r="D2665" i="2"/>
  <c r="H2665" i="2" s="1"/>
  <c r="G2664" i="2"/>
  <c r="F2664" i="2"/>
  <c r="D2664" i="2"/>
  <c r="H2664" i="2" s="1"/>
  <c r="H2663" i="2"/>
  <c r="G2663" i="2"/>
  <c r="F2663" i="2"/>
  <c r="D2663" i="2"/>
  <c r="G2662" i="2"/>
  <c r="F2662" i="2"/>
  <c r="D2662" i="2"/>
  <c r="H2662" i="2" s="1"/>
  <c r="G2661" i="2"/>
  <c r="F2661" i="2"/>
  <c r="D2661" i="2"/>
  <c r="H2661" i="2" s="1"/>
  <c r="H2660" i="2"/>
  <c r="G2660" i="2"/>
  <c r="F2660" i="2"/>
  <c r="D2660" i="2"/>
  <c r="G2659" i="2"/>
  <c r="F2659" i="2"/>
  <c r="D2659" i="2"/>
  <c r="H2659" i="2" s="1"/>
  <c r="H2658" i="2"/>
  <c r="G2657" i="2"/>
  <c r="F2657" i="2"/>
  <c r="D2657" i="2"/>
  <c r="H2657" i="2" s="1"/>
  <c r="G2656" i="2"/>
  <c r="F2656" i="2"/>
  <c r="D2656" i="2"/>
  <c r="H2656" i="2" s="1"/>
  <c r="G2655" i="2"/>
  <c r="F2655" i="2"/>
  <c r="H2655" i="2" s="1"/>
  <c r="D2655" i="2"/>
  <c r="G2654" i="2"/>
  <c r="F2654" i="2"/>
  <c r="D2654" i="2"/>
  <c r="H2654" i="2" s="1"/>
  <c r="G2653" i="2"/>
  <c r="F2653" i="2"/>
  <c r="D2653" i="2"/>
  <c r="H2653" i="2" s="1"/>
  <c r="G2652" i="2"/>
  <c r="F2652" i="2"/>
  <c r="H2652" i="2" s="1"/>
  <c r="D2652" i="2"/>
  <c r="G2651" i="2"/>
  <c r="F2651" i="2"/>
  <c r="D2651" i="2"/>
  <c r="H2651" i="2" s="1"/>
  <c r="G2650" i="2"/>
  <c r="F2650" i="2"/>
  <c r="D2650" i="2"/>
  <c r="H2650" i="2" s="1"/>
  <c r="G2649" i="2"/>
  <c r="F2649" i="2"/>
  <c r="H2649" i="2" s="1"/>
  <c r="D2649" i="2"/>
  <c r="G2648" i="2"/>
  <c r="F2648" i="2"/>
  <c r="D2648" i="2"/>
  <c r="H2648" i="2" s="1"/>
  <c r="H2647" i="2"/>
  <c r="G2646" i="2"/>
  <c r="F2646" i="2"/>
  <c r="D2646" i="2"/>
  <c r="H2646" i="2" s="1"/>
  <c r="G2645" i="2"/>
  <c r="H2645" i="2" s="1"/>
  <c r="F2645" i="2"/>
  <c r="D2645" i="2"/>
  <c r="G2644" i="2"/>
  <c r="F2644" i="2"/>
  <c r="D2644" i="2"/>
  <c r="H2644" i="2" s="1"/>
  <c r="G2643" i="2"/>
  <c r="F2643" i="2"/>
  <c r="D2643" i="2"/>
  <c r="H2643" i="2" s="1"/>
  <c r="G2642" i="2"/>
  <c r="H2642" i="2" s="1"/>
  <c r="F2642" i="2"/>
  <c r="D2642" i="2"/>
  <c r="G2641" i="2"/>
  <c r="F2641" i="2"/>
  <c r="D2641" i="2"/>
  <c r="H2641" i="2" s="1"/>
  <c r="G2640" i="2"/>
  <c r="F2640" i="2"/>
  <c r="D2640" i="2"/>
  <c r="H2640" i="2" s="1"/>
  <c r="G2639" i="2"/>
  <c r="H2639" i="2" s="1"/>
  <c r="F2639" i="2"/>
  <c r="D2639" i="2"/>
  <c r="G2638" i="2"/>
  <c r="F2638" i="2"/>
  <c r="D2638" i="2"/>
  <c r="H2638" i="2" s="1"/>
  <c r="G2637" i="2"/>
  <c r="F2637" i="2"/>
  <c r="D2637" i="2"/>
  <c r="H2637" i="2" s="1"/>
  <c r="H2636" i="2"/>
  <c r="H2635" i="2"/>
  <c r="G2635" i="2"/>
  <c r="F2635" i="2"/>
  <c r="D2635" i="2"/>
  <c r="G2634" i="2"/>
  <c r="H2634" i="2" s="1"/>
  <c r="F2634" i="2"/>
  <c r="D2634" i="2"/>
  <c r="G2633" i="2"/>
  <c r="F2633" i="2"/>
  <c r="D2633" i="2"/>
  <c r="H2633" i="2" s="1"/>
  <c r="H2632" i="2"/>
  <c r="G2632" i="2"/>
  <c r="F2632" i="2"/>
  <c r="D2632" i="2"/>
  <c r="G2631" i="2"/>
  <c r="H2631" i="2" s="1"/>
  <c r="F2631" i="2"/>
  <c r="D2631" i="2"/>
  <c r="G2630" i="2"/>
  <c r="F2630" i="2"/>
  <c r="D2630" i="2"/>
  <c r="H2630" i="2" s="1"/>
  <c r="H2629" i="2"/>
  <c r="G2629" i="2"/>
  <c r="F2629" i="2"/>
  <c r="D2629" i="2"/>
  <c r="G2628" i="2"/>
  <c r="H2628" i="2" s="1"/>
  <c r="F2628" i="2"/>
  <c r="D2628" i="2"/>
  <c r="G2627" i="2"/>
  <c r="F2627" i="2"/>
  <c r="D2627" i="2"/>
  <c r="H2627" i="2" s="1"/>
  <c r="H2626" i="2"/>
  <c r="G2626" i="2"/>
  <c r="F2626" i="2"/>
  <c r="D2626" i="2"/>
  <c r="H2625" i="2"/>
  <c r="H2624" i="2"/>
  <c r="G2624" i="2"/>
  <c r="F2624" i="2"/>
  <c r="D2624" i="2"/>
  <c r="G2623" i="2"/>
  <c r="F2623" i="2"/>
  <c r="D2623" i="2"/>
  <c r="H2623" i="2" s="1"/>
  <c r="G2622" i="2"/>
  <c r="F2622" i="2"/>
  <c r="D2622" i="2"/>
  <c r="H2622" i="2" s="1"/>
  <c r="H2621" i="2"/>
  <c r="G2621" i="2"/>
  <c r="F2621" i="2"/>
  <c r="D2621" i="2"/>
  <c r="G2620" i="2"/>
  <c r="F2620" i="2"/>
  <c r="D2620" i="2"/>
  <c r="H2620" i="2" s="1"/>
  <c r="G2619" i="2"/>
  <c r="F2619" i="2"/>
  <c r="D2619" i="2"/>
  <c r="H2619" i="2" s="1"/>
  <c r="H2618" i="2"/>
  <c r="G2618" i="2"/>
  <c r="F2618" i="2"/>
  <c r="D2618" i="2"/>
  <c r="G2617" i="2"/>
  <c r="F2617" i="2"/>
  <c r="D2617" i="2"/>
  <c r="H2617" i="2" s="1"/>
  <c r="G2616" i="2"/>
  <c r="F2616" i="2"/>
  <c r="D2616" i="2"/>
  <c r="H2616" i="2" s="1"/>
  <c r="H2615" i="2"/>
  <c r="G2615" i="2"/>
  <c r="F2615" i="2"/>
  <c r="D2615" i="2"/>
  <c r="H2614" i="2"/>
  <c r="G2613" i="2"/>
  <c r="F2613" i="2"/>
  <c r="H2613" i="2" s="1"/>
  <c r="D2613" i="2"/>
  <c r="G2612" i="2"/>
  <c r="F2612" i="2"/>
  <c r="D2612" i="2"/>
  <c r="H2612" i="2" s="1"/>
  <c r="G2611" i="2"/>
  <c r="F2611" i="2"/>
  <c r="D2611" i="2"/>
  <c r="H2611" i="2" s="1"/>
  <c r="G2610" i="2"/>
  <c r="F2610" i="2"/>
  <c r="H2610" i="2" s="1"/>
  <c r="D2610" i="2"/>
  <c r="G2609" i="2"/>
  <c r="F2609" i="2"/>
  <c r="D2609" i="2"/>
  <c r="H2609" i="2" s="1"/>
  <c r="G2608" i="2"/>
  <c r="F2608" i="2"/>
  <c r="D2608" i="2"/>
  <c r="H2608" i="2" s="1"/>
  <c r="G2607" i="2"/>
  <c r="F2607" i="2"/>
  <c r="H2607" i="2" s="1"/>
  <c r="D2607" i="2"/>
  <c r="G2606" i="2"/>
  <c r="F2606" i="2"/>
  <c r="D2606" i="2"/>
  <c r="H2606" i="2" s="1"/>
  <c r="G2605" i="2"/>
  <c r="F2605" i="2"/>
  <c r="D2605" i="2"/>
  <c r="H2605" i="2" s="1"/>
  <c r="G2604" i="2"/>
  <c r="F2604" i="2"/>
  <c r="H2604" i="2" s="1"/>
  <c r="D2604" i="2"/>
  <c r="H2603" i="2"/>
  <c r="G2602" i="2"/>
  <c r="F2602" i="2"/>
  <c r="D2602" i="2"/>
  <c r="H2602" i="2" s="1"/>
  <c r="G2601" i="2"/>
  <c r="F2601" i="2"/>
  <c r="D2601" i="2"/>
  <c r="H2601" i="2" s="1"/>
  <c r="G2600" i="2"/>
  <c r="H2600" i="2" s="1"/>
  <c r="F2600" i="2"/>
  <c r="D2600" i="2"/>
  <c r="G2599" i="2"/>
  <c r="F2599" i="2"/>
  <c r="D2599" i="2"/>
  <c r="H2599" i="2" s="1"/>
  <c r="G2598" i="2"/>
  <c r="F2598" i="2"/>
  <c r="D2598" i="2"/>
  <c r="H2598" i="2" s="1"/>
  <c r="G2597" i="2"/>
  <c r="H2597" i="2" s="1"/>
  <c r="F2597" i="2"/>
  <c r="D2597" i="2"/>
  <c r="G2596" i="2"/>
  <c r="F2596" i="2"/>
  <c r="D2596" i="2"/>
  <c r="H2596" i="2" s="1"/>
  <c r="G2595" i="2"/>
  <c r="F2595" i="2"/>
  <c r="D2595" i="2"/>
  <c r="H2595" i="2" s="1"/>
  <c r="G2594" i="2"/>
  <c r="H2594" i="2" s="1"/>
  <c r="F2594" i="2"/>
  <c r="D2594" i="2"/>
  <c r="G2593" i="2"/>
  <c r="F2593" i="2"/>
  <c r="D2593" i="2"/>
  <c r="H2593" i="2" s="1"/>
  <c r="H2592" i="2"/>
  <c r="G2591" i="2"/>
  <c r="F2591" i="2"/>
  <c r="D2591" i="2"/>
  <c r="H2591" i="2" s="1"/>
  <c r="H2590" i="2"/>
  <c r="G2590" i="2"/>
  <c r="F2590" i="2"/>
  <c r="D2590" i="2"/>
  <c r="G2589" i="2"/>
  <c r="H2589" i="2" s="1"/>
  <c r="F2589" i="2"/>
  <c r="D2589" i="2"/>
  <c r="G2588" i="2"/>
  <c r="F2588" i="2"/>
  <c r="D2588" i="2"/>
  <c r="H2588" i="2" s="1"/>
  <c r="H2587" i="2"/>
  <c r="G2587" i="2"/>
  <c r="F2587" i="2"/>
  <c r="D2587" i="2"/>
  <c r="G2586" i="2"/>
  <c r="H2586" i="2" s="1"/>
  <c r="F2586" i="2"/>
  <c r="D2586" i="2"/>
  <c r="G2585" i="2"/>
  <c r="F2585" i="2"/>
  <c r="D2585" i="2"/>
  <c r="H2585" i="2" s="1"/>
  <c r="H2584" i="2"/>
  <c r="G2584" i="2"/>
  <c r="F2584" i="2"/>
  <c r="D2584" i="2"/>
  <c r="G2583" i="2"/>
  <c r="H2583" i="2" s="1"/>
  <c r="F2583" i="2"/>
  <c r="D2583" i="2"/>
  <c r="G2582" i="2"/>
  <c r="F2582" i="2"/>
  <c r="D2582" i="2"/>
  <c r="H2582" i="2" s="1"/>
  <c r="H2581" i="2"/>
  <c r="G2580" i="2"/>
  <c r="F2580" i="2"/>
  <c r="D2580" i="2"/>
  <c r="H2580" i="2" s="1"/>
  <c r="H2579" i="2"/>
  <c r="G2579" i="2"/>
  <c r="F2579" i="2"/>
  <c r="D2579" i="2"/>
  <c r="G2578" i="2"/>
  <c r="F2578" i="2"/>
  <c r="D2578" i="2"/>
  <c r="H2578" i="2" s="1"/>
  <c r="G2577" i="2"/>
  <c r="F2577" i="2"/>
  <c r="D2577" i="2"/>
  <c r="H2577" i="2" s="1"/>
  <c r="H2576" i="2"/>
  <c r="G2576" i="2"/>
  <c r="F2576" i="2"/>
  <c r="D2576" i="2"/>
  <c r="G2575" i="2"/>
  <c r="F2575" i="2"/>
  <c r="D2575" i="2"/>
  <c r="H2575" i="2" s="1"/>
  <c r="G2574" i="2"/>
  <c r="F2574" i="2"/>
  <c r="D2574" i="2"/>
  <c r="H2574" i="2" s="1"/>
  <c r="H2573" i="2"/>
  <c r="G2573" i="2"/>
  <c r="F2573" i="2"/>
  <c r="D2573" i="2"/>
  <c r="G2572" i="2"/>
  <c r="F2572" i="2"/>
  <c r="D2572" i="2"/>
  <c r="H2572" i="2" s="1"/>
  <c r="G2571" i="2"/>
  <c r="F2571" i="2"/>
  <c r="D2571" i="2"/>
  <c r="H2571" i="2" s="1"/>
  <c r="H2570" i="2"/>
  <c r="G2569" i="2"/>
  <c r="F2569" i="2"/>
  <c r="D2569" i="2"/>
  <c r="H2569" i="2" s="1"/>
  <c r="G2568" i="2"/>
  <c r="F2568" i="2"/>
  <c r="H2568" i="2" s="1"/>
  <c r="D2568" i="2"/>
  <c r="G2567" i="2"/>
  <c r="F2567" i="2"/>
  <c r="D2567" i="2"/>
  <c r="H2567" i="2" s="1"/>
  <c r="G2566" i="2"/>
  <c r="F2566" i="2"/>
  <c r="D2566" i="2"/>
  <c r="H2566" i="2" s="1"/>
  <c r="G2565" i="2"/>
  <c r="F2565" i="2"/>
  <c r="H2565" i="2" s="1"/>
  <c r="D2565" i="2"/>
  <c r="G2564" i="2"/>
  <c r="F2564" i="2"/>
  <c r="D2564" i="2"/>
  <c r="H2564" i="2" s="1"/>
  <c r="G2563" i="2"/>
  <c r="F2563" i="2"/>
  <c r="D2563" i="2"/>
  <c r="H2563" i="2" s="1"/>
  <c r="G2562" i="2"/>
  <c r="F2562" i="2"/>
  <c r="H2562" i="2" s="1"/>
  <c r="D2562" i="2"/>
  <c r="G2561" i="2"/>
  <c r="F2561" i="2"/>
  <c r="D2561" i="2"/>
  <c r="H2561" i="2" s="1"/>
  <c r="G2560" i="2"/>
  <c r="F2560" i="2"/>
  <c r="D2560" i="2"/>
  <c r="H2560" i="2" s="1"/>
  <c r="H2559" i="2"/>
  <c r="G2558" i="2"/>
  <c r="H2558" i="2" s="1"/>
  <c r="F2558" i="2"/>
  <c r="D2558" i="2"/>
  <c r="G2557" i="2"/>
  <c r="F2557" i="2"/>
  <c r="D2557" i="2"/>
  <c r="H2557" i="2" s="1"/>
  <c r="G2556" i="2"/>
  <c r="F2556" i="2"/>
  <c r="D2556" i="2"/>
  <c r="H2556" i="2" s="1"/>
  <c r="G2555" i="2"/>
  <c r="H2555" i="2" s="1"/>
  <c r="F2555" i="2"/>
  <c r="D2555" i="2"/>
  <c r="G2554" i="2"/>
  <c r="F2554" i="2"/>
  <c r="D2554" i="2"/>
  <c r="H2554" i="2" s="1"/>
  <c r="G2553" i="2"/>
  <c r="F2553" i="2"/>
  <c r="D2553" i="2"/>
  <c r="H2553" i="2" s="1"/>
  <c r="G2552" i="2"/>
  <c r="H2552" i="2" s="1"/>
  <c r="F2552" i="2"/>
  <c r="D2552" i="2"/>
  <c r="G2551" i="2"/>
  <c r="F2551" i="2"/>
  <c r="D2551" i="2"/>
  <c r="H2551" i="2" s="1"/>
  <c r="G2550" i="2"/>
  <c r="F2550" i="2"/>
  <c r="D2550" i="2"/>
  <c r="H2550" i="2" s="1"/>
  <c r="G2549" i="2"/>
  <c r="H2549" i="2" s="1"/>
  <c r="F2549" i="2"/>
  <c r="D2549" i="2"/>
  <c r="H2548" i="2"/>
  <c r="G2547" i="2"/>
  <c r="H2547" i="2" s="1"/>
  <c r="F2547" i="2"/>
  <c r="D2547" i="2"/>
  <c r="G2546" i="2"/>
  <c r="F2546" i="2"/>
  <c r="D2546" i="2"/>
  <c r="H2546" i="2" s="1"/>
  <c r="H2545" i="2"/>
  <c r="G2545" i="2"/>
  <c r="F2545" i="2"/>
  <c r="D2545" i="2"/>
  <c r="G2544" i="2"/>
  <c r="H2544" i="2" s="1"/>
  <c r="F2544" i="2"/>
  <c r="D2544" i="2"/>
  <c r="G2543" i="2"/>
  <c r="F2543" i="2"/>
  <c r="D2543" i="2"/>
  <c r="H2543" i="2" s="1"/>
  <c r="H2542" i="2"/>
  <c r="G2542" i="2"/>
  <c r="F2542" i="2"/>
  <c r="D2542" i="2"/>
  <c r="G2541" i="2"/>
  <c r="H2541" i="2" s="1"/>
  <c r="F2541" i="2"/>
  <c r="D2541" i="2"/>
  <c r="G2540" i="2"/>
  <c r="F2540" i="2"/>
  <c r="D2540" i="2"/>
  <c r="H2540" i="2" s="1"/>
  <c r="H2539" i="2"/>
  <c r="G2539" i="2"/>
  <c r="F2539" i="2"/>
  <c r="D2539" i="2"/>
  <c r="G2538" i="2"/>
  <c r="H2538" i="2" s="1"/>
  <c r="F2538" i="2"/>
  <c r="D2538" i="2"/>
  <c r="H2537" i="2"/>
  <c r="G2536" i="2"/>
  <c r="F2536" i="2"/>
  <c r="D2536" i="2"/>
  <c r="H2536" i="2" s="1"/>
  <c r="G2535" i="2"/>
  <c r="F2535" i="2"/>
  <c r="D2535" i="2"/>
  <c r="H2535" i="2" s="1"/>
  <c r="H2534" i="2"/>
  <c r="G2534" i="2"/>
  <c r="F2534" i="2"/>
  <c r="D2534" i="2"/>
  <c r="G2533" i="2"/>
  <c r="F2533" i="2"/>
  <c r="D2533" i="2"/>
  <c r="H2533" i="2" s="1"/>
  <c r="G2532" i="2"/>
  <c r="F2532" i="2"/>
  <c r="D2532" i="2"/>
  <c r="H2532" i="2" s="1"/>
  <c r="H2531" i="2"/>
  <c r="G2531" i="2"/>
  <c r="F2531" i="2"/>
  <c r="D2531" i="2"/>
  <c r="G2530" i="2"/>
  <c r="F2530" i="2"/>
  <c r="D2530" i="2"/>
  <c r="H2530" i="2" s="1"/>
  <c r="G2529" i="2"/>
  <c r="F2529" i="2"/>
  <c r="D2529" i="2"/>
  <c r="H2529" i="2" s="1"/>
  <c r="H2528" i="2"/>
  <c r="G2528" i="2"/>
  <c r="F2528" i="2"/>
  <c r="D2528" i="2"/>
  <c r="G2527" i="2"/>
  <c r="F2527" i="2"/>
  <c r="D2527" i="2"/>
  <c r="H2527" i="2" s="1"/>
  <c r="H2526" i="2"/>
  <c r="G2525" i="2"/>
  <c r="F2525" i="2"/>
  <c r="D2525" i="2"/>
  <c r="H2525" i="2" s="1"/>
  <c r="G2524" i="2"/>
  <c r="F2524" i="2"/>
  <c r="D2524" i="2"/>
  <c r="H2524" i="2" s="1"/>
  <c r="G2523" i="2"/>
  <c r="F2523" i="2"/>
  <c r="H2523" i="2" s="1"/>
  <c r="D2523" i="2"/>
  <c r="G2522" i="2"/>
  <c r="F2522" i="2"/>
  <c r="D2522" i="2"/>
  <c r="H2522" i="2" s="1"/>
  <c r="G2521" i="2"/>
  <c r="F2521" i="2"/>
  <c r="D2521" i="2"/>
  <c r="H2521" i="2" s="1"/>
  <c r="G2520" i="2"/>
  <c r="F2520" i="2"/>
  <c r="H2520" i="2" s="1"/>
  <c r="D2520" i="2"/>
  <c r="G2519" i="2"/>
  <c r="F2519" i="2"/>
  <c r="D2519" i="2"/>
  <c r="H2519" i="2" s="1"/>
  <c r="G2518" i="2"/>
  <c r="F2518" i="2"/>
  <c r="D2518" i="2"/>
  <c r="H2518" i="2" s="1"/>
  <c r="G2517" i="2"/>
  <c r="F2517" i="2"/>
  <c r="H2517" i="2" s="1"/>
  <c r="D2517" i="2"/>
  <c r="G2516" i="2"/>
  <c r="F2516" i="2"/>
  <c r="D2516" i="2"/>
  <c r="H2516" i="2" s="1"/>
  <c r="H2515" i="2"/>
  <c r="G2514" i="2"/>
  <c r="F2514" i="2"/>
  <c r="D2514" i="2"/>
  <c r="H2514" i="2" s="1"/>
  <c r="G2513" i="2"/>
  <c r="H2513" i="2" s="1"/>
  <c r="F2513" i="2"/>
  <c r="D2513" i="2"/>
  <c r="G2512" i="2"/>
  <c r="F2512" i="2"/>
  <c r="D2512" i="2"/>
  <c r="H2512" i="2" s="1"/>
  <c r="G2511" i="2"/>
  <c r="F2511" i="2"/>
  <c r="D2511" i="2"/>
  <c r="H2511" i="2" s="1"/>
  <c r="G2510" i="2"/>
  <c r="H2510" i="2" s="1"/>
  <c r="F2510" i="2"/>
  <c r="D2510" i="2"/>
  <c r="G2509" i="2"/>
  <c r="F2509" i="2"/>
  <c r="D2509" i="2"/>
  <c r="H2509" i="2" s="1"/>
  <c r="G2508" i="2"/>
  <c r="F2508" i="2"/>
  <c r="D2508" i="2"/>
  <c r="H2508" i="2" s="1"/>
  <c r="G2507" i="2"/>
  <c r="H2507" i="2" s="1"/>
  <c r="F2507" i="2"/>
  <c r="D2507" i="2"/>
  <c r="G2506" i="2"/>
  <c r="F2506" i="2"/>
  <c r="D2506" i="2"/>
  <c r="H2506" i="2" s="1"/>
  <c r="G2505" i="2"/>
  <c r="F2505" i="2"/>
  <c r="D2505" i="2"/>
  <c r="H2505" i="2" s="1"/>
  <c r="G2504" i="2"/>
  <c r="H2504" i="2" s="1"/>
  <c r="F2504" i="2"/>
  <c r="D2504" i="2"/>
  <c r="G2503" i="2"/>
  <c r="F2503" i="2"/>
  <c r="D2503" i="2"/>
  <c r="H2503" i="2" s="1"/>
  <c r="G2502" i="2"/>
  <c r="F2502" i="2"/>
  <c r="D2502" i="2"/>
  <c r="H2502" i="2" s="1"/>
  <c r="G2501" i="2"/>
  <c r="H2501" i="2" s="1"/>
  <c r="F2501" i="2"/>
  <c r="D2501" i="2"/>
  <c r="G2500" i="2"/>
  <c r="F2500" i="2"/>
  <c r="D2500" i="2"/>
  <c r="H2499" i="2"/>
  <c r="G2498" i="2"/>
  <c r="F2498" i="2"/>
  <c r="D2498" i="2"/>
  <c r="H2498" i="2" s="1"/>
  <c r="H2497" i="2"/>
  <c r="G2497" i="2"/>
  <c r="F2497" i="2"/>
  <c r="D2497" i="2"/>
  <c r="G2496" i="2"/>
  <c r="H2496" i="2" s="1"/>
  <c r="F2496" i="2"/>
  <c r="D2496" i="2"/>
  <c r="G2495" i="2"/>
  <c r="F2495" i="2"/>
  <c r="D2495" i="2"/>
  <c r="H2495" i="2" s="1"/>
  <c r="H2494" i="2"/>
  <c r="G2494" i="2"/>
  <c r="F2494" i="2"/>
  <c r="D2494" i="2"/>
  <c r="G2493" i="2"/>
  <c r="H2493" i="2" s="1"/>
  <c r="F2493" i="2"/>
  <c r="D2493" i="2"/>
  <c r="G2492" i="2"/>
  <c r="F2492" i="2"/>
  <c r="D2492" i="2"/>
  <c r="H2492" i="2" s="1"/>
  <c r="H2491" i="2"/>
  <c r="G2491" i="2"/>
  <c r="F2491" i="2"/>
  <c r="D2491" i="2"/>
  <c r="G2490" i="2"/>
  <c r="H2490" i="2" s="1"/>
  <c r="F2490" i="2"/>
  <c r="D2490" i="2"/>
  <c r="G2489" i="2"/>
  <c r="F2489" i="2"/>
  <c r="D2489" i="2"/>
  <c r="H2489" i="2" s="1"/>
  <c r="H2488" i="2"/>
  <c r="G2487" i="2"/>
  <c r="F2487" i="2"/>
  <c r="D2487" i="2"/>
  <c r="H2487" i="2" s="1"/>
  <c r="H2486" i="2"/>
  <c r="G2486" i="2"/>
  <c r="F2486" i="2"/>
  <c r="D2486" i="2"/>
  <c r="G2485" i="2"/>
  <c r="F2485" i="2"/>
  <c r="D2485" i="2"/>
  <c r="H2485" i="2" s="1"/>
  <c r="G2484" i="2"/>
  <c r="F2484" i="2"/>
  <c r="D2484" i="2"/>
  <c r="H2484" i="2" s="1"/>
  <c r="H2483" i="2"/>
  <c r="G2483" i="2"/>
  <c r="F2483" i="2"/>
  <c r="D2483" i="2"/>
  <c r="G2482" i="2"/>
  <c r="F2482" i="2"/>
  <c r="D2482" i="2"/>
  <c r="H2482" i="2" s="1"/>
  <c r="G2481" i="2"/>
  <c r="F2481" i="2"/>
  <c r="D2481" i="2"/>
  <c r="H2481" i="2" s="1"/>
  <c r="H2480" i="2"/>
  <c r="G2480" i="2"/>
  <c r="F2480" i="2"/>
  <c r="D2480" i="2"/>
  <c r="G2479" i="2"/>
  <c r="F2479" i="2"/>
  <c r="D2479" i="2"/>
  <c r="H2479" i="2" s="1"/>
  <c r="G2478" i="2"/>
  <c r="F2478" i="2"/>
  <c r="D2478" i="2"/>
  <c r="H2478" i="2" s="1"/>
  <c r="H2477" i="2"/>
  <c r="H2476" i="2"/>
  <c r="G2475" i="2"/>
  <c r="F2475" i="2"/>
  <c r="D2475" i="2"/>
  <c r="H2475" i="2" s="1"/>
  <c r="G2474" i="2"/>
  <c r="H2474" i="2" s="1"/>
  <c r="F2474" i="2"/>
  <c r="D2474" i="2"/>
  <c r="G2473" i="2"/>
  <c r="F2473" i="2"/>
  <c r="D2473" i="2"/>
  <c r="H2473" i="2" s="1"/>
  <c r="G2472" i="2"/>
  <c r="F2472" i="2"/>
  <c r="D2472" i="2"/>
  <c r="H2472" i="2" s="1"/>
  <c r="G2471" i="2"/>
  <c r="H2471" i="2" s="1"/>
  <c r="F2471" i="2"/>
  <c r="D2471" i="2"/>
  <c r="G2470" i="2"/>
  <c r="F2470" i="2"/>
  <c r="D2470" i="2"/>
  <c r="G2469" i="2"/>
  <c r="F2469" i="2"/>
  <c r="D2469" i="2"/>
  <c r="H2469" i="2" s="1"/>
  <c r="G2468" i="2"/>
  <c r="H2468" i="2" s="1"/>
  <c r="F2468" i="2"/>
  <c r="D2468" i="2"/>
  <c r="G2467" i="2"/>
  <c r="F2467" i="2"/>
  <c r="D2467" i="2"/>
  <c r="H2467" i="2" s="1"/>
  <c r="G2466" i="2"/>
  <c r="F2466" i="2"/>
  <c r="D2466" i="2"/>
  <c r="H2466" i="2" s="1"/>
  <c r="H2465" i="2"/>
  <c r="H2464" i="2"/>
  <c r="G2463" i="2"/>
  <c r="F2463" i="2"/>
  <c r="D2463" i="2"/>
  <c r="H2463" i="2" s="1"/>
  <c r="H2462" i="2"/>
  <c r="G2462" i="2"/>
  <c r="F2462" i="2"/>
  <c r="D2462" i="2"/>
  <c r="G2461" i="2"/>
  <c r="F2461" i="2"/>
  <c r="D2461" i="2"/>
  <c r="H2461" i="2" s="1"/>
  <c r="G2460" i="2"/>
  <c r="F2460" i="2"/>
  <c r="D2460" i="2"/>
  <c r="H2460" i="2" s="1"/>
  <c r="H2459" i="2"/>
  <c r="G2459" i="2"/>
  <c r="F2459" i="2"/>
  <c r="D2459" i="2"/>
  <c r="G2458" i="2"/>
  <c r="F2458" i="2"/>
  <c r="D2458" i="2"/>
  <c r="H2458" i="2" s="1"/>
  <c r="G2457" i="2"/>
  <c r="F2457" i="2"/>
  <c r="D2457" i="2"/>
  <c r="H2457" i="2" s="1"/>
  <c r="H2456" i="2"/>
  <c r="G2456" i="2"/>
  <c r="F2456" i="2"/>
  <c r="D2456" i="2"/>
  <c r="G2455" i="2"/>
  <c r="F2455" i="2"/>
  <c r="D2455" i="2"/>
  <c r="G2454" i="2"/>
  <c r="F2454" i="2"/>
  <c r="D2454" i="2"/>
  <c r="H2454" i="2" s="1"/>
  <c r="H2453" i="2"/>
  <c r="G2452" i="2"/>
  <c r="F2452" i="2"/>
  <c r="H2452" i="2" s="1"/>
  <c r="D2452" i="2"/>
  <c r="G2451" i="2"/>
  <c r="F2451" i="2"/>
  <c r="H2451" i="2" s="1"/>
  <c r="D2451" i="2"/>
  <c r="G2450" i="2"/>
  <c r="F2450" i="2"/>
  <c r="D2450" i="2"/>
  <c r="H2450" i="2" s="1"/>
  <c r="G2449" i="2"/>
  <c r="F2449" i="2"/>
  <c r="H2449" i="2" s="1"/>
  <c r="D2449" i="2"/>
  <c r="G2448" i="2"/>
  <c r="F2448" i="2"/>
  <c r="H2448" i="2" s="1"/>
  <c r="D2448" i="2"/>
  <c r="G2447" i="2"/>
  <c r="F2447" i="2"/>
  <c r="D2447" i="2"/>
  <c r="H2447" i="2" s="1"/>
  <c r="G2446" i="2"/>
  <c r="F2446" i="2"/>
  <c r="H2446" i="2" s="1"/>
  <c r="D2446" i="2"/>
  <c r="H2445" i="2"/>
  <c r="G2445" i="2"/>
  <c r="F2445" i="2"/>
  <c r="D2445" i="2"/>
  <c r="G2444" i="2"/>
  <c r="F2444" i="2"/>
  <c r="D2444" i="2"/>
  <c r="H2444" i="2" s="1"/>
  <c r="G2443" i="2"/>
  <c r="F2443" i="2"/>
  <c r="D2443" i="2"/>
  <c r="H2443" i="2" s="1"/>
  <c r="H2442" i="2"/>
  <c r="H2441" i="2"/>
  <c r="H2440" i="2"/>
  <c r="G2440" i="2"/>
  <c r="F2440" i="2"/>
  <c r="D2440" i="2"/>
  <c r="G2439" i="2"/>
  <c r="H2439" i="2" s="1"/>
  <c r="F2439" i="2"/>
  <c r="D2439" i="2"/>
  <c r="G2438" i="2"/>
  <c r="F2438" i="2"/>
  <c r="D2438" i="2"/>
  <c r="H2437" i="2"/>
  <c r="G2437" i="2"/>
  <c r="F2437" i="2"/>
  <c r="D2437" i="2"/>
  <c r="G2436" i="2"/>
  <c r="H2436" i="2" s="1"/>
  <c r="F2436" i="2"/>
  <c r="D2436" i="2"/>
  <c r="G2435" i="2"/>
  <c r="F2435" i="2"/>
  <c r="D2435" i="2"/>
  <c r="H2434" i="2"/>
  <c r="G2434" i="2"/>
  <c r="F2434" i="2"/>
  <c r="D2434" i="2"/>
  <c r="G2433" i="2"/>
  <c r="H2433" i="2" s="1"/>
  <c r="F2433" i="2"/>
  <c r="D2433" i="2"/>
  <c r="G2432" i="2"/>
  <c r="F2432" i="2"/>
  <c r="D2432" i="2"/>
  <c r="H2432" i="2" s="1"/>
  <c r="H2431" i="2"/>
  <c r="G2431" i="2"/>
  <c r="F2431" i="2"/>
  <c r="D2431" i="2"/>
  <c r="H2430" i="2"/>
  <c r="H2429" i="2"/>
  <c r="G2429" i="2"/>
  <c r="F2429" i="2"/>
  <c r="D2429" i="2"/>
  <c r="G2428" i="2"/>
  <c r="F2428" i="2"/>
  <c r="D2428" i="2"/>
  <c r="H2428" i="2" s="1"/>
  <c r="G2427" i="2"/>
  <c r="F2427" i="2"/>
  <c r="D2427" i="2"/>
  <c r="H2427" i="2" s="1"/>
  <c r="H2426" i="2"/>
  <c r="G2426" i="2"/>
  <c r="F2426" i="2"/>
  <c r="D2426" i="2"/>
  <c r="G2425" i="2"/>
  <c r="F2425" i="2"/>
  <c r="D2425" i="2"/>
  <c r="H2425" i="2" s="1"/>
  <c r="G2424" i="2"/>
  <c r="F2424" i="2"/>
  <c r="D2424" i="2"/>
  <c r="H2424" i="2" s="1"/>
  <c r="H2423" i="2"/>
  <c r="G2423" i="2"/>
  <c r="F2423" i="2"/>
  <c r="D2423" i="2"/>
  <c r="G2422" i="2"/>
  <c r="F2422" i="2"/>
  <c r="D2422" i="2"/>
  <c r="G2421" i="2"/>
  <c r="F2421" i="2"/>
  <c r="D2421" i="2"/>
  <c r="H2421" i="2" s="1"/>
  <c r="H2420" i="2"/>
  <c r="G2420" i="2"/>
  <c r="F2420" i="2"/>
  <c r="D2420" i="2"/>
  <c r="H2419" i="2"/>
  <c r="G2418" i="2"/>
  <c r="F2418" i="2"/>
  <c r="H2418" i="2" s="1"/>
  <c r="D2418" i="2"/>
  <c r="G2417" i="2"/>
  <c r="F2417" i="2"/>
  <c r="D2417" i="2"/>
  <c r="G2416" i="2"/>
  <c r="F2416" i="2"/>
  <c r="H2416" i="2" s="1"/>
  <c r="D2416" i="2"/>
  <c r="G2415" i="2"/>
  <c r="F2415" i="2"/>
  <c r="H2415" i="2" s="1"/>
  <c r="D2415" i="2"/>
  <c r="G2414" i="2"/>
  <c r="F2414" i="2"/>
  <c r="D2414" i="2"/>
  <c r="G2413" i="2"/>
  <c r="F2413" i="2"/>
  <c r="D2413" i="2"/>
  <c r="H2413" i="2" s="1"/>
  <c r="H2412" i="2"/>
  <c r="G2412" i="2"/>
  <c r="F2412" i="2"/>
  <c r="D2412" i="2"/>
  <c r="G2411" i="2"/>
  <c r="F2411" i="2"/>
  <c r="D2411" i="2"/>
  <c r="H2411" i="2" s="1"/>
  <c r="G2410" i="2"/>
  <c r="F2410" i="2"/>
  <c r="D2410" i="2"/>
  <c r="H2410" i="2" s="1"/>
  <c r="G2409" i="2"/>
  <c r="F2409" i="2"/>
  <c r="H2409" i="2" s="1"/>
  <c r="D2409" i="2"/>
  <c r="H2408" i="2"/>
  <c r="G2407" i="2"/>
  <c r="F2407" i="2"/>
  <c r="D2407" i="2"/>
  <c r="G2406" i="2"/>
  <c r="F2406" i="2"/>
  <c r="D2406" i="2"/>
  <c r="H2406" i="2" s="1"/>
  <c r="H2405" i="2"/>
  <c r="G2405" i="2"/>
  <c r="F2405" i="2"/>
  <c r="D2405" i="2"/>
  <c r="G2404" i="2"/>
  <c r="F2404" i="2"/>
  <c r="D2404" i="2"/>
  <c r="G2403" i="2"/>
  <c r="F2403" i="2"/>
  <c r="D2403" i="2"/>
  <c r="H2403" i="2" s="1"/>
  <c r="G2402" i="2"/>
  <c r="H2402" i="2" s="1"/>
  <c r="F2402" i="2"/>
  <c r="D2402" i="2"/>
  <c r="G2401" i="2"/>
  <c r="F2401" i="2"/>
  <c r="D2401" i="2"/>
  <c r="G2400" i="2"/>
  <c r="F2400" i="2"/>
  <c r="D2400" i="2"/>
  <c r="H2400" i="2" s="1"/>
  <c r="G2399" i="2"/>
  <c r="H2399" i="2" s="1"/>
  <c r="F2399" i="2"/>
  <c r="D2399" i="2"/>
  <c r="G2398" i="2"/>
  <c r="F2398" i="2"/>
  <c r="D2398" i="2"/>
  <c r="H2397" i="2"/>
  <c r="H2396" i="2"/>
  <c r="G2395" i="2"/>
  <c r="F2395" i="2"/>
  <c r="D2395" i="2"/>
  <c r="H2395" i="2" s="1"/>
  <c r="G2394" i="2"/>
  <c r="F2394" i="2"/>
  <c r="D2394" i="2"/>
  <c r="H2394" i="2" s="1"/>
  <c r="G2393" i="2"/>
  <c r="F2393" i="2"/>
  <c r="D2393" i="2"/>
  <c r="H2393" i="2" s="1"/>
  <c r="G2392" i="2"/>
  <c r="F2392" i="2"/>
  <c r="D2392" i="2"/>
  <c r="G2391" i="2"/>
  <c r="F2391" i="2"/>
  <c r="D2391" i="2"/>
  <c r="H2391" i="2" s="1"/>
  <c r="G2390" i="2"/>
  <c r="F2390" i="2"/>
  <c r="D2390" i="2"/>
  <c r="H2390" i="2" s="1"/>
  <c r="G2389" i="2"/>
  <c r="F2389" i="2"/>
  <c r="D2389" i="2"/>
  <c r="H2389" i="2" s="1"/>
  <c r="G2388" i="2"/>
  <c r="F2388" i="2"/>
  <c r="D2388" i="2"/>
  <c r="H2388" i="2" s="1"/>
  <c r="H2387" i="2"/>
  <c r="G2387" i="2"/>
  <c r="F2387" i="2"/>
  <c r="D2387" i="2"/>
  <c r="G2386" i="2"/>
  <c r="F2386" i="2"/>
  <c r="D2386" i="2"/>
  <c r="H2385" i="2"/>
  <c r="G2384" i="2"/>
  <c r="F2384" i="2"/>
  <c r="D2384" i="2"/>
  <c r="H2384" i="2" s="1"/>
  <c r="G2383" i="2"/>
  <c r="F2383" i="2"/>
  <c r="H2383" i="2" s="1"/>
  <c r="D2383" i="2"/>
  <c r="H2382" i="2"/>
  <c r="G2382" i="2"/>
  <c r="F2382" i="2"/>
  <c r="D2382" i="2"/>
  <c r="G2381" i="2"/>
  <c r="F2381" i="2"/>
  <c r="D2381" i="2"/>
  <c r="H2381" i="2" s="1"/>
  <c r="G2380" i="2"/>
  <c r="F2380" i="2"/>
  <c r="H2380" i="2" s="1"/>
  <c r="D2380" i="2"/>
  <c r="G2379" i="2"/>
  <c r="F2379" i="2"/>
  <c r="H2379" i="2" s="1"/>
  <c r="D2379" i="2"/>
  <c r="G2378" i="2"/>
  <c r="F2378" i="2"/>
  <c r="D2378" i="2"/>
  <c r="G2377" i="2"/>
  <c r="F2377" i="2"/>
  <c r="D2377" i="2"/>
  <c r="H2376" i="2"/>
  <c r="G2376" i="2"/>
  <c r="F2376" i="2"/>
  <c r="D2376" i="2"/>
  <c r="G2375" i="2"/>
  <c r="F2375" i="2"/>
  <c r="D2375" i="2"/>
  <c r="H2374" i="2"/>
  <c r="H2373" i="2"/>
  <c r="G2372" i="2"/>
  <c r="F2372" i="2"/>
  <c r="D2372" i="2"/>
  <c r="H2372" i="2" s="1"/>
  <c r="H2371" i="2"/>
  <c r="G2371" i="2"/>
  <c r="F2371" i="2"/>
  <c r="D2371" i="2"/>
  <c r="H2370" i="2"/>
  <c r="G2370" i="2"/>
  <c r="F2370" i="2"/>
  <c r="D2370" i="2"/>
  <c r="G2369" i="2"/>
  <c r="F2369" i="2"/>
  <c r="D2369" i="2"/>
  <c r="H2369" i="2" s="1"/>
  <c r="H2368" i="2"/>
  <c r="G2368" i="2"/>
  <c r="F2368" i="2"/>
  <c r="D2368" i="2"/>
  <c r="G2367" i="2"/>
  <c r="H2367" i="2" s="1"/>
  <c r="F2367" i="2"/>
  <c r="D2367" i="2"/>
  <c r="G2366" i="2"/>
  <c r="F2366" i="2"/>
  <c r="D2366" i="2"/>
  <c r="H2366" i="2" s="1"/>
  <c r="H2365" i="2"/>
  <c r="G2365" i="2"/>
  <c r="F2365" i="2"/>
  <c r="D2365" i="2"/>
  <c r="G2364" i="2"/>
  <c r="H2364" i="2" s="1"/>
  <c r="F2364" i="2"/>
  <c r="D2364" i="2"/>
  <c r="G2363" i="2"/>
  <c r="F2363" i="2"/>
  <c r="D2363" i="2"/>
  <c r="H2363" i="2" s="1"/>
  <c r="H2362" i="2"/>
  <c r="H2361" i="2"/>
  <c r="G2360" i="2"/>
  <c r="F2360" i="2"/>
  <c r="D2360" i="2"/>
  <c r="G2359" i="2"/>
  <c r="F2359" i="2"/>
  <c r="D2359" i="2"/>
  <c r="G2358" i="2"/>
  <c r="H2358" i="2" s="1"/>
  <c r="F2358" i="2"/>
  <c r="D2358" i="2"/>
  <c r="G2357" i="2"/>
  <c r="F2357" i="2"/>
  <c r="D2357" i="2"/>
  <c r="G2356" i="2"/>
  <c r="F2356" i="2"/>
  <c r="D2356" i="2"/>
  <c r="H2356" i="2" s="1"/>
  <c r="H2355" i="2"/>
  <c r="G2355" i="2"/>
  <c r="F2355" i="2"/>
  <c r="D2355" i="2"/>
  <c r="G2354" i="2"/>
  <c r="F2354" i="2"/>
  <c r="D2354" i="2"/>
  <c r="H2354" i="2" s="1"/>
  <c r="G2353" i="2"/>
  <c r="F2353" i="2"/>
  <c r="D2353" i="2"/>
  <c r="G2352" i="2"/>
  <c r="H2352" i="2" s="1"/>
  <c r="F2352" i="2"/>
  <c r="D2352" i="2"/>
  <c r="H2351" i="2"/>
  <c r="G2351" i="2"/>
  <c r="F2351" i="2"/>
  <c r="D2351" i="2"/>
  <c r="H2350" i="2"/>
  <c r="H2349" i="2"/>
  <c r="G2348" i="2"/>
  <c r="F2348" i="2"/>
  <c r="D2348" i="2"/>
  <c r="H2348" i="2" s="1"/>
  <c r="G2347" i="2"/>
  <c r="F2347" i="2"/>
  <c r="H2347" i="2" s="1"/>
  <c r="D2347" i="2"/>
  <c r="H2346" i="2"/>
  <c r="G2346" i="2"/>
  <c r="F2346" i="2"/>
  <c r="D2346" i="2"/>
  <c r="G2345" i="2"/>
  <c r="F2345" i="2"/>
  <c r="D2345" i="2"/>
  <c r="H2345" i="2" s="1"/>
  <c r="G2344" i="2"/>
  <c r="F2344" i="2"/>
  <c r="H2344" i="2" s="1"/>
  <c r="D2344" i="2"/>
  <c r="H2343" i="2"/>
  <c r="G2343" i="2"/>
  <c r="F2343" i="2"/>
  <c r="D2343" i="2"/>
  <c r="G2342" i="2"/>
  <c r="F2342" i="2"/>
  <c r="D2342" i="2"/>
  <c r="H2342" i="2" s="1"/>
  <c r="G2341" i="2"/>
  <c r="F2341" i="2"/>
  <c r="D2341" i="2"/>
  <c r="H2341" i="2" s="1"/>
  <c r="H2340" i="2"/>
  <c r="G2340" i="2"/>
  <c r="F2340" i="2"/>
  <c r="D2340" i="2"/>
  <c r="G2339" i="2"/>
  <c r="F2339" i="2"/>
  <c r="D2339" i="2"/>
  <c r="H2339" i="2" s="1"/>
  <c r="H2338" i="2"/>
  <c r="H2337" i="2"/>
  <c r="H2336" i="2"/>
  <c r="G2336" i="2"/>
  <c r="F2336" i="2"/>
  <c r="D2336" i="2"/>
  <c r="G2335" i="2"/>
  <c r="F2335" i="2"/>
  <c r="D2335" i="2"/>
  <c r="H2335" i="2" s="1"/>
  <c r="G2334" i="2"/>
  <c r="H2334" i="2" s="1"/>
  <c r="F2334" i="2"/>
  <c r="D2334" i="2"/>
  <c r="H2333" i="2"/>
  <c r="G2333" i="2"/>
  <c r="F2333" i="2"/>
  <c r="D2333" i="2"/>
  <c r="G2332" i="2"/>
  <c r="F2332" i="2"/>
  <c r="D2332" i="2"/>
  <c r="H2332" i="2" s="1"/>
  <c r="G2331" i="2"/>
  <c r="H2331" i="2" s="1"/>
  <c r="F2331" i="2"/>
  <c r="D2331" i="2"/>
  <c r="H2330" i="2"/>
  <c r="G2330" i="2"/>
  <c r="F2330" i="2"/>
  <c r="D2330" i="2"/>
  <c r="G2329" i="2"/>
  <c r="F2329" i="2"/>
  <c r="D2329" i="2"/>
  <c r="H2329" i="2" s="1"/>
  <c r="G2328" i="2"/>
  <c r="F2328" i="2"/>
  <c r="D2328" i="2"/>
  <c r="H2328" i="2" s="1"/>
  <c r="H2327" i="2"/>
  <c r="G2327" i="2"/>
  <c r="F2327" i="2"/>
  <c r="D2327" i="2"/>
  <c r="H2326" i="2"/>
  <c r="H2325" i="2"/>
  <c r="G2324" i="2"/>
  <c r="F2324" i="2"/>
  <c r="D2324" i="2"/>
  <c r="H2324" i="2" s="1"/>
  <c r="G2323" i="2"/>
  <c r="F2323" i="2"/>
  <c r="D2323" i="2"/>
  <c r="H2323" i="2" s="1"/>
  <c r="H2322" i="2"/>
  <c r="G2322" i="2"/>
  <c r="F2322" i="2"/>
  <c r="D2322" i="2"/>
  <c r="G2321" i="2"/>
  <c r="F2321" i="2"/>
  <c r="D2321" i="2"/>
  <c r="H2321" i="2" s="1"/>
  <c r="G2320" i="2"/>
  <c r="F2320" i="2"/>
  <c r="D2320" i="2"/>
  <c r="H2320" i="2" s="1"/>
  <c r="H2319" i="2"/>
  <c r="G2319" i="2"/>
  <c r="F2319" i="2"/>
  <c r="D2319" i="2"/>
  <c r="G2318" i="2"/>
  <c r="F2318" i="2"/>
  <c r="D2318" i="2"/>
  <c r="H2318" i="2" s="1"/>
  <c r="G2317" i="2"/>
  <c r="F2317" i="2"/>
  <c r="D2317" i="2"/>
  <c r="H2317" i="2" s="1"/>
  <c r="H2316" i="2"/>
  <c r="G2316" i="2"/>
  <c r="F2316" i="2"/>
  <c r="D2316" i="2"/>
  <c r="G2315" i="2"/>
  <c r="F2315" i="2"/>
  <c r="D2315" i="2"/>
  <c r="H2315" i="2" s="1"/>
  <c r="H2314" i="2"/>
  <c r="G2313" i="2"/>
  <c r="F2313" i="2"/>
  <c r="D2313" i="2"/>
  <c r="H2313" i="2" s="1"/>
  <c r="H2312" i="2"/>
  <c r="G2312" i="2"/>
  <c r="F2312" i="2"/>
  <c r="D2312" i="2"/>
  <c r="G2311" i="2"/>
  <c r="F2311" i="2"/>
  <c r="H2311" i="2" s="1"/>
  <c r="D2311" i="2"/>
  <c r="G2310" i="2"/>
  <c r="F2310" i="2"/>
  <c r="D2310" i="2"/>
  <c r="H2310" i="2" s="1"/>
  <c r="H2309" i="2"/>
  <c r="G2309" i="2"/>
  <c r="F2309" i="2"/>
  <c r="D2309" i="2"/>
  <c r="G2308" i="2"/>
  <c r="F2308" i="2"/>
  <c r="H2308" i="2" s="1"/>
  <c r="D2308" i="2"/>
  <c r="G2307" i="2"/>
  <c r="F2307" i="2"/>
  <c r="D2307" i="2"/>
  <c r="H2307" i="2" s="1"/>
  <c r="H2306" i="2"/>
  <c r="G2306" i="2"/>
  <c r="F2306" i="2"/>
  <c r="D2306" i="2"/>
  <c r="G2305" i="2"/>
  <c r="F2305" i="2"/>
  <c r="H2305" i="2" s="1"/>
  <c r="D2305" i="2"/>
  <c r="G2304" i="2"/>
  <c r="F2304" i="2"/>
  <c r="D2304" i="2"/>
  <c r="H2304" i="2" s="1"/>
  <c r="H2303" i="2"/>
  <c r="G2302" i="2"/>
  <c r="F2302" i="2"/>
  <c r="D2302" i="2"/>
  <c r="H2302" i="2" s="1"/>
  <c r="G2301" i="2"/>
  <c r="H2301" i="2" s="1"/>
  <c r="F2301" i="2"/>
  <c r="D2301" i="2"/>
  <c r="H2300" i="2"/>
  <c r="G2300" i="2"/>
  <c r="F2300" i="2"/>
  <c r="D2300" i="2"/>
  <c r="G2299" i="2"/>
  <c r="F2299" i="2"/>
  <c r="D2299" i="2"/>
  <c r="H2299" i="2" s="1"/>
  <c r="G2298" i="2"/>
  <c r="F2298" i="2"/>
  <c r="D2298" i="2"/>
  <c r="H2298" i="2" s="1"/>
  <c r="H2297" i="2"/>
  <c r="G2297" i="2"/>
  <c r="F2297" i="2"/>
  <c r="D2297" i="2"/>
  <c r="G2296" i="2"/>
  <c r="F2296" i="2"/>
  <c r="D2296" i="2"/>
  <c r="H2296" i="2" s="1"/>
  <c r="G2295" i="2"/>
  <c r="F2295" i="2"/>
  <c r="D2295" i="2"/>
  <c r="H2295" i="2" s="1"/>
  <c r="H2294" i="2"/>
  <c r="G2294" i="2"/>
  <c r="F2294" i="2"/>
  <c r="D2294" i="2"/>
  <c r="G2293" i="2"/>
  <c r="F2293" i="2"/>
  <c r="D2293" i="2"/>
  <c r="H2293" i="2" s="1"/>
  <c r="H2292" i="2"/>
  <c r="G2291" i="2"/>
  <c r="F2291" i="2"/>
  <c r="D2291" i="2"/>
  <c r="H2291" i="2" s="1"/>
  <c r="G2290" i="2"/>
  <c r="F2290" i="2"/>
  <c r="H2290" i="2" s="1"/>
  <c r="D2290" i="2"/>
  <c r="G2289" i="2"/>
  <c r="F2289" i="2"/>
  <c r="D2289" i="2"/>
  <c r="H2289" i="2" s="1"/>
  <c r="G2288" i="2"/>
  <c r="F2288" i="2"/>
  <c r="D2288" i="2"/>
  <c r="H2288" i="2" s="1"/>
  <c r="G2287" i="2"/>
  <c r="F2287" i="2"/>
  <c r="H2287" i="2" s="1"/>
  <c r="D2287" i="2"/>
  <c r="G2286" i="2"/>
  <c r="F2286" i="2"/>
  <c r="D2286" i="2"/>
  <c r="H2286" i="2" s="1"/>
  <c r="G2285" i="2"/>
  <c r="F2285" i="2"/>
  <c r="D2285" i="2"/>
  <c r="H2285" i="2" s="1"/>
  <c r="G2284" i="2"/>
  <c r="F2284" i="2"/>
  <c r="H2284" i="2" s="1"/>
  <c r="D2284" i="2"/>
  <c r="G2283" i="2"/>
  <c r="F2283" i="2"/>
  <c r="D2283" i="2"/>
  <c r="H2283" i="2" s="1"/>
  <c r="G2282" i="2"/>
  <c r="F2282" i="2"/>
  <c r="D2282" i="2"/>
  <c r="H2282" i="2" s="1"/>
  <c r="H2281" i="2"/>
  <c r="H2280" i="2"/>
  <c r="G2280" i="2"/>
  <c r="F2280" i="2"/>
  <c r="D2280" i="2"/>
  <c r="G2279" i="2"/>
  <c r="F2279" i="2"/>
  <c r="D2279" i="2"/>
  <c r="H2279" i="2" s="1"/>
  <c r="G2278" i="2"/>
  <c r="F2278" i="2"/>
  <c r="D2278" i="2"/>
  <c r="H2278" i="2" s="1"/>
  <c r="H2277" i="2"/>
  <c r="G2277" i="2"/>
  <c r="F2277" i="2"/>
  <c r="D2277" i="2"/>
  <c r="G2276" i="2"/>
  <c r="F2276" i="2"/>
  <c r="D2276" i="2"/>
  <c r="H2276" i="2" s="1"/>
  <c r="G2275" i="2"/>
  <c r="F2275" i="2"/>
  <c r="D2275" i="2"/>
  <c r="H2275" i="2" s="1"/>
  <c r="H2274" i="2"/>
  <c r="G2274" i="2"/>
  <c r="F2274" i="2"/>
  <c r="D2274" i="2"/>
  <c r="G2273" i="2"/>
  <c r="F2273" i="2"/>
  <c r="D2273" i="2"/>
  <c r="H2273" i="2" s="1"/>
  <c r="G2272" i="2"/>
  <c r="F2272" i="2"/>
  <c r="D2272" i="2"/>
  <c r="H2272" i="2" s="1"/>
  <c r="H2271" i="2"/>
  <c r="G2271" i="2"/>
  <c r="F2271" i="2"/>
  <c r="D2271" i="2"/>
  <c r="H2270" i="2"/>
  <c r="G2269" i="2"/>
  <c r="F2269" i="2"/>
  <c r="H2269" i="2" s="1"/>
  <c r="D2269" i="2"/>
  <c r="G2268" i="2"/>
  <c r="F2268" i="2"/>
  <c r="D2268" i="2"/>
  <c r="H2268" i="2" s="1"/>
  <c r="H2267" i="2"/>
  <c r="G2267" i="2"/>
  <c r="F2267" i="2"/>
  <c r="D2267" i="2"/>
  <c r="G2266" i="2"/>
  <c r="F2266" i="2"/>
  <c r="H2266" i="2" s="1"/>
  <c r="D2266" i="2"/>
  <c r="G2265" i="2"/>
  <c r="F2265" i="2"/>
  <c r="D2265" i="2"/>
  <c r="H2265" i="2" s="1"/>
  <c r="H2264" i="2"/>
  <c r="G2264" i="2"/>
  <c r="F2264" i="2"/>
  <c r="D2264" i="2"/>
  <c r="G2263" i="2"/>
  <c r="F2263" i="2"/>
  <c r="H2263" i="2" s="1"/>
  <c r="D2263" i="2"/>
  <c r="G2262" i="2"/>
  <c r="F2262" i="2"/>
  <c r="D2262" i="2"/>
  <c r="H2262" i="2" s="1"/>
  <c r="H2261" i="2"/>
  <c r="G2261" i="2"/>
  <c r="F2261" i="2"/>
  <c r="D2261" i="2"/>
  <c r="G2260" i="2"/>
  <c r="F2260" i="2"/>
  <c r="H2260" i="2" s="1"/>
  <c r="D2260" i="2"/>
  <c r="H2259" i="2"/>
  <c r="H2258" i="2"/>
  <c r="G2257" i="2"/>
  <c r="H2257" i="2" s="1"/>
  <c r="F2257" i="2"/>
  <c r="D2257" i="2"/>
  <c r="G2256" i="2"/>
  <c r="F2256" i="2"/>
  <c r="D2256" i="2"/>
  <c r="H2256" i="2" s="1"/>
  <c r="G2255" i="2"/>
  <c r="F2255" i="2"/>
  <c r="D2255" i="2"/>
  <c r="H2255" i="2" s="1"/>
  <c r="G2254" i="2"/>
  <c r="H2254" i="2" s="1"/>
  <c r="F2254" i="2"/>
  <c r="D2254" i="2"/>
  <c r="G2253" i="2"/>
  <c r="F2253" i="2"/>
  <c r="D2253" i="2"/>
  <c r="H2253" i="2" s="1"/>
  <c r="G2252" i="2"/>
  <c r="F2252" i="2"/>
  <c r="D2252" i="2"/>
  <c r="H2252" i="2" s="1"/>
  <c r="G2251" i="2"/>
  <c r="F2251" i="2"/>
  <c r="H2251" i="2" s="1"/>
  <c r="D2251" i="2"/>
  <c r="G2250" i="2"/>
  <c r="F2250" i="2"/>
  <c r="D2250" i="2"/>
  <c r="H2250" i="2" s="1"/>
  <c r="G2249" i="2"/>
  <c r="F2249" i="2"/>
  <c r="D2249" i="2"/>
  <c r="H2249" i="2" s="1"/>
  <c r="G2248" i="2"/>
  <c r="F2248" i="2"/>
  <c r="D2248" i="2"/>
  <c r="H2248" i="2" s="1"/>
  <c r="H2247" i="2"/>
  <c r="G2246" i="2"/>
  <c r="F2246" i="2"/>
  <c r="D2246" i="2"/>
  <c r="H2246" i="2" s="1"/>
  <c r="G2245" i="2"/>
  <c r="F2245" i="2"/>
  <c r="D2245" i="2"/>
  <c r="H2245" i="2" s="1"/>
  <c r="H2244" i="2"/>
  <c r="G2244" i="2"/>
  <c r="F2244" i="2"/>
  <c r="D2244" i="2"/>
  <c r="G2243" i="2"/>
  <c r="F2243" i="2"/>
  <c r="D2243" i="2"/>
  <c r="H2243" i="2" s="1"/>
  <c r="G2242" i="2"/>
  <c r="F2242" i="2"/>
  <c r="D2242" i="2"/>
  <c r="H2242" i="2" s="1"/>
  <c r="H2241" i="2"/>
  <c r="G2241" i="2"/>
  <c r="F2241" i="2"/>
  <c r="D2241" i="2"/>
  <c r="G2240" i="2"/>
  <c r="F2240" i="2"/>
  <c r="D2240" i="2"/>
  <c r="H2240" i="2" s="1"/>
  <c r="G2239" i="2"/>
  <c r="F2239" i="2"/>
  <c r="D2239" i="2"/>
  <c r="H2239" i="2" s="1"/>
  <c r="H2238" i="2"/>
  <c r="G2238" i="2"/>
  <c r="F2238" i="2"/>
  <c r="D2238" i="2"/>
  <c r="G2237" i="2"/>
  <c r="F2237" i="2"/>
  <c r="D2237" i="2"/>
  <c r="H2237" i="2" s="1"/>
  <c r="H2236" i="2"/>
  <c r="G2235" i="2"/>
  <c r="F2235" i="2"/>
  <c r="D2235" i="2"/>
  <c r="H2235" i="2" s="1"/>
  <c r="G2234" i="2"/>
  <c r="H2234" i="2" s="1"/>
  <c r="F2234" i="2"/>
  <c r="D2234" i="2"/>
  <c r="G2233" i="2"/>
  <c r="F2233" i="2"/>
  <c r="H2233" i="2" s="1"/>
  <c r="D2233" i="2"/>
  <c r="G2232" i="2"/>
  <c r="F2232" i="2"/>
  <c r="D2232" i="2"/>
  <c r="H2232" i="2" s="1"/>
  <c r="G2231" i="2"/>
  <c r="F2231" i="2"/>
  <c r="D2231" i="2"/>
  <c r="H2231" i="2" s="1"/>
  <c r="G2230" i="2"/>
  <c r="F2230" i="2"/>
  <c r="H2230" i="2" s="1"/>
  <c r="D2230" i="2"/>
  <c r="G2229" i="2"/>
  <c r="F2229" i="2"/>
  <c r="D2229" i="2"/>
  <c r="H2229" i="2" s="1"/>
  <c r="G2228" i="2"/>
  <c r="F2228" i="2"/>
  <c r="D2228" i="2"/>
  <c r="H2228" i="2" s="1"/>
  <c r="G2227" i="2"/>
  <c r="F2227" i="2"/>
  <c r="H2227" i="2" s="1"/>
  <c r="D2227" i="2"/>
  <c r="G2226" i="2"/>
  <c r="F2226" i="2"/>
  <c r="D2226" i="2"/>
  <c r="H2226" i="2" s="1"/>
  <c r="H2225" i="2"/>
  <c r="G2224" i="2"/>
  <c r="F2224" i="2"/>
  <c r="D2224" i="2"/>
  <c r="H2224" i="2" s="1"/>
  <c r="G2223" i="2"/>
  <c r="H2223" i="2" s="1"/>
  <c r="F2223" i="2"/>
  <c r="D2223" i="2"/>
  <c r="H2222" i="2"/>
  <c r="G2222" i="2"/>
  <c r="F2222" i="2"/>
  <c r="D2222" i="2"/>
  <c r="G2221" i="2"/>
  <c r="F2221" i="2"/>
  <c r="D2221" i="2"/>
  <c r="H2221" i="2" s="1"/>
  <c r="G2220" i="2"/>
  <c r="H2220" i="2" s="1"/>
  <c r="F2220" i="2"/>
  <c r="D2220" i="2"/>
  <c r="H2219" i="2"/>
  <c r="G2219" i="2"/>
  <c r="F2219" i="2"/>
  <c r="D2219" i="2"/>
  <c r="G2218" i="2"/>
  <c r="F2218" i="2"/>
  <c r="D2218" i="2"/>
  <c r="H2218" i="2" s="1"/>
  <c r="G2217" i="2"/>
  <c r="H2217" i="2" s="1"/>
  <c r="F2217" i="2"/>
  <c r="D2217" i="2"/>
  <c r="H2216" i="2"/>
  <c r="G2216" i="2"/>
  <c r="F2216" i="2"/>
  <c r="D2216" i="2"/>
  <c r="G2215" i="2"/>
  <c r="F2215" i="2"/>
  <c r="D2215" i="2"/>
  <c r="H2215" i="2" s="1"/>
  <c r="H2214" i="2"/>
  <c r="G2213" i="2"/>
  <c r="F2213" i="2"/>
  <c r="D2213" i="2"/>
  <c r="H2213" i="2" s="1"/>
  <c r="G2212" i="2"/>
  <c r="H2212" i="2" s="1"/>
  <c r="F2212" i="2"/>
  <c r="D2212" i="2"/>
  <c r="G2211" i="2"/>
  <c r="F2211" i="2"/>
  <c r="D2211" i="2"/>
  <c r="H2211" i="2" s="1"/>
  <c r="G2210" i="2"/>
  <c r="F2210" i="2"/>
  <c r="D2210" i="2"/>
  <c r="H2210" i="2" s="1"/>
  <c r="G2209" i="2"/>
  <c r="H2209" i="2" s="1"/>
  <c r="F2209" i="2"/>
  <c r="D2209" i="2"/>
  <c r="G2208" i="2"/>
  <c r="F2208" i="2"/>
  <c r="D2208" i="2"/>
  <c r="H2208" i="2" s="1"/>
  <c r="G2207" i="2"/>
  <c r="F2207" i="2"/>
  <c r="D2207" i="2"/>
  <c r="H2207" i="2" s="1"/>
  <c r="G2206" i="2"/>
  <c r="F2206" i="2"/>
  <c r="D2206" i="2"/>
  <c r="H2206" i="2" s="1"/>
  <c r="G2205" i="2"/>
  <c r="F2205" i="2"/>
  <c r="D2205" i="2"/>
  <c r="H2205" i="2" s="1"/>
  <c r="G2204" i="2"/>
  <c r="F2204" i="2"/>
  <c r="D2204" i="2"/>
  <c r="H2204" i="2" s="1"/>
  <c r="H2203" i="2"/>
  <c r="H2202" i="2"/>
  <c r="G2202" i="2"/>
  <c r="F2202" i="2"/>
  <c r="D2202" i="2"/>
  <c r="G2201" i="2"/>
  <c r="F2201" i="2"/>
  <c r="D2201" i="2"/>
  <c r="H2201" i="2" s="1"/>
  <c r="G2200" i="2"/>
  <c r="F2200" i="2"/>
  <c r="D2200" i="2"/>
  <c r="H2200" i="2" s="1"/>
  <c r="H2199" i="2"/>
  <c r="G2199" i="2"/>
  <c r="F2199" i="2"/>
  <c r="D2199" i="2"/>
  <c r="G2198" i="2"/>
  <c r="F2198" i="2"/>
  <c r="D2198" i="2"/>
  <c r="H2198" i="2" s="1"/>
  <c r="G2197" i="2"/>
  <c r="F2197" i="2"/>
  <c r="D2197" i="2"/>
  <c r="H2197" i="2" s="1"/>
  <c r="H2196" i="2"/>
  <c r="G2196" i="2"/>
  <c r="F2196" i="2"/>
  <c r="D2196" i="2"/>
  <c r="G2195" i="2"/>
  <c r="F2195" i="2"/>
  <c r="D2195" i="2"/>
  <c r="H2195" i="2" s="1"/>
  <c r="G2194" i="2"/>
  <c r="F2194" i="2"/>
  <c r="D2194" i="2"/>
  <c r="H2194" i="2" s="1"/>
  <c r="H2193" i="2"/>
  <c r="G2193" i="2"/>
  <c r="F2193" i="2"/>
  <c r="D2193" i="2"/>
  <c r="H2192" i="2"/>
  <c r="G2191" i="2"/>
  <c r="F2191" i="2"/>
  <c r="H2191" i="2" s="1"/>
  <c r="D2191" i="2"/>
  <c r="G2190" i="2"/>
  <c r="F2190" i="2"/>
  <c r="D2190" i="2"/>
  <c r="H2190" i="2" s="1"/>
  <c r="G2189" i="2"/>
  <c r="H2189" i="2" s="1"/>
  <c r="F2189" i="2"/>
  <c r="D2189" i="2"/>
  <c r="G2188" i="2"/>
  <c r="F2188" i="2"/>
  <c r="H2188" i="2" s="1"/>
  <c r="D2188" i="2"/>
  <c r="G2187" i="2"/>
  <c r="F2187" i="2"/>
  <c r="D2187" i="2"/>
  <c r="H2187" i="2" s="1"/>
  <c r="G2186" i="2"/>
  <c r="F2186" i="2"/>
  <c r="D2186" i="2"/>
  <c r="H2186" i="2" s="1"/>
  <c r="G2185" i="2"/>
  <c r="F2185" i="2"/>
  <c r="H2185" i="2" s="1"/>
  <c r="D2185" i="2"/>
  <c r="G2184" i="2"/>
  <c r="F2184" i="2"/>
  <c r="D2184" i="2"/>
  <c r="H2184" i="2" s="1"/>
  <c r="G2183" i="2"/>
  <c r="F2183" i="2"/>
  <c r="D2183" i="2"/>
  <c r="H2183" i="2" s="1"/>
  <c r="G2182" i="2"/>
  <c r="F2182" i="2"/>
  <c r="H2182" i="2" s="1"/>
  <c r="D2182" i="2"/>
  <c r="H2181" i="2"/>
  <c r="H2180" i="2"/>
  <c r="G2180" i="2"/>
  <c r="F2180" i="2"/>
  <c r="D2180" i="2"/>
  <c r="G2179" i="2"/>
  <c r="F2179" i="2"/>
  <c r="D2179" i="2"/>
  <c r="H2179" i="2" s="1"/>
  <c r="G2178" i="2"/>
  <c r="H2178" i="2" s="1"/>
  <c r="F2178" i="2"/>
  <c r="D2178" i="2"/>
  <c r="H2177" i="2"/>
  <c r="G2177" i="2"/>
  <c r="F2177" i="2"/>
  <c r="D2177" i="2"/>
  <c r="G2176" i="2"/>
  <c r="F2176" i="2"/>
  <c r="D2176" i="2"/>
  <c r="H2176" i="2" s="1"/>
  <c r="G2175" i="2"/>
  <c r="H2175" i="2" s="1"/>
  <c r="F2175" i="2"/>
  <c r="D2175" i="2"/>
  <c r="H2174" i="2"/>
  <c r="G2174" i="2"/>
  <c r="F2174" i="2"/>
  <c r="D2174" i="2"/>
  <c r="G2173" i="2"/>
  <c r="F2173" i="2"/>
  <c r="D2173" i="2"/>
  <c r="H2173" i="2" s="1"/>
  <c r="G2172" i="2"/>
  <c r="H2172" i="2" s="1"/>
  <c r="F2172" i="2"/>
  <c r="D2172" i="2"/>
  <c r="H2171" i="2"/>
  <c r="G2171" i="2"/>
  <c r="F2171" i="2"/>
  <c r="D2171" i="2"/>
  <c r="H2170" i="2"/>
  <c r="H2169" i="2"/>
  <c r="G2168" i="2"/>
  <c r="F2168" i="2"/>
  <c r="D2168" i="2"/>
  <c r="H2168" i="2" s="1"/>
  <c r="G2167" i="2"/>
  <c r="F2167" i="2"/>
  <c r="D2167" i="2"/>
  <c r="H2167" i="2" s="1"/>
  <c r="H2166" i="2"/>
  <c r="G2166" i="2"/>
  <c r="F2166" i="2"/>
  <c r="D2166" i="2"/>
  <c r="G2165" i="2"/>
  <c r="F2165" i="2"/>
  <c r="D2165" i="2"/>
  <c r="H2165" i="2" s="1"/>
  <c r="G2164" i="2"/>
  <c r="F2164" i="2"/>
  <c r="D2164" i="2"/>
  <c r="H2164" i="2" s="1"/>
  <c r="H2163" i="2"/>
  <c r="G2163" i="2"/>
  <c r="F2163" i="2"/>
  <c r="D2163" i="2"/>
  <c r="G2162" i="2"/>
  <c r="F2162" i="2"/>
  <c r="D2162" i="2"/>
  <c r="H2162" i="2" s="1"/>
  <c r="G2161" i="2"/>
  <c r="F2161" i="2"/>
  <c r="D2161" i="2"/>
  <c r="H2161" i="2" s="1"/>
  <c r="H2160" i="2"/>
  <c r="G2160" i="2"/>
  <c r="F2160" i="2"/>
  <c r="D2160" i="2"/>
  <c r="G2159" i="2"/>
  <c r="F2159" i="2"/>
  <c r="D2159" i="2"/>
  <c r="H2159" i="2" s="1"/>
  <c r="H2158" i="2"/>
  <c r="G2157" i="2"/>
  <c r="F2157" i="2"/>
  <c r="D2157" i="2"/>
  <c r="H2157" i="2" s="1"/>
  <c r="H2156" i="2"/>
  <c r="G2156" i="2"/>
  <c r="F2156" i="2"/>
  <c r="D2156" i="2"/>
  <c r="G2155" i="2"/>
  <c r="F2155" i="2"/>
  <c r="H2155" i="2" s="1"/>
  <c r="D2155" i="2"/>
  <c r="G2154" i="2"/>
  <c r="F2154" i="2"/>
  <c r="D2154" i="2"/>
  <c r="H2154" i="2" s="1"/>
  <c r="H2153" i="2"/>
  <c r="G2153" i="2"/>
  <c r="F2153" i="2"/>
  <c r="D2153" i="2"/>
  <c r="G2152" i="2"/>
  <c r="F2152" i="2"/>
  <c r="H2152" i="2" s="1"/>
  <c r="D2152" i="2"/>
  <c r="G2151" i="2"/>
  <c r="F2151" i="2"/>
  <c r="D2151" i="2"/>
  <c r="H2151" i="2" s="1"/>
  <c r="G2150" i="2"/>
  <c r="F2150" i="2"/>
  <c r="D2150" i="2"/>
  <c r="H2150" i="2" s="1"/>
  <c r="G2149" i="2"/>
  <c r="F2149" i="2"/>
  <c r="H2149" i="2" s="1"/>
  <c r="D2149" i="2"/>
  <c r="G2148" i="2"/>
  <c r="F2148" i="2"/>
  <c r="D2148" i="2"/>
  <c r="H2148" i="2" s="1"/>
  <c r="H2147" i="2"/>
  <c r="G2146" i="2"/>
  <c r="F2146" i="2"/>
  <c r="D2146" i="2"/>
  <c r="H2146" i="2" s="1"/>
  <c r="G2145" i="2"/>
  <c r="H2145" i="2" s="1"/>
  <c r="F2145" i="2"/>
  <c r="D2145" i="2"/>
  <c r="H2144" i="2"/>
  <c r="G2144" i="2"/>
  <c r="F2144" i="2"/>
  <c r="D2144" i="2"/>
  <c r="G2143" i="2"/>
  <c r="F2143" i="2"/>
  <c r="D2143" i="2"/>
  <c r="H2143" i="2" s="1"/>
  <c r="G2142" i="2"/>
  <c r="F2142" i="2"/>
  <c r="H2142" i="2" s="1"/>
  <c r="D2142" i="2"/>
  <c r="H2141" i="2"/>
  <c r="G2141" i="2"/>
  <c r="F2141" i="2"/>
  <c r="D2141" i="2"/>
  <c r="G2140" i="2"/>
  <c r="F2140" i="2"/>
  <c r="D2140" i="2"/>
  <c r="H2140" i="2" s="1"/>
  <c r="G2139" i="2"/>
  <c r="F2139" i="2"/>
  <c r="H2139" i="2" s="1"/>
  <c r="D2139" i="2"/>
  <c r="H2138" i="2"/>
  <c r="G2138" i="2"/>
  <c r="F2138" i="2"/>
  <c r="D2138" i="2"/>
  <c r="G2137" i="2"/>
  <c r="F2137" i="2"/>
  <c r="D2137" i="2"/>
  <c r="H2137" i="2" s="1"/>
  <c r="H2136" i="2"/>
  <c r="H2135" i="2"/>
  <c r="G2134" i="2"/>
  <c r="F2134" i="2"/>
  <c r="D2134" i="2"/>
  <c r="H2134" i="2" s="1"/>
  <c r="H2133" i="2"/>
  <c r="G2133" i="2"/>
  <c r="F2133" i="2"/>
  <c r="D2133" i="2"/>
  <c r="G2132" i="2"/>
  <c r="F2132" i="2"/>
  <c r="D2132" i="2"/>
  <c r="H2132" i="2" s="1"/>
  <c r="G2131" i="2"/>
  <c r="F2131" i="2"/>
  <c r="D2131" i="2"/>
  <c r="H2131" i="2" s="1"/>
  <c r="H2130" i="2"/>
  <c r="G2130" i="2"/>
  <c r="F2130" i="2"/>
  <c r="D2130" i="2"/>
  <c r="G2129" i="2"/>
  <c r="F2129" i="2"/>
  <c r="D2129" i="2"/>
  <c r="H2129" i="2" s="1"/>
  <c r="G2128" i="2"/>
  <c r="F2128" i="2"/>
  <c r="D2128" i="2"/>
  <c r="H2128" i="2" s="1"/>
  <c r="H2127" i="2"/>
  <c r="G2127" i="2"/>
  <c r="F2127" i="2"/>
  <c r="D2127" i="2"/>
  <c r="G2126" i="2"/>
  <c r="F2126" i="2"/>
  <c r="D2126" i="2"/>
  <c r="H2126" i="2" s="1"/>
  <c r="G2125" i="2"/>
  <c r="F2125" i="2"/>
  <c r="D2125" i="2"/>
  <c r="H2125" i="2" s="1"/>
  <c r="H2124" i="2"/>
  <c r="G2123" i="2"/>
  <c r="F2123" i="2"/>
  <c r="H2123" i="2" s="1"/>
  <c r="D2123" i="2"/>
  <c r="G2122" i="2"/>
  <c r="F2122" i="2"/>
  <c r="H2122" i="2" s="1"/>
  <c r="D2122" i="2"/>
  <c r="G2121" i="2"/>
  <c r="F2121" i="2"/>
  <c r="D2121" i="2"/>
  <c r="H2121" i="2" s="1"/>
  <c r="G2120" i="2"/>
  <c r="F2120" i="2"/>
  <c r="H2120" i="2" s="1"/>
  <c r="D2120" i="2"/>
  <c r="G2119" i="2"/>
  <c r="F2119" i="2"/>
  <c r="H2119" i="2" s="1"/>
  <c r="D2119" i="2"/>
  <c r="G2118" i="2"/>
  <c r="F2118" i="2"/>
  <c r="D2118" i="2"/>
  <c r="H2118" i="2" s="1"/>
  <c r="G2117" i="2"/>
  <c r="F2117" i="2"/>
  <c r="D2117" i="2"/>
  <c r="H2117" i="2" s="1"/>
  <c r="G2116" i="2"/>
  <c r="F2116" i="2"/>
  <c r="H2116" i="2" s="1"/>
  <c r="D2116" i="2"/>
  <c r="G2115" i="2"/>
  <c r="F2115" i="2"/>
  <c r="D2115" i="2"/>
  <c r="H2115" i="2" s="1"/>
  <c r="G2114" i="2"/>
  <c r="F2114" i="2"/>
  <c r="D2114" i="2"/>
  <c r="H2114" i="2" s="1"/>
  <c r="H2113" i="2"/>
  <c r="H2112" i="2"/>
  <c r="H2111" i="2"/>
  <c r="G2111" i="2"/>
  <c r="F2111" i="2"/>
  <c r="D2111" i="2"/>
  <c r="G2110" i="2"/>
  <c r="H2110" i="2" s="1"/>
  <c r="F2110" i="2"/>
  <c r="D2110" i="2"/>
  <c r="G2109" i="2"/>
  <c r="F2109" i="2"/>
  <c r="H2109" i="2" s="1"/>
  <c r="D2109" i="2"/>
  <c r="H2108" i="2"/>
  <c r="G2108" i="2"/>
  <c r="F2108" i="2"/>
  <c r="D2108" i="2"/>
  <c r="G2107" i="2"/>
  <c r="H2107" i="2" s="1"/>
  <c r="F2107" i="2"/>
  <c r="D2107" i="2"/>
  <c r="G2106" i="2"/>
  <c r="F2106" i="2"/>
  <c r="D2106" i="2"/>
  <c r="H2106" i="2" s="1"/>
  <c r="G2105" i="2"/>
  <c r="F2105" i="2"/>
  <c r="D2105" i="2"/>
  <c r="H2105" i="2" s="1"/>
  <c r="G2104" i="2"/>
  <c r="H2104" i="2" s="1"/>
  <c r="F2104" i="2"/>
  <c r="D2104" i="2"/>
  <c r="G2103" i="2"/>
  <c r="F2103" i="2"/>
  <c r="D2103" i="2"/>
  <c r="H2103" i="2" s="1"/>
  <c r="G2102" i="2"/>
  <c r="F2102" i="2"/>
  <c r="D2102" i="2"/>
  <c r="H2102" i="2" s="1"/>
  <c r="H2101" i="2"/>
  <c r="H2100" i="2"/>
  <c r="G2100" i="2"/>
  <c r="F2100" i="2"/>
  <c r="D2100" i="2"/>
  <c r="G2099" i="2"/>
  <c r="F2099" i="2"/>
  <c r="D2099" i="2"/>
  <c r="H2099" i="2" s="1"/>
  <c r="G2098" i="2"/>
  <c r="F2098" i="2"/>
  <c r="D2098" i="2"/>
  <c r="H2098" i="2" s="1"/>
  <c r="H2097" i="2"/>
  <c r="G2097" i="2"/>
  <c r="F2097" i="2"/>
  <c r="D2097" i="2"/>
  <c r="G2096" i="2"/>
  <c r="F2096" i="2"/>
  <c r="D2096" i="2"/>
  <c r="H2096" i="2" s="1"/>
  <c r="G2095" i="2"/>
  <c r="F2095" i="2"/>
  <c r="D2095" i="2"/>
  <c r="H2095" i="2" s="1"/>
  <c r="H2094" i="2"/>
  <c r="G2094" i="2"/>
  <c r="F2094" i="2"/>
  <c r="D2094" i="2"/>
  <c r="G2093" i="2"/>
  <c r="F2093" i="2"/>
  <c r="D2093" i="2"/>
  <c r="H2093" i="2" s="1"/>
  <c r="G2092" i="2"/>
  <c r="F2092" i="2"/>
  <c r="D2092" i="2"/>
  <c r="H2092" i="2" s="1"/>
  <c r="H2091" i="2"/>
  <c r="G2091" i="2"/>
  <c r="F2091" i="2"/>
  <c r="D2091" i="2"/>
  <c r="H2090" i="2"/>
  <c r="H2089" i="2"/>
  <c r="G2088" i="2"/>
  <c r="H2088" i="2" s="1"/>
  <c r="F2088" i="2"/>
  <c r="D2088" i="2"/>
  <c r="H2087" i="2"/>
  <c r="G2087" i="2"/>
  <c r="F2087" i="2"/>
  <c r="D2087" i="2"/>
  <c r="G2086" i="2"/>
  <c r="F2086" i="2"/>
  <c r="D2086" i="2"/>
  <c r="H2086" i="2" s="1"/>
  <c r="G2085" i="2"/>
  <c r="H2085" i="2" s="1"/>
  <c r="F2085" i="2"/>
  <c r="D2085" i="2"/>
  <c r="H2084" i="2"/>
  <c r="G2084" i="2"/>
  <c r="F2084" i="2"/>
  <c r="D2084" i="2"/>
  <c r="G2083" i="2"/>
  <c r="F2083" i="2"/>
  <c r="D2083" i="2"/>
  <c r="H2083" i="2" s="1"/>
  <c r="G2082" i="2"/>
  <c r="F2082" i="2"/>
  <c r="D2082" i="2"/>
  <c r="H2082" i="2" s="1"/>
  <c r="H2081" i="2"/>
  <c r="G2081" i="2"/>
  <c r="F2081" i="2"/>
  <c r="D2081" i="2"/>
  <c r="G2080" i="2"/>
  <c r="F2080" i="2"/>
  <c r="D2080" i="2"/>
  <c r="H2080" i="2" s="1"/>
  <c r="G2079" i="2"/>
  <c r="F2079" i="2"/>
  <c r="D2079" i="2"/>
  <c r="H2079" i="2" s="1"/>
  <c r="H2078" i="2"/>
  <c r="H2077" i="2"/>
  <c r="G2077" i="2"/>
  <c r="F2077" i="2"/>
  <c r="D2077" i="2"/>
  <c r="G2076" i="2"/>
  <c r="F2076" i="2"/>
  <c r="H2076" i="2" s="1"/>
  <c r="D2076" i="2"/>
  <c r="H2075" i="2"/>
  <c r="G2075" i="2"/>
  <c r="F2075" i="2"/>
  <c r="D2075" i="2"/>
  <c r="H2074" i="2"/>
  <c r="G2074" i="2"/>
  <c r="F2074" i="2"/>
  <c r="D2074" i="2"/>
  <c r="G2073" i="2"/>
  <c r="F2073" i="2"/>
  <c r="H2073" i="2" s="1"/>
  <c r="D2073" i="2"/>
  <c r="H2072" i="2"/>
  <c r="G2072" i="2"/>
  <c r="F2072" i="2"/>
  <c r="D2072" i="2"/>
  <c r="H2071" i="2"/>
  <c r="G2071" i="2"/>
  <c r="F2071" i="2"/>
  <c r="D2071" i="2"/>
  <c r="G2070" i="2"/>
  <c r="F2070" i="2"/>
  <c r="H2070" i="2" s="1"/>
  <c r="D2070" i="2"/>
  <c r="G2069" i="2"/>
  <c r="F2069" i="2"/>
  <c r="D2069" i="2"/>
  <c r="H2069" i="2" s="1"/>
  <c r="G2068" i="2"/>
  <c r="H2068" i="2" s="1"/>
  <c r="F2068" i="2"/>
  <c r="D2068" i="2"/>
  <c r="H2067" i="2"/>
  <c r="H2066" i="2"/>
  <c r="G2065" i="2"/>
  <c r="F2065" i="2"/>
  <c r="H2065" i="2" s="1"/>
  <c r="D2065" i="2"/>
  <c r="G2064" i="2"/>
  <c r="F2064" i="2"/>
  <c r="D2064" i="2"/>
  <c r="H2064" i="2" s="1"/>
  <c r="H2063" i="2"/>
  <c r="G2063" i="2"/>
  <c r="F2063" i="2"/>
  <c r="D2063" i="2"/>
  <c r="G2062" i="2"/>
  <c r="F2062" i="2"/>
  <c r="H2062" i="2" s="1"/>
  <c r="D2062" i="2"/>
  <c r="G2061" i="2"/>
  <c r="F2061" i="2"/>
  <c r="D2061" i="2"/>
  <c r="H2061" i="2" s="1"/>
  <c r="G2060" i="2"/>
  <c r="F2060" i="2"/>
  <c r="H2060" i="2" s="1"/>
  <c r="D2060" i="2"/>
  <c r="G2059" i="2"/>
  <c r="F2059" i="2"/>
  <c r="H2059" i="2" s="1"/>
  <c r="D2059" i="2"/>
  <c r="G2058" i="2"/>
  <c r="F2058" i="2"/>
  <c r="D2058" i="2"/>
  <c r="H2058" i="2" s="1"/>
  <c r="G2057" i="2"/>
  <c r="F2057" i="2"/>
  <c r="D2057" i="2"/>
  <c r="H2057" i="2" s="1"/>
  <c r="G2056" i="2"/>
  <c r="F2056" i="2"/>
  <c r="H2056" i="2" s="1"/>
  <c r="D2056" i="2"/>
  <c r="H2055" i="2"/>
  <c r="H2054" i="2"/>
  <c r="G2054" i="2"/>
  <c r="F2054" i="2"/>
  <c r="D2054" i="2"/>
  <c r="G2053" i="2"/>
  <c r="F2053" i="2"/>
  <c r="D2053" i="2"/>
  <c r="H2053" i="2" s="1"/>
  <c r="G2052" i="2"/>
  <c r="F2052" i="2"/>
  <c r="H2052" i="2" s="1"/>
  <c r="D2052" i="2"/>
  <c r="H2051" i="2"/>
  <c r="G2051" i="2"/>
  <c r="F2051" i="2"/>
  <c r="D2051" i="2"/>
  <c r="G2050" i="2"/>
  <c r="F2050" i="2"/>
  <c r="D2050" i="2"/>
  <c r="H2050" i="2" s="1"/>
  <c r="G2049" i="2"/>
  <c r="F2049" i="2"/>
  <c r="D2049" i="2"/>
  <c r="H2049" i="2" s="1"/>
  <c r="H2048" i="2"/>
  <c r="G2048" i="2"/>
  <c r="F2048" i="2"/>
  <c r="D2048" i="2"/>
  <c r="G2047" i="2"/>
  <c r="F2047" i="2"/>
  <c r="D2047" i="2"/>
  <c r="H2047" i="2" s="1"/>
  <c r="G2046" i="2"/>
  <c r="F2046" i="2"/>
  <c r="D2046" i="2"/>
  <c r="H2046" i="2" s="1"/>
  <c r="H2045" i="2"/>
  <c r="G2045" i="2"/>
  <c r="F2045" i="2"/>
  <c r="D2045" i="2"/>
  <c r="H2044" i="2"/>
  <c r="G2043" i="2"/>
  <c r="F2043" i="2"/>
  <c r="H2043" i="2" s="1"/>
  <c r="D2043" i="2"/>
  <c r="H2042" i="2"/>
  <c r="G2042" i="2"/>
  <c r="F2042" i="2"/>
  <c r="D2042" i="2"/>
  <c r="G2041" i="2"/>
  <c r="H2041" i="2" s="1"/>
  <c r="F2041" i="2"/>
  <c r="D2041" i="2"/>
  <c r="G2040" i="2"/>
  <c r="F2040" i="2"/>
  <c r="D2040" i="2"/>
  <c r="H2040" i="2" s="1"/>
  <c r="G2039" i="2"/>
  <c r="F2039" i="2"/>
  <c r="D2039" i="2"/>
  <c r="H2039" i="2" s="1"/>
  <c r="G2038" i="2"/>
  <c r="H2038" i="2" s="1"/>
  <c r="F2038" i="2"/>
  <c r="D2038" i="2"/>
  <c r="G2037" i="2"/>
  <c r="F2037" i="2"/>
  <c r="D2037" i="2"/>
  <c r="H2037" i="2" s="1"/>
  <c r="G2036" i="2"/>
  <c r="F2036" i="2"/>
  <c r="D2036" i="2"/>
  <c r="H2036" i="2" s="1"/>
  <c r="G2035" i="2"/>
  <c r="H2035" i="2" s="1"/>
  <c r="F2035" i="2"/>
  <c r="D2035" i="2"/>
  <c r="G2034" i="2"/>
  <c r="F2034" i="2"/>
  <c r="D2034" i="2"/>
  <c r="H2034" i="2" s="1"/>
  <c r="H2033" i="2"/>
  <c r="G2032" i="2"/>
  <c r="F2032" i="2"/>
  <c r="D2032" i="2"/>
  <c r="H2032" i="2" s="1"/>
  <c r="H2031" i="2"/>
  <c r="G2031" i="2"/>
  <c r="F2031" i="2"/>
  <c r="D2031" i="2"/>
  <c r="G2030" i="2"/>
  <c r="F2030" i="2"/>
  <c r="D2030" i="2"/>
  <c r="H2030" i="2" s="1"/>
  <c r="G2029" i="2"/>
  <c r="F2029" i="2"/>
  <c r="D2029" i="2"/>
  <c r="H2029" i="2" s="1"/>
  <c r="H2028" i="2"/>
  <c r="G2028" i="2"/>
  <c r="F2028" i="2"/>
  <c r="D2028" i="2"/>
  <c r="G2027" i="2"/>
  <c r="F2027" i="2"/>
  <c r="D2027" i="2"/>
  <c r="H2027" i="2" s="1"/>
  <c r="G2026" i="2"/>
  <c r="F2026" i="2"/>
  <c r="D2026" i="2"/>
  <c r="H2026" i="2" s="1"/>
  <c r="H2025" i="2"/>
  <c r="G2025" i="2"/>
  <c r="F2025" i="2"/>
  <c r="D2025" i="2"/>
  <c r="G2024" i="2"/>
  <c r="F2024" i="2"/>
  <c r="D2024" i="2"/>
  <c r="H2024" i="2" s="1"/>
  <c r="G2023" i="2"/>
  <c r="F2023" i="2"/>
  <c r="D2023" i="2"/>
  <c r="H2023" i="2" s="1"/>
  <c r="H2022" i="2"/>
  <c r="H2021" i="2"/>
  <c r="G2020" i="2"/>
  <c r="F2020" i="2"/>
  <c r="D2020" i="2"/>
  <c r="H2020" i="2" s="1"/>
  <c r="G2019" i="2"/>
  <c r="F2019" i="2"/>
  <c r="D2019" i="2"/>
  <c r="H2019" i="2" s="1"/>
  <c r="H2018" i="2"/>
  <c r="G2018" i="2"/>
  <c r="F2018" i="2"/>
  <c r="D2018" i="2"/>
  <c r="G2017" i="2"/>
  <c r="F2017" i="2"/>
  <c r="D2017" i="2"/>
  <c r="H2017" i="2" s="1"/>
  <c r="G2016" i="2"/>
  <c r="F2016" i="2"/>
  <c r="D2016" i="2"/>
  <c r="H2016" i="2" s="1"/>
  <c r="H2015" i="2"/>
  <c r="G2015" i="2"/>
  <c r="F2015" i="2"/>
  <c r="D2015" i="2"/>
  <c r="G2014" i="2"/>
  <c r="F2014" i="2"/>
  <c r="D2014" i="2"/>
  <c r="H2014" i="2" s="1"/>
  <c r="G2013" i="2"/>
  <c r="F2013" i="2"/>
  <c r="D2013" i="2"/>
  <c r="H2013" i="2" s="1"/>
  <c r="H2012" i="2"/>
  <c r="G2012" i="2"/>
  <c r="F2012" i="2"/>
  <c r="D2012" i="2"/>
  <c r="G2011" i="2"/>
  <c r="F2011" i="2"/>
  <c r="D2011" i="2"/>
  <c r="H2011" i="2" s="1"/>
  <c r="H2010" i="2"/>
  <c r="H2009" i="2"/>
  <c r="G2008" i="2"/>
  <c r="F2008" i="2"/>
  <c r="D2008" i="2"/>
  <c r="H2008" i="2" s="1"/>
  <c r="H2007" i="2"/>
  <c r="G2007" i="2"/>
  <c r="F2007" i="2"/>
  <c r="D2007" i="2"/>
  <c r="G2006" i="2"/>
  <c r="F2006" i="2"/>
  <c r="D2006" i="2"/>
  <c r="H2006" i="2" s="1"/>
  <c r="G2005" i="2"/>
  <c r="F2005" i="2"/>
  <c r="D2005" i="2"/>
  <c r="H2005" i="2" s="1"/>
  <c r="G2004" i="2"/>
  <c r="H2004" i="2" s="1"/>
  <c r="F2004" i="2"/>
  <c r="D2004" i="2"/>
  <c r="G2003" i="2"/>
  <c r="F2003" i="2"/>
  <c r="D2003" i="2"/>
  <c r="H2003" i="2" s="1"/>
  <c r="G2002" i="2"/>
  <c r="F2002" i="2"/>
  <c r="D2002" i="2"/>
  <c r="H2002" i="2" s="1"/>
  <c r="G2001" i="2"/>
  <c r="H2001" i="2" s="1"/>
  <c r="F2001" i="2"/>
  <c r="D2001" i="2"/>
  <c r="G2000" i="2"/>
  <c r="F2000" i="2"/>
  <c r="D2000" i="2"/>
  <c r="H2000" i="2" s="1"/>
  <c r="G1999" i="2"/>
  <c r="F1999" i="2"/>
  <c r="D1999" i="2"/>
  <c r="H1999" i="2" s="1"/>
  <c r="H1998" i="2"/>
  <c r="H1997" i="2"/>
  <c r="G1997" i="2"/>
  <c r="F1997" i="2"/>
  <c r="D1997" i="2"/>
  <c r="G1996" i="2"/>
  <c r="F1996" i="2"/>
  <c r="H1996" i="2" s="1"/>
  <c r="D1996" i="2"/>
  <c r="G1995" i="2"/>
  <c r="F1995" i="2"/>
  <c r="D1995" i="2"/>
  <c r="H1995" i="2" s="1"/>
  <c r="H1994" i="2"/>
  <c r="G1994" i="2"/>
  <c r="F1994" i="2"/>
  <c r="D1994" i="2"/>
  <c r="G1993" i="2"/>
  <c r="F1993" i="2"/>
  <c r="H1993" i="2" s="1"/>
  <c r="D1993" i="2"/>
  <c r="G1992" i="2"/>
  <c r="F1992" i="2"/>
  <c r="D1992" i="2"/>
  <c r="H1992" i="2" s="1"/>
  <c r="G1991" i="2"/>
  <c r="F1991" i="2"/>
  <c r="H1991" i="2" s="1"/>
  <c r="D1991" i="2"/>
  <c r="G1990" i="2"/>
  <c r="F1990" i="2"/>
  <c r="H1990" i="2" s="1"/>
  <c r="D1990" i="2"/>
  <c r="G1989" i="2"/>
  <c r="F1989" i="2"/>
  <c r="D1989" i="2"/>
  <c r="H1989" i="2" s="1"/>
  <c r="G1988" i="2"/>
  <c r="F1988" i="2"/>
  <c r="H1988" i="2" s="1"/>
  <c r="D1988" i="2"/>
  <c r="H1987" i="2"/>
  <c r="G1986" i="2"/>
  <c r="F1986" i="2"/>
  <c r="D1986" i="2"/>
  <c r="H1986" i="2" s="1"/>
  <c r="H1985" i="2"/>
  <c r="G1985" i="2"/>
  <c r="F1985" i="2"/>
  <c r="D1985" i="2"/>
  <c r="G1984" i="2"/>
  <c r="F1984" i="2"/>
  <c r="D1984" i="2"/>
  <c r="H1984" i="2" s="1"/>
  <c r="G1983" i="2"/>
  <c r="F1983" i="2"/>
  <c r="D1983" i="2"/>
  <c r="H1983" i="2" s="1"/>
  <c r="H1982" i="2"/>
  <c r="G1982" i="2"/>
  <c r="F1982" i="2"/>
  <c r="D1982" i="2"/>
  <c r="G1981" i="2"/>
  <c r="F1981" i="2"/>
  <c r="D1981" i="2"/>
  <c r="H1981" i="2" s="1"/>
  <c r="G1980" i="2"/>
  <c r="F1980" i="2"/>
  <c r="D1980" i="2"/>
  <c r="H1980" i="2" s="1"/>
  <c r="G1979" i="2"/>
  <c r="H1979" i="2" s="1"/>
  <c r="F1979" i="2"/>
  <c r="D1979" i="2"/>
  <c r="G1978" i="2"/>
  <c r="F1978" i="2"/>
  <c r="D1978" i="2"/>
  <c r="H1978" i="2" s="1"/>
  <c r="G1977" i="2"/>
  <c r="F1977" i="2"/>
  <c r="D1977" i="2"/>
  <c r="H1977" i="2" s="1"/>
  <c r="H1976" i="2"/>
  <c r="H1975" i="2"/>
  <c r="H1974" i="2"/>
  <c r="G1974" i="2"/>
  <c r="F1974" i="2"/>
  <c r="D1974" i="2"/>
  <c r="G1973" i="2"/>
  <c r="F1973" i="2"/>
  <c r="D1973" i="2"/>
  <c r="H1973" i="2" s="1"/>
  <c r="G1972" i="2"/>
  <c r="F1972" i="2"/>
  <c r="D1972" i="2"/>
  <c r="H1972" i="2" s="1"/>
  <c r="G1971" i="2"/>
  <c r="F1971" i="2"/>
  <c r="D1971" i="2"/>
  <c r="H1971" i="2" s="1"/>
  <c r="G1970" i="2"/>
  <c r="F1970" i="2"/>
  <c r="D1970" i="2"/>
  <c r="H1970" i="2" s="1"/>
  <c r="G1969" i="2"/>
  <c r="F1969" i="2"/>
  <c r="D1969" i="2"/>
  <c r="H1969" i="2" s="1"/>
  <c r="G1968" i="2"/>
  <c r="F1968" i="2"/>
  <c r="D1968" i="2"/>
  <c r="H1968" i="2" s="1"/>
  <c r="G1967" i="2"/>
  <c r="F1967" i="2"/>
  <c r="D1967" i="2"/>
  <c r="H1967" i="2" s="1"/>
  <c r="G1966" i="2"/>
  <c r="F1966" i="2"/>
  <c r="D1966" i="2"/>
  <c r="H1966" i="2" s="1"/>
  <c r="G1965" i="2"/>
  <c r="F1965" i="2"/>
  <c r="D1965" i="2"/>
  <c r="H1965" i="2" s="1"/>
  <c r="H1964" i="2"/>
  <c r="G1963" i="2"/>
  <c r="F1963" i="2"/>
  <c r="H1963" i="2" s="1"/>
  <c r="D1963" i="2"/>
  <c r="G1962" i="2"/>
  <c r="F1962" i="2"/>
  <c r="H1962" i="2" s="1"/>
  <c r="D1962" i="2"/>
  <c r="G1961" i="2"/>
  <c r="F1961" i="2"/>
  <c r="H1961" i="2" s="1"/>
  <c r="D1961" i="2"/>
  <c r="G1960" i="2"/>
  <c r="F1960" i="2"/>
  <c r="H1960" i="2" s="1"/>
  <c r="D1960" i="2"/>
  <c r="G1959" i="2"/>
  <c r="F1959" i="2"/>
  <c r="D1959" i="2"/>
  <c r="H1959" i="2" s="1"/>
  <c r="G1958" i="2"/>
  <c r="F1958" i="2"/>
  <c r="H1958" i="2" s="1"/>
  <c r="D1958" i="2"/>
  <c r="G1957" i="2"/>
  <c r="F1957" i="2"/>
  <c r="H1957" i="2" s="1"/>
  <c r="D1957" i="2"/>
  <c r="G1956" i="2"/>
  <c r="F1956" i="2"/>
  <c r="D1956" i="2"/>
  <c r="H1956" i="2" s="1"/>
  <c r="G1955" i="2"/>
  <c r="F1955" i="2"/>
  <c r="H1955" i="2" s="1"/>
  <c r="D1955" i="2"/>
  <c r="G1954" i="2"/>
  <c r="F1954" i="2"/>
  <c r="H1954" i="2" s="1"/>
  <c r="D1954" i="2"/>
  <c r="H1953" i="2"/>
  <c r="G1952" i="2"/>
  <c r="H1952" i="2" s="1"/>
  <c r="F1952" i="2"/>
  <c r="D1952" i="2"/>
  <c r="G1951" i="2"/>
  <c r="F1951" i="2"/>
  <c r="D1951" i="2"/>
  <c r="H1951" i="2" s="1"/>
  <c r="G1950" i="2"/>
  <c r="F1950" i="2"/>
  <c r="D1950" i="2"/>
  <c r="H1950" i="2" s="1"/>
  <c r="G1949" i="2"/>
  <c r="H1949" i="2" s="1"/>
  <c r="F1949" i="2"/>
  <c r="D1949" i="2"/>
  <c r="G1948" i="2"/>
  <c r="F1948" i="2"/>
  <c r="D1948" i="2"/>
  <c r="H1948" i="2" s="1"/>
  <c r="G1947" i="2"/>
  <c r="F1947" i="2"/>
  <c r="D1947" i="2"/>
  <c r="H1947" i="2" s="1"/>
  <c r="G1946" i="2"/>
  <c r="H1946" i="2" s="1"/>
  <c r="F1946" i="2"/>
  <c r="D1946" i="2"/>
  <c r="G1945" i="2"/>
  <c r="F1945" i="2"/>
  <c r="D1945" i="2"/>
  <c r="H1945" i="2" s="1"/>
  <c r="G1944" i="2"/>
  <c r="F1944" i="2"/>
  <c r="D1944" i="2"/>
  <c r="H1944" i="2" s="1"/>
  <c r="G1943" i="2"/>
  <c r="H1943" i="2" s="1"/>
  <c r="F1943" i="2"/>
  <c r="D1943" i="2"/>
  <c r="H1942" i="2"/>
  <c r="G1941" i="2"/>
  <c r="F1941" i="2"/>
  <c r="H1941" i="2" s="1"/>
  <c r="D1941" i="2"/>
  <c r="H1940" i="2"/>
  <c r="G1940" i="2"/>
  <c r="F1940" i="2"/>
  <c r="D1940" i="2"/>
  <c r="H1939" i="2"/>
  <c r="G1939" i="2"/>
  <c r="F1939" i="2"/>
  <c r="D1939" i="2"/>
  <c r="G1938" i="2"/>
  <c r="F1938" i="2"/>
  <c r="H1938" i="2" s="1"/>
  <c r="D1938" i="2"/>
  <c r="H1937" i="2"/>
  <c r="G1937" i="2"/>
  <c r="F1937" i="2"/>
  <c r="D1937" i="2"/>
  <c r="H1936" i="2"/>
  <c r="G1936" i="2"/>
  <c r="F1936" i="2"/>
  <c r="D1936" i="2"/>
  <c r="G1935" i="2"/>
  <c r="F1935" i="2"/>
  <c r="H1935" i="2" s="1"/>
  <c r="D1935" i="2"/>
  <c r="H1934" i="2"/>
  <c r="G1934" i="2"/>
  <c r="F1934" i="2"/>
  <c r="D1934" i="2"/>
  <c r="H1933" i="2"/>
  <c r="G1933" i="2"/>
  <c r="F1933" i="2"/>
  <c r="D1933" i="2"/>
  <c r="G1932" i="2"/>
  <c r="F1932" i="2"/>
  <c r="H1932" i="2" s="1"/>
  <c r="D1932" i="2"/>
  <c r="H1931" i="2"/>
  <c r="G1930" i="2"/>
  <c r="F1930" i="2"/>
  <c r="D1930" i="2"/>
  <c r="H1930" i="2" s="1"/>
  <c r="G1929" i="2"/>
  <c r="F1929" i="2"/>
  <c r="D1929" i="2"/>
  <c r="H1929" i="2" s="1"/>
  <c r="G1928" i="2"/>
  <c r="F1928" i="2"/>
  <c r="D1928" i="2"/>
  <c r="H1928" i="2" s="1"/>
  <c r="G1927" i="2"/>
  <c r="F1927" i="2"/>
  <c r="D1927" i="2"/>
  <c r="H1927" i="2" s="1"/>
  <c r="G1926" i="2"/>
  <c r="F1926" i="2"/>
  <c r="D1926" i="2"/>
  <c r="H1926" i="2" s="1"/>
  <c r="G1925" i="2"/>
  <c r="F1925" i="2"/>
  <c r="D1925" i="2"/>
  <c r="H1925" i="2" s="1"/>
  <c r="G1924" i="2"/>
  <c r="F1924" i="2"/>
  <c r="D1924" i="2"/>
  <c r="H1924" i="2" s="1"/>
  <c r="G1923" i="2"/>
  <c r="F1923" i="2"/>
  <c r="D1923" i="2"/>
  <c r="H1923" i="2" s="1"/>
  <c r="G1922" i="2"/>
  <c r="F1922" i="2"/>
  <c r="D1922" i="2"/>
  <c r="H1922" i="2" s="1"/>
  <c r="G1921" i="2"/>
  <c r="F1921" i="2"/>
  <c r="D1921" i="2"/>
  <c r="H1921" i="2" s="1"/>
  <c r="H1920" i="2"/>
  <c r="H1919" i="2"/>
  <c r="G1918" i="2"/>
  <c r="F1918" i="2"/>
  <c r="D1918" i="2"/>
  <c r="H1918" i="2" s="1"/>
  <c r="G1917" i="2"/>
  <c r="F1917" i="2"/>
  <c r="D1917" i="2"/>
  <c r="H1917" i="2" s="1"/>
  <c r="G1916" i="2"/>
  <c r="H1916" i="2" s="1"/>
  <c r="F1916" i="2"/>
  <c r="D1916" i="2"/>
  <c r="G1915" i="2"/>
  <c r="F1915" i="2"/>
  <c r="D1915" i="2"/>
  <c r="H1915" i="2" s="1"/>
  <c r="G1914" i="2"/>
  <c r="F1914" i="2"/>
  <c r="D1914" i="2"/>
  <c r="H1914" i="2" s="1"/>
  <c r="G1913" i="2"/>
  <c r="H1913" i="2" s="1"/>
  <c r="F1913" i="2"/>
  <c r="D1913" i="2"/>
  <c r="G1912" i="2"/>
  <c r="F1912" i="2"/>
  <c r="D1912" i="2"/>
  <c r="H1912" i="2" s="1"/>
  <c r="G1911" i="2"/>
  <c r="F1911" i="2"/>
  <c r="D1911" i="2"/>
  <c r="H1911" i="2" s="1"/>
  <c r="G1910" i="2"/>
  <c r="F1910" i="2"/>
  <c r="D1910" i="2"/>
  <c r="H1910" i="2" s="1"/>
  <c r="G1909" i="2"/>
  <c r="F1909" i="2"/>
  <c r="D1909" i="2"/>
  <c r="H1909" i="2" s="1"/>
  <c r="H1908" i="2"/>
  <c r="H1907" i="2"/>
  <c r="G1907" i="2"/>
  <c r="F1907" i="2"/>
  <c r="D1907" i="2"/>
  <c r="H1906" i="2"/>
  <c r="G1906" i="2"/>
  <c r="F1906" i="2"/>
  <c r="D1906" i="2"/>
  <c r="G1905" i="2"/>
  <c r="F1905" i="2"/>
  <c r="H1905" i="2" s="1"/>
  <c r="D1905" i="2"/>
  <c r="H1904" i="2"/>
  <c r="G1904" i="2"/>
  <c r="F1904" i="2"/>
  <c r="D1904" i="2"/>
  <c r="H1903" i="2"/>
  <c r="G1903" i="2"/>
  <c r="F1903" i="2"/>
  <c r="D1903" i="2"/>
  <c r="G1902" i="2"/>
  <c r="F1902" i="2"/>
  <c r="H1902" i="2" s="1"/>
  <c r="D1902" i="2"/>
  <c r="H1901" i="2"/>
  <c r="G1901" i="2"/>
  <c r="F1901" i="2"/>
  <c r="D1901" i="2"/>
  <c r="H1900" i="2"/>
  <c r="G1900" i="2"/>
  <c r="F1900" i="2"/>
  <c r="D1900" i="2"/>
  <c r="G1899" i="2"/>
  <c r="F1899" i="2"/>
  <c r="H1899" i="2" s="1"/>
  <c r="D1899" i="2"/>
  <c r="H1898" i="2"/>
  <c r="G1898" i="2"/>
  <c r="F1898" i="2"/>
  <c r="D1898" i="2"/>
  <c r="H1897" i="2"/>
  <c r="G1896" i="2"/>
  <c r="F1896" i="2"/>
  <c r="D1896" i="2"/>
  <c r="H1896" i="2" s="1"/>
  <c r="G1895" i="2"/>
  <c r="F1895" i="2"/>
  <c r="D1895" i="2"/>
  <c r="H1895" i="2" s="1"/>
  <c r="G1894" i="2"/>
  <c r="F1894" i="2"/>
  <c r="D1894" i="2"/>
  <c r="H1894" i="2" s="1"/>
  <c r="G1893" i="2"/>
  <c r="F1893" i="2"/>
  <c r="D1893" i="2"/>
  <c r="H1893" i="2" s="1"/>
  <c r="G1892" i="2"/>
  <c r="F1892" i="2"/>
  <c r="D1892" i="2"/>
  <c r="H1892" i="2" s="1"/>
  <c r="G1891" i="2"/>
  <c r="F1891" i="2"/>
  <c r="D1891" i="2"/>
  <c r="H1891" i="2" s="1"/>
  <c r="G1890" i="2"/>
  <c r="F1890" i="2"/>
  <c r="D1890" i="2"/>
  <c r="H1890" i="2" s="1"/>
  <c r="G1889" i="2"/>
  <c r="F1889" i="2"/>
  <c r="D1889" i="2"/>
  <c r="H1889" i="2" s="1"/>
  <c r="G1888" i="2"/>
  <c r="F1888" i="2"/>
  <c r="D1888" i="2"/>
  <c r="H1888" i="2" s="1"/>
  <c r="G1887" i="2"/>
  <c r="F1887" i="2"/>
  <c r="D1887" i="2"/>
  <c r="H1887" i="2" s="1"/>
  <c r="H1886" i="2"/>
  <c r="G1885" i="2"/>
  <c r="F1885" i="2"/>
  <c r="H1885" i="2" s="1"/>
  <c r="D1885" i="2"/>
  <c r="G1884" i="2"/>
  <c r="F1884" i="2"/>
  <c r="H1884" i="2" s="1"/>
  <c r="D1884" i="2"/>
  <c r="G1883" i="2"/>
  <c r="F1883" i="2"/>
  <c r="H1883" i="2" s="1"/>
  <c r="D1883" i="2"/>
  <c r="G1882" i="2"/>
  <c r="F1882" i="2"/>
  <c r="H1882" i="2" s="1"/>
  <c r="D1882" i="2"/>
  <c r="G1881" i="2"/>
  <c r="F1881" i="2"/>
  <c r="H1881" i="2" s="1"/>
  <c r="D1881" i="2"/>
  <c r="G1880" i="2"/>
  <c r="F1880" i="2"/>
  <c r="H1880" i="2" s="1"/>
  <c r="D1880" i="2"/>
  <c r="G1879" i="2"/>
  <c r="F1879" i="2"/>
  <c r="H1879" i="2" s="1"/>
  <c r="D1879" i="2"/>
  <c r="G1878" i="2"/>
  <c r="F1878" i="2"/>
  <c r="H1878" i="2" s="1"/>
  <c r="D1878" i="2"/>
  <c r="G1877" i="2"/>
  <c r="F1877" i="2"/>
  <c r="H1877" i="2" s="1"/>
  <c r="D1877" i="2"/>
  <c r="G1876" i="2"/>
  <c r="F1876" i="2"/>
  <c r="H1876" i="2" s="1"/>
  <c r="D1876" i="2"/>
  <c r="H1875" i="2"/>
  <c r="H1874" i="2"/>
  <c r="H1873" i="2"/>
  <c r="G1873" i="2"/>
  <c r="F1873" i="2"/>
  <c r="D1873" i="2"/>
  <c r="G1872" i="2"/>
  <c r="F1872" i="2"/>
  <c r="H1872" i="2" s="1"/>
  <c r="D1872" i="2"/>
  <c r="H1871" i="2"/>
  <c r="G1871" i="2"/>
  <c r="F1871" i="2"/>
  <c r="D1871" i="2"/>
  <c r="H1870" i="2"/>
  <c r="G1870" i="2"/>
  <c r="F1870" i="2"/>
  <c r="D1870" i="2"/>
  <c r="G1869" i="2"/>
  <c r="F1869" i="2"/>
  <c r="H1869" i="2" s="1"/>
  <c r="D1869" i="2"/>
  <c r="H1868" i="2"/>
  <c r="G1868" i="2"/>
  <c r="F1868" i="2"/>
  <c r="D1868" i="2"/>
  <c r="H1867" i="2"/>
  <c r="G1867" i="2"/>
  <c r="F1867" i="2"/>
  <c r="D1867" i="2"/>
  <c r="G1866" i="2"/>
  <c r="F1866" i="2"/>
  <c r="H1866" i="2" s="1"/>
  <c r="D1866" i="2"/>
  <c r="H1865" i="2"/>
  <c r="G1865" i="2"/>
  <c r="F1865" i="2"/>
  <c r="D1865" i="2"/>
  <c r="H1864" i="2"/>
  <c r="G1864" i="2"/>
  <c r="F1864" i="2"/>
  <c r="D1864" i="2"/>
  <c r="H1863" i="2"/>
  <c r="G1862" i="2"/>
  <c r="F1862" i="2"/>
  <c r="D1862" i="2"/>
  <c r="H1862" i="2" s="1"/>
  <c r="G1861" i="2"/>
  <c r="F1861" i="2"/>
  <c r="D1861" i="2"/>
  <c r="H1861" i="2" s="1"/>
  <c r="G1860" i="2"/>
  <c r="F1860" i="2"/>
  <c r="D1860" i="2"/>
  <c r="H1860" i="2" s="1"/>
  <c r="G1859" i="2"/>
  <c r="F1859" i="2"/>
  <c r="D1859" i="2"/>
  <c r="H1859" i="2" s="1"/>
  <c r="G1858" i="2"/>
  <c r="F1858" i="2"/>
  <c r="D1858" i="2"/>
  <c r="H1858" i="2" s="1"/>
  <c r="G1857" i="2"/>
  <c r="F1857" i="2"/>
  <c r="D1857" i="2"/>
  <c r="H1857" i="2" s="1"/>
  <c r="G1856" i="2"/>
  <c r="F1856" i="2"/>
  <c r="D1856" i="2"/>
  <c r="H1856" i="2" s="1"/>
  <c r="G1855" i="2"/>
  <c r="F1855" i="2"/>
  <c r="D1855" i="2"/>
  <c r="H1855" i="2" s="1"/>
  <c r="G1854" i="2"/>
  <c r="F1854" i="2"/>
  <c r="D1854" i="2"/>
  <c r="H1854" i="2" s="1"/>
  <c r="G1853" i="2"/>
  <c r="F1853" i="2"/>
  <c r="D1853" i="2"/>
  <c r="H1853" i="2" s="1"/>
  <c r="H1852" i="2"/>
  <c r="H1851" i="2"/>
  <c r="G1850" i="2"/>
  <c r="H1850" i="2" s="1"/>
  <c r="F1850" i="2"/>
  <c r="D1850" i="2"/>
  <c r="G1849" i="2"/>
  <c r="F1849" i="2"/>
  <c r="D1849" i="2"/>
  <c r="H1849" i="2" s="1"/>
  <c r="G1848" i="2"/>
  <c r="F1848" i="2"/>
  <c r="D1848" i="2"/>
  <c r="H1848" i="2" s="1"/>
  <c r="G1847" i="2"/>
  <c r="H1847" i="2" s="1"/>
  <c r="F1847" i="2"/>
  <c r="D1847" i="2"/>
  <c r="G1846" i="2"/>
  <c r="F1846" i="2"/>
  <c r="D1846" i="2"/>
  <c r="H1846" i="2" s="1"/>
  <c r="G1845" i="2"/>
  <c r="F1845" i="2"/>
  <c r="D1845" i="2"/>
  <c r="H1845" i="2" s="1"/>
  <c r="G1844" i="2"/>
  <c r="H1844" i="2" s="1"/>
  <c r="F1844" i="2"/>
  <c r="D1844" i="2"/>
  <c r="G1843" i="2"/>
  <c r="F1843" i="2"/>
  <c r="D1843" i="2"/>
  <c r="H1843" i="2" s="1"/>
  <c r="G1842" i="2"/>
  <c r="F1842" i="2"/>
  <c r="D1842" i="2"/>
  <c r="H1842" i="2" s="1"/>
  <c r="G1841" i="2"/>
  <c r="H1841" i="2" s="1"/>
  <c r="F1841" i="2"/>
  <c r="D1841" i="2"/>
  <c r="H1840" i="2"/>
  <c r="G1839" i="2"/>
  <c r="F1839" i="2"/>
  <c r="H1839" i="2" s="1"/>
  <c r="D1839" i="2"/>
  <c r="H1838" i="2"/>
  <c r="G1838" i="2"/>
  <c r="F1838" i="2"/>
  <c r="D1838" i="2"/>
  <c r="H1837" i="2"/>
  <c r="G1837" i="2"/>
  <c r="F1837" i="2"/>
  <c r="D1837" i="2"/>
  <c r="G1836" i="2"/>
  <c r="F1836" i="2"/>
  <c r="H1836" i="2" s="1"/>
  <c r="D1836" i="2"/>
  <c r="H1835" i="2"/>
  <c r="G1835" i="2"/>
  <c r="F1835" i="2"/>
  <c r="D1835" i="2"/>
  <c r="H1834" i="2"/>
  <c r="G1834" i="2"/>
  <c r="F1834" i="2"/>
  <c r="D1834" i="2"/>
  <c r="G1833" i="2"/>
  <c r="F1833" i="2"/>
  <c r="H1833" i="2" s="1"/>
  <c r="D1833" i="2"/>
  <c r="H1832" i="2"/>
  <c r="G1832" i="2"/>
  <c r="F1832" i="2"/>
  <c r="D1832" i="2"/>
  <c r="H1831" i="2"/>
  <c r="G1831" i="2"/>
  <c r="F1831" i="2"/>
  <c r="D1831" i="2"/>
  <c r="G1830" i="2"/>
  <c r="F1830" i="2"/>
  <c r="H1830" i="2" s="1"/>
  <c r="D1830" i="2"/>
  <c r="H1829" i="2"/>
  <c r="G1828" i="2"/>
  <c r="F1828" i="2"/>
  <c r="D1828" i="2"/>
  <c r="H1828" i="2" s="1"/>
  <c r="G1827" i="2"/>
  <c r="F1827" i="2"/>
  <c r="D1827" i="2"/>
  <c r="H1827" i="2" s="1"/>
  <c r="G1826" i="2"/>
  <c r="F1826" i="2"/>
  <c r="D1826" i="2"/>
  <c r="H1826" i="2" s="1"/>
  <c r="G1825" i="2"/>
  <c r="F1825" i="2"/>
  <c r="D1825" i="2"/>
  <c r="H1825" i="2" s="1"/>
  <c r="G1824" i="2"/>
  <c r="F1824" i="2"/>
  <c r="D1824" i="2"/>
  <c r="H1824" i="2" s="1"/>
  <c r="G1823" i="2"/>
  <c r="F1823" i="2"/>
  <c r="D1823" i="2"/>
  <c r="H1823" i="2" s="1"/>
  <c r="G1822" i="2"/>
  <c r="F1822" i="2"/>
  <c r="D1822" i="2"/>
  <c r="H1822" i="2" s="1"/>
  <c r="G1821" i="2"/>
  <c r="F1821" i="2"/>
  <c r="D1821" i="2"/>
  <c r="H1821" i="2" s="1"/>
  <c r="G1820" i="2"/>
  <c r="F1820" i="2"/>
  <c r="D1820" i="2"/>
  <c r="H1820" i="2" s="1"/>
  <c r="G1819" i="2"/>
  <c r="F1819" i="2"/>
  <c r="D1819" i="2"/>
  <c r="H1819" i="2" s="1"/>
  <c r="G1818" i="2"/>
  <c r="F1818" i="2"/>
  <c r="D1818" i="2"/>
  <c r="H1818" i="2" s="1"/>
  <c r="G1817" i="2"/>
  <c r="F1817" i="2"/>
  <c r="D1817" i="2"/>
  <c r="H1817" i="2" s="1"/>
  <c r="G1816" i="2"/>
  <c r="F1816" i="2"/>
  <c r="D1816" i="2"/>
  <c r="H1816" i="2" s="1"/>
  <c r="G1815" i="2"/>
  <c r="F1815" i="2"/>
  <c r="D1815" i="2"/>
  <c r="H1815" i="2" s="1"/>
  <c r="G1814" i="2"/>
  <c r="F1814" i="2"/>
  <c r="D1814" i="2"/>
  <c r="H1814" i="2" s="1"/>
  <c r="H1813" i="2"/>
  <c r="G1812" i="2"/>
  <c r="F1812" i="2"/>
  <c r="H1812" i="2" s="1"/>
  <c r="D1812" i="2"/>
  <c r="H1811" i="2"/>
  <c r="G1811" i="2"/>
  <c r="F1811" i="2"/>
  <c r="D1811" i="2"/>
  <c r="G1810" i="2"/>
  <c r="F1810" i="2"/>
  <c r="H1810" i="2" s="1"/>
  <c r="D1810" i="2"/>
  <c r="G1809" i="2"/>
  <c r="F1809" i="2"/>
  <c r="H1809" i="2" s="1"/>
  <c r="D1809" i="2"/>
  <c r="G1808" i="2"/>
  <c r="F1808" i="2"/>
  <c r="H1808" i="2" s="1"/>
  <c r="D1808" i="2"/>
  <c r="G1807" i="2"/>
  <c r="F1807" i="2"/>
  <c r="H1807" i="2" s="1"/>
  <c r="D1807" i="2"/>
  <c r="G1806" i="2"/>
  <c r="F1806" i="2"/>
  <c r="H1806" i="2" s="1"/>
  <c r="D1806" i="2"/>
  <c r="G1805" i="2"/>
  <c r="F1805" i="2"/>
  <c r="H1805" i="2" s="1"/>
  <c r="D1805" i="2"/>
  <c r="G1804" i="2"/>
  <c r="F1804" i="2"/>
  <c r="H1804" i="2" s="1"/>
  <c r="D1804" i="2"/>
  <c r="G1803" i="2"/>
  <c r="F1803" i="2"/>
  <c r="H1803" i="2" s="1"/>
  <c r="D1803" i="2"/>
  <c r="H1802" i="2"/>
  <c r="G1801" i="2"/>
  <c r="F1801" i="2"/>
  <c r="D1801" i="2"/>
  <c r="H1801" i="2" s="1"/>
  <c r="G1800" i="2"/>
  <c r="F1800" i="2"/>
  <c r="D1800" i="2"/>
  <c r="H1800" i="2" s="1"/>
  <c r="G1799" i="2"/>
  <c r="H1799" i="2" s="1"/>
  <c r="F1799" i="2"/>
  <c r="D1799" i="2"/>
  <c r="G1798" i="2"/>
  <c r="F1798" i="2"/>
  <c r="D1798" i="2"/>
  <c r="H1798" i="2" s="1"/>
  <c r="G1797" i="2"/>
  <c r="F1797" i="2"/>
  <c r="D1797" i="2"/>
  <c r="H1797" i="2" s="1"/>
  <c r="G1796" i="2"/>
  <c r="H1796" i="2" s="1"/>
  <c r="F1796" i="2"/>
  <c r="D1796" i="2"/>
  <c r="G1795" i="2"/>
  <c r="F1795" i="2"/>
  <c r="D1795" i="2"/>
  <c r="H1795" i="2" s="1"/>
  <c r="G1794" i="2"/>
  <c r="F1794" i="2"/>
  <c r="D1794" i="2"/>
  <c r="H1794" i="2" s="1"/>
  <c r="G1793" i="2"/>
  <c r="H1793" i="2" s="1"/>
  <c r="F1793" i="2"/>
  <c r="D1793" i="2"/>
  <c r="G1792" i="2"/>
  <c r="F1792" i="2"/>
  <c r="D1792" i="2"/>
  <c r="H1792" i="2" s="1"/>
  <c r="H1791" i="2"/>
  <c r="H1790" i="2"/>
  <c r="G1790" i="2"/>
  <c r="F1790" i="2"/>
  <c r="D1790" i="2"/>
  <c r="H1789" i="2"/>
  <c r="G1789" i="2"/>
  <c r="F1789" i="2"/>
  <c r="D1789" i="2"/>
  <c r="G1788" i="2"/>
  <c r="F1788" i="2"/>
  <c r="H1788" i="2" s="1"/>
  <c r="D1788" i="2"/>
  <c r="H1787" i="2"/>
  <c r="G1787" i="2"/>
  <c r="F1787" i="2"/>
  <c r="D1787" i="2"/>
  <c r="H1786" i="2"/>
  <c r="G1786" i="2"/>
  <c r="F1786" i="2"/>
  <c r="D1786" i="2"/>
  <c r="G1785" i="2"/>
  <c r="F1785" i="2"/>
  <c r="H1785" i="2" s="1"/>
  <c r="D1785" i="2"/>
  <c r="H1784" i="2"/>
  <c r="G1784" i="2"/>
  <c r="F1784" i="2"/>
  <c r="D1784" i="2"/>
  <c r="H1783" i="2"/>
  <c r="G1783" i="2"/>
  <c r="F1783" i="2"/>
  <c r="D1783" i="2"/>
  <c r="G1782" i="2"/>
  <c r="F1782" i="2"/>
  <c r="H1782" i="2" s="1"/>
  <c r="D1782" i="2"/>
  <c r="H1781" i="2"/>
  <c r="G1781" i="2"/>
  <c r="F1781" i="2"/>
  <c r="D1781" i="2"/>
  <c r="H1780" i="2"/>
  <c r="G1779" i="2"/>
  <c r="F1779" i="2"/>
  <c r="D1779" i="2"/>
  <c r="H1779" i="2" s="1"/>
  <c r="G1778" i="2"/>
  <c r="F1778" i="2"/>
  <c r="D1778" i="2"/>
  <c r="H1778" i="2" s="1"/>
  <c r="G1777" i="2"/>
  <c r="F1777" i="2"/>
  <c r="D1777" i="2"/>
  <c r="H1777" i="2" s="1"/>
  <c r="G1776" i="2"/>
  <c r="F1776" i="2"/>
  <c r="D1776" i="2"/>
  <c r="H1776" i="2" s="1"/>
  <c r="G1775" i="2"/>
  <c r="F1775" i="2"/>
  <c r="D1775" i="2"/>
  <c r="H1775" i="2" s="1"/>
  <c r="G1774" i="2"/>
  <c r="F1774" i="2"/>
  <c r="D1774" i="2"/>
  <c r="H1774" i="2" s="1"/>
  <c r="G1773" i="2"/>
  <c r="F1773" i="2"/>
  <c r="D1773" i="2"/>
  <c r="H1773" i="2" s="1"/>
  <c r="G1772" i="2"/>
  <c r="F1772" i="2"/>
  <c r="D1772" i="2"/>
  <c r="H1772" i="2" s="1"/>
  <c r="G1771" i="2"/>
  <c r="F1771" i="2"/>
  <c r="D1771" i="2"/>
  <c r="H1771" i="2" s="1"/>
  <c r="G1770" i="2"/>
  <c r="F1770" i="2"/>
  <c r="D1770" i="2"/>
  <c r="H1770" i="2" s="1"/>
  <c r="H1769" i="2"/>
  <c r="G1768" i="2"/>
  <c r="F1768" i="2"/>
  <c r="H1768" i="2" s="1"/>
  <c r="D1768" i="2"/>
  <c r="G1767" i="2"/>
  <c r="F1767" i="2"/>
  <c r="H1767" i="2" s="1"/>
  <c r="D1767" i="2"/>
  <c r="G1766" i="2"/>
  <c r="F1766" i="2"/>
  <c r="H1766" i="2" s="1"/>
  <c r="D1766" i="2"/>
  <c r="G1765" i="2"/>
  <c r="F1765" i="2"/>
  <c r="H1765" i="2" s="1"/>
  <c r="D1765" i="2"/>
  <c r="G1764" i="2"/>
  <c r="F1764" i="2"/>
  <c r="H1764" i="2" s="1"/>
  <c r="D1764" i="2"/>
  <c r="G1763" i="2"/>
  <c r="F1763" i="2"/>
  <c r="H1763" i="2" s="1"/>
  <c r="D1763" i="2"/>
  <c r="G1762" i="2"/>
  <c r="F1762" i="2"/>
  <c r="H1762" i="2" s="1"/>
  <c r="D1762" i="2"/>
  <c r="G1761" i="2"/>
  <c r="F1761" i="2"/>
  <c r="H1761" i="2" s="1"/>
  <c r="D1761" i="2"/>
  <c r="G1760" i="2"/>
  <c r="F1760" i="2"/>
  <c r="H1760" i="2" s="1"/>
  <c r="D1760" i="2"/>
  <c r="G1759" i="2"/>
  <c r="F1759" i="2"/>
  <c r="H1759" i="2" s="1"/>
  <c r="D1759" i="2"/>
  <c r="H1758" i="2"/>
  <c r="G1757" i="2"/>
  <c r="H1757" i="2" s="1"/>
  <c r="F1757" i="2"/>
  <c r="D1757" i="2"/>
  <c r="G1756" i="2"/>
  <c r="F1756" i="2"/>
  <c r="D1756" i="2"/>
  <c r="H1756" i="2" s="1"/>
  <c r="G1755" i="2"/>
  <c r="F1755" i="2"/>
  <c r="D1755" i="2"/>
  <c r="H1755" i="2" s="1"/>
  <c r="G1754" i="2"/>
  <c r="H1754" i="2" s="1"/>
  <c r="F1754" i="2"/>
  <c r="D1754" i="2"/>
  <c r="G1753" i="2"/>
  <c r="F1753" i="2"/>
  <c r="D1753" i="2"/>
  <c r="H1753" i="2" s="1"/>
  <c r="G1752" i="2"/>
  <c r="F1752" i="2"/>
  <c r="D1752" i="2"/>
  <c r="H1752" i="2" s="1"/>
  <c r="G1751" i="2"/>
  <c r="H1751" i="2" s="1"/>
  <c r="F1751" i="2"/>
  <c r="D1751" i="2"/>
  <c r="G1750" i="2"/>
  <c r="F1750" i="2"/>
  <c r="D1750" i="2"/>
  <c r="H1750" i="2" s="1"/>
  <c r="G1749" i="2"/>
  <c r="F1749" i="2"/>
  <c r="D1749" i="2"/>
  <c r="H1749" i="2" s="1"/>
  <c r="G1748" i="2"/>
  <c r="H1748" i="2" s="1"/>
  <c r="F1748" i="2"/>
  <c r="D1748" i="2"/>
  <c r="H1747" i="2"/>
  <c r="G1746" i="2"/>
  <c r="F1746" i="2"/>
  <c r="H1746" i="2" s="1"/>
  <c r="D1746" i="2"/>
  <c r="H1745" i="2"/>
  <c r="G1745" i="2"/>
  <c r="F1745" i="2"/>
  <c r="D1745" i="2"/>
  <c r="H1744" i="2"/>
  <c r="G1744" i="2"/>
  <c r="F1744" i="2"/>
  <c r="D1744" i="2"/>
  <c r="G1743" i="2"/>
  <c r="F1743" i="2"/>
  <c r="H1743" i="2" s="1"/>
  <c r="D1743" i="2"/>
  <c r="H1742" i="2"/>
  <c r="G1742" i="2"/>
  <c r="F1742" i="2"/>
  <c r="D1742" i="2"/>
  <c r="H1741" i="2"/>
  <c r="G1741" i="2"/>
  <c r="F1741" i="2"/>
  <c r="D1741" i="2"/>
  <c r="G1740" i="2"/>
  <c r="F1740" i="2"/>
  <c r="H1740" i="2" s="1"/>
  <c r="D1740" i="2"/>
  <c r="H1739" i="2"/>
  <c r="G1739" i="2"/>
  <c r="F1739" i="2"/>
  <c r="D1739" i="2"/>
  <c r="H1738" i="2"/>
  <c r="G1738" i="2"/>
  <c r="F1738" i="2"/>
  <c r="D1738" i="2"/>
  <c r="G1737" i="2"/>
  <c r="F1737" i="2"/>
  <c r="H1737" i="2" s="1"/>
  <c r="D1737" i="2"/>
  <c r="H1736" i="2"/>
  <c r="G1735" i="2"/>
  <c r="F1735" i="2"/>
  <c r="D1735" i="2"/>
  <c r="H1735" i="2" s="1"/>
  <c r="G1734" i="2"/>
  <c r="F1734" i="2"/>
  <c r="D1734" i="2"/>
  <c r="H1734" i="2" s="1"/>
  <c r="G1733" i="2"/>
  <c r="F1733" i="2"/>
  <c r="D1733" i="2"/>
  <c r="H1733" i="2" s="1"/>
  <c r="G1732" i="2"/>
  <c r="F1732" i="2"/>
  <c r="D1732" i="2"/>
  <c r="H1732" i="2" s="1"/>
  <c r="G1731" i="2"/>
  <c r="F1731" i="2"/>
  <c r="D1731" i="2"/>
  <c r="H1731" i="2" s="1"/>
  <c r="G1730" i="2"/>
  <c r="F1730" i="2"/>
  <c r="D1730" i="2"/>
  <c r="H1730" i="2" s="1"/>
  <c r="G1729" i="2"/>
  <c r="F1729" i="2"/>
  <c r="D1729" i="2"/>
  <c r="H1729" i="2" s="1"/>
  <c r="G1728" i="2"/>
  <c r="F1728" i="2"/>
  <c r="D1728" i="2"/>
  <c r="H1728" i="2" s="1"/>
  <c r="G1727" i="2"/>
  <c r="F1727" i="2"/>
  <c r="D1727" i="2"/>
  <c r="H1727" i="2" s="1"/>
  <c r="G1726" i="2"/>
  <c r="F1726" i="2"/>
  <c r="D1726" i="2"/>
  <c r="H1726" i="2" s="1"/>
  <c r="H1725" i="2"/>
  <c r="G1724" i="2"/>
  <c r="F1724" i="2"/>
  <c r="H1724" i="2" s="1"/>
  <c r="D1724" i="2"/>
  <c r="G1723" i="2"/>
  <c r="F1723" i="2"/>
  <c r="H1723" i="2" s="1"/>
  <c r="D1723" i="2"/>
  <c r="G1722" i="2"/>
  <c r="F1722" i="2"/>
  <c r="H1722" i="2" s="1"/>
  <c r="D1722" i="2"/>
  <c r="G1721" i="2"/>
  <c r="F1721" i="2"/>
  <c r="H1721" i="2" s="1"/>
  <c r="D1721" i="2"/>
  <c r="G1720" i="2"/>
  <c r="F1720" i="2"/>
  <c r="H1720" i="2" s="1"/>
  <c r="D1720" i="2"/>
  <c r="G1719" i="2"/>
  <c r="F1719" i="2"/>
  <c r="H1719" i="2" s="1"/>
  <c r="D1719" i="2"/>
  <c r="G1718" i="2"/>
  <c r="F1718" i="2"/>
  <c r="H1718" i="2" s="1"/>
  <c r="D1718" i="2"/>
  <c r="G1717" i="2"/>
  <c r="F1717" i="2"/>
  <c r="H1717" i="2" s="1"/>
  <c r="D1717" i="2"/>
  <c r="G1716" i="2"/>
  <c r="F1716" i="2"/>
  <c r="H1716" i="2" s="1"/>
  <c r="D1716" i="2"/>
  <c r="G1715" i="2"/>
  <c r="F1715" i="2"/>
  <c r="H1715" i="2" s="1"/>
  <c r="D1715" i="2"/>
  <c r="H1714" i="2"/>
  <c r="G1713" i="2"/>
  <c r="F1713" i="2"/>
  <c r="D1713" i="2"/>
  <c r="H1713" i="2" s="1"/>
  <c r="G1712" i="2"/>
  <c r="H1712" i="2" s="1"/>
  <c r="F1712" i="2"/>
  <c r="D1712" i="2"/>
  <c r="G1711" i="2"/>
  <c r="F1711" i="2"/>
  <c r="D1711" i="2"/>
  <c r="H1711" i="2" s="1"/>
  <c r="G1710" i="2"/>
  <c r="F1710" i="2"/>
  <c r="D1710" i="2"/>
  <c r="H1710" i="2" s="1"/>
  <c r="G1709" i="2"/>
  <c r="H1709" i="2" s="1"/>
  <c r="F1709" i="2"/>
  <c r="D1709" i="2"/>
  <c r="G1708" i="2"/>
  <c r="F1708" i="2"/>
  <c r="D1708" i="2"/>
  <c r="H1708" i="2" s="1"/>
  <c r="G1707" i="2"/>
  <c r="F1707" i="2"/>
  <c r="D1707" i="2"/>
  <c r="H1707" i="2" s="1"/>
  <c r="G1706" i="2"/>
  <c r="H1706" i="2" s="1"/>
  <c r="F1706" i="2"/>
  <c r="D1706" i="2"/>
  <c r="G1705" i="2"/>
  <c r="F1705" i="2"/>
  <c r="D1705" i="2"/>
  <c r="H1705" i="2" s="1"/>
  <c r="G1704" i="2"/>
  <c r="F1704" i="2"/>
  <c r="D1704" i="2"/>
  <c r="H1704" i="2" s="1"/>
  <c r="H1703" i="2"/>
  <c r="H1702" i="2"/>
  <c r="G1702" i="2"/>
  <c r="F1702" i="2"/>
  <c r="D1702" i="2"/>
  <c r="G1701" i="2"/>
  <c r="F1701" i="2"/>
  <c r="H1701" i="2" s="1"/>
  <c r="D1701" i="2"/>
  <c r="H1700" i="2"/>
  <c r="G1700" i="2"/>
  <c r="F1700" i="2"/>
  <c r="D1700" i="2"/>
  <c r="H1699" i="2"/>
  <c r="G1699" i="2"/>
  <c r="F1699" i="2"/>
  <c r="D1699" i="2"/>
  <c r="G1698" i="2"/>
  <c r="F1698" i="2"/>
  <c r="H1698" i="2" s="1"/>
  <c r="D1698" i="2"/>
  <c r="H1697" i="2"/>
  <c r="G1697" i="2"/>
  <c r="F1697" i="2"/>
  <c r="D1697" i="2"/>
  <c r="H1696" i="2"/>
  <c r="G1696" i="2"/>
  <c r="F1696" i="2"/>
  <c r="D1696" i="2"/>
  <c r="G1695" i="2"/>
  <c r="F1695" i="2"/>
  <c r="H1695" i="2" s="1"/>
  <c r="D1695" i="2"/>
  <c r="H1694" i="2"/>
  <c r="G1694" i="2"/>
  <c r="F1694" i="2"/>
  <c r="D1694" i="2"/>
  <c r="H1693" i="2"/>
  <c r="G1693" i="2"/>
  <c r="F1693" i="2"/>
  <c r="D1693" i="2"/>
  <c r="H1692" i="2"/>
  <c r="G1691" i="2"/>
  <c r="F1691" i="2"/>
  <c r="D1691" i="2"/>
  <c r="H1691" i="2" s="1"/>
  <c r="G1690" i="2"/>
  <c r="F1690" i="2"/>
  <c r="D1690" i="2"/>
  <c r="H1690" i="2" s="1"/>
  <c r="G1689" i="2"/>
  <c r="F1689" i="2"/>
  <c r="D1689" i="2"/>
  <c r="H1689" i="2" s="1"/>
  <c r="G1688" i="2"/>
  <c r="F1688" i="2"/>
  <c r="D1688" i="2"/>
  <c r="H1688" i="2" s="1"/>
  <c r="G1687" i="2"/>
  <c r="F1687" i="2"/>
  <c r="D1687" i="2"/>
  <c r="H1687" i="2" s="1"/>
  <c r="G1686" i="2"/>
  <c r="F1686" i="2"/>
  <c r="D1686" i="2"/>
  <c r="H1686" i="2" s="1"/>
  <c r="G1685" i="2"/>
  <c r="F1685" i="2"/>
  <c r="D1685" i="2"/>
  <c r="H1685" i="2" s="1"/>
  <c r="G1684" i="2"/>
  <c r="F1684" i="2"/>
  <c r="D1684" i="2"/>
  <c r="H1684" i="2" s="1"/>
  <c r="G1683" i="2"/>
  <c r="F1683" i="2"/>
  <c r="D1683" i="2"/>
  <c r="H1683" i="2" s="1"/>
  <c r="G1682" i="2"/>
  <c r="F1682" i="2"/>
  <c r="D1682" i="2"/>
  <c r="H1682" i="2" s="1"/>
  <c r="H1681" i="2"/>
  <c r="G1680" i="2"/>
  <c r="F1680" i="2"/>
  <c r="H1680" i="2" s="1"/>
  <c r="D1680" i="2"/>
  <c r="H1679" i="2"/>
  <c r="G1679" i="2"/>
  <c r="F1679" i="2"/>
  <c r="D1679" i="2"/>
  <c r="G1678" i="2"/>
  <c r="F1678" i="2"/>
  <c r="H1678" i="2" s="1"/>
  <c r="D1678" i="2"/>
  <c r="G1677" i="2"/>
  <c r="F1677" i="2"/>
  <c r="H1677" i="2" s="1"/>
  <c r="D1677" i="2"/>
  <c r="H1676" i="2"/>
  <c r="G1676" i="2"/>
  <c r="F1676" i="2"/>
  <c r="D1676" i="2"/>
  <c r="G1675" i="2"/>
  <c r="F1675" i="2"/>
  <c r="H1675" i="2" s="1"/>
  <c r="D1675" i="2"/>
  <c r="G1674" i="2"/>
  <c r="F1674" i="2"/>
  <c r="H1674" i="2" s="1"/>
  <c r="D1674" i="2"/>
  <c r="G1673" i="2"/>
  <c r="F1673" i="2"/>
  <c r="H1673" i="2" s="1"/>
  <c r="D1673" i="2"/>
  <c r="G1672" i="2"/>
  <c r="F1672" i="2"/>
  <c r="H1672" i="2" s="1"/>
  <c r="D1672" i="2"/>
  <c r="G1671" i="2"/>
  <c r="F1671" i="2"/>
  <c r="H1671" i="2" s="1"/>
  <c r="D1671" i="2"/>
  <c r="H1670" i="2"/>
  <c r="G1669" i="2"/>
  <c r="F1669" i="2"/>
  <c r="D1669" i="2"/>
  <c r="H1669" i="2" s="1"/>
  <c r="G1668" i="2"/>
  <c r="F1668" i="2"/>
  <c r="D1668" i="2"/>
  <c r="H1668" i="2" s="1"/>
  <c r="G1667" i="2"/>
  <c r="H1667" i="2" s="1"/>
  <c r="F1667" i="2"/>
  <c r="D1667" i="2"/>
  <c r="G1666" i="2"/>
  <c r="F1666" i="2"/>
  <c r="D1666" i="2"/>
  <c r="H1666" i="2" s="1"/>
  <c r="G1665" i="2"/>
  <c r="F1665" i="2"/>
  <c r="D1665" i="2"/>
  <c r="H1665" i="2" s="1"/>
  <c r="G1664" i="2"/>
  <c r="H1664" i="2" s="1"/>
  <c r="F1664" i="2"/>
  <c r="D1664" i="2"/>
  <c r="G1663" i="2"/>
  <c r="F1663" i="2"/>
  <c r="D1663" i="2"/>
  <c r="H1663" i="2" s="1"/>
  <c r="G1662" i="2"/>
  <c r="F1662" i="2"/>
  <c r="D1662" i="2"/>
  <c r="H1662" i="2" s="1"/>
  <c r="G1661" i="2"/>
  <c r="H1661" i="2" s="1"/>
  <c r="F1661" i="2"/>
  <c r="D1661" i="2"/>
  <c r="G1660" i="2"/>
  <c r="F1660" i="2"/>
  <c r="D1660" i="2"/>
  <c r="H1660" i="2" s="1"/>
  <c r="H1659" i="2"/>
  <c r="H1658" i="2"/>
  <c r="G1658" i="2"/>
  <c r="F1658" i="2"/>
  <c r="D1658" i="2"/>
  <c r="H1657" i="2"/>
  <c r="G1657" i="2"/>
  <c r="F1657" i="2"/>
  <c r="D1657" i="2"/>
  <c r="G1656" i="2"/>
  <c r="F1656" i="2"/>
  <c r="H1656" i="2" s="1"/>
  <c r="D1656" i="2"/>
  <c r="H1655" i="2"/>
  <c r="G1655" i="2"/>
  <c r="F1655" i="2"/>
  <c r="D1655" i="2"/>
  <c r="H1654" i="2"/>
  <c r="G1654" i="2"/>
  <c r="F1654" i="2"/>
  <c r="D1654" i="2"/>
  <c r="G1653" i="2"/>
  <c r="F1653" i="2"/>
  <c r="H1653" i="2" s="1"/>
  <c r="D1653" i="2"/>
  <c r="H1652" i="2"/>
  <c r="G1652" i="2"/>
  <c r="F1652" i="2"/>
  <c r="D1652" i="2"/>
  <c r="H1651" i="2"/>
  <c r="G1651" i="2"/>
  <c r="F1651" i="2"/>
  <c r="D1651" i="2"/>
  <c r="G1650" i="2"/>
  <c r="F1650" i="2"/>
  <c r="H1650" i="2" s="1"/>
  <c r="D1650" i="2"/>
  <c r="H1649" i="2"/>
  <c r="G1649" i="2"/>
  <c r="F1649" i="2"/>
  <c r="D1649" i="2"/>
  <c r="H1648" i="2"/>
  <c r="H1647" i="2"/>
  <c r="H1646" i="2"/>
  <c r="G1646" i="2"/>
  <c r="F1646" i="2"/>
  <c r="D1646" i="2"/>
  <c r="G1645" i="2"/>
  <c r="F1645" i="2"/>
  <c r="H1645" i="2" s="1"/>
  <c r="D1645" i="2"/>
  <c r="G1644" i="2"/>
  <c r="F1644" i="2"/>
  <c r="H1644" i="2" s="1"/>
  <c r="D1644" i="2"/>
  <c r="H1643" i="2"/>
  <c r="G1643" i="2"/>
  <c r="F1643" i="2"/>
  <c r="D1643" i="2"/>
  <c r="G1642" i="2"/>
  <c r="F1642" i="2"/>
  <c r="H1642" i="2" s="1"/>
  <c r="D1642" i="2"/>
  <c r="G1641" i="2"/>
  <c r="F1641" i="2"/>
  <c r="H1641" i="2" s="1"/>
  <c r="D1641" i="2"/>
  <c r="H1640" i="2"/>
  <c r="G1640" i="2"/>
  <c r="F1640" i="2"/>
  <c r="D1640" i="2"/>
  <c r="G1639" i="2"/>
  <c r="F1639" i="2"/>
  <c r="H1639" i="2" s="1"/>
  <c r="D1639" i="2"/>
  <c r="G1638" i="2"/>
  <c r="F1638" i="2"/>
  <c r="H1638" i="2" s="1"/>
  <c r="D1638" i="2"/>
  <c r="H1637" i="2"/>
  <c r="G1637" i="2"/>
  <c r="F1637" i="2"/>
  <c r="D1637" i="2"/>
  <c r="H1636" i="2"/>
  <c r="G1635" i="2"/>
  <c r="F1635" i="2"/>
  <c r="D1635" i="2"/>
  <c r="H1635" i="2" s="1"/>
  <c r="H1634" i="2"/>
  <c r="G1634" i="2"/>
  <c r="F1634" i="2"/>
  <c r="D1634" i="2"/>
  <c r="G1633" i="2"/>
  <c r="F1633" i="2"/>
  <c r="D1633" i="2"/>
  <c r="H1633" i="2" s="1"/>
  <c r="G1632" i="2"/>
  <c r="F1632" i="2"/>
  <c r="D1632" i="2"/>
  <c r="H1632" i="2" s="1"/>
  <c r="H1631" i="2"/>
  <c r="G1631" i="2"/>
  <c r="F1631" i="2"/>
  <c r="D1631" i="2"/>
  <c r="G1630" i="2"/>
  <c r="F1630" i="2"/>
  <c r="D1630" i="2"/>
  <c r="H1630" i="2" s="1"/>
  <c r="G1629" i="2"/>
  <c r="F1629" i="2"/>
  <c r="D1629" i="2"/>
  <c r="H1629" i="2" s="1"/>
  <c r="H1628" i="2"/>
  <c r="G1628" i="2"/>
  <c r="F1628" i="2"/>
  <c r="D1628" i="2"/>
  <c r="G1627" i="2"/>
  <c r="F1627" i="2"/>
  <c r="D1627" i="2"/>
  <c r="H1627" i="2" s="1"/>
  <c r="G1626" i="2"/>
  <c r="F1626" i="2"/>
  <c r="D1626" i="2"/>
  <c r="H1626" i="2" s="1"/>
  <c r="H1625" i="2"/>
  <c r="H1624" i="2"/>
  <c r="G1624" i="2"/>
  <c r="F1624" i="2"/>
  <c r="D1624" i="2"/>
  <c r="G1623" i="2"/>
  <c r="F1623" i="2"/>
  <c r="H1623" i="2" s="1"/>
  <c r="D1623" i="2"/>
  <c r="H1622" i="2"/>
  <c r="G1622" i="2"/>
  <c r="F1622" i="2"/>
  <c r="D1622" i="2"/>
  <c r="H1621" i="2"/>
  <c r="G1621" i="2"/>
  <c r="F1621" i="2"/>
  <c r="D1621" i="2"/>
  <c r="G1620" i="2"/>
  <c r="F1620" i="2"/>
  <c r="H1620" i="2" s="1"/>
  <c r="D1620" i="2"/>
  <c r="H1619" i="2"/>
  <c r="G1619" i="2"/>
  <c r="F1619" i="2"/>
  <c r="D1619" i="2"/>
  <c r="G1618" i="2"/>
  <c r="F1618" i="2"/>
  <c r="H1618" i="2" s="1"/>
  <c r="D1618" i="2"/>
  <c r="G1617" i="2"/>
  <c r="F1617" i="2"/>
  <c r="H1617" i="2" s="1"/>
  <c r="D1617" i="2"/>
  <c r="H1616" i="2"/>
  <c r="G1616" i="2"/>
  <c r="F1616" i="2"/>
  <c r="D1616" i="2"/>
  <c r="G1615" i="2"/>
  <c r="F1615" i="2"/>
  <c r="H1615" i="2" s="1"/>
  <c r="D1615" i="2"/>
  <c r="H1614" i="2"/>
  <c r="G1613" i="2"/>
  <c r="F1613" i="2"/>
  <c r="D1613" i="2"/>
  <c r="H1613" i="2" s="1"/>
  <c r="G1612" i="2"/>
  <c r="F1612" i="2"/>
  <c r="D1612" i="2"/>
  <c r="H1612" i="2" s="1"/>
  <c r="G1611" i="2"/>
  <c r="F1611" i="2"/>
  <c r="D1611" i="2"/>
  <c r="H1611" i="2" s="1"/>
  <c r="G1610" i="2"/>
  <c r="F1610" i="2"/>
  <c r="D1610" i="2"/>
  <c r="H1610" i="2" s="1"/>
  <c r="G1609" i="2"/>
  <c r="F1609" i="2"/>
  <c r="D1609" i="2"/>
  <c r="H1609" i="2" s="1"/>
  <c r="G1608" i="2"/>
  <c r="F1608" i="2"/>
  <c r="D1608" i="2"/>
  <c r="H1608" i="2" s="1"/>
  <c r="G1607" i="2"/>
  <c r="F1607" i="2"/>
  <c r="D1607" i="2"/>
  <c r="H1607" i="2" s="1"/>
  <c r="G1606" i="2"/>
  <c r="F1606" i="2"/>
  <c r="D1606" i="2"/>
  <c r="H1606" i="2" s="1"/>
  <c r="G1605" i="2"/>
  <c r="F1605" i="2"/>
  <c r="D1605" i="2"/>
  <c r="H1605" i="2" s="1"/>
  <c r="G1604" i="2"/>
  <c r="F1604" i="2"/>
  <c r="D1604" i="2"/>
  <c r="H1604" i="2" s="1"/>
  <c r="H1603" i="2"/>
  <c r="G1602" i="2"/>
  <c r="F1602" i="2"/>
  <c r="H1602" i="2" s="1"/>
  <c r="D1602" i="2"/>
  <c r="H1601" i="2"/>
  <c r="G1601" i="2"/>
  <c r="F1601" i="2"/>
  <c r="D1601" i="2"/>
  <c r="G1600" i="2"/>
  <c r="F1600" i="2"/>
  <c r="H1600" i="2" s="1"/>
  <c r="D1600" i="2"/>
  <c r="G1599" i="2"/>
  <c r="F1599" i="2"/>
  <c r="H1599" i="2" s="1"/>
  <c r="D1599" i="2"/>
  <c r="H1598" i="2"/>
  <c r="G1598" i="2"/>
  <c r="F1598" i="2"/>
  <c r="D1598" i="2"/>
  <c r="G1597" i="2"/>
  <c r="F1597" i="2"/>
  <c r="H1597" i="2" s="1"/>
  <c r="D1597" i="2"/>
  <c r="G1596" i="2"/>
  <c r="F1596" i="2"/>
  <c r="H1596" i="2" s="1"/>
  <c r="D1596" i="2"/>
  <c r="H1595" i="2"/>
  <c r="G1595" i="2"/>
  <c r="F1595" i="2"/>
  <c r="D1595" i="2"/>
  <c r="G1594" i="2"/>
  <c r="F1594" i="2"/>
  <c r="H1594" i="2" s="1"/>
  <c r="D1594" i="2"/>
  <c r="G1593" i="2"/>
  <c r="F1593" i="2"/>
  <c r="H1593" i="2" s="1"/>
  <c r="D1593" i="2"/>
  <c r="H1592" i="2"/>
  <c r="G1591" i="2"/>
  <c r="F1591" i="2"/>
  <c r="D1591" i="2"/>
  <c r="H1591" i="2" s="1"/>
  <c r="G1590" i="2"/>
  <c r="F1590" i="2"/>
  <c r="D1590" i="2"/>
  <c r="H1590" i="2" s="1"/>
  <c r="H1589" i="2"/>
  <c r="G1589" i="2"/>
  <c r="F1589" i="2"/>
  <c r="D1589" i="2"/>
  <c r="G1588" i="2"/>
  <c r="F1588" i="2"/>
  <c r="D1588" i="2"/>
  <c r="H1588" i="2" s="1"/>
  <c r="G1587" i="2"/>
  <c r="F1587" i="2"/>
  <c r="D1587" i="2"/>
  <c r="H1587" i="2" s="1"/>
  <c r="H1586" i="2"/>
  <c r="G1586" i="2"/>
  <c r="F1586" i="2"/>
  <c r="D1586" i="2"/>
  <c r="G1585" i="2"/>
  <c r="F1585" i="2"/>
  <c r="D1585" i="2"/>
  <c r="H1585" i="2" s="1"/>
  <c r="G1584" i="2"/>
  <c r="F1584" i="2"/>
  <c r="D1584" i="2"/>
  <c r="H1584" i="2" s="1"/>
  <c r="H1583" i="2"/>
  <c r="G1583" i="2"/>
  <c r="F1583" i="2"/>
  <c r="D1583" i="2"/>
  <c r="G1582" i="2"/>
  <c r="F1582" i="2"/>
  <c r="D1582" i="2"/>
  <c r="H1582" i="2" s="1"/>
  <c r="H1581" i="2"/>
  <c r="H1580" i="2"/>
  <c r="G1580" i="2"/>
  <c r="F1580" i="2"/>
  <c r="D1580" i="2"/>
  <c r="H1579" i="2"/>
  <c r="G1579" i="2"/>
  <c r="F1579" i="2"/>
  <c r="D1579" i="2"/>
  <c r="G1578" i="2"/>
  <c r="F1578" i="2"/>
  <c r="H1578" i="2" s="1"/>
  <c r="D1578" i="2"/>
  <c r="H1577" i="2"/>
  <c r="G1577" i="2"/>
  <c r="F1577" i="2"/>
  <c r="D1577" i="2"/>
  <c r="H1576" i="2"/>
  <c r="G1576" i="2"/>
  <c r="F1576" i="2"/>
  <c r="D1576" i="2"/>
  <c r="G1575" i="2"/>
  <c r="F1575" i="2"/>
  <c r="H1575" i="2" s="1"/>
  <c r="D1575" i="2"/>
  <c r="H1574" i="2"/>
  <c r="G1574" i="2"/>
  <c r="F1574" i="2"/>
  <c r="D1574" i="2"/>
  <c r="G1573" i="2"/>
  <c r="F1573" i="2"/>
  <c r="H1573" i="2" s="1"/>
  <c r="D1573" i="2"/>
  <c r="G1572" i="2"/>
  <c r="F1572" i="2"/>
  <c r="H1572" i="2" s="1"/>
  <c r="D1572" i="2"/>
  <c r="G1571" i="2"/>
  <c r="F1571" i="2"/>
  <c r="D1571" i="2"/>
  <c r="H1571" i="2" s="1"/>
  <c r="H1570" i="2"/>
  <c r="G1569" i="2"/>
  <c r="F1569" i="2"/>
  <c r="D1569" i="2"/>
  <c r="H1569" i="2" s="1"/>
  <c r="G1568" i="2"/>
  <c r="F1568" i="2"/>
  <c r="D1568" i="2"/>
  <c r="H1568" i="2" s="1"/>
  <c r="G1567" i="2"/>
  <c r="F1567" i="2"/>
  <c r="D1567" i="2"/>
  <c r="H1567" i="2" s="1"/>
  <c r="G1566" i="2"/>
  <c r="F1566" i="2"/>
  <c r="D1566" i="2"/>
  <c r="H1566" i="2" s="1"/>
  <c r="G1565" i="2"/>
  <c r="F1565" i="2"/>
  <c r="D1565" i="2"/>
  <c r="H1565" i="2" s="1"/>
  <c r="G1564" i="2"/>
  <c r="F1564" i="2"/>
  <c r="D1564" i="2"/>
  <c r="H1564" i="2" s="1"/>
  <c r="G1563" i="2"/>
  <c r="F1563" i="2"/>
  <c r="D1563" i="2"/>
  <c r="H1563" i="2" s="1"/>
  <c r="G1562" i="2"/>
  <c r="F1562" i="2"/>
  <c r="D1562" i="2"/>
  <c r="H1562" i="2" s="1"/>
  <c r="G1561" i="2"/>
  <c r="F1561" i="2"/>
  <c r="D1561" i="2"/>
  <c r="H1561" i="2" s="1"/>
  <c r="G1560" i="2"/>
  <c r="F1560" i="2"/>
  <c r="D1560" i="2"/>
  <c r="H1560" i="2" s="1"/>
  <c r="G1559" i="2"/>
  <c r="F1559" i="2"/>
  <c r="D1559" i="2"/>
  <c r="H1559" i="2" s="1"/>
  <c r="G1558" i="2"/>
  <c r="F1558" i="2"/>
  <c r="D1558" i="2"/>
  <c r="H1558" i="2" s="1"/>
  <c r="G1557" i="2"/>
  <c r="F1557" i="2"/>
  <c r="D1557" i="2"/>
  <c r="H1557" i="2" s="1"/>
  <c r="G1556" i="2"/>
  <c r="F1556" i="2"/>
  <c r="D1556" i="2"/>
  <c r="H1556" i="2" s="1"/>
  <c r="G1555" i="2"/>
  <c r="F1555" i="2"/>
  <c r="D1555" i="2"/>
  <c r="H1555" i="2" s="1"/>
  <c r="G1554" i="2"/>
  <c r="F1554" i="2"/>
  <c r="D1554" i="2"/>
  <c r="H1554" i="2" s="1"/>
  <c r="H1553" i="2"/>
  <c r="G1552" i="2"/>
  <c r="F1552" i="2"/>
  <c r="H1552" i="2" s="1"/>
  <c r="D1552" i="2"/>
  <c r="G1551" i="2"/>
  <c r="F1551" i="2"/>
  <c r="H1551" i="2" s="1"/>
  <c r="D1551" i="2"/>
  <c r="G1550" i="2"/>
  <c r="F1550" i="2"/>
  <c r="H1550" i="2" s="1"/>
  <c r="D1550" i="2"/>
  <c r="G1549" i="2"/>
  <c r="F1549" i="2"/>
  <c r="H1549" i="2" s="1"/>
  <c r="D1549" i="2"/>
  <c r="G1548" i="2"/>
  <c r="F1548" i="2"/>
  <c r="H1548" i="2" s="1"/>
  <c r="D1548" i="2"/>
  <c r="G1547" i="2"/>
  <c r="F1547" i="2"/>
  <c r="H1547" i="2" s="1"/>
  <c r="D1547" i="2"/>
  <c r="G1546" i="2"/>
  <c r="F1546" i="2"/>
  <c r="H1546" i="2" s="1"/>
  <c r="D1546" i="2"/>
  <c r="G1545" i="2"/>
  <c r="F1545" i="2"/>
  <c r="H1545" i="2" s="1"/>
  <c r="D1545" i="2"/>
  <c r="G1544" i="2"/>
  <c r="F1544" i="2"/>
  <c r="H1544" i="2" s="1"/>
  <c r="D1544" i="2"/>
  <c r="G1543" i="2"/>
  <c r="F1543" i="2"/>
  <c r="H1543" i="2" s="1"/>
  <c r="D1543" i="2"/>
  <c r="H1542" i="2"/>
  <c r="H1541" i="2"/>
  <c r="G1541" i="2"/>
  <c r="F1541" i="2"/>
  <c r="D1541" i="2"/>
  <c r="G1540" i="2"/>
  <c r="F1540" i="2"/>
  <c r="D1540" i="2"/>
  <c r="H1540" i="2" s="1"/>
  <c r="G1539" i="2"/>
  <c r="F1539" i="2"/>
  <c r="D1539" i="2"/>
  <c r="H1539" i="2" s="1"/>
  <c r="H1538" i="2"/>
  <c r="G1538" i="2"/>
  <c r="F1538" i="2"/>
  <c r="D1538" i="2"/>
  <c r="G1537" i="2"/>
  <c r="F1537" i="2"/>
  <c r="D1537" i="2"/>
  <c r="H1537" i="2" s="1"/>
  <c r="G1536" i="2"/>
  <c r="F1536" i="2"/>
  <c r="D1536" i="2"/>
  <c r="H1536" i="2" s="1"/>
  <c r="H1535" i="2"/>
  <c r="G1535" i="2"/>
  <c r="F1535" i="2"/>
  <c r="D1535" i="2"/>
  <c r="G1534" i="2"/>
  <c r="F1534" i="2"/>
  <c r="D1534" i="2"/>
  <c r="H1534" i="2" s="1"/>
  <c r="G1533" i="2"/>
  <c r="F1533" i="2"/>
  <c r="D1533" i="2"/>
  <c r="H1533" i="2" s="1"/>
  <c r="G1532" i="2"/>
  <c r="H1532" i="2" s="1"/>
  <c r="F1532" i="2"/>
  <c r="D1532" i="2"/>
  <c r="H1531" i="2"/>
  <c r="G1530" i="2"/>
  <c r="F1530" i="2"/>
  <c r="H1530" i="2" s="1"/>
  <c r="D1530" i="2"/>
  <c r="H1529" i="2"/>
  <c r="G1529" i="2"/>
  <c r="F1529" i="2"/>
  <c r="D1529" i="2"/>
  <c r="H1528" i="2"/>
  <c r="G1528" i="2"/>
  <c r="F1528" i="2"/>
  <c r="D1528" i="2"/>
  <c r="G1527" i="2"/>
  <c r="F1527" i="2"/>
  <c r="H1527" i="2" s="1"/>
  <c r="D1527" i="2"/>
  <c r="H1526" i="2"/>
  <c r="G1526" i="2"/>
  <c r="F1526" i="2"/>
  <c r="D1526" i="2"/>
  <c r="H1525" i="2"/>
  <c r="G1525" i="2"/>
  <c r="F1525" i="2"/>
  <c r="D1525" i="2"/>
  <c r="G1524" i="2"/>
  <c r="F1524" i="2"/>
  <c r="H1524" i="2" s="1"/>
  <c r="D1524" i="2"/>
  <c r="H1523" i="2"/>
  <c r="G1523" i="2"/>
  <c r="F1523" i="2"/>
  <c r="D1523" i="2"/>
  <c r="G1522" i="2"/>
  <c r="F1522" i="2"/>
  <c r="H1522" i="2" s="1"/>
  <c r="D1522" i="2"/>
  <c r="G1521" i="2"/>
  <c r="F1521" i="2"/>
  <c r="H1521" i="2" s="1"/>
  <c r="D1521" i="2"/>
  <c r="H1520" i="2"/>
  <c r="G1519" i="2"/>
  <c r="F1519" i="2"/>
  <c r="D1519" i="2"/>
  <c r="H1519" i="2" s="1"/>
  <c r="G1518" i="2"/>
  <c r="F1518" i="2"/>
  <c r="D1518" i="2"/>
  <c r="H1518" i="2" s="1"/>
  <c r="G1517" i="2"/>
  <c r="F1517" i="2"/>
  <c r="D1517" i="2"/>
  <c r="H1517" i="2" s="1"/>
  <c r="G1516" i="2"/>
  <c r="F1516" i="2"/>
  <c r="D1516" i="2"/>
  <c r="H1516" i="2" s="1"/>
  <c r="G1515" i="2"/>
  <c r="F1515" i="2"/>
  <c r="D1515" i="2"/>
  <c r="H1515" i="2" s="1"/>
  <c r="G1514" i="2"/>
  <c r="F1514" i="2"/>
  <c r="D1514" i="2"/>
  <c r="H1514" i="2" s="1"/>
  <c r="G1513" i="2"/>
  <c r="F1513" i="2"/>
  <c r="D1513" i="2"/>
  <c r="H1513" i="2" s="1"/>
  <c r="G1512" i="2"/>
  <c r="F1512" i="2"/>
  <c r="D1512" i="2"/>
  <c r="H1512" i="2" s="1"/>
  <c r="G1511" i="2"/>
  <c r="F1511" i="2"/>
  <c r="D1511" i="2"/>
  <c r="H1511" i="2" s="1"/>
  <c r="G1510" i="2"/>
  <c r="F1510" i="2"/>
  <c r="D1510" i="2"/>
  <c r="H1510" i="2" s="1"/>
  <c r="H1509" i="2"/>
  <c r="H1508" i="2"/>
  <c r="G1508" i="2"/>
  <c r="F1508" i="2"/>
  <c r="D1508" i="2"/>
  <c r="G1507" i="2"/>
  <c r="F1507" i="2"/>
  <c r="H1507" i="2" s="1"/>
  <c r="D1507" i="2"/>
  <c r="G1506" i="2"/>
  <c r="F1506" i="2"/>
  <c r="H1506" i="2" s="1"/>
  <c r="D1506" i="2"/>
  <c r="G1505" i="2"/>
  <c r="F1505" i="2"/>
  <c r="H1505" i="2" s="1"/>
  <c r="D1505" i="2"/>
  <c r="G1504" i="2"/>
  <c r="F1504" i="2"/>
  <c r="H1504" i="2" s="1"/>
  <c r="D1504" i="2"/>
  <c r="G1503" i="2"/>
  <c r="F1503" i="2"/>
  <c r="H1503" i="2" s="1"/>
  <c r="D1503" i="2"/>
  <c r="G1502" i="2"/>
  <c r="F1502" i="2"/>
  <c r="H1502" i="2" s="1"/>
  <c r="D1502" i="2"/>
  <c r="G1501" i="2"/>
  <c r="F1501" i="2"/>
  <c r="H1501" i="2" s="1"/>
  <c r="D1501" i="2"/>
  <c r="G1500" i="2"/>
  <c r="F1500" i="2"/>
  <c r="H1500" i="2" s="1"/>
  <c r="D1500" i="2"/>
  <c r="G1499" i="2"/>
  <c r="F1499" i="2"/>
  <c r="H1499" i="2" s="1"/>
  <c r="D1499" i="2"/>
  <c r="H1498" i="2"/>
  <c r="G1497" i="2"/>
  <c r="F1497" i="2"/>
  <c r="D1497" i="2"/>
  <c r="H1497" i="2" s="1"/>
  <c r="H1496" i="2"/>
  <c r="G1496" i="2"/>
  <c r="F1496" i="2"/>
  <c r="D1496" i="2"/>
  <c r="G1495" i="2"/>
  <c r="F1495" i="2"/>
  <c r="D1495" i="2"/>
  <c r="H1495" i="2" s="1"/>
  <c r="G1494" i="2"/>
  <c r="F1494" i="2"/>
  <c r="D1494" i="2"/>
  <c r="H1494" i="2" s="1"/>
  <c r="G1493" i="2"/>
  <c r="H1493" i="2" s="1"/>
  <c r="F1493" i="2"/>
  <c r="D1493" i="2"/>
  <c r="G1492" i="2"/>
  <c r="F1492" i="2"/>
  <c r="D1492" i="2"/>
  <c r="H1492" i="2" s="1"/>
  <c r="G1491" i="2"/>
  <c r="F1491" i="2"/>
  <c r="D1491" i="2"/>
  <c r="H1491" i="2" s="1"/>
  <c r="G1490" i="2"/>
  <c r="H1490" i="2" s="1"/>
  <c r="F1490" i="2"/>
  <c r="D1490" i="2"/>
  <c r="G1489" i="2"/>
  <c r="F1489" i="2"/>
  <c r="D1489" i="2"/>
  <c r="H1489" i="2" s="1"/>
  <c r="G1488" i="2"/>
  <c r="F1488" i="2"/>
  <c r="D1488" i="2"/>
  <c r="H1488" i="2" s="1"/>
  <c r="H1487" i="2"/>
  <c r="H1486" i="2"/>
  <c r="G1486" i="2"/>
  <c r="F1486" i="2"/>
  <c r="D1486" i="2"/>
  <c r="G1485" i="2"/>
  <c r="F1485" i="2"/>
  <c r="H1485" i="2" s="1"/>
  <c r="D1485" i="2"/>
  <c r="H1484" i="2"/>
  <c r="G1484" i="2"/>
  <c r="F1484" i="2"/>
  <c r="D1484" i="2"/>
  <c r="H1483" i="2"/>
  <c r="G1483" i="2"/>
  <c r="F1483" i="2"/>
  <c r="D1483" i="2"/>
  <c r="G1482" i="2"/>
  <c r="F1482" i="2"/>
  <c r="H1482" i="2" s="1"/>
  <c r="D1482" i="2"/>
  <c r="H1481" i="2"/>
  <c r="G1481" i="2"/>
  <c r="F1481" i="2"/>
  <c r="D1481" i="2"/>
  <c r="H1480" i="2"/>
  <c r="G1480" i="2"/>
  <c r="F1480" i="2"/>
  <c r="D1480" i="2"/>
  <c r="G1479" i="2"/>
  <c r="F1479" i="2"/>
  <c r="H1479" i="2" s="1"/>
  <c r="D1479" i="2"/>
  <c r="H1478" i="2"/>
  <c r="G1478" i="2"/>
  <c r="F1478" i="2"/>
  <c r="D1478" i="2"/>
  <c r="H1477" i="2"/>
  <c r="G1477" i="2"/>
  <c r="F1477" i="2"/>
  <c r="D1477" i="2"/>
  <c r="H1476" i="2"/>
  <c r="G1475" i="2"/>
  <c r="F1475" i="2"/>
  <c r="D1475" i="2"/>
  <c r="H1475" i="2" s="1"/>
  <c r="G1474" i="2"/>
  <c r="F1474" i="2"/>
  <c r="D1474" i="2"/>
  <c r="H1474" i="2" s="1"/>
  <c r="G1473" i="2"/>
  <c r="F1473" i="2"/>
  <c r="D1473" i="2"/>
  <c r="H1473" i="2" s="1"/>
  <c r="G1472" i="2"/>
  <c r="F1472" i="2"/>
  <c r="D1472" i="2"/>
  <c r="H1472" i="2" s="1"/>
  <c r="G1471" i="2"/>
  <c r="F1471" i="2"/>
  <c r="D1471" i="2"/>
  <c r="H1471" i="2" s="1"/>
  <c r="G1470" i="2"/>
  <c r="F1470" i="2"/>
  <c r="D1470" i="2"/>
  <c r="H1470" i="2" s="1"/>
  <c r="G1469" i="2"/>
  <c r="F1469" i="2"/>
  <c r="D1469" i="2"/>
  <c r="H1469" i="2" s="1"/>
  <c r="G1468" i="2"/>
  <c r="F1468" i="2"/>
  <c r="D1468" i="2"/>
  <c r="H1468" i="2" s="1"/>
  <c r="G1467" i="2"/>
  <c r="F1467" i="2"/>
  <c r="D1467" i="2"/>
  <c r="H1467" i="2" s="1"/>
  <c r="G1466" i="2"/>
  <c r="F1466" i="2"/>
  <c r="D1466" i="2"/>
  <c r="H1466" i="2" s="1"/>
  <c r="H1465" i="2"/>
  <c r="G1464" i="2"/>
  <c r="F1464" i="2"/>
  <c r="H1464" i="2" s="1"/>
  <c r="D1464" i="2"/>
  <c r="H1463" i="2"/>
  <c r="G1463" i="2"/>
  <c r="F1463" i="2"/>
  <c r="D1463" i="2"/>
  <c r="G1462" i="2"/>
  <c r="F1462" i="2"/>
  <c r="H1462" i="2" s="1"/>
  <c r="D1462" i="2"/>
  <c r="G1461" i="2"/>
  <c r="F1461" i="2"/>
  <c r="H1461" i="2" s="1"/>
  <c r="D1461" i="2"/>
  <c r="G1460" i="2"/>
  <c r="F1460" i="2"/>
  <c r="H1460" i="2" s="1"/>
  <c r="D1460" i="2"/>
  <c r="G1459" i="2"/>
  <c r="F1459" i="2"/>
  <c r="H1459" i="2" s="1"/>
  <c r="D1459" i="2"/>
  <c r="G1458" i="2"/>
  <c r="F1458" i="2"/>
  <c r="H1458" i="2" s="1"/>
  <c r="D1458" i="2"/>
  <c r="G1457" i="2"/>
  <c r="F1457" i="2"/>
  <c r="H1457" i="2" s="1"/>
  <c r="D1457" i="2"/>
  <c r="G1456" i="2"/>
  <c r="F1456" i="2"/>
  <c r="H1456" i="2" s="1"/>
  <c r="D1456" i="2"/>
  <c r="G1455" i="2"/>
  <c r="F1455" i="2"/>
  <c r="H1455" i="2" s="1"/>
  <c r="D1455" i="2"/>
  <c r="H1454" i="2"/>
  <c r="G1453" i="2"/>
  <c r="F1453" i="2"/>
  <c r="D1453" i="2"/>
  <c r="H1453" i="2" s="1"/>
  <c r="G1452" i="2"/>
  <c r="F1452" i="2"/>
  <c r="D1452" i="2"/>
  <c r="H1452" i="2" s="1"/>
  <c r="H1451" i="2"/>
  <c r="G1451" i="2"/>
  <c r="F1451" i="2"/>
  <c r="D1451" i="2"/>
  <c r="G1450" i="2"/>
  <c r="F1450" i="2"/>
  <c r="D1450" i="2"/>
  <c r="H1450" i="2" s="1"/>
  <c r="G1449" i="2"/>
  <c r="F1449" i="2"/>
  <c r="D1449" i="2"/>
  <c r="H1449" i="2" s="1"/>
  <c r="H1448" i="2"/>
  <c r="G1448" i="2"/>
  <c r="F1448" i="2"/>
  <c r="D1448" i="2"/>
  <c r="G1447" i="2"/>
  <c r="F1447" i="2"/>
  <c r="D1447" i="2"/>
  <c r="H1447" i="2" s="1"/>
  <c r="G1446" i="2"/>
  <c r="F1446" i="2"/>
  <c r="D1446" i="2"/>
  <c r="H1446" i="2" s="1"/>
  <c r="G1445" i="2"/>
  <c r="H1445" i="2" s="1"/>
  <c r="F1445" i="2"/>
  <c r="D1445" i="2"/>
  <c r="G1444" i="2"/>
  <c r="F1444" i="2"/>
  <c r="D1444" i="2"/>
  <c r="H1444" i="2" s="1"/>
  <c r="H1443" i="2"/>
  <c r="H1442" i="2"/>
  <c r="G1442" i="2"/>
  <c r="F1442" i="2"/>
  <c r="D1442" i="2"/>
  <c r="H1441" i="2"/>
  <c r="G1441" i="2"/>
  <c r="F1441" i="2"/>
  <c r="D1441" i="2"/>
  <c r="G1440" i="2"/>
  <c r="F1440" i="2"/>
  <c r="H1440" i="2" s="1"/>
  <c r="D1440" i="2"/>
  <c r="H1439" i="2"/>
  <c r="G1439" i="2"/>
  <c r="F1439" i="2"/>
  <c r="D1439" i="2"/>
  <c r="H1438" i="2"/>
  <c r="G1438" i="2"/>
  <c r="F1438" i="2"/>
  <c r="D1438" i="2"/>
  <c r="G1437" i="2"/>
  <c r="F1437" i="2"/>
  <c r="H1437" i="2" s="1"/>
  <c r="D1437" i="2"/>
  <c r="H1436" i="2"/>
  <c r="G1436" i="2"/>
  <c r="F1436" i="2"/>
  <c r="D1436" i="2"/>
  <c r="H1435" i="2"/>
  <c r="G1435" i="2"/>
  <c r="F1435" i="2"/>
  <c r="D1435" i="2"/>
  <c r="G1434" i="2"/>
  <c r="F1434" i="2"/>
  <c r="H1434" i="2" s="1"/>
  <c r="D1434" i="2"/>
  <c r="H1433" i="2"/>
  <c r="G1433" i="2"/>
  <c r="F1433" i="2"/>
  <c r="D1433" i="2"/>
  <c r="H1432" i="2"/>
  <c r="G1431" i="2"/>
  <c r="F1431" i="2"/>
  <c r="D1431" i="2"/>
  <c r="H1431" i="2" s="1"/>
  <c r="G1430" i="2"/>
  <c r="F1430" i="2"/>
  <c r="D1430" i="2"/>
  <c r="H1430" i="2" s="1"/>
  <c r="G1429" i="2"/>
  <c r="F1429" i="2"/>
  <c r="D1429" i="2"/>
  <c r="H1429" i="2" s="1"/>
  <c r="G1428" i="2"/>
  <c r="F1428" i="2"/>
  <c r="D1428" i="2"/>
  <c r="H1428" i="2" s="1"/>
  <c r="G1427" i="2"/>
  <c r="F1427" i="2"/>
  <c r="D1427" i="2"/>
  <c r="H1427" i="2" s="1"/>
  <c r="G1426" i="2"/>
  <c r="F1426" i="2"/>
  <c r="D1426" i="2"/>
  <c r="H1426" i="2" s="1"/>
  <c r="G1425" i="2"/>
  <c r="F1425" i="2"/>
  <c r="D1425" i="2"/>
  <c r="H1425" i="2" s="1"/>
  <c r="G1424" i="2"/>
  <c r="F1424" i="2"/>
  <c r="D1424" i="2"/>
  <c r="H1424" i="2" s="1"/>
  <c r="G1423" i="2"/>
  <c r="F1423" i="2"/>
  <c r="D1423" i="2"/>
  <c r="H1423" i="2" s="1"/>
  <c r="G1422" i="2"/>
  <c r="F1422" i="2"/>
  <c r="D1422" i="2"/>
  <c r="H1422" i="2" s="1"/>
  <c r="H1421" i="2"/>
  <c r="G1420" i="2"/>
  <c r="F1420" i="2"/>
  <c r="H1420" i="2" s="1"/>
  <c r="D1420" i="2"/>
  <c r="G1419" i="2"/>
  <c r="F1419" i="2"/>
  <c r="H1419" i="2" s="1"/>
  <c r="D1419" i="2"/>
  <c r="G1418" i="2"/>
  <c r="F1418" i="2"/>
  <c r="H1418" i="2" s="1"/>
  <c r="D1418" i="2"/>
  <c r="G1417" i="2"/>
  <c r="F1417" i="2"/>
  <c r="H1417" i="2" s="1"/>
  <c r="D1417" i="2"/>
  <c r="G1416" i="2"/>
  <c r="F1416" i="2"/>
  <c r="H1416" i="2" s="1"/>
  <c r="D1416" i="2"/>
  <c r="G1415" i="2"/>
  <c r="F1415" i="2"/>
  <c r="H1415" i="2" s="1"/>
  <c r="D1415" i="2"/>
  <c r="G1414" i="2"/>
  <c r="F1414" i="2"/>
  <c r="H1414" i="2" s="1"/>
  <c r="D1414" i="2"/>
  <c r="G1413" i="2"/>
  <c r="F1413" i="2"/>
  <c r="H1413" i="2" s="1"/>
  <c r="D1413" i="2"/>
  <c r="G1412" i="2"/>
  <c r="F1412" i="2"/>
  <c r="H1412" i="2" s="1"/>
  <c r="D1412" i="2"/>
  <c r="G1411" i="2"/>
  <c r="F1411" i="2"/>
  <c r="H1411" i="2" s="1"/>
  <c r="D1411" i="2"/>
  <c r="H1410" i="2"/>
  <c r="H1409" i="2"/>
  <c r="G1409" i="2"/>
  <c r="F1409" i="2"/>
  <c r="D1409" i="2"/>
  <c r="G1408" i="2"/>
  <c r="F1408" i="2"/>
  <c r="D1408" i="2"/>
  <c r="H1408" i="2" s="1"/>
  <c r="G1407" i="2"/>
  <c r="F1407" i="2"/>
  <c r="D1407" i="2"/>
  <c r="H1407" i="2" s="1"/>
  <c r="H1406" i="2"/>
  <c r="G1406" i="2"/>
  <c r="F1406" i="2"/>
  <c r="D1406" i="2"/>
  <c r="G1405" i="2"/>
  <c r="F1405" i="2"/>
  <c r="D1405" i="2"/>
  <c r="H1405" i="2" s="1"/>
  <c r="G1404" i="2"/>
  <c r="F1404" i="2"/>
  <c r="D1404" i="2"/>
  <c r="H1404" i="2" s="1"/>
  <c r="H1403" i="2"/>
  <c r="G1403" i="2"/>
  <c r="F1403" i="2"/>
  <c r="D1403" i="2"/>
  <c r="G1402" i="2"/>
  <c r="F1402" i="2"/>
  <c r="D1402" i="2"/>
  <c r="H1402" i="2" s="1"/>
  <c r="G1401" i="2"/>
  <c r="F1401" i="2"/>
  <c r="D1401" i="2"/>
  <c r="H1401" i="2" s="1"/>
  <c r="H1400" i="2"/>
  <c r="G1400" i="2"/>
  <c r="F1400" i="2"/>
  <c r="D1400" i="2"/>
  <c r="H1399" i="2"/>
  <c r="G1398" i="2"/>
  <c r="F1398" i="2"/>
  <c r="H1398" i="2" s="1"/>
  <c r="D1398" i="2"/>
  <c r="H1397" i="2"/>
  <c r="G1397" i="2"/>
  <c r="F1397" i="2"/>
  <c r="D1397" i="2"/>
  <c r="H1396" i="2"/>
  <c r="G1396" i="2"/>
  <c r="F1396" i="2"/>
  <c r="D1396" i="2"/>
  <c r="G1395" i="2"/>
  <c r="F1395" i="2"/>
  <c r="H1395" i="2" s="1"/>
  <c r="D1395" i="2"/>
  <c r="H1394" i="2"/>
  <c r="G1394" i="2"/>
  <c r="F1394" i="2"/>
  <c r="D1394" i="2"/>
  <c r="G1393" i="2"/>
  <c r="F1393" i="2"/>
  <c r="H1393" i="2" s="1"/>
  <c r="D1393" i="2"/>
  <c r="G1392" i="2"/>
  <c r="F1392" i="2"/>
  <c r="H1392" i="2" s="1"/>
  <c r="D1392" i="2"/>
  <c r="H1391" i="2"/>
  <c r="G1391" i="2"/>
  <c r="F1391" i="2"/>
  <c r="D1391" i="2"/>
  <c r="G1390" i="2"/>
  <c r="F1390" i="2"/>
  <c r="H1390" i="2" s="1"/>
  <c r="D1390" i="2"/>
  <c r="G1389" i="2"/>
  <c r="F1389" i="2"/>
  <c r="H1389" i="2" s="1"/>
  <c r="D1389" i="2"/>
  <c r="H1388" i="2"/>
  <c r="G1387" i="2"/>
  <c r="F1387" i="2"/>
  <c r="D1387" i="2"/>
  <c r="H1387" i="2" s="1"/>
  <c r="G1386" i="2"/>
  <c r="F1386" i="2"/>
  <c r="D1386" i="2"/>
  <c r="H1386" i="2" s="1"/>
  <c r="G1385" i="2"/>
  <c r="F1385" i="2"/>
  <c r="D1385" i="2"/>
  <c r="H1385" i="2" s="1"/>
  <c r="G1384" i="2"/>
  <c r="F1384" i="2"/>
  <c r="D1384" i="2"/>
  <c r="H1384" i="2" s="1"/>
  <c r="G1383" i="2"/>
  <c r="F1383" i="2"/>
  <c r="D1383" i="2"/>
  <c r="H1383" i="2" s="1"/>
  <c r="G1382" i="2"/>
  <c r="F1382" i="2"/>
  <c r="D1382" i="2"/>
  <c r="H1382" i="2" s="1"/>
  <c r="G1381" i="2"/>
  <c r="F1381" i="2"/>
  <c r="D1381" i="2"/>
  <c r="H1381" i="2" s="1"/>
  <c r="G1380" i="2"/>
  <c r="F1380" i="2"/>
  <c r="D1380" i="2"/>
  <c r="H1380" i="2" s="1"/>
  <c r="G1379" i="2"/>
  <c r="F1379" i="2"/>
  <c r="D1379" i="2"/>
  <c r="H1379" i="2" s="1"/>
  <c r="G1378" i="2"/>
  <c r="F1378" i="2"/>
  <c r="D1378" i="2"/>
  <c r="H1378" i="2" s="1"/>
  <c r="H1377" i="2"/>
  <c r="H1376" i="2"/>
  <c r="G1376" i="2"/>
  <c r="F1376" i="2"/>
  <c r="D1376" i="2"/>
  <c r="G1375" i="2"/>
  <c r="F1375" i="2"/>
  <c r="H1375" i="2" s="1"/>
  <c r="D1375" i="2"/>
  <c r="G1374" i="2"/>
  <c r="F1374" i="2"/>
  <c r="H1374" i="2" s="1"/>
  <c r="D1374" i="2"/>
  <c r="G1373" i="2"/>
  <c r="F1373" i="2"/>
  <c r="H1373" i="2" s="1"/>
  <c r="D1373" i="2"/>
  <c r="G1372" i="2"/>
  <c r="F1372" i="2"/>
  <c r="H1372" i="2" s="1"/>
  <c r="D1372" i="2"/>
  <c r="G1371" i="2"/>
  <c r="F1371" i="2"/>
  <c r="H1371" i="2" s="1"/>
  <c r="D1371" i="2"/>
  <c r="G1370" i="2"/>
  <c r="F1370" i="2"/>
  <c r="H1370" i="2" s="1"/>
  <c r="D1370" i="2"/>
  <c r="G1369" i="2"/>
  <c r="F1369" i="2"/>
  <c r="H1369" i="2" s="1"/>
  <c r="D1369" i="2"/>
  <c r="G1368" i="2"/>
  <c r="F1368" i="2"/>
  <c r="H1368" i="2" s="1"/>
  <c r="D1368" i="2"/>
  <c r="G1367" i="2"/>
  <c r="F1367" i="2"/>
  <c r="H1367" i="2" s="1"/>
  <c r="D1367" i="2"/>
  <c r="H1366" i="2"/>
  <c r="G1365" i="2"/>
  <c r="F1365" i="2"/>
  <c r="D1365" i="2"/>
  <c r="H1365" i="2" s="1"/>
  <c r="H1364" i="2"/>
  <c r="G1364" i="2"/>
  <c r="F1364" i="2"/>
  <c r="D1364" i="2"/>
  <c r="G1363" i="2"/>
  <c r="F1363" i="2"/>
  <c r="D1363" i="2"/>
  <c r="H1363" i="2" s="1"/>
  <c r="G1362" i="2"/>
  <c r="F1362" i="2"/>
  <c r="D1362" i="2"/>
  <c r="H1362" i="2" s="1"/>
  <c r="H1361" i="2"/>
  <c r="G1361" i="2"/>
  <c r="F1361" i="2"/>
  <c r="D1361" i="2"/>
  <c r="G1360" i="2"/>
  <c r="F1360" i="2"/>
  <c r="D1360" i="2"/>
  <c r="H1360" i="2" s="1"/>
  <c r="G1359" i="2"/>
  <c r="F1359" i="2"/>
  <c r="D1359" i="2"/>
  <c r="H1359" i="2" s="1"/>
  <c r="G1358" i="2"/>
  <c r="H1358" i="2" s="1"/>
  <c r="F1358" i="2"/>
  <c r="D1358" i="2"/>
  <c r="G1357" i="2"/>
  <c r="F1357" i="2"/>
  <c r="D1357" i="2"/>
  <c r="H1357" i="2" s="1"/>
  <c r="G1356" i="2"/>
  <c r="F1356" i="2"/>
  <c r="D1356" i="2"/>
  <c r="H1356" i="2" s="1"/>
  <c r="H1355" i="2"/>
  <c r="H1354" i="2"/>
  <c r="G1354" i="2"/>
  <c r="F1354" i="2"/>
  <c r="D1354" i="2"/>
  <c r="G1353" i="2"/>
  <c r="F1353" i="2"/>
  <c r="H1353" i="2" s="1"/>
  <c r="D1353" i="2"/>
  <c r="H1352" i="2"/>
  <c r="G1352" i="2"/>
  <c r="F1352" i="2"/>
  <c r="D1352" i="2"/>
  <c r="H1351" i="2"/>
  <c r="G1351" i="2"/>
  <c r="F1351" i="2"/>
  <c r="D1351" i="2"/>
  <c r="G1350" i="2"/>
  <c r="F1350" i="2"/>
  <c r="H1350" i="2" s="1"/>
  <c r="D1350" i="2"/>
  <c r="H1349" i="2"/>
  <c r="G1349" i="2"/>
  <c r="F1349" i="2"/>
  <c r="D1349" i="2"/>
  <c r="H1348" i="2"/>
  <c r="G1348" i="2"/>
  <c r="F1348" i="2"/>
  <c r="D1348" i="2"/>
  <c r="G1347" i="2"/>
  <c r="F1347" i="2"/>
  <c r="H1347" i="2" s="1"/>
  <c r="D1347" i="2"/>
  <c r="H1346" i="2"/>
  <c r="G1346" i="2"/>
  <c r="F1346" i="2"/>
  <c r="D1346" i="2"/>
  <c r="H1345" i="2"/>
  <c r="G1345" i="2"/>
  <c r="F1345" i="2"/>
  <c r="D1345" i="2"/>
  <c r="H1344" i="2"/>
  <c r="G1343" i="2"/>
  <c r="F1343" i="2"/>
  <c r="D1343" i="2"/>
  <c r="H1343" i="2" s="1"/>
  <c r="G1342" i="2"/>
  <c r="F1342" i="2"/>
  <c r="D1342" i="2"/>
  <c r="H1342" i="2" s="1"/>
  <c r="G1341" i="2"/>
  <c r="F1341" i="2"/>
  <c r="D1341" i="2"/>
  <c r="H1341" i="2" s="1"/>
  <c r="G1340" i="2"/>
  <c r="F1340" i="2"/>
  <c r="D1340" i="2"/>
  <c r="H1340" i="2" s="1"/>
  <c r="G1339" i="2"/>
  <c r="F1339" i="2"/>
  <c r="D1339" i="2"/>
  <c r="H1339" i="2" s="1"/>
  <c r="G1338" i="2"/>
  <c r="F1338" i="2"/>
  <c r="D1338" i="2"/>
  <c r="H1338" i="2" s="1"/>
  <c r="G1337" i="2"/>
  <c r="F1337" i="2"/>
  <c r="D1337" i="2"/>
  <c r="H1337" i="2" s="1"/>
  <c r="G1336" i="2"/>
  <c r="F1336" i="2"/>
  <c r="D1336" i="2"/>
  <c r="H1336" i="2" s="1"/>
  <c r="G1335" i="2"/>
  <c r="F1335" i="2"/>
  <c r="D1335" i="2"/>
  <c r="H1335" i="2" s="1"/>
  <c r="G1334" i="2"/>
  <c r="F1334" i="2"/>
  <c r="D1334" i="2"/>
  <c r="H1334" i="2" s="1"/>
  <c r="H1333" i="2"/>
  <c r="G1332" i="2"/>
  <c r="F1332" i="2"/>
  <c r="H1332" i="2" s="1"/>
  <c r="D1332" i="2"/>
  <c r="H1331" i="2"/>
  <c r="G1331" i="2"/>
  <c r="F1331" i="2"/>
  <c r="D1331" i="2"/>
  <c r="G1330" i="2"/>
  <c r="F1330" i="2"/>
  <c r="H1330" i="2" s="1"/>
  <c r="D1330" i="2"/>
  <c r="G1329" i="2"/>
  <c r="F1329" i="2"/>
  <c r="H1329" i="2" s="1"/>
  <c r="D1329" i="2"/>
  <c r="G1328" i="2"/>
  <c r="F1328" i="2"/>
  <c r="H1328" i="2" s="1"/>
  <c r="D1328" i="2"/>
  <c r="G1327" i="2"/>
  <c r="F1327" i="2"/>
  <c r="H1327" i="2" s="1"/>
  <c r="D1327" i="2"/>
  <c r="G1326" i="2"/>
  <c r="F1326" i="2"/>
  <c r="H1326" i="2" s="1"/>
  <c r="D1326" i="2"/>
  <c r="G1325" i="2"/>
  <c r="F1325" i="2"/>
  <c r="H1325" i="2" s="1"/>
  <c r="D1325" i="2"/>
  <c r="G1324" i="2"/>
  <c r="F1324" i="2"/>
  <c r="H1324" i="2" s="1"/>
  <c r="D1324" i="2"/>
  <c r="G1323" i="2"/>
  <c r="F1323" i="2"/>
  <c r="D1323" i="2"/>
  <c r="H1322" i="2"/>
  <c r="G1321" i="2"/>
  <c r="F1321" i="2"/>
  <c r="D1321" i="2"/>
  <c r="H1321" i="2" s="1"/>
  <c r="G1320" i="2"/>
  <c r="F1320" i="2"/>
  <c r="D1320" i="2"/>
  <c r="H1320" i="2" s="1"/>
  <c r="H1319" i="2"/>
  <c r="G1319" i="2"/>
  <c r="F1319" i="2"/>
  <c r="D1319" i="2"/>
  <c r="G1318" i="2"/>
  <c r="F1318" i="2"/>
  <c r="D1318" i="2"/>
  <c r="H1318" i="2" s="1"/>
  <c r="G1317" i="2"/>
  <c r="F1317" i="2"/>
  <c r="D1317" i="2"/>
  <c r="H1317" i="2" s="1"/>
  <c r="G1316" i="2"/>
  <c r="H1316" i="2" s="1"/>
  <c r="F1316" i="2"/>
  <c r="D1316" i="2"/>
  <c r="G1315" i="2"/>
  <c r="F1315" i="2"/>
  <c r="D1315" i="2"/>
  <c r="H1315" i="2" s="1"/>
  <c r="G1314" i="2"/>
  <c r="F1314" i="2"/>
  <c r="D1314" i="2"/>
  <c r="G1313" i="2"/>
  <c r="H1313" i="2" s="1"/>
  <c r="F1313" i="2"/>
  <c r="D1313" i="2"/>
  <c r="G1312" i="2"/>
  <c r="F1312" i="2"/>
  <c r="D1312" i="2"/>
  <c r="H1312" i="2" s="1"/>
  <c r="H1311" i="2"/>
  <c r="G1310" i="2"/>
  <c r="F1310" i="2"/>
  <c r="D1310" i="2"/>
  <c r="H1310" i="2" s="1"/>
  <c r="H1309" i="2"/>
  <c r="G1309" i="2"/>
  <c r="F1309" i="2"/>
  <c r="D1309" i="2"/>
  <c r="G1308" i="2"/>
  <c r="F1308" i="2"/>
  <c r="H1308" i="2" s="1"/>
  <c r="D1308" i="2"/>
  <c r="G1307" i="2"/>
  <c r="F1307" i="2"/>
  <c r="D1307" i="2"/>
  <c r="H1307" i="2" s="1"/>
  <c r="H1306" i="2"/>
  <c r="G1306" i="2"/>
  <c r="F1306" i="2"/>
  <c r="D1306" i="2"/>
  <c r="G1305" i="2"/>
  <c r="F1305" i="2"/>
  <c r="H1305" i="2" s="1"/>
  <c r="D1305" i="2"/>
  <c r="G1304" i="2"/>
  <c r="F1304" i="2"/>
  <c r="D1304" i="2"/>
  <c r="H1304" i="2" s="1"/>
  <c r="H1303" i="2"/>
  <c r="G1303" i="2"/>
  <c r="F1303" i="2"/>
  <c r="D1303" i="2"/>
  <c r="G1302" i="2"/>
  <c r="F1302" i="2"/>
  <c r="H1302" i="2" s="1"/>
  <c r="D1302" i="2"/>
  <c r="G1301" i="2"/>
  <c r="F1301" i="2"/>
  <c r="D1301" i="2"/>
  <c r="H1301" i="2" s="1"/>
  <c r="H1300" i="2"/>
  <c r="G1299" i="2"/>
  <c r="F1299" i="2"/>
  <c r="D1299" i="2"/>
  <c r="G1298" i="2"/>
  <c r="F1298" i="2"/>
  <c r="D1298" i="2"/>
  <c r="H1298" i="2" s="1"/>
  <c r="G1297" i="2"/>
  <c r="F1297" i="2"/>
  <c r="D1297" i="2"/>
  <c r="H1297" i="2" s="1"/>
  <c r="G1296" i="2"/>
  <c r="F1296" i="2"/>
  <c r="D1296" i="2"/>
  <c r="H1296" i="2" s="1"/>
  <c r="G1295" i="2"/>
  <c r="F1295" i="2"/>
  <c r="D1295" i="2"/>
  <c r="G1294" i="2"/>
  <c r="F1294" i="2"/>
  <c r="D1294" i="2"/>
  <c r="H1294" i="2" s="1"/>
  <c r="G1293" i="2"/>
  <c r="F1293" i="2"/>
  <c r="D1293" i="2"/>
  <c r="H1293" i="2" s="1"/>
  <c r="G1292" i="2"/>
  <c r="F1292" i="2"/>
  <c r="D1292" i="2"/>
  <c r="H1292" i="2" s="1"/>
  <c r="G1291" i="2"/>
  <c r="F1291" i="2"/>
  <c r="D1291" i="2"/>
  <c r="H1291" i="2" s="1"/>
  <c r="G1290" i="2"/>
  <c r="F1290" i="2"/>
  <c r="D1290" i="2"/>
  <c r="H1290" i="2" s="1"/>
  <c r="H1289" i="2"/>
  <c r="G1288" i="2"/>
  <c r="F1288" i="2"/>
  <c r="H1288" i="2" s="1"/>
  <c r="D1288" i="2"/>
  <c r="H1287" i="2"/>
  <c r="G1287" i="2"/>
  <c r="F1287" i="2"/>
  <c r="D1287" i="2"/>
  <c r="G1286" i="2"/>
  <c r="F1286" i="2"/>
  <c r="H1286" i="2" s="1"/>
  <c r="D1286" i="2"/>
  <c r="G1285" i="2"/>
  <c r="F1285" i="2"/>
  <c r="H1285" i="2" s="1"/>
  <c r="D1285" i="2"/>
  <c r="G1284" i="2"/>
  <c r="H1284" i="2" s="1"/>
  <c r="F1284" i="2"/>
  <c r="D1284" i="2"/>
  <c r="G1283" i="2"/>
  <c r="F1283" i="2"/>
  <c r="H1283" i="2" s="1"/>
  <c r="D1283" i="2"/>
  <c r="G1282" i="2"/>
  <c r="F1282" i="2"/>
  <c r="H1282" i="2" s="1"/>
  <c r="D1282" i="2"/>
  <c r="G1281" i="2"/>
  <c r="H1281" i="2" s="1"/>
  <c r="F1281" i="2"/>
  <c r="D1281" i="2"/>
  <c r="G1280" i="2"/>
  <c r="F1280" i="2"/>
  <c r="H1280" i="2" s="1"/>
  <c r="D1280" i="2"/>
  <c r="G1279" i="2"/>
  <c r="F1279" i="2"/>
  <c r="H1279" i="2" s="1"/>
  <c r="D1279" i="2"/>
  <c r="H1278" i="2"/>
  <c r="H1277" i="2"/>
  <c r="G1277" i="2"/>
  <c r="F1277" i="2"/>
  <c r="D1277" i="2"/>
  <c r="G1276" i="2"/>
  <c r="F1276" i="2"/>
  <c r="D1276" i="2"/>
  <c r="H1276" i="2" s="1"/>
  <c r="G1275" i="2"/>
  <c r="F1275" i="2"/>
  <c r="D1275" i="2"/>
  <c r="G1274" i="2"/>
  <c r="F1274" i="2"/>
  <c r="D1274" i="2"/>
  <c r="H1274" i="2" s="1"/>
  <c r="H1273" i="2"/>
  <c r="G1273" i="2"/>
  <c r="F1273" i="2"/>
  <c r="D1273" i="2"/>
  <c r="G1272" i="2"/>
  <c r="F1272" i="2"/>
  <c r="D1272" i="2"/>
  <c r="H1272" i="2" s="1"/>
  <c r="G1271" i="2"/>
  <c r="F1271" i="2"/>
  <c r="D1271" i="2"/>
  <c r="H1271" i="2" s="1"/>
  <c r="G1270" i="2"/>
  <c r="F1270" i="2"/>
  <c r="D1270" i="2"/>
  <c r="H1270" i="2" s="1"/>
  <c r="G1269" i="2"/>
  <c r="F1269" i="2"/>
  <c r="D1269" i="2"/>
  <c r="H1269" i="2" s="1"/>
  <c r="G1268" i="2"/>
  <c r="F1268" i="2"/>
  <c r="D1268" i="2"/>
  <c r="H1268" i="2" s="1"/>
  <c r="H1267" i="2"/>
  <c r="G1266" i="2"/>
  <c r="F1266" i="2"/>
  <c r="D1266" i="2"/>
  <c r="H1266" i="2" s="1"/>
  <c r="G1265" i="2"/>
  <c r="F1265" i="2"/>
  <c r="D1265" i="2"/>
  <c r="H1265" i="2" s="1"/>
  <c r="G1264" i="2"/>
  <c r="F1264" i="2"/>
  <c r="D1264" i="2"/>
  <c r="H1264" i="2" s="1"/>
  <c r="G1263" i="2"/>
  <c r="F1263" i="2"/>
  <c r="D1263" i="2"/>
  <c r="H1263" i="2" s="1"/>
  <c r="G1262" i="2"/>
  <c r="F1262" i="2"/>
  <c r="D1262" i="2"/>
  <c r="H1262" i="2" s="1"/>
  <c r="G1261" i="2"/>
  <c r="F1261" i="2"/>
  <c r="D1261" i="2"/>
  <c r="H1261" i="2" s="1"/>
  <c r="G1260" i="2"/>
  <c r="F1260" i="2"/>
  <c r="D1260" i="2"/>
  <c r="H1260" i="2" s="1"/>
  <c r="G1259" i="2"/>
  <c r="F1259" i="2"/>
  <c r="D1259" i="2"/>
  <c r="H1259" i="2" s="1"/>
  <c r="G1258" i="2"/>
  <c r="F1258" i="2"/>
  <c r="D1258" i="2"/>
  <c r="H1258" i="2" s="1"/>
  <c r="G1257" i="2"/>
  <c r="F1257" i="2"/>
  <c r="D1257" i="2"/>
  <c r="H1257" i="2" s="1"/>
  <c r="H1256" i="2"/>
  <c r="G1255" i="2"/>
  <c r="F1255" i="2"/>
  <c r="D1255" i="2"/>
  <c r="H1255" i="2" s="1"/>
  <c r="G1254" i="2"/>
  <c r="F1254" i="2"/>
  <c r="H1254" i="2" s="1"/>
  <c r="D1254" i="2"/>
  <c r="G1253" i="2"/>
  <c r="F1253" i="2"/>
  <c r="D1253" i="2"/>
  <c r="G1252" i="2"/>
  <c r="F1252" i="2"/>
  <c r="D1252" i="2"/>
  <c r="H1252" i="2" s="1"/>
  <c r="G1251" i="2"/>
  <c r="F1251" i="2"/>
  <c r="D1251" i="2"/>
  <c r="H1251" i="2" s="1"/>
  <c r="G1250" i="2"/>
  <c r="F1250" i="2"/>
  <c r="D1250" i="2"/>
  <c r="H1250" i="2" s="1"/>
  <c r="G1249" i="2"/>
  <c r="F1249" i="2"/>
  <c r="D1249" i="2"/>
  <c r="H1249" i="2" s="1"/>
  <c r="G1248" i="2"/>
  <c r="F1248" i="2"/>
  <c r="D1248" i="2"/>
  <c r="H1248" i="2" s="1"/>
  <c r="G1247" i="2"/>
  <c r="F1247" i="2"/>
  <c r="D1247" i="2"/>
  <c r="H1246" i="2"/>
  <c r="G1246" i="2"/>
  <c r="F1246" i="2"/>
  <c r="D1246" i="2"/>
  <c r="H1245" i="2"/>
  <c r="G1244" i="2"/>
  <c r="F1244" i="2"/>
  <c r="H1244" i="2" s="1"/>
  <c r="D1244" i="2"/>
  <c r="G1243" i="2"/>
  <c r="F1243" i="2"/>
  <c r="D1243" i="2"/>
  <c r="H1243" i="2" s="1"/>
  <c r="G1242" i="2"/>
  <c r="F1242" i="2"/>
  <c r="D1242" i="2"/>
  <c r="H1242" i="2" s="1"/>
  <c r="G1241" i="2"/>
  <c r="F1241" i="2"/>
  <c r="D1241" i="2"/>
  <c r="H1241" i="2" s="1"/>
  <c r="G1240" i="2"/>
  <c r="F1240" i="2"/>
  <c r="D1240" i="2"/>
  <c r="H1240" i="2" s="1"/>
  <c r="G1239" i="2"/>
  <c r="F1239" i="2"/>
  <c r="D1239" i="2"/>
  <c r="H1239" i="2" s="1"/>
  <c r="G1238" i="2"/>
  <c r="F1238" i="2"/>
  <c r="D1238" i="2"/>
  <c r="H1238" i="2" s="1"/>
  <c r="G1237" i="2"/>
  <c r="F1237" i="2"/>
  <c r="D1237" i="2"/>
  <c r="H1237" i="2" s="1"/>
  <c r="G1236" i="2"/>
  <c r="F1236" i="2"/>
  <c r="D1236" i="2"/>
  <c r="H1236" i="2" s="1"/>
  <c r="G1235" i="2"/>
  <c r="F1235" i="2"/>
  <c r="D1235" i="2"/>
  <c r="H1235" i="2" s="1"/>
  <c r="H1234" i="2"/>
  <c r="G1233" i="2"/>
  <c r="F1233" i="2"/>
  <c r="D1233" i="2"/>
  <c r="H1233" i="2" s="1"/>
  <c r="G1232" i="2"/>
  <c r="F1232" i="2"/>
  <c r="D1232" i="2"/>
  <c r="H1232" i="2" s="1"/>
  <c r="G1231" i="2"/>
  <c r="F1231" i="2"/>
  <c r="D1231" i="2"/>
  <c r="H1231" i="2" s="1"/>
  <c r="G1230" i="2"/>
  <c r="F1230" i="2"/>
  <c r="D1230" i="2"/>
  <c r="H1230" i="2" s="1"/>
  <c r="G1229" i="2"/>
  <c r="F1229" i="2"/>
  <c r="D1229" i="2"/>
  <c r="H1229" i="2" s="1"/>
  <c r="G1228" i="2"/>
  <c r="F1228" i="2"/>
  <c r="D1228" i="2"/>
  <c r="H1228" i="2" s="1"/>
  <c r="G1227" i="2"/>
  <c r="F1227" i="2"/>
  <c r="D1227" i="2"/>
  <c r="H1227" i="2" s="1"/>
  <c r="G1226" i="2"/>
  <c r="F1226" i="2"/>
  <c r="D1226" i="2"/>
  <c r="H1226" i="2" s="1"/>
  <c r="G1225" i="2"/>
  <c r="F1225" i="2"/>
  <c r="D1225" i="2"/>
  <c r="H1225" i="2" s="1"/>
  <c r="G1224" i="2"/>
  <c r="F1224" i="2"/>
  <c r="D1224" i="2"/>
  <c r="H1224" i="2" s="1"/>
  <c r="H1223" i="2"/>
  <c r="G1222" i="2"/>
  <c r="F1222" i="2"/>
  <c r="H1222" i="2" s="1"/>
  <c r="D1222" i="2"/>
  <c r="G1221" i="2"/>
  <c r="F1221" i="2"/>
  <c r="H1221" i="2" s="1"/>
  <c r="D1221" i="2"/>
  <c r="G1220" i="2"/>
  <c r="F1220" i="2"/>
  <c r="H1220" i="2" s="1"/>
  <c r="D1220" i="2"/>
  <c r="G1219" i="2"/>
  <c r="F1219" i="2"/>
  <c r="D1219" i="2"/>
  <c r="H1219" i="2" s="1"/>
  <c r="G1218" i="2"/>
  <c r="F1218" i="2"/>
  <c r="H1218" i="2" s="1"/>
  <c r="D1218" i="2"/>
  <c r="G1217" i="2"/>
  <c r="F1217" i="2"/>
  <c r="D1217" i="2"/>
  <c r="H1217" i="2" s="1"/>
  <c r="G1216" i="2"/>
  <c r="F1216" i="2"/>
  <c r="D1216" i="2"/>
  <c r="H1216" i="2" s="1"/>
  <c r="G1215" i="2"/>
  <c r="F1215" i="2"/>
  <c r="H1215" i="2" s="1"/>
  <c r="D1215" i="2"/>
  <c r="G1214" i="2"/>
  <c r="F1214" i="2"/>
  <c r="D1214" i="2"/>
  <c r="H1214" i="2" s="1"/>
  <c r="G1213" i="2"/>
  <c r="F1213" i="2"/>
  <c r="D1213" i="2"/>
  <c r="H1213" i="2" s="1"/>
  <c r="H1212" i="2"/>
  <c r="H1211" i="2"/>
  <c r="G1211" i="2"/>
  <c r="F1211" i="2"/>
  <c r="D1211" i="2"/>
  <c r="H1210" i="2"/>
  <c r="G1210" i="2"/>
  <c r="F1210" i="2"/>
  <c r="D1210" i="2"/>
  <c r="H1209" i="2"/>
  <c r="G1209" i="2"/>
  <c r="F1209" i="2"/>
  <c r="D1209" i="2"/>
  <c r="H1208" i="2"/>
  <c r="G1208" i="2"/>
  <c r="F1208" i="2"/>
  <c r="D1208" i="2"/>
  <c r="H1207" i="2"/>
  <c r="G1207" i="2"/>
  <c r="F1207" i="2"/>
  <c r="D1207" i="2"/>
  <c r="H1206" i="2"/>
  <c r="G1206" i="2"/>
  <c r="F1206" i="2"/>
  <c r="D1206" i="2"/>
  <c r="G1205" i="2"/>
  <c r="H1205" i="2" s="1"/>
  <c r="F1205" i="2"/>
  <c r="D1205" i="2"/>
  <c r="H1204" i="2"/>
  <c r="G1204" i="2"/>
  <c r="F1204" i="2"/>
  <c r="D1204" i="2"/>
  <c r="H1203" i="2"/>
  <c r="G1203" i="2"/>
  <c r="F1203" i="2"/>
  <c r="D1203" i="2"/>
  <c r="G1202" i="2"/>
  <c r="H1202" i="2" s="1"/>
  <c r="F1202" i="2"/>
  <c r="D1202" i="2"/>
  <c r="H1201" i="2"/>
  <c r="G1200" i="2"/>
  <c r="F1200" i="2"/>
  <c r="D1200" i="2"/>
  <c r="H1200" i="2" s="1"/>
  <c r="G1199" i="2"/>
  <c r="F1199" i="2"/>
  <c r="D1199" i="2"/>
  <c r="H1199" i="2" s="1"/>
  <c r="G1198" i="2"/>
  <c r="F1198" i="2"/>
  <c r="D1198" i="2"/>
  <c r="H1198" i="2" s="1"/>
  <c r="G1197" i="2"/>
  <c r="F1197" i="2"/>
  <c r="D1197" i="2"/>
  <c r="H1197" i="2" s="1"/>
  <c r="G1196" i="2"/>
  <c r="F1196" i="2"/>
  <c r="D1196" i="2"/>
  <c r="H1196" i="2" s="1"/>
  <c r="G1195" i="2"/>
  <c r="F1195" i="2"/>
  <c r="D1195" i="2"/>
  <c r="H1195" i="2" s="1"/>
  <c r="G1194" i="2"/>
  <c r="F1194" i="2"/>
  <c r="D1194" i="2"/>
  <c r="H1194" i="2" s="1"/>
  <c r="G1193" i="2"/>
  <c r="F1193" i="2"/>
  <c r="D1193" i="2"/>
  <c r="H1193" i="2" s="1"/>
  <c r="G1192" i="2"/>
  <c r="F1192" i="2"/>
  <c r="D1192" i="2"/>
  <c r="H1192" i="2" s="1"/>
  <c r="G1191" i="2"/>
  <c r="F1191" i="2"/>
  <c r="D1191" i="2"/>
  <c r="H1191" i="2" s="1"/>
  <c r="H1190" i="2"/>
  <c r="G1189" i="2"/>
  <c r="F1189" i="2"/>
  <c r="D1189" i="2"/>
  <c r="H1189" i="2" s="1"/>
  <c r="G1188" i="2"/>
  <c r="F1188" i="2"/>
  <c r="D1188" i="2"/>
  <c r="H1188" i="2" s="1"/>
  <c r="G1187" i="2"/>
  <c r="F1187" i="2"/>
  <c r="D1187" i="2"/>
  <c r="H1187" i="2" s="1"/>
  <c r="G1186" i="2"/>
  <c r="F1186" i="2"/>
  <c r="D1186" i="2"/>
  <c r="H1186" i="2" s="1"/>
  <c r="G1185" i="2"/>
  <c r="F1185" i="2"/>
  <c r="D1185" i="2"/>
  <c r="H1185" i="2" s="1"/>
  <c r="G1184" i="2"/>
  <c r="F1184" i="2"/>
  <c r="D1184" i="2"/>
  <c r="H1184" i="2" s="1"/>
  <c r="G1183" i="2"/>
  <c r="F1183" i="2"/>
  <c r="D1183" i="2"/>
  <c r="H1183" i="2" s="1"/>
  <c r="G1182" i="2"/>
  <c r="F1182" i="2"/>
  <c r="D1182" i="2"/>
  <c r="H1182" i="2" s="1"/>
  <c r="G1181" i="2"/>
  <c r="F1181" i="2"/>
  <c r="D1181" i="2"/>
  <c r="H1181" i="2" s="1"/>
  <c r="G1180" i="2"/>
  <c r="F1180" i="2"/>
  <c r="D1180" i="2"/>
  <c r="H1180" i="2" s="1"/>
  <c r="H1179" i="2"/>
  <c r="G1178" i="2"/>
  <c r="F1178" i="2"/>
  <c r="H1178" i="2" s="1"/>
  <c r="D1178" i="2"/>
  <c r="G1177" i="2"/>
  <c r="F1177" i="2"/>
  <c r="H1177" i="2" s="1"/>
  <c r="D1177" i="2"/>
  <c r="G1176" i="2"/>
  <c r="F1176" i="2"/>
  <c r="H1176" i="2" s="1"/>
  <c r="D1176" i="2"/>
  <c r="G1175" i="2"/>
  <c r="F1175" i="2"/>
  <c r="H1175" i="2" s="1"/>
  <c r="D1175" i="2"/>
  <c r="G1174" i="2"/>
  <c r="F1174" i="2"/>
  <c r="D1174" i="2"/>
  <c r="H1174" i="2" s="1"/>
  <c r="G1173" i="2"/>
  <c r="F1173" i="2"/>
  <c r="H1173" i="2" s="1"/>
  <c r="D1173" i="2"/>
  <c r="G1172" i="2"/>
  <c r="F1172" i="2"/>
  <c r="D1172" i="2"/>
  <c r="H1172" i="2" s="1"/>
  <c r="G1171" i="2"/>
  <c r="F1171" i="2"/>
  <c r="D1171" i="2"/>
  <c r="H1171" i="2" s="1"/>
  <c r="G1170" i="2"/>
  <c r="F1170" i="2"/>
  <c r="H1170" i="2" s="1"/>
  <c r="D1170" i="2"/>
  <c r="G1169" i="2"/>
  <c r="F1169" i="2"/>
  <c r="D1169" i="2"/>
  <c r="H1169" i="2" s="1"/>
  <c r="H1168" i="2"/>
  <c r="H1167" i="2"/>
  <c r="G1167" i="2"/>
  <c r="F1167" i="2"/>
  <c r="D1167" i="2"/>
  <c r="G1166" i="2"/>
  <c r="H1166" i="2" s="1"/>
  <c r="F1166" i="2"/>
  <c r="D1166" i="2"/>
  <c r="H1165" i="2"/>
  <c r="G1165" i="2"/>
  <c r="F1165" i="2"/>
  <c r="D1165" i="2"/>
  <c r="H1164" i="2"/>
  <c r="G1164" i="2"/>
  <c r="F1164" i="2"/>
  <c r="D1164" i="2"/>
  <c r="G1163" i="2"/>
  <c r="H1163" i="2" s="1"/>
  <c r="F1163" i="2"/>
  <c r="D1163" i="2"/>
  <c r="H1162" i="2"/>
  <c r="G1162" i="2"/>
  <c r="F1162" i="2"/>
  <c r="D1162" i="2"/>
  <c r="H1161" i="2"/>
  <c r="G1161" i="2"/>
  <c r="F1161" i="2"/>
  <c r="D1161" i="2"/>
  <c r="G1160" i="2"/>
  <c r="H1160" i="2" s="1"/>
  <c r="F1160" i="2"/>
  <c r="D1160" i="2"/>
  <c r="H1159" i="2"/>
  <c r="G1159" i="2"/>
  <c r="F1159" i="2"/>
  <c r="D1159" i="2"/>
  <c r="H1158" i="2"/>
  <c r="G1158" i="2"/>
  <c r="F1158" i="2"/>
  <c r="D1158" i="2"/>
  <c r="H1157" i="2"/>
  <c r="G1156" i="2"/>
  <c r="F1156" i="2"/>
  <c r="D1156" i="2"/>
  <c r="H1156" i="2" s="1"/>
  <c r="G1155" i="2"/>
  <c r="F1155" i="2"/>
  <c r="D1155" i="2"/>
  <c r="H1155" i="2" s="1"/>
  <c r="G1154" i="2"/>
  <c r="F1154" i="2"/>
  <c r="D1154" i="2"/>
  <c r="H1154" i="2" s="1"/>
  <c r="G1153" i="2"/>
  <c r="F1153" i="2"/>
  <c r="D1153" i="2"/>
  <c r="H1153" i="2" s="1"/>
  <c r="G1152" i="2"/>
  <c r="F1152" i="2"/>
  <c r="D1152" i="2"/>
  <c r="H1152" i="2" s="1"/>
  <c r="G1151" i="2"/>
  <c r="F1151" i="2"/>
  <c r="D1151" i="2"/>
  <c r="H1151" i="2" s="1"/>
  <c r="G1150" i="2"/>
  <c r="F1150" i="2"/>
  <c r="D1150" i="2"/>
  <c r="H1150" i="2" s="1"/>
  <c r="G1149" i="2"/>
  <c r="F1149" i="2"/>
  <c r="D1149" i="2"/>
  <c r="H1149" i="2" s="1"/>
  <c r="G1148" i="2"/>
  <c r="F1148" i="2"/>
  <c r="D1148" i="2"/>
  <c r="H1148" i="2" s="1"/>
  <c r="G1147" i="2"/>
  <c r="F1147" i="2"/>
  <c r="D1147" i="2"/>
  <c r="H1147" i="2" s="1"/>
  <c r="H1146" i="2"/>
  <c r="G1145" i="2"/>
  <c r="F1145" i="2"/>
  <c r="D1145" i="2"/>
  <c r="H1145" i="2" s="1"/>
  <c r="G1144" i="2"/>
  <c r="F1144" i="2"/>
  <c r="D1144" i="2"/>
  <c r="H1144" i="2" s="1"/>
  <c r="G1143" i="2"/>
  <c r="F1143" i="2"/>
  <c r="D1143" i="2"/>
  <c r="H1143" i="2" s="1"/>
  <c r="G1142" i="2"/>
  <c r="F1142" i="2"/>
  <c r="D1142" i="2"/>
  <c r="H1142" i="2" s="1"/>
  <c r="G1141" i="2"/>
  <c r="F1141" i="2"/>
  <c r="D1141" i="2"/>
  <c r="H1141" i="2" s="1"/>
  <c r="G1140" i="2"/>
  <c r="F1140" i="2"/>
  <c r="D1140" i="2"/>
  <c r="H1140" i="2" s="1"/>
  <c r="G1139" i="2"/>
  <c r="F1139" i="2"/>
  <c r="D1139" i="2"/>
  <c r="H1139" i="2" s="1"/>
  <c r="G1138" i="2"/>
  <c r="F1138" i="2"/>
  <c r="D1138" i="2"/>
  <c r="H1138" i="2" s="1"/>
  <c r="G1137" i="2"/>
  <c r="F1137" i="2"/>
  <c r="D1137" i="2"/>
  <c r="H1137" i="2" s="1"/>
  <c r="G1136" i="2"/>
  <c r="F1136" i="2"/>
  <c r="D1136" i="2"/>
  <c r="H1136" i="2" s="1"/>
  <c r="H1135" i="2"/>
  <c r="G1134" i="2"/>
  <c r="F1134" i="2"/>
  <c r="H1134" i="2" s="1"/>
  <c r="D1134" i="2"/>
  <c r="G1133" i="2"/>
  <c r="F1133" i="2"/>
  <c r="H1133" i="2" s="1"/>
  <c r="D1133" i="2"/>
  <c r="G1132" i="2"/>
  <c r="F1132" i="2"/>
  <c r="H1132" i="2" s="1"/>
  <c r="D1132" i="2"/>
  <c r="G1131" i="2"/>
  <c r="F1131" i="2"/>
  <c r="H1131" i="2" s="1"/>
  <c r="D1131" i="2"/>
  <c r="G1130" i="2"/>
  <c r="F1130" i="2"/>
  <c r="D1130" i="2"/>
  <c r="H1130" i="2" s="1"/>
  <c r="G1129" i="2"/>
  <c r="F1129" i="2"/>
  <c r="D1129" i="2"/>
  <c r="H1129" i="2" s="1"/>
  <c r="G1128" i="2"/>
  <c r="F1128" i="2"/>
  <c r="H1128" i="2" s="1"/>
  <c r="D1128" i="2"/>
  <c r="G1127" i="2"/>
  <c r="F1127" i="2"/>
  <c r="D1127" i="2"/>
  <c r="H1127" i="2" s="1"/>
  <c r="G1126" i="2"/>
  <c r="F1126" i="2"/>
  <c r="D1126" i="2"/>
  <c r="H1126" i="2" s="1"/>
  <c r="G1125" i="2"/>
  <c r="F1125" i="2"/>
  <c r="H1125" i="2" s="1"/>
  <c r="D1125" i="2"/>
  <c r="H1124" i="2"/>
  <c r="H1123" i="2"/>
  <c r="G1123" i="2"/>
  <c r="F1123" i="2"/>
  <c r="D1123" i="2"/>
  <c r="H1122" i="2"/>
  <c r="G1122" i="2"/>
  <c r="F1122" i="2"/>
  <c r="D1122" i="2"/>
  <c r="H1121" i="2"/>
  <c r="G1121" i="2"/>
  <c r="F1121" i="2"/>
  <c r="D1121" i="2"/>
  <c r="H1120" i="2"/>
  <c r="G1120" i="2"/>
  <c r="F1120" i="2"/>
  <c r="D1120" i="2"/>
  <c r="H1119" i="2"/>
  <c r="G1119" i="2"/>
  <c r="F1119" i="2"/>
  <c r="D1119" i="2"/>
  <c r="G1118" i="2"/>
  <c r="H1118" i="2" s="1"/>
  <c r="F1118" i="2"/>
  <c r="D1118" i="2"/>
  <c r="H1117" i="2"/>
  <c r="G1117" i="2"/>
  <c r="F1117" i="2"/>
  <c r="D1117" i="2"/>
  <c r="H1116" i="2"/>
  <c r="G1116" i="2"/>
  <c r="F1116" i="2"/>
  <c r="D1116" i="2"/>
  <c r="G1115" i="2"/>
  <c r="H1115" i="2" s="1"/>
  <c r="F1115" i="2"/>
  <c r="D1115" i="2"/>
  <c r="H1114" i="2"/>
  <c r="G1114" i="2"/>
  <c r="F1114" i="2"/>
  <c r="D1114" i="2"/>
  <c r="H1113" i="2"/>
  <c r="G1112" i="2"/>
  <c r="F1112" i="2"/>
  <c r="D1112" i="2"/>
  <c r="H1112" i="2" s="1"/>
  <c r="G1111" i="2"/>
  <c r="F1111" i="2"/>
  <c r="D1111" i="2"/>
  <c r="H1111" i="2" s="1"/>
  <c r="G1110" i="2"/>
  <c r="F1110" i="2"/>
  <c r="D1110" i="2"/>
  <c r="H1110" i="2" s="1"/>
  <c r="G1109" i="2"/>
  <c r="F1109" i="2"/>
  <c r="D1109" i="2"/>
  <c r="H1109" i="2" s="1"/>
  <c r="G1108" i="2"/>
  <c r="F1108" i="2"/>
  <c r="D1108" i="2"/>
  <c r="H1108" i="2" s="1"/>
  <c r="G1107" i="2"/>
  <c r="F1107" i="2"/>
  <c r="D1107" i="2"/>
  <c r="H1107" i="2" s="1"/>
  <c r="G1106" i="2"/>
  <c r="F1106" i="2"/>
  <c r="D1106" i="2"/>
  <c r="H1106" i="2" s="1"/>
  <c r="G1105" i="2"/>
  <c r="F1105" i="2"/>
  <c r="D1105" i="2"/>
  <c r="H1105" i="2" s="1"/>
  <c r="G1104" i="2"/>
  <c r="F1104" i="2"/>
  <c r="D1104" i="2"/>
  <c r="H1104" i="2" s="1"/>
  <c r="G1103" i="2"/>
  <c r="F1103" i="2"/>
  <c r="D1103" i="2"/>
  <c r="H1103" i="2" s="1"/>
  <c r="H1102" i="2"/>
  <c r="G1101" i="2"/>
  <c r="F1101" i="2"/>
  <c r="D1101" i="2"/>
  <c r="H1101" i="2" s="1"/>
  <c r="G1100" i="2"/>
  <c r="F1100" i="2"/>
  <c r="D1100" i="2"/>
  <c r="H1100" i="2" s="1"/>
  <c r="G1099" i="2"/>
  <c r="F1099" i="2"/>
  <c r="D1099" i="2"/>
  <c r="H1099" i="2" s="1"/>
  <c r="G1098" i="2"/>
  <c r="F1098" i="2"/>
  <c r="D1098" i="2"/>
  <c r="H1098" i="2" s="1"/>
  <c r="G1097" i="2"/>
  <c r="F1097" i="2"/>
  <c r="D1097" i="2"/>
  <c r="H1097" i="2" s="1"/>
  <c r="G1096" i="2"/>
  <c r="F1096" i="2"/>
  <c r="D1096" i="2"/>
  <c r="H1096" i="2" s="1"/>
  <c r="G1095" i="2"/>
  <c r="F1095" i="2"/>
  <c r="D1095" i="2"/>
  <c r="H1095" i="2" s="1"/>
  <c r="G1094" i="2"/>
  <c r="F1094" i="2"/>
  <c r="D1094" i="2"/>
  <c r="H1094" i="2" s="1"/>
  <c r="G1093" i="2"/>
  <c r="F1093" i="2"/>
  <c r="D1093" i="2"/>
  <c r="H1093" i="2" s="1"/>
  <c r="G1092" i="2"/>
  <c r="F1092" i="2"/>
  <c r="D1092" i="2"/>
  <c r="H1092" i="2" s="1"/>
  <c r="H1091" i="2"/>
  <c r="G1090" i="2"/>
  <c r="F1090" i="2"/>
  <c r="H1090" i="2" s="1"/>
  <c r="D1090" i="2"/>
  <c r="G1089" i="2"/>
  <c r="F1089" i="2"/>
  <c r="H1089" i="2" s="1"/>
  <c r="D1089" i="2"/>
  <c r="G1088" i="2"/>
  <c r="F1088" i="2"/>
  <c r="H1088" i="2" s="1"/>
  <c r="D1088" i="2"/>
  <c r="G1087" i="2"/>
  <c r="F1087" i="2"/>
  <c r="D1087" i="2"/>
  <c r="H1087" i="2" s="1"/>
  <c r="G1086" i="2"/>
  <c r="F1086" i="2"/>
  <c r="H1086" i="2" s="1"/>
  <c r="D1086" i="2"/>
  <c r="G1085" i="2"/>
  <c r="F1085" i="2"/>
  <c r="D1085" i="2"/>
  <c r="H1085" i="2" s="1"/>
  <c r="G1084" i="2"/>
  <c r="F1084" i="2"/>
  <c r="D1084" i="2"/>
  <c r="H1084" i="2" s="1"/>
  <c r="G1083" i="2"/>
  <c r="F1083" i="2"/>
  <c r="H1083" i="2" s="1"/>
  <c r="D1083" i="2"/>
  <c r="G1082" i="2"/>
  <c r="F1082" i="2"/>
  <c r="D1082" i="2"/>
  <c r="H1082" i="2" s="1"/>
  <c r="G1081" i="2"/>
  <c r="F1081" i="2"/>
  <c r="D1081" i="2"/>
  <c r="H1081" i="2" s="1"/>
  <c r="H1080" i="2"/>
  <c r="H1079" i="2"/>
  <c r="G1079" i="2"/>
  <c r="F1079" i="2"/>
  <c r="D1079" i="2"/>
  <c r="H1078" i="2"/>
  <c r="G1078" i="2"/>
  <c r="F1078" i="2"/>
  <c r="D1078" i="2"/>
  <c r="H1077" i="2"/>
  <c r="G1077" i="2"/>
  <c r="F1077" i="2"/>
  <c r="D1077" i="2"/>
  <c r="H1076" i="2"/>
  <c r="G1076" i="2"/>
  <c r="F1076" i="2"/>
  <c r="D1076" i="2"/>
  <c r="H1075" i="2"/>
  <c r="G1075" i="2"/>
  <c r="F1075" i="2"/>
  <c r="D1075" i="2"/>
  <c r="H1074" i="2"/>
  <c r="G1074" i="2"/>
  <c r="F1074" i="2"/>
  <c r="D1074" i="2"/>
  <c r="H1073" i="2"/>
  <c r="G1073" i="2"/>
  <c r="F1073" i="2"/>
  <c r="D1073" i="2"/>
  <c r="H1072" i="2"/>
  <c r="G1072" i="2"/>
  <c r="F1072" i="2"/>
  <c r="D1072" i="2"/>
  <c r="H1071" i="2"/>
  <c r="G1071" i="2"/>
  <c r="F1071" i="2"/>
  <c r="D1071" i="2"/>
  <c r="G1070" i="2"/>
  <c r="H1070" i="2" s="1"/>
  <c r="F1070" i="2"/>
  <c r="D1070" i="2"/>
  <c r="H1069" i="2"/>
  <c r="G1068" i="2"/>
  <c r="F1068" i="2"/>
  <c r="D1068" i="2"/>
  <c r="H1068" i="2" s="1"/>
  <c r="G1067" i="2"/>
  <c r="F1067" i="2"/>
  <c r="D1067" i="2"/>
  <c r="H1067" i="2" s="1"/>
  <c r="G1066" i="2"/>
  <c r="F1066" i="2"/>
  <c r="D1066" i="2"/>
  <c r="H1066" i="2" s="1"/>
  <c r="G1065" i="2"/>
  <c r="F1065" i="2"/>
  <c r="D1065" i="2"/>
  <c r="H1065" i="2" s="1"/>
  <c r="G1064" i="2"/>
  <c r="F1064" i="2"/>
  <c r="D1064" i="2"/>
  <c r="H1064" i="2" s="1"/>
  <c r="G1063" i="2"/>
  <c r="F1063" i="2"/>
  <c r="D1063" i="2"/>
  <c r="H1063" i="2" s="1"/>
  <c r="G1062" i="2"/>
  <c r="F1062" i="2"/>
  <c r="D1062" i="2"/>
  <c r="H1062" i="2" s="1"/>
  <c r="G1061" i="2"/>
  <c r="F1061" i="2"/>
  <c r="D1061" i="2"/>
  <c r="H1061" i="2" s="1"/>
  <c r="G1060" i="2"/>
  <c r="F1060" i="2"/>
  <c r="D1060" i="2"/>
  <c r="H1060" i="2" s="1"/>
  <c r="G1059" i="2"/>
  <c r="F1059" i="2"/>
  <c r="D1059" i="2"/>
  <c r="H1059" i="2" s="1"/>
  <c r="H1058" i="2"/>
  <c r="G1057" i="2"/>
  <c r="F1057" i="2"/>
  <c r="D1057" i="2"/>
  <c r="H1057" i="2" s="1"/>
  <c r="G1056" i="2"/>
  <c r="F1056" i="2"/>
  <c r="D1056" i="2"/>
  <c r="H1056" i="2" s="1"/>
  <c r="G1055" i="2"/>
  <c r="F1055" i="2"/>
  <c r="D1055" i="2"/>
  <c r="H1055" i="2" s="1"/>
  <c r="G1054" i="2"/>
  <c r="F1054" i="2"/>
  <c r="D1054" i="2"/>
  <c r="H1054" i="2" s="1"/>
  <c r="G1053" i="2"/>
  <c r="F1053" i="2"/>
  <c r="D1053" i="2"/>
  <c r="H1053" i="2" s="1"/>
  <c r="G1052" i="2"/>
  <c r="F1052" i="2"/>
  <c r="D1052" i="2"/>
  <c r="H1052" i="2" s="1"/>
  <c r="G1051" i="2"/>
  <c r="F1051" i="2"/>
  <c r="D1051" i="2"/>
  <c r="H1051" i="2" s="1"/>
  <c r="G1050" i="2"/>
  <c r="F1050" i="2"/>
  <c r="D1050" i="2"/>
  <c r="H1050" i="2" s="1"/>
  <c r="G1049" i="2"/>
  <c r="F1049" i="2"/>
  <c r="D1049" i="2"/>
  <c r="H1049" i="2" s="1"/>
  <c r="G1048" i="2"/>
  <c r="F1048" i="2"/>
  <c r="D1048" i="2"/>
  <c r="H1048" i="2" s="1"/>
  <c r="H1047" i="2"/>
  <c r="G1046" i="2"/>
  <c r="F1046" i="2"/>
  <c r="H1046" i="2" s="1"/>
  <c r="D1046" i="2"/>
  <c r="G1045" i="2"/>
  <c r="F1045" i="2"/>
  <c r="H1045" i="2" s="1"/>
  <c r="D1045" i="2"/>
  <c r="G1044" i="2"/>
  <c r="F1044" i="2"/>
  <c r="H1044" i="2" s="1"/>
  <c r="D1044" i="2"/>
  <c r="G1043" i="2"/>
  <c r="F1043" i="2"/>
  <c r="H1043" i="2" s="1"/>
  <c r="D1043" i="2"/>
  <c r="G1042" i="2"/>
  <c r="F1042" i="2"/>
  <c r="D1042" i="2"/>
  <c r="H1042" i="2" s="1"/>
  <c r="G1041" i="2"/>
  <c r="F1041" i="2"/>
  <c r="H1041" i="2" s="1"/>
  <c r="D1041" i="2"/>
  <c r="G1040" i="2"/>
  <c r="F1040" i="2"/>
  <c r="D1040" i="2"/>
  <c r="H1040" i="2" s="1"/>
  <c r="G1039" i="2"/>
  <c r="F1039" i="2"/>
  <c r="D1039" i="2"/>
  <c r="H1039" i="2" s="1"/>
  <c r="G1038" i="2"/>
  <c r="F1038" i="2"/>
  <c r="H1038" i="2" s="1"/>
  <c r="D1038" i="2"/>
  <c r="G1037" i="2"/>
  <c r="F1037" i="2"/>
  <c r="D1037" i="2"/>
  <c r="H1037" i="2" s="1"/>
  <c r="H1036" i="2"/>
  <c r="H1035" i="2"/>
  <c r="G1035" i="2"/>
  <c r="F1035" i="2"/>
  <c r="D1035" i="2"/>
  <c r="H1034" i="2"/>
  <c r="G1034" i="2"/>
  <c r="F1034" i="2"/>
  <c r="D1034" i="2"/>
  <c r="H1033" i="2"/>
  <c r="G1033" i="2"/>
  <c r="F1033" i="2"/>
  <c r="D1033" i="2"/>
  <c r="H1032" i="2"/>
  <c r="G1032" i="2"/>
  <c r="F1032" i="2"/>
  <c r="D1032" i="2"/>
  <c r="G1031" i="2"/>
  <c r="H1031" i="2" s="1"/>
  <c r="F1031" i="2"/>
  <c r="D1031" i="2"/>
  <c r="H1030" i="2"/>
  <c r="G1030" i="2"/>
  <c r="F1030" i="2"/>
  <c r="D1030" i="2"/>
  <c r="H1029" i="2"/>
  <c r="G1029" i="2"/>
  <c r="F1029" i="2"/>
  <c r="D1029" i="2"/>
  <c r="G1028" i="2"/>
  <c r="H1028" i="2" s="1"/>
  <c r="F1028" i="2"/>
  <c r="D1028" i="2"/>
  <c r="H1027" i="2"/>
  <c r="G1027" i="2"/>
  <c r="F1027" i="2"/>
  <c r="D1027" i="2"/>
  <c r="H1026" i="2"/>
  <c r="G1026" i="2"/>
  <c r="F1026" i="2"/>
  <c r="D1026" i="2"/>
  <c r="H1025" i="2"/>
  <c r="G1024" i="2"/>
  <c r="F1024" i="2"/>
  <c r="D1024" i="2"/>
  <c r="H1024" i="2" s="1"/>
  <c r="G1023" i="2"/>
  <c r="F1023" i="2"/>
  <c r="D1023" i="2"/>
  <c r="H1023" i="2" s="1"/>
  <c r="G1022" i="2"/>
  <c r="F1022" i="2"/>
  <c r="D1022" i="2"/>
  <c r="H1022" i="2" s="1"/>
  <c r="G1021" i="2"/>
  <c r="F1021" i="2"/>
  <c r="D1021" i="2"/>
  <c r="H1021" i="2" s="1"/>
  <c r="G1020" i="2"/>
  <c r="F1020" i="2"/>
  <c r="D1020" i="2"/>
  <c r="H1020" i="2" s="1"/>
  <c r="G1019" i="2"/>
  <c r="F1019" i="2"/>
  <c r="D1019" i="2"/>
  <c r="H1019" i="2" s="1"/>
  <c r="G1018" i="2"/>
  <c r="F1018" i="2"/>
  <c r="D1018" i="2"/>
  <c r="H1018" i="2" s="1"/>
  <c r="G1017" i="2"/>
  <c r="F1017" i="2"/>
  <c r="D1017" i="2"/>
  <c r="H1017" i="2" s="1"/>
  <c r="G1016" i="2"/>
  <c r="F1016" i="2"/>
  <c r="D1016" i="2"/>
  <c r="H1016" i="2" s="1"/>
  <c r="G1015" i="2"/>
  <c r="F1015" i="2"/>
  <c r="D1015" i="2"/>
  <c r="H1015" i="2" s="1"/>
  <c r="H1014" i="2"/>
  <c r="G1013" i="2"/>
  <c r="F1013" i="2"/>
  <c r="D1013" i="2"/>
  <c r="H1013" i="2" s="1"/>
  <c r="G1012" i="2"/>
  <c r="F1012" i="2"/>
  <c r="D1012" i="2"/>
  <c r="H1012" i="2" s="1"/>
  <c r="G1011" i="2"/>
  <c r="F1011" i="2"/>
  <c r="D1011" i="2"/>
  <c r="H1011" i="2" s="1"/>
  <c r="G1010" i="2"/>
  <c r="F1010" i="2"/>
  <c r="D1010" i="2"/>
  <c r="H1010" i="2" s="1"/>
  <c r="G1009" i="2"/>
  <c r="F1009" i="2"/>
  <c r="D1009" i="2"/>
  <c r="H1009" i="2" s="1"/>
  <c r="G1008" i="2"/>
  <c r="F1008" i="2"/>
  <c r="D1008" i="2"/>
  <c r="H1008" i="2" s="1"/>
  <c r="G1007" i="2"/>
  <c r="F1007" i="2"/>
  <c r="D1007" i="2"/>
  <c r="H1007" i="2" s="1"/>
  <c r="G1006" i="2"/>
  <c r="F1006" i="2"/>
  <c r="D1006" i="2"/>
  <c r="H1006" i="2" s="1"/>
  <c r="G1005" i="2"/>
  <c r="F1005" i="2"/>
  <c r="D1005" i="2"/>
  <c r="H1005" i="2" s="1"/>
  <c r="G1004" i="2"/>
  <c r="F1004" i="2"/>
  <c r="D1004" i="2"/>
  <c r="H1004" i="2" s="1"/>
  <c r="H1003" i="2"/>
  <c r="G1002" i="2"/>
  <c r="F1002" i="2"/>
  <c r="H1002" i="2" s="1"/>
  <c r="D1002" i="2"/>
  <c r="G1001" i="2"/>
  <c r="F1001" i="2"/>
  <c r="H1001" i="2" s="1"/>
  <c r="D1001" i="2"/>
  <c r="G1000" i="2"/>
  <c r="F1000" i="2"/>
  <c r="H1000" i="2" s="1"/>
  <c r="D1000" i="2"/>
  <c r="G999" i="2"/>
  <c r="F999" i="2"/>
  <c r="H999" i="2" s="1"/>
  <c r="D999" i="2"/>
  <c r="G998" i="2"/>
  <c r="F998" i="2"/>
  <c r="D998" i="2"/>
  <c r="H998" i="2" s="1"/>
  <c r="G997" i="2"/>
  <c r="F997" i="2"/>
  <c r="D997" i="2"/>
  <c r="H997" i="2" s="1"/>
  <c r="G996" i="2"/>
  <c r="F996" i="2"/>
  <c r="H996" i="2" s="1"/>
  <c r="D996" i="2"/>
  <c r="G995" i="2"/>
  <c r="F995" i="2"/>
  <c r="D995" i="2"/>
  <c r="H995" i="2" s="1"/>
  <c r="G994" i="2"/>
  <c r="F994" i="2"/>
  <c r="D994" i="2"/>
  <c r="H994" i="2" s="1"/>
  <c r="G993" i="2"/>
  <c r="F993" i="2"/>
  <c r="H993" i="2" s="1"/>
  <c r="D993" i="2"/>
  <c r="H992" i="2"/>
  <c r="H991" i="2"/>
  <c r="G991" i="2"/>
  <c r="F991" i="2"/>
  <c r="D991" i="2"/>
  <c r="H990" i="2"/>
  <c r="G990" i="2"/>
  <c r="F990" i="2"/>
  <c r="D990" i="2"/>
  <c r="H989" i="2"/>
  <c r="G989" i="2"/>
  <c r="F989" i="2"/>
  <c r="D989" i="2"/>
  <c r="H988" i="2"/>
  <c r="G988" i="2"/>
  <c r="F988" i="2"/>
  <c r="D988" i="2"/>
  <c r="H987" i="2"/>
  <c r="G987" i="2"/>
  <c r="F987" i="2"/>
  <c r="D987" i="2"/>
  <c r="G986" i="2"/>
  <c r="H986" i="2" s="1"/>
  <c r="F986" i="2"/>
  <c r="D986" i="2"/>
  <c r="H985" i="2"/>
  <c r="G985" i="2"/>
  <c r="F985" i="2"/>
  <c r="D985" i="2"/>
  <c r="H984" i="2"/>
  <c r="G984" i="2"/>
  <c r="F984" i="2"/>
  <c r="D984" i="2"/>
  <c r="G983" i="2"/>
  <c r="H983" i="2" s="1"/>
  <c r="F983" i="2"/>
  <c r="D983" i="2"/>
  <c r="H982" i="2"/>
  <c r="G982" i="2"/>
  <c r="F982" i="2"/>
  <c r="D982" i="2"/>
  <c r="H981" i="2"/>
  <c r="G980" i="2"/>
  <c r="F980" i="2"/>
  <c r="D980" i="2"/>
  <c r="H980" i="2" s="1"/>
  <c r="G979" i="2"/>
  <c r="F979" i="2"/>
  <c r="D979" i="2"/>
  <c r="H979" i="2" s="1"/>
  <c r="G978" i="2"/>
  <c r="F978" i="2"/>
  <c r="D978" i="2"/>
  <c r="H978" i="2" s="1"/>
  <c r="G977" i="2"/>
  <c r="F977" i="2"/>
  <c r="D977" i="2"/>
  <c r="H977" i="2" s="1"/>
  <c r="G976" i="2"/>
  <c r="F976" i="2"/>
  <c r="D976" i="2"/>
  <c r="H976" i="2" s="1"/>
  <c r="G975" i="2"/>
  <c r="F975" i="2"/>
  <c r="D975" i="2"/>
  <c r="H975" i="2" s="1"/>
  <c r="G974" i="2"/>
  <c r="F974" i="2"/>
  <c r="D974" i="2"/>
  <c r="H974" i="2" s="1"/>
  <c r="G973" i="2"/>
  <c r="F973" i="2"/>
  <c r="D973" i="2"/>
  <c r="H973" i="2" s="1"/>
  <c r="G972" i="2"/>
  <c r="F972" i="2"/>
  <c r="D972" i="2"/>
  <c r="H972" i="2" s="1"/>
  <c r="G971" i="2"/>
  <c r="F971" i="2"/>
  <c r="D971" i="2"/>
  <c r="H971" i="2" s="1"/>
  <c r="H970" i="2"/>
  <c r="G969" i="2"/>
  <c r="F969" i="2"/>
  <c r="D969" i="2"/>
  <c r="H969" i="2" s="1"/>
  <c r="G968" i="2"/>
  <c r="F968" i="2"/>
  <c r="D968" i="2"/>
  <c r="H968" i="2" s="1"/>
  <c r="G967" i="2"/>
  <c r="F967" i="2"/>
  <c r="D967" i="2"/>
  <c r="H967" i="2" s="1"/>
  <c r="G966" i="2"/>
  <c r="F966" i="2"/>
  <c r="D966" i="2"/>
  <c r="H966" i="2" s="1"/>
  <c r="G965" i="2"/>
  <c r="F965" i="2"/>
  <c r="D965" i="2"/>
  <c r="H965" i="2" s="1"/>
  <c r="G964" i="2"/>
  <c r="F964" i="2"/>
  <c r="D964" i="2"/>
  <c r="H964" i="2" s="1"/>
  <c r="G963" i="2"/>
  <c r="F963" i="2"/>
  <c r="D963" i="2"/>
  <c r="H963" i="2" s="1"/>
  <c r="G962" i="2"/>
  <c r="F962" i="2"/>
  <c r="D962" i="2"/>
  <c r="H962" i="2" s="1"/>
  <c r="G961" i="2"/>
  <c r="F961" i="2"/>
  <c r="D961" i="2"/>
  <c r="H961" i="2" s="1"/>
  <c r="G960" i="2"/>
  <c r="F960" i="2"/>
  <c r="D960" i="2"/>
  <c r="H960" i="2" s="1"/>
  <c r="G959" i="2"/>
  <c r="F959" i="2"/>
  <c r="D959" i="2"/>
  <c r="H959" i="2" s="1"/>
  <c r="H958" i="2"/>
  <c r="G957" i="2"/>
  <c r="F957" i="2"/>
  <c r="H957" i="2" s="1"/>
  <c r="D957" i="2"/>
  <c r="G956" i="2"/>
  <c r="F956" i="2"/>
  <c r="H956" i="2" s="1"/>
  <c r="D956" i="2"/>
  <c r="G955" i="2"/>
  <c r="F955" i="2"/>
  <c r="H955" i="2" s="1"/>
  <c r="D955" i="2"/>
  <c r="G954" i="2"/>
  <c r="F954" i="2"/>
  <c r="H954" i="2" s="1"/>
  <c r="D954" i="2"/>
  <c r="G953" i="2"/>
  <c r="F953" i="2"/>
  <c r="D953" i="2"/>
  <c r="H953" i="2" s="1"/>
  <c r="G952" i="2"/>
  <c r="F952" i="2"/>
  <c r="D952" i="2"/>
  <c r="H952" i="2" s="1"/>
  <c r="G951" i="2"/>
  <c r="F951" i="2"/>
  <c r="H951" i="2" s="1"/>
  <c r="D951" i="2"/>
  <c r="G950" i="2"/>
  <c r="F950" i="2"/>
  <c r="D950" i="2"/>
  <c r="H950" i="2" s="1"/>
  <c r="G949" i="2"/>
  <c r="F949" i="2"/>
  <c r="D949" i="2"/>
  <c r="H949" i="2" s="1"/>
  <c r="G948" i="2"/>
  <c r="F948" i="2"/>
  <c r="H948" i="2" s="1"/>
  <c r="D948" i="2"/>
  <c r="H947" i="2"/>
  <c r="H946" i="2"/>
  <c r="G946" i="2"/>
  <c r="F946" i="2"/>
  <c r="D946" i="2"/>
  <c r="H945" i="2"/>
  <c r="G945" i="2"/>
  <c r="F945" i="2"/>
  <c r="D945" i="2"/>
  <c r="H944" i="2"/>
  <c r="G944" i="2"/>
  <c r="F944" i="2"/>
  <c r="D944" i="2"/>
  <c r="H943" i="2"/>
  <c r="G943" i="2"/>
  <c r="F943" i="2"/>
  <c r="D943" i="2"/>
  <c r="H942" i="2"/>
  <c r="G942" i="2"/>
  <c r="F942" i="2"/>
  <c r="D942" i="2"/>
  <c r="H941" i="2"/>
  <c r="G941" i="2"/>
  <c r="F941" i="2"/>
  <c r="D941" i="2"/>
  <c r="H940" i="2"/>
  <c r="G940" i="2"/>
  <c r="F940" i="2"/>
  <c r="D940" i="2"/>
  <c r="H939" i="2"/>
  <c r="G939" i="2"/>
  <c r="F939" i="2"/>
  <c r="D939" i="2"/>
  <c r="H938" i="2"/>
  <c r="G938" i="2"/>
  <c r="F938" i="2"/>
  <c r="D938" i="2"/>
  <c r="H937" i="2"/>
  <c r="G937" i="2"/>
  <c r="F937" i="2"/>
  <c r="D937" i="2"/>
  <c r="H936" i="2"/>
  <c r="G935" i="2"/>
  <c r="F935" i="2"/>
  <c r="D935" i="2"/>
  <c r="H935" i="2" s="1"/>
  <c r="G934" i="2"/>
  <c r="F934" i="2"/>
  <c r="D934" i="2"/>
  <c r="H934" i="2" s="1"/>
  <c r="G933" i="2"/>
  <c r="F933" i="2"/>
  <c r="D933" i="2"/>
  <c r="H933" i="2" s="1"/>
  <c r="G932" i="2"/>
  <c r="F932" i="2"/>
  <c r="D932" i="2"/>
  <c r="H932" i="2" s="1"/>
  <c r="G931" i="2"/>
  <c r="F931" i="2"/>
  <c r="D931" i="2"/>
  <c r="H931" i="2" s="1"/>
  <c r="G930" i="2"/>
  <c r="F930" i="2"/>
  <c r="D930" i="2"/>
  <c r="H930" i="2" s="1"/>
  <c r="G929" i="2"/>
  <c r="F929" i="2"/>
  <c r="D929" i="2"/>
  <c r="H929" i="2" s="1"/>
  <c r="G928" i="2"/>
  <c r="F928" i="2"/>
  <c r="D928" i="2"/>
  <c r="H928" i="2" s="1"/>
  <c r="G927" i="2"/>
  <c r="F927" i="2"/>
  <c r="D927" i="2"/>
  <c r="H927" i="2" s="1"/>
  <c r="G926" i="2"/>
  <c r="F926" i="2"/>
  <c r="D926" i="2"/>
  <c r="H926" i="2" s="1"/>
  <c r="H925" i="2"/>
  <c r="G924" i="2"/>
  <c r="F924" i="2"/>
  <c r="D924" i="2"/>
  <c r="H924" i="2" s="1"/>
  <c r="G923" i="2"/>
  <c r="F923" i="2"/>
  <c r="D923" i="2"/>
  <c r="H923" i="2" s="1"/>
  <c r="G922" i="2"/>
  <c r="F922" i="2"/>
  <c r="D922" i="2"/>
  <c r="H922" i="2" s="1"/>
  <c r="G921" i="2"/>
  <c r="F921" i="2"/>
  <c r="D921" i="2"/>
  <c r="H921" i="2" s="1"/>
  <c r="G920" i="2"/>
  <c r="F920" i="2"/>
  <c r="D920" i="2"/>
  <c r="H920" i="2" s="1"/>
  <c r="G919" i="2"/>
  <c r="F919" i="2"/>
  <c r="D919" i="2"/>
  <c r="H919" i="2" s="1"/>
  <c r="G918" i="2"/>
  <c r="F918" i="2"/>
  <c r="D918" i="2"/>
  <c r="H918" i="2" s="1"/>
  <c r="G917" i="2"/>
  <c r="F917" i="2"/>
  <c r="D917" i="2"/>
  <c r="H917" i="2" s="1"/>
  <c r="G916" i="2"/>
  <c r="F916" i="2"/>
  <c r="D916" i="2"/>
  <c r="H916" i="2" s="1"/>
  <c r="G915" i="2"/>
  <c r="F915" i="2"/>
  <c r="D915" i="2"/>
  <c r="H915" i="2" s="1"/>
  <c r="H914" i="2"/>
  <c r="G913" i="2"/>
  <c r="F913" i="2"/>
  <c r="H913" i="2" s="1"/>
  <c r="D913" i="2"/>
  <c r="G912" i="2"/>
  <c r="F912" i="2"/>
  <c r="H912" i="2" s="1"/>
  <c r="D912" i="2"/>
  <c r="G911" i="2"/>
  <c r="F911" i="2"/>
  <c r="H911" i="2" s="1"/>
  <c r="D911" i="2"/>
  <c r="G910" i="2"/>
  <c r="F910" i="2"/>
  <c r="H910" i="2" s="1"/>
  <c r="D910" i="2"/>
  <c r="G909" i="2"/>
  <c r="F909" i="2"/>
  <c r="H909" i="2" s="1"/>
  <c r="D909" i="2"/>
  <c r="G908" i="2"/>
  <c r="F908" i="2"/>
  <c r="D908" i="2"/>
  <c r="H908" i="2" s="1"/>
  <c r="G907" i="2"/>
  <c r="F907" i="2"/>
  <c r="D907" i="2"/>
  <c r="H907" i="2" s="1"/>
  <c r="G906" i="2"/>
  <c r="F906" i="2"/>
  <c r="H906" i="2" s="1"/>
  <c r="D906" i="2"/>
  <c r="G905" i="2"/>
  <c r="F905" i="2"/>
  <c r="D905" i="2"/>
  <c r="H905" i="2" s="1"/>
  <c r="G904" i="2"/>
  <c r="F904" i="2"/>
  <c r="D904" i="2"/>
  <c r="H904" i="2" s="1"/>
  <c r="H903" i="2"/>
  <c r="H902" i="2"/>
  <c r="G902" i="2"/>
  <c r="F902" i="2"/>
  <c r="D902" i="2"/>
  <c r="H901" i="2"/>
  <c r="G901" i="2"/>
  <c r="F901" i="2"/>
  <c r="D901" i="2"/>
  <c r="H900" i="2"/>
  <c r="G900" i="2"/>
  <c r="F900" i="2"/>
  <c r="D900" i="2"/>
  <c r="H899" i="2"/>
  <c r="G899" i="2"/>
  <c r="F899" i="2"/>
  <c r="D899" i="2"/>
  <c r="H898" i="2"/>
  <c r="G898" i="2"/>
  <c r="F898" i="2"/>
  <c r="D898" i="2"/>
  <c r="H897" i="2"/>
  <c r="G897" i="2"/>
  <c r="F897" i="2"/>
  <c r="D897" i="2"/>
  <c r="H896" i="2"/>
  <c r="G896" i="2"/>
  <c r="F896" i="2"/>
  <c r="D896" i="2"/>
  <c r="H895" i="2"/>
  <c r="G895" i="2"/>
  <c r="F895" i="2"/>
  <c r="D895" i="2"/>
  <c r="H894" i="2"/>
  <c r="G894" i="2"/>
  <c r="F894" i="2"/>
  <c r="D894" i="2"/>
  <c r="H893" i="2"/>
  <c r="G893" i="2"/>
  <c r="F893" i="2"/>
  <c r="D893" i="2"/>
  <c r="H892" i="2"/>
  <c r="G891" i="2"/>
  <c r="F891" i="2"/>
  <c r="D891" i="2"/>
  <c r="H891" i="2" s="1"/>
  <c r="G890" i="2"/>
  <c r="F890" i="2"/>
  <c r="D890" i="2"/>
  <c r="H890" i="2" s="1"/>
  <c r="G889" i="2"/>
  <c r="F889" i="2"/>
  <c r="D889" i="2"/>
  <c r="H889" i="2" s="1"/>
  <c r="G888" i="2"/>
  <c r="F888" i="2"/>
  <c r="D888" i="2"/>
  <c r="H888" i="2" s="1"/>
  <c r="G887" i="2"/>
  <c r="F887" i="2"/>
  <c r="D887" i="2"/>
  <c r="H887" i="2" s="1"/>
  <c r="G886" i="2"/>
  <c r="F886" i="2"/>
  <c r="D886" i="2"/>
  <c r="H886" i="2" s="1"/>
  <c r="G885" i="2"/>
  <c r="F885" i="2"/>
  <c r="D885" i="2"/>
  <c r="H885" i="2" s="1"/>
  <c r="G884" i="2"/>
  <c r="F884" i="2"/>
  <c r="D884" i="2"/>
  <c r="H884" i="2" s="1"/>
  <c r="G883" i="2"/>
  <c r="F883" i="2"/>
  <c r="D883" i="2"/>
  <c r="H883" i="2" s="1"/>
  <c r="G882" i="2"/>
  <c r="F882" i="2"/>
  <c r="D882" i="2"/>
  <c r="H882" i="2" s="1"/>
  <c r="H881" i="2"/>
  <c r="G880" i="2"/>
  <c r="F880" i="2"/>
  <c r="D880" i="2"/>
  <c r="H880" i="2" s="1"/>
  <c r="G879" i="2"/>
  <c r="F879" i="2"/>
  <c r="D879" i="2"/>
  <c r="H879" i="2" s="1"/>
  <c r="G878" i="2"/>
  <c r="F878" i="2"/>
  <c r="D878" i="2"/>
  <c r="H878" i="2" s="1"/>
  <c r="G877" i="2"/>
  <c r="F877" i="2"/>
  <c r="D877" i="2"/>
  <c r="H877" i="2" s="1"/>
  <c r="G876" i="2"/>
  <c r="F876" i="2"/>
  <c r="D876" i="2"/>
  <c r="H876" i="2" s="1"/>
  <c r="G875" i="2"/>
  <c r="F875" i="2"/>
  <c r="D875" i="2"/>
  <c r="H875" i="2" s="1"/>
  <c r="G874" i="2"/>
  <c r="F874" i="2"/>
  <c r="D874" i="2"/>
  <c r="H874" i="2" s="1"/>
  <c r="G873" i="2"/>
  <c r="F873" i="2"/>
  <c r="D873" i="2"/>
  <c r="H873" i="2" s="1"/>
  <c r="G872" i="2"/>
  <c r="F872" i="2"/>
  <c r="D872" i="2"/>
  <c r="H872" i="2" s="1"/>
  <c r="G871" i="2"/>
  <c r="F871" i="2"/>
  <c r="D871" i="2"/>
  <c r="H871" i="2" s="1"/>
  <c r="H870" i="2"/>
  <c r="G869" i="2"/>
  <c r="F869" i="2"/>
  <c r="H869" i="2" s="1"/>
  <c r="D869" i="2"/>
  <c r="G868" i="2"/>
  <c r="F868" i="2"/>
  <c r="H868" i="2" s="1"/>
  <c r="D868" i="2"/>
  <c r="G867" i="2"/>
  <c r="F867" i="2"/>
  <c r="H867" i="2" s="1"/>
  <c r="D867" i="2"/>
  <c r="G866" i="2"/>
  <c r="F866" i="2"/>
  <c r="H866" i="2" s="1"/>
  <c r="D866" i="2"/>
  <c r="G865" i="2"/>
  <c r="F865" i="2"/>
  <c r="D865" i="2"/>
  <c r="H865" i="2" s="1"/>
  <c r="G864" i="2"/>
  <c r="F864" i="2"/>
  <c r="H864" i="2" s="1"/>
  <c r="D864" i="2"/>
  <c r="G863" i="2"/>
  <c r="F863" i="2"/>
  <c r="D863" i="2"/>
  <c r="H863" i="2" s="1"/>
  <c r="G862" i="2"/>
  <c r="F862" i="2"/>
  <c r="D862" i="2"/>
  <c r="H862" i="2" s="1"/>
  <c r="G861" i="2"/>
  <c r="F861" i="2"/>
  <c r="H861" i="2" s="1"/>
  <c r="D861" i="2"/>
  <c r="G860" i="2"/>
  <c r="F860" i="2"/>
  <c r="D860" i="2"/>
  <c r="H860" i="2" s="1"/>
  <c r="H859" i="2"/>
  <c r="H858" i="2"/>
  <c r="G858" i="2"/>
  <c r="F858" i="2"/>
  <c r="D858" i="2"/>
  <c r="H857" i="2"/>
  <c r="G857" i="2"/>
  <c r="F857" i="2"/>
  <c r="D857" i="2"/>
  <c r="H856" i="2"/>
  <c r="G856" i="2"/>
  <c r="F856" i="2"/>
  <c r="D856" i="2"/>
  <c r="H855" i="2"/>
  <c r="G855" i="2"/>
  <c r="F855" i="2"/>
  <c r="D855" i="2"/>
  <c r="H854" i="2"/>
  <c r="G854" i="2"/>
  <c r="F854" i="2"/>
  <c r="D854" i="2"/>
  <c r="H853" i="2"/>
  <c r="G853" i="2"/>
  <c r="F853" i="2"/>
  <c r="D853" i="2"/>
  <c r="H852" i="2"/>
  <c r="G852" i="2"/>
  <c r="F852" i="2"/>
  <c r="D852" i="2"/>
  <c r="H851" i="2"/>
  <c r="G851" i="2"/>
  <c r="F851" i="2"/>
  <c r="D851" i="2"/>
  <c r="H850" i="2"/>
  <c r="G850" i="2"/>
  <c r="F850" i="2"/>
  <c r="D850" i="2"/>
  <c r="H849" i="2"/>
  <c r="G849" i="2"/>
  <c r="F849" i="2"/>
  <c r="D849" i="2"/>
  <c r="H848" i="2"/>
  <c r="G847" i="2"/>
  <c r="F847" i="2"/>
  <c r="D847" i="2"/>
  <c r="H847" i="2" s="1"/>
  <c r="G846" i="2"/>
  <c r="F846" i="2"/>
  <c r="D846" i="2"/>
  <c r="H846" i="2" s="1"/>
  <c r="G845" i="2"/>
  <c r="F845" i="2"/>
  <c r="D845" i="2"/>
  <c r="H845" i="2" s="1"/>
  <c r="G844" i="2"/>
  <c r="F844" i="2"/>
  <c r="D844" i="2"/>
  <c r="H844" i="2" s="1"/>
  <c r="G843" i="2"/>
  <c r="F843" i="2"/>
  <c r="D843" i="2"/>
  <c r="H843" i="2" s="1"/>
  <c r="G842" i="2"/>
  <c r="F842" i="2"/>
  <c r="D842" i="2"/>
  <c r="H842" i="2" s="1"/>
  <c r="G841" i="2"/>
  <c r="F841" i="2"/>
  <c r="D841" i="2"/>
  <c r="H841" i="2" s="1"/>
  <c r="G840" i="2"/>
  <c r="F840" i="2"/>
  <c r="D840" i="2"/>
  <c r="H840" i="2" s="1"/>
  <c r="G839" i="2"/>
  <c r="F839" i="2"/>
  <c r="D839" i="2"/>
  <c r="H839" i="2" s="1"/>
  <c r="G838" i="2"/>
  <c r="F838" i="2"/>
  <c r="D838" i="2"/>
  <c r="H838" i="2" s="1"/>
  <c r="H837" i="2"/>
  <c r="G836" i="2"/>
  <c r="F836" i="2"/>
  <c r="D836" i="2"/>
  <c r="H836" i="2" s="1"/>
  <c r="G835" i="2"/>
  <c r="F835" i="2"/>
  <c r="D835" i="2"/>
  <c r="H835" i="2" s="1"/>
  <c r="G834" i="2"/>
  <c r="F834" i="2"/>
  <c r="D834" i="2"/>
  <c r="H834" i="2" s="1"/>
  <c r="G833" i="2"/>
  <c r="F833" i="2"/>
  <c r="D833" i="2"/>
  <c r="H833" i="2" s="1"/>
  <c r="G832" i="2"/>
  <c r="F832" i="2"/>
  <c r="D832" i="2"/>
  <c r="H832" i="2" s="1"/>
  <c r="G831" i="2"/>
  <c r="F831" i="2"/>
  <c r="D831" i="2"/>
  <c r="H831" i="2" s="1"/>
  <c r="G830" i="2"/>
  <c r="F830" i="2"/>
  <c r="D830" i="2"/>
  <c r="H830" i="2" s="1"/>
  <c r="G829" i="2"/>
  <c r="F829" i="2"/>
  <c r="D829" i="2"/>
  <c r="H829" i="2" s="1"/>
  <c r="G828" i="2"/>
  <c r="F828" i="2"/>
  <c r="D828" i="2"/>
  <c r="H828" i="2" s="1"/>
  <c r="G827" i="2"/>
  <c r="F827" i="2"/>
  <c r="D827" i="2"/>
  <c r="H827" i="2" s="1"/>
  <c r="G826" i="2"/>
  <c r="F826" i="2"/>
  <c r="D826" i="2"/>
  <c r="H826" i="2" s="1"/>
  <c r="G825" i="2"/>
  <c r="F825" i="2"/>
  <c r="D825" i="2"/>
  <c r="H825" i="2" s="1"/>
  <c r="G824" i="2"/>
  <c r="F824" i="2"/>
  <c r="D824" i="2"/>
  <c r="H824" i="2" s="1"/>
  <c r="G823" i="2"/>
  <c r="F823" i="2"/>
  <c r="D823" i="2"/>
  <c r="H823" i="2" s="1"/>
  <c r="G822" i="2"/>
  <c r="F822" i="2"/>
  <c r="D822" i="2"/>
  <c r="H822" i="2" s="1"/>
  <c r="H821" i="2"/>
  <c r="G820" i="2"/>
  <c r="F820" i="2"/>
  <c r="H820" i="2" s="1"/>
  <c r="D820" i="2"/>
  <c r="G819" i="2"/>
  <c r="F819" i="2"/>
  <c r="H819" i="2" s="1"/>
  <c r="D819" i="2"/>
  <c r="G818" i="2"/>
  <c r="F818" i="2"/>
  <c r="H818" i="2" s="1"/>
  <c r="D818" i="2"/>
  <c r="G817" i="2"/>
  <c r="F817" i="2"/>
  <c r="D817" i="2"/>
  <c r="H817" i="2" s="1"/>
  <c r="G816" i="2"/>
  <c r="F816" i="2"/>
  <c r="H816" i="2" s="1"/>
  <c r="D816" i="2"/>
  <c r="G815" i="2"/>
  <c r="F815" i="2"/>
  <c r="H815" i="2" s="1"/>
  <c r="D815" i="2"/>
  <c r="G814" i="2"/>
  <c r="F814" i="2"/>
  <c r="D814" i="2"/>
  <c r="H814" i="2" s="1"/>
  <c r="G813" i="2"/>
  <c r="F813" i="2"/>
  <c r="H813" i="2" s="1"/>
  <c r="D813" i="2"/>
  <c r="G812" i="2"/>
  <c r="F812" i="2"/>
  <c r="H812" i="2" s="1"/>
  <c r="D812" i="2"/>
  <c r="G811" i="2"/>
  <c r="F811" i="2"/>
  <c r="D811" i="2"/>
  <c r="H811" i="2" s="1"/>
  <c r="I810" i="2"/>
  <c r="I809" i="2"/>
  <c r="I808" i="2"/>
  <c r="I807" i="2"/>
  <c r="I806" i="2"/>
  <c r="I805" i="2"/>
  <c r="I804" i="2"/>
  <c r="I803" i="2"/>
  <c r="I802" i="2"/>
  <c r="I801" i="2"/>
  <c r="I800" i="2"/>
  <c r="G799" i="2"/>
  <c r="F799" i="2"/>
  <c r="E799" i="2"/>
  <c r="I799" i="2" s="1"/>
  <c r="G798" i="2"/>
  <c r="F798" i="2"/>
  <c r="E798" i="2"/>
  <c r="I798" i="2" s="1"/>
  <c r="G797" i="2"/>
  <c r="F797" i="2"/>
  <c r="E797" i="2"/>
  <c r="I797" i="2" s="1"/>
  <c r="G796" i="2"/>
  <c r="F796" i="2"/>
  <c r="E796" i="2"/>
  <c r="I796" i="2" s="1"/>
  <c r="G795" i="2"/>
  <c r="F795" i="2"/>
  <c r="E795" i="2"/>
  <c r="I795" i="2" s="1"/>
  <c r="G794" i="2"/>
  <c r="F794" i="2"/>
  <c r="E794" i="2"/>
  <c r="I794" i="2" s="1"/>
  <c r="G793" i="2"/>
  <c r="F793" i="2"/>
  <c r="E793" i="2"/>
  <c r="I793" i="2" s="1"/>
  <c r="G792" i="2"/>
  <c r="F792" i="2"/>
  <c r="E792" i="2"/>
  <c r="I792" i="2" s="1"/>
  <c r="G791" i="2"/>
  <c r="F791" i="2"/>
  <c r="E791" i="2"/>
  <c r="I791" i="2" s="1"/>
  <c r="G790" i="2"/>
  <c r="F790" i="2"/>
  <c r="E790" i="2"/>
  <c r="I790" i="2" s="1"/>
  <c r="G789" i="2"/>
  <c r="F789" i="2"/>
  <c r="E789" i="2"/>
  <c r="I789" i="2" s="1"/>
  <c r="G788" i="2"/>
  <c r="F788" i="2"/>
  <c r="E788" i="2"/>
  <c r="I788" i="2" s="1"/>
  <c r="G787" i="2"/>
  <c r="F787" i="2"/>
  <c r="E787" i="2"/>
  <c r="I787" i="2" s="1"/>
  <c r="G786" i="2"/>
  <c r="F786" i="2"/>
  <c r="E786" i="2"/>
  <c r="I786" i="2" s="1"/>
  <c r="G785" i="2"/>
  <c r="F785" i="2"/>
  <c r="E785" i="2"/>
  <c r="I785" i="2" s="1"/>
  <c r="G784" i="2"/>
  <c r="F784" i="2"/>
  <c r="E784" i="2"/>
  <c r="I784" i="2" s="1"/>
  <c r="G783" i="2"/>
  <c r="F783" i="2"/>
  <c r="E783" i="2"/>
  <c r="I783" i="2" s="1"/>
  <c r="G782" i="2"/>
  <c r="F782" i="2"/>
  <c r="E782" i="2"/>
  <c r="I782" i="2" s="1"/>
  <c r="G781" i="2"/>
  <c r="F781" i="2"/>
  <c r="E781" i="2"/>
  <c r="I781" i="2" s="1"/>
  <c r="I780" i="2"/>
  <c r="G779" i="2"/>
  <c r="F779" i="2"/>
  <c r="I779" i="2" s="1"/>
  <c r="E779" i="2"/>
  <c r="G778" i="2"/>
  <c r="F778" i="2"/>
  <c r="E778" i="2"/>
  <c r="I778" i="2" s="1"/>
  <c r="G777" i="2"/>
  <c r="F777" i="2"/>
  <c r="I777" i="2" s="1"/>
  <c r="E777" i="2"/>
  <c r="G776" i="2"/>
  <c r="F776" i="2"/>
  <c r="I776" i="2" s="1"/>
  <c r="E776" i="2"/>
  <c r="G775" i="2"/>
  <c r="F775" i="2"/>
  <c r="E775" i="2"/>
  <c r="I775" i="2" s="1"/>
  <c r="G774" i="2"/>
  <c r="F774" i="2"/>
  <c r="I774" i="2" s="1"/>
  <c r="E774" i="2"/>
  <c r="G773" i="2"/>
  <c r="F773" i="2"/>
  <c r="I773" i="2" s="1"/>
  <c r="E773" i="2"/>
  <c r="G772" i="2"/>
  <c r="F772" i="2"/>
  <c r="E772" i="2"/>
  <c r="I772" i="2" s="1"/>
  <c r="G771" i="2"/>
  <c r="F771" i="2"/>
  <c r="I771" i="2" s="1"/>
  <c r="E771" i="2"/>
  <c r="G770" i="2"/>
  <c r="F770" i="2"/>
  <c r="E770" i="2"/>
  <c r="I770" i="2" s="1"/>
  <c r="G769" i="2"/>
  <c r="F769" i="2"/>
  <c r="E769" i="2"/>
  <c r="I769" i="2" s="1"/>
  <c r="G768" i="2"/>
  <c r="F768" i="2"/>
  <c r="I768" i="2" s="1"/>
  <c r="E768" i="2"/>
  <c r="G767" i="2"/>
  <c r="F767" i="2"/>
  <c r="E767" i="2"/>
  <c r="I767" i="2" s="1"/>
  <c r="G766" i="2"/>
  <c r="F766" i="2"/>
  <c r="E766" i="2"/>
  <c r="I766" i="2" s="1"/>
  <c r="G765" i="2"/>
  <c r="F765" i="2"/>
  <c r="I765" i="2" s="1"/>
  <c r="E765" i="2"/>
  <c r="G764" i="2"/>
  <c r="F764" i="2"/>
  <c r="E764" i="2"/>
  <c r="I764" i="2" s="1"/>
  <c r="G763" i="2"/>
  <c r="F763" i="2"/>
  <c r="E763" i="2"/>
  <c r="I763" i="2" s="1"/>
  <c r="G762" i="2"/>
  <c r="F762" i="2"/>
  <c r="I762" i="2" s="1"/>
  <c r="E762" i="2"/>
  <c r="G761" i="2"/>
  <c r="F761" i="2"/>
  <c r="E761" i="2"/>
  <c r="I761" i="2" s="1"/>
  <c r="G760" i="2"/>
  <c r="F760" i="2"/>
  <c r="E760" i="2"/>
  <c r="I760" i="2" s="1"/>
  <c r="I759" i="2"/>
  <c r="G758" i="2"/>
  <c r="I758" i="2" s="1"/>
  <c r="F758" i="2"/>
  <c r="E758" i="2"/>
  <c r="I757" i="2"/>
  <c r="G757" i="2"/>
  <c r="F757" i="2"/>
  <c r="E757" i="2"/>
  <c r="G756" i="2"/>
  <c r="I756" i="2" s="1"/>
  <c r="F756" i="2"/>
  <c r="E756" i="2"/>
  <c r="G755" i="2"/>
  <c r="I755" i="2" s="1"/>
  <c r="F755" i="2"/>
  <c r="E755" i="2"/>
  <c r="I754" i="2"/>
  <c r="G754" i="2"/>
  <c r="F754" i="2"/>
  <c r="E754" i="2"/>
  <c r="G753" i="2"/>
  <c r="I753" i="2" s="1"/>
  <c r="F753" i="2"/>
  <c r="E753" i="2"/>
  <c r="G752" i="2"/>
  <c r="I752" i="2" s="1"/>
  <c r="F752" i="2"/>
  <c r="E752" i="2"/>
  <c r="I751" i="2"/>
  <c r="I750" i="2"/>
  <c r="G750" i="2"/>
  <c r="F750" i="2"/>
  <c r="E750" i="2"/>
  <c r="I749" i="2"/>
  <c r="G749" i="2"/>
  <c r="F749" i="2"/>
  <c r="E749" i="2"/>
  <c r="G748" i="2"/>
  <c r="F748" i="2"/>
  <c r="E748" i="2"/>
  <c r="I748" i="2" s="1"/>
  <c r="I747" i="2"/>
  <c r="G747" i="2"/>
  <c r="F747" i="2"/>
  <c r="E747" i="2"/>
  <c r="G746" i="2"/>
  <c r="F746" i="2"/>
  <c r="E746" i="2"/>
  <c r="I746" i="2" s="1"/>
  <c r="G745" i="2"/>
  <c r="F745" i="2"/>
  <c r="E745" i="2"/>
  <c r="I745" i="2" s="1"/>
  <c r="I744" i="2"/>
  <c r="G744" i="2"/>
  <c r="F744" i="2"/>
  <c r="E744" i="2"/>
  <c r="G743" i="2"/>
  <c r="F743" i="2"/>
  <c r="E743" i="2"/>
  <c r="I743" i="2" s="1"/>
  <c r="I742" i="2"/>
  <c r="G741" i="2"/>
  <c r="F741" i="2"/>
  <c r="E741" i="2"/>
  <c r="I741" i="2" s="1"/>
  <c r="I740" i="2"/>
  <c r="G739" i="2"/>
  <c r="F739" i="2"/>
  <c r="E739" i="2"/>
  <c r="I739" i="2" s="1"/>
  <c r="G738" i="2"/>
  <c r="F738" i="2"/>
  <c r="I738" i="2" s="1"/>
  <c r="E738" i="2"/>
  <c r="G737" i="2"/>
  <c r="F737" i="2"/>
  <c r="E737" i="2"/>
  <c r="I737" i="2" s="1"/>
  <c r="G736" i="2"/>
  <c r="F736" i="2"/>
  <c r="E736" i="2"/>
  <c r="I736" i="2" s="1"/>
  <c r="G735" i="2"/>
  <c r="F735" i="2"/>
  <c r="E735" i="2"/>
  <c r="I735" i="2" s="1"/>
  <c r="G734" i="2"/>
  <c r="F734" i="2"/>
  <c r="E734" i="2"/>
  <c r="I734" i="2" s="1"/>
  <c r="G733" i="2"/>
  <c r="F733" i="2"/>
  <c r="E733" i="2"/>
  <c r="I733" i="2" s="1"/>
  <c r="I732" i="2"/>
  <c r="G731" i="2"/>
  <c r="I731" i="2" s="1"/>
  <c r="F731" i="2"/>
  <c r="E731" i="2"/>
  <c r="I730" i="2"/>
  <c r="G729" i="2"/>
  <c r="F729" i="2"/>
  <c r="E729" i="2"/>
  <c r="I729" i="2" s="1"/>
  <c r="I728" i="2"/>
  <c r="G727" i="2"/>
  <c r="F727" i="2"/>
  <c r="E727" i="2"/>
  <c r="I727" i="2" s="1"/>
  <c r="G726" i="2"/>
  <c r="F726" i="2"/>
  <c r="E726" i="2"/>
  <c r="I726" i="2" s="1"/>
  <c r="G725" i="2"/>
  <c r="F725" i="2"/>
  <c r="E725" i="2"/>
  <c r="I725" i="2" s="1"/>
  <c r="G724" i="2"/>
  <c r="F724" i="2"/>
  <c r="E724" i="2"/>
  <c r="I724" i="2" s="1"/>
  <c r="G723" i="2"/>
  <c r="F723" i="2"/>
  <c r="E723" i="2"/>
  <c r="I723" i="2" s="1"/>
  <c r="G722" i="2"/>
  <c r="F722" i="2"/>
  <c r="E722" i="2"/>
  <c r="I722" i="2" s="1"/>
  <c r="G721" i="2"/>
  <c r="F721" i="2"/>
  <c r="E721" i="2"/>
  <c r="I721" i="2" s="1"/>
  <c r="G720" i="2"/>
  <c r="F720" i="2"/>
  <c r="E720" i="2"/>
  <c r="I720" i="2" s="1"/>
  <c r="G719" i="2"/>
  <c r="F719" i="2"/>
  <c r="E719" i="2"/>
  <c r="I719" i="2" s="1"/>
  <c r="I718" i="2"/>
  <c r="G717" i="2"/>
  <c r="F717" i="2"/>
  <c r="E717" i="2"/>
  <c r="I717" i="2" s="1"/>
  <c r="I716" i="2"/>
  <c r="I715" i="2"/>
  <c r="G715" i="2"/>
  <c r="F715" i="2"/>
  <c r="E715" i="2"/>
  <c r="G714" i="2"/>
  <c r="I714" i="2" s="1"/>
  <c r="F714" i="2"/>
  <c r="E714" i="2"/>
  <c r="G713" i="2"/>
  <c r="I713" i="2" s="1"/>
  <c r="F713" i="2"/>
  <c r="E713" i="2"/>
  <c r="G712" i="2"/>
  <c r="I712" i="2" s="1"/>
  <c r="F712" i="2"/>
  <c r="E712" i="2"/>
  <c r="G711" i="2"/>
  <c r="I711" i="2" s="1"/>
  <c r="F711" i="2"/>
  <c r="E711" i="2"/>
  <c r="G710" i="2"/>
  <c r="I710" i="2" s="1"/>
  <c r="F710" i="2"/>
  <c r="E710" i="2"/>
  <c r="G709" i="2"/>
  <c r="I709" i="2" s="1"/>
  <c r="F709" i="2"/>
  <c r="E709" i="2"/>
  <c r="G708" i="2"/>
  <c r="I708" i="2" s="1"/>
  <c r="F708" i="2"/>
  <c r="E708" i="2"/>
  <c r="G707" i="2"/>
  <c r="I707" i="2" s="1"/>
  <c r="F707" i="2"/>
  <c r="E707" i="2"/>
  <c r="G706" i="2"/>
  <c r="I706" i="2" s="1"/>
  <c r="F706" i="2"/>
  <c r="E706" i="2"/>
  <c r="I705" i="2"/>
  <c r="I704" i="2"/>
  <c r="G704" i="2"/>
  <c r="F704" i="2"/>
  <c r="E704" i="2"/>
  <c r="I703" i="2"/>
  <c r="G703" i="2"/>
  <c r="F703" i="2"/>
  <c r="E703" i="2"/>
  <c r="I702" i="2"/>
  <c r="G702" i="2"/>
  <c r="F702" i="2"/>
  <c r="E702" i="2"/>
  <c r="G701" i="2"/>
  <c r="F701" i="2"/>
  <c r="E701" i="2"/>
  <c r="I701" i="2" s="1"/>
  <c r="G700" i="2"/>
  <c r="F700" i="2"/>
  <c r="E700" i="2"/>
  <c r="I700" i="2" s="1"/>
  <c r="I699" i="2"/>
  <c r="G699" i="2"/>
  <c r="F699" i="2"/>
  <c r="E699" i="2"/>
  <c r="G698" i="2"/>
  <c r="F698" i="2"/>
  <c r="E698" i="2"/>
  <c r="I698" i="2" s="1"/>
  <c r="G697" i="2"/>
  <c r="F697" i="2"/>
  <c r="E697" i="2"/>
  <c r="I697" i="2" s="1"/>
  <c r="I696" i="2"/>
  <c r="G696" i="2"/>
  <c r="F696" i="2"/>
  <c r="E696" i="2"/>
  <c r="G695" i="2"/>
  <c r="F695" i="2"/>
  <c r="E695" i="2"/>
  <c r="I695" i="2" s="1"/>
  <c r="I694" i="2"/>
  <c r="G693" i="2"/>
  <c r="F693" i="2"/>
  <c r="E693" i="2"/>
  <c r="I693" i="2" s="1"/>
  <c r="G692" i="2"/>
  <c r="F692" i="2"/>
  <c r="E692" i="2"/>
  <c r="I692" i="2" s="1"/>
  <c r="G691" i="2"/>
  <c r="F691" i="2"/>
  <c r="E691" i="2"/>
  <c r="I691" i="2" s="1"/>
  <c r="G690" i="2"/>
  <c r="F690" i="2"/>
  <c r="E690" i="2"/>
  <c r="I690" i="2" s="1"/>
  <c r="G689" i="2"/>
  <c r="F689" i="2"/>
  <c r="E689" i="2"/>
  <c r="I689" i="2" s="1"/>
  <c r="G688" i="2"/>
  <c r="F688" i="2"/>
  <c r="E688" i="2"/>
  <c r="I688" i="2" s="1"/>
  <c r="G687" i="2"/>
  <c r="F687" i="2"/>
  <c r="E687" i="2"/>
  <c r="I687" i="2" s="1"/>
  <c r="G686" i="2"/>
  <c r="F686" i="2"/>
  <c r="E686" i="2"/>
  <c r="I686" i="2" s="1"/>
  <c r="G685" i="2"/>
  <c r="F685" i="2"/>
  <c r="E685" i="2"/>
  <c r="I685" i="2" s="1"/>
  <c r="I684" i="2"/>
  <c r="I683" i="2"/>
  <c r="G682" i="2"/>
  <c r="F682" i="2"/>
  <c r="E682" i="2"/>
  <c r="I682" i="2" s="1"/>
  <c r="G681" i="2"/>
  <c r="I681" i="2" s="1"/>
  <c r="F681" i="2"/>
  <c r="E681" i="2"/>
  <c r="G680" i="2"/>
  <c r="I680" i="2" s="1"/>
  <c r="F680" i="2"/>
  <c r="E680" i="2"/>
  <c r="G679" i="2"/>
  <c r="F679" i="2"/>
  <c r="E679" i="2"/>
  <c r="I679" i="2" s="1"/>
  <c r="G678" i="2"/>
  <c r="I678" i="2" s="1"/>
  <c r="F678" i="2"/>
  <c r="E678" i="2"/>
  <c r="G677" i="2"/>
  <c r="I677" i="2" s="1"/>
  <c r="F677" i="2"/>
  <c r="E677" i="2"/>
  <c r="G676" i="2"/>
  <c r="F676" i="2"/>
  <c r="E676" i="2"/>
  <c r="I676" i="2" s="1"/>
  <c r="I675" i="2"/>
  <c r="G674" i="2"/>
  <c r="F674" i="2"/>
  <c r="E674" i="2"/>
  <c r="I674" i="2" s="1"/>
  <c r="G673" i="2"/>
  <c r="F673" i="2"/>
  <c r="E673" i="2"/>
  <c r="I673" i="2" s="1"/>
  <c r="I672" i="2"/>
  <c r="G671" i="2"/>
  <c r="F671" i="2"/>
  <c r="E671" i="2"/>
  <c r="I671" i="2" s="1"/>
  <c r="I670" i="2"/>
  <c r="I669" i="2"/>
  <c r="G668" i="2"/>
  <c r="I668" i="2" s="1"/>
  <c r="F668" i="2"/>
  <c r="E668" i="2"/>
  <c r="I667" i="2"/>
  <c r="I666" i="2"/>
  <c r="I665" i="2"/>
  <c r="I664" i="2"/>
  <c r="G663" i="2"/>
  <c r="I663" i="2" s="1"/>
  <c r="F663" i="2"/>
  <c r="E663" i="2"/>
  <c r="G662" i="2"/>
  <c r="I662" i="2" s="1"/>
  <c r="F662" i="2"/>
  <c r="E662" i="2"/>
  <c r="G661" i="2"/>
  <c r="F661" i="2"/>
  <c r="E661" i="2"/>
  <c r="I661" i="2" s="1"/>
  <c r="G660" i="2"/>
  <c r="I660" i="2" s="1"/>
  <c r="F660" i="2"/>
  <c r="E660" i="2"/>
  <c r="G659" i="2"/>
  <c r="I659" i="2" s="1"/>
  <c r="F659" i="2"/>
  <c r="E659" i="2"/>
  <c r="G658" i="2"/>
  <c r="F658" i="2"/>
  <c r="E658" i="2"/>
  <c r="I658" i="2" s="1"/>
  <c r="G657" i="2"/>
  <c r="I657" i="2" s="1"/>
  <c r="F657" i="2"/>
  <c r="E657" i="2"/>
  <c r="I656" i="2"/>
  <c r="I655" i="2"/>
  <c r="I654" i="2"/>
  <c r="I653" i="2"/>
  <c r="G652" i="2"/>
  <c r="F652" i="2"/>
  <c r="E652" i="2"/>
  <c r="I652" i="2" s="1"/>
  <c r="G651" i="2"/>
  <c r="I651" i="2" s="1"/>
  <c r="F651" i="2"/>
  <c r="E651" i="2"/>
  <c r="G650" i="2"/>
  <c r="I650" i="2" s="1"/>
  <c r="F650" i="2"/>
  <c r="E650" i="2"/>
  <c r="G649" i="2"/>
  <c r="F649" i="2"/>
  <c r="E649" i="2"/>
  <c r="I649" i="2" s="1"/>
  <c r="G648" i="2"/>
  <c r="F648" i="2"/>
  <c r="E648" i="2"/>
  <c r="I648" i="2" s="1"/>
  <c r="G647" i="2"/>
  <c r="I647" i="2" s="1"/>
  <c r="F647" i="2"/>
  <c r="E647" i="2"/>
  <c r="G646" i="2"/>
  <c r="F646" i="2"/>
  <c r="E646" i="2"/>
  <c r="I646" i="2" s="1"/>
  <c r="I645" i="2"/>
  <c r="I644" i="2"/>
  <c r="G644" i="2"/>
  <c r="F644" i="2"/>
  <c r="E644" i="2"/>
  <c r="I643" i="2"/>
  <c r="G642" i="2"/>
  <c r="F642" i="2"/>
  <c r="E642" i="2"/>
  <c r="I642" i="2" s="1"/>
  <c r="G641" i="2"/>
  <c r="F641" i="2"/>
  <c r="E641" i="2"/>
  <c r="I641" i="2" s="1"/>
  <c r="G640" i="2"/>
  <c r="F640" i="2"/>
  <c r="E640" i="2"/>
  <c r="I640" i="2" s="1"/>
  <c r="G639" i="2"/>
  <c r="F639" i="2"/>
  <c r="E639" i="2"/>
  <c r="I639" i="2" s="1"/>
  <c r="G638" i="2"/>
  <c r="F638" i="2"/>
  <c r="E638" i="2"/>
  <c r="I638" i="2" s="1"/>
  <c r="G637" i="2"/>
  <c r="F637" i="2"/>
  <c r="E637" i="2"/>
  <c r="I637" i="2" s="1"/>
  <c r="G636" i="2"/>
  <c r="F636" i="2"/>
  <c r="E636" i="2"/>
  <c r="I636" i="2" s="1"/>
  <c r="I635" i="2"/>
  <c r="I634" i="2"/>
  <c r="G634" i="2"/>
  <c r="F634" i="2"/>
  <c r="E634" i="2"/>
  <c r="G633" i="2"/>
  <c r="F633" i="2"/>
  <c r="I633" i="2" s="1"/>
  <c r="E633" i="2"/>
  <c r="G632" i="2"/>
  <c r="F632" i="2"/>
  <c r="I632" i="2" s="1"/>
  <c r="E632" i="2"/>
  <c r="I631" i="2"/>
  <c r="G630" i="2"/>
  <c r="F630" i="2"/>
  <c r="E630" i="2"/>
  <c r="I630" i="2" s="1"/>
  <c r="I629" i="2"/>
  <c r="I628" i="2"/>
  <c r="G628" i="2"/>
  <c r="F628" i="2"/>
  <c r="E628" i="2"/>
  <c r="I627" i="2"/>
  <c r="G626" i="2"/>
  <c r="F626" i="2"/>
  <c r="E626" i="2"/>
  <c r="I626" i="2" s="1"/>
  <c r="G625" i="2"/>
  <c r="F625" i="2"/>
  <c r="E625" i="2"/>
  <c r="I625" i="2" s="1"/>
  <c r="G624" i="2"/>
  <c r="F624" i="2"/>
  <c r="E624" i="2"/>
  <c r="I624" i="2" s="1"/>
  <c r="G623" i="2"/>
  <c r="F623" i="2"/>
  <c r="E623" i="2"/>
  <c r="I623" i="2" s="1"/>
  <c r="G622" i="2"/>
  <c r="F622" i="2"/>
  <c r="E622" i="2"/>
  <c r="I622" i="2" s="1"/>
  <c r="G621" i="2"/>
  <c r="F621" i="2"/>
  <c r="E621" i="2"/>
  <c r="I621" i="2" s="1"/>
  <c r="G620" i="2"/>
  <c r="F620" i="2"/>
  <c r="E620" i="2"/>
  <c r="I620" i="2" s="1"/>
  <c r="G619" i="2"/>
  <c r="F619" i="2"/>
  <c r="E619" i="2"/>
  <c r="I619" i="2" s="1"/>
  <c r="I618" i="2"/>
  <c r="G617" i="2"/>
  <c r="F617" i="2"/>
  <c r="I617" i="2" s="1"/>
  <c r="E617" i="2"/>
  <c r="I616" i="2"/>
  <c r="G616" i="2"/>
  <c r="F616" i="2"/>
  <c r="E616" i="2"/>
  <c r="I615" i="2"/>
  <c r="G614" i="2"/>
  <c r="I614" i="2" s="1"/>
  <c r="F614" i="2"/>
  <c r="E614" i="2"/>
  <c r="I613" i="2"/>
  <c r="I612" i="2"/>
  <c r="G611" i="2"/>
  <c r="F611" i="2"/>
  <c r="E611" i="2"/>
  <c r="I611" i="2" s="1"/>
  <c r="I610" i="2"/>
  <c r="G609" i="2"/>
  <c r="F609" i="2"/>
  <c r="I609" i="2" s="1"/>
  <c r="E609" i="2"/>
  <c r="I608" i="2"/>
  <c r="I607" i="2"/>
  <c r="G606" i="2"/>
  <c r="F606" i="2"/>
  <c r="I606" i="2" s="1"/>
  <c r="E606" i="2"/>
  <c r="I605" i="2"/>
  <c r="G605" i="2"/>
  <c r="F605" i="2"/>
  <c r="E605" i="2"/>
  <c r="I604" i="2"/>
  <c r="I603" i="2"/>
  <c r="I602" i="2"/>
  <c r="G601" i="2"/>
  <c r="F601" i="2"/>
  <c r="E601" i="2"/>
  <c r="I601" i="2" s="1"/>
  <c r="I600" i="2"/>
  <c r="I599" i="2"/>
  <c r="G599" i="2"/>
  <c r="F599" i="2"/>
  <c r="E599" i="2"/>
  <c r="I598" i="2"/>
  <c r="G597" i="2"/>
  <c r="F597" i="2"/>
  <c r="E597" i="2"/>
  <c r="I597" i="2" s="1"/>
  <c r="G596" i="2"/>
  <c r="F596" i="2"/>
  <c r="E596" i="2"/>
  <c r="I596" i="2" s="1"/>
  <c r="G595" i="2"/>
  <c r="F595" i="2"/>
  <c r="E595" i="2"/>
  <c r="I595" i="2" s="1"/>
  <c r="G594" i="2"/>
  <c r="F594" i="2"/>
  <c r="E594" i="2"/>
  <c r="I594" i="2" s="1"/>
  <c r="G593" i="2"/>
  <c r="F593" i="2"/>
  <c r="E593" i="2"/>
  <c r="I593" i="2" s="1"/>
  <c r="G592" i="2"/>
  <c r="F592" i="2"/>
  <c r="E592" i="2"/>
  <c r="I592" i="2" s="1"/>
  <c r="G591" i="2"/>
  <c r="F591" i="2"/>
  <c r="E591" i="2"/>
  <c r="I591" i="2" s="1"/>
  <c r="G590" i="2"/>
  <c r="F590" i="2"/>
  <c r="E590" i="2"/>
  <c r="I590" i="2" s="1"/>
  <c r="G589" i="2"/>
  <c r="F589" i="2"/>
  <c r="E589" i="2"/>
  <c r="I589" i="2" s="1"/>
  <c r="G588" i="2"/>
  <c r="F588" i="2"/>
  <c r="E588" i="2"/>
  <c r="I588" i="2" s="1"/>
  <c r="I587" i="2"/>
  <c r="I586" i="2"/>
  <c r="G586" i="2"/>
  <c r="F586" i="2"/>
  <c r="E586" i="2"/>
  <c r="G585" i="2"/>
  <c r="F585" i="2"/>
  <c r="I585" i="2" s="1"/>
  <c r="E585" i="2"/>
  <c r="G584" i="2"/>
  <c r="F584" i="2"/>
  <c r="I584" i="2" s="1"/>
  <c r="E584" i="2"/>
  <c r="I583" i="2"/>
  <c r="G583" i="2"/>
  <c r="F583" i="2"/>
  <c r="E583" i="2"/>
  <c r="G582" i="2"/>
  <c r="F582" i="2"/>
  <c r="I582" i="2" s="1"/>
  <c r="E582" i="2"/>
  <c r="G581" i="2"/>
  <c r="F581" i="2"/>
  <c r="I581" i="2" s="1"/>
  <c r="E581" i="2"/>
  <c r="I580" i="2"/>
  <c r="G579" i="2"/>
  <c r="F579" i="2"/>
  <c r="E579" i="2"/>
  <c r="I579" i="2" s="1"/>
  <c r="G578" i="2"/>
  <c r="I578" i="2" s="1"/>
  <c r="F578" i="2"/>
  <c r="E578" i="2"/>
  <c r="G577" i="2"/>
  <c r="F577" i="2"/>
  <c r="E577" i="2"/>
  <c r="I577" i="2" s="1"/>
  <c r="G576" i="2"/>
  <c r="F576" i="2"/>
  <c r="E576" i="2"/>
  <c r="I576" i="2" s="1"/>
  <c r="G575" i="2"/>
  <c r="F575" i="2"/>
  <c r="E575" i="2"/>
  <c r="I575" i="2" s="1"/>
  <c r="G574" i="2"/>
  <c r="F574" i="2"/>
  <c r="E574" i="2"/>
  <c r="I574" i="2" s="1"/>
  <c r="I573" i="2"/>
  <c r="I572" i="2"/>
  <c r="G572" i="2"/>
  <c r="F572" i="2"/>
  <c r="E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G535" i="2"/>
  <c r="F535" i="2"/>
  <c r="I535" i="2" s="1"/>
  <c r="E535" i="2"/>
  <c r="G534" i="2"/>
  <c r="F534" i="2"/>
  <c r="I534" i="2" s="1"/>
  <c r="E534" i="2"/>
  <c r="I533" i="2"/>
  <c r="G533" i="2"/>
  <c r="F533" i="2"/>
  <c r="E533" i="2"/>
  <c r="G532" i="2"/>
  <c r="F532" i="2"/>
  <c r="I532" i="2" s="1"/>
  <c r="E532" i="2"/>
  <c r="G531" i="2"/>
  <c r="F531" i="2"/>
  <c r="I531" i="2" s="1"/>
  <c r="E531" i="2"/>
  <c r="I530" i="2"/>
  <c r="G530" i="2"/>
  <c r="F530" i="2"/>
  <c r="E530" i="2"/>
  <c r="G529" i="2"/>
  <c r="F529" i="2"/>
  <c r="I529" i="2" s="1"/>
  <c r="E529" i="2"/>
  <c r="G528" i="2"/>
  <c r="F528" i="2"/>
  <c r="I528" i="2" s="1"/>
  <c r="E528" i="2"/>
  <c r="I527" i="2"/>
  <c r="I526" i="2"/>
  <c r="G525" i="2"/>
  <c r="F525" i="2"/>
  <c r="I525" i="2" s="1"/>
  <c r="E525" i="2"/>
  <c r="I524" i="2"/>
  <c r="G524" i="2"/>
  <c r="F524" i="2"/>
  <c r="E524" i="2"/>
  <c r="I523" i="2"/>
  <c r="G523" i="2"/>
  <c r="F523" i="2"/>
  <c r="E523" i="2"/>
  <c r="G522" i="2"/>
  <c r="F522" i="2"/>
  <c r="I522" i="2" s="1"/>
  <c r="E522" i="2"/>
  <c r="I521" i="2"/>
  <c r="G521" i="2"/>
  <c r="F521" i="2"/>
  <c r="E521" i="2"/>
  <c r="I520" i="2"/>
  <c r="G520" i="2"/>
  <c r="F520" i="2"/>
  <c r="E520" i="2"/>
  <c r="G519" i="2"/>
  <c r="F519" i="2"/>
  <c r="I519" i="2" s="1"/>
  <c r="E519" i="2"/>
  <c r="I518" i="2"/>
  <c r="G518" i="2"/>
  <c r="F518" i="2"/>
  <c r="E518" i="2"/>
  <c r="I517" i="2"/>
  <c r="G517" i="2"/>
  <c r="F517" i="2"/>
  <c r="E517" i="2"/>
  <c r="G516" i="2"/>
  <c r="F516" i="2"/>
  <c r="I516" i="2" s="1"/>
  <c r="E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G499" i="2"/>
  <c r="F499" i="2"/>
  <c r="E499" i="2"/>
  <c r="G498" i="2"/>
  <c r="F498" i="2"/>
  <c r="I498" i="2" s="1"/>
  <c r="E498" i="2"/>
  <c r="I497" i="2"/>
  <c r="G497" i="2"/>
  <c r="F497" i="2"/>
  <c r="E497" i="2"/>
  <c r="I496" i="2"/>
  <c r="G496" i="2"/>
  <c r="F496" i="2"/>
  <c r="E496" i="2"/>
  <c r="G495" i="2"/>
  <c r="F495" i="2"/>
  <c r="I495" i="2" s="1"/>
  <c r="E495" i="2"/>
  <c r="I494" i="2"/>
  <c r="G494" i="2"/>
  <c r="F494" i="2"/>
  <c r="E494" i="2"/>
  <c r="I493" i="2"/>
  <c r="G493" i="2"/>
  <c r="F493" i="2"/>
  <c r="E493" i="2"/>
  <c r="G492" i="2"/>
  <c r="F492" i="2"/>
  <c r="I492" i="2" s="1"/>
  <c r="E492" i="2"/>
  <c r="H491" i="2"/>
  <c r="G490" i="2"/>
  <c r="F490" i="2"/>
  <c r="D490" i="2"/>
  <c r="H490" i="2" s="1"/>
  <c r="G489" i="2"/>
  <c r="F489" i="2"/>
  <c r="H489" i="2" s="1"/>
  <c r="D489" i="2"/>
  <c r="G488" i="2"/>
  <c r="F488" i="2"/>
  <c r="D488" i="2"/>
  <c r="H488" i="2" s="1"/>
  <c r="G487" i="2"/>
  <c r="F487" i="2"/>
  <c r="D487" i="2"/>
  <c r="H487" i="2" s="1"/>
  <c r="G486" i="2"/>
  <c r="F486" i="2"/>
  <c r="H486" i="2" s="1"/>
  <c r="D486" i="2"/>
  <c r="G485" i="2"/>
  <c r="F485" i="2"/>
  <c r="D485" i="2"/>
  <c r="H485" i="2" s="1"/>
  <c r="G484" i="2"/>
  <c r="F484" i="2"/>
  <c r="D484" i="2"/>
  <c r="H484" i="2" s="1"/>
  <c r="G483" i="2"/>
  <c r="F483" i="2"/>
  <c r="H483" i="2" s="1"/>
  <c r="D483" i="2"/>
  <c r="H482" i="2"/>
  <c r="G481" i="2"/>
  <c r="F481" i="2"/>
  <c r="H481" i="2" s="1"/>
  <c r="D481" i="2"/>
  <c r="G480" i="2"/>
  <c r="F480" i="2"/>
  <c r="H480" i="2" s="1"/>
  <c r="D480" i="2"/>
  <c r="H479" i="2"/>
  <c r="G479" i="2"/>
  <c r="F479" i="2"/>
  <c r="D479" i="2"/>
  <c r="G478" i="2"/>
  <c r="F478" i="2"/>
  <c r="H478" i="2" s="1"/>
  <c r="D478" i="2"/>
  <c r="G477" i="2"/>
  <c r="F477" i="2"/>
  <c r="H477" i="2" s="1"/>
  <c r="D477" i="2"/>
  <c r="H476" i="2"/>
  <c r="G476" i="2"/>
  <c r="F476" i="2"/>
  <c r="D476" i="2"/>
  <c r="G475" i="2"/>
  <c r="F475" i="2"/>
  <c r="H475" i="2" s="1"/>
  <c r="D475" i="2"/>
  <c r="H474" i="2"/>
  <c r="G473" i="2"/>
  <c r="F473" i="2"/>
  <c r="D473" i="2"/>
  <c r="H473" i="2" s="1"/>
  <c r="G472" i="2"/>
  <c r="F472" i="2"/>
  <c r="D472" i="2"/>
  <c r="H472" i="2" s="1"/>
  <c r="G471" i="2"/>
  <c r="F471" i="2"/>
  <c r="D471" i="2"/>
  <c r="H471" i="2" s="1"/>
  <c r="G470" i="2"/>
  <c r="F470" i="2"/>
  <c r="D470" i="2"/>
  <c r="H470" i="2" s="1"/>
  <c r="G469" i="2"/>
  <c r="F469" i="2"/>
  <c r="D469" i="2"/>
  <c r="H469" i="2" s="1"/>
  <c r="G468" i="2"/>
  <c r="F468" i="2"/>
  <c r="D468" i="2"/>
  <c r="H468" i="2" s="1"/>
  <c r="H467" i="2"/>
  <c r="H466" i="2"/>
  <c r="G466" i="2"/>
  <c r="F466" i="2"/>
  <c r="D466" i="2"/>
  <c r="G465" i="2"/>
  <c r="F465" i="2"/>
  <c r="H465" i="2" s="1"/>
  <c r="D465" i="2"/>
  <c r="H464" i="2"/>
  <c r="G464" i="2"/>
  <c r="F464" i="2"/>
  <c r="D464" i="2"/>
  <c r="H463" i="2"/>
  <c r="G463" i="2"/>
  <c r="F463" i="2"/>
  <c r="D463" i="2"/>
  <c r="G462" i="2"/>
  <c r="F462" i="2"/>
  <c r="H462" i="2" s="1"/>
  <c r="D462" i="2"/>
  <c r="H461" i="2"/>
  <c r="G461" i="2"/>
  <c r="F461" i="2"/>
  <c r="D461" i="2"/>
  <c r="H460" i="2"/>
  <c r="G459" i="2"/>
  <c r="F459" i="2"/>
  <c r="H459" i="2" s="1"/>
  <c r="D459" i="2"/>
  <c r="G458" i="2"/>
  <c r="F458" i="2"/>
  <c r="D458" i="2"/>
  <c r="H458" i="2" s="1"/>
  <c r="G457" i="2"/>
  <c r="F457" i="2"/>
  <c r="D457" i="2"/>
  <c r="H457" i="2" s="1"/>
  <c r="G456" i="2"/>
  <c r="F456" i="2"/>
  <c r="D456" i="2"/>
  <c r="H456" i="2" s="1"/>
  <c r="G455" i="2"/>
  <c r="F455" i="2"/>
  <c r="D455" i="2"/>
  <c r="H455" i="2" s="1"/>
  <c r="G454" i="2"/>
  <c r="F454" i="2"/>
  <c r="D454" i="2"/>
  <c r="H454" i="2" s="1"/>
  <c r="H453" i="2"/>
  <c r="H452" i="2"/>
  <c r="G451" i="2"/>
  <c r="F451" i="2"/>
  <c r="D451" i="2"/>
  <c r="H451" i="2" s="1"/>
  <c r="G450" i="2"/>
  <c r="F450" i="2"/>
  <c r="D450" i="2"/>
  <c r="H450" i="2" s="1"/>
  <c r="G449" i="2"/>
  <c r="F449" i="2"/>
  <c r="D449" i="2"/>
  <c r="H449" i="2" s="1"/>
  <c r="G448" i="2"/>
  <c r="F448" i="2"/>
  <c r="D448" i="2"/>
  <c r="H448" i="2" s="1"/>
  <c r="G447" i="2"/>
  <c r="F447" i="2"/>
  <c r="D447" i="2"/>
  <c r="H447" i="2" s="1"/>
  <c r="G446" i="2"/>
  <c r="F446" i="2"/>
  <c r="D446" i="2"/>
  <c r="H446" i="2" s="1"/>
  <c r="H445" i="2"/>
  <c r="H444" i="2"/>
  <c r="H443" i="2"/>
  <c r="G442" i="2"/>
  <c r="F442" i="2"/>
  <c r="H442" i="2" s="1"/>
  <c r="D442" i="2"/>
  <c r="G441" i="2"/>
  <c r="F441" i="2"/>
  <c r="H441" i="2" s="1"/>
  <c r="D441" i="2"/>
  <c r="H440" i="2"/>
  <c r="G440" i="2"/>
  <c r="F440" i="2"/>
  <c r="D440" i="2"/>
  <c r="G439" i="2"/>
  <c r="F439" i="2"/>
  <c r="H439" i="2" s="1"/>
  <c r="D439" i="2"/>
  <c r="G438" i="2"/>
  <c r="F438" i="2"/>
  <c r="H438" i="2" s="1"/>
  <c r="D438" i="2"/>
  <c r="H437" i="2"/>
  <c r="G437" i="2"/>
  <c r="F437" i="2"/>
  <c r="D437" i="2"/>
  <c r="H436" i="2"/>
  <c r="H435" i="2"/>
  <c r="H434" i="2"/>
  <c r="G433" i="2"/>
  <c r="F433" i="2"/>
  <c r="D433" i="2"/>
  <c r="H433" i="2" s="1"/>
  <c r="G432" i="2"/>
  <c r="F432" i="2"/>
  <c r="D432" i="2"/>
  <c r="H432" i="2" s="1"/>
  <c r="G431" i="2"/>
  <c r="F431" i="2"/>
  <c r="D431" i="2"/>
  <c r="H431" i="2" s="1"/>
  <c r="G430" i="2"/>
  <c r="F430" i="2"/>
  <c r="D430" i="2"/>
  <c r="H430" i="2" s="1"/>
  <c r="G429" i="2"/>
  <c r="F429" i="2"/>
  <c r="D429" i="2"/>
  <c r="H429" i="2" s="1"/>
  <c r="G428" i="2"/>
  <c r="F428" i="2"/>
  <c r="D428" i="2"/>
  <c r="H428" i="2" s="1"/>
  <c r="H427" i="2"/>
  <c r="H426" i="2"/>
  <c r="H425" i="2"/>
  <c r="H424" i="2"/>
  <c r="G424" i="2"/>
  <c r="F424" i="2"/>
  <c r="D424" i="2"/>
  <c r="G423" i="2"/>
  <c r="F423" i="2"/>
  <c r="H423" i="2" s="1"/>
  <c r="D423" i="2"/>
  <c r="H422" i="2"/>
  <c r="G422" i="2"/>
  <c r="F422" i="2"/>
  <c r="D422" i="2"/>
  <c r="H421" i="2"/>
  <c r="G421" i="2"/>
  <c r="F421" i="2"/>
  <c r="D421" i="2"/>
  <c r="G420" i="2"/>
  <c r="F420" i="2"/>
  <c r="D420" i="2"/>
  <c r="H420" i="2" s="1"/>
  <c r="H419" i="2"/>
  <c r="G419" i="2"/>
  <c r="F419" i="2"/>
  <c r="D419" i="2"/>
  <c r="H418" i="2"/>
  <c r="G417" i="2"/>
  <c r="F417" i="2"/>
  <c r="D417" i="2"/>
  <c r="H417" i="2" s="1"/>
  <c r="G416" i="2"/>
  <c r="F416" i="2"/>
  <c r="D416" i="2"/>
  <c r="H416" i="2" s="1"/>
  <c r="G415" i="2"/>
  <c r="F415" i="2"/>
  <c r="D415" i="2"/>
  <c r="H415" i="2" s="1"/>
  <c r="G414" i="2"/>
  <c r="F414" i="2"/>
  <c r="D414" i="2"/>
  <c r="H414" i="2" s="1"/>
  <c r="G413" i="2"/>
  <c r="F413" i="2"/>
  <c r="D413" i="2"/>
  <c r="H413" i="2" s="1"/>
  <c r="G412" i="2"/>
  <c r="F412" i="2"/>
  <c r="D412" i="2"/>
  <c r="H412" i="2" s="1"/>
  <c r="G411" i="2"/>
  <c r="F411" i="2"/>
  <c r="D411" i="2"/>
  <c r="H411" i="2" s="1"/>
  <c r="G410" i="2"/>
  <c r="F410" i="2"/>
  <c r="D410" i="2"/>
  <c r="H410" i="2" s="1"/>
  <c r="G409" i="2"/>
  <c r="F409" i="2"/>
  <c r="D409" i="2"/>
  <c r="H409" i="2" s="1"/>
  <c r="G408" i="2"/>
  <c r="F408" i="2"/>
  <c r="D408" i="2"/>
  <c r="H408" i="2" s="1"/>
  <c r="H407" i="2"/>
  <c r="H406" i="2"/>
  <c r="G405" i="2"/>
  <c r="H405" i="2" s="1"/>
  <c r="F405" i="2"/>
  <c r="D405" i="2"/>
  <c r="G404" i="2"/>
  <c r="F404" i="2"/>
  <c r="D404" i="2"/>
  <c r="H404" i="2" s="1"/>
  <c r="G403" i="2"/>
  <c r="F403" i="2"/>
  <c r="D403" i="2"/>
  <c r="H403" i="2" s="1"/>
  <c r="G402" i="2"/>
  <c r="H402" i="2" s="1"/>
  <c r="F402" i="2"/>
  <c r="D402" i="2"/>
  <c r="G401" i="2"/>
  <c r="F401" i="2"/>
  <c r="D401" i="2"/>
  <c r="H401" i="2" s="1"/>
  <c r="G400" i="2"/>
  <c r="F400" i="2"/>
  <c r="D400" i="2"/>
  <c r="H400" i="2" s="1"/>
  <c r="G399" i="2"/>
  <c r="H399" i="2" s="1"/>
  <c r="F399" i="2"/>
  <c r="D399" i="2"/>
  <c r="H398" i="2"/>
  <c r="H397" i="2"/>
  <c r="G397" i="2"/>
  <c r="F397" i="2"/>
  <c r="D397" i="2"/>
  <c r="G396" i="2"/>
  <c r="F396" i="2"/>
  <c r="D396" i="2"/>
  <c r="H396" i="2" s="1"/>
  <c r="H395" i="2"/>
  <c r="G395" i="2"/>
  <c r="F395" i="2"/>
  <c r="D395" i="2"/>
  <c r="H394" i="2"/>
  <c r="G394" i="2"/>
  <c r="F394" i="2"/>
  <c r="D394" i="2"/>
  <c r="G393" i="2"/>
  <c r="F393" i="2"/>
  <c r="D393" i="2"/>
  <c r="H393" i="2" s="1"/>
  <c r="H392" i="2"/>
  <c r="G392" i="2"/>
  <c r="F392" i="2"/>
  <c r="D392" i="2"/>
  <c r="H391" i="2"/>
  <c r="G391" i="2"/>
  <c r="F391" i="2"/>
  <c r="D391" i="2"/>
  <c r="H390" i="2"/>
  <c r="G389" i="2"/>
  <c r="F389" i="2"/>
  <c r="D389" i="2"/>
  <c r="H389" i="2" s="1"/>
  <c r="G388" i="2"/>
  <c r="F388" i="2"/>
  <c r="D388" i="2"/>
  <c r="H388" i="2" s="1"/>
  <c r="G387" i="2"/>
  <c r="F387" i="2"/>
  <c r="D387" i="2"/>
  <c r="H387" i="2" s="1"/>
  <c r="G386" i="2"/>
  <c r="F386" i="2"/>
  <c r="D386" i="2"/>
  <c r="H386" i="2" s="1"/>
  <c r="G385" i="2"/>
  <c r="F385" i="2"/>
  <c r="D385" i="2"/>
  <c r="H385" i="2" s="1"/>
  <c r="G384" i="2"/>
  <c r="F384" i="2"/>
  <c r="D384" i="2"/>
  <c r="H384" i="2" s="1"/>
  <c r="G383" i="2"/>
  <c r="F383" i="2"/>
  <c r="D383" i="2"/>
  <c r="H383" i="2" s="1"/>
  <c r="G382" i="2"/>
  <c r="F382" i="2"/>
  <c r="D382" i="2"/>
  <c r="H382" i="2" s="1"/>
  <c r="G381" i="2"/>
  <c r="F381" i="2"/>
  <c r="D381" i="2"/>
  <c r="H381" i="2" s="1"/>
  <c r="G380" i="2"/>
  <c r="F380" i="2"/>
  <c r="D380" i="2"/>
  <c r="H380" i="2" s="1"/>
  <c r="H379" i="2"/>
  <c r="G378" i="2"/>
  <c r="F378" i="2"/>
  <c r="H378" i="2" s="1"/>
  <c r="D378" i="2"/>
  <c r="H377" i="2"/>
  <c r="G377" i="2"/>
  <c r="F377" i="2"/>
  <c r="D377" i="2"/>
  <c r="G376" i="2"/>
  <c r="F376" i="2"/>
  <c r="H376" i="2" s="1"/>
  <c r="D376" i="2"/>
  <c r="G375" i="2"/>
  <c r="F375" i="2"/>
  <c r="H375" i="2" s="1"/>
  <c r="D375" i="2"/>
  <c r="H374" i="2"/>
  <c r="G374" i="2"/>
  <c r="F374" i="2"/>
  <c r="D374" i="2"/>
  <c r="G373" i="2"/>
  <c r="F373" i="2"/>
  <c r="H373" i="2" s="1"/>
  <c r="D373" i="2"/>
  <c r="G372" i="2"/>
  <c r="F372" i="2"/>
  <c r="H372" i="2" s="1"/>
  <c r="D372" i="2"/>
  <c r="H371" i="2"/>
  <c r="G371" i="2"/>
  <c r="F371" i="2"/>
  <c r="D371" i="2"/>
  <c r="G370" i="2"/>
  <c r="F370" i="2"/>
  <c r="H370" i="2" s="1"/>
  <c r="D370" i="2"/>
  <c r="G369" i="2"/>
  <c r="F369" i="2"/>
  <c r="H369" i="2" s="1"/>
  <c r="D369" i="2"/>
  <c r="H368" i="2"/>
  <c r="H367" i="2"/>
  <c r="H366" i="2"/>
  <c r="G365" i="2"/>
  <c r="F365" i="2"/>
  <c r="D365" i="2"/>
  <c r="H365" i="2" s="1"/>
  <c r="G364" i="2"/>
  <c r="F364" i="2"/>
  <c r="D364" i="2"/>
  <c r="H364" i="2" s="1"/>
  <c r="G363" i="2"/>
  <c r="F363" i="2"/>
  <c r="D363" i="2"/>
  <c r="H363" i="2" s="1"/>
  <c r="G362" i="2"/>
  <c r="F362" i="2"/>
  <c r="D362" i="2"/>
  <c r="H362" i="2" s="1"/>
  <c r="G361" i="2"/>
  <c r="F361" i="2"/>
  <c r="D361" i="2"/>
  <c r="H361" i="2" s="1"/>
  <c r="G360" i="2"/>
  <c r="F360" i="2"/>
  <c r="D360" i="2"/>
  <c r="H360" i="2" s="1"/>
  <c r="G359" i="2"/>
  <c r="F359" i="2"/>
  <c r="D359" i="2"/>
  <c r="H359" i="2" s="1"/>
  <c r="H358" i="2"/>
  <c r="G357" i="2"/>
  <c r="F357" i="2"/>
  <c r="H357" i="2" s="1"/>
  <c r="D357" i="2"/>
  <c r="H356" i="2"/>
  <c r="G356" i="2"/>
  <c r="F356" i="2"/>
  <c r="D356" i="2"/>
  <c r="G355" i="2"/>
  <c r="F355" i="2"/>
  <c r="H355" i="2" s="1"/>
  <c r="D355" i="2"/>
  <c r="G354" i="2"/>
  <c r="F354" i="2"/>
  <c r="H354" i="2" s="1"/>
  <c r="D354" i="2"/>
  <c r="H353" i="2"/>
  <c r="G353" i="2"/>
  <c r="F353" i="2"/>
  <c r="D353" i="2"/>
  <c r="G352" i="2"/>
  <c r="F352" i="2"/>
  <c r="H352" i="2" s="1"/>
  <c r="D352" i="2"/>
  <c r="H351" i="2"/>
  <c r="G350" i="2"/>
  <c r="F350" i="2"/>
  <c r="D350" i="2"/>
  <c r="H350" i="2" s="1"/>
  <c r="G349" i="2"/>
  <c r="F349" i="2"/>
  <c r="D349" i="2"/>
  <c r="H349" i="2" s="1"/>
  <c r="G348" i="2"/>
  <c r="H348" i="2" s="1"/>
  <c r="F348" i="2"/>
  <c r="D348" i="2"/>
  <c r="G347" i="2"/>
  <c r="F347" i="2"/>
  <c r="D347" i="2"/>
  <c r="H347" i="2" s="1"/>
  <c r="G346" i="2"/>
  <c r="F346" i="2"/>
  <c r="D346" i="2"/>
  <c r="H346" i="2" s="1"/>
  <c r="G345" i="2"/>
  <c r="H345" i="2" s="1"/>
  <c r="F345" i="2"/>
  <c r="D345" i="2"/>
  <c r="G344" i="2"/>
  <c r="F344" i="2"/>
  <c r="D344" i="2"/>
  <c r="H344" i="2" s="1"/>
  <c r="H343" i="2"/>
  <c r="G342" i="2"/>
  <c r="F342" i="2"/>
  <c r="D342" i="2"/>
  <c r="H342" i="2" s="1"/>
  <c r="H341" i="2"/>
  <c r="G341" i="2"/>
  <c r="F341" i="2"/>
  <c r="D341" i="2"/>
  <c r="H340" i="2"/>
  <c r="G340" i="2"/>
  <c r="F340" i="2"/>
  <c r="D340" i="2"/>
  <c r="G339" i="2"/>
  <c r="F339" i="2"/>
  <c r="D339" i="2"/>
  <c r="H339" i="2" s="1"/>
  <c r="H338" i="2"/>
  <c r="G338" i="2"/>
  <c r="F338" i="2"/>
  <c r="D338" i="2"/>
  <c r="H337" i="2"/>
  <c r="G337" i="2"/>
  <c r="F337" i="2"/>
  <c r="D337" i="2"/>
  <c r="H336" i="2"/>
  <c r="G335" i="2"/>
  <c r="F335" i="2"/>
  <c r="D335" i="2"/>
  <c r="H335" i="2" s="1"/>
  <c r="G334" i="2"/>
  <c r="F334" i="2"/>
  <c r="D334" i="2"/>
  <c r="H334" i="2" s="1"/>
  <c r="G333" i="2"/>
  <c r="F333" i="2"/>
  <c r="D333" i="2"/>
  <c r="H333" i="2" s="1"/>
  <c r="G332" i="2"/>
  <c r="F332" i="2"/>
  <c r="D332" i="2"/>
  <c r="H332" i="2" s="1"/>
  <c r="G331" i="2"/>
  <c r="F331" i="2"/>
  <c r="D331" i="2"/>
  <c r="H331" i="2" s="1"/>
  <c r="G330" i="2"/>
  <c r="F330" i="2"/>
  <c r="D330" i="2"/>
  <c r="H330" i="2" s="1"/>
  <c r="H329" i="2"/>
  <c r="H328" i="2"/>
  <c r="G327" i="2"/>
  <c r="H327" i="2" s="1"/>
  <c r="F327" i="2"/>
  <c r="D327" i="2"/>
  <c r="G326" i="2"/>
  <c r="F326" i="2"/>
  <c r="D326" i="2"/>
  <c r="H326" i="2" s="1"/>
  <c r="G325" i="2"/>
  <c r="F325" i="2"/>
  <c r="D325" i="2"/>
  <c r="H325" i="2" s="1"/>
  <c r="G324" i="2"/>
  <c r="H324" i="2" s="1"/>
  <c r="F324" i="2"/>
  <c r="D324" i="2"/>
  <c r="G323" i="2"/>
  <c r="F323" i="2"/>
  <c r="D323" i="2"/>
  <c r="H323" i="2" s="1"/>
  <c r="G322" i="2"/>
  <c r="F322" i="2"/>
  <c r="D322" i="2"/>
  <c r="H322" i="2" s="1"/>
  <c r="G321" i="2"/>
  <c r="H321" i="2" s="1"/>
  <c r="F321" i="2"/>
  <c r="D321" i="2"/>
  <c r="H320" i="2"/>
  <c r="H319" i="2"/>
  <c r="H318" i="2"/>
  <c r="H317" i="2"/>
  <c r="G316" i="2"/>
  <c r="F316" i="2"/>
  <c r="D316" i="2"/>
  <c r="H316" i="2" s="1"/>
  <c r="G315" i="2"/>
  <c r="H315" i="2" s="1"/>
  <c r="F315" i="2"/>
  <c r="D315" i="2"/>
  <c r="G314" i="2"/>
  <c r="F314" i="2"/>
  <c r="D314" i="2"/>
  <c r="H314" i="2" s="1"/>
  <c r="G313" i="2"/>
  <c r="F313" i="2"/>
  <c r="D313" i="2"/>
  <c r="H313" i="2" s="1"/>
  <c r="G312" i="2"/>
  <c r="F312" i="2"/>
  <c r="D312" i="2"/>
  <c r="H312" i="2" s="1"/>
  <c r="G311" i="2"/>
  <c r="F311" i="2"/>
  <c r="D311" i="2"/>
  <c r="H311" i="2" s="1"/>
  <c r="H310" i="2"/>
  <c r="G309" i="2"/>
  <c r="F309" i="2"/>
  <c r="D309" i="2"/>
  <c r="H309" i="2" s="1"/>
  <c r="H308" i="2"/>
  <c r="G308" i="2"/>
  <c r="F308" i="2"/>
  <c r="D308" i="2"/>
  <c r="H307" i="2"/>
  <c r="G307" i="2"/>
  <c r="F307" i="2"/>
  <c r="D307" i="2"/>
  <c r="G306" i="2"/>
  <c r="F306" i="2"/>
  <c r="D306" i="2"/>
  <c r="H306" i="2" s="1"/>
  <c r="H305" i="2"/>
  <c r="G305" i="2"/>
  <c r="F305" i="2"/>
  <c r="D305" i="2"/>
  <c r="H304" i="2"/>
  <c r="G304" i="2"/>
  <c r="F304" i="2"/>
  <c r="D304" i="2"/>
  <c r="G303" i="2"/>
  <c r="F303" i="2"/>
  <c r="D303" i="2"/>
  <c r="H303" i="2" s="1"/>
  <c r="H302" i="2"/>
  <c r="G302" i="2"/>
  <c r="F302" i="2"/>
  <c r="D302" i="2"/>
  <c r="H301" i="2"/>
  <c r="G301" i="2"/>
  <c r="F301" i="2"/>
  <c r="D301" i="2"/>
  <c r="G300" i="2"/>
  <c r="F300" i="2"/>
  <c r="D300" i="2"/>
  <c r="H300" i="2" s="1"/>
  <c r="H299" i="2"/>
  <c r="G298" i="2"/>
  <c r="F298" i="2"/>
  <c r="D298" i="2"/>
  <c r="H298" i="2" s="1"/>
  <c r="G297" i="2"/>
  <c r="F297" i="2"/>
  <c r="D297" i="2"/>
  <c r="H297" i="2" s="1"/>
  <c r="G296" i="2"/>
  <c r="F296" i="2"/>
  <c r="D296" i="2"/>
  <c r="H296" i="2" s="1"/>
  <c r="G295" i="2"/>
  <c r="F295" i="2"/>
  <c r="D295" i="2"/>
  <c r="H295" i="2" s="1"/>
  <c r="G294" i="2"/>
  <c r="F294" i="2"/>
  <c r="D294" i="2"/>
  <c r="H294" i="2" s="1"/>
  <c r="G293" i="2"/>
  <c r="F293" i="2"/>
  <c r="D293" i="2"/>
  <c r="H293" i="2" s="1"/>
  <c r="G292" i="2"/>
  <c r="F292" i="2"/>
  <c r="D292" i="2"/>
  <c r="H292" i="2" s="1"/>
  <c r="G291" i="2"/>
  <c r="F291" i="2"/>
  <c r="D291" i="2"/>
  <c r="H291" i="2" s="1"/>
  <c r="G290" i="2"/>
  <c r="F290" i="2"/>
  <c r="D290" i="2"/>
  <c r="H290" i="2" s="1"/>
  <c r="G289" i="2"/>
  <c r="F289" i="2"/>
  <c r="D289" i="2"/>
  <c r="H289" i="2" s="1"/>
  <c r="H288" i="2"/>
  <c r="H287" i="2"/>
  <c r="H286" i="2"/>
  <c r="H285" i="2"/>
  <c r="H284" i="2"/>
  <c r="H283" i="2"/>
  <c r="G282" i="2"/>
  <c r="H282" i="2" s="1"/>
  <c r="F282" i="2"/>
  <c r="D282" i="2"/>
  <c r="G281" i="2"/>
  <c r="F281" i="2"/>
  <c r="D281" i="2"/>
  <c r="H281" i="2" s="1"/>
  <c r="G280" i="2"/>
  <c r="F280" i="2"/>
  <c r="D280" i="2"/>
  <c r="H280" i="2" s="1"/>
  <c r="G279" i="2"/>
  <c r="F279" i="2"/>
  <c r="D279" i="2"/>
  <c r="G278" i="2"/>
  <c r="F278" i="2"/>
  <c r="D278" i="2"/>
  <c r="G277" i="2"/>
  <c r="F277" i="2"/>
  <c r="D277" i="2"/>
  <c r="H277" i="2" s="1"/>
  <c r="H276" i="2"/>
  <c r="H275" i="2"/>
  <c r="G274" i="2"/>
  <c r="F274" i="2"/>
  <c r="D274" i="2"/>
  <c r="H274" i="2" s="1"/>
  <c r="G273" i="2"/>
  <c r="F273" i="2"/>
  <c r="D273" i="2"/>
  <c r="H273" i="2" s="1"/>
  <c r="G272" i="2"/>
  <c r="F272" i="2"/>
  <c r="D272" i="2"/>
  <c r="H272" i="2" s="1"/>
  <c r="G271" i="2"/>
  <c r="F271" i="2"/>
  <c r="D271" i="2"/>
  <c r="H271" i="2" s="1"/>
  <c r="G270" i="2"/>
  <c r="F270" i="2"/>
  <c r="D270" i="2"/>
  <c r="H270" i="2" s="1"/>
  <c r="G269" i="2"/>
  <c r="F269" i="2"/>
  <c r="D269" i="2"/>
  <c r="H269" i="2" s="1"/>
  <c r="H268" i="2"/>
  <c r="H267" i="2"/>
  <c r="G266" i="2"/>
  <c r="F266" i="2"/>
  <c r="D266" i="2"/>
  <c r="G265" i="2"/>
  <c r="F265" i="2"/>
  <c r="D265" i="2"/>
  <c r="H265" i="2" s="1"/>
  <c r="G264" i="2"/>
  <c r="F264" i="2"/>
  <c r="D264" i="2"/>
  <c r="H264" i="2" s="1"/>
  <c r="G263" i="2"/>
  <c r="F263" i="2"/>
  <c r="D263" i="2"/>
  <c r="G262" i="2"/>
  <c r="F262" i="2"/>
  <c r="D262" i="2"/>
  <c r="G261" i="2"/>
  <c r="F261" i="2"/>
  <c r="D261" i="2"/>
  <c r="G260" i="2"/>
  <c r="F260" i="2"/>
  <c r="D260" i="2"/>
  <c r="H260" i="2" s="1"/>
  <c r="G259" i="2"/>
  <c r="F259" i="2"/>
  <c r="D259" i="2"/>
  <c r="H259" i="2" s="1"/>
  <c r="H258" i="2"/>
  <c r="G257" i="2"/>
  <c r="F257" i="2"/>
  <c r="H257" i="2" s="1"/>
  <c r="D257" i="2"/>
  <c r="H256" i="2"/>
  <c r="G256" i="2"/>
  <c r="F256" i="2"/>
  <c r="D256" i="2"/>
  <c r="G255" i="2"/>
  <c r="F255" i="2"/>
  <c r="D255" i="2"/>
  <c r="H254" i="2"/>
  <c r="G254" i="2"/>
  <c r="F254" i="2"/>
  <c r="D254" i="2"/>
  <c r="G253" i="2"/>
  <c r="F253" i="2"/>
  <c r="H253" i="2" s="1"/>
  <c r="D253" i="2"/>
  <c r="G252" i="2"/>
  <c r="F252" i="2"/>
  <c r="D252" i="2"/>
  <c r="G251" i="2"/>
  <c r="F251" i="2"/>
  <c r="H251" i="2" s="1"/>
  <c r="D251" i="2"/>
  <c r="H250" i="2"/>
  <c r="G250" i="2"/>
  <c r="F250" i="2"/>
  <c r="D250" i="2"/>
  <c r="H249" i="2"/>
  <c r="H248" i="2"/>
  <c r="G248" i="2"/>
  <c r="F248" i="2"/>
  <c r="D248" i="2"/>
  <c r="G247" i="2"/>
  <c r="F247" i="2"/>
  <c r="D247" i="2"/>
  <c r="H247" i="2" s="1"/>
  <c r="G246" i="2"/>
  <c r="F246" i="2"/>
  <c r="D246" i="2"/>
  <c r="G245" i="2"/>
  <c r="F245" i="2"/>
  <c r="D245" i="2"/>
  <c r="H245" i="2" s="1"/>
  <c r="G244" i="2"/>
  <c r="F244" i="2"/>
  <c r="D244" i="2"/>
  <c r="G243" i="2"/>
  <c r="F243" i="2"/>
  <c r="D243" i="2"/>
  <c r="G242" i="2"/>
  <c r="F242" i="2"/>
  <c r="H242" i="2" s="1"/>
  <c r="D242" i="2"/>
  <c r="G241" i="2"/>
  <c r="F241" i="2"/>
  <c r="D241" i="2"/>
  <c r="H241" i="2" s="1"/>
  <c r="G240" i="2"/>
  <c r="F240" i="2"/>
  <c r="D240" i="2"/>
  <c r="H240" i="2" s="1"/>
  <c r="G239" i="2"/>
  <c r="F239" i="2"/>
  <c r="D239" i="2"/>
  <c r="H239" i="2" s="1"/>
  <c r="H238" i="2"/>
  <c r="G237" i="2"/>
  <c r="F237" i="2"/>
  <c r="H237" i="2" s="1"/>
  <c r="D237" i="2"/>
  <c r="G236" i="2"/>
  <c r="F236" i="2"/>
  <c r="D236" i="2"/>
  <c r="H236" i="2" s="1"/>
  <c r="G235" i="2"/>
  <c r="F235" i="2"/>
  <c r="H235" i="2" s="1"/>
  <c r="D235" i="2"/>
  <c r="G234" i="2"/>
  <c r="F234" i="2"/>
  <c r="H234" i="2" s="1"/>
  <c r="D234" i="2"/>
  <c r="G233" i="2"/>
  <c r="F233" i="2"/>
  <c r="D233" i="2"/>
  <c r="H233" i="2" s="1"/>
  <c r="G232" i="2"/>
  <c r="F232" i="2"/>
  <c r="H232" i="2" s="1"/>
  <c r="D232" i="2"/>
  <c r="G231" i="2"/>
  <c r="F231" i="2"/>
  <c r="H231" i="2" s="1"/>
  <c r="D231" i="2"/>
  <c r="G230" i="2"/>
  <c r="F230" i="2"/>
  <c r="D230" i="2"/>
  <c r="H230" i="2" s="1"/>
  <c r="H229" i="2"/>
  <c r="G228" i="2"/>
  <c r="H228" i="2" s="1"/>
  <c r="F228" i="2"/>
  <c r="D228" i="2"/>
  <c r="G227" i="2"/>
  <c r="F227" i="2"/>
  <c r="D227" i="2"/>
  <c r="H227" i="2" s="1"/>
  <c r="G226" i="2"/>
  <c r="F226" i="2"/>
  <c r="D226" i="2"/>
  <c r="H226" i="2" s="1"/>
  <c r="G225" i="2"/>
  <c r="F225" i="2"/>
  <c r="D225" i="2"/>
  <c r="H225" i="2" s="1"/>
  <c r="G224" i="2"/>
  <c r="F224" i="2"/>
  <c r="D224" i="2"/>
  <c r="H224" i="2" s="1"/>
  <c r="G223" i="2"/>
  <c r="F223" i="2"/>
  <c r="D223" i="2"/>
  <c r="G222" i="2"/>
  <c r="F222" i="2"/>
  <c r="D222" i="2"/>
  <c r="H222" i="2" s="1"/>
  <c r="H221" i="2"/>
  <c r="H220" i="2"/>
  <c r="G220" i="2"/>
  <c r="F220" i="2"/>
  <c r="D220" i="2"/>
  <c r="G219" i="2"/>
  <c r="F219" i="2"/>
  <c r="D219" i="2"/>
  <c r="G218" i="2"/>
  <c r="F218" i="2"/>
  <c r="H218" i="2" s="1"/>
  <c r="D218" i="2"/>
  <c r="G217" i="2"/>
  <c r="F217" i="2"/>
  <c r="H217" i="2" s="1"/>
  <c r="D217" i="2"/>
  <c r="G216" i="2"/>
  <c r="F216" i="2"/>
  <c r="D216" i="2"/>
  <c r="H216" i="2" s="1"/>
  <c r="H215" i="2"/>
  <c r="G215" i="2"/>
  <c r="F215" i="2"/>
  <c r="D215" i="2"/>
  <c r="G214" i="2"/>
  <c r="F214" i="2"/>
  <c r="H214" i="2" s="1"/>
  <c r="D214" i="2"/>
  <c r="H213" i="2"/>
  <c r="G212" i="2"/>
  <c r="F212" i="2"/>
  <c r="H212" i="2" s="1"/>
  <c r="D212" i="2"/>
  <c r="G211" i="2"/>
  <c r="F211" i="2"/>
  <c r="D211" i="2"/>
  <c r="H211" i="2" s="1"/>
  <c r="G210" i="2"/>
  <c r="F210" i="2"/>
  <c r="D210" i="2"/>
  <c r="H210" i="2" s="1"/>
  <c r="G209" i="2"/>
  <c r="F209" i="2"/>
  <c r="D209" i="2"/>
  <c r="H209" i="2" s="1"/>
  <c r="G208" i="2"/>
  <c r="F208" i="2"/>
  <c r="D208" i="2"/>
  <c r="G207" i="2"/>
  <c r="F207" i="2"/>
  <c r="D207" i="2"/>
  <c r="H207" i="2" s="1"/>
  <c r="G206" i="2"/>
  <c r="F206" i="2"/>
  <c r="D206" i="2"/>
  <c r="H206" i="2" s="1"/>
  <c r="H205" i="2"/>
  <c r="H204" i="2"/>
  <c r="G204" i="2"/>
  <c r="F204" i="2"/>
  <c r="D204" i="2"/>
  <c r="G203" i="2"/>
  <c r="F203" i="2"/>
  <c r="H203" i="2" s="1"/>
  <c r="D203" i="2"/>
  <c r="H202" i="2"/>
  <c r="G202" i="2"/>
  <c r="F202" i="2"/>
  <c r="D202" i="2"/>
  <c r="H201" i="2"/>
  <c r="G201" i="2"/>
  <c r="F201" i="2"/>
  <c r="D201" i="2"/>
  <c r="G200" i="2"/>
  <c r="F200" i="2"/>
  <c r="H200" i="2" s="1"/>
  <c r="D200" i="2"/>
  <c r="H199" i="2"/>
  <c r="G199" i="2"/>
  <c r="F199" i="2"/>
  <c r="D199" i="2"/>
  <c r="G198" i="2"/>
  <c r="F198" i="2"/>
  <c r="H198" i="2" s="1"/>
  <c r="D198" i="2"/>
  <c r="H197" i="2"/>
  <c r="G196" i="2"/>
  <c r="F196" i="2"/>
  <c r="D196" i="2"/>
  <c r="G195" i="2"/>
  <c r="F195" i="2"/>
  <c r="D195" i="2"/>
  <c r="H195" i="2" s="1"/>
  <c r="G194" i="2"/>
  <c r="F194" i="2"/>
  <c r="D194" i="2"/>
  <c r="H194" i="2" s="1"/>
  <c r="G193" i="2"/>
  <c r="F193" i="2"/>
  <c r="D193" i="2"/>
  <c r="H193" i="2" s="1"/>
  <c r="H192" i="2"/>
  <c r="G192" i="2"/>
  <c r="F192" i="2"/>
  <c r="D192" i="2"/>
  <c r="G191" i="2"/>
  <c r="F191" i="2"/>
  <c r="D191" i="2"/>
  <c r="H191" i="2" s="1"/>
  <c r="G190" i="2"/>
  <c r="F190" i="2"/>
  <c r="D190" i="2"/>
  <c r="H189" i="2"/>
  <c r="H188" i="2"/>
  <c r="G188" i="2"/>
  <c r="F188" i="2"/>
  <c r="D188" i="2"/>
  <c r="G187" i="2"/>
  <c r="F187" i="2"/>
  <c r="D187" i="2"/>
  <c r="H187" i="2" s="1"/>
  <c r="G186" i="2"/>
  <c r="H186" i="2" s="1"/>
  <c r="F186" i="2"/>
  <c r="D186" i="2"/>
  <c r="H185" i="2"/>
  <c r="G185" i="2"/>
  <c r="F185" i="2"/>
  <c r="D185" i="2"/>
  <c r="G184" i="2"/>
  <c r="F184" i="2"/>
  <c r="D184" i="2"/>
  <c r="H184" i="2" s="1"/>
  <c r="G183" i="2"/>
  <c r="H183" i="2" s="1"/>
  <c r="F183" i="2"/>
  <c r="D183" i="2"/>
  <c r="G182" i="2"/>
  <c r="F182" i="2"/>
  <c r="H182" i="2" s="1"/>
  <c r="D182" i="2"/>
  <c r="H181" i="2"/>
  <c r="G180" i="2"/>
  <c r="F180" i="2"/>
  <c r="D180" i="2"/>
  <c r="H180" i="2" s="1"/>
  <c r="G179" i="2"/>
  <c r="H179" i="2" s="1"/>
  <c r="F179" i="2"/>
  <c r="D179" i="2"/>
  <c r="G178" i="2"/>
  <c r="F178" i="2"/>
  <c r="D178" i="2"/>
  <c r="H178" i="2" s="1"/>
  <c r="G177" i="2"/>
  <c r="F177" i="2"/>
  <c r="D177" i="2"/>
  <c r="H177" i="2" s="1"/>
  <c r="G176" i="2"/>
  <c r="F176" i="2"/>
  <c r="D176" i="2"/>
  <c r="H176" i="2" s="1"/>
  <c r="G175" i="2"/>
  <c r="F175" i="2"/>
  <c r="D175" i="2"/>
  <c r="H175" i="2" s="1"/>
  <c r="G174" i="2"/>
  <c r="F174" i="2"/>
  <c r="D174" i="2"/>
  <c r="G173" i="2"/>
  <c r="F173" i="2"/>
  <c r="D173" i="2"/>
  <c r="H173" i="2" s="1"/>
  <c r="G172" i="2"/>
  <c r="F172" i="2"/>
  <c r="D172" i="2"/>
  <c r="H171" i="2"/>
  <c r="H170" i="2"/>
  <c r="G169" i="2"/>
  <c r="F169" i="2"/>
  <c r="D169" i="2"/>
  <c r="H169" i="2" s="1"/>
  <c r="G168" i="2"/>
  <c r="F168" i="2"/>
  <c r="D168" i="2"/>
  <c r="H168" i="2" s="1"/>
  <c r="G167" i="2"/>
  <c r="F167" i="2"/>
  <c r="D167" i="2"/>
  <c r="G166" i="2"/>
  <c r="F166" i="2"/>
  <c r="D166" i="2"/>
  <c r="H166" i="2" s="1"/>
  <c r="G165" i="2"/>
  <c r="F165" i="2"/>
  <c r="D165" i="2"/>
  <c r="H165" i="2" s="1"/>
  <c r="G164" i="2"/>
  <c r="F164" i="2"/>
  <c r="D164" i="2"/>
  <c r="G163" i="2"/>
  <c r="F163" i="2"/>
  <c r="D163" i="2"/>
  <c r="H163" i="2" s="1"/>
  <c r="G162" i="2"/>
  <c r="F162" i="2"/>
  <c r="D162" i="2"/>
  <c r="H162" i="2" s="1"/>
  <c r="H161" i="2"/>
  <c r="H160" i="2"/>
  <c r="G160" i="2"/>
  <c r="F160" i="2"/>
  <c r="D160" i="2"/>
  <c r="H159" i="2"/>
  <c r="G158" i="2"/>
  <c r="F158" i="2"/>
  <c r="D158" i="2"/>
  <c r="H158" i="2" s="1"/>
  <c r="H157" i="2"/>
  <c r="H156" i="2"/>
  <c r="H155" i="2"/>
  <c r="H154" i="2"/>
  <c r="H153" i="2"/>
  <c r="H152" i="2"/>
  <c r="H151" i="2"/>
  <c r="H150" i="2"/>
  <c r="H149" i="2"/>
  <c r="H148" i="2"/>
  <c r="H147" i="2"/>
  <c r="H146" i="2"/>
  <c r="G145" i="2"/>
  <c r="F145" i="2"/>
  <c r="D145" i="2"/>
  <c r="H145" i="2" s="1"/>
  <c r="G144" i="2"/>
  <c r="F144" i="2"/>
  <c r="D144" i="2"/>
  <c r="G143" i="2"/>
  <c r="F143" i="2"/>
  <c r="D143" i="2"/>
  <c r="H143" i="2" s="1"/>
  <c r="G142" i="2"/>
  <c r="F142" i="2"/>
  <c r="D142" i="2"/>
  <c r="G141" i="2"/>
  <c r="F141" i="2"/>
  <c r="D141" i="2"/>
  <c r="H140" i="2"/>
  <c r="G140" i="2"/>
  <c r="F140" i="2"/>
  <c r="D140" i="2"/>
  <c r="G139" i="2"/>
  <c r="F139" i="2"/>
  <c r="D139" i="2"/>
  <c r="H139" i="2" s="1"/>
  <c r="G138" i="2"/>
  <c r="F138" i="2"/>
  <c r="D138" i="2"/>
  <c r="H138" i="2" s="1"/>
  <c r="H137" i="2"/>
  <c r="H136" i="2"/>
  <c r="H135" i="2"/>
  <c r="H134" i="2"/>
  <c r="G134" i="2"/>
  <c r="F134" i="2"/>
  <c r="D134" i="2"/>
  <c r="H133" i="2"/>
  <c r="G133" i="2"/>
  <c r="F133" i="2"/>
  <c r="D133" i="2"/>
  <c r="G132" i="2"/>
  <c r="F132" i="2"/>
  <c r="D132" i="2"/>
  <c r="H132" i="2" s="1"/>
  <c r="G131" i="2"/>
  <c r="F131" i="2"/>
  <c r="H131" i="2" s="1"/>
  <c r="D131" i="2"/>
  <c r="H130" i="2"/>
  <c r="G130" i="2"/>
  <c r="F130" i="2"/>
  <c r="D130" i="2"/>
  <c r="G129" i="2"/>
  <c r="F129" i="2"/>
  <c r="D129" i="2"/>
  <c r="H129" i="2" s="1"/>
  <c r="G128" i="2"/>
  <c r="F128" i="2"/>
  <c r="H128" i="2" s="1"/>
  <c r="D128" i="2"/>
  <c r="G127" i="2"/>
  <c r="F127" i="2"/>
  <c r="D127" i="2"/>
  <c r="H127" i="2" s="1"/>
  <c r="G126" i="2"/>
  <c r="F126" i="2"/>
  <c r="D126" i="2"/>
  <c r="H126" i="2" s="1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G94" i="2"/>
  <c r="F94" i="2"/>
  <c r="D94" i="2"/>
  <c r="H94" i="2" s="1"/>
  <c r="H93" i="2"/>
  <c r="G93" i="2"/>
  <c r="F93" i="2"/>
  <c r="D93" i="2"/>
  <c r="G92" i="2"/>
  <c r="F92" i="2"/>
  <c r="D92" i="2"/>
  <c r="H92" i="2" s="1"/>
  <c r="G91" i="2"/>
  <c r="F91" i="2"/>
  <c r="D91" i="2"/>
  <c r="H91" i="2" s="1"/>
  <c r="G90" i="2"/>
  <c r="H90" i="2" s="1"/>
  <c r="F90" i="2"/>
  <c r="D90" i="2"/>
  <c r="G89" i="2"/>
  <c r="F89" i="2"/>
  <c r="D89" i="2"/>
  <c r="H89" i="2" s="1"/>
  <c r="H88" i="2"/>
  <c r="G87" i="2"/>
  <c r="F87" i="2"/>
  <c r="D87" i="2"/>
  <c r="H87" i="2" s="1"/>
  <c r="G86" i="2"/>
  <c r="H86" i="2" s="1"/>
  <c r="F86" i="2"/>
  <c r="D86" i="2"/>
  <c r="G85" i="2"/>
  <c r="F85" i="2"/>
  <c r="D85" i="2"/>
  <c r="H85" i="2" s="1"/>
  <c r="G84" i="2"/>
  <c r="F84" i="2"/>
  <c r="D84" i="2"/>
  <c r="H84" i="2" s="1"/>
  <c r="G83" i="2"/>
  <c r="H83" i="2" s="1"/>
  <c r="F83" i="2"/>
  <c r="D83" i="2"/>
  <c r="G82" i="2"/>
  <c r="F82" i="2"/>
  <c r="D82" i="2"/>
  <c r="H82" i="2" s="1"/>
  <c r="G81" i="2"/>
  <c r="F81" i="2"/>
  <c r="D81" i="2"/>
  <c r="H81" i="2" s="1"/>
  <c r="H80" i="2"/>
  <c r="H79" i="2"/>
  <c r="G79" i="2"/>
  <c r="F79" i="2"/>
  <c r="D79" i="2"/>
  <c r="G78" i="2"/>
  <c r="F78" i="2"/>
  <c r="D78" i="2"/>
  <c r="H78" i="2" s="1"/>
  <c r="G77" i="2"/>
  <c r="F77" i="2"/>
  <c r="D77" i="2"/>
  <c r="H77" i="2" s="1"/>
  <c r="H76" i="2"/>
  <c r="G76" i="2"/>
  <c r="F76" i="2"/>
  <c r="D76" i="2"/>
  <c r="G75" i="2"/>
  <c r="F75" i="2"/>
  <c r="D75" i="2"/>
  <c r="H75" i="2" s="1"/>
  <c r="G74" i="2"/>
  <c r="F74" i="2"/>
  <c r="D74" i="2"/>
  <c r="H74" i="2" s="1"/>
  <c r="H73" i="2"/>
  <c r="G72" i="2"/>
  <c r="F72" i="2"/>
  <c r="H72" i="2" s="1"/>
  <c r="D72" i="2"/>
  <c r="G71" i="2"/>
  <c r="H71" i="2" s="1"/>
  <c r="F71" i="2"/>
  <c r="D71" i="2"/>
  <c r="G70" i="2"/>
  <c r="F70" i="2"/>
  <c r="D70" i="2"/>
  <c r="H70" i="2" s="1"/>
  <c r="G69" i="2"/>
  <c r="F69" i="2"/>
  <c r="H69" i="2" s="1"/>
  <c r="D69" i="2"/>
  <c r="G68" i="2"/>
  <c r="F68" i="2"/>
  <c r="D68" i="2"/>
  <c r="H68" i="2" s="1"/>
  <c r="G67" i="2"/>
  <c r="F67" i="2"/>
  <c r="D67" i="2"/>
  <c r="H67" i="2" s="1"/>
  <c r="G66" i="2"/>
  <c r="F66" i="2"/>
  <c r="H66" i="2" s="1"/>
  <c r="D66" i="2"/>
  <c r="G65" i="2"/>
  <c r="F65" i="2"/>
  <c r="D65" i="2"/>
  <c r="H65" i="2" s="1"/>
  <c r="H64" i="2"/>
  <c r="H63" i="2"/>
  <c r="H62" i="2"/>
  <c r="H61" i="2"/>
  <c r="G60" i="2"/>
  <c r="F60" i="2"/>
  <c r="D60" i="2"/>
  <c r="H60" i="2" s="1"/>
  <c r="G59" i="2"/>
  <c r="F59" i="2"/>
  <c r="D59" i="2"/>
  <c r="H59" i="2" s="1"/>
  <c r="G58" i="2"/>
  <c r="F58" i="2"/>
  <c r="D58" i="2"/>
  <c r="H58" i="2" s="1"/>
  <c r="G57" i="2"/>
  <c r="F57" i="2"/>
  <c r="D57" i="2"/>
  <c r="H57" i="2" s="1"/>
  <c r="G56" i="2"/>
  <c r="F56" i="2"/>
  <c r="D56" i="2"/>
  <c r="H56" i="2" s="1"/>
  <c r="G55" i="2"/>
  <c r="F55" i="2"/>
  <c r="D55" i="2"/>
  <c r="H55" i="2" s="1"/>
  <c r="G54" i="2"/>
  <c r="F54" i="2"/>
  <c r="D54" i="2"/>
  <c r="H54" i="2" s="1"/>
  <c r="H53" i="2"/>
  <c r="G52" i="2"/>
  <c r="F52" i="2"/>
  <c r="H52" i="2" s="1"/>
  <c r="D52" i="2"/>
  <c r="H51" i="2"/>
  <c r="G51" i="2"/>
  <c r="F51" i="2"/>
  <c r="D51" i="2"/>
  <c r="G50" i="2"/>
  <c r="F50" i="2"/>
  <c r="D50" i="2"/>
  <c r="H50" i="2" s="1"/>
  <c r="G49" i="2"/>
  <c r="F49" i="2"/>
  <c r="H49" i="2" s="1"/>
  <c r="D49" i="2"/>
  <c r="H48" i="2"/>
  <c r="G48" i="2"/>
  <c r="F48" i="2"/>
  <c r="D48" i="2"/>
  <c r="G47" i="2"/>
  <c r="F47" i="2"/>
  <c r="D47" i="2"/>
  <c r="H47" i="2" s="1"/>
  <c r="H46" i="2"/>
  <c r="G45" i="2"/>
  <c r="F45" i="2"/>
  <c r="D45" i="2"/>
  <c r="H45" i="2" s="1"/>
  <c r="G44" i="2"/>
  <c r="H44" i="2" s="1"/>
  <c r="F44" i="2"/>
  <c r="D44" i="2"/>
  <c r="H43" i="2"/>
  <c r="G43" i="2"/>
  <c r="F43" i="2"/>
  <c r="D43" i="2"/>
  <c r="G42" i="2"/>
  <c r="F42" i="2"/>
  <c r="D42" i="2"/>
  <c r="H42" i="2" s="1"/>
  <c r="G41" i="2"/>
  <c r="H41" i="2" s="1"/>
  <c r="F41" i="2"/>
  <c r="D41" i="2"/>
  <c r="G40" i="2"/>
  <c r="F40" i="2"/>
  <c r="D40" i="2"/>
  <c r="H40" i="2" s="1"/>
  <c r="G39" i="2"/>
  <c r="F39" i="2"/>
  <c r="D39" i="2"/>
  <c r="H39" i="2" s="1"/>
  <c r="G38" i="2"/>
  <c r="H38" i="2" s="1"/>
  <c r="F38" i="2"/>
  <c r="D38" i="2"/>
  <c r="H37" i="2"/>
  <c r="G36" i="2"/>
  <c r="F36" i="2"/>
  <c r="H36" i="2" s="1"/>
  <c r="D36" i="2"/>
  <c r="H35" i="2"/>
  <c r="G34" i="2"/>
  <c r="F34" i="2"/>
  <c r="D34" i="2"/>
  <c r="H34" i="2" s="1"/>
  <c r="H33" i="2"/>
  <c r="H32" i="2"/>
  <c r="H31" i="2"/>
  <c r="G30" i="2"/>
  <c r="F30" i="2"/>
  <c r="H30" i="2" s="1"/>
  <c r="D30" i="2"/>
  <c r="G29" i="2"/>
  <c r="F29" i="2"/>
  <c r="H29" i="2" s="1"/>
  <c r="D29" i="2"/>
  <c r="H28" i="2"/>
  <c r="G28" i="2"/>
  <c r="F28" i="2"/>
  <c r="D28" i="2"/>
  <c r="G27" i="2"/>
  <c r="F27" i="2"/>
  <c r="D27" i="2"/>
  <c r="H27" i="2" s="1"/>
  <c r="G26" i="2"/>
  <c r="F26" i="2"/>
  <c r="D26" i="2"/>
  <c r="H26" i="2" s="1"/>
  <c r="H25" i="2"/>
  <c r="G25" i="2"/>
  <c r="F25" i="2"/>
  <c r="D25" i="2"/>
  <c r="G24" i="2"/>
  <c r="F24" i="2"/>
  <c r="D24" i="2"/>
  <c r="H24" i="2" s="1"/>
  <c r="H23" i="2"/>
  <c r="H6464" i="2" s="1"/>
  <c r="G22" i="2"/>
  <c r="F22" i="2"/>
  <c r="D22" i="2"/>
  <c r="H22" i="2" s="1"/>
  <c r="G21" i="2"/>
  <c r="F21" i="2"/>
  <c r="D21" i="2"/>
  <c r="H21" i="2" s="1"/>
  <c r="G20" i="2"/>
  <c r="F20" i="2"/>
  <c r="D20" i="2"/>
  <c r="H20" i="2" s="1"/>
  <c r="G19" i="2"/>
  <c r="F19" i="2"/>
  <c r="D19" i="2"/>
  <c r="H19" i="2" s="1"/>
  <c r="G18" i="2"/>
  <c r="F18" i="2"/>
  <c r="D18" i="2"/>
  <c r="H18" i="2" s="1"/>
  <c r="G17" i="2"/>
  <c r="F17" i="2"/>
  <c r="D17" i="2"/>
  <c r="H17" i="2" s="1"/>
  <c r="G16" i="2"/>
  <c r="F16" i="2"/>
  <c r="D16" i="2"/>
  <c r="H16" i="2" s="1"/>
  <c r="G15" i="2"/>
  <c r="F15" i="2"/>
  <c r="D15" i="2"/>
  <c r="H15" i="2" s="1"/>
  <c r="G14" i="2"/>
  <c r="F14" i="2"/>
  <c r="D14" i="2"/>
  <c r="H14" i="2" s="1"/>
  <c r="G13" i="2"/>
  <c r="F13" i="2"/>
  <c r="D13" i="2"/>
  <c r="H13" i="2" s="1"/>
  <c r="G12" i="2"/>
  <c r="F12" i="2"/>
  <c r="D12" i="2"/>
  <c r="H12" i="2" s="1"/>
  <c r="G9017" i="1"/>
  <c r="F9017" i="1"/>
  <c r="E9017" i="1"/>
  <c r="D9017" i="1"/>
  <c r="H9015" i="1"/>
  <c r="H9014" i="1"/>
  <c r="H9013" i="1"/>
  <c r="H9012" i="1"/>
  <c r="I9011" i="1"/>
  <c r="H9010" i="1"/>
  <c r="I9009" i="1"/>
  <c r="G9008" i="1"/>
  <c r="F9008" i="1"/>
  <c r="E9008" i="1"/>
  <c r="I9008" i="1" s="1"/>
  <c r="I9007" i="1"/>
  <c r="I9006" i="1"/>
  <c r="H9005" i="1"/>
  <c r="I9004" i="1"/>
  <c r="H9003" i="1"/>
  <c r="G9002" i="1"/>
  <c r="F9002" i="1"/>
  <c r="D9002" i="1"/>
  <c r="H9002" i="1" s="1"/>
  <c r="G9001" i="1"/>
  <c r="F9001" i="1"/>
  <c r="D9001" i="1"/>
  <c r="H9001" i="1" s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G8988" i="1"/>
  <c r="F8988" i="1"/>
  <c r="D8988" i="1"/>
  <c r="H8988" i="1" s="1"/>
  <c r="G8987" i="1"/>
  <c r="F8987" i="1"/>
  <c r="D8987" i="1"/>
  <c r="H8987" i="1" s="1"/>
  <c r="G8986" i="1"/>
  <c r="F8986" i="1"/>
  <c r="D8986" i="1"/>
  <c r="H8986" i="1" s="1"/>
  <c r="G8985" i="1"/>
  <c r="F8985" i="1"/>
  <c r="D8985" i="1"/>
  <c r="H8985" i="1" s="1"/>
  <c r="G8984" i="1"/>
  <c r="F8984" i="1"/>
  <c r="D8984" i="1"/>
  <c r="H8984" i="1" s="1"/>
  <c r="G8983" i="1"/>
  <c r="F8983" i="1"/>
  <c r="D8983" i="1"/>
  <c r="H8983" i="1" s="1"/>
  <c r="G8982" i="1"/>
  <c r="F8982" i="1"/>
  <c r="D8982" i="1"/>
  <c r="H8982" i="1" s="1"/>
  <c r="G8981" i="1"/>
  <c r="F8981" i="1"/>
  <c r="D8981" i="1"/>
  <c r="H8981" i="1" s="1"/>
  <c r="H8980" i="1"/>
  <c r="H8979" i="1"/>
  <c r="G8978" i="1"/>
  <c r="H8978" i="1" s="1"/>
  <c r="F8978" i="1"/>
  <c r="D8978" i="1"/>
  <c r="G8977" i="1"/>
  <c r="H8977" i="1" s="1"/>
  <c r="F8977" i="1"/>
  <c r="D8977" i="1"/>
  <c r="H8976" i="1"/>
  <c r="G8976" i="1"/>
  <c r="F8976" i="1"/>
  <c r="D8976" i="1"/>
  <c r="G8975" i="1"/>
  <c r="H8975" i="1" s="1"/>
  <c r="F8975" i="1"/>
  <c r="D8975" i="1"/>
  <c r="G8974" i="1"/>
  <c r="F8974" i="1"/>
  <c r="D8974" i="1"/>
  <c r="H8974" i="1" s="1"/>
  <c r="H8973" i="1"/>
  <c r="G8973" i="1"/>
  <c r="F8973" i="1"/>
  <c r="D8973" i="1"/>
  <c r="G8972" i="1"/>
  <c r="H8972" i="1" s="1"/>
  <c r="F8972" i="1"/>
  <c r="D8972" i="1"/>
  <c r="G8971" i="1"/>
  <c r="F8971" i="1"/>
  <c r="D8971" i="1"/>
  <c r="H8971" i="1" s="1"/>
  <c r="H8970" i="1"/>
  <c r="G8970" i="1"/>
  <c r="F8970" i="1"/>
  <c r="D8970" i="1"/>
  <c r="G8969" i="1"/>
  <c r="H8969" i="1" s="1"/>
  <c r="F8969" i="1"/>
  <c r="D8969" i="1"/>
  <c r="G8968" i="1"/>
  <c r="F8968" i="1"/>
  <c r="D8968" i="1"/>
  <c r="H8968" i="1" s="1"/>
  <c r="H8967" i="1"/>
  <c r="G8967" i="1"/>
  <c r="F8967" i="1"/>
  <c r="D8967" i="1"/>
  <c r="G8966" i="1"/>
  <c r="H8966" i="1" s="1"/>
  <c r="F8966" i="1"/>
  <c r="D8966" i="1"/>
  <c r="G8965" i="1"/>
  <c r="F8965" i="1"/>
  <c r="D8965" i="1"/>
  <c r="H8965" i="1" s="1"/>
  <c r="H8964" i="1"/>
  <c r="G8964" i="1"/>
  <c r="F8964" i="1"/>
  <c r="D8964" i="1"/>
  <c r="H8963" i="1"/>
  <c r="H8962" i="1"/>
  <c r="G8962" i="1"/>
  <c r="F8962" i="1"/>
  <c r="D8962" i="1"/>
  <c r="G8961" i="1"/>
  <c r="F8961" i="1"/>
  <c r="D8961" i="1"/>
  <c r="H8961" i="1" s="1"/>
  <c r="G8960" i="1"/>
  <c r="F8960" i="1"/>
  <c r="D8960" i="1"/>
  <c r="H8960" i="1" s="1"/>
  <c r="H8959" i="1"/>
  <c r="G8959" i="1"/>
  <c r="F8959" i="1"/>
  <c r="D8959" i="1"/>
  <c r="G8958" i="1"/>
  <c r="F8958" i="1"/>
  <c r="D8958" i="1"/>
  <c r="H8958" i="1" s="1"/>
  <c r="G8957" i="1"/>
  <c r="F8957" i="1"/>
  <c r="D8957" i="1"/>
  <c r="H8957" i="1" s="1"/>
  <c r="H8956" i="1"/>
  <c r="G8956" i="1"/>
  <c r="F8956" i="1"/>
  <c r="D8956" i="1"/>
  <c r="G8955" i="1"/>
  <c r="F8955" i="1"/>
  <c r="D8955" i="1"/>
  <c r="H8955" i="1" s="1"/>
  <c r="G8954" i="1"/>
  <c r="F8954" i="1"/>
  <c r="D8954" i="1"/>
  <c r="H8954" i="1" s="1"/>
  <c r="H8953" i="1"/>
  <c r="G8953" i="1"/>
  <c r="F8953" i="1"/>
  <c r="D8953" i="1"/>
  <c r="G8952" i="1"/>
  <c r="F8952" i="1"/>
  <c r="D8952" i="1"/>
  <c r="H8952" i="1" s="1"/>
  <c r="H8951" i="1"/>
  <c r="G8950" i="1"/>
  <c r="F8950" i="1"/>
  <c r="D8950" i="1"/>
  <c r="H8950" i="1" s="1"/>
  <c r="G8949" i="1"/>
  <c r="F8949" i="1"/>
  <c r="D8949" i="1"/>
  <c r="H8949" i="1" s="1"/>
  <c r="G8948" i="1"/>
  <c r="F8948" i="1"/>
  <c r="D8948" i="1"/>
  <c r="H8948" i="1" s="1"/>
  <c r="G8947" i="1"/>
  <c r="F8947" i="1"/>
  <c r="D8947" i="1"/>
  <c r="H8947" i="1" s="1"/>
  <c r="G8946" i="1"/>
  <c r="F8946" i="1"/>
  <c r="D8946" i="1"/>
  <c r="H8946" i="1" s="1"/>
  <c r="G8945" i="1"/>
  <c r="F8945" i="1"/>
  <c r="D8945" i="1"/>
  <c r="H8945" i="1" s="1"/>
  <c r="G8944" i="1"/>
  <c r="F8944" i="1"/>
  <c r="D8944" i="1"/>
  <c r="H8944" i="1" s="1"/>
  <c r="G8943" i="1"/>
  <c r="F8943" i="1"/>
  <c r="D8943" i="1"/>
  <c r="H8943" i="1" s="1"/>
  <c r="G8942" i="1"/>
  <c r="F8942" i="1"/>
  <c r="D8942" i="1"/>
  <c r="H8942" i="1" s="1"/>
  <c r="G8941" i="1"/>
  <c r="F8941" i="1"/>
  <c r="D8941" i="1"/>
  <c r="H8941" i="1" s="1"/>
  <c r="H8940" i="1"/>
  <c r="H8939" i="1"/>
  <c r="H8938" i="1"/>
  <c r="G8937" i="1"/>
  <c r="F8937" i="1"/>
  <c r="D8937" i="1"/>
  <c r="H8937" i="1" s="1"/>
  <c r="G8936" i="1"/>
  <c r="F8936" i="1"/>
  <c r="D8936" i="1"/>
  <c r="H8936" i="1" s="1"/>
  <c r="H8935" i="1"/>
  <c r="G8935" i="1"/>
  <c r="F8935" i="1"/>
  <c r="D8935" i="1"/>
  <c r="G8934" i="1"/>
  <c r="F8934" i="1"/>
  <c r="D8934" i="1"/>
  <c r="H8934" i="1" s="1"/>
  <c r="G8933" i="1"/>
  <c r="F8933" i="1"/>
  <c r="D8933" i="1"/>
  <c r="H8933" i="1" s="1"/>
  <c r="H8932" i="1"/>
  <c r="G8931" i="1"/>
  <c r="F8931" i="1"/>
  <c r="D8931" i="1"/>
  <c r="H8931" i="1" s="1"/>
  <c r="G8930" i="1"/>
  <c r="F8930" i="1"/>
  <c r="D8930" i="1"/>
  <c r="H8930" i="1" s="1"/>
  <c r="G8929" i="1"/>
  <c r="F8929" i="1"/>
  <c r="D8929" i="1"/>
  <c r="H8929" i="1" s="1"/>
  <c r="G8928" i="1"/>
  <c r="F8928" i="1"/>
  <c r="D8928" i="1"/>
  <c r="H8928" i="1" s="1"/>
  <c r="G8927" i="1"/>
  <c r="F8927" i="1"/>
  <c r="D8927" i="1"/>
  <c r="H8927" i="1" s="1"/>
  <c r="G8926" i="1"/>
  <c r="F8926" i="1"/>
  <c r="D8926" i="1"/>
  <c r="H8926" i="1" s="1"/>
  <c r="G8925" i="1"/>
  <c r="F8925" i="1"/>
  <c r="D8925" i="1"/>
  <c r="H8925" i="1" s="1"/>
  <c r="G8924" i="1"/>
  <c r="F8924" i="1"/>
  <c r="D8924" i="1"/>
  <c r="H8924" i="1" s="1"/>
  <c r="G8923" i="1"/>
  <c r="F8923" i="1"/>
  <c r="D8923" i="1"/>
  <c r="H8923" i="1" s="1"/>
  <c r="G8922" i="1"/>
  <c r="F8922" i="1"/>
  <c r="D8922" i="1"/>
  <c r="H8922" i="1" s="1"/>
  <c r="H8921" i="1"/>
  <c r="H8920" i="1"/>
  <c r="H8919" i="1"/>
  <c r="G8919" i="1"/>
  <c r="F8919" i="1"/>
  <c r="D8919" i="1"/>
  <c r="G8918" i="1"/>
  <c r="H8918" i="1" s="1"/>
  <c r="F8918" i="1"/>
  <c r="D8918" i="1"/>
  <c r="G8917" i="1"/>
  <c r="H8917" i="1" s="1"/>
  <c r="F8917" i="1"/>
  <c r="D8917" i="1"/>
  <c r="H8916" i="1"/>
  <c r="G8916" i="1"/>
  <c r="F8916" i="1"/>
  <c r="D8916" i="1"/>
  <c r="G8915" i="1"/>
  <c r="H8915" i="1" s="1"/>
  <c r="F8915" i="1"/>
  <c r="D8915" i="1"/>
  <c r="G8914" i="1"/>
  <c r="H8914" i="1" s="1"/>
  <c r="F8914" i="1"/>
  <c r="D8914" i="1"/>
  <c r="H8913" i="1"/>
  <c r="G8913" i="1"/>
  <c r="F8913" i="1"/>
  <c r="D8913" i="1"/>
  <c r="G8912" i="1"/>
  <c r="H8912" i="1" s="1"/>
  <c r="F8912" i="1"/>
  <c r="D8912" i="1"/>
  <c r="G8911" i="1"/>
  <c r="H8911" i="1" s="1"/>
  <c r="F8911" i="1"/>
  <c r="D8911" i="1"/>
  <c r="H8910" i="1"/>
  <c r="G8910" i="1"/>
  <c r="F8910" i="1"/>
  <c r="D8910" i="1"/>
  <c r="G8909" i="1"/>
  <c r="H8909" i="1" s="1"/>
  <c r="F8909" i="1"/>
  <c r="D8909" i="1"/>
  <c r="G8908" i="1"/>
  <c r="H8908" i="1" s="1"/>
  <c r="F8908" i="1"/>
  <c r="D8908" i="1"/>
  <c r="H8907" i="1"/>
  <c r="G8907" i="1"/>
  <c r="F8907" i="1"/>
  <c r="D8907" i="1"/>
  <c r="G8906" i="1"/>
  <c r="H8906" i="1" s="1"/>
  <c r="F8906" i="1"/>
  <c r="D8906" i="1"/>
  <c r="G8905" i="1"/>
  <c r="H8905" i="1" s="1"/>
  <c r="F8905" i="1"/>
  <c r="D8905" i="1"/>
  <c r="H8904" i="1"/>
  <c r="G8904" i="1"/>
  <c r="F8904" i="1"/>
  <c r="D8904" i="1"/>
  <c r="G8903" i="1"/>
  <c r="H8903" i="1" s="1"/>
  <c r="F8903" i="1"/>
  <c r="D8903" i="1"/>
  <c r="H8902" i="1"/>
  <c r="G8901" i="1"/>
  <c r="F8901" i="1"/>
  <c r="D8901" i="1"/>
  <c r="H8901" i="1" s="1"/>
  <c r="G8900" i="1"/>
  <c r="F8900" i="1"/>
  <c r="D8900" i="1"/>
  <c r="H8900" i="1" s="1"/>
  <c r="H8899" i="1"/>
  <c r="G8899" i="1"/>
  <c r="F8899" i="1"/>
  <c r="D8899" i="1"/>
  <c r="G8898" i="1"/>
  <c r="F8898" i="1"/>
  <c r="D8898" i="1"/>
  <c r="H8898" i="1" s="1"/>
  <c r="G8897" i="1"/>
  <c r="F8897" i="1"/>
  <c r="D8897" i="1"/>
  <c r="H8897" i="1" s="1"/>
  <c r="H8896" i="1"/>
  <c r="G8895" i="1"/>
  <c r="F8895" i="1"/>
  <c r="D8895" i="1"/>
  <c r="H8895" i="1" s="1"/>
  <c r="G8894" i="1"/>
  <c r="F8894" i="1"/>
  <c r="D8894" i="1"/>
  <c r="H8894" i="1" s="1"/>
  <c r="G8893" i="1"/>
  <c r="F8893" i="1"/>
  <c r="D8893" i="1"/>
  <c r="H8893" i="1" s="1"/>
  <c r="G8892" i="1"/>
  <c r="F8892" i="1"/>
  <c r="D8892" i="1"/>
  <c r="H8892" i="1" s="1"/>
  <c r="G8891" i="1"/>
  <c r="F8891" i="1"/>
  <c r="D8891" i="1"/>
  <c r="H8891" i="1" s="1"/>
  <c r="G8890" i="1"/>
  <c r="F8890" i="1"/>
  <c r="D8890" i="1"/>
  <c r="H8890" i="1" s="1"/>
  <c r="G8889" i="1"/>
  <c r="F8889" i="1"/>
  <c r="D8889" i="1"/>
  <c r="H8889" i="1" s="1"/>
  <c r="G8888" i="1"/>
  <c r="F8888" i="1"/>
  <c r="D8888" i="1"/>
  <c r="H8888" i="1" s="1"/>
  <c r="G8887" i="1"/>
  <c r="F8887" i="1"/>
  <c r="D8887" i="1"/>
  <c r="H8887" i="1" s="1"/>
  <c r="G8886" i="1"/>
  <c r="F8886" i="1"/>
  <c r="D8886" i="1"/>
  <c r="H8886" i="1" s="1"/>
  <c r="G8885" i="1"/>
  <c r="F8885" i="1"/>
  <c r="D8885" i="1"/>
  <c r="H8885" i="1" s="1"/>
  <c r="G8884" i="1"/>
  <c r="F8884" i="1"/>
  <c r="D8884" i="1"/>
  <c r="H8884" i="1" s="1"/>
  <c r="G8883" i="1"/>
  <c r="F8883" i="1"/>
  <c r="D8883" i="1"/>
  <c r="H8883" i="1" s="1"/>
  <c r="G8882" i="1"/>
  <c r="F8882" i="1"/>
  <c r="D8882" i="1"/>
  <c r="H8882" i="1" s="1"/>
  <c r="G8881" i="1"/>
  <c r="F8881" i="1"/>
  <c r="D8881" i="1"/>
  <c r="H8881" i="1" s="1"/>
  <c r="G8880" i="1"/>
  <c r="F8880" i="1"/>
  <c r="D8880" i="1"/>
  <c r="H8880" i="1" s="1"/>
  <c r="G8879" i="1"/>
  <c r="F8879" i="1"/>
  <c r="D8879" i="1"/>
  <c r="H8879" i="1" s="1"/>
  <c r="H8878" i="1"/>
  <c r="G8877" i="1"/>
  <c r="F8877" i="1"/>
  <c r="H8877" i="1" s="1"/>
  <c r="D8877" i="1"/>
  <c r="G8876" i="1"/>
  <c r="F8876" i="1"/>
  <c r="H8876" i="1" s="1"/>
  <c r="D8876" i="1"/>
  <c r="G8875" i="1"/>
  <c r="F8875" i="1"/>
  <c r="D8875" i="1"/>
  <c r="H8875" i="1" s="1"/>
  <c r="G8874" i="1"/>
  <c r="F8874" i="1"/>
  <c r="H8874" i="1" s="1"/>
  <c r="D8874" i="1"/>
  <c r="G8873" i="1"/>
  <c r="F8873" i="1"/>
  <c r="H8873" i="1" s="1"/>
  <c r="D8873" i="1"/>
  <c r="G8872" i="1"/>
  <c r="F8872" i="1"/>
  <c r="D8872" i="1"/>
  <c r="H8872" i="1" s="1"/>
  <c r="G8871" i="1"/>
  <c r="F8871" i="1"/>
  <c r="H8871" i="1" s="1"/>
  <c r="D8871" i="1"/>
  <c r="G8870" i="1"/>
  <c r="F8870" i="1"/>
  <c r="H8870" i="1" s="1"/>
  <c r="D8870" i="1"/>
  <c r="G8869" i="1"/>
  <c r="F8869" i="1"/>
  <c r="D8869" i="1"/>
  <c r="H8869" i="1" s="1"/>
  <c r="G8868" i="1"/>
  <c r="F8868" i="1"/>
  <c r="H8868" i="1" s="1"/>
  <c r="D8868" i="1"/>
  <c r="G8867" i="1"/>
  <c r="F8867" i="1"/>
  <c r="H8867" i="1" s="1"/>
  <c r="D8867" i="1"/>
  <c r="G8866" i="1"/>
  <c r="F8866" i="1"/>
  <c r="D8866" i="1"/>
  <c r="H8866" i="1" s="1"/>
  <c r="G8865" i="1"/>
  <c r="F8865" i="1"/>
  <c r="H8865" i="1" s="1"/>
  <c r="D8865" i="1"/>
  <c r="G8864" i="1"/>
  <c r="F8864" i="1"/>
  <c r="H8864" i="1" s="1"/>
  <c r="D8864" i="1"/>
  <c r="G8863" i="1"/>
  <c r="F8863" i="1"/>
  <c r="D8863" i="1"/>
  <c r="H8863" i="1" s="1"/>
  <c r="G8862" i="1"/>
  <c r="F8862" i="1"/>
  <c r="H8862" i="1" s="1"/>
  <c r="D8862" i="1"/>
  <c r="G8861" i="1"/>
  <c r="F8861" i="1"/>
  <c r="H8861" i="1" s="1"/>
  <c r="D8861" i="1"/>
  <c r="G8860" i="1"/>
  <c r="F8860" i="1"/>
  <c r="D8860" i="1"/>
  <c r="H8860" i="1" s="1"/>
  <c r="H8859" i="1"/>
  <c r="G8858" i="1"/>
  <c r="H8858" i="1" s="1"/>
  <c r="F8858" i="1"/>
  <c r="D8858" i="1"/>
  <c r="G8857" i="1"/>
  <c r="H8857" i="1" s="1"/>
  <c r="F8857" i="1"/>
  <c r="D8857" i="1"/>
  <c r="H8856" i="1"/>
  <c r="G8856" i="1"/>
  <c r="F8856" i="1"/>
  <c r="D8856" i="1"/>
  <c r="G8855" i="1"/>
  <c r="H8855" i="1" s="1"/>
  <c r="F8855" i="1"/>
  <c r="D8855" i="1"/>
  <c r="G8854" i="1"/>
  <c r="H8854" i="1" s="1"/>
  <c r="F8854" i="1"/>
  <c r="D8854" i="1"/>
  <c r="H8853" i="1"/>
  <c r="G8853" i="1"/>
  <c r="F8853" i="1"/>
  <c r="D8853" i="1"/>
  <c r="G8852" i="1"/>
  <c r="H8852" i="1" s="1"/>
  <c r="F8852" i="1"/>
  <c r="D8852" i="1"/>
  <c r="G8851" i="1"/>
  <c r="H8851" i="1" s="1"/>
  <c r="F8851" i="1"/>
  <c r="D8851" i="1"/>
  <c r="H8850" i="1"/>
  <c r="G8850" i="1"/>
  <c r="F8850" i="1"/>
  <c r="D8850" i="1"/>
  <c r="G8849" i="1"/>
  <c r="H8849" i="1" s="1"/>
  <c r="F8849" i="1"/>
  <c r="D8849" i="1"/>
  <c r="H8848" i="1"/>
  <c r="G8847" i="1"/>
  <c r="F8847" i="1"/>
  <c r="D8847" i="1"/>
  <c r="H8847" i="1" s="1"/>
  <c r="G8846" i="1"/>
  <c r="F8846" i="1"/>
  <c r="D8846" i="1"/>
  <c r="H8846" i="1" s="1"/>
  <c r="H8845" i="1"/>
  <c r="G8845" i="1"/>
  <c r="F8845" i="1"/>
  <c r="D8845" i="1"/>
  <c r="G8844" i="1"/>
  <c r="F8844" i="1"/>
  <c r="D8844" i="1"/>
  <c r="H8844" i="1" s="1"/>
  <c r="G8843" i="1"/>
  <c r="F8843" i="1"/>
  <c r="D8843" i="1"/>
  <c r="H8843" i="1" s="1"/>
  <c r="H8842" i="1"/>
  <c r="G8842" i="1"/>
  <c r="F8842" i="1"/>
  <c r="D8842" i="1"/>
  <c r="G8841" i="1"/>
  <c r="F8841" i="1"/>
  <c r="D8841" i="1"/>
  <c r="H8841" i="1" s="1"/>
  <c r="G8840" i="1"/>
  <c r="F8840" i="1"/>
  <c r="D8840" i="1"/>
  <c r="H8840" i="1" s="1"/>
  <c r="H8839" i="1"/>
  <c r="G8839" i="1"/>
  <c r="F8839" i="1"/>
  <c r="D8839" i="1"/>
  <c r="G8838" i="1"/>
  <c r="F8838" i="1"/>
  <c r="D8838" i="1"/>
  <c r="H8838" i="1" s="1"/>
  <c r="H8837" i="1"/>
  <c r="G8836" i="1"/>
  <c r="F8836" i="1"/>
  <c r="D8836" i="1"/>
  <c r="H8836" i="1" s="1"/>
  <c r="G8835" i="1"/>
  <c r="F8835" i="1"/>
  <c r="D8835" i="1"/>
  <c r="H8835" i="1" s="1"/>
  <c r="G8834" i="1"/>
  <c r="F8834" i="1"/>
  <c r="D8834" i="1"/>
  <c r="H8834" i="1" s="1"/>
  <c r="G8833" i="1"/>
  <c r="F8833" i="1"/>
  <c r="D8833" i="1"/>
  <c r="H8833" i="1" s="1"/>
  <c r="G8832" i="1"/>
  <c r="F8832" i="1"/>
  <c r="D8832" i="1"/>
  <c r="H8832" i="1" s="1"/>
  <c r="G8831" i="1"/>
  <c r="F8831" i="1"/>
  <c r="D8831" i="1"/>
  <c r="H8831" i="1" s="1"/>
  <c r="G8830" i="1"/>
  <c r="F8830" i="1"/>
  <c r="D8830" i="1"/>
  <c r="H8830" i="1" s="1"/>
  <c r="G8829" i="1"/>
  <c r="F8829" i="1"/>
  <c r="D8829" i="1"/>
  <c r="H8829" i="1" s="1"/>
  <c r="G8828" i="1"/>
  <c r="F8828" i="1"/>
  <c r="D8828" i="1"/>
  <c r="H8828" i="1" s="1"/>
  <c r="G8827" i="1"/>
  <c r="F8827" i="1"/>
  <c r="D8827" i="1"/>
  <c r="H8827" i="1" s="1"/>
  <c r="H8826" i="1"/>
  <c r="G8825" i="1"/>
  <c r="F8825" i="1"/>
  <c r="H8825" i="1" s="1"/>
  <c r="D8825" i="1"/>
  <c r="G8824" i="1"/>
  <c r="F8824" i="1"/>
  <c r="D8824" i="1"/>
  <c r="H8824" i="1" s="1"/>
  <c r="G8823" i="1"/>
  <c r="F8823" i="1"/>
  <c r="H8823" i="1" s="1"/>
  <c r="D8823" i="1"/>
  <c r="G8822" i="1"/>
  <c r="F8822" i="1"/>
  <c r="H8822" i="1" s="1"/>
  <c r="D8822" i="1"/>
  <c r="G8821" i="1"/>
  <c r="F8821" i="1"/>
  <c r="D8821" i="1"/>
  <c r="H8821" i="1" s="1"/>
  <c r="G8820" i="1"/>
  <c r="F8820" i="1"/>
  <c r="H8820" i="1" s="1"/>
  <c r="D8820" i="1"/>
  <c r="G8819" i="1"/>
  <c r="F8819" i="1"/>
  <c r="H8819" i="1" s="1"/>
  <c r="D8819" i="1"/>
  <c r="G8818" i="1"/>
  <c r="F8818" i="1"/>
  <c r="D8818" i="1"/>
  <c r="H8818" i="1" s="1"/>
  <c r="G8817" i="1"/>
  <c r="F8817" i="1"/>
  <c r="H8817" i="1" s="1"/>
  <c r="D8817" i="1"/>
  <c r="G8816" i="1"/>
  <c r="F8816" i="1"/>
  <c r="H8816" i="1" s="1"/>
  <c r="D8816" i="1"/>
  <c r="H8815" i="1"/>
  <c r="H8814" i="1"/>
  <c r="G8814" i="1"/>
  <c r="F8814" i="1"/>
  <c r="D8814" i="1"/>
  <c r="G8813" i="1"/>
  <c r="H8813" i="1" s="1"/>
  <c r="F8813" i="1"/>
  <c r="D8813" i="1"/>
  <c r="G8812" i="1"/>
  <c r="H8812" i="1" s="1"/>
  <c r="F8812" i="1"/>
  <c r="D8812" i="1"/>
  <c r="H8811" i="1"/>
  <c r="G8811" i="1"/>
  <c r="F8811" i="1"/>
  <c r="D8811" i="1"/>
  <c r="G8810" i="1"/>
  <c r="H8810" i="1" s="1"/>
  <c r="F8810" i="1"/>
  <c r="D8810" i="1"/>
  <c r="G8809" i="1"/>
  <c r="H8809" i="1" s="1"/>
  <c r="F8809" i="1"/>
  <c r="D8809" i="1"/>
  <c r="H8808" i="1"/>
  <c r="G8808" i="1"/>
  <c r="F8808" i="1"/>
  <c r="D8808" i="1"/>
  <c r="G8807" i="1"/>
  <c r="H8807" i="1" s="1"/>
  <c r="F8807" i="1"/>
  <c r="D8807" i="1"/>
  <c r="G8806" i="1"/>
  <c r="H8806" i="1" s="1"/>
  <c r="F8806" i="1"/>
  <c r="D8806" i="1"/>
  <c r="H8805" i="1"/>
  <c r="G8805" i="1"/>
  <c r="F8805" i="1"/>
  <c r="D8805" i="1"/>
  <c r="G8804" i="1"/>
  <c r="H8804" i="1" s="1"/>
  <c r="F8804" i="1"/>
  <c r="D8804" i="1"/>
  <c r="G8803" i="1"/>
  <c r="F8803" i="1"/>
  <c r="D8803" i="1"/>
  <c r="H8803" i="1" s="1"/>
  <c r="H8802" i="1"/>
  <c r="G8802" i="1"/>
  <c r="F8802" i="1"/>
  <c r="D8802" i="1"/>
  <c r="G8801" i="1"/>
  <c r="H8801" i="1" s="1"/>
  <c r="F8801" i="1"/>
  <c r="D8801" i="1"/>
  <c r="G8800" i="1"/>
  <c r="F8800" i="1"/>
  <c r="D8800" i="1"/>
  <c r="H8800" i="1" s="1"/>
  <c r="H8799" i="1"/>
  <c r="G8798" i="1"/>
  <c r="F8798" i="1"/>
  <c r="D8798" i="1"/>
  <c r="H8798" i="1" s="1"/>
  <c r="H8797" i="1"/>
  <c r="G8797" i="1"/>
  <c r="F8797" i="1"/>
  <c r="D8797" i="1"/>
  <c r="G8796" i="1"/>
  <c r="F8796" i="1"/>
  <c r="D8796" i="1"/>
  <c r="H8796" i="1" s="1"/>
  <c r="G8795" i="1"/>
  <c r="F8795" i="1"/>
  <c r="D8795" i="1"/>
  <c r="H8795" i="1" s="1"/>
  <c r="G8794" i="1"/>
  <c r="F8794" i="1"/>
  <c r="H8794" i="1" s="1"/>
  <c r="D8794" i="1"/>
  <c r="G8793" i="1"/>
  <c r="F8793" i="1"/>
  <c r="D8793" i="1"/>
  <c r="H8793" i="1" s="1"/>
  <c r="G8792" i="1"/>
  <c r="F8792" i="1"/>
  <c r="D8792" i="1"/>
  <c r="H8792" i="1" s="1"/>
  <c r="G8791" i="1"/>
  <c r="F8791" i="1"/>
  <c r="H8791" i="1" s="1"/>
  <c r="D8791" i="1"/>
  <c r="G8790" i="1"/>
  <c r="F8790" i="1"/>
  <c r="D8790" i="1"/>
  <c r="H8790" i="1" s="1"/>
  <c r="G8789" i="1"/>
  <c r="F8789" i="1"/>
  <c r="D8789" i="1"/>
  <c r="H8789" i="1" s="1"/>
  <c r="H8788" i="1"/>
  <c r="G8787" i="1"/>
  <c r="F8787" i="1"/>
  <c r="D8787" i="1"/>
  <c r="H8787" i="1" s="1"/>
  <c r="G8786" i="1"/>
  <c r="F8786" i="1"/>
  <c r="D8786" i="1"/>
  <c r="H8786" i="1" s="1"/>
  <c r="G8785" i="1"/>
  <c r="F8785" i="1"/>
  <c r="D8785" i="1"/>
  <c r="H8785" i="1" s="1"/>
  <c r="G8784" i="1"/>
  <c r="F8784" i="1"/>
  <c r="D8784" i="1"/>
  <c r="H8784" i="1" s="1"/>
  <c r="G8783" i="1"/>
  <c r="F8783" i="1"/>
  <c r="D8783" i="1"/>
  <c r="H8783" i="1" s="1"/>
  <c r="G8782" i="1"/>
  <c r="F8782" i="1"/>
  <c r="D8782" i="1"/>
  <c r="H8782" i="1" s="1"/>
  <c r="G8781" i="1"/>
  <c r="F8781" i="1"/>
  <c r="D8781" i="1"/>
  <c r="H8781" i="1" s="1"/>
  <c r="G8780" i="1"/>
  <c r="F8780" i="1"/>
  <c r="D8780" i="1"/>
  <c r="H8780" i="1" s="1"/>
  <c r="G8779" i="1"/>
  <c r="F8779" i="1"/>
  <c r="D8779" i="1"/>
  <c r="H8779" i="1" s="1"/>
  <c r="G8778" i="1"/>
  <c r="F8778" i="1"/>
  <c r="D8778" i="1"/>
  <c r="H8778" i="1" s="1"/>
  <c r="H8777" i="1"/>
  <c r="G8776" i="1"/>
  <c r="F8776" i="1"/>
  <c r="D8776" i="1"/>
  <c r="H8776" i="1" s="1"/>
  <c r="G8775" i="1"/>
  <c r="F8775" i="1"/>
  <c r="H8775" i="1" s="1"/>
  <c r="D8775" i="1"/>
  <c r="H8774" i="1"/>
  <c r="G8774" i="1"/>
  <c r="F8774" i="1"/>
  <c r="D8774" i="1"/>
  <c r="G8773" i="1"/>
  <c r="F8773" i="1"/>
  <c r="D8773" i="1"/>
  <c r="H8773" i="1" s="1"/>
  <c r="G8772" i="1"/>
  <c r="F8772" i="1"/>
  <c r="H8772" i="1" s="1"/>
  <c r="D8772" i="1"/>
  <c r="H8771" i="1"/>
  <c r="G8771" i="1"/>
  <c r="F8771" i="1"/>
  <c r="D8771" i="1"/>
  <c r="G8770" i="1"/>
  <c r="F8770" i="1"/>
  <c r="D8770" i="1"/>
  <c r="H8770" i="1" s="1"/>
  <c r="G8769" i="1"/>
  <c r="F8769" i="1"/>
  <c r="H8769" i="1" s="1"/>
  <c r="D8769" i="1"/>
  <c r="H8768" i="1"/>
  <c r="G8768" i="1"/>
  <c r="F8768" i="1"/>
  <c r="D8768" i="1"/>
  <c r="G8767" i="1"/>
  <c r="F8767" i="1"/>
  <c r="D8767" i="1"/>
  <c r="H8767" i="1" s="1"/>
  <c r="H8766" i="1"/>
  <c r="G8765" i="1"/>
  <c r="F8765" i="1"/>
  <c r="D8765" i="1"/>
  <c r="H8765" i="1" s="1"/>
  <c r="G8764" i="1"/>
  <c r="H8764" i="1" s="1"/>
  <c r="F8764" i="1"/>
  <c r="D8764" i="1"/>
  <c r="H8763" i="1"/>
  <c r="G8763" i="1"/>
  <c r="F8763" i="1"/>
  <c r="D8763" i="1"/>
  <c r="G8762" i="1"/>
  <c r="F8762" i="1"/>
  <c r="D8762" i="1"/>
  <c r="H8762" i="1" s="1"/>
  <c r="G8761" i="1"/>
  <c r="H8761" i="1" s="1"/>
  <c r="F8761" i="1"/>
  <c r="D8761" i="1"/>
  <c r="H8760" i="1"/>
  <c r="G8760" i="1"/>
  <c r="F8760" i="1"/>
  <c r="D8760" i="1"/>
  <c r="G8759" i="1"/>
  <c r="F8759" i="1"/>
  <c r="D8759" i="1"/>
  <c r="H8759" i="1" s="1"/>
  <c r="G8758" i="1"/>
  <c r="H8758" i="1" s="1"/>
  <c r="F8758" i="1"/>
  <c r="D8758" i="1"/>
  <c r="H8757" i="1"/>
  <c r="G8757" i="1"/>
  <c r="F8757" i="1"/>
  <c r="D8757" i="1"/>
  <c r="G8756" i="1"/>
  <c r="F8756" i="1"/>
  <c r="D8756" i="1"/>
  <c r="H8756" i="1" s="1"/>
  <c r="H8755" i="1"/>
  <c r="G8754" i="1"/>
  <c r="F8754" i="1"/>
  <c r="D8754" i="1"/>
  <c r="H8754" i="1" s="1"/>
  <c r="G8753" i="1"/>
  <c r="F8753" i="1"/>
  <c r="D8753" i="1"/>
  <c r="H8753" i="1" s="1"/>
  <c r="G8752" i="1"/>
  <c r="F8752" i="1"/>
  <c r="H8752" i="1" s="1"/>
  <c r="D8752" i="1"/>
  <c r="G8751" i="1"/>
  <c r="F8751" i="1"/>
  <c r="D8751" i="1"/>
  <c r="H8751" i="1" s="1"/>
  <c r="G8750" i="1"/>
  <c r="F8750" i="1"/>
  <c r="D8750" i="1"/>
  <c r="H8750" i="1" s="1"/>
  <c r="G8749" i="1"/>
  <c r="F8749" i="1"/>
  <c r="H8749" i="1" s="1"/>
  <c r="D8749" i="1"/>
  <c r="G8748" i="1"/>
  <c r="F8748" i="1"/>
  <c r="D8748" i="1"/>
  <c r="H8748" i="1" s="1"/>
  <c r="G8747" i="1"/>
  <c r="F8747" i="1"/>
  <c r="D8747" i="1"/>
  <c r="H8747" i="1" s="1"/>
  <c r="G8746" i="1"/>
  <c r="F8746" i="1"/>
  <c r="H8746" i="1" s="1"/>
  <c r="D8746" i="1"/>
  <c r="G8745" i="1"/>
  <c r="F8745" i="1"/>
  <c r="D8745" i="1"/>
  <c r="H8745" i="1" s="1"/>
  <c r="H8744" i="1"/>
  <c r="G8743" i="1"/>
  <c r="F8743" i="1"/>
  <c r="D8743" i="1"/>
  <c r="H8743" i="1" s="1"/>
  <c r="G8742" i="1"/>
  <c r="F8742" i="1"/>
  <c r="D8742" i="1"/>
  <c r="H8742" i="1" s="1"/>
  <c r="G8741" i="1"/>
  <c r="F8741" i="1"/>
  <c r="D8741" i="1"/>
  <c r="H8741" i="1" s="1"/>
  <c r="G8740" i="1"/>
  <c r="F8740" i="1"/>
  <c r="D8740" i="1"/>
  <c r="H8740" i="1" s="1"/>
  <c r="G8739" i="1"/>
  <c r="F8739" i="1"/>
  <c r="D8739" i="1"/>
  <c r="H8739" i="1" s="1"/>
  <c r="G8738" i="1"/>
  <c r="F8738" i="1"/>
  <c r="D8738" i="1"/>
  <c r="H8738" i="1" s="1"/>
  <c r="G8737" i="1"/>
  <c r="F8737" i="1"/>
  <c r="D8737" i="1"/>
  <c r="H8737" i="1" s="1"/>
  <c r="G8736" i="1"/>
  <c r="F8736" i="1"/>
  <c r="D8736" i="1"/>
  <c r="H8736" i="1" s="1"/>
  <c r="G8735" i="1"/>
  <c r="F8735" i="1"/>
  <c r="D8735" i="1"/>
  <c r="H8735" i="1" s="1"/>
  <c r="G8734" i="1"/>
  <c r="F8734" i="1"/>
  <c r="D8734" i="1"/>
  <c r="H8734" i="1" s="1"/>
  <c r="H8733" i="1"/>
  <c r="H8732" i="1"/>
  <c r="G8732" i="1"/>
  <c r="F8732" i="1"/>
  <c r="D8732" i="1"/>
  <c r="G8731" i="1"/>
  <c r="F8731" i="1"/>
  <c r="D8731" i="1"/>
  <c r="H8731" i="1" s="1"/>
  <c r="G8730" i="1"/>
  <c r="F8730" i="1"/>
  <c r="H8730" i="1" s="1"/>
  <c r="D8730" i="1"/>
  <c r="H8729" i="1"/>
  <c r="G8729" i="1"/>
  <c r="F8729" i="1"/>
  <c r="D8729" i="1"/>
  <c r="G8728" i="1"/>
  <c r="F8728" i="1"/>
  <c r="D8728" i="1"/>
  <c r="H8728" i="1" s="1"/>
  <c r="G8727" i="1"/>
  <c r="F8727" i="1"/>
  <c r="H8727" i="1" s="1"/>
  <c r="D8727" i="1"/>
  <c r="H8726" i="1"/>
  <c r="G8726" i="1"/>
  <c r="F8726" i="1"/>
  <c r="D8726" i="1"/>
  <c r="G8725" i="1"/>
  <c r="F8725" i="1"/>
  <c r="D8725" i="1"/>
  <c r="H8725" i="1" s="1"/>
  <c r="G8724" i="1"/>
  <c r="F8724" i="1"/>
  <c r="H8724" i="1" s="1"/>
  <c r="D8724" i="1"/>
  <c r="H8723" i="1"/>
  <c r="G8723" i="1"/>
  <c r="F8723" i="1"/>
  <c r="D8723" i="1"/>
  <c r="H8722" i="1"/>
  <c r="H8721" i="1"/>
  <c r="G8721" i="1"/>
  <c r="F8721" i="1"/>
  <c r="D8721" i="1"/>
  <c r="G8720" i="1"/>
  <c r="F8720" i="1"/>
  <c r="D8720" i="1"/>
  <c r="H8720" i="1" s="1"/>
  <c r="G8719" i="1"/>
  <c r="H8719" i="1" s="1"/>
  <c r="F8719" i="1"/>
  <c r="D8719" i="1"/>
  <c r="H8718" i="1"/>
  <c r="G8718" i="1"/>
  <c r="F8718" i="1"/>
  <c r="D8718" i="1"/>
  <c r="G8717" i="1"/>
  <c r="F8717" i="1"/>
  <c r="D8717" i="1"/>
  <c r="H8717" i="1" s="1"/>
  <c r="G8716" i="1"/>
  <c r="H8716" i="1" s="1"/>
  <c r="F8716" i="1"/>
  <c r="D8716" i="1"/>
  <c r="H8715" i="1"/>
  <c r="G8715" i="1"/>
  <c r="F8715" i="1"/>
  <c r="D8715" i="1"/>
  <c r="G8714" i="1"/>
  <c r="F8714" i="1"/>
  <c r="D8714" i="1"/>
  <c r="H8714" i="1" s="1"/>
  <c r="G8713" i="1"/>
  <c r="H8713" i="1" s="1"/>
  <c r="F8713" i="1"/>
  <c r="D8713" i="1"/>
  <c r="H8712" i="1"/>
  <c r="G8712" i="1"/>
  <c r="F8712" i="1"/>
  <c r="D8712" i="1"/>
  <c r="H8711" i="1"/>
  <c r="G8710" i="1"/>
  <c r="F8710" i="1"/>
  <c r="H8710" i="1" s="1"/>
  <c r="D8710" i="1"/>
  <c r="G8709" i="1"/>
  <c r="F8709" i="1"/>
  <c r="D8709" i="1"/>
  <c r="H8709" i="1" s="1"/>
  <c r="G8708" i="1"/>
  <c r="F8708" i="1"/>
  <c r="D8708" i="1"/>
  <c r="H8708" i="1" s="1"/>
  <c r="G8707" i="1"/>
  <c r="F8707" i="1"/>
  <c r="H8707" i="1" s="1"/>
  <c r="D8707" i="1"/>
  <c r="G8706" i="1"/>
  <c r="F8706" i="1"/>
  <c r="D8706" i="1"/>
  <c r="H8706" i="1" s="1"/>
  <c r="G8705" i="1"/>
  <c r="F8705" i="1"/>
  <c r="D8705" i="1"/>
  <c r="H8705" i="1" s="1"/>
  <c r="G8704" i="1"/>
  <c r="F8704" i="1"/>
  <c r="H8704" i="1" s="1"/>
  <c r="D8704" i="1"/>
  <c r="G8703" i="1"/>
  <c r="F8703" i="1"/>
  <c r="D8703" i="1"/>
  <c r="H8703" i="1" s="1"/>
  <c r="G8702" i="1"/>
  <c r="F8702" i="1"/>
  <c r="D8702" i="1"/>
  <c r="H8702" i="1" s="1"/>
  <c r="G8701" i="1"/>
  <c r="F8701" i="1"/>
  <c r="H8701" i="1" s="1"/>
  <c r="D8701" i="1"/>
  <c r="H8700" i="1"/>
  <c r="G8699" i="1"/>
  <c r="F8699" i="1"/>
  <c r="D8699" i="1"/>
  <c r="H8699" i="1" s="1"/>
  <c r="G8698" i="1"/>
  <c r="F8698" i="1"/>
  <c r="D8698" i="1"/>
  <c r="H8698" i="1" s="1"/>
  <c r="G8697" i="1"/>
  <c r="F8697" i="1"/>
  <c r="D8697" i="1"/>
  <c r="H8697" i="1" s="1"/>
  <c r="G8696" i="1"/>
  <c r="F8696" i="1"/>
  <c r="D8696" i="1"/>
  <c r="H8696" i="1" s="1"/>
  <c r="G8695" i="1"/>
  <c r="F8695" i="1"/>
  <c r="D8695" i="1"/>
  <c r="H8695" i="1" s="1"/>
  <c r="G8694" i="1"/>
  <c r="F8694" i="1"/>
  <c r="D8694" i="1"/>
  <c r="H8694" i="1" s="1"/>
  <c r="G8693" i="1"/>
  <c r="F8693" i="1"/>
  <c r="D8693" i="1"/>
  <c r="H8693" i="1" s="1"/>
  <c r="G8692" i="1"/>
  <c r="F8692" i="1"/>
  <c r="D8692" i="1"/>
  <c r="H8692" i="1" s="1"/>
  <c r="G8691" i="1"/>
  <c r="F8691" i="1"/>
  <c r="D8691" i="1"/>
  <c r="H8691" i="1" s="1"/>
  <c r="G8690" i="1"/>
  <c r="F8690" i="1"/>
  <c r="D8690" i="1"/>
  <c r="H8690" i="1" s="1"/>
  <c r="H8689" i="1"/>
  <c r="G8688" i="1"/>
  <c r="F8688" i="1"/>
  <c r="H8688" i="1" s="1"/>
  <c r="D8688" i="1"/>
  <c r="H8687" i="1"/>
  <c r="G8687" i="1"/>
  <c r="F8687" i="1"/>
  <c r="D8687" i="1"/>
  <c r="G8686" i="1"/>
  <c r="F8686" i="1"/>
  <c r="D8686" i="1"/>
  <c r="H8686" i="1" s="1"/>
  <c r="G8685" i="1"/>
  <c r="F8685" i="1"/>
  <c r="H8685" i="1" s="1"/>
  <c r="D8685" i="1"/>
  <c r="H8684" i="1"/>
  <c r="G8684" i="1"/>
  <c r="F8684" i="1"/>
  <c r="D8684" i="1"/>
  <c r="G8683" i="1"/>
  <c r="F8683" i="1"/>
  <c r="D8683" i="1"/>
  <c r="H8683" i="1" s="1"/>
  <c r="G8682" i="1"/>
  <c r="F8682" i="1"/>
  <c r="H8682" i="1" s="1"/>
  <c r="D8682" i="1"/>
  <c r="H8681" i="1"/>
  <c r="G8681" i="1"/>
  <c r="F8681" i="1"/>
  <c r="D8681" i="1"/>
  <c r="G8680" i="1"/>
  <c r="F8680" i="1"/>
  <c r="D8680" i="1"/>
  <c r="H8680" i="1" s="1"/>
  <c r="G8679" i="1"/>
  <c r="F8679" i="1"/>
  <c r="H8679" i="1" s="1"/>
  <c r="D8679" i="1"/>
  <c r="H8678" i="1"/>
  <c r="H8677" i="1"/>
  <c r="G8677" i="1"/>
  <c r="F8677" i="1"/>
  <c r="D8677" i="1"/>
  <c r="H8676" i="1"/>
  <c r="G8676" i="1"/>
  <c r="F8676" i="1"/>
  <c r="D8676" i="1"/>
  <c r="G8675" i="1"/>
  <c r="F8675" i="1"/>
  <c r="D8675" i="1"/>
  <c r="H8675" i="1" s="1"/>
  <c r="H8674" i="1"/>
  <c r="G8674" i="1"/>
  <c r="F8674" i="1"/>
  <c r="D8674" i="1"/>
  <c r="H8673" i="1"/>
  <c r="G8673" i="1"/>
  <c r="F8673" i="1"/>
  <c r="D8673" i="1"/>
  <c r="G8672" i="1"/>
  <c r="F8672" i="1"/>
  <c r="D8672" i="1"/>
  <c r="H8672" i="1" s="1"/>
  <c r="H8671" i="1"/>
  <c r="G8671" i="1"/>
  <c r="F8671" i="1"/>
  <c r="D8671" i="1"/>
  <c r="H8670" i="1"/>
  <c r="G8670" i="1"/>
  <c r="F8670" i="1"/>
  <c r="D8670" i="1"/>
  <c r="G8669" i="1"/>
  <c r="F8669" i="1"/>
  <c r="D8669" i="1"/>
  <c r="H8669" i="1" s="1"/>
  <c r="H8668" i="1"/>
  <c r="G8668" i="1"/>
  <c r="F8668" i="1"/>
  <c r="D8668" i="1"/>
  <c r="H8667" i="1"/>
  <c r="G8666" i="1"/>
  <c r="F8666" i="1"/>
  <c r="D8666" i="1"/>
  <c r="H8666" i="1" s="1"/>
  <c r="G8665" i="1"/>
  <c r="F8665" i="1"/>
  <c r="H8665" i="1" s="1"/>
  <c r="D8665" i="1"/>
  <c r="G8664" i="1"/>
  <c r="F8664" i="1"/>
  <c r="D8664" i="1"/>
  <c r="H8664" i="1" s="1"/>
  <c r="G8663" i="1"/>
  <c r="F8663" i="1"/>
  <c r="D8663" i="1"/>
  <c r="H8663" i="1" s="1"/>
  <c r="G8662" i="1"/>
  <c r="F8662" i="1"/>
  <c r="H8662" i="1" s="1"/>
  <c r="D8662" i="1"/>
  <c r="G8661" i="1"/>
  <c r="F8661" i="1"/>
  <c r="D8661" i="1"/>
  <c r="H8661" i="1" s="1"/>
  <c r="G8660" i="1"/>
  <c r="F8660" i="1"/>
  <c r="D8660" i="1"/>
  <c r="H8660" i="1" s="1"/>
  <c r="G8659" i="1"/>
  <c r="F8659" i="1"/>
  <c r="H8659" i="1" s="1"/>
  <c r="D8659" i="1"/>
  <c r="G8658" i="1"/>
  <c r="F8658" i="1"/>
  <c r="D8658" i="1"/>
  <c r="H8658" i="1" s="1"/>
  <c r="G8657" i="1"/>
  <c r="F8657" i="1"/>
  <c r="D8657" i="1"/>
  <c r="H8657" i="1" s="1"/>
  <c r="H8656" i="1"/>
  <c r="G8655" i="1"/>
  <c r="F8655" i="1"/>
  <c r="D8655" i="1"/>
  <c r="H8655" i="1" s="1"/>
  <c r="G8654" i="1"/>
  <c r="F8654" i="1"/>
  <c r="D8654" i="1"/>
  <c r="H8654" i="1" s="1"/>
  <c r="G8653" i="1"/>
  <c r="F8653" i="1"/>
  <c r="D8653" i="1"/>
  <c r="H8653" i="1" s="1"/>
  <c r="G8652" i="1"/>
  <c r="F8652" i="1"/>
  <c r="D8652" i="1"/>
  <c r="H8652" i="1" s="1"/>
  <c r="G8651" i="1"/>
  <c r="F8651" i="1"/>
  <c r="D8651" i="1"/>
  <c r="H8651" i="1" s="1"/>
  <c r="G8650" i="1"/>
  <c r="F8650" i="1"/>
  <c r="D8650" i="1"/>
  <c r="H8650" i="1" s="1"/>
  <c r="G8649" i="1"/>
  <c r="F8649" i="1"/>
  <c r="D8649" i="1"/>
  <c r="H8649" i="1" s="1"/>
  <c r="G8648" i="1"/>
  <c r="F8648" i="1"/>
  <c r="D8648" i="1"/>
  <c r="H8648" i="1" s="1"/>
  <c r="G8647" i="1"/>
  <c r="F8647" i="1"/>
  <c r="D8647" i="1"/>
  <c r="H8647" i="1" s="1"/>
  <c r="G8646" i="1"/>
  <c r="F8646" i="1"/>
  <c r="D8646" i="1"/>
  <c r="H8646" i="1" s="1"/>
  <c r="H8645" i="1"/>
  <c r="G8644" i="1"/>
  <c r="F8644" i="1"/>
  <c r="D8644" i="1"/>
  <c r="H8644" i="1" s="1"/>
  <c r="G8643" i="1"/>
  <c r="F8643" i="1"/>
  <c r="H8643" i="1" s="1"/>
  <c r="D8643" i="1"/>
  <c r="H8642" i="1"/>
  <c r="G8642" i="1"/>
  <c r="F8642" i="1"/>
  <c r="D8642" i="1"/>
  <c r="G8641" i="1"/>
  <c r="F8641" i="1"/>
  <c r="D8641" i="1"/>
  <c r="H8641" i="1" s="1"/>
  <c r="G8640" i="1"/>
  <c r="F8640" i="1"/>
  <c r="H8640" i="1" s="1"/>
  <c r="D8640" i="1"/>
  <c r="H8639" i="1"/>
  <c r="G8639" i="1"/>
  <c r="F8639" i="1"/>
  <c r="D8639" i="1"/>
  <c r="G8638" i="1"/>
  <c r="F8638" i="1"/>
  <c r="D8638" i="1"/>
  <c r="H8638" i="1" s="1"/>
  <c r="G8637" i="1"/>
  <c r="F8637" i="1"/>
  <c r="H8637" i="1" s="1"/>
  <c r="D8637" i="1"/>
  <c r="H8636" i="1"/>
  <c r="G8636" i="1"/>
  <c r="F8636" i="1"/>
  <c r="D8636" i="1"/>
  <c r="G8635" i="1"/>
  <c r="F8635" i="1"/>
  <c r="D8635" i="1"/>
  <c r="H8635" i="1" s="1"/>
  <c r="H8634" i="1"/>
  <c r="G8633" i="1"/>
  <c r="F8633" i="1"/>
  <c r="D8633" i="1"/>
  <c r="H8633" i="1" s="1"/>
  <c r="H8632" i="1"/>
  <c r="G8632" i="1"/>
  <c r="F8632" i="1"/>
  <c r="D8632" i="1"/>
  <c r="H8631" i="1"/>
  <c r="G8631" i="1"/>
  <c r="F8631" i="1"/>
  <c r="D8631" i="1"/>
  <c r="G8630" i="1"/>
  <c r="F8630" i="1"/>
  <c r="D8630" i="1"/>
  <c r="H8630" i="1" s="1"/>
  <c r="H8629" i="1"/>
  <c r="G8629" i="1"/>
  <c r="F8629" i="1"/>
  <c r="D8629" i="1"/>
  <c r="H8628" i="1"/>
  <c r="G8628" i="1"/>
  <c r="F8628" i="1"/>
  <c r="D8628" i="1"/>
  <c r="G8627" i="1"/>
  <c r="F8627" i="1"/>
  <c r="D8627" i="1"/>
  <c r="H8627" i="1" s="1"/>
  <c r="H8626" i="1"/>
  <c r="G8626" i="1"/>
  <c r="F8626" i="1"/>
  <c r="D8626" i="1"/>
  <c r="H8625" i="1"/>
  <c r="G8625" i="1"/>
  <c r="F8625" i="1"/>
  <c r="D8625" i="1"/>
  <c r="G8624" i="1"/>
  <c r="F8624" i="1"/>
  <c r="D8624" i="1"/>
  <c r="H8624" i="1" s="1"/>
  <c r="H8623" i="1"/>
  <c r="G8622" i="1"/>
  <c r="F8622" i="1"/>
  <c r="D8622" i="1"/>
  <c r="H8622" i="1" s="1"/>
  <c r="G8621" i="1"/>
  <c r="F8621" i="1"/>
  <c r="D8621" i="1"/>
  <c r="H8621" i="1" s="1"/>
  <c r="G8620" i="1"/>
  <c r="F8620" i="1"/>
  <c r="H8620" i="1" s="1"/>
  <c r="D8620" i="1"/>
  <c r="G8619" i="1"/>
  <c r="F8619" i="1"/>
  <c r="D8619" i="1"/>
  <c r="H8619" i="1" s="1"/>
  <c r="G8618" i="1"/>
  <c r="F8618" i="1"/>
  <c r="D8618" i="1"/>
  <c r="H8618" i="1" s="1"/>
  <c r="G8617" i="1"/>
  <c r="F8617" i="1"/>
  <c r="H8617" i="1" s="1"/>
  <c r="D8617" i="1"/>
  <c r="G8616" i="1"/>
  <c r="F8616" i="1"/>
  <c r="D8616" i="1"/>
  <c r="H8616" i="1" s="1"/>
  <c r="G8615" i="1"/>
  <c r="F8615" i="1"/>
  <c r="D8615" i="1"/>
  <c r="H8615" i="1" s="1"/>
  <c r="G8614" i="1"/>
  <c r="F8614" i="1"/>
  <c r="H8614" i="1" s="1"/>
  <c r="D8614" i="1"/>
  <c r="G8613" i="1"/>
  <c r="F8613" i="1"/>
  <c r="D8613" i="1"/>
  <c r="H8613" i="1" s="1"/>
  <c r="H8612" i="1"/>
  <c r="G8611" i="1"/>
  <c r="F8611" i="1"/>
  <c r="D8611" i="1"/>
  <c r="H8611" i="1" s="1"/>
  <c r="G8610" i="1"/>
  <c r="F8610" i="1"/>
  <c r="D8610" i="1"/>
  <c r="H8610" i="1" s="1"/>
  <c r="G8609" i="1"/>
  <c r="F8609" i="1"/>
  <c r="D8609" i="1"/>
  <c r="H8609" i="1" s="1"/>
  <c r="G8608" i="1"/>
  <c r="F8608" i="1"/>
  <c r="D8608" i="1"/>
  <c r="H8608" i="1" s="1"/>
  <c r="G8607" i="1"/>
  <c r="F8607" i="1"/>
  <c r="D8607" i="1"/>
  <c r="H8607" i="1" s="1"/>
  <c r="G8606" i="1"/>
  <c r="F8606" i="1"/>
  <c r="D8606" i="1"/>
  <c r="H8606" i="1" s="1"/>
  <c r="G8605" i="1"/>
  <c r="F8605" i="1"/>
  <c r="D8605" i="1"/>
  <c r="H8605" i="1" s="1"/>
  <c r="G8604" i="1"/>
  <c r="F8604" i="1"/>
  <c r="D8604" i="1"/>
  <c r="H8604" i="1" s="1"/>
  <c r="G8603" i="1"/>
  <c r="F8603" i="1"/>
  <c r="D8603" i="1"/>
  <c r="H8603" i="1" s="1"/>
  <c r="G8602" i="1"/>
  <c r="F8602" i="1"/>
  <c r="D8602" i="1"/>
  <c r="H8602" i="1" s="1"/>
  <c r="H8601" i="1"/>
  <c r="H8600" i="1"/>
  <c r="G8600" i="1"/>
  <c r="F8600" i="1"/>
  <c r="D8600" i="1"/>
  <c r="G8599" i="1"/>
  <c r="F8599" i="1"/>
  <c r="D8599" i="1"/>
  <c r="H8599" i="1" s="1"/>
  <c r="G8598" i="1"/>
  <c r="F8598" i="1"/>
  <c r="H8598" i="1" s="1"/>
  <c r="D8598" i="1"/>
  <c r="H8597" i="1"/>
  <c r="G8597" i="1"/>
  <c r="F8597" i="1"/>
  <c r="D8597" i="1"/>
  <c r="G8596" i="1"/>
  <c r="F8596" i="1"/>
  <c r="D8596" i="1"/>
  <c r="H8596" i="1" s="1"/>
  <c r="G8595" i="1"/>
  <c r="F8595" i="1"/>
  <c r="H8595" i="1" s="1"/>
  <c r="D8595" i="1"/>
  <c r="H8594" i="1"/>
  <c r="G8594" i="1"/>
  <c r="F8594" i="1"/>
  <c r="D8594" i="1"/>
  <c r="G8593" i="1"/>
  <c r="F8593" i="1"/>
  <c r="D8593" i="1"/>
  <c r="H8593" i="1" s="1"/>
  <c r="G8592" i="1"/>
  <c r="F8592" i="1"/>
  <c r="H8592" i="1" s="1"/>
  <c r="D8592" i="1"/>
  <c r="H8591" i="1"/>
  <c r="G8591" i="1"/>
  <c r="F8591" i="1"/>
  <c r="D8591" i="1"/>
  <c r="H8590" i="1"/>
  <c r="H8589" i="1"/>
  <c r="G8589" i="1"/>
  <c r="F8589" i="1"/>
  <c r="D8589" i="1"/>
  <c r="G8588" i="1"/>
  <c r="F8588" i="1"/>
  <c r="D8588" i="1"/>
  <c r="H8588" i="1" s="1"/>
  <c r="H8587" i="1"/>
  <c r="G8587" i="1"/>
  <c r="F8587" i="1"/>
  <c r="D8587" i="1"/>
  <c r="H8586" i="1"/>
  <c r="G8586" i="1"/>
  <c r="F8586" i="1"/>
  <c r="D8586" i="1"/>
  <c r="G8585" i="1"/>
  <c r="F8585" i="1"/>
  <c r="D8585" i="1"/>
  <c r="H8585" i="1" s="1"/>
  <c r="H8584" i="1"/>
  <c r="G8584" i="1"/>
  <c r="F8584" i="1"/>
  <c r="D8584" i="1"/>
  <c r="H8583" i="1"/>
  <c r="G8583" i="1"/>
  <c r="F8583" i="1"/>
  <c r="D8583" i="1"/>
  <c r="G8582" i="1"/>
  <c r="F8582" i="1"/>
  <c r="D8582" i="1"/>
  <c r="H8582" i="1" s="1"/>
  <c r="H8581" i="1"/>
  <c r="G8581" i="1"/>
  <c r="F8581" i="1"/>
  <c r="D8581" i="1"/>
  <c r="H8580" i="1"/>
  <c r="G8580" i="1"/>
  <c r="F8580" i="1"/>
  <c r="D8580" i="1"/>
  <c r="H8579" i="1"/>
  <c r="G8578" i="1"/>
  <c r="F8578" i="1"/>
  <c r="H8578" i="1" s="1"/>
  <c r="D8578" i="1"/>
  <c r="G8577" i="1"/>
  <c r="F8577" i="1"/>
  <c r="D8577" i="1"/>
  <c r="H8577" i="1" s="1"/>
  <c r="G8576" i="1"/>
  <c r="F8576" i="1"/>
  <c r="D8576" i="1"/>
  <c r="H8576" i="1" s="1"/>
  <c r="G8575" i="1"/>
  <c r="F8575" i="1"/>
  <c r="H8575" i="1" s="1"/>
  <c r="D8575" i="1"/>
  <c r="G8574" i="1"/>
  <c r="F8574" i="1"/>
  <c r="D8574" i="1"/>
  <c r="H8574" i="1" s="1"/>
  <c r="G8573" i="1"/>
  <c r="F8573" i="1"/>
  <c r="D8573" i="1"/>
  <c r="H8573" i="1" s="1"/>
  <c r="G8572" i="1"/>
  <c r="F8572" i="1"/>
  <c r="H8572" i="1" s="1"/>
  <c r="D8572" i="1"/>
  <c r="G8571" i="1"/>
  <c r="F8571" i="1"/>
  <c r="D8571" i="1"/>
  <c r="H8571" i="1" s="1"/>
  <c r="G8570" i="1"/>
  <c r="F8570" i="1"/>
  <c r="D8570" i="1"/>
  <c r="H8570" i="1" s="1"/>
  <c r="G8569" i="1"/>
  <c r="F8569" i="1"/>
  <c r="H8569" i="1" s="1"/>
  <c r="D8569" i="1"/>
  <c r="H8568" i="1"/>
  <c r="G8567" i="1"/>
  <c r="F8567" i="1"/>
  <c r="D8567" i="1"/>
  <c r="H8567" i="1" s="1"/>
  <c r="G8566" i="1"/>
  <c r="F8566" i="1"/>
  <c r="D8566" i="1"/>
  <c r="H8566" i="1" s="1"/>
  <c r="G8565" i="1"/>
  <c r="F8565" i="1"/>
  <c r="D8565" i="1"/>
  <c r="H8565" i="1" s="1"/>
  <c r="G8564" i="1"/>
  <c r="F8564" i="1"/>
  <c r="D8564" i="1"/>
  <c r="H8564" i="1" s="1"/>
  <c r="G8563" i="1"/>
  <c r="F8563" i="1"/>
  <c r="D8563" i="1"/>
  <c r="H8563" i="1" s="1"/>
  <c r="G8562" i="1"/>
  <c r="F8562" i="1"/>
  <c r="D8562" i="1"/>
  <c r="H8562" i="1" s="1"/>
  <c r="G8561" i="1"/>
  <c r="F8561" i="1"/>
  <c r="D8561" i="1"/>
  <c r="H8561" i="1" s="1"/>
  <c r="G8560" i="1"/>
  <c r="F8560" i="1"/>
  <c r="D8560" i="1"/>
  <c r="H8560" i="1" s="1"/>
  <c r="G8559" i="1"/>
  <c r="F8559" i="1"/>
  <c r="D8559" i="1"/>
  <c r="H8559" i="1" s="1"/>
  <c r="G8558" i="1"/>
  <c r="F8558" i="1"/>
  <c r="D8558" i="1"/>
  <c r="H8558" i="1" s="1"/>
  <c r="H8557" i="1"/>
  <c r="G8556" i="1"/>
  <c r="F8556" i="1"/>
  <c r="H8556" i="1" s="1"/>
  <c r="D8556" i="1"/>
  <c r="H8555" i="1"/>
  <c r="G8555" i="1"/>
  <c r="F8555" i="1"/>
  <c r="D8555" i="1"/>
  <c r="G8554" i="1"/>
  <c r="F8554" i="1"/>
  <c r="D8554" i="1"/>
  <c r="H8554" i="1" s="1"/>
  <c r="G8553" i="1"/>
  <c r="F8553" i="1"/>
  <c r="H8553" i="1" s="1"/>
  <c r="D8553" i="1"/>
  <c r="H8552" i="1"/>
  <c r="G8552" i="1"/>
  <c r="F8552" i="1"/>
  <c r="D8552" i="1"/>
  <c r="G8551" i="1"/>
  <c r="F8551" i="1"/>
  <c r="D8551" i="1"/>
  <c r="H8551" i="1" s="1"/>
  <c r="G8550" i="1"/>
  <c r="F8550" i="1"/>
  <c r="H8550" i="1" s="1"/>
  <c r="D8550" i="1"/>
  <c r="H8549" i="1"/>
  <c r="G8549" i="1"/>
  <c r="F8549" i="1"/>
  <c r="D8549" i="1"/>
  <c r="G8548" i="1"/>
  <c r="F8548" i="1"/>
  <c r="D8548" i="1"/>
  <c r="H8548" i="1" s="1"/>
  <c r="G8547" i="1"/>
  <c r="F8547" i="1"/>
  <c r="H8547" i="1" s="1"/>
  <c r="D8547" i="1"/>
  <c r="H8546" i="1"/>
  <c r="H8545" i="1"/>
  <c r="G8545" i="1"/>
  <c r="F8545" i="1"/>
  <c r="D8545" i="1"/>
  <c r="H8544" i="1"/>
  <c r="G8544" i="1"/>
  <c r="F8544" i="1"/>
  <c r="D8544" i="1"/>
  <c r="G8543" i="1"/>
  <c r="F8543" i="1"/>
  <c r="D8543" i="1"/>
  <c r="H8543" i="1" s="1"/>
  <c r="H8542" i="1"/>
  <c r="G8542" i="1"/>
  <c r="F8542" i="1"/>
  <c r="D8542" i="1"/>
  <c r="H8541" i="1"/>
  <c r="G8541" i="1"/>
  <c r="F8541" i="1"/>
  <c r="D8541" i="1"/>
  <c r="G8540" i="1"/>
  <c r="F8540" i="1"/>
  <c r="D8540" i="1"/>
  <c r="H8540" i="1" s="1"/>
  <c r="H8539" i="1"/>
  <c r="G8539" i="1"/>
  <c r="F8539" i="1"/>
  <c r="D8539" i="1"/>
  <c r="H8538" i="1"/>
  <c r="G8538" i="1"/>
  <c r="F8538" i="1"/>
  <c r="D8538" i="1"/>
  <c r="G8537" i="1"/>
  <c r="F8537" i="1"/>
  <c r="D8537" i="1"/>
  <c r="H8537" i="1" s="1"/>
  <c r="H8536" i="1"/>
  <c r="G8536" i="1"/>
  <c r="F8536" i="1"/>
  <c r="D8536" i="1"/>
  <c r="H8535" i="1"/>
  <c r="G8534" i="1"/>
  <c r="F8534" i="1"/>
  <c r="D8534" i="1"/>
  <c r="H8534" i="1" s="1"/>
  <c r="G8533" i="1"/>
  <c r="F8533" i="1"/>
  <c r="H8533" i="1" s="1"/>
  <c r="D8533" i="1"/>
  <c r="G8532" i="1"/>
  <c r="F8532" i="1"/>
  <c r="D8532" i="1"/>
  <c r="H8532" i="1" s="1"/>
  <c r="G8531" i="1"/>
  <c r="F8531" i="1"/>
  <c r="D8531" i="1"/>
  <c r="H8531" i="1" s="1"/>
  <c r="G8530" i="1"/>
  <c r="F8530" i="1"/>
  <c r="H8530" i="1" s="1"/>
  <c r="D8530" i="1"/>
  <c r="G8529" i="1"/>
  <c r="F8529" i="1"/>
  <c r="D8529" i="1"/>
  <c r="H8529" i="1" s="1"/>
  <c r="G8528" i="1"/>
  <c r="F8528" i="1"/>
  <c r="D8528" i="1"/>
  <c r="H8528" i="1" s="1"/>
  <c r="G8527" i="1"/>
  <c r="F8527" i="1"/>
  <c r="H8527" i="1" s="1"/>
  <c r="D8527" i="1"/>
  <c r="G8526" i="1"/>
  <c r="F8526" i="1"/>
  <c r="D8526" i="1"/>
  <c r="H8526" i="1" s="1"/>
  <c r="G8525" i="1"/>
  <c r="F8525" i="1"/>
  <c r="D8525" i="1"/>
  <c r="H8525" i="1" s="1"/>
  <c r="H8524" i="1"/>
  <c r="G8523" i="1"/>
  <c r="F8523" i="1"/>
  <c r="D8523" i="1"/>
  <c r="G8522" i="1"/>
  <c r="F8522" i="1"/>
  <c r="D8522" i="1"/>
  <c r="H8522" i="1" s="1"/>
  <c r="G8521" i="1"/>
  <c r="F8521" i="1"/>
  <c r="D8521" i="1"/>
  <c r="H8521" i="1" s="1"/>
  <c r="G8520" i="1"/>
  <c r="F8520" i="1"/>
  <c r="D8520" i="1"/>
  <c r="G8519" i="1"/>
  <c r="F8519" i="1"/>
  <c r="D8519" i="1"/>
  <c r="H8519" i="1" s="1"/>
  <c r="G8518" i="1"/>
  <c r="F8518" i="1"/>
  <c r="D8518" i="1"/>
  <c r="H8518" i="1" s="1"/>
  <c r="G8517" i="1"/>
  <c r="F8517" i="1"/>
  <c r="D8517" i="1"/>
  <c r="G8516" i="1"/>
  <c r="F8516" i="1"/>
  <c r="D8516" i="1"/>
  <c r="H8516" i="1" s="1"/>
  <c r="G8515" i="1"/>
  <c r="F8515" i="1"/>
  <c r="D8515" i="1"/>
  <c r="H8515" i="1" s="1"/>
  <c r="G8514" i="1"/>
  <c r="F8514" i="1"/>
  <c r="D8514" i="1"/>
  <c r="H8513" i="1"/>
  <c r="G8512" i="1"/>
  <c r="F8512" i="1"/>
  <c r="D8512" i="1"/>
  <c r="H8512" i="1" s="1"/>
  <c r="G8511" i="1"/>
  <c r="F8511" i="1"/>
  <c r="H8511" i="1" s="1"/>
  <c r="D8511" i="1"/>
  <c r="H8510" i="1"/>
  <c r="G8510" i="1"/>
  <c r="F8510" i="1"/>
  <c r="D8510" i="1"/>
  <c r="G8509" i="1"/>
  <c r="F8509" i="1"/>
  <c r="D8509" i="1"/>
  <c r="H8509" i="1" s="1"/>
  <c r="G8508" i="1"/>
  <c r="F8508" i="1"/>
  <c r="H8508" i="1" s="1"/>
  <c r="D8508" i="1"/>
  <c r="H8507" i="1"/>
  <c r="G8507" i="1"/>
  <c r="F8507" i="1"/>
  <c r="D8507" i="1"/>
  <c r="G8506" i="1"/>
  <c r="F8506" i="1"/>
  <c r="D8506" i="1"/>
  <c r="H8506" i="1" s="1"/>
  <c r="G8505" i="1"/>
  <c r="F8505" i="1"/>
  <c r="H8505" i="1" s="1"/>
  <c r="D8505" i="1"/>
  <c r="H8504" i="1"/>
  <c r="G8504" i="1"/>
  <c r="F8504" i="1"/>
  <c r="D8504" i="1"/>
  <c r="G8503" i="1"/>
  <c r="F8503" i="1"/>
  <c r="D8503" i="1"/>
  <c r="H8503" i="1" s="1"/>
  <c r="H8502" i="1"/>
  <c r="G8501" i="1"/>
  <c r="F8501" i="1"/>
  <c r="D8501" i="1"/>
  <c r="H8501" i="1" s="1"/>
  <c r="H8500" i="1"/>
  <c r="G8500" i="1"/>
  <c r="F8500" i="1"/>
  <c r="D8500" i="1"/>
  <c r="H8499" i="1"/>
  <c r="G8499" i="1"/>
  <c r="F8499" i="1"/>
  <c r="D8499" i="1"/>
  <c r="G8498" i="1"/>
  <c r="F8498" i="1"/>
  <c r="D8498" i="1"/>
  <c r="H8498" i="1" s="1"/>
  <c r="H8497" i="1"/>
  <c r="G8497" i="1"/>
  <c r="F8497" i="1"/>
  <c r="D8497" i="1"/>
  <c r="H8496" i="1"/>
  <c r="G8496" i="1"/>
  <c r="F8496" i="1"/>
  <c r="D8496" i="1"/>
  <c r="G8495" i="1"/>
  <c r="F8495" i="1"/>
  <c r="D8495" i="1"/>
  <c r="H8495" i="1" s="1"/>
  <c r="H8494" i="1"/>
  <c r="G8494" i="1"/>
  <c r="F8494" i="1"/>
  <c r="D8494" i="1"/>
  <c r="H8493" i="1"/>
  <c r="G8493" i="1"/>
  <c r="F8493" i="1"/>
  <c r="D8493" i="1"/>
  <c r="G8492" i="1"/>
  <c r="F8492" i="1"/>
  <c r="D8492" i="1"/>
  <c r="H8492" i="1" s="1"/>
  <c r="H8491" i="1"/>
  <c r="G8490" i="1"/>
  <c r="F8490" i="1"/>
  <c r="D8490" i="1"/>
  <c r="H8490" i="1" s="1"/>
  <c r="G8489" i="1"/>
  <c r="F8489" i="1"/>
  <c r="D8489" i="1"/>
  <c r="H8489" i="1" s="1"/>
  <c r="G8488" i="1"/>
  <c r="F8488" i="1"/>
  <c r="H8488" i="1" s="1"/>
  <c r="D8488" i="1"/>
  <c r="G8487" i="1"/>
  <c r="F8487" i="1"/>
  <c r="D8487" i="1"/>
  <c r="H8487" i="1" s="1"/>
  <c r="G8486" i="1"/>
  <c r="F8486" i="1"/>
  <c r="D8486" i="1"/>
  <c r="H8486" i="1" s="1"/>
  <c r="G8485" i="1"/>
  <c r="F8485" i="1"/>
  <c r="H8485" i="1" s="1"/>
  <c r="D8485" i="1"/>
  <c r="G8484" i="1"/>
  <c r="F8484" i="1"/>
  <c r="D8484" i="1"/>
  <c r="H8484" i="1" s="1"/>
  <c r="G8483" i="1"/>
  <c r="F8483" i="1"/>
  <c r="D8483" i="1"/>
  <c r="H8483" i="1" s="1"/>
  <c r="G8482" i="1"/>
  <c r="F8482" i="1"/>
  <c r="H8482" i="1" s="1"/>
  <c r="D8482" i="1"/>
  <c r="G8481" i="1"/>
  <c r="F8481" i="1"/>
  <c r="D8481" i="1"/>
  <c r="H8481" i="1" s="1"/>
  <c r="H8480" i="1"/>
  <c r="G8479" i="1"/>
  <c r="F8479" i="1"/>
  <c r="D8479" i="1"/>
  <c r="H8479" i="1" s="1"/>
  <c r="G8478" i="1"/>
  <c r="F8478" i="1"/>
  <c r="D8478" i="1"/>
  <c r="H8478" i="1" s="1"/>
  <c r="G8477" i="1"/>
  <c r="F8477" i="1"/>
  <c r="D8477" i="1"/>
  <c r="H8477" i="1" s="1"/>
  <c r="G8476" i="1"/>
  <c r="F8476" i="1"/>
  <c r="D8476" i="1"/>
  <c r="H8476" i="1" s="1"/>
  <c r="G8475" i="1"/>
  <c r="F8475" i="1"/>
  <c r="D8475" i="1"/>
  <c r="G8474" i="1"/>
  <c r="F8474" i="1"/>
  <c r="D8474" i="1"/>
  <c r="H8474" i="1" s="1"/>
  <c r="G8473" i="1"/>
  <c r="F8473" i="1"/>
  <c r="D8473" i="1"/>
  <c r="H8473" i="1" s="1"/>
  <c r="G8472" i="1"/>
  <c r="F8472" i="1"/>
  <c r="D8472" i="1"/>
  <c r="G8471" i="1"/>
  <c r="F8471" i="1"/>
  <c r="D8471" i="1"/>
  <c r="H8471" i="1" s="1"/>
  <c r="G8470" i="1"/>
  <c r="F8470" i="1"/>
  <c r="D8470" i="1"/>
  <c r="H8470" i="1" s="1"/>
  <c r="H8469" i="1"/>
  <c r="H8468" i="1"/>
  <c r="G8468" i="1"/>
  <c r="F8468" i="1"/>
  <c r="D8468" i="1"/>
  <c r="G8467" i="1"/>
  <c r="F8467" i="1"/>
  <c r="D8467" i="1"/>
  <c r="H8467" i="1" s="1"/>
  <c r="G8466" i="1"/>
  <c r="F8466" i="1"/>
  <c r="H8466" i="1" s="1"/>
  <c r="D8466" i="1"/>
  <c r="H8465" i="1"/>
  <c r="G8465" i="1"/>
  <c r="F8465" i="1"/>
  <c r="D8465" i="1"/>
  <c r="G8464" i="1"/>
  <c r="F8464" i="1"/>
  <c r="D8464" i="1"/>
  <c r="H8464" i="1" s="1"/>
  <c r="G8463" i="1"/>
  <c r="F8463" i="1"/>
  <c r="H8463" i="1" s="1"/>
  <c r="D8463" i="1"/>
  <c r="H8462" i="1"/>
  <c r="G8462" i="1"/>
  <c r="F8462" i="1"/>
  <c r="D8462" i="1"/>
  <c r="G8461" i="1"/>
  <c r="F8461" i="1"/>
  <c r="D8461" i="1"/>
  <c r="H8461" i="1" s="1"/>
  <c r="G8460" i="1"/>
  <c r="F8460" i="1"/>
  <c r="H8460" i="1" s="1"/>
  <c r="D8460" i="1"/>
  <c r="H8459" i="1"/>
  <c r="G8459" i="1"/>
  <c r="F8459" i="1"/>
  <c r="D8459" i="1"/>
  <c r="H8458" i="1"/>
  <c r="H8457" i="1"/>
  <c r="G8457" i="1"/>
  <c r="F8457" i="1"/>
  <c r="D8457" i="1"/>
  <c r="G8456" i="1"/>
  <c r="F8456" i="1"/>
  <c r="D8456" i="1"/>
  <c r="H8456" i="1" s="1"/>
  <c r="H8455" i="1"/>
  <c r="G8455" i="1"/>
  <c r="F8455" i="1"/>
  <c r="D8455" i="1"/>
  <c r="H8454" i="1"/>
  <c r="G8454" i="1"/>
  <c r="F8454" i="1"/>
  <c r="D8454" i="1"/>
  <c r="G8453" i="1"/>
  <c r="F8453" i="1"/>
  <c r="D8453" i="1"/>
  <c r="H8453" i="1" s="1"/>
  <c r="H8452" i="1"/>
  <c r="G8452" i="1"/>
  <c r="F8452" i="1"/>
  <c r="D8452" i="1"/>
  <c r="H8451" i="1"/>
  <c r="G8451" i="1"/>
  <c r="F8451" i="1"/>
  <c r="D8451" i="1"/>
  <c r="G8450" i="1"/>
  <c r="F8450" i="1"/>
  <c r="D8450" i="1"/>
  <c r="H8450" i="1" s="1"/>
  <c r="H8449" i="1"/>
  <c r="G8449" i="1"/>
  <c r="F8449" i="1"/>
  <c r="D8449" i="1"/>
  <c r="H8448" i="1"/>
  <c r="G8448" i="1"/>
  <c r="F8448" i="1"/>
  <c r="D8448" i="1"/>
  <c r="H8447" i="1"/>
  <c r="G8446" i="1"/>
  <c r="F8446" i="1"/>
  <c r="H8446" i="1" s="1"/>
  <c r="D8446" i="1"/>
  <c r="G8445" i="1"/>
  <c r="F8445" i="1"/>
  <c r="D8445" i="1"/>
  <c r="H8445" i="1" s="1"/>
  <c r="G8444" i="1"/>
  <c r="F8444" i="1"/>
  <c r="D8444" i="1"/>
  <c r="H8444" i="1" s="1"/>
  <c r="G8443" i="1"/>
  <c r="F8443" i="1"/>
  <c r="H8443" i="1" s="1"/>
  <c r="D8443" i="1"/>
  <c r="G8442" i="1"/>
  <c r="F8442" i="1"/>
  <c r="D8442" i="1"/>
  <c r="H8442" i="1" s="1"/>
  <c r="G8441" i="1"/>
  <c r="F8441" i="1"/>
  <c r="D8441" i="1"/>
  <c r="H8441" i="1" s="1"/>
  <c r="G8440" i="1"/>
  <c r="F8440" i="1"/>
  <c r="H8440" i="1" s="1"/>
  <c r="D8440" i="1"/>
  <c r="G8439" i="1"/>
  <c r="F8439" i="1"/>
  <c r="D8439" i="1"/>
  <c r="H8439" i="1" s="1"/>
  <c r="G8438" i="1"/>
  <c r="F8438" i="1"/>
  <c r="D8438" i="1"/>
  <c r="H8438" i="1" s="1"/>
  <c r="G8437" i="1"/>
  <c r="F8437" i="1"/>
  <c r="H8437" i="1" s="1"/>
  <c r="D8437" i="1"/>
  <c r="H8436" i="1"/>
  <c r="G8435" i="1"/>
  <c r="F8435" i="1"/>
  <c r="D8435" i="1"/>
  <c r="H8435" i="1" s="1"/>
  <c r="G8434" i="1"/>
  <c r="F8434" i="1"/>
  <c r="D8434" i="1"/>
  <c r="H8434" i="1" s="1"/>
  <c r="G8433" i="1"/>
  <c r="F8433" i="1"/>
  <c r="D8433" i="1"/>
  <c r="G8432" i="1"/>
  <c r="F8432" i="1"/>
  <c r="D8432" i="1"/>
  <c r="H8432" i="1" s="1"/>
  <c r="G8431" i="1"/>
  <c r="F8431" i="1"/>
  <c r="D8431" i="1"/>
  <c r="H8431" i="1" s="1"/>
  <c r="G8430" i="1"/>
  <c r="F8430" i="1"/>
  <c r="D8430" i="1"/>
  <c r="G8429" i="1"/>
  <c r="F8429" i="1"/>
  <c r="D8429" i="1"/>
  <c r="H8429" i="1" s="1"/>
  <c r="G8428" i="1"/>
  <c r="F8428" i="1"/>
  <c r="D8428" i="1"/>
  <c r="H8428" i="1" s="1"/>
  <c r="G8427" i="1"/>
  <c r="F8427" i="1"/>
  <c r="D8427" i="1"/>
  <c r="G8426" i="1"/>
  <c r="F8426" i="1"/>
  <c r="D8426" i="1"/>
  <c r="H8426" i="1" s="1"/>
  <c r="H8425" i="1"/>
  <c r="G8424" i="1"/>
  <c r="F8424" i="1"/>
  <c r="H8424" i="1" s="1"/>
  <c r="D8424" i="1"/>
  <c r="H8423" i="1"/>
  <c r="G8423" i="1"/>
  <c r="F8423" i="1"/>
  <c r="D8423" i="1"/>
  <c r="G8422" i="1"/>
  <c r="F8422" i="1"/>
  <c r="D8422" i="1"/>
  <c r="H8422" i="1" s="1"/>
  <c r="G8421" i="1"/>
  <c r="F8421" i="1"/>
  <c r="H8421" i="1" s="1"/>
  <c r="D8421" i="1"/>
  <c r="H8420" i="1"/>
  <c r="G8420" i="1"/>
  <c r="F8420" i="1"/>
  <c r="D8420" i="1"/>
  <c r="G8419" i="1"/>
  <c r="F8419" i="1"/>
  <c r="D8419" i="1"/>
  <c r="H8419" i="1" s="1"/>
  <c r="G8418" i="1"/>
  <c r="F8418" i="1"/>
  <c r="H8418" i="1" s="1"/>
  <c r="D8418" i="1"/>
  <c r="H8417" i="1"/>
  <c r="G8417" i="1"/>
  <c r="F8417" i="1"/>
  <c r="D8417" i="1"/>
  <c r="G8416" i="1"/>
  <c r="F8416" i="1"/>
  <c r="D8416" i="1"/>
  <c r="H8416" i="1" s="1"/>
  <c r="G8415" i="1"/>
  <c r="F8415" i="1"/>
  <c r="H8415" i="1" s="1"/>
  <c r="D8415" i="1"/>
  <c r="H8414" i="1"/>
  <c r="H8413" i="1"/>
  <c r="G8413" i="1"/>
  <c r="F8413" i="1"/>
  <c r="D8413" i="1"/>
  <c r="H8412" i="1"/>
  <c r="G8412" i="1"/>
  <c r="F8412" i="1"/>
  <c r="D8412" i="1"/>
  <c r="G8411" i="1"/>
  <c r="F8411" i="1"/>
  <c r="D8411" i="1"/>
  <c r="H8411" i="1" s="1"/>
  <c r="H8410" i="1"/>
  <c r="G8410" i="1"/>
  <c r="F8410" i="1"/>
  <c r="D8410" i="1"/>
  <c r="H8409" i="1"/>
  <c r="G8409" i="1"/>
  <c r="F8409" i="1"/>
  <c r="D8409" i="1"/>
  <c r="G8408" i="1"/>
  <c r="F8408" i="1"/>
  <c r="D8408" i="1"/>
  <c r="H8408" i="1" s="1"/>
  <c r="H8407" i="1"/>
  <c r="G8407" i="1"/>
  <c r="F8407" i="1"/>
  <c r="D8407" i="1"/>
  <c r="H8406" i="1"/>
  <c r="G8406" i="1"/>
  <c r="F8406" i="1"/>
  <c r="D8406" i="1"/>
  <c r="G8405" i="1"/>
  <c r="F8405" i="1"/>
  <c r="D8405" i="1"/>
  <c r="H8405" i="1" s="1"/>
  <c r="H8404" i="1"/>
  <c r="G8404" i="1"/>
  <c r="F8404" i="1"/>
  <c r="D8404" i="1"/>
  <c r="H8403" i="1"/>
  <c r="G8402" i="1"/>
  <c r="F8402" i="1"/>
  <c r="D8402" i="1"/>
  <c r="H8402" i="1" s="1"/>
  <c r="G8401" i="1"/>
  <c r="F8401" i="1"/>
  <c r="H8401" i="1" s="1"/>
  <c r="D8401" i="1"/>
  <c r="G8400" i="1"/>
  <c r="F8400" i="1"/>
  <c r="D8400" i="1"/>
  <c r="H8400" i="1" s="1"/>
  <c r="G8399" i="1"/>
  <c r="F8399" i="1"/>
  <c r="D8399" i="1"/>
  <c r="H8399" i="1" s="1"/>
  <c r="G8398" i="1"/>
  <c r="F8398" i="1"/>
  <c r="H8398" i="1" s="1"/>
  <c r="D8398" i="1"/>
  <c r="G8397" i="1"/>
  <c r="F8397" i="1"/>
  <c r="D8397" i="1"/>
  <c r="H8397" i="1" s="1"/>
  <c r="G8396" i="1"/>
  <c r="F8396" i="1"/>
  <c r="D8396" i="1"/>
  <c r="H8396" i="1" s="1"/>
  <c r="G8395" i="1"/>
  <c r="F8395" i="1"/>
  <c r="H8395" i="1" s="1"/>
  <c r="D8395" i="1"/>
  <c r="G8394" i="1"/>
  <c r="F8394" i="1"/>
  <c r="D8394" i="1"/>
  <c r="H8394" i="1" s="1"/>
  <c r="G8393" i="1"/>
  <c r="F8393" i="1"/>
  <c r="D8393" i="1"/>
  <c r="H8393" i="1" s="1"/>
  <c r="H8392" i="1"/>
  <c r="G8391" i="1"/>
  <c r="F8391" i="1"/>
  <c r="D8391" i="1"/>
  <c r="G8390" i="1"/>
  <c r="F8390" i="1"/>
  <c r="D8390" i="1"/>
  <c r="H8390" i="1" s="1"/>
  <c r="G8389" i="1"/>
  <c r="F8389" i="1"/>
  <c r="D8389" i="1"/>
  <c r="H8389" i="1" s="1"/>
  <c r="G8388" i="1"/>
  <c r="F8388" i="1"/>
  <c r="D8388" i="1"/>
  <c r="H8388" i="1" s="1"/>
  <c r="G8387" i="1"/>
  <c r="F8387" i="1"/>
  <c r="D8387" i="1"/>
  <c r="H8387" i="1" s="1"/>
  <c r="G8386" i="1"/>
  <c r="F8386" i="1"/>
  <c r="D8386" i="1"/>
  <c r="H8386" i="1" s="1"/>
  <c r="G8385" i="1"/>
  <c r="F8385" i="1"/>
  <c r="D8385" i="1"/>
  <c r="G8384" i="1"/>
  <c r="F8384" i="1"/>
  <c r="D8384" i="1"/>
  <c r="H8384" i="1" s="1"/>
  <c r="G8383" i="1"/>
  <c r="F8383" i="1"/>
  <c r="D8383" i="1"/>
  <c r="H8383" i="1" s="1"/>
  <c r="G8382" i="1"/>
  <c r="F8382" i="1"/>
  <c r="D8382" i="1"/>
  <c r="H8381" i="1"/>
  <c r="G8380" i="1"/>
  <c r="F8380" i="1"/>
  <c r="D8380" i="1"/>
  <c r="H8380" i="1" s="1"/>
  <c r="G8379" i="1"/>
  <c r="F8379" i="1"/>
  <c r="H8379" i="1" s="1"/>
  <c r="D8379" i="1"/>
  <c r="H8378" i="1"/>
  <c r="G8378" i="1"/>
  <c r="F8378" i="1"/>
  <c r="D8378" i="1"/>
  <c r="G8377" i="1"/>
  <c r="F8377" i="1"/>
  <c r="D8377" i="1"/>
  <c r="H8377" i="1" s="1"/>
  <c r="G8376" i="1"/>
  <c r="F8376" i="1"/>
  <c r="H8376" i="1" s="1"/>
  <c r="D8376" i="1"/>
  <c r="H8375" i="1"/>
  <c r="G8375" i="1"/>
  <c r="F8375" i="1"/>
  <c r="D8375" i="1"/>
  <c r="G8374" i="1"/>
  <c r="F8374" i="1"/>
  <c r="D8374" i="1"/>
  <c r="H8374" i="1" s="1"/>
  <c r="G8373" i="1"/>
  <c r="F8373" i="1"/>
  <c r="H8373" i="1" s="1"/>
  <c r="D8373" i="1"/>
  <c r="H8372" i="1"/>
  <c r="G8372" i="1"/>
  <c r="F8372" i="1"/>
  <c r="D8372" i="1"/>
  <c r="G8371" i="1"/>
  <c r="F8371" i="1"/>
  <c r="D8371" i="1"/>
  <c r="H8371" i="1" s="1"/>
  <c r="H8370" i="1"/>
  <c r="G8369" i="1"/>
  <c r="F8369" i="1"/>
  <c r="D8369" i="1"/>
  <c r="H8369" i="1" s="1"/>
  <c r="H8368" i="1"/>
  <c r="G8368" i="1"/>
  <c r="F8368" i="1"/>
  <c r="D8368" i="1"/>
  <c r="H8367" i="1"/>
  <c r="G8367" i="1"/>
  <c r="F8367" i="1"/>
  <c r="D8367" i="1"/>
  <c r="G8366" i="1"/>
  <c r="F8366" i="1"/>
  <c r="D8366" i="1"/>
  <c r="H8366" i="1" s="1"/>
  <c r="H8365" i="1"/>
  <c r="G8365" i="1"/>
  <c r="F8365" i="1"/>
  <c r="D8365" i="1"/>
  <c r="H8364" i="1"/>
  <c r="G8364" i="1"/>
  <c r="F8364" i="1"/>
  <c r="D8364" i="1"/>
  <c r="G8363" i="1"/>
  <c r="F8363" i="1"/>
  <c r="D8363" i="1"/>
  <c r="H8363" i="1" s="1"/>
  <c r="H8362" i="1"/>
  <c r="G8362" i="1"/>
  <c r="F8362" i="1"/>
  <c r="D8362" i="1"/>
  <c r="G8361" i="1"/>
  <c r="F8361" i="1"/>
  <c r="H8361" i="1" s="1"/>
  <c r="D8361" i="1"/>
  <c r="G8360" i="1"/>
  <c r="F8360" i="1"/>
  <c r="D8360" i="1"/>
  <c r="H8360" i="1" s="1"/>
  <c r="H8359" i="1"/>
  <c r="G8358" i="1"/>
  <c r="F8358" i="1"/>
  <c r="D8358" i="1"/>
  <c r="H8358" i="1" s="1"/>
  <c r="G8357" i="1"/>
  <c r="F8357" i="1"/>
  <c r="D8357" i="1"/>
  <c r="H8357" i="1" s="1"/>
  <c r="G8356" i="1"/>
  <c r="F8356" i="1"/>
  <c r="H8356" i="1" s="1"/>
  <c r="D8356" i="1"/>
  <c r="G8355" i="1"/>
  <c r="F8355" i="1"/>
  <c r="D8355" i="1"/>
  <c r="H8355" i="1" s="1"/>
  <c r="G8354" i="1"/>
  <c r="F8354" i="1"/>
  <c r="D8354" i="1"/>
  <c r="H8354" i="1" s="1"/>
  <c r="G8353" i="1"/>
  <c r="F8353" i="1"/>
  <c r="H8353" i="1" s="1"/>
  <c r="D8353" i="1"/>
  <c r="G8352" i="1"/>
  <c r="F8352" i="1"/>
  <c r="D8352" i="1"/>
  <c r="H8352" i="1" s="1"/>
  <c r="G8351" i="1"/>
  <c r="F8351" i="1"/>
  <c r="D8351" i="1"/>
  <c r="H8351" i="1" s="1"/>
  <c r="G8350" i="1"/>
  <c r="F8350" i="1"/>
  <c r="H8350" i="1" s="1"/>
  <c r="D8350" i="1"/>
  <c r="G8349" i="1"/>
  <c r="F8349" i="1"/>
  <c r="D8349" i="1"/>
  <c r="H8349" i="1" s="1"/>
  <c r="H8348" i="1"/>
  <c r="G8347" i="1"/>
  <c r="F8347" i="1"/>
  <c r="D8347" i="1"/>
  <c r="H8347" i="1" s="1"/>
  <c r="G8346" i="1"/>
  <c r="F8346" i="1"/>
  <c r="D8346" i="1"/>
  <c r="G8345" i="1"/>
  <c r="F8345" i="1"/>
  <c r="D8345" i="1"/>
  <c r="H8345" i="1" s="1"/>
  <c r="G8344" i="1"/>
  <c r="F8344" i="1"/>
  <c r="D8344" i="1"/>
  <c r="H8344" i="1" s="1"/>
  <c r="G8343" i="1"/>
  <c r="F8343" i="1"/>
  <c r="D8343" i="1"/>
  <c r="G8342" i="1"/>
  <c r="F8342" i="1"/>
  <c r="D8342" i="1"/>
  <c r="H8342" i="1" s="1"/>
  <c r="G8341" i="1"/>
  <c r="F8341" i="1"/>
  <c r="D8341" i="1"/>
  <c r="H8341" i="1" s="1"/>
  <c r="G8340" i="1"/>
  <c r="F8340" i="1"/>
  <c r="D8340" i="1"/>
  <c r="G8339" i="1"/>
  <c r="F8339" i="1"/>
  <c r="D8339" i="1"/>
  <c r="H8339" i="1" s="1"/>
  <c r="G8338" i="1"/>
  <c r="F8338" i="1"/>
  <c r="D8338" i="1"/>
  <c r="H8338" i="1" s="1"/>
  <c r="H8337" i="1"/>
  <c r="H8336" i="1"/>
  <c r="G8336" i="1"/>
  <c r="F8336" i="1"/>
  <c r="D8336" i="1"/>
  <c r="G8335" i="1"/>
  <c r="F8335" i="1"/>
  <c r="D8335" i="1"/>
  <c r="H8335" i="1" s="1"/>
  <c r="G8334" i="1"/>
  <c r="F8334" i="1"/>
  <c r="H8334" i="1" s="1"/>
  <c r="D8334" i="1"/>
  <c r="H8333" i="1"/>
  <c r="G8333" i="1"/>
  <c r="F8333" i="1"/>
  <c r="D8333" i="1"/>
  <c r="G8332" i="1"/>
  <c r="F8332" i="1"/>
  <c r="D8332" i="1"/>
  <c r="H8332" i="1" s="1"/>
  <c r="G8331" i="1"/>
  <c r="F8331" i="1"/>
  <c r="H8331" i="1" s="1"/>
  <c r="D8331" i="1"/>
  <c r="H8330" i="1"/>
  <c r="G8330" i="1"/>
  <c r="F8330" i="1"/>
  <c r="D8330" i="1"/>
  <c r="G8329" i="1"/>
  <c r="F8329" i="1"/>
  <c r="D8329" i="1"/>
  <c r="H8329" i="1" s="1"/>
  <c r="G8328" i="1"/>
  <c r="F8328" i="1"/>
  <c r="H8328" i="1" s="1"/>
  <c r="D8328" i="1"/>
  <c r="H8327" i="1"/>
  <c r="G8327" i="1"/>
  <c r="F8327" i="1"/>
  <c r="D8327" i="1"/>
  <c r="H8326" i="1"/>
  <c r="H8325" i="1"/>
  <c r="G8325" i="1"/>
  <c r="F8325" i="1"/>
  <c r="D8325" i="1"/>
  <c r="G8324" i="1"/>
  <c r="F8324" i="1"/>
  <c r="D8324" i="1"/>
  <c r="H8324" i="1" s="1"/>
  <c r="H8323" i="1"/>
  <c r="G8323" i="1"/>
  <c r="F8323" i="1"/>
  <c r="D8323" i="1"/>
  <c r="H8322" i="1"/>
  <c r="G8322" i="1"/>
  <c r="F8322" i="1"/>
  <c r="D8322" i="1"/>
  <c r="G8321" i="1"/>
  <c r="F8321" i="1"/>
  <c r="D8321" i="1"/>
  <c r="H8321" i="1" s="1"/>
  <c r="H8320" i="1"/>
  <c r="G8320" i="1"/>
  <c r="F8320" i="1"/>
  <c r="D8320" i="1"/>
  <c r="H8319" i="1"/>
  <c r="G8319" i="1"/>
  <c r="F8319" i="1"/>
  <c r="D8319" i="1"/>
  <c r="G8318" i="1"/>
  <c r="F8318" i="1"/>
  <c r="D8318" i="1"/>
  <c r="H8318" i="1" s="1"/>
  <c r="H8317" i="1"/>
  <c r="G8317" i="1"/>
  <c r="F8317" i="1"/>
  <c r="D8317" i="1"/>
  <c r="G8316" i="1"/>
  <c r="F8316" i="1"/>
  <c r="D8316" i="1"/>
  <c r="H8316" i="1" s="1"/>
  <c r="H8315" i="1"/>
  <c r="G8314" i="1"/>
  <c r="F8314" i="1"/>
  <c r="H8314" i="1" s="1"/>
  <c r="D8314" i="1"/>
  <c r="G8313" i="1"/>
  <c r="F8313" i="1"/>
  <c r="D8313" i="1"/>
  <c r="H8313" i="1" s="1"/>
  <c r="G8312" i="1"/>
  <c r="F8312" i="1"/>
  <c r="D8312" i="1"/>
  <c r="H8312" i="1" s="1"/>
  <c r="G8311" i="1"/>
  <c r="F8311" i="1"/>
  <c r="H8311" i="1" s="1"/>
  <c r="D8311" i="1"/>
  <c r="G8310" i="1"/>
  <c r="F8310" i="1"/>
  <c r="D8310" i="1"/>
  <c r="H8310" i="1" s="1"/>
  <c r="G8309" i="1"/>
  <c r="F8309" i="1"/>
  <c r="D8309" i="1"/>
  <c r="H8309" i="1" s="1"/>
  <c r="G8308" i="1"/>
  <c r="F8308" i="1"/>
  <c r="H8308" i="1" s="1"/>
  <c r="D8308" i="1"/>
  <c r="G8307" i="1"/>
  <c r="F8307" i="1"/>
  <c r="D8307" i="1"/>
  <c r="H8307" i="1" s="1"/>
  <c r="G8306" i="1"/>
  <c r="F8306" i="1"/>
  <c r="D8306" i="1"/>
  <c r="H8306" i="1" s="1"/>
  <c r="G8305" i="1"/>
  <c r="F8305" i="1"/>
  <c r="H8305" i="1" s="1"/>
  <c r="D8305" i="1"/>
  <c r="H8304" i="1"/>
  <c r="G8303" i="1"/>
  <c r="F8303" i="1"/>
  <c r="D8303" i="1"/>
  <c r="H8303" i="1" s="1"/>
  <c r="G8302" i="1"/>
  <c r="F8302" i="1"/>
  <c r="D8302" i="1"/>
  <c r="H8302" i="1" s="1"/>
  <c r="G8301" i="1"/>
  <c r="F8301" i="1"/>
  <c r="D8301" i="1"/>
  <c r="H8301" i="1" s="1"/>
  <c r="G8300" i="1"/>
  <c r="F8300" i="1"/>
  <c r="D8300" i="1"/>
  <c r="H8300" i="1" s="1"/>
  <c r="G8299" i="1"/>
  <c r="F8299" i="1"/>
  <c r="D8299" i="1"/>
  <c r="H8299" i="1" s="1"/>
  <c r="G8298" i="1"/>
  <c r="F8298" i="1"/>
  <c r="D8298" i="1"/>
  <c r="G8297" i="1"/>
  <c r="F8297" i="1"/>
  <c r="D8297" i="1"/>
  <c r="H8297" i="1" s="1"/>
  <c r="G8296" i="1"/>
  <c r="F8296" i="1"/>
  <c r="D8296" i="1"/>
  <c r="H8296" i="1" s="1"/>
  <c r="G8295" i="1"/>
  <c r="F8295" i="1"/>
  <c r="D8295" i="1"/>
  <c r="H8295" i="1" s="1"/>
  <c r="G8294" i="1"/>
  <c r="F8294" i="1"/>
  <c r="D8294" i="1"/>
  <c r="H8294" i="1" s="1"/>
  <c r="H8293" i="1"/>
  <c r="G8292" i="1"/>
  <c r="F8292" i="1"/>
  <c r="H8292" i="1" s="1"/>
  <c r="D8292" i="1"/>
  <c r="H8291" i="1"/>
  <c r="G8291" i="1"/>
  <c r="F8291" i="1"/>
  <c r="D8291" i="1"/>
  <c r="G8290" i="1"/>
  <c r="F8290" i="1"/>
  <c r="D8290" i="1"/>
  <c r="H8290" i="1" s="1"/>
  <c r="G8289" i="1"/>
  <c r="F8289" i="1"/>
  <c r="H8289" i="1" s="1"/>
  <c r="D8289" i="1"/>
  <c r="H8288" i="1"/>
  <c r="G8288" i="1"/>
  <c r="F8288" i="1"/>
  <c r="D8288" i="1"/>
  <c r="G8287" i="1"/>
  <c r="F8287" i="1"/>
  <c r="D8287" i="1"/>
  <c r="H8287" i="1" s="1"/>
  <c r="G8286" i="1"/>
  <c r="F8286" i="1"/>
  <c r="H8286" i="1" s="1"/>
  <c r="D8286" i="1"/>
  <c r="H8285" i="1"/>
  <c r="G8285" i="1"/>
  <c r="F8285" i="1"/>
  <c r="D8285" i="1"/>
  <c r="G8284" i="1"/>
  <c r="F8284" i="1"/>
  <c r="D8284" i="1"/>
  <c r="H8284" i="1" s="1"/>
  <c r="G8283" i="1"/>
  <c r="F8283" i="1"/>
  <c r="H8283" i="1" s="1"/>
  <c r="D8283" i="1"/>
  <c r="H8282" i="1"/>
  <c r="H8281" i="1"/>
  <c r="G8281" i="1"/>
  <c r="F8281" i="1"/>
  <c r="D8281" i="1"/>
  <c r="H8280" i="1"/>
  <c r="G8280" i="1"/>
  <c r="F8280" i="1"/>
  <c r="D8280" i="1"/>
  <c r="G8279" i="1"/>
  <c r="F8279" i="1"/>
  <c r="D8279" i="1"/>
  <c r="H8279" i="1" s="1"/>
  <c r="H8278" i="1"/>
  <c r="G8278" i="1"/>
  <c r="F8278" i="1"/>
  <c r="D8278" i="1"/>
  <c r="H8277" i="1"/>
  <c r="G8277" i="1"/>
  <c r="F8277" i="1"/>
  <c r="D8277" i="1"/>
  <c r="G8276" i="1"/>
  <c r="F8276" i="1"/>
  <c r="D8276" i="1"/>
  <c r="H8276" i="1" s="1"/>
  <c r="H8275" i="1"/>
  <c r="G8275" i="1"/>
  <c r="F8275" i="1"/>
  <c r="D8275" i="1"/>
  <c r="G8274" i="1"/>
  <c r="F8274" i="1"/>
  <c r="H8274" i="1" s="1"/>
  <c r="D8274" i="1"/>
  <c r="G8273" i="1"/>
  <c r="F8273" i="1"/>
  <c r="D8273" i="1"/>
  <c r="H8273" i="1" s="1"/>
  <c r="H8272" i="1"/>
  <c r="G8272" i="1"/>
  <c r="F8272" i="1"/>
  <c r="D8272" i="1"/>
  <c r="H8271" i="1"/>
  <c r="G8270" i="1"/>
  <c r="F8270" i="1"/>
  <c r="D8270" i="1"/>
  <c r="H8270" i="1" s="1"/>
  <c r="G8269" i="1"/>
  <c r="F8269" i="1"/>
  <c r="H8269" i="1" s="1"/>
  <c r="D8269" i="1"/>
  <c r="G8268" i="1"/>
  <c r="F8268" i="1"/>
  <c r="D8268" i="1"/>
  <c r="H8268" i="1" s="1"/>
  <c r="G8267" i="1"/>
  <c r="F8267" i="1"/>
  <c r="D8267" i="1"/>
  <c r="H8267" i="1" s="1"/>
  <c r="G8266" i="1"/>
  <c r="F8266" i="1"/>
  <c r="H8266" i="1" s="1"/>
  <c r="D8266" i="1"/>
  <c r="G8265" i="1"/>
  <c r="F8265" i="1"/>
  <c r="D8265" i="1"/>
  <c r="H8265" i="1" s="1"/>
  <c r="G8264" i="1"/>
  <c r="F8264" i="1"/>
  <c r="D8264" i="1"/>
  <c r="H8264" i="1" s="1"/>
  <c r="G8263" i="1"/>
  <c r="F8263" i="1"/>
  <c r="H8263" i="1" s="1"/>
  <c r="D8263" i="1"/>
  <c r="G8262" i="1"/>
  <c r="F8262" i="1"/>
  <c r="D8262" i="1"/>
  <c r="H8262" i="1" s="1"/>
  <c r="G8261" i="1"/>
  <c r="F8261" i="1"/>
  <c r="D8261" i="1"/>
  <c r="H8261" i="1" s="1"/>
  <c r="H8260" i="1"/>
  <c r="G8259" i="1"/>
  <c r="F8259" i="1"/>
  <c r="D8259" i="1"/>
  <c r="H8259" i="1" s="1"/>
  <c r="G8258" i="1"/>
  <c r="F8258" i="1"/>
  <c r="D8258" i="1"/>
  <c r="H8258" i="1" s="1"/>
  <c r="G8257" i="1"/>
  <c r="F8257" i="1"/>
  <c r="D8257" i="1"/>
  <c r="H8257" i="1" s="1"/>
  <c r="G8256" i="1"/>
  <c r="F8256" i="1"/>
  <c r="D8256" i="1"/>
  <c r="G8255" i="1"/>
  <c r="F8255" i="1"/>
  <c r="D8255" i="1"/>
  <c r="H8255" i="1" s="1"/>
  <c r="G8254" i="1"/>
  <c r="F8254" i="1"/>
  <c r="D8254" i="1"/>
  <c r="H8254" i="1" s="1"/>
  <c r="G8253" i="1"/>
  <c r="F8253" i="1"/>
  <c r="D8253" i="1"/>
  <c r="G8252" i="1"/>
  <c r="F8252" i="1"/>
  <c r="D8252" i="1"/>
  <c r="H8252" i="1" s="1"/>
  <c r="G8251" i="1"/>
  <c r="F8251" i="1"/>
  <c r="D8251" i="1"/>
  <c r="H8251" i="1" s="1"/>
  <c r="G8250" i="1"/>
  <c r="F8250" i="1"/>
  <c r="D8250" i="1"/>
  <c r="H8249" i="1"/>
  <c r="G8248" i="1"/>
  <c r="F8248" i="1"/>
  <c r="D8248" i="1"/>
  <c r="H8248" i="1" s="1"/>
  <c r="G8247" i="1"/>
  <c r="F8247" i="1"/>
  <c r="H8247" i="1" s="1"/>
  <c r="D8247" i="1"/>
  <c r="H8246" i="1"/>
  <c r="G8246" i="1"/>
  <c r="F8246" i="1"/>
  <c r="D8246" i="1"/>
  <c r="G8245" i="1"/>
  <c r="F8245" i="1"/>
  <c r="D8245" i="1"/>
  <c r="H8245" i="1" s="1"/>
  <c r="G8244" i="1"/>
  <c r="F8244" i="1"/>
  <c r="H8244" i="1" s="1"/>
  <c r="D8244" i="1"/>
  <c r="H8243" i="1"/>
  <c r="G8243" i="1"/>
  <c r="F8243" i="1"/>
  <c r="D8243" i="1"/>
  <c r="G8242" i="1"/>
  <c r="F8242" i="1"/>
  <c r="D8242" i="1"/>
  <c r="H8242" i="1" s="1"/>
  <c r="G8241" i="1"/>
  <c r="F8241" i="1"/>
  <c r="H8241" i="1" s="1"/>
  <c r="D8241" i="1"/>
  <c r="H8240" i="1"/>
  <c r="G8240" i="1"/>
  <c r="F8240" i="1"/>
  <c r="D8240" i="1"/>
  <c r="G8239" i="1"/>
  <c r="F8239" i="1"/>
  <c r="D8239" i="1"/>
  <c r="H8239" i="1" s="1"/>
  <c r="H8238" i="1"/>
  <c r="G8237" i="1"/>
  <c r="F8237" i="1"/>
  <c r="D8237" i="1"/>
  <c r="H8237" i="1" s="1"/>
  <c r="H8236" i="1"/>
  <c r="G8236" i="1"/>
  <c r="F8236" i="1"/>
  <c r="D8236" i="1"/>
  <c r="G8235" i="1"/>
  <c r="F8235" i="1"/>
  <c r="H8235" i="1" s="1"/>
  <c r="D8235" i="1"/>
  <c r="G8234" i="1"/>
  <c r="F8234" i="1"/>
  <c r="D8234" i="1"/>
  <c r="H8234" i="1" s="1"/>
  <c r="H8233" i="1"/>
  <c r="G8233" i="1"/>
  <c r="F8233" i="1"/>
  <c r="D8233" i="1"/>
  <c r="G8232" i="1"/>
  <c r="F8232" i="1"/>
  <c r="H8232" i="1" s="1"/>
  <c r="D8232" i="1"/>
  <c r="G8231" i="1"/>
  <c r="F8231" i="1"/>
  <c r="D8231" i="1"/>
  <c r="H8231" i="1" s="1"/>
  <c r="H8230" i="1"/>
  <c r="G8230" i="1"/>
  <c r="F8230" i="1"/>
  <c r="D8230" i="1"/>
  <c r="G8229" i="1"/>
  <c r="F8229" i="1"/>
  <c r="H8229" i="1" s="1"/>
  <c r="D8229" i="1"/>
  <c r="G8228" i="1"/>
  <c r="F8228" i="1"/>
  <c r="D8228" i="1"/>
  <c r="H8228" i="1" s="1"/>
  <c r="H8227" i="1"/>
  <c r="G8226" i="1"/>
  <c r="F8226" i="1"/>
  <c r="D8226" i="1"/>
  <c r="H8226" i="1" s="1"/>
  <c r="G8225" i="1"/>
  <c r="F8225" i="1"/>
  <c r="D8225" i="1"/>
  <c r="H8225" i="1" s="1"/>
  <c r="G8224" i="1"/>
  <c r="F8224" i="1"/>
  <c r="H8224" i="1" s="1"/>
  <c r="D8224" i="1"/>
  <c r="G8223" i="1"/>
  <c r="F8223" i="1"/>
  <c r="D8223" i="1"/>
  <c r="H8223" i="1" s="1"/>
  <c r="G8222" i="1"/>
  <c r="F8222" i="1"/>
  <c r="D8222" i="1"/>
  <c r="H8222" i="1" s="1"/>
  <c r="G8221" i="1"/>
  <c r="F8221" i="1"/>
  <c r="H8221" i="1" s="1"/>
  <c r="D8221" i="1"/>
  <c r="G8220" i="1"/>
  <c r="F8220" i="1"/>
  <c r="D8220" i="1"/>
  <c r="H8220" i="1" s="1"/>
  <c r="G8219" i="1"/>
  <c r="F8219" i="1"/>
  <c r="D8219" i="1"/>
  <c r="H8219" i="1" s="1"/>
  <c r="G8218" i="1"/>
  <c r="F8218" i="1"/>
  <c r="H8218" i="1" s="1"/>
  <c r="D8218" i="1"/>
  <c r="G8217" i="1"/>
  <c r="F8217" i="1"/>
  <c r="D8217" i="1"/>
  <c r="H8217" i="1" s="1"/>
  <c r="H8216" i="1"/>
  <c r="G8215" i="1"/>
  <c r="F8215" i="1"/>
  <c r="D8215" i="1"/>
  <c r="H8215" i="1" s="1"/>
  <c r="G8214" i="1"/>
  <c r="F8214" i="1"/>
  <c r="D8214" i="1"/>
  <c r="G8213" i="1"/>
  <c r="F8213" i="1"/>
  <c r="D8213" i="1"/>
  <c r="H8213" i="1" s="1"/>
  <c r="G8212" i="1"/>
  <c r="F8212" i="1"/>
  <c r="D8212" i="1"/>
  <c r="H8212" i="1" s="1"/>
  <c r="G8211" i="1"/>
  <c r="F8211" i="1"/>
  <c r="D8211" i="1"/>
  <c r="H8211" i="1" s="1"/>
  <c r="G8210" i="1"/>
  <c r="F8210" i="1"/>
  <c r="D8210" i="1"/>
  <c r="H8210" i="1" s="1"/>
  <c r="G8209" i="1"/>
  <c r="F8209" i="1"/>
  <c r="D8209" i="1"/>
  <c r="H8209" i="1" s="1"/>
  <c r="G8208" i="1"/>
  <c r="F8208" i="1"/>
  <c r="D8208" i="1"/>
  <c r="H8208" i="1" s="1"/>
  <c r="G8207" i="1"/>
  <c r="F8207" i="1"/>
  <c r="D8207" i="1"/>
  <c r="H8207" i="1" s="1"/>
  <c r="G8206" i="1"/>
  <c r="F8206" i="1"/>
  <c r="D8206" i="1"/>
  <c r="H8206" i="1" s="1"/>
  <c r="H8205" i="1"/>
  <c r="H8204" i="1"/>
  <c r="G8204" i="1"/>
  <c r="F8204" i="1"/>
  <c r="D8204" i="1"/>
  <c r="G8203" i="1"/>
  <c r="F8203" i="1"/>
  <c r="D8203" i="1"/>
  <c r="H8203" i="1" s="1"/>
  <c r="G8202" i="1"/>
  <c r="F8202" i="1"/>
  <c r="H8202" i="1" s="1"/>
  <c r="D8202" i="1"/>
  <c r="H8201" i="1"/>
  <c r="G8201" i="1"/>
  <c r="F8201" i="1"/>
  <c r="D8201" i="1"/>
  <c r="G8200" i="1"/>
  <c r="F8200" i="1"/>
  <c r="D8200" i="1"/>
  <c r="H8200" i="1" s="1"/>
  <c r="G8199" i="1"/>
  <c r="F8199" i="1"/>
  <c r="H8199" i="1" s="1"/>
  <c r="D8199" i="1"/>
  <c r="H8198" i="1"/>
  <c r="G8198" i="1"/>
  <c r="F8198" i="1"/>
  <c r="D8198" i="1"/>
  <c r="G8197" i="1"/>
  <c r="F8197" i="1"/>
  <c r="D8197" i="1"/>
  <c r="H8197" i="1" s="1"/>
  <c r="G8196" i="1"/>
  <c r="F8196" i="1"/>
  <c r="H8196" i="1" s="1"/>
  <c r="D8196" i="1"/>
  <c r="H8195" i="1"/>
  <c r="G8195" i="1"/>
  <c r="F8195" i="1"/>
  <c r="D8195" i="1"/>
  <c r="H8194" i="1"/>
  <c r="H8193" i="1"/>
  <c r="G8193" i="1"/>
  <c r="F8193" i="1"/>
  <c r="D8193" i="1"/>
  <c r="G8192" i="1"/>
  <c r="F8192" i="1"/>
  <c r="D8192" i="1"/>
  <c r="H8192" i="1" s="1"/>
  <c r="H8191" i="1"/>
  <c r="G8191" i="1"/>
  <c r="F8191" i="1"/>
  <c r="D8191" i="1"/>
  <c r="H8190" i="1"/>
  <c r="G8190" i="1"/>
  <c r="F8190" i="1"/>
  <c r="D8190" i="1"/>
  <c r="G8189" i="1"/>
  <c r="F8189" i="1"/>
  <c r="D8189" i="1"/>
  <c r="H8189" i="1" s="1"/>
  <c r="H8188" i="1"/>
  <c r="G8188" i="1"/>
  <c r="F8188" i="1"/>
  <c r="D8188" i="1"/>
  <c r="G8187" i="1"/>
  <c r="F8187" i="1"/>
  <c r="H8187" i="1" s="1"/>
  <c r="D8187" i="1"/>
  <c r="G8186" i="1"/>
  <c r="F8186" i="1"/>
  <c r="D8186" i="1"/>
  <c r="H8186" i="1" s="1"/>
  <c r="G8185" i="1"/>
  <c r="H8185" i="1" s="1"/>
  <c r="F8185" i="1"/>
  <c r="D8185" i="1"/>
  <c r="G8184" i="1"/>
  <c r="F8184" i="1"/>
  <c r="D8184" i="1"/>
  <c r="H8184" i="1" s="1"/>
  <c r="H8183" i="1"/>
  <c r="G8182" i="1"/>
  <c r="F8182" i="1"/>
  <c r="H8182" i="1" s="1"/>
  <c r="D8182" i="1"/>
  <c r="G8181" i="1"/>
  <c r="F8181" i="1"/>
  <c r="D8181" i="1"/>
  <c r="H8181" i="1" s="1"/>
  <c r="G8180" i="1"/>
  <c r="F8180" i="1"/>
  <c r="D8180" i="1"/>
  <c r="H8180" i="1" s="1"/>
  <c r="G8179" i="1"/>
  <c r="F8179" i="1"/>
  <c r="H8179" i="1" s="1"/>
  <c r="D8179" i="1"/>
  <c r="G8178" i="1"/>
  <c r="F8178" i="1"/>
  <c r="D8178" i="1"/>
  <c r="H8178" i="1" s="1"/>
  <c r="G8177" i="1"/>
  <c r="F8177" i="1"/>
  <c r="D8177" i="1"/>
  <c r="H8177" i="1" s="1"/>
  <c r="G8176" i="1"/>
  <c r="F8176" i="1"/>
  <c r="H8176" i="1" s="1"/>
  <c r="D8176" i="1"/>
  <c r="G8175" i="1"/>
  <c r="F8175" i="1"/>
  <c r="D8175" i="1"/>
  <c r="H8175" i="1" s="1"/>
  <c r="G8174" i="1"/>
  <c r="F8174" i="1"/>
  <c r="D8174" i="1"/>
  <c r="H8174" i="1" s="1"/>
  <c r="G8173" i="1"/>
  <c r="F8173" i="1"/>
  <c r="H8173" i="1" s="1"/>
  <c r="D8173" i="1"/>
  <c r="H8172" i="1"/>
  <c r="G8171" i="1"/>
  <c r="F8171" i="1"/>
  <c r="H8171" i="1" s="1"/>
  <c r="D8171" i="1"/>
  <c r="G8170" i="1"/>
  <c r="F8170" i="1"/>
  <c r="D8170" i="1"/>
  <c r="H8170" i="1" s="1"/>
  <c r="G8169" i="1"/>
  <c r="F8169" i="1"/>
  <c r="D8169" i="1"/>
  <c r="G8168" i="1"/>
  <c r="F8168" i="1"/>
  <c r="D8168" i="1"/>
  <c r="H8168" i="1" s="1"/>
  <c r="G8167" i="1"/>
  <c r="F8167" i="1"/>
  <c r="D8167" i="1"/>
  <c r="H8167" i="1" s="1"/>
  <c r="G8166" i="1"/>
  <c r="F8166" i="1"/>
  <c r="D8166" i="1"/>
  <c r="G8165" i="1"/>
  <c r="F8165" i="1"/>
  <c r="D8165" i="1"/>
  <c r="H8165" i="1" s="1"/>
  <c r="G8164" i="1"/>
  <c r="F8164" i="1"/>
  <c r="D8164" i="1"/>
  <c r="H8164" i="1" s="1"/>
  <c r="G8163" i="1"/>
  <c r="F8163" i="1"/>
  <c r="D8163" i="1"/>
  <c r="G8162" i="1"/>
  <c r="F8162" i="1"/>
  <c r="D8162" i="1"/>
  <c r="H8162" i="1" s="1"/>
  <c r="H8161" i="1"/>
  <c r="G8160" i="1"/>
  <c r="F8160" i="1"/>
  <c r="H8160" i="1" s="1"/>
  <c r="D8160" i="1"/>
  <c r="H8159" i="1"/>
  <c r="G8159" i="1"/>
  <c r="F8159" i="1"/>
  <c r="D8159" i="1"/>
  <c r="G8158" i="1"/>
  <c r="F8158" i="1"/>
  <c r="D8158" i="1"/>
  <c r="H8158" i="1" s="1"/>
  <c r="G8157" i="1"/>
  <c r="F8157" i="1"/>
  <c r="H8157" i="1" s="1"/>
  <c r="D8157" i="1"/>
  <c r="H8156" i="1"/>
  <c r="G8156" i="1"/>
  <c r="F8156" i="1"/>
  <c r="D8156" i="1"/>
  <c r="G8155" i="1"/>
  <c r="F8155" i="1"/>
  <c r="D8155" i="1"/>
  <c r="H8155" i="1" s="1"/>
  <c r="G8154" i="1"/>
  <c r="F8154" i="1"/>
  <c r="H8154" i="1" s="1"/>
  <c r="D8154" i="1"/>
  <c r="H8153" i="1"/>
  <c r="G8153" i="1"/>
  <c r="F8153" i="1"/>
  <c r="D8153" i="1"/>
  <c r="G8152" i="1"/>
  <c r="F8152" i="1"/>
  <c r="D8152" i="1"/>
  <c r="H8152" i="1" s="1"/>
  <c r="G8151" i="1"/>
  <c r="F8151" i="1"/>
  <c r="H8151" i="1" s="1"/>
  <c r="D8151" i="1"/>
  <c r="H8150" i="1"/>
  <c r="H8149" i="1"/>
  <c r="G8149" i="1"/>
  <c r="F8149" i="1"/>
  <c r="D8149" i="1"/>
  <c r="H8148" i="1"/>
  <c r="G8148" i="1"/>
  <c r="F8148" i="1"/>
  <c r="D8148" i="1"/>
  <c r="G8147" i="1"/>
  <c r="F8147" i="1"/>
  <c r="D8147" i="1"/>
  <c r="H8147" i="1" s="1"/>
  <c r="G8146" i="1"/>
  <c r="H8146" i="1" s="1"/>
  <c r="F8146" i="1"/>
  <c r="D8146" i="1"/>
  <c r="H8145" i="1"/>
  <c r="G8145" i="1"/>
  <c r="F8145" i="1"/>
  <c r="D8145" i="1"/>
  <c r="G8144" i="1"/>
  <c r="F8144" i="1"/>
  <c r="D8144" i="1"/>
  <c r="H8144" i="1" s="1"/>
  <c r="G8143" i="1"/>
  <c r="H8143" i="1" s="1"/>
  <c r="F8143" i="1"/>
  <c r="D8143" i="1"/>
  <c r="G8142" i="1"/>
  <c r="F8142" i="1"/>
  <c r="H8142" i="1" s="1"/>
  <c r="D8142" i="1"/>
  <c r="G8141" i="1"/>
  <c r="F8141" i="1"/>
  <c r="D8141" i="1"/>
  <c r="H8141" i="1" s="1"/>
  <c r="G8140" i="1"/>
  <c r="F8140" i="1"/>
  <c r="D8140" i="1"/>
  <c r="H8140" i="1" s="1"/>
  <c r="H8139" i="1"/>
  <c r="G8138" i="1"/>
  <c r="F8138" i="1"/>
  <c r="D8138" i="1"/>
  <c r="H8138" i="1" s="1"/>
  <c r="G8137" i="1"/>
  <c r="F8137" i="1"/>
  <c r="H8137" i="1" s="1"/>
  <c r="D8137" i="1"/>
  <c r="G8136" i="1"/>
  <c r="F8136" i="1"/>
  <c r="D8136" i="1"/>
  <c r="H8136" i="1" s="1"/>
  <c r="G8135" i="1"/>
  <c r="F8135" i="1"/>
  <c r="D8135" i="1"/>
  <c r="H8135" i="1" s="1"/>
  <c r="G8134" i="1"/>
  <c r="F8134" i="1"/>
  <c r="H8134" i="1" s="1"/>
  <c r="D8134" i="1"/>
  <c r="G8133" i="1"/>
  <c r="F8133" i="1"/>
  <c r="D8133" i="1"/>
  <c r="H8133" i="1" s="1"/>
  <c r="G8132" i="1"/>
  <c r="F8132" i="1"/>
  <c r="D8132" i="1"/>
  <c r="H8132" i="1" s="1"/>
  <c r="G8131" i="1"/>
  <c r="F8131" i="1"/>
  <c r="H8131" i="1" s="1"/>
  <c r="D8131" i="1"/>
  <c r="G8130" i="1"/>
  <c r="F8130" i="1"/>
  <c r="D8130" i="1"/>
  <c r="H8130" i="1" s="1"/>
  <c r="G8129" i="1"/>
  <c r="F8129" i="1"/>
  <c r="D8129" i="1"/>
  <c r="H8129" i="1" s="1"/>
  <c r="H8128" i="1"/>
  <c r="G8127" i="1"/>
  <c r="F8127" i="1"/>
  <c r="D8127" i="1"/>
  <c r="H8127" i="1" s="1"/>
  <c r="G8126" i="1"/>
  <c r="F8126" i="1"/>
  <c r="D8126" i="1"/>
  <c r="H8126" i="1" s="1"/>
  <c r="G8125" i="1"/>
  <c r="F8125" i="1"/>
  <c r="D8125" i="1"/>
  <c r="H8125" i="1" s="1"/>
  <c r="G8124" i="1"/>
  <c r="F8124" i="1"/>
  <c r="D8124" i="1"/>
  <c r="H8124" i="1" s="1"/>
  <c r="G8123" i="1"/>
  <c r="F8123" i="1"/>
  <c r="D8123" i="1"/>
  <c r="H8123" i="1" s="1"/>
  <c r="G8122" i="1"/>
  <c r="F8122" i="1"/>
  <c r="D8122" i="1"/>
  <c r="H8122" i="1" s="1"/>
  <c r="G8121" i="1"/>
  <c r="F8121" i="1"/>
  <c r="D8121" i="1"/>
  <c r="G8120" i="1"/>
  <c r="F8120" i="1"/>
  <c r="D8120" i="1"/>
  <c r="H8120" i="1" s="1"/>
  <c r="G8119" i="1"/>
  <c r="F8119" i="1"/>
  <c r="D8119" i="1"/>
  <c r="H8119" i="1" s="1"/>
  <c r="G8118" i="1"/>
  <c r="F8118" i="1"/>
  <c r="D8118" i="1"/>
  <c r="H8118" i="1" s="1"/>
  <c r="G8117" i="1"/>
  <c r="F8117" i="1"/>
  <c r="D8117" i="1"/>
  <c r="H8117" i="1" s="1"/>
  <c r="G8116" i="1"/>
  <c r="F8116" i="1"/>
  <c r="D8116" i="1"/>
  <c r="H8116" i="1" s="1"/>
  <c r="G8115" i="1"/>
  <c r="F8115" i="1"/>
  <c r="D8115" i="1"/>
  <c r="H8115" i="1" s="1"/>
  <c r="G8114" i="1"/>
  <c r="F8114" i="1"/>
  <c r="D8114" i="1"/>
  <c r="H8114" i="1" s="1"/>
  <c r="G8113" i="1"/>
  <c r="F8113" i="1"/>
  <c r="D8113" i="1"/>
  <c r="H8113" i="1" s="1"/>
  <c r="H8112" i="1"/>
  <c r="H8111" i="1"/>
  <c r="G8110" i="1"/>
  <c r="F8110" i="1"/>
  <c r="D8110" i="1"/>
  <c r="H8110" i="1" s="1"/>
  <c r="H8109" i="1"/>
  <c r="G8109" i="1"/>
  <c r="F8109" i="1"/>
  <c r="D8109" i="1"/>
  <c r="G8108" i="1"/>
  <c r="F8108" i="1"/>
  <c r="D8108" i="1"/>
  <c r="H8108" i="1" s="1"/>
  <c r="G8107" i="1"/>
  <c r="F8107" i="1"/>
  <c r="D8107" i="1"/>
  <c r="H8107" i="1" s="1"/>
  <c r="G8106" i="1"/>
  <c r="F8106" i="1"/>
  <c r="D8106" i="1"/>
  <c r="H8106" i="1" s="1"/>
  <c r="G8105" i="1"/>
  <c r="F8105" i="1"/>
  <c r="D8105" i="1"/>
  <c r="H8105" i="1" s="1"/>
  <c r="G8104" i="1"/>
  <c r="F8104" i="1"/>
  <c r="D8104" i="1"/>
  <c r="H8104" i="1" s="1"/>
  <c r="G8103" i="1"/>
  <c r="F8103" i="1"/>
  <c r="D8103" i="1"/>
  <c r="H8103" i="1" s="1"/>
  <c r="G8102" i="1"/>
  <c r="F8102" i="1"/>
  <c r="D8102" i="1"/>
  <c r="H8102" i="1" s="1"/>
  <c r="G8101" i="1"/>
  <c r="F8101" i="1"/>
  <c r="D8101" i="1"/>
  <c r="H8101" i="1" s="1"/>
  <c r="G8100" i="1"/>
  <c r="F8100" i="1"/>
  <c r="D8100" i="1"/>
  <c r="H8100" i="1" s="1"/>
  <c r="G8099" i="1"/>
  <c r="F8099" i="1"/>
  <c r="D8099" i="1"/>
  <c r="H8099" i="1" s="1"/>
  <c r="G8098" i="1"/>
  <c r="F8098" i="1"/>
  <c r="D8098" i="1"/>
  <c r="H8098" i="1" s="1"/>
  <c r="G8097" i="1"/>
  <c r="F8097" i="1"/>
  <c r="D8097" i="1"/>
  <c r="H8097" i="1" s="1"/>
  <c r="G8096" i="1"/>
  <c r="F8096" i="1"/>
  <c r="D8096" i="1"/>
  <c r="H8096" i="1" s="1"/>
  <c r="H8095" i="1"/>
  <c r="G8094" i="1"/>
  <c r="F8094" i="1"/>
  <c r="D8094" i="1"/>
  <c r="H8094" i="1" s="1"/>
  <c r="G8093" i="1"/>
  <c r="F8093" i="1"/>
  <c r="D8093" i="1"/>
  <c r="H8093" i="1" s="1"/>
  <c r="G8092" i="1"/>
  <c r="F8092" i="1"/>
  <c r="H8092" i="1" s="1"/>
  <c r="D8092" i="1"/>
  <c r="G8091" i="1"/>
  <c r="F8091" i="1"/>
  <c r="D8091" i="1"/>
  <c r="H8091" i="1" s="1"/>
  <c r="G8090" i="1"/>
  <c r="F8090" i="1"/>
  <c r="D8090" i="1"/>
  <c r="H8090" i="1" s="1"/>
  <c r="G8089" i="1"/>
  <c r="F8089" i="1"/>
  <c r="H8089" i="1" s="1"/>
  <c r="D8089" i="1"/>
  <c r="G8088" i="1"/>
  <c r="F8088" i="1"/>
  <c r="D8088" i="1"/>
  <c r="H8088" i="1" s="1"/>
  <c r="G8087" i="1"/>
  <c r="F8087" i="1"/>
  <c r="D8087" i="1"/>
  <c r="H8087" i="1" s="1"/>
  <c r="G8086" i="1"/>
  <c r="F8086" i="1"/>
  <c r="H8086" i="1" s="1"/>
  <c r="D8086" i="1"/>
  <c r="G8085" i="1"/>
  <c r="F8085" i="1"/>
  <c r="D8085" i="1"/>
  <c r="H8085" i="1" s="1"/>
  <c r="G8084" i="1"/>
  <c r="F8084" i="1"/>
  <c r="D8084" i="1"/>
  <c r="H8084" i="1" s="1"/>
  <c r="G8083" i="1"/>
  <c r="F8083" i="1"/>
  <c r="H8083" i="1" s="1"/>
  <c r="D8083" i="1"/>
  <c r="G8082" i="1"/>
  <c r="F8082" i="1"/>
  <c r="D8082" i="1"/>
  <c r="H8082" i="1" s="1"/>
  <c r="G8081" i="1"/>
  <c r="F8081" i="1"/>
  <c r="D8081" i="1"/>
  <c r="G8080" i="1"/>
  <c r="F8080" i="1"/>
  <c r="H8080" i="1" s="1"/>
  <c r="D8080" i="1"/>
  <c r="H8079" i="1"/>
  <c r="G8078" i="1"/>
  <c r="F8078" i="1"/>
  <c r="D8078" i="1"/>
  <c r="H8078" i="1" s="1"/>
  <c r="G8077" i="1"/>
  <c r="F8077" i="1"/>
  <c r="D8077" i="1"/>
  <c r="G8076" i="1"/>
  <c r="F8076" i="1"/>
  <c r="D8076" i="1"/>
  <c r="G8075" i="1"/>
  <c r="F8075" i="1"/>
  <c r="D8075" i="1"/>
  <c r="H8075" i="1" s="1"/>
  <c r="G8074" i="1"/>
  <c r="F8074" i="1"/>
  <c r="D8074" i="1"/>
  <c r="G8073" i="1"/>
  <c r="F8073" i="1"/>
  <c r="D8073" i="1"/>
  <c r="G8072" i="1"/>
  <c r="F8072" i="1"/>
  <c r="D8072" i="1"/>
  <c r="H8072" i="1" s="1"/>
  <c r="G8071" i="1"/>
  <c r="F8071" i="1"/>
  <c r="D8071" i="1"/>
  <c r="G8070" i="1"/>
  <c r="F8070" i="1"/>
  <c r="D8070" i="1"/>
  <c r="G8069" i="1"/>
  <c r="F8069" i="1"/>
  <c r="D8069" i="1"/>
  <c r="H8069" i="1" s="1"/>
  <c r="H8068" i="1"/>
  <c r="H8067" i="1"/>
  <c r="G8066" i="1"/>
  <c r="F8066" i="1"/>
  <c r="D8066" i="1"/>
  <c r="H8066" i="1" s="1"/>
  <c r="G8065" i="1"/>
  <c r="F8065" i="1"/>
  <c r="D8065" i="1"/>
  <c r="H8065" i="1" s="1"/>
  <c r="G8064" i="1"/>
  <c r="F8064" i="1"/>
  <c r="D8064" i="1"/>
  <c r="H8064" i="1" s="1"/>
  <c r="G8063" i="1"/>
  <c r="F8063" i="1"/>
  <c r="D8063" i="1"/>
  <c r="G8062" i="1"/>
  <c r="F8062" i="1"/>
  <c r="D8062" i="1"/>
  <c r="H8062" i="1" s="1"/>
  <c r="G8061" i="1"/>
  <c r="F8061" i="1"/>
  <c r="D8061" i="1"/>
  <c r="H8061" i="1" s="1"/>
  <c r="G8060" i="1"/>
  <c r="F8060" i="1"/>
  <c r="D8060" i="1"/>
  <c r="H8060" i="1" s="1"/>
  <c r="G8059" i="1"/>
  <c r="F8059" i="1"/>
  <c r="D8059" i="1"/>
  <c r="H8059" i="1" s="1"/>
  <c r="G8058" i="1"/>
  <c r="F8058" i="1"/>
  <c r="D8058" i="1"/>
  <c r="H8058" i="1" s="1"/>
  <c r="H8057" i="1"/>
  <c r="H8056" i="1"/>
  <c r="G8056" i="1"/>
  <c r="F8056" i="1"/>
  <c r="D8056" i="1"/>
  <c r="G8055" i="1"/>
  <c r="F8055" i="1"/>
  <c r="D8055" i="1"/>
  <c r="H8055" i="1" s="1"/>
  <c r="G8054" i="1"/>
  <c r="F8054" i="1"/>
  <c r="D8054" i="1"/>
  <c r="H8054" i="1" s="1"/>
  <c r="G8053" i="1"/>
  <c r="F8053" i="1"/>
  <c r="H8053" i="1" s="1"/>
  <c r="D8053" i="1"/>
  <c r="G8052" i="1"/>
  <c r="F8052" i="1"/>
  <c r="D8052" i="1"/>
  <c r="H8052" i="1" s="1"/>
  <c r="G8051" i="1"/>
  <c r="F8051" i="1"/>
  <c r="D8051" i="1"/>
  <c r="G8050" i="1"/>
  <c r="F8050" i="1"/>
  <c r="H8050" i="1" s="1"/>
  <c r="D8050" i="1"/>
  <c r="G8049" i="1"/>
  <c r="F8049" i="1"/>
  <c r="D8049" i="1"/>
  <c r="H8049" i="1" s="1"/>
  <c r="G8048" i="1"/>
  <c r="F8048" i="1"/>
  <c r="D8048" i="1"/>
  <c r="H8047" i="1"/>
  <c r="G8047" i="1"/>
  <c r="F8047" i="1"/>
  <c r="D8047" i="1"/>
  <c r="G8046" i="1"/>
  <c r="F8046" i="1"/>
  <c r="D8046" i="1"/>
  <c r="H8046" i="1" s="1"/>
  <c r="G8045" i="1"/>
  <c r="F8045" i="1"/>
  <c r="D8045" i="1"/>
  <c r="H8045" i="1" s="1"/>
  <c r="G8044" i="1"/>
  <c r="F8044" i="1"/>
  <c r="H8044" i="1" s="1"/>
  <c r="D8044" i="1"/>
  <c r="G8043" i="1"/>
  <c r="F8043" i="1"/>
  <c r="D8043" i="1"/>
  <c r="G8042" i="1"/>
  <c r="F8042" i="1"/>
  <c r="D8042" i="1"/>
  <c r="G8041" i="1"/>
  <c r="F8041" i="1"/>
  <c r="H8041" i="1" s="1"/>
  <c r="D8041" i="1"/>
  <c r="H8040" i="1"/>
  <c r="G8039" i="1"/>
  <c r="F8039" i="1"/>
  <c r="D8039" i="1"/>
  <c r="H8039" i="1" s="1"/>
  <c r="G8038" i="1"/>
  <c r="F8038" i="1"/>
  <c r="D8038" i="1"/>
  <c r="H8038" i="1" s="1"/>
  <c r="G8037" i="1"/>
  <c r="F8037" i="1"/>
  <c r="D8037" i="1"/>
  <c r="H8037" i="1" s="1"/>
  <c r="G8036" i="1"/>
  <c r="F8036" i="1"/>
  <c r="D8036" i="1"/>
  <c r="H8036" i="1" s="1"/>
  <c r="G8035" i="1"/>
  <c r="F8035" i="1"/>
  <c r="D8035" i="1"/>
  <c r="H8035" i="1" s="1"/>
  <c r="G8034" i="1"/>
  <c r="F8034" i="1"/>
  <c r="D8034" i="1"/>
  <c r="H8034" i="1" s="1"/>
  <c r="G8033" i="1"/>
  <c r="F8033" i="1"/>
  <c r="D8033" i="1"/>
  <c r="H8033" i="1" s="1"/>
  <c r="G8032" i="1"/>
  <c r="F8032" i="1"/>
  <c r="D8032" i="1"/>
  <c r="H8032" i="1" s="1"/>
  <c r="G8031" i="1"/>
  <c r="F8031" i="1"/>
  <c r="D8031" i="1"/>
  <c r="H8031" i="1" s="1"/>
  <c r="G8030" i="1"/>
  <c r="F8030" i="1"/>
  <c r="D8030" i="1"/>
  <c r="H8030" i="1" s="1"/>
  <c r="H8029" i="1"/>
  <c r="G8028" i="1"/>
  <c r="F8028" i="1"/>
  <c r="H8028" i="1" s="1"/>
  <c r="D8028" i="1"/>
  <c r="H8027" i="1"/>
  <c r="G8027" i="1"/>
  <c r="F8027" i="1"/>
  <c r="D8027" i="1"/>
  <c r="H8026" i="1"/>
  <c r="G8026" i="1"/>
  <c r="F8026" i="1"/>
  <c r="D8026" i="1"/>
  <c r="G8025" i="1"/>
  <c r="F8025" i="1"/>
  <c r="H8025" i="1" s="1"/>
  <c r="D8025" i="1"/>
  <c r="H8024" i="1"/>
  <c r="G8024" i="1"/>
  <c r="F8024" i="1"/>
  <c r="D8024" i="1"/>
  <c r="H8023" i="1"/>
  <c r="G8023" i="1"/>
  <c r="F8023" i="1"/>
  <c r="D8023" i="1"/>
  <c r="G8022" i="1"/>
  <c r="F8022" i="1"/>
  <c r="H8022" i="1" s="1"/>
  <c r="D8022" i="1"/>
  <c r="H8021" i="1"/>
  <c r="G8021" i="1"/>
  <c r="F8021" i="1"/>
  <c r="D8021" i="1"/>
  <c r="H8020" i="1"/>
  <c r="G8020" i="1"/>
  <c r="F8020" i="1"/>
  <c r="D8020" i="1"/>
  <c r="G8019" i="1"/>
  <c r="F8019" i="1"/>
  <c r="H8019" i="1" s="1"/>
  <c r="D8019" i="1"/>
  <c r="H8018" i="1"/>
  <c r="G8018" i="1"/>
  <c r="F8018" i="1"/>
  <c r="D8018" i="1"/>
  <c r="H8017" i="1"/>
  <c r="G8017" i="1"/>
  <c r="F8017" i="1"/>
  <c r="D8017" i="1"/>
  <c r="G8016" i="1"/>
  <c r="F8016" i="1"/>
  <c r="H8016" i="1" s="1"/>
  <c r="D8016" i="1"/>
  <c r="H8015" i="1"/>
  <c r="G8015" i="1"/>
  <c r="F8015" i="1"/>
  <c r="D8015" i="1"/>
  <c r="G8014" i="1"/>
  <c r="H8014" i="1" s="1"/>
  <c r="F8014" i="1"/>
  <c r="D8014" i="1"/>
  <c r="H8013" i="1"/>
  <c r="G8012" i="1"/>
  <c r="H8012" i="1" s="1"/>
  <c r="F8012" i="1"/>
  <c r="D8012" i="1"/>
  <c r="G8011" i="1"/>
  <c r="F8011" i="1"/>
  <c r="D8011" i="1"/>
  <c r="H8011" i="1" s="1"/>
  <c r="G8010" i="1"/>
  <c r="H8010" i="1" s="1"/>
  <c r="F8010" i="1"/>
  <c r="D8010" i="1"/>
  <c r="G8009" i="1"/>
  <c r="F8009" i="1"/>
  <c r="D8009" i="1"/>
  <c r="H8009" i="1" s="1"/>
  <c r="G8008" i="1"/>
  <c r="F8008" i="1"/>
  <c r="D8008" i="1"/>
  <c r="H8008" i="1" s="1"/>
  <c r="G8007" i="1"/>
  <c r="H8007" i="1" s="1"/>
  <c r="F8007" i="1"/>
  <c r="D8007" i="1"/>
  <c r="G8006" i="1"/>
  <c r="F8006" i="1"/>
  <c r="D8006" i="1"/>
  <c r="H8006" i="1" s="1"/>
  <c r="G8005" i="1"/>
  <c r="F8005" i="1"/>
  <c r="D8005" i="1"/>
  <c r="H8005" i="1" s="1"/>
  <c r="G8004" i="1"/>
  <c r="H8004" i="1" s="1"/>
  <c r="F8004" i="1"/>
  <c r="D8004" i="1"/>
  <c r="G8003" i="1"/>
  <c r="F8003" i="1"/>
  <c r="D8003" i="1"/>
  <c r="H8003" i="1" s="1"/>
  <c r="H8002" i="1"/>
  <c r="G8001" i="1"/>
  <c r="F8001" i="1"/>
  <c r="D8001" i="1"/>
  <c r="G8000" i="1"/>
  <c r="F8000" i="1"/>
  <c r="D8000" i="1"/>
  <c r="H8000" i="1" s="1"/>
  <c r="G7999" i="1"/>
  <c r="F7999" i="1"/>
  <c r="D7999" i="1"/>
  <c r="H7999" i="1" s="1"/>
  <c r="G7998" i="1"/>
  <c r="F7998" i="1"/>
  <c r="D7998" i="1"/>
  <c r="H7998" i="1" s="1"/>
  <c r="H7997" i="1"/>
  <c r="G7997" i="1"/>
  <c r="F7997" i="1"/>
  <c r="D7997" i="1"/>
  <c r="G7996" i="1"/>
  <c r="F7996" i="1"/>
  <c r="H7996" i="1" s="1"/>
  <c r="D7996" i="1"/>
  <c r="G7995" i="1"/>
  <c r="F7995" i="1"/>
  <c r="D7995" i="1"/>
  <c r="H7994" i="1"/>
  <c r="G7994" i="1"/>
  <c r="F7994" i="1"/>
  <c r="D7994" i="1"/>
  <c r="G7993" i="1"/>
  <c r="F7993" i="1"/>
  <c r="D7993" i="1"/>
  <c r="H7993" i="1" s="1"/>
  <c r="G7992" i="1"/>
  <c r="F7992" i="1"/>
  <c r="D7992" i="1"/>
  <c r="G7991" i="1"/>
  <c r="F7991" i="1"/>
  <c r="D7991" i="1"/>
  <c r="H7991" i="1" s="1"/>
  <c r="H7990" i="1"/>
  <c r="G7990" i="1"/>
  <c r="F7990" i="1"/>
  <c r="D7990" i="1"/>
  <c r="G7989" i="1"/>
  <c r="F7989" i="1"/>
  <c r="D7989" i="1"/>
  <c r="H7989" i="1" s="1"/>
  <c r="G7988" i="1"/>
  <c r="F7988" i="1"/>
  <c r="D7988" i="1"/>
  <c r="H7988" i="1" s="1"/>
  <c r="H7987" i="1"/>
  <c r="G7987" i="1"/>
  <c r="F7987" i="1"/>
  <c r="D7987" i="1"/>
  <c r="G7986" i="1"/>
  <c r="F7986" i="1"/>
  <c r="D7986" i="1"/>
  <c r="H7985" i="1"/>
  <c r="G7984" i="1"/>
  <c r="F7984" i="1"/>
  <c r="D7984" i="1"/>
  <c r="H7984" i="1" s="1"/>
  <c r="G7983" i="1"/>
  <c r="H7983" i="1" s="1"/>
  <c r="F7983" i="1"/>
  <c r="D7983" i="1"/>
  <c r="G7982" i="1"/>
  <c r="F7982" i="1"/>
  <c r="D7982" i="1"/>
  <c r="G7981" i="1"/>
  <c r="F7981" i="1"/>
  <c r="D7981" i="1"/>
  <c r="H7981" i="1" s="1"/>
  <c r="H7980" i="1"/>
  <c r="G7980" i="1"/>
  <c r="F7980" i="1"/>
  <c r="D7980" i="1"/>
  <c r="G7979" i="1"/>
  <c r="F7979" i="1"/>
  <c r="D7979" i="1"/>
  <c r="H7979" i="1" s="1"/>
  <c r="G7978" i="1"/>
  <c r="H7978" i="1" s="1"/>
  <c r="F7978" i="1"/>
  <c r="D7978" i="1"/>
  <c r="H7977" i="1"/>
  <c r="G7977" i="1"/>
  <c r="F7977" i="1"/>
  <c r="D7977" i="1"/>
  <c r="G7976" i="1"/>
  <c r="F7976" i="1"/>
  <c r="D7976" i="1"/>
  <c r="H7976" i="1" s="1"/>
  <c r="G7975" i="1"/>
  <c r="F7975" i="1"/>
  <c r="H7975" i="1" s="1"/>
  <c r="D7975" i="1"/>
  <c r="G7974" i="1"/>
  <c r="F7974" i="1"/>
  <c r="D7974" i="1"/>
  <c r="H7974" i="1" s="1"/>
  <c r="G7973" i="1"/>
  <c r="F7973" i="1"/>
  <c r="D7973" i="1"/>
  <c r="H7973" i="1" s="1"/>
  <c r="G7972" i="1"/>
  <c r="F7972" i="1"/>
  <c r="H7972" i="1" s="1"/>
  <c r="D7972" i="1"/>
  <c r="G7971" i="1"/>
  <c r="F7971" i="1"/>
  <c r="D7971" i="1"/>
  <c r="H7971" i="1" s="1"/>
  <c r="G7970" i="1"/>
  <c r="F7970" i="1"/>
  <c r="D7970" i="1"/>
  <c r="H7970" i="1" s="1"/>
  <c r="H7969" i="1"/>
  <c r="G7968" i="1"/>
  <c r="F7968" i="1"/>
  <c r="H7968" i="1" s="1"/>
  <c r="D7968" i="1"/>
  <c r="H7967" i="1"/>
  <c r="G7967" i="1"/>
  <c r="F7967" i="1"/>
  <c r="D7967" i="1"/>
  <c r="G7966" i="1"/>
  <c r="F7966" i="1"/>
  <c r="D7966" i="1"/>
  <c r="H7966" i="1" s="1"/>
  <c r="G7965" i="1"/>
  <c r="F7965" i="1"/>
  <c r="H7965" i="1" s="1"/>
  <c r="D7965" i="1"/>
  <c r="H7964" i="1"/>
  <c r="G7964" i="1"/>
  <c r="F7964" i="1"/>
  <c r="D7964" i="1"/>
  <c r="G7963" i="1"/>
  <c r="F7963" i="1"/>
  <c r="D7963" i="1"/>
  <c r="H7963" i="1" s="1"/>
  <c r="G7962" i="1"/>
  <c r="F7962" i="1"/>
  <c r="H7962" i="1" s="1"/>
  <c r="D7962" i="1"/>
  <c r="H7961" i="1"/>
  <c r="G7961" i="1"/>
  <c r="F7961" i="1"/>
  <c r="D7961" i="1"/>
  <c r="G7960" i="1"/>
  <c r="F7960" i="1"/>
  <c r="D7960" i="1"/>
  <c r="H7960" i="1" s="1"/>
  <c r="G7959" i="1"/>
  <c r="F7959" i="1"/>
  <c r="D7959" i="1"/>
  <c r="H7959" i="1" s="1"/>
  <c r="H7958" i="1"/>
  <c r="H7957" i="1"/>
  <c r="G7957" i="1"/>
  <c r="F7957" i="1"/>
  <c r="D7957" i="1"/>
  <c r="G7956" i="1"/>
  <c r="F7956" i="1"/>
  <c r="H7956" i="1" s="1"/>
  <c r="D7956" i="1"/>
  <c r="G7955" i="1"/>
  <c r="F7955" i="1"/>
  <c r="D7955" i="1"/>
  <c r="H7955" i="1" s="1"/>
  <c r="G7954" i="1"/>
  <c r="F7954" i="1"/>
  <c r="H7954" i="1" s="1"/>
  <c r="D7954" i="1"/>
  <c r="G7953" i="1"/>
  <c r="F7953" i="1"/>
  <c r="D7953" i="1"/>
  <c r="H7953" i="1" s="1"/>
  <c r="G7952" i="1"/>
  <c r="F7952" i="1"/>
  <c r="D7952" i="1"/>
  <c r="H7952" i="1" s="1"/>
  <c r="G7951" i="1"/>
  <c r="F7951" i="1"/>
  <c r="H7951" i="1" s="1"/>
  <c r="D7951" i="1"/>
  <c r="G7950" i="1"/>
  <c r="F7950" i="1"/>
  <c r="D7950" i="1"/>
  <c r="H7950" i="1" s="1"/>
  <c r="G7949" i="1"/>
  <c r="F7949" i="1"/>
  <c r="D7949" i="1"/>
  <c r="H7949" i="1" s="1"/>
  <c r="G7948" i="1"/>
  <c r="F7948" i="1"/>
  <c r="H7948" i="1" s="1"/>
  <c r="D7948" i="1"/>
  <c r="H7947" i="1"/>
  <c r="G7946" i="1"/>
  <c r="F7946" i="1"/>
  <c r="D7946" i="1"/>
  <c r="H7946" i="1" s="1"/>
  <c r="G7945" i="1"/>
  <c r="F7945" i="1"/>
  <c r="D7945" i="1"/>
  <c r="H7945" i="1" s="1"/>
  <c r="G7944" i="1"/>
  <c r="H7944" i="1" s="1"/>
  <c r="F7944" i="1"/>
  <c r="D7944" i="1"/>
  <c r="G7943" i="1"/>
  <c r="F7943" i="1"/>
  <c r="D7943" i="1"/>
  <c r="H7943" i="1" s="1"/>
  <c r="G7942" i="1"/>
  <c r="F7942" i="1"/>
  <c r="D7942" i="1"/>
  <c r="H7942" i="1" s="1"/>
  <c r="G7941" i="1"/>
  <c r="H7941" i="1" s="1"/>
  <c r="F7941" i="1"/>
  <c r="D7941" i="1"/>
  <c r="G7940" i="1"/>
  <c r="F7940" i="1"/>
  <c r="D7940" i="1"/>
  <c r="H7940" i="1" s="1"/>
  <c r="G7939" i="1"/>
  <c r="F7939" i="1"/>
  <c r="D7939" i="1"/>
  <c r="H7939" i="1" s="1"/>
  <c r="G7938" i="1"/>
  <c r="F7938" i="1"/>
  <c r="D7938" i="1"/>
  <c r="H7938" i="1" s="1"/>
  <c r="G7937" i="1"/>
  <c r="F7937" i="1"/>
  <c r="D7937" i="1"/>
  <c r="H7937" i="1" s="1"/>
  <c r="H7936" i="1"/>
  <c r="G7935" i="1"/>
  <c r="F7935" i="1"/>
  <c r="D7935" i="1"/>
  <c r="H7935" i="1" s="1"/>
  <c r="H7934" i="1"/>
  <c r="G7934" i="1"/>
  <c r="F7934" i="1"/>
  <c r="D7934" i="1"/>
  <c r="G7933" i="1"/>
  <c r="F7933" i="1"/>
  <c r="H7933" i="1" s="1"/>
  <c r="D7933" i="1"/>
  <c r="G7932" i="1"/>
  <c r="F7932" i="1"/>
  <c r="D7932" i="1"/>
  <c r="H7932" i="1" s="1"/>
  <c r="H7931" i="1"/>
  <c r="G7931" i="1"/>
  <c r="F7931" i="1"/>
  <c r="D7931" i="1"/>
  <c r="G7930" i="1"/>
  <c r="F7930" i="1"/>
  <c r="H7930" i="1" s="1"/>
  <c r="D7930" i="1"/>
  <c r="G7929" i="1"/>
  <c r="F7929" i="1"/>
  <c r="D7929" i="1"/>
  <c r="H7929" i="1" s="1"/>
  <c r="G7928" i="1"/>
  <c r="F7928" i="1"/>
  <c r="D7928" i="1"/>
  <c r="H7928" i="1" s="1"/>
  <c r="G7927" i="1"/>
  <c r="F7927" i="1"/>
  <c r="H7927" i="1" s="1"/>
  <c r="D7927" i="1"/>
  <c r="G7926" i="1"/>
  <c r="F7926" i="1"/>
  <c r="D7926" i="1"/>
  <c r="H7926" i="1" s="1"/>
  <c r="G7925" i="1"/>
  <c r="F7925" i="1"/>
  <c r="D7925" i="1"/>
  <c r="H7925" i="1" s="1"/>
  <c r="G7924" i="1"/>
  <c r="F7924" i="1"/>
  <c r="H7924" i="1" s="1"/>
  <c r="D7924" i="1"/>
  <c r="G7923" i="1"/>
  <c r="F7923" i="1"/>
  <c r="D7923" i="1"/>
  <c r="H7923" i="1" s="1"/>
  <c r="G7922" i="1"/>
  <c r="F7922" i="1"/>
  <c r="D7922" i="1"/>
  <c r="H7922" i="1" s="1"/>
  <c r="G7921" i="1"/>
  <c r="F7921" i="1"/>
  <c r="H7921" i="1" s="1"/>
  <c r="D7921" i="1"/>
  <c r="G7920" i="1"/>
  <c r="F7920" i="1"/>
  <c r="D7920" i="1"/>
  <c r="H7920" i="1" s="1"/>
  <c r="H7919" i="1"/>
  <c r="G7918" i="1"/>
  <c r="F7918" i="1"/>
  <c r="D7918" i="1"/>
  <c r="H7918" i="1" s="1"/>
  <c r="G7917" i="1"/>
  <c r="F7917" i="1"/>
  <c r="H7917" i="1" s="1"/>
  <c r="D7917" i="1"/>
  <c r="H7916" i="1"/>
  <c r="G7916" i="1"/>
  <c r="F7916" i="1"/>
  <c r="D7916" i="1"/>
  <c r="G7915" i="1"/>
  <c r="F7915" i="1"/>
  <c r="D7915" i="1"/>
  <c r="H7915" i="1" s="1"/>
  <c r="G7914" i="1"/>
  <c r="F7914" i="1"/>
  <c r="H7914" i="1" s="1"/>
  <c r="D7914" i="1"/>
  <c r="H7913" i="1"/>
  <c r="G7913" i="1"/>
  <c r="F7913" i="1"/>
  <c r="D7913" i="1"/>
  <c r="G7912" i="1"/>
  <c r="F7912" i="1"/>
  <c r="D7912" i="1"/>
  <c r="H7912" i="1" s="1"/>
  <c r="G7911" i="1"/>
  <c r="F7911" i="1"/>
  <c r="H7911" i="1" s="1"/>
  <c r="D7911" i="1"/>
  <c r="H7910" i="1"/>
  <c r="G7910" i="1"/>
  <c r="F7910" i="1"/>
  <c r="D7910" i="1"/>
  <c r="G7909" i="1"/>
  <c r="F7909" i="1"/>
  <c r="D7909" i="1"/>
  <c r="H7909" i="1" s="1"/>
  <c r="H7908" i="1"/>
  <c r="H7907" i="1"/>
  <c r="G7907" i="1"/>
  <c r="F7907" i="1"/>
  <c r="D7907" i="1"/>
  <c r="H7906" i="1"/>
  <c r="G7906" i="1"/>
  <c r="F7906" i="1"/>
  <c r="D7906" i="1"/>
  <c r="G7905" i="1"/>
  <c r="F7905" i="1"/>
  <c r="H7905" i="1" s="1"/>
  <c r="D7905" i="1"/>
  <c r="H7904" i="1"/>
  <c r="G7904" i="1"/>
  <c r="F7904" i="1"/>
  <c r="D7904" i="1"/>
  <c r="H7903" i="1"/>
  <c r="G7903" i="1"/>
  <c r="F7903" i="1"/>
  <c r="D7903" i="1"/>
  <c r="G7902" i="1"/>
  <c r="F7902" i="1"/>
  <c r="D7902" i="1"/>
  <c r="H7902" i="1" s="1"/>
  <c r="H7901" i="1"/>
  <c r="G7901" i="1"/>
  <c r="F7901" i="1"/>
  <c r="D7901" i="1"/>
  <c r="G7900" i="1"/>
  <c r="H7900" i="1" s="1"/>
  <c r="F7900" i="1"/>
  <c r="D7900" i="1"/>
  <c r="G7899" i="1"/>
  <c r="F7899" i="1"/>
  <c r="D7899" i="1"/>
  <c r="H7899" i="1" s="1"/>
  <c r="H7898" i="1"/>
  <c r="G7897" i="1"/>
  <c r="F7897" i="1"/>
  <c r="D7897" i="1"/>
  <c r="H7897" i="1" s="1"/>
  <c r="H7896" i="1"/>
  <c r="G7896" i="1"/>
  <c r="F7896" i="1"/>
  <c r="D7896" i="1"/>
  <c r="G7895" i="1"/>
  <c r="F7895" i="1"/>
  <c r="D7895" i="1"/>
  <c r="H7895" i="1" s="1"/>
  <c r="G7894" i="1"/>
  <c r="F7894" i="1"/>
  <c r="D7894" i="1"/>
  <c r="H7894" i="1" s="1"/>
  <c r="G7893" i="1"/>
  <c r="H7893" i="1" s="1"/>
  <c r="F7893" i="1"/>
  <c r="D7893" i="1"/>
  <c r="G7892" i="1"/>
  <c r="F7892" i="1"/>
  <c r="D7892" i="1"/>
  <c r="H7892" i="1" s="1"/>
  <c r="G7891" i="1"/>
  <c r="F7891" i="1"/>
  <c r="D7891" i="1"/>
  <c r="H7891" i="1" s="1"/>
  <c r="G7890" i="1"/>
  <c r="H7890" i="1" s="1"/>
  <c r="F7890" i="1"/>
  <c r="D7890" i="1"/>
  <c r="G7889" i="1"/>
  <c r="F7889" i="1"/>
  <c r="D7889" i="1"/>
  <c r="H7889" i="1" s="1"/>
  <c r="G7888" i="1"/>
  <c r="F7888" i="1"/>
  <c r="D7888" i="1"/>
  <c r="H7888" i="1" s="1"/>
  <c r="G7887" i="1"/>
  <c r="F7887" i="1"/>
  <c r="D7887" i="1"/>
  <c r="H7887" i="1" s="1"/>
  <c r="G7886" i="1"/>
  <c r="F7886" i="1"/>
  <c r="D7886" i="1"/>
  <c r="H7886" i="1" s="1"/>
  <c r="G7885" i="1"/>
  <c r="F7885" i="1"/>
  <c r="D7885" i="1"/>
  <c r="H7885" i="1" s="1"/>
  <c r="G7884" i="1"/>
  <c r="F7884" i="1"/>
  <c r="D7884" i="1"/>
  <c r="H7884" i="1" s="1"/>
  <c r="G7883" i="1"/>
  <c r="F7883" i="1"/>
  <c r="D7883" i="1"/>
  <c r="H7883" i="1" s="1"/>
  <c r="G7882" i="1"/>
  <c r="F7882" i="1"/>
  <c r="D7882" i="1"/>
  <c r="H7882" i="1" s="1"/>
  <c r="H7881" i="1"/>
  <c r="G7880" i="1"/>
  <c r="F7880" i="1"/>
  <c r="D7880" i="1"/>
  <c r="H7880" i="1" s="1"/>
  <c r="G7879" i="1"/>
  <c r="F7879" i="1"/>
  <c r="H7879" i="1" s="1"/>
  <c r="D7879" i="1"/>
  <c r="G7878" i="1"/>
  <c r="F7878" i="1"/>
  <c r="D7878" i="1"/>
  <c r="H7878" i="1" s="1"/>
  <c r="G7877" i="1"/>
  <c r="F7877" i="1"/>
  <c r="D7877" i="1"/>
  <c r="H7877" i="1" s="1"/>
  <c r="G7876" i="1"/>
  <c r="F7876" i="1"/>
  <c r="H7876" i="1" s="1"/>
  <c r="D7876" i="1"/>
  <c r="G7875" i="1"/>
  <c r="F7875" i="1"/>
  <c r="D7875" i="1"/>
  <c r="H7875" i="1" s="1"/>
  <c r="G7874" i="1"/>
  <c r="F7874" i="1"/>
  <c r="D7874" i="1"/>
  <c r="H7874" i="1" s="1"/>
  <c r="G7873" i="1"/>
  <c r="F7873" i="1"/>
  <c r="H7873" i="1" s="1"/>
  <c r="D7873" i="1"/>
  <c r="G7872" i="1"/>
  <c r="F7872" i="1"/>
  <c r="D7872" i="1"/>
  <c r="H7872" i="1" s="1"/>
  <c r="G7871" i="1"/>
  <c r="F7871" i="1"/>
  <c r="D7871" i="1"/>
  <c r="H7871" i="1" s="1"/>
  <c r="H7870" i="1"/>
  <c r="G7869" i="1"/>
  <c r="F7869" i="1"/>
  <c r="H7869" i="1" s="1"/>
  <c r="D7869" i="1"/>
  <c r="H7868" i="1"/>
  <c r="G7868" i="1"/>
  <c r="F7868" i="1"/>
  <c r="D7868" i="1"/>
  <c r="G7867" i="1"/>
  <c r="F7867" i="1"/>
  <c r="D7867" i="1"/>
  <c r="H7867" i="1" s="1"/>
  <c r="G7866" i="1"/>
  <c r="F7866" i="1"/>
  <c r="H7866" i="1" s="1"/>
  <c r="D7866" i="1"/>
  <c r="H7865" i="1"/>
  <c r="G7865" i="1"/>
  <c r="F7865" i="1"/>
  <c r="D7865" i="1"/>
  <c r="G7864" i="1"/>
  <c r="F7864" i="1"/>
  <c r="D7864" i="1"/>
  <c r="H7864" i="1" s="1"/>
  <c r="G7863" i="1"/>
  <c r="F7863" i="1"/>
  <c r="D7863" i="1"/>
  <c r="H7863" i="1" s="1"/>
  <c r="H7862" i="1"/>
  <c r="G7862" i="1"/>
  <c r="F7862" i="1"/>
  <c r="D7862" i="1"/>
  <c r="G7861" i="1"/>
  <c r="F7861" i="1"/>
  <c r="D7861" i="1"/>
  <c r="H7861" i="1" s="1"/>
  <c r="G7860" i="1"/>
  <c r="F7860" i="1"/>
  <c r="D7860" i="1"/>
  <c r="H7860" i="1" s="1"/>
  <c r="H7859" i="1"/>
  <c r="G7859" i="1"/>
  <c r="F7859" i="1"/>
  <c r="D7859" i="1"/>
  <c r="G7858" i="1"/>
  <c r="F7858" i="1"/>
  <c r="D7858" i="1"/>
  <c r="H7858" i="1" s="1"/>
  <c r="G7857" i="1"/>
  <c r="F7857" i="1"/>
  <c r="D7857" i="1"/>
  <c r="H7857" i="1" s="1"/>
  <c r="H7856" i="1"/>
  <c r="G7856" i="1"/>
  <c r="F7856" i="1"/>
  <c r="D7856" i="1"/>
  <c r="G7855" i="1"/>
  <c r="F7855" i="1"/>
  <c r="D7855" i="1"/>
  <c r="H7855" i="1" s="1"/>
  <c r="H7854" i="1"/>
  <c r="H7853" i="1"/>
  <c r="G7853" i="1"/>
  <c r="F7853" i="1"/>
  <c r="D7853" i="1"/>
  <c r="H7852" i="1"/>
  <c r="G7852" i="1"/>
  <c r="F7852" i="1"/>
  <c r="D7852" i="1"/>
  <c r="G7851" i="1"/>
  <c r="F7851" i="1"/>
  <c r="H7851" i="1" s="1"/>
  <c r="D7851" i="1"/>
  <c r="H7850" i="1"/>
  <c r="G7850" i="1"/>
  <c r="F7850" i="1"/>
  <c r="D7850" i="1"/>
  <c r="H7849" i="1"/>
  <c r="G7849" i="1"/>
  <c r="F7849" i="1"/>
  <c r="D7849" i="1"/>
  <c r="H7848" i="1"/>
  <c r="G7847" i="1"/>
  <c r="F7847" i="1"/>
  <c r="D7847" i="1"/>
  <c r="H7847" i="1" s="1"/>
  <c r="G7846" i="1"/>
  <c r="F7846" i="1"/>
  <c r="D7846" i="1"/>
  <c r="H7846" i="1" s="1"/>
  <c r="G7845" i="1"/>
  <c r="F7845" i="1"/>
  <c r="D7845" i="1"/>
  <c r="H7845" i="1" s="1"/>
  <c r="G7844" i="1"/>
  <c r="F7844" i="1"/>
  <c r="D7844" i="1"/>
  <c r="H7844" i="1" s="1"/>
  <c r="G7843" i="1"/>
  <c r="F7843" i="1"/>
  <c r="D7843" i="1"/>
  <c r="H7843" i="1" s="1"/>
  <c r="G7842" i="1"/>
  <c r="F7842" i="1"/>
  <c r="D7842" i="1"/>
  <c r="H7842" i="1" s="1"/>
  <c r="G7841" i="1"/>
  <c r="F7841" i="1"/>
  <c r="D7841" i="1"/>
  <c r="H7841" i="1" s="1"/>
  <c r="G7840" i="1"/>
  <c r="F7840" i="1"/>
  <c r="D7840" i="1"/>
  <c r="H7840" i="1" s="1"/>
  <c r="G7839" i="1"/>
  <c r="F7839" i="1"/>
  <c r="D7839" i="1"/>
  <c r="H7839" i="1" s="1"/>
  <c r="G7838" i="1"/>
  <c r="F7838" i="1"/>
  <c r="D7838" i="1"/>
  <c r="H7838" i="1" s="1"/>
  <c r="H7837" i="1"/>
  <c r="G7836" i="1"/>
  <c r="F7836" i="1"/>
  <c r="D7836" i="1"/>
  <c r="H7836" i="1" s="1"/>
  <c r="G7835" i="1"/>
  <c r="F7835" i="1"/>
  <c r="H7835" i="1" s="1"/>
  <c r="D7835" i="1"/>
  <c r="G7834" i="1"/>
  <c r="F7834" i="1"/>
  <c r="H7834" i="1" s="1"/>
  <c r="D7834" i="1"/>
  <c r="G7833" i="1"/>
  <c r="F7833" i="1"/>
  <c r="D7833" i="1"/>
  <c r="H7833" i="1" s="1"/>
  <c r="G7832" i="1"/>
  <c r="F7832" i="1"/>
  <c r="D7832" i="1"/>
  <c r="H7832" i="1" s="1"/>
  <c r="G7831" i="1"/>
  <c r="F7831" i="1"/>
  <c r="H7831" i="1" s="1"/>
  <c r="D7831" i="1"/>
  <c r="G7830" i="1"/>
  <c r="F7830" i="1"/>
  <c r="D7830" i="1"/>
  <c r="H7830" i="1" s="1"/>
  <c r="G7829" i="1"/>
  <c r="F7829" i="1"/>
  <c r="D7829" i="1"/>
  <c r="H7829" i="1" s="1"/>
  <c r="G7828" i="1"/>
  <c r="F7828" i="1"/>
  <c r="H7828" i="1" s="1"/>
  <c r="D7828" i="1"/>
  <c r="G7827" i="1"/>
  <c r="F7827" i="1"/>
  <c r="D7827" i="1"/>
  <c r="H7827" i="1" s="1"/>
  <c r="H7826" i="1"/>
  <c r="G7825" i="1"/>
  <c r="F7825" i="1"/>
  <c r="D7825" i="1"/>
  <c r="H7825" i="1" s="1"/>
  <c r="G7824" i="1"/>
  <c r="F7824" i="1"/>
  <c r="D7824" i="1"/>
  <c r="H7824" i="1" s="1"/>
  <c r="H7823" i="1"/>
  <c r="G7823" i="1"/>
  <c r="F7823" i="1"/>
  <c r="D7823" i="1"/>
  <c r="G7822" i="1"/>
  <c r="F7822" i="1"/>
  <c r="D7822" i="1"/>
  <c r="H7822" i="1" s="1"/>
  <c r="G7821" i="1"/>
  <c r="F7821" i="1"/>
  <c r="D7821" i="1"/>
  <c r="H7821" i="1" s="1"/>
  <c r="H7820" i="1"/>
  <c r="G7820" i="1"/>
  <c r="F7820" i="1"/>
  <c r="D7820" i="1"/>
  <c r="G7819" i="1"/>
  <c r="F7819" i="1"/>
  <c r="D7819" i="1"/>
  <c r="H7819" i="1" s="1"/>
  <c r="G7818" i="1"/>
  <c r="F7818" i="1"/>
  <c r="D7818" i="1"/>
  <c r="H7818" i="1" s="1"/>
  <c r="H7817" i="1"/>
  <c r="G7817" i="1"/>
  <c r="F7817" i="1"/>
  <c r="D7817" i="1"/>
  <c r="G7816" i="1"/>
  <c r="F7816" i="1"/>
  <c r="D7816" i="1"/>
  <c r="H7816" i="1" s="1"/>
  <c r="H7815" i="1"/>
  <c r="H7814" i="1"/>
  <c r="G7814" i="1"/>
  <c r="F7814" i="1"/>
  <c r="D7814" i="1"/>
  <c r="H7813" i="1"/>
  <c r="G7813" i="1"/>
  <c r="F7813" i="1"/>
  <c r="D7813" i="1"/>
  <c r="G7812" i="1"/>
  <c r="F7812" i="1"/>
  <c r="H7812" i="1" s="1"/>
  <c r="D7812" i="1"/>
  <c r="H7811" i="1"/>
  <c r="G7811" i="1"/>
  <c r="F7811" i="1"/>
  <c r="D7811" i="1"/>
  <c r="H7810" i="1"/>
  <c r="G7810" i="1"/>
  <c r="F7810" i="1"/>
  <c r="D7810" i="1"/>
  <c r="G7809" i="1"/>
  <c r="F7809" i="1"/>
  <c r="H7809" i="1" s="1"/>
  <c r="D7809" i="1"/>
  <c r="H7808" i="1"/>
  <c r="G7808" i="1"/>
  <c r="F7808" i="1"/>
  <c r="D7808" i="1"/>
  <c r="H7807" i="1"/>
  <c r="G7807" i="1"/>
  <c r="F7807" i="1"/>
  <c r="D7807" i="1"/>
  <c r="G7806" i="1"/>
  <c r="F7806" i="1"/>
  <c r="H7806" i="1" s="1"/>
  <c r="D7806" i="1"/>
  <c r="H7805" i="1"/>
  <c r="G7805" i="1"/>
  <c r="F7805" i="1"/>
  <c r="D7805" i="1"/>
  <c r="H7804" i="1"/>
  <c r="G7803" i="1"/>
  <c r="F7803" i="1"/>
  <c r="D7803" i="1"/>
  <c r="H7803" i="1" s="1"/>
  <c r="G7802" i="1"/>
  <c r="F7802" i="1"/>
  <c r="D7802" i="1"/>
  <c r="H7802" i="1" s="1"/>
  <c r="G7801" i="1"/>
  <c r="F7801" i="1"/>
  <c r="D7801" i="1"/>
  <c r="H7801" i="1" s="1"/>
  <c r="G7800" i="1"/>
  <c r="F7800" i="1"/>
  <c r="D7800" i="1"/>
  <c r="H7800" i="1" s="1"/>
  <c r="G7799" i="1"/>
  <c r="F7799" i="1"/>
  <c r="D7799" i="1"/>
  <c r="H7799" i="1" s="1"/>
  <c r="G7798" i="1"/>
  <c r="F7798" i="1"/>
  <c r="D7798" i="1"/>
  <c r="H7798" i="1" s="1"/>
  <c r="G7797" i="1"/>
  <c r="F7797" i="1"/>
  <c r="D7797" i="1"/>
  <c r="H7797" i="1" s="1"/>
  <c r="G7796" i="1"/>
  <c r="F7796" i="1"/>
  <c r="D7796" i="1"/>
  <c r="H7796" i="1" s="1"/>
  <c r="G7795" i="1"/>
  <c r="F7795" i="1"/>
  <c r="D7795" i="1"/>
  <c r="H7795" i="1" s="1"/>
  <c r="G7794" i="1"/>
  <c r="F7794" i="1"/>
  <c r="D7794" i="1"/>
  <c r="H7794" i="1" s="1"/>
  <c r="G7793" i="1"/>
  <c r="F7793" i="1"/>
  <c r="D7793" i="1"/>
  <c r="H7793" i="1" s="1"/>
  <c r="G7792" i="1"/>
  <c r="F7792" i="1"/>
  <c r="D7792" i="1"/>
  <c r="H7792" i="1" s="1"/>
  <c r="G7791" i="1"/>
  <c r="F7791" i="1"/>
  <c r="D7791" i="1"/>
  <c r="H7791" i="1" s="1"/>
  <c r="G7790" i="1"/>
  <c r="F7790" i="1"/>
  <c r="D7790" i="1"/>
  <c r="H7790" i="1" s="1"/>
  <c r="G7789" i="1"/>
  <c r="F7789" i="1"/>
  <c r="D7789" i="1"/>
  <c r="H7789" i="1" s="1"/>
  <c r="H7788" i="1"/>
  <c r="G7787" i="1"/>
  <c r="F7787" i="1"/>
  <c r="H7787" i="1" s="1"/>
  <c r="D7787" i="1"/>
  <c r="G7786" i="1"/>
  <c r="F7786" i="1"/>
  <c r="H7786" i="1" s="1"/>
  <c r="D7786" i="1"/>
  <c r="G7785" i="1"/>
  <c r="F7785" i="1"/>
  <c r="D7785" i="1"/>
  <c r="H7785" i="1" s="1"/>
  <c r="G7784" i="1"/>
  <c r="F7784" i="1"/>
  <c r="D7784" i="1"/>
  <c r="H7784" i="1" s="1"/>
  <c r="G7783" i="1"/>
  <c r="F7783" i="1"/>
  <c r="H7783" i="1" s="1"/>
  <c r="D7783" i="1"/>
  <c r="G7782" i="1"/>
  <c r="F7782" i="1"/>
  <c r="D7782" i="1"/>
  <c r="H7782" i="1" s="1"/>
  <c r="G7781" i="1"/>
  <c r="F7781" i="1"/>
  <c r="D7781" i="1"/>
  <c r="H7781" i="1" s="1"/>
  <c r="G7780" i="1"/>
  <c r="F7780" i="1"/>
  <c r="H7780" i="1" s="1"/>
  <c r="D7780" i="1"/>
  <c r="G7779" i="1"/>
  <c r="F7779" i="1"/>
  <c r="D7779" i="1"/>
  <c r="H7779" i="1" s="1"/>
  <c r="G7778" i="1"/>
  <c r="F7778" i="1"/>
  <c r="D7778" i="1"/>
  <c r="H7778" i="1" s="1"/>
  <c r="G7777" i="1"/>
  <c r="F7777" i="1"/>
  <c r="H7777" i="1" s="1"/>
  <c r="D7777" i="1"/>
  <c r="G7776" i="1"/>
  <c r="F7776" i="1"/>
  <c r="D7776" i="1"/>
  <c r="H7776" i="1" s="1"/>
  <c r="G7775" i="1"/>
  <c r="F7775" i="1"/>
  <c r="D7775" i="1"/>
  <c r="H7775" i="1" s="1"/>
  <c r="G7774" i="1"/>
  <c r="F7774" i="1"/>
  <c r="H7774" i="1" s="1"/>
  <c r="D7774" i="1"/>
  <c r="G7773" i="1"/>
  <c r="F7773" i="1"/>
  <c r="D7773" i="1"/>
  <c r="H7773" i="1" s="1"/>
  <c r="H7772" i="1"/>
  <c r="G7771" i="1"/>
  <c r="F7771" i="1"/>
  <c r="D7771" i="1"/>
  <c r="H7771" i="1" s="1"/>
  <c r="G7770" i="1"/>
  <c r="F7770" i="1"/>
  <c r="D7770" i="1"/>
  <c r="H7770" i="1" s="1"/>
  <c r="H7769" i="1"/>
  <c r="G7769" i="1"/>
  <c r="F7769" i="1"/>
  <c r="D7769" i="1"/>
  <c r="G7768" i="1"/>
  <c r="F7768" i="1"/>
  <c r="D7768" i="1"/>
  <c r="H7768" i="1" s="1"/>
  <c r="G7767" i="1"/>
  <c r="F7767" i="1"/>
  <c r="D7767" i="1"/>
  <c r="H7767" i="1" s="1"/>
  <c r="H7766" i="1"/>
  <c r="G7766" i="1"/>
  <c r="F7766" i="1"/>
  <c r="D7766" i="1"/>
  <c r="G7765" i="1"/>
  <c r="F7765" i="1"/>
  <c r="D7765" i="1"/>
  <c r="H7765" i="1" s="1"/>
  <c r="G7764" i="1"/>
  <c r="F7764" i="1"/>
  <c r="D7764" i="1"/>
  <c r="H7764" i="1" s="1"/>
  <c r="H7763" i="1"/>
  <c r="G7763" i="1"/>
  <c r="F7763" i="1"/>
  <c r="D7763" i="1"/>
  <c r="G7762" i="1"/>
  <c r="F7762" i="1"/>
  <c r="D7762" i="1"/>
  <c r="H7762" i="1" s="1"/>
  <c r="G7761" i="1"/>
  <c r="F7761" i="1"/>
  <c r="D7761" i="1"/>
  <c r="H7761" i="1" s="1"/>
  <c r="H7760" i="1"/>
  <c r="G7760" i="1"/>
  <c r="F7760" i="1"/>
  <c r="D7760" i="1"/>
  <c r="G7759" i="1"/>
  <c r="F7759" i="1"/>
  <c r="D7759" i="1"/>
  <c r="H7759" i="1" s="1"/>
  <c r="G7758" i="1"/>
  <c r="F7758" i="1"/>
  <c r="D7758" i="1"/>
  <c r="H7758" i="1" s="1"/>
  <c r="H7757" i="1"/>
  <c r="G7757" i="1"/>
  <c r="F7757" i="1"/>
  <c r="D7757" i="1"/>
  <c r="G7756" i="1"/>
  <c r="F7756" i="1"/>
  <c r="D7756" i="1"/>
  <c r="H7756" i="1" s="1"/>
  <c r="H7755" i="1"/>
  <c r="H7754" i="1"/>
  <c r="G7754" i="1"/>
  <c r="F7754" i="1"/>
  <c r="D7754" i="1"/>
  <c r="H7753" i="1"/>
  <c r="G7753" i="1"/>
  <c r="F7753" i="1"/>
  <c r="D7753" i="1"/>
  <c r="G7752" i="1"/>
  <c r="F7752" i="1"/>
  <c r="H7752" i="1" s="1"/>
  <c r="D7752" i="1"/>
  <c r="H7751" i="1"/>
  <c r="G7751" i="1"/>
  <c r="F7751" i="1"/>
  <c r="D7751" i="1"/>
  <c r="H7750" i="1"/>
  <c r="G7750" i="1"/>
  <c r="F7750" i="1"/>
  <c r="D7750" i="1"/>
  <c r="G7749" i="1"/>
  <c r="F7749" i="1"/>
  <c r="H7749" i="1" s="1"/>
  <c r="D7749" i="1"/>
  <c r="H7748" i="1"/>
  <c r="G7748" i="1"/>
  <c r="F7748" i="1"/>
  <c r="D7748" i="1"/>
  <c r="H7747" i="1"/>
  <c r="G7747" i="1"/>
  <c r="F7747" i="1"/>
  <c r="D7747" i="1"/>
  <c r="G7746" i="1"/>
  <c r="F7746" i="1"/>
  <c r="H7746" i="1" s="1"/>
  <c r="D7746" i="1"/>
  <c r="H7745" i="1"/>
  <c r="G7744" i="1"/>
  <c r="F7744" i="1"/>
  <c r="D7744" i="1"/>
  <c r="H7744" i="1" s="1"/>
  <c r="G7743" i="1"/>
  <c r="F7743" i="1"/>
  <c r="D7743" i="1"/>
  <c r="H7743" i="1" s="1"/>
  <c r="G7742" i="1"/>
  <c r="F7742" i="1"/>
  <c r="D7742" i="1"/>
  <c r="H7742" i="1" s="1"/>
  <c r="G7741" i="1"/>
  <c r="F7741" i="1"/>
  <c r="D7741" i="1"/>
  <c r="H7741" i="1" s="1"/>
  <c r="G7740" i="1"/>
  <c r="F7740" i="1"/>
  <c r="D7740" i="1"/>
  <c r="H7740" i="1" s="1"/>
  <c r="G7739" i="1"/>
  <c r="F7739" i="1"/>
  <c r="D7739" i="1"/>
  <c r="H7739" i="1" s="1"/>
  <c r="G7738" i="1"/>
  <c r="F7738" i="1"/>
  <c r="D7738" i="1"/>
  <c r="H7738" i="1" s="1"/>
  <c r="G7737" i="1"/>
  <c r="F7737" i="1"/>
  <c r="D7737" i="1"/>
  <c r="H7737" i="1" s="1"/>
  <c r="G7736" i="1"/>
  <c r="F7736" i="1"/>
  <c r="D7736" i="1"/>
  <c r="H7736" i="1" s="1"/>
  <c r="G7735" i="1"/>
  <c r="F7735" i="1"/>
  <c r="D7735" i="1"/>
  <c r="H7735" i="1" s="1"/>
  <c r="G7734" i="1"/>
  <c r="F7734" i="1"/>
  <c r="D7734" i="1"/>
  <c r="H7734" i="1" s="1"/>
  <c r="G7733" i="1"/>
  <c r="F7733" i="1"/>
  <c r="D7733" i="1"/>
  <c r="H7733" i="1" s="1"/>
  <c r="G7732" i="1"/>
  <c r="F7732" i="1"/>
  <c r="D7732" i="1"/>
  <c r="H7732" i="1" s="1"/>
  <c r="G7731" i="1"/>
  <c r="F7731" i="1"/>
  <c r="D7731" i="1"/>
  <c r="H7731" i="1" s="1"/>
  <c r="G7730" i="1"/>
  <c r="F7730" i="1"/>
  <c r="D7730" i="1"/>
  <c r="H7730" i="1" s="1"/>
  <c r="H7729" i="1"/>
  <c r="G7728" i="1"/>
  <c r="F7728" i="1"/>
  <c r="D7728" i="1"/>
  <c r="H7728" i="1" s="1"/>
  <c r="G7727" i="1"/>
  <c r="F7727" i="1"/>
  <c r="H7727" i="1" s="1"/>
  <c r="D7727" i="1"/>
  <c r="G7726" i="1"/>
  <c r="F7726" i="1"/>
  <c r="H7726" i="1" s="1"/>
  <c r="D7726" i="1"/>
  <c r="G7725" i="1"/>
  <c r="F7725" i="1"/>
  <c r="D7725" i="1"/>
  <c r="H7725" i="1" s="1"/>
  <c r="G7724" i="1"/>
  <c r="F7724" i="1"/>
  <c r="D7724" i="1"/>
  <c r="H7724" i="1" s="1"/>
  <c r="G7723" i="1"/>
  <c r="F7723" i="1"/>
  <c r="H7723" i="1" s="1"/>
  <c r="D7723" i="1"/>
  <c r="G7722" i="1"/>
  <c r="F7722" i="1"/>
  <c r="D7722" i="1"/>
  <c r="H7722" i="1" s="1"/>
  <c r="G7721" i="1"/>
  <c r="F7721" i="1"/>
  <c r="D7721" i="1"/>
  <c r="H7721" i="1" s="1"/>
  <c r="G7720" i="1"/>
  <c r="F7720" i="1"/>
  <c r="H7720" i="1" s="1"/>
  <c r="D7720" i="1"/>
  <c r="G7719" i="1"/>
  <c r="F7719" i="1"/>
  <c r="D7719" i="1"/>
  <c r="H7719" i="1" s="1"/>
  <c r="G7718" i="1"/>
  <c r="F7718" i="1"/>
  <c r="D7718" i="1"/>
  <c r="H7718" i="1" s="1"/>
  <c r="G7717" i="1"/>
  <c r="F7717" i="1"/>
  <c r="H7717" i="1" s="1"/>
  <c r="D7717" i="1"/>
  <c r="G7716" i="1"/>
  <c r="F7716" i="1"/>
  <c r="D7716" i="1"/>
  <c r="H7716" i="1" s="1"/>
  <c r="G7715" i="1"/>
  <c r="F7715" i="1"/>
  <c r="D7715" i="1"/>
  <c r="H7715" i="1" s="1"/>
  <c r="G7714" i="1"/>
  <c r="F7714" i="1"/>
  <c r="H7714" i="1" s="1"/>
  <c r="D7714" i="1"/>
  <c r="H7713" i="1"/>
  <c r="H7712" i="1"/>
  <c r="G7712" i="1"/>
  <c r="F7712" i="1"/>
  <c r="D7712" i="1"/>
  <c r="G7711" i="1"/>
  <c r="F7711" i="1"/>
  <c r="D7711" i="1"/>
  <c r="H7711" i="1" s="1"/>
  <c r="G7710" i="1"/>
  <c r="F7710" i="1"/>
  <c r="D7710" i="1"/>
  <c r="H7710" i="1" s="1"/>
  <c r="H7709" i="1"/>
  <c r="G7709" i="1"/>
  <c r="F7709" i="1"/>
  <c r="D7709" i="1"/>
  <c r="G7708" i="1"/>
  <c r="F7708" i="1"/>
  <c r="D7708" i="1"/>
  <c r="H7708" i="1" s="1"/>
  <c r="G7707" i="1"/>
  <c r="F7707" i="1"/>
  <c r="D7707" i="1"/>
  <c r="H7707" i="1" s="1"/>
  <c r="G7706" i="1"/>
  <c r="H7706" i="1" s="1"/>
  <c r="F7706" i="1"/>
  <c r="D7706" i="1"/>
  <c r="G7705" i="1"/>
  <c r="F7705" i="1"/>
  <c r="D7705" i="1"/>
  <c r="H7705" i="1" s="1"/>
  <c r="G7704" i="1"/>
  <c r="F7704" i="1"/>
  <c r="D7704" i="1"/>
  <c r="H7704" i="1" s="1"/>
  <c r="G7703" i="1"/>
  <c r="H7703" i="1" s="1"/>
  <c r="F7703" i="1"/>
  <c r="D7703" i="1"/>
  <c r="G7702" i="1"/>
  <c r="F7702" i="1"/>
  <c r="D7702" i="1"/>
  <c r="H7702" i="1" s="1"/>
  <c r="G7701" i="1"/>
  <c r="F7701" i="1"/>
  <c r="D7701" i="1"/>
  <c r="H7701" i="1" s="1"/>
  <c r="G7700" i="1"/>
  <c r="H7700" i="1" s="1"/>
  <c r="F7700" i="1"/>
  <c r="D7700" i="1"/>
  <c r="G7699" i="1"/>
  <c r="F7699" i="1"/>
  <c r="D7699" i="1"/>
  <c r="H7699" i="1" s="1"/>
  <c r="G7698" i="1"/>
  <c r="F7698" i="1"/>
  <c r="D7698" i="1"/>
  <c r="H7698" i="1" s="1"/>
  <c r="H7697" i="1"/>
  <c r="H7696" i="1"/>
  <c r="G7696" i="1"/>
  <c r="F7696" i="1"/>
  <c r="D7696" i="1"/>
  <c r="G7695" i="1"/>
  <c r="F7695" i="1"/>
  <c r="H7695" i="1" s="1"/>
  <c r="D7695" i="1"/>
  <c r="H7694" i="1"/>
  <c r="G7694" i="1"/>
  <c r="F7694" i="1"/>
  <c r="D7694" i="1"/>
  <c r="H7693" i="1"/>
  <c r="G7693" i="1"/>
  <c r="F7693" i="1"/>
  <c r="D7693" i="1"/>
  <c r="G7692" i="1"/>
  <c r="F7692" i="1"/>
  <c r="H7692" i="1" s="1"/>
  <c r="D7692" i="1"/>
  <c r="H7691" i="1"/>
  <c r="G7691" i="1"/>
  <c r="F7691" i="1"/>
  <c r="D7691" i="1"/>
  <c r="H7690" i="1"/>
  <c r="G7690" i="1"/>
  <c r="F7690" i="1"/>
  <c r="D7690" i="1"/>
  <c r="G7689" i="1"/>
  <c r="F7689" i="1"/>
  <c r="H7689" i="1" s="1"/>
  <c r="D7689" i="1"/>
  <c r="H7688" i="1"/>
  <c r="G7688" i="1"/>
  <c r="F7688" i="1"/>
  <c r="D7688" i="1"/>
  <c r="H7687" i="1"/>
  <c r="G7687" i="1"/>
  <c r="F7687" i="1"/>
  <c r="D7687" i="1"/>
  <c r="H7686" i="1"/>
  <c r="G7685" i="1"/>
  <c r="F7685" i="1"/>
  <c r="D7685" i="1"/>
  <c r="H7685" i="1" s="1"/>
  <c r="G7684" i="1"/>
  <c r="F7684" i="1"/>
  <c r="D7684" i="1"/>
  <c r="H7684" i="1" s="1"/>
  <c r="G7683" i="1"/>
  <c r="F7683" i="1"/>
  <c r="D7683" i="1"/>
  <c r="H7683" i="1" s="1"/>
  <c r="G7682" i="1"/>
  <c r="F7682" i="1"/>
  <c r="D7682" i="1"/>
  <c r="H7682" i="1" s="1"/>
  <c r="G7681" i="1"/>
  <c r="F7681" i="1"/>
  <c r="D7681" i="1"/>
  <c r="H7681" i="1" s="1"/>
  <c r="G7680" i="1"/>
  <c r="F7680" i="1"/>
  <c r="D7680" i="1"/>
  <c r="H7680" i="1" s="1"/>
  <c r="G7679" i="1"/>
  <c r="F7679" i="1"/>
  <c r="D7679" i="1"/>
  <c r="H7679" i="1" s="1"/>
  <c r="G7678" i="1"/>
  <c r="F7678" i="1"/>
  <c r="D7678" i="1"/>
  <c r="H7678" i="1" s="1"/>
  <c r="G7677" i="1"/>
  <c r="F7677" i="1"/>
  <c r="D7677" i="1"/>
  <c r="H7677" i="1" s="1"/>
  <c r="G7676" i="1"/>
  <c r="F7676" i="1"/>
  <c r="D7676" i="1"/>
  <c r="H7676" i="1" s="1"/>
  <c r="H7675" i="1"/>
  <c r="G7674" i="1"/>
  <c r="F7674" i="1"/>
  <c r="D7674" i="1"/>
  <c r="H7674" i="1" s="1"/>
  <c r="G7673" i="1"/>
  <c r="F7673" i="1"/>
  <c r="D7673" i="1"/>
  <c r="H7673" i="1" s="1"/>
  <c r="G7672" i="1"/>
  <c r="F7672" i="1"/>
  <c r="H7672" i="1" s="1"/>
  <c r="D7672" i="1"/>
  <c r="G7671" i="1"/>
  <c r="F7671" i="1"/>
  <c r="D7671" i="1"/>
  <c r="H7671" i="1" s="1"/>
  <c r="G7670" i="1"/>
  <c r="F7670" i="1"/>
  <c r="D7670" i="1"/>
  <c r="H7670" i="1" s="1"/>
  <c r="G7669" i="1"/>
  <c r="F7669" i="1"/>
  <c r="H7669" i="1" s="1"/>
  <c r="D7669" i="1"/>
  <c r="G7668" i="1"/>
  <c r="F7668" i="1"/>
  <c r="D7668" i="1"/>
  <c r="H7668" i="1" s="1"/>
  <c r="G7667" i="1"/>
  <c r="F7667" i="1"/>
  <c r="D7667" i="1"/>
  <c r="H7667" i="1" s="1"/>
  <c r="G7666" i="1"/>
  <c r="F7666" i="1"/>
  <c r="H7666" i="1" s="1"/>
  <c r="D7666" i="1"/>
  <c r="H7665" i="1"/>
  <c r="G7664" i="1"/>
  <c r="H7664" i="1" s="1"/>
  <c r="F7664" i="1"/>
  <c r="D7664" i="1"/>
  <c r="G7663" i="1"/>
  <c r="F7663" i="1"/>
  <c r="D7663" i="1"/>
  <c r="H7663" i="1" s="1"/>
  <c r="G7662" i="1"/>
  <c r="F7662" i="1"/>
  <c r="D7662" i="1"/>
  <c r="H7662" i="1" s="1"/>
  <c r="G7661" i="1"/>
  <c r="H7661" i="1" s="1"/>
  <c r="F7661" i="1"/>
  <c r="D7661" i="1"/>
  <c r="G7660" i="1"/>
  <c r="F7660" i="1"/>
  <c r="D7660" i="1"/>
  <c r="H7660" i="1" s="1"/>
  <c r="G7659" i="1"/>
  <c r="F7659" i="1"/>
  <c r="D7659" i="1"/>
  <c r="H7659" i="1" s="1"/>
  <c r="G7658" i="1"/>
  <c r="H7658" i="1" s="1"/>
  <c r="F7658" i="1"/>
  <c r="D7658" i="1"/>
  <c r="G7657" i="1"/>
  <c r="F7657" i="1"/>
  <c r="D7657" i="1"/>
  <c r="H7657" i="1" s="1"/>
  <c r="G7656" i="1"/>
  <c r="F7656" i="1"/>
  <c r="D7656" i="1"/>
  <c r="H7656" i="1" s="1"/>
  <c r="G7655" i="1"/>
  <c r="H7655" i="1" s="1"/>
  <c r="F7655" i="1"/>
  <c r="D7655" i="1"/>
  <c r="H7654" i="1"/>
  <c r="G7653" i="1"/>
  <c r="F7653" i="1"/>
  <c r="H7653" i="1" s="1"/>
  <c r="D7653" i="1"/>
  <c r="H7652" i="1"/>
  <c r="G7652" i="1"/>
  <c r="F7652" i="1"/>
  <c r="D7652" i="1"/>
  <c r="H7651" i="1"/>
  <c r="G7651" i="1"/>
  <c r="F7651" i="1"/>
  <c r="D7651" i="1"/>
  <c r="G7650" i="1"/>
  <c r="F7650" i="1"/>
  <c r="H7650" i="1" s="1"/>
  <c r="D7650" i="1"/>
  <c r="H7649" i="1"/>
  <c r="G7649" i="1"/>
  <c r="F7649" i="1"/>
  <c r="D7649" i="1"/>
  <c r="H7648" i="1"/>
  <c r="G7648" i="1"/>
  <c r="F7648" i="1"/>
  <c r="D7648" i="1"/>
  <c r="G7647" i="1"/>
  <c r="F7647" i="1"/>
  <c r="H7647" i="1" s="1"/>
  <c r="D7647" i="1"/>
  <c r="H7646" i="1"/>
  <c r="G7646" i="1"/>
  <c r="F7646" i="1"/>
  <c r="D7646" i="1"/>
  <c r="H7645" i="1"/>
  <c r="G7645" i="1"/>
  <c r="F7645" i="1"/>
  <c r="D7645" i="1"/>
  <c r="H7644" i="1"/>
  <c r="G7643" i="1"/>
  <c r="F7643" i="1"/>
  <c r="D7643" i="1"/>
  <c r="H7643" i="1" s="1"/>
  <c r="H7642" i="1"/>
  <c r="G7641" i="1"/>
  <c r="F7641" i="1"/>
  <c r="D7641" i="1"/>
  <c r="H7641" i="1" s="1"/>
  <c r="G7640" i="1"/>
  <c r="F7640" i="1"/>
  <c r="D7640" i="1"/>
  <c r="H7640" i="1" s="1"/>
  <c r="G7639" i="1"/>
  <c r="F7639" i="1"/>
  <c r="H7639" i="1" s="1"/>
  <c r="D7639" i="1"/>
  <c r="G7638" i="1"/>
  <c r="F7638" i="1"/>
  <c r="D7638" i="1"/>
  <c r="H7638" i="1" s="1"/>
  <c r="G7637" i="1"/>
  <c r="F7637" i="1"/>
  <c r="D7637" i="1"/>
  <c r="H7637" i="1" s="1"/>
  <c r="H7636" i="1"/>
  <c r="G7635" i="1"/>
  <c r="F7635" i="1"/>
  <c r="D7635" i="1"/>
  <c r="H7635" i="1" s="1"/>
  <c r="H7634" i="1"/>
  <c r="G7634" i="1"/>
  <c r="F7634" i="1"/>
  <c r="D7634" i="1"/>
  <c r="G7633" i="1"/>
  <c r="F7633" i="1"/>
  <c r="D7633" i="1"/>
  <c r="H7633" i="1" s="1"/>
  <c r="G7632" i="1"/>
  <c r="F7632" i="1"/>
  <c r="D7632" i="1"/>
  <c r="H7632" i="1" s="1"/>
  <c r="H7631" i="1"/>
  <c r="G7631" i="1"/>
  <c r="F7631" i="1"/>
  <c r="D7631" i="1"/>
  <c r="G7630" i="1"/>
  <c r="F7630" i="1"/>
  <c r="D7630" i="1"/>
  <c r="H7630" i="1" s="1"/>
  <c r="G7629" i="1"/>
  <c r="F7629" i="1"/>
  <c r="D7629" i="1"/>
  <c r="H7629" i="1" s="1"/>
  <c r="G7628" i="1"/>
  <c r="F7628" i="1"/>
  <c r="D7628" i="1"/>
  <c r="H7628" i="1" s="1"/>
  <c r="G7627" i="1"/>
  <c r="F7627" i="1"/>
  <c r="D7627" i="1"/>
  <c r="H7627" i="1" s="1"/>
  <c r="G7626" i="1"/>
  <c r="F7626" i="1"/>
  <c r="D7626" i="1"/>
  <c r="H7626" i="1" s="1"/>
  <c r="G7625" i="1"/>
  <c r="F7625" i="1"/>
  <c r="D7625" i="1"/>
  <c r="H7625" i="1" s="1"/>
  <c r="G7624" i="1"/>
  <c r="F7624" i="1"/>
  <c r="D7624" i="1"/>
  <c r="H7624" i="1" s="1"/>
  <c r="G7623" i="1"/>
  <c r="F7623" i="1"/>
  <c r="D7623" i="1"/>
  <c r="H7623" i="1" s="1"/>
  <c r="G7622" i="1"/>
  <c r="F7622" i="1"/>
  <c r="D7622" i="1"/>
  <c r="H7622" i="1" s="1"/>
  <c r="G7621" i="1"/>
  <c r="F7621" i="1"/>
  <c r="D7621" i="1"/>
  <c r="H7621" i="1" s="1"/>
  <c r="G7620" i="1"/>
  <c r="F7620" i="1"/>
  <c r="D7620" i="1"/>
  <c r="H7620" i="1" s="1"/>
  <c r="H7619" i="1"/>
  <c r="G7618" i="1"/>
  <c r="F7618" i="1"/>
  <c r="H7618" i="1" s="1"/>
  <c r="D7618" i="1"/>
  <c r="G7617" i="1"/>
  <c r="F7617" i="1"/>
  <c r="H7617" i="1" s="1"/>
  <c r="D7617" i="1"/>
  <c r="H7616" i="1"/>
  <c r="G7616" i="1"/>
  <c r="F7616" i="1"/>
  <c r="D7616" i="1"/>
  <c r="G7615" i="1"/>
  <c r="F7615" i="1"/>
  <c r="H7615" i="1" s="1"/>
  <c r="D7615" i="1"/>
  <c r="G7614" i="1"/>
  <c r="F7614" i="1"/>
  <c r="H7614" i="1" s="1"/>
  <c r="D7614" i="1"/>
  <c r="H7613" i="1"/>
  <c r="G7613" i="1"/>
  <c r="F7613" i="1"/>
  <c r="D7613" i="1"/>
  <c r="G7612" i="1"/>
  <c r="F7612" i="1"/>
  <c r="H7612" i="1" s="1"/>
  <c r="D7612" i="1"/>
  <c r="G7611" i="1"/>
  <c r="F7611" i="1"/>
  <c r="H7611" i="1" s="1"/>
  <c r="D7611" i="1"/>
  <c r="H7610" i="1"/>
  <c r="G7610" i="1"/>
  <c r="F7610" i="1"/>
  <c r="D7610" i="1"/>
  <c r="G7609" i="1"/>
  <c r="F7609" i="1"/>
  <c r="H7609" i="1" s="1"/>
  <c r="D7609" i="1"/>
  <c r="G7608" i="1"/>
  <c r="F7608" i="1"/>
  <c r="H7608" i="1" s="1"/>
  <c r="D7608" i="1"/>
  <c r="H7607" i="1"/>
  <c r="G7607" i="1"/>
  <c r="F7607" i="1"/>
  <c r="D7607" i="1"/>
  <c r="G7606" i="1"/>
  <c r="F7606" i="1"/>
  <c r="H7606" i="1" s="1"/>
  <c r="D7606" i="1"/>
  <c r="G7605" i="1"/>
  <c r="F7605" i="1"/>
  <c r="H7605" i="1" s="1"/>
  <c r="D7605" i="1"/>
  <c r="H7604" i="1"/>
  <c r="G7604" i="1"/>
  <c r="F7604" i="1"/>
  <c r="D7604" i="1"/>
  <c r="H7603" i="1"/>
  <c r="G7602" i="1"/>
  <c r="F7602" i="1"/>
  <c r="D7602" i="1"/>
  <c r="H7602" i="1" s="1"/>
  <c r="G7601" i="1"/>
  <c r="F7601" i="1"/>
  <c r="D7601" i="1"/>
  <c r="H7601" i="1" s="1"/>
  <c r="G7600" i="1"/>
  <c r="F7600" i="1"/>
  <c r="H7600" i="1" s="1"/>
  <c r="D7600" i="1"/>
  <c r="G7599" i="1"/>
  <c r="F7599" i="1"/>
  <c r="D7599" i="1"/>
  <c r="H7599" i="1" s="1"/>
  <c r="G7598" i="1"/>
  <c r="F7598" i="1"/>
  <c r="D7598" i="1"/>
  <c r="H7598" i="1" s="1"/>
  <c r="G7597" i="1"/>
  <c r="F7597" i="1"/>
  <c r="H7597" i="1" s="1"/>
  <c r="D7597" i="1"/>
  <c r="G7596" i="1"/>
  <c r="F7596" i="1"/>
  <c r="D7596" i="1"/>
  <c r="H7596" i="1" s="1"/>
  <c r="G7595" i="1"/>
  <c r="F7595" i="1"/>
  <c r="D7595" i="1"/>
  <c r="H7595" i="1" s="1"/>
  <c r="G7594" i="1"/>
  <c r="F7594" i="1"/>
  <c r="D7594" i="1"/>
  <c r="H7594" i="1" s="1"/>
  <c r="G7593" i="1"/>
  <c r="F7593" i="1"/>
  <c r="D7593" i="1"/>
  <c r="H7593" i="1" s="1"/>
  <c r="H7592" i="1"/>
  <c r="G7591" i="1"/>
  <c r="F7591" i="1"/>
  <c r="H7591" i="1" s="1"/>
  <c r="D7591" i="1"/>
  <c r="G7590" i="1"/>
  <c r="F7590" i="1"/>
  <c r="D7590" i="1"/>
  <c r="H7590" i="1" s="1"/>
  <c r="H7589" i="1"/>
  <c r="G7589" i="1"/>
  <c r="F7589" i="1"/>
  <c r="D7589" i="1"/>
  <c r="G7588" i="1"/>
  <c r="F7588" i="1"/>
  <c r="H7588" i="1" s="1"/>
  <c r="D7588" i="1"/>
  <c r="G7587" i="1"/>
  <c r="F7587" i="1"/>
  <c r="D7587" i="1"/>
  <c r="H7587" i="1" s="1"/>
  <c r="G7586" i="1"/>
  <c r="F7586" i="1"/>
  <c r="H7586" i="1" s="1"/>
  <c r="D7586" i="1"/>
  <c r="G7585" i="1"/>
  <c r="F7585" i="1"/>
  <c r="H7585" i="1" s="1"/>
  <c r="D7585" i="1"/>
  <c r="G7584" i="1"/>
  <c r="F7584" i="1"/>
  <c r="D7584" i="1"/>
  <c r="H7584" i="1" s="1"/>
  <c r="G7583" i="1"/>
  <c r="F7583" i="1"/>
  <c r="H7583" i="1" s="1"/>
  <c r="D7583" i="1"/>
  <c r="G7582" i="1"/>
  <c r="F7582" i="1"/>
  <c r="H7582" i="1" s="1"/>
  <c r="D7582" i="1"/>
  <c r="H7581" i="1"/>
  <c r="H7580" i="1"/>
  <c r="G7580" i="1"/>
  <c r="F7580" i="1"/>
  <c r="D7580" i="1"/>
  <c r="G7579" i="1"/>
  <c r="F7579" i="1"/>
  <c r="D7579" i="1"/>
  <c r="H7579" i="1" s="1"/>
  <c r="G7578" i="1"/>
  <c r="F7578" i="1"/>
  <c r="D7578" i="1"/>
  <c r="H7578" i="1" s="1"/>
  <c r="H7577" i="1"/>
  <c r="G7577" i="1"/>
  <c r="F7577" i="1"/>
  <c r="D7577" i="1"/>
  <c r="G7576" i="1"/>
  <c r="F7576" i="1"/>
  <c r="D7576" i="1"/>
  <c r="H7576" i="1" s="1"/>
  <c r="G7575" i="1"/>
  <c r="F7575" i="1"/>
  <c r="D7575" i="1"/>
  <c r="H7575" i="1" s="1"/>
  <c r="H7574" i="1"/>
  <c r="G7574" i="1"/>
  <c r="F7574" i="1"/>
  <c r="D7574" i="1"/>
  <c r="G7573" i="1"/>
  <c r="F7573" i="1"/>
  <c r="D7573" i="1"/>
  <c r="H7573" i="1" s="1"/>
  <c r="G7572" i="1"/>
  <c r="F7572" i="1"/>
  <c r="D7572" i="1"/>
  <c r="H7572" i="1" s="1"/>
  <c r="H7571" i="1"/>
  <c r="G7571" i="1"/>
  <c r="F7571" i="1"/>
  <c r="D7571" i="1"/>
  <c r="H7570" i="1"/>
  <c r="G7569" i="1"/>
  <c r="F7569" i="1"/>
  <c r="H7569" i="1" s="1"/>
  <c r="D7569" i="1"/>
  <c r="H7568" i="1"/>
  <c r="G7568" i="1"/>
  <c r="F7568" i="1"/>
  <c r="D7568" i="1"/>
  <c r="G7567" i="1"/>
  <c r="F7567" i="1"/>
  <c r="H7567" i="1" s="1"/>
  <c r="D7567" i="1"/>
  <c r="G7566" i="1"/>
  <c r="F7566" i="1"/>
  <c r="H7566" i="1" s="1"/>
  <c r="D7566" i="1"/>
  <c r="H7565" i="1"/>
  <c r="G7565" i="1"/>
  <c r="F7565" i="1"/>
  <c r="D7565" i="1"/>
  <c r="G7564" i="1"/>
  <c r="F7564" i="1"/>
  <c r="H7564" i="1" s="1"/>
  <c r="D7564" i="1"/>
  <c r="G7563" i="1"/>
  <c r="F7563" i="1"/>
  <c r="H7563" i="1" s="1"/>
  <c r="D7563" i="1"/>
  <c r="H7562" i="1"/>
  <c r="G7562" i="1"/>
  <c r="F7562" i="1"/>
  <c r="D7562" i="1"/>
  <c r="G7561" i="1"/>
  <c r="F7561" i="1"/>
  <c r="H7561" i="1" s="1"/>
  <c r="D7561" i="1"/>
  <c r="H7560" i="1"/>
  <c r="G7559" i="1"/>
  <c r="F7559" i="1"/>
  <c r="D7559" i="1"/>
  <c r="H7559" i="1" s="1"/>
  <c r="G7558" i="1"/>
  <c r="F7558" i="1"/>
  <c r="H7558" i="1" s="1"/>
  <c r="D7558" i="1"/>
  <c r="G7557" i="1"/>
  <c r="F7557" i="1"/>
  <c r="D7557" i="1"/>
  <c r="H7557" i="1" s="1"/>
  <c r="G7556" i="1"/>
  <c r="F7556" i="1"/>
  <c r="D7556" i="1"/>
  <c r="H7556" i="1" s="1"/>
  <c r="G7555" i="1"/>
  <c r="F7555" i="1"/>
  <c r="H7555" i="1" s="1"/>
  <c r="D7555" i="1"/>
  <c r="G7554" i="1"/>
  <c r="F7554" i="1"/>
  <c r="D7554" i="1"/>
  <c r="H7554" i="1" s="1"/>
  <c r="G7553" i="1"/>
  <c r="F7553" i="1"/>
  <c r="D7553" i="1"/>
  <c r="H7553" i="1" s="1"/>
  <c r="G7552" i="1"/>
  <c r="F7552" i="1"/>
  <c r="H7552" i="1" s="1"/>
  <c r="D7552" i="1"/>
  <c r="G7551" i="1"/>
  <c r="F7551" i="1"/>
  <c r="D7551" i="1"/>
  <c r="H7551" i="1" s="1"/>
  <c r="G7550" i="1"/>
  <c r="F7550" i="1"/>
  <c r="D7550" i="1"/>
  <c r="H7550" i="1" s="1"/>
  <c r="G7549" i="1"/>
  <c r="F7549" i="1"/>
  <c r="D7549" i="1"/>
  <c r="H7549" i="1" s="1"/>
  <c r="G7548" i="1"/>
  <c r="F7548" i="1"/>
  <c r="D7548" i="1"/>
  <c r="H7548" i="1" s="1"/>
  <c r="G7547" i="1"/>
  <c r="F7547" i="1"/>
  <c r="D7547" i="1"/>
  <c r="H7547" i="1" s="1"/>
  <c r="G7546" i="1"/>
  <c r="F7546" i="1"/>
  <c r="D7546" i="1"/>
  <c r="H7546" i="1" s="1"/>
  <c r="G7545" i="1"/>
  <c r="F7545" i="1"/>
  <c r="D7545" i="1"/>
  <c r="H7545" i="1" s="1"/>
  <c r="H7544" i="1"/>
  <c r="G7543" i="1"/>
  <c r="F7543" i="1"/>
  <c r="H7543" i="1" s="1"/>
  <c r="D7543" i="1"/>
  <c r="G7542" i="1"/>
  <c r="F7542" i="1"/>
  <c r="D7542" i="1"/>
  <c r="H7542" i="1" s="1"/>
  <c r="H7541" i="1"/>
  <c r="G7541" i="1"/>
  <c r="F7541" i="1"/>
  <c r="D7541" i="1"/>
  <c r="G7540" i="1"/>
  <c r="F7540" i="1"/>
  <c r="H7540" i="1" s="1"/>
  <c r="D7540" i="1"/>
  <c r="G7539" i="1"/>
  <c r="F7539" i="1"/>
  <c r="D7539" i="1"/>
  <c r="H7539" i="1" s="1"/>
  <c r="G7538" i="1"/>
  <c r="F7538" i="1"/>
  <c r="H7538" i="1" s="1"/>
  <c r="D7538" i="1"/>
  <c r="G7537" i="1"/>
  <c r="F7537" i="1"/>
  <c r="H7537" i="1" s="1"/>
  <c r="D7537" i="1"/>
  <c r="G7536" i="1"/>
  <c r="F7536" i="1"/>
  <c r="D7536" i="1"/>
  <c r="H7536" i="1" s="1"/>
  <c r="G7535" i="1"/>
  <c r="F7535" i="1"/>
  <c r="H7535" i="1" s="1"/>
  <c r="D7535" i="1"/>
  <c r="H7534" i="1"/>
  <c r="G7533" i="1"/>
  <c r="F7533" i="1"/>
  <c r="D7533" i="1"/>
  <c r="H7533" i="1" s="1"/>
  <c r="H7532" i="1"/>
  <c r="G7532" i="1"/>
  <c r="F7532" i="1"/>
  <c r="D7532" i="1"/>
  <c r="G7531" i="1"/>
  <c r="F7531" i="1"/>
  <c r="D7531" i="1"/>
  <c r="H7531" i="1" s="1"/>
  <c r="G7530" i="1"/>
  <c r="F7530" i="1"/>
  <c r="D7530" i="1"/>
  <c r="H7530" i="1" s="1"/>
  <c r="H7529" i="1"/>
  <c r="G7529" i="1"/>
  <c r="F7529" i="1"/>
  <c r="D7529" i="1"/>
  <c r="G7528" i="1"/>
  <c r="F7528" i="1"/>
  <c r="D7528" i="1"/>
  <c r="H7528" i="1" s="1"/>
  <c r="G7527" i="1"/>
  <c r="F7527" i="1"/>
  <c r="D7527" i="1"/>
  <c r="H7527" i="1" s="1"/>
  <c r="H7526" i="1"/>
  <c r="G7526" i="1"/>
  <c r="F7526" i="1"/>
  <c r="D7526" i="1"/>
  <c r="G7525" i="1"/>
  <c r="F7525" i="1"/>
  <c r="D7525" i="1"/>
  <c r="H7525" i="1" s="1"/>
  <c r="G7524" i="1"/>
  <c r="F7524" i="1"/>
  <c r="D7524" i="1"/>
  <c r="H7524" i="1" s="1"/>
  <c r="H7523" i="1"/>
  <c r="G7523" i="1"/>
  <c r="F7523" i="1"/>
  <c r="D7523" i="1"/>
  <c r="G7522" i="1"/>
  <c r="F7522" i="1"/>
  <c r="D7522" i="1"/>
  <c r="H7522" i="1" s="1"/>
  <c r="G7521" i="1"/>
  <c r="F7521" i="1"/>
  <c r="D7521" i="1"/>
  <c r="H7521" i="1" s="1"/>
  <c r="H7520" i="1"/>
  <c r="G7520" i="1"/>
  <c r="F7520" i="1"/>
  <c r="D7520" i="1"/>
  <c r="G7519" i="1"/>
  <c r="F7519" i="1"/>
  <c r="D7519" i="1"/>
  <c r="H7519" i="1" s="1"/>
  <c r="G7518" i="1"/>
  <c r="F7518" i="1"/>
  <c r="D7518" i="1"/>
  <c r="H7518" i="1" s="1"/>
  <c r="H7517" i="1"/>
  <c r="G7516" i="1"/>
  <c r="F7516" i="1"/>
  <c r="H7516" i="1" s="1"/>
  <c r="D7516" i="1"/>
  <c r="G7515" i="1"/>
  <c r="F7515" i="1"/>
  <c r="H7515" i="1" s="1"/>
  <c r="D7515" i="1"/>
  <c r="H7514" i="1"/>
  <c r="G7514" i="1"/>
  <c r="F7514" i="1"/>
  <c r="D7514" i="1"/>
  <c r="G7513" i="1"/>
  <c r="F7513" i="1"/>
  <c r="H7513" i="1" s="1"/>
  <c r="D7513" i="1"/>
  <c r="G7512" i="1"/>
  <c r="F7512" i="1"/>
  <c r="H7512" i="1" s="1"/>
  <c r="D7512" i="1"/>
  <c r="H7511" i="1"/>
  <c r="G7511" i="1"/>
  <c r="F7511" i="1"/>
  <c r="D7511" i="1"/>
  <c r="G7510" i="1"/>
  <c r="F7510" i="1"/>
  <c r="H7510" i="1" s="1"/>
  <c r="D7510" i="1"/>
  <c r="G7509" i="1"/>
  <c r="F7509" i="1"/>
  <c r="H7509" i="1" s="1"/>
  <c r="D7509" i="1"/>
  <c r="H7508" i="1"/>
  <c r="G7508" i="1"/>
  <c r="F7508" i="1"/>
  <c r="D7508" i="1"/>
  <c r="G7507" i="1"/>
  <c r="F7507" i="1"/>
  <c r="H7507" i="1" s="1"/>
  <c r="D7507" i="1"/>
  <c r="G7506" i="1"/>
  <c r="F7506" i="1"/>
  <c r="H7506" i="1" s="1"/>
  <c r="D7506" i="1"/>
  <c r="H7505" i="1"/>
  <c r="G7505" i="1"/>
  <c r="F7505" i="1"/>
  <c r="D7505" i="1"/>
  <c r="G7504" i="1"/>
  <c r="F7504" i="1"/>
  <c r="H7504" i="1" s="1"/>
  <c r="D7504" i="1"/>
  <c r="G7503" i="1"/>
  <c r="F7503" i="1"/>
  <c r="H7503" i="1" s="1"/>
  <c r="D7503" i="1"/>
  <c r="H7502" i="1"/>
  <c r="G7502" i="1"/>
  <c r="F7502" i="1"/>
  <c r="D7502" i="1"/>
  <c r="H7501" i="1"/>
  <c r="G7500" i="1"/>
  <c r="F7500" i="1"/>
  <c r="D7500" i="1"/>
  <c r="H7500" i="1" s="1"/>
  <c r="G7499" i="1"/>
  <c r="F7499" i="1"/>
  <c r="D7499" i="1"/>
  <c r="H7499" i="1" s="1"/>
  <c r="G7498" i="1"/>
  <c r="F7498" i="1"/>
  <c r="H7498" i="1" s="1"/>
  <c r="D7498" i="1"/>
  <c r="G7497" i="1"/>
  <c r="F7497" i="1"/>
  <c r="D7497" i="1"/>
  <c r="H7497" i="1" s="1"/>
  <c r="H7496" i="1"/>
  <c r="G7495" i="1"/>
  <c r="F7495" i="1"/>
  <c r="H7495" i="1" s="1"/>
  <c r="D7495" i="1"/>
  <c r="G7494" i="1"/>
  <c r="F7494" i="1"/>
  <c r="H7494" i="1" s="1"/>
  <c r="D7494" i="1"/>
  <c r="H7493" i="1"/>
  <c r="G7493" i="1"/>
  <c r="F7493" i="1"/>
  <c r="D7493" i="1"/>
  <c r="G7492" i="1"/>
  <c r="F7492" i="1"/>
  <c r="H7492" i="1" s="1"/>
  <c r="D7492" i="1"/>
  <c r="G7491" i="1"/>
  <c r="F7491" i="1"/>
  <c r="D7491" i="1"/>
  <c r="H7491" i="1" s="1"/>
  <c r="H7490" i="1"/>
  <c r="G7490" i="1"/>
  <c r="F7490" i="1"/>
  <c r="D7490" i="1"/>
  <c r="G7489" i="1"/>
  <c r="F7489" i="1"/>
  <c r="H7489" i="1" s="1"/>
  <c r="D7489" i="1"/>
  <c r="G7488" i="1"/>
  <c r="F7488" i="1"/>
  <c r="D7488" i="1"/>
  <c r="H7488" i="1" s="1"/>
  <c r="H7487" i="1"/>
  <c r="G7487" i="1"/>
  <c r="F7487" i="1"/>
  <c r="D7487" i="1"/>
  <c r="G7486" i="1"/>
  <c r="F7486" i="1"/>
  <c r="H7486" i="1" s="1"/>
  <c r="D7486" i="1"/>
  <c r="G7485" i="1"/>
  <c r="F7485" i="1"/>
  <c r="D7485" i="1"/>
  <c r="H7485" i="1" s="1"/>
  <c r="H7484" i="1"/>
  <c r="G7484" i="1"/>
  <c r="F7484" i="1"/>
  <c r="D7484" i="1"/>
  <c r="G7483" i="1"/>
  <c r="F7483" i="1"/>
  <c r="H7483" i="1" s="1"/>
  <c r="D7483" i="1"/>
  <c r="G7482" i="1"/>
  <c r="F7482" i="1"/>
  <c r="D7482" i="1"/>
  <c r="H7482" i="1" s="1"/>
  <c r="G7481" i="1"/>
  <c r="F7481" i="1"/>
  <c r="H7481" i="1" s="1"/>
  <c r="D7481" i="1"/>
  <c r="H7480" i="1"/>
  <c r="G7479" i="1"/>
  <c r="F7479" i="1"/>
  <c r="D7479" i="1"/>
  <c r="H7479" i="1" s="1"/>
  <c r="H7478" i="1"/>
  <c r="G7478" i="1"/>
  <c r="F7478" i="1"/>
  <c r="D7478" i="1"/>
  <c r="G7477" i="1"/>
  <c r="F7477" i="1"/>
  <c r="D7477" i="1"/>
  <c r="H7477" i="1" s="1"/>
  <c r="G7476" i="1"/>
  <c r="F7476" i="1"/>
  <c r="D7476" i="1"/>
  <c r="H7476" i="1" s="1"/>
  <c r="H7475" i="1"/>
  <c r="G7475" i="1"/>
  <c r="F7475" i="1"/>
  <c r="D7475" i="1"/>
  <c r="G7474" i="1"/>
  <c r="F7474" i="1"/>
  <c r="D7474" i="1"/>
  <c r="H7474" i="1" s="1"/>
  <c r="G7473" i="1"/>
  <c r="F7473" i="1"/>
  <c r="D7473" i="1"/>
  <c r="H7473" i="1" s="1"/>
  <c r="H7472" i="1"/>
  <c r="G7472" i="1"/>
  <c r="F7472" i="1"/>
  <c r="D7472" i="1"/>
  <c r="G7471" i="1"/>
  <c r="F7471" i="1"/>
  <c r="D7471" i="1"/>
  <c r="H7471" i="1" s="1"/>
  <c r="G7470" i="1"/>
  <c r="F7470" i="1"/>
  <c r="D7470" i="1"/>
  <c r="H7470" i="1" s="1"/>
  <c r="H7469" i="1"/>
  <c r="G7468" i="1"/>
  <c r="F7468" i="1"/>
  <c r="H7468" i="1" s="1"/>
  <c r="D7468" i="1"/>
  <c r="G7467" i="1"/>
  <c r="F7467" i="1"/>
  <c r="H7467" i="1" s="1"/>
  <c r="D7467" i="1"/>
  <c r="H7466" i="1"/>
  <c r="G7466" i="1"/>
  <c r="F7466" i="1"/>
  <c r="D7466" i="1"/>
  <c r="G7465" i="1"/>
  <c r="F7465" i="1"/>
  <c r="H7465" i="1" s="1"/>
  <c r="D7465" i="1"/>
  <c r="G7464" i="1"/>
  <c r="F7464" i="1"/>
  <c r="H7464" i="1" s="1"/>
  <c r="D7464" i="1"/>
  <c r="H7463" i="1"/>
  <c r="G7463" i="1"/>
  <c r="F7463" i="1"/>
  <c r="D7463" i="1"/>
  <c r="G7462" i="1"/>
  <c r="F7462" i="1"/>
  <c r="H7462" i="1" s="1"/>
  <c r="D7462" i="1"/>
  <c r="G7461" i="1"/>
  <c r="F7461" i="1"/>
  <c r="H7461" i="1" s="1"/>
  <c r="D7461" i="1"/>
  <c r="H7460" i="1"/>
  <c r="G7460" i="1"/>
  <c r="F7460" i="1"/>
  <c r="D7460" i="1"/>
  <c r="G7459" i="1"/>
  <c r="F7459" i="1"/>
  <c r="H7459" i="1" s="1"/>
  <c r="D7459" i="1"/>
  <c r="H7458" i="1"/>
  <c r="G7457" i="1"/>
  <c r="F7457" i="1"/>
  <c r="D7457" i="1"/>
  <c r="H7457" i="1" s="1"/>
  <c r="G7456" i="1"/>
  <c r="F7456" i="1"/>
  <c r="H7456" i="1" s="1"/>
  <c r="D7456" i="1"/>
  <c r="G7455" i="1"/>
  <c r="F7455" i="1"/>
  <c r="D7455" i="1"/>
  <c r="H7455" i="1" s="1"/>
  <c r="G7454" i="1"/>
  <c r="F7454" i="1"/>
  <c r="D7454" i="1"/>
  <c r="H7454" i="1" s="1"/>
  <c r="G7453" i="1"/>
  <c r="F7453" i="1"/>
  <c r="H7453" i="1" s="1"/>
  <c r="D7453" i="1"/>
  <c r="G7452" i="1"/>
  <c r="F7452" i="1"/>
  <c r="D7452" i="1"/>
  <c r="H7452" i="1" s="1"/>
  <c r="G7451" i="1"/>
  <c r="F7451" i="1"/>
  <c r="D7451" i="1"/>
  <c r="H7451" i="1" s="1"/>
  <c r="G7450" i="1"/>
  <c r="F7450" i="1"/>
  <c r="H7450" i="1" s="1"/>
  <c r="D7450" i="1"/>
  <c r="G7449" i="1"/>
  <c r="F7449" i="1"/>
  <c r="D7449" i="1"/>
  <c r="H7449" i="1" s="1"/>
  <c r="G7448" i="1"/>
  <c r="F7448" i="1"/>
  <c r="D7448" i="1"/>
  <c r="H7448" i="1" s="1"/>
  <c r="G7447" i="1"/>
  <c r="F7447" i="1"/>
  <c r="H7447" i="1" s="1"/>
  <c r="D7447" i="1"/>
  <c r="G7446" i="1"/>
  <c r="F7446" i="1"/>
  <c r="D7446" i="1"/>
  <c r="H7446" i="1" s="1"/>
  <c r="G7445" i="1"/>
  <c r="F7445" i="1"/>
  <c r="D7445" i="1"/>
  <c r="H7445" i="1" s="1"/>
  <c r="G7444" i="1"/>
  <c r="F7444" i="1"/>
  <c r="H7444" i="1" s="1"/>
  <c r="D7444" i="1"/>
  <c r="G7443" i="1"/>
  <c r="F7443" i="1"/>
  <c r="D7443" i="1"/>
  <c r="H7443" i="1" s="1"/>
  <c r="H7442" i="1"/>
  <c r="G7441" i="1"/>
  <c r="F7441" i="1"/>
  <c r="H7441" i="1" s="1"/>
  <c r="D7441" i="1"/>
  <c r="G7440" i="1"/>
  <c r="F7440" i="1"/>
  <c r="D7440" i="1"/>
  <c r="H7440" i="1" s="1"/>
  <c r="H7439" i="1"/>
  <c r="G7439" i="1"/>
  <c r="F7439" i="1"/>
  <c r="D7439" i="1"/>
  <c r="G7438" i="1"/>
  <c r="F7438" i="1"/>
  <c r="H7438" i="1" s="1"/>
  <c r="D7438" i="1"/>
  <c r="G7437" i="1"/>
  <c r="F7437" i="1"/>
  <c r="D7437" i="1"/>
  <c r="H7437" i="1" s="1"/>
  <c r="G7436" i="1"/>
  <c r="F7436" i="1"/>
  <c r="H7436" i="1" s="1"/>
  <c r="D7436" i="1"/>
  <c r="G7435" i="1"/>
  <c r="F7435" i="1"/>
  <c r="H7435" i="1" s="1"/>
  <c r="D7435" i="1"/>
  <c r="G7434" i="1"/>
  <c r="F7434" i="1"/>
  <c r="D7434" i="1"/>
  <c r="H7434" i="1" s="1"/>
  <c r="G7433" i="1"/>
  <c r="F7433" i="1"/>
  <c r="H7433" i="1" s="1"/>
  <c r="D7433" i="1"/>
  <c r="G7432" i="1"/>
  <c r="F7432" i="1"/>
  <c r="D7432" i="1"/>
  <c r="H7431" i="1"/>
  <c r="H7430" i="1"/>
  <c r="G7430" i="1"/>
  <c r="F7430" i="1"/>
  <c r="D7430" i="1"/>
  <c r="G7429" i="1"/>
  <c r="F7429" i="1"/>
  <c r="D7429" i="1"/>
  <c r="H7429" i="1" s="1"/>
  <c r="G7428" i="1"/>
  <c r="F7428" i="1"/>
  <c r="D7428" i="1"/>
  <c r="H7427" i="1"/>
  <c r="G7427" i="1"/>
  <c r="F7427" i="1"/>
  <c r="D7427" i="1"/>
  <c r="G7426" i="1"/>
  <c r="F7426" i="1"/>
  <c r="D7426" i="1"/>
  <c r="H7426" i="1" s="1"/>
  <c r="G7425" i="1"/>
  <c r="F7425" i="1"/>
  <c r="D7425" i="1"/>
  <c r="H7424" i="1"/>
  <c r="G7424" i="1"/>
  <c r="F7424" i="1"/>
  <c r="D7424" i="1"/>
  <c r="G7423" i="1"/>
  <c r="F7423" i="1"/>
  <c r="D7423" i="1"/>
  <c r="H7423" i="1" s="1"/>
  <c r="G7422" i="1"/>
  <c r="F7422" i="1"/>
  <c r="D7422" i="1"/>
  <c r="H7421" i="1"/>
  <c r="G7421" i="1"/>
  <c r="F7421" i="1"/>
  <c r="D7421" i="1"/>
  <c r="H7420" i="1"/>
  <c r="H7419" i="1"/>
  <c r="G7419" i="1"/>
  <c r="F7419" i="1"/>
  <c r="D7419" i="1"/>
  <c r="H7418" i="1"/>
  <c r="G7418" i="1"/>
  <c r="F7418" i="1"/>
  <c r="D7418" i="1"/>
  <c r="G7417" i="1"/>
  <c r="F7417" i="1"/>
  <c r="H7417" i="1" s="1"/>
  <c r="D7417" i="1"/>
  <c r="G7416" i="1"/>
  <c r="F7416" i="1"/>
  <c r="H7416" i="1" s="1"/>
  <c r="D7416" i="1"/>
  <c r="H7415" i="1"/>
  <c r="G7415" i="1"/>
  <c r="F7415" i="1"/>
  <c r="D7415" i="1"/>
  <c r="G7414" i="1"/>
  <c r="F7414" i="1"/>
  <c r="H7414" i="1" s="1"/>
  <c r="D7414" i="1"/>
  <c r="G7413" i="1"/>
  <c r="F7413" i="1"/>
  <c r="H7413" i="1" s="1"/>
  <c r="D7413" i="1"/>
  <c r="H7412" i="1"/>
  <c r="G7412" i="1"/>
  <c r="F7412" i="1"/>
  <c r="D7412" i="1"/>
  <c r="G7411" i="1"/>
  <c r="F7411" i="1"/>
  <c r="H7411" i="1" s="1"/>
  <c r="D7411" i="1"/>
  <c r="G7410" i="1"/>
  <c r="F7410" i="1"/>
  <c r="H7410" i="1" s="1"/>
  <c r="D7410" i="1"/>
  <c r="H7409" i="1"/>
  <c r="G7408" i="1"/>
  <c r="F7408" i="1"/>
  <c r="H7408" i="1" s="1"/>
  <c r="D7408" i="1"/>
  <c r="G7407" i="1"/>
  <c r="F7407" i="1"/>
  <c r="D7407" i="1"/>
  <c r="H7407" i="1" s="1"/>
  <c r="G7406" i="1"/>
  <c r="F7406" i="1"/>
  <c r="D7406" i="1"/>
  <c r="H7406" i="1" s="1"/>
  <c r="G7405" i="1"/>
  <c r="F7405" i="1"/>
  <c r="H7405" i="1" s="1"/>
  <c r="D7405" i="1"/>
  <c r="G7404" i="1"/>
  <c r="F7404" i="1"/>
  <c r="D7404" i="1"/>
  <c r="H7404" i="1" s="1"/>
  <c r="G7403" i="1"/>
  <c r="F7403" i="1"/>
  <c r="D7403" i="1"/>
  <c r="H7403" i="1" s="1"/>
  <c r="G7402" i="1"/>
  <c r="F7402" i="1"/>
  <c r="H7402" i="1" s="1"/>
  <c r="D7402" i="1"/>
  <c r="G7401" i="1"/>
  <c r="F7401" i="1"/>
  <c r="D7401" i="1"/>
  <c r="H7401" i="1" s="1"/>
  <c r="G7400" i="1"/>
  <c r="F7400" i="1"/>
  <c r="D7400" i="1"/>
  <c r="H7400" i="1" s="1"/>
  <c r="G7399" i="1"/>
  <c r="F7399" i="1"/>
  <c r="H7399" i="1" s="1"/>
  <c r="D7399" i="1"/>
  <c r="G7398" i="1"/>
  <c r="F7398" i="1"/>
  <c r="D7398" i="1"/>
  <c r="H7398" i="1" s="1"/>
  <c r="G7397" i="1"/>
  <c r="F7397" i="1"/>
  <c r="D7397" i="1"/>
  <c r="H7397" i="1" s="1"/>
  <c r="G7396" i="1"/>
  <c r="F7396" i="1"/>
  <c r="H7396" i="1" s="1"/>
  <c r="D7396" i="1"/>
  <c r="G7395" i="1"/>
  <c r="F7395" i="1"/>
  <c r="D7395" i="1"/>
  <c r="H7395" i="1" s="1"/>
  <c r="G7394" i="1"/>
  <c r="F7394" i="1"/>
  <c r="D7394" i="1"/>
  <c r="H7394" i="1" s="1"/>
  <c r="G7393" i="1"/>
  <c r="F7393" i="1"/>
  <c r="H7393" i="1" s="1"/>
  <c r="D7393" i="1"/>
  <c r="H7392" i="1"/>
  <c r="H7391" i="1"/>
  <c r="G7391" i="1"/>
  <c r="F7391" i="1"/>
  <c r="D7391" i="1"/>
  <c r="G7390" i="1"/>
  <c r="F7390" i="1"/>
  <c r="H7390" i="1" s="1"/>
  <c r="D7390" i="1"/>
  <c r="G7389" i="1"/>
  <c r="F7389" i="1"/>
  <c r="H7389" i="1" s="1"/>
  <c r="D7389" i="1"/>
  <c r="G7388" i="1"/>
  <c r="F7388" i="1"/>
  <c r="H7388" i="1" s="1"/>
  <c r="D7388" i="1"/>
  <c r="G7387" i="1"/>
  <c r="F7387" i="1"/>
  <c r="H7387" i="1" s="1"/>
  <c r="D7387" i="1"/>
  <c r="G7386" i="1"/>
  <c r="F7386" i="1"/>
  <c r="D7386" i="1"/>
  <c r="H7386" i="1" s="1"/>
  <c r="G7385" i="1"/>
  <c r="F7385" i="1"/>
  <c r="H7385" i="1" s="1"/>
  <c r="D7385" i="1"/>
  <c r="G7384" i="1"/>
  <c r="F7384" i="1"/>
  <c r="H7384" i="1" s="1"/>
  <c r="D7384" i="1"/>
  <c r="G7383" i="1"/>
  <c r="F7383" i="1"/>
  <c r="D7383" i="1"/>
  <c r="H7383" i="1" s="1"/>
  <c r="G7382" i="1"/>
  <c r="F7382" i="1"/>
  <c r="H7382" i="1" s="1"/>
  <c r="D7382" i="1"/>
  <c r="G7381" i="1"/>
  <c r="F7381" i="1"/>
  <c r="H7381" i="1" s="1"/>
  <c r="D7381" i="1"/>
  <c r="G7380" i="1"/>
  <c r="F7380" i="1"/>
  <c r="D7380" i="1"/>
  <c r="H7380" i="1" s="1"/>
  <c r="G7379" i="1"/>
  <c r="F7379" i="1"/>
  <c r="H7379" i="1" s="1"/>
  <c r="D7379" i="1"/>
  <c r="G7378" i="1"/>
  <c r="F7378" i="1"/>
  <c r="D7378" i="1"/>
  <c r="H7378" i="1" s="1"/>
  <c r="G7377" i="1"/>
  <c r="F7377" i="1"/>
  <c r="D7377" i="1"/>
  <c r="H7377" i="1" s="1"/>
  <c r="H7376" i="1"/>
  <c r="G7375" i="1"/>
  <c r="F7375" i="1"/>
  <c r="D7375" i="1"/>
  <c r="H7375" i="1" s="1"/>
  <c r="G7374" i="1"/>
  <c r="F7374" i="1"/>
  <c r="D7374" i="1"/>
  <c r="H7373" i="1"/>
  <c r="G7373" i="1"/>
  <c r="F7373" i="1"/>
  <c r="D7373" i="1"/>
  <c r="G7372" i="1"/>
  <c r="F7372" i="1"/>
  <c r="D7372" i="1"/>
  <c r="H7372" i="1" s="1"/>
  <c r="G7371" i="1"/>
  <c r="F7371" i="1"/>
  <c r="D7371" i="1"/>
  <c r="H7371" i="1" s="1"/>
  <c r="H7370" i="1"/>
  <c r="G7370" i="1"/>
  <c r="F7370" i="1"/>
  <c r="D7370" i="1"/>
  <c r="G7369" i="1"/>
  <c r="F7369" i="1"/>
  <c r="D7369" i="1"/>
  <c r="H7369" i="1" s="1"/>
  <c r="G7368" i="1"/>
  <c r="F7368" i="1"/>
  <c r="D7368" i="1"/>
  <c r="H7367" i="1"/>
  <c r="G7367" i="1"/>
  <c r="F7367" i="1"/>
  <c r="D7367" i="1"/>
  <c r="G7366" i="1"/>
  <c r="F7366" i="1"/>
  <c r="D7366" i="1"/>
  <c r="H7366" i="1" s="1"/>
  <c r="H7365" i="1"/>
  <c r="H7364" i="1"/>
  <c r="G7364" i="1"/>
  <c r="F7364" i="1"/>
  <c r="D7364" i="1"/>
  <c r="G7363" i="1"/>
  <c r="F7363" i="1"/>
  <c r="H7363" i="1" s="1"/>
  <c r="D7363" i="1"/>
  <c r="H7362" i="1"/>
  <c r="G7362" i="1"/>
  <c r="F7362" i="1"/>
  <c r="D7362" i="1"/>
  <c r="H7361" i="1"/>
  <c r="G7361" i="1"/>
  <c r="F7361" i="1"/>
  <c r="D7361" i="1"/>
  <c r="G7360" i="1"/>
  <c r="F7360" i="1"/>
  <c r="H7360" i="1" s="1"/>
  <c r="D7360" i="1"/>
  <c r="H7359" i="1"/>
  <c r="G7359" i="1"/>
  <c r="F7359" i="1"/>
  <c r="D7359" i="1"/>
  <c r="H7358" i="1"/>
  <c r="G7358" i="1"/>
  <c r="F7358" i="1"/>
  <c r="D7358" i="1"/>
  <c r="G7357" i="1"/>
  <c r="F7357" i="1"/>
  <c r="H7357" i="1" s="1"/>
  <c r="D7357" i="1"/>
  <c r="H7356" i="1"/>
  <c r="G7356" i="1"/>
  <c r="F7356" i="1"/>
  <c r="D7356" i="1"/>
  <c r="H7355" i="1"/>
  <c r="G7355" i="1"/>
  <c r="F7355" i="1"/>
  <c r="D7355" i="1"/>
  <c r="G7354" i="1"/>
  <c r="F7354" i="1"/>
  <c r="H7354" i="1" s="1"/>
  <c r="D7354" i="1"/>
  <c r="G7353" i="1"/>
  <c r="F7353" i="1"/>
  <c r="H7353" i="1" s="1"/>
  <c r="D7353" i="1"/>
  <c r="H7352" i="1"/>
  <c r="G7352" i="1"/>
  <c r="F7352" i="1"/>
  <c r="D7352" i="1"/>
  <c r="G7351" i="1"/>
  <c r="F7351" i="1"/>
  <c r="H7351" i="1" s="1"/>
  <c r="D7351" i="1"/>
  <c r="G7350" i="1"/>
  <c r="F7350" i="1"/>
  <c r="H7350" i="1" s="1"/>
  <c r="D7350" i="1"/>
  <c r="H7349" i="1"/>
  <c r="G7348" i="1"/>
  <c r="F7348" i="1"/>
  <c r="H7348" i="1" s="1"/>
  <c r="D7348" i="1"/>
  <c r="G7347" i="1"/>
  <c r="F7347" i="1"/>
  <c r="D7347" i="1"/>
  <c r="H7347" i="1" s="1"/>
  <c r="G7346" i="1"/>
  <c r="F7346" i="1"/>
  <c r="D7346" i="1"/>
  <c r="H7346" i="1" s="1"/>
  <c r="G7345" i="1"/>
  <c r="F7345" i="1"/>
  <c r="H7345" i="1" s="1"/>
  <c r="D7345" i="1"/>
  <c r="G7344" i="1"/>
  <c r="F7344" i="1"/>
  <c r="D7344" i="1"/>
  <c r="H7344" i="1" s="1"/>
  <c r="G7343" i="1"/>
  <c r="F7343" i="1"/>
  <c r="D7343" i="1"/>
  <c r="H7343" i="1" s="1"/>
  <c r="G7342" i="1"/>
  <c r="F7342" i="1"/>
  <c r="H7342" i="1" s="1"/>
  <c r="D7342" i="1"/>
  <c r="G7341" i="1"/>
  <c r="F7341" i="1"/>
  <c r="D7341" i="1"/>
  <c r="H7341" i="1" s="1"/>
  <c r="G7340" i="1"/>
  <c r="F7340" i="1"/>
  <c r="D7340" i="1"/>
  <c r="H7340" i="1" s="1"/>
  <c r="G7339" i="1"/>
  <c r="F7339" i="1"/>
  <c r="H7339" i="1" s="1"/>
  <c r="D7339" i="1"/>
  <c r="H7338" i="1"/>
  <c r="G7337" i="1"/>
  <c r="F7337" i="1"/>
  <c r="H7337" i="1" s="1"/>
  <c r="D7337" i="1"/>
  <c r="G7336" i="1"/>
  <c r="F7336" i="1"/>
  <c r="H7336" i="1" s="1"/>
  <c r="D7336" i="1"/>
  <c r="G7335" i="1"/>
  <c r="F7335" i="1"/>
  <c r="D7335" i="1"/>
  <c r="H7335" i="1" s="1"/>
  <c r="G7334" i="1"/>
  <c r="F7334" i="1"/>
  <c r="H7334" i="1" s="1"/>
  <c r="D7334" i="1"/>
  <c r="G7333" i="1"/>
  <c r="F7333" i="1"/>
  <c r="H7333" i="1" s="1"/>
  <c r="D7333" i="1"/>
  <c r="G7332" i="1"/>
  <c r="F7332" i="1"/>
  <c r="D7332" i="1"/>
  <c r="H7332" i="1" s="1"/>
  <c r="G7331" i="1"/>
  <c r="F7331" i="1"/>
  <c r="H7331" i="1" s="1"/>
  <c r="D7331" i="1"/>
  <c r="G7330" i="1"/>
  <c r="F7330" i="1"/>
  <c r="H7330" i="1" s="1"/>
  <c r="D7330" i="1"/>
  <c r="G7329" i="1"/>
  <c r="F7329" i="1"/>
  <c r="D7329" i="1"/>
  <c r="H7329" i="1" s="1"/>
  <c r="G7328" i="1"/>
  <c r="F7328" i="1"/>
  <c r="H7328" i="1" s="1"/>
  <c r="D7328" i="1"/>
  <c r="H7327" i="1"/>
  <c r="G7326" i="1"/>
  <c r="F7326" i="1"/>
  <c r="D7326" i="1"/>
  <c r="H7325" i="1"/>
  <c r="G7325" i="1"/>
  <c r="F7325" i="1"/>
  <c r="D7325" i="1"/>
  <c r="G7324" i="1"/>
  <c r="F7324" i="1"/>
  <c r="D7324" i="1"/>
  <c r="H7324" i="1" s="1"/>
  <c r="G7323" i="1"/>
  <c r="F7323" i="1"/>
  <c r="D7323" i="1"/>
  <c r="H7323" i="1" s="1"/>
  <c r="H7322" i="1"/>
  <c r="G7322" i="1"/>
  <c r="F7322" i="1"/>
  <c r="D7322" i="1"/>
  <c r="G7321" i="1"/>
  <c r="F7321" i="1"/>
  <c r="D7321" i="1"/>
  <c r="H7321" i="1" s="1"/>
  <c r="G7320" i="1"/>
  <c r="F7320" i="1"/>
  <c r="D7320" i="1"/>
  <c r="H7319" i="1"/>
  <c r="G7319" i="1"/>
  <c r="F7319" i="1"/>
  <c r="D7319" i="1"/>
  <c r="G7318" i="1"/>
  <c r="F7318" i="1"/>
  <c r="D7318" i="1"/>
  <c r="H7318" i="1" s="1"/>
  <c r="G7317" i="1"/>
  <c r="F7317" i="1"/>
  <c r="D7317" i="1"/>
  <c r="H7316" i="1"/>
  <c r="G7315" i="1"/>
  <c r="F7315" i="1"/>
  <c r="H7315" i="1" s="1"/>
  <c r="D7315" i="1"/>
  <c r="H7314" i="1"/>
  <c r="G7314" i="1"/>
  <c r="F7314" i="1"/>
  <c r="D7314" i="1"/>
  <c r="H7313" i="1"/>
  <c r="G7313" i="1"/>
  <c r="F7313" i="1"/>
  <c r="D7313" i="1"/>
  <c r="G7312" i="1"/>
  <c r="F7312" i="1"/>
  <c r="H7312" i="1" s="1"/>
  <c r="D7312" i="1"/>
  <c r="H7311" i="1"/>
  <c r="G7311" i="1"/>
  <c r="F7311" i="1"/>
  <c r="D7311" i="1"/>
  <c r="H7310" i="1"/>
  <c r="G7310" i="1"/>
  <c r="F7310" i="1"/>
  <c r="D7310" i="1"/>
  <c r="G7309" i="1"/>
  <c r="F7309" i="1"/>
  <c r="H7309" i="1" s="1"/>
  <c r="D7309" i="1"/>
  <c r="H7308" i="1"/>
  <c r="G7308" i="1"/>
  <c r="F7308" i="1"/>
  <c r="D7308" i="1"/>
  <c r="H7307" i="1"/>
  <c r="G7307" i="1"/>
  <c r="F7307" i="1"/>
  <c r="D7307" i="1"/>
  <c r="G7306" i="1"/>
  <c r="F7306" i="1"/>
  <c r="H7306" i="1" s="1"/>
  <c r="D7306" i="1"/>
  <c r="H7305" i="1"/>
  <c r="G7304" i="1"/>
  <c r="F7304" i="1"/>
  <c r="D7304" i="1"/>
  <c r="H7304" i="1" s="1"/>
  <c r="G7303" i="1"/>
  <c r="F7303" i="1"/>
  <c r="H7303" i="1" s="1"/>
  <c r="D7303" i="1"/>
  <c r="G7302" i="1"/>
  <c r="F7302" i="1"/>
  <c r="D7302" i="1"/>
  <c r="H7302" i="1" s="1"/>
  <c r="G7301" i="1"/>
  <c r="F7301" i="1"/>
  <c r="D7301" i="1"/>
  <c r="H7301" i="1" s="1"/>
  <c r="G7300" i="1"/>
  <c r="F7300" i="1"/>
  <c r="H7300" i="1" s="1"/>
  <c r="D7300" i="1"/>
  <c r="G7299" i="1"/>
  <c r="F7299" i="1"/>
  <c r="D7299" i="1"/>
  <c r="H7299" i="1" s="1"/>
  <c r="G7298" i="1"/>
  <c r="F7298" i="1"/>
  <c r="D7298" i="1"/>
  <c r="H7298" i="1" s="1"/>
  <c r="G7297" i="1"/>
  <c r="F7297" i="1"/>
  <c r="H7297" i="1" s="1"/>
  <c r="D7297" i="1"/>
  <c r="G7296" i="1"/>
  <c r="F7296" i="1"/>
  <c r="D7296" i="1"/>
  <c r="H7296" i="1" s="1"/>
  <c r="G7295" i="1"/>
  <c r="F7295" i="1"/>
  <c r="D7295" i="1"/>
  <c r="H7295" i="1" s="1"/>
  <c r="G7294" i="1"/>
  <c r="F7294" i="1"/>
  <c r="H7294" i="1" s="1"/>
  <c r="D7294" i="1"/>
  <c r="G7293" i="1"/>
  <c r="F7293" i="1"/>
  <c r="D7293" i="1"/>
  <c r="H7293" i="1" s="1"/>
  <c r="G7292" i="1"/>
  <c r="F7292" i="1"/>
  <c r="D7292" i="1"/>
  <c r="H7292" i="1" s="1"/>
  <c r="G7291" i="1"/>
  <c r="F7291" i="1"/>
  <c r="H7291" i="1" s="1"/>
  <c r="D7291" i="1"/>
  <c r="G7290" i="1"/>
  <c r="F7290" i="1"/>
  <c r="D7290" i="1"/>
  <c r="H7290" i="1" s="1"/>
  <c r="G7289" i="1"/>
  <c r="F7289" i="1"/>
  <c r="D7289" i="1"/>
  <c r="H7289" i="1" s="1"/>
  <c r="G7288" i="1"/>
  <c r="F7288" i="1"/>
  <c r="D7288" i="1"/>
  <c r="H7288" i="1" s="1"/>
  <c r="H7287" i="1"/>
  <c r="H7286" i="1"/>
  <c r="G7286" i="1"/>
  <c r="F7286" i="1"/>
  <c r="D7286" i="1"/>
  <c r="G7285" i="1"/>
  <c r="F7285" i="1"/>
  <c r="H7285" i="1" s="1"/>
  <c r="D7285" i="1"/>
  <c r="G7284" i="1"/>
  <c r="F7284" i="1"/>
  <c r="H7284" i="1" s="1"/>
  <c r="D7284" i="1"/>
  <c r="H7283" i="1"/>
  <c r="G7283" i="1"/>
  <c r="F7283" i="1"/>
  <c r="D7283" i="1"/>
  <c r="G7282" i="1"/>
  <c r="F7282" i="1"/>
  <c r="H7282" i="1" s="1"/>
  <c r="D7282" i="1"/>
  <c r="G7281" i="1"/>
  <c r="F7281" i="1"/>
  <c r="H7281" i="1" s="1"/>
  <c r="D7281" i="1"/>
  <c r="G7280" i="1"/>
  <c r="F7280" i="1"/>
  <c r="H7280" i="1" s="1"/>
  <c r="D7280" i="1"/>
  <c r="G7279" i="1"/>
  <c r="F7279" i="1"/>
  <c r="H7279" i="1" s="1"/>
  <c r="D7279" i="1"/>
  <c r="G7278" i="1"/>
  <c r="F7278" i="1"/>
  <c r="D7278" i="1"/>
  <c r="H7278" i="1" s="1"/>
  <c r="G7277" i="1"/>
  <c r="F7277" i="1"/>
  <c r="H7277" i="1" s="1"/>
  <c r="D7277" i="1"/>
  <c r="H7276" i="1"/>
  <c r="G7275" i="1"/>
  <c r="F7275" i="1"/>
  <c r="D7275" i="1"/>
  <c r="H7274" i="1"/>
  <c r="G7274" i="1"/>
  <c r="F7274" i="1"/>
  <c r="D7274" i="1"/>
  <c r="G7273" i="1"/>
  <c r="F7273" i="1"/>
  <c r="D7273" i="1"/>
  <c r="H7273" i="1" s="1"/>
  <c r="G7272" i="1"/>
  <c r="F7272" i="1"/>
  <c r="D7272" i="1"/>
  <c r="H7271" i="1"/>
  <c r="G7271" i="1"/>
  <c r="F7271" i="1"/>
  <c r="D7271" i="1"/>
  <c r="G7270" i="1"/>
  <c r="F7270" i="1"/>
  <c r="D7270" i="1"/>
  <c r="G7269" i="1"/>
  <c r="F7269" i="1"/>
  <c r="D7269" i="1"/>
  <c r="H7268" i="1"/>
  <c r="G7268" i="1"/>
  <c r="F7268" i="1"/>
  <c r="D7268" i="1"/>
  <c r="G7267" i="1"/>
  <c r="F7267" i="1"/>
  <c r="D7267" i="1"/>
  <c r="G7266" i="1"/>
  <c r="F7266" i="1"/>
  <c r="D7266" i="1"/>
  <c r="H7265" i="1"/>
  <c r="G7265" i="1"/>
  <c r="F7265" i="1"/>
  <c r="D7265" i="1"/>
  <c r="G7264" i="1"/>
  <c r="F7264" i="1"/>
  <c r="D7264" i="1"/>
  <c r="G7263" i="1"/>
  <c r="F7263" i="1"/>
  <c r="D7263" i="1"/>
  <c r="H7263" i="1" s="1"/>
  <c r="H7262" i="1"/>
  <c r="G7262" i="1"/>
  <c r="F7262" i="1"/>
  <c r="D7262" i="1"/>
  <c r="G7261" i="1"/>
  <c r="F7261" i="1"/>
  <c r="D7261" i="1"/>
  <c r="H7261" i="1" s="1"/>
  <c r="H7260" i="1"/>
  <c r="H7259" i="1"/>
  <c r="G7259" i="1"/>
  <c r="F7259" i="1"/>
  <c r="D7259" i="1"/>
  <c r="G7258" i="1"/>
  <c r="F7258" i="1"/>
  <c r="H7258" i="1" s="1"/>
  <c r="D7258" i="1"/>
  <c r="H7257" i="1"/>
  <c r="G7257" i="1"/>
  <c r="F7257" i="1"/>
  <c r="D7257" i="1"/>
  <c r="H7256" i="1"/>
  <c r="G7256" i="1"/>
  <c r="F7256" i="1"/>
  <c r="D7256" i="1"/>
  <c r="G7255" i="1"/>
  <c r="F7255" i="1"/>
  <c r="H7255" i="1" s="1"/>
  <c r="D7255" i="1"/>
  <c r="H7254" i="1"/>
  <c r="G7254" i="1"/>
  <c r="F7254" i="1"/>
  <c r="D7254" i="1"/>
  <c r="H7253" i="1"/>
  <c r="G7253" i="1"/>
  <c r="F7253" i="1"/>
  <c r="D7253" i="1"/>
  <c r="G7252" i="1"/>
  <c r="F7252" i="1"/>
  <c r="H7252" i="1" s="1"/>
  <c r="D7252" i="1"/>
  <c r="H7251" i="1"/>
  <c r="G7251" i="1"/>
  <c r="F7251" i="1"/>
  <c r="D7251" i="1"/>
  <c r="G7250" i="1"/>
  <c r="F7250" i="1"/>
  <c r="D7250" i="1"/>
  <c r="H7250" i="1" s="1"/>
  <c r="H7249" i="1"/>
  <c r="G7248" i="1"/>
  <c r="F7248" i="1"/>
  <c r="D7248" i="1"/>
  <c r="H7248" i="1" s="1"/>
  <c r="G7247" i="1"/>
  <c r="F7247" i="1"/>
  <c r="D7247" i="1"/>
  <c r="H7247" i="1" s="1"/>
  <c r="G7246" i="1"/>
  <c r="F7246" i="1"/>
  <c r="H7246" i="1" s="1"/>
  <c r="D7246" i="1"/>
  <c r="G7245" i="1"/>
  <c r="F7245" i="1"/>
  <c r="D7245" i="1"/>
  <c r="H7245" i="1" s="1"/>
  <c r="G7244" i="1"/>
  <c r="F7244" i="1"/>
  <c r="D7244" i="1"/>
  <c r="H7244" i="1" s="1"/>
  <c r="G7243" i="1"/>
  <c r="F7243" i="1"/>
  <c r="H7243" i="1" s="1"/>
  <c r="D7243" i="1"/>
  <c r="G7242" i="1"/>
  <c r="F7242" i="1"/>
  <c r="D7242" i="1"/>
  <c r="H7242" i="1" s="1"/>
  <c r="G7241" i="1"/>
  <c r="F7241" i="1"/>
  <c r="D7241" i="1"/>
  <c r="H7241" i="1" s="1"/>
  <c r="G7240" i="1"/>
  <c r="F7240" i="1"/>
  <c r="H7240" i="1" s="1"/>
  <c r="D7240" i="1"/>
  <c r="G7239" i="1"/>
  <c r="F7239" i="1"/>
  <c r="D7239" i="1"/>
  <c r="H7239" i="1" s="1"/>
  <c r="H7238" i="1"/>
  <c r="G7237" i="1"/>
  <c r="F7237" i="1"/>
  <c r="H7237" i="1" s="1"/>
  <c r="D7237" i="1"/>
  <c r="G7236" i="1"/>
  <c r="F7236" i="1"/>
  <c r="D7236" i="1"/>
  <c r="G7235" i="1"/>
  <c r="F7235" i="1"/>
  <c r="H7235" i="1" s="1"/>
  <c r="D7235" i="1"/>
  <c r="G7234" i="1"/>
  <c r="F7234" i="1"/>
  <c r="H7234" i="1" s="1"/>
  <c r="D7234" i="1"/>
  <c r="G7233" i="1"/>
  <c r="F7233" i="1"/>
  <c r="H7233" i="1" s="1"/>
  <c r="D7233" i="1"/>
  <c r="G7232" i="1"/>
  <c r="F7232" i="1"/>
  <c r="H7232" i="1" s="1"/>
  <c r="D7232" i="1"/>
  <c r="G7231" i="1"/>
  <c r="F7231" i="1"/>
  <c r="H7231" i="1" s="1"/>
  <c r="D7231" i="1"/>
  <c r="G7230" i="1"/>
  <c r="F7230" i="1"/>
  <c r="D7230" i="1"/>
  <c r="G7229" i="1"/>
  <c r="F7229" i="1"/>
  <c r="H7229" i="1" s="1"/>
  <c r="D7229" i="1"/>
  <c r="G7228" i="1"/>
  <c r="F7228" i="1"/>
  <c r="D7228" i="1"/>
  <c r="H7227" i="1"/>
  <c r="H7226" i="1"/>
  <c r="G7226" i="1"/>
  <c r="F7226" i="1"/>
  <c r="D7226" i="1"/>
  <c r="G7225" i="1"/>
  <c r="F7225" i="1"/>
  <c r="D7225" i="1"/>
  <c r="H7225" i="1" s="1"/>
  <c r="G7224" i="1"/>
  <c r="F7224" i="1"/>
  <c r="D7224" i="1"/>
  <c r="H7224" i="1" s="1"/>
  <c r="H7223" i="1"/>
  <c r="G7223" i="1"/>
  <c r="F7223" i="1"/>
  <c r="D7223" i="1"/>
  <c r="G7222" i="1"/>
  <c r="F7222" i="1"/>
  <c r="D7222" i="1"/>
  <c r="G7221" i="1"/>
  <c r="F7221" i="1"/>
  <c r="D7221" i="1"/>
  <c r="H7220" i="1"/>
  <c r="G7220" i="1"/>
  <c r="F7220" i="1"/>
  <c r="D7220" i="1"/>
  <c r="G7219" i="1"/>
  <c r="F7219" i="1"/>
  <c r="D7219" i="1"/>
  <c r="H7219" i="1" s="1"/>
  <c r="G7218" i="1"/>
  <c r="F7218" i="1"/>
  <c r="D7218" i="1"/>
  <c r="H7217" i="1"/>
  <c r="G7217" i="1"/>
  <c r="F7217" i="1"/>
  <c r="D7217" i="1"/>
  <c r="H7216" i="1"/>
  <c r="H7215" i="1"/>
  <c r="G7215" i="1"/>
  <c r="F7215" i="1"/>
  <c r="D7215" i="1"/>
  <c r="G7214" i="1"/>
  <c r="F7214" i="1"/>
  <c r="D7214" i="1"/>
  <c r="H7214" i="1" s="1"/>
  <c r="G7213" i="1"/>
  <c r="F7213" i="1"/>
  <c r="H7213" i="1" s="1"/>
  <c r="D7213" i="1"/>
  <c r="H7212" i="1"/>
  <c r="G7212" i="1"/>
  <c r="F7212" i="1"/>
  <c r="D7212" i="1"/>
  <c r="H7211" i="1"/>
  <c r="G7211" i="1"/>
  <c r="F7211" i="1"/>
  <c r="D7211" i="1"/>
  <c r="G7210" i="1"/>
  <c r="F7210" i="1"/>
  <c r="H7210" i="1" s="1"/>
  <c r="D7210" i="1"/>
  <c r="H7209" i="1"/>
  <c r="G7209" i="1"/>
  <c r="F7209" i="1"/>
  <c r="D7209" i="1"/>
  <c r="G7208" i="1"/>
  <c r="F7208" i="1"/>
  <c r="D7208" i="1"/>
  <c r="H7208" i="1" s="1"/>
  <c r="G7207" i="1"/>
  <c r="F7207" i="1"/>
  <c r="H7207" i="1" s="1"/>
  <c r="D7207" i="1"/>
  <c r="H7206" i="1"/>
  <c r="G7206" i="1"/>
  <c r="F7206" i="1"/>
  <c r="D7206" i="1"/>
  <c r="G7205" i="1"/>
  <c r="F7205" i="1"/>
  <c r="D7205" i="1"/>
  <c r="H7205" i="1" s="1"/>
  <c r="G7204" i="1"/>
  <c r="F7204" i="1"/>
  <c r="H7204" i="1" s="1"/>
  <c r="D7204" i="1"/>
  <c r="H7203" i="1"/>
  <c r="G7203" i="1"/>
  <c r="F7203" i="1"/>
  <c r="D7203" i="1"/>
  <c r="G7202" i="1"/>
  <c r="F7202" i="1"/>
  <c r="D7202" i="1"/>
  <c r="H7202" i="1" s="1"/>
  <c r="G7201" i="1"/>
  <c r="F7201" i="1"/>
  <c r="H7201" i="1" s="1"/>
  <c r="D7201" i="1"/>
  <c r="H7200" i="1"/>
  <c r="G7199" i="1"/>
  <c r="F7199" i="1"/>
  <c r="D7199" i="1"/>
  <c r="H7199" i="1" s="1"/>
  <c r="G7198" i="1"/>
  <c r="F7198" i="1"/>
  <c r="H7198" i="1" s="1"/>
  <c r="D7198" i="1"/>
  <c r="G7197" i="1"/>
  <c r="F7197" i="1"/>
  <c r="D7197" i="1"/>
  <c r="H7197" i="1" s="1"/>
  <c r="G7196" i="1"/>
  <c r="F7196" i="1"/>
  <c r="D7196" i="1"/>
  <c r="H7196" i="1" s="1"/>
  <c r="G7195" i="1"/>
  <c r="F7195" i="1"/>
  <c r="H7195" i="1" s="1"/>
  <c r="D7195" i="1"/>
  <c r="H7194" i="1"/>
  <c r="G7193" i="1"/>
  <c r="F7193" i="1"/>
  <c r="H7193" i="1" s="1"/>
  <c r="D7193" i="1"/>
  <c r="G7192" i="1"/>
  <c r="F7192" i="1"/>
  <c r="H7192" i="1" s="1"/>
  <c r="D7192" i="1"/>
  <c r="G7191" i="1"/>
  <c r="F7191" i="1"/>
  <c r="H7191" i="1" s="1"/>
  <c r="D7191" i="1"/>
  <c r="G7190" i="1"/>
  <c r="F7190" i="1"/>
  <c r="H7190" i="1" s="1"/>
  <c r="D7190" i="1"/>
  <c r="G7189" i="1"/>
  <c r="F7189" i="1"/>
  <c r="D7189" i="1"/>
  <c r="G7188" i="1"/>
  <c r="F7188" i="1"/>
  <c r="D7188" i="1"/>
  <c r="G7187" i="1"/>
  <c r="F7187" i="1"/>
  <c r="H7187" i="1" s="1"/>
  <c r="D7187" i="1"/>
  <c r="G7186" i="1"/>
  <c r="F7186" i="1"/>
  <c r="D7186" i="1"/>
  <c r="G7185" i="1"/>
  <c r="F7185" i="1"/>
  <c r="H7185" i="1" s="1"/>
  <c r="D7185" i="1"/>
  <c r="G7184" i="1"/>
  <c r="F7184" i="1"/>
  <c r="H7184" i="1" s="1"/>
  <c r="D7184" i="1"/>
  <c r="H7183" i="1"/>
  <c r="G7182" i="1"/>
  <c r="F7182" i="1"/>
  <c r="D7182" i="1"/>
  <c r="H7181" i="1"/>
  <c r="G7181" i="1"/>
  <c r="F7181" i="1"/>
  <c r="D7181" i="1"/>
  <c r="G7180" i="1"/>
  <c r="F7180" i="1"/>
  <c r="D7180" i="1"/>
  <c r="H7180" i="1" s="1"/>
  <c r="G7179" i="1"/>
  <c r="F7179" i="1"/>
  <c r="D7179" i="1"/>
  <c r="H7179" i="1" s="1"/>
  <c r="H7178" i="1"/>
  <c r="G7178" i="1"/>
  <c r="F7178" i="1"/>
  <c r="D7178" i="1"/>
  <c r="G7177" i="1"/>
  <c r="F7177" i="1"/>
  <c r="D7177" i="1"/>
  <c r="G7176" i="1"/>
  <c r="F7176" i="1"/>
  <c r="D7176" i="1"/>
  <c r="H7175" i="1"/>
  <c r="G7175" i="1"/>
  <c r="F7175" i="1"/>
  <c r="D7175" i="1"/>
  <c r="G7174" i="1"/>
  <c r="F7174" i="1"/>
  <c r="D7174" i="1"/>
  <c r="G7173" i="1"/>
  <c r="F7173" i="1"/>
  <c r="D7173" i="1"/>
  <c r="H7173" i="1" s="1"/>
  <c r="H7172" i="1"/>
  <c r="G7171" i="1"/>
  <c r="F7171" i="1"/>
  <c r="H7171" i="1" s="1"/>
  <c r="D7171" i="1"/>
  <c r="H7170" i="1"/>
  <c r="G7170" i="1"/>
  <c r="F7170" i="1"/>
  <c r="D7170" i="1"/>
  <c r="G7169" i="1"/>
  <c r="F7169" i="1"/>
  <c r="D7169" i="1"/>
  <c r="H7169" i="1" s="1"/>
  <c r="G7168" i="1"/>
  <c r="F7168" i="1"/>
  <c r="H7168" i="1" s="1"/>
  <c r="D7168" i="1"/>
  <c r="H7167" i="1"/>
  <c r="G7167" i="1"/>
  <c r="F7167" i="1"/>
  <c r="D7167" i="1"/>
  <c r="G7166" i="1"/>
  <c r="F7166" i="1"/>
  <c r="D7166" i="1"/>
  <c r="H7166" i="1" s="1"/>
  <c r="G7165" i="1"/>
  <c r="F7165" i="1"/>
  <c r="H7165" i="1" s="1"/>
  <c r="D7165" i="1"/>
  <c r="H7164" i="1"/>
  <c r="G7164" i="1"/>
  <c r="F7164" i="1"/>
  <c r="D7164" i="1"/>
  <c r="G7163" i="1"/>
  <c r="F7163" i="1"/>
  <c r="D7163" i="1"/>
  <c r="H7163" i="1" s="1"/>
  <c r="G7162" i="1"/>
  <c r="F7162" i="1"/>
  <c r="H7162" i="1" s="1"/>
  <c r="D7162" i="1"/>
  <c r="H7161" i="1"/>
  <c r="G7160" i="1"/>
  <c r="F7160" i="1"/>
  <c r="D7160" i="1"/>
  <c r="H7160" i="1" s="1"/>
  <c r="G7159" i="1"/>
  <c r="F7159" i="1"/>
  <c r="H7159" i="1" s="1"/>
  <c r="D7159" i="1"/>
  <c r="G7158" i="1"/>
  <c r="F7158" i="1"/>
  <c r="D7158" i="1"/>
  <c r="H7158" i="1" s="1"/>
  <c r="G7157" i="1"/>
  <c r="F7157" i="1"/>
  <c r="D7157" i="1"/>
  <c r="H7157" i="1" s="1"/>
  <c r="G7156" i="1"/>
  <c r="F7156" i="1"/>
  <c r="H7156" i="1" s="1"/>
  <c r="D7156" i="1"/>
  <c r="G7155" i="1"/>
  <c r="F7155" i="1"/>
  <c r="D7155" i="1"/>
  <c r="G7154" i="1"/>
  <c r="F7154" i="1"/>
  <c r="D7154" i="1"/>
  <c r="H7154" i="1" s="1"/>
  <c r="G7153" i="1"/>
  <c r="F7153" i="1"/>
  <c r="H7153" i="1" s="1"/>
  <c r="D7153" i="1"/>
  <c r="G7152" i="1"/>
  <c r="F7152" i="1"/>
  <c r="D7152" i="1"/>
  <c r="G7151" i="1"/>
  <c r="F7151" i="1"/>
  <c r="D7151" i="1"/>
  <c r="H7151" i="1" s="1"/>
  <c r="H7150" i="1"/>
  <c r="G7149" i="1"/>
  <c r="F7149" i="1"/>
  <c r="D7149" i="1"/>
  <c r="H7148" i="1"/>
  <c r="G7148" i="1"/>
  <c r="F7148" i="1"/>
  <c r="D7148" i="1"/>
  <c r="G7147" i="1"/>
  <c r="F7147" i="1"/>
  <c r="H7147" i="1" s="1"/>
  <c r="D7147" i="1"/>
  <c r="G7146" i="1"/>
  <c r="F7146" i="1"/>
  <c r="H7146" i="1" s="1"/>
  <c r="D7146" i="1"/>
  <c r="G7145" i="1"/>
  <c r="F7145" i="1"/>
  <c r="H7145" i="1" s="1"/>
  <c r="D7145" i="1"/>
  <c r="G7144" i="1"/>
  <c r="F7144" i="1"/>
  <c r="D7144" i="1"/>
  <c r="G7143" i="1"/>
  <c r="F7143" i="1"/>
  <c r="H7143" i="1" s="1"/>
  <c r="D7143" i="1"/>
  <c r="G7142" i="1"/>
  <c r="F7142" i="1"/>
  <c r="H7142" i="1" s="1"/>
  <c r="D7142" i="1"/>
  <c r="G7141" i="1"/>
  <c r="F7141" i="1"/>
  <c r="D7141" i="1"/>
  <c r="H7141" i="1" s="1"/>
  <c r="G7140" i="1"/>
  <c r="F7140" i="1"/>
  <c r="D7140" i="1"/>
  <c r="H7139" i="1"/>
  <c r="G7138" i="1"/>
  <c r="F7138" i="1"/>
  <c r="D7138" i="1"/>
  <c r="H7138" i="1" s="1"/>
  <c r="G7137" i="1"/>
  <c r="F7137" i="1"/>
  <c r="D7137" i="1"/>
  <c r="H7137" i="1" s="1"/>
  <c r="H7136" i="1"/>
  <c r="G7136" i="1"/>
  <c r="F7136" i="1"/>
  <c r="D7136" i="1"/>
  <c r="G7135" i="1"/>
  <c r="F7135" i="1"/>
  <c r="D7135" i="1"/>
  <c r="G7134" i="1"/>
  <c r="F7134" i="1"/>
  <c r="D7134" i="1"/>
  <c r="H7134" i="1" s="1"/>
  <c r="H7133" i="1"/>
  <c r="G7133" i="1"/>
  <c r="F7133" i="1"/>
  <c r="D7133" i="1"/>
  <c r="G7132" i="1"/>
  <c r="F7132" i="1"/>
  <c r="D7132" i="1"/>
  <c r="G7131" i="1"/>
  <c r="F7131" i="1"/>
  <c r="D7131" i="1"/>
  <c r="G7130" i="1"/>
  <c r="F7130" i="1"/>
  <c r="D7130" i="1"/>
  <c r="H7130" i="1" s="1"/>
  <c r="G7129" i="1"/>
  <c r="F7129" i="1"/>
  <c r="D7129" i="1"/>
  <c r="H7129" i="1" s="1"/>
  <c r="H7128" i="1"/>
  <c r="G7127" i="1"/>
  <c r="H7127" i="1" s="1"/>
  <c r="F7127" i="1"/>
  <c r="D7127" i="1"/>
  <c r="G7126" i="1"/>
  <c r="F7126" i="1"/>
  <c r="H7126" i="1" s="1"/>
  <c r="D7126" i="1"/>
  <c r="H7125" i="1"/>
  <c r="G7125" i="1"/>
  <c r="F7125" i="1"/>
  <c r="D7125" i="1"/>
  <c r="G7124" i="1"/>
  <c r="F7124" i="1"/>
  <c r="D7124" i="1"/>
  <c r="H7124" i="1" s="1"/>
  <c r="G7123" i="1"/>
  <c r="F7123" i="1"/>
  <c r="H7123" i="1" s="1"/>
  <c r="D7123" i="1"/>
  <c r="H7122" i="1"/>
  <c r="G7122" i="1"/>
  <c r="F7122" i="1"/>
  <c r="D7122" i="1"/>
  <c r="H7121" i="1"/>
  <c r="G7121" i="1"/>
  <c r="F7121" i="1"/>
  <c r="D7121" i="1"/>
  <c r="G7120" i="1"/>
  <c r="F7120" i="1"/>
  <c r="H7120" i="1" s="1"/>
  <c r="D7120" i="1"/>
  <c r="G7119" i="1"/>
  <c r="F7119" i="1"/>
  <c r="H7119" i="1" s="1"/>
  <c r="D7119" i="1"/>
  <c r="G7118" i="1"/>
  <c r="F7118" i="1"/>
  <c r="D7118" i="1"/>
  <c r="H7118" i="1" s="1"/>
  <c r="H7117" i="1"/>
  <c r="G7116" i="1"/>
  <c r="F7116" i="1"/>
  <c r="D7116" i="1"/>
  <c r="H7116" i="1" s="1"/>
  <c r="G7115" i="1"/>
  <c r="F7115" i="1"/>
  <c r="D7115" i="1"/>
  <c r="H7115" i="1" s="1"/>
  <c r="G7114" i="1"/>
  <c r="F7114" i="1"/>
  <c r="H7114" i="1" s="1"/>
  <c r="D7114" i="1"/>
  <c r="G7113" i="1"/>
  <c r="F7113" i="1"/>
  <c r="D7113" i="1"/>
  <c r="G7112" i="1"/>
  <c r="F7112" i="1"/>
  <c r="D7112" i="1"/>
  <c r="H7112" i="1" s="1"/>
  <c r="H7111" i="1"/>
  <c r="G7111" i="1"/>
  <c r="F7111" i="1"/>
  <c r="D7111" i="1"/>
  <c r="G7110" i="1"/>
  <c r="F7110" i="1"/>
  <c r="D7110" i="1"/>
  <c r="G7109" i="1"/>
  <c r="F7109" i="1"/>
  <c r="D7109" i="1"/>
  <c r="G7108" i="1"/>
  <c r="F7108" i="1"/>
  <c r="H7108" i="1" s="1"/>
  <c r="D7108" i="1"/>
  <c r="G7107" i="1"/>
  <c r="F7107" i="1"/>
  <c r="D7107" i="1"/>
  <c r="H7107" i="1" s="1"/>
  <c r="H7106" i="1"/>
  <c r="H7105" i="1"/>
  <c r="G7105" i="1"/>
  <c r="F7105" i="1"/>
  <c r="D7105" i="1"/>
  <c r="G7104" i="1"/>
  <c r="F7104" i="1"/>
  <c r="D7104" i="1"/>
  <c r="H7103" i="1"/>
  <c r="G7103" i="1"/>
  <c r="F7103" i="1"/>
  <c r="D7103" i="1"/>
  <c r="G7102" i="1"/>
  <c r="F7102" i="1"/>
  <c r="D7102" i="1"/>
  <c r="H7102" i="1" s="1"/>
  <c r="G7101" i="1"/>
  <c r="F7101" i="1"/>
  <c r="H7101" i="1" s="1"/>
  <c r="D7101" i="1"/>
  <c r="H7100" i="1"/>
  <c r="G7100" i="1"/>
  <c r="F7100" i="1"/>
  <c r="D7100" i="1"/>
  <c r="H7099" i="1"/>
  <c r="G7099" i="1"/>
  <c r="F7099" i="1"/>
  <c r="D7099" i="1"/>
  <c r="G7098" i="1"/>
  <c r="F7098" i="1"/>
  <c r="D7098" i="1"/>
  <c r="G7097" i="1"/>
  <c r="F7097" i="1"/>
  <c r="H7097" i="1" s="1"/>
  <c r="D7097" i="1"/>
  <c r="G7096" i="1"/>
  <c r="F7096" i="1"/>
  <c r="D7096" i="1"/>
  <c r="H7096" i="1" s="1"/>
  <c r="H7095" i="1"/>
  <c r="G7094" i="1"/>
  <c r="F7094" i="1"/>
  <c r="D7094" i="1"/>
  <c r="H7094" i="1" s="1"/>
  <c r="G7093" i="1"/>
  <c r="F7093" i="1"/>
  <c r="D7093" i="1"/>
  <c r="G7092" i="1"/>
  <c r="F7092" i="1"/>
  <c r="D7092" i="1"/>
  <c r="H7091" i="1"/>
  <c r="G7091" i="1"/>
  <c r="F7091" i="1"/>
  <c r="D7091" i="1"/>
  <c r="G7090" i="1"/>
  <c r="F7090" i="1"/>
  <c r="D7090" i="1"/>
  <c r="H7090" i="1" s="1"/>
  <c r="G7089" i="1"/>
  <c r="F7089" i="1"/>
  <c r="D7089" i="1"/>
  <c r="H7088" i="1"/>
  <c r="G7088" i="1"/>
  <c r="F7088" i="1"/>
  <c r="D7088" i="1"/>
  <c r="G7087" i="1"/>
  <c r="F7087" i="1"/>
  <c r="D7087" i="1"/>
  <c r="H7087" i="1" s="1"/>
  <c r="G7086" i="1"/>
  <c r="F7086" i="1"/>
  <c r="D7086" i="1"/>
  <c r="H7085" i="1"/>
  <c r="H7084" i="1"/>
  <c r="G7084" i="1"/>
  <c r="F7084" i="1"/>
  <c r="D7084" i="1"/>
  <c r="H7083" i="1"/>
  <c r="G7083" i="1"/>
  <c r="F7083" i="1"/>
  <c r="D7083" i="1"/>
  <c r="G7082" i="1"/>
  <c r="F7082" i="1"/>
  <c r="H7082" i="1" s="1"/>
  <c r="D7082" i="1"/>
  <c r="H7081" i="1"/>
  <c r="G7081" i="1"/>
  <c r="F7081" i="1"/>
  <c r="D7081" i="1"/>
  <c r="H7080" i="1"/>
  <c r="G7080" i="1"/>
  <c r="F7080" i="1"/>
  <c r="D7080" i="1"/>
  <c r="G7079" i="1"/>
  <c r="F7079" i="1"/>
  <c r="D7079" i="1"/>
  <c r="H7079" i="1" s="1"/>
  <c r="H7078" i="1"/>
  <c r="G7078" i="1"/>
  <c r="F7078" i="1"/>
  <c r="D7078" i="1"/>
  <c r="H7077" i="1"/>
  <c r="G7077" i="1"/>
  <c r="F7077" i="1"/>
  <c r="D7077" i="1"/>
  <c r="G7076" i="1"/>
  <c r="F7076" i="1"/>
  <c r="D7076" i="1"/>
  <c r="H7076" i="1" s="1"/>
  <c r="G7075" i="1"/>
  <c r="H7075" i="1" s="1"/>
  <c r="F7075" i="1"/>
  <c r="D7075" i="1"/>
  <c r="H7074" i="1"/>
  <c r="G7073" i="1"/>
  <c r="H7073" i="1" s="1"/>
  <c r="F7073" i="1"/>
  <c r="D7073" i="1"/>
  <c r="H7072" i="1"/>
  <c r="G7072" i="1"/>
  <c r="F7072" i="1"/>
  <c r="D7072" i="1"/>
  <c r="G7071" i="1"/>
  <c r="F7071" i="1"/>
  <c r="D7071" i="1"/>
  <c r="H7071" i="1" s="1"/>
  <c r="G7070" i="1"/>
  <c r="F7070" i="1"/>
  <c r="D7070" i="1"/>
  <c r="H7070" i="1" s="1"/>
  <c r="H7069" i="1"/>
  <c r="G7069" i="1"/>
  <c r="F7069" i="1"/>
  <c r="D7069" i="1"/>
  <c r="G7068" i="1"/>
  <c r="F7068" i="1"/>
  <c r="D7068" i="1"/>
  <c r="H7068" i="1" s="1"/>
  <c r="G7067" i="1"/>
  <c r="F7067" i="1"/>
  <c r="D7067" i="1"/>
  <c r="H7067" i="1" s="1"/>
  <c r="H7066" i="1"/>
  <c r="G7066" i="1"/>
  <c r="F7066" i="1"/>
  <c r="D7066" i="1"/>
  <c r="G7065" i="1"/>
  <c r="F7065" i="1"/>
  <c r="D7065" i="1"/>
  <c r="H7065" i="1" s="1"/>
  <c r="G7064" i="1"/>
  <c r="F7064" i="1"/>
  <c r="D7064" i="1"/>
  <c r="H7064" i="1" s="1"/>
  <c r="H7063" i="1"/>
  <c r="H7062" i="1"/>
  <c r="G7062" i="1"/>
  <c r="F7062" i="1"/>
  <c r="D7062" i="1"/>
  <c r="G7061" i="1"/>
  <c r="F7061" i="1"/>
  <c r="D7061" i="1"/>
  <c r="H7061" i="1" s="1"/>
  <c r="G7060" i="1"/>
  <c r="F7060" i="1"/>
  <c r="D7060" i="1"/>
  <c r="H7060" i="1" s="1"/>
  <c r="G7059" i="1"/>
  <c r="F7059" i="1"/>
  <c r="D7059" i="1"/>
  <c r="H7059" i="1" s="1"/>
  <c r="G7058" i="1"/>
  <c r="F7058" i="1"/>
  <c r="D7058" i="1"/>
  <c r="H7058" i="1" s="1"/>
  <c r="G7057" i="1"/>
  <c r="F7057" i="1"/>
  <c r="D7057" i="1"/>
  <c r="H7057" i="1" s="1"/>
  <c r="G7056" i="1"/>
  <c r="F7056" i="1"/>
  <c r="D7056" i="1"/>
  <c r="H7056" i="1" s="1"/>
  <c r="G7055" i="1"/>
  <c r="F7055" i="1"/>
  <c r="D7055" i="1"/>
  <c r="H7055" i="1" s="1"/>
  <c r="G7054" i="1"/>
  <c r="F7054" i="1"/>
  <c r="D7054" i="1"/>
  <c r="H7054" i="1" s="1"/>
  <c r="G7053" i="1"/>
  <c r="F7053" i="1"/>
  <c r="D7053" i="1"/>
  <c r="H7053" i="1" s="1"/>
  <c r="H7052" i="1"/>
  <c r="G7051" i="1"/>
  <c r="F7051" i="1"/>
  <c r="D7051" i="1"/>
  <c r="H7051" i="1" s="1"/>
  <c r="G7050" i="1"/>
  <c r="F7050" i="1"/>
  <c r="D7050" i="1"/>
  <c r="H7050" i="1" s="1"/>
  <c r="G7049" i="1"/>
  <c r="F7049" i="1"/>
  <c r="D7049" i="1"/>
  <c r="H7049" i="1" s="1"/>
  <c r="G7048" i="1"/>
  <c r="F7048" i="1"/>
  <c r="D7048" i="1"/>
  <c r="H7048" i="1" s="1"/>
  <c r="G7047" i="1"/>
  <c r="F7047" i="1"/>
  <c r="D7047" i="1"/>
  <c r="H7047" i="1" s="1"/>
  <c r="H7046" i="1"/>
  <c r="G7046" i="1"/>
  <c r="F7046" i="1"/>
  <c r="D7046" i="1"/>
  <c r="G7045" i="1"/>
  <c r="F7045" i="1"/>
  <c r="D7045" i="1"/>
  <c r="H7045" i="1" s="1"/>
  <c r="G7044" i="1"/>
  <c r="F7044" i="1"/>
  <c r="D7044" i="1"/>
  <c r="G7043" i="1"/>
  <c r="F7043" i="1"/>
  <c r="D7043" i="1"/>
  <c r="H7043" i="1" s="1"/>
  <c r="G7042" i="1"/>
  <c r="F7042" i="1"/>
  <c r="D7042" i="1"/>
  <c r="H7042" i="1" s="1"/>
  <c r="H7041" i="1"/>
  <c r="G7041" i="1"/>
  <c r="F7041" i="1"/>
  <c r="D7041" i="1"/>
  <c r="G7040" i="1"/>
  <c r="F7040" i="1"/>
  <c r="D7040" i="1"/>
  <c r="H7040" i="1" s="1"/>
  <c r="G7039" i="1"/>
  <c r="F7039" i="1"/>
  <c r="D7039" i="1"/>
  <c r="H7039" i="1" s="1"/>
  <c r="H7038" i="1"/>
  <c r="G7038" i="1"/>
  <c r="F7038" i="1"/>
  <c r="D7038" i="1"/>
  <c r="G7037" i="1"/>
  <c r="F7037" i="1"/>
  <c r="D7037" i="1"/>
  <c r="H7037" i="1" s="1"/>
  <c r="H7036" i="1"/>
  <c r="G7035" i="1"/>
  <c r="F7035" i="1"/>
  <c r="D7035" i="1"/>
  <c r="H7035" i="1" s="1"/>
  <c r="G7034" i="1"/>
  <c r="F7034" i="1"/>
  <c r="D7034" i="1"/>
  <c r="H7034" i="1" s="1"/>
  <c r="H7033" i="1"/>
  <c r="G7033" i="1"/>
  <c r="F7033" i="1"/>
  <c r="D7033" i="1"/>
  <c r="G7032" i="1"/>
  <c r="F7032" i="1"/>
  <c r="D7032" i="1"/>
  <c r="H7032" i="1" s="1"/>
  <c r="G7031" i="1"/>
  <c r="F7031" i="1"/>
  <c r="D7031" i="1"/>
  <c r="H7031" i="1" s="1"/>
  <c r="H7030" i="1"/>
  <c r="G7030" i="1"/>
  <c r="F7030" i="1"/>
  <c r="D7030" i="1"/>
  <c r="G7029" i="1"/>
  <c r="F7029" i="1"/>
  <c r="D7029" i="1"/>
  <c r="H7029" i="1" s="1"/>
  <c r="G7028" i="1"/>
  <c r="F7028" i="1"/>
  <c r="D7028" i="1"/>
  <c r="H7028" i="1" s="1"/>
  <c r="H7027" i="1"/>
  <c r="G7027" i="1"/>
  <c r="F7027" i="1"/>
  <c r="D7027" i="1"/>
  <c r="G7026" i="1"/>
  <c r="F7026" i="1"/>
  <c r="D7026" i="1"/>
  <c r="H7026" i="1" s="1"/>
  <c r="G7025" i="1"/>
  <c r="F7025" i="1"/>
  <c r="D7025" i="1"/>
  <c r="H7025" i="1" s="1"/>
  <c r="H7024" i="1"/>
  <c r="G7024" i="1"/>
  <c r="F7024" i="1"/>
  <c r="D7024" i="1"/>
  <c r="G7023" i="1"/>
  <c r="F7023" i="1"/>
  <c r="D7023" i="1"/>
  <c r="H7023" i="1" s="1"/>
  <c r="G7022" i="1"/>
  <c r="F7022" i="1"/>
  <c r="D7022" i="1"/>
  <c r="H7022" i="1" s="1"/>
  <c r="H7021" i="1"/>
  <c r="G7021" i="1"/>
  <c r="F7021" i="1"/>
  <c r="D7021" i="1"/>
  <c r="H7020" i="1"/>
  <c r="G7019" i="1"/>
  <c r="F7019" i="1"/>
  <c r="D7019" i="1"/>
  <c r="H7019" i="1" s="1"/>
  <c r="G7018" i="1"/>
  <c r="F7018" i="1"/>
  <c r="D7018" i="1"/>
  <c r="H7018" i="1" s="1"/>
  <c r="G7017" i="1"/>
  <c r="F7017" i="1"/>
  <c r="D7017" i="1"/>
  <c r="H7017" i="1" s="1"/>
  <c r="G7016" i="1"/>
  <c r="F7016" i="1"/>
  <c r="D7016" i="1"/>
  <c r="H7016" i="1" s="1"/>
  <c r="G7015" i="1"/>
  <c r="F7015" i="1"/>
  <c r="D7015" i="1"/>
  <c r="H7015" i="1" s="1"/>
  <c r="G7014" i="1"/>
  <c r="F7014" i="1"/>
  <c r="D7014" i="1"/>
  <c r="H7014" i="1" s="1"/>
  <c r="G7013" i="1"/>
  <c r="F7013" i="1"/>
  <c r="D7013" i="1"/>
  <c r="H7013" i="1" s="1"/>
  <c r="G7012" i="1"/>
  <c r="F7012" i="1"/>
  <c r="D7012" i="1"/>
  <c r="H7012" i="1" s="1"/>
  <c r="G7011" i="1"/>
  <c r="F7011" i="1"/>
  <c r="D7011" i="1"/>
  <c r="H7011" i="1" s="1"/>
  <c r="G7010" i="1"/>
  <c r="F7010" i="1"/>
  <c r="D7010" i="1"/>
  <c r="H7010" i="1" s="1"/>
  <c r="G7009" i="1"/>
  <c r="F7009" i="1"/>
  <c r="D7009" i="1"/>
  <c r="H7009" i="1" s="1"/>
  <c r="G7008" i="1"/>
  <c r="F7008" i="1"/>
  <c r="D7008" i="1"/>
  <c r="H7008" i="1" s="1"/>
  <c r="G7007" i="1"/>
  <c r="F7007" i="1"/>
  <c r="D7007" i="1"/>
  <c r="H7007" i="1" s="1"/>
  <c r="G7006" i="1"/>
  <c r="F7006" i="1"/>
  <c r="D7006" i="1"/>
  <c r="H7006" i="1" s="1"/>
  <c r="G7005" i="1"/>
  <c r="F7005" i="1"/>
  <c r="D7005" i="1"/>
  <c r="H7005" i="1" s="1"/>
  <c r="H7004" i="1"/>
  <c r="G7003" i="1"/>
  <c r="F7003" i="1"/>
  <c r="H7003" i="1" s="1"/>
  <c r="D7003" i="1"/>
  <c r="G7002" i="1"/>
  <c r="F7002" i="1"/>
  <c r="D7002" i="1"/>
  <c r="H7002" i="1" s="1"/>
  <c r="G7001" i="1"/>
  <c r="F7001" i="1"/>
  <c r="H7001" i="1" s="1"/>
  <c r="D7001" i="1"/>
  <c r="G7000" i="1"/>
  <c r="F7000" i="1"/>
  <c r="D7000" i="1"/>
  <c r="H7000" i="1" s="1"/>
  <c r="G6999" i="1"/>
  <c r="F6999" i="1"/>
  <c r="D6999" i="1"/>
  <c r="H6999" i="1" s="1"/>
  <c r="G6998" i="1"/>
  <c r="F6998" i="1"/>
  <c r="H6998" i="1" s="1"/>
  <c r="D6998" i="1"/>
  <c r="G6997" i="1"/>
  <c r="F6997" i="1"/>
  <c r="D6997" i="1"/>
  <c r="H6997" i="1" s="1"/>
  <c r="G6996" i="1"/>
  <c r="F6996" i="1"/>
  <c r="D6996" i="1"/>
  <c r="H6996" i="1" s="1"/>
  <c r="G6995" i="1"/>
  <c r="F6995" i="1"/>
  <c r="H6995" i="1" s="1"/>
  <c r="D6995" i="1"/>
  <c r="G6994" i="1"/>
  <c r="F6994" i="1"/>
  <c r="D6994" i="1"/>
  <c r="H6994" i="1" s="1"/>
  <c r="H6993" i="1"/>
  <c r="G6992" i="1"/>
  <c r="H6992" i="1" s="1"/>
  <c r="F6992" i="1"/>
  <c r="D6992" i="1"/>
  <c r="G6991" i="1"/>
  <c r="H6991" i="1" s="1"/>
  <c r="F6991" i="1"/>
  <c r="D6991" i="1"/>
  <c r="H6990" i="1"/>
  <c r="G6990" i="1"/>
  <c r="F6990" i="1"/>
  <c r="D6990" i="1"/>
  <c r="G6989" i="1"/>
  <c r="F6989" i="1"/>
  <c r="D6989" i="1"/>
  <c r="H6989" i="1" s="1"/>
  <c r="G6988" i="1"/>
  <c r="H6988" i="1" s="1"/>
  <c r="F6988" i="1"/>
  <c r="D6988" i="1"/>
  <c r="H6987" i="1"/>
  <c r="G6987" i="1"/>
  <c r="F6987" i="1"/>
  <c r="D6987" i="1"/>
  <c r="G6986" i="1"/>
  <c r="F6986" i="1"/>
  <c r="D6986" i="1"/>
  <c r="H6986" i="1" s="1"/>
  <c r="G6985" i="1"/>
  <c r="F6985" i="1"/>
  <c r="D6985" i="1"/>
  <c r="H6985" i="1" s="1"/>
  <c r="H6984" i="1"/>
  <c r="G6984" i="1"/>
  <c r="F6984" i="1"/>
  <c r="D6984" i="1"/>
  <c r="G6983" i="1"/>
  <c r="F6983" i="1"/>
  <c r="D6983" i="1"/>
  <c r="H6983" i="1" s="1"/>
  <c r="H6982" i="1"/>
  <c r="G6981" i="1"/>
  <c r="F6981" i="1"/>
  <c r="D6981" i="1"/>
  <c r="H6981" i="1" s="1"/>
  <c r="G6980" i="1"/>
  <c r="F6980" i="1"/>
  <c r="D6980" i="1"/>
  <c r="H6980" i="1" s="1"/>
  <c r="H6979" i="1"/>
  <c r="G6979" i="1"/>
  <c r="F6979" i="1"/>
  <c r="D6979" i="1"/>
  <c r="G6978" i="1"/>
  <c r="F6978" i="1"/>
  <c r="D6978" i="1"/>
  <c r="H6978" i="1" s="1"/>
  <c r="G6977" i="1"/>
  <c r="F6977" i="1"/>
  <c r="D6977" i="1"/>
  <c r="H6977" i="1" s="1"/>
  <c r="H6976" i="1"/>
  <c r="G6976" i="1"/>
  <c r="F6976" i="1"/>
  <c r="D6976" i="1"/>
  <c r="G6975" i="1"/>
  <c r="F6975" i="1"/>
  <c r="D6975" i="1"/>
  <c r="H6975" i="1" s="1"/>
  <c r="G6974" i="1"/>
  <c r="F6974" i="1"/>
  <c r="D6974" i="1"/>
  <c r="H6974" i="1" s="1"/>
  <c r="H6973" i="1"/>
  <c r="G6973" i="1"/>
  <c r="F6973" i="1"/>
  <c r="D6973" i="1"/>
  <c r="G6972" i="1"/>
  <c r="F6972" i="1"/>
  <c r="D6972" i="1"/>
  <c r="H6972" i="1" s="1"/>
  <c r="G6971" i="1"/>
  <c r="F6971" i="1"/>
  <c r="D6971" i="1"/>
  <c r="H6971" i="1" s="1"/>
  <c r="H6970" i="1"/>
  <c r="G6970" i="1"/>
  <c r="F6970" i="1"/>
  <c r="D6970" i="1"/>
  <c r="G6969" i="1"/>
  <c r="F6969" i="1"/>
  <c r="D6969" i="1"/>
  <c r="H6969" i="1" s="1"/>
  <c r="G6968" i="1"/>
  <c r="F6968" i="1"/>
  <c r="D6968" i="1"/>
  <c r="H6968" i="1" s="1"/>
  <c r="H6967" i="1"/>
  <c r="G6967" i="1"/>
  <c r="F6967" i="1"/>
  <c r="D6967" i="1"/>
  <c r="H6966" i="1"/>
  <c r="G6965" i="1"/>
  <c r="F6965" i="1"/>
  <c r="D6965" i="1"/>
  <c r="H6965" i="1" s="1"/>
  <c r="G6964" i="1"/>
  <c r="F6964" i="1"/>
  <c r="D6964" i="1"/>
  <c r="H6964" i="1" s="1"/>
  <c r="G6963" i="1"/>
  <c r="F6963" i="1"/>
  <c r="D6963" i="1"/>
  <c r="H6963" i="1" s="1"/>
  <c r="G6962" i="1"/>
  <c r="F6962" i="1"/>
  <c r="D6962" i="1"/>
  <c r="H6962" i="1" s="1"/>
  <c r="G6961" i="1"/>
  <c r="F6961" i="1"/>
  <c r="D6961" i="1"/>
  <c r="H6961" i="1" s="1"/>
  <c r="G6960" i="1"/>
  <c r="F6960" i="1"/>
  <c r="D6960" i="1"/>
  <c r="H6960" i="1" s="1"/>
  <c r="G6959" i="1"/>
  <c r="F6959" i="1"/>
  <c r="D6959" i="1"/>
  <c r="H6959" i="1" s="1"/>
  <c r="G6958" i="1"/>
  <c r="F6958" i="1"/>
  <c r="D6958" i="1"/>
  <c r="H6958" i="1" s="1"/>
  <c r="G6957" i="1"/>
  <c r="F6957" i="1"/>
  <c r="D6957" i="1"/>
  <c r="H6957" i="1" s="1"/>
  <c r="G6956" i="1"/>
  <c r="F6956" i="1"/>
  <c r="D6956" i="1"/>
  <c r="H6956" i="1" s="1"/>
  <c r="H6955" i="1"/>
  <c r="G6954" i="1"/>
  <c r="F6954" i="1"/>
  <c r="D6954" i="1"/>
  <c r="H6954" i="1" s="1"/>
  <c r="H6953" i="1"/>
  <c r="G6953" i="1"/>
  <c r="F6953" i="1"/>
  <c r="D6953" i="1"/>
  <c r="G6952" i="1"/>
  <c r="F6952" i="1"/>
  <c r="H6952" i="1" s="1"/>
  <c r="D6952" i="1"/>
  <c r="G6951" i="1"/>
  <c r="F6951" i="1"/>
  <c r="D6951" i="1"/>
  <c r="H6951" i="1" s="1"/>
  <c r="H6950" i="1"/>
  <c r="G6950" i="1"/>
  <c r="F6950" i="1"/>
  <c r="D6950" i="1"/>
  <c r="G6949" i="1"/>
  <c r="F6949" i="1"/>
  <c r="D6949" i="1"/>
  <c r="H6949" i="1" s="1"/>
  <c r="G6948" i="1"/>
  <c r="F6948" i="1"/>
  <c r="D6948" i="1"/>
  <c r="H6948" i="1" s="1"/>
  <c r="H6947" i="1"/>
  <c r="G6947" i="1"/>
  <c r="F6947" i="1"/>
  <c r="D6947" i="1"/>
  <c r="G6946" i="1"/>
  <c r="F6946" i="1"/>
  <c r="D6946" i="1"/>
  <c r="H6946" i="1" s="1"/>
  <c r="G6945" i="1"/>
  <c r="F6945" i="1"/>
  <c r="D6945" i="1"/>
  <c r="H6945" i="1" s="1"/>
  <c r="H6944" i="1"/>
  <c r="G6943" i="1"/>
  <c r="H6943" i="1" s="1"/>
  <c r="F6943" i="1"/>
  <c r="D6943" i="1"/>
  <c r="H6942" i="1"/>
  <c r="G6942" i="1"/>
  <c r="F6942" i="1"/>
  <c r="D6942" i="1"/>
  <c r="G6941" i="1"/>
  <c r="H6941" i="1" s="1"/>
  <c r="F6941" i="1"/>
  <c r="D6941" i="1"/>
  <c r="G6940" i="1"/>
  <c r="H6940" i="1" s="1"/>
  <c r="F6940" i="1"/>
  <c r="D6940" i="1"/>
  <c r="H6939" i="1"/>
  <c r="G6939" i="1"/>
  <c r="F6939" i="1"/>
  <c r="D6939" i="1"/>
  <c r="G6938" i="1"/>
  <c r="F6938" i="1"/>
  <c r="D6938" i="1"/>
  <c r="H6938" i="1" s="1"/>
  <c r="G6937" i="1"/>
  <c r="F6937" i="1"/>
  <c r="D6937" i="1"/>
  <c r="H6937" i="1" s="1"/>
  <c r="H6936" i="1"/>
  <c r="G6936" i="1"/>
  <c r="F6936" i="1"/>
  <c r="D6936" i="1"/>
  <c r="G6935" i="1"/>
  <c r="F6935" i="1"/>
  <c r="D6935" i="1"/>
  <c r="H6935" i="1" s="1"/>
  <c r="G6934" i="1"/>
  <c r="F6934" i="1"/>
  <c r="D6934" i="1"/>
  <c r="H6934" i="1" s="1"/>
  <c r="H6933" i="1"/>
  <c r="G6932" i="1"/>
  <c r="F6932" i="1"/>
  <c r="D6932" i="1"/>
  <c r="H6932" i="1" s="1"/>
  <c r="H6931" i="1"/>
  <c r="G6931" i="1"/>
  <c r="F6931" i="1"/>
  <c r="D6931" i="1"/>
  <c r="G6930" i="1"/>
  <c r="F6930" i="1"/>
  <c r="D6930" i="1"/>
  <c r="H6930" i="1" s="1"/>
  <c r="G6929" i="1"/>
  <c r="F6929" i="1"/>
  <c r="D6929" i="1"/>
  <c r="H6929" i="1" s="1"/>
  <c r="H6928" i="1"/>
  <c r="G6928" i="1"/>
  <c r="F6928" i="1"/>
  <c r="D6928" i="1"/>
  <c r="G6927" i="1"/>
  <c r="F6927" i="1"/>
  <c r="D6927" i="1"/>
  <c r="H6927" i="1" s="1"/>
  <c r="G6926" i="1"/>
  <c r="F6926" i="1"/>
  <c r="D6926" i="1"/>
  <c r="H6926" i="1" s="1"/>
  <c r="H6925" i="1"/>
  <c r="G6925" i="1"/>
  <c r="F6925" i="1"/>
  <c r="D6925" i="1"/>
  <c r="G6924" i="1"/>
  <c r="F6924" i="1"/>
  <c r="D6924" i="1"/>
  <c r="H6924" i="1" s="1"/>
  <c r="G6923" i="1"/>
  <c r="F6923" i="1"/>
  <c r="D6923" i="1"/>
  <c r="H6923" i="1" s="1"/>
  <c r="H6922" i="1"/>
  <c r="G6921" i="1"/>
  <c r="F6921" i="1"/>
  <c r="D6921" i="1"/>
  <c r="H6921" i="1" s="1"/>
  <c r="G6920" i="1"/>
  <c r="F6920" i="1"/>
  <c r="D6920" i="1"/>
  <c r="H6920" i="1" s="1"/>
  <c r="G6919" i="1"/>
  <c r="F6919" i="1"/>
  <c r="D6919" i="1"/>
  <c r="H6919" i="1" s="1"/>
  <c r="G6918" i="1"/>
  <c r="F6918" i="1"/>
  <c r="D6918" i="1"/>
  <c r="H6918" i="1" s="1"/>
  <c r="G6917" i="1"/>
  <c r="F6917" i="1"/>
  <c r="D6917" i="1"/>
  <c r="H6917" i="1" s="1"/>
  <c r="G6916" i="1"/>
  <c r="F6916" i="1"/>
  <c r="D6916" i="1"/>
  <c r="H6916" i="1" s="1"/>
  <c r="G6915" i="1"/>
  <c r="F6915" i="1"/>
  <c r="D6915" i="1"/>
  <c r="H6915" i="1" s="1"/>
  <c r="G6914" i="1"/>
  <c r="F6914" i="1"/>
  <c r="D6914" i="1"/>
  <c r="H6914" i="1" s="1"/>
  <c r="G6913" i="1"/>
  <c r="F6913" i="1"/>
  <c r="D6913" i="1"/>
  <c r="H6913" i="1" s="1"/>
  <c r="G6912" i="1"/>
  <c r="F6912" i="1"/>
  <c r="D6912" i="1"/>
  <c r="H6912" i="1" s="1"/>
  <c r="H6911" i="1"/>
  <c r="G6910" i="1"/>
  <c r="F6910" i="1"/>
  <c r="H6910" i="1" s="1"/>
  <c r="D6910" i="1"/>
  <c r="G6909" i="1"/>
  <c r="F6909" i="1"/>
  <c r="D6909" i="1"/>
  <c r="H6909" i="1" s="1"/>
  <c r="H6908" i="1"/>
  <c r="G6908" i="1"/>
  <c r="F6908" i="1"/>
  <c r="D6908" i="1"/>
  <c r="G6907" i="1"/>
  <c r="F6907" i="1"/>
  <c r="D6907" i="1"/>
  <c r="H6907" i="1" s="1"/>
  <c r="G6906" i="1"/>
  <c r="F6906" i="1"/>
  <c r="D6906" i="1"/>
  <c r="H6906" i="1" s="1"/>
  <c r="H6905" i="1"/>
  <c r="G6905" i="1"/>
  <c r="F6905" i="1"/>
  <c r="D6905" i="1"/>
  <c r="G6904" i="1"/>
  <c r="F6904" i="1"/>
  <c r="D6904" i="1"/>
  <c r="H6904" i="1" s="1"/>
  <c r="G6903" i="1"/>
  <c r="F6903" i="1"/>
  <c r="D6903" i="1"/>
  <c r="H6903" i="1" s="1"/>
  <c r="G6902" i="1"/>
  <c r="F6902" i="1"/>
  <c r="H6902" i="1" s="1"/>
  <c r="D6902" i="1"/>
  <c r="G6901" i="1"/>
  <c r="F6901" i="1"/>
  <c r="D6901" i="1"/>
  <c r="H6901" i="1" s="1"/>
  <c r="H6900" i="1"/>
  <c r="G6899" i="1"/>
  <c r="H6899" i="1" s="1"/>
  <c r="F6899" i="1"/>
  <c r="D6899" i="1"/>
  <c r="G6898" i="1"/>
  <c r="H6898" i="1" s="1"/>
  <c r="F6898" i="1"/>
  <c r="D6898" i="1"/>
  <c r="H6897" i="1"/>
  <c r="G6897" i="1"/>
  <c r="F6897" i="1"/>
  <c r="D6897" i="1"/>
  <c r="G6896" i="1"/>
  <c r="H6896" i="1" s="1"/>
  <c r="F6896" i="1"/>
  <c r="D6896" i="1"/>
  <c r="G6895" i="1"/>
  <c r="F6895" i="1"/>
  <c r="D6895" i="1"/>
  <c r="H6895" i="1" s="1"/>
  <c r="H6894" i="1"/>
  <c r="G6894" i="1"/>
  <c r="F6894" i="1"/>
  <c r="D6894" i="1"/>
  <c r="G6893" i="1"/>
  <c r="F6893" i="1"/>
  <c r="D6893" i="1"/>
  <c r="H6893" i="1" s="1"/>
  <c r="G6892" i="1"/>
  <c r="F6892" i="1"/>
  <c r="D6892" i="1"/>
  <c r="H6892" i="1" s="1"/>
  <c r="H6891" i="1"/>
  <c r="G6891" i="1"/>
  <c r="F6891" i="1"/>
  <c r="D6891" i="1"/>
  <c r="G6890" i="1"/>
  <c r="F6890" i="1"/>
  <c r="D6890" i="1"/>
  <c r="H6890" i="1" s="1"/>
  <c r="H6889" i="1"/>
  <c r="G6888" i="1"/>
  <c r="F6888" i="1"/>
  <c r="D6888" i="1"/>
  <c r="H6888" i="1" s="1"/>
  <c r="G6887" i="1"/>
  <c r="F6887" i="1"/>
  <c r="D6887" i="1"/>
  <c r="H6887" i="1" s="1"/>
  <c r="H6886" i="1"/>
  <c r="G6886" i="1"/>
  <c r="F6886" i="1"/>
  <c r="D6886" i="1"/>
  <c r="G6885" i="1"/>
  <c r="F6885" i="1"/>
  <c r="D6885" i="1"/>
  <c r="H6885" i="1" s="1"/>
  <c r="G6884" i="1"/>
  <c r="F6884" i="1"/>
  <c r="D6884" i="1"/>
  <c r="H6884" i="1" s="1"/>
  <c r="H6883" i="1"/>
  <c r="G6883" i="1"/>
  <c r="F6883" i="1"/>
  <c r="D6883" i="1"/>
  <c r="G6882" i="1"/>
  <c r="F6882" i="1"/>
  <c r="D6882" i="1"/>
  <c r="H6882" i="1" s="1"/>
  <c r="G6881" i="1"/>
  <c r="F6881" i="1"/>
  <c r="D6881" i="1"/>
  <c r="H6881" i="1" s="1"/>
  <c r="H6880" i="1"/>
  <c r="G6880" i="1"/>
  <c r="F6880" i="1"/>
  <c r="D6880" i="1"/>
  <c r="G6879" i="1"/>
  <c r="F6879" i="1"/>
  <c r="D6879" i="1"/>
  <c r="H6879" i="1" s="1"/>
  <c r="H6878" i="1"/>
  <c r="G6877" i="1"/>
  <c r="F6877" i="1"/>
  <c r="D6877" i="1"/>
  <c r="H6877" i="1" s="1"/>
  <c r="G6876" i="1"/>
  <c r="F6876" i="1"/>
  <c r="D6876" i="1"/>
  <c r="H6876" i="1" s="1"/>
  <c r="G6875" i="1"/>
  <c r="F6875" i="1"/>
  <c r="D6875" i="1"/>
  <c r="H6875" i="1" s="1"/>
  <c r="G6874" i="1"/>
  <c r="F6874" i="1"/>
  <c r="D6874" i="1"/>
  <c r="H6874" i="1" s="1"/>
  <c r="G6873" i="1"/>
  <c r="F6873" i="1"/>
  <c r="D6873" i="1"/>
  <c r="H6873" i="1" s="1"/>
  <c r="G6872" i="1"/>
  <c r="F6872" i="1"/>
  <c r="D6872" i="1"/>
  <c r="H6872" i="1" s="1"/>
  <c r="G6871" i="1"/>
  <c r="F6871" i="1"/>
  <c r="D6871" i="1"/>
  <c r="H6871" i="1" s="1"/>
  <c r="G6870" i="1"/>
  <c r="F6870" i="1"/>
  <c r="D6870" i="1"/>
  <c r="H6870" i="1" s="1"/>
  <c r="G6869" i="1"/>
  <c r="F6869" i="1"/>
  <c r="D6869" i="1"/>
  <c r="H6869" i="1" s="1"/>
  <c r="G6868" i="1"/>
  <c r="F6868" i="1"/>
  <c r="D6868" i="1"/>
  <c r="H6868" i="1" s="1"/>
  <c r="H6867" i="1"/>
  <c r="H6866" i="1"/>
  <c r="G6866" i="1"/>
  <c r="F6866" i="1"/>
  <c r="D6866" i="1"/>
  <c r="G6865" i="1"/>
  <c r="F6865" i="1"/>
  <c r="H6865" i="1" s="1"/>
  <c r="D6865" i="1"/>
  <c r="G6864" i="1"/>
  <c r="F6864" i="1"/>
  <c r="D6864" i="1"/>
  <c r="H6864" i="1" s="1"/>
  <c r="H6863" i="1"/>
  <c r="G6863" i="1"/>
  <c r="F6863" i="1"/>
  <c r="D6863" i="1"/>
  <c r="G6862" i="1"/>
  <c r="F6862" i="1"/>
  <c r="D6862" i="1"/>
  <c r="H6862" i="1" s="1"/>
  <c r="G6861" i="1"/>
  <c r="F6861" i="1"/>
  <c r="D6861" i="1"/>
  <c r="H6861" i="1" s="1"/>
  <c r="H6860" i="1"/>
  <c r="G6860" i="1"/>
  <c r="F6860" i="1"/>
  <c r="D6860" i="1"/>
  <c r="G6859" i="1"/>
  <c r="F6859" i="1"/>
  <c r="D6859" i="1"/>
  <c r="H6859" i="1" s="1"/>
  <c r="G6858" i="1"/>
  <c r="F6858" i="1"/>
  <c r="D6858" i="1"/>
  <c r="H6858" i="1" s="1"/>
  <c r="H6857" i="1"/>
  <c r="G6857" i="1"/>
  <c r="F6857" i="1"/>
  <c r="D6857" i="1"/>
  <c r="H6856" i="1"/>
  <c r="H6855" i="1"/>
  <c r="G6855" i="1"/>
  <c r="F6855" i="1"/>
  <c r="D6855" i="1"/>
  <c r="G6854" i="1"/>
  <c r="H6854" i="1" s="1"/>
  <c r="F6854" i="1"/>
  <c r="D6854" i="1"/>
  <c r="G6853" i="1"/>
  <c r="H6853" i="1" s="1"/>
  <c r="F6853" i="1"/>
  <c r="D6853" i="1"/>
  <c r="H6852" i="1"/>
  <c r="G6852" i="1"/>
  <c r="F6852" i="1"/>
  <c r="D6852" i="1"/>
  <c r="G6851" i="1"/>
  <c r="F6851" i="1"/>
  <c r="D6851" i="1"/>
  <c r="H6851" i="1" s="1"/>
  <c r="G6850" i="1"/>
  <c r="F6850" i="1"/>
  <c r="D6850" i="1"/>
  <c r="H6850" i="1" s="1"/>
  <c r="H6849" i="1"/>
  <c r="G6849" i="1"/>
  <c r="F6849" i="1"/>
  <c r="D6849" i="1"/>
  <c r="G6848" i="1"/>
  <c r="F6848" i="1"/>
  <c r="D6848" i="1"/>
  <c r="H6848" i="1" s="1"/>
  <c r="G6847" i="1"/>
  <c r="F6847" i="1"/>
  <c r="D6847" i="1"/>
  <c r="H6847" i="1" s="1"/>
  <c r="H6846" i="1"/>
  <c r="G6846" i="1"/>
  <c r="F6846" i="1"/>
  <c r="D6846" i="1"/>
  <c r="H6845" i="1"/>
  <c r="H6844" i="1"/>
  <c r="G6844" i="1"/>
  <c r="F6844" i="1"/>
  <c r="D6844" i="1"/>
  <c r="G6843" i="1"/>
  <c r="F6843" i="1"/>
  <c r="D6843" i="1"/>
  <c r="H6843" i="1" s="1"/>
  <c r="G6842" i="1"/>
  <c r="F6842" i="1"/>
  <c r="D6842" i="1"/>
  <c r="H6842" i="1" s="1"/>
  <c r="H6841" i="1"/>
  <c r="G6841" i="1"/>
  <c r="F6841" i="1"/>
  <c r="D6841" i="1"/>
  <c r="G6840" i="1"/>
  <c r="F6840" i="1"/>
  <c r="D6840" i="1"/>
  <c r="H6840" i="1" s="1"/>
  <c r="G6839" i="1"/>
  <c r="F6839" i="1"/>
  <c r="D6839" i="1"/>
  <c r="H6839" i="1" s="1"/>
  <c r="H6838" i="1"/>
  <c r="G6838" i="1"/>
  <c r="F6838" i="1"/>
  <c r="D6838" i="1"/>
  <c r="G6837" i="1"/>
  <c r="F6837" i="1"/>
  <c r="D6837" i="1"/>
  <c r="H6837" i="1" s="1"/>
  <c r="G6836" i="1"/>
  <c r="F6836" i="1"/>
  <c r="D6836" i="1"/>
  <c r="H6836" i="1" s="1"/>
  <c r="H6835" i="1"/>
  <c r="G6835" i="1"/>
  <c r="F6835" i="1"/>
  <c r="D6835" i="1"/>
  <c r="H6834" i="1"/>
  <c r="G6833" i="1"/>
  <c r="F6833" i="1"/>
  <c r="D6833" i="1"/>
  <c r="H6833" i="1" s="1"/>
  <c r="G6832" i="1"/>
  <c r="F6832" i="1"/>
  <c r="D6832" i="1"/>
  <c r="H6832" i="1" s="1"/>
  <c r="G6831" i="1"/>
  <c r="F6831" i="1"/>
  <c r="D6831" i="1"/>
  <c r="H6831" i="1" s="1"/>
  <c r="G6830" i="1"/>
  <c r="F6830" i="1"/>
  <c r="D6830" i="1"/>
  <c r="H6830" i="1" s="1"/>
  <c r="G6829" i="1"/>
  <c r="F6829" i="1"/>
  <c r="D6829" i="1"/>
  <c r="H6829" i="1" s="1"/>
  <c r="G6828" i="1"/>
  <c r="F6828" i="1"/>
  <c r="D6828" i="1"/>
  <c r="H6828" i="1" s="1"/>
  <c r="G6827" i="1"/>
  <c r="F6827" i="1"/>
  <c r="D6827" i="1"/>
  <c r="H6827" i="1" s="1"/>
  <c r="G6826" i="1"/>
  <c r="F6826" i="1"/>
  <c r="D6826" i="1"/>
  <c r="H6826" i="1" s="1"/>
  <c r="G6825" i="1"/>
  <c r="F6825" i="1"/>
  <c r="D6825" i="1"/>
  <c r="H6825" i="1" s="1"/>
  <c r="G6824" i="1"/>
  <c r="F6824" i="1"/>
  <c r="D6824" i="1"/>
  <c r="H6824" i="1" s="1"/>
  <c r="H6823" i="1"/>
  <c r="G6822" i="1"/>
  <c r="F6822" i="1"/>
  <c r="D6822" i="1"/>
  <c r="H6822" i="1" s="1"/>
  <c r="H6821" i="1"/>
  <c r="G6821" i="1"/>
  <c r="F6821" i="1"/>
  <c r="D6821" i="1"/>
  <c r="G6820" i="1"/>
  <c r="F6820" i="1"/>
  <c r="D6820" i="1"/>
  <c r="H6820" i="1" s="1"/>
  <c r="G6819" i="1"/>
  <c r="F6819" i="1"/>
  <c r="D6819" i="1"/>
  <c r="H6819" i="1" s="1"/>
  <c r="H6818" i="1"/>
  <c r="G6818" i="1"/>
  <c r="F6818" i="1"/>
  <c r="D6818" i="1"/>
  <c r="G6817" i="1"/>
  <c r="F6817" i="1"/>
  <c r="D6817" i="1"/>
  <c r="H6817" i="1" s="1"/>
  <c r="G6816" i="1"/>
  <c r="F6816" i="1"/>
  <c r="D6816" i="1"/>
  <c r="H6816" i="1" s="1"/>
  <c r="H6815" i="1"/>
  <c r="G6815" i="1"/>
  <c r="F6815" i="1"/>
  <c r="D6815" i="1"/>
  <c r="G6814" i="1"/>
  <c r="F6814" i="1"/>
  <c r="D6814" i="1"/>
  <c r="H6814" i="1" s="1"/>
  <c r="G6813" i="1"/>
  <c r="F6813" i="1"/>
  <c r="D6813" i="1"/>
  <c r="H6813" i="1" s="1"/>
  <c r="H6812" i="1"/>
  <c r="G6812" i="1"/>
  <c r="F6812" i="1"/>
  <c r="D6812" i="1"/>
  <c r="G6811" i="1"/>
  <c r="F6811" i="1"/>
  <c r="D6811" i="1"/>
  <c r="H6811" i="1" s="1"/>
  <c r="G6810" i="1"/>
  <c r="F6810" i="1"/>
  <c r="D6810" i="1"/>
  <c r="H6810" i="1" s="1"/>
  <c r="G6809" i="1"/>
  <c r="F6809" i="1"/>
  <c r="H6809" i="1" s="1"/>
  <c r="D6809" i="1"/>
  <c r="G6808" i="1"/>
  <c r="F6808" i="1"/>
  <c r="D6808" i="1"/>
  <c r="H6808" i="1" s="1"/>
  <c r="G6807" i="1"/>
  <c r="F6807" i="1"/>
  <c r="D6807" i="1"/>
  <c r="H6807" i="1" s="1"/>
  <c r="H6806" i="1"/>
  <c r="G6805" i="1"/>
  <c r="H6805" i="1" s="1"/>
  <c r="F6805" i="1"/>
  <c r="D6805" i="1"/>
  <c r="H6804" i="1"/>
  <c r="G6804" i="1"/>
  <c r="F6804" i="1"/>
  <c r="D6804" i="1"/>
  <c r="G6803" i="1"/>
  <c r="H6803" i="1" s="1"/>
  <c r="F6803" i="1"/>
  <c r="D6803" i="1"/>
  <c r="G6802" i="1"/>
  <c r="H6802" i="1" s="1"/>
  <c r="F6802" i="1"/>
  <c r="D6802" i="1"/>
  <c r="H6801" i="1"/>
  <c r="G6801" i="1"/>
  <c r="F6801" i="1"/>
  <c r="D6801" i="1"/>
  <c r="G6800" i="1"/>
  <c r="F6800" i="1"/>
  <c r="D6800" i="1"/>
  <c r="H6800" i="1" s="1"/>
  <c r="G6799" i="1"/>
  <c r="H6799" i="1" s="1"/>
  <c r="F6799" i="1"/>
  <c r="D6799" i="1"/>
  <c r="H6798" i="1"/>
  <c r="G6798" i="1"/>
  <c r="F6798" i="1"/>
  <c r="D6798" i="1"/>
  <c r="G6797" i="1"/>
  <c r="F6797" i="1"/>
  <c r="D6797" i="1"/>
  <c r="H6797" i="1" s="1"/>
  <c r="G6796" i="1"/>
  <c r="F6796" i="1"/>
  <c r="D6796" i="1"/>
  <c r="H6796" i="1" s="1"/>
  <c r="H6795" i="1"/>
  <c r="G6795" i="1"/>
  <c r="F6795" i="1"/>
  <c r="D6795" i="1"/>
  <c r="G6794" i="1"/>
  <c r="F6794" i="1"/>
  <c r="D6794" i="1"/>
  <c r="H6794" i="1" s="1"/>
  <c r="G6793" i="1"/>
  <c r="F6793" i="1"/>
  <c r="D6793" i="1"/>
  <c r="H6793" i="1" s="1"/>
  <c r="H6792" i="1"/>
  <c r="G6792" i="1"/>
  <c r="F6792" i="1"/>
  <c r="D6792" i="1"/>
  <c r="G6791" i="1"/>
  <c r="F6791" i="1"/>
  <c r="D6791" i="1"/>
  <c r="H6791" i="1" s="1"/>
  <c r="H6790" i="1"/>
  <c r="G6789" i="1"/>
  <c r="F6789" i="1"/>
  <c r="D6789" i="1"/>
  <c r="H6789" i="1" s="1"/>
  <c r="G6788" i="1"/>
  <c r="F6788" i="1"/>
  <c r="D6788" i="1"/>
  <c r="H6788" i="1" s="1"/>
  <c r="H6787" i="1"/>
  <c r="G6787" i="1"/>
  <c r="F6787" i="1"/>
  <c r="D6787" i="1"/>
  <c r="G6786" i="1"/>
  <c r="F6786" i="1"/>
  <c r="D6786" i="1"/>
  <c r="H6786" i="1" s="1"/>
  <c r="G6785" i="1"/>
  <c r="F6785" i="1"/>
  <c r="D6785" i="1"/>
  <c r="H6785" i="1" s="1"/>
  <c r="H6784" i="1"/>
  <c r="G6784" i="1"/>
  <c r="F6784" i="1"/>
  <c r="D6784" i="1"/>
  <c r="G6783" i="1"/>
  <c r="F6783" i="1"/>
  <c r="D6783" i="1"/>
  <c r="H6783" i="1" s="1"/>
  <c r="G6782" i="1"/>
  <c r="F6782" i="1"/>
  <c r="D6782" i="1"/>
  <c r="H6782" i="1" s="1"/>
  <c r="H6781" i="1"/>
  <c r="G6781" i="1"/>
  <c r="F6781" i="1"/>
  <c r="D6781" i="1"/>
  <c r="G6780" i="1"/>
  <c r="F6780" i="1"/>
  <c r="D6780" i="1"/>
  <c r="H6780" i="1" s="1"/>
  <c r="H6779" i="1"/>
  <c r="G6778" i="1"/>
  <c r="F6778" i="1"/>
  <c r="D6778" i="1"/>
  <c r="H6778" i="1" s="1"/>
  <c r="G6777" i="1"/>
  <c r="H6777" i="1" s="1"/>
  <c r="F6777" i="1"/>
  <c r="D6777" i="1"/>
  <c r="G6776" i="1"/>
  <c r="F6776" i="1"/>
  <c r="D6776" i="1"/>
  <c r="H6776" i="1" s="1"/>
  <c r="G6775" i="1"/>
  <c r="F6775" i="1"/>
  <c r="D6775" i="1"/>
  <c r="H6775" i="1" s="1"/>
  <c r="G6774" i="1"/>
  <c r="H6774" i="1" s="1"/>
  <c r="F6774" i="1"/>
  <c r="D6774" i="1"/>
  <c r="G6773" i="1"/>
  <c r="F6773" i="1"/>
  <c r="D6773" i="1"/>
  <c r="H6773" i="1" s="1"/>
  <c r="G6772" i="1"/>
  <c r="F6772" i="1"/>
  <c r="D6772" i="1"/>
  <c r="H6772" i="1" s="1"/>
  <c r="G6771" i="1"/>
  <c r="F6771" i="1"/>
  <c r="D6771" i="1"/>
  <c r="H6771" i="1" s="1"/>
  <c r="G6770" i="1"/>
  <c r="F6770" i="1"/>
  <c r="D6770" i="1"/>
  <c r="H6770" i="1" s="1"/>
  <c r="G6769" i="1"/>
  <c r="F6769" i="1"/>
  <c r="D6769" i="1"/>
  <c r="H6769" i="1" s="1"/>
  <c r="H6768" i="1"/>
  <c r="H6767" i="1"/>
  <c r="G6767" i="1"/>
  <c r="F6767" i="1"/>
  <c r="D6767" i="1"/>
  <c r="G6766" i="1"/>
  <c r="F6766" i="1"/>
  <c r="D6766" i="1"/>
  <c r="H6766" i="1" s="1"/>
  <c r="G6765" i="1"/>
  <c r="F6765" i="1"/>
  <c r="D6765" i="1"/>
  <c r="H6765" i="1" s="1"/>
  <c r="H6764" i="1"/>
  <c r="G6764" i="1"/>
  <c r="F6764" i="1"/>
  <c r="D6764" i="1"/>
  <c r="G6763" i="1"/>
  <c r="F6763" i="1"/>
  <c r="D6763" i="1"/>
  <c r="H6763" i="1" s="1"/>
  <c r="G6762" i="1"/>
  <c r="F6762" i="1"/>
  <c r="D6762" i="1"/>
  <c r="H6762" i="1" s="1"/>
  <c r="H6761" i="1"/>
  <c r="G6761" i="1"/>
  <c r="F6761" i="1"/>
  <c r="D6761" i="1"/>
  <c r="G6760" i="1"/>
  <c r="F6760" i="1"/>
  <c r="D6760" i="1"/>
  <c r="H6760" i="1" s="1"/>
  <c r="G6759" i="1"/>
  <c r="F6759" i="1"/>
  <c r="D6759" i="1"/>
  <c r="H6759" i="1" s="1"/>
  <c r="H6758" i="1"/>
  <c r="G6758" i="1"/>
  <c r="F6758" i="1"/>
  <c r="D6758" i="1"/>
  <c r="H6757" i="1"/>
  <c r="H6756" i="1"/>
  <c r="G6756" i="1"/>
  <c r="F6756" i="1"/>
  <c r="D6756" i="1"/>
  <c r="G6755" i="1"/>
  <c r="F6755" i="1"/>
  <c r="D6755" i="1"/>
  <c r="H6755" i="1" s="1"/>
  <c r="G6754" i="1"/>
  <c r="H6754" i="1" s="1"/>
  <c r="F6754" i="1"/>
  <c r="D6754" i="1"/>
  <c r="H6753" i="1"/>
  <c r="G6753" i="1"/>
  <c r="F6753" i="1"/>
  <c r="D6753" i="1"/>
  <c r="G6752" i="1"/>
  <c r="F6752" i="1"/>
  <c r="D6752" i="1"/>
  <c r="H6752" i="1" s="1"/>
  <c r="G6751" i="1"/>
  <c r="F6751" i="1"/>
  <c r="D6751" i="1"/>
  <c r="H6751" i="1" s="1"/>
  <c r="H6750" i="1"/>
  <c r="G6750" i="1"/>
  <c r="F6750" i="1"/>
  <c r="D6750" i="1"/>
  <c r="G6749" i="1"/>
  <c r="F6749" i="1"/>
  <c r="D6749" i="1"/>
  <c r="H6749" i="1" s="1"/>
  <c r="G6748" i="1"/>
  <c r="F6748" i="1"/>
  <c r="D6748" i="1"/>
  <c r="H6748" i="1" s="1"/>
  <c r="H6747" i="1"/>
  <c r="G6747" i="1"/>
  <c r="F6747" i="1"/>
  <c r="D6747" i="1"/>
  <c r="G6746" i="1"/>
  <c r="F6746" i="1"/>
  <c r="D6746" i="1"/>
  <c r="H6746" i="1" s="1"/>
  <c r="G6745" i="1"/>
  <c r="F6745" i="1"/>
  <c r="D6745" i="1"/>
  <c r="H6745" i="1" s="1"/>
  <c r="H6744" i="1"/>
  <c r="G6744" i="1"/>
  <c r="F6744" i="1"/>
  <c r="D6744" i="1"/>
  <c r="G6743" i="1"/>
  <c r="F6743" i="1"/>
  <c r="D6743" i="1"/>
  <c r="H6743" i="1" s="1"/>
  <c r="G6742" i="1"/>
  <c r="F6742" i="1"/>
  <c r="D6742" i="1"/>
  <c r="H6742" i="1" s="1"/>
  <c r="H6741" i="1"/>
  <c r="G6740" i="1"/>
  <c r="F6740" i="1"/>
  <c r="D6740" i="1"/>
  <c r="H6740" i="1" s="1"/>
  <c r="H6739" i="1"/>
  <c r="G6739" i="1"/>
  <c r="F6739" i="1"/>
  <c r="D6739" i="1"/>
  <c r="G6738" i="1"/>
  <c r="F6738" i="1"/>
  <c r="D6738" i="1"/>
  <c r="H6738" i="1" s="1"/>
  <c r="G6737" i="1"/>
  <c r="F6737" i="1"/>
  <c r="D6737" i="1"/>
  <c r="H6737" i="1" s="1"/>
  <c r="H6736" i="1"/>
  <c r="G6736" i="1"/>
  <c r="F6736" i="1"/>
  <c r="D6736" i="1"/>
  <c r="G6735" i="1"/>
  <c r="F6735" i="1"/>
  <c r="D6735" i="1"/>
  <c r="H6735" i="1" s="1"/>
  <c r="G6734" i="1"/>
  <c r="F6734" i="1"/>
  <c r="D6734" i="1"/>
  <c r="H6734" i="1" s="1"/>
  <c r="H6733" i="1"/>
  <c r="G6733" i="1"/>
  <c r="F6733" i="1"/>
  <c r="D6733" i="1"/>
  <c r="G6732" i="1"/>
  <c r="F6732" i="1"/>
  <c r="D6732" i="1"/>
  <c r="H6732" i="1" s="1"/>
  <c r="G6731" i="1"/>
  <c r="F6731" i="1"/>
  <c r="D6731" i="1"/>
  <c r="H6731" i="1" s="1"/>
  <c r="H6730" i="1"/>
  <c r="G6729" i="1"/>
  <c r="H6729" i="1" s="1"/>
  <c r="F6729" i="1"/>
  <c r="D6729" i="1"/>
  <c r="G6728" i="1"/>
  <c r="F6728" i="1"/>
  <c r="D6728" i="1"/>
  <c r="H6728" i="1" s="1"/>
  <c r="G6727" i="1"/>
  <c r="F6727" i="1"/>
  <c r="D6727" i="1"/>
  <c r="H6727" i="1" s="1"/>
  <c r="G6726" i="1"/>
  <c r="F6726" i="1"/>
  <c r="D6726" i="1"/>
  <c r="H6726" i="1" s="1"/>
  <c r="G6725" i="1"/>
  <c r="F6725" i="1"/>
  <c r="D6725" i="1"/>
  <c r="H6725" i="1" s="1"/>
  <c r="G6724" i="1"/>
  <c r="F6724" i="1"/>
  <c r="D6724" i="1"/>
  <c r="H6724" i="1" s="1"/>
  <c r="G6723" i="1"/>
  <c r="F6723" i="1"/>
  <c r="D6723" i="1"/>
  <c r="H6723" i="1" s="1"/>
  <c r="G6722" i="1"/>
  <c r="F6722" i="1"/>
  <c r="D6722" i="1"/>
  <c r="H6722" i="1" s="1"/>
  <c r="G6721" i="1"/>
  <c r="F6721" i="1"/>
  <c r="D6721" i="1"/>
  <c r="H6721" i="1" s="1"/>
  <c r="G6720" i="1"/>
  <c r="F6720" i="1"/>
  <c r="D6720" i="1"/>
  <c r="H6720" i="1" s="1"/>
  <c r="H6719" i="1"/>
  <c r="G6718" i="1"/>
  <c r="F6718" i="1"/>
  <c r="D6718" i="1"/>
  <c r="H6718" i="1" s="1"/>
  <c r="G6717" i="1"/>
  <c r="F6717" i="1"/>
  <c r="D6717" i="1"/>
  <c r="H6717" i="1" s="1"/>
  <c r="H6716" i="1"/>
  <c r="G6716" i="1"/>
  <c r="F6716" i="1"/>
  <c r="D6716" i="1"/>
  <c r="G6715" i="1"/>
  <c r="F6715" i="1"/>
  <c r="D6715" i="1"/>
  <c r="H6715" i="1" s="1"/>
  <c r="G6714" i="1"/>
  <c r="F6714" i="1"/>
  <c r="D6714" i="1"/>
  <c r="H6714" i="1" s="1"/>
  <c r="H6713" i="1"/>
  <c r="G6713" i="1"/>
  <c r="F6713" i="1"/>
  <c r="D6713" i="1"/>
  <c r="G6712" i="1"/>
  <c r="F6712" i="1"/>
  <c r="D6712" i="1"/>
  <c r="H6712" i="1" s="1"/>
  <c r="G6711" i="1"/>
  <c r="F6711" i="1"/>
  <c r="D6711" i="1"/>
  <c r="H6711" i="1" s="1"/>
  <c r="H6710" i="1"/>
  <c r="G6710" i="1"/>
  <c r="F6710" i="1"/>
  <c r="D6710" i="1"/>
  <c r="G6709" i="1"/>
  <c r="F6709" i="1"/>
  <c r="D6709" i="1"/>
  <c r="H6709" i="1" s="1"/>
  <c r="G6708" i="1"/>
  <c r="F6708" i="1"/>
  <c r="D6708" i="1"/>
  <c r="H6708" i="1" s="1"/>
  <c r="H6707" i="1"/>
  <c r="G6707" i="1"/>
  <c r="F6707" i="1"/>
  <c r="D6707" i="1"/>
  <c r="G6706" i="1"/>
  <c r="F6706" i="1"/>
  <c r="D6706" i="1"/>
  <c r="H6706" i="1" s="1"/>
  <c r="G6705" i="1"/>
  <c r="F6705" i="1"/>
  <c r="D6705" i="1"/>
  <c r="H6705" i="1" s="1"/>
  <c r="H6704" i="1"/>
  <c r="G6704" i="1"/>
  <c r="F6704" i="1"/>
  <c r="D6704" i="1"/>
  <c r="G6703" i="1"/>
  <c r="F6703" i="1"/>
  <c r="D6703" i="1"/>
  <c r="H6703" i="1" s="1"/>
  <c r="H6702" i="1"/>
  <c r="G6701" i="1"/>
  <c r="F6701" i="1"/>
  <c r="D6701" i="1"/>
  <c r="H6701" i="1" s="1"/>
  <c r="H6700" i="1"/>
  <c r="G6699" i="1"/>
  <c r="F6699" i="1"/>
  <c r="D6699" i="1"/>
  <c r="H6699" i="1" s="1"/>
  <c r="G6698" i="1"/>
  <c r="F6698" i="1"/>
  <c r="D6698" i="1"/>
  <c r="H6698" i="1" s="1"/>
  <c r="H6697" i="1"/>
  <c r="G6697" i="1"/>
  <c r="F6697" i="1"/>
  <c r="D6697" i="1"/>
  <c r="G6696" i="1"/>
  <c r="F6696" i="1"/>
  <c r="D6696" i="1"/>
  <c r="H6696" i="1" s="1"/>
  <c r="G6695" i="1"/>
  <c r="F6695" i="1"/>
  <c r="D6695" i="1"/>
  <c r="H6695" i="1" s="1"/>
  <c r="H6694" i="1"/>
  <c r="G6694" i="1"/>
  <c r="F6694" i="1"/>
  <c r="D6694" i="1"/>
  <c r="G6693" i="1"/>
  <c r="F6693" i="1"/>
  <c r="D6693" i="1"/>
  <c r="H6693" i="1" s="1"/>
  <c r="G6692" i="1"/>
  <c r="F6692" i="1"/>
  <c r="D6692" i="1"/>
  <c r="H6692" i="1" s="1"/>
  <c r="H6691" i="1"/>
  <c r="G6691" i="1"/>
  <c r="F6691" i="1"/>
  <c r="D6691" i="1"/>
  <c r="G6690" i="1"/>
  <c r="F6690" i="1"/>
  <c r="D6690" i="1"/>
  <c r="H6690" i="1" s="1"/>
  <c r="H6689" i="1"/>
  <c r="G6688" i="1"/>
  <c r="F6688" i="1"/>
  <c r="D6688" i="1"/>
  <c r="H6688" i="1" s="1"/>
  <c r="G6687" i="1"/>
  <c r="H6687" i="1" s="1"/>
  <c r="F6687" i="1"/>
  <c r="D6687" i="1"/>
  <c r="G6686" i="1"/>
  <c r="F6686" i="1"/>
  <c r="D6686" i="1"/>
  <c r="H6686" i="1" s="1"/>
  <c r="G6685" i="1"/>
  <c r="F6685" i="1"/>
  <c r="D6685" i="1"/>
  <c r="H6685" i="1" s="1"/>
  <c r="G6684" i="1"/>
  <c r="H6684" i="1" s="1"/>
  <c r="F6684" i="1"/>
  <c r="D6684" i="1"/>
  <c r="G6683" i="1"/>
  <c r="F6683" i="1"/>
  <c r="D6683" i="1"/>
  <c r="H6683" i="1" s="1"/>
  <c r="G6682" i="1"/>
  <c r="F6682" i="1"/>
  <c r="D6682" i="1"/>
  <c r="H6682" i="1" s="1"/>
  <c r="G6681" i="1"/>
  <c r="F6681" i="1"/>
  <c r="D6681" i="1"/>
  <c r="H6681" i="1" s="1"/>
  <c r="G6680" i="1"/>
  <c r="F6680" i="1"/>
  <c r="D6680" i="1"/>
  <c r="H6680" i="1" s="1"/>
  <c r="G6679" i="1"/>
  <c r="F6679" i="1"/>
  <c r="D6679" i="1"/>
  <c r="H6679" i="1" s="1"/>
  <c r="H6678" i="1"/>
  <c r="H6677" i="1"/>
  <c r="G6677" i="1"/>
  <c r="F6677" i="1"/>
  <c r="D6677" i="1"/>
  <c r="G6676" i="1"/>
  <c r="F6676" i="1"/>
  <c r="D6676" i="1"/>
  <c r="H6676" i="1" s="1"/>
  <c r="G6675" i="1"/>
  <c r="F6675" i="1"/>
  <c r="D6675" i="1"/>
  <c r="H6675" i="1" s="1"/>
  <c r="H6674" i="1"/>
  <c r="G6674" i="1"/>
  <c r="F6674" i="1"/>
  <c r="D6674" i="1"/>
  <c r="G6673" i="1"/>
  <c r="F6673" i="1"/>
  <c r="D6673" i="1"/>
  <c r="H6673" i="1" s="1"/>
  <c r="G6672" i="1"/>
  <c r="F6672" i="1"/>
  <c r="D6672" i="1"/>
  <c r="H6672" i="1" s="1"/>
  <c r="H6671" i="1"/>
  <c r="G6671" i="1"/>
  <c r="F6671" i="1"/>
  <c r="D6671" i="1"/>
  <c r="G6670" i="1"/>
  <c r="F6670" i="1"/>
  <c r="D6670" i="1"/>
  <c r="H6670" i="1" s="1"/>
  <c r="G6669" i="1"/>
  <c r="F6669" i="1"/>
  <c r="D6669" i="1"/>
  <c r="H6669" i="1" s="1"/>
  <c r="G6668" i="1"/>
  <c r="F6668" i="1"/>
  <c r="H6668" i="1" s="1"/>
  <c r="D6668" i="1"/>
  <c r="H6667" i="1"/>
  <c r="H6666" i="1"/>
  <c r="G6666" i="1"/>
  <c r="F6666" i="1"/>
  <c r="D6666" i="1"/>
  <c r="G6665" i="1"/>
  <c r="H6665" i="1" s="1"/>
  <c r="F6665" i="1"/>
  <c r="D6665" i="1"/>
  <c r="G6664" i="1"/>
  <c r="H6664" i="1" s="1"/>
  <c r="F6664" i="1"/>
  <c r="D6664" i="1"/>
  <c r="H6663" i="1"/>
  <c r="G6663" i="1"/>
  <c r="F6663" i="1"/>
  <c r="D6663" i="1"/>
  <c r="G6662" i="1"/>
  <c r="H6662" i="1" s="1"/>
  <c r="F6662" i="1"/>
  <c r="D6662" i="1"/>
  <c r="G6661" i="1"/>
  <c r="H6661" i="1" s="1"/>
  <c r="F6661" i="1"/>
  <c r="D6661" i="1"/>
  <c r="H6660" i="1"/>
  <c r="G6660" i="1"/>
  <c r="F6660" i="1"/>
  <c r="D6660" i="1"/>
  <c r="G6659" i="1"/>
  <c r="F6659" i="1"/>
  <c r="D6659" i="1"/>
  <c r="H6659" i="1" s="1"/>
  <c r="G6658" i="1"/>
  <c r="H6658" i="1" s="1"/>
  <c r="F6658" i="1"/>
  <c r="D6658" i="1"/>
  <c r="H6657" i="1"/>
  <c r="G6657" i="1"/>
  <c r="F6657" i="1"/>
  <c r="D6657" i="1"/>
  <c r="H6656" i="1"/>
  <c r="H6655" i="1"/>
  <c r="G6655" i="1"/>
  <c r="F6655" i="1"/>
  <c r="D6655" i="1"/>
  <c r="G6654" i="1"/>
  <c r="F6654" i="1"/>
  <c r="D6654" i="1"/>
  <c r="H6654" i="1" s="1"/>
  <c r="G6653" i="1"/>
  <c r="F6653" i="1"/>
  <c r="D6653" i="1"/>
  <c r="H6653" i="1" s="1"/>
  <c r="H6652" i="1"/>
  <c r="G6652" i="1"/>
  <c r="F6652" i="1"/>
  <c r="D6652" i="1"/>
  <c r="G6651" i="1"/>
  <c r="F6651" i="1"/>
  <c r="D6651" i="1"/>
  <c r="H6651" i="1" s="1"/>
  <c r="G6650" i="1"/>
  <c r="F6650" i="1"/>
  <c r="D6650" i="1"/>
  <c r="H6650" i="1" s="1"/>
  <c r="H6649" i="1"/>
  <c r="G6649" i="1"/>
  <c r="F6649" i="1"/>
  <c r="D6649" i="1"/>
  <c r="G6648" i="1"/>
  <c r="F6648" i="1"/>
  <c r="D6648" i="1"/>
  <c r="H6648" i="1" s="1"/>
  <c r="G6647" i="1"/>
  <c r="F6647" i="1"/>
  <c r="D6647" i="1"/>
  <c r="H6647" i="1" s="1"/>
  <c r="H6646" i="1"/>
  <c r="G6646" i="1"/>
  <c r="F6646" i="1"/>
  <c r="D6646" i="1"/>
  <c r="H6645" i="1"/>
  <c r="G6644" i="1"/>
  <c r="F6644" i="1"/>
  <c r="D6644" i="1"/>
  <c r="H6644" i="1" s="1"/>
  <c r="G6643" i="1"/>
  <c r="F6643" i="1"/>
  <c r="D6643" i="1"/>
  <c r="H6643" i="1" s="1"/>
  <c r="H6642" i="1"/>
  <c r="H6641" i="1"/>
  <c r="G6641" i="1"/>
  <c r="F6641" i="1"/>
  <c r="D6641" i="1"/>
  <c r="G6640" i="1"/>
  <c r="F6640" i="1"/>
  <c r="D6640" i="1"/>
  <c r="H6640" i="1" s="1"/>
  <c r="G6639" i="1"/>
  <c r="F6639" i="1"/>
  <c r="D6639" i="1"/>
  <c r="H6639" i="1" s="1"/>
  <c r="H6638" i="1"/>
  <c r="G6638" i="1"/>
  <c r="F6638" i="1"/>
  <c r="D6638" i="1"/>
  <c r="G6637" i="1"/>
  <c r="F6637" i="1"/>
  <c r="D6637" i="1"/>
  <c r="H6637" i="1" s="1"/>
  <c r="G6636" i="1"/>
  <c r="F6636" i="1"/>
  <c r="D6636" i="1"/>
  <c r="H6636" i="1" s="1"/>
  <c r="H6635" i="1"/>
  <c r="G6635" i="1"/>
  <c r="F6635" i="1"/>
  <c r="D6635" i="1"/>
  <c r="G6634" i="1"/>
  <c r="F6634" i="1"/>
  <c r="D6634" i="1"/>
  <c r="H6634" i="1" s="1"/>
  <c r="G6633" i="1"/>
  <c r="F6633" i="1"/>
  <c r="D6633" i="1"/>
  <c r="H6633" i="1" s="1"/>
  <c r="G6632" i="1"/>
  <c r="H6632" i="1" s="1"/>
  <c r="F6632" i="1"/>
  <c r="D6632" i="1"/>
  <c r="H6631" i="1"/>
  <c r="H6630" i="1"/>
  <c r="G6630" i="1"/>
  <c r="F6630" i="1"/>
  <c r="D6630" i="1"/>
  <c r="G6629" i="1"/>
  <c r="F6629" i="1"/>
  <c r="H6629" i="1" s="1"/>
  <c r="D6629" i="1"/>
  <c r="H6628" i="1"/>
  <c r="G6628" i="1"/>
  <c r="F6628" i="1"/>
  <c r="D6628" i="1"/>
  <c r="H6627" i="1"/>
  <c r="G6627" i="1"/>
  <c r="F6627" i="1"/>
  <c r="D6627" i="1"/>
  <c r="G6626" i="1"/>
  <c r="F6626" i="1"/>
  <c r="H6626" i="1" s="1"/>
  <c r="D6626" i="1"/>
  <c r="H6625" i="1"/>
  <c r="G6625" i="1"/>
  <c r="F6625" i="1"/>
  <c r="D6625" i="1"/>
  <c r="H6624" i="1"/>
  <c r="G6624" i="1"/>
  <c r="F6624" i="1"/>
  <c r="D6624" i="1"/>
  <c r="G6623" i="1"/>
  <c r="F6623" i="1"/>
  <c r="D6623" i="1"/>
  <c r="H6623" i="1" s="1"/>
  <c r="G6622" i="1"/>
  <c r="H6622" i="1" s="1"/>
  <c r="F6622" i="1"/>
  <c r="D6622" i="1"/>
  <c r="H6621" i="1"/>
  <c r="G6621" i="1"/>
  <c r="F6621" i="1"/>
  <c r="D6621" i="1"/>
  <c r="H6620" i="1"/>
  <c r="H6619" i="1"/>
  <c r="G6619" i="1"/>
  <c r="F6619" i="1"/>
  <c r="D6619" i="1"/>
  <c r="G6618" i="1"/>
  <c r="F6618" i="1"/>
  <c r="D6618" i="1"/>
  <c r="H6618" i="1" s="1"/>
  <c r="G6617" i="1"/>
  <c r="F6617" i="1"/>
  <c r="D6617" i="1"/>
  <c r="H6617" i="1" s="1"/>
  <c r="H6616" i="1"/>
  <c r="G6616" i="1"/>
  <c r="F6616" i="1"/>
  <c r="D6616" i="1"/>
  <c r="G6615" i="1"/>
  <c r="F6615" i="1"/>
  <c r="D6615" i="1"/>
  <c r="H6615" i="1" s="1"/>
  <c r="G6614" i="1"/>
  <c r="F6614" i="1"/>
  <c r="D6614" i="1"/>
  <c r="H6614" i="1" s="1"/>
  <c r="H6613" i="1"/>
  <c r="G6613" i="1"/>
  <c r="F6613" i="1"/>
  <c r="D6613" i="1"/>
  <c r="G6612" i="1"/>
  <c r="F6612" i="1"/>
  <c r="D6612" i="1"/>
  <c r="H6612" i="1" s="1"/>
  <c r="G6611" i="1"/>
  <c r="F6611" i="1"/>
  <c r="D6611" i="1"/>
  <c r="H6611" i="1" s="1"/>
  <c r="H6610" i="1"/>
  <c r="G6610" i="1"/>
  <c r="F6610" i="1"/>
  <c r="D6610" i="1"/>
  <c r="H6609" i="1"/>
  <c r="G6608" i="1"/>
  <c r="F6608" i="1"/>
  <c r="H6608" i="1" s="1"/>
  <c r="D6608" i="1"/>
  <c r="G6607" i="1"/>
  <c r="F6607" i="1"/>
  <c r="D6607" i="1"/>
  <c r="H6607" i="1" s="1"/>
  <c r="H6606" i="1"/>
  <c r="G6606" i="1"/>
  <c r="F6606" i="1"/>
  <c r="D6606" i="1"/>
  <c r="G6605" i="1"/>
  <c r="F6605" i="1"/>
  <c r="D6605" i="1"/>
  <c r="H6605" i="1" s="1"/>
  <c r="G6604" i="1"/>
  <c r="F6604" i="1"/>
  <c r="D6604" i="1"/>
  <c r="H6604" i="1" s="1"/>
  <c r="G6603" i="1"/>
  <c r="H6603" i="1" s="1"/>
  <c r="F6603" i="1"/>
  <c r="D6603" i="1"/>
  <c r="G6602" i="1"/>
  <c r="F6602" i="1"/>
  <c r="D6602" i="1"/>
  <c r="H6602" i="1" s="1"/>
  <c r="G6601" i="1"/>
  <c r="F6601" i="1"/>
  <c r="D6601" i="1"/>
  <c r="H6601" i="1" s="1"/>
  <c r="G6600" i="1"/>
  <c r="H6600" i="1" s="1"/>
  <c r="F6600" i="1"/>
  <c r="D6600" i="1"/>
  <c r="G6599" i="1"/>
  <c r="F6599" i="1"/>
  <c r="D6599" i="1"/>
  <c r="H6599" i="1" s="1"/>
  <c r="H6598" i="1"/>
  <c r="G6597" i="1"/>
  <c r="F6597" i="1"/>
  <c r="D6597" i="1"/>
  <c r="H6597" i="1" s="1"/>
  <c r="H6596" i="1"/>
  <c r="G6596" i="1"/>
  <c r="F6596" i="1"/>
  <c r="D6596" i="1"/>
  <c r="G6595" i="1"/>
  <c r="F6595" i="1"/>
  <c r="D6595" i="1"/>
  <c r="H6595" i="1" s="1"/>
  <c r="G6594" i="1"/>
  <c r="F6594" i="1"/>
  <c r="D6594" i="1"/>
  <c r="H6594" i="1" s="1"/>
  <c r="G6593" i="1"/>
  <c r="H6593" i="1" s="1"/>
  <c r="F6593" i="1"/>
  <c r="D6593" i="1"/>
  <c r="G6592" i="1"/>
  <c r="F6592" i="1"/>
  <c r="D6592" i="1"/>
  <c r="H6592" i="1" s="1"/>
  <c r="G6591" i="1"/>
  <c r="F6591" i="1"/>
  <c r="D6591" i="1"/>
  <c r="H6591" i="1" s="1"/>
  <c r="G6590" i="1"/>
  <c r="H6590" i="1" s="1"/>
  <c r="F6590" i="1"/>
  <c r="D6590" i="1"/>
  <c r="G6589" i="1"/>
  <c r="F6589" i="1"/>
  <c r="D6589" i="1"/>
  <c r="H6589" i="1" s="1"/>
  <c r="G6588" i="1"/>
  <c r="F6588" i="1"/>
  <c r="D6588" i="1"/>
  <c r="H6588" i="1" s="1"/>
  <c r="H6587" i="1"/>
  <c r="H6586" i="1"/>
  <c r="G6586" i="1"/>
  <c r="F6586" i="1"/>
  <c r="D6586" i="1"/>
  <c r="H6585" i="1"/>
  <c r="G6585" i="1"/>
  <c r="F6585" i="1"/>
  <c r="D6585" i="1"/>
  <c r="G6584" i="1"/>
  <c r="F6584" i="1"/>
  <c r="H6584" i="1" s="1"/>
  <c r="D6584" i="1"/>
  <c r="H6583" i="1"/>
  <c r="G6583" i="1"/>
  <c r="F6583" i="1"/>
  <c r="D6583" i="1"/>
  <c r="H6582" i="1"/>
  <c r="G6582" i="1"/>
  <c r="F6582" i="1"/>
  <c r="D6582" i="1"/>
  <c r="G6581" i="1"/>
  <c r="F6581" i="1"/>
  <c r="H6581" i="1" s="1"/>
  <c r="D6581" i="1"/>
  <c r="H6580" i="1"/>
  <c r="G6580" i="1"/>
  <c r="F6580" i="1"/>
  <c r="D6580" i="1"/>
  <c r="H6579" i="1"/>
  <c r="G6579" i="1"/>
  <c r="F6579" i="1"/>
  <c r="D6579" i="1"/>
  <c r="G6578" i="1"/>
  <c r="F6578" i="1"/>
  <c r="D6578" i="1"/>
  <c r="H6578" i="1" s="1"/>
  <c r="H6577" i="1"/>
  <c r="G6577" i="1"/>
  <c r="F6577" i="1"/>
  <c r="D6577" i="1"/>
  <c r="H6576" i="1"/>
  <c r="G6575" i="1"/>
  <c r="F6575" i="1"/>
  <c r="D6575" i="1"/>
  <c r="H6575" i="1" s="1"/>
  <c r="H6574" i="1"/>
  <c r="G6574" i="1"/>
  <c r="F6574" i="1"/>
  <c r="D6574" i="1"/>
  <c r="G6573" i="1"/>
  <c r="F6573" i="1"/>
  <c r="D6573" i="1"/>
  <c r="H6573" i="1" s="1"/>
  <c r="G6572" i="1"/>
  <c r="F6572" i="1"/>
  <c r="D6572" i="1"/>
  <c r="H6572" i="1" s="1"/>
  <c r="H6571" i="1"/>
  <c r="G6571" i="1"/>
  <c r="F6571" i="1"/>
  <c r="D6571" i="1"/>
  <c r="G6570" i="1"/>
  <c r="F6570" i="1"/>
  <c r="D6570" i="1"/>
  <c r="H6570" i="1" s="1"/>
  <c r="G6569" i="1"/>
  <c r="F6569" i="1"/>
  <c r="D6569" i="1"/>
  <c r="H6569" i="1" s="1"/>
  <c r="H6568" i="1"/>
  <c r="G6568" i="1"/>
  <c r="F6568" i="1"/>
  <c r="D6568" i="1"/>
  <c r="G6567" i="1"/>
  <c r="F6567" i="1"/>
  <c r="D6567" i="1"/>
  <c r="H6567" i="1" s="1"/>
  <c r="H6566" i="1"/>
  <c r="G6565" i="1"/>
  <c r="F6565" i="1"/>
  <c r="D6565" i="1"/>
  <c r="H6565" i="1" s="1"/>
  <c r="H6564" i="1"/>
  <c r="G6564" i="1"/>
  <c r="F6564" i="1"/>
  <c r="D6564" i="1"/>
  <c r="G6563" i="1"/>
  <c r="F6563" i="1"/>
  <c r="D6563" i="1"/>
  <c r="H6563" i="1" s="1"/>
  <c r="G6562" i="1"/>
  <c r="F6562" i="1"/>
  <c r="D6562" i="1"/>
  <c r="H6562" i="1" s="1"/>
  <c r="H6561" i="1"/>
  <c r="G6561" i="1"/>
  <c r="F6561" i="1"/>
  <c r="D6561" i="1"/>
  <c r="G6560" i="1"/>
  <c r="F6560" i="1"/>
  <c r="D6560" i="1"/>
  <c r="H6560" i="1" s="1"/>
  <c r="G6559" i="1"/>
  <c r="F6559" i="1"/>
  <c r="D6559" i="1"/>
  <c r="H6559" i="1" s="1"/>
  <c r="H6558" i="1"/>
  <c r="G6558" i="1"/>
  <c r="F6558" i="1"/>
  <c r="D6558" i="1"/>
  <c r="G6557" i="1"/>
  <c r="F6557" i="1"/>
  <c r="D6557" i="1"/>
  <c r="H6557" i="1" s="1"/>
  <c r="G6556" i="1"/>
  <c r="F6556" i="1"/>
  <c r="D6556" i="1"/>
  <c r="H6556" i="1" s="1"/>
  <c r="H6555" i="1"/>
  <c r="H6554" i="1"/>
  <c r="G6554" i="1"/>
  <c r="F6554" i="1"/>
  <c r="D6554" i="1"/>
  <c r="G6553" i="1"/>
  <c r="F6553" i="1"/>
  <c r="D6553" i="1"/>
  <c r="H6553" i="1" s="1"/>
  <c r="G6552" i="1"/>
  <c r="F6552" i="1"/>
  <c r="D6552" i="1"/>
  <c r="H6552" i="1" s="1"/>
  <c r="H6551" i="1"/>
  <c r="G6551" i="1"/>
  <c r="F6551" i="1"/>
  <c r="D6551" i="1"/>
  <c r="G6550" i="1"/>
  <c r="F6550" i="1"/>
  <c r="D6550" i="1"/>
  <c r="H6550" i="1" s="1"/>
  <c r="G6549" i="1"/>
  <c r="F6549" i="1"/>
  <c r="D6549" i="1"/>
  <c r="H6549" i="1" s="1"/>
  <c r="G6548" i="1"/>
  <c r="H6548" i="1" s="1"/>
  <c r="F6548" i="1"/>
  <c r="D6548" i="1"/>
  <c r="G6547" i="1"/>
  <c r="F6547" i="1"/>
  <c r="D6547" i="1"/>
  <c r="H6547" i="1" s="1"/>
  <c r="G6546" i="1"/>
  <c r="F6546" i="1"/>
  <c r="D6546" i="1"/>
  <c r="H6546" i="1" s="1"/>
  <c r="H6545" i="1"/>
  <c r="H6544" i="1"/>
  <c r="G6544" i="1"/>
  <c r="F6544" i="1"/>
  <c r="D6544" i="1"/>
  <c r="H6543" i="1"/>
  <c r="G6543" i="1"/>
  <c r="F6543" i="1"/>
  <c r="D6543" i="1"/>
  <c r="G6542" i="1"/>
  <c r="F6542" i="1"/>
  <c r="H6542" i="1" s="1"/>
  <c r="D6542" i="1"/>
  <c r="H6541" i="1"/>
  <c r="G6541" i="1"/>
  <c r="F6541" i="1"/>
  <c r="D6541" i="1"/>
  <c r="H6540" i="1"/>
  <c r="G6540" i="1"/>
  <c r="F6540" i="1"/>
  <c r="D6540" i="1"/>
  <c r="G6539" i="1"/>
  <c r="F6539" i="1"/>
  <c r="H6539" i="1" s="1"/>
  <c r="D6539" i="1"/>
  <c r="H6538" i="1"/>
  <c r="G6538" i="1"/>
  <c r="F6538" i="1"/>
  <c r="D6538" i="1"/>
  <c r="H6537" i="1"/>
  <c r="G6537" i="1"/>
  <c r="F6537" i="1"/>
  <c r="D6537" i="1"/>
  <c r="G6536" i="1"/>
  <c r="F6536" i="1"/>
  <c r="D6536" i="1"/>
  <c r="H6536" i="1" s="1"/>
  <c r="G6535" i="1"/>
  <c r="F6535" i="1"/>
  <c r="D6535" i="1"/>
  <c r="H6535" i="1" s="1"/>
  <c r="H6534" i="1"/>
  <c r="G6533" i="1"/>
  <c r="F6533" i="1"/>
  <c r="D6533" i="1"/>
  <c r="H6533" i="1" s="1"/>
  <c r="H6532" i="1"/>
  <c r="G6532" i="1"/>
  <c r="F6532" i="1"/>
  <c r="D6532" i="1"/>
  <c r="G6531" i="1"/>
  <c r="F6531" i="1"/>
  <c r="D6531" i="1"/>
  <c r="H6531" i="1" s="1"/>
  <c r="G6530" i="1"/>
  <c r="F6530" i="1"/>
  <c r="D6530" i="1"/>
  <c r="H6530" i="1" s="1"/>
  <c r="H6529" i="1"/>
  <c r="G6529" i="1"/>
  <c r="F6529" i="1"/>
  <c r="D6529" i="1"/>
  <c r="G6528" i="1"/>
  <c r="F6528" i="1"/>
  <c r="D6528" i="1"/>
  <c r="H6528" i="1" s="1"/>
  <c r="G6527" i="1"/>
  <c r="F6527" i="1"/>
  <c r="D6527" i="1"/>
  <c r="H6527" i="1" s="1"/>
  <c r="H6526" i="1"/>
  <c r="G6526" i="1"/>
  <c r="F6526" i="1"/>
  <c r="D6526" i="1"/>
  <c r="G6525" i="1"/>
  <c r="F6525" i="1"/>
  <c r="D6525" i="1"/>
  <c r="H6525" i="1" s="1"/>
  <c r="G6524" i="1"/>
  <c r="F6524" i="1"/>
  <c r="D6524" i="1"/>
  <c r="H6524" i="1" s="1"/>
  <c r="H6523" i="1"/>
  <c r="H6522" i="1"/>
  <c r="G6522" i="1"/>
  <c r="F6522" i="1"/>
  <c r="D6522" i="1"/>
  <c r="G6521" i="1"/>
  <c r="F6521" i="1"/>
  <c r="H6521" i="1" s="1"/>
  <c r="D6521" i="1"/>
  <c r="G6520" i="1"/>
  <c r="F6520" i="1"/>
  <c r="D6520" i="1"/>
  <c r="H6520" i="1" s="1"/>
  <c r="H6519" i="1"/>
  <c r="G6519" i="1"/>
  <c r="F6519" i="1"/>
  <c r="D6519" i="1"/>
  <c r="G6518" i="1"/>
  <c r="F6518" i="1"/>
  <c r="D6518" i="1"/>
  <c r="H6518" i="1" s="1"/>
  <c r="G6517" i="1"/>
  <c r="F6517" i="1"/>
  <c r="D6517" i="1"/>
  <c r="H6517" i="1" s="1"/>
  <c r="H6516" i="1"/>
  <c r="G6516" i="1"/>
  <c r="F6516" i="1"/>
  <c r="D6516" i="1"/>
  <c r="G6515" i="1"/>
  <c r="F6515" i="1"/>
  <c r="D6515" i="1"/>
  <c r="H6515" i="1" s="1"/>
  <c r="G6514" i="1"/>
  <c r="F6514" i="1"/>
  <c r="D6514" i="1"/>
  <c r="H6514" i="1" s="1"/>
  <c r="G6513" i="1"/>
  <c r="H6513" i="1" s="1"/>
  <c r="F6513" i="1"/>
  <c r="D6513" i="1"/>
  <c r="H6512" i="1"/>
  <c r="G6511" i="1"/>
  <c r="F6511" i="1"/>
  <c r="D6511" i="1"/>
  <c r="H6511" i="1" s="1"/>
  <c r="G6510" i="1"/>
  <c r="F6510" i="1"/>
  <c r="D6510" i="1"/>
  <c r="H6510" i="1" s="1"/>
  <c r="H6509" i="1"/>
  <c r="G6509" i="1"/>
  <c r="F6509" i="1"/>
  <c r="D6509" i="1"/>
  <c r="G6508" i="1"/>
  <c r="F6508" i="1"/>
  <c r="D6508" i="1"/>
  <c r="H6508" i="1" s="1"/>
  <c r="G6507" i="1"/>
  <c r="F6507" i="1"/>
  <c r="D6507" i="1"/>
  <c r="H6507" i="1" s="1"/>
  <c r="H6506" i="1"/>
  <c r="H6505" i="1"/>
  <c r="G6505" i="1"/>
  <c r="F6505" i="1"/>
  <c r="D6505" i="1"/>
  <c r="H6504" i="1"/>
  <c r="G6504" i="1"/>
  <c r="F6504" i="1"/>
  <c r="D6504" i="1"/>
  <c r="G6503" i="1"/>
  <c r="H6503" i="1" s="1"/>
  <c r="F6503" i="1"/>
  <c r="D6503" i="1"/>
  <c r="G6502" i="1"/>
  <c r="H6502" i="1" s="1"/>
  <c r="F6502" i="1"/>
  <c r="D6502" i="1"/>
  <c r="H6501" i="1"/>
  <c r="G6501" i="1"/>
  <c r="F6501" i="1"/>
  <c r="D6501" i="1"/>
  <c r="G6500" i="1"/>
  <c r="F6500" i="1"/>
  <c r="H6500" i="1" s="1"/>
  <c r="D6500" i="1"/>
  <c r="G6499" i="1"/>
  <c r="F6499" i="1"/>
  <c r="D6499" i="1"/>
  <c r="H6499" i="1" s="1"/>
  <c r="H6498" i="1"/>
  <c r="G6498" i="1"/>
  <c r="F6498" i="1"/>
  <c r="D6498" i="1"/>
  <c r="G6497" i="1"/>
  <c r="F6497" i="1"/>
  <c r="D6497" i="1"/>
  <c r="H6497" i="1" s="1"/>
  <c r="G6496" i="1"/>
  <c r="F6496" i="1"/>
  <c r="D6496" i="1"/>
  <c r="H6496" i="1" s="1"/>
  <c r="H6495" i="1"/>
  <c r="G6495" i="1"/>
  <c r="F6495" i="1"/>
  <c r="D6495" i="1"/>
  <c r="G6494" i="1"/>
  <c r="F6494" i="1"/>
  <c r="D6494" i="1"/>
  <c r="H6494" i="1" s="1"/>
  <c r="G6493" i="1"/>
  <c r="F6493" i="1"/>
  <c r="D6493" i="1"/>
  <c r="H6493" i="1" s="1"/>
  <c r="H6492" i="1"/>
  <c r="G6492" i="1"/>
  <c r="F6492" i="1"/>
  <c r="D6492" i="1"/>
  <c r="G6491" i="1"/>
  <c r="F6491" i="1"/>
  <c r="D6491" i="1"/>
  <c r="H6491" i="1" s="1"/>
  <c r="G6490" i="1"/>
  <c r="F6490" i="1"/>
  <c r="D6490" i="1"/>
  <c r="H6490" i="1" s="1"/>
  <c r="H6489" i="1"/>
  <c r="G6488" i="1"/>
  <c r="F6488" i="1"/>
  <c r="D6488" i="1"/>
  <c r="H6488" i="1" s="1"/>
  <c r="H6487" i="1"/>
  <c r="G6487" i="1"/>
  <c r="F6487" i="1"/>
  <c r="D6487" i="1"/>
  <c r="G6486" i="1"/>
  <c r="F6486" i="1"/>
  <c r="D6486" i="1"/>
  <c r="H6486" i="1" s="1"/>
  <c r="G6485" i="1"/>
  <c r="F6485" i="1"/>
  <c r="D6485" i="1"/>
  <c r="H6485" i="1" s="1"/>
  <c r="H6484" i="1"/>
  <c r="G6484" i="1"/>
  <c r="F6484" i="1"/>
  <c r="D6484" i="1"/>
  <c r="G6483" i="1"/>
  <c r="F6483" i="1"/>
  <c r="D6483" i="1"/>
  <c r="H6483" i="1" s="1"/>
  <c r="G6482" i="1"/>
  <c r="F6482" i="1"/>
  <c r="D6482" i="1"/>
  <c r="H6482" i="1" s="1"/>
  <c r="H6481" i="1"/>
  <c r="G6481" i="1"/>
  <c r="F6481" i="1"/>
  <c r="D6481" i="1"/>
  <c r="G6480" i="1"/>
  <c r="F6480" i="1"/>
  <c r="D6480" i="1"/>
  <c r="H6480" i="1" s="1"/>
  <c r="G6479" i="1"/>
  <c r="F6479" i="1"/>
  <c r="D6479" i="1"/>
  <c r="H6479" i="1" s="1"/>
  <c r="H6478" i="1"/>
  <c r="G6477" i="1"/>
  <c r="H6477" i="1" s="1"/>
  <c r="F6477" i="1"/>
  <c r="D6477" i="1"/>
  <c r="G6476" i="1"/>
  <c r="F6476" i="1"/>
  <c r="D6476" i="1"/>
  <c r="H6476" i="1" s="1"/>
  <c r="G6475" i="1"/>
  <c r="F6475" i="1"/>
  <c r="D6475" i="1"/>
  <c r="H6475" i="1" s="1"/>
  <c r="G6474" i="1"/>
  <c r="H6474" i="1" s="1"/>
  <c r="F6474" i="1"/>
  <c r="D6474" i="1"/>
  <c r="G6473" i="1"/>
  <c r="F6473" i="1"/>
  <c r="D6473" i="1"/>
  <c r="H6473" i="1" s="1"/>
  <c r="G6472" i="1"/>
  <c r="F6472" i="1"/>
  <c r="D6472" i="1"/>
  <c r="H6472" i="1" s="1"/>
  <c r="G6471" i="1"/>
  <c r="H6471" i="1" s="1"/>
  <c r="F6471" i="1"/>
  <c r="D6471" i="1"/>
  <c r="G6470" i="1"/>
  <c r="F6470" i="1"/>
  <c r="D6470" i="1"/>
  <c r="H6470" i="1" s="1"/>
  <c r="G6469" i="1"/>
  <c r="F6469" i="1"/>
  <c r="D6469" i="1"/>
  <c r="H6469" i="1" s="1"/>
  <c r="G6468" i="1"/>
  <c r="H6468" i="1" s="1"/>
  <c r="F6468" i="1"/>
  <c r="D6468" i="1"/>
  <c r="H6467" i="1"/>
  <c r="G6466" i="1"/>
  <c r="F6466" i="1"/>
  <c r="D6466" i="1"/>
  <c r="H6466" i="1" s="1"/>
  <c r="G6465" i="1"/>
  <c r="F6465" i="1"/>
  <c r="D6465" i="1"/>
  <c r="H6465" i="1" s="1"/>
  <c r="H6464" i="1"/>
  <c r="G6464" i="1"/>
  <c r="F6464" i="1"/>
  <c r="D6464" i="1"/>
  <c r="G6463" i="1"/>
  <c r="F6463" i="1"/>
  <c r="D6463" i="1"/>
  <c r="H6463" i="1" s="1"/>
  <c r="G6462" i="1"/>
  <c r="F6462" i="1"/>
  <c r="D6462" i="1"/>
  <c r="H6462" i="1" s="1"/>
  <c r="H6461" i="1"/>
  <c r="G6461" i="1"/>
  <c r="F6461" i="1"/>
  <c r="D6461" i="1"/>
  <c r="G6460" i="1"/>
  <c r="F6460" i="1"/>
  <c r="D6460" i="1"/>
  <c r="H6460" i="1" s="1"/>
  <c r="G6459" i="1"/>
  <c r="F6459" i="1"/>
  <c r="D6459" i="1"/>
  <c r="H6459" i="1" s="1"/>
  <c r="H6458" i="1"/>
  <c r="G6458" i="1"/>
  <c r="F6458" i="1"/>
  <c r="D6458" i="1"/>
  <c r="G6457" i="1"/>
  <c r="F6457" i="1"/>
  <c r="D6457" i="1"/>
  <c r="H6457" i="1" s="1"/>
  <c r="G6456" i="1"/>
  <c r="F6456" i="1"/>
  <c r="D6456" i="1"/>
  <c r="H6456" i="1" s="1"/>
  <c r="H6455" i="1"/>
  <c r="G6455" i="1"/>
  <c r="F6455" i="1"/>
  <c r="D6455" i="1"/>
  <c r="G6454" i="1"/>
  <c r="F6454" i="1"/>
  <c r="D6454" i="1"/>
  <c r="H6454" i="1" s="1"/>
  <c r="G6453" i="1"/>
  <c r="F6453" i="1"/>
  <c r="D6453" i="1"/>
  <c r="H6453" i="1" s="1"/>
  <c r="H6452" i="1"/>
  <c r="G6452" i="1"/>
  <c r="F6452" i="1"/>
  <c r="D6452" i="1"/>
  <c r="H6451" i="1"/>
  <c r="G6450" i="1"/>
  <c r="F6450" i="1"/>
  <c r="H6450" i="1" s="1"/>
  <c r="D6450" i="1"/>
  <c r="G6449" i="1"/>
  <c r="F6449" i="1"/>
  <c r="H6449" i="1" s="1"/>
  <c r="D6449" i="1"/>
  <c r="G6448" i="1"/>
  <c r="F6448" i="1"/>
  <c r="D6448" i="1"/>
  <c r="H6448" i="1" s="1"/>
  <c r="G6447" i="1"/>
  <c r="F6447" i="1"/>
  <c r="H6447" i="1" s="1"/>
  <c r="D6447" i="1"/>
  <c r="G6446" i="1"/>
  <c r="F6446" i="1"/>
  <c r="D6446" i="1"/>
  <c r="H6446" i="1" s="1"/>
  <c r="G6445" i="1"/>
  <c r="F6445" i="1"/>
  <c r="D6445" i="1"/>
  <c r="H6445" i="1" s="1"/>
  <c r="G6444" i="1"/>
  <c r="F6444" i="1"/>
  <c r="H6444" i="1" s="1"/>
  <c r="D6444" i="1"/>
  <c r="G6443" i="1"/>
  <c r="F6443" i="1"/>
  <c r="D6443" i="1"/>
  <c r="H6443" i="1" s="1"/>
  <c r="G6442" i="1"/>
  <c r="F6442" i="1"/>
  <c r="D6442" i="1"/>
  <c r="H6442" i="1" s="1"/>
  <c r="G6441" i="1"/>
  <c r="F6441" i="1"/>
  <c r="H6441" i="1" s="1"/>
  <c r="D6441" i="1"/>
  <c r="H6440" i="1"/>
  <c r="H6439" i="1"/>
  <c r="G6439" i="1"/>
  <c r="F6439" i="1"/>
  <c r="D6439" i="1"/>
  <c r="G6438" i="1"/>
  <c r="F6438" i="1"/>
  <c r="D6438" i="1"/>
  <c r="H6438" i="1" s="1"/>
  <c r="G6437" i="1"/>
  <c r="F6437" i="1"/>
  <c r="D6437" i="1"/>
  <c r="H6437" i="1" s="1"/>
  <c r="H6436" i="1"/>
  <c r="G6436" i="1"/>
  <c r="F6436" i="1"/>
  <c r="D6436" i="1"/>
  <c r="G6435" i="1"/>
  <c r="F6435" i="1"/>
  <c r="D6435" i="1"/>
  <c r="H6435" i="1" s="1"/>
  <c r="G6434" i="1"/>
  <c r="F6434" i="1"/>
  <c r="D6434" i="1"/>
  <c r="H6434" i="1" s="1"/>
  <c r="H6433" i="1"/>
  <c r="G6433" i="1"/>
  <c r="F6433" i="1"/>
  <c r="D6433" i="1"/>
  <c r="G6432" i="1"/>
  <c r="F6432" i="1"/>
  <c r="D6432" i="1"/>
  <c r="H6432" i="1" s="1"/>
  <c r="G6431" i="1"/>
  <c r="F6431" i="1"/>
  <c r="D6431" i="1"/>
  <c r="H6431" i="1" s="1"/>
  <c r="H6430" i="1"/>
  <c r="G6430" i="1"/>
  <c r="F6430" i="1"/>
  <c r="D6430" i="1"/>
  <c r="G6429" i="1"/>
  <c r="F6429" i="1"/>
  <c r="D6429" i="1"/>
  <c r="H6429" i="1" s="1"/>
  <c r="G6428" i="1"/>
  <c r="F6428" i="1"/>
  <c r="D6428" i="1"/>
  <c r="H6428" i="1" s="1"/>
  <c r="H6427" i="1"/>
  <c r="G6427" i="1"/>
  <c r="F6427" i="1"/>
  <c r="D6427" i="1"/>
  <c r="G6426" i="1"/>
  <c r="F6426" i="1"/>
  <c r="D6426" i="1"/>
  <c r="H6426" i="1" s="1"/>
  <c r="G6425" i="1"/>
  <c r="F6425" i="1"/>
  <c r="D6425" i="1"/>
  <c r="H6425" i="1" s="1"/>
  <c r="H6424" i="1"/>
  <c r="H6423" i="1"/>
  <c r="G6423" i="1"/>
  <c r="F6423" i="1"/>
  <c r="D6423" i="1"/>
  <c r="G6422" i="1"/>
  <c r="F6422" i="1"/>
  <c r="H6422" i="1" s="1"/>
  <c r="D6422" i="1"/>
  <c r="G6421" i="1"/>
  <c r="F6421" i="1"/>
  <c r="D6421" i="1"/>
  <c r="H6421" i="1" s="1"/>
  <c r="G6420" i="1"/>
  <c r="H6420" i="1" s="1"/>
  <c r="F6420" i="1"/>
  <c r="D6420" i="1"/>
  <c r="G6419" i="1"/>
  <c r="F6419" i="1"/>
  <c r="D6419" i="1"/>
  <c r="H6419" i="1" s="1"/>
  <c r="G6418" i="1"/>
  <c r="F6418" i="1"/>
  <c r="D6418" i="1"/>
  <c r="H6418" i="1" s="1"/>
  <c r="G6417" i="1"/>
  <c r="H6417" i="1" s="1"/>
  <c r="F6417" i="1"/>
  <c r="D6417" i="1"/>
  <c r="G6416" i="1"/>
  <c r="F6416" i="1"/>
  <c r="D6416" i="1"/>
  <c r="H6416" i="1" s="1"/>
  <c r="G6415" i="1"/>
  <c r="F6415" i="1"/>
  <c r="D6415" i="1"/>
  <c r="H6415" i="1" s="1"/>
  <c r="G6414" i="1"/>
  <c r="H6414" i="1" s="1"/>
  <c r="F6414" i="1"/>
  <c r="D6414" i="1"/>
  <c r="H6413" i="1"/>
  <c r="G6412" i="1"/>
  <c r="F6412" i="1"/>
  <c r="D6412" i="1"/>
  <c r="H6412" i="1" s="1"/>
  <c r="G6411" i="1"/>
  <c r="F6411" i="1"/>
  <c r="D6411" i="1"/>
  <c r="H6411" i="1" s="1"/>
  <c r="H6410" i="1"/>
  <c r="G6410" i="1"/>
  <c r="F6410" i="1"/>
  <c r="D6410" i="1"/>
  <c r="G6409" i="1"/>
  <c r="F6409" i="1"/>
  <c r="D6409" i="1"/>
  <c r="H6409" i="1" s="1"/>
  <c r="G6408" i="1"/>
  <c r="F6408" i="1"/>
  <c r="D6408" i="1"/>
  <c r="H6408" i="1" s="1"/>
  <c r="H6407" i="1"/>
  <c r="G6407" i="1"/>
  <c r="F6407" i="1"/>
  <c r="D6407" i="1"/>
  <c r="G6406" i="1"/>
  <c r="F6406" i="1"/>
  <c r="D6406" i="1"/>
  <c r="H6406" i="1" s="1"/>
  <c r="G6405" i="1"/>
  <c r="F6405" i="1"/>
  <c r="D6405" i="1"/>
  <c r="H6405" i="1" s="1"/>
  <c r="H6404" i="1"/>
  <c r="G6404" i="1"/>
  <c r="F6404" i="1"/>
  <c r="D6404" i="1"/>
  <c r="G6403" i="1"/>
  <c r="F6403" i="1"/>
  <c r="D6403" i="1"/>
  <c r="H6403" i="1" s="1"/>
  <c r="G6402" i="1"/>
  <c r="F6402" i="1"/>
  <c r="D6402" i="1"/>
  <c r="H6402" i="1" s="1"/>
  <c r="H6401" i="1"/>
  <c r="G6401" i="1"/>
  <c r="F6401" i="1"/>
  <c r="D6401" i="1"/>
  <c r="G6400" i="1"/>
  <c r="F6400" i="1"/>
  <c r="D6400" i="1"/>
  <c r="H6400" i="1" s="1"/>
  <c r="G6399" i="1"/>
  <c r="F6399" i="1"/>
  <c r="D6399" i="1"/>
  <c r="H6399" i="1" s="1"/>
  <c r="H6398" i="1"/>
  <c r="G6398" i="1"/>
  <c r="F6398" i="1"/>
  <c r="D6398" i="1"/>
  <c r="G6397" i="1"/>
  <c r="F6397" i="1"/>
  <c r="D6397" i="1"/>
  <c r="H6397" i="1" s="1"/>
  <c r="H6396" i="1"/>
  <c r="G6395" i="1"/>
  <c r="F6395" i="1"/>
  <c r="H6395" i="1" s="1"/>
  <c r="D6395" i="1"/>
  <c r="G6394" i="1"/>
  <c r="H6394" i="1" s="1"/>
  <c r="F6394" i="1"/>
  <c r="D6394" i="1"/>
  <c r="G6393" i="1"/>
  <c r="F6393" i="1"/>
  <c r="H6393" i="1" s="1"/>
  <c r="D6393" i="1"/>
  <c r="G6392" i="1"/>
  <c r="F6392" i="1"/>
  <c r="H6392" i="1" s="1"/>
  <c r="D6392" i="1"/>
  <c r="G6391" i="1"/>
  <c r="H6391" i="1" s="1"/>
  <c r="F6391" i="1"/>
  <c r="D6391" i="1"/>
  <c r="G6390" i="1"/>
  <c r="F6390" i="1"/>
  <c r="H6390" i="1" s="1"/>
  <c r="D6390" i="1"/>
  <c r="G6389" i="1"/>
  <c r="F6389" i="1"/>
  <c r="D6389" i="1"/>
  <c r="H6389" i="1" s="1"/>
  <c r="G6388" i="1"/>
  <c r="F6388" i="1"/>
  <c r="H6388" i="1" s="1"/>
  <c r="D6388" i="1"/>
  <c r="G6387" i="1"/>
  <c r="F6387" i="1"/>
  <c r="H6387" i="1" s="1"/>
  <c r="D6387" i="1"/>
  <c r="G6386" i="1"/>
  <c r="F6386" i="1"/>
  <c r="D6386" i="1"/>
  <c r="H6386" i="1" s="1"/>
  <c r="H6385" i="1"/>
  <c r="G6384" i="1"/>
  <c r="F6384" i="1"/>
  <c r="D6384" i="1"/>
  <c r="H6384" i="1" s="1"/>
  <c r="G6383" i="1"/>
  <c r="F6383" i="1"/>
  <c r="D6383" i="1"/>
  <c r="H6383" i="1" s="1"/>
  <c r="H6382" i="1"/>
  <c r="G6382" i="1"/>
  <c r="F6382" i="1"/>
  <c r="D6382" i="1"/>
  <c r="G6381" i="1"/>
  <c r="F6381" i="1"/>
  <c r="D6381" i="1"/>
  <c r="H6381" i="1" s="1"/>
  <c r="G6380" i="1"/>
  <c r="F6380" i="1"/>
  <c r="D6380" i="1"/>
  <c r="H6380" i="1" s="1"/>
  <c r="H6379" i="1"/>
  <c r="G6379" i="1"/>
  <c r="F6379" i="1"/>
  <c r="D6379" i="1"/>
  <c r="G6378" i="1"/>
  <c r="F6378" i="1"/>
  <c r="D6378" i="1"/>
  <c r="H6378" i="1" s="1"/>
  <c r="G6377" i="1"/>
  <c r="F6377" i="1"/>
  <c r="D6377" i="1"/>
  <c r="H6377" i="1" s="1"/>
  <c r="H6376" i="1"/>
  <c r="G6376" i="1"/>
  <c r="F6376" i="1"/>
  <c r="D6376" i="1"/>
  <c r="G6375" i="1"/>
  <c r="F6375" i="1"/>
  <c r="D6375" i="1"/>
  <c r="H6375" i="1" s="1"/>
  <c r="H6374" i="1"/>
  <c r="G6373" i="1"/>
  <c r="F6373" i="1"/>
  <c r="D6373" i="1"/>
  <c r="H6373" i="1" s="1"/>
  <c r="H6372" i="1"/>
  <c r="G6372" i="1"/>
  <c r="F6372" i="1"/>
  <c r="D6372" i="1"/>
  <c r="G6371" i="1"/>
  <c r="F6371" i="1"/>
  <c r="H6371" i="1" s="1"/>
  <c r="D6371" i="1"/>
  <c r="G6370" i="1"/>
  <c r="F6370" i="1"/>
  <c r="D6370" i="1"/>
  <c r="H6370" i="1" s="1"/>
  <c r="H6369" i="1"/>
  <c r="G6369" i="1"/>
  <c r="F6369" i="1"/>
  <c r="D6369" i="1"/>
  <c r="G6368" i="1"/>
  <c r="F6368" i="1"/>
  <c r="H6368" i="1" s="1"/>
  <c r="D6368" i="1"/>
  <c r="G6367" i="1"/>
  <c r="F6367" i="1"/>
  <c r="D6367" i="1"/>
  <c r="H6367" i="1" s="1"/>
  <c r="H6366" i="1"/>
  <c r="G6366" i="1"/>
  <c r="F6366" i="1"/>
  <c r="D6366" i="1"/>
  <c r="G6365" i="1"/>
  <c r="F6365" i="1"/>
  <c r="D6365" i="1"/>
  <c r="H6365" i="1" s="1"/>
  <c r="G6364" i="1"/>
  <c r="F6364" i="1"/>
  <c r="D6364" i="1"/>
  <c r="H6364" i="1" s="1"/>
  <c r="H6363" i="1"/>
  <c r="H6362" i="1"/>
  <c r="G6362" i="1"/>
  <c r="F6362" i="1"/>
  <c r="D6362" i="1"/>
  <c r="G6361" i="1"/>
  <c r="F6361" i="1"/>
  <c r="D6361" i="1"/>
  <c r="H6361" i="1" s="1"/>
  <c r="G6360" i="1"/>
  <c r="F6360" i="1"/>
  <c r="D6360" i="1"/>
  <c r="H6360" i="1" s="1"/>
  <c r="H6359" i="1"/>
  <c r="G6359" i="1"/>
  <c r="F6359" i="1"/>
  <c r="D6359" i="1"/>
  <c r="G6358" i="1"/>
  <c r="F6358" i="1"/>
  <c r="D6358" i="1"/>
  <c r="H6358" i="1" s="1"/>
  <c r="G6357" i="1"/>
  <c r="F6357" i="1"/>
  <c r="D6357" i="1"/>
  <c r="H6357" i="1" s="1"/>
  <c r="H6356" i="1"/>
  <c r="G6356" i="1"/>
  <c r="F6356" i="1"/>
  <c r="D6356" i="1"/>
  <c r="G6355" i="1"/>
  <c r="F6355" i="1"/>
  <c r="D6355" i="1"/>
  <c r="H6355" i="1" s="1"/>
  <c r="G6354" i="1"/>
  <c r="F6354" i="1"/>
  <c r="D6354" i="1"/>
  <c r="H6354" i="1" s="1"/>
  <c r="H6353" i="1"/>
  <c r="G6353" i="1"/>
  <c r="F6353" i="1"/>
  <c r="D6353" i="1"/>
  <c r="H6352" i="1"/>
  <c r="G6351" i="1"/>
  <c r="F6351" i="1"/>
  <c r="H6351" i="1" s="1"/>
  <c r="D6351" i="1"/>
  <c r="G6350" i="1"/>
  <c r="F6350" i="1"/>
  <c r="H6350" i="1" s="1"/>
  <c r="D6350" i="1"/>
  <c r="G6349" i="1"/>
  <c r="F6349" i="1"/>
  <c r="H6349" i="1" s="1"/>
  <c r="D6349" i="1"/>
  <c r="G6348" i="1"/>
  <c r="F6348" i="1"/>
  <c r="H6348" i="1" s="1"/>
  <c r="D6348" i="1"/>
  <c r="G6347" i="1"/>
  <c r="F6347" i="1"/>
  <c r="H6347" i="1" s="1"/>
  <c r="D6347" i="1"/>
  <c r="G6346" i="1"/>
  <c r="F6346" i="1"/>
  <c r="H6346" i="1" s="1"/>
  <c r="D6346" i="1"/>
  <c r="G6345" i="1"/>
  <c r="F6345" i="1"/>
  <c r="H6345" i="1" s="1"/>
  <c r="D6345" i="1"/>
  <c r="G6344" i="1"/>
  <c r="F6344" i="1"/>
  <c r="D6344" i="1"/>
  <c r="H6344" i="1" s="1"/>
  <c r="G6343" i="1"/>
  <c r="F6343" i="1"/>
  <c r="H6343" i="1" s="1"/>
  <c r="D6343" i="1"/>
  <c r="G6342" i="1"/>
  <c r="F6342" i="1"/>
  <c r="H6342" i="1" s="1"/>
  <c r="D6342" i="1"/>
  <c r="H6341" i="1"/>
  <c r="H6340" i="1"/>
  <c r="G6340" i="1"/>
  <c r="F6340" i="1"/>
  <c r="D6340" i="1"/>
  <c r="G6339" i="1"/>
  <c r="F6339" i="1"/>
  <c r="D6339" i="1"/>
  <c r="H6339" i="1" s="1"/>
  <c r="G6338" i="1"/>
  <c r="F6338" i="1"/>
  <c r="D6338" i="1"/>
  <c r="H6338" i="1" s="1"/>
  <c r="H6337" i="1"/>
  <c r="G6337" i="1"/>
  <c r="F6337" i="1"/>
  <c r="D6337" i="1"/>
  <c r="G6336" i="1"/>
  <c r="F6336" i="1"/>
  <c r="D6336" i="1"/>
  <c r="H6336" i="1" s="1"/>
  <c r="G6335" i="1"/>
  <c r="F6335" i="1"/>
  <c r="D6335" i="1"/>
  <c r="H6335" i="1" s="1"/>
  <c r="H6334" i="1"/>
  <c r="G6334" i="1"/>
  <c r="F6334" i="1"/>
  <c r="D6334" i="1"/>
  <c r="G6333" i="1"/>
  <c r="F6333" i="1"/>
  <c r="D6333" i="1"/>
  <c r="H6333" i="1" s="1"/>
  <c r="G6332" i="1"/>
  <c r="F6332" i="1"/>
  <c r="D6332" i="1"/>
  <c r="H6332" i="1" s="1"/>
  <c r="H6331" i="1"/>
  <c r="G6331" i="1"/>
  <c r="F6331" i="1"/>
  <c r="D6331" i="1"/>
  <c r="H6330" i="1"/>
  <c r="G6329" i="1"/>
  <c r="F6329" i="1"/>
  <c r="H6329" i="1" s="1"/>
  <c r="D6329" i="1"/>
  <c r="G6328" i="1"/>
  <c r="F6328" i="1"/>
  <c r="D6328" i="1"/>
  <c r="H6328" i="1" s="1"/>
  <c r="H6327" i="1"/>
  <c r="G6327" i="1"/>
  <c r="F6327" i="1"/>
  <c r="D6327" i="1"/>
  <c r="G6326" i="1"/>
  <c r="F6326" i="1"/>
  <c r="H6326" i="1" s="1"/>
  <c r="D6326" i="1"/>
  <c r="G6325" i="1"/>
  <c r="F6325" i="1"/>
  <c r="D6325" i="1"/>
  <c r="H6325" i="1" s="1"/>
  <c r="H6324" i="1"/>
  <c r="G6324" i="1"/>
  <c r="F6324" i="1"/>
  <c r="D6324" i="1"/>
  <c r="G6323" i="1"/>
  <c r="F6323" i="1"/>
  <c r="D6323" i="1"/>
  <c r="H6323" i="1" s="1"/>
  <c r="G6322" i="1"/>
  <c r="F6322" i="1"/>
  <c r="D6322" i="1"/>
  <c r="H6322" i="1" s="1"/>
  <c r="H6321" i="1"/>
  <c r="G6321" i="1"/>
  <c r="F6321" i="1"/>
  <c r="D6321" i="1"/>
  <c r="G6320" i="1"/>
  <c r="F6320" i="1"/>
  <c r="D6320" i="1"/>
  <c r="H6320" i="1" s="1"/>
  <c r="H6319" i="1"/>
  <c r="G6318" i="1"/>
  <c r="F6318" i="1"/>
  <c r="D6318" i="1"/>
  <c r="H6318" i="1" s="1"/>
  <c r="H6317" i="1"/>
  <c r="G6317" i="1"/>
  <c r="F6317" i="1"/>
  <c r="D6317" i="1"/>
  <c r="G6316" i="1"/>
  <c r="F6316" i="1"/>
  <c r="D6316" i="1"/>
  <c r="H6316" i="1" s="1"/>
  <c r="G6315" i="1"/>
  <c r="F6315" i="1"/>
  <c r="D6315" i="1"/>
  <c r="H6315" i="1" s="1"/>
  <c r="H6314" i="1"/>
  <c r="G6314" i="1"/>
  <c r="F6314" i="1"/>
  <c r="D6314" i="1"/>
  <c r="G6313" i="1"/>
  <c r="F6313" i="1"/>
  <c r="D6313" i="1"/>
  <c r="H6313" i="1" s="1"/>
  <c r="G6312" i="1"/>
  <c r="F6312" i="1"/>
  <c r="D6312" i="1"/>
  <c r="H6312" i="1" s="1"/>
  <c r="G6311" i="1"/>
  <c r="H6311" i="1" s="1"/>
  <c r="F6311" i="1"/>
  <c r="D6311" i="1"/>
  <c r="G6310" i="1"/>
  <c r="F6310" i="1"/>
  <c r="D6310" i="1"/>
  <c r="H6310" i="1" s="1"/>
  <c r="G6309" i="1"/>
  <c r="F6309" i="1"/>
  <c r="D6309" i="1"/>
  <c r="H6309" i="1" s="1"/>
  <c r="H6308" i="1"/>
  <c r="H6307" i="1"/>
  <c r="G6307" i="1"/>
  <c r="F6307" i="1"/>
  <c r="D6307" i="1"/>
  <c r="G6306" i="1"/>
  <c r="F6306" i="1"/>
  <c r="H6306" i="1" s="1"/>
  <c r="D6306" i="1"/>
  <c r="G6305" i="1"/>
  <c r="F6305" i="1"/>
  <c r="H6305" i="1" s="1"/>
  <c r="D6305" i="1"/>
  <c r="H6304" i="1"/>
  <c r="G6304" i="1"/>
  <c r="F6304" i="1"/>
  <c r="D6304" i="1"/>
  <c r="G6303" i="1"/>
  <c r="F6303" i="1"/>
  <c r="H6303" i="1" s="1"/>
  <c r="D6303" i="1"/>
  <c r="G6302" i="1"/>
  <c r="F6302" i="1"/>
  <c r="H6302" i="1" s="1"/>
  <c r="D6302" i="1"/>
  <c r="G6301" i="1"/>
  <c r="H6301" i="1" s="1"/>
  <c r="F6301" i="1"/>
  <c r="D6301" i="1"/>
  <c r="G6300" i="1"/>
  <c r="F6300" i="1"/>
  <c r="H6300" i="1" s="1"/>
  <c r="D6300" i="1"/>
  <c r="G6299" i="1"/>
  <c r="F6299" i="1"/>
  <c r="D6299" i="1"/>
  <c r="H6299" i="1" s="1"/>
  <c r="G6298" i="1"/>
  <c r="F6298" i="1"/>
  <c r="D6298" i="1"/>
  <c r="H6298" i="1" s="1"/>
  <c r="H6297" i="1"/>
  <c r="G6296" i="1"/>
  <c r="F6296" i="1"/>
  <c r="D6296" i="1"/>
  <c r="H6296" i="1" s="1"/>
  <c r="H6295" i="1"/>
  <c r="G6295" i="1"/>
  <c r="F6295" i="1"/>
  <c r="D6295" i="1"/>
  <c r="G6294" i="1"/>
  <c r="F6294" i="1"/>
  <c r="D6294" i="1"/>
  <c r="H6294" i="1" s="1"/>
  <c r="G6293" i="1"/>
  <c r="F6293" i="1"/>
  <c r="D6293" i="1"/>
  <c r="H6293" i="1" s="1"/>
  <c r="H6292" i="1"/>
  <c r="G6292" i="1"/>
  <c r="F6292" i="1"/>
  <c r="D6292" i="1"/>
  <c r="G6291" i="1"/>
  <c r="F6291" i="1"/>
  <c r="D6291" i="1"/>
  <c r="H6291" i="1" s="1"/>
  <c r="G6290" i="1"/>
  <c r="F6290" i="1"/>
  <c r="D6290" i="1"/>
  <c r="H6290" i="1" s="1"/>
  <c r="H6289" i="1"/>
  <c r="G6289" i="1"/>
  <c r="F6289" i="1"/>
  <c r="D6289" i="1"/>
  <c r="G6288" i="1"/>
  <c r="F6288" i="1"/>
  <c r="D6288" i="1"/>
  <c r="H6288" i="1" s="1"/>
  <c r="G6287" i="1"/>
  <c r="F6287" i="1"/>
  <c r="D6287" i="1"/>
  <c r="H6287" i="1" s="1"/>
  <c r="H6286" i="1"/>
  <c r="H6285" i="1"/>
  <c r="G6285" i="1"/>
  <c r="F6285" i="1"/>
  <c r="D6285" i="1"/>
  <c r="G6284" i="1"/>
  <c r="F6284" i="1"/>
  <c r="H6284" i="1" s="1"/>
  <c r="D6284" i="1"/>
  <c r="G6283" i="1"/>
  <c r="F6283" i="1"/>
  <c r="D6283" i="1"/>
  <c r="H6283" i="1" s="1"/>
  <c r="H6282" i="1"/>
  <c r="G6282" i="1"/>
  <c r="F6282" i="1"/>
  <c r="D6282" i="1"/>
  <c r="G6281" i="1"/>
  <c r="F6281" i="1"/>
  <c r="D6281" i="1"/>
  <c r="H6281" i="1" s="1"/>
  <c r="G6280" i="1"/>
  <c r="F6280" i="1"/>
  <c r="D6280" i="1"/>
  <c r="H6280" i="1" s="1"/>
  <c r="H6279" i="1"/>
  <c r="G6279" i="1"/>
  <c r="F6279" i="1"/>
  <c r="D6279" i="1"/>
  <c r="G6278" i="1"/>
  <c r="F6278" i="1"/>
  <c r="D6278" i="1"/>
  <c r="H6278" i="1" s="1"/>
  <c r="G6277" i="1"/>
  <c r="F6277" i="1"/>
  <c r="D6277" i="1"/>
  <c r="H6277" i="1" s="1"/>
  <c r="H6276" i="1"/>
  <c r="G6276" i="1"/>
  <c r="F6276" i="1"/>
  <c r="D6276" i="1"/>
  <c r="H6275" i="1"/>
  <c r="G6274" i="1"/>
  <c r="F6274" i="1"/>
  <c r="D6274" i="1"/>
  <c r="H6274" i="1" s="1"/>
  <c r="G6273" i="1"/>
  <c r="F6273" i="1"/>
  <c r="D6273" i="1"/>
  <c r="H6273" i="1" s="1"/>
  <c r="H6272" i="1"/>
  <c r="G6272" i="1"/>
  <c r="F6272" i="1"/>
  <c r="D6272" i="1"/>
  <c r="G6271" i="1"/>
  <c r="F6271" i="1"/>
  <c r="D6271" i="1"/>
  <c r="H6271" i="1" s="1"/>
  <c r="G6270" i="1"/>
  <c r="F6270" i="1"/>
  <c r="D6270" i="1"/>
  <c r="H6270" i="1" s="1"/>
  <c r="H6269" i="1"/>
  <c r="G6269" i="1"/>
  <c r="F6269" i="1"/>
  <c r="D6269" i="1"/>
  <c r="G6268" i="1"/>
  <c r="F6268" i="1"/>
  <c r="D6268" i="1"/>
  <c r="H6268" i="1" s="1"/>
  <c r="G6267" i="1"/>
  <c r="F6267" i="1"/>
  <c r="D6267" i="1"/>
  <c r="H6267" i="1" s="1"/>
  <c r="G6266" i="1"/>
  <c r="H6266" i="1" s="1"/>
  <c r="F6266" i="1"/>
  <c r="D6266" i="1"/>
  <c r="G6265" i="1"/>
  <c r="F6265" i="1"/>
  <c r="D6265" i="1"/>
  <c r="H6265" i="1" s="1"/>
  <c r="G6264" i="1"/>
  <c r="F6264" i="1"/>
  <c r="D6264" i="1"/>
  <c r="H6264" i="1" s="1"/>
  <c r="G6263" i="1"/>
  <c r="F6263" i="1"/>
  <c r="H6263" i="1" s="1"/>
  <c r="D6263" i="1"/>
  <c r="G6262" i="1"/>
  <c r="F6262" i="1"/>
  <c r="D6262" i="1"/>
  <c r="H6262" i="1" s="1"/>
  <c r="G6261" i="1"/>
  <c r="F6261" i="1"/>
  <c r="D6261" i="1"/>
  <c r="H6261" i="1" s="1"/>
  <c r="G6260" i="1"/>
  <c r="F6260" i="1"/>
  <c r="D6260" i="1"/>
  <c r="H6260" i="1" s="1"/>
  <c r="H6259" i="1"/>
  <c r="G6258" i="1"/>
  <c r="F6258" i="1"/>
  <c r="H6258" i="1" s="1"/>
  <c r="D6258" i="1"/>
  <c r="G6257" i="1"/>
  <c r="F6257" i="1"/>
  <c r="H6257" i="1" s="1"/>
  <c r="D6257" i="1"/>
  <c r="G6256" i="1"/>
  <c r="H6256" i="1" s="1"/>
  <c r="F6256" i="1"/>
  <c r="D6256" i="1"/>
  <c r="G6255" i="1"/>
  <c r="F6255" i="1"/>
  <c r="H6255" i="1" s="1"/>
  <c r="D6255" i="1"/>
  <c r="G6254" i="1"/>
  <c r="F6254" i="1"/>
  <c r="H6254" i="1" s="1"/>
  <c r="D6254" i="1"/>
  <c r="G6253" i="1"/>
  <c r="F6253" i="1"/>
  <c r="H6253" i="1" s="1"/>
  <c r="D6253" i="1"/>
  <c r="G6252" i="1"/>
  <c r="F6252" i="1"/>
  <c r="H6252" i="1" s="1"/>
  <c r="D6252" i="1"/>
  <c r="G6251" i="1"/>
  <c r="F6251" i="1"/>
  <c r="H6251" i="1" s="1"/>
  <c r="D6251" i="1"/>
  <c r="G6250" i="1"/>
  <c r="F6250" i="1"/>
  <c r="H6250" i="1" s="1"/>
  <c r="D6250" i="1"/>
  <c r="G6249" i="1"/>
  <c r="F6249" i="1"/>
  <c r="H6249" i="1" s="1"/>
  <c r="D6249" i="1"/>
  <c r="H6248" i="1"/>
  <c r="H6247" i="1"/>
  <c r="G6247" i="1"/>
  <c r="F6247" i="1"/>
  <c r="D6247" i="1"/>
  <c r="G6246" i="1"/>
  <c r="F6246" i="1"/>
  <c r="D6246" i="1"/>
  <c r="H6246" i="1" s="1"/>
  <c r="G6245" i="1"/>
  <c r="F6245" i="1"/>
  <c r="D6245" i="1"/>
  <c r="H6245" i="1" s="1"/>
  <c r="H6244" i="1"/>
  <c r="G6244" i="1"/>
  <c r="F6244" i="1"/>
  <c r="D6244" i="1"/>
  <c r="G6243" i="1"/>
  <c r="F6243" i="1"/>
  <c r="D6243" i="1"/>
  <c r="H6243" i="1" s="1"/>
  <c r="G6242" i="1"/>
  <c r="F6242" i="1"/>
  <c r="D6242" i="1"/>
  <c r="H6242" i="1" s="1"/>
  <c r="H6241" i="1"/>
  <c r="G6241" i="1"/>
  <c r="F6241" i="1"/>
  <c r="D6241" i="1"/>
  <c r="G6240" i="1"/>
  <c r="F6240" i="1"/>
  <c r="D6240" i="1"/>
  <c r="H6240" i="1" s="1"/>
  <c r="G6239" i="1"/>
  <c r="F6239" i="1"/>
  <c r="D6239" i="1"/>
  <c r="H6239" i="1" s="1"/>
  <c r="H6238" i="1"/>
  <c r="G6238" i="1"/>
  <c r="F6238" i="1"/>
  <c r="D6238" i="1"/>
  <c r="G6237" i="1"/>
  <c r="F6237" i="1"/>
  <c r="D6237" i="1"/>
  <c r="H6237" i="1" s="1"/>
  <c r="G6236" i="1"/>
  <c r="F6236" i="1"/>
  <c r="D6236" i="1"/>
  <c r="H6236" i="1" s="1"/>
  <c r="H6235" i="1"/>
  <c r="G6235" i="1"/>
  <c r="F6235" i="1"/>
  <c r="D6235" i="1"/>
  <c r="G6234" i="1"/>
  <c r="F6234" i="1"/>
  <c r="D6234" i="1"/>
  <c r="H6234" i="1" s="1"/>
  <c r="G6233" i="1"/>
  <c r="F6233" i="1"/>
  <c r="D6233" i="1"/>
  <c r="H6233" i="1" s="1"/>
  <c r="H6232" i="1"/>
  <c r="H6231" i="1"/>
  <c r="G6231" i="1"/>
  <c r="F6231" i="1"/>
  <c r="D6231" i="1"/>
  <c r="G6230" i="1"/>
  <c r="F6230" i="1"/>
  <c r="H6230" i="1" s="1"/>
  <c r="D6230" i="1"/>
  <c r="G6229" i="1"/>
  <c r="F6229" i="1"/>
  <c r="D6229" i="1"/>
  <c r="H6229" i="1" s="1"/>
  <c r="H6228" i="1"/>
  <c r="G6228" i="1"/>
  <c r="F6228" i="1"/>
  <c r="D6228" i="1"/>
  <c r="G6227" i="1"/>
  <c r="F6227" i="1"/>
  <c r="H6227" i="1" s="1"/>
  <c r="D6227" i="1"/>
  <c r="G6226" i="1"/>
  <c r="F6226" i="1"/>
  <c r="D6226" i="1"/>
  <c r="H6226" i="1" s="1"/>
  <c r="H6225" i="1"/>
  <c r="G6225" i="1"/>
  <c r="F6225" i="1"/>
  <c r="D6225" i="1"/>
  <c r="G6224" i="1"/>
  <c r="F6224" i="1"/>
  <c r="D6224" i="1"/>
  <c r="H6224" i="1" s="1"/>
  <c r="G6223" i="1"/>
  <c r="F6223" i="1"/>
  <c r="D6223" i="1"/>
  <c r="H6223" i="1" s="1"/>
  <c r="H6222" i="1"/>
  <c r="G6222" i="1"/>
  <c r="F6222" i="1"/>
  <c r="D6222" i="1"/>
  <c r="H6221" i="1"/>
  <c r="G6220" i="1"/>
  <c r="F6220" i="1"/>
  <c r="D6220" i="1"/>
  <c r="H6220" i="1" s="1"/>
  <c r="G6219" i="1"/>
  <c r="F6219" i="1"/>
  <c r="D6219" i="1"/>
  <c r="H6219" i="1" s="1"/>
  <c r="G6218" i="1"/>
  <c r="H6218" i="1" s="1"/>
  <c r="F6218" i="1"/>
  <c r="D6218" i="1"/>
  <c r="G6217" i="1"/>
  <c r="F6217" i="1"/>
  <c r="D6217" i="1"/>
  <c r="H6217" i="1" s="1"/>
  <c r="G6216" i="1"/>
  <c r="F6216" i="1"/>
  <c r="D6216" i="1"/>
  <c r="H6216" i="1" s="1"/>
  <c r="G6215" i="1"/>
  <c r="H6215" i="1" s="1"/>
  <c r="F6215" i="1"/>
  <c r="D6215" i="1"/>
  <c r="G6214" i="1"/>
  <c r="F6214" i="1"/>
  <c r="D6214" i="1"/>
  <c r="H6214" i="1" s="1"/>
  <c r="G6213" i="1"/>
  <c r="F6213" i="1"/>
  <c r="D6213" i="1"/>
  <c r="H6213" i="1" s="1"/>
  <c r="G6212" i="1"/>
  <c r="F6212" i="1"/>
  <c r="D6212" i="1"/>
  <c r="H6212" i="1" s="1"/>
  <c r="G6211" i="1"/>
  <c r="F6211" i="1"/>
  <c r="D6211" i="1"/>
  <c r="H6211" i="1" s="1"/>
  <c r="H6210" i="1"/>
  <c r="G6209" i="1"/>
  <c r="F6209" i="1"/>
  <c r="H6209" i="1" s="1"/>
  <c r="D6209" i="1"/>
  <c r="H6208" i="1"/>
  <c r="G6208" i="1"/>
  <c r="F6208" i="1"/>
  <c r="D6208" i="1"/>
  <c r="G6207" i="1"/>
  <c r="F6207" i="1"/>
  <c r="H6207" i="1" s="1"/>
  <c r="D6207" i="1"/>
  <c r="G6206" i="1"/>
  <c r="F6206" i="1"/>
  <c r="H6206" i="1" s="1"/>
  <c r="D6206" i="1"/>
  <c r="H6205" i="1"/>
  <c r="G6205" i="1"/>
  <c r="F6205" i="1"/>
  <c r="D6205" i="1"/>
  <c r="G6204" i="1"/>
  <c r="F6204" i="1"/>
  <c r="H6204" i="1" s="1"/>
  <c r="D6204" i="1"/>
  <c r="G6203" i="1"/>
  <c r="F6203" i="1"/>
  <c r="H6203" i="1" s="1"/>
  <c r="D6203" i="1"/>
  <c r="H6202" i="1"/>
  <c r="G6202" i="1"/>
  <c r="F6202" i="1"/>
  <c r="D6202" i="1"/>
  <c r="G6201" i="1"/>
  <c r="F6201" i="1"/>
  <c r="H6201" i="1" s="1"/>
  <c r="D6201" i="1"/>
  <c r="G6200" i="1"/>
  <c r="F6200" i="1"/>
  <c r="H6200" i="1" s="1"/>
  <c r="D6200" i="1"/>
  <c r="H6199" i="1"/>
  <c r="G6198" i="1"/>
  <c r="F6198" i="1"/>
  <c r="D6198" i="1"/>
  <c r="H6198" i="1" s="1"/>
  <c r="G6197" i="1"/>
  <c r="F6197" i="1"/>
  <c r="D6197" i="1"/>
  <c r="H6197" i="1" s="1"/>
  <c r="H6196" i="1"/>
  <c r="G6196" i="1"/>
  <c r="F6196" i="1"/>
  <c r="D6196" i="1"/>
  <c r="G6195" i="1"/>
  <c r="F6195" i="1"/>
  <c r="D6195" i="1"/>
  <c r="H6195" i="1" s="1"/>
  <c r="G6194" i="1"/>
  <c r="F6194" i="1"/>
  <c r="D6194" i="1"/>
  <c r="H6194" i="1" s="1"/>
  <c r="H6193" i="1"/>
  <c r="G6193" i="1"/>
  <c r="F6193" i="1"/>
  <c r="D6193" i="1"/>
  <c r="G6192" i="1"/>
  <c r="F6192" i="1"/>
  <c r="D6192" i="1"/>
  <c r="H6192" i="1" s="1"/>
  <c r="G6191" i="1"/>
  <c r="F6191" i="1"/>
  <c r="D6191" i="1"/>
  <c r="H6191" i="1" s="1"/>
  <c r="H6190" i="1"/>
  <c r="G6190" i="1"/>
  <c r="F6190" i="1"/>
  <c r="D6190" i="1"/>
  <c r="G6189" i="1"/>
  <c r="F6189" i="1"/>
  <c r="D6189" i="1"/>
  <c r="H6189" i="1" s="1"/>
  <c r="H6188" i="1"/>
  <c r="G6187" i="1"/>
  <c r="F6187" i="1"/>
  <c r="D6187" i="1"/>
  <c r="H6187" i="1" s="1"/>
  <c r="H6186" i="1"/>
  <c r="G6186" i="1"/>
  <c r="F6186" i="1"/>
  <c r="D6186" i="1"/>
  <c r="G6185" i="1"/>
  <c r="F6185" i="1"/>
  <c r="H6185" i="1" s="1"/>
  <c r="D6185" i="1"/>
  <c r="G6184" i="1"/>
  <c r="F6184" i="1"/>
  <c r="D6184" i="1"/>
  <c r="H6184" i="1" s="1"/>
  <c r="H6183" i="1"/>
  <c r="G6183" i="1"/>
  <c r="F6183" i="1"/>
  <c r="D6183" i="1"/>
  <c r="G6182" i="1"/>
  <c r="F6182" i="1"/>
  <c r="H6182" i="1" s="1"/>
  <c r="D6182" i="1"/>
  <c r="G6181" i="1"/>
  <c r="F6181" i="1"/>
  <c r="D6181" i="1"/>
  <c r="H6181" i="1" s="1"/>
  <c r="H6180" i="1"/>
  <c r="G6180" i="1"/>
  <c r="F6180" i="1"/>
  <c r="D6180" i="1"/>
  <c r="G6179" i="1"/>
  <c r="F6179" i="1"/>
  <c r="D6179" i="1"/>
  <c r="H6179" i="1" s="1"/>
  <c r="G6178" i="1"/>
  <c r="F6178" i="1"/>
  <c r="D6178" i="1"/>
  <c r="H6178" i="1" s="1"/>
  <c r="H6177" i="1"/>
  <c r="G6176" i="1"/>
  <c r="H6176" i="1" s="1"/>
  <c r="F6176" i="1"/>
  <c r="D6176" i="1"/>
  <c r="G6175" i="1"/>
  <c r="F6175" i="1"/>
  <c r="D6175" i="1"/>
  <c r="H6175" i="1" s="1"/>
  <c r="G6174" i="1"/>
  <c r="F6174" i="1"/>
  <c r="D6174" i="1"/>
  <c r="H6174" i="1" s="1"/>
  <c r="G6173" i="1"/>
  <c r="H6173" i="1" s="1"/>
  <c r="F6173" i="1"/>
  <c r="D6173" i="1"/>
  <c r="G6172" i="1"/>
  <c r="F6172" i="1"/>
  <c r="D6172" i="1"/>
  <c r="H6172" i="1" s="1"/>
  <c r="G6171" i="1"/>
  <c r="F6171" i="1"/>
  <c r="D6171" i="1"/>
  <c r="H6171" i="1" s="1"/>
  <c r="G6170" i="1"/>
  <c r="H6170" i="1" s="1"/>
  <c r="F6170" i="1"/>
  <c r="D6170" i="1"/>
  <c r="G6169" i="1"/>
  <c r="F6169" i="1"/>
  <c r="D6169" i="1"/>
  <c r="H6169" i="1" s="1"/>
  <c r="G6168" i="1"/>
  <c r="F6168" i="1"/>
  <c r="D6168" i="1"/>
  <c r="H6168" i="1" s="1"/>
  <c r="G6167" i="1"/>
  <c r="F6167" i="1"/>
  <c r="D6167" i="1"/>
  <c r="H6167" i="1" s="1"/>
  <c r="H6166" i="1"/>
  <c r="G6165" i="1"/>
  <c r="F6165" i="1"/>
  <c r="H6165" i="1" s="1"/>
  <c r="D6165" i="1"/>
  <c r="G6164" i="1"/>
  <c r="F6164" i="1"/>
  <c r="H6164" i="1" s="1"/>
  <c r="D6164" i="1"/>
  <c r="H6163" i="1"/>
  <c r="G6163" i="1"/>
  <c r="F6163" i="1"/>
  <c r="D6163" i="1"/>
  <c r="G6162" i="1"/>
  <c r="F6162" i="1"/>
  <c r="H6162" i="1" s="1"/>
  <c r="D6162" i="1"/>
  <c r="G6161" i="1"/>
  <c r="F6161" i="1"/>
  <c r="H6161" i="1" s="1"/>
  <c r="D6161" i="1"/>
  <c r="G6160" i="1"/>
  <c r="F6160" i="1"/>
  <c r="H6160" i="1" s="1"/>
  <c r="D6160" i="1"/>
  <c r="G6159" i="1"/>
  <c r="F6159" i="1"/>
  <c r="H6159" i="1" s="1"/>
  <c r="D6159" i="1"/>
  <c r="G6158" i="1"/>
  <c r="F6158" i="1"/>
  <c r="H6158" i="1" s="1"/>
  <c r="D6158" i="1"/>
  <c r="G6157" i="1"/>
  <c r="F6157" i="1"/>
  <c r="H6157" i="1" s="1"/>
  <c r="D6157" i="1"/>
  <c r="G6156" i="1"/>
  <c r="F6156" i="1"/>
  <c r="H6156" i="1" s="1"/>
  <c r="D6156" i="1"/>
  <c r="G6155" i="1"/>
  <c r="F6155" i="1"/>
  <c r="D6155" i="1"/>
  <c r="H6155" i="1" s="1"/>
  <c r="G6154" i="1"/>
  <c r="F6154" i="1"/>
  <c r="H6154" i="1" s="1"/>
  <c r="D6154" i="1"/>
  <c r="G6153" i="1"/>
  <c r="F6153" i="1"/>
  <c r="H6153" i="1" s="1"/>
  <c r="D6153" i="1"/>
  <c r="G6152" i="1"/>
  <c r="F6152" i="1"/>
  <c r="D6152" i="1"/>
  <c r="H6152" i="1" s="1"/>
  <c r="G6151" i="1"/>
  <c r="F6151" i="1"/>
  <c r="H6151" i="1" s="1"/>
  <c r="D6151" i="1"/>
  <c r="H6150" i="1"/>
  <c r="G6149" i="1"/>
  <c r="F6149" i="1"/>
  <c r="D6149" i="1"/>
  <c r="H6149" i="1" s="1"/>
  <c r="H6148" i="1"/>
  <c r="G6148" i="1"/>
  <c r="F6148" i="1"/>
  <c r="D6148" i="1"/>
  <c r="G6147" i="1"/>
  <c r="F6147" i="1"/>
  <c r="D6147" i="1"/>
  <c r="H6147" i="1" s="1"/>
  <c r="G6146" i="1"/>
  <c r="F6146" i="1"/>
  <c r="D6146" i="1"/>
  <c r="H6146" i="1" s="1"/>
  <c r="H6145" i="1"/>
  <c r="G6145" i="1"/>
  <c r="F6145" i="1"/>
  <c r="D6145" i="1"/>
  <c r="G6144" i="1"/>
  <c r="F6144" i="1"/>
  <c r="D6144" i="1"/>
  <c r="H6144" i="1" s="1"/>
  <c r="G6143" i="1"/>
  <c r="F6143" i="1"/>
  <c r="D6143" i="1"/>
  <c r="H6143" i="1" s="1"/>
  <c r="H6142" i="1"/>
  <c r="G6142" i="1"/>
  <c r="F6142" i="1"/>
  <c r="D6142" i="1"/>
  <c r="G6141" i="1"/>
  <c r="F6141" i="1"/>
  <c r="D6141" i="1"/>
  <c r="H6141" i="1" s="1"/>
  <c r="G6140" i="1"/>
  <c r="F6140" i="1"/>
  <c r="D6140" i="1"/>
  <c r="H6140" i="1" s="1"/>
  <c r="H6139" i="1"/>
  <c r="G6138" i="1"/>
  <c r="H6138" i="1" s="1"/>
  <c r="F6138" i="1"/>
  <c r="D6138" i="1"/>
  <c r="G6137" i="1"/>
  <c r="F6137" i="1"/>
  <c r="H6137" i="1" s="1"/>
  <c r="D6137" i="1"/>
  <c r="G6136" i="1"/>
  <c r="F6136" i="1"/>
  <c r="D6136" i="1"/>
  <c r="H6136" i="1" s="1"/>
  <c r="G6135" i="1"/>
  <c r="H6135" i="1" s="1"/>
  <c r="F6135" i="1"/>
  <c r="D6135" i="1"/>
  <c r="G6134" i="1"/>
  <c r="F6134" i="1"/>
  <c r="H6134" i="1" s="1"/>
  <c r="D6134" i="1"/>
  <c r="G6133" i="1"/>
  <c r="F6133" i="1"/>
  <c r="D6133" i="1"/>
  <c r="H6133" i="1" s="1"/>
  <c r="G6132" i="1"/>
  <c r="H6132" i="1" s="1"/>
  <c r="F6132" i="1"/>
  <c r="D6132" i="1"/>
  <c r="G6131" i="1"/>
  <c r="F6131" i="1"/>
  <c r="H6131" i="1" s="1"/>
  <c r="D6131" i="1"/>
  <c r="G6130" i="1"/>
  <c r="F6130" i="1"/>
  <c r="D6130" i="1"/>
  <c r="H6130" i="1" s="1"/>
  <c r="G6129" i="1"/>
  <c r="H6129" i="1" s="1"/>
  <c r="F6129" i="1"/>
  <c r="D6129" i="1"/>
  <c r="H6128" i="1"/>
  <c r="G6127" i="1"/>
  <c r="F6127" i="1"/>
  <c r="D6127" i="1"/>
  <c r="H6127" i="1" s="1"/>
  <c r="G6126" i="1"/>
  <c r="F6126" i="1"/>
  <c r="D6126" i="1"/>
  <c r="H6125" i="1"/>
  <c r="G6125" i="1"/>
  <c r="F6125" i="1"/>
  <c r="D6125" i="1"/>
  <c r="G6124" i="1"/>
  <c r="F6124" i="1"/>
  <c r="D6124" i="1"/>
  <c r="H6124" i="1" s="1"/>
  <c r="G6123" i="1"/>
  <c r="F6123" i="1"/>
  <c r="D6123" i="1"/>
  <c r="H6122" i="1"/>
  <c r="G6122" i="1"/>
  <c r="F6122" i="1"/>
  <c r="D6122" i="1"/>
  <c r="G6121" i="1"/>
  <c r="F6121" i="1"/>
  <c r="D6121" i="1"/>
  <c r="H6121" i="1" s="1"/>
  <c r="G6120" i="1"/>
  <c r="F6120" i="1"/>
  <c r="D6120" i="1"/>
  <c r="H6120" i="1" s="1"/>
  <c r="H6119" i="1"/>
  <c r="G6119" i="1"/>
  <c r="F6119" i="1"/>
  <c r="D6119" i="1"/>
  <c r="G6118" i="1"/>
  <c r="F6118" i="1"/>
  <c r="D6118" i="1"/>
  <c r="H6118" i="1" s="1"/>
  <c r="H6117" i="1"/>
  <c r="G6116" i="1"/>
  <c r="F6116" i="1"/>
  <c r="D6116" i="1"/>
  <c r="H6116" i="1" s="1"/>
  <c r="G6115" i="1"/>
  <c r="F6115" i="1"/>
  <c r="H6115" i="1" s="1"/>
  <c r="D6115" i="1"/>
  <c r="G6114" i="1"/>
  <c r="F6114" i="1"/>
  <c r="H6114" i="1" s="1"/>
  <c r="D6114" i="1"/>
  <c r="G6113" i="1"/>
  <c r="F6113" i="1"/>
  <c r="D6113" i="1"/>
  <c r="H6113" i="1" s="1"/>
  <c r="G6112" i="1"/>
  <c r="F6112" i="1"/>
  <c r="H6112" i="1" s="1"/>
  <c r="D6112" i="1"/>
  <c r="G6111" i="1"/>
  <c r="F6111" i="1"/>
  <c r="H6111" i="1" s="1"/>
  <c r="D6111" i="1"/>
  <c r="G6110" i="1"/>
  <c r="F6110" i="1"/>
  <c r="D6110" i="1"/>
  <c r="H6110" i="1" s="1"/>
  <c r="G6109" i="1"/>
  <c r="F6109" i="1"/>
  <c r="H6109" i="1" s="1"/>
  <c r="D6109" i="1"/>
  <c r="H6108" i="1"/>
  <c r="G6108" i="1"/>
  <c r="F6108" i="1"/>
  <c r="D6108" i="1"/>
  <c r="G6107" i="1"/>
  <c r="F6107" i="1"/>
  <c r="D6107" i="1"/>
  <c r="H6107" i="1" s="1"/>
  <c r="H6106" i="1"/>
  <c r="G6105" i="1"/>
  <c r="F6105" i="1"/>
  <c r="D6105" i="1"/>
  <c r="H6105" i="1" s="1"/>
  <c r="G6104" i="1"/>
  <c r="F6104" i="1"/>
  <c r="D6104" i="1"/>
  <c r="G6103" i="1"/>
  <c r="F6103" i="1"/>
  <c r="H6103" i="1" s="1"/>
  <c r="D6103" i="1"/>
  <c r="G6102" i="1"/>
  <c r="F6102" i="1"/>
  <c r="D6102" i="1"/>
  <c r="H6102" i="1" s="1"/>
  <c r="G6101" i="1"/>
  <c r="F6101" i="1"/>
  <c r="D6101" i="1"/>
  <c r="H6101" i="1" s="1"/>
  <c r="G6100" i="1"/>
  <c r="F6100" i="1"/>
  <c r="H6100" i="1" s="1"/>
  <c r="D6100" i="1"/>
  <c r="G6099" i="1"/>
  <c r="F6099" i="1"/>
  <c r="D6099" i="1"/>
  <c r="H6099" i="1" s="1"/>
  <c r="G6098" i="1"/>
  <c r="F6098" i="1"/>
  <c r="D6098" i="1"/>
  <c r="H6098" i="1" s="1"/>
  <c r="G6097" i="1"/>
  <c r="H6097" i="1" s="1"/>
  <c r="F6097" i="1"/>
  <c r="D6097" i="1"/>
  <c r="G6096" i="1"/>
  <c r="F6096" i="1"/>
  <c r="D6096" i="1"/>
  <c r="H6096" i="1" s="1"/>
  <c r="H6095" i="1"/>
  <c r="G6094" i="1"/>
  <c r="F6094" i="1"/>
  <c r="H6094" i="1" s="1"/>
  <c r="D6094" i="1"/>
  <c r="G6093" i="1"/>
  <c r="H6093" i="1" s="1"/>
  <c r="F6093" i="1"/>
  <c r="D6093" i="1"/>
  <c r="G6092" i="1"/>
  <c r="F6092" i="1"/>
  <c r="H6092" i="1" s="1"/>
  <c r="D6092" i="1"/>
  <c r="G6091" i="1"/>
  <c r="F6091" i="1"/>
  <c r="H6091" i="1" s="1"/>
  <c r="D6091" i="1"/>
  <c r="G6090" i="1"/>
  <c r="H6090" i="1" s="1"/>
  <c r="F6090" i="1"/>
  <c r="D6090" i="1"/>
  <c r="G6089" i="1"/>
  <c r="F6089" i="1"/>
  <c r="H6089" i="1" s="1"/>
  <c r="D6089" i="1"/>
  <c r="G6088" i="1"/>
  <c r="F6088" i="1"/>
  <c r="D6088" i="1"/>
  <c r="H6088" i="1" s="1"/>
  <c r="G6087" i="1"/>
  <c r="H6087" i="1" s="1"/>
  <c r="F6087" i="1"/>
  <c r="D6087" i="1"/>
  <c r="G6086" i="1"/>
  <c r="F6086" i="1"/>
  <c r="H6086" i="1" s="1"/>
  <c r="D6086" i="1"/>
  <c r="G6085" i="1"/>
  <c r="F6085" i="1"/>
  <c r="D6085" i="1"/>
  <c r="H6085" i="1" s="1"/>
  <c r="H6084" i="1"/>
  <c r="H6083" i="1"/>
  <c r="G6083" i="1"/>
  <c r="F6083" i="1"/>
  <c r="D6083" i="1"/>
  <c r="G6082" i="1"/>
  <c r="F6082" i="1"/>
  <c r="D6082" i="1"/>
  <c r="H6082" i="1" s="1"/>
  <c r="G6081" i="1"/>
  <c r="F6081" i="1"/>
  <c r="D6081" i="1"/>
  <c r="H6081" i="1" s="1"/>
  <c r="H6080" i="1"/>
  <c r="G6080" i="1"/>
  <c r="F6080" i="1"/>
  <c r="D6080" i="1"/>
  <c r="G6079" i="1"/>
  <c r="F6079" i="1"/>
  <c r="D6079" i="1"/>
  <c r="H6079" i="1" s="1"/>
  <c r="G6078" i="1"/>
  <c r="F6078" i="1"/>
  <c r="D6078" i="1"/>
  <c r="H6078" i="1" s="1"/>
  <c r="H6077" i="1"/>
  <c r="G6077" i="1"/>
  <c r="F6077" i="1"/>
  <c r="D6077" i="1"/>
  <c r="G6076" i="1"/>
  <c r="F6076" i="1"/>
  <c r="D6076" i="1"/>
  <c r="H6076" i="1" s="1"/>
  <c r="G6075" i="1"/>
  <c r="F6075" i="1"/>
  <c r="D6075" i="1"/>
  <c r="H6075" i="1" s="1"/>
  <c r="G6074" i="1"/>
  <c r="F6074" i="1"/>
  <c r="D6074" i="1"/>
  <c r="H6074" i="1" s="1"/>
  <c r="H6073" i="1"/>
  <c r="G6072" i="1"/>
  <c r="F6072" i="1"/>
  <c r="H6072" i="1" s="1"/>
  <c r="D6072" i="1"/>
  <c r="H6071" i="1"/>
  <c r="G6071" i="1"/>
  <c r="F6071" i="1"/>
  <c r="D6071" i="1"/>
  <c r="G6070" i="1"/>
  <c r="F6070" i="1"/>
  <c r="H6070" i="1" s="1"/>
  <c r="D6070" i="1"/>
  <c r="G6069" i="1"/>
  <c r="F6069" i="1"/>
  <c r="H6069" i="1" s="1"/>
  <c r="D6069" i="1"/>
  <c r="G6068" i="1"/>
  <c r="H6068" i="1" s="1"/>
  <c r="F6068" i="1"/>
  <c r="D6068" i="1"/>
  <c r="G6067" i="1"/>
  <c r="F6067" i="1"/>
  <c r="H6067" i="1" s="1"/>
  <c r="D6067" i="1"/>
  <c r="G6066" i="1"/>
  <c r="F6066" i="1"/>
  <c r="H6066" i="1" s="1"/>
  <c r="D6066" i="1"/>
  <c r="G6065" i="1"/>
  <c r="F6065" i="1"/>
  <c r="D6065" i="1"/>
  <c r="H6065" i="1" s="1"/>
  <c r="G6064" i="1"/>
  <c r="F6064" i="1"/>
  <c r="H6064" i="1" s="1"/>
  <c r="D6064" i="1"/>
  <c r="G6063" i="1"/>
  <c r="F6063" i="1"/>
  <c r="D6063" i="1"/>
  <c r="H6063" i="1" s="1"/>
  <c r="H6062" i="1"/>
  <c r="G6061" i="1"/>
  <c r="F6061" i="1"/>
  <c r="H6061" i="1" s="1"/>
  <c r="D6061" i="1"/>
  <c r="G6060" i="1"/>
  <c r="F6060" i="1"/>
  <c r="D6060" i="1"/>
  <c r="H6060" i="1" s="1"/>
  <c r="G6059" i="1"/>
  <c r="F6059" i="1"/>
  <c r="D6059" i="1"/>
  <c r="H6059" i="1" s="1"/>
  <c r="G6058" i="1"/>
  <c r="F6058" i="1"/>
  <c r="H6058" i="1" s="1"/>
  <c r="D6058" i="1"/>
  <c r="G6057" i="1"/>
  <c r="F6057" i="1"/>
  <c r="D6057" i="1"/>
  <c r="H6057" i="1" s="1"/>
  <c r="G6056" i="1"/>
  <c r="F6056" i="1"/>
  <c r="D6056" i="1"/>
  <c r="H6056" i="1" s="1"/>
  <c r="G6055" i="1"/>
  <c r="F6055" i="1"/>
  <c r="H6055" i="1" s="1"/>
  <c r="D6055" i="1"/>
  <c r="G6054" i="1"/>
  <c r="F6054" i="1"/>
  <c r="D6054" i="1"/>
  <c r="H6054" i="1" s="1"/>
  <c r="G6053" i="1"/>
  <c r="F6053" i="1"/>
  <c r="D6053" i="1"/>
  <c r="H6053" i="1" s="1"/>
  <c r="G6052" i="1"/>
  <c r="F6052" i="1"/>
  <c r="H6052" i="1" s="1"/>
  <c r="D6052" i="1"/>
  <c r="G6051" i="1"/>
  <c r="F6051" i="1"/>
  <c r="D6051" i="1"/>
  <c r="H6051" i="1" s="1"/>
  <c r="G6050" i="1"/>
  <c r="F6050" i="1"/>
  <c r="D6050" i="1"/>
  <c r="H6050" i="1" s="1"/>
  <c r="G6049" i="1"/>
  <c r="F6049" i="1"/>
  <c r="D6049" i="1"/>
  <c r="H6049" i="1" s="1"/>
  <c r="G6048" i="1"/>
  <c r="F6048" i="1"/>
  <c r="D6048" i="1"/>
  <c r="H6048" i="1" s="1"/>
  <c r="G6047" i="1"/>
  <c r="F6047" i="1"/>
  <c r="D6047" i="1"/>
  <c r="H6047" i="1" s="1"/>
  <c r="H6046" i="1"/>
  <c r="G6045" i="1"/>
  <c r="H6045" i="1" s="1"/>
  <c r="F6045" i="1"/>
  <c r="D6045" i="1"/>
  <c r="G6044" i="1"/>
  <c r="F6044" i="1"/>
  <c r="H6044" i="1" s="1"/>
  <c r="D6044" i="1"/>
  <c r="G6043" i="1"/>
  <c r="F6043" i="1"/>
  <c r="H6043" i="1" s="1"/>
  <c r="D6043" i="1"/>
  <c r="G6042" i="1"/>
  <c r="H6042" i="1" s="1"/>
  <c r="F6042" i="1"/>
  <c r="D6042" i="1"/>
  <c r="G6041" i="1"/>
  <c r="F6041" i="1"/>
  <c r="H6041" i="1" s="1"/>
  <c r="D6041" i="1"/>
  <c r="G6040" i="1"/>
  <c r="F6040" i="1"/>
  <c r="H6040" i="1" s="1"/>
  <c r="D6040" i="1"/>
  <c r="G6039" i="1"/>
  <c r="F6039" i="1"/>
  <c r="H6039" i="1" s="1"/>
  <c r="D6039" i="1"/>
  <c r="G6038" i="1"/>
  <c r="F6038" i="1"/>
  <c r="H6038" i="1" s="1"/>
  <c r="D6038" i="1"/>
  <c r="G6037" i="1"/>
  <c r="F6037" i="1"/>
  <c r="H6037" i="1" s="1"/>
  <c r="D6037" i="1"/>
  <c r="G6036" i="1"/>
  <c r="F6036" i="1"/>
  <c r="D6036" i="1"/>
  <c r="H6036" i="1" s="1"/>
  <c r="H6035" i="1"/>
  <c r="G6034" i="1"/>
  <c r="F6034" i="1"/>
  <c r="D6034" i="1"/>
  <c r="H6034" i="1" s="1"/>
  <c r="G6033" i="1"/>
  <c r="F6033" i="1"/>
  <c r="D6033" i="1"/>
  <c r="H6033" i="1" s="1"/>
  <c r="H6032" i="1"/>
  <c r="G6032" i="1"/>
  <c r="F6032" i="1"/>
  <c r="D6032" i="1"/>
  <c r="G6031" i="1"/>
  <c r="F6031" i="1"/>
  <c r="D6031" i="1"/>
  <c r="H6031" i="1" s="1"/>
  <c r="G6030" i="1"/>
  <c r="F6030" i="1"/>
  <c r="D6030" i="1"/>
  <c r="H6030" i="1" s="1"/>
  <c r="H6029" i="1"/>
  <c r="G6029" i="1"/>
  <c r="F6029" i="1"/>
  <c r="D6029" i="1"/>
  <c r="G6028" i="1"/>
  <c r="F6028" i="1"/>
  <c r="D6028" i="1"/>
  <c r="H6028" i="1" s="1"/>
  <c r="G6027" i="1"/>
  <c r="F6027" i="1"/>
  <c r="D6027" i="1"/>
  <c r="H6027" i="1" s="1"/>
  <c r="G6026" i="1"/>
  <c r="H6026" i="1" s="1"/>
  <c r="F6026" i="1"/>
  <c r="D6026" i="1"/>
  <c r="G6025" i="1"/>
  <c r="F6025" i="1"/>
  <c r="D6025" i="1"/>
  <c r="H6025" i="1" s="1"/>
  <c r="H6024" i="1"/>
  <c r="H6023" i="1"/>
  <c r="G6023" i="1"/>
  <c r="F6023" i="1"/>
  <c r="D6023" i="1"/>
  <c r="G6022" i="1"/>
  <c r="F6022" i="1"/>
  <c r="H6022" i="1" s="1"/>
  <c r="D6022" i="1"/>
  <c r="G6021" i="1"/>
  <c r="F6021" i="1"/>
  <c r="H6021" i="1" s="1"/>
  <c r="D6021" i="1"/>
  <c r="H6020" i="1"/>
  <c r="G6020" i="1"/>
  <c r="F6020" i="1"/>
  <c r="D6020" i="1"/>
  <c r="G6019" i="1"/>
  <c r="F6019" i="1"/>
  <c r="H6019" i="1" s="1"/>
  <c r="D6019" i="1"/>
  <c r="G6018" i="1"/>
  <c r="F6018" i="1"/>
  <c r="H6018" i="1" s="1"/>
  <c r="D6018" i="1"/>
  <c r="G6017" i="1"/>
  <c r="F6017" i="1"/>
  <c r="D6017" i="1"/>
  <c r="H6017" i="1" s="1"/>
  <c r="G6016" i="1"/>
  <c r="F6016" i="1"/>
  <c r="H6016" i="1" s="1"/>
  <c r="D6016" i="1"/>
  <c r="G6015" i="1"/>
  <c r="F6015" i="1"/>
  <c r="H6015" i="1" s="1"/>
  <c r="D6015" i="1"/>
  <c r="G6014" i="1"/>
  <c r="F6014" i="1"/>
  <c r="D6014" i="1"/>
  <c r="H6014" i="1" s="1"/>
  <c r="G6013" i="1"/>
  <c r="F6013" i="1"/>
  <c r="H6013" i="1" s="1"/>
  <c r="D6013" i="1"/>
  <c r="G6012" i="1"/>
  <c r="F6012" i="1"/>
  <c r="D6012" i="1"/>
  <c r="H6012" i="1" s="1"/>
  <c r="G6011" i="1"/>
  <c r="F6011" i="1"/>
  <c r="D6011" i="1"/>
  <c r="H6011" i="1" s="1"/>
  <c r="G6010" i="1"/>
  <c r="F6010" i="1"/>
  <c r="H6010" i="1" s="1"/>
  <c r="D6010" i="1"/>
  <c r="H6009" i="1"/>
  <c r="G6008" i="1"/>
  <c r="F6008" i="1"/>
  <c r="D6008" i="1"/>
  <c r="H6008" i="1" s="1"/>
  <c r="G6007" i="1"/>
  <c r="F6007" i="1"/>
  <c r="H6007" i="1" s="1"/>
  <c r="D6007" i="1"/>
  <c r="G6006" i="1"/>
  <c r="F6006" i="1"/>
  <c r="D6006" i="1"/>
  <c r="H6006" i="1" s="1"/>
  <c r="G6005" i="1"/>
  <c r="F6005" i="1"/>
  <c r="D6005" i="1"/>
  <c r="H6005" i="1" s="1"/>
  <c r="G6004" i="1"/>
  <c r="F6004" i="1"/>
  <c r="H6004" i="1" s="1"/>
  <c r="D6004" i="1"/>
  <c r="G6003" i="1"/>
  <c r="F6003" i="1"/>
  <c r="D6003" i="1"/>
  <c r="H6003" i="1" s="1"/>
  <c r="G6002" i="1"/>
  <c r="F6002" i="1"/>
  <c r="D6002" i="1"/>
  <c r="H6002" i="1" s="1"/>
  <c r="G6001" i="1"/>
  <c r="F6001" i="1"/>
  <c r="D6001" i="1"/>
  <c r="H6001" i="1" s="1"/>
  <c r="G6000" i="1"/>
  <c r="F6000" i="1"/>
  <c r="D6000" i="1"/>
  <c r="H6000" i="1" s="1"/>
  <c r="G5999" i="1"/>
  <c r="F5999" i="1"/>
  <c r="D5999" i="1"/>
  <c r="H5999" i="1" s="1"/>
  <c r="H5998" i="1"/>
  <c r="G5997" i="1"/>
  <c r="H5997" i="1" s="1"/>
  <c r="F5997" i="1"/>
  <c r="D5997" i="1"/>
  <c r="G5996" i="1"/>
  <c r="F5996" i="1"/>
  <c r="H5996" i="1" s="1"/>
  <c r="D5996" i="1"/>
  <c r="G5995" i="1"/>
  <c r="F5995" i="1"/>
  <c r="H5995" i="1" s="1"/>
  <c r="D5995" i="1"/>
  <c r="G5994" i="1"/>
  <c r="H5994" i="1" s="1"/>
  <c r="F5994" i="1"/>
  <c r="D5994" i="1"/>
  <c r="G5993" i="1"/>
  <c r="F5993" i="1"/>
  <c r="H5993" i="1" s="1"/>
  <c r="D5993" i="1"/>
  <c r="G5992" i="1"/>
  <c r="F5992" i="1"/>
  <c r="H5992" i="1" s="1"/>
  <c r="D5992" i="1"/>
  <c r="G5991" i="1"/>
  <c r="F5991" i="1"/>
  <c r="D5991" i="1"/>
  <c r="H5991" i="1" s="1"/>
  <c r="G5990" i="1"/>
  <c r="F5990" i="1"/>
  <c r="H5990" i="1" s="1"/>
  <c r="D5990" i="1"/>
  <c r="G5989" i="1"/>
  <c r="F5989" i="1"/>
  <c r="H5989" i="1" s="1"/>
  <c r="D5989" i="1"/>
  <c r="G5988" i="1"/>
  <c r="F5988" i="1"/>
  <c r="D5988" i="1"/>
  <c r="H5988" i="1" s="1"/>
  <c r="H5987" i="1"/>
  <c r="G5986" i="1"/>
  <c r="F5986" i="1"/>
  <c r="D5986" i="1"/>
  <c r="H5986" i="1" s="1"/>
  <c r="G5985" i="1"/>
  <c r="F5985" i="1"/>
  <c r="H5985" i="1" s="1"/>
  <c r="D5985" i="1"/>
  <c r="H5984" i="1"/>
  <c r="G5984" i="1"/>
  <c r="F5984" i="1"/>
  <c r="D5984" i="1"/>
  <c r="G5983" i="1"/>
  <c r="F5983" i="1"/>
  <c r="D5983" i="1"/>
  <c r="H5983" i="1" s="1"/>
  <c r="G5982" i="1"/>
  <c r="F5982" i="1"/>
  <c r="D5982" i="1"/>
  <c r="H5982" i="1" s="1"/>
  <c r="H5981" i="1"/>
  <c r="G5981" i="1"/>
  <c r="F5981" i="1"/>
  <c r="D5981" i="1"/>
  <c r="G5980" i="1"/>
  <c r="F5980" i="1"/>
  <c r="D5980" i="1"/>
  <c r="H5980" i="1" s="1"/>
  <c r="G5979" i="1"/>
  <c r="F5979" i="1"/>
  <c r="D5979" i="1"/>
  <c r="H5979" i="1" s="1"/>
  <c r="H5978" i="1"/>
  <c r="G5978" i="1"/>
  <c r="F5978" i="1"/>
  <c r="D5978" i="1"/>
  <c r="G5977" i="1"/>
  <c r="F5977" i="1"/>
  <c r="D5977" i="1"/>
  <c r="H5977" i="1" s="1"/>
  <c r="H5976" i="1"/>
  <c r="H5975" i="1"/>
  <c r="G5975" i="1"/>
  <c r="F5975" i="1"/>
  <c r="D5975" i="1"/>
  <c r="G5974" i="1"/>
  <c r="F5974" i="1"/>
  <c r="H5974" i="1" s="1"/>
  <c r="D5974" i="1"/>
  <c r="G5973" i="1"/>
  <c r="F5973" i="1"/>
  <c r="H5973" i="1" s="1"/>
  <c r="D5973" i="1"/>
  <c r="G5972" i="1"/>
  <c r="F5972" i="1"/>
  <c r="D5972" i="1"/>
  <c r="H5972" i="1" s="1"/>
  <c r="G5971" i="1"/>
  <c r="F5971" i="1"/>
  <c r="H5971" i="1" s="1"/>
  <c r="D5971" i="1"/>
  <c r="G5970" i="1"/>
  <c r="F5970" i="1"/>
  <c r="H5970" i="1" s="1"/>
  <c r="D5970" i="1"/>
  <c r="G5969" i="1"/>
  <c r="F5969" i="1"/>
  <c r="D5969" i="1"/>
  <c r="H5969" i="1" s="1"/>
  <c r="G5968" i="1"/>
  <c r="F5968" i="1"/>
  <c r="H5968" i="1" s="1"/>
  <c r="D5968" i="1"/>
  <c r="G5967" i="1"/>
  <c r="F5967" i="1"/>
  <c r="D5967" i="1"/>
  <c r="H5967" i="1" s="1"/>
  <c r="G5966" i="1"/>
  <c r="F5966" i="1"/>
  <c r="D5966" i="1"/>
  <c r="H5966" i="1" s="1"/>
  <c r="G5965" i="1"/>
  <c r="F5965" i="1"/>
  <c r="D5965" i="1"/>
  <c r="H5965" i="1" s="1"/>
  <c r="G5964" i="1"/>
  <c r="F5964" i="1"/>
  <c r="D5964" i="1"/>
  <c r="H5964" i="1" s="1"/>
  <c r="G5963" i="1"/>
  <c r="F5963" i="1"/>
  <c r="D5963" i="1"/>
  <c r="H5963" i="1" s="1"/>
  <c r="G5962" i="1"/>
  <c r="F5962" i="1"/>
  <c r="D5962" i="1"/>
  <c r="H5962" i="1" s="1"/>
  <c r="G5961" i="1"/>
  <c r="F5961" i="1"/>
  <c r="D5961" i="1"/>
  <c r="H5961" i="1" s="1"/>
  <c r="H5960" i="1"/>
  <c r="G5959" i="1"/>
  <c r="F5959" i="1"/>
  <c r="H5959" i="1" s="1"/>
  <c r="D5959" i="1"/>
  <c r="G5958" i="1"/>
  <c r="F5958" i="1"/>
  <c r="D5958" i="1"/>
  <c r="H5958" i="1" s="1"/>
  <c r="G5957" i="1"/>
  <c r="F5957" i="1"/>
  <c r="D5957" i="1"/>
  <c r="H5957" i="1" s="1"/>
  <c r="G5956" i="1"/>
  <c r="F5956" i="1"/>
  <c r="H5956" i="1" s="1"/>
  <c r="D5956" i="1"/>
  <c r="G5955" i="1"/>
  <c r="F5955" i="1"/>
  <c r="D5955" i="1"/>
  <c r="H5955" i="1" s="1"/>
  <c r="G5954" i="1"/>
  <c r="F5954" i="1"/>
  <c r="D5954" i="1"/>
  <c r="H5954" i="1" s="1"/>
  <c r="G5953" i="1"/>
  <c r="F5953" i="1"/>
  <c r="H5953" i="1" s="1"/>
  <c r="D5953" i="1"/>
  <c r="G5952" i="1"/>
  <c r="F5952" i="1"/>
  <c r="D5952" i="1"/>
  <c r="H5952" i="1" s="1"/>
  <c r="G5951" i="1"/>
  <c r="F5951" i="1"/>
  <c r="D5951" i="1"/>
  <c r="H5951" i="1" s="1"/>
  <c r="G5950" i="1"/>
  <c r="F5950" i="1"/>
  <c r="D5950" i="1"/>
  <c r="H5950" i="1" s="1"/>
  <c r="H5949" i="1"/>
  <c r="G5948" i="1"/>
  <c r="F5948" i="1"/>
  <c r="H5948" i="1" s="1"/>
  <c r="D5948" i="1"/>
  <c r="H5947" i="1"/>
  <c r="G5947" i="1"/>
  <c r="F5947" i="1"/>
  <c r="D5947" i="1"/>
  <c r="G5946" i="1"/>
  <c r="H5946" i="1" s="1"/>
  <c r="F5946" i="1"/>
  <c r="D5946" i="1"/>
  <c r="G5945" i="1"/>
  <c r="F5945" i="1"/>
  <c r="H5945" i="1" s="1"/>
  <c r="D5945" i="1"/>
  <c r="H5944" i="1"/>
  <c r="G5944" i="1"/>
  <c r="F5944" i="1"/>
  <c r="D5944" i="1"/>
  <c r="G5943" i="1"/>
  <c r="H5943" i="1" s="1"/>
  <c r="F5943" i="1"/>
  <c r="D5943" i="1"/>
  <c r="G5942" i="1"/>
  <c r="F5942" i="1"/>
  <c r="H5942" i="1" s="1"/>
  <c r="D5942" i="1"/>
  <c r="H5941" i="1"/>
  <c r="G5941" i="1"/>
  <c r="F5941" i="1"/>
  <c r="D5941" i="1"/>
  <c r="G5940" i="1"/>
  <c r="F5940" i="1"/>
  <c r="D5940" i="1"/>
  <c r="H5940" i="1" s="1"/>
  <c r="G5939" i="1"/>
  <c r="F5939" i="1"/>
  <c r="D5939" i="1"/>
  <c r="H5939" i="1" s="1"/>
  <c r="H5938" i="1"/>
  <c r="G5937" i="1"/>
  <c r="H5937" i="1" s="1"/>
  <c r="F5937" i="1"/>
  <c r="D5937" i="1"/>
  <c r="H5936" i="1"/>
  <c r="G5936" i="1"/>
  <c r="F5936" i="1"/>
  <c r="D5936" i="1"/>
  <c r="G5935" i="1"/>
  <c r="F5935" i="1"/>
  <c r="D5935" i="1"/>
  <c r="H5935" i="1" s="1"/>
  <c r="G5934" i="1"/>
  <c r="F5934" i="1"/>
  <c r="D5934" i="1"/>
  <c r="H5934" i="1" s="1"/>
  <c r="H5933" i="1"/>
  <c r="G5933" i="1"/>
  <c r="F5933" i="1"/>
  <c r="D5933" i="1"/>
  <c r="G5932" i="1"/>
  <c r="F5932" i="1"/>
  <c r="D5932" i="1"/>
  <c r="H5932" i="1" s="1"/>
  <c r="G5931" i="1"/>
  <c r="F5931" i="1"/>
  <c r="D5931" i="1"/>
  <c r="H5931" i="1" s="1"/>
  <c r="H5930" i="1"/>
  <c r="G5930" i="1"/>
  <c r="F5930" i="1"/>
  <c r="D5930" i="1"/>
  <c r="G5929" i="1"/>
  <c r="F5929" i="1"/>
  <c r="D5929" i="1"/>
  <c r="H5929" i="1" s="1"/>
  <c r="G5928" i="1"/>
  <c r="F5928" i="1"/>
  <c r="D5928" i="1"/>
  <c r="H5928" i="1" s="1"/>
  <c r="H5927" i="1"/>
  <c r="G5926" i="1"/>
  <c r="F5926" i="1"/>
  <c r="H5926" i="1" s="1"/>
  <c r="D5926" i="1"/>
  <c r="G5925" i="1"/>
  <c r="F5925" i="1"/>
  <c r="H5925" i="1" s="1"/>
  <c r="D5925" i="1"/>
  <c r="G5924" i="1"/>
  <c r="F5924" i="1"/>
  <c r="D5924" i="1"/>
  <c r="H5924" i="1" s="1"/>
  <c r="G5923" i="1"/>
  <c r="F5923" i="1"/>
  <c r="H5923" i="1" s="1"/>
  <c r="D5923" i="1"/>
  <c r="G5922" i="1"/>
  <c r="F5922" i="1"/>
  <c r="D5922" i="1"/>
  <c r="H5922" i="1" s="1"/>
  <c r="G5921" i="1"/>
  <c r="F5921" i="1"/>
  <c r="D5921" i="1"/>
  <c r="H5921" i="1" s="1"/>
  <c r="G5920" i="1"/>
  <c r="F5920" i="1"/>
  <c r="D5920" i="1"/>
  <c r="H5920" i="1" s="1"/>
  <c r="G5919" i="1"/>
  <c r="F5919" i="1"/>
  <c r="D5919" i="1"/>
  <c r="H5919" i="1" s="1"/>
  <c r="G5918" i="1"/>
  <c r="F5918" i="1"/>
  <c r="D5918" i="1"/>
  <c r="H5918" i="1" s="1"/>
  <c r="G5917" i="1"/>
  <c r="F5917" i="1"/>
  <c r="D5917" i="1"/>
  <c r="H5917" i="1" s="1"/>
  <c r="G5916" i="1"/>
  <c r="F5916" i="1"/>
  <c r="D5916" i="1"/>
  <c r="H5916" i="1" s="1"/>
  <c r="G5915" i="1"/>
  <c r="F5915" i="1"/>
  <c r="D5915" i="1"/>
  <c r="H5915" i="1" s="1"/>
  <c r="G5914" i="1"/>
  <c r="F5914" i="1"/>
  <c r="D5914" i="1"/>
  <c r="H5914" i="1" s="1"/>
  <c r="G5913" i="1"/>
  <c r="F5913" i="1"/>
  <c r="D5913" i="1"/>
  <c r="H5913" i="1" s="1"/>
  <c r="G5912" i="1"/>
  <c r="F5912" i="1"/>
  <c r="D5912" i="1"/>
  <c r="H5912" i="1" s="1"/>
  <c r="G5911" i="1"/>
  <c r="F5911" i="1"/>
  <c r="D5911" i="1"/>
  <c r="H5911" i="1" s="1"/>
  <c r="H5910" i="1"/>
  <c r="G5909" i="1"/>
  <c r="F5909" i="1"/>
  <c r="D5909" i="1"/>
  <c r="H5909" i="1" s="1"/>
  <c r="G5908" i="1"/>
  <c r="F5908" i="1"/>
  <c r="H5908" i="1" s="1"/>
  <c r="D5908" i="1"/>
  <c r="G5907" i="1"/>
  <c r="F5907" i="1"/>
  <c r="H5907" i="1" s="1"/>
  <c r="D5907" i="1"/>
  <c r="G5906" i="1"/>
  <c r="F5906" i="1"/>
  <c r="D5906" i="1"/>
  <c r="H5906" i="1" s="1"/>
  <c r="G5905" i="1"/>
  <c r="F5905" i="1"/>
  <c r="H5905" i="1" s="1"/>
  <c r="D5905" i="1"/>
  <c r="G5904" i="1"/>
  <c r="F5904" i="1"/>
  <c r="D5904" i="1"/>
  <c r="H5904" i="1" s="1"/>
  <c r="G5903" i="1"/>
  <c r="F5903" i="1"/>
  <c r="D5903" i="1"/>
  <c r="H5903" i="1" s="1"/>
  <c r="G5902" i="1"/>
  <c r="F5902" i="1"/>
  <c r="H5902" i="1" s="1"/>
  <c r="D5902" i="1"/>
  <c r="G5901" i="1"/>
  <c r="F5901" i="1"/>
  <c r="D5901" i="1"/>
  <c r="H5901" i="1" s="1"/>
  <c r="G5900" i="1"/>
  <c r="F5900" i="1"/>
  <c r="D5900" i="1"/>
  <c r="H5900" i="1" s="1"/>
  <c r="G5899" i="1"/>
  <c r="F5899" i="1"/>
  <c r="D5899" i="1"/>
  <c r="H5899" i="1" s="1"/>
  <c r="G5898" i="1"/>
  <c r="F5898" i="1"/>
  <c r="D5898" i="1"/>
  <c r="H5898" i="1" s="1"/>
  <c r="G5897" i="1"/>
  <c r="F5897" i="1"/>
  <c r="D5897" i="1"/>
  <c r="H5897" i="1" s="1"/>
  <c r="G5896" i="1"/>
  <c r="F5896" i="1"/>
  <c r="D5896" i="1"/>
  <c r="H5896" i="1" s="1"/>
  <c r="G5895" i="1"/>
  <c r="F5895" i="1"/>
  <c r="D5895" i="1"/>
  <c r="H5895" i="1" s="1"/>
  <c r="G5894" i="1"/>
  <c r="F5894" i="1"/>
  <c r="D5894" i="1"/>
  <c r="H5894" i="1" s="1"/>
  <c r="H5893" i="1"/>
  <c r="G5892" i="1"/>
  <c r="H5892" i="1" s="1"/>
  <c r="F5892" i="1"/>
  <c r="D5892" i="1"/>
  <c r="G5891" i="1"/>
  <c r="F5891" i="1"/>
  <c r="H5891" i="1" s="1"/>
  <c r="D5891" i="1"/>
  <c r="H5890" i="1"/>
  <c r="G5890" i="1"/>
  <c r="F5890" i="1"/>
  <c r="D5890" i="1"/>
  <c r="G5889" i="1"/>
  <c r="H5889" i="1" s="1"/>
  <c r="F5889" i="1"/>
  <c r="D5889" i="1"/>
  <c r="G5888" i="1"/>
  <c r="F5888" i="1"/>
  <c r="H5888" i="1" s="1"/>
  <c r="D5888" i="1"/>
  <c r="H5887" i="1"/>
  <c r="G5887" i="1"/>
  <c r="F5887" i="1"/>
  <c r="D5887" i="1"/>
  <c r="G5886" i="1"/>
  <c r="H5886" i="1" s="1"/>
  <c r="F5886" i="1"/>
  <c r="D5886" i="1"/>
  <c r="G5885" i="1"/>
  <c r="F5885" i="1"/>
  <c r="H5885" i="1" s="1"/>
  <c r="D5885" i="1"/>
  <c r="G5884" i="1"/>
  <c r="F5884" i="1"/>
  <c r="H5884" i="1" s="1"/>
  <c r="D5884" i="1"/>
  <c r="G5883" i="1"/>
  <c r="F5883" i="1"/>
  <c r="D5883" i="1"/>
  <c r="H5883" i="1" s="1"/>
  <c r="H5882" i="1"/>
  <c r="G5881" i="1"/>
  <c r="F5881" i="1"/>
  <c r="D5881" i="1"/>
  <c r="H5881" i="1" s="1"/>
  <c r="G5880" i="1"/>
  <c r="H5880" i="1" s="1"/>
  <c r="F5880" i="1"/>
  <c r="D5880" i="1"/>
  <c r="H5879" i="1"/>
  <c r="G5879" i="1"/>
  <c r="F5879" i="1"/>
  <c r="D5879" i="1"/>
  <c r="G5878" i="1"/>
  <c r="F5878" i="1"/>
  <c r="D5878" i="1"/>
  <c r="H5878" i="1" s="1"/>
  <c r="G5877" i="1"/>
  <c r="H5877" i="1" s="1"/>
  <c r="F5877" i="1"/>
  <c r="D5877" i="1"/>
  <c r="H5876" i="1"/>
  <c r="G5876" i="1"/>
  <c r="F5876" i="1"/>
  <c r="D5876" i="1"/>
  <c r="G5875" i="1"/>
  <c r="F5875" i="1"/>
  <c r="D5875" i="1"/>
  <c r="H5875" i="1" s="1"/>
  <c r="G5874" i="1"/>
  <c r="F5874" i="1"/>
  <c r="D5874" i="1"/>
  <c r="H5874" i="1" s="1"/>
  <c r="H5873" i="1"/>
  <c r="G5873" i="1"/>
  <c r="F5873" i="1"/>
  <c r="D5873" i="1"/>
  <c r="G5872" i="1"/>
  <c r="F5872" i="1"/>
  <c r="D5872" i="1"/>
  <c r="H5872" i="1" s="1"/>
  <c r="G5871" i="1"/>
  <c r="F5871" i="1"/>
  <c r="D5871" i="1"/>
  <c r="H5871" i="1" s="1"/>
  <c r="H5870" i="1"/>
  <c r="G5870" i="1"/>
  <c r="F5870" i="1"/>
  <c r="D5870" i="1"/>
  <c r="G5869" i="1"/>
  <c r="F5869" i="1"/>
  <c r="D5869" i="1"/>
  <c r="H5869" i="1" s="1"/>
  <c r="G5868" i="1"/>
  <c r="F5868" i="1"/>
  <c r="D5868" i="1"/>
  <c r="H5868" i="1" s="1"/>
  <c r="H5867" i="1"/>
  <c r="G5867" i="1"/>
  <c r="F5867" i="1"/>
  <c r="D5867" i="1"/>
  <c r="H5866" i="1"/>
  <c r="G5865" i="1"/>
  <c r="F5865" i="1"/>
  <c r="D5865" i="1"/>
  <c r="H5865" i="1" s="1"/>
  <c r="G5864" i="1"/>
  <c r="F5864" i="1"/>
  <c r="D5864" i="1"/>
  <c r="H5864" i="1" s="1"/>
  <c r="G5863" i="1"/>
  <c r="F5863" i="1"/>
  <c r="H5863" i="1" s="1"/>
  <c r="D5863" i="1"/>
  <c r="G5862" i="1"/>
  <c r="F5862" i="1"/>
  <c r="D5862" i="1"/>
  <c r="H5862" i="1" s="1"/>
  <c r="G5861" i="1"/>
  <c r="F5861" i="1"/>
  <c r="D5861" i="1"/>
  <c r="H5861" i="1" s="1"/>
  <c r="G5860" i="1"/>
  <c r="F5860" i="1"/>
  <c r="H5860" i="1" s="1"/>
  <c r="D5860" i="1"/>
  <c r="G5859" i="1"/>
  <c r="F5859" i="1"/>
  <c r="D5859" i="1"/>
  <c r="H5859" i="1" s="1"/>
  <c r="G5858" i="1"/>
  <c r="F5858" i="1"/>
  <c r="D5858" i="1"/>
  <c r="H5858" i="1" s="1"/>
  <c r="G5857" i="1"/>
  <c r="F5857" i="1"/>
  <c r="D5857" i="1"/>
  <c r="H5857" i="1" s="1"/>
  <c r="G5856" i="1"/>
  <c r="F5856" i="1"/>
  <c r="D5856" i="1"/>
  <c r="H5856" i="1" s="1"/>
  <c r="H5855" i="1"/>
  <c r="G5854" i="1"/>
  <c r="F5854" i="1"/>
  <c r="H5854" i="1" s="1"/>
  <c r="D5854" i="1"/>
  <c r="G5853" i="1"/>
  <c r="F5853" i="1"/>
  <c r="D5853" i="1"/>
  <c r="H5853" i="1" s="1"/>
  <c r="G5852" i="1"/>
  <c r="F5852" i="1"/>
  <c r="D5852" i="1"/>
  <c r="H5852" i="1" s="1"/>
  <c r="G5851" i="1"/>
  <c r="F5851" i="1"/>
  <c r="D5851" i="1"/>
  <c r="H5851" i="1" s="1"/>
  <c r="G5850" i="1"/>
  <c r="F5850" i="1"/>
  <c r="D5850" i="1"/>
  <c r="H5850" i="1" s="1"/>
  <c r="G5849" i="1"/>
  <c r="F5849" i="1"/>
  <c r="D5849" i="1"/>
  <c r="H5849" i="1" s="1"/>
  <c r="G5848" i="1"/>
  <c r="F5848" i="1"/>
  <c r="D5848" i="1"/>
  <c r="H5848" i="1" s="1"/>
  <c r="G5847" i="1"/>
  <c r="F5847" i="1"/>
  <c r="D5847" i="1"/>
  <c r="H5847" i="1" s="1"/>
  <c r="G5846" i="1"/>
  <c r="F5846" i="1"/>
  <c r="D5846" i="1"/>
  <c r="H5846" i="1" s="1"/>
  <c r="H5845" i="1"/>
  <c r="G5844" i="1"/>
  <c r="H5844" i="1" s="1"/>
  <c r="F5844" i="1"/>
  <c r="D5844" i="1"/>
  <c r="G5843" i="1"/>
  <c r="F5843" i="1"/>
  <c r="H5843" i="1" s="1"/>
  <c r="D5843" i="1"/>
  <c r="H5842" i="1"/>
  <c r="G5842" i="1"/>
  <c r="F5842" i="1"/>
  <c r="D5842" i="1"/>
  <c r="G5841" i="1"/>
  <c r="H5841" i="1" s="1"/>
  <c r="F5841" i="1"/>
  <c r="D5841" i="1"/>
  <c r="G5840" i="1"/>
  <c r="F5840" i="1"/>
  <c r="H5840" i="1" s="1"/>
  <c r="D5840" i="1"/>
  <c r="H5839" i="1"/>
  <c r="G5839" i="1"/>
  <c r="F5839" i="1"/>
  <c r="D5839" i="1"/>
  <c r="G5838" i="1"/>
  <c r="H5838" i="1" s="1"/>
  <c r="F5838" i="1"/>
  <c r="D5838" i="1"/>
  <c r="G5837" i="1"/>
  <c r="F5837" i="1"/>
  <c r="H5837" i="1" s="1"/>
  <c r="D5837" i="1"/>
  <c r="H5836" i="1"/>
  <c r="G5836" i="1"/>
  <c r="F5836" i="1"/>
  <c r="D5836" i="1"/>
  <c r="G5835" i="1"/>
  <c r="F5835" i="1"/>
  <c r="D5835" i="1"/>
  <c r="H5835" i="1" s="1"/>
  <c r="H5834" i="1"/>
  <c r="G5833" i="1"/>
  <c r="F5833" i="1"/>
  <c r="D5833" i="1"/>
  <c r="H5833" i="1" s="1"/>
  <c r="G5832" i="1"/>
  <c r="H5832" i="1" s="1"/>
  <c r="F5832" i="1"/>
  <c r="D5832" i="1"/>
  <c r="H5831" i="1"/>
  <c r="G5831" i="1"/>
  <c r="F5831" i="1"/>
  <c r="D5831" i="1"/>
  <c r="G5830" i="1"/>
  <c r="F5830" i="1"/>
  <c r="D5830" i="1"/>
  <c r="H5830" i="1" s="1"/>
  <c r="G5829" i="1"/>
  <c r="F5829" i="1"/>
  <c r="D5829" i="1"/>
  <c r="H5829" i="1" s="1"/>
  <c r="H5828" i="1"/>
  <c r="G5828" i="1"/>
  <c r="F5828" i="1"/>
  <c r="D5828" i="1"/>
  <c r="G5827" i="1"/>
  <c r="F5827" i="1"/>
  <c r="D5827" i="1"/>
  <c r="H5827" i="1" s="1"/>
  <c r="G5826" i="1"/>
  <c r="F5826" i="1"/>
  <c r="D5826" i="1"/>
  <c r="H5826" i="1" s="1"/>
  <c r="H5825" i="1"/>
  <c r="G5825" i="1"/>
  <c r="F5825" i="1"/>
  <c r="D5825" i="1"/>
  <c r="G5824" i="1"/>
  <c r="F5824" i="1"/>
  <c r="D5824" i="1"/>
  <c r="H5824" i="1" s="1"/>
  <c r="G5823" i="1"/>
  <c r="F5823" i="1"/>
  <c r="D5823" i="1"/>
  <c r="H5823" i="1" s="1"/>
  <c r="H5822" i="1"/>
  <c r="G5822" i="1"/>
  <c r="F5822" i="1"/>
  <c r="D5822" i="1"/>
  <c r="G5821" i="1"/>
  <c r="F5821" i="1"/>
  <c r="D5821" i="1"/>
  <c r="H5821" i="1" s="1"/>
  <c r="G5820" i="1"/>
  <c r="F5820" i="1"/>
  <c r="D5820" i="1"/>
  <c r="H5820" i="1" s="1"/>
  <c r="H5819" i="1"/>
  <c r="G5819" i="1"/>
  <c r="F5819" i="1"/>
  <c r="D5819" i="1"/>
  <c r="G5818" i="1"/>
  <c r="F5818" i="1"/>
  <c r="D5818" i="1"/>
  <c r="H5818" i="1" s="1"/>
  <c r="H5817" i="1"/>
  <c r="G5816" i="1"/>
  <c r="F5816" i="1"/>
  <c r="D5816" i="1"/>
  <c r="H5816" i="1" s="1"/>
  <c r="G5815" i="1"/>
  <c r="F5815" i="1"/>
  <c r="H5815" i="1" s="1"/>
  <c r="D5815" i="1"/>
  <c r="G5814" i="1"/>
  <c r="F5814" i="1"/>
  <c r="D5814" i="1"/>
  <c r="H5814" i="1" s="1"/>
  <c r="G5813" i="1"/>
  <c r="F5813" i="1"/>
  <c r="D5813" i="1"/>
  <c r="H5813" i="1" s="1"/>
  <c r="G5812" i="1"/>
  <c r="F5812" i="1"/>
  <c r="H5812" i="1" s="1"/>
  <c r="D5812" i="1"/>
  <c r="G5811" i="1"/>
  <c r="F5811" i="1"/>
  <c r="D5811" i="1"/>
  <c r="H5811" i="1" s="1"/>
  <c r="G5810" i="1"/>
  <c r="F5810" i="1"/>
  <c r="D5810" i="1"/>
  <c r="H5810" i="1" s="1"/>
  <c r="G5809" i="1"/>
  <c r="F5809" i="1"/>
  <c r="H5809" i="1" s="1"/>
  <c r="D5809" i="1"/>
  <c r="G5808" i="1"/>
  <c r="F5808" i="1"/>
  <c r="D5808" i="1"/>
  <c r="H5808" i="1" s="1"/>
  <c r="G5807" i="1"/>
  <c r="F5807" i="1"/>
  <c r="D5807" i="1"/>
  <c r="H5807" i="1" s="1"/>
  <c r="H5806" i="1"/>
  <c r="G5805" i="1"/>
  <c r="H5805" i="1" s="1"/>
  <c r="F5805" i="1"/>
  <c r="D5805" i="1"/>
  <c r="G5804" i="1"/>
  <c r="F5804" i="1"/>
  <c r="D5804" i="1"/>
  <c r="H5804" i="1" s="1"/>
  <c r="G5803" i="1"/>
  <c r="F5803" i="1"/>
  <c r="H5803" i="1" s="1"/>
  <c r="D5803" i="1"/>
  <c r="G5802" i="1"/>
  <c r="F5802" i="1"/>
  <c r="D5802" i="1"/>
  <c r="H5802" i="1" s="1"/>
  <c r="G5801" i="1"/>
  <c r="F5801" i="1"/>
  <c r="D5801" i="1"/>
  <c r="H5801" i="1" s="1"/>
  <c r="G5800" i="1"/>
  <c r="F5800" i="1"/>
  <c r="D5800" i="1"/>
  <c r="H5800" i="1" s="1"/>
  <c r="G5799" i="1"/>
  <c r="F5799" i="1"/>
  <c r="D5799" i="1"/>
  <c r="H5799" i="1" s="1"/>
  <c r="G5798" i="1"/>
  <c r="F5798" i="1"/>
  <c r="D5798" i="1"/>
  <c r="H5798" i="1" s="1"/>
  <c r="G5797" i="1"/>
  <c r="F5797" i="1"/>
  <c r="D5797" i="1"/>
  <c r="H5797" i="1" s="1"/>
  <c r="G5796" i="1"/>
  <c r="F5796" i="1"/>
  <c r="D5796" i="1"/>
  <c r="H5796" i="1" s="1"/>
  <c r="G5795" i="1"/>
  <c r="F5795" i="1"/>
  <c r="D5795" i="1"/>
  <c r="H5795" i="1" s="1"/>
  <c r="G5794" i="1"/>
  <c r="F5794" i="1"/>
  <c r="D5794" i="1"/>
  <c r="H5794" i="1" s="1"/>
  <c r="G5793" i="1"/>
  <c r="F5793" i="1"/>
  <c r="D5793" i="1"/>
  <c r="H5793" i="1" s="1"/>
  <c r="G5792" i="1"/>
  <c r="F5792" i="1"/>
  <c r="D5792" i="1"/>
  <c r="H5792" i="1" s="1"/>
  <c r="G5791" i="1"/>
  <c r="F5791" i="1"/>
  <c r="D5791" i="1"/>
  <c r="H5791" i="1" s="1"/>
  <c r="H5790" i="1"/>
  <c r="G5789" i="1"/>
  <c r="F5789" i="1"/>
  <c r="H5789" i="1" s="1"/>
  <c r="D5789" i="1"/>
  <c r="H5788" i="1"/>
  <c r="G5788" i="1"/>
  <c r="F5788" i="1"/>
  <c r="D5788" i="1"/>
  <c r="G5787" i="1"/>
  <c r="H5787" i="1" s="1"/>
  <c r="F5787" i="1"/>
  <c r="D5787" i="1"/>
  <c r="G5786" i="1"/>
  <c r="F5786" i="1"/>
  <c r="H5786" i="1" s="1"/>
  <c r="D5786" i="1"/>
  <c r="H5785" i="1"/>
  <c r="G5785" i="1"/>
  <c r="F5785" i="1"/>
  <c r="D5785" i="1"/>
  <c r="H5784" i="1"/>
  <c r="H5783" i="1"/>
  <c r="G5783" i="1"/>
  <c r="F5783" i="1"/>
  <c r="D5783" i="1"/>
  <c r="G5782" i="1"/>
  <c r="F5782" i="1"/>
  <c r="D5782" i="1"/>
  <c r="H5782" i="1" s="1"/>
  <c r="G5781" i="1"/>
  <c r="F5781" i="1"/>
  <c r="D5781" i="1"/>
  <c r="H5781" i="1" s="1"/>
  <c r="H5780" i="1"/>
  <c r="G5780" i="1"/>
  <c r="F5780" i="1"/>
  <c r="D5780" i="1"/>
  <c r="G5779" i="1"/>
  <c r="F5779" i="1"/>
  <c r="D5779" i="1"/>
  <c r="H5779" i="1" s="1"/>
  <c r="G5778" i="1"/>
  <c r="F5778" i="1"/>
  <c r="D5778" i="1"/>
  <c r="H5778" i="1" s="1"/>
  <c r="H5777" i="1"/>
  <c r="G5777" i="1"/>
  <c r="F5777" i="1"/>
  <c r="D5777" i="1"/>
  <c r="G5776" i="1"/>
  <c r="F5776" i="1"/>
  <c r="D5776" i="1"/>
  <c r="H5776" i="1" s="1"/>
  <c r="G5775" i="1"/>
  <c r="F5775" i="1"/>
  <c r="D5775" i="1"/>
  <c r="H5775" i="1" s="1"/>
  <c r="G5774" i="1"/>
  <c r="F5774" i="1"/>
  <c r="D5774" i="1"/>
  <c r="H5774" i="1" s="1"/>
  <c r="H5773" i="1"/>
  <c r="G5772" i="1"/>
  <c r="F5772" i="1"/>
  <c r="H5772" i="1" s="1"/>
  <c r="D5772" i="1"/>
  <c r="G5771" i="1"/>
  <c r="F5771" i="1"/>
  <c r="H5771" i="1" s="1"/>
  <c r="D5771" i="1"/>
  <c r="G5770" i="1"/>
  <c r="F5770" i="1"/>
  <c r="H5770" i="1" s="1"/>
  <c r="D5770" i="1"/>
  <c r="G5769" i="1"/>
  <c r="F5769" i="1"/>
  <c r="H5769" i="1" s="1"/>
  <c r="D5769" i="1"/>
  <c r="G5768" i="1"/>
  <c r="F5768" i="1"/>
  <c r="D5768" i="1"/>
  <c r="H5768" i="1" s="1"/>
  <c r="G5767" i="1"/>
  <c r="F5767" i="1"/>
  <c r="H5767" i="1" s="1"/>
  <c r="D5767" i="1"/>
  <c r="G5766" i="1"/>
  <c r="F5766" i="1"/>
  <c r="D5766" i="1"/>
  <c r="H5766" i="1" s="1"/>
  <c r="G5765" i="1"/>
  <c r="F5765" i="1"/>
  <c r="D5765" i="1"/>
  <c r="H5765" i="1" s="1"/>
  <c r="G5764" i="1"/>
  <c r="F5764" i="1"/>
  <c r="H5764" i="1" s="1"/>
  <c r="D5764" i="1"/>
  <c r="G5763" i="1"/>
  <c r="F5763" i="1"/>
  <c r="D5763" i="1"/>
  <c r="H5763" i="1" s="1"/>
  <c r="H5762" i="1"/>
  <c r="G5761" i="1"/>
  <c r="F5761" i="1"/>
  <c r="D5761" i="1"/>
  <c r="H5761" i="1" s="1"/>
  <c r="G5760" i="1"/>
  <c r="F5760" i="1"/>
  <c r="D5760" i="1"/>
  <c r="H5760" i="1" s="1"/>
  <c r="G5759" i="1"/>
  <c r="F5759" i="1"/>
  <c r="D5759" i="1"/>
  <c r="H5759" i="1" s="1"/>
  <c r="G5758" i="1"/>
  <c r="F5758" i="1"/>
  <c r="D5758" i="1"/>
  <c r="H5758" i="1" s="1"/>
  <c r="G5757" i="1"/>
  <c r="F5757" i="1"/>
  <c r="D5757" i="1"/>
  <c r="H5757" i="1" s="1"/>
  <c r="G5756" i="1"/>
  <c r="F5756" i="1"/>
  <c r="D5756" i="1"/>
  <c r="H5756" i="1" s="1"/>
  <c r="G5755" i="1"/>
  <c r="F5755" i="1"/>
  <c r="D5755" i="1"/>
  <c r="H5755" i="1" s="1"/>
  <c r="G5754" i="1"/>
  <c r="F5754" i="1"/>
  <c r="D5754" i="1"/>
  <c r="H5754" i="1" s="1"/>
  <c r="G5753" i="1"/>
  <c r="F5753" i="1"/>
  <c r="D5753" i="1"/>
  <c r="H5753" i="1" s="1"/>
  <c r="G5752" i="1"/>
  <c r="F5752" i="1"/>
  <c r="D5752" i="1"/>
  <c r="H5752" i="1" s="1"/>
  <c r="H5751" i="1"/>
  <c r="G5750" i="1"/>
  <c r="F5750" i="1"/>
  <c r="H5750" i="1" s="1"/>
  <c r="D5750" i="1"/>
  <c r="H5749" i="1"/>
  <c r="G5749" i="1"/>
  <c r="F5749" i="1"/>
  <c r="D5749" i="1"/>
  <c r="H5748" i="1"/>
  <c r="G5748" i="1"/>
  <c r="F5748" i="1"/>
  <c r="D5748" i="1"/>
  <c r="G5747" i="1"/>
  <c r="F5747" i="1"/>
  <c r="H5747" i="1" s="1"/>
  <c r="D5747" i="1"/>
  <c r="H5746" i="1"/>
  <c r="G5746" i="1"/>
  <c r="F5746" i="1"/>
  <c r="D5746" i="1"/>
  <c r="G5745" i="1"/>
  <c r="H5745" i="1" s="1"/>
  <c r="F5745" i="1"/>
  <c r="D5745" i="1"/>
  <c r="G5744" i="1"/>
  <c r="F5744" i="1"/>
  <c r="H5744" i="1" s="1"/>
  <c r="D5744" i="1"/>
  <c r="H5743" i="1"/>
  <c r="G5743" i="1"/>
  <c r="F5743" i="1"/>
  <c r="D5743" i="1"/>
  <c r="G5742" i="1"/>
  <c r="H5742" i="1" s="1"/>
  <c r="F5742" i="1"/>
  <c r="D5742" i="1"/>
  <c r="G5741" i="1"/>
  <c r="F5741" i="1"/>
  <c r="H5741" i="1" s="1"/>
  <c r="D5741" i="1"/>
  <c r="H5740" i="1"/>
  <c r="G5739" i="1"/>
  <c r="F5739" i="1"/>
  <c r="D5739" i="1"/>
  <c r="H5739" i="1" s="1"/>
  <c r="H5738" i="1"/>
  <c r="G5738" i="1"/>
  <c r="F5738" i="1"/>
  <c r="D5738" i="1"/>
  <c r="G5737" i="1"/>
  <c r="F5737" i="1"/>
  <c r="D5737" i="1"/>
  <c r="H5737" i="1" s="1"/>
  <c r="G5736" i="1"/>
  <c r="F5736" i="1"/>
  <c r="D5736" i="1"/>
  <c r="H5736" i="1" s="1"/>
  <c r="H5735" i="1"/>
  <c r="G5735" i="1"/>
  <c r="F5735" i="1"/>
  <c r="D5735" i="1"/>
  <c r="G5734" i="1"/>
  <c r="F5734" i="1"/>
  <c r="D5734" i="1"/>
  <c r="H5734" i="1" s="1"/>
  <c r="G5733" i="1"/>
  <c r="F5733" i="1"/>
  <c r="D5733" i="1"/>
  <c r="H5733" i="1" s="1"/>
  <c r="G5732" i="1"/>
  <c r="F5732" i="1"/>
  <c r="D5732" i="1"/>
  <c r="H5732" i="1" s="1"/>
  <c r="G5731" i="1"/>
  <c r="F5731" i="1"/>
  <c r="D5731" i="1"/>
  <c r="H5731" i="1" s="1"/>
  <c r="G5730" i="1"/>
  <c r="F5730" i="1"/>
  <c r="D5730" i="1"/>
  <c r="H5730" i="1" s="1"/>
  <c r="H5729" i="1"/>
  <c r="G5728" i="1"/>
  <c r="F5728" i="1"/>
  <c r="H5728" i="1" s="1"/>
  <c r="D5728" i="1"/>
  <c r="G5727" i="1"/>
  <c r="F5727" i="1"/>
  <c r="H5727" i="1" s="1"/>
  <c r="D5727" i="1"/>
  <c r="G5726" i="1"/>
  <c r="F5726" i="1"/>
  <c r="H5726" i="1" s="1"/>
  <c r="D5726" i="1"/>
  <c r="G5725" i="1"/>
  <c r="F5725" i="1"/>
  <c r="H5725" i="1" s="1"/>
  <c r="D5725" i="1"/>
  <c r="G5724" i="1"/>
  <c r="F5724" i="1"/>
  <c r="H5724" i="1" s="1"/>
  <c r="D5724" i="1"/>
  <c r="G5723" i="1"/>
  <c r="F5723" i="1"/>
  <c r="D5723" i="1"/>
  <c r="H5723" i="1" s="1"/>
  <c r="G5722" i="1"/>
  <c r="F5722" i="1"/>
  <c r="H5722" i="1" s="1"/>
  <c r="D5722" i="1"/>
  <c r="G5721" i="1"/>
  <c r="F5721" i="1"/>
  <c r="D5721" i="1"/>
  <c r="H5721" i="1" s="1"/>
  <c r="G5720" i="1"/>
  <c r="F5720" i="1"/>
  <c r="D5720" i="1"/>
  <c r="H5720" i="1" s="1"/>
  <c r="G5719" i="1"/>
  <c r="F5719" i="1"/>
  <c r="H5719" i="1" s="1"/>
  <c r="D5719" i="1"/>
  <c r="H5718" i="1"/>
  <c r="G5717" i="1"/>
  <c r="F5717" i="1"/>
  <c r="D5717" i="1"/>
  <c r="H5717" i="1" s="1"/>
  <c r="G5716" i="1"/>
  <c r="F5716" i="1"/>
  <c r="D5716" i="1"/>
  <c r="H5716" i="1" s="1"/>
  <c r="G5715" i="1"/>
  <c r="F5715" i="1"/>
  <c r="D5715" i="1"/>
  <c r="H5715" i="1" s="1"/>
  <c r="G5714" i="1"/>
  <c r="F5714" i="1"/>
  <c r="D5714" i="1"/>
  <c r="H5714" i="1" s="1"/>
  <c r="G5713" i="1"/>
  <c r="F5713" i="1"/>
  <c r="D5713" i="1"/>
  <c r="H5713" i="1" s="1"/>
  <c r="G5712" i="1"/>
  <c r="F5712" i="1"/>
  <c r="D5712" i="1"/>
  <c r="H5712" i="1" s="1"/>
  <c r="G5711" i="1"/>
  <c r="F5711" i="1"/>
  <c r="D5711" i="1"/>
  <c r="H5711" i="1" s="1"/>
  <c r="G5710" i="1"/>
  <c r="F5710" i="1"/>
  <c r="D5710" i="1"/>
  <c r="H5710" i="1" s="1"/>
  <c r="G5709" i="1"/>
  <c r="F5709" i="1"/>
  <c r="D5709" i="1"/>
  <c r="H5709" i="1" s="1"/>
  <c r="H5708" i="1"/>
  <c r="H5707" i="1"/>
  <c r="G5707" i="1"/>
  <c r="F5707" i="1"/>
  <c r="D5707" i="1"/>
  <c r="H5706" i="1"/>
  <c r="G5706" i="1"/>
  <c r="F5706" i="1"/>
  <c r="D5706" i="1"/>
  <c r="G5705" i="1"/>
  <c r="F5705" i="1"/>
  <c r="H5705" i="1" s="1"/>
  <c r="D5705" i="1"/>
  <c r="H5704" i="1"/>
  <c r="G5704" i="1"/>
  <c r="F5704" i="1"/>
  <c r="D5704" i="1"/>
  <c r="H5703" i="1"/>
  <c r="G5703" i="1"/>
  <c r="F5703" i="1"/>
  <c r="D5703" i="1"/>
  <c r="G5702" i="1"/>
  <c r="F5702" i="1"/>
  <c r="H5702" i="1" s="1"/>
  <c r="D5702" i="1"/>
  <c r="H5701" i="1"/>
  <c r="G5701" i="1"/>
  <c r="F5701" i="1"/>
  <c r="D5701" i="1"/>
  <c r="H5700" i="1"/>
  <c r="G5700" i="1"/>
  <c r="F5700" i="1"/>
  <c r="D5700" i="1"/>
  <c r="G5699" i="1"/>
  <c r="F5699" i="1"/>
  <c r="H5699" i="1" s="1"/>
  <c r="D5699" i="1"/>
  <c r="H5698" i="1"/>
  <c r="G5698" i="1"/>
  <c r="F5698" i="1"/>
  <c r="D5698" i="1"/>
  <c r="H5697" i="1"/>
  <c r="H5696" i="1"/>
  <c r="G5696" i="1"/>
  <c r="F5696" i="1"/>
  <c r="D5696" i="1"/>
  <c r="G5695" i="1"/>
  <c r="F5695" i="1"/>
  <c r="D5695" i="1"/>
  <c r="H5695" i="1" s="1"/>
  <c r="G5694" i="1"/>
  <c r="F5694" i="1"/>
  <c r="D5694" i="1"/>
  <c r="H5694" i="1" s="1"/>
  <c r="H5693" i="1"/>
  <c r="G5693" i="1"/>
  <c r="F5693" i="1"/>
  <c r="D5693" i="1"/>
  <c r="G5692" i="1"/>
  <c r="F5692" i="1"/>
  <c r="D5692" i="1"/>
  <c r="H5692" i="1" s="1"/>
  <c r="G5691" i="1"/>
  <c r="F5691" i="1"/>
  <c r="D5691" i="1"/>
  <c r="H5691" i="1" s="1"/>
  <c r="G5690" i="1"/>
  <c r="F5690" i="1"/>
  <c r="D5690" i="1"/>
  <c r="H5690" i="1" s="1"/>
  <c r="G5689" i="1"/>
  <c r="F5689" i="1"/>
  <c r="D5689" i="1"/>
  <c r="H5689" i="1" s="1"/>
  <c r="G5688" i="1"/>
  <c r="F5688" i="1"/>
  <c r="D5688" i="1"/>
  <c r="H5688" i="1" s="1"/>
  <c r="G5687" i="1"/>
  <c r="F5687" i="1"/>
  <c r="D5687" i="1"/>
  <c r="H5687" i="1" s="1"/>
  <c r="H5686" i="1"/>
  <c r="G5685" i="1"/>
  <c r="F5685" i="1"/>
  <c r="H5685" i="1" s="1"/>
  <c r="D5685" i="1"/>
  <c r="G5684" i="1"/>
  <c r="F5684" i="1"/>
  <c r="H5684" i="1" s="1"/>
  <c r="D5684" i="1"/>
  <c r="G5683" i="1"/>
  <c r="F5683" i="1"/>
  <c r="H5683" i="1" s="1"/>
  <c r="D5683" i="1"/>
  <c r="G5682" i="1"/>
  <c r="F5682" i="1"/>
  <c r="D5682" i="1"/>
  <c r="H5682" i="1" s="1"/>
  <c r="G5681" i="1"/>
  <c r="F5681" i="1"/>
  <c r="D5681" i="1"/>
  <c r="H5681" i="1" s="1"/>
  <c r="H5680" i="1"/>
  <c r="G5679" i="1"/>
  <c r="F5679" i="1"/>
  <c r="D5679" i="1"/>
  <c r="H5679" i="1" s="1"/>
  <c r="G5678" i="1"/>
  <c r="F5678" i="1"/>
  <c r="D5678" i="1"/>
  <c r="H5678" i="1" s="1"/>
  <c r="G5677" i="1"/>
  <c r="F5677" i="1"/>
  <c r="D5677" i="1"/>
  <c r="H5677" i="1" s="1"/>
  <c r="G5676" i="1"/>
  <c r="F5676" i="1"/>
  <c r="D5676" i="1"/>
  <c r="H5676" i="1" s="1"/>
  <c r="G5675" i="1"/>
  <c r="F5675" i="1"/>
  <c r="D5675" i="1"/>
  <c r="H5675" i="1" s="1"/>
  <c r="G5674" i="1"/>
  <c r="F5674" i="1"/>
  <c r="D5674" i="1"/>
  <c r="H5674" i="1" s="1"/>
  <c r="G5673" i="1"/>
  <c r="F5673" i="1"/>
  <c r="D5673" i="1"/>
  <c r="H5673" i="1" s="1"/>
  <c r="G5672" i="1"/>
  <c r="F5672" i="1"/>
  <c r="D5672" i="1"/>
  <c r="H5672" i="1" s="1"/>
  <c r="G5671" i="1"/>
  <c r="F5671" i="1"/>
  <c r="D5671" i="1"/>
  <c r="H5671" i="1" s="1"/>
  <c r="G5670" i="1"/>
  <c r="F5670" i="1"/>
  <c r="D5670" i="1"/>
  <c r="H5670" i="1" s="1"/>
  <c r="G5669" i="1"/>
  <c r="F5669" i="1"/>
  <c r="D5669" i="1"/>
  <c r="H5669" i="1" s="1"/>
  <c r="G5668" i="1"/>
  <c r="F5668" i="1"/>
  <c r="D5668" i="1"/>
  <c r="H5668" i="1" s="1"/>
  <c r="G5667" i="1"/>
  <c r="F5667" i="1"/>
  <c r="D5667" i="1"/>
  <c r="H5667" i="1" s="1"/>
  <c r="G5666" i="1"/>
  <c r="F5666" i="1"/>
  <c r="D5666" i="1"/>
  <c r="H5666" i="1" s="1"/>
  <c r="G5665" i="1"/>
  <c r="F5665" i="1"/>
  <c r="D5665" i="1"/>
  <c r="H5665" i="1" s="1"/>
  <c r="H5664" i="1"/>
  <c r="G5663" i="1"/>
  <c r="F5663" i="1"/>
  <c r="H5663" i="1" s="1"/>
  <c r="D5663" i="1"/>
  <c r="H5662" i="1"/>
  <c r="G5662" i="1"/>
  <c r="F5662" i="1"/>
  <c r="D5662" i="1"/>
  <c r="H5661" i="1"/>
  <c r="G5661" i="1"/>
  <c r="F5661" i="1"/>
  <c r="D5661" i="1"/>
  <c r="G5660" i="1"/>
  <c r="F5660" i="1"/>
  <c r="H5660" i="1" s="1"/>
  <c r="D5660" i="1"/>
  <c r="H5659" i="1"/>
  <c r="G5659" i="1"/>
  <c r="F5659" i="1"/>
  <c r="D5659" i="1"/>
  <c r="H5658" i="1"/>
  <c r="G5658" i="1"/>
  <c r="F5658" i="1"/>
  <c r="D5658" i="1"/>
  <c r="G5657" i="1"/>
  <c r="F5657" i="1"/>
  <c r="H5657" i="1" s="1"/>
  <c r="D5657" i="1"/>
  <c r="H5656" i="1"/>
  <c r="G5656" i="1"/>
  <c r="F5656" i="1"/>
  <c r="D5656" i="1"/>
  <c r="H5655" i="1"/>
  <c r="G5655" i="1"/>
  <c r="F5655" i="1"/>
  <c r="D5655" i="1"/>
  <c r="G5654" i="1"/>
  <c r="F5654" i="1"/>
  <c r="H5654" i="1" s="1"/>
  <c r="D5654" i="1"/>
  <c r="H5653" i="1"/>
  <c r="G5652" i="1"/>
  <c r="F5652" i="1"/>
  <c r="D5652" i="1"/>
  <c r="H5652" i="1" s="1"/>
  <c r="G5651" i="1"/>
  <c r="H5651" i="1" s="1"/>
  <c r="F5651" i="1"/>
  <c r="D5651" i="1"/>
  <c r="G5650" i="1"/>
  <c r="F5650" i="1"/>
  <c r="D5650" i="1"/>
  <c r="H5650" i="1" s="1"/>
  <c r="G5649" i="1"/>
  <c r="F5649" i="1"/>
  <c r="D5649" i="1"/>
  <c r="H5649" i="1" s="1"/>
  <c r="G5648" i="1"/>
  <c r="F5648" i="1"/>
  <c r="D5648" i="1"/>
  <c r="H5648" i="1" s="1"/>
  <c r="G5647" i="1"/>
  <c r="F5647" i="1"/>
  <c r="D5647" i="1"/>
  <c r="H5647" i="1" s="1"/>
  <c r="G5646" i="1"/>
  <c r="F5646" i="1"/>
  <c r="D5646" i="1"/>
  <c r="H5646" i="1" s="1"/>
  <c r="G5645" i="1"/>
  <c r="F5645" i="1"/>
  <c r="D5645" i="1"/>
  <c r="H5645" i="1" s="1"/>
  <c r="G5644" i="1"/>
  <c r="F5644" i="1"/>
  <c r="D5644" i="1"/>
  <c r="H5644" i="1" s="1"/>
  <c r="G5643" i="1"/>
  <c r="F5643" i="1"/>
  <c r="D5643" i="1"/>
  <c r="H5643" i="1" s="1"/>
  <c r="G5642" i="1"/>
  <c r="F5642" i="1"/>
  <c r="D5642" i="1"/>
  <c r="H5642" i="1" s="1"/>
  <c r="G5641" i="1"/>
  <c r="F5641" i="1"/>
  <c r="D5641" i="1"/>
  <c r="H5641" i="1" s="1"/>
  <c r="G5640" i="1"/>
  <c r="F5640" i="1"/>
  <c r="D5640" i="1"/>
  <c r="H5640" i="1" s="1"/>
  <c r="G5639" i="1"/>
  <c r="F5639" i="1"/>
  <c r="D5639" i="1"/>
  <c r="H5639" i="1" s="1"/>
  <c r="G5638" i="1"/>
  <c r="F5638" i="1"/>
  <c r="D5638" i="1"/>
  <c r="H5638" i="1" s="1"/>
  <c r="H5637" i="1"/>
  <c r="G5636" i="1"/>
  <c r="F5636" i="1"/>
  <c r="H5636" i="1" s="1"/>
  <c r="D5636" i="1"/>
  <c r="G5635" i="1"/>
  <c r="F5635" i="1"/>
  <c r="H5635" i="1" s="1"/>
  <c r="D5635" i="1"/>
  <c r="G5634" i="1"/>
  <c r="F5634" i="1"/>
  <c r="H5634" i="1" s="1"/>
  <c r="D5634" i="1"/>
  <c r="G5633" i="1"/>
  <c r="F5633" i="1"/>
  <c r="H5633" i="1" s="1"/>
  <c r="D5633" i="1"/>
  <c r="G5632" i="1"/>
  <c r="F5632" i="1"/>
  <c r="H5632" i="1" s="1"/>
  <c r="D5632" i="1"/>
  <c r="G5631" i="1"/>
  <c r="F5631" i="1"/>
  <c r="H5631" i="1" s="1"/>
  <c r="D5631" i="1"/>
  <c r="G5630" i="1"/>
  <c r="F5630" i="1"/>
  <c r="H5630" i="1" s="1"/>
  <c r="D5630" i="1"/>
  <c r="G5629" i="1"/>
  <c r="F5629" i="1"/>
  <c r="H5629" i="1" s="1"/>
  <c r="D5629" i="1"/>
  <c r="G5628" i="1"/>
  <c r="F5628" i="1"/>
  <c r="H5628" i="1" s="1"/>
  <c r="D5628" i="1"/>
  <c r="G5627" i="1"/>
  <c r="F5627" i="1"/>
  <c r="H5627" i="1" s="1"/>
  <c r="D5627" i="1"/>
  <c r="H5626" i="1"/>
  <c r="G5625" i="1"/>
  <c r="F5625" i="1"/>
  <c r="D5625" i="1"/>
  <c r="H5625" i="1" s="1"/>
  <c r="G5624" i="1"/>
  <c r="F5624" i="1"/>
  <c r="D5624" i="1"/>
  <c r="H5624" i="1" s="1"/>
  <c r="G5623" i="1"/>
  <c r="F5623" i="1"/>
  <c r="D5623" i="1"/>
  <c r="H5623" i="1" s="1"/>
  <c r="G5622" i="1"/>
  <c r="F5622" i="1"/>
  <c r="D5622" i="1"/>
  <c r="H5622" i="1" s="1"/>
  <c r="G5621" i="1"/>
  <c r="F5621" i="1"/>
  <c r="D5621" i="1"/>
  <c r="H5621" i="1" s="1"/>
  <c r="G5620" i="1"/>
  <c r="F5620" i="1"/>
  <c r="D5620" i="1"/>
  <c r="H5620" i="1" s="1"/>
  <c r="G5619" i="1"/>
  <c r="F5619" i="1"/>
  <c r="D5619" i="1"/>
  <c r="H5619" i="1" s="1"/>
  <c r="G5618" i="1"/>
  <c r="F5618" i="1"/>
  <c r="D5618" i="1"/>
  <c r="H5618" i="1" s="1"/>
  <c r="G5617" i="1"/>
  <c r="F5617" i="1"/>
  <c r="D5617" i="1"/>
  <c r="H5617" i="1" s="1"/>
  <c r="G5616" i="1"/>
  <c r="F5616" i="1"/>
  <c r="D5616" i="1"/>
  <c r="H5616" i="1" s="1"/>
  <c r="H5615" i="1"/>
  <c r="H5614" i="1"/>
  <c r="G5614" i="1"/>
  <c r="F5614" i="1"/>
  <c r="D5614" i="1"/>
  <c r="H5613" i="1"/>
  <c r="G5613" i="1"/>
  <c r="F5613" i="1"/>
  <c r="D5613" i="1"/>
  <c r="G5612" i="1"/>
  <c r="F5612" i="1"/>
  <c r="H5612" i="1" s="1"/>
  <c r="D5612" i="1"/>
  <c r="H5611" i="1"/>
  <c r="G5611" i="1"/>
  <c r="F5611" i="1"/>
  <c r="D5611" i="1"/>
  <c r="H5610" i="1"/>
  <c r="G5610" i="1"/>
  <c r="F5610" i="1"/>
  <c r="D5610" i="1"/>
  <c r="G5609" i="1"/>
  <c r="F5609" i="1"/>
  <c r="H5609" i="1" s="1"/>
  <c r="D5609" i="1"/>
  <c r="H5608" i="1"/>
  <c r="G5608" i="1"/>
  <c r="F5608" i="1"/>
  <c r="D5608" i="1"/>
  <c r="H5607" i="1"/>
  <c r="G5607" i="1"/>
  <c r="F5607" i="1"/>
  <c r="D5607" i="1"/>
  <c r="G5606" i="1"/>
  <c r="F5606" i="1"/>
  <c r="H5606" i="1" s="1"/>
  <c r="D5606" i="1"/>
  <c r="H5605" i="1"/>
  <c r="G5605" i="1"/>
  <c r="F5605" i="1"/>
  <c r="D5605" i="1"/>
  <c r="H5604" i="1"/>
  <c r="G5603" i="1"/>
  <c r="F5603" i="1"/>
  <c r="D5603" i="1"/>
  <c r="H5603" i="1" s="1"/>
  <c r="G5602" i="1"/>
  <c r="F5602" i="1"/>
  <c r="D5602" i="1"/>
  <c r="H5602" i="1" s="1"/>
  <c r="G5601" i="1"/>
  <c r="F5601" i="1"/>
  <c r="D5601" i="1"/>
  <c r="H5601" i="1" s="1"/>
  <c r="G5600" i="1"/>
  <c r="F5600" i="1"/>
  <c r="D5600" i="1"/>
  <c r="H5600" i="1" s="1"/>
  <c r="G5599" i="1"/>
  <c r="F5599" i="1"/>
  <c r="D5599" i="1"/>
  <c r="H5599" i="1" s="1"/>
  <c r="G5598" i="1"/>
  <c r="F5598" i="1"/>
  <c r="D5598" i="1"/>
  <c r="H5598" i="1" s="1"/>
  <c r="G5597" i="1"/>
  <c r="F5597" i="1"/>
  <c r="D5597" i="1"/>
  <c r="H5597" i="1" s="1"/>
  <c r="G5596" i="1"/>
  <c r="F5596" i="1"/>
  <c r="D5596" i="1"/>
  <c r="H5596" i="1" s="1"/>
  <c r="G5595" i="1"/>
  <c r="F5595" i="1"/>
  <c r="D5595" i="1"/>
  <c r="H5595" i="1" s="1"/>
  <c r="G5594" i="1"/>
  <c r="F5594" i="1"/>
  <c r="D5594" i="1"/>
  <c r="H5594" i="1" s="1"/>
  <c r="H5593" i="1"/>
  <c r="G5592" i="1"/>
  <c r="F5592" i="1"/>
  <c r="H5592" i="1" s="1"/>
  <c r="D5592" i="1"/>
  <c r="G5591" i="1"/>
  <c r="F5591" i="1"/>
  <c r="H5591" i="1" s="1"/>
  <c r="D5591" i="1"/>
  <c r="G5590" i="1"/>
  <c r="F5590" i="1"/>
  <c r="H5590" i="1" s="1"/>
  <c r="D5590" i="1"/>
  <c r="G5589" i="1"/>
  <c r="F5589" i="1"/>
  <c r="H5589" i="1" s="1"/>
  <c r="D5589" i="1"/>
  <c r="G5588" i="1"/>
  <c r="F5588" i="1"/>
  <c r="H5588" i="1" s="1"/>
  <c r="D5588" i="1"/>
  <c r="G5587" i="1"/>
  <c r="F5587" i="1"/>
  <c r="H5587" i="1" s="1"/>
  <c r="D5587" i="1"/>
  <c r="G5586" i="1"/>
  <c r="F5586" i="1"/>
  <c r="H5586" i="1" s="1"/>
  <c r="D5586" i="1"/>
  <c r="G5585" i="1"/>
  <c r="F5585" i="1"/>
  <c r="H5585" i="1" s="1"/>
  <c r="D5585" i="1"/>
  <c r="G5584" i="1"/>
  <c r="F5584" i="1"/>
  <c r="H5584" i="1" s="1"/>
  <c r="D5584" i="1"/>
  <c r="G5583" i="1"/>
  <c r="F5583" i="1"/>
  <c r="H5583" i="1" s="1"/>
  <c r="D5583" i="1"/>
  <c r="H5582" i="1"/>
  <c r="G5581" i="1"/>
  <c r="F5581" i="1"/>
  <c r="D5581" i="1"/>
  <c r="H5581" i="1" s="1"/>
  <c r="G5580" i="1"/>
  <c r="F5580" i="1"/>
  <c r="D5580" i="1"/>
  <c r="H5580" i="1" s="1"/>
  <c r="G5579" i="1"/>
  <c r="F5579" i="1"/>
  <c r="D5579" i="1"/>
  <c r="H5579" i="1" s="1"/>
  <c r="G5578" i="1"/>
  <c r="F5578" i="1"/>
  <c r="D5578" i="1"/>
  <c r="H5578" i="1" s="1"/>
  <c r="G5577" i="1"/>
  <c r="F5577" i="1"/>
  <c r="D5577" i="1"/>
  <c r="H5577" i="1" s="1"/>
  <c r="G5576" i="1"/>
  <c r="F5576" i="1"/>
  <c r="D5576" i="1"/>
  <c r="H5576" i="1" s="1"/>
  <c r="G5575" i="1"/>
  <c r="F5575" i="1"/>
  <c r="D5575" i="1"/>
  <c r="H5575" i="1" s="1"/>
  <c r="G5574" i="1"/>
  <c r="F5574" i="1"/>
  <c r="D5574" i="1"/>
  <c r="H5574" i="1" s="1"/>
  <c r="G5573" i="1"/>
  <c r="F5573" i="1"/>
  <c r="D5573" i="1"/>
  <c r="H5573" i="1" s="1"/>
  <c r="G5572" i="1"/>
  <c r="F5572" i="1"/>
  <c r="D5572" i="1"/>
  <c r="H5572" i="1" s="1"/>
  <c r="H5571" i="1"/>
  <c r="G5570" i="1"/>
  <c r="F5570" i="1"/>
  <c r="H5570" i="1" s="1"/>
  <c r="D5570" i="1"/>
  <c r="H5569" i="1"/>
  <c r="G5569" i="1"/>
  <c r="F5569" i="1"/>
  <c r="D5569" i="1"/>
  <c r="H5568" i="1"/>
  <c r="G5568" i="1"/>
  <c r="F5568" i="1"/>
  <c r="D5568" i="1"/>
  <c r="G5567" i="1"/>
  <c r="F5567" i="1"/>
  <c r="H5567" i="1" s="1"/>
  <c r="D5567" i="1"/>
  <c r="H5566" i="1"/>
  <c r="G5566" i="1"/>
  <c r="F5566" i="1"/>
  <c r="D5566" i="1"/>
  <c r="H5565" i="1"/>
  <c r="G5565" i="1"/>
  <c r="F5565" i="1"/>
  <c r="D5565" i="1"/>
  <c r="G5564" i="1"/>
  <c r="F5564" i="1"/>
  <c r="H5564" i="1" s="1"/>
  <c r="D5564" i="1"/>
  <c r="H5563" i="1"/>
  <c r="G5563" i="1"/>
  <c r="F5563" i="1"/>
  <c r="D5563" i="1"/>
  <c r="H5562" i="1"/>
  <c r="G5562" i="1"/>
  <c r="F5562" i="1"/>
  <c r="D5562" i="1"/>
  <c r="G5561" i="1"/>
  <c r="F5561" i="1"/>
  <c r="H5561" i="1" s="1"/>
  <c r="D5561" i="1"/>
  <c r="H5560" i="1"/>
  <c r="G5560" i="1"/>
  <c r="F5560" i="1"/>
  <c r="D5560" i="1"/>
  <c r="H5559" i="1"/>
  <c r="G5559" i="1"/>
  <c r="F5559" i="1"/>
  <c r="D5559" i="1"/>
  <c r="G5558" i="1"/>
  <c r="F5558" i="1"/>
  <c r="H5558" i="1" s="1"/>
  <c r="D5558" i="1"/>
  <c r="G5557" i="1"/>
  <c r="F5557" i="1"/>
  <c r="H5557" i="1" s="1"/>
  <c r="D5557" i="1"/>
  <c r="H5556" i="1"/>
  <c r="G5556" i="1"/>
  <c r="F5556" i="1"/>
  <c r="D5556" i="1"/>
  <c r="H5555" i="1"/>
  <c r="G5554" i="1"/>
  <c r="F5554" i="1"/>
  <c r="D5554" i="1"/>
  <c r="H5554" i="1" s="1"/>
  <c r="G5553" i="1"/>
  <c r="F5553" i="1"/>
  <c r="D5553" i="1"/>
  <c r="H5553" i="1" s="1"/>
  <c r="G5552" i="1"/>
  <c r="F5552" i="1"/>
  <c r="D5552" i="1"/>
  <c r="H5552" i="1" s="1"/>
  <c r="G5551" i="1"/>
  <c r="F5551" i="1"/>
  <c r="D5551" i="1"/>
  <c r="H5551" i="1" s="1"/>
  <c r="G5550" i="1"/>
  <c r="F5550" i="1"/>
  <c r="D5550" i="1"/>
  <c r="H5550" i="1" s="1"/>
  <c r="G5549" i="1"/>
  <c r="F5549" i="1"/>
  <c r="D5549" i="1"/>
  <c r="H5549" i="1" s="1"/>
  <c r="G5548" i="1"/>
  <c r="F5548" i="1"/>
  <c r="D5548" i="1"/>
  <c r="H5548" i="1" s="1"/>
  <c r="G5547" i="1"/>
  <c r="F5547" i="1"/>
  <c r="D5547" i="1"/>
  <c r="H5547" i="1" s="1"/>
  <c r="G5546" i="1"/>
  <c r="F5546" i="1"/>
  <c r="D5546" i="1"/>
  <c r="H5546" i="1" s="1"/>
  <c r="G5545" i="1"/>
  <c r="F5545" i="1"/>
  <c r="D5545" i="1"/>
  <c r="H5545" i="1" s="1"/>
  <c r="H5544" i="1"/>
  <c r="G5543" i="1"/>
  <c r="F5543" i="1"/>
  <c r="H5543" i="1" s="1"/>
  <c r="D5543" i="1"/>
  <c r="G5542" i="1"/>
  <c r="F5542" i="1"/>
  <c r="H5542" i="1" s="1"/>
  <c r="D5542" i="1"/>
  <c r="G5541" i="1"/>
  <c r="F5541" i="1"/>
  <c r="H5541" i="1" s="1"/>
  <c r="D5541" i="1"/>
  <c r="G5540" i="1"/>
  <c r="F5540" i="1"/>
  <c r="H5540" i="1" s="1"/>
  <c r="D5540" i="1"/>
  <c r="G5539" i="1"/>
  <c r="F5539" i="1"/>
  <c r="H5539" i="1" s="1"/>
  <c r="D5539" i="1"/>
  <c r="H5538" i="1"/>
  <c r="G5537" i="1"/>
  <c r="F5537" i="1"/>
  <c r="D5537" i="1"/>
  <c r="H5537" i="1" s="1"/>
  <c r="G5536" i="1"/>
  <c r="F5536" i="1"/>
  <c r="D5536" i="1"/>
  <c r="H5536" i="1" s="1"/>
  <c r="G5535" i="1"/>
  <c r="F5535" i="1"/>
  <c r="D5535" i="1"/>
  <c r="H5535" i="1" s="1"/>
  <c r="G5534" i="1"/>
  <c r="F5534" i="1"/>
  <c r="D5534" i="1"/>
  <c r="H5534" i="1" s="1"/>
  <c r="G5533" i="1"/>
  <c r="F5533" i="1"/>
  <c r="D5533" i="1"/>
  <c r="H5533" i="1" s="1"/>
  <c r="G5532" i="1"/>
  <c r="F5532" i="1"/>
  <c r="D5532" i="1"/>
  <c r="H5532" i="1" s="1"/>
  <c r="G5531" i="1"/>
  <c r="F5531" i="1"/>
  <c r="D5531" i="1"/>
  <c r="H5531" i="1" s="1"/>
  <c r="G5530" i="1"/>
  <c r="F5530" i="1"/>
  <c r="D5530" i="1"/>
  <c r="H5530" i="1" s="1"/>
  <c r="G5529" i="1"/>
  <c r="F5529" i="1"/>
  <c r="D5529" i="1"/>
  <c r="H5529" i="1" s="1"/>
  <c r="G5528" i="1"/>
  <c r="F5528" i="1"/>
  <c r="D5528" i="1"/>
  <c r="H5528" i="1" s="1"/>
  <c r="G5527" i="1"/>
  <c r="F5527" i="1"/>
  <c r="D5527" i="1"/>
  <c r="H5527" i="1" s="1"/>
  <c r="G5526" i="1"/>
  <c r="F5526" i="1"/>
  <c r="D5526" i="1"/>
  <c r="H5526" i="1" s="1"/>
  <c r="G5525" i="1"/>
  <c r="F5525" i="1"/>
  <c r="D5525" i="1"/>
  <c r="H5525" i="1" s="1"/>
  <c r="G5524" i="1"/>
  <c r="F5524" i="1"/>
  <c r="D5524" i="1"/>
  <c r="H5524" i="1" s="1"/>
  <c r="G5523" i="1"/>
  <c r="F5523" i="1"/>
  <c r="D5523" i="1"/>
  <c r="H5523" i="1" s="1"/>
  <c r="H5522" i="1"/>
  <c r="G5521" i="1"/>
  <c r="F5521" i="1"/>
  <c r="H5521" i="1" s="1"/>
  <c r="D5521" i="1"/>
  <c r="G5520" i="1"/>
  <c r="F5520" i="1"/>
  <c r="H5520" i="1" s="1"/>
  <c r="D5520" i="1"/>
  <c r="G5519" i="1"/>
  <c r="F5519" i="1"/>
  <c r="H5519" i="1" s="1"/>
  <c r="D5519" i="1"/>
  <c r="G5518" i="1"/>
  <c r="F5518" i="1"/>
  <c r="H5518" i="1" s="1"/>
  <c r="D5518" i="1"/>
  <c r="G5517" i="1"/>
  <c r="F5517" i="1"/>
  <c r="H5517" i="1" s="1"/>
  <c r="D5517" i="1"/>
  <c r="G5516" i="1"/>
  <c r="F5516" i="1"/>
  <c r="H5516" i="1" s="1"/>
  <c r="D5516" i="1"/>
  <c r="G5515" i="1"/>
  <c r="F5515" i="1"/>
  <c r="H5515" i="1" s="1"/>
  <c r="D5515" i="1"/>
  <c r="G5514" i="1"/>
  <c r="F5514" i="1"/>
  <c r="H5514" i="1" s="1"/>
  <c r="D5514" i="1"/>
  <c r="G5513" i="1"/>
  <c r="F5513" i="1"/>
  <c r="H5513" i="1" s="1"/>
  <c r="D5513" i="1"/>
  <c r="G5512" i="1"/>
  <c r="F5512" i="1"/>
  <c r="H5512" i="1" s="1"/>
  <c r="D5512" i="1"/>
  <c r="H5511" i="1"/>
  <c r="G5510" i="1"/>
  <c r="F5510" i="1"/>
  <c r="D5510" i="1"/>
  <c r="H5510" i="1" s="1"/>
  <c r="G5509" i="1"/>
  <c r="F5509" i="1"/>
  <c r="D5509" i="1"/>
  <c r="H5509" i="1" s="1"/>
  <c r="G5508" i="1"/>
  <c r="F5508" i="1"/>
  <c r="D5508" i="1"/>
  <c r="H5508" i="1" s="1"/>
  <c r="G5507" i="1"/>
  <c r="F5507" i="1"/>
  <c r="D5507" i="1"/>
  <c r="H5507" i="1" s="1"/>
  <c r="G5506" i="1"/>
  <c r="F5506" i="1"/>
  <c r="D5506" i="1"/>
  <c r="H5506" i="1" s="1"/>
  <c r="G5505" i="1"/>
  <c r="F5505" i="1"/>
  <c r="D5505" i="1"/>
  <c r="H5505" i="1" s="1"/>
  <c r="G5504" i="1"/>
  <c r="F5504" i="1"/>
  <c r="D5504" i="1"/>
  <c r="H5504" i="1" s="1"/>
  <c r="G5503" i="1"/>
  <c r="F5503" i="1"/>
  <c r="D5503" i="1"/>
  <c r="H5503" i="1" s="1"/>
  <c r="G5502" i="1"/>
  <c r="F5502" i="1"/>
  <c r="D5502" i="1"/>
  <c r="H5502" i="1" s="1"/>
  <c r="G5501" i="1"/>
  <c r="F5501" i="1"/>
  <c r="D5501" i="1"/>
  <c r="H5501" i="1" s="1"/>
  <c r="H5500" i="1"/>
  <c r="G5499" i="1"/>
  <c r="F5499" i="1"/>
  <c r="H5499" i="1" s="1"/>
  <c r="D5499" i="1"/>
  <c r="H5498" i="1"/>
  <c r="G5498" i="1"/>
  <c r="F5498" i="1"/>
  <c r="D5498" i="1"/>
  <c r="H5497" i="1"/>
  <c r="G5497" i="1"/>
  <c r="F5497" i="1"/>
  <c r="D5497" i="1"/>
  <c r="G5496" i="1"/>
  <c r="F5496" i="1"/>
  <c r="H5496" i="1" s="1"/>
  <c r="D5496" i="1"/>
  <c r="H5495" i="1"/>
  <c r="G5495" i="1"/>
  <c r="F5495" i="1"/>
  <c r="D5495" i="1"/>
  <c r="H5494" i="1"/>
  <c r="G5494" i="1"/>
  <c r="F5494" i="1"/>
  <c r="D5494" i="1"/>
  <c r="G5493" i="1"/>
  <c r="F5493" i="1"/>
  <c r="H5493" i="1" s="1"/>
  <c r="D5493" i="1"/>
  <c r="H5492" i="1"/>
  <c r="G5492" i="1"/>
  <c r="F5492" i="1"/>
  <c r="D5492" i="1"/>
  <c r="G5491" i="1"/>
  <c r="F5491" i="1"/>
  <c r="H5491" i="1" s="1"/>
  <c r="D5491" i="1"/>
  <c r="G5490" i="1"/>
  <c r="F5490" i="1"/>
  <c r="H5490" i="1" s="1"/>
  <c r="D5490" i="1"/>
  <c r="H5489" i="1"/>
  <c r="G5488" i="1"/>
  <c r="F5488" i="1"/>
  <c r="D5488" i="1"/>
  <c r="H5488" i="1" s="1"/>
  <c r="G5487" i="1"/>
  <c r="F5487" i="1"/>
  <c r="D5487" i="1"/>
  <c r="H5487" i="1" s="1"/>
  <c r="G5486" i="1"/>
  <c r="F5486" i="1"/>
  <c r="D5486" i="1"/>
  <c r="H5486" i="1" s="1"/>
  <c r="G5485" i="1"/>
  <c r="F5485" i="1"/>
  <c r="D5485" i="1"/>
  <c r="H5485" i="1" s="1"/>
  <c r="G5484" i="1"/>
  <c r="F5484" i="1"/>
  <c r="D5484" i="1"/>
  <c r="H5484" i="1" s="1"/>
  <c r="G5483" i="1"/>
  <c r="F5483" i="1"/>
  <c r="D5483" i="1"/>
  <c r="H5483" i="1" s="1"/>
  <c r="G5482" i="1"/>
  <c r="F5482" i="1"/>
  <c r="D5482" i="1"/>
  <c r="H5482" i="1" s="1"/>
  <c r="G5481" i="1"/>
  <c r="F5481" i="1"/>
  <c r="D5481" i="1"/>
  <c r="H5481" i="1" s="1"/>
  <c r="G5480" i="1"/>
  <c r="F5480" i="1"/>
  <c r="D5480" i="1"/>
  <c r="H5480" i="1" s="1"/>
  <c r="G5479" i="1"/>
  <c r="F5479" i="1"/>
  <c r="D5479" i="1"/>
  <c r="H5479" i="1" s="1"/>
  <c r="H5478" i="1"/>
  <c r="G5477" i="1"/>
  <c r="F5477" i="1"/>
  <c r="H5477" i="1" s="1"/>
  <c r="D5477" i="1"/>
  <c r="G5476" i="1"/>
  <c r="F5476" i="1"/>
  <c r="H5476" i="1" s="1"/>
  <c r="D5476" i="1"/>
  <c r="G5475" i="1"/>
  <c r="F5475" i="1"/>
  <c r="H5475" i="1" s="1"/>
  <c r="D5475" i="1"/>
  <c r="G5474" i="1"/>
  <c r="F5474" i="1"/>
  <c r="H5474" i="1" s="1"/>
  <c r="D5474" i="1"/>
  <c r="G5473" i="1"/>
  <c r="F5473" i="1"/>
  <c r="H5473" i="1" s="1"/>
  <c r="D5473" i="1"/>
  <c r="G5472" i="1"/>
  <c r="F5472" i="1"/>
  <c r="H5472" i="1" s="1"/>
  <c r="D5472" i="1"/>
  <c r="G5471" i="1"/>
  <c r="F5471" i="1"/>
  <c r="H5471" i="1" s="1"/>
  <c r="D5471" i="1"/>
  <c r="G5470" i="1"/>
  <c r="F5470" i="1"/>
  <c r="H5470" i="1" s="1"/>
  <c r="D5470" i="1"/>
  <c r="G5469" i="1"/>
  <c r="F5469" i="1"/>
  <c r="H5469" i="1" s="1"/>
  <c r="D5469" i="1"/>
  <c r="G5468" i="1"/>
  <c r="F5468" i="1"/>
  <c r="H5468" i="1" s="1"/>
  <c r="D5468" i="1"/>
  <c r="H5467" i="1"/>
  <c r="G5466" i="1"/>
  <c r="F5466" i="1"/>
  <c r="D5466" i="1"/>
  <c r="H5466" i="1" s="1"/>
  <c r="G5465" i="1"/>
  <c r="F5465" i="1"/>
  <c r="D5465" i="1"/>
  <c r="H5465" i="1" s="1"/>
  <c r="G5464" i="1"/>
  <c r="F5464" i="1"/>
  <c r="D5464" i="1"/>
  <c r="H5464" i="1" s="1"/>
  <c r="G5463" i="1"/>
  <c r="F5463" i="1"/>
  <c r="D5463" i="1"/>
  <c r="H5463" i="1" s="1"/>
  <c r="G5462" i="1"/>
  <c r="F5462" i="1"/>
  <c r="D5462" i="1"/>
  <c r="H5462" i="1" s="1"/>
  <c r="G5461" i="1"/>
  <c r="F5461" i="1"/>
  <c r="D5461" i="1"/>
  <c r="H5461" i="1" s="1"/>
  <c r="G5460" i="1"/>
  <c r="F5460" i="1"/>
  <c r="D5460" i="1"/>
  <c r="H5460" i="1" s="1"/>
  <c r="G5459" i="1"/>
  <c r="F5459" i="1"/>
  <c r="D5459" i="1"/>
  <c r="H5459" i="1" s="1"/>
  <c r="G5458" i="1"/>
  <c r="F5458" i="1"/>
  <c r="D5458" i="1"/>
  <c r="H5458" i="1" s="1"/>
  <c r="G5457" i="1"/>
  <c r="F5457" i="1"/>
  <c r="D5457" i="1"/>
  <c r="H5457" i="1" s="1"/>
  <c r="H5456" i="1"/>
  <c r="H5455" i="1"/>
  <c r="G5455" i="1"/>
  <c r="F5455" i="1"/>
  <c r="D5455" i="1"/>
  <c r="G5454" i="1"/>
  <c r="F5454" i="1"/>
  <c r="H5454" i="1" s="1"/>
  <c r="D5454" i="1"/>
  <c r="G5453" i="1"/>
  <c r="F5453" i="1"/>
  <c r="H5453" i="1" s="1"/>
  <c r="D5453" i="1"/>
  <c r="H5452" i="1"/>
  <c r="G5452" i="1"/>
  <c r="F5452" i="1"/>
  <c r="D5452" i="1"/>
  <c r="G5451" i="1"/>
  <c r="F5451" i="1"/>
  <c r="H5451" i="1" s="1"/>
  <c r="D5451" i="1"/>
  <c r="G5450" i="1"/>
  <c r="F5450" i="1"/>
  <c r="H5450" i="1" s="1"/>
  <c r="D5450" i="1"/>
  <c r="H5449" i="1"/>
  <c r="G5449" i="1"/>
  <c r="F5449" i="1"/>
  <c r="D5449" i="1"/>
  <c r="G5448" i="1"/>
  <c r="F5448" i="1"/>
  <c r="H5448" i="1" s="1"/>
  <c r="D5448" i="1"/>
  <c r="G5447" i="1"/>
  <c r="F5447" i="1"/>
  <c r="H5447" i="1" s="1"/>
  <c r="D5447" i="1"/>
  <c r="H5446" i="1"/>
  <c r="G5446" i="1"/>
  <c r="F5446" i="1"/>
  <c r="D5446" i="1"/>
  <c r="H5445" i="1"/>
  <c r="G5444" i="1"/>
  <c r="F5444" i="1"/>
  <c r="D5444" i="1"/>
  <c r="H5444" i="1" s="1"/>
  <c r="G5443" i="1"/>
  <c r="F5443" i="1"/>
  <c r="D5443" i="1"/>
  <c r="H5443" i="1" s="1"/>
  <c r="G5442" i="1"/>
  <c r="F5442" i="1"/>
  <c r="D5442" i="1"/>
  <c r="H5442" i="1" s="1"/>
  <c r="G5441" i="1"/>
  <c r="F5441" i="1"/>
  <c r="D5441" i="1"/>
  <c r="H5441" i="1" s="1"/>
  <c r="G5440" i="1"/>
  <c r="F5440" i="1"/>
  <c r="D5440" i="1"/>
  <c r="H5440" i="1" s="1"/>
  <c r="G5439" i="1"/>
  <c r="F5439" i="1"/>
  <c r="D5439" i="1"/>
  <c r="H5439" i="1" s="1"/>
  <c r="G5438" i="1"/>
  <c r="F5438" i="1"/>
  <c r="D5438" i="1"/>
  <c r="H5438" i="1" s="1"/>
  <c r="G5437" i="1"/>
  <c r="F5437" i="1"/>
  <c r="D5437" i="1"/>
  <c r="H5437" i="1" s="1"/>
  <c r="G5436" i="1"/>
  <c r="F5436" i="1"/>
  <c r="D5436" i="1"/>
  <c r="H5436" i="1" s="1"/>
  <c r="G5435" i="1"/>
  <c r="F5435" i="1"/>
  <c r="D5435" i="1"/>
  <c r="H5435" i="1" s="1"/>
  <c r="H5434" i="1"/>
  <c r="H5433" i="1"/>
  <c r="G5433" i="1"/>
  <c r="F5433" i="1"/>
  <c r="D5433" i="1"/>
  <c r="G5432" i="1"/>
  <c r="F5432" i="1"/>
  <c r="H5432" i="1" s="1"/>
  <c r="D5432" i="1"/>
  <c r="G5431" i="1"/>
  <c r="F5431" i="1"/>
  <c r="H5431" i="1" s="1"/>
  <c r="D5431" i="1"/>
  <c r="G5430" i="1"/>
  <c r="F5430" i="1"/>
  <c r="H5430" i="1" s="1"/>
  <c r="D5430" i="1"/>
  <c r="G5429" i="1"/>
  <c r="F5429" i="1"/>
  <c r="H5429" i="1" s="1"/>
  <c r="D5429" i="1"/>
  <c r="G5428" i="1"/>
  <c r="F5428" i="1"/>
  <c r="H5428" i="1" s="1"/>
  <c r="D5428" i="1"/>
  <c r="G5427" i="1"/>
  <c r="F5427" i="1"/>
  <c r="H5427" i="1" s="1"/>
  <c r="D5427" i="1"/>
  <c r="G5426" i="1"/>
  <c r="F5426" i="1"/>
  <c r="H5426" i="1" s="1"/>
  <c r="D5426" i="1"/>
  <c r="G5425" i="1"/>
  <c r="F5425" i="1"/>
  <c r="H5425" i="1" s="1"/>
  <c r="D5425" i="1"/>
  <c r="G5424" i="1"/>
  <c r="F5424" i="1"/>
  <c r="H5424" i="1" s="1"/>
  <c r="D5424" i="1"/>
  <c r="H5423" i="1"/>
  <c r="G5422" i="1"/>
  <c r="F5422" i="1"/>
  <c r="D5422" i="1"/>
  <c r="H5422" i="1" s="1"/>
  <c r="G5421" i="1"/>
  <c r="F5421" i="1"/>
  <c r="D5421" i="1"/>
  <c r="H5421" i="1" s="1"/>
  <c r="G5420" i="1"/>
  <c r="F5420" i="1"/>
  <c r="D5420" i="1"/>
  <c r="H5420" i="1" s="1"/>
  <c r="G5419" i="1"/>
  <c r="F5419" i="1"/>
  <c r="D5419" i="1"/>
  <c r="H5419" i="1" s="1"/>
  <c r="G5418" i="1"/>
  <c r="F5418" i="1"/>
  <c r="D5418" i="1"/>
  <c r="H5418" i="1" s="1"/>
  <c r="G5417" i="1"/>
  <c r="F5417" i="1"/>
  <c r="D5417" i="1"/>
  <c r="H5417" i="1" s="1"/>
  <c r="G5416" i="1"/>
  <c r="F5416" i="1"/>
  <c r="D5416" i="1"/>
  <c r="H5416" i="1" s="1"/>
  <c r="G5415" i="1"/>
  <c r="F5415" i="1"/>
  <c r="D5415" i="1"/>
  <c r="H5415" i="1" s="1"/>
  <c r="G5414" i="1"/>
  <c r="F5414" i="1"/>
  <c r="D5414" i="1"/>
  <c r="H5414" i="1" s="1"/>
  <c r="G5413" i="1"/>
  <c r="F5413" i="1"/>
  <c r="D5413" i="1"/>
  <c r="H5413" i="1" s="1"/>
  <c r="H5412" i="1"/>
  <c r="H5411" i="1"/>
  <c r="G5411" i="1"/>
  <c r="F5411" i="1"/>
  <c r="D5411" i="1"/>
  <c r="H5410" i="1"/>
  <c r="G5410" i="1"/>
  <c r="F5410" i="1"/>
  <c r="D5410" i="1"/>
  <c r="G5409" i="1"/>
  <c r="F5409" i="1"/>
  <c r="H5409" i="1" s="1"/>
  <c r="D5409" i="1"/>
  <c r="H5408" i="1"/>
  <c r="G5408" i="1"/>
  <c r="F5408" i="1"/>
  <c r="D5408" i="1"/>
  <c r="H5407" i="1"/>
  <c r="G5407" i="1"/>
  <c r="F5407" i="1"/>
  <c r="D5407" i="1"/>
  <c r="G5406" i="1"/>
  <c r="F5406" i="1"/>
  <c r="H5406" i="1" s="1"/>
  <c r="D5406" i="1"/>
  <c r="G5405" i="1"/>
  <c r="F5405" i="1"/>
  <c r="H5405" i="1" s="1"/>
  <c r="D5405" i="1"/>
  <c r="H5404" i="1"/>
  <c r="G5404" i="1"/>
  <c r="F5404" i="1"/>
  <c r="D5404" i="1"/>
  <c r="G5403" i="1"/>
  <c r="F5403" i="1"/>
  <c r="H5403" i="1" s="1"/>
  <c r="D5403" i="1"/>
  <c r="G5402" i="1"/>
  <c r="F5402" i="1"/>
  <c r="H5402" i="1" s="1"/>
  <c r="D5402" i="1"/>
  <c r="H5401" i="1"/>
  <c r="G5400" i="1"/>
  <c r="F5400" i="1"/>
  <c r="D5400" i="1"/>
  <c r="H5400" i="1" s="1"/>
  <c r="G5399" i="1"/>
  <c r="F5399" i="1"/>
  <c r="D5399" i="1"/>
  <c r="H5399" i="1" s="1"/>
  <c r="G5398" i="1"/>
  <c r="F5398" i="1"/>
  <c r="D5398" i="1"/>
  <c r="H5398" i="1" s="1"/>
  <c r="G5397" i="1"/>
  <c r="F5397" i="1"/>
  <c r="D5397" i="1"/>
  <c r="H5397" i="1" s="1"/>
  <c r="G5396" i="1"/>
  <c r="F5396" i="1"/>
  <c r="D5396" i="1"/>
  <c r="H5396" i="1" s="1"/>
  <c r="G5395" i="1"/>
  <c r="F5395" i="1"/>
  <c r="D5395" i="1"/>
  <c r="H5395" i="1" s="1"/>
  <c r="G5394" i="1"/>
  <c r="F5394" i="1"/>
  <c r="D5394" i="1"/>
  <c r="H5394" i="1" s="1"/>
  <c r="G5393" i="1"/>
  <c r="F5393" i="1"/>
  <c r="D5393" i="1"/>
  <c r="H5393" i="1" s="1"/>
  <c r="G5392" i="1"/>
  <c r="F5392" i="1"/>
  <c r="D5392" i="1"/>
  <c r="H5392" i="1" s="1"/>
  <c r="G5391" i="1"/>
  <c r="F5391" i="1"/>
  <c r="D5391" i="1"/>
  <c r="H5391" i="1" s="1"/>
  <c r="H5390" i="1"/>
  <c r="G5389" i="1"/>
  <c r="F5389" i="1"/>
  <c r="H5389" i="1" s="1"/>
  <c r="D5389" i="1"/>
  <c r="G5388" i="1"/>
  <c r="F5388" i="1"/>
  <c r="H5388" i="1" s="1"/>
  <c r="D5388" i="1"/>
  <c r="G5387" i="1"/>
  <c r="F5387" i="1"/>
  <c r="H5387" i="1" s="1"/>
  <c r="D5387" i="1"/>
  <c r="G5386" i="1"/>
  <c r="F5386" i="1"/>
  <c r="H5386" i="1" s="1"/>
  <c r="D5386" i="1"/>
  <c r="G5385" i="1"/>
  <c r="F5385" i="1"/>
  <c r="H5385" i="1" s="1"/>
  <c r="D5385" i="1"/>
  <c r="G5384" i="1"/>
  <c r="F5384" i="1"/>
  <c r="H5384" i="1" s="1"/>
  <c r="D5384" i="1"/>
  <c r="G5383" i="1"/>
  <c r="F5383" i="1"/>
  <c r="H5383" i="1" s="1"/>
  <c r="D5383" i="1"/>
  <c r="G5382" i="1"/>
  <c r="F5382" i="1"/>
  <c r="H5382" i="1" s="1"/>
  <c r="D5382" i="1"/>
  <c r="G5381" i="1"/>
  <c r="F5381" i="1"/>
  <c r="H5381" i="1" s="1"/>
  <c r="D5381" i="1"/>
  <c r="G5380" i="1"/>
  <c r="F5380" i="1"/>
  <c r="H5380" i="1" s="1"/>
  <c r="D5380" i="1"/>
  <c r="H5379" i="1"/>
  <c r="G5378" i="1"/>
  <c r="F5378" i="1"/>
  <c r="D5378" i="1"/>
  <c r="H5378" i="1" s="1"/>
  <c r="G5377" i="1"/>
  <c r="F5377" i="1"/>
  <c r="D5377" i="1"/>
  <c r="H5377" i="1" s="1"/>
  <c r="G5376" i="1"/>
  <c r="F5376" i="1"/>
  <c r="D5376" i="1"/>
  <c r="H5376" i="1" s="1"/>
  <c r="G5375" i="1"/>
  <c r="F5375" i="1"/>
  <c r="D5375" i="1"/>
  <c r="H5375" i="1" s="1"/>
  <c r="G5374" i="1"/>
  <c r="F5374" i="1"/>
  <c r="D5374" i="1"/>
  <c r="H5374" i="1" s="1"/>
  <c r="G5373" i="1"/>
  <c r="F5373" i="1"/>
  <c r="D5373" i="1"/>
  <c r="H5373" i="1" s="1"/>
  <c r="G5372" i="1"/>
  <c r="F5372" i="1"/>
  <c r="D5372" i="1"/>
  <c r="H5372" i="1" s="1"/>
  <c r="G5371" i="1"/>
  <c r="F5371" i="1"/>
  <c r="D5371" i="1"/>
  <c r="H5371" i="1" s="1"/>
  <c r="G5370" i="1"/>
  <c r="F5370" i="1"/>
  <c r="D5370" i="1"/>
  <c r="H5370" i="1" s="1"/>
  <c r="G5369" i="1"/>
  <c r="F5369" i="1"/>
  <c r="D5369" i="1"/>
  <c r="H5369" i="1" s="1"/>
  <c r="H5368" i="1"/>
  <c r="G5367" i="1"/>
  <c r="F5367" i="1"/>
  <c r="H5367" i="1" s="1"/>
  <c r="D5367" i="1"/>
  <c r="H5366" i="1"/>
  <c r="G5366" i="1"/>
  <c r="F5366" i="1"/>
  <c r="D5366" i="1"/>
  <c r="H5365" i="1"/>
  <c r="G5365" i="1"/>
  <c r="F5365" i="1"/>
  <c r="D5365" i="1"/>
  <c r="G5364" i="1"/>
  <c r="F5364" i="1"/>
  <c r="H5364" i="1" s="1"/>
  <c r="D5364" i="1"/>
  <c r="H5363" i="1"/>
  <c r="G5363" i="1"/>
  <c r="F5363" i="1"/>
  <c r="D5363" i="1"/>
  <c r="H5362" i="1"/>
  <c r="G5362" i="1"/>
  <c r="F5362" i="1"/>
  <c r="D5362" i="1"/>
  <c r="G5361" i="1"/>
  <c r="F5361" i="1"/>
  <c r="H5361" i="1" s="1"/>
  <c r="D5361" i="1"/>
  <c r="H5360" i="1"/>
  <c r="G5360" i="1"/>
  <c r="F5360" i="1"/>
  <c r="D5360" i="1"/>
  <c r="H5359" i="1"/>
  <c r="G5359" i="1"/>
  <c r="F5359" i="1"/>
  <c r="D5359" i="1"/>
  <c r="G5358" i="1"/>
  <c r="F5358" i="1"/>
  <c r="H5358" i="1" s="1"/>
  <c r="D5358" i="1"/>
  <c r="H5357" i="1"/>
  <c r="G5356" i="1"/>
  <c r="F5356" i="1"/>
  <c r="D5356" i="1"/>
  <c r="H5356" i="1" s="1"/>
  <c r="G5355" i="1"/>
  <c r="F5355" i="1"/>
  <c r="D5355" i="1"/>
  <c r="H5355" i="1" s="1"/>
  <c r="G5354" i="1"/>
  <c r="F5354" i="1"/>
  <c r="D5354" i="1"/>
  <c r="H5354" i="1" s="1"/>
  <c r="G5353" i="1"/>
  <c r="F5353" i="1"/>
  <c r="D5353" i="1"/>
  <c r="H5353" i="1" s="1"/>
  <c r="G5352" i="1"/>
  <c r="F5352" i="1"/>
  <c r="D5352" i="1"/>
  <c r="H5352" i="1" s="1"/>
  <c r="G5351" i="1"/>
  <c r="F5351" i="1"/>
  <c r="D5351" i="1"/>
  <c r="H5351" i="1" s="1"/>
  <c r="G5350" i="1"/>
  <c r="F5350" i="1"/>
  <c r="D5350" i="1"/>
  <c r="H5350" i="1" s="1"/>
  <c r="G5349" i="1"/>
  <c r="F5349" i="1"/>
  <c r="D5349" i="1"/>
  <c r="H5349" i="1" s="1"/>
  <c r="G5348" i="1"/>
  <c r="F5348" i="1"/>
  <c r="D5348" i="1"/>
  <c r="H5348" i="1" s="1"/>
  <c r="G5347" i="1"/>
  <c r="F5347" i="1"/>
  <c r="D5347" i="1"/>
  <c r="H5347" i="1" s="1"/>
  <c r="H5346" i="1"/>
  <c r="G5345" i="1"/>
  <c r="F5345" i="1"/>
  <c r="H5345" i="1" s="1"/>
  <c r="D5345" i="1"/>
  <c r="H5344" i="1"/>
  <c r="G5344" i="1"/>
  <c r="F5344" i="1"/>
  <c r="D5344" i="1"/>
  <c r="G5343" i="1"/>
  <c r="F5343" i="1"/>
  <c r="H5343" i="1" s="1"/>
  <c r="D5343" i="1"/>
  <c r="G5342" i="1"/>
  <c r="F5342" i="1"/>
  <c r="H5342" i="1" s="1"/>
  <c r="D5342" i="1"/>
  <c r="H5341" i="1"/>
  <c r="G5341" i="1"/>
  <c r="F5341" i="1"/>
  <c r="D5341" i="1"/>
  <c r="G5340" i="1"/>
  <c r="F5340" i="1"/>
  <c r="H5340" i="1" s="1"/>
  <c r="D5340" i="1"/>
  <c r="G5339" i="1"/>
  <c r="F5339" i="1"/>
  <c r="H5339" i="1" s="1"/>
  <c r="D5339" i="1"/>
  <c r="H5338" i="1"/>
  <c r="G5338" i="1"/>
  <c r="F5338" i="1"/>
  <c r="D5338" i="1"/>
  <c r="G5337" i="1"/>
  <c r="F5337" i="1"/>
  <c r="H5337" i="1" s="1"/>
  <c r="D5337" i="1"/>
  <c r="G5336" i="1"/>
  <c r="F5336" i="1"/>
  <c r="H5336" i="1" s="1"/>
  <c r="D5336" i="1"/>
  <c r="H5335" i="1"/>
  <c r="G5334" i="1"/>
  <c r="F5334" i="1"/>
  <c r="D5334" i="1"/>
  <c r="H5334" i="1" s="1"/>
  <c r="G5333" i="1"/>
  <c r="F5333" i="1"/>
  <c r="D5333" i="1"/>
  <c r="H5333" i="1" s="1"/>
  <c r="G5332" i="1"/>
  <c r="F5332" i="1"/>
  <c r="D5332" i="1"/>
  <c r="H5332" i="1" s="1"/>
  <c r="G5331" i="1"/>
  <c r="F5331" i="1"/>
  <c r="D5331" i="1"/>
  <c r="H5331" i="1" s="1"/>
  <c r="G5330" i="1"/>
  <c r="F5330" i="1"/>
  <c r="D5330" i="1"/>
  <c r="H5330" i="1" s="1"/>
  <c r="G5329" i="1"/>
  <c r="F5329" i="1"/>
  <c r="D5329" i="1"/>
  <c r="H5329" i="1" s="1"/>
  <c r="G5328" i="1"/>
  <c r="F5328" i="1"/>
  <c r="D5328" i="1"/>
  <c r="H5328" i="1" s="1"/>
  <c r="G5327" i="1"/>
  <c r="F5327" i="1"/>
  <c r="D5327" i="1"/>
  <c r="H5327" i="1" s="1"/>
  <c r="G5326" i="1"/>
  <c r="F5326" i="1"/>
  <c r="D5326" i="1"/>
  <c r="H5326" i="1" s="1"/>
  <c r="G5325" i="1"/>
  <c r="F5325" i="1"/>
  <c r="D5325" i="1"/>
  <c r="H5325" i="1" s="1"/>
  <c r="H5324" i="1"/>
  <c r="H5323" i="1"/>
  <c r="G5323" i="1"/>
  <c r="F5323" i="1"/>
  <c r="D5323" i="1"/>
  <c r="G5322" i="1"/>
  <c r="F5322" i="1"/>
  <c r="H5322" i="1" s="1"/>
  <c r="D5322" i="1"/>
  <c r="G5321" i="1"/>
  <c r="F5321" i="1"/>
  <c r="H5321" i="1" s="1"/>
  <c r="D5321" i="1"/>
  <c r="H5320" i="1"/>
  <c r="G5320" i="1"/>
  <c r="F5320" i="1"/>
  <c r="D5320" i="1"/>
  <c r="G5319" i="1"/>
  <c r="F5319" i="1"/>
  <c r="H5319" i="1" s="1"/>
  <c r="D5319" i="1"/>
  <c r="G5318" i="1"/>
  <c r="F5318" i="1"/>
  <c r="H5318" i="1" s="1"/>
  <c r="D5318" i="1"/>
  <c r="H5317" i="1"/>
  <c r="G5317" i="1"/>
  <c r="F5317" i="1"/>
  <c r="D5317" i="1"/>
  <c r="G5316" i="1"/>
  <c r="F5316" i="1"/>
  <c r="H5316" i="1" s="1"/>
  <c r="D5316" i="1"/>
  <c r="G5315" i="1"/>
  <c r="F5315" i="1"/>
  <c r="H5315" i="1" s="1"/>
  <c r="D5315" i="1"/>
  <c r="H5314" i="1"/>
  <c r="G5314" i="1"/>
  <c r="F5314" i="1"/>
  <c r="D5314" i="1"/>
  <c r="H5313" i="1"/>
  <c r="G5312" i="1"/>
  <c r="F5312" i="1"/>
  <c r="D5312" i="1"/>
  <c r="H5312" i="1" s="1"/>
  <c r="G5311" i="1"/>
  <c r="F5311" i="1"/>
  <c r="D5311" i="1"/>
  <c r="H5311" i="1" s="1"/>
  <c r="G5310" i="1"/>
  <c r="F5310" i="1"/>
  <c r="D5310" i="1"/>
  <c r="H5310" i="1" s="1"/>
  <c r="G5309" i="1"/>
  <c r="F5309" i="1"/>
  <c r="D5309" i="1"/>
  <c r="H5309" i="1" s="1"/>
  <c r="G5308" i="1"/>
  <c r="F5308" i="1"/>
  <c r="D5308" i="1"/>
  <c r="H5308" i="1" s="1"/>
  <c r="G5307" i="1"/>
  <c r="F5307" i="1"/>
  <c r="D5307" i="1"/>
  <c r="H5307" i="1" s="1"/>
  <c r="G5306" i="1"/>
  <c r="F5306" i="1"/>
  <c r="D5306" i="1"/>
  <c r="H5306" i="1" s="1"/>
  <c r="G5305" i="1"/>
  <c r="F5305" i="1"/>
  <c r="D5305" i="1"/>
  <c r="H5305" i="1" s="1"/>
  <c r="G5304" i="1"/>
  <c r="F5304" i="1"/>
  <c r="D5304" i="1"/>
  <c r="H5304" i="1" s="1"/>
  <c r="G5303" i="1"/>
  <c r="F5303" i="1"/>
  <c r="D5303" i="1"/>
  <c r="H5303" i="1" s="1"/>
  <c r="H5302" i="1"/>
  <c r="G5301" i="1"/>
  <c r="F5301" i="1"/>
  <c r="H5301" i="1" s="1"/>
  <c r="D5301" i="1"/>
  <c r="G5300" i="1"/>
  <c r="F5300" i="1"/>
  <c r="H5300" i="1" s="1"/>
  <c r="D5300" i="1"/>
  <c r="H5299" i="1"/>
  <c r="G5299" i="1"/>
  <c r="F5299" i="1"/>
  <c r="D5299" i="1"/>
  <c r="G5298" i="1"/>
  <c r="F5298" i="1"/>
  <c r="H5298" i="1" s="1"/>
  <c r="D5298" i="1"/>
  <c r="G5297" i="1"/>
  <c r="F5297" i="1"/>
  <c r="H5297" i="1" s="1"/>
  <c r="D5297" i="1"/>
  <c r="H5296" i="1"/>
  <c r="G5296" i="1"/>
  <c r="F5296" i="1"/>
  <c r="D5296" i="1"/>
  <c r="G5295" i="1"/>
  <c r="F5295" i="1"/>
  <c r="H5295" i="1" s="1"/>
  <c r="D5295" i="1"/>
  <c r="G5294" i="1"/>
  <c r="F5294" i="1"/>
  <c r="H5294" i="1" s="1"/>
  <c r="D5294" i="1"/>
  <c r="G5293" i="1"/>
  <c r="F5293" i="1"/>
  <c r="H5293" i="1" s="1"/>
  <c r="D5293" i="1"/>
  <c r="G5292" i="1"/>
  <c r="F5292" i="1"/>
  <c r="H5292" i="1" s="1"/>
  <c r="D5292" i="1"/>
  <c r="H5291" i="1"/>
  <c r="G5290" i="1"/>
  <c r="F5290" i="1"/>
  <c r="D5290" i="1"/>
  <c r="H5290" i="1" s="1"/>
  <c r="G5289" i="1"/>
  <c r="F5289" i="1"/>
  <c r="D5289" i="1"/>
  <c r="H5289" i="1" s="1"/>
  <c r="G5288" i="1"/>
  <c r="F5288" i="1"/>
  <c r="D5288" i="1"/>
  <c r="H5288" i="1" s="1"/>
  <c r="G5287" i="1"/>
  <c r="F5287" i="1"/>
  <c r="D5287" i="1"/>
  <c r="H5287" i="1" s="1"/>
  <c r="G5286" i="1"/>
  <c r="F5286" i="1"/>
  <c r="D5286" i="1"/>
  <c r="H5286" i="1" s="1"/>
  <c r="G5285" i="1"/>
  <c r="F5285" i="1"/>
  <c r="D5285" i="1"/>
  <c r="H5285" i="1" s="1"/>
  <c r="G5284" i="1"/>
  <c r="F5284" i="1"/>
  <c r="D5284" i="1"/>
  <c r="H5284" i="1" s="1"/>
  <c r="G5283" i="1"/>
  <c r="F5283" i="1"/>
  <c r="D5283" i="1"/>
  <c r="H5283" i="1" s="1"/>
  <c r="G5282" i="1"/>
  <c r="F5282" i="1"/>
  <c r="D5282" i="1"/>
  <c r="H5282" i="1" s="1"/>
  <c r="G5281" i="1"/>
  <c r="F5281" i="1"/>
  <c r="D5281" i="1"/>
  <c r="H5281" i="1" s="1"/>
  <c r="H5280" i="1"/>
  <c r="H5279" i="1"/>
  <c r="G5279" i="1"/>
  <c r="F5279" i="1"/>
  <c r="D5279" i="1"/>
  <c r="H5278" i="1"/>
  <c r="G5278" i="1"/>
  <c r="F5278" i="1"/>
  <c r="D5278" i="1"/>
  <c r="G5277" i="1"/>
  <c r="F5277" i="1"/>
  <c r="H5277" i="1" s="1"/>
  <c r="D5277" i="1"/>
  <c r="H5276" i="1"/>
  <c r="G5276" i="1"/>
  <c r="F5276" i="1"/>
  <c r="D5276" i="1"/>
  <c r="H5275" i="1"/>
  <c r="G5275" i="1"/>
  <c r="F5275" i="1"/>
  <c r="D5275" i="1"/>
  <c r="G5274" i="1"/>
  <c r="F5274" i="1"/>
  <c r="H5274" i="1" s="1"/>
  <c r="D5274" i="1"/>
  <c r="G5273" i="1"/>
  <c r="F5273" i="1"/>
  <c r="H5273" i="1" s="1"/>
  <c r="D5273" i="1"/>
  <c r="H5272" i="1"/>
  <c r="G5272" i="1"/>
  <c r="F5272" i="1"/>
  <c r="D5272" i="1"/>
  <c r="G5271" i="1"/>
  <c r="F5271" i="1"/>
  <c r="H5271" i="1" s="1"/>
  <c r="D5271" i="1"/>
  <c r="G5270" i="1"/>
  <c r="F5270" i="1"/>
  <c r="H5270" i="1" s="1"/>
  <c r="D5270" i="1"/>
  <c r="H5269" i="1"/>
  <c r="G5268" i="1"/>
  <c r="F5268" i="1"/>
  <c r="D5268" i="1"/>
  <c r="H5268" i="1" s="1"/>
  <c r="G5267" i="1"/>
  <c r="F5267" i="1"/>
  <c r="D5267" i="1"/>
  <c r="H5267" i="1" s="1"/>
  <c r="G5266" i="1"/>
  <c r="F5266" i="1"/>
  <c r="D5266" i="1"/>
  <c r="H5266" i="1" s="1"/>
  <c r="G5265" i="1"/>
  <c r="F5265" i="1"/>
  <c r="D5265" i="1"/>
  <c r="H5265" i="1" s="1"/>
  <c r="G5264" i="1"/>
  <c r="F5264" i="1"/>
  <c r="D5264" i="1"/>
  <c r="H5264" i="1" s="1"/>
  <c r="G5263" i="1"/>
  <c r="F5263" i="1"/>
  <c r="D5263" i="1"/>
  <c r="H5263" i="1" s="1"/>
  <c r="G5262" i="1"/>
  <c r="F5262" i="1"/>
  <c r="D5262" i="1"/>
  <c r="H5262" i="1" s="1"/>
  <c r="G5261" i="1"/>
  <c r="F5261" i="1"/>
  <c r="D5261" i="1"/>
  <c r="H5261" i="1" s="1"/>
  <c r="G5260" i="1"/>
  <c r="F5260" i="1"/>
  <c r="D5260" i="1"/>
  <c r="H5260" i="1" s="1"/>
  <c r="G5259" i="1"/>
  <c r="F5259" i="1"/>
  <c r="D5259" i="1"/>
  <c r="H5259" i="1" s="1"/>
  <c r="H5258" i="1"/>
  <c r="H5257" i="1"/>
  <c r="G5257" i="1"/>
  <c r="F5257" i="1"/>
  <c r="D5257" i="1"/>
  <c r="G5256" i="1"/>
  <c r="F5256" i="1"/>
  <c r="H5256" i="1" s="1"/>
  <c r="D5256" i="1"/>
  <c r="G5255" i="1"/>
  <c r="F5255" i="1"/>
  <c r="H5255" i="1" s="1"/>
  <c r="D5255" i="1"/>
  <c r="H5254" i="1"/>
  <c r="G5254" i="1"/>
  <c r="F5254" i="1"/>
  <c r="D5254" i="1"/>
  <c r="G5253" i="1"/>
  <c r="F5253" i="1"/>
  <c r="H5253" i="1" s="1"/>
  <c r="D5253" i="1"/>
  <c r="G5252" i="1"/>
  <c r="F5252" i="1"/>
  <c r="H5252" i="1" s="1"/>
  <c r="D5252" i="1"/>
  <c r="H5251" i="1"/>
  <c r="G5251" i="1"/>
  <c r="F5251" i="1"/>
  <c r="D5251" i="1"/>
  <c r="G5250" i="1"/>
  <c r="F5250" i="1"/>
  <c r="H5250" i="1" s="1"/>
  <c r="D5250" i="1"/>
  <c r="G5249" i="1"/>
  <c r="F5249" i="1"/>
  <c r="H5249" i="1" s="1"/>
  <c r="D5249" i="1"/>
  <c r="H5248" i="1"/>
  <c r="G5248" i="1"/>
  <c r="F5248" i="1"/>
  <c r="D5248" i="1"/>
  <c r="H5247" i="1"/>
  <c r="G5246" i="1"/>
  <c r="F5246" i="1"/>
  <c r="D5246" i="1"/>
  <c r="H5246" i="1" s="1"/>
  <c r="G5245" i="1"/>
  <c r="F5245" i="1"/>
  <c r="D5245" i="1"/>
  <c r="H5245" i="1" s="1"/>
  <c r="G5244" i="1"/>
  <c r="F5244" i="1"/>
  <c r="D5244" i="1"/>
  <c r="H5244" i="1" s="1"/>
  <c r="G5243" i="1"/>
  <c r="F5243" i="1"/>
  <c r="D5243" i="1"/>
  <c r="H5243" i="1" s="1"/>
  <c r="G5242" i="1"/>
  <c r="F5242" i="1"/>
  <c r="D5242" i="1"/>
  <c r="H5242" i="1" s="1"/>
  <c r="G5241" i="1"/>
  <c r="F5241" i="1"/>
  <c r="D5241" i="1"/>
  <c r="H5241" i="1" s="1"/>
  <c r="G5240" i="1"/>
  <c r="F5240" i="1"/>
  <c r="D5240" i="1"/>
  <c r="H5240" i="1" s="1"/>
  <c r="G5239" i="1"/>
  <c r="F5239" i="1"/>
  <c r="D5239" i="1"/>
  <c r="H5239" i="1" s="1"/>
  <c r="G5238" i="1"/>
  <c r="F5238" i="1"/>
  <c r="D5238" i="1"/>
  <c r="H5238" i="1" s="1"/>
  <c r="G5237" i="1"/>
  <c r="F5237" i="1"/>
  <c r="D5237" i="1"/>
  <c r="H5237" i="1" s="1"/>
  <c r="H5236" i="1"/>
  <c r="G5235" i="1"/>
  <c r="F5235" i="1"/>
  <c r="H5235" i="1" s="1"/>
  <c r="D5235" i="1"/>
  <c r="H5234" i="1"/>
  <c r="G5234" i="1"/>
  <c r="F5234" i="1"/>
  <c r="D5234" i="1"/>
  <c r="H5233" i="1"/>
  <c r="G5233" i="1"/>
  <c r="F5233" i="1"/>
  <c r="D5233" i="1"/>
  <c r="G5232" i="1"/>
  <c r="F5232" i="1"/>
  <c r="H5232" i="1" s="1"/>
  <c r="D5232" i="1"/>
  <c r="H5231" i="1"/>
  <c r="G5231" i="1"/>
  <c r="F5231" i="1"/>
  <c r="D5231" i="1"/>
  <c r="H5230" i="1"/>
  <c r="G5230" i="1"/>
  <c r="F5230" i="1"/>
  <c r="D5230" i="1"/>
  <c r="G5229" i="1"/>
  <c r="F5229" i="1"/>
  <c r="H5229" i="1" s="1"/>
  <c r="D5229" i="1"/>
  <c r="G5228" i="1"/>
  <c r="F5228" i="1"/>
  <c r="H5228" i="1" s="1"/>
  <c r="D5228" i="1"/>
  <c r="H5227" i="1"/>
  <c r="G5227" i="1"/>
  <c r="F5227" i="1"/>
  <c r="D5227" i="1"/>
  <c r="G5226" i="1"/>
  <c r="F5226" i="1"/>
  <c r="H5226" i="1" s="1"/>
  <c r="D5226" i="1"/>
  <c r="H5225" i="1"/>
  <c r="G5224" i="1"/>
  <c r="F5224" i="1"/>
  <c r="D5224" i="1"/>
  <c r="H5224" i="1" s="1"/>
  <c r="G5223" i="1"/>
  <c r="F5223" i="1"/>
  <c r="D5223" i="1"/>
  <c r="H5223" i="1" s="1"/>
  <c r="G5222" i="1"/>
  <c r="F5222" i="1"/>
  <c r="D5222" i="1"/>
  <c r="H5222" i="1" s="1"/>
  <c r="G5221" i="1"/>
  <c r="F5221" i="1"/>
  <c r="D5221" i="1"/>
  <c r="H5221" i="1" s="1"/>
  <c r="G5220" i="1"/>
  <c r="F5220" i="1"/>
  <c r="D5220" i="1"/>
  <c r="H5220" i="1" s="1"/>
  <c r="G5219" i="1"/>
  <c r="F5219" i="1"/>
  <c r="D5219" i="1"/>
  <c r="H5219" i="1" s="1"/>
  <c r="G5218" i="1"/>
  <c r="F5218" i="1"/>
  <c r="D5218" i="1"/>
  <c r="H5218" i="1" s="1"/>
  <c r="G5217" i="1"/>
  <c r="F5217" i="1"/>
  <c r="D5217" i="1"/>
  <c r="H5217" i="1" s="1"/>
  <c r="G5216" i="1"/>
  <c r="F5216" i="1"/>
  <c r="D5216" i="1"/>
  <c r="H5216" i="1" s="1"/>
  <c r="G5215" i="1"/>
  <c r="F5215" i="1"/>
  <c r="D5215" i="1"/>
  <c r="H5215" i="1" s="1"/>
  <c r="H5214" i="1"/>
  <c r="G5213" i="1"/>
  <c r="F5213" i="1"/>
  <c r="H5213" i="1" s="1"/>
  <c r="D5213" i="1"/>
  <c r="H5212" i="1"/>
  <c r="G5212" i="1"/>
  <c r="F5212" i="1"/>
  <c r="D5212" i="1"/>
  <c r="G5211" i="1"/>
  <c r="F5211" i="1"/>
  <c r="H5211" i="1" s="1"/>
  <c r="D5211" i="1"/>
  <c r="G5210" i="1"/>
  <c r="F5210" i="1"/>
  <c r="H5210" i="1" s="1"/>
  <c r="D5210" i="1"/>
  <c r="H5209" i="1"/>
  <c r="G5209" i="1"/>
  <c r="F5209" i="1"/>
  <c r="D5209" i="1"/>
  <c r="G5208" i="1"/>
  <c r="F5208" i="1"/>
  <c r="H5208" i="1" s="1"/>
  <c r="D5208" i="1"/>
  <c r="G5207" i="1"/>
  <c r="F5207" i="1"/>
  <c r="H5207" i="1" s="1"/>
  <c r="D5207" i="1"/>
  <c r="H5206" i="1"/>
  <c r="G5206" i="1"/>
  <c r="F5206" i="1"/>
  <c r="D5206" i="1"/>
  <c r="G5205" i="1"/>
  <c r="F5205" i="1"/>
  <c r="H5205" i="1" s="1"/>
  <c r="D5205" i="1"/>
  <c r="G5204" i="1"/>
  <c r="F5204" i="1"/>
  <c r="H5204" i="1" s="1"/>
  <c r="D5204" i="1"/>
  <c r="H5203" i="1"/>
  <c r="G5202" i="1"/>
  <c r="F5202" i="1"/>
  <c r="D5202" i="1"/>
  <c r="H5202" i="1" s="1"/>
  <c r="G5201" i="1"/>
  <c r="F5201" i="1"/>
  <c r="D5201" i="1"/>
  <c r="H5201" i="1" s="1"/>
  <c r="G5200" i="1"/>
  <c r="F5200" i="1"/>
  <c r="D5200" i="1"/>
  <c r="H5200" i="1" s="1"/>
  <c r="G5199" i="1"/>
  <c r="F5199" i="1"/>
  <c r="D5199" i="1"/>
  <c r="H5199" i="1" s="1"/>
  <c r="G5198" i="1"/>
  <c r="F5198" i="1"/>
  <c r="D5198" i="1"/>
  <c r="H5198" i="1" s="1"/>
  <c r="G5197" i="1"/>
  <c r="F5197" i="1"/>
  <c r="D5197" i="1"/>
  <c r="H5197" i="1" s="1"/>
  <c r="G5196" i="1"/>
  <c r="F5196" i="1"/>
  <c r="D5196" i="1"/>
  <c r="H5196" i="1" s="1"/>
  <c r="G5195" i="1"/>
  <c r="F5195" i="1"/>
  <c r="D5195" i="1"/>
  <c r="H5195" i="1" s="1"/>
  <c r="G5194" i="1"/>
  <c r="F5194" i="1"/>
  <c r="D5194" i="1"/>
  <c r="H5194" i="1" s="1"/>
  <c r="G5193" i="1"/>
  <c r="F5193" i="1"/>
  <c r="D5193" i="1"/>
  <c r="H5193" i="1" s="1"/>
  <c r="H5192" i="1"/>
  <c r="H5191" i="1"/>
  <c r="G5191" i="1"/>
  <c r="F5191" i="1"/>
  <c r="D5191" i="1"/>
  <c r="G5190" i="1"/>
  <c r="F5190" i="1"/>
  <c r="H5190" i="1" s="1"/>
  <c r="D5190" i="1"/>
  <c r="G5189" i="1"/>
  <c r="F5189" i="1"/>
  <c r="H5189" i="1" s="1"/>
  <c r="D5189" i="1"/>
  <c r="H5188" i="1"/>
  <c r="G5188" i="1"/>
  <c r="F5188" i="1"/>
  <c r="D5188" i="1"/>
  <c r="G5187" i="1"/>
  <c r="F5187" i="1"/>
  <c r="H5187" i="1" s="1"/>
  <c r="D5187" i="1"/>
  <c r="G5186" i="1"/>
  <c r="F5186" i="1"/>
  <c r="H5186" i="1" s="1"/>
  <c r="D5186" i="1"/>
  <c r="H5185" i="1"/>
  <c r="G5185" i="1"/>
  <c r="F5185" i="1"/>
  <c r="D5185" i="1"/>
  <c r="G5184" i="1"/>
  <c r="F5184" i="1"/>
  <c r="H5184" i="1" s="1"/>
  <c r="D5184" i="1"/>
  <c r="G5183" i="1"/>
  <c r="F5183" i="1"/>
  <c r="H5183" i="1" s="1"/>
  <c r="D5183" i="1"/>
  <c r="H5182" i="1"/>
  <c r="G5182" i="1"/>
  <c r="F5182" i="1"/>
  <c r="D5182" i="1"/>
  <c r="H5181" i="1"/>
  <c r="G5180" i="1"/>
  <c r="F5180" i="1"/>
  <c r="D5180" i="1"/>
  <c r="H5180" i="1" s="1"/>
  <c r="G5179" i="1"/>
  <c r="F5179" i="1"/>
  <c r="D5179" i="1"/>
  <c r="H5179" i="1" s="1"/>
  <c r="G5178" i="1"/>
  <c r="F5178" i="1"/>
  <c r="D5178" i="1"/>
  <c r="H5178" i="1" s="1"/>
  <c r="G5177" i="1"/>
  <c r="F5177" i="1"/>
  <c r="D5177" i="1"/>
  <c r="H5177" i="1" s="1"/>
  <c r="G5176" i="1"/>
  <c r="F5176" i="1"/>
  <c r="D5176" i="1"/>
  <c r="H5176" i="1" s="1"/>
  <c r="G5175" i="1"/>
  <c r="F5175" i="1"/>
  <c r="D5175" i="1"/>
  <c r="H5175" i="1" s="1"/>
  <c r="G5174" i="1"/>
  <c r="F5174" i="1"/>
  <c r="D5174" i="1"/>
  <c r="H5174" i="1" s="1"/>
  <c r="G5173" i="1"/>
  <c r="F5173" i="1"/>
  <c r="D5173" i="1"/>
  <c r="H5173" i="1" s="1"/>
  <c r="G5172" i="1"/>
  <c r="F5172" i="1"/>
  <c r="D5172" i="1"/>
  <c r="H5172" i="1" s="1"/>
  <c r="G5171" i="1"/>
  <c r="F5171" i="1"/>
  <c r="D5171" i="1"/>
  <c r="H5171" i="1" s="1"/>
  <c r="H5170" i="1"/>
  <c r="G5169" i="1"/>
  <c r="F5169" i="1"/>
  <c r="H5169" i="1" s="1"/>
  <c r="D5169" i="1"/>
  <c r="G5168" i="1"/>
  <c r="F5168" i="1"/>
  <c r="H5168" i="1" s="1"/>
  <c r="D5168" i="1"/>
  <c r="H5167" i="1"/>
  <c r="G5167" i="1"/>
  <c r="F5167" i="1"/>
  <c r="D5167" i="1"/>
  <c r="G5166" i="1"/>
  <c r="F5166" i="1"/>
  <c r="H5166" i="1" s="1"/>
  <c r="D5166" i="1"/>
  <c r="G5165" i="1"/>
  <c r="F5165" i="1"/>
  <c r="H5165" i="1" s="1"/>
  <c r="D5165" i="1"/>
  <c r="H5164" i="1"/>
  <c r="G5164" i="1"/>
  <c r="F5164" i="1"/>
  <c r="D5164" i="1"/>
  <c r="G5163" i="1"/>
  <c r="F5163" i="1"/>
  <c r="H5163" i="1" s="1"/>
  <c r="D5163" i="1"/>
  <c r="G5162" i="1"/>
  <c r="F5162" i="1"/>
  <c r="H5162" i="1" s="1"/>
  <c r="D5162" i="1"/>
  <c r="G5161" i="1"/>
  <c r="F5161" i="1"/>
  <c r="H5161" i="1" s="1"/>
  <c r="D5161" i="1"/>
  <c r="G5160" i="1"/>
  <c r="F5160" i="1"/>
  <c r="H5160" i="1" s="1"/>
  <c r="D5160" i="1"/>
  <c r="H5159" i="1"/>
  <c r="G5158" i="1"/>
  <c r="F5158" i="1"/>
  <c r="D5158" i="1"/>
  <c r="H5158" i="1" s="1"/>
  <c r="G5157" i="1"/>
  <c r="F5157" i="1"/>
  <c r="D5157" i="1"/>
  <c r="H5157" i="1" s="1"/>
  <c r="G5156" i="1"/>
  <c r="F5156" i="1"/>
  <c r="D5156" i="1"/>
  <c r="H5156" i="1" s="1"/>
  <c r="G5155" i="1"/>
  <c r="F5155" i="1"/>
  <c r="D5155" i="1"/>
  <c r="H5155" i="1" s="1"/>
  <c r="G5154" i="1"/>
  <c r="F5154" i="1"/>
  <c r="D5154" i="1"/>
  <c r="H5154" i="1" s="1"/>
  <c r="H5153" i="1"/>
  <c r="H5152" i="1"/>
  <c r="G5152" i="1"/>
  <c r="F5152" i="1"/>
  <c r="D5152" i="1"/>
  <c r="G5151" i="1"/>
  <c r="F5151" i="1"/>
  <c r="H5151" i="1" s="1"/>
  <c r="D5151" i="1"/>
  <c r="H5150" i="1"/>
  <c r="G5150" i="1"/>
  <c r="F5150" i="1"/>
  <c r="D5150" i="1"/>
  <c r="H5149" i="1"/>
  <c r="G5149" i="1"/>
  <c r="F5149" i="1"/>
  <c r="D5149" i="1"/>
  <c r="G5148" i="1"/>
  <c r="F5148" i="1"/>
  <c r="H5148" i="1" s="1"/>
  <c r="D5148" i="1"/>
  <c r="H5147" i="1"/>
  <c r="G5147" i="1"/>
  <c r="F5147" i="1"/>
  <c r="D5147" i="1"/>
  <c r="H5146" i="1"/>
  <c r="G5146" i="1"/>
  <c r="F5146" i="1"/>
  <c r="D5146" i="1"/>
  <c r="G5145" i="1"/>
  <c r="F5145" i="1"/>
  <c r="H5145" i="1" s="1"/>
  <c r="D5145" i="1"/>
  <c r="H5144" i="1"/>
  <c r="G5144" i="1"/>
  <c r="F5144" i="1"/>
  <c r="D5144" i="1"/>
  <c r="H5143" i="1"/>
  <c r="G5143" i="1"/>
  <c r="F5143" i="1"/>
  <c r="D5143" i="1"/>
  <c r="H5142" i="1"/>
  <c r="G5141" i="1"/>
  <c r="F5141" i="1"/>
  <c r="D5141" i="1"/>
  <c r="H5141" i="1" s="1"/>
  <c r="G5140" i="1"/>
  <c r="F5140" i="1"/>
  <c r="D5140" i="1"/>
  <c r="H5140" i="1" s="1"/>
  <c r="G5139" i="1"/>
  <c r="F5139" i="1"/>
  <c r="D5139" i="1"/>
  <c r="H5139" i="1" s="1"/>
  <c r="G5138" i="1"/>
  <c r="F5138" i="1"/>
  <c r="D5138" i="1"/>
  <c r="H5138" i="1" s="1"/>
  <c r="G5137" i="1"/>
  <c r="F5137" i="1"/>
  <c r="D5137" i="1"/>
  <c r="H5137" i="1" s="1"/>
  <c r="H5136" i="1"/>
  <c r="G5135" i="1"/>
  <c r="F5135" i="1"/>
  <c r="H5135" i="1" s="1"/>
  <c r="D5135" i="1"/>
  <c r="H5134" i="1"/>
  <c r="G5134" i="1"/>
  <c r="F5134" i="1"/>
  <c r="D5134" i="1"/>
  <c r="G5133" i="1"/>
  <c r="F5133" i="1"/>
  <c r="H5133" i="1" s="1"/>
  <c r="D5133" i="1"/>
  <c r="G5132" i="1"/>
  <c r="F5132" i="1"/>
  <c r="H5132" i="1" s="1"/>
  <c r="D5132" i="1"/>
  <c r="H5131" i="1"/>
  <c r="G5131" i="1"/>
  <c r="F5131" i="1"/>
  <c r="D5131" i="1"/>
  <c r="G5130" i="1"/>
  <c r="F5130" i="1"/>
  <c r="H5130" i="1" s="1"/>
  <c r="D5130" i="1"/>
  <c r="G5129" i="1"/>
  <c r="F5129" i="1"/>
  <c r="H5129" i="1" s="1"/>
  <c r="D5129" i="1"/>
  <c r="G5128" i="1"/>
  <c r="F5128" i="1"/>
  <c r="H5128" i="1" s="1"/>
  <c r="D5128" i="1"/>
  <c r="G5127" i="1"/>
  <c r="F5127" i="1"/>
  <c r="H5127" i="1" s="1"/>
  <c r="D5127" i="1"/>
  <c r="G5126" i="1"/>
  <c r="F5126" i="1"/>
  <c r="H5126" i="1" s="1"/>
  <c r="D5126" i="1"/>
  <c r="H5125" i="1"/>
  <c r="G5124" i="1"/>
  <c r="F5124" i="1"/>
  <c r="D5124" i="1"/>
  <c r="H5124" i="1" s="1"/>
  <c r="G5123" i="1"/>
  <c r="H5123" i="1" s="1"/>
  <c r="F5123" i="1"/>
  <c r="D5123" i="1"/>
  <c r="G5122" i="1"/>
  <c r="F5122" i="1"/>
  <c r="D5122" i="1"/>
  <c r="H5122" i="1" s="1"/>
  <c r="G5121" i="1"/>
  <c r="F5121" i="1"/>
  <c r="D5121" i="1"/>
  <c r="H5121" i="1" s="1"/>
  <c r="G5120" i="1"/>
  <c r="F5120" i="1"/>
  <c r="D5120" i="1"/>
  <c r="H5120" i="1" s="1"/>
  <c r="H5119" i="1"/>
  <c r="G5118" i="1"/>
  <c r="F5118" i="1"/>
  <c r="H5118" i="1" s="1"/>
  <c r="D5118" i="1"/>
  <c r="H5117" i="1"/>
  <c r="G5117" i="1"/>
  <c r="F5117" i="1"/>
  <c r="D5117" i="1"/>
  <c r="H5116" i="1"/>
  <c r="G5116" i="1"/>
  <c r="F5116" i="1"/>
  <c r="D5116" i="1"/>
  <c r="G5115" i="1"/>
  <c r="F5115" i="1"/>
  <c r="H5115" i="1" s="1"/>
  <c r="D5115" i="1"/>
  <c r="H5114" i="1"/>
  <c r="G5114" i="1"/>
  <c r="F5114" i="1"/>
  <c r="D5114" i="1"/>
  <c r="H5113" i="1"/>
  <c r="G5113" i="1"/>
  <c r="F5113" i="1"/>
  <c r="D5113" i="1"/>
  <c r="G5112" i="1"/>
  <c r="F5112" i="1"/>
  <c r="H5112" i="1" s="1"/>
  <c r="D5112" i="1"/>
  <c r="H5111" i="1"/>
  <c r="G5111" i="1"/>
  <c r="F5111" i="1"/>
  <c r="D5111" i="1"/>
  <c r="H5110" i="1"/>
  <c r="G5110" i="1"/>
  <c r="F5110" i="1"/>
  <c r="D5110" i="1"/>
  <c r="G5109" i="1"/>
  <c r="F5109" i="1"/>
  <c r="D5109" i="1"/>
  <c r="H5109" i="1" s="1"/>
  <c r="H5108" i="1"/>
  <c r="G5107" i="1"/>
  <c r="F5107" i="1"/>
  <c r="D5107" i="1"/>
  <c r="H5107" i="1" s="1"/>
  <c r="G5106" i="1"/>
  <c r="F5106" i="1"/>
  <c r="D5106" i="1"/>
  <c r="H5106" i="1" s="1"/>
  <c r="G5105" i="1"/>
  <c r="F5105" i="1"/>
  <c r="D5105" i="1"/>
  <c r="H5105" i="1" s="1"/>
  <c r="G5104" i="1"/>
  <c r="F5104" i="1"/>
  <c r="D5104" i="1"/>
  <c r="H5104" i="1" s="1"/>
  <c r="G5103" i="1"/>
  <c r="F5103" i="1"/>
  <c r="D5103" i="1"/>
  <c r="H5103" i="1" s="1"/>
  <c r="G5102" i="1"/>
  <c r="F5102" i="1"/>
  <c r="D5102" i="1"/>
  <c r="H5102" i="1" s="1"/>
  <c r="G5101" i="1"/>
  <c r="F5101" i="1"/>
  <c r="D5101" i="1"/>
  <c r="H5101" i="1" s="1"/>
  <c r="G5100" i="1"/>
  <c r="F5100" i="1"/>
  <c r="D5100" i="1"/>
  <c r="H5100" i="1" s="1"/>
  <c r="G5099" i="1"/>
  <c r="F5099" i="1"/>
  <c r="D5099" i="1"/>
  <c r="H5099" i="1" s="1"/>
  <c r="G5098" i="1"/>
  <c r="F5098" i="1"/>
  <c r="D5098" i="1"/>
  <c r="H5098" i="1" s="1"/>
  <c r="H5097" i="1"/>
  <c r="G5096" i="1"/>
  <c r="F5096" i="1"/>
  <c r="H5096" i="1" s="1"/>
  <c r="D5096" i="1"/>
  <c r="G5095" i="1"/>
  <c r="F5095" i="1"/>
  <c r="H5095" i="1" s="1"/>
  <c r="D5095" i="1"/>
  <c r="G5094" i="1"/>
  <c r="F5094" i="1"/>
  <c r="H5094" i="1" s="1"/>
  <c r="D5094" i="1"/>
  <c r="G5093" i="1"/>
  <c r="F5093" i="1"/>
  <c r="H5093" i="1" s="1"/>
  <c r="D5093" i="1"/>
  <c r="G5092" i="1"/>
  <c r="F5092" i="1"/>
  <c r="H5092" i="1" s="1"/>
  <c r="D5092" i="1"/>
  <c r="G5091" i="1"/>
  <c r="F5091" i="1"/>
  <c r="H5091" i="1" s="1"/>
  <c r="D5091" i="1"/>
  <c r="G5090" i="1"/>
  <c r="F5090" i="1"/>
  <c r="H5090" i="1" s="1"/>
  <c r="D5090" i="1"/>
  <c r="G5089" i="1"/>
  <c r="F5089" i="1"/>
  <c r="H5089" i="1" s="1"/>
  <c r="D5089" i="1"/>
  <c r="G5088" i="1"/>
  <c r="F5088" i="1"/>
  <c r="H5088" i="1" s="1"/>
  <c r="D5088" i="1"/>
  <c r="G5087" i="1"/>
  <c r="F5087" i="1"/>
  <c r="D5087" i="1"/>
  <c r="H5087" i="1" s="1"/>
  <c r="H5086" i="1"/>
  <c r="G5085" i="1"/>
  <c r="F5085" i="1"/>
  <c r="D5085" i="1"/>
  <c r="H5085" i="1" s="1"/>
  <c r="G5084" i="1"/>
  <c r="H5084" i="1" s="1"/>
  <c r="F5084" i="1"/>
  <c r="D5084" i="1"/>
  <c r="G5083" i="1"/>
  <c r="F5083" i="1"/>
  <c r="D5083" i="1"/>
  <c r="H5083" i="1" s="1"/>
  <c r="G5082" i="1"/>
  <c r="F5082" i="1"/>
  <c r="D5082" i="1"/>
  <c r="H5082" i="1" s="1"/>
  <c r="G5081" i="1"/>
  <c r="H5081" i="1" s="1"/>
  <c r="F5081" i="1"/>
  <c r="D5081" i="1"/>
  <c r="G5080" i="1"/>
  <c r="F5080" i="1"/>
  <c r="D5080" i="1"/>
  <c r="H5080" i="1" s="1"/>
  <c r="G5079" i="1"/>
  <c r="F5079" i="1"/>
  <c r="D5079" i="1"/>
  <c r="H5079" i="1" s="1"/>
  <c r="G5078" i="1"/>
  <c r="H5078" i="1" s="1"/>
  <c r="F5078" i="1"/>
  <c r="D5078" i="1"/>
  <c r="G5077" i="1"/>
  <c r="F5077" i="1"/>
  <c r="D5077" i="1"/>
  <c r="H5077" i="1" s="1"/>
  <c r="G5076" i="1"/>
  <c r="F5076" i="1"/>
  <c r="D5076" i="1"/>
  <c r="H5076" i="1" s="1"/>
  <c r="H5075" i="1"/>
  <c r="H5074" i="1"/>
  <c r="G5074" i="1"/>
  <c r="F5074" i="1"/>
  <c r="D5074" i="1"/>
  <c r="G5073" i="1"/>
  <c r="F5073" i="1"/>
  <c r="H5073" i="1" s="1"/>
  <c r="D5073" i="1"/>
  <c r="H5072" i="1"/>
  <c r="G5072" i="1"/>
  <c r="F5072" i="1"/>
  <c r="D5072" i="1"/>
  <c r="H5071" i="1"/>
  <c r="G5071" i="1"/>
  <c r="F5071" i="1"/>
  <c r="D5071" i="1"/>
  <c r="G5070" i="1"/>
  <c r="F5070" i="1"/>
  <c r="H5070" i="1" s="1"/>
  <c r="D5070" i="1"/>
  <c r="G5069" i="1"/>
  <c r="F5069" i="1"/>
  <c r="H5069" i="1" s="1"/>
  <c r="D5069" i="1"/>
  <c r="H5068" i="1"/>
  <c r="G5068" i="1"/>
  <c r="F5068" i="1"/>
  <c r="D5068" i="1"/>
  <c r="G5067" i="1"/>
  <c r="F5067" i="1"/>
  <c r="D5067" i="1"/>
  <c r="H5067" i="1" s="1"/>
  <c r="G5066" i="1"/>
  <c r="F5066" i="1"/>
  <c r="H5066" i="1" s="1"/>
  <c r="D5066" i="1"/>
  <c r="H5065" i="1"/>
  <c r="G5065" i="1"/>
  <c r="F5065" i="1"/>
  <c r="D5065" i="1"/>
  <c r="H5064" i="1"/>
  <c r="G5063" i="1"/>
  <c r="F5063" i="1"/>
  <c r="D5063" i="1"/>
  <c r="H5063" i="1" s="1"/>
  <c r="G5062" i="1"/>
  <c r="F5062" i="1"/>
  <c r="D5062" i="1"/>
  <c r="H5062" i="1" s="1"/>
  <c r="G5061" i="1"/>
  <c r="F5061" i="1"/>
  <c r="D5061" i="1"/>
  <c r="H5061" i="1" s="1"/>
  <c r="G5060" i="1"/>
  <c r="F5060" i="1"/>
  <c r="D5060" i="1"/>
  <c r="G5059" i="1"/>
  <c r="F5059" i="1"/>
  <c r="D5059" i="1"/>
  <c r="H5059" i="1" s="1"/>
  <c r="G5058" i="1"/>
  <c r="F5058" i="1"/>
  <c r="D5058" i="1"/>
  <c r="H5058" i="1" s="1"/>
  <c r="G5057" i="1"/>
  <c r="F5057" i="1"/>
  <c r="D5057" i="1"/>
  <c r="H5057" i="1" s="1"/>
  <c r="G5056" i="1"/>
  <c r="F5056" i="1"/>
  <c r="D5056" i="1"/>
  <c r="G5055" i="1"/>
  <c r="F5055" i="1"/>
  <c r="D5055" i="1"/>
  <c r="H5055" i="1" s="1"/>
  <c r="G5054" i="1"/>
  <c r="F5054" i="1"/>
  <c r="D5054" i="1"/>
  <c r="H5054" i="1" s="1"/>
  <c r="H5053" i="1"/>
  <c r="G5052" i="1"/>
  <c r="F5052" i="1"/>
  <c r="H5052" i="1" s="1"/>
  <c r="D5052" i="1"/>
  <c r="G5051" i="1"/>
  <c r="F5051" i="1"/>
  <c r="H5051" i="1" s="1"/>
  <c r="D5051" i="1"/>
  <c r="G5050" i="1"/>
  <c r="F5050" i="1"/>
  <c r="H5050" i="1" s="1"/>
  <c r="D5050" i="1"/>
  <c r="G5049" i="1"/>
  <c r="F5049" i="1"/>
  <c r="H5049" i="1" s="1"/>
  <c r="D5049" i="1"/>
  <c r="G5048" i="1"/>
  <c r="F5048" i="1"/>
  <c r="H5048" i="1" s="1"/>
  <c r="D5048" i="1"/>
  <c r="G5047" i="1"/>
  <c r="F5047" i="1"/>
  <c r="H5047" i="1" s="1"/>
  <c r="D5047" i="1"/>
  <c r="H5046" i="1"/>
  <c r="G5046" i="1"/>
  <c r="F5046" i="1"/>
  <c r="D5046" i="1"/>
  <c r="G5045" i="1"/>
  <c r="F5045" i="1"/>
  <c r="D5045" i="1"/>
  <c r="H5045" i="1" s="1"/>
  <c r="G5044" i="1"/>
  <c r="F5044" i="1"/>
  <c r="H5044" i="1" s="1"/>
  <c r="D5044" i="1"/>
  <c r="G5043" i="1"/>
  <c r="F5043" i="1"/>
  <c r="H5043" i="1" s="1"/>
  <c r="D5043" i="1"/>
  <c r="H5042" i="1"/>
  <c r="G5041" i="1"/>
  <c r="F5041" i="1"/>
  <c r="D5041" i="1"/>
  <c r="G5040" i="1"/>
  <c r="F5040" i="1"/>
  <c r="D5040" i="1"/>
  <c r="H5040" i="1" s="1"/>
  <c r="G5039" i="1"/>
  <c r="H5039" i="1" s="1"/>
  <c r="F5039" i="1"/>
  <c r="D5039" i="1"/>
  <c r="G5038" i="1"/>
  <c r="F5038" i="1"/>
  <c r="D5038" i="1"/>
  <c r="H5038" i="1" s="1"/>
  <c r="G5037" i="1"/>
  <c r="F5037" i="1"/>
  <c r="D5037" i="1"/>
  <c r="H5037" i="1" s="1"/>
  <c r="G5036" i="1"/>
  <c r="H5036" i="1" s="1"/>
  <c r="F5036" i="1"/>
  <c r="D5036" i="1"/>
  <c r="G5035" i="1"/>
  <c r="F5035" i="1"/>
  <c r="D5035" i="1"/>
  <c r="H5035" i="1" s="1"/>
  <c r="G5034" i="1"/>
  <c r="F5034" i="1"/>
  <c r="D5034" i="1"/>
  <c r="H5034" i="1" s="1"/>
  <c r="G5033" i="1"/>
  <c r="H5033" i="1" s="1"/>
  <c r="F5033" i="1"/>
  <c r="D5033" i="1"/>
  <c r="G5032" i="1"/>
  <c r="F5032" i="1"/>
  <c r="D5032" i="1"/>
  <c r="H5031" i="1"/>
  <c r="G5030" i="1"/>
  <c r="F5030" i="1"/>
  <c r="H5030" i="1" s="1"/>
  <c r="D5030" i="1"/>
  <c r="H5029" i="1"/>
  <c r="G5029" i="1"/>
  <c r="F5029" i="1"/>
  <c r="D5029" i="1"/>
  <c r="G5028" i="1"/>
  <c r="F5028" i="1"/>
  <c r="H5028" i="1" s="1"/>
  <c r="D5028" i="1"/>
  <c r="G5027" i="1"/>
  <c r="F5027" i="1"/>
  <c r="H5027" i="1" s="1"/>
  <c r="D5027" i="1"/>
  <c r="H5026" i="1"/>
  <c r="G5026" i="1"/>
  <c r="F5026" i="1"/>
  <c r="D5026" i="1"/>
  <c r="G5025" i="1"/>
  <c r="F5025" i="1"/>
  <c r="D5025" i="1"/>
  <c r="H5025" i="1" s="1"/>
  <c r="G5024" i="1"/>
  <c r="F5024" i="1"/>
  <c r="H5024" i="1" s="1"/>
  <c r="D5024" i="1"/>
  <c r="H5023" i="1"/>
  <c r="G5023" i="1"/>
  <c r="F5023" i="1"/>
  <c r="D5023" i="1"/>
  <c r="G5022" i="1"/>
  <c r="F5022" i="1"/>
  <c r="D5022" i="1"/>
  <c r="H5022" i="1" s="1"/>
  <c r="G5021" i="1"/>
  <c r="F5021" i="1"/>
  <c r="D5021" i="1"/>
  <c r="H5021" i="1" s="1"/>
  <c r="H5020" i="1"/>
  <c r="G5019" i="1"/>
  <c r="F5019" i="1"/>
  <c r="D5019" i="1"/>
  <c r="H5019" i="1" s="1"/>
  <c r="G5018" i="1"/>
  <c r="F5018" i="1"/>
  <c r="D5018" i="1"/>
  <c r="H5018" i="1" s="1"/>
  <c r="G5017" i="1"/>
  <c r="F5017" i="1"/>
  <c r="D5017" i="1"/>
  <c r="H5017" i="1" s="1"/>
  <c r="G5016" i="1"/>
  <c r="F5016" i="1"/>
  <c r="D5016" i="1"/>
  <c r="H5016" i="1" s="1"/>
  <c r="G5015" i="1"/>
  <c r="F5015" i="1"/>
  <c r="D5015" i="1"/>
  <c r="H5015" i="1" s="1"/>
  <c r="G5014" i="1"/>
  <c r="F5014" i="1"/>
  <c r="D5014" i="1"/>
  <c r="H5013" i="1"/>
  <c r="G5013" i="1"/>
  <c r="F5013" i="1"/>
  <c r="D5013" i="1"/>
  <c r="G5012" i="1"/>
  <c r="F5012" i="1"/>
  <c r="H5012" i="1" s="1"/>
  <c r="D5012" i="1"/>
  <c r="G5011" i="1"/>
  <c r="F5011" i="1"/>
  <c r="D5011" i="1"/>
  <c r="H5010" i="1"/>
  <c r="H5009" i="1"/>
  <c r="G5009" i="1"/>
  <c r="F5009" i="1"/>
  <c r="D5009" i="1"/>
  <c r="G5008" i="1"/>
  <c r="F5008" i="1"/>
  <c r="H5008" i="1" s="1"/>
  <c r="D5008" i="1"/>
  <c r="G5007" i="1"/>
  <c r="H5007" i="1" s="1"/>
  <c r="F5007" i="1"/>
  <c r="D5007" i="1"/>
  <c r="H5006" i="1"/>
  <c r="G5006" i="1"/>
  <c r="F5006" i="1"/>
  <c r="D5006" i="1"/>
  <c r="G5005" i="1"/>
  <c r="F5005" i="1"/>
  <c r="D5005" i="1"/>
  <c r="H5005" i="1" s="1"/>
  <c r="G5004" i="1"/>
  <c r="H5004" i="1" s="1"/>
  <c r="F5004" i="1"/>
  <c r="D5004" i="1"/>
  <c r="H5003" i="1"/>
  <c r="G5003" i="1"/>
  <c r="F5003" i="1"/>
  <c r="D5003" i="1"/>
  <c r="G5002" i="1"/>
  <c r="F5002" i="1"/>
  <c r="D5002" i="1"/>
  <c r="H5002" i="1" s="1"/>
  <c r="G5001" i="1"/>
  <c r="F5001" i="1"/>
  <c r="D5001" i="1"/>
  <c r="H5001" i="1" s="1"/>
  <c r="H5000" i="1"/>
  <c r="G5000" i="1"/>
  <c r="F5000" i="1"/>
  <c r="D5000" i="1"/>
  <c r="H4999" i="1"/>
  <c r="G4998" i="1"/>
  <c r="F4998" i="1"/>
  <c r="D4998" i="1"/>
  <c r="H4998" i="1" s="1"/>
  <c r="H4997" i="1"/>
  <c r="G4997" i="1"/>
  <c r="F4997" i="1"/>
  <c r="D4997" i="1"/>
  <c r="G4996" i="1"/>
  <c r="F4996" i="1"/>
  <c r="H4996" i="1" s="1"/>
  <c r="D4996" i="1"/>
  <c r="G4995" i="1"/>
  <c r="F4995" i="1"/>
  <c r="D4995" i="1"/>
  <c r="H4995" i="1" s="1"/>
  <c r="G4994" i="1"/>
  <c r="F4994" i="1"/>
  <c r="D4994" i="1"/>
  <c r="H4994" i="1" s="1"/>
  <c r="G4993" i="1"/>
  <c r="F4993" i="1"/>
  <c r="D4993" i="1"/>
  <c r="H4993" i="1" s="1"/>
  <c r="G4992" i="1"/>
  <c r="F4992" i="1"/>
  <c r="D4992" i="1"/>
  <c r="H4992" i="1" s="1"/>
  <c r="G4991" i="1"/>
  <c r="F4991" i="1"/>
  <c r="D4991" i="1"/>
  <c r="H4991" i="1" s="1"/>
  <c r="G4990" i="1"/>
  <c r="F4990" i="1"/>
  <c r="D4990" i="1"/>
  <c r="H4990" i="1" s="1"/>
  <c r="G4989" i="1"/>
  <c r="F4989" i="1"/>
  <c r="D4989" i="1"/>
  <c r="H4989" i="1" s="1"/>
  <c r="H4988" i="1"/>
  <c r="G4987" i="1"/>
  <c r="F4987" i="1"/>
  <c r="H4987" i="1" s="1"/>
  <c r="D4987" i="1"/>
  <c r="G4986" i="1"/>
  <c r="F4986" i="1"/>
  <c r="H4986" i="1" s="1"/>
  <c r="D4986" i="1"/>
  <c r="G4985" i="1"/>
  <c r="F4985" i="1"/>
  <c r="D4985" i="1"/>
  <c r="H4985" i="1" s="1"/>
  <c r="G4984" i="1"/>
  <c r="F4984" i="1"/>
  <c r="D4984" i="1"/>
  <c r="H4984" i="1" s="1"/>
  <c r="G4983" i="1"/>
  <c r="F4983" i="1"/>
  <c r="H4983" i="1" s="1"/>
  <c r="D4983" i="1"/>
  <c r="G4982" i="1"/>
  <c r="F4982" i="1"/>
  <c r="D4982" i="1"/>
  <c r="H4982" i="1" s="1"/>
  <c r="G4981" i="1"/>
  <c r="F4981" i="1"/>
  <c r="D4981" i="1"/>
  <c r="H4981" i="1" s="1"/>
  <c r="G4980" i="1"/>
  <c r="F4980" i="1"/>
  <c r="H4980" i="1" s="1"/>
  <c r="D4980" i="1"/>
  <c r="G4979" i="1"/>
  <c r="F4979" i="1"/>
  <c r="D4979" i="1"/>
  <c r="H4979" i="1" s="1"/>
  <c r="G4978" i="1"/>
  <c r="F4978" i="1"/>
  <c r="D4978" i="1"/>
  <c r="H4978" i="1" s="1"/>
  <c r="H4977" i="1"/>
  <c r="H4976" i="1"/>
  <c r="G4976" i="1"/>
  <c r="F4976" i="1"/>
  <c r="D4976" i="1"/>
  <c r="G4975" i="1"/>
  <c r="F4975" i="1"/>
  <c r="H4975" i="1" s="1"/>
  <c r="D4975" i="1"/>
  <c r="G4974" i="1"/>
  <c r="F4974" i="1"/>
  <c r="H4974" i="1" s="1"/>
  <c r="D4974" i="1"/>
  <c r="G4973" i="1"/>
  <c r="F4973" i="1"/>
  <c r="D4973" i="1"/>
  <c r="H4973" i="1" s="1"/>
  <c r="G4972" i="1"/>
  <c r="F4972" i="1"/>
  <c r="D4972" i="1"/>
  <c r="H4972" i="1" s="1"/>
  <c r="G4971" i="1"/>
  <c r="F4971" i="1"/>
  <c r="H4971" i="1" s="1"/>
  <c r="D4971" i="1"/>
  <c r="G4970" i="1"/>
  <c r="F4970" i="1"/>
  <c r="D4970" i="1"/>
  <c r="H4970" i="1" s="1"/>
  <c r="G4969" i="1"/>
  <c r="F4969" i="1"/>
  <c r="D4969" i="1"/>
  <c r="H4969" i="1" s="1"/>
  <c r="G4968" i="1"/>
  <c r="F4968" i="1"/>
  <c r="D4968" i="1"/>
  <c r="H4968" i="1" s="1"/>
  <c r="G4967" i="1"/>
  <c r="F4967" i="1"/>
  <c r="D4967" i="1"/>
  <c r="H4967" i="1" s="1"/>
  <c r="H4966" i="1"/>
  <c r="H4965" i="1"/>
  <c r="G4965" i="1"/>
  <c r="F4965" i="1"/>
  <c r="D4965" i="1"/>
  <c r="H4964" i="1"/>
  <c r="G4964" i="1"/>
  <c r="F4964" i="1"/>
  <c r="D4964" i="1"/>
  <c r="G4963" i="1"/>
  <c r="F4963" i="1"/>
  <c r="H4963" i="1" s="1"/>
  <c r="D4963" i="1"/>
  <c r="G4962" i="1"/>
  <c r="H4962" i="1" s="1"/>
  <c r="F4962" i="1"/>
  <c r="D4962" i="1"/>
  <c r="H4961" i="1"/>
  <c r="G4961" i="1"/>
  <c r="F4961" i="1"/>
  <c r="D4961" i="1"/>
  <c r="G4960" i="1"/>
  <c r="F4960" i="1"/>
  <c r="D4960" i="1"/>
  <c r="H4960" i="1" s="1"/>
  <c r="G4959" i="1"/>
  <c r="H4959" i="1" s="1"/>
  <c r="F4959" i="1"/>
  <c r="D4959" i="1"/>
  <c r="H4958" i="1"/>
  <c r="G4958" i="1"/>
  <c r="F4958" i="1"/>
  <c r="D4958" i="1"/>
  <c r="G4957" i="1"/>
  <c r="F4957" i="1"/>
  <c r="D4957" i="1"/>
  <c r="H4957" i="1" s="1"/>
  <c r="G4956" i="1"/>
  <c r="F4956" i="1"/>
  <c r="D4956" i="1"/>
  <c r="H4956" i="1" s="1"/>
  <c r="G4955" i="1"/>
  <c r="F4955" i="1"/>
  <c r="D4955" i="1"/>
  <c r="H4955" i="1" s="1"/>
  <c r="H4954" i="1"/>
  <c r="G4953" i="1"/>
  <c r="F4953" i="1"/>
  <c r="D4953" i="1"/>
  <c r="H4953" i="1" s="1"/>
  <c r="H4952" i="1"/>
  <c r="G4952" i="1"/>
  <c r="F4952" i="1"/>
  <c r="D4952" i="1"/>
  <c r="G4951" i="1"/>
  <c r="F4951" i="1"/>
  <c r="H4951" i="1" s="1"/>
  <c r="D4951" i="1"/>
  <c r="G4950" i="1"/>
  <c r="F4950" i="1"/>
  <c r="D4950" i="1"/>
  <c r="H4950" i="1" s="1"/>
  <c r="G4949" i="1"/>
  <c r="F4949" i="1"/>
  <c r="D4949" i="1"/>
  <c r="H4949" i="1" s="1"/>
  <c r="H4948" i="1"/>
  <c r="G4947" i="1"/>
  <c r="H4947" i="1" s="1"/>
  <c r="F4947" i="1"/>
  <c r="D4947" i="1"/>
  <c r="G4946" i="1"/>
  <c r="F4946" i="1"/>
  <c r="D4946" i="1"/>
  <c r="H4946" i="1" s="1"/>
  <c r="G4945" i="1"/>
  <c r="F4945" i="1"/>
  <c r="D4945" i="1"/>
  <c r="H4945" i="1" s="1"/>
  <c r="G4944" i="1"/>
  <c r="H4944" i="1" s="1"/>
  <c r="F4944" i="1"/>
  <c r="D4944" i="1"/>
  <c r="G4943" i="1"/>
  <c r="F4943" i="1"/>
  <c r="D4943" i="1"/>
  <c r="H4943" i="1" s="1"/>
  <c r="G4942" i="1"/>
  <c r="F4942" i="1"/>
  <c r="D4942" i="1"/>
  <c r="H4942" i="1" s="1"/>
  <c r="G4941" i="1"/>
  <c r="F4941" i="1"/>
  <c r="D4941" i="1"/>
  <c r="H4941" i="1" s="1"/>
  <c r="G4940" i="1"/>
  <c r="F4940" i="1"/>
  <c r="D4940" i="1"/>
  <c r="H4940" i="1" s="1"/>
  <c r="G4939" i="1"/>
  <c r="F4939" i="1"/>
  <c r="D4939" i="1"/>
  <c r="H4939" i="1" s="1"/>
  <c r="G4938" i="1"/>
  <c r="F4938" i="1"/>
  <c r="D4938" i="1"/>
  <c r="H4938" i="1" s="1"/>
  <c r="H4937" i="1"/>
  <c r="G4936" i="1"/>
  <c r="F4936" i="1"/>
  <c r="D4936" i="1"/>
  <c r="H4936" i="1" s="1"/>
  <c r="G4935" i="1"/>
  <c r="F4935" i="1"/>
  <c r="H4935" i="1" s="1"/>
  <c r="D4935" i="1"/>
  <c r="H4934" i="1"/>
  <c r="G4934" i="1"/>
  <c r="F4934" i="1"/>
  <c r="D4934" i="1"/>
  <c r="G4933" i="1"/>
  <c r="F4933" i="1"/>
  <c r="D4933" i="1"/>
  <c r="H4933" i="1" s="1"/>
  <c r="G4932" i="1"/>
  <c r="F4932" i="1"/>
  <c r="H4932" i="1" s="1"/>
  <c r="D4932" i="1"/>
  <c r="G4931" i="1"/>
  <c r="F4931" i="1"/>
  <c r="D4931" i="1"/>
  <c r="H4931" i="1" s="1"/>
  <c r="G4930" i="1"/>
  <c r="F4930" i="1"/>
  <c r="D4930" i="1"/>
  <c r="H4930" i="1" s="1"/>
  <c r="G4929" i="1"/>
  <c r="F4929" i="1"/>
  <c r="H4929" i="1" s="1"/>
  <c r="D4929" i="1"/>
  <c r="G4928" i="1"/>
  <c r="F4928" i="1"/>
  <c r="D4928" i="1"/>
  <c r="H4928" i="1" s="1"/>
  <c r="G4927" i="1"/>
  <c r="F4927" i="1"/>
  <c r="D4927" i="1"/>
  <c r="H4927" i="1" s="1"/>
  <c r="H4926" i="1"/>
  <c r="H4925" i="1"/>
  <c r="G4925" i="1"/>
  <c r="F4925" i="1"/>
  <c r="D4925" i="1"/>
  <c r="G4924" i="1"/>
  <c r="F4924" i="1"/>
  <c r="D4924" i="1"/>
  <c r="H4924" i="1" s="1"/>
  <c r="G4923" i="1"/>
  <c r="H4923" i="1" s="1"/>
  <c r="F4923" i="1"/>
  <c r="D4923" i="1"/>
  <c r="G4922" i="1"/>
  <c r="H4922" i="1" s="1"/>
  <c r="F4922" i="1"/>
  <c r="D4922" i="1"/>
  <c r="G4921" i="1"/>
  <c r="F4921" i="1"/>
  <c r="D4921" i="1"/>
  <c r="H4921" i="1" s="1"/>
  <c r="G4920" i="1"/>
  <c r="H4920" i="1" s="1"/>
  <c r="F4920" i="1"/>
  <c r="D4920" i="1"/>
  <c r="G4919" i="1"/>
  <c r="F4919" i="1"/>
  <c r="D4919" i="1"/>
  <c r="H4919" i="1" s="1"/>
  <c r="G4918" i="1"/>
  <c r="F4918" i="1"/>
  <c r="D4918" i="1"/>
  <c r="H4918" i="1" s="1"/>
  <c r="G4917" i="1"/>
  <c r="F4917" i="1"/>
  <c r="D4917" i="1"/>
  <c r="H4917" i="1" s="1"/>
  <c r="G4916" i="1"/>
  <c r="F4916" i="1"/>
  <c r="D4916" i="1"/>
  <c r="H4916" i="1" s="1"/>
  <c r="H4915" i="1"/>
  <c r="G4914" i="1"/>
  <c r="F4914" i="1"/>
  <c r="D4914" i="1"/>
  <c r="H4914" i="1" s="1"/>
  <c r="H4913" i="1"/>
  <c r="G4913" i="1"/>
  <c r="F4913" i="1"/>
  <c r="D4913" i="1"/>
  <c r="G4912" i="1"/>
  <c r="F4912" i="1"/>
  <c r="H4912" i="1" s="1"/>
  <c r="D4912" i="1"/>
  <c r="G4911" i="1"/>
  <c r="F4911" i="1"/>
  <c r="D4911" i="1"/>
  <c r="H4911" i="1" s="1"/>
  <c r="H4910" i="1"/>
  <c r="G4910" i="1"/>
  <c r="F4910" i="1"/>
  <c r="D4910" i="1"/>
  <c r="G4909" i="1"/>
  <c r="F4909" i="1"/>
  <c r="H4909" i="1" s="1"/>
  <c r="D4909" i="1"/>
  <c r="G4908" i="1"/>
  <c r="F4908" i="1"/>
  <c r="D4908" i="1"/>
  <c r="H4908" i="1" s="1"/>
  <c r="G4907" i="1"/>
  <c r="F4907" i="1"/>
  <c r="D4907" i="1"/>
  <c r="H4907" i="1" s="1"/>
  <c r="G4906" i="1"/>
  <c r="F4906" i="1"/>
  <c r="H4906" i="1" s="1"/>
  <c r="D4906" i="1"/>
  <c r="G4905" i="1"/>
  <c r="F4905" i="1"/>
  <c r="D4905" i="1"/>
  <c r="H4905" i="1" s="1"/>
  <c r="H4904" i="1"/>
  <c r="G4903" i="1"/>
  <c r="F4903" i="1"/>
  <c r="D4903" i="1"/>
  <c r="H4903" i="1" s="1"/>
  <c r="G4902" i="1"/>
  <c r="H4902" i="1" s="1"/>
  <c r="F4902" i="1"/>
  <c r="D4902" i="1"/>
  <c r="G4901" i="1"/>
  <c r="F4901" i="1"/>
  <c r="D4901" i="1"/>
  <c r="H4901" i="1" s="1"/>
  <c r="G4900" i="1"/>
  <c r="F4900" i="1"/>
  <c r="D4900" i="1"/>
  <c r="H4900" i="1" s="1"/>
  <c r="G4899" i="1"/>
  <c r="F4899" i="1"/>
  <c r="D4899" i="1"/>
  <c r="H4899" i="1" s="1"/>
  <c r="G4898" i="1"/>
  <c r="F4898" i="1"/>
  <c r="D4898" i="1"/>
  <c r="H4898" i="1" s="1"/>
  <c r="G4897" i="1"/>
  <c r="F4897" i="1"/>
  <c r="D4897" i="1"/>
  <c r="H4897" i="1" s="1"/>
  <c r="G4896" i="1"/>
  <c r="F4896" i="1"/>
  <c r="D4896" i="1"/>
  <c r="H4896" i="1" s="1"/>
  <c r="G4895" i="1"/>
  <c r="F4895" i="1"/>
  <c r="D4895" i="1"/>
  <c r="H4895" i="1" s="1"/>
  <c r="G4894" i="1"/>
  <c r="F4894" i="1"/>
  <c r="D4894" i="1"/>
  <c r="H4894" i="1" s="1"/>
  <c r="H4893" i="1"/>
  <c r="H4892" i="1"/>
  <c r="G4892" i="1"/>
  <c r="F4892" i="1"/>
  <c r="D4892" i="1"/>
  <c r="G4891" i="1"/>
  <c r="F4891" i="1"/>
  <c r="D4891" i="1"/>
  <c r="H4891" i="1" s="1"/>
  <c r="G4890" i="1"/>
  <c r="F4890" i="1"/>
  <c r="H4890" i="1" s="1"/>
  <c r="D4890" i="1"/>
  <c r="H4889" i="1"/>
  <c r="G4889" i="1"/>
  <c r="F4889" i="1"/>
  <c r="D4889" i="1"/>
  <c r="G4888" i="1"/>
  <c r="F4888" i="1"/>
  <c r="D4888" i="1"/>
  <c r="H4888" i="1" s="1"/>
  <c r="G4887" i="1"/>
  <c r="F4887" i="1"/>
  <c r="H4887" i="1" s="1"/>
  <c r="D4887" i="1"/>
  <c r="G4886" i="1"/>
  <c r="F4886" i="1"/>
  <c r="D4886" i="1"/>
  <c r="H4886" i="1" s="1"/>
  <c r="G4885" i="1"/>
  <c r="F4885" i="1"/>
  <c r="D4885" i="1"/>
  <c r="H4885" i="1" s="1"/>
  <c r="G4884" i="1"/>
  <c r="F4884" i="1"/>
  <c r="H4884" i="1" s="1"/>
  <c r="D4884" i="1"/>
  <c r="G4883" i="1"/>
  <c r="F4883" i="1"/>
  <c r="D4883" i="1"/>
  <c r="H4883" i="1" s="1"/>
  <c r="H4882" i="1"/>
  <c r="G4881" i="1"/>
  <c r="H4881" i="1" s="1"/>
  <c r="F4881" i="1"/>
  <c r="D4881" i="1"/>
  <c r="G4880" i="1"/>
  <c r="H4880" i="1" s="1"/>
  <c r="F4880" i="1"/>
  <c r="D4880" i="1"/>
  <c r="G4879" i="1"/>
  <c r="F4879" i="1"/>
  <c r="D4879" i="1"/>
  <c r="H4879" i="1" s="1"/>
  <c r="G4878" i="1"/>
  <c r="H4878" i="1" s="1"/>
  <c r="F4878" i="1"/>
  <c r="D4878" i="1"/>
  <c r="G4877" i="1"/>
  <c r="F4877" i="1"/>
  <c r="D4877" i="1"/>
  <c r="H4877" i="1" s="1"/>
  <c r="G4876" i="1"/>
  <c r="F4876" i="1"/>
  <c r="D4876" i="1"/>
  <c r="H4876" i="1" s="1"/>
  <c r="G4875" i="1"/>
  <c r="F4875" i="1"/>
  <c r="D4875" i="1"/>
  <c r="H4875" i="1" s="1"/>
  <c r="G4874" i="1"/>
  <c r="F4874" i="1"/>
  <c r="D4874" i="1"/>
  <c r="H4874" i="1" s="1"/>
  <c r="G4873" i="1"/>
  <c r="F4873" i="1"/>
  <c r="D4873" i="1"/>
  <c r="H4873" i="1" s="1"/>
  <c r="G4872" i="1"/>
  <c r="F4872" i="1"/>
  <c r="D4872" i="1"/>
  <c r="H4872" i="1" s="1"/>
  <c r="H4871" i="1"/>
  <c r="H4870" i="1"/>
  <c r="G4870" i="1"/>
  <c r="F4870" i="1"/>
  <c r="D4870" i="1"/>
  <c r="G4869" i="1"/>
  <c r="F4869" i="1"/>
  <c r="D4869" i="1"/>
  <c r="H4869" i="1" s="1"/>
  <c r="H4868" i="1"/>
  <c r="G4868" i="1"/>
  <c r="F4868" i="1"/>
  <c r="D4868" i="1"/>
  <c r="G4867" i="1"/>
  <c r="F4867" i="1"/>
  <c r="H4867" i="1" s="1"/>
  <c r="D4867" i="1"/>
  <c r="G4866" i="1"/>
  <c r="F4866" i="1"/>
  <c r="D4866" i="1"/>
  <c r="H4866" i="1" s="1"/>
  <c r="H4865" i="1"/>
  <c r="G4865" i="1"/>
  <c r="F4865" i="1"/>
  <c r="D4865" i="1"/>
  <c r="G4864" i="1"/>
  <c r="F4864" i="1"/>
  <c r="H4864" i="1" s="1"/>
  <c r="D4864" i="1"/>
  <c r="G4863" i="1"/>
  <c r="F4863" i="1"/>
  <c r="D4863" i="1"/>
  <c r="H4863" i="1" s="1"/>
  <c r="G4862" i="1"/>
  <c r="F4862" i="1"/>
  <c r="D4862" i="1"/>
  <c r="H4862" i="1" s="1"/>
  <c r="G4861" i="1"/>
  <c r="F4861" i="1"/>
  <c r="H4861" i="1" s="1"/>
  <c r="D4861" i="1"/>
  <c r="G4860" i="1"/>
  <c r="F4860" i="1"/>
  <c r="D4860" i="1"/>
  <c r="H4860" i="1" s="1"/>
  <c r="G4859" i="1"/>
  <c r="F4859" i="1"/>
  <c r="D4859" i="1"/>
  <c r="H4859" i="1" s="1"/>
  <c r="G4858" i="1"/>
  <c r="F4858" i="1"/>
  <c r="H4858" i="1" s="1"/>
  <c r="D4858" i="1"/>
  <c r="G4857" i="1"/>
  <c r="F4857" i="1"/>
  <c r="D4857" i="1"/>
  <c r="H4857" i="1" s="1"/>
  <c r="G4856" i="1"/>
  <c r="F4856" i="1"/>
  <c r="D4856" i="1"/>
  <c r="H4856" i="1" s="1"/>
  <c r="G4855" i="1"/>
  <c r="F4855" i="1"/>
  <c r="D4855" i="1"/>
  <c r="H4855" i="1" s="1"/>
  <c r="G4854" i="1"/>
  <c r="F4854" i="1"/>
  <c r="D4854" i="1"/>
  <c r="H4854" i="1" s="1"/>
  <c r="H4853" i="1"/>
  <c r="G4852" i="1"/>
  <c r="F4852" i="1"/>
  <c r="H4852" i="1" s="1"/>
  <c r="D4852" i="1"/>
  <c r="G4851" i="1"/>
  <c r="F4851" i="1"/>
  <c r="H4851" i="1" s="1"/>
  <c r="D4851" i="1"/>
  <c r="G4850" i="1"/>
  <c r="F4850" i="1"/>
  <c r="H4850" i="1" s="1"/>
  <c r="D4850" i="1"/>
  <c r="G4849" i="1"/>
  <c r="F4849" i="1"/>
  <c r="D4849" i="1"/>
  <c r="H4849" i="1" s="1"/>
  <c r="G4848" i="1"/>
  <c r="F4848" i="1"/>
  <c r="H4848" i="1" s="1"/>
  <c r="D4848" i="1"/>
  <c r="G4847" i="1"/>
  <c r="F4847" i="1"/>
  <c r="H4847" i="1" s="1"/>
  <c r="D4847" i="1"/>
  <c r="G4846" i="1"/>
  <c r="F4846" i="1"/>
  <c r="D4846" i="1"/>
  <c r="H4846" i="1" s="1"/>
  <c r="G4845" i="1"/>
  <c r="F4845" i="1"/>
  <c r="D4845" i="1"/>
  <c r="H4845" i="1" s="1"/>
  <c r="G4844" i="1"/>
  <c r="F4844" i="1"/>
  <c r="D4844" i="1"/>
  <c r="H4844" i="1" s="1"/>
  <c r="G4843" i="1"/>
  <c r="F4843" i="1"/>
  <c r="D4843" i="1"/>
  <c r="H4843" i="1" s="1"/>
  <c r="G4842" i="1"/>
  <c r="F4842" i="1"/>
  <c r="D4842" i="1"/>
  <c r="H4842" i="1" s="1"/>
  <c r="G4841" i="1"/>
  <c r="F4841" i="1"/>
  <c r="D4841" i="1"/>
  <c r="H4841" i="1" s="1"/>
  <c r="G4840" i="1"/>
  <c r="F4840" i="1"/>
  <c r="D4840" i="1"/>
  <c r="H4840" i="1" s="1"/>
  <c r="G4839" i="1"/>
  <c r="F4839" i="1"/>
  <c r="D4839" i="1"/>
  <c r="H4839" i="1" s="1"/>
  <c r="G4838" i="1"/>
  <c r="F4838" i="1"/>
  <c r="D4838" i="1"/>
  <c r="H4838" i="1" s="1"/>
  <c r="H4837" i="1"/>
  <c r="H4836" i="1"/>
  <c r="G4835" i="1"/>
  <c r="F4835" i="1"/>
  <c r="D4835" i="1"/>
  <c r="H4835" i="1" s="1"/>
  <c r="G4834" i="1"/>
  <c r="F4834" i="1"/>
  <c r="D4834" i="1"/>
  <c r="H4834" i="1" s="1"/>
  <c r="H4833" i="1"/>
  <c r="G4833" i="1"/>
  <c r="F4833" i="1"/>
  <c r="D4833" i="1"/>
  <c r="G4832" i="1"/>
  <c r="F4832" i="1"/>
  <c r="D4832" i="1"/>
  <c r="H4832" i="1" s="1"/>
  <c r="G4831" i="1"/>
  <c r="F4831" i="1"/>
  <c r="D4831" i="1"/>
  <c r="H4831" i="1" s="1"/>
  <c r="H4830" i="1"/>
  <c r="G4830" i="1"/>
  <c r="F4830" i="1"/>
  <c r="D4830" i="1"/>
  <c r="G4829" i="1"/>
  <c r="F4829" i="1"/>
  <c r="D4829" i="1"/>
  <c r="H4829" i="1" s="1"/>
  <c r="G4828" i="1"/>
  <c r="F4828" i="1"/>
  <c r="D4828" i="1"/>
  <c r="H4828" i="1" s="1"/>
  <c r="G4827" i="1"/>
  <c r="F4827" i="1"/>
  <c r="D4827" i="1"/>
  <c r="H4827" i="1" s="1"/>
  <c r="G4826" i="1"/>
  <c r="F4826" i="1"/>
  <c r="D4826" i="1"/>
  <c r="H4826" i="1" s="1"/>
  <c r="H4825" i="1"/>
  <c r="H4824" i="1"/>
  <c r="H4823" i="1"/>
  <c r="G4822" i="1"/>
  <c r="F4822" i="1"/>
  <c r="H4822" i="1" s="1"/>
  <c r="D4822" i="1"/>
  <c r="H4821" i="1"/>
  <c r="G4821" i="1"/>
  <c r="F4821" i="1"/>
  <c r="D4821" i="1"/>
  <c r="H4820" i="1"/>
  <c r="G4820" i="1"/>
  <c r="F4820" i="1"/>
  <c r="D4820" i="1"/>
  <c r="G4819" i="1"/>
  <c r="F4819" i="1"/>
  <c r="H4819" i="1" s="1"/>
  <c r="D4819" i="1"/>
  <c r="G4818" i="1"/>
  <c r="F4818" i="1"/>
  <c r="H4818" i="1" s="1"/>
  <c r="D4818" i="1"/>
  <c r="H4817" i="1"/>
  <c r="G4817" i="1"/>
  <c r="F4817" i="1"/>
  <c r="D4817" i="1"/>
  <c r="G4816" i="1"/>
  <c r="F4816" i="1"/>
  <c r="D4816" i="1"/>
  <c r="H4816" i="1" s="1"/>
  <c r="G4815" i="1"/>
  <c r="F4815" i="1"/>
  <c r="H4815" i="1" s="1"/>
  <c r="D4815" i="1"/>
  <c r="H4814" i="1"/>
  <c r="G4814" i="1"/>
  <c r="F4814" i="1"/>
  <c r="D4814" i="1"/>
  <c r="G4813" i="1"/>
  <c r="F4813" i="1"/>
  <c r="D4813" i="1"/>
  <c r="H4813" i="1" s="1"/>
  <c r="H4812" i="1"/>
  <c r="H4811" i="1"/>
  <c r="H4810" i="1"/>
  <c r="G4809" i="1"/>
  <c r="F4809" i="1"/>
  <c r="D4809" i="1"/>
  <c r="H4809" i="1" s="1"/>
  <c r="G4808" i="1"/>
  <c r="F4808" i="1"/>
  <c r="D4808" i="1"/>
  <c r="H4808" i="1" s="1"/>
  <c r="G4807" i="1"/>
  <c r="F4807" i="1"/>
  <c r="D4807" i="1"/>
  <c r="H4807" i="1" s="1"/>
  <c r="G4806" i="1"/>
  <c r="F4806" i="1"/>
  <c r="D4806" i="1"/>
  <c r="H4806" i="1" s="1"/>
  <c r="G4805" i="1"/>
  <c r="F4805" i="1"/>
  <c r="D4805" i="1"/>
  <c r="H4805" i="1" s="1"/>
  <c r="G4804" i="1"/>
  <c r="F4804" i="1"/>
  <c r="D4804" i="1"/>
  <c r="H4804" i="1" s="1"/>
  <c r="G4803" i="1"/>
  <c r="F4803" i="1"/>
  <c r="D4803" i="1"/>
  <c r="H4803" i="1" s="1"/>
  <c r="G4802" i="1"/>
  <c r="F4802" i="1"/>
  <c r="D4802" i="1"/>
  <c r="H4802" i="1" s="1"/>
  <c r="G4801" i="1"/>
  <c r="F4801" i="1"/>
  <c r="D4801" i="1"/>
  <c r="H4801" i="1" s="1"/>
  <c r="G4800" i="1"/>
  <c r="F4800" i="1"/>
  <c r="D4800" i="1"/>
  <c r="H4800" i="1" s="1"/>
  <c r="H4799" i="1"/>
  <c r="H4798" i="1"/>
  <c r="G4797" i="1"/>
  <c r="H4797" i="1" s="1"/>
  <c r="F4797" i="1"/>
  <c r="D4797" i="1"/>
  <c r="G4796" i="1"/>
  <c r="F4796" i="1"/>
  <c r="D4796" i="1"/>
  <c r="H4796" i="1" s="1"/>
  <c r="G4795" i="1"/>
  <c r="F4795" i="1"/>
  <c r="D4795" i="1"/>
  <c r="H4795" i="1" s="1"/>
  <c r="G4794" i="1"/>
  <c r="F4794" i="1"/>
  <c r="D4794" i="1"/>
  <c r="H4794" i="1" s="1"/>
  <c r="G4793" i="1"/>
  <c r="F4793" i="1"/>
  <c r="D4793" i="1"/>
  <c r="H4793" i="1" s="1"/>
  <c r="G4792" i="1"/>
  <c r="F4792" i="1"/>
  <c r="D4792" i="1"/>
  <c r="H4792" i="1" s="1"/>
  <c r="G4791" i="1"/>
  <c r="F4791" i="1"/>
  <c r="D4791" i="1"/>
  <c r="H4791" i="1" s="1"/>
  <c r="G4790" i="1"/>
  <c r="F4790" i="1"/>
  <c r="D4790" i="1"/>
  <c r="H4790" i="1" s="1"/>
  <c r="G4789" i="1"/>
  <c r="F4789" i="1"/>
  <c r="D4789" i="1"/>
  <c r="H4789" i="1" s="1"/>
  <c r="G4788" i="1"/>
  <c r="F4788" i="1"/>
  <c r="D4788" i="1"/>
  <c r="H4788" i="1" s="1"/>
  <c r="H4787" i="1"/>
  <c r="H4786" i="1"/>
  <c r="H4785" i="1"/>
  <c r="H4784" i="1"/>
  <c r="G4784" i="1"/>
  <c r="F4784" i="1"/>
  <c r="D4784" i="1"/>
  <c r="G4783" i="1"/>
  <c r="F4783" i="1"/>
  <c r="D4783" i="1"/>
  <c r="H4783" i="1" s="1"/>
  <c r="G4782" i="1"/>
  <c r="F4782" i="1"/>
  <c r="H4782" i="1" s="1"/>
  <c r="D4782" i="1"/>
  <c r="H4781" i="1"/>
  <c r="G4781" i="1"/>
  <c r="F4781" i="1"/>
  <c r="D4781" i="1"/>
  <c r="G4780" i="1"/>
  <c r="F4780" i="1"/>
  <c r="D4780" i="1"/>
  <c r="H4780" i="1" s="1"/>
  <c r="G4779" i="1"/>
  <c r="F4779" i="1"/>
  <c r="H4779" i="1" s="1"/>
  <c r="D4779" i="1"/>
  <c r="H4778" i="1"/>
  <c r="G4778" i="1"/>
  <c r="F4778" i="1"/>
  <c r="D4778" i="1"/>
  <c r="G4777" i="1"/>
  <c r="F4777" i="1"/>
  <c r="D4777" i="1"/>
  <c r="H4777" i="1" s="1"/>
  <c r="G4776" i="1"/>
  <c r="F4776" i="1"/>
  <c r="H4776" i="1" s="1"/>
  <c r="D4776" i="1"/>
  <c r="H4775" i="1"/>
  <c r="G4775" i="1"/>
  <c r="F4775" i="1"/>
  <c r="D4775" i="1"/>
  <c r="H4774" i="1"/>
  <c r="H4773" i="1"/>
  <c r="H4772" i="1"/>
  <c r="G4771" i="1"/>
  <c r="F4771" i="1"/>
  <c r="D4771" i="1"/>
  <c r="H4771" i="1" s="1"/>
  <c r="G4770" i="1"/>
  <c r="F4770" i="1"/>
  <c r="D4770" i="1"/>
  <c r="H4770" i="1" s="1"/>
  <c r="G4769" i="1"/>
  <c r="F4769" i="1"/>
  <c r="D4769" i="1"/>
  <c r="H4769" i="1" s="1"/>
  <c r="G4768" i="1"/>
  <c r="F4768" i="1"/>
  <c r="D4768" i="1"/>
  <c r="H4768" i="1" s="1"/>
  <c r="G4767" i="1"/>
  <c r="F4767" i="1"/>
  <c r="D4767" i="1"/>
  <c r="H4767" i="1" s="1"/>
  <c r="G4766" i="1"/>
  <c r="F4766" i="1"/>
  <c r="D4766" i="1"/>
  <c r="H4766" i="1" s="1"/>
  <c r="G4765" i="1"/>
  <c r="F4765" i="1"/>
  <c r="D4765" i="1"/>
  <c r="H4765" i="1" s="1"/>
  <c r="G4764" i="1"/>
  <c r="F4764" i="1"/>
  <c r="D4764" i="1"/>
  <c r="H4764" i="1" s="1"/>
  <c r="G4763" i="1"/>
  <c r="F4763" i="1"/>
  <c r="D4763" i="1"/>
  <c r="H4763" i="1" s="1"/>
  <c r="G4762" i="1"/>
  <c r="F4762" i="1"/>
  <c r="D4762" i="1"/>
  <c r="H4762" i="1" s="1"/>
  <c r="H4761" i="1"/>
  <c r="H4760" i="1"/>
  <c r="H4759" i="1"/>
  <c r="H4758" i="1"/>
  <c r="G4758" i="1"/>
  <c r="F4758" i="1"/>
  <c r="D4758" i="1"/>
  <c r="H4757" i="1"/>
  <c r="G4757" i="1"/>
  <c r="F4757" i="1"/>
  <c r="D4757" i="1"/>
  <c r="H4756" i="1"/>
  <c r="G4756" i="1"/>
  <c r="F4756" i="1"/>
  <c r="D4756" i="1"/>
  <c r="G4755" i="1"/>
  <c r="F4755" i="1"/>
  <c r="D4755" i="1"/>
  <c r="H4755" i="1" s="1"/>
  <c r="H4754" i="1"/>
  <c r="G4754" i="1"/>
  <c r="F4754" i="1"/>
  <c r="D4754" i="1"/>
  <c r="H4753" i="1"/>
  <c r="G4753" i="1"/>
  <c r="F4753" i="1"/>
  <c r="D4753" i="1"/>
  <c r="G4752" i="1"/>
  <c r="F4752" i="1"/>
  <c r="D4752" i="1"/>
  <c r="H4752" i="1" s="1"/>
  <c r="H4751" i="1"/>
  <c r="G4751" i="1"/>
  <c r="F4751" i="1"/>
  <c r="D4751" i="1"/>
  <c r="H4750" i="1"/>
  <c r="G4750" i="1"/>
  <c r="F4750" i="1"/>
  <c r="D4750" i="1"/>
  <c r="G4749" i="1"/>
  <c r="F4749" i="1"/>
  <c r="D4749" i="1"/>
  <c r="H4749" i="1" s="1"/>
  <c r="H4748" i="1"/>
  <c r="H4747" i="1"/>
  <c r="H4746" i="1"/>
  <c r="G4745" i="1"/>
  <c r="F4745" i="1"/>
  <c r="D4745" i="1"/>
  <c r="H4745" i="1" s="1"/>
  <c r="G4744" i="1"/>
  <c r="F4744" i="1"/>
  <c r="D4744" i="1"/>
  <c r="H4744" i="1" s="1"/>
  <c r="G4743" i="1"/>
  <c r="H4743" i="1" s="1"/>
  <c r="F4743" i="1"/>
  <c r="D4743" i="1"/>
  <c r="G4742" i="1"/>
  <c r="F4742" i="1"/>
  <c r="D4742" i="1"/>
  <c r="H4742" i="1" s="1"/>
  <c r="G4741" i="1"/>
  <c r="F4741" i="1"/>
  <c r="D4741" i="1"/>
  <c r="H4741" i="1" s="1"/>
  <c r="G4740" i="1"/>
  <c r="F4740" i="1"/>
  <c r="D4740" i="1"/>
  <c r="H4740" i="1" s="1"/>
  <c r="G4739" i="1"/>
  <c r="F4739" i="1"/>
  <c r="D4739" i="1"/>
  <c r="H4739" i="1" s="1"/>
  <c r="G4738" i="1"/>
  <c r="F4738" i="1"/>
  <c r="D4738" i="1"/>
  <c r="H4738" i="1" s="1"/>
  <c r="G4737" i="1"/>
  <c r="F4737" i="1"/>
  <c r="D4737" i="1"/>
  <c r="H4737" i="1" s="1"/>
  <c r="G4736" i="1"/>
  <c r="F4736" i="1"/>
  <c r="D4736" i="1"/>
  <c r="H4736" i="1" s="1"/>
  <c r="H4735" i="1"/>
  <c r="H4734" i="1"/>
  <c r="H4733" i="1"/>
  <c r="G4732" i="1"/>
  <c r="F4732" i="1"/>
  <c r="H4732" i="1" s="1"/>
  <c r="D4732" i="1"/>
  <c r="G4731" i="1"/>
  <c r="F4731" i="1"/>
  <c r="H4731" i="1" s="1"/>
  <c r="D4731" i="1"/>
  <c r="H4730" i="1"/>
  <c r="G4730" i="1"/>
  <c r="F4730" i="1"/>
  <c r="D4730" i="1"/>
  <c r="G4729" i="1"/>
  <c r="F4729" i="1"/>
  <c r="D4729" i="1"/>
  <c r="H4729" i="1" s="1"/>
  <c r="G4728" i="1"/>
  <c r="F4728" i="1"/>
  <c r="H4728" i="1" s="1"/>
  <c r="D4728" i="1"/>
  <c r="H4727" i="1"/>
  <c r="G4727" i="1"/>
  <c r="F4727" i="1"/>
  <c r="D4727" i="1"/>
  <c r="G4726" i="1"/>
  <c r="F4726" i="1"/>
  <c r="D4726" i="1"/>
  <c r="H4726" i="1" s="1"/>
  <c r="G4725" i="1"/>
  <c r="F4725" i="1"/>
  <c r="H4725" i="1" s="1"/>
  <c r="D4725" i="1"/>
  <c r="H4724" i="1"/>
  <c r="G4724" i="1"/>
  <c r="F4724" i="1"/>
  <c r="D4724" i="1"/>
  <c r="G4723" i="1"/>
  <c r="F4723" i="1"/>
  <c r="D4723" i="1"/>
  <c r="H4723" i="1" s="1"/>
  <c r="H4722" i="1"/>
  <c r="H4721" i="1"/>
  <c r="H4720" i="1"/>
  <c r="G4720" i="1"/>
  <c r="F4720" i="1"/>
  <c r="D4720" i="1"/>
  <c r="G4719" i="1"/>
  <c r="F4719" i="1"/>
  <c r="D4719" i="1"/>
  <c r="H4719" i="1" s="1"/>
  <c r="H4718" i="1"/>
  <c r="G4718" i="1"/>
  <c r="F4718" i="1"/>
  <c r="D4718" i="1"/>
  <c r="H4717" i="1"/>
  <c r="G4717" i="1"/>
  <c r="F4717" i="1"/>
  <c r="D4717" i="1"/>
  <c r="G4716" i="1"/>
  <c r="F4716" i="1"/>
  <c r="D4716" i="1"/>
  <c r="H4716" i="1" s="1"/>
  <c r="H4715" i="1"/>
  <c r="G4715" i="1"/>
  <c r="F4715" i="1"/>
  <c r="D4715" i="1"/>
  <c r="G4714" i="1"/>
  <c r="F4714" i="1"/>
  <c r="H4714" i="1" s="1"/>
  <c r="D4714" i="1"/>
  <c r="G4713" i="1"/>
  <c r="F4713" i="1"/>
  <c r="D4713" i="1"/>
  <c r="H4713" i="1" s="1"/>
  <c r="H4712" i="1"/>
  <c r="G4712" i="1"/>
  <c r="F4712" i="1"/>
  <c r="D4712" i="1"/>
  <c r="G4711" i="1"/>
  <c r="F4711" i="1"/>
  <c r="H4711" i="1" s="1"/>
  <c r="D4711" i="1"/>
  <c r="H4710" i="1"/>
  <c r="H4709" i="1"/>
  <c r="G4708" i="1"/>
  <c r="F4708" i="1"/>
  <c r="D4708" i="1"/>
  <c r="H4708" i="1" s="1"/>
  <c r="G4707" i="1"/>
  <c r="F4707" i="1"/>
  <c r="H4707" i="1" s="1"/>
  <c r="D4707" i="1"/>
  <c r="H4706" i="1"/>
  <c r="G4706" i="1"/>
  <c r="F4706" i="1"/>
  <c r="D4706" i="1"/>
  <c r="G4705" i="1"/>
  <c r="F4705" i="1"/>
  <c r="D4705" i="1"/>
  <c r="H4705" i="1" s="1"/>
  <c r="G4704" i="1"/>
  <c r="F4704" i="1"/>
  <c r="H4704" i="1" s="1"/>
  <c r="D4704" i="1"/>
  <c r="G4703" i="1"/>
  <c r="F4703" i="1"/>
  <c r="D4703" i="1"/>
  <c r="H4703" i="1" s="1"/>
  <c r="G4702" i="1"/>
  <c r="F4702" i="1"/>
  <c r="D4702" i="1"/>
  <c r="H4702" i="1" s="1"/>
  <c r="G4701" i="1"/>
  <c r="F4701" i="1"/>
  <c r="D4701" i="1"/>
  <c r="H4701" i="1" s="1"/>
  <c r="G4700" i="1"/>
  <c r="F4700" i="1"/>
  <c r="D4700" i="1"/>
  <c r="H4700" i="1" s="1"/>
  <c r="G4699" i="1"/>
  <c r="F4699" i="1"/>
  <c r="D4699" i="1"/>
  <c r="H4699" i="1" s="1"/>
  <c r="H4698" i="1"/>
  <c r="H4697" i="1"/>
  <c r="H4696" i="1"/>
  <c r="G4696" i="1"/>
  <c r="F4696" i="1"/>
  <c r="D4696" i="1"/>
  <c r="G4695" i="1"/>
  <c r="F4695" i="1"/>
  <c r="D4695" i="1"/>
  <c r="H4695" i="1" s="1"/>
  <c r="G4694" i="1"/>
  <c r="H4694" i="1" s="1"/>
  <c r="F4694" i="1"/>
  <c r="D4694" i="1"/>
  <c r="G4693" i="1"/>
  <c r="F4693" i="1"/>
  <c r="H4693" i="1" s="1"/>
  <c r="D4693" i="1"/>
  <c r="G4692" i="1"/>
  <c r="F4692" i="1"/>
  <c r="D4692" i="1"/>
  <c r="H4692" i="1" s="1"/>
  <c r="G4691" i="1"/>
  <c r="H4691" i="1" s="1"/>
  <c r="F4691" i="1"/>
  <c r="D4691" i="1"/>
  <c r="G4690" i="1"/>
  <c r="F4690" i="1"/>
  <c r="H4690" i="1" s="1"/>
  <c r="D4690" i="1"/>
  <c r="G4689" i="1"/>
  <c r="F4689" i="1"/>
  <c r="D4689" i="1"/>
  <c r="H4689" i="1" s="1"/>
  <c r="G4688" i="1"/>
  <c r="F4688" i="1"/>
  <c r="D4688" i="1"/>
  <c r="H4688" i="1" s="1"/>
  <c r="G4687" i="1"/>
  <c r="F4687" i="1"/>
  <c r="D4687" i="1"/>
  <c r="H4687" i="1" s="1"/>
  <c r="H4686" i="1"/>
  <c r="H4685" i="1"/>
  <c r="G4684" i="1"/>
  <c r="F4684" i="1"/>
  <c r="D4684" i="1"/>
  <c r="H4684" i="1" s="1"/>
  <c r="G4683" i="1"/>
  <c r="F4683" i="1"/>
  <c r="D4683" i="1"/>
  <c r="H4683" i="1" s="1"/>
  <c r="G4682" i="1"/>
  <c r="F4682" i="1"/>
  <c r="D4682" i="1"/>
  <c r="H4682" i="1" s="1"/>
  <c r="G4681" i="1"/>
  <c r="F4681" i="1"/>
  <c r="D4681" i="1"/>
  <c r="H4681" i="1" s="1"/>
  <c r="G4680" i="1"/>
  <c r="F4680" i="1"/>
  <c r="D4680" i="1"/>
  <c r="H4680" i="1" s="1"/>
  <c r="G4679" i="1"/>
  <c r="F4679" i="1"/>
  <c r="D4679" i="1"/>
  <c r="H4679" i="1" s="1"/>
  <c r="G4678" i="1"/>
  <c r="F4678" i="1"/>
  <c r="D4678" i="1"/>
  <c r="H4678" i="1" s="1"/>
  <c r="G4677" i="1"/>
  <c r="F4677" i="1"/>
  <c r="D4677" i="1"/>
  <c r="H4677" i="1" s="1"/>
  <c r="G4676" i="1"/>
  <c r="F4676" i="1"/>
  <c r="D4676" i="1"/>
  <c r="H4676" i="1" s="1"/>
  <c r="G4675" i="1"/>
  <c r="F4675" i="1"/>
  <c r="D4675" i="1"/>
  <c r="H4675" i="1" s="1"/>
  <c r="H4674" i="1"/>
  <c r="H4673" i="1"/>
  <c r="H4672" i="1"/>
  <c r="H4671" i="1"/>
  <c r="G4671" i="1"/>
  <c r="F4671" i="1"/>
  <c r="D4671" i="1"/>
  <c r="G4670" i="1"/>
  <c r="F4670" i="1"/>
  <c r="H4670" i="1" s="1"/>
  <c r="D4670" i="1"/>
  <c r="H4669" i="1"/>
  <c r="G4669" i="1"/>
  <c r="F4669" i="1"/>
  <c r="D4669" i="1"/>
  <c r="G4668" i="1"/>
  <c r="F4668" i="1"/>
  <c r="H4668" i="1" s="1"/>
  <c r="D4668" i="1"/>
  <c r="G4667" i="1"/>
  <c r="F4667" i="1"/>
  <c r="H4667" i="1" s="1"/>
  <c r="D4667" i="1"/>
  <c r="H4666" i="1"/>
  <c r="G4666" i="1"/>
  <c r="F4666" i="1"/>
  <c r="D4666" i="1"/>
  <c r="G4665" i="1"/>
  <c r="F4665" i="1"/>
  <c r="H4665" i="1" s="1"/>
  <c r="D4665" i="1"/>
  <c r="G4664" i="1"/>
  <c r="F4664" i="1"/>
  <c r="D4664" i="1"/>
  <c r="H4664" i="1" s="1"/>
  <c r="H4663" i="1"/>
  <c r="G4663" i="1"/>
  <c r="F4663" i="1"/>
  <c r="D4663" i="1"/>
  <c r="G4662" i="1"/>
  <c r="F4662" i="1"/>
  <c r="H4662" i="1" s="1"/>
  <c r="D4662" i="1"/>
  <c r="H4661" i="1"/>
  <c r="H4660" i="1"/>
  <c r="H4659" i="1"/>
  <c r="G4659" i="1"/>
  <c r="F4659" i="1"/>
  <c r="D4659" i="1"/>
  <c r="G4658" i="1"/>
  <c r="F4658" i="1"/>
  <c r="D4658" i="1"/>
  <c r="H4658" i="1" s="1"/>
  <c r="G4657" i="1"/>
  <c r="F4657" i="1"/>
  <c r="H4657" i="1" s="1"/>
  <c r="D4657" i="1"/>
  <c r="H4656" i="1"/>
  <c r="G4656" i="1"/>
  <c r="F4656" i="1"/>
  <c r="D4656" i="1"/>
  <c r="G4655" i="1"/>
  <c r="F4655" i="1"/>
  <c r="D4655" i="1"/>
  <c r="H4655" i="1" s="1"/>
  <c r="G4654" i="1"/>
  <c r="F4654" i="1"/>
  <c r="H4654" i="1" s="1"/>
  <c r="D4654" i="1"/>
  <c r="G4653" i="1"/>
  <c r="F4653" i="1"/>
  <c r="H4653" i="1" s="1"/>
  <c r="D4653" i="1"/>
  <c r="G4652" i="1"/>
  <c r="F4652" i="1"/>
  <c r="D4652" i="1"/>
  <c r="H4652" i="1" s="1"/>
  <c r="G4651" i="1"/>
  <c r="F4651" i="1"/>
  <c r="H4651" i="1" s="1"/>
  <c r="D4651" i="1"/>
  <c r="G4650" i="1"/>
  <c r="F4650" i="1"/>
  <c r="H4650" i="1" s="1"/>
  <c r="D4650" i="1"/>
  <c r="H4649" i="1"/>
  <c r="H4648" i="1"/>
  <c r="G4647" i="1"/>
  <c r="F4647" i="1"/>
  <c r="D4647" i="1"/>
  <c r="H4647" i="1" s="1"/>
  <c r="G4646" i="1"/>
  <c r="F4646" i="1"/>
  <c r="D4646" i="1"/>
  <c r="H4646" i="1" s="1"/>
  <c r="H4645" i="1"/>
  <c r="G4645" i="1"/>
  <c r="F4645" i="1"/>
  <c r="D4645" i="1"/>
  <c r="G4644" i="1"/>
  <c r="F4644" i="1"/>
  <c r="D4644" i="1"/>
  <c r="H4644" i="1" s="1"/>
  <c r="G4643" i="1"/>
  <c r="F4643" i="1"/>
  <c r="D4643" i="1"/>
  <c r="H4643" i="1" s="1"/>
  <c r="H4642" i="1"/>
  <c r="G4642" i="1"/>
  <c r="F4642" i="1"/>
  <c r="D4642" i="1"/>
  <c r="G4641" i="1"/>
  <c r="F4641" i="1"/>
  <c r="D4641" i="1"/>
  <c r="H4641" i="1" s="1"/>
  <c r="G4640" i="1"/>
  <c r="F4640" i="1"/>
  <c r="D4640" i="1"/>
  <c r="H4640" i="1" s="1"/>
  <c r="G4639" i="1"/>
  <c r="F4639" i="1"/>
  <c r="D4639" i="1"/>
  <c r="H4639" i="1" s="1"/>
  <c r="G4638" i="1"/>
  <c r="F4638" i="1"/>
  <c r="D4638" i="1"/>
  <c r="H4638" i="1" s="1"/>
  <c r="H4637" i="1"/>
  <c r="H4636" i="1"/>
  <c r="H4635" i="1"/>
  <c r="H4634" i="1"/>
  <c r="G4634" i="1"/>
  <c r="F4634" i="1"/>
  <c r="D4634" i="1"/>
  <c r="H4633" i="1"/>
  <c r="G4633" i="1"/>
  <c r="F4633" i="1"/>
  <c r="D4633" i="1"/>
  <c r="G4632" i="1"/>
  <c r="F4632" i="1"/>
  <c r="D4632" i="1"/>
  <c r="H4632" i="1" s="1"/>
  <c r="H4631" i="1"/>
  <c r="G4631" i="1"/>
  <c r="F4631" i="1"/>
  <c r="D4631" i="1"/>
  <c r="G4630" i="1"/>
  <c r="F4630" i="1"/>
  <c r="H4630" i="1" s="1"/>
  <c r="D4630" i="1"/>
  <c r="G4629" i="1"/>
  <c r="F4629" i="1"/>
  <c r="D4629" i="1"/>
  <c r="H4629" i="1" s="1"/>
  <c r="H4628" i="1"/>
  <c r="G4628" i="1"/>
  <c r="F4628" i="1"/>
  <c r="D4628" i="1"/>
  <c r="G4627" i="1"/>
  <c r="F4627" i="1"/>
  <c r="D4627" i="1"/>
  <c r="H4627" i="1" s="1"/>
  <c r="G4626" i="1"/>
  <c r="F4626" i="1"/>
  <c r="D4626" i="1"/>
  <c r="H4626" i="1" s="1"/>
  <c r="H4625" i="1"/>
  <c r="G4625" i="1"/>
  <c r="F4625" i="1"/>
  <c r="D4625" i="1"/>
  <c r="H4624" i="1"/>
  <c r="H4623" i="1"/>
  <c r="H4622" i="1"/>
  <c r="H4621" i="1"/>
  <c r="G4621" i="1"/>
  <c r="F4621" i="1"/>
  <c r="D4621" i="1"/>
  <c r="H4620" i="1"/>
  <c r="G4620" i="1"/>
  <c r="F4620" i="1"/>
  <c r="D4620" i="1"/>
  <c r="G4619" i="1"/>
  <c r="F4619" i="1"/>
  <c r="D4619" i="1"/>
  <c r="H4619" i="1" s="1"/>
  <c r="H4618" i="1"/>
  <c r="G4618" i="1"/>
  <c r="F4618" i="1"/>
  <c r="D4618" i="1"/>
  <c r="H4617" i="1"/>
  <c r="G4617" i="1"/>
  <c r="F4617" i="1"/>
  <c r="D4617" i="1"/>
  <c r="G4616" i="1"/>
  <c r="F4616" i="1"/>
  <c r="D4616" i="1"/>
  <c r="H4616" i="1" s="1"/>
  <c r="G4615" i="1"/>
  <c r="F4615" i="1"/>
  <c r="H4615" i="1" s="1"/>
  <c r="D4615" i="1"/>
  <c r="H4614" i="1"/>
  <c r="G4614" i="1"/>
  <c r="F4614" i="1"/>
  <c r="D4614" i="1"/>
  <c r="G4613" i="1"/>
  <c r="F4613" i="1"/>
  <c r="D4613" i="1"/>
  <c r="H4613" i="1" s="1"/>
  <c r="G4612" i="1"/>
  <c r="F4612" i="1"/>
  <c r="H4612" i="1" s="1"/>
  <c r="D4612" i="1"/>
  <c r="H4611" i="1"/>
  <c r="G4610" i="1"/>
  <c r="H4610" i="1" s="1"/>
  <c r="F4610" i="1"/>
  <c r="D4610" i="1"/>
  <c r="G4609" i="1"/>
  <c r="F4609" i="1"/>
  <c r="H4609" i="1" s="1"/>
  <c r="D4609" i="1"/>
  <c r="G4608" i="1"/>
  <c r="F4608" i="1"/>
  <c r="D4608" i="1"/>
  <c r="H4608" i="1" s="1"/>
  <c r="G4607" i="1"/>
  <c r="H4607" i="1" s="1"/>
  <c r="F4607" i="1"/>
  <c r="D4607" i="1"/>
  <c r="G4606" i="1"/>
  <c r="F4606" i="1"/>
  <c r="D4606" i="1"/>
  <c r="H4606" i="1" s="1"/>
  <c r="G4605" i="1"/>
  <c r="F4605" i="1"/>
  <c r="D4605" i="1"/>
  <c r="H4605" i="1" s="1"/>
  <c r="G4604" i="1"/>
  <c r="F4604" i="1"/>
  <c r="D4604" i="1"/>
  <c r="H4604" i="1" s="1"/>
  <c r="G4603" i="1"/>
  <c r="F4603" i="1"/>
  <c r="D4603" i="1"/>
  <c r="H4603" i="1" s="1"/>
  <c r="G4602" i="1"/>
  <c r="F4602" i="1"/>
  <c r="D4602" i="1"/>
  <c r="H4602" i="1" s="1"/>
  <c r="G4601" i="1"/>
  <c r="F4601" i="1"/>
  <c r="D4601" i="1"/>
  <c r="H4601" i="1" s="1"/>
  <c r="H4600" i="1"/>
  <c r="H4599" i="1"/>
  <c r="H4598" i="1"/>
  <c r="G4598" i="1"/>
  <c r="F4598" i="1"/>
  <c r="D4598" i="1"/>
  <c r="G4597" i="1"/>
  <c r="F4597" i="1"/>
  <c r="D4597" i="1"/>
  <c r="H4597" i="1" s="1"/>
  <c r="G4596" i="1"/>
  <c r="H4596" i="1" s="1"/>
  <c r="F4596" i="1"/>
  <c r="D4596" i="1"/>
  <c r="H4595" i="1"/>
  <c r="G4595" i="1"/>
  <c r="F4595" i="1"/>
  <c r="D4595" i="1"/>
  <c r="G4594" i="1"/>
  <c r="F4594" i="1"/>
  <c r="D4594" i="1"/>
  <c r="H4594" i="1" s="1"/>
  <c r="G4593" i="1"/>
  <c r="H4593" i="1" s="1"/>
  <c r="F4593" i="1"/>
  <c r="D4593" i="1"/>
  <c r="G4592" i="1"/>
  <c r="F4592" i="1"/>
  <c r="D4592" i="1"/>
  <c r="H4592" i="1" s="1"/>
  <c r="G4591" i="1"/>
  <c r="F4591" i="1"/>
  <c r="D4591" i="1"/>
  <c r="H4591" i="1" s="1"/>
  <c r="G4590" i="1"/>
  <c r="H4590" i="1" s="1"/>
  <c r="F4590" i="1"/>
  <c r="D4590" i="1"/>
  <c r="G4589" i="1"/>
  <c r="F4589" i="1"/>
  <c r="D4589" i="1"/>
  <c r="H4589" i="1" s="1"/>
  <c r="H4588" i="1"/>
  <c r="H4587" i="1"/>
  <c r="G4586" i="1"/>
  <c r="F4586" i="1"/>
  <c r="D4586" i="1"/>
  <c r="H4586" i="1" s="1"/>
  <c r="G4585" i="1"/>
  <c r="F4585" i="1"/>
  <c r="D4585" i="1"/>
  <c r="H4585" i="1" s="1"/>
  <c r="G4584" i="1"/>
  <c r="F4584" i="1"/>
  <c r="D4584" i="1"/>
  <c r="H4584" i="1" s="1"/>
  <c r="G4583" i="1"/>
  <c r="F4583" i="1"/>
  <c r="D4583" i="1"/>
  <c r="H4583" i="1" s="1"/>
  <c r="G4582" i="1"/>
  <c r="F4582" i="1"/>
  <c r="D4582" i="1"/>
  <c r="H4582" i="1" s="1"/>
  <c r="G4581" i="1"/>
  <c r="F4581" i="1"/>
  <c r="D4581" i="1"/>
  <c r="H4581" i="1" s="1"/>
  <c r="G4580" i="1"/>
  <c r="F4580" i="1"/>
  <c r="D4580" i="1"/>
  <c r="H4580" i="1" s="1"/>
  <c r="G4579" i="1"/>
  <c r="F4579" i="1"/>
  <c r="D4579" i="1"/>
  <c r="H4579" i="1" s="1"/>
  <c r="G4578" i="1"/>
  <c r="F4578" i="1"/>
  <c r="D4578" i="1"/>
  <c r="H4578" i="1" s="1"/>
  <c r="G4577" i="1"/>
  <c r="F4577" i="1"/>
  <c r="D4577" i="1"/>
  <c r="H4577" i="1" s="1"/>
  <c r="H4576" i="1"/>
  <c r="H4575" i="1"/>
  <c r="H4574" i="1"/>
  <c r="G4573" i="1"/>
  <c r="F4573" i="1"/>
  <c r="H4573" i="1" s="1"/>
  <c r="D4573" i="1"/>
  <c r="H4572" i="1"/>
  <c r="G4572" i="1"/>
  <c r="F4572" i="1"/>
  <c r="D4572" i="1"/>
  <c r="H4571" i="1"/>
  <c r="G4571" i="1"/>
  <c r="F4571" i="1"/>
  <c r="D4571" i="1"/>
  <c r="G4570" i="1"/>
  <c r="F4570" i="1"/>
  <c r="H4570" i="1" s="1"/>
  <c r="D4570" i="1"/>
  <c r="G4569" i="1"/>
  <c r="F4569" i="1"/>
  <c r="H4569" i="1" s="1"/>
  <c r="D4569" i="1"/>
  <c r="H4568" i="1"/>
  <c r="G4568" i="1"/>
  <c r="F4568" i="1"/>
  <c r="D4568" i="1"/>
  <c r="G4567" i="1"/>
  <c r="F4567" i="1"/>
  <c r="H4567" i="1" s="1"/>
  <c r="D4567" i="1"/>
  <c r="G4566" i="1"/>
  <c r="F4566" i="1"/>
  <c r="H4566" i="1" s="1"/>
  <c r="D4566" i="1"/>
  <c r="H4565" i="1"/>
  <c r="G4565" i="1"/>
  <c r="F4565" i="1"/>
  <c r="D4565" i="1"/>
  <c r="G4564" i="1"/>
  <c r="F4564" i="1"/>
  <c r="H4564" i="1" s="1"/>
  <c r="D4564" i="1"/>
  <c r="H4563" i="1"/>
  <c r="H4562" i="1"/>
  <c r="H4561" i="1"/>
  <c r="G4561" i="1"/>
  <c r="F4561" i="1"/>
  <c r="D4561" i="1"/>
  <c r="G4560" i="1"/>
  <c r="F4560" i="1"/>
  <c r="H4560" i="1" s="1"/>
  <c r="D4560" i="1"/>
  <c r="G4559" i="1"/>
  <c r="F4559" i="1"/>
  <c r="H4559" i="1" s="1"/>
  <c r="D4559" i="1"/>
  <c r="H4558" i="1"/>
  <c r="G4558" i="1"/>
  <c r="F4558" i="1"/>
  <c r="D4558" i="1"/>
  <c r="G4557" i="1"/>
  <c r="F4557" i="1"/>
  <c r="D4557" i="1"/>
  <c r="H4557" i="1" s="1"/>
  <c r="G4556" i="1"/>
  <c r="F4556" i="1"/>
  <c r="H4556" i="1" s="1"/>
  <c r="D4556" i="1"/>
  <c r="G4555" i="1"/>
  <c r="F4555" i="1"/>
  <c r="H4555" i="1" s="1"/>
  <c r="D4555" i="1"/>
  <c r="G4554" i="1"/>
  <c r="F4554" i="1"/>
  <c r="D4554" i="1"/>
  <c r="H4554" i="1" s="1"/>
  <c r="G4553" i="1"/>
  <c r="F4553" i="1"/>
  <c r="H4553" i="1" s="1"/>
  <c r="D4553" i="1"/>
  <c r="G4552" i="1"/>
  <c r="F4552" i="1"/>
  <c r="H4552" i="1" s="1"/>
  <c r="D4552" i="1"/>
  <c r="H4551" i="1"/>
  <c r="H4550" i="1"/>
  <c r="G4549" i="1"/>
  <c r="F4549" i="1"/>
  <c r="H4549" i="1" s="1"/>
  <c r="D4549" i="1"/>
  <c r="H4548" i="1"/>
  <c r="G4548" i="1"/>
  <c r="F4548" i="1"/>
  <c r="D4548" i="1"/>
  <c r="G4547" i="1"/>
  <c r="F4547" i="1"/>
  <c r="D4547" i="1"/>
  <c r="H4547" i="1" s="1"/>
  <c r="G4546" i="1"/>
  <c r="F4546" i="1"/>
  <c r="H4546" i="1" s="1"/>
  <c r="D4546" i="1"/>
  <c r="G4545" i="1"/>
  <c r="F4545" i="1"/>
  <c r="D4545" i="1"/>
  <c r="H4545" i="1" s="1"/>
  <c r="G4544" i="1"/>
  <c r="F4544" i="1"/>
  <c r="D4544" i="1"/>
  <c r="H4544" i="1" s="1"/>
  <c r="G4543" i="1"/>
  <c r="F4543" i="1"/>
  <c r="D4543" i="1"/>
  <c r="H4543" i="1" s="1"/>
  <c r="G4542" i="1"/>
  <c r="F4542" i="1"/>
  <c r="D4542" i="1"/>
  <c r="H4542" i="1" s="1"/>
  <c r="G4541" i="1"/>
  <c r="F4541" i="1"/>
  <c r="D4541" i="1"/>
  <c r="H4541" i="1" s="1"/>
  <c r="G4540" i="1"/>
  <c r="F4540" i="1"/>
  <c r="D4540" i="1"/>
  <c r="H4540" i="1" s="1"/>
  <c r="H4539" i="1"/>
  <c r="H4538" i="1"/>
  <c r="G4537" i="1"/>
  <c r="H4537" i="1" s="1"/>
  <c r="F4537" i="1"/>
  <c r="D4537" i="1"/>
  <c r="G4536" i="1"/>
  <c r="F4536" i="1"/>
  <c r="D4536" i="1"/>
  <c r="H4536" i="1" s="1"/>
  <c r="G4535" i="1"/>
  <c r="F4535" i="1"/>
  <c r="H4535" i="1" s="1"/>
  <c r="D4535" i="1"/>
  <c r="G4534" i="1"/>
  <c r="F4534" i="1"/>
  <c r="H4534" i="1" s="1"/>
  <c r="D4534" i="1"/>
  <c r="G4533" i="1"/>
  <c r="F4533" i="1"/>
  <c r="D4533" i="1"/>
  <c r="H4533" i="1" s="1"/>
  <c r="G4532" i="1"/>
  <c r="F4532" i="1"/>
  <c r="D4532" i="1"/>
  <c r="H4532" i="1" s="1"/>
  <c r="G4531" i="1"/>
  <c r="F4531" i="1"/>
  <c r="D4531" i="1"/>
  <c r="H4531" i="1" s="1"/>
  <c r="G4530" i="1"/>
  <c r="F4530" i="1"/>
  <c r="D4530" i="1"/>
  <c r="H4530" i="1" s="1"/>
  <c r="G4529" i="1"/>
  <c r="F4529" i="1"/>
  <c r="D4529" i="1"/>
  <c r="H4529" i="1" s="1"/>
  <c r="G4528" i="1"/>
  <c r="F4528" i="1"/>
  <c r="D4528" i="1"/>
  <c r="H4528" i="1" s="1"/>
  <c r="H4527" i="1"/>
  <c r="H4526" i="1"/>
  <c r="G4526" i="1"/>
  <c r="F4526" i="1"/>
  <c r="D4526" i="1"/>
  <c r="G4525" i="1"/>
  <c r="F4525" i="1"/>
  <c r="D4525" i="1"/>
  <c r="H4525" i="1" s="1"/>
  <c r="H4524" i="1"/>
  <c r="G4524" i="1"/>
  <c r="F4524" i="1"/>
  <c r="D4524" i="1"/>
  <c r="H4523" i="1"/>
  <c r="G4523" i="1"/>
  <c r="F4523" i="1"/>
  <c r="D4523" i="1"/>
  <c r="G4522" i="1"/>
  <c r="F4522" i="1"/>
  <c r="D4522" i="1"/>
  <c r="H4522" i="1" s="1"/>
  <c r="H4521" i="1"/>
  <c r="G4521" i="1"/>
  <c r="F4521" i="1"/>
  <c r="D4521" i="1"/>
  <c r="H4520" i="1"/>
  <c r="G4520" i="1"/>
  <c r="F4520" i="1"/>
  <c r="D4520" i="1"/>
  <c r="G4519" i="1"/>
  <c r="F4519" i="1"/>
  <c r="D4519" i="1"/>
  <c r="H4519" i="1" s="1"/>
  <c r="H4518" i="1"/>
  <c r="G4518" i="1"/>
  <c r="F4518" i="1"/>
  <c r="D4518" i="1"/>
  <c r="G4517" i="1"/>
  <c r="F4517" i="1"/>
  <c r="D4517" i="1"/>
  <c r="H4517" i="1" s="1"/>
  <c r="H4516" i="1"/>
  <c r="H4515" i="1"/>
  <c r="G4514" i="1"/>
  <c r="F4514" i="1"/>
  <c r="D4514" i="1"/>
  <c r="H4514" i="1" s="1"/>
  <c r="G4513" i="1"/>
  <c r="F4513" i="1"/>
  <c r="H4513" i="1" s="1"/>
  <c r="D4513" i="1"/>
  <c r="G4512" i="1"/>
  <c r="F4512" i="1"/>
  <c r="D4512" i="1"/>
  <c r="H4512" i="1" s="1"/>
  <c r="G4511" i="1"/>
  <c r="F4511" i="1"/>
  <c r="D4511" i="1"/>
  <c r="H4511" i="1" s="1"/>
  <c r="G4510" i="1"/>
  <c r="F4510" i="1"/>
  <c r="H4510" i="1" s="1"/>
  <c r="D4510" i="1"/>
  <c r="G4509" i="1"/>
  <c r="F4509" i="1"/>
  <c r="D4509" i="1"/>
  <c r="H4509" i="1" s="1"/>
  <c r="G4508" i="1"/>
  <c r="F4508" i="1"/>
  <c r="D4508" i="1"/>
  <c r="H4508" i="1" s="1"/>
  <c r="G4507" i="1"/>
  <c r="F4507" i="1"/>
  <c r="D4507" i="1"/>
  <c r="H4507" i="1" s="1"/>
  <c r="G4506" i="1"/>
  <c r="F4506" i="1"/>
  <c r="D4506" i="1"/>
  <c r="H4506" i="1" s="1"/>
  <c r="G4505" i="1"/>
  <c r="F4505" i="1"/>
  <c r="D4505" i="1"/>
  <c r="H4505" i="1" s="1"/>
  <c r="H4504" i="1"/>
  <c r="H4503" i="1"/>
  <c r="H4502" i="1"/>
  <c r="G4501" i="1"/>
  <c r="F4501" i="1"/>
  <c r="H4501" i="1" s="1"/>
  <c r="D4501" i="1"/>
  <c r="G4500" i="1"/>
  <c r="F4500" i="1"/>
  <c r="D4500" i="1"/>
  <c r="H4500" i="1" s="1"/>
  <c r="H4499" i="1"/>
  <c r="G4499" i="1"/>
  <c r="F4499" i="1"/>
  <c r="D4499" i="1"/>
  <c r="G4498" i="1"/>
  <c r="F4498" i="1"/>
  <c r="H4498" i="1" s="1"/>
  <c r="D4498" i="1"/>
  <c r="G4497" i="1"/>
  <c r="F4497" i="1"/>
  <c r="D4497" i="1"/>
  <c r="H4497" i="1" s="1"/>
  <c r="H4496" i="1"/>
  <c r="G4496" i="1"/>
  <c r="F4496" i="1"/>
  <c r="D4496" i="1"/>
  <c r="G4495" i="1"/>
  <c r="F4495" i="1"/>
  <c r="D4495" i="1"/>
  <c r="H4495" i="1" s="1"/>
  <c r="G4494" i="1"/>
  <c r="F4494" i="1"/>
  <c r="D4494" i="1"/>
  <c r="H4494" i="1" s="1"/>
  <c r="G4493" i="1"/>
  <c r="F4493" i="1"/>
  <c r="D4493" i="1"/>
  <c r="H4493" i="1" s="1"/>
  <c r="G4492" i="1"/>
  <c r="F4492" i="1"/>
  <c r="D4492" i="1"/>
  <c r="H4492" i="1" s="1"/>
  <c r="H4491" i="1"/>
  <c r="H4490" i="1"/>
  <c r="H4489" i="1"/>
  <c r="H4488" i="1"/>
  <c r="G4488" i="1"/>
  <c r="F4488" i="1"/>
  <c r="D4488" i="1"/>
  <c r="G4487" i="1"/>
  <c r="F4487" i="1"/>
  <c r="D4487" i="1"/>
  <c r="H4487" i="1" s="1"/>
  <c r="G4486" i="1"/>
  <c r="F4486" i="1"/>
  <c r="D4486" i="1"/>
  <c r="H4486" i="1" s="1"/>
  <c r="H4485" i="1"/>
  <c r="G4485" i="1"/>
  <c r="F4485" i="1"/>
  <c r="D4485" i="1"/>
  <c r="G4484" i="1"/>
  <c r="F4484" i="1"/>
  <c r="D4484" i="1"/>
  <c r="H4484" i="1" s="1"/>
  <c r="G4483" i="1"/>
  <c r="F4483" i="1"/>
  <c r="D4483" i="1"/>
  <c r="H4483" i="1" s="1"/>
  <c r="G4482" i="1"/>
  <c r="H4482" i="1" s="1"/>
  <c r="F4482" i="1"/>
  <c r="D4482" i="1"/>
  <c r="G4481" i="1"/>
  <c r="F4481" i="1"/>
  <c r="D4481" i="1"/>
  <c r="H4481" i="1" s="1"/>
  <c r="G4480" i="1"/>
  <c r="F4480" i="1"/>
  <c r="D4480" i="1"/>
  <c r="H4480" i="1" s="1"/>
  <c r="G4479" i="1"/>
  <c r="H4479" i="1" s="1"/>
  <c r="F4479" i="1"/>
  <c r="D4479" i="1"/>
  <c r="H4478" i="1"/>
  <c r="H4477" i="1"/>
  <c r="G4476" i="1"/>
  <c r="F4476" i="1"/>
  <c r="D4476" i="1"/>
  <c r="H4476" i="1" s="1"/>
  <c r="G4475" i="1"/>
  <c r="F4475" i="1"/>
  <c r="D4475" i="1"/>
  <c r="H4475" i="1" s="1"/>
  <c r="G4474" i="1"/>
  <c r="F4474" i="1"/>
  <c r="H4474" i="1" s="1"/>
  <c r="D4474" i="1"/>
  <c r="G4473" i="1"/>
  <c r="F4473" i="1"/>
  <c r="D4473" i="1"/>
  <c r="H4473" i="1" s="1"/>
  <c r="G4472" i="1"/>
  <c r="F4472" i="1"/>
  <c r="D4472" i="1"/>
  <c r="H4472" i="1" s="1"/>
  <c r="G4471" i="1"/>
  <c r="F4471" i="1"/>
  <c r="D4471" i="1"/>
  <c r="H4471" i="1" s="1"/>
  <c r="G4470" i="1"/>
  <c r="F4470" i="1"/>
  <c r="D4470" i="1"/>
  <c r="H4470" i="1" s="1"/>
  <c r="G4469" i="1"/>
  <c r="F4469" i="1"/>
  <c r="D4469" i="1"/>
  <c r="H4469" i="1" s="1"/>
  <c r="G4468" i="1"/>
  <c r="F4468" i="1"/>
  <c r="D4468" i="1"/>
  <c r="H4468" i="1" s="1"/>
  <c r="G4467" i="1"/>
  <c r="F4467" i="1"/>
  <c r="D4467" i="1"/>
  <c r="H4467" i="1" s="1"/>
  <c r="G4466" i="1"/>
  <c r="F4466" i="1"/>
  <c r="D4466" i="1"/>
  <c r="H4466" i="1" s="1"/>
  <c r="G4465" i="1"/>
  <c r="F4465" i="1"/>
  <c r="D4465" i="1"/>
  <c r="H4465" i="1" s="1"/>
  <c r="G4464" i="1"/>
  <c r="F4464" i="1"/>
  <c r="D4464" i="1"/>
  <c r="H4464" i="1" s="1"/>
  <c r="G4463" i="1"/>
  <c r="F4463" i="1"/>
  <c r="D4463" i="1"/>
  <c r="H4463" i="1" s="1"/>
  <c r="G4462" i="1"/>
  <c r="F4462" i="1"/>
  <c r="D4462" i="1"/>
  <c r="H4462" i="1" s="1"/>
  <c r="H4461" i="1"/>
  <c r="G4460" i="1"/>
  <c r="F4460" i="1"/>
  <c r="H4460" i="1" s="1"/>
  <c r="D4460" i="1"/>
  <c r="G4459" i="1"/>
  <c r="F4459" i="1"/>
  <c r="H4459" i="1" s="1"/>
  <c r="D4459" i="1"/>
  <c r="G4458" i="1"/>
  <c r="F4458" i="1"/>
  <c r="H4458" i="1" s="1"/>
  <c r="D4458" i="1"/>
  <c r="G4457" i="1"/>
  <c r="F4457" i="1"/>
  <c r="H4457" i="1" s="1"/>
  <c r="D4457" i="1"/>
  <c r="G4456" i="1"/>
  <c r="F4456" i="1"/>
  <c r="H4456" i="1" s="1"/>
  <c r="D4456" i="1"/>
  <c r="G4455" i="1"/>
  <c r="F4455" i="1"/>
  <c r="D4455" i="1"/>
  <c r="H4455" i="1" s="1"/>
  <c r="G4454" i="1"/>
  <c r="F4454" i="1"/>
  <c r="H4454" i="1" s="1"/>
  <c r="D4454" i="1"/>
  <c r="G4453" i="1"/>
  <c r="F4453" i="1"/>
  <c r="H4453" i="1" s="1"/>
  <c r="D4453" i="1"/>
  <c r="G4452" i="1"/>
  <c r="F4452" i="1"/>
  <c r="D4452" i="1"/>
  <c r="H4452" i="1" s="1"/>
  <c r="G4451" i="1"/>
  <c r="F4451" i="1"/>
  <c r="H4451" i="1" s="1"/>
  <c r="D4451" i="1"/>
  <c r="G4450" i="1"/>
  <c r="F4450" i="1"/>
  <c r="H4450" i="1" s="1"/>
  <c r="D4450" i="1"/>
  <c r="G4449" i="1"/>
  <c r="F4449" i="1"/>
  <c r="D4449" i="1"/>
  <c r="H4449" i="1" s="1"/>
  <c r="G4448" i="1"/>
  <c r="F4448" i="1"/>
  <c r="H4448" i="1" s="1"/>
  <c r="D4448" i="1"/>
  <c r="G4447" i="1"/>
  <c r="F4447" i="1"/>
  <c r="H4447" i="1" s="1"/>
  <c r="D4447" i="1"/>
  <c r="G4446" i="1"/>
  <c r="F4446" i="1"/>
  <c r="D4446" i="1"/>
  <c r="H4446" i="1" s="1"/>
  <c r="G4445" i="1"/>
  <c r="F4445" i="1"/>
  <c r="H4445" i="1" s="1"/>
  <c r="D4445" i="1"/>
  <c r="H4444" i="1"/>
  <c r="G4443" i="1"/>
  <c r="H4443" i="1" s="1"/>
  <c r="F4443" i="1"/>
  <c r="D4443" i="1"/>
  <c r="G4442" i="1"/>
  <c r="F4442" i="1"/>
  <c r="D4442" i="1"/>
  <c r="H4442" i="1" s="1"/>
  <c r="G4441" i="1"/>
  <c r="F4441" i="1"/>
  <c r="D4441" i="1"/>
  <c r="H4441" i="1" s="1"/>
  <c r="G4440" i="1"/>
  <c r="H4440" i="1" s="1"/>
  <c r="F4440" i="1"/>
  <c r="D4440" i="1"/>
  <c r="G4439" i="1"/>
  <c r="F4439" i="1"/>
  <c r="D4439" i="1"/>
  <c r="H4439" i="1" s="1"/>
  <c r="G4438" i="1"/>
  <c r="F4438" i="1"/>
  <c r="D4438" i="1"/>
  <c r="H4438" i="1" s="1"/>
  <c r="G4437" i="1"/>
  <c r="H4437" i="1" s="1"/>
  <c r="F4437" i="1"/>
  <c r="D4437" i="1"/>
  <c r="G4436" i="1"/>
  <c r="F4436" i="1"/>
  <c r="D4436" i="1"/>
  <c r="H4436" i="1" s="1"/>
  <c r="G4435" i="1"/>
  <c r="F4435" i="1"/>
  <c r="D4435" i="1"/>
  <c r="H4435" i="1" s="1"/>
  <c r="G4434" i="1"/>
  <c r="F4434" i="1"/>
  <c r="H4434" i="1" s="1"/>
  <c r="D4434" i="1"/>
  <c r="H4433" i="1"/>
  <c r="G4432" i="1"/>
  <c r="F4432" i="1"/>
  <c r="H4432" i="1" s="1"/>
  <c r="D4432" i="1"/>
  <c r="H4431" i="1"/>
  <c r="G4431" i="1"/>
  <c r="F4431" i="1"/>
  <c r="D4431" i="1"/>
  <c r="H4430" i="1"/>
  <c r="G4430" i="1"/>
  <c r="F4430" i="1"/>
  <c r="D4430" i="1"/>
  <c r="G4429" i="1"/>
  <c r="F4429" i="1"/>
  <c r="H4429" i="1" s="1"/>
  <c r="D4429" i="1"/>
  <c r="G4428" i="1"/>
  <c r="F4428" i="1"/>
  <c r="H4428" i="1" s="1"/>
  <c r="D4428" i="1"/>
  <c r="H4427" i="1"/>
  <c r="G4427" i="1"/>
  <c r="F4427" i="1"/>
  <c r="D4427" i="1"/>
  <c r="G4426" i="1"/>
  <c r="F4426" i="1"/>
  <c r="H4426" i="1" s="1"/>
  <c r="D4426" i="1"/>
  <c r="G4425" i="1"/>
  <c r="F4425" i="1"/>
  <c r="H4425" i="1" s="1"/>
  <c r="D4425" i="1"/>
  <c r="H4424" i="1"/>
  <c r="G4424" i="1"/>
  <c r="F4424" i="1"/>
  <c r="D4424" i="1"/>
  <c r="G4423" i="1"/>
  <c r="F4423" i="1"/>
  <c r="D4423" i="1"/>
  <c r="H4423" i="1" s="1"/>
  <c r="H4422" i="1"/>
  <c r="G4421" i="1"/>
  <c r="F4421" i="1"/>
  <c r="D4421" i="1"/>
  <c r="H4421" i="1" s="1"/>
  <c r="G4420" i="1"/>
  <c r="F4420" i="1"/>
  <c r="H4420" i="1" s="1"/>
  <c r="D4420" i="1"/>
  <c r="G4419" i="1"/>
  <c r="F4419" i="1"/>
  <c r="D4419" i="1"/>
  <c r="H4419" i="1" s="1"/>
  <c r="G4418" i="1"/>
  <c r="F4418" i="1"/>
  <c r="D4418" i="1"/>
  <c r="H4418" i="1" s="1"/>
  <c r="G4417" i="1"/>
  <c r="F4417" i="1"/>
  <c r="D4417" i="1"/>
  <c r="H4417" i="1" s="1"/>
  <c r="G4416" i="1"/>
  <c r="F4416" i="1"/>
  <c r="D4416" i="1"/>
  <c r="H4416" i="1" s="1"/>
  <c r="G4415" i="1"/>
  <c r="F4415" i="1"/>
  <c r="D4415" i="1"/>
  <c r="H4415" i="1" s="1"/>
  <c r="G4414" i="1"/>
  <c r="F4414" i="1"/>
  <c r="D4414" i="1"/>
  <c r="H4414" i="1" s="1"/>
  <c r="G4413" i="1"/>
  <c r="F4413" i="1"/>
  <c r="D4413" i="1"/>
  <c r="H4413" i="1" s="1"/>
  <c r="G4412" i="1"/>
  <c r="F4412" i="1"/>
  <c r="D4412" i="1"/>
  <c r="H4412" i="1" s="1"/>
  <c r="H4411" i="1"/>
  <c r="G4410" i="1"/>
  <c r="F4410" i="1"/>
  <c r="D4410" i="1"/>
  <c r="H4410" i="1" s="1"/>
  <c r="G4409" i="1"/>
  <c r="F4409" i="1"/>
  <c r="H4409" i="1" s="1"/>
  <c r="D4409" i="1"/>
  <c r="G4408" i="1"/>
  <c r="F4408" i="1"/>
  <c r="H4408" i="1" s="1"/>
  <c r="D4408" i="1"/>
  <c r="G4407" i="1"/>
  <c r="F4407" i="1"/>
  <c r="D4407" i="1"/>
  <c r="H4407" i="1" s="1"/>
  <c r="G4406" i="1"/>
  <c r="F4406" i="1"/>
  <c r="H4406" i="1" s="1"/>
  <c r="D4406" i="1"/>
  <c r="G4405" i="1"/>
  <c r="F4405" i="1"/>
  <c r="H4405" i="1" s="1"/>
  <c r="D4405" i="1"/>
  <c r="G4404" i="1"/>
  <c r="F4404" i="1"/>
  <c r="D4404" i="1"/>
  <c r="H4404" i="1" s="1"/>
  <c r="G4403" i="1"/>
  <c r="F4403" i="1"/>
  <c r="H4403" i="1" s="1"/>
  <c r="D4403" i="1"/>
  <c r="G4402" i="1"/>
  <c r="F4402" i="1"/>
  <c r="H4402" i="1" s="1"/>
  <c r="D4402" i="1"/>
  <c r="G4401" i="1"/>
  <c r="F4401" i="1"/>
  <c r="D4401" i="1"/>
  <c r="H4401" i="1" s="1"/>
  <c r="H4400" i="1"/>
  <c r="G4399" i="1"/>
  <c r="F4399" i="1"/>
  <c r="D4399" i="1"/>
  <c r="H4399" i="1" s="1"/>
  <c r="G4398" i="1"/>
  <c r="H4398" i="1" s="1"/>
  <c r="F4398" i="1"/>
  <c r="D4398" i="1"/>
  <c r="G4397" i="1"/>
  <c r="F4397" i="1"/>
  <c r="D4397" i="1"/>
  <c r="H4397" i="1" s="1"/>
  <c r="G4396" i="1"/>
  <c r="F4396" i="1"/>
  <c r="D4396" i="1"/>
  <c r="H4396" i="1" s="1"/>
  <c r="G4395" i="1"/>
  <c r="H4395" i="1" s="1"/>
  <c r="F4395" i="1"/>
  <c r="D4395" i="1"/>
  <c r="G4394" i="1"/>
  <c r="F4394" i="1"/>
  <c r="D4394" i="1"/>
  <c r="H4394" i="1" s="1"/>
  <c r="G4393" i="1"/>
  <c r="F4393" i="1"/>
  <c r="D4393" i="1"/>
  <c r="H4393" i="1" s="1"/>
  <c r="G4392" i="1"/>
  <c r="F4392" i="1"/>
  <c r="H4392" i="1" s="1"/>
  <c r="D4392" i="1"/>
  <c r="G4391" i="1"/>
  <c r="F4391" i="1"/>
  <c r="D4391" i="1"/>
  <c r="H4391" i="1" s="1"/>
  <c r="G4390" i="1"/>
  <c r="F4390" i="1"/>
  <c r="D4390" i="1"/>
  <c r="H4390" i="1" s="1"/>
  <c r="H4389" i="1"/>
  <c r="H4388" i="1"/>
  <c r="G4388" i="1"/>
  <c r="F4388" i="1"/>
  <c r="D4388" i="1"/>
  <c r="G4387" i="1"/>
  <c r="F4387" i="1"/>
  <c r="H4387" i="1" s="1"/>
  <c r="D4387" i="1"/>
  <c r="G4386" i="1"/>
  <c r="F4386" i="1"/>
  <c r="H4386" i="1" s="1"/>
  <c r="D4386" i="1"/>
  <c r="H4385" i="1"/>
  <c r="G4385" i="1"/>
  <c r="F4385" i="1"/>
  <c r="D4385" i="1"/>
  <c r="G4384" i="1"/>
  <c r="F4384" i="1"/>
  <c r="H4384" i="1" s="1"/>
  <c r="D4384" i="1"/>
  <c r="G4383" i="1"/>
  <c r="F4383" i="1"/>
  <c r="H4383" i="1" s="1"/>
  <c r="D4383" i="1"/>
  <c r="H4382" i="1"/>
  <c r="G4382" i="1"/>
  <c r="F4382" i="1"/>
  <c r="D4382" i="1"/>
  <c r="G4381" i="1"/>
  <c r="F4381" i="1"/>
  <c r="D4381" i="1"/>
  <c r="H4381" i="1" s="1"/>
  <c r="G4380" i="1"/>
  <c r="F4380" i="1"/>
  <c r="H4380" i="1" s="1"/>
  <c r="D4380" i="1"/>
  <c r="H4379" i="1"/>
  <c r="G4379" i="1"/>
  <c r="F4379" i="1"/>
  <c r="D4379" i="1"/>
  <c r="H4378" i="1"/>
  <c r="G4377" i="1"/>
  <c r="F4377" i="1"/>
  <c r="D4377" i="1"/>
  <c r="H4377" i="1" s="1"/>
  <c r="G4376" i="1"/>
  <c r="F4376" i="1"/>
  <c r="D4376" i="1"/>
  <c r="H4376" i="1" s="1"/>
  <c r="G4375" i="1"/>
  <c r="F4375" i="1"/>
  <c r="H4375" i="1" s="1"/>
  <c r="D4375" i="1"/>
  <c r="G4374" i="1"/>
  <c r="F4374" i="1"/>
  <c r="D4374" i="1"/>
  <c r="H4374" i="1" s="1"/>
  <c r="G4373" i="1"/>
  <c r="F4373" i="1"/>
  <c r="D4373" i="1"/>
  <c r="H4373" i="1" s="1"/>
  <c r="G4372" i="1"/>
  <c r="F4372" i="1"/>
  <c r="D4372" i="1"/>
  <c r="H4372" i="1" s="1"/>
  <c r="G4371" i="1"/>
  <c r="F4371" i="1"/>
  <c r="D4371" i="1"/>
  <c r="H4371" i="1" s="1"/>
  <c r="G4370" i="1"/>
  <c r="F4370" i="1"/>
  <c r="D4370" i="1"/>
  <c r="H4370" i="1" s="1"/>
  <c r="G4369" i="1"/>
  <c r="F4369" i="1"/>
  <c r="D4369" i="1"/>
  <c r="H4369" i="1" s="1"/>
  <c r="G4368" i="1"/>
  <c r="F4368" i="1"/>
  <c r="D4368" i="1"/>
  <c r="H4368" i="1" s="1"/>
  <c r="H4367" i="1"/>
  <c r="G4366" i="1"/>
  <c r="F4366" i="1"/>
  <c r="H4366" i="1" s="1"/>
  <c r="D4366" i="1"/>
  <c r="G4365" i="1"/>
  <c r="F4365" i="1"/>
  <c r="D4365" i="1"/>
  <c r="H4365" i="1" s="1"/>
  <c r="G4364" i="1"/>
  <c r="F4364" i="1"/>
  <c r="H4364" i="1" s="1"/>
  <c r="D4364" i="1"/>
  <c r="G4363" i="1"/>
  <c r="F4363" i="1"/>
  <c r="H4363" i="1" s="1"/>
  <c r="D4363" i="1"/>
  <c r="G4362" i="1"/>
  <c r="F4362" i="1"/>
  <c r="D4362" i="1"/>
  <c r="H4362" i="1" s="1"/>
  <c r="G4361" i="1"/>
  <c r="F4361" i="1"/>
  <c r="H4361" i="1" s="1"/>
  <c r="D4361" i="1"/>
  <c r="G4360" i="1"/>
  <c r="F4360" i="1"/>
  <c r="H4360" i="1" s="1"/>
  <c r="D4360" i="1"/>
  <c r="G4359" i="1"/>
  <c r="F4359" i="1"/>
  <c r="D4359" i="1"/>
  <c r="H4359" i="1" s="1"/>
  <c r="G4358" i="1"/>
  <c r="F4358" i="1"/>
  <c r="H4358" i="1" s="1"/>
  <c r="D4358" i="1"/>
  <c r="G4357" i="1"/>
  <c r="F4357" i="1"/>
  <c r="H4357" i="1" s="1"/>
  <c r="D4357" i="1"/>
  <c r="H4356" i="1"/>
  <c r="G4355" i="1"/>
  <c r="F4355" i="1"/>
  <c r="D4355" i="1"/>
  <c r="H4355" i="1" s="1"/>
  <c r="G4354" i="1"/>
  <c r="F4354" i="1"/>
  <c r="D4354" i="1"/>
  <c r="H4354" i="1" s="1"/>
  <c r="G4353" i="1"/>
  <c r="F4353" i="1"/>
  <c r="H4353" i="1" s="1"/>
  <c r="D4353" i="1"/>
  <c r="G4352" i="1"/>
  <c r="F4352" i="1"/>
  <c r="D4352" i="1"/>
  <c r="H4352" i="1" s="1"/>
  <c r="G4351" i="1"/>
  <c r="F4351" i="1"/>
  <c r="D4351" i="1"/>
  <c r="H4351" i="1" s="1"/>
  <c r="G4350" i="1"/>
  <c r="F4350" i="1"/>
  <c r="H4350" i="1" s="1"/>
  <c r="D4350" i="1"/>
  <c r="G4349" i="1"/>
  <c r="F4349" i="1"/>
  <c r="D4349" i="1"/>
  <c r="H4349" i="1" s="1"/>
  <c r="G4348" i="1"/>
  <c r="F4348" i="1"/>
  <c r="D4348" i="1"/>
  <c r="H4348" i="1" s="1"/>
  <c r="G4347" i="1"/>
  <c r="F4347" i="1"/>
  <c r="H4347" i="1" s="1"/>
  <c r="D4347" i="1"/>
  <c r="G4346" i="1"/>
  <c r="F4346" i="1"/>
  <c r="D4346" i="1"/>
  <c r="H4346" i="1" s="1"/>
  <c r="H4345" i="1"/>
  <c r="H4344" i="1"/>
  <c r="G4344" i="1"/>
  <c r="F4344" i="1"/>
  <c r="D4344" i="1"/>
  <c r="H4343" i="1"/>
  <c r="G4343" i="1"/>
  <c r="F4343" i="1"/>
  <c r="D4343" i="1"/>
  <c r="G4342" i="1"/>
  <c r="F4342" i="1"/>
  <c r="H4342" i="1" s="1"/>
  <c r="D4342" i="1"/>
  <c r="H4341" i="1"/>
  <c r="G4341" i="1"/>
  <c r="F4341" i="1"/>
  <c r="D4341" i="1"/>
  <c r="H4340" i="1"/>
  <c r="G4340" i="1"/>
  <c r="F4340" i="1"/>
  <c r="D4340" i="1"/>
  <c r="G4339" i="1"/>
  <c r="F4339" i="1"/>
  <c r="H4339" i="1" s="1"/>
  <c r="D4339" i="1"/>
  <c r="G4338" i="1"/>
  <c r="F4338" i="1"/>
  <c r="H4338" i="1" s="1"/>
  <c r="D4338" i="1"/>
  <c r="H4337" i="1"/>
  <c r="G4337" i="1"/>
  <c r="F4337" i="1"/>
  <c r="D4337" i="1"/>
  <c r="G4336" i="1"/>
  <c r="F4336" i="1"/>
  <c r="D4336" i="1"/>
  <c r="H4336" i="1" s="1"/>
  <c r="G4335" i="1"/>
  <c r="F4335" i="1"/>
  <c r="D4335" i="1"/>
  <c r="H4335" i="1" s="1"/>
  <c r="H4334" i="1"/>
  <c r="G4333" i="1"/>
  <c r="F4333" i="1"/>
  <c r="H4333" i="1" s="1"/>
  <c r="D4333" i="1"/>
  <c r="G4332" i="1"/>
  <c r="F4332" i="1"/>
  <c r="D4332" i="1"/>
  <c r="H4332" i="1" s="1"/>
  <c r="G4331" i="1"/>
  <c r="F4331" i="1"/>
  <c r="D4331" i="1"/>
  <c r="H4331" i="1" s="1"/>
  <c r="G4330" i="1"/>
  <c r="F4330" i="1"/>
  <c r="D4330" i="1"/>
  <c r="H4330" i="1" s="1"/>
  <c r="G4329" i="1"/>
  <c r="F4329" i="1"/>
  <c r="D4329" i="1"/>
  <c r="H4329" i="1" s="1"/>
  <c r="G4328" i="1"/>
  <c r="F4328" i="1"/>
  <c r="D4328" i="1"/>
  <c r="H4328" i="1" s="1"/>
  <c r="G4327" i="1"/>
  <c r="F4327" i="1"/>
  <c r="D4327" i="1"/>
  <c r="H4327" i="1" s="1"/>
  <c r="G4326" i="1"/>
  <c r="F4326" i="1"/>
  <c r="D4326" i="1"/>
  <c r="H4326" i="1" s="1"/>
  <c r="G4325" i="1"/>
  <c r="F4325" i="1"/>
  <c r="D4325" i="1"/>
  <c r="H4325" i="1" s="1"/>
  <c r="G4324" i="1"/>
  <c r="F4324" i="1"/>
  <c r="D4324" i="1"/>
  <c r="H4324" i="1" s="1"/>
  <c r="H4323" i="1"/>
  <c r="G4322" i="1"/>
  <c r="F4322" i="1"/>
  <c r="H4322" i="1" s="1"/>
  <c r="D4322" i="1"/>
  <c r="G4321" i="1"/>
  <c r="F4321" i="1"/>
  <c r="H4321" i="1" s="1"/>
  <c r="D4321" i="1"/>
  <c r="G4320" i="1"/>
  <c r="F4320" i="1"/>
  <c r="H4320" i="1" s="1"/>
  <c r="D4320" i="1"/>
  <c r="G4319" i="1"/>
  <c r="F4319" i="1"/>
  <c r="H4319" i="1" s="1"/>
  <c r="D4319" i="1"/>
  <c r="G4318" i="1"/>
  <c r="F4318" i="1"/>
  <c r="H4318" i="1" s="1"/>
  <c r="D4318" i="1"/>
  <c r="G4317" i="1"/>
  <c r="F4317" i="1"/>
  <c r="D4317" i="1"/>
  <c r="H4317" i="1" s="1"/>
  <c r="G4316" i="1"/>
  <c r="F4316" i="1"/>
  <c r="H4316" i="1" s="1"/>
  <c r="D4316" i="1"/>
  <c r="G4315" i="1"/>
  <c r="F4315" i="1"/>
  <c r="H4315" i="1" s="1"/>
  <c r="D4315" i="1"/>
  <c r="G4314" i="1"/>
  <c r="F4314" i="1"/>
  <c r="D4314" i="1"/>
  <c r="H4314" i="1" s="1"/>
  <c r="G4313" i="1"/>
  <c r="F4313" i="1"/>
  <c r="H4313" i="1" s="1"/>
  <c r="D4313" i="1"/>
  <c r="H4312" i="1"/>
  <c r="G4311" i="1"/>
  <c r="H4311" i="1" s="1"/>
  <c r="F4311" i="1"/>
  <c r="D4311" i="1"/>
  <c r="G4310" i="1"/>
  <c r="F4310" i="1"/>
  <c r="D4310" i="1"/>
  <c r="H4310" i="1" s="1"/>
  <c r="G4309" i="1"/>
  <c r="F4309" i="1"/>
  <c r="D4309" i="1"/>
  <c r="H4309" i="1" s="1"/>
  <c r="G4308" i="1"/>
  <c r="H4308" i="1" s="1"/>
  <c r="F4308" i="1"/>
  <c r="D4308" i="1"/>
  <c r="G4307" i="1"/>
  <c r="F4307" i="1"/>
  <c r="D4307" i="1"/>
  <c r="H4307" i="1" s="1"/>
  <c r="G4306" i="1"/>
  <c r="F4306" i="1"/>
  <c r="D4306" i="1"/>
  <c r="H4306" i="1" s="1"/>
  <c r="G4305" i="1"/>
  <c r="F4305" i="1"/>
  <c r="H4305" i="1" s="1"/>
  <c r="D4305" i="1"/>
  <c r="G4304" i="1"/>
  <c r="F4304" i="1"/>
  <c r="D4304" i="1"/>
  <c r="H4304" i="1" s="1"/>
  <c r="G4303" i="1"/>
  <c r="F4303" i="1"/>
  <c r="D4303" i="1"/>
  <c r="H4303" i="1" s="1"/>
  <c r="G4302" i="1"/>
  <c r="F4302" i="1"/>
  <c r="D4302" i="1"/>
  <c r="H4302" i="1" s="1"/>
  <c r="H4301" i="1"/>
  <c r="G4300" i="1"/>
  <c r="F4300" i="1"/>
  <c r="H4300" i="1" s="1"/>
  <c r="D4300" i="1"/>
  <c r="H4299" i="1"/>
  <c r="G4299" i="1"/>
  <c r="F4299" i="1"/>
  <c r="D4299" i="1"/>
  <c r="H4298" i="1"/>
  <c r="G4298" i="1"/>
  <c r="F4298" i="1"/>
  <c r="D4298" i="1"/>
  <c r="G4297" i="1"/>
  <c r="F4297" i="1"/>
  <c r="H4297" i="1" s="1"/>
  <c r="D4297" i="1"/>
  <c r="H4296" i="1"/>
  <c r="G4296" i="1"/>
  <c r="F4296" i="1"/>
  <c r="D4296" i="1"/>
  <c r="H4295" i="1"/>
  <c r="G4295" i="1"/>
  <c r="F4295" i="1"/>
  <c r="D4295" i="1"/>
  <c r="G4294" i="1"/>
  <c r="F4294" i="1"/>
  <c r="H4294" i="1" s="1"/>
  <c r="D4294" i="1"/>
  <c r="G4293" i="1"/>
  <c r="F4293" i="1"/>
  <c r="H4293" i="1" s="1"/>
  <c r="D4293" i="1"/>
  <c r="H4292" i="1"/>
  <c r="G4292" i="1"/>
  <c r="F4292" i="1"/>
  <c r="D4292" i="1"/>
  <c r="G4291" i="1"/>
  <c r="F4291" i="1"/>
  <c r="D4291" i="1"/>
  <c r="H4291" i="1" s="1"/>
  <c r="H4290" i="1"/>
  <c r="G4289" i="1"/>
  <c r="F4289" i="1"/>
  <c r="D4289" i="1"/>
  <c r="H4289" i="1" s="1"/>
  <c r="G4288" i="1"/>
  <c r="F4288" i="1"/>
  <c r="H4288" i="1" s="1"/>
  <c r="D4288" i="1"/>
  <c r="G4287" i="1"/>
  <c r="F4287" i="1"/>
  <c r="D4287" i="1"/>
  <c r="H4287" i="1" s="1"/>
  <c r="G4286" i="1"/>
  <c r="F4286" i="1"/>
  <c r="D4286" i="1"/>
  <c r="H4286" i="1" s="1"/>
  <c r="G4285" i="1"/>
  <c r="F4285" i="1"/>
  <c r="D4285" i="1"/>
  <c r="H4285" i="1" s="1"/>
  <c r="G4284" i="1"/>
  <c r="F4284" i="1"/>
  <c r="D4284" i="1"/>
  <c r="H4284" i="1" s="1"/>
  <c r="G4283" i="1"/>
  <c r="F4283" i="1"/>
  <c r="D4283" i="1"/>
  <c r="H4283" i="1" s="1"/>
  <c r="G4282" i="1"/>
  <c r="F4282" i="1"/>
  <c r="D4282" i="1"/>
  <c r="H4282" i="1" s="1"/>
  <c r="G4281" i="1"/>
  <c r="F4281" i="1"/>
  <c r="D4281" i="1"/>
  <c r="H4281" i="1" s="1"/>
  <c r="G4280" i="1"/>
  <c r="F4280" i="1"/>
  <c r="D4280" i="1"/>
  <c r="H4280" i="1" s="1"/>
  <c r="H4279" i="1"/>
  <c r="G4278" i="1"/>
  <c r="F4278" i="1"/>
  <c r="H4278" i="1" s="1"/>
  <c r="D4278" i="1"/>
  <c r="G4277" i="1"/>
  <c r="F4277" i="1"/>
  <c r="H4277" i="1" s="1"/>
  <c r="D4277" i="1"/>
  <c r="G4276" i="1"/>
  <c r="F4276" i="1"/>
  <c r="H4276" i="1" s="1"/>
  <c r="D4276" i="1"/>
  <c r="G4275" i="1"/>
  <c r="F4275" i="1"/>
  <c r="D4275" i="1"/>
  <c r="H4275" i="1" s="1"/>
  <c r="G4274" i="1"/>
  <c r="F4274" i="1"/>
  <c r="H4274" i="1" s="1"/>
  <c r="D4274" i="1"/>
  <c r="G4273" i="1"/>
  <c r="F4273" i="1"/>
  <c r="H4273" i="1" s="1"/>
  <c r="D4273" i="1"/>
  <c r="G4272" i="1"/>
  <c r="F4272" i="1"/>
  <c r="D4272" i="1"/>
  <c r="H4272" i="1" s="1"/>
  <c r="G4271" i="1"/>
  <c r="F4271" i="1"/>
  <c r="H4271" i="1" s="1"/>
  <c r="D4271" i="1"/>
  <c r="G4270" i="1"/>
  <c r="F4270" i="1"/>
  <c r="H4270" i="1" s="1"/>
  <c r="D4270" i="1"/>
  <c r="G4269" i="1"/>
  <c r="F4269" i="1"/>
  <c r="D4269" i="1"/>
  <c r="H4269" i="1" s="1"/>
  <c r="H4268" i="1"/>
  <c r="G4267" i="1"/>
  <c r="F4267" i="1"/>
  <c r="D4267" i="1"/>
  <c r="H4267" i="1" s="1"/>
  <c r="G4266" i="1"/>
  <c r="H4266" i="1" s="1"/>
  <c r="F4266" i="1"/>
  <c r="D4266" i="1"/>
  <c r="G4265" i="1"/>
  <c r="F4265" i="1"/>
  <c r="D4265" i="1"/>
  <c r="H4265" i="1" s="1"/>
  <c r="G4264" i="1"/>
  <c r="F4264" i="1"/>
  <c r="D4264" i="1"/>
  <c r="H4264" i="1" s="1"/>
  <c r="G4263" i="1"/>
  <c r="H4263" i="1" s="1"/>
  <c r="F4263" i="1"/>
  <c r="D4263" i="1"/>
  <c r="G4262" i="1"/>
  <c r="F4262" i="1"/>
  <c r="D4262" i="1"/>
  <c r="H4262" i="1" s="1"/>
  <c r="G4261" i="1"/>
  <c r="F4261" i="1"/>
  <c r="D4261" i="1"/>
  <c r="H4261" i="1" s="1"/>
  <c r="G4260" i="1"/>
  <c r="F4260" i="1"/>
  <c r="H4260" i="1" s="1"/>
  <c r="D4260" i="1"/>
  <c r="G4259" i="1"/>
  <c r="F4259" i="1"/>
  <c r="D4259" i="1"/>
  <c r="H4259" i="1" s="1"/>
  <c r="G4258" i="1"/>
  <c r="F4258" i="1"/>
  <c r="D4258" i="1"/>
  <c r="H4258" i="1" s="1"/>
  <c r="H4257" i="1"/>
  <c r="H4256" i="1"/>
  <c r="G4256" i="1"/>
  <c r="F4256" i="1"/>
  <c r="D4256" i="1"/>
  <c r="G4255" i="1"/>
  <c r="F4255" i="1"/>
  <c r="H4255" i="1" s="1"/>
  <c r="D4255" i="1"/>
  <c r="G4254" i="1"/>
  <c r="F4254" i="1"/>
  <c r="H4254" i="1" s="1"/>
  <c r="D4254" i="1"/>
  <c r="H4253" i="1"/>
  <c r="G4253" i="1"/>
  <c r="F4253" i="1"/>
  <c r="D4253" i="1"/>
  <c r="G4252" i="1"/>
  <c r="F4252" i="1"/>
  <c r="H4252" i="1" s="1"/>
  <c r="D4252" i="1"/>
  <c r="G4251" i="1"/>
  <c r="F4251" i="1"/>
  <c r="H4251" i="1" s="1"/>
  <c r="D4251" i="1"/>
  <c r="H4250" i="1"/>
  <c r="G4250" i="1"/>
  <c r="F4250" i="1"/>
  <c r="D4250" i="1"/>
  <c r="G4249" i="1"/>
  <c r="F4249" i="1"/>
  <c r="D4249" i="1"/>
  <c r="H4249" i="1" s="1"/>
  <c r="G4248" i="1"/>
  <c r="F4248" i="1"/>
  <c r="H4248" i="1" s="1"/>
  <c r="D4248" i="1"/>
  <c r="H4247" i="1"/>
  <c r="G4247" i="1"/>
  <c r="F4247" i="1"/>
  <c r="D4247" i="1"/>
  <c r="H4246" i="1"/>
  <c r="G4245" i="1"/>
  <c r="F4245" i="1"/>
  <c r="D4245" i="1"/>
  <c r="H4245" i="1" s="1"/>
  <c r="G4244" i="1"/>
  <c r="F4244" i="1"/>
  <c r="D4244" i="1"/>
  <c r="H4244" i="1" s="1"/>
  <c r="G4243" i="1"/>
  <c r="F4243" i="1"/>
  <c r="H4243" i="1" s="1"/>
  <c r="D4243" i="1"/>
  <c r="G4242" i="1"/>
  <c r="F4242" i="1"/>
  <c r="D4242" i="1"/>
  <c r="H4242" i="1" s="1"/>
  <c r="G4241" i="1"/>
  <c r="F4241" i="1"/>
  <c r="D4241" i="1"/>
  <c r="H4241" i="1" s="1"/>
  <c r="G4240" i="1"/>
  <c r="F4240" i="1"/>
  <c r="D4240" i="1"/>
  <c r="H4240" i="1" s="1"/>
  <c r="G4239" i="1"/>
  <c r="F4239" i="1"/>
  <c r="D4239" i="1"/>
  <c r="H4239" i="1" s="1"/>
  <c r="G4238" i="1"/>
  <c r="F4238" i="1"/>
  <c r="D4238" i="1"/>
  <c r="H4238" i="1" s="1"/>
  <c r="G4237" i="1"/>
  <c r="F4237" i="1"/>
  <c r="D4237" i="1"/>
  <c r="H4237" i="1" s="1"/>
  <c r="G4236" i="1"/>
  <c r="F4236" i="1"/>
  <c r="D4236" i="1"/>
  <c r="H4236" i="1" s="1"/>
  <c r="H4235" i="1"/>
  <c r="G4234" i="1"/>
  <c r="F4234" i="1"/>
  <c r="H4234" i="1" s="1"/>
  <c r="D4234" i="1"/>
  <c r="G4233" i="1"/>
  <c r="F4233" i="1"/>
  <c r="H4233" i="1" s="1"/>
  <c r="D4233" i="1"/>
  <c r="G4232" i="1"/>
  <c r="F4232" i="1"/>
  <c r="H4232" i="1" s="1"/>
  <c r="D4232" i="1"/>
  <c r="G4231" i="1"/>
  <c r="F4231" i="1"/>
  <c r="H4231" i="1" s="1"/>
  <c r="D4231" i="1"/>
  <c r="G4230" i="1"/>
  <c r="F4230" i="1"/>
  <c r="D4230" i="1"/>
  <c r="H4230" i="1" s="1"/>
  <c r="G4229" i="1"/>
  <c r="F4229" i="1"/>
  <c r="H4229" i="1" s="1"/>
  <c r="D4229" i="1"/>
  <c r="G4228" i="1"/>
  <c r="F4228" i="1"/>
  <c r="H4228" i="1" s="1"/>
  <c r="D4228" i="1"/>
  <c r="G4227" i="1"/>
  <c r="F4227" i="1"/>
  <c r="D4227" i="1"/>
  <c r="H4227" i="1" s="1"/>
  <c r="G4226" i="1"/>
  <c r="F4226" i="1"/>
  <c r="H4226" i="1" s="1"/>
  <c r="D4226" i="1"/>
  <c r="G4225" i="1"/>
  <c r="F4225" i="1"/>
  <c r="H4225" i="1" s="1"/>
  <c r="D4225" i="1"/>
  <c r="G4224" i="1"/>
  <c r="F4224" i="1"/>
  <c r="D4224" i="1"/>
  <c r="H4224" i="1" s="1"/>
  <c r="G4223" i="1"/>
  <c r="F4223" i="1"/>
  <c r="H4223" i="1" s="1"/>
  <c r="D4223" i="1"/>
  <c r="G4222" i="1"/>
  <c r="F4222" i="1"/>
  <c r="D4222" i="1"/>
  <c r="H4222" i="1" s="1"/>
  <c r="G4221" i="1"/>
  <c r="F4221" i="1"/>
  <c r="D4221" i="1"/>
  <c r="H4221" i="1" s="1"/>
  <c r="G4220" i="1"/>
  <c r="F4220" i="1"/>
  <c r="D4220" i="1"/>
  <c r="H4220" i="1" s="1"/>
  <c r="G4219" i="1"/>
  <c r="F4219" i="1"/>
  <c r="D4219" i="1"/>
  <c r="H4219" i="1" s="1"/>
  <c r="H4218" i="1"/>
  <c r="H4217" i="1"/>
  <c r="G4217" i="1"/>
  <c r="F4217" i="1"/>
  <c r="D4217" i="1"/>
  <c r="G4216" i="1"/>
  <c r="F4216" i="1"/>
  <c r="D4216" i="1"/>
  <c r="H4216" i="1" s="1"/>
  <c r="G4215" i="1"/>
  <c r="F4215" i="1"/>
  <c r="H4215" i="1" s="1"/>
  <c r="D4215" i="1"/>
  <c r="G4214" i="1"/>
  <c r="F4214" i="1"/>
  <c r="D4214" i="1"/>
  <c r="H4214" i="1" s="1"/>
  <c r="G4213" i="1"/>
  <c r="F4213" i="1"/>
  <c r="D4213" i="1"/>
  <c r="H4213" i="1" s="1"/>
  <c r="G4212" i="1"/>
  <c r="F4212" i="1"/>
  <c r="H4212" i="1" s="1"/>
  <c r="D4212" i="1"/>
  <c r="G4211" i="1"/>
  <c r="F4211" i="1"/>
  <c r="D4211" i="1"/>
  <c r="H4211" i="1" s="1"/>
  <c r="G4210" i="1"/>
  <c r="F4210" i="1"/>
  <c r="D4210" i="1"/>
  <c r="H4210" i="1" s="1"/>
  <c r="G4209" i="1"/>
  <c r="F4209" i="1"/>
  <c r="H4209" i="1" s="1"/>
  <c r="D4209" i="1"/>
  <c r="G4208" i="1"/>
  <c r="F4208" i="1"/>
  <c r="D4208" i="1"/>
  <c r="H4208" i="1" s="1"/>
  <c r="H4207" i="1"/>
  <c r="H4206" i="1"/>
  <c r="G4206" i="1"/>
  <c r="F4206" i="1"/>
  <c r="D4206" i="1"/>
  <c r="H4205" i="1"/>
  <c r="G4205" i="1"/>
  <c r="F4205" i="1"/>
  <c r="D4205" i="1"/>
  <c r="G4204" i="1"/>
  <c r="F4204" i="1"/>
  <c r="H4204" i="1" s="1"/>
  <c r="D4204" i="1"/>
  <c r="H4203" i="1"/>
  <c r="G4203" i="1"/>
  <c r="F4203" i="1"/>
  <c r="D4203" i="1"/>
  <c r="H4202" i="1"/>
  <c r="G4202" i="1"/>
  <c r="F4202" i="1"/>
  <c r="D4202" i="1"/>
  <c r="G4201" i="1"/>
  <c r="F4201" i="1"/>
  <c r="H4201" i="1" s="1"/>
  <c r="D4201" i="1"/>
  <c r="G4200" i="1"/>
  <c r="F4200" i="1"/>
  <c r="H4200" i="1" s="1"/>
  <c r="D4200" i="1"/>
  <c r="H4199" i="1"/>
  <c r="G4199" i="1"/>
  <c r="F4199" i="1"/>
  <c r="D4199" i="1"/>
  <c r="G4198" i="1"/>
  <c r="F4198" i="1"/>
  <c r="D4198" i="1"/>
  <c r="H4198" i="1" s="1"/>
  <c r="G4197" i="1"/>
  <c r="F4197" i="1"/>
  <c r="D4197" i="1"/>
  <c r="H4197" i="1" s="1"/>
  <c r="H4196" i="1"/>
  <c r="H4195" i="1"/>
  <c r="G4195" i="1"/>
  <c r="F4195" i="1"/>
  <c r="D4195" i="1"/>
  <c r="G4194" i="1"/>
  <c r="F4194" i="1"/>
  <c r="D4194" i="1"/>
  <c r="H4194" i="1" s="1"/>
  <c r="G4193" i="1"/>
  <c r="F4193" i="1"/>
  <c r="D4193" i="1"/>
  <c r="H4193" i="1" s="1"/>
  <c r="G4192" i="1"/>
  <c r="F4192" i="1"/>
  <c r="D4192" i="1"/>
  <c r="H4192" i="1" s="1"/>
  <c r="G4191" i="1"/>
  <c r="F4191" i="1"/>
  <c r="D4191" i="1"/>
  <c r="H4191" i="1" s="1"/>
  <c r="G4190" i="1"/>
  <c r="F4190" i="1"/>
  <c r="D4190" i="1"/>
  <c r="H4190" i="1" s="1"/>
  <c r="G4189" i="1"/>
  <c r="F4189" i="1"/>
  <c r="D4189" i="1"/>
  <c r="H4189" i="1" s="1"/>
  <c r="G4188" i="1"/>
  <c r="F4188" i="1"/>
  <c r="D4188" i="1"/>
  <c r="H4188" i="1" s="1"/>
  <c r="G4187" i="1"/>
  <c r="F4187" i="1"/>
  <c r="D4187" i="1"/>
  <c r="H4187" i="1" s="1"/>
  <c r="G4186" i="1"/>
  <c r="F4186" i="1"/>
  <c r="D4186" i="1"/>
  <c r="H4186" i="1" s="1"/>
  <c r="H4185" i="1"/>
  <c r="G4184" i="1"/>
  <c r="F4184" i="1"/>
  <c r="H4184" i="1" s="1"/>
  <c r="D4184" i="1"/>
  <c r="G4183" i="1"/>
  <c r="F4183" i="1"/>
  <c r="H4183" i="1" s="1"/>
  <c r="D4183" i="1"/>
  <c r="G4182" i="1"/>
  <c r="F4182" i="1"/>
  <c r="D4182" i="1"/>
  <c r="H4182" i="1" s="1"/>
  <c r="G4181" i="1"/>
  <c r="F4181" i="1"/>
  <c r="H4181" i="1" s="1"/>
  <c r="D4181" i="1"/>
  <c r="G4180" i="1"/>
  <c r="F4180" i="1"/>
  <c r="H4180" i="1" s="1"/>
  <c r="D4180" i="1"/>
  <c r="G4179" i="1"/>
  <c r="F4179" i="1"/>
  <c r="D4179" i="1"/>
  <c r="H4179" i="1" s="1"/>
  <c r="G4178" i="1"/>
  <c r="F4178" i="1"/>
  <c r="D4178" i="1"/>
  <c r="H4178" i="1" s="1"/>
  <c r="G4177" i="1"/>
  <c r="F4177" i="1"/>
  <c r="D4177" i="1"/>
  <c r="H4177" i="1" s="1"/>
  <c r="G4176" i="1"/>
  <c r="F4176" i="1"/>
  <c r="D4176" i="1"/>
  <c r="H4176" i="1" s="1"/>
  <c r="G4175" i="1"/>
  <c r="F4175" i="1"/>
  <c r="D4175" i="1"/>
  <c r="H4175" i="1" s="1"/>
  <c r="H4174" i="1"/>
  <c r="G4173" i="1"/>
  <c r="F4173" i="1"/>
  <c r="H4173" i="1" s="1"/>
  <c r="D4173" i="1"/>
  <c r="G4172" i="1"/>
  <c r="F4172" i="1"/>
  <c r="D4172" i="1"/>
  <c r="H4172" i="1" s="1"/>
  <c r="G4171" i="1"/>
  <c r="F4171" i="1"/>
  <c r="D4171" i="1"/>
  <c r="H4171" i="1" s="1"/>
  <c r="G4170" i="1"/>
  <c r="F4170" i="1"/>
  <c r="H4170" i="1" s="1"/>
  <c r="D4170" i="1"/>
  <c r="G4169" i="1"/>
  <c r="F4169" i="1"/>
  <c r="D4169" i="1"/>
  <c r="H4169" i="1" s="1"/>
  <c r="G4168" i="1"/>
  <c r="F4168" i="1"/>
  <c r="D4168" i="1"/>
  <c r="H4168" i="1" s="1"/>
  <c r="G4167" i="1"/>
  <c r="F4167" i="1"/>
  <c r="H4167" i="1" s="1"/>
  <c r="D4167" i="1"/>
  <c r="G4166" i="1"/>
  <c r="F4166" i="1"/>
  <c r="D4166" i="1"/>
  <c r="H4166" i="1" s="1"/>
  <c r="G4165" i="1"/>
  <c r="F4165" i="1"/>
  <c r="D4165" i="1"/>
  <c r="H4165" i="1" s="1"/>
  <c r="G4164" i="1"/>
  <c r="F4164" i="1"/>
  <c r="H4164" i="1" s="1"/>
  <c r="D4164" i="1"/>
  <c r="H4163" i="1"/>
  <c r="H4162" i="1"/>
  <c r="G4162" i="1"/>
  <c r="F4162" i="1"/>
  <c r="D4162" i="1"/>
  <c r="H4161" i="1"/>
  <c r="G4161" i="1"/>
  <c r="F4161" i="1"/>
  <c r="D4161" i="1"/>
  <c r="H4160" i="1"/>
  <c r="G4160" i="1"/>
  <c r="F4160" i="1"/>
  <c r="D4160" i="1"/>
  <c r="H4159" i="1"/>
  <c r="G4159" i="1"/>
  <c r="F4159" i="1"/>
  <c r="D4159" i="1"/>
  <c r="H4158" i="1"/>
  <c r="G4158" i="1"/>
  <c r="F4158" i="1"/>
  <c r="D4158" i="1"/>
  <c r="H4157" i="1"/>
  <c r="G4157" i="1"/>
  <c r="F4157" i="1"/>
  <c r="D4157" i="1"/>
  <c r="G4156" i="1"/>
  <c r="F4156" i="1"/>
  <c r="H4156" i="1" s="1"/>
  <c r="D4156" i="1"/>
  <c r="G4155" i="1"/>
  <c r="F4155" i="1"/>
  <c r="H4155" i="1" s="1"/>
  <c r="D4155" i="1"/>
  <c r="H4154" i="1"/>
  <c r="G4154" i="1"/>
  <c r="F4154" i="1"/>
  <c r="D4154" i="1"/>
  <c r="G4153" i="1"/>
  <c r="F4153" i="1"/>
  <c r="H4153" i="1" s="1"/>
  <c r="D4153" i="1"/>
  <c r="H4152" i="1"/>
  <c r="G4151" i="1"/>
  <c r="F4151" i="1"/>
  <c r="D4151" i="1"/>
  <c r="H4151" i="1" s="1"/>
  <c r="G4150" i="1"/>
  <c r="F4150" i="1"/>
  <c r="D4150" i="1"/>
  <c r="H4150" i="1" s="1"/>
  <c r="G4149" i="1"/>
  <c r="F4149" i="1"/>
  <c r="D4149" i="1"/>
  <c r="H4149" i="1" s="1"/>
  <c r="G4148" i="1"/>
  <c r="F4148" i="1"/>
  <c r="D4148" i="1"/>
  <c r="H4148" i="1" s="1"/>
  <c r="G4147" i="1"/>
  <c r="F4147" i="1"/>
  <c r="D4147" i="1"/>
  <c r="H4147" i="1" s="1"/>
  <c r="G4146" i="1"/>
  <c r="F4146" i="1"/>
  <c r="D4146" i="1"/>
  <c r="H4146" i="1" s="1"/>
  <c r="G4145" i="1"/>
  <c r="F4145" i="1"/>
  <c r="D4145" i="1"/>
  <c r="H4145" i="1" s="1"/>
  <c r="G4144" i="1"/>
  <c r="F4144" i="1"/>
  <c r="D4144" i="1"/>
  <c r="H4144" i="1" s="1"/>
  <c r="G4143" i="1"/>
  <c r="F4143" i="1"/>
  <c r="D4143" i="1"/>
  <c r="H4143" i="1" s="1"/>
  <c r="G4142" i="1"/>
  <c r="F4142" i="1"/>
  <c r="D4142" i="1"/>
  <c r="H4142" i="1" s="1"/>
  <c r="H4141" i="1"/>
  <c r="G4140" i="1"/>
  <c r="F4140" i="1"/>
  <c r="D4140" i="1"/>
  <c r="H4140" i="1" s="1"/>
  <c r="G4139" i="1"/>
  <c r="F4139" i="1"/>
  <c r="H4139" i="1" s="1"/>
  <c r="D4139" i="1"/>
  <c r="G4138" i="1"/>
  <c r="F4138" i="1"/>
  <c r="H4138" i="1" s="1"/>
  <c r="D4138" i="1"/>
  <c r="G4137" i="1"/>
  <c r="F4137" i="1"/>
  <c r="D4137" i="1"/>
  <c r="H4137" i="1" s="1"/>
  <c r="G4136" i="1"/>
  <c r="F4136" i="1"/>
  <c r="D4136" i="1"/>
  <c r="H4136" i="1" s="1"/>
  <c r="G4135" i="1"/>
  <c r="F4135" i="1"/>
  <c r="H4135" i="1" s="1"/>
  <c r="D4135" i="1"/>
  <c r="G4134" i="1"/>
  <c r="F4134" i="1"/>
  <c r="D4134" i="1"/>
  <c r="H4134" i="1" s="1"/>
  <c r="G4133" i="1"/>
  <c r="F4133" i="1"/>
  <c r="D4133" i="1"/>
  <c r="H4133" i="1" s="1"/>
  <c r="G4132" i="1"/>
  <c r="F4132" i="1"/>
  <c r="D4132" i="1"/>
  <c r="H4132" i="1" s="1"/>
  <c r="G4131" i="1"/>
  <c r="F4131" i="1"/>
  <c r="D4131" i="1"/>
  <c r="H4131" i="1" s="1"/>
  <c r="H4130" i="1"/>
  <c r="G4129" i="1"/>
  <c r="F4129" i="1"/>
  <c r="D4129" i="1"/>
  <c r="H4129" i="1" s="1"/>
  <c r="G4128" i="1"/>
  <c r="F4128" i="1"/>
  <c r="H4128" i="1" s="1"/>
  <c r="D4128" i="1"/>
  <c r="G4127" i="1"/>
  <c r="F4127" i="1"/>
  <c r="H4127" i="1" s="1"/>
  <c r="D4127" i="1"/>
  <c r="G4126" i="1"/>
  <c r="F4126" i="1"/>
  <c r="D4126" i="1"/>
  <c r="H4126" i="1" s="1"/>
  <c r="G4125" i="1"/>
  <c r="F4125" i="1"/>
  <c r="H4125" i="1" s="1"/>
  <c r="D4125" i="1"/>
  <c r="G4124" i="1"/>
  <c r="F4124" i="1"/>
  <c r="D4124" i="1"/>
  <c r="H4124" i="1" s="1"/>
  <c r="G4123" i="1"/>
  <c r="F4123" i="1"/>
  <c r="D4123" i="1"/>
  <c r="H4123" i="1" s="1"/>
  <c r="G4122" i="1"/>
  <c r="F4122" i="1"/>
  <c r="H4122" i="1" s="1"/>
  <c r="D4122" i="1"/>
  <c r="G4121" i="1"/>
  <c r="F4121" i="1"/>
  <c r="D4121" i="1"/>
  <c r="H4121" i="1" s="1"/>
  <c r="G4120" i="1"/>
  <c r="F4120" i="1"/>
  <c r="D4120" i="1"/>
  <c r="H4120" i="1" s="1"/>
  <c r="H4119" i="1"/>
  <c r="H4118" i="1"/>
  <c r="G4118" i="1"/>
  <c r="F4118" i="1"/>
  <c r="D4118" i="1"/>
  <c r="H4117" i="1"/>
  <c r="G4117" i="1"/>
  <c r="F4117" i="1"/>
  <c r="D4117" i="1"/>
  <c r="G4116" i="1"/>
  <c r="F4116" i="1"/>
  <c r="H4116" i="1" s="1"/>
  <c r="D4116" i="1"/>
  <c r="H4115" i="1"/>
  <c r="G4115" i="1"/>
  <c r="F4115" i="1"/>
  <c r="D4115" i="1"/>
  <c r="H4114" i="1"/>
  <c r="G4114" i="1"/>
  <c r="F4114" i="1"/>
  <c r="D4114" i="1"/>
  <c r="G4113" i="1"/>
  <c r="F4113" i="1"/>
  <c r="H4113" i="1" s="1"/>
  <c r="D4113" i="1"/>
  <c r="H4112" i="1"/>
  <c r="G4112" i="1"/>
  <c r="F4112" i="1"/>
  <c r="D4112" i="1"/>
  <c r="G4111" i="1"/>
  <c r="F4111" i="1"/>
  <c r="H4111" i="1" s="1"/>
  <c r="D4111" i="1"/>
  <c r="G4110" i="1"/>
  <c r="F4110" i="1"/>
  <c r="H4110" i="1" s="1"/>
  <c r="D4110" i="1"/>
  <c r="H4109" i="1"/>
  <c r="G4109" i="1"/>
  <c r="F4109" i="1"/>
  <c r="D4109" i="1"/>
  <c r="H4108" i="1"/>
  <c r="G4107" i="1"/>
  <c r="F4107" i="1"/>
  <c r="D4107" i="1"/>
  <c r="H4107" i="1" s="1"/>
  <c r="G4106" i="1"/>
  <c r="F4106" i="1"/>
  <c r="D4106" i="1"/>
  <c r="H4106" i="1" s="1"/>
  <c r="G4105" i="1"/>
  <c r="F4105" i="1"/>
  <c r="D4105" i="1"/>
  <c r="H4105" i="1" s="1"/>
  <c r="G4104" i="1"/>
  <c r="F4104" i="1"/>
  <c r="D4104" i="1"/>
  <c r="H4104" i="1" s="1"/>
  <c r="G4103" i="1"/>
  <c r="F4103" i="1"/>
  <c r="D4103" i="1"/>
  <c r="H4103" i="1" s="1"/>
  <c r="G4102" i="1"/>
  <c r="F4102" i="1"/>
  <c r="D4102" i="1"/>
  <c r="H4102" i="1" s="1"/>
  <c r="G4101" i="1"/>
  <c r="F4101" i="1"/>
  <c r="D4101" i="1"/>
  <c r="H4101" i="1" s="1"/>
  <c r="G4100" i="1"/>
  <c r="F4100" i="1"/>
  <c r="D4100" i="1"/>
  <c r="H4100" i="1" s="1"/>
  <c r="G4099" i="1"/>
  <c r="F4099" i="1"/>
  <c r="D4099" i="1"/>
  <c r="H4099" i="1" s="1"/>
  <c r="G4098" i="1"/>
  <c r="F4098" i="1"/>
  <c r="D4098" i="1"/>
  <c r="H4098" i="1" s="1"/>
  <c r="H4097" i="1"/>
  <c r="G4096" i="1"/>
  <c r="F4096" i="1"/>
  <c r="H4096" i="1" s="1"/>
  <c r="D4096" i="1"/>
  <c r="G4095" i="1"/>
  <c r="F4095" i="1"/>
  <c r="D4095" i="1"/>
  <c r="H4095" i="1" s="1"/>
  <c r="G4094" i="1"/>
  <c r="F4094" i="1"/>
  <c r="H4094" i="1" s="1"/>
  <c r="D4094" i="1"/>
  <c r="G4093" i="1"/>
  <c r="F4093" i="1"/>
  <c r="H4093" i="1" s="1"/>
  <c r="D4093" i="1"/>
  <c r="G4092" i="1"/>
  <c r="F4092" i="1"/>
  <c r="D4092" i="1"/>
  <c r="H4092" i="1" s="1"/>
  <c r="G4091" i="1"/>
  <c r="F4091" i="1"/>
  <c r="D4091" i="1"/>
  <c r="H4091" i="1" s="1"/>
  <c r="G4090" i="1"/>
  <c r="F4090" i="1"/>
  <c r="D4090" i="1"/>
  <c r="H4090" i="1" s="1"/>
  <c r="G4089" i="1"/>
  <c r="F4089" i="1"/>
  <c r="D4089" i="1"/>
  <c r="H4089" i="1" s="1"/>
  <c r="G4088" i="1"/>
  <c r="F4088" i="1"/>
  <c r="D4088" i="1"/>
  <c r="H4088" i="1" s="1"/>
  <c r="G4087" i="1"/>
  <c r="F4087" i="1"/>
  <c r="D4087" i="1"/>
  <c r="H4087" i="1" s="1"/>
  <c r="H4086" i="1"/>
  <c r="G4085" i="1"/>
  <c r="H4085" i="1" s="1"/>
  <c r="F4085" i="1"/>
  <c r="D4085" i="1"/>
  <c r="G4084" i="1"/>
  <c r="F4084" i="1"/>
  <c r="D4084" i="1"/>
  <c r="H4084" i="1" s="1"/>
  <c r="G4083" i="1"/>
  <c r="F4083" i="1"/>
  <c r="H4083" i="1" s="1"/>
  <c r="D4083" i="1"/>
  <c r="G4082" i="1"/>
  <c r="F4082" i="1"/>
  <c r="D4082" i="1"/>
  <c r="H4082" i="1" s="1"/>
  <c r="G4081" i="1"/>
  <c r="F4081" i="1"/>
  <c r="D4081" i="1"/>
  <c r="H4081" i="1" s="1"/>
  <c r="G4080" i="1"/>
  <c r="F4080" i="1"/>
  <c r="H4080" i="1" s="1"/>
  <c r="D4080" i="1"/>
  <c r="G4079" i="1"/>
  <c r="F4079" i="1"/>
  <c r="D4079" i="1"/>
  <c r="H4079" i="1" s="1"/>
  <c r="G4078" i="1"/>
  <c r="F4078" i="1"/>
  <c r="D4078" i="1"/>
  <c r="H4078" i="1" s="1"/>
  <c r="G4077" i="1"/>
  <c r="F4077" i="1"/>
  <c r="H4077" i="1" s="1"/>
  <c r="D4077" i="1"/>
  <c r="G4076" i="1"/>
  <c r="F4076" i="1"/>
  <c r="D4076" i="1"/>
  <c r="H4076" i="1" s="1"/>
  <c r="H4075" i="1"/>
  <c r="H4074" i="1"/>
  <c r="G4074" i="1"/>
  <c r="F4074" i="1"/>
  <c r="D4074" i="1"/>
  <c r="H4073" i="1"/>
  <c r="G4073" i="1"/>
  <c r="F4073" i="1"/>
  <c r="D4073" i="1"/>
  <c r="G4072" i="1"/>
  <c r="F4072" i="1"/>
  <c r="H4072" i="1" s="1"/>
  <c r="D4072" i="1"/>
  <c r="H4071" i="1"/>
  <c r="G4071" i="1"/>
  <c r="F4071" i="1"/>
  <c r="D4071" i="1"/>
  <c r="H4070" i="1"/>
  <c r="G4070" i="1"/>
  <c r="F4070" i="1"/>
  <c r="D4070" i="1"/>
  <c r="G4069" i="1"/>
  <c r="F4069" i="1"/>
  <c r="H4069" i="1" s="1"/>
  <c r="D4069" i="1"/>
  <c r="G4068" i="1"/>
  <c r="F4068" i="1"/>
  <c r="H4068" i="1" s="1"/>
  <c r="D4068" i="1"/>
  <c r="H4067" i="1"/>
  <c r="G4067" i="1"/>
  <c r="F4067" i="1"/>
  <c r="D4067" i="1"/>
  <c r="G4066" i="1"/>
  <c r="F4066" i="1"/>
  <c r="H4066" i="1" s="1"/>
  <c r="D4066" i="1"/>
  <c r="G4065" i="1"/>
  <c r="F4065" i="1"/>
  <c r="D4065" i="1"/>
  <c r="H4065" i="1" s="1"/>
  <c r="H4064" i="1"/>
  <c r="H4063" i="1"/>
  <c r="G4063" i="1"/>
  <c r="F4063" i="1"/>
  <c r="D4063" i="1"/>
  <c r="G4062" i="1"/>
  <c r="F4062" i="1"/>
  <c r="D4062" i="1"/>
  <c r="H4062" i="1" s="1"/>
  <c r="G4061" i="1"/>
  <c r="F4061" i="1"/>
  <c r="D4061" i="1"/>
  <c r="H4061" i="1" s="1"/>
  <c r="G4060" i="1"/>
  <c r="F4060" i="1"/>
  <c r="D4060" i="1"/>
  <c r="H4060" i="1" s="1"/>
  <c r="G4059" i="1"/>
  <c r="F4059" i="1"/>
  <c r="D4059" i="1"/>
  <c r="H4059" i="1" s="1"/>
  <c r="G4058" i="1"/>
  <c r="F4058" i="1"/>
  <c r="D4058" i="1"/>
  <c r="H4058" i="1" s="1"/>
  <c r="G4057" i="1"/>
  <c r="F4057" i="1"/>
  <c r="D4057" i="1"/>
  <c r="H4057" i="1" s="1"/>
  <c r="G4056" i="1"/>
  <c r="F4056" i="1"/>
  <c r="D4056" i="1"/>
  <c r="H4056" i="1" s="1"/>
  <c r="G4055" i="1"/>
  <c r="F4055" i="1"/>
  <c r="D4055" i="1"/>
  <c r="H4055" i="1" s="1"/>
  <c r="G4054" i="1"/>
  <c r="F4054" i="1"/>
  <c r="D4054" i="1"/>
  <c r="H4054" i="1" s="1"/>
  <c r="H4053" i="1"/>
  <c r="G4052" i="1"/>
  <c r="F4052" i="1"/>
  <c r="H4052" i="1" s="1"/>
  <c r="D4052" i="1"/>
  <c r="G4051" i="1"/>
  <c r="F4051" i="1"/>
  <c r="H4051" i="1" s="1"/>
  <c r="D4051" i="1"/>
  <c r="G4050" i="1"/>
  <c r="F4050" i="1"/>
  <c r="D4050" i="1"/>
  <c r="H4050" i="1" s="1"/>
  <c r="G4049" i="1"/>
  <c r="F4049" i="1"/>
  <c r="H4049" i="1" s="1"/>
  <c r="D4049" i="1"/>
  <c r="G4048" i="1"/>
  <c r="F4048" i="1"/>
  <c r="D4048" i="1"/>
  <c r="H4048" i="1" s="1"/>
  <c r="G4047" i="1"/>
  <c r="F4047" i="1"/>
  <c r="D4047" i="1"/>
  <c r="H4047" i="1" s="1"/>
  <c r="G4046" i="1"/>
  <c r="F4046" i="1"/>
  <c r="D4046" i="1"/>
  <c r="H4046" i="1" s="1"/>
  <c r="G4045" i="1"/>
  <c r="F4045" i="1"/>
  <c r="D4045" i="1"/>
  <c r="H4045" i="1" s="1"/>
  <c r="G4044" i="1"/>
  <c r="F4044" i="1"/>
  <c r="D4044" i="1"/>
  <c r="H4044" i="1" s="1"/>
  <c r="G4043" i="1"/>
  <c r="F4043" i="1"/>
  <c r="D4043" i="1"/>
  <c r="H4043" i="1" s="1"/>
  <c r="H4042" i="1"/>
  <c r="G4041" i="1"/>
  <c r="F4041" i="1"/>
  <c r="H4041" i="1" s="1"/>
  <c r="D4041" i="1"/>
  <c r="G4040" i="1"/>
  <c r="H4040" i="1" s="1"/>
  <c r="F4040" i="1"/>
  <c r="D4040" i="1"/>
  <c r="G4039" i="1"/>
  <c r="F4039" i="1"/>
  <c r="D4039" i="1"/>
  <c r="H4039" i="1" s="1"/>
  <c r="G4038" i="1"/>
  <c r="F4038" i="1"/>
  <c r="H4038" i="1" s="1"/>
  <c r="D4038" i="1"/>
  <c r="G4037" i="1"/>
  <c r="F4037" i="1"/>
  <c r="D4037" i="1"/>
  <c r="H4037" i="1" s="1"/>
  <c r="G4036" i="1"/>
  <c r="F4036" i="1"/>
  <c r="D4036" i="1"/>
  <c r="H4036" i="1" s="1"/>
  <c r="G4035" i="1"/>
  <c r="F4035" i="1"/>
  <c r="H4035" i="1" s="1"/>
  <c r="D4035" i="1"/>
  <c r="G4034" i="1"/>
  <c r="F4034" i="1"/>
  <c r="D4034" i="1"/>
  <c r="H4034" i="1" s="1"/>
  <c r="G4033" i="1"/>
  <c r="F4033" i="1"/>
  <c r="D4033" i="1"/>
  <c r="H4033" i="1" s="1"/>
  <c r="G4032" i="1"/>
  <c r="F4032" i="1"/>
  <c r="H4032" i="1" s="1"/>
  <c r="D4032" i="1"/>
  <c r="H4031" i="1"/>
  <c r="H4030" i="1"/>
  <c r="G4030" i="1"/>
  <c r="F4030" i="1"/>
  <c r="D4030" i="1"/>
  <c r="H4029" i="1"/>
  <c r="G4029" i="1"/>
  <c r="F4029" i="1"/>
  <c r="D4029" i="1"/>
  <c r="H4028" i="1"/>
  <c r="G4028" i="1"/>
  <c r="F4028" i="1"/>
  <c r="D4028" i="1"/>
  <c r="H4027" i="1"/>
  <c r="G4027" i="1"/>
  <c r="F4027" i="1"/>
  <c r="D4027" i="1"/>
  <c r="H4026" i="1"/>
  <c r="G4026" i="1"/>
  <c r="F4026" i="1"/>
  <c r="D4026" i="1"/>
  <c r="H4025" i="1"/>
  <c r="G4025" i="1"/>
  <c r="F4025" i="1"/>
  <c r="D4025" i="1"/>
  <c r="G4024" i="1"/>
  <c r="F4024" i="1"/>
  <c r="H4024" i="1" s="1"/>
  <c r="D4024" i="1"/>
  <c r="G4023" i="1"/>
  <c r="F4023" i="1"/>
  <c r="H4023" i="1" s="1"/>
  <c r="D4023" i="1"/>
  <c r="H4022" i="1"/>
  <c r="G4022" i="1"/>
  <c r="F4022" i="1"/>
  <c r="D4022" i="1"/>
  <c r="G4021" i="1"/>
  <c r="F4021" i="1"/>
  <c r="H4021" i="1" s="1"/>
  <c r="D4021" i="1"/>
  <c r="H4020" i="1"/>
  <c r="G4019" i="1"/>
  <c r="F4019" i="1"/>
  <c r="D4019" i="1"/>
  <c r="H4019" i="1" s="1"/>
  <c r="G4018" i="1"/>
  <c r="F4018" i="1"/>
  <c r="D4018" i="1"/>
  <c r="H4018" i="1" s="1"/>
  <c r="G4017" i="1"/>
  <c r="F4017" i="1"/>
  <c r="D4017" i="1"/>
  <c r="H4017" i="1" s="1"/>
  <c r="G4016" i="1"/>
  <c r="F4016" i="1"/>
  <c r="D4016" i="1"/>
  <c r="H4016" i="1" s="1"/>
  <c r="G4015" i="1"/>
  <c r="F4015" i="1"/>
  <c r="D4015" i="1"/>
  <c r="H4015" i="1" s="1"/>
  <c r="G4014" i="1"/>
  <c r="F4014" i="1"/>
  <c r="D4014" i="1"/>
  <c r="H4014" i="1" s="1"/>
  <c r="G4013" i="1"/>
  <c r="F4013" i="1"/>
  <c r="D4013" i="1"/>
  <c r="H4013" i="1" s="1"/>
  <c r="G4012" i="1"/>
  <c r="F4012" i="1"/>
  <c r="D4012" i="1"/>
  <c r="H4012" i="1" s="1"/>
  <c r="G4011" i="1"/>
  <c r="F4011" i="1"/>
  <c r="D4011" i="1"/>
  <c r="H4011" i="1" s="1"/>
  <c r="G4010" i="1"/>
  <c r="F4010" i="1"/>
  <c r="D4010" i="1"/>
  <c r="H4010" i="1" s="1"/>
  <c r="H4009" i="1"/>
  <c r="G4008" i="1"/>
  <c r="F4008" i="1"/>
  <c r="D4008" i="1"/>
  <c r="H4008" i="1" s="1"/>
  <c r="G4007" i="1"/>
  <c r="F4007" i="1"/>
  <c r="H4007" i="1" s="1"/>
  <c r="D4007" i="1"/>
  <c r="G4006" i="1"/>
  <c r="F4006" i="1"/>
  <c r="H4006" i="1" s="1"/>
  <c r="D4006" i="1"/>
  <c r="G4005" i="1"/>
  <c r="F4005" i="1"/>
  <c r="D4005" i="1"/>
  <c r="H4005" i="1" s="1"/>
  <c r="G4004" i="1"/>
  <c r="F4004" i="1"/>
  <c r="D4004" i="1"/>
  <c r="H4004" i="1" s="1"/>
  <c r="G4003" i="1"/>
  <c r="F4003" i="1"/>
  <c r="H4003" i="1" s="1"/>
  <c r="D4003" i="1"/>
  <c r="G4002" i="1"/>
  <c r="F4002" i="1"/>
  <c r="D4002" i="1"/>
  <c r="H4002" i="1" s="1"/>
  <c r="G4001" i="1"/>
  <c r="F4001" i="1"/>
  <c r="D4001" i="1"/>
  <c r="H4001" i="1" s="1"/>
  <c r="G4000" i="1"/>
  <c r="F4000" i="1"/>
  <c r="D4000" i="1"/>
  <c r="H4000" i="1" s="1"/>
  <c r="G3999" i="1"/>
  <c r="F3999" i="1"/>
  <c r="D3999" i="1"/>
  <c r="H3999" i="1" s="1"/>
  <c r="H3998" i="1"/>
  <c r="G3997" i="1"/>
  <c r="F3997" i="1"/>
  <c r="D3997" i="1"/>
  <c r="H3997" i="1" s="1"/>
  <c r="G3996" i="1"/>
  <c r="F3996" i="1"/>
  <c r="H3996" i="1" s="1"/>
  <c r="D3996" i="1"/>
  <c r="G3995" i="1"/>
  <c r="F3995" i="1"/>
  <c r="H3995" i="1" s="1"/>
  <c r="D3995" i="1"/>
  <c r="G3994" i="1"/>
  <c r="F3994" i="1"/>
  <c r="D3994" i="1"/>
  <c r="H3994" i="1" s="1"/>
  <c r="G3993" i="1"/>
  <c r="F3993" i="1"/>
  <c r="H3993" i="1" s="1"/>
  <c r="D3993" i="1"/>
  <c r="G3992" i="1"/>
  <c r="F3992" i="1"/>
  <c r="D3992" i="1"/>
  <c r="H3992" i="1" s="1"/>
  <c r="G3991" i="1"/>
  <c r="F3991" i="1"/>
  <c r="D3991" i="1"/>
  <c r="H3991" i="1" s="1"/>
  <c r="G3990" i="1"/>
  <c r="F3990" i="1"/>
  <c r="H3990" i="1" s="1"/>
  <c r="D3990" i="1"/>
  <c r="G3989" i="1"/>
  <c r="F3989" i="1"/>
  <c r="D3989" i="1"/>
  <c r="H3989" i="1" s="1"/>
  <c r="G3988" i="1"/>
  <c r="F3988" i="1"/>
  <c r="D3988" i="1"/>
  <c r="H3988" i="1" s="1"/>
  <c r="H3987" i="1"/>
  <c r="H3986" i="1"/>
  <c r="G3986" i="1"/>
  <c r="F3986" i="1"/>
  <c r="D3986" i="1"/>
  <c r="H3985" i="1"/>
  <c r="G3985" i="1"/>
  <c r="F3985" i="1"/>
  <c r="D3985" i="1"/>
  <c r="G3984" i="1"/>
  <c r="F3984" i="1"/>
  <c r="H3984" i="1" s="1"/>
  <c r="D3984" i="1"/>
  <c r="H3983" i="1"/>
  <c r="G3983" i="1"/>
  <c r="F3983" i="1"/>
  <c r="D3983" i="1"/>
  <c r="G3982" i="1"/>
  <c r="H3982" i="1" s="1"/>
  <c r="F3982" i="1"/>
  <c r="D3982" i="1"/>
  <c r="G3981" i="1"/>
  <c r="F3981" i="1"/>
  <c r="H3981" i="1" s="1"/>
  <c r="D3981" i="1"/>
  <c r="H3980" i="1"/>
  <c r="G3980" i="1"/>
  <c r="F3980" i="1"/>
  <c r="D3980" i="1"/>
  <c r="G3979" i="1"/>
  <c r="F3979" i="1"/>
  <c r="H3979" i="1" s="1"/>
  <c r="D3979" i="1"/>
  <c r="G3978" i="1"/>
  <c r="F3978" i="1"/>
  <c r="H3978" i="1" s="1"/>
  <c r="D3978" i="1"/>
  <c r="H3977" i="1"/>
  <c r="G3977" i="1"/>
  <c r="F3977" i="1"/>
  <c r="D3977" i="1"/>
  <c r="H3976" i="1"/>
  <c r="G3975" i="1"/>
  <c r="F3975" i="1"/>
  <c r="D3975" i="1"/>
  <c r="H3975" i="1" s="1"/>
  <c r="G3974" i="1"/>
  <c r="F3974" i="1"/>
  <c r="D3974" i="1"/>
  <c r="H3974" i="1" s="1"/>
  <c r="G3973" i="1"/>
  <c r="F3973" i="1"/>
  <c r="D3973" i="1"/>
  <c r="H3973" i="1" s="1"/>
  <c r="G3972" i="1"/>
  <c r="F3972" i="1"/>
  <c r="D3972" i="1"/>
  <c r="H3972" i="1" s="1"/>
  <c r="G3971" i="1"/>
  <c r="F3971" i="1"/>
  <c r="D3971" i="1"/>
  <c r="H3971" i="1" s="1"/>
  <c r="G3970" i="1"/>
  <c r="F3970" i="1"/>
  <c r="D3970" i="1"/>
  <c r="H3970" i="1" s="1"/>
  <c r="G3969" i="1"/>
  <c r="F3969" i="1"/>
  <c r="D3969" i="1"/>
  <c r="H3969" i="1" s="1"/>
  <c r="G3968" i="1"/>
  <c r="F3968" i="1"/>
  <c r="D3968" i="1"/>
  <c r="H3968" i="1" s="1"/>
  <c r="G3967" i="1"/>
  <c r="F3967" i="1"/>
  <c r="D3967" i="1"/>
  <c r="H3967" i="1" s="1"/>
  <c r="G3966" i="1"/>
  <c r="F3966" i="1"/>
  <c r="D3966" i="1"/>
  <c r="H3966" i="1" s="1"/>
  <c r="H3965" i="1"/>
  <c r="G3964" i="1"/>
  <c r="F3964" i="1"/>
  <c r="H3964" i="1" s="1"/>
  <c r="D3964" i="1"/>
  <c r="G3963" i="1"/>
  <c r="F3963" i="1"/>
  <c r="D3963" i="1"/>
  <c r="H3963" i="1" s="1"/>
  <c r="G3962" i="1"/>
  <c r="F3962" i="1"/>
  <c r="H3962" i="1" s="1"/>
  <c r="D3962" i="1"/>
  <c r="G3961" i="1"/>
  <c r="F3961" i="1"/>
  <c r="H3961" i="1" s="1"/>
  <c r="D3961" i="1"/>
  <c r="G3960" i="1"/>
  <c r="F3960" i="1"/>
  <c r="D3960" i="1"/>
  <c r="H3960" i="1" s="1"/>
  <c r="G3959" i="1"/>
  <c r="F3959" i="1"/>
  <c r="D3959" i="1"/>
  <c r="H3959" i="1" s="1"/>
  <c r="G3958" i="1"/>
  <c r="F3958" i="1"/>
  <c r="D3958" i="1"/>
  <c r="H3958" i="1" s="1"/>
  <c r="G3957" i="1"/>
  <c r="F3957" i="1"/>
  <c r="D3957" i="1"/>
  <c r="H3957" i="1" s="1"/>
  <c r="G3956" i="1"/>
  <c r="F3956" i="1"/>
  <c r="D3956" i="1"/>
  <c r="H3956" i="1" s="1"/>
  <c r="G3955" i="1"/>
  <c r="F3955" i="1"/>
  <c r="D3955" i="1"/>
  <c r="H3955" i="1" s="1"/>
  <c r="H3954" i="1"/>
  <c r="G3953" i="1"/>
  <c r="F3953" i="1"/>
  <c r="H3953" i="1" s="1"/>
  <c r="D3953" i="1"/>
  <c r="G3952" i="1"/>
  <c r="F3952" i="1"/>
  <c r="D3952" i="1"/>
  <c r="H3952" i="1" s="1"/>
  <c r="G3951" i="1"/>
  <c r="F3951" i="1"/>
  <c r="H3951" i="1" s="1"/>
  <c r="D3951" i="1"/>
  <c r="G3950" i="1"/>
  <c r="F3950" i="1"/>
  <c r="D3950" i="1"/>
  <c r="H3950" i="1" s="1"/>
  <c r="G3949" i="1"/>
  <c r="F3949" i="1"/>
  <c r="D3949" i="1"/>
  <c r="H3949" i="1" s="1"/>
  <c r="G3948" i="1"/>
  <c r="F3948" i="1"/>
  <c r="H3948" i="1" s="1"/>
  <c r="D3948" i="1"/>
  <c r="G3947" i="1"/>
  <c r="F3947" i="1"/>
  <c r="D3947" i="1"/>
  <c r="H3947" i="1" s="1"/>
  <c r="G3946" i="1"/>
  <c r="F3946" i="1"/>
  <c r="D3946" i="1"/>
  <c r="H3946" i="1" s="1"/>
  <c r="G3945" i="1"/>
  <c r="F3945" i="1"/>
  <c r="H3945" i="1" s="1"/>
  <c r="D3945" i="1"/>
  <c r="G3944" i="1"/>
  <c r="F3944" i="1"/>
  <c r="D3944" i="1"/>
  <c r="H3944" i="1" s="1"/>
  <c r="H3943" i="1"/>
  <c r="H3942" i="1"/>
  <c r="G3942" i="1"/>
  <c r="F3942" i="1"/>
  <c r="D3942" i="1"/>
  <c r="H3941" i="1"/>
  <c r="G3941" i="1"/>
  <c r="F3941" i="1"/>
  <c r="D3941" i="1"/>
  <c r="G3940" i="1"/>
  <c r="F3940" i="1"/>
  <c r="H3940" i="1" s="1"/>
  <c r="D3940" i="1"/>
  <c r="H3939" i="1"/>
  <c r="G3939" i="1"/>
  <c r="F3939" i="1"/>
  <c r="D3939" i="1"/>
  <c r="H3938" i="1"/>
  <c r="G3938" i="1"/>
  <c r="F3938" i="1"/>
  <c r="D3938" i="1"/>
  <c r="G3937" i="1"/>
  <c r="F3937" i="1"/>
  <c r="H3937" i="1" s="1"/>
  <c r="D3937" i="1"/>
  <c r="G3936" i="1"/>
  <c r="F3936" i="1"/>
  <c r="H3936" i="1" s="1"/>
  <c r="D3936" i="1"/>
  <c r="H3935" i="1"/>
  <c r="G3935" i="1"/>
  <c r="F3935" i="1"/>
  <c r="D3935" i="1"/>
  <c r="G3934" i="1"/>
  <c r="F3934" i="1"/>
  <c r="H3934" i="1" s="1"/>
  <c r="D3934" i="1"/>
  <c r="G3933" i="1"/>
  <c r="F3933" i="1"/>
  <c r="D3933" i="1"/>
  <c r="H3933" i="1" s="1"/>
  <c r="H3932" i="1"/>
  <c r="H3931" i="1"/>
  <c r="G3931" i="1"/>
  <c r="F3931" i="1"/>
  <c r="D3931" i="1"/>
  <c r="G3930" i="1"/>
  <c r="F3930" i="1"/>
  <c r="D3930" i="1"/>
  <c r="H3930" i="1" s="1"/>
  <c r="G3929" i="1"/>
  <c r="F3929" i="1"/>
  <c r="D3929" i="1"/>
  <c r="H3929" i="1" s="1"/>
  <c r="G3928" i="1"/>
  <c r="F3928" i="1"/>
  <c r="D3928" i="1"/>
  <c r="H3928" i="1" s="1"/>
  <c r="G3927" i="1"/>
  <c r="F3927" i="1"/>
  <c r="D3927" i="1"/>
  <c r="H3927" i="1" s="1"/>
  <c r="G3926" i="1"/>
  <c r="F3926" i="1"/>
  <c r="D3926" i="1"/>
  <c r="H3926" i="1" s="1"/>
  <c r="G3925" i="1"/>
  <c r="F3925" i="1"/>
  <c r="D3925" i="1"/>
  <c r="H3925" i="1" s="1"/>
  <c r="G3924" i="1"/>
  <c r="F3924" i="1"/>
  <c r="D3924" i="1"/>
  <c r="H3924" i="1" s="1"/>
  <c r="G3923" i="1"/>
  <c r="F3923" i="1"/>
  <c r="D3923" i="1"/>
  <c r="H3923" i="1" s="1"/>
  <c r="G3922" i="1"/>
  <c r="F3922" i="1"/>
  <c r="D3922" i="1"/>
  <c r="H3922" i="1" s="1"/>
  <c r="H3921" i="1"/>
  <c r="G3920" i="1"/>
  <c r="F3920" i="1"/>
  <c r="H3920" i="1" s="1"/>
  <c r="D3920" i="1"/>
  <c r="G3919" i="1"/>
  <c r="F3919" i="1"/>
  <c r="H3919" i="1" s="1"/>
  <c r="D3919" i="1"/>
  <c r="G3918" i="1"/>
  <c r="F3918" i="1"/>
  <c r="D3918" i="1"/>
  <c r="H3918" i="1" s="1"/>
  <c r="G3917" i="1"/>
  <c r="F3917" i="1"/>
  <c r="H3917" i="1" s="1"/>
  <c r="D3917" i="1"/>
  <c r="G3916" i="1"/>
  <c r="F3916" i="1"/>
  <c r="H3916" i="1" s="1"/>
  <c r="D3916" i="1"/>
  <c r="G3915" i="1"/>
  <c r="F3915" i="1"/>
  <c r="D3915" i="1"/>
  <c r="H3915" i="1" s="1"/>
  <c r="G3914" i="1"/>
  <c r="F3914" i="1"/>
  <c r="D3914" i="1"/>
  <c r="H3914" i="1" s="1"/>
  <c r="G3913" i="1"/>
  <c r="F3913" i="1"/>
  <c r="D3913" i="1"/>
  <c r="H3913" i="1" s="1"/>
  <c r="G3912" i="1"/>
  <c r="F3912" i="1"/>
  <c r="D3912" i="1"/>
  <c r="H3912" i="1" s="1"/>
  <c r="G3911" i="1"/>
  <c r="F3911" i="1"/>
  <c r="D3911" i="1"/>
  <c r="H3911" i="1" s="1"/>
  <c r="H3910" i="1"/>
  <c r="G3909" i="1"/>
  <c r="F3909" i="1"/>
  <c r="D3909" i="1"/>
  <c r="G3908" i="1"/>
  <c r="H3908" i="1" s="1"/>
  <c r="F3908" i="1"/>
  <c r="D3908" i="1"/>
  <c r="G3907" i="1"/>
  <c r="F3907" i="1"/>
  <c r="D3907" i="1"/>
  <c r="H3907" i="1" s="1"/>
  <c r="G3906" i="1"/>
  <c r="F3906" i="1"/>
  <c r="D3906" i="1"/>
  <c r="G3905" i="1"/>
  <c r="F3905" i="1"/>
  <c r="D3905" i="1"/>
  <c r="H3905" i="1" s="1"/>
  <c r="G3904" i="1"/>
  <c r="F3904" i="1"/>
  <c r="D3904" i="1"/>
  <c r="H3904" i="1" s="1"/>
  <c r="G3903" i="1"/>
  <c r="F3903" i="1"/>
  <c r="D3903" i="1"/>
  <c r="G3902" i="1"/>
  <c r="F3902" i="1"/>
  <c r="D3902" i="1"/>
  <c r="H3902" i="1" s="1"/>
  <c r="G3901" i="1"/>
  <c r="F3901" i="1"/>
  <c r="D3901" i="1"/>
  <c r="G3900" i="1"/>
  <c r="F3900" i="1"/>
  <c r="D3900" i="1"/>
  <c r="H3899" i="1"/>
  <c r="H3898" i="1"/>
  <c r="G3898" i="1"/>
  <c r="F3898" i="1"/>
  <c r="D3898" i="1"/>
  <c r="H3897" i="1"/>
  <c r="G3897" i="1"/>
  <c r="F3897" i="1"/>
  <c r="D3897" i="1"/>
  <c r="H3896" i="1"/>
  <c r="G3896" i="1"/>
  <c r="F3896" i="1"/>
  <c r="D3896" i="1"/>
  <c r="H3895" i="1"/>
  <c r="G3895" i="1"/>
  <c r="F3895" i="1"/>
  <c r="D3895" i="1"/>
  <c r="G3894" i="1"/>
  <c r="F3894" i="1"/>
  <c r="H3894" i="1" s="1"/>
  <c r="D3894" i="1"/>
  <c r="G3893" i="1"/>
  <c r="H3893" i="1" s="1"/>
  <c r="F3893" i="1"/>
  <c r="D3893" i="1"/>
  <c r="G3892" i="1"/>
  <c r="F3892" i="1"/>
  <c r="H3892" i="1" s="1"/>
  <c r="D3892" i="1"/>
  <c r="G3891" i="1"/>
  <c r="F3891" i="1"/>
  <c r="H3891" i="1" s="1"/>
  <c r="D3891" i="1"/>
  <c r="G3890" i="1"/>
  <c r="H3890" i="1" s="1"/>
  <c r="F3890" i="1"/>
  <c r="D3890" i="1"/>
  <c r="G3889" i="1"/>
  <c r="F3889" i="1"/>
  <c r="H3889" i="1" s="1"/>
  <c r="D3889" i="1"/>
  <c r="H3888" i="1"/>
  <c r="G3887" i="1"/>
  <c r="F3887" i="1"/>
  <c r="D3887" i="1"/>
  <c r="H3887" i="1" s="1"/>
  <c r="H3886" i="1"/>
  <c r="G3886" i="1"/>
  <c r="F3886" i="1"/>
  <c r="D3886" i="1"/>
  <c r="G3885" i="1"/>
  <c r="F3885" i="1"/>
  <c r="D3885" i="1"/>
  <c r="H3885" i="1" s="1"/>
  <c r="G3884" i="1"/>
  <c r="F3884" i="1"/>
  <c r="D3884" i="1"/>
  <c r="H3884" i="1" s="1"/>
  <c r="G3883" i="1"/>
  <c r="F3883" i="1"/>
  <c r="D3883" i="1"/>
  <c r="H3883" i="1" s="1"/>
  <c r="G3882" i="1"/>
  <c r="F3882" i="1"/>
  <c r="D3882" i="1"/>
  <c r="H3882" i="1" s="1"/>
  <c r="G3881" i="1"/>
  <c r="F3881" i="1"/>
  <c r="D3881" i="1"/>
  <c r="H3881" i="1" s="1"/>
  <c r="G3880" i="1"/>
  <c r="F3880" i="1"/>
  <c r="D3880" i="1"/>
  <c r="H3880" i="1" s="1"/>
  <c r="G3879" i="1"/>
  <c r="F3879" i="1"/>
  <c r="D3879" i="1"/>
  <c r="H3879" i="1" s="1"/>
  <c r="G3878" i="1"/>
  <c r="F3878" i="1"/>
  <c r="D3878" i="1"/>
  <c r="H3878" i="1" s="1"/>
  <c r="H3877" i="1"/>
  <c r="G3876" i="1"/>
  <c r="F3876" i="1"/>
  <c r="D3876" i="1"/>
  <c r="H3876" i="1" s="1"/>
  <c r="G3875" i="1"/>
  <c r="F3875" i="1"/>
  <c r="D3875" i="1"/>
  <c r="H3875" i="1" s="1"/>
  <c r="G3874" i="1"/>
  <c r="F3874" i="1"/>
  <c r="D3874" i="1"/>
  <c r="H3874" i="1" s="1"/>
  <c r="G3873" i="1"/>
  <c r="F3873" i="1"/>
  <c r="D3873" i="1"/>
  <c r="H3873" i="1" s="1"/>
  <c r="H3872" i="1"/>
  <c r="G3872" i="1"/>
  <c r="F3872" i="1"/>
  <c r="D3872" i="1"/>
  <c r="G3871" i="1"/>
  <c r="F3871" i="1"/>
  <c r="D3871" i="1"/>
  <c r="H3871" i="1" s="1"/>
  <c r="G3870" i="1"/>
  <c r="F3870" i="1"/>
  <c r="D3870" i="1"/>
  <c r="G3869" i="1"/>
  <c r="F3869" i="1"/>
  <c r="D3869" i="1"/>
  <c r="H3869" i="1" s="1"/>
  <c r="G3868" i="1"/>
  <c r="F3868" i="1"/>
  <c r="D3868" i="1"/>
  <c r="H3868" i="1" s="1"/>
  <c r="G3867" i="1"/>
  <c r="F3867" i="1"/>
  <c r="D3867" i="1"/>
  <c r="H3866" i="1"/>
  <c r="G3865" i="1"/>
  <c r="F3865" i="1"/>
  <c r="D3865" i="1"/>
  <c r="H3865" i="1" s="1"/>
  <c r="G3864" i="1"/>
  <c r="H3864" i="1" s="1"/>
  <c r="F3864" i="1"/>
  <c r="D3864" i="1"/>
  <c r="G3863" i="1"/>
  <c r="H3863" i="1" s="1"/>
  <c r="F3863" i="1"/>
  <c r="D3863" i="1"/>
  <c r="G3862" i="1"/>
  <c r="F3862" i="1"/>
  <c r="D3862" i="1"/>
  <c r="H3862" i="1" s="1"/>
  <c r="G3861" i="1"/>
  <c r="F3861" i="1"/>
  <c r="D3861" i="1"/>
  <c r="H3861" i="1" s="1"/>
  <c r="G3860" i="1"/>
  <c r="F3860" i="1"/>
  <c r="D3860" i="1"/>
  <c r="H3860" i="1" s="1"/>
  <c r="G3859" i="1"/>
  <c r="F3859" i="1"/>
  <c r="D3859" i="1"/>
  <c r="H3859" i="1" s="1"/>
  <c r="G3858" i="1"/>
  <c r="F3858" i="1"/>
  <c r="D3858" i="1"/>
  <c r="H3858" i="1" s="1"/>
  <c r="G3857" i="1"/>
  <c r="F3857" i="1"/>
  <c r="D3857" i="1"/>
  <c r="H3857" i="1" s="1"/>
  <c r="G3856" i="1"/>
  <c r="F3856" i="1"/>
  <c r="D3856" i="1"/>
  <c r="H3856" i="1" s="1"/>
  <c r="H3855" i="1"/>
  <c r="G3854" i="1"/>
  <c r="F3854" i="1"/>
  <c r="H3854" i="1" s="1"/>
  <c r="D3854" i="1"/>
  <c r="H3853" i="1"/>
  <c r="G3853" i="1"/>
  <c r="F3853" i="1"/>
  <c r="D3853" i="1"/>
  <c r="G3852" i="1"/>
  <c r="F3852" i="1"/>
  <c r="H3852" i="1" s="1"/>
  <c r="D3852" i="1"/>
  <c r="G3851" i="1"/>
  <c r="F3851" i="1"/>
  <c r="D3851" i="1"/>
  <c r="H3851" i="1" s="1"/>
  <c r="G3850" i="1"/>
  <c r="F3850" i="1"/>
  <c r="H3850" i="1" s="1"/>
  <c r="D3850" i="1"/>
  <c r="G3849" i="1"/>
  <c r="F3849" i="1"/>
  <c r="H3849" i="1" s="1"/>
  <c r="D3849" i="1"/>
  <c r="G3848" i="1"/>
  <c r="F3848" i="1"/>
  <c r="D3848" i="1"/>
  <c r="H3848" i="1" s="1"/>
  <c r="G3847" i="1"/>
  <c r="F3847" i="1"/>
  <c r="H3847" i="1" s="1"/>
  <c r="D3847" i="1"/>
  <c r="G3846" i="1"/>
  <c r="F3846" i="1"/>
  <c r="H3846" i="1" s="1"/>
  <c r="D3846" i="1"/>
  <c r="G3845" i="1"/>
  <c r="F3845" i="1"/>
  <c r="D3845" i="1"/>
  <c r="H3845" i="1" s="1"/>
  <c r="H3844" i="1"/>
  <c r="G3843" i="1"/>
  <c r="F3843" i="1"/>
  <c r="D3843" i="1"/>
  <c r="H3843" i="1" s="1"/>
  <c r="G3842" i="1"/>
  <c r="F3842" i="1"/>
  <c r="D3842" i="1"/>
  <c r="H3842" i="1" s="1"/>
  <c r="G3841" i="1"/>
  <c r="F3841" i="1"/>
  <c r="D3841" i="1"/>
  <c r="H3841" i="1" s="1"/>
  <c r="G3840" i="1"/>
  <c r="F3840" i="1"/>
  <c r="D3840" i="1"/>
  <c r="H3840" i="1" s="1"/>
  <c r="G3839" i="1"/>
  <c r="F3839" i="1"/>
  <c r="D3839" i="1"/>
  <c r="H3839" i="1" s="1"/>
  <c r="G3838" i="1"/>
  <c r="F3838" i="1"/>
  <c r="D3838" i="1"/>
  <c r="H3838" i="1" s="1"/>
  <c r="G3837" i="1"/>
  <c r="F3837" i="1"/>
  <c r="D3837" i="1"/>
  <c r="H3837" i="1" s="1"/>
  <c r="G3836" i="1"/>
  <c r="F3836" i="1"/>
  <c r="D3836" i="1"/>
  <c r="H3836" i="1" s="1"/>
  <c r="G3835" i="1"/>
  <c r="F3835" i="1"/>
  <c r="D3835" i="1"/>
  <c r="H3835" i="1" s="1"/>
  <c r="G3834" i="1"/>
  <c r="F3834" i="1"/>
  <c r="D3834" i="1"/>
  <c r="H3834" i="1" s="1"/>
  <c r="G3833" i="1"/>
  <c r="F3833" i="1"/>
  <c r="D3833" i="1"/>
  <c r="H3833" i="1" s="1"/>
  <c r="G3832" i="1"/>
  <c r="F3832" i="1"/>
  <c r="D3832" i="1"/>
  <c r="H3832" i="1" s="1"/>
  <c r="G3831" i="1"/>
  <c r="F3831" i="1"/>
  <c r="D3831" i="1"/>
  <c r="H3831" i="1" s="1"/>
  <c r="G3830" i="1"/>
  <c r="F3830" i="1"/>
  <c r="D3830" i="1"/>
  <c r="H3830" i="1" s="1"/>
  <c r="G3829" i="1"/>
  <c r="F3829" i="1"/>
  <c r="D3829" i="1"/>
  <c r="H3829" i="1" s="1"/>
  <c r="H3828" i="1"/>
  <c r="G3827" i="1"/>
  <c r="F3827" i="1"/>
  <c r="H3827" i="1" s="1"/>
  <c r="D3827" i="1"/>
  <c r="G3826" i="1"/>
  <c r="F3826" i="1"/>
  <c r="H3826" i="1" s="1"/>
  <c r="D3826" i="1"/>
  <c r="G3825" i="1"/>
  <c r="F3825" i="1"/>
  <c r="H3825" i="1" s="1"/>
  <c r="D3825" i="1"/>
  <c r="G3824" i="1"/>
  <c r="F3824" i="1"/>
  <c r="H3824" i="1" s="1"/>
  <c r="D3824" i="1"/>
  <c r="G3823" i="1"/>
  <c r="F3823" i="1"/>
  <c r="H3823" i="1" s="1"/>
  <c r="D3823" i="1"/>
  <c r="G3822" i="1"/>
  <c r="F3822" i="1"/>
  <c r="H3822" i="1" s="1"/>
  <c r="D3822" i="1"/>
  <c r="G3821" i="1"/>
  <c r="F3821" i="1"/>
  <c r="D3821" i="1"/>
  <c r="H3821" i="1" s="1"/>
  <c r="G3820" i="1"/>
  <c r="F3820" i="1"/>
  <c r="H3820" i="1" s="1"/>
  <c r="D3820" i="1"/>
  <c r="G3819" i="1"/>
  <c r="F3819" i="1"/>
  <c r="H3819" i="1" s="1"/>
  <c r="D3819" i="1"/>
  <c r="G3818" i="1"/>
  <c r="F3818" i="1"/>
  <c r="D3818" i="1"/>
  <c r="H3818" i="1" s="1"/>
  <c r="H3817" i="1"/>
  <c r="G3816" i="1"/>
  <c r="F3816" i="1"/>
  <c r="D3816" i="1"/>
  <c r="H3816" i="1" s="1"/>
  <c r="G3815" i="1"/>
  <c r="H3815" i="1" s="1"/>
  <c r="F3815" i="1"/>
  <c r="D3815" i="1"/>
  <c r="G3814" i="1"/>
  <c r="F3814" i="1"/>
  <c r="D3814" i="1"/>
  <c r="H3814" i="1" s="1"/>
  <c r="G3813" i="1"/>
  <c r="F3813" i="1"/>
  <c r="D3813" i="1"/>
  <c r="H3813" i="1" s="1"/>
  <c r="G3812" i="1"/>
  <c r="H3812" i="1" s="1"/>
  <c r="F3812" i="1"/>
  <c r="D3812" i="1"/>
  <c r="G3811" i="1"/>
  <c r="F3811" i="1"/>
  <c r="D3811" i="1"/>
  <c r="H3811" i="1" s="1"/>
  <c r="G3810" i="1"/>
  <c r="F3810" i="1"/>
  <c r="D3810" i="1"/>
  <c r="H3810" i="1" s="1"/>
  <c r="G3809" i="1"/>
  <c r="F3809" i="1"/>
  <c r="D3809" i="1"/>
  <c r="H3809" i="1" s="1"/>
  <c r="G3808" i="1"/>
  <c r="F3808" i="1"/>
  <c r="D3808" i="1"/>
  <c r="H3808" i="1" s="1"/>
  <c r="G3807" i="1"/>
  <c r="F3807" i="1"/>
  <c r="D3807" i="1"/>
  <c r="H3807" i="1" s="1"/>
  <c r="H3806" i="1"/>
  <c r="H3805" i="1"/>
  <c r="G3804" i="1"/>
  <c r="F3804" i="1"/>
  <c r="D3804" i="1"/>
  <c r="H3804" i="1" s="1"/>
  <c r="G3803" i="1"/>
  <c r="F3803" i="1"/>
  <c r="D3803" i="1"/>
  <c r="H3803" i="1" s="1"/>
  <c r="G3802" i="1"/>
  <c r="F3802" i="1"/>
  <c r="D3802" i="1"/>
  <c r="H3802" i="1" s="1"/>
  <c r="G3801" i="1"/>
  <c r="F3801" i="1"/>
  <c r="D3801" i="1"/>
  <c r="H3801" i="1" s="1"/>
  <c r="G3800" i="1"/>
  <c r="F3800" i="1"/>
  <c r="D3800" i="1"/>
  <c r="H3800" i="1" s="1"/>
  <c r="G3799" i="1"/>
  <c r="F3799" i="1"/>
  <c r="D3799" i="1"/>
  <c r="H3799" i="1" s="1"/>
  <c r="G3798" i="1"/>
  <c r="F3798" i="1"/>
  <c r="D3798" i="1"/>
  <c r="H3798" i="1" s="1"/>
  <c r="G3797" i="1"/>
  <c r="F3797" i="1"/>
  <c r="D3797" i="1"/>
  <c r="H3797" i="1" s="1"/>
  <c r="G3796" i="1"/>
  <c r="F3796" i="1"/>
  <c r="D3796" i="1"/>
  <c r="H3796" i="1" s="1"/>
  <c r="G3795" i="1"/>
  <c r="F3795" i="1"/>
  <c r="D3795" i="1"/>
  <c r="H3795" i="1" s="1"/>
  <c r="H3794" i="1"/>
  <c r="H3793" i="1"/>
  <c r="G3792" i="1"/>
  <c r="F3792" i="1"/>
  <c r="D3792" i="1"/>
  <c r="H3792" i="1" s="1"/>
  <c r="G3791" i="1"/>
  <c r="F3791" i="1"/>
  <c r="D3791" i="1"/>
  <c r="H3791" i="1" s="1"/>
  <c r="H3790" i="1"/>
  <c r="G3790" i="1"/>
  <c r="F3790" i="1"/>
  <c r="D3790" i="1"/>
  <c r="G3789" i="1"/>
  <c r="F3789" i="1"/>
  <c r="D3789" i="1"/>
  <c r="H3789" i="1" s="1"/>
  <c r="G3788" i="1"/>
  <c r="F3788" i="1"/>
  <c r="D3788" i="1"/>
  <c r="H3788" i="1" s="1"/>
  <c r="H3787" i="1"/>
  <c r="G3787" i="1"/>
  <c r="F3787" i="1"/>
  <c r="D3787" i="1"/>
  <c r="G3786" i="1"/>
  <c r="F3786" i="1"/>
  <c r="D3786" i="1"/>
  <c r="H3786" i="1" s="1"/>
  <c r="G3785" i="1"/>
  <c r="F3785" i="1"/>
  <c r="D3785" i="1"/>
  <c r="H3785" i="1" s="1"/>
  <c r="H3784" i="1"/>
  <c r="G3784" i="1"/>
  <c r="F3784" i="1"/>
  <c r="D3784" i="1"/>
  <c r="G3783" i="1"/>
  <c r="F3783" i="1"/>
  <c r="D3783" i="1"/>
  <c r="H3783" i="1" s="1"/>
  <c r="H3782" i="1"/>
  <c r="G3781" i="1"/>
  <c r="F3781" i="1"/>
  <c r="D3781" i="1"/>
  <c r="H3781" i="1" s="1"/>
  <c r="H3780" i="1"/>
  <c r="G3780" i="1"/>
  <c r="F3780" i="1"/>
  <c r="D3780" i="1"/>
  <c r="G3779" i="1"/>
  <c r="F3779" i="1"/>
  <c r="H3779" i="1" s="1"/>
  <c r="D3779" i="1"/>
  <c r="G3778" i="1"/>
  <c r="F3778" i="1"/>
  <c r="D3778" i="1"/>
  <c r="H3778" i="1" s="1"/>
  <c r="H3777" i="1"/>
  <c r="G3777" i="1"/>
  <c r="F3777" i="1"/>
  <c r="D3777" i="1"/>
  <c r="G3776" i="1"/>
  <c r="F3776" i="1"/>
  <c r="H3776" i="1" s="1"/>
  <c r="D3776" i="1"/>
  <c r="G3775" i="1"/>
  <c r="F3775" i="1"/>
  <c r="D3775" i="1"/>
  <c r="H3775" i="1" s="1"/>
  <c r="H3774" i="1"/>
  <c r="G3774" i="1"/>
  <c r="F3774" i="1"/>
  <c r="D3774" i="1"/>
  <c r="G3773" i="1"/>
  <c r="F3773" i="1"/>
  <c r="H3773" i="1" s="1"/>
  <c r="D3773" i="1"/>
  <c r="G3772" i="1"/>
  <c r="F3772" i="1"/>
  <c r="D3772" i="1"/>
  <c r="H3772" i="1" s="1"/>
  <c r="H3771" i="1"/>
  <c r="H3770" i="1"/>
  <c r="G3769" i="1"/>
  <c r="F3769" i="1"/>
  <c r="H3769" i="1" s="1"/>
  <c r="D3769" i="1"/>
  <c r="H3768" i="1"/>
  <c r="G3768" i="1"/>
  <c r="F3768" i="1"/>
  <c r="D3768" i="1"/>
  <c r="G3767" i="1"/>
  <c r="F3767" i="1"/>
  <c r="H3767" i="1" s="1"/>
  <c r="D3767" i="1"/>
  <c r="G3766" i="1"/>
  <c r="F3766" i="1"/>
  <c r="H3766" i="1" s="1"/>
  <c r="D3766" i="1"/>
  <c r="H3765" i="1"/>
  <c r="G3765" i="1"/>
  <c r="F3765" i="1"/>
  <c r="D3765" i="1"/>
  <c r="G3764" i="1"/>
  <c r="F3764" i="1"/>
  <c r="H3764" i="1" s="1"/>
  <c r="D3764" i="1"/>
  <c r="G3763" i="1"/>
  <c r="F3763" i="1"/>
  <c r="H3763" i="1" s="1"/>
  <c r="D3763" i="1"/>
  <c r="H3762" i="1"/>
  <c r="G3762" i="1"/>
  <c r="F3762" i="1"/>
  <c r="D3762" i="1"/>
  <c r="G3761" i="1"/>
  <c r="F3761" i="1"/>
  <c r="H3761" i="1" s="1"/>
  <c r="D3761" i="1"/>
  <c r="G3760" i="1"/>
  <c r="F3760" i="1"/>
  <c r="H3760" i="1" s="1"/>
  <c r="D3760" i="1"/>
  <c r="H3759" i="1"/>
  <c r="G3758" i="1"/>
  <c r="F3758" i="1"/>
  <c r="D3758" i="1"/>
  <c r="H3758" i="1" s="1"/>
  <c r="H3757" i="1"/>
  <c r="G3757" i="1"/>
  <c r="F3757" i="1"/>
  <c r="D3757" i="1"/>
  <c r="G3756" i="1"/>
  <c r="F3756" i="1"/>
  <c r="D3756" i="1"/>
  <c r="H3756" i="1" s="1"/>
  <c r="G3755" i="1"/>
  <c r="F3755" i="1"/>
  <c r="D3755" i="1"/>
  <c r="H3755" i="1" s="1"/>
  <c r="H3754" i="1"/>
  <c r="G3754" i="1"/>
  <c r="F3754" i="1"/>
  <c r="D3754" i="1"/>
  <c r="G3753" i="1"/>
  <c r="F3753" i="1"/>
  <c r="D3753" i="1"/>
  <c r="H3753" i="1" s="1"/>
  <c r="G3752" i="1"/>
  <c r="F3752" i="1"/>
  <c r="D3752" i="1"/>
  <c r="H3752" i="1" s="1"/>
  <c r="H3751" i="1"/>
  <c r="G3751" i="1"/>
  <c r="F3751" i="1"/>
  <c r="D3751" i="1"/>
  <c r="G3750" i="1"/>
  <c r="F3750" i="1"/>
  <c r="D3750" i="1"/>
  <c r="H3750" i="1" s="1"/>
  <c r="G3749" i="1"/>
  <c r="F3749" i="1"/>
  <c r="D3749" i="1"/>
  <c r="H3749" i="1" s="1"/>
  <c r="H3748" i="1"/>
  <c r="G3747" i="1"/>
  <c r="F3747" i="1"/>
  <c r="H3747" i="1" s="1"/>
  <c r="D3747" i="1"/>
  <c r="G3746" i="1"/>
  <c r="F3746" i="1"/>
  <c r="H3746" i="1" s="1"/>
  <c r="D3746" i="1"/>
  <c r="G3745" i="1"/>
  <c r="F3745" i="1"/>
  <c r="D3745" i="1"/>
  <c r="H3745" i="1" s="1"/>
  <c r="G3744" i="1"/>
  <c r="F3744" i="1"/>
  <c r="H3744" i="1" s="1"/>
  <c r="D3744" i="1"/>
  <c r="G3743" i="1"/>
  <c r="F3743" i="1"/>
  <c r="H3743" i="1" s="1"/>
  <c r="D3743" i="1"/>
  <c r="G3742" i="1"/>
  <c r="F3742" i="1"/>
  <c r="D3742" i="1"/>
  <c r="H3742" i="1" s="1"/>
  <c r="G3741" i="1"/>
  <c r="F3741" i="1"/>
  <c r="H3741" i="1" s="1"/>
  <c r="D3741" i="1"/>
  <c r="G3740" i="1"/>
  <c r="F3740" i="1"/>
  <c r="H3740" i="1" s="1"/>
  <c r="D3740" i="1"/>
  <c r="G3739" i="1"/>
  <c r="F3739" i="1"/>
  <c r="D3739" i="1"/>
  <c r="H3739" i="1" s="1"/>
  <c r="G3738" i="1"/>
  <c r="F3738" i="1"/>
  <c r="H3738" i="1" s="1"/>
  <c r="D3738" i="1"/>
  <c r="H3737" i="1"/>
  <c r="G3736" i="1"/>
  <c r="F3736" i="1"/>
  <c r="D3736" i="1"/>
  <c r="H3736" i="1" s="1"/>
  <c r="G3735" i="1"/>
  <c r="F3735" i="1"/>
  <c r="D3735" i="1"/>
  <c r="H3735" i="1" s="1"/>
  <c r="G3734" i="1"/>
  <c r="F3734" i="1"/>
  <c r="D3734" i="1"/>
  <c r="H3734" i="1" s="1"/>
  <c r="G3733" i="1"/>
  <c r="F3733" i="1"/>
  <c r="D3733" i="1"/>
  <c r="H3733" i="1" s="1"/>
  <c r="G3732" i="1"/>
  <c r="F3732" i="1"/>
  <c r="D3732" i="1"/>
  <c r="H3732" i="1" s="1"/>
  <c r="G3731" i="1"/>
  <c r="F3731" i="1"/>
  <c r="D3731" i="1"/>
  <c r="H3731" i="1" s="1"/>
  <c r="G3730" i="1"/>
  <c r="F3730" i="1"/>
  <c r="D3730" i="1"/>
  <c r="H3730" i="1" s="1"/>
  <c r="G3729" i="1"/>
  <c r="F3729" i="1"/>
  <c r="D3729" i="1"/>
  <c r="H3729" i="1" s="1"/>
  <c r="G3728" i="1"/>
  <c r="F3728" i="1"/>
  <c r="D3728" i="1"/>
  <c r="H3728" i="1" s="1"/>
  <c r="G3727" i="1"/>
  <c r="F3727" i="1"/>
  <c r="D3727" i="1"/>
  <c r="H3727" i="1" s="1"/>
  <c r="H3726" i="1"/>
  <c r="H3725" i="1"/>
  <c r="H3724" i="1"/>
  <c r="G3724" i="1"/>
  <c r="F3724" i="1"/>
  <c r="D3724" i="1"/>
  <c r="G3723" i="1"/>
  <c r="F3723" i="1"/>
  <c r="D3723" i="1"/>
  <c r="H3723" i="1" s="1"/>
  <c r="G3722" i="1"/>
  <c r="F3722" i="1"/>
  <c r="D3722" i="1"/>
  <c r="H3722" i="1" s="1"/>
  <c r="H3721" i="1"/>
  <c r="G3721" i="1"/>
  <c r="F3721" i="1"/>
  <c r="D3721" i="1"/>
  <c r="G3720" i="1"/>
  <c r="F3720" i="1"/>
  <c r="D3720" i="1"/>
  <c r="H3720" i="1" s="1"/>
  <c r="G3719" i="1"/>
  <c r="F3719" i="1"/>
  <c r="D3719" i="1"/>
  <c r="H3719" i="1" s="1"/>
  <c r="H3718" i="1"/>
  <c r="G3718" i="1"/>
  <c r="F3718" i="1"/>
  <c r="D3718" i="1"/>
  <c r="G3717" i="1"/>
  <c r="F3717" i="1"/>
  <c r="D3717" i="1"/>
  <c r="H3717" i="1" s="1"/>
  <c r="G3716" i="1"/>
  <c r="F3716" i="1"/>
  <c r="D3716" i="1"/>
  <c r="H3716" i="1" s="1"/>
  <c r="H3715" i="1"/>
  <c r="G3715" i="1"/>
  <c r="F3715" i="1"/>
  <c r="D3715" i="1"/>
  <c r="H3714" i="1"/>
  <c r="G3713" i="1"/>
  <c r="F3713" i="1"/>
  <c r="H3713" i="1" s="1"/>
  <c r="D3713" i="1"/>
  <c r="G3712" i="1"/>
  <c r="F3712" i="1"/>
  <c r="D3712" i="1"/>
  <c r="H3712" i="1" s="1"/>
  <c r="G3711" i="1"/>
  <c r="F3711" i="1"/>
  <c r="H3711" i="1" s="1"/>
  <c r="D3711" i="1"/>
  <c r="G3710" i="1"/>
  <c r="F3710" i="1"/>
  <c r="H3710" i="1" s="1"/>
  <c r="D3710" i="1"/>
  <c r="G3709" i="1"/>
  <c r="F3709" i="1"/>
  <c r="D3709" i="1"/>
  <c r="H3709" i="1" s="1"/>
  <c r="G3708" i="1"/>
  <c r="F3708" i="1"/>
  <c r="H3708" i="1" s="1"/>
  <c r="D3708" i="1"/>
  <c r="G3707" i="1"/>
  <c r="F3707" i="1"/>
  <c r="H3707" i="1" s="1"/>
  <c r="D3707" i="1"/>
  <c r="G3706" i="1"/>
  <c r="F3706" i="1"/>
  <c r="D3706" i="1"/>
  <c r="H3706" i="1" s="1"/>
  <c r="G3705" i="1"/>
  <c r="F3705" i="1"/>
  <c r="H3705" i="1" s="1"/>
  <c r="D3705" i="1"/>
  <c r="G3704" i="1"/>
  <c r="F3704" i="1"/>
  <c r="D3704" i="1"/>
  <c r="H3704" i="1" s="1"/>
  <c r="H3703" i="1"/>
  <c r="H3702" i="1"/>
  <c r="G3701" i="1"/>
  <c r="H3701" i="1" s="1"/>
  <c r="F3701" i="1"/>
  <c r="D3701" i="1"/>
  <c r="H3700" i="1"/>
  <c r="G3700" i="1"/>
  <c r="F3700" i="1"/>
  <c r="D3700" i="1"/>
  <c r="H3699" i="1"/>
  <c r="G3699" i="1"/>
  <c r="F3699" i="1"/>
  <c r="D3699" i="1"/>
  <c r="G3698" i="1"/>
  <c r="H3698" i="1" s="1"/>
  <c r="F3698" i="1"/>
  <c r="D3698" i="1"/>
  <c r="H3697" i="1"/>
  <c r="G3697" i="1"/>
  <c r="F3697" i="1"/>
  <c r="D3697" i="1"/>
  <c r="H3696" i="1"/>
  <c r="G3696" i="1"/>
  <c r="F3696" i="1"/>
  <c r="D3696" i="1"/>
  <c r="G3695" i="1"/>
  <c r="F3695" i="1"/>
  <c r="D3695" i="1"/>
  <c r="H3695" i="1" s="1"/>
  <c r="H3694" i="1"/>
  <c r="G3694" i="1"/>
  <c r="F3694" i="1"/>
  <c r="D3694" i="1"/>
  <c r="H3693" i="1"/>
  <c r="G3693" i="1"/>
  <c r="F3693" i="1"/>
  <c r="D3693" i="1"/>
  <c r="G3692" i="1"/>
  <c r="F3692" i="1"/>
  <c r="D3692" i="1"/>
  <c r="H3692" i="1" s="1"/>
  <c r="H3691" i="1"/>
  <c r="H3690" i="1"/>
  <c r="G3689" i="1"/>
  <c r="F3689" i="1"/>
  <c r="D3689" i="1"/>
  <c r="H3689" i="1" s="1"/>
  <c r="G3688" i="1"/>
  <c r="F3688" i="1"/>
  <c r="D3688" i="1"/>
  <c r="H3688" i="1" s="1"/>
  <c r="G3687" i="1"/>
  <c r="F3687" i="1"/>
  <c r="H3687" i="1" s="1"/>
  <c r="D3687" i="1"/>
  <c r="G3686" i="1"/>
  <c r="F3686" i="1"/>
  <c r="D3686" i="1"/>
  <c r="H3686" i="1" s="1"/>
  <c r="G3685" i="1"/>
  <c r="F3685" i="1"/>
  <c r="D3685" i="1"/>
  <c r="H3685" i="1" s="1"/>
  <c r="G3684" i="1"/>
  <c r="F3684" i="1"/>
  <c r="D3684" i="1"/>
  <c r="H3684" i="1" s="1"/>
  <c r="G3683" i="1"/>
  <c r="F3683" i="1"/>
  <c r="D3683" i="1"/>
  <c r="H3683" i="1" s="1"/>
  <c r="G3682" i="1"/>
  <c r="F3682" i="1"/>
  <c r="D3682" i="1"/>
  <c r="H3682" i="1" s="1"/>
  <c r="G3681" i="1"/>
  <c r="F3681" i="1"/>
  <c r="D3681" i="1"/>
  <c r="H3681" i="1" s="1"/>
  <c r="G3680" i="1"/>
  <c r="F3680" i="1"/>
  <c r="D3680" i="1"/>
  <c r="H3680" i="1" s="1"/>
  <c r="H3679" i="1"/>
  <c r="H3678" i="1"/>
  <c r="G3677" i="1"/>
  <c r="F3677" i="1"/>
  <c r="D3677" i="1"/>
  <c r="H3677" i="1" s="1"/>
  <c r="H3676" i="1"/>
  <c r="G3676" i="1"/>
  <c r="F3676" i="1"/>
  <c r="D3676" i="1"/>
  <c r="H3675" i="1"/>
  <c r="G3675" i="1"/>
  <c r="F3675" i="1"/>
  <c r="D3675" i="1"/>
  <c r="G3674" i="1"/>
  <c r="F3674" i="1"/>
  <c r="D3674" i="1"/>
  <c r="H3674" i="1" s="1"/>
  <c r="H3673" i="1"/>
  <c r="G3673" i="1"/>
  <c r="F3673" i="1"/>
  <c r="D3673" i="1"/>
  <c r="H3672" i="1"/>
  <c r="G3672" i="1"/>
  <c r="F3672" i="1"/>
  <c r="D3672" i="1"/>
  <c r="G3671" i="1"/>
  <c r="F3671" i="1"/>
  <c r="D3671" i="1"/>
  <c r="H3671" i="1" s="1"/>
  <c r="H3670" i="1"/>
  <c r="G3670" i="1"/>
  <c r="F3670" i="1"/>
  <c r="D3670" i="1"/>
  <c r="H3669" i="1"/>
  <c r="G3669" i="1"/>
  <c r="F3669" i="1"/>
  <c r="D3669" i="1"/>
  <c r="G3668" i="1"/>
  <c r="F3668" i="1"/>
  <c r="D3668" i="1"/>
  <c r="H3668" i="1" s="1"/>
  <c r="H3667" i="1"/>
  <c r="H3666" i="1"/>
  <c r="G3665" i="1"/>
  <c r="F3665" i="1"/>
  <c r="D3665" i="1"/>
  <c r="H3665" i="1" s="1"/>
  <c r="G3664" i="1"/>
  <c r="F3664" i="1"/>
  <c r="D3664" i="1"/>
  <c r="H3664" i="1" s="1"/>
  <c r="G3663" i="1"/>
  <c r="F3663" i="1"/>
  <c r="D3663" i="1"/>
  <c r="H3663" i="1" s="1"/>
  <c r="G3662" i="1"/>
  <c r="F3662" i="1"/>
  <c r="D3662" i="1"/>
  <c r="H3662" i="1" s="1"/>
  <c r="G3661" i="1"/>
  <c r="F3661" i="1"/>
  <c r="D3661" i="1"/>
  <c r="H3661" i="1" s="1"/>
  <c r="G3660" i="1"/>
  <c r="F3660" i="1"/>
  <c r="D3660" i="1"/>
  <c r="H3660" i="1" s="1"/>
  <c r="G3659" i="1"/>
  <c r="F3659" i="1"/>
  <c r="D3659" i="1"/>
  <c r="H3659" i="1" s="1"/>
  <c r="G3658" i="1"/>
  <c r="F3658" i="1"/>
  <c r="D3658" i="1"/>
  <c r="H3658" i="1" s="1"/>
  <c r="G3657" i="1"/>
  <c r="F3657" i="1"/>
  <c r="D3657" i="1"/>
  <c r="H3657" i="1" s="1"/>
  <c r="G3656" i="1"/>
  <c r="F3656" i="1"/>
  <c r="D3656" i="1"/>
  <c r="H3656" i="1" s="1"/>
  <c r="H3655" i="1"/>
  <c r="H3654" i="1"/>
  <c r="G3653" i="1"/>
  <c r="F3653" i="1"/>
  <c r="D3653" i="1"/>
  <c r="H3653" i="1" s="1"/>
  <c r="G3652" i="1"/>
  <c r="F3652" i="1"/>
  <c r="D3652" i="1"/>
  <c r="H3652" i="1" s="1"/>
  <c r="H3651" i="1"/>
  <c r="G3651" i="1"/>
  <c r="F3651" i="1"/>
  <c r="D3651" i="1"/>
  <c r="G3650" i="1"/>
  <c r="F3650" i="1"/>
  <c r="D3650" i="1"/>
  <c r="H3650" i="1" s="1"/>
  <c r="G3649" i="1"/>
  <c r="F3649" i="1"/>
  <c r="D3649" i="1"/>
  <c r="H3649" i="1" s="1"/>
  <c r="H3648" i="1"/>
  <c r="G3648" i="1"/>
  <c r="F3648" i="1"/>
  <c r="D3648" i="1"/>
  <c r="G3647" i="1"/>
  <c r="F3647" i="1"/>
  <c r="D3647" i="1"/>
  <c r="H3647" i="1" s="1"/>
  <c r="G3646" i="1"/>
  <c r="F3646" i="1"/>
  <c r="D3646" i="1"/>
  <c r="H3646" i="1" s="1"/>
  <c r="H3645" i="1"/>
  <c r="G3645" i="1"/>
  <c r="F3645" i="1"/>
  <c r="D3645" i="1"/>
  <c r="G3644" i="1"/>
  <c r="F3644" i="1"/>
  <c r="D3644" i="1"/>
  <c r="H3644" i="1" s="1"/>
  <c r="H3643" i="1"/>
  <c r="G3642" i="1"/>
  <c r="F3642" i="1"/>
  <c r="D3642" i="1"/>
  <c r="H3642" i="1" s="1"/>
  <c r="H3641" i="1"/>
  <c r="G3641" i="1"/>
  <c r="F3641" i="1"/>
  <c r="D3641" i="1"/>
  <c r="H3640" i="1"/>
  <c r="G3640" i="1"/>
  <c r="F3640" i="1"/>
  <c r="D3640" i="1"/>
  <c r="G3639" i="1"/>
  <c r="F3639" i="1"/>
  <c r="D3639" i="1"/>
  <c r="H3639" i="1" s="1"/>
  <c r="H3638" i="1"/>
  <c r="G3638" i="1"/>
  <c r="F3638" i="1"/>
  <c r="D3638" i="1"/>
  <c r="H3637" i="1"/>
  <c r="G3637" i="1"/>
  <c r="F3637" i="1"/>
  <c r="D3637" i="1"/>
  <c r="G3636" i="1"/>
  <c r="F3636" i="1"/>
  <c r="D3636" i="1"/>
  <c r="H3636" i="1" s="1"/>
  <c r="H3635" i="1"/>
  <c r="G3635" i="1"/>
  <c r="F3635" i="1"/>
  <c r="D3635" i="1"/>
  <c r="G3634" i="1"/>
  <c r="F3634" i="1"/>
  <c r="H3634" i="1" s="1"/>
  <c r="D3634" i="1"/>
  <c r="G3633" i="1"/>
  <c r="F3633" i="1"/>
  <c r="D3633" i="1"/>
  <c r="H3633" i="1" s="1"/>
  <c r="H3632" i="1"/>
  <c r="G3631" i="1"/>
  <c r="F3631" i="1"/>
  <c r="D3631" i="1"/>
  <c r="H3631" i="1" s="1"/>
  <c r="G3630" i="1"/>
  <c r="F3630" i="1"/>
  <c r="D3630" i="1"/>
  <c r="H3630" i="1" s="1"/>
  <c r="G3629" i="1"/>
  <c r="F3629" i="1"/>
  <c r="D3629" i="1"/>
  <c r="H3629" i="1" s="1"/>
  <c r="G3628" i="1"/>
  <c r="F3628" i="1"/>
  <c r="D3628" i="1"/>
  <c r="H3628" i="1" s="1"/>
  <c r="G3627" i="1"/>
  <c r="F3627" i="1"/>
  <c r="D3627" i="1"/>
  <c r="H3627" i="1" s="1"/>
  <c r="G3626" i="1"/>
  <c r="F3626" i="1"/>
  <c r="D3626" i="1"/>
  <c r="H3626" i="1" s="1"/>
  <c r="G3625" i="1"/>
  <c r="F3625" i="1"/>
  <c r="D3625" i="1"/>
  <c r="H3625" i="1" s="1"/>
  <c r="G3624" i="1"/>
  <c r="F3624" i="1"/>
  <c r="D3624" i="1"/>
  <c r="H3624" i="1" s="1"/>
  <c r="G3623" i="1"/>
  <c r="F3623" i="1"/>
  <c r="D3623" i="1"/>
  <c r="H3623" i="1" s="1"/>
  <c r="G3622" i="1"/>
  <c r="F3622" i="1"/>
  <c r="D3622" i="1"/>
  <c r="H3622" i="1" s="1"/>
  <c r="H3621" i="1"/>
  <c r="H3620" i="1"/>
  <c r="G3620" i="1"/>
  <c r="F3620" i="1"/>
  <c r="D3620" i="1"/>
  <c r="G3619" i="1"/>
  <c r="F3619" i="1"/>
  <c r="H3619" i="1" s="1"/>
  <c r="D3619" i="1"/>
  <c r="G3618" i="1"/>
  <c r="F3618" i="1"/>
  <c r="H3618" i="1" s="1"/>
  <c r="D3618" i="1"/>
  <c r="H3617" i="1"/>
  <c r="G3617" i="1"/>
  <c r="F3617" i="1"/>
  <c r="D3617" i="1"/>
  <c r="G3616" i="1"/>
  <c r="F3616" i="1"/>
  <c r="H3616" i="1" s="1"/>
  <c r="D3616" i="1"/>
  <c r="G3615" i="1"/>
  <c r="F3615" i="1"/>
  <c r="H3615" i="1" s="1"/>
  <c r="D3615" i="1"/>
  <c r="H3614" i="1"/>
  <c r="G3614" i="1"/>
  <c r="F3614" i="1"/>
  <c r="D3614" i="1"/>
  <c r="G3613" i="1"/>
  <c r="F3613" i="1"/>
  <c r="H3613" i="1" s="1"/>
  <c r="D3613" i="1"/>
  <c r="G3612" i="1"/>
  <c r="F3612" i="1"/>
  <c r="H3612" i="1" s="1"/>
  <c r="D3612" i="1"/>
  <c r="H3611" i="1"/>
  <c r="G3611" i="1"/>
  <c r="F3611" i="1"/>
  <c r="D3611" i="1"/>
  <c r="H3610" i="1"/>
  <c r="H3609" i="1"/>
  <c r="G3609" i="1"/>
  <c r="F3609" i="1"/>
  <c r="D3609" i="1"/>
  <c r="G3608" i="1"/>
  <c r="F3608" i="1"/>
  <c r="D3608" i="1"/>
  <c r="H3608" i="1" s="1"/>
  <c r="G3607" i="1"/>
  <c r="F3607" i="1"/>
  <c r="D3607" i="1"/>
  <c r="H3607" i="1" s="1"/>
  <c r="H3606" i="1"/>
  <c r="G3606" i="1"/>
  <c r="F3606" i="1"/>
  <c r="D3606" i="1"/>
  <c r="G3605" i="1"/>
  <c r="F3605" i="1"/>
  <c r="D3605" i="1"/>
  <c r="H3605" i="1" s="1"/>
  <c r="G3604" i="1"/>
  <c r="F3604" i="1"/>
  <c r="D3604" i="1"/>
  <c r="H3604" i="1" s="1"/>
  <c r="H3603" i="1"/>
  <c r="G3603" i="1"/>
  <c r="F3603" i="1"/>
  <c r="D3603" i="1"/>
  <c r="G3602" i="1"/>
  <c r="F3602" i="1"/>
  <c r="D3602" i="1"/>
  <c r="H3602" i="1" s="1"/>
  <c r="G3601" i="1"/>
  <c r="F3601" i="1"/>
  <c r="D3601" i="1"/>
  <c r="H3601" i="1" s="1"/>
  <c r="H3600" i="1"/>
  <c r="G3600" i="1"/>
  <c r="F3600" i="1"/>
  <c r="D3600" i="1"/>
  <c r="H3599" i="1"/>
  <c r="H3598" i="1"/>
  <c r="G3598" i="1"/>
  <c r="F3598" i="1"/>
  <c r="D3598" i="1"/>
  <c r="G3597" i="1"/>
  <c r="F3597" i="1"/>
  <c r="D3597" i="1"/>
  <c r="H3597" i="1" s="1"/>
  <c r="H3596" i="1"/>
  <c r="G3596" i="1"/>
  <c r="F3596" i="1"/>
  <c r="D3596" i="1"/>
  <c r="H3595" i="1"/>
  <c r="G3595" i="1"/>
  <c r="F3595" i="1"/>
  <c r="D3595" i="1"/>
  <c r="G3594" i="1"/>
  <c r="F3594" i="1"/>
  <c r="D3594" i="1"/>
  <c r="H3594" i="1" s="1"/>
  <c r="H3593" i="1"/>
  <c r="G3593" i="1"/>
  <c r="F3593" i="1"/>
  <c r="D3593" i="1"/>
  <c r="H3592" i="1"/>
  <c r="G3592" i="1"/>
  <c r="F3592" i="1"/>
  <c r="D3592" i="1"/>
  <c r="G3591" i="1"/>
  <c r="F3591" i="1"/>
  <c r="D3591" i="1"/>
  <c r="H3591" i="1" s="1"/>
  <c r="H3590" i="1"/>
  <c r="G3590" i="1"/>
  <c r="F3590" i="1"/>
  <c r="D3590" i="1"/>
  <c r="H3589" i="1"/>
  <c r="G3589" i="1"/>
  <c r="F3589" i="1"/>
  <c r="D3589" i="1"/>
  <c r="H3588" i="1"/>
  <c r="H3587" i="1"/>
  <c r="G3586" i="1"/>
  <c r="F3586" i="1"/>
  <c r="H3586" i="1" s="1"/>
  <c r="D3586" i="1"/>
  <c r="G3585" i="1"/>
  <c r="F3585" i="1"/>
  <c r="H3585" i="1" s="1"/>
  <c r="D3585" i="1"/>
  <c r="H3584" i="1"/>
  <c r="G3584" i="1"/>
  <c r="F3584" i="1"/>
  <c r="D3584" i="1"/>
  <c r="G3583" i="1"/>
  <c r="F3583" i="1"/>
  <c r="H3583" i="1" s="1"/>
  <c r="D3583" i="1"/>
  <c r="G3582" i="1"/>
  <c r="F3582" i="1"/>
  <c r="H3582" i="1" s="1"/>
  <c r="D3582" i="1"/>
  <c r="H3581" i="1"/>
  <c r="G3581" i="1"/>
  <c r="F3581" i="1"/>
  <c r="D3581" i="1"/>
  <c r="G3580" i="1"/>
  <c r="F3580" i="1"/>
  <c r="H3580" i="1" s="1"/>
  <c r="D3580" i="1"/>
  <c r="G3579" i="1"/>
  <c r="F3579" i="1"/>
  <c r="D3579" i="1"/>
  <c r="H3579" i="1" s="1"/>
  <c r="H3578" i="1"/>
  <c r="G3578" i="1"/>
  <c r="F3578" i="1"/>
  <c r="D3578" i="1"/>
  <c r="G3577" i="1"/>
  <c r="F3577" i="1"/>
  <c r="H3577" i="1" s="1"/>
  <c r="D3577" i="1"/>
  <c r="H3576" i="1"/>
  <c r="G3575" i="1"/>
  <c r="F3575" i="1"/>
  <c r="D3575" i="1"/>
  <c r="H3575" i="1" s="1"/>
  <c r="H3574" i="1"/>
  <c r="G3574" i="1"/>
  <c r="F3574" i="1"/>
  <c r="D3574" i="1"/>
  <c r="H3573" i="1"/>
  <c r="G3573" i="1"/>
  <c r="F3573" i="1"/>
  <c r="D3573" i="1"/>
  <c r="G3572" i="1"/>
  <c r="F3572" i="1"/>
  <c r="D3572" i="1"/>
  <c r="H3572" i="1" s="1"/>
  <c r="G3571" i="1"/>
  <c r="F3571" i="1"/>
  <c r="D3571" i="1"/>
  <c r="H3571" i="1" s="1"/>
  <c r="H3570" i="1"/>
  <c r="G3570" i="1"/>
  <c r="F3570" i="1"/>
  <c r="D3570" i="1"/>
  <c r="G3569" i="1"/>
  <c r="F3569" i="1"/>
  <c r="D3569" i="1"/>
  <c r="H3569" i="1" s="1"/>
  <c r="G3568" i="1"/>
  <c r="F3568" i="1"/>
  <c r="D3568" i="1"/>
  <c r="H3568" i="1" s="1"/>
  <c r="H3567" i="1"/>
  <c r="G3567" i="1"/>
  <c r="F3567" i="1"/>
  <c r="D3567" i="1"/>
  <c r="G3566" i="1"/>
  <c r="F3566" i="1"/>
  <c r="D3566" i="1"/>
  <c r="H3566" i="1" s="1"/>
  <c r="H3565" i="1"/>
  <c r="G3564" i="1"/>
  <c r="F3564" i="1"/>
  <c r="D3564" i="1"/>
  <c r="H3564" i="1" s="1"/>
  <c r="H3563" i="1"/>
  <c r="G3563" i="1"/>
  <c r="F3563" i="1"/>
  <c r="D3563" i="1"/>
  <c r="G3562" i="1"/>
  <c r="F3562" i="1"/>
  <c r="H3562" i="1" s="1"/>
  <c r="D3562" i="1"/>
  <c r="G3561" i="1"/>
  <c r="F3561" i="1"/>
  <c r="D3561" i="1"/>
  <c r="H3561" i="1" s="1"/>
  <c r="H3560" i="1"/>
  <c r="G3560" i="1"/>
  <c r="F3560" i="1"/>
  <c r="D3560" i="1"/>
  <c r="G3559" i="1"/>
  <c r="F3559" i="1"/>
  <c r="H3559" i="1" s="1"/>
  <c r="D3559" i="1"/>
  <c r="G3558" i="1"/>
  <c r="F3558" i="1"/>
  <c r="D3558" i="1"/>
  <c r="H3558" i="1" s="1"/>
  <c r="H3557" i="1"/>
  <c r="G3557" i="1"/>
  <c r="F3557" i="1"/>
  <c r="D3557" i="1"/>
  <c r="G3556" i="1"/>
  <c r="F3556" i="1"/>
  <c r="H3556" i="1" s="1"/>
  <c r="D3556" i="1"/>
  <c r="G3555" i="1"/>
  <c r="F3555" i="1"/>
  <c r="D3555" i="1"/>
  <c r="H3555" i="1" s="1"/>
  <c r="H3554" i="1"/>
  <c r="G3553" i="1"/>
  <c r="F3553" i="1"/>
  <c r="D3553" i="1"/>
  <c r="H3553" i="1" s="1"/>
  <c r="G3552" i="1"/>
  <c r="F3552" i="1"/>
  <c r="H3552" i="1" s="1"/>
  <c r="D3552" i="1"/>
  <c r="G3551" i="1"/>
  <c r="F3551" i="1"/>
  <c r="D3551" i="1"/>
  <c r="H3551" i="1" s="1"/>
  <c r="G3550" i="1"/>
  <c r="F3550" i="1"/>
  <c r="D3550" i="1"/>
  <c r="H3550" i="1" s="1"/>
  <c r="G3549" i="1"/>
  <c r="F3549" i="1"/>
  <c r="D3549" i="1"/>
  <c r="H3549" i="1" s="1"/>
  <c r="G3548" i="1"/>
  <c r="F3548" i="1"/>
  <c r="D3548" i="1"/>
  <c r="H3548" i="1" s="1"/>
  <c r="G3547" i="1"/>
  <c r="F3547" i="1"/>
  <c r="D3547" i="1"/>
  <c r="H3547" i="1" s="1"/>
  <c r="G3546" i="1"/>
  <c r="F3546" i="1"/>
  <c r="D3546" i="1"/>
  <c r="H3546" i="1" s="1"/>
  <c r="G3545" i="1"/>
  <c r="F3545" i="1"/>
  <c r="D3545" i="1"/>
  <c r="H3545" i="1" s="1"/>
  <c r="G3544" i="1"/>
  <c r="F3544" i="1"/>
  <c r="D3544" i="1"/>
  <c r="H3544" i="1" s="1"/>
  <c r="H3543" i="1"/>
  <c r="H3542" i="1"/>
  <c r="G3542" i="1"/>
  <c r="F3542" i="1"/>
  <c r="D3542" i="1"/>
  <c r="G3541" i="1"/>
  <c r="F3541" i="1"/>
  <c r="H3541" i="1" s="1"/>
  <c r="D3541" i="1"/>
  <c r="G3540" i="1"/>
  <c r="F3540" i="1"/>
  <c r="H3540" i="1" s="1"/>
  <c r="D3540" i="1"/>
  <c r="H3539" i="1"/>
  <c r="G3539" i="1"/>
  <c r="F3539" i="1"/>
  <c r="D3539" i="1"/>
  <c r="G3538" i="1"/>
  <c r="F3538" i="1"/>
  <c r="H3538" i="1" s="1"/>
  <c r="D3538" i="1"/>
  <c r="G3537" i="1"/>
  <c r="F3537" i="1"/>
  <c r="H3537" i="1" s="1"/>
  <c r="D3537" i="1"/>
  <c r="H3536" i="1"/>
  <c r="G3536" i="1"/>
  <c r="F3536" i="1"/>
  <c r="D3536" i="1"/>
  <c r="G3535" i="1"/>
  <c r="F3535" i="1"/>
  <c r="H3535" i="1" s="1"/>
  <c r="D3535" i="1"/>
  <c r="G3534" i="1"/>
  <c r="F3534" i="1"/>
  <c r="D3534" i="1"/>
  <c r="H3534" i="1" s="1"/>
  <c r="H3533" i="1"/>
  <c r="G3533" i="1"/>
  <c r="F3533" i="1"/>
  <c r="D3533" i="1"/>
  <c r="H3532" i="1"/>
  <c r="H3531" i="1"/>
  <c r="G3531" i="1"/>
  <c r="F3531" i="1"/>
  <c r="D3531" i="1"/>
  <c r="G3530" i="1"/>
  <c r="F3530" i="1"/>
  <c r="D3530" i="1"/>
  <c r="H3530" i="1" s="1"/>
  <c r="H3529" i="1"/>
  <c r="G3529" i="1"/>
  <c r="F3529" i="1"/>
  <c r="D3529" i="1"/>
  <c r="H3528" i="1"/>
  <c r="G3528" i="1"/>
  <c r="F3528" i="1"/>
  <c r="D3528" i="1"/>
  <c r="G3527" i="1"/>
  <c r="F3527" i="1"/>
  <c r="D3527" i="1"/>
  <c r="H3527" i="1" s="1"/>
  <c r="G3526" i="1"/>
  <c r="F3526" i="1"/>
  <c r="D3526" i="1"/>
  <c r="H3526" i="1" s="1"/>
  <c r="H3525" i="1"/>
  <c r="G3525" i="1"/>
  <c r="F3525" i="1"/>
  <c r="D3525" i="1"/>
  <c r="G3524" i="1"/>
  <c r="F3524" i="1"/>
  <c r="D3524" i="1"/>
  <c r="H3524" i="1" s="1"/>
  <c r="G3523" i="1"/>
  <c r="F3523" i="1"/>
  <c r="D3523" i="1"/>
  <c r="H3523" i="1" s="1"/>
  <c r="H3522" i="1"/>
  <c r="G3522" i="1"/>
  <c r="F3522" i="1"/>
  <c r="D3522" i="1"/>
  <c r="H3521" i="1"/>
  <c r="H3520" i="1"/>
  <c r="G3520" i="1"/>
  <c r="F3520" i="1"/>
  <c r="D3520" i="1"/>
  <c r="G3519" i="1"/>
  <c r="F3519" i="1"/>
  <c r="D3519" i="1"/>
  <c r="H3519" i="1" s="1"/>
  <c r="H3518" i="1"/>
  <c r="G3518" i="1"/>
  <c r="F3518" i="1"/>
  <c r="D3518" i="1"/>
  <c r="G3517" i="1"/>
  <c r="F3517" i="1"/>
  <c r="H3517" i="1" s="1"/>
  <c r="D3517" i="1"/>
  <c r="G3516" i="1"/>
  <c r="F3516" i="1"/>
  <c r="D3516" i="1"/>
  <c r="H3516" i="1" s="1"/>
  <c r="H3515" i="1"/>
  <c r="G3515" i="1"/>
  <c r="F3515" i="1"/>
  <c r="D3515" i="1"/>
  <c r="G3514" i="1"/>
  <c r="F3514" i="1"/>
  <c r="H3514" i="1" s="1"/>
  <c r="D3514" i="1"/>
  <c r="G3513" i="1"/>
  <c r="F3513" i="1"/>
  <c r="D3513" i="1"/>
  <c r="H3513" i="1" s="1"/>
  <c r="H3512" i="1"/>
  <c r="G3512" i="1"/>
  <c r="F3512" i="1"/>
  <c r="D3512" i="1"/>
  <c r="G3511" i="1"/>
  <c r="F3511" i="1"/>
  <c r="H3511" i="1" s="1"/>
  <c r="D3511" i="1"/>
  <c r="H3510" i="1"/>
  <c r="G3509" i="1"/>
  <c r="F3509" i="1"/>
  <c r="D3509" i="1"/>
  <c r="H3509" i="1" s="1"/>
  <c r="G3508" i="1"/>
  <c r="F3508" i="1"/>
  <c r="D3508" i="1"/>
  <c r="H3508" i="1" s="1"/>
  <c r="G3507" i="1"/>
  <c r="F3507" i="1"/>
  <c r="H3507" i="1" s="1"/>
  <c r="D3507" i="1"/>
  <c r="G3506" i="1"/>
  <c r="F3506" i="1"/>
  <c r="D3506" i="1"/>
  <c r="H3506" i="1" s="1"/>
  <c r="G3505" i="1"/>
  <c r="F3505" i="1"/>
  <c r="D3505" i="1"/>
  <c r="H3505" i="1" s="1"/>
  <c r="G3504" i="1"/>
  <c r="F3504" i="1"/>
  <c r="D3504" i="1"/>
  <c r="H3504" i="1" s="1"/>
  <c r="G3503" i="1"/>
  <c r="F3503" i="1"/>
  <c r="D3503" i="1"/>
  <c r="H3503" i="1" s="1"/>
  <c r="G3502" i="1"/>
  <c r="F3502" i="1"/>
  <c r="D3502" i="1"/>
  <c r="H3502" i="1" s="1"/>
  <c r="G3501" i="1"/>
  <c r="F3501" i="1"/>
  <c r="D3501" i="1"/>
  <c r="H3501" i="1" s="1"/>
  <c r="G3500" i="1"/>
  <c r="F3500" i="1"/>
  <c r="D3500" i="1"/>
  <c r="H3500" i="1" s="1"/>
  <c r="H3499" i="1"/>
  <c r="H3498" i="1"/>
  <c r="G3497" i="1"/>
  <c r="F3497" i="1"/>
  <c r="D3497" i="1"/>
  <c r="H3497" i="1" s="1"/>
  <c r="H3496" i="1"/>
  <c r="G3496" i="1"/>
  <c r="F3496" i="1"/>
  <c r="D3496" i="1"/>
  <c r="H3495" i="1"/>
  <c r="G3495" i="1"/>
  <c r="F3495" i="1"/>
  <c r="D3495" i="1"/>
  <c r="G3494" i="1"/>
  <c r="F3494" i="1"/>
  <c r="D3494" i="1"/>
  <c r="H3494" i="1" s="1"/>
  <c r="H3493" i="1"/>
  <c r="G3493" i="1"/>
  <c r="F3493" i="1"/>
  <c r="D3493" i="1"/>
  <c r="H3492" i="1"/>
  <c r="G3492" i="1"/>
  <c r="F3492" i="1"/>
  <c r="D3492" i="1"/>
  <c r="G3491" i="1"/>
  <c r="F3491" i="1"/>
  <c r="D3491" i="1"/>
  <c r="H3491" i="1" s="1"/>
  <c r="G3490" i="1"/>
  <c r="F3490" i="1"/>
  <c r="D3490" i="1"/>
  <c r="H3490" i="1" s="1"/>
  <c r="H3489" i="1"/>
  <c r="G3489" i="1"/>
  <c r="F3489" i="1"/>
  <c r="D3489" i="1"/>
  <c r="G3488" i="1"/>
  <c r="F3488" i="1"/>
  <c r="D3488" i="1"/>
  <c r="H3488" i="1" s="1"/>
  <c r="H3487" i="1"/>
  <c r="G3486" i="1"/>
  <c r="F3486" i="1"/>
  <c r="D3486" i="1"/>
  <c r="H3486" i="1" s="1"/>
  <c r="H3485" i="1"/>
  <c r="G3485" i="1"/>
  <c r="F3485" i="1"/>
  <c r="D3485" i="1"/>
  <c r="G3484" i="1"/>
  <c r="F3484" i="1"/>
  <c r="H3484" i="1" s="1"/>
  <c r="D3484" i="1"/>
  <c r="G3483" i="1"/>
  <c r="F3483" i="1"/>
  <c r="D3483" i="1"/>
  <c r="H3483" i="1" s="1"/>
  <c r="H3482" i="1"/>
  <c r="G3482" i="1"/>
  <c r="F3482" i="1"/>
  <c r="D3482" i="1"/>
  <c r="G3481" i="1"/>
  <c r="F3481" i="1"/>
  <c r="H3481" i="1" s="1"/>
  <c r="D3481" i="1"/>
  <c r="G3480" i="1"/>
  <c r="F3480" i="1"/>
  <c r="D3480" i="1"/>
  <c r="H3480" i="1" s="1"/>
  <c r="G3479" i="1"/>
  <c r="F3479" i="1"/>
  <c r="H3479" i="1" s="1"/>
  <c r="D3479" i="1"/>
  <c r="G3478" i="1"/>
  <c r="F3478" i="1"/>
  <c r="H3478" i="1" s="1"/>
  <c r="D3478" i="1"/>
  <c r="G3477" i="1"/>
  <c r="F3477" i="1"/>
  <c r="D3477" i="1"/>
  <c r="H3477" i="1" s="1"/>
  <c r="H3476" i="1"/>
  <c r="G3475" i="1"/>
  <c r="F3475" i="1"/>
  <c r="D3475" i="1"/>
  <c r="H3475" i="1" s="1"/>
  <c r="G3474" i="1"/>
  <c r="F3474" i="1"/>
  <c r="D3474" i="1"/>
  <c r="H3474" i="1" s="1"/>
  <c r="G3473" i="1"/>
  <c r="F3473" i="1"/>
  <c r="D3473" i="1"/>
  <c r="H3473" i="1" s="1"/>
  <c r="G3472" i="1"/>
  <c r="F3472" i="1"/>
  <c r="D3472" i="1"/>
  <c r="H3472" i="1" s="1"/>
  <c r="G3471" i="1"/>
  <c r="F3471" i="1"/>
  <c r="D3471" i="1"/>
  <c r="H3471" i="1" s="1"/>
  <c r="G3470" i="1"/>
  <c r="F3470" i="1"/>
  <c r="D3470" i="1"/>
  <c r="H3470" i="1" s="1"/>
  <c r="G3469" i="1"/>
  <c r="F3469" i="1"/>
  <c r="D3469" i="1"/>
  <c r="H3469" i="1" s="1"/>
  <c r="G3468" i="1"/>
  <c r="F3468" i="1"/>
  <c r="D3468" i="1"/>
  <c r="H3468" i="1" s="1"/>
  <c r="G3467" i="1"/>
  <c r="F3467" i="1"/>
  <c r="D3467" i="1"/>
  <c r="H3467" i="1" s="1"/>
  <c r="G3466" i="1"/>
  <c r="F3466" i="1"/>
  <c r="D3466" i="1"/>
  <c r="H3466" i="1" s="1"/>
  <c r="H3465" i="1"/>
  <c r="H3464" i="1"/>
  <c r="G3463" i="1"/>
  <c r="F3463" i="1"/>
  <c r="D3463" i="1"/>
  <c r="H3463" i="1" s="1"/>
  <c r="H3462" i="1"/>
  <c r="G3462" i="1"/>
  <c r="F3462" i="1"/>
  <c r="D3462" i="1"/>
  <c r="G3461" i="1"/>
  <c r="F3461" i="1"/>
  <c r="D3461" i="1"/>
  <c r="H3461" i="1" s="1"/>
  <c r="G3460" i="1"/>
  <c r="F3460" i="1"/>
  <c r="D3460" i="1"/>
  <c r="H3460" i="1" s="1"/>
  <c r="H3459" i="1"/>
  <c r="G3459" i="1"/>
  <c r="F3459" i="1"/>
  <c r="D3459" i="1"/>
  <c r="G3458" i="1"/>
  <c r="F3458" i="1"/>
  <c r="D3458" i="1"/>
  <c r="H3458" i="1" s="1"/>
  <c r="G3457" i="1"/>
  <c r="F3457" i="1"/>
  <c r="D3457" i="1"/>
  <c r="H3457" i="1" s="1"/>
  <c r="H3456" i="1"/>
  <c r="G3456" i="1"/>
  <c r="F3456" i="1"/>
  <c r="D3456" i="1"/>
  <c r="G3455" i="1"/>
  <c r="F3455" i="1"/>
  <c r="D3455" i="1"/>
  <c r="H3455" i="1" s="1"/>
  <c r="G3454" i="1"/>
  <c r="F3454" i="1"/>
  <c r="D3454" i="1"/>
  <c r="H3454" i="1" s="1"/>
  <c r="H3453" i="1"/>
  <c r="G3452" i="1"/>
  <c r="F3452" i="1"/>
  <c r="H3452" i="1" s="1"/>
  <c r="D3452" i="1"/>
  <c r="G3451" i="1"/>
  <c r="F3451" i="1"/>
  <c r="H3451" i="1" s="1"/>
  <c r="D3451" i="1"/>
  <c r="G3450" i="1"/>
  <c r="F3450" i="1"/>
  <c r="D3450" i="1"/>
  <c r="H3450" i="1" s="1"/>
  <c r="G3449" i="1"/>
  <c r="F3449" i="1"/>
  <c r="H3449" i="1" s="1"/>
  <c r="D3449" i="1"/>
  <c r="G3448" i="1"/>
  <c r="F3448" i="1"/>
  <c r="H3448" i="1" s="1"/>
  <c r="D3448" i="1"/>
  <c r="G3447" i="1"/>
  <c r="F3447" i="1"/>
  <c r="D3447" i="1"/>
  <c r="H3447" i="1" s="1"/>
  <c r="G3446" i="1"/>
  <c r="F3446" i="1"/>
  <c r="H3446" i="1" s="1"/>
  <c r="D3446" i="1"/>
  <c r="G3445" i="1"/>
  <c r="F3445" i="1"/>
  <c r="H3445" i="1" s="1"/>
  <c r="D3445" i="1"/>
  <c r="G3444" i="1"/>
  <c r="F3444" i="1"/>
  <c r="D3444" i="1"/>
  <c r="H3444" i="1" s="1"/>
  <c r="G3443" i="1"/>
  <c r="F3443" i="1"/>
  <c r="H3443" i="1" s="1"/>
  <c r="D3443" i="1"/>
  <c r="H3442" i="1"/>
  <c r="H3441" i="1"/>
  <c r="H3440" i="1"/>
  <c r="G3440" i="1"/>
  <c r="F3440" i="1"/>
  <c r="D3440" i="1"/>
  <c r="G3439" i="1"/>
  <c r="H3439" i="1" s="1"/>
  <c r="F3439" i="1"/>
  <c r="D3439" i="1"/>
  <c r="G3438" i="1"/>
  <c r="F3438" i="1"/>
  <c r="H3438" i="1" s="1"/>
  <c r="D3438" i="1"/>
  <c r="H3437" i="1"/>
  <c r="G3437" i="1"/>
  <c r="F3437" i="1"/>
  <c r="D3437" i="1"/>
  <c r="G3436" i="1"/>
  <c r="H3436" i="1" s="1"/>
  <c r="F3436" i="1"/>
  <c r="D3436" i="1"/>
  <c r="G3435" i="1"/>
  <c r="F3435" i="1"/>
  <c r="H3435" i="1" s="1"/>
  <c r="D3435" i="1"/>
  <c r="H3434" i="1"/>
  <c r="G3434" i="1"/>
  <c r="F3434" i="1"/>
  <c r="D3434" i="1"/>
  <c r="G3433" i="1"/>
  <c r="H3433" i="1" s="1"/>
  <c r="F3433" i="1"/>
  <c r="D3433" i="1"/>
  <c r="G3432" i="1"/>
  <c r="F3432" i="1"/>
  <c r="H3432" i="1" s="1"/>
  <c r="D3432" i="1"/>
  <c r="H3431" i="1"/>
  <c r="G3431" i="1"/>
  <c r="F3431" i="1"/>
  <c r="D3431" i="1"/>
  <c r="H3430" i="1"/>
  <c r="H3429" i="1"/>
  <c r="G3429" i="1"/>
  <c r="F3429" i="1"/>
  <c r="D3429" i="1"/>
  <c r="G3428" i="1"/>
  <c r="F3428" i="1"/>
  <c r="D3428" i="1"/>
  <c r="H3428" i="1" s="1"/>
  <c r="G3427" i="1"/>
  <c r="F3427" i="1"/>
  <c r="D3427" i="1"/>
  <c r="H3427" i="1" s="1"/>
  <c r="H3426" i="1"/>
  <c r="G3426" i="1"/>
  <c r="F3426" i="1"/>
  <c r="D3426" i="1"/>
  <c r="G3425" i="1"/>
  <c r="F3425" i="1"/>
  <c r="D3425" i="1"/>
  <c r="H3425" i="1" s="1"/>
  <c r="G3424" i="1"/>
  <c r="F3424" i="1"/>
  <c r="D3424" i="1"/>
  <c r="H3424" i="1" s="1"/>
  <c r="H3423" i="1"/>
  <c r="G3423" i="1"/>
  <c r="F3423" i="1"/>
  <c r="D3423" i="1"/>
  <c r="G3422" i="1"/>
  <c r="F3422" i="1"/>
  <c r="D3422" i="1"/>
  <c r="H3422" i="1" s="1"/>
  <c r="G3421" i="1"/>
  <c r="F3421" i="1"/>
  <c r="D3421" i="1"/>
  <c r="H3421" i="1" s="1"/>
  <c r="H3420" i="1"/>
  <c r="G3420" i="1"/>
  <c r="F3420" i="1"/>
  <c r="D3420" i="1"/>
  <c r="H3419" i="1"/>
  <c r="G3418" i="1"/>
  <c r="F3418" i="1"/>
  <c r="H3418" i="1" s="1"/>
  <c r="D3418" i="1"/>
  <c r="G3417" i="1"/>
  <c r="F3417" i="1"/>
  <c r="D3417" i="1"/>
  <c r="H3417" i="1" s="1"/>
  <c r="G3416" i="1"/>
  <c r="F3416" i="1"/>
  <c r="H3416" i="1" s="1"/>
  <c r="D3416" i="1"/>
  <c r="G3415" i="1"/>
  <c r="F3415" i="1"/>
  <c r="H3415" i="1" s="1"/>
  <c r="D3415" i="1"/>
  <c r="G3414" i="1"/>
  <c r="F3414" i="1"/>
  <c r="D3414" i="1"/>
  <c r="H3414" i="1" s="1"/>
  <c r="G3413" i="1"/>
  <c r="F3413" i="1"/>
  <c r="H3413" i="1" s="1"/>
  <c r="D3413" i="1"/>
  <c r="G3412" i="1"/>
  <c r="F3412" i="1"/>
  <c r="H3412" i="1" s="1"/>
  <c r="D3412" i="1"/>
  <c r="G3411" i="1"/>
  <c r="F3411" i="1"/>
  <c r="D3411" i="1"/>
  <c r="H3411" i="1" s="1"/>
  <c r="G3410" i="1"/>
  <c r="F3410" i="1"/>
  <c r="H3410" i="1" s="1"/>
  <c r="D3410" i="1"/>
  <c r="G3409" i="1"/>
  <c r="F3409" i="1"/>
  <c r="H3409" i="1" s="1"/>
  <c r="D3409" i="1"/>
  <c r="H3408" i="1"/>
  <c r="G3407" i="1"/>
  <c r="F3407" i="1"/>
  <c r="D3407" i="1"/>
  <c r="H3407" i="1" s="1"/>
  <c r="G3406" i="1"/>
  <c r="F3406" i="1"/>
  <c r="D3406" i="1"/>
  <c r="H3406" i="1" s="1"/>
  <c r="G3405" i="1"/>
  <c r="F3405" i="1"/>
  <c r="H3405" i="1" s="1"/>
  <c r="D3405" i="1"/>
  <c r="G3404" i="1"/>
  <c r="F3404" i="1"/>
  <c r="D3404" i="1"/>
  <c r="H3404" i="1" s="1"/>
  <c r="G3403" i="1"/>
  <c r="F3403" i="1"/>
  <c r="D3403" i="1"/>
  <c r="H3403" i="1" s="1"/>
  <c r="G3402" i="1"/>
  <c r="F3402" i="1"/>
  <c r="D3402" i="1"/>
  <c r="H3402" i="1" s="1"/>
  <c r="G3401" i="1"/>
  <c r="F3401" i="1"/>
  <c r="D3401" i="1"/>
  <c r="H3401" i="1" s="1"/>
  <c r="G3400" i="1"/>
  <c r="F3400" i="1"/>
  <c r="D3400" i="1"/>
  <c r="H3400" i="1" s="1"/>
  <c r="G3399" i="1"/>
  <c r="F3399" i="1"/>
  <c r="D3399" i="1"/>
  <c r="H3399" i="1" s="1"/>
  <c r="G3398" i="1"/>
  <c r="F3398" i="1"/>
  <c r="D3398" i="1"/>
  <c r="H3398" i="1" s="1"/>
  <c r="H3397" i="1"/>
  <c r="G3396" i="1"/>
  <c r="F3396" i="1"/>
  <c r="H3396" i="1" s="1"/>
  <c r="D3396" i="1"/>
  <c r="H3395" i="1"/>
  <c r="G3395" i="1"/>
  <c r="F3395" i="1"/>
  <c r="D3395" i="1"/>
  <c r="G3394" i="1"/>
  <c r="H3394" i="1" s="1"/>
  <c r="F3394" i="1"/>
  <c r="D3394" i="1"/>
  <c r="G3393" i="1"/>
  <c r="F3393" i="1"/>
  <c r="H3393" i="1" s="1"/>
  <c r="D3393" i="1"/>
  <c r="H3392" i="1"/>
  <c r="G3392" i="1"/>
  <c r="F3392" i="1"/>
  <c r="D3392" i="1"/>
  <c r="G3391" i="1"/>
  <c r="H3391" i="1" s="1"/>
  <c r="F3391" i="1"/>
  <c r="D3391" i="1"/>
  <c r="G3390" i="1"/>
  <c r="F3390" i="1"/>
  <c r="H3390" i="1" s="1"/>
  <c r="D3390" i="1"/>
  <c r="H3389" i="1"/>
  <c r="G3389" i="1"/>
  <c r="F3389" i="1"/>
  <c r="D3389" i="1"/>
  <c r="G3388" i="1"/>
  <c r="H3388" i="1" s="1"/>
  <c r="F3388" i="1"/>
  <c r="D3388" i="1"/>
  <c r="G3387" i="1"/>
  <c r="F3387" i="1"/>
  <c r="H3387" i="1" s="1"/>
  <c r="D3387" i="1"/>
  <c r="H3386" i="1"/>
  <c r="G3385" i="1"/>
  <c r="F3385" i="1"/>
  <c r="D3385" i="1"/>
  <c r="H3385" i="1" s="1"/>
  <c r="H3384" i="1"/>
  <c r="G3384" i="1"/>
  <c r="F3384" i="1"/>
  <c r="D3384" i="1"/>
  <c r="G3383" i="1"/>
  <c r="F3383" i="1"/>
  <c r="D3383" i="1"/>
  <c r="H3383" i="1" s="1"/>
  <c r="G3382" i="1"/>
  <c r="F3382" i="1"/>
  <c r="D3382" i="1"/>
  <c r="H3382" i="1" s="1"/>
  <c r="H3381" i="1"/>
  <c r="G3381" i="1"/>
  <c r="F3381" i="1"/>
  <c r="D3381" i="1"/>
  <c r="G3380" i="1"/>
  <c r="F3380" i="1"/>
  <c r="D3380" i="1"/>
  <c r="H3380" i="1" s="1"/>
  <c r="G3379" i="1"/>
  <c r="F3379" i="1"/>
  <c r="D3379" i="1"/>
  <c r="H3379" i="1" s="1"/>
  <c r="H3378" i="1"/>
  <c r="G3378" i="1"/>
  <c r="F3378" i="1"/>
  <c r="D3378" i="1"/>
  <c r="G3377" i="1"/>
  <c r="F3377" i="1"/>
  <c r="D3377" i="1"/>
  <c r="H3377" i="1" s="1"/>
  <c r="G3376" i="1"/>
  <c r="F3376" i="1"/>
  <c r="D3376" i="1"/>
  <c r="H3376" i="1" s="1"/>
  <c r="H3375" i="1"/>
  <c r="H3374" i="1"/>
  <c r="G3373" i="1"/>
  <c r="F3373" i="1"/>
  <c r="D3373" i="1"/>
  <c r="H3373" i="1" s="1"/>
  <c r="G3372" i="1"/>
  <c r="F3372" i="1"/>
  <c r="D3372" i="1"/>
  <c r="H3372" i="1" s="1"/>
  <c r="G3371" i="1"/>
  <c r="F3371" i="1"/>
  <c r="D3371" i="1"/>
  <c r="H3371" i="1" s="1"/>
  <c r="G3370" i="1"/>
  <c r="F3370" i="1"/>
  <c r="D3370" i="1"/>
  <c r="H3370" i="1" s="1"/>
  <c r="G3369" i="1"/>
  <c r="F3369" i="1"/>
  <c r="D3369" i="1"/>
  <c r="H3369" i="1" s="1"/>
  <c r="G3368" i="1"/>
  <c r="F3368" i="1"/>
  <c r="D3368" i="1"/>
  <c r="H3368" i="1" s="1"/>
  <c r="G3367" i="1"/>
  <c r="F3367" i="1"/>
  <c r="D3367" i="1"/>
  <c r="H3367" i="1" s="1"/>
  <c r="G3366" i="1"/>
  <c r="F3366" i="1"/>
  <c r="D3366" i="1"/>
  <c r="H3366" i="1" s="1"/>
  <c r="G3365" i="1"/>
  <c r="F3365" i="1"/>
  <c r="D3365" i="1"/>
  <c r="H3365" i="1" s="1"/>
  <c r="G3364" i="1"/>
  <c r="F3364" i="1"/>
  <c r="D3364" i="1"/>
  <c r="H3364" i="1" s="1"/>
  <c r="H3363" i="1"/>
  <c r="H3362" i="1"/>
  <c r="G3362" i="1"/>
  <c r="F3362" i="1"/>
  <c r="D3362" i="1"/>
  <c r="G3361" i="1"/>
  <c r="H3361" i="1" s="1"/>
  <c r="F3361" i="1"/>
  <c r="D3361" i="1"/>
  <c r="G3360" i="1"/>
  <c r="F3360" i="1"/>
  <c r="H3360" i="1" s="1"/>
  <c r="D3360" i="1"/>
  <c r="H3359" i="1"/>
  <c r="G3359" i="1"/>
  <c r="F3359" i="1"/>
  <c r="D3359" i="1"/>
  <c r="G3358" i="1"/>
  <c r="H3358" i="1" s="1"/>
  <c r="F3358" i="1"/>
  <c r="D3358" i="1"/>
  <c r="G3357" i="1"/>
  <c r="F3357" i="1"/>
  <c r="H3357" i="1" s="1"/>
  <c r="D3357" i="1"/>
  <c r="H3356" i="1"/>
  <c r="G3356" i="1"/>
  <c r="F3356" i="1"/>
  <c r="D3356" i="1"/>
  <c r="G3355" i="1"/>
  <c r="F3355" i="1"/>
  <c r="H3355" i="1" s="1"/>
  <c r="D3355" i="1"/>
  <c r="G3354" i="1"/>
  <c r="F3354" i="1"/>
  <c r="H3354" i="1" s="1"/>
  <c r="D3354" i="1"/>
  <c r="H3353" i="1"/>
  <c r="G3353" i="1"/>
  <c r="F3353" i="1"/>
  <c r="D3353" i="1"/>
  <c r="H3352" i="1"/>
  <c r="H3351" i="1"/>
  <c r="G3350" i="1"/>
  <c r="F3350" i="1"/>
  <c r="H3350" i="1" s="1"/>
  <c r="D3350" i="1"/>
  <c r="H3349" i="1"/>
  <c r="G3349" i="1"/>
  <c r="F3349" i="1"/>
  <c r="D3349" i="1"/>
  <c r="G3348" i="1"/>
  <c r="F3348" i="1"/>
  <c r="D3348" i="1"/>
  <c r="H3348" i="1" s="1"/>
  <c r="G3347" i="1"/>
  <c r="F3347" i="1"/>
  <c r="H3347" i="1" s="1"/>
  <c r="D3347" i="1"/>
  <c r="G3346" i="1"/>
  <c r="F3346" i="1"/>
  <c r="H3346" i="1" s="1"/>
  <c r="D3346" i="1"/>
  <c r="G3345" i="1"/>
  <c r="F3345" i="1"/>
  <c r="D3345" i="1"/>
  <c r="H3345" i="1" s="1"/>
  <c r="G3344" i="1"/>
  <c r="F3344" i="1"/>
  <c r="H3344" i="1" s="1"/>
  <c r="D3344" i="1"/>
  <c r="G3343" i="1"/>
  <c r="F3343" i="1"/>
  <c r="H3343" i="1" s="1"/>
  <c r="D3343" i="1"/>
  <c r="G3342" i="1"/>
  <c r="F3342" i="1"/>
  <c r="D3342" i="1"/>
  <c r="H3342" i="1" s="1"/>
  <c r="G3341" i="1"/>
  <c r="F3341" i="1"/>
  <c r="H3341" i="1" s="1"/>
  <c r="D3341" i="1"/>
  <c r="H3340" i="1"/>
  <c r="G3339" i="1"/>
  <c r="F3339" i="1"/>
  <c r="D3339" i="1"/>
  <c r="H3339" i="1" s="1"/>
  <c r="G3338" i="1"/>
  <c r="F3338" i="1"/>
  <c r="D3338" i="1"/>
  <c r="H3338" i="1" s="1"/>
  <c r="G3337" i="1"/>
  <c r="F3337" i="1"/>
  <c r="D3337" i="1"/>
  <c r="H3337" i="1" s="1"/>
  <c r="G3336" i="1"/>
  <c r="F3336" i="1"/>
  <c r="D3336" i="1"/>
  <c r="H3336" i="1" s="1"/>
  <c r="G3335" i="1"/>
  <c r="F3335" i="1"/>
  <c r="D3335" i="1"/>
  <c r="H3335" i="1" s="1"/>
  <c r="G3334" i="1"/>
  <c r="F3334" i="1"/>
  <c r="D3334" i="1"/>
  <c r="H3334" i="1" s="1"/>
  <c r="G3333" i="1"/>
  <c r="F3333" i="1"/>
  <c r="D3333" i="1"/>
  <c r="H3333" i="1" s="1"/>
  <c r="G3332" i="1"/>
  <c r="F3332" i="1"/>
  <c r="D3332" i="1"/>
  <c r="H3332" i="1" s="1"/>
  <c r="G3331" i="1"/>
  <c r="F3331" i="1"/>
  <c r="D3331" i="1"/>
  <c r="H3331" i="1" s="1"/>
  <c r="G3330" i="1"/>
  <c r="F3330" i="1"/>
  <c r="D3330" i="1"/>
  <c r="H3330" i="1" s="1"/>
  <c r="H3329" i="1"/>
  <c r="G3328" i="1"/>
  <c r="F3328" i="1"/>
  <c r="H3328" i="1" s="1"/>
  <c r="D3328" i="1"/>
  <c r="G3327" i="1"/>
  <c r="F3327" i="1"/>
  <c r="H3327" i="1" s="1"/>
  <c r="D3327" i="1"/>
  <c r="H3326" i="1"/>
  <c r="G3326" i="1"/>
  <c r="F3326" i="1"/>
  <c r="D3326" i="1"/>
  <c r="G3325" i="1"/>
  <c r="F3325" i="1"/>
  <c r="H3325" i="1" s="1"/>
  <c r="D3325" i="1"/>
  <c r="G3324" i="1"/>
  <c r="F3324" i="1"/>
  <c r="H3324" i="1" s="1"/>
  <c r="D3324" i="1"/>
  <c r="H3323" i="1"/>
  <c r="G3323" i="1"/>
  <c r="F3323" i="1"/>
  <c r="D3323" i="1"/>
  <c r="G3322" i="1"/>
  <c r="F3322" i="1"/>
  <c r="H3322" i="1" s="1"/>
  <c r="D3322" i="1"/>
  <c r="G3321" i="1"/>
  <c r="F3321" i="1"/>
  <c r="H3321" i="1" s="1"/>
  <c r="D3321" i="1"/>
  <c r="H3320" i="1"/>
  <c r="G3320" i="1"/>
  <c r="F3320" i="1"/>
  <c r="D3320" i="1"/>
  <c r="G3319" i="1"/>
  <c r="F3319" i="1"/>
  <c r="H3319" i="1" s="1"/>
  <c r="D3319" i="1"/>
  <c r="H3318" i="1"/>
  <c r="G3317" i="1"/>
  <c r="F3317" i="1"/>
  <c r="D3317" i="1"/>
  <c r="H3317" i="1" s="1"/>
  <c r="H3316" i="1"/>
  <c r="G3316" i="1"/>
  <c r="F3316" i="1"/>
  <c r="D3316" i="1"/>
  <c r="H3315" i="1"/>
  <c r="G3315" i="1"/>
  <c r="F3315" i="1"/>
  <c r="D3315" i="1"/>
  <c r="G3314" i="1"/>
  <c r="F3314" i="1"/>
  <c r="D3314" i="1"/>
  <c r="H3314" i="1" s="1"/>
  <c r="G3313" i="1"/>
  <c r="F3313" i="1"/>
  <c r="D3313" i="1"/>
  <c r="H3313" i="1" s="1"/>
  <c r="H3312" i="1"/>
  <c r="G3312" i="1"/>
  <c r="F3312" i="1"/>
  <c r="D3312" i="1"/>
  <c r="G3311" i="1"/>
  <c r="F3311" i="1"/>
  <c r="D3311" i="1"/>
  <c r="H3311" i="1" s="1"/>
  <c r="G3310" i="1"/>
  <c r="F3310" i="1"/>
  <c r="D3310" i="1"/>
  <c r="H3310" i="1" s="1"/>
  <c r="H3309" i="1"/>
  <c r="G3309" i="1"/>
  <c r="F3309" i="1"/>
  <c r="D3309" i="1"/>
  <c r="G3308" i="1"/>
  <c r="F3308" i="1"/>
  <c r="D3308" i="1"/>
  <c r="H3308" i="1" s="1"/>
  <c r="H3307" i="1"/>
  <c r="H3306" i="1"/>
  <c r="G3305" i="1"/>
  <c r="F3305" i="1"/>
  <c r="D3305" i="1"/>
  <c r="H3305" i="1" s="1"/>
  <c r="G3304" i="1"/>
  <c r="F3304" i="1"/>
  <c r="D3304" i="1"/>
  <c r="H3304" i="1" s="1"/>
  <c r="G3303" i="1"/>
  <c r="F3303" i="1"/>
  <c r="D3303" i="1"/>
  <c r="H3303" i="1" s="1"/>
  <c r="G3302" i="1"/>
  <c r="F3302" i="1"/>
  <c r="D3302" i="1"/>
  <c r="H3302" i="1" s="1"/>
  <c r="G3301" i="1"/>
  <c r="F3301" i="1"/>
  <c r="D3301" i="1"/>
  <c r="H3301" i="1" s="1"/>
  <c r="G3300" i="1"/>
  <c r="F3300" i="1"/>
  <c r="D3300" i="1"/>
  <c r="H3300" i="1" s="1"/>
  <c r="G3299" i="1"/>
  <c r="F3299" i="1"/>
  <c r="D3299" i="1"/>
  <c r="H3299" i="1" s="1"/>
  <c r="G3298" i="1"/>
  <c r="F3298" i="1"/>
  <c r="D3298" i="1"/>
  <c r="H3298" i="1" s="1"/>
  <c r="G3297" i="1"/>
  <c r="F3297" i="1"/>
  <c r="D3297" i="1"/>
  <c r="H3297" i="1" s="1"/>
  <c r="G3296" i="1"/>
  <c r="F3296" i="1"/>
  <c r="D3296" i="1"/>
  <c r="H3296" i="1" s="1"/>
  <c r="H3295" i="1"/>
  <c r="H3294" i="1"/>
  <c r="G3293" i="1"/>
  <c r="F3293" i="1"/>
  <c r="D3293" i="1"/>
  <c r="H3293" i="1" s="1"/>
  <c r="G3292" i="1"/>
  <c r="F3292" i="1"/>
  <c r="D3292" i="1"/>
  <c r="H3292" i="1" s="1"/>
  <c r="G3291" i="1"/>
  <c r="H3291" i="1" s="1"/>
  <c r="F3291" i="1"/>
  <c r="D3291" i="1"/>
  <c r="G3290" i="1"/>
  <c r="F3290" i="1"/>
  <c r="D3290" i="1"/>
  <c r="H3290" i="1" s="1"/>
  <c r="G3289" i="1"/>
  <c r="F3289" i="1"/>
  <c r="D3289" i="1"/>
  <c r="H3289" i="1" s="1"/>
  <c r="G3288" i="1"/>
  <c r="H3288" i="1" s="1"/>
  <c r="F3288" i="1"/>
  <c r="D3288" i="1"/>
  <c r="G3287" i="1"/>
  <c r="F3287" i="1"/>
  <c r="D3287" i="1"/>
  <c r="H3287" i="1" s="1"/>
  <c r="G3286" i="1"/>
  <c r="F3286" i="1"/>
  <c r="D3286" i="1"/>
  <c r="H3286" i="1" s="1"/>
  <c r="G3285" i="1"/>
  <c r="F3285" i="1"/>
  <c r="D3285" i="1"/>
  <c r="H3285" i="1" s="1"/>
  <c r="G3284" i="1"/>
  <c r="F3284" i="1"/>
  <c r="D3284" i="1"/>
  <c r="H3284" i="1" s="1"/>
  <c r="H3283" i="1"/>
  <c r="G3282" i="1"/>
  <c r="F3282" i="1"/>
  <c r="D3282" i="1"/>
  <c r="H3282" i="1" s="1"/>
  <c r="H3281" i="1"/>
  <c r="G3281" i="1"/>
  <c r="F3281" i="1"/>
  <c r="D3281" i="1"/>
  <c r="G3280" i="1"/>
  <c r="F3280" i="1"/>
  <c r="H3280" i="1" s="1"/>
  <c r="D3280" i="1"/>
  <c r="G3279" i="1"/>
  <c r="F3279" i="1"/>
  <c r="D3279" i="1"/>
  <c r="H3279" i="1" s="1"/>
  <c r="H3278" i="1"/>
  <c r="G3278" i="1"/>
  <c r="F3278" i="1"/>
  <c r="D3278" i="1"/>
  <c r="G3277" i="1"/>
  <c r="F3277" i="1"/>
  <c r="H3277" i="1" s="1"/>
  <c r="D3277" i="1"/>
  <c r="G3276" i="1"/>
  <c r="F3276" i="1"/>
  <c r="D3276" i="1"/>
  <c r="H3276" i="1" s="1"/>
  <c r="G3275" i="1"/>
  <c r="F3275" i="1"/>
  <c r="H3275" i="1" s="1"/>
  <c r="D3275" i="1"/>
  <c r="G3274" i="1"/>
  <c r="F3274" i="1"/>
  <c r="H3274" i="1" s="1"/>
  <c r="D3274" i="1"/>
  <c r="G3273" i="1"/>
  <c r="F3273" i="1"/>
  <c r="D3273" i="1"/>
  <c r="H3273" i="1" s="1"/>
  <c r="H3272" i="1"/>
  <c r="G3271" i="1"/>
  <c r="F3271" i="1"/>
  <c r="D3271" i="1"/>
  <c r="H3271" i="1" s="1"/>
  <c r="G3270" i="1"/>
  <c r="F3270" i="1"/>
  <c r="D3270" i="1"/>
  <c r="H3270" i="1" s="1"/>
  <c r="G3269" i="1"/>
  <c r="F3269" i="1"/>
  <c r="D3269" i="1"/>
  <c r="H3269" i="1" s="1"/>
  <c r="G3268" i="1"/>
  <c r="F3268" i="1"/>
  <c r="D3268" i="1"/>
  <c r="H3268" i="1" s="1"/>
  <c r="G3267" i="1"/>
  <c r="F3267" i="1"/>
  <c r="D3267" i="1"/>
  <c r="H3267" i="1" s="1"/>
  <c r="G3266" i="1"/>
  <c r="F3266" i="1"/>
  <c r="D3266" i="1"/>
  <c r="H3266" i="1" s="1"/>
  <c r="G3265" i="1"/>
  <c r="F3265" i="1"/>
  <c r="D3265" i="1"/>
  <c r="H3265" i="1" s="1"/>
  <c r="G3264" i="1"/>
  <c r="F3264" i="1"/>
  <c r="D3264" i="1"/>
  <c r="H3264" i="1" s="1"/>
  <c r="G3263" i="1"/>
  <c r="F3263" i="1"/>
  <c r="D3263" i="1"/>
  <c r="H3263" i="1" s="1"/>
  <c r="G3262" i="1"/>
  <c r="F3262" i="1"/>
  <c r="D3262" i="1"/>
  <c r="H3262" i="1" s="1"/>
  <c r="H3261" i="1"/>
  <c r="H3260" i="1"/>
  <c r="G3259" i="1"/>
  <c r="F3259" i="1"/>
  <c r="D3259" i="1"/>
  <c r="H3259" i="1" s="1"/>
  <c r="H3258" i="1"/>
  <c r="G3258" i="1"/>
  <c r="F3258" i="1"/>
  <c r="D3258" i="1"/>
  <c r="G3257" i="1"/>
  <c r="F3257" i="1"/>
  <c r="D3257" i="1"/>
  <c r="H3257" i="1" s="1"/>
  <c r="G3256" i="1"/>
  <c r="F3256" i="1"/>
  <c r="D3256" i="1"/>
  <c r="H3256" i="1" s="1"/>
  <c r="G3255" i="1"/>
  <c r="F3255" i="1"/>
  <c r="D3255" i="1"/>
  <c r="H3255" i="1" s="1"/>
  <c r="G3254" i="1"/>
  <c r="F3254" i="1"/>
  <c r="D3254" i="1"/>
  <c r="H3254" i="1" s="1"/>
  <c r="G3253" i="1"/>
  <c r="F3253" i="1"/>
  <c r="D3253" i="1"/>
  <c r="H3253" i="1" s="1"/>
  <c r="G3252" i="1"/>
  <c r="F3252" i="1"/>
  <c r="D3252" i="1"/>
  <c r="H3252" i="1" s="1"/>
  <c r="G3251" i="1"/>
  <c r="F3251" i="1"/>
  <c r="D3251" i="1"/>
  <c r="H3251" i="1" s="1"/>
  <c r="G3250" i="1"/>
  <c r="F3250" i="1"/>
  <c r="D3250" i="1"/>
  <c r="H3250" i="1" s="1"/>
  <c r="H3249" i="1"/>
  <c r="G3248" i="1"/>
  <c r="F3248" i="1"/>
  <c r="H3248" i="1" s="1"/>
  <c r="D3248" i="1"/>
  <c r="G3247" i="1"/>
  <c r="F3247" i="1"/>
  <c r="H3247" i="1" s="1"/>
  <c r="D3247" i="1"/>
  <c r="G3246" i="1"/>
  <c r="F3246" i="1"/>
  <c r="D3246" i="1"/>
  <c r="H3246" i="1" s="1"/>
  <c r="G3245" i="1"/>
  <c r="F3245" i="1"/>
  <c r="H3245" i="1" s="1"/>
  <c r="D3245" i="1"/>
  <c r="G3244" i="1"/>
  <c r="F3244" i="1"/>
  <c r="H3244" i="1" s="1"/>
  <c r="D3244" i="1"/>
  <c r="G3243" i="1"/>
  <c r="F3243" i="1"/>
  <c r="D3243" i="1"/>
  <c r="H3243" i="1" s="1"/>
  <c r="G3242" i="1"/>
  <c r="F3242" i="1"/>
  <c r="H3242" i="1" s="1"/>
  <c r="D3242" i="1"/>
  <c r="G3241" i="1"/>
  <c r="F3241" i="1"/>
  <c r="H3241" i="1" s="1"/>
  <c r="D3241" i="1"/>
  <c r="G3240" i="1"/>
  <c r="F3240" i="1"/>
  <c r="D3240" i="1"/>
  <c r="H3240" i="1" s="1"/>
  <c r="G3239" i="1"/>
  <c r="F3239" i="1"/>
  <c r="H3239" i="1" s="1"/>
  <c r="D3239" i="1"/>
  <c r="H3238" i="1"/>
  <c r="G3237" i="1"/>
  <c r="F3237" i="1"/>
  <c r="D3237" i="1"/>
  <c r="H3237" i="1" s="1"/>
  <c r="G3236" i="1"/>
  <c r="F3236" i="1"/>
  <c r="D3236" i="1"/>
  <c r="H3236" i="1" s="1"/>
  <c r="G3235" i="1"/>
  <c r="F3235" i="1"/>
  <c r="D3235" i="1"/>
  <c r="H3235" i="1" s="1"/>
  <c r="G3234" i="1"/>
  <c r="F3234" i="1"/>
  <c r="D3234" i="1"/>
  <c r="H3234" i="1" s="1"/>
  <c r="G3233" i="1"/>
  <c r="F3233" i="1"/>
  <c r="D3233" i="1"/>
  <c r="H3233" i="1" s="1"/>
  <c r="G3232" i="1"/>
  <c r="F3232" i="1"/>
  <c r="D3232" i="1"/>
  <c r="H3232" i="1" s="1"/>
  <c r="G3231" i="1"/>
  <c r="F3231" i="1"/>
  <c r="D3231" i="1"/>
  <c r="H3231" i="1" s="1"/>
  <c r="G3230" i="1"/>
  <c r="F3230" i="1"/>
  <c r="D3230" i="1"/>
  <c r="H3230" i="1" s="1"/>
  <c r="G3229" i="1"/>
  <c r="F3229" i="1"/>
  <c r="D3229" i="1"/>
  <c r="H3229" i="1" s="1"/>
  <c r="G3228" i="1"/>
  <c r="F3228" i="1"/>
  <c r="D3228" i="1"/>
  <c r="H3228" i="1" s="1"/>
  <c r="H3227" i="1"/>
  <c r="H3226" i="1"/>
  <c r="G3226" i="1"/>
  <c r="F3226" i="1"/>
  <c r="D3226" i="1"/>
  <c r="G3225" i="1"/>
  <c r="F3225" i="1"/>
  <c r="H3225" i="1" s="1"/>
  <c r="D3225" i="1"/>
  <c r="H3224" i="1"/>
  <c r="G3224" i="1"/>
  <c r="F3224" i="1"/>
  <c r="D3224" i="1"/>
  <c r="H3223" i="1"/>
  <c r="G3223" i="1"/>
  <c r="F3223" i="1"/>
  <c r="D3223" i="1"/>
  <c r="G3222" i="1"/>
  <c r="F3222" i="1"/>
  <c r="H3222" i="1" s="1"/>
  <c r="D3222" i="1"/>
  <c r="H3221" i="1"/>
  <c r="G3221" i="1"/>
  <c r="F3221" i="1"/>
  <c r="D3221" i="1"/>
  <c r="G3220" i="1"/>
  <c r="H3220" i="1" s="1"/>
  <c r="F3220" i="1"/>
  <c r="D3220" i="1"/>
  <c r="G3219" i="1"/>
  <c r="F3219" i="1"/>
  <c r="H3219" i="1" s="1"/>
  <c r="D3219" i="1"/>
  <c r="H3218" i="1"/>
  <c r="G3218" i="1"/>
  <c r="F3218" i="1"/>
  <c r="D3218" i="1"/>
  <c r="G3217" i="1"/>
  <c r="F3217" i="1"/>
  <c r="H3217" i="1" s="1"/>
  <c r="D3217" i="1"/>
  <c r="H3216" i="1"/>
  <c r="G3215" i="1"/>
  <c r="F3215" i="1"/>
  <c r="D3215" i="1"/>
  <c r="H3215" i="1" s="1"/>
  <c r="G3214" i="1"/>
  <c r="F3214" i="1"/>
  <c r="D3214" i="1"/>
  <c r="H3214" i="1" s="1"/>
  <c r="G3213" i="1"/>
  <c r="H3213" i="1" s="1"/>
  <c r="F3213" i="1"/>
  <c r="D3213" i="1"/>
  <c r="G3212" i="1"/>
  <c r="F3212" i="1"/>
  <c r="D3212" i="1"/>
  <c r="H3212" i="1" s="1"/>
  <c r="G3211" i="1"/>
  <c r="F3211" i="1"/>
  <c r="D3211" i="1"/>
  <c r="H3211" i="1" s="1"/>
  <c r="G3210" i="1"/>
  <c r="F3210" i="1"/>
  <c r="D3210" i="1"/>
  <c r="H3210" i="1" s="1"/>
  <c r="G3209" i="1"/>
  <c r="F3209" i="1"/>
  <c r="D3209" i="1"/>
  <c r="H3209" i="1" s="1"/>
  <c r="G3208" i="1"/>
  <c r="F3208" i="1"/>
  <c r="D3208" i="1"/>
  <c r="H3208" i="1" s="1"/>
  <c r="G3207" i="1"/>
  <c r="F3207" i="1"/>
  <c r="D3207" i="1"/>
  <c r="H3207" i="1" s="1"/>
  <c r="G3206" i="1"/>
  <c r="F3206" i="1"/>
  <c r="D3206" i="1"/>
  <c r="H3206" i="1" s="1"/>
  <c r="H3205" i="1"/>
  <c r="H3204" i="1"/>
  <c r="G3203" i="1"/>
  <c r="F3203" i="1"/>
  <c r="D3203" i="1"/>
  <c r="H3203" i="1" s="1"/>
  <c r="G3202" i="1"/>
  <c r="F3202" i="1"/>
  <c r="D3202" i="1"/>
  <c r="H3202" i="1" s="1"/>
  <c r="G3201" i="1"/>
  <c r="F3201" i="1"/>
  <c r="D3201" i="1"/>
  <c r="H3201" i="1" s="1"/>
  <c r="G3200" i="1"/>
  <c r="F3200" i="1"/>
  <c r="D3200" i="1"/>
  <c r="H3200" i="1" s="1"/>
  <c r="G3199" i="1"/>
  <c r="F3199" i="1"/>
  <c r="D3199" i="1"/>
  <c r="H3199" i="1" s="1"/>
  <c r="G3198" i="1"/>
  <c r="F3198" i="1"/>
  <c r="D3198" i="1"/>
  <c r="H3198" i="1" s="1"/>
  <c r="G3197" i="1"/>
  <c r="F3197" i="1"/>
  <c r="D3197" i="1"/>
  <c r="H3197" i="1" s="1"/>
  <c r="G3196" i="1"/>
  <c r="F3196" i="1"/>
  <c r="D3196" i="1"/>
  <c r="H3196" i="1" s="1"/>
  <c r="G3195" i="1"/>
  <c r="F3195" i="1"/>
  <c r="D3195" i="1"/>
  <c r="H3195" i="1" s="1"/>
  <c r="G3194" i="1"/>
  <c r="F3194" i="1"/>
  <c r="D3194" i="1"/>
  <c r="H3194" i="1" s="1"/>
  <c r="H3193" i="1"/>
  <c r="G3192" i="1"/>
  <c r="F3192" i="1"/>
  <c r="H3192" i="1" s="1"/>
  <c r="D3192" i="1"/>
  <c r="H3191" i="1"/>
  <c r="G3191" i="1"/>
  <c r="F3191" i="1"/>
  <c r="D3191" i="1"/>
  <c r="G3190" i="1"/>
  <c r="F3190" i="1"/>
  <c r="H3190" i="1" s="1"/>
  <c r="D3190" i="1"/>
  <c r="G3189" i="1"/>
  <c r="F3189" i="1"/>
  <c r="H3189" i="1" s="1"/>
  <c r="D3189" i="1"/>
  <c r="H3188" i="1"/>
  <c r="G3188" i="1"/>
  <c r="F3188" i="1"/>
  <c r="D3188" i="1"/>
  <c r="G3187" i="1"/>
  <c r="F3187" i="1"/>
  <c r="H3187" i="1" s="1"/>
  <c r="D3187" i="1"/>
  <c r="G3186" i="1"/>
  <c r="F3186" i="1"/>
  <c r="H3186" i="1" s="1"/>
  <c r="D3186" i="1"/>
  <c r="H3185" i="1"/>
  <c r="G3185" i="1"/>
  <c r="F3185" i="1"/>
  <c r="D3185" i="1"/>
  <c r="G3184" i="1"/>
  <c r="F3184" i="1"/>
  <c r="H3184" i="1" s="1"/>
  <c r="D3184" i="1"/>
  <c r="G3183" i="1"/>
  <c r="F3183" i="1"/>
  <c r="H3183" i="1" s="1"/>
  <c r="D3183" i="1"/>
  <c r="H3182" i="1"/>
  <c r="G3181" i="1"/>
  <c r="F3181" i="1"/>
  <c r="D3181" i="1"/>
  <c r="H3181" i="1" s="1"/>
  <c r="G3180" i="1"/>
  <c r="F3180" i="1"/>
  <c r="D3180" i="1"/>
  <c r="H3180" i="1" s="1"/>
  <c r="G3179" i="1"/>
  <c r="F3179" i="1"/>
  <c r="D3179" i="1"/>
  <c r="H3179" i="1" s="1"/>
  <c r="G3178" i="1"/>
  <c r="F3178" i="1"/>
  <c r="D3178" i="1"/>
  <c r="H3178" i="1" s="1"/>
  <c r="G3177" i="1"/>
  <c r="F3177" i="1"/>
  <c r="D3177" i="1"/>
  <c r="H3177" i="1" s="1"/>
  <c r="G3176" i="1"/>
  <c r="F3176" i="1"/>
  <c r="D3176" i="1"/>
  <c r="H3176" i="1" s="1"/>
  <c r="G3175" i="1"/>
  <c r="F3175" i="1"/>
  <c r="D3175" i="1"/>
  <c r="H3175" i="1" s="1"/>
  <c r="G3174" i="1"/>
  <c r="F3174" i="1"/>
  <c r="D3174" i="1"/>
  <c r="H3174" i="1" s="1"/>
  <c r="G3173" i="1"/>
  <c r="F3173" i="1"/>
  <c r="D3173" i="1"/>
  <c r="H3173" i="1" s="1"/>
  <c r="G3172" i="1"/>
  <c r="F3172" i="1"/>
  <c r="D3172" i="1"/>
  <c r="H3172" i="1" s="1"/>
  <c r="H3171" i="1"/>
  <c r="H3170" i="1"/>
  <c r="G3170" i="1"/>
  <c r="F3170" i="1"/>
  <c r="D3170" i="1"/>
  <c r="G3169" i="1"/>
  <c r="F3169" i="1"/>
  <c r="H3169" i="1" s="1"/>
  <c r="D3169" i="1"/>
  <c r="G3168" i="1"/>
  <c r="F3168" i="1"/>
  <c r="H3168" i="1" s="1"/>
  <c r="D3168" i="1"/>
  <c r="H3167" i="1"/>
  <c r="G3167" i="1"/>
  <c r="F3167" i="1"/>
  <c r="D3167" i="1"/>
  <c r="G3166" i="1"/>
  <c r="F3166" i="1"/>
  <c r="H3166" i="1" s="1"/>
  <c r="D3166" i="1"/>
  <c r="G3165" i="1"/>
  <c r="F3165" i="1"/>
  <c r="D3165" i="1"/>
  <c r="H3165" i="1" s="1"/>
  <c r="H3164" i="1"/>
  <c r="G3164" i="1"/>
  <c r="F3164" i="1"/>
  <c r="D3164" i="1"/>
  <c r="G3163" i="1"/>
  <c r="F3163" i="1"/>
  <c r="H3163" i="1" s="1"/>
  <c r="D3163" i="1"/>
  <c r="G3162" i="1"/>
  <c r="F3162" i="1"/>
  <c r="D3162" i="1"/>
  <c r="H3162" i="1" s="1"/>
  <c r="H3161" i="1"/>
  <c r="G3161" i="1"/>
  <c r="F3161" i="1"/>
  <c r="D3161" i="1"/>
  <c r="H3160" i="1"/>
  <c r="H3159" i="1"/>
  <c r="H3158" i="1"/>
  <c r="G3158" i="1"/>
  <c r="F3158" i="1"/>
  <c r="D3158" i="1"/>
  <c r="H3157" i="1"/>
  <c r="G3157" i="1"/>
  <c r="F3157" i="1"/>
  <c r="D3157" i="1"/>
  <c r="G3156" i="1"/>
  <c r="F3156" i="1"/>
  <c r="H3156" i="1" s="1"/>
  <c r="D3156" i="1"/>
  <c r="H3155" i="1"/>
  <c r="G3155" i="1"/>
  <c r="F3155" i="1"/>
  <c r="D3155" i="1"/>
  <c r="H3154" i="1"/>
  <c r="G3154" i="1"/>
  <c r="F3154" i="1"/>
  <c r="D3154" i="1"/>
  <c r="G3153" i="1"/>
  <c r="F3153" i="1"/>
  <c r="H3153" i="1" s="1"/>
  <c r="D3153" i="1"/>
  <c r="H3152" i="1"/>
  <c r="G3152" i="1"/>
  <c r="F3152" i="1"/>
  <c r="D3152" i="1"/>
  <c r="H3151" i="1"/>
  <c r="G3151" i="1"/>
  <c r="F3151" i="1"/>
  <c r="D3151" i="1"/>
  <c r="G3150" i="1"/>
  <c r="F3150" i="1"/>
  <c r="H3150" i="1" s="1"/>
  <c r="D3150" i="1"/>
  <c r="H3149" i="1"/>
  <c r="G3149" i="1"/>
  <c r="F3149" i="1"/>
  <c r="D3149" i="1"/>
  <c r="H3148" i="1"/>
  <c r="G3147" i="1"/>
  <c r="F3147" i="1"/>
  <c r="D3147" i="1"/>
  <c r="H3147" i="1" s="1"/>
  <c r="G3146" i="1"/>
  <c r="F3146" i="1"/>
  <c r="D3146" i="1"/>
  <c r="H3146" i="1" s="1"/>
  <c r="G3145" i="1"/>
  <c r="F3145" i="1"/>
  <c r="D3145" i="1"/>
  <c r="H3145" i="1" s="1"/>
  <c r="G3144" i="1"/>
  <c r="F3144" i="1"/>
  <c r="D3144" i="1"/>
  <c r="H3144" i="1" s="1"/>
  <c r="G3143" i="1"/>
  <c r="F3143" i="1"/>
  <c r="D3143" i="1"/>
  <c r="H3143" i="1" s="1"/>
  <c r="G3142" i="1"/>
  <c r="F3142" i="1"/>
  <c r="D3142" i="1"/>
  <c r="H3142" i="1" s="1"/>
  <c r="G3141" i="1"/>
  <c r="F3141" i="1"/>
  <c r="D3141" i="1"/>
  <c r="H3141" i="1" s="1"/>
  <c r="G3140" i="1"/>
  <c r="F3140" i="1"/>
  <c r="D3140" i="1"/>
  <c r="H3140" i="1" s="1"/>
  <c r="G3139" i="1"/>
  <c r="F3139" i="1"/>
  <c r="D3139" i="1"/>
  <c r="H3139" i="1" s="1"/>
  <c r="G3138" i="1"/>
  <c r="F3138" i="1"/>
  <c r="D3138" i="1"/>
  <c r="H3138" i="1" s="1"/>
  <c r="H3137" i="1"/>
  <c r="H3136" i="1"/>
  <c r="G3135" i="1"/>
  <c r="F3135" i="1"/>
  <c r="D3135" i="1"/>
  <c r="H3135" i="1" s="1"/>
  <c r="G3134" i="1"/>
  <c r="F3134" i="1"/>
  <c r="D3134" i="1"/>
  <c r="H3134" i="1" s="1"/>
  <c r="G3133" i="1"/>
  <c r="F3133" i="1"/>
  <c r="D3133" i="1"/>
  <c r="H3133" i="1" s="1"/>
  <c r="G3132" i="1"/>
  <c r="F3132" i="1"/>
  <c r="D3132" i="1"/>
  <c r="H3132" i="1" s="1"/>
  <c r="G3131" i="1"/>
  <c r="F3131" i="1"/>
  <c r="D3131" i="1"/>
  <c r="H3131" i="1" s="1"/>
  <c r="G3130" i="1"/>
  <c r="F3130" i="1"/>
  <c r="D3130" i="1"/>
  <c r="H3130" i="1" s="1"/>
  <c r="G3129" i="1"/>
  <c r="F3129" i="1"/>
  <c r="D3129" i="1"/>
  <c r="H3129" i="1" s="1"/>
  <c r="G3128" i="1"/>
  <c r="F3128" i="1"/>
  <c r="D3128" i="1"/>
  <c r="H3128" i="1" s="1"/>
  <c r="G3127" i="1"/>
  <c r="F3127" i="1"/>
  <c r="D3127" i="1"/>
  <c r="H3127" i="1" s="1"/>
  <c r="G3126" i="1"/>
  <c r="F3126" i="1"/>
  <c r="D3126" i="1"/>
  <c r="H3126" i="1" s="1"/>
  <c r="H3125" i="1"/>
  <c r="G3124" i="1"/>
  <c r="F3124" i="1"/>
  <c r="H3124" i="1" s="1"/>
  <c r="D3124" i="1"/>
  <c r="G3123" i="1"/>
  <c r="F3123" i="1"/>
  <c r="H3123" i="1" s="1"/>
  <c r="D3123" i="1"/>
  <c r="H3122" i="1"/>
  <c r="G3122" i="1"/>
  <c r="F3122" i="1"/>
  <c r="D3122" i="1"/>
  <c r="G3121" i="1"/>
  <c r="F3121" i="1"/>
  <c r="H3121" i="1" s="1"/>
  <c r="D3121" i="1"/>
  <c r="G3120" i="1"/>
  <c r="F3120" i="1"/>
  <c r="H3120" i="1" s="1"/>
  <c r="D3120" i="1"/>
  <c r="H3119" i="1"/>
  <c r="G3119" i="1"/>
  <c r="F3119" i="1"/>
  <c r="D3119" i="1"/>
  <c r="G3118" i="1"/>
  <c r="F3118" i="1"/>
  <c r="H3118" i="1" s="1"/>
  <c r="D3118" i="1"/>
  <c r="G3117" i="1"/>
  <c r="F3117" i="1"/>
  <c r="H3117" i="1" s="1"/>
  <c r="D3117" i="1"/>
  <c r="H3116" i="1"/>
  <c r="G3116" i="1"/>
  <c r="F3116" i="1"/>
  <c r="D3116" i="1"/>
  <c r="G3115" i="1"/>
  <c r="F3115" i="1"/>
  <c r="H3115" i="1" s="1"/>
  <c r="D3115" i="1"/>
  <c r="H3114" i="1"/>
  <c r="G3113" i="1"/>
  <c r="F3113" i="1"/>
  <c r="D3113" i="1"/>
  <c r="H3113" i="1" s="1"/>
  <c r="G3112" i="1"/>
  <c r="F3112" i="1"/>
  <c r="D3112" i="1"/>
  <c r="H3112" i="1" s="1"/>
  <c r="G3111" i="1"/>
  <c r="F3111" i="1"/>
  <c r="D3111" i="1"/>
  <c r="H3111" i="1" s="1"/>
  <c r="G3110" i="1"/>
  <c r="F3110" i="1"/>
  <c r="D3110" i="1"/>
  <c r="H3110" i="1" s="1"/>
  <c r="G3109" i="1"/>
  <c r="F3109" i="1"/>
  <c r="D3109" i="1"/>
  <c r="H3109" i="1" s="1"/>
  <c r="G3108" i="1"/>
  <c r="F3108" i="1"/>
  <c r="D3108" i="1"/>
  <c r="H3108" i="1" s="1"/>
  <c r="G3107" i="1"/>
  <c r="F3107" i="1"/>
  <c r="D3107" i="1"/>
  <c r="H3107" i="1" s="1"/>
  <c r="G3106" i="1"/>
  <c r="F3106" i="1"/>
  <c r="D3106" i="1"/>
  <c r="H3106" i="1" s="1"/>
  <c r="G3105" i="1"/>
  <c r="F3105" i="1"/>
  <c r="D3105" i="1"/>
  <c r="H3105" i="1" s="1"/>
  <c r="G3104" i="1"/>
  <c r="F3104" i="1"/>
  <c r="D3104" i="1"/>
  <c r="H3104" i="1" s="1"/>
  <c r="G3103" i="1"/>
  <c r="F3103" i="1"/>
  <c r="D3103" i="1"/>
  <c r="H3103" i="1" s="1"/>
  <c r="G3102" i="1"/>
  <c r="F3102" i="1"/>
  <c r="D3102" i="1"/>
  <c r="H3102" i="1" s="1"/>
  <c r="G3101" i="1"/>
  <c r="F3101" i="1"/>
  <c r="D3101" i="1"/>
  <c r="H3101" i="1" s="1"/>
  <c r="G3100" i="1"/>
  <c r="F3100" i="1"/>
  <c r="D3100" i="1"/>
  <c r="H3100" i="1" s="1"/>
  <c r="G3099" i="1"/>
  <c r="F3099" i="1"/>
  <c r="D3099" i="1"/>
  <c r="H3099" i="1" s="1"/>
  <c r="H3098" i="1"/>
  <c r="G3097" i="1"/>
  <c r="F3097" i="1"/>
  <c r="H3097" i="1" s="1"/>
  <c r="D3097" i="1"/>
  <c r="G3096" i="1"/>
  <c r="F3096" i="1"/>
  <c r="H3096" i="1" s="1"/>
  <c r="D3096" i="1"/>
  <c r="H3095" i="1"/>
  <c r="G3095" i="1"/>
  <c r="F3095" i="1"/>
  <c r="D3095" i="1"/>
  <c r="G3094" i="1"/>
  <c r="F3094" i="1"/>
  <c r="H3094" i="1" s="1"/>
  <c r="D3094" i="1"/>
  <c r="G3093" i="1"/>
  <c r="F3093" i="1"/>
  <c r="H3093" i="1" s="1"/>
  <c r="D3093" i="1"/>
  <c r="H3092" i="1"/>
  <c r="G3092" i="1"/>
  <c r="F3092" i="1"/>
  <c r="D3092" i="1"/>
  <c r="G3091" i="1"/>
  <c r="F3091" i="1"/>
  <c r="H3091" i="1" s="1"/>
  <c r="D3091" i="1"/>
  <c r="G3090" i="1"/>
  <c r="F3090" i="1"/>
  <c r="H3090" i="1" s="1"/>
  <c r="D3090" i="1"/>
  <c r="H3089" i="1"/>
  <c r="G3089" i="1"/>
  <c r="F3089" i="1"/>
  <c r="D3089" i="1"/>
  <c r="G3088" i="1"/>
  <c r="F3088" i="1"/>
  <c r="H3088" i="1" s="1"/>
  <c r="D3088" i="1"/>
  <c r="H3087" i="1"/>
  <c r="G3086" i="1"/>
  <c r="F3086" i="1"/>
  <c r="D3086" i="1"/>
  <c r="H3086" i="1" s="1"/>
  <c r="G3085" i="1"/>
  <c r="F3085" i="1"/>
  <c r="D3085" i="1"/>
  <c r="H3085" i="1" s="1"/>
  <c r="G3084" i="1"/>
  <c r="F3084" i="1"/>
  <c r="D3084" i="1"/>
  <c r="H3084" i="1" s="1"/>
  <c r="G3083" i="1"/>
  <c r="F3083" i="1"/>
  <c r="D3083" i="1"/>
  <c r="H3083" i="1" s="1"/>
  <c r="G3082" i="1"/>
  <c r="F3082" i="1"/>
  <c r="D3082" i="1"/>
  <c r="H3082" i="1" s="1"/>
  <c r="G3081" i="1"/>
  <c r="F3081" i="1"/>
  <c r="D3081" i="1"/>
  <c r="H3081" i="1" s="1"/>
  <c r="G3080" i="1"/>
  <c r="F3080" i="1"/>
  <c r="D3080" i="1"/>
  <c r="H3080" i="1" s="1"/>
  <c r="G3079" i="1"/>
  <c r="F3079" i="1"/>
  <c r="D3079" i="1"/>
  <c r="H3079" i="1" s="1"/>
  <c r="G3078" i="1"/>
  <c r="F3078" i="1"/>
  <c r="D3078" i="1"/>
  <c r="H3078" i="1" s="1"/>
  <c r="G3077" i="1"/>
  <c r="F3077" i="1"/>
  <c r="D3077" i="1"/>
  <c r="H3077" i="1" s="1"/>
  <c r="H3076" i="1"/>
  <c r="G3075" i="1"/>
  <c r="F3075" i="1"/>
  <c r="H3075" i="1" s="1"/>
  <c r="D3075" i="1"/>
  <c r="H3074" i="1"/>
  <c r="G3074" i="1"/>
  <c r="F3074" i="1"/>
  <c r="D3074" i="1"/>
  <c r="G3073" i="1"/>
  <c r="F3073" i="1"/>
  <c r="H3073" i="1" s="1"/>
  <c r="D3073" i="1"/>
  <c r="G3072" i="1"/>
  <c r="F3072" i="1"/>
  <c r="H3072" i="1" s="1"/>
  <c r="D3072" i="1"/>
  <c r="H3071" i="1"/>
  <c r="G3071" i="1"/>
  <c r="F3071" i="1"/>
  <c r="D3071" i="1"/>
  <c r="G3070" i="1"/>
  <c r="F3070" i="1"/>
  <c r="H3070" i="1" s="1"/>
  <c r="D3070" i="1"/>
  <c r="G3069" i="1"/>
  <c r="F3069" i="1"/>
  <c r="H3069" i="1" s="1"/>
  <c r="D3069" i="1"/>
  <c r="H3068" i="1"/>
  <c r="G3068" i="1"/>
  <c r="F3068" i="1"/>
  <c r="D3068" i="1"/>
  <c r="G3067" i="1"/>
  <c r="F3067" i="1"/>
  <c r="H3067" i="1" s="1"/>
  <c r="D3067" i="1"/>
  <c r="G3066" i="1"/>
  <c r="F3066" i="1"/>
  <c r="H3066" i="1" s="1"/>
  <c r="D3066" i="1"/>
  <c r="H3065" i="1"/>
  <c r="G3064" i="1"/>
  <c r="F3064" i="1"/>
  <c r="D3064" i="1"/>
  <c r="H3064" i="1" s="1"/>
  <c r="G3063" i="1"/>
  <c r="F3063" i="1"/>
  <c r="D3063" i="1"/>
  <c r="H3063" i="1" s="1"/>
  <c r="G3062" i="1"/>
  <c r="F3062" i="1"/>
  <c r="D3062" i="1"/>
  <c r="H3062" i="1" s="1"/>
  <c r="G3061" i="1"/>
  <c r="F3061" i="1"/>
  <c r="D3061" i="1"/>
  <c r="H3061" i="1" s="1"/>
  <c r="G3060" i="1"/>
  <c r="F3060" i="1"/>
  <c r="D3060" i="1"/>
  <c r="H3060" i="1" s="1"/>
  <c r="G3059" i="1"/>
  <c r="F3059" i="1"/>
  <c r="D3059" i="1"/>
  <c r="H3059" i="1" s="1"/>
  <c r="G3058" i="1"/>
  <c r="F3058" i="1"/>
  <c r="D3058" i="1"/>
  <c r="H3058" i="1" s="1"/>
  <c r="G3057" i="1"/>
  <c r="F3057" i="1"/>
  <c r="D3057" i="1"/>
  <c r="H3057" i="1" s="1"/>
  <c r="G3056" i="1"/>
  <c r="F3056" i="1"/>
  <c r="D3056" i="1"/>
  <c r="H3056" i="1" s="1"/>
  <c r="G3055" i="1"/>
  <c r="F3055" i="1"/>
  <c r="D3055" i="1"/>
  <c r="H3055" i="1" s="1"/>
  <c r="H3054" i="1"/>
  <c r="H3053" i="1"/>
  <c r="G3053" i="1"/>
  <c r="F3053" i="1"/>
  <c r="D3053" i="1"/>
  <c r="G3052" i="1"/>
  <c r="F3052" i="1"/>
  <c r="H3052" i="1" s="1"/>
  <c r="D3052" i="1"/>
  <c r="G3051" i="1"/>
  <c r="F3051" i="1"/>
  <c r="H3051" i="1" s="1"/>
  <c r="D3051" i="1"/>
  <c r="H3050" i="1"/>
  <c r="G3050" i="1"/>
  <c r="F3050" i="1"/>
  <c r="D3050" i="1"/>
  <c r="G3049" i="1"/>
  <c r="F3049" i="1"/>
  <c r="H3049" i="1" s="1"/>
  <c r="D3049" i="1"/>
  <c r="G3048" i="1"/>
  <c r="F3048" i="1"/>
  <c r="H3048" i="1" s="1"/>
  <c r="D3048" i="1"/>
  <c r="H3047" i="1"/>
  <c r="G3047" i="1"/>
  <c r="F3047" i="1"/>
  <c r="D3047" i="1"/>
  <c r="G3046" i="1"/>
  <c r="F3046" i="1"/>
  <c r="H3046" i="1" s="1"/>
  <c r="D3046" i="1"/>
  <c r="G3045" i="1"/>
  <c r="F3045" i="1"/>
  <c r="H3045" i="1" s="1"/>
  <c r="D3045" i="1"/>
  <c r="H3044" i="1"/>
  <c r="G3044" i="1"/>
  <c r="F3044" i="1"/>
  <c r="D3044" i="1"/>
  <c r="H3043" i="1"/>
  <c r="G3042" i="1"/>
  <c r="F3042" i="1"/>
  <c r="D3042" i="1"/>
  <c r="H3042" i="1" s="1"/>
  <c r="G3041" i="1"/>
  <c r="F3041" i="1"/>
  <c r="D3041" i="1"/>
  <c r="H3041" i="1" s="1"/>
  <c r="G3040" i="1"/>
  <c r="F3040" i="1"/>
  <c r="D3040" i="1"/>
  <c r="H3040" i="1" s="1"/>
  <c r="G3039" i="1"/>
  <c r="F3039" i="1"/>
  <c r="D3039" i="1"/>
  <c r="H3039" i="1" s="1"/>
  <c r="G3038" i="1"/>
  <c r="F3038" i="1"/>
  <c r="D3038" i="1"/>
  <c r="H3038" i="1" s="1"/>
  <c r="G3037" i="1"/>
  <c r="F3037" i="1"/>
  <c r="D3037" i="1"/>
  <c r="H3037" i="1" s="1"/>
  <c r="G3036" i="1"/>
  <c r="F3036" i="1"/>
  <c r="D3036" i="1"/>
  <c r="H3036" i="1" s="1"/>
  <c r="G3035" i="1"/>
  <c r="F3035" i="1"/>
  <c r="D3035" i="1"/>
  <c r="H3035" i="1" s="1"/>
  <c r="G3034" i="1"/>
  <c r="F3034" i="1"/>
  <c r="D3034" i="1"/>
  <c r="H3034" i="1" s="1"/>
  <c r="G3033" i="1"/>
  <c r="F3033" i="1"/>
  <c r="D3033" i="1"/>
  <c r="H3033" i="1" s="1"/>
  <c r="H3032" i="1"/>
  <c r="G3031" i="1"/>
  <c r="F3031" i="1"/>
  <c r="H3031" i="1" s="1"/>
  <c r="D3031" i="1"/>
  <c r="G3030" i="1"/>
  <c r="F3030" i="1"/>
  <c r="H3030" i="1" s="1"/>
  <c r="D3030" i="1"/>
  <c r="H3029" i="1"/>
  <c r="G3029" i="1"/>
  <c r="F3029" i="1"/>
  <c r="D3029" i="1"/>
  <c r="G3028" i="1"/>
  <c r="F3028" i="1"/>
  <c r="H3028" i="1" s="1"/>
  <c r="D3028" i="1"/>
  <c r="G3027" i="1"/>
  <c r="F3027" i="1"/>
  <c r="H3027" i="1" s="1"/>
  <c r="D3027" i="1"/>
  <c r="H3026" i="1"/>
  <c r="G3026" i="1"/>
  <c r="F3026" i="1"/>
  <c r="D3026" i="1"/>
  <c r="G3025" i="1"/>
  <c r="F3025" i="1"/>
  <c r="H3025" i="1" s="1"/>
  <c r="D3025" i="1"/>
  <c r="G3024" i="1"/>
  <c r="F3024" i="1"/>
  <c r="H3024" i="1" s="1"/>
  <c r="D3024" i="1"/>
  <c r="H3023" i="1"/>
  <c r="G3023" i="1"/>
  <c r="F3023" i="1"/>
  <c r="D3023" i="1"/>
  <c r="G3022" i="1"/>
  <c r="F3022" i="1"/>
  <c r="H3022" i="1" s="1"/>
  <c r="D3022" i="1"/>
  <c r="H3021" i="1"/>
  <c r="G3020" i="1"/>
  <c r="F3020" i="1"/>
  <c r="D3020" i="1"/>
  <c r="H3020" i="1" s="1"/>
  <c r="G3019" i="1"/>
  <c r="F3019" i="1"/>
  <c r="D3019" i="1"/>
  <c r="H3019" i="1" s="1"/>
  <c r="G3018" i="1"/>
  <c r="F3018" i="1"/>
  <c r="D3018" i="1"/>
  <c r="H3018" i="1" s="1"/>
  <c r="G3017" i="1"/>
  <c r="F3017" i="1"/>
  <c r="D3017" i="1"/>
  <c r="H3017" i="1" s="1"/>
  <c r="G3016" i="1"/>
  <c r="F3016" i="1"/>
  <c r="D3016" i="1"/>
  <c r="H3016" i="1" s="1"/>
  <c r="G3015" i="1"/>
  <c r="F3015" i="1"/>
  <c r="D3015" i="1"/>
  <c r="H3015" i="1" s="1"/>
  <c r="G3014" i="1"/>
  <c r="F3014" i="1"/>
  <c r="D3014" i="1"/>
  <c r="H3014" i="1" s="1"/>
  <c r="G3013" i="1"/>
  <c r="F3013" i="1"/>
  <c r="D3013" i="1"/>
  <c r="H3013" i="1" s="1"/>
  <c r="G3012" i="1"/>
  <c r="F3012" i="1"/>
  <c r="D3012" i="1"/>
  <c r="H3012" i="1" s="1"/>
  <c r="G3011" i="1"/>
  <c r="F3011" i="1"/>
  <c r="D3011" i="1"/>
  <c r="H3011" i="1" s="1"/>
  <c r="H3010" i="1"/>
  <c r="G3009" i="1"/>
  <c r="F3009" i="1"/>
  <c r="H3009" i="1" s="1"/>
  <c r="D3009" i="1"/>
  <c r="H3008" i="1"/>
  <c r="G3008" i="1"/>
  <c r="F3008" i="1"/>
  <c r="D3008" i="1"/>
  <c r="G3007" i="1"/>
  <c r="F3007" i="1"/>
  <c r="H3007" i="1" s="1"/>
  <c r="D3007" i="1"/>
  <c r="G3006" i="1"/>
  <c r="F3006" i="1"/>
  <c r="H3006" i="1" s="1"/>
  <c r="D3006" i="1"/>
  <c r="H3005" i="1"/>
  <c r="G3005" i="1"/>
  <c r="F3005" i="1"/>
  <c r="D3005" i="1"/>
  <c r="G3004" i="1"/>
  <c r="F3004" i="1"/>
  <c r="H3004" i="1" s="1"/>
  <c r="D3004" i="1"/>
  <c r="G3003" i="1"/>
  <c r="F3003" i="1"/>
  <c r="H3003" i="1" s="1"/>
  <c r="D3003" i="1"/>
  <c r="H3002" i="1"/>
  <c r="G3002" i="1"/>
  <c r="F3002" i="1"/>
  <c r="D3002" i="1"/>
  <c r="G3001" i="1"/>
  <c r="F3001" i="1"/>
  <c r="H3001" i="1" s="1"/>
  <c r="D3001" i="1"/>
  <c r="G3000" i="1"/>
  <c r="F3000" i="1"/>
  <c r="H3000" i="1" s="1"/>
  <c r="D3000" i="1"/>
  <c r="H2999" i="1"/>
  <c r="G2998" i="1"/>
  <c r="F2998" i="1"/>
  <c r="D2998" i="1"/>
  <c r="H2998" i="1" s="1"/>
  <c r="G2997" i="1"/>
  <c r="F2997" i="1"/>
  <c r="D2997" i="1"/>
  <c r="H2997" i="1" s="1"/>
  <c r="G2996" i="1"/>
  <c r="F2996" i="1"/>
  <c r="D2996" i="1"/>
  <c r="H2996" i="1" s="1"/>
  <c r="G2995" i="1"/>
  <c r="F2995" i="1"/>
  <c r="D2995" i="1"/>
  <c r="H2995" i="1" s="1"/>
  <c r="G2994" i="1"/>
  <c r="F2994" i="1"/>
  <c r="D2994" i="1"/>
  <c r="H2994" i="1" s="1"/>
  <c r="G2993" i="1"/>
  <c r="F2993" i="1"/>
  <c r="D2993" i="1"/>
  <c r="H2993" i="1" s="1"/>
  <c r="G2992" i="1"/>
  <c r="F2992" i="1"/>
  <c r="D2992" i="1"/>
  <c r="H2992" i="1" s="1"/>
  <c r="G2991" i="1"/>
  <c r="F2991" i="1"/>
  <c r="D2991" i="1"/>
  <c r="H2991" i="1" s="1"/>
  <c r="G2990" i="1"/>
  <c r="F2990" i="1"/>
  <c r="D2990" i="1"/>
  <c r="H2990" i="1" s="1"/>
  <c r="G2989" i="1"/>
  <c r="F2989" i="1"/>
  <c r="D2989" i="1"/>
  <c r="H2989" i="1" s="1"/>
  <c r="H2988" i="1"/>
  <c r="H2987" i="1"/>
  <c r="G2987" i="1"/>
  <c r="F2987" i="1"/>
  <c r="D2987" i="1"/>
  <c r="G2986" i="1"/>
  <c r="F2986" i="1"/>
  <c r="H2986" i="1" s="1"/>
  <c r="D2986" i="1"/>
  <c r="G2985" i="1"/>
  <c r="F2985" i="1"/>
  <c r="H2985" i="1" s="1"/>
  <c r="D2985" i="1"/>
  <c r="H2984" i="1"/>
  <c r="G2984" i="1"/>
  <c r="F2984" i="1"/>
  <c r="D2984" i="1"/>
  <c r="G2983" i="1"/>
  <c r="F2983" i="1"/>
  <c r="H2983" i="1" s="1"/>
  <c r="D2983" i="1"/>
  <c r="G2982" i="1"/>
  <c r="F2982" i="1"/>
  <c r="H2982" i="1" s="1"/>
  <c r="D2982" i="1"/>
  <c r="H2981" i="1"/>
  <c r="G2981" i="1"/>
  <c r="F2981" i="1"/>
  <c r="D2981" i="1"/>
  <c r="G2980" i="1"/>
  <c r="F2980" i="1"/>
  <c r="H2980" i="1" s="1"/>
  <c r="D2980" i="1"/>
  <c r="G2979" i="1"/>
  <c r="F2979" i="1"/>
  <c r="H2979" i="1" s="1"/>
  <c r="D2979" i="1"/>
  <c r="H2978" i="1"/>
  <c r="G2978" i="1"/>
  <c r="F2978" i="1"/>
  <c r="D2978" i="1"/>
  <c r="H2977" i="1"/>
  <c r="G2976" i="1"/>
  <c r="F2976" i="1"/>
  <c r="D2976" i="1"/>
  <c r="H2976" i="1" s="1"/>
  <c r="G2975" i="1"/>
  <c r="F2975" i="1"/>
  <c r="D2975" i="1"/>
  <c r="H2975" i="1" s="1"/>
  <c r="G2974" i="1"/>
  <c r="F2974" i="1"/>
  <c r="D2974" i="1"/>
  <c r="H2974" i="1" s="1"/>
  <c r="G2973" i="1"/>
  <c r="F2973" i="1"/>
  <c r="D2973" i="1"/>
  <c r="H2973" i="1" s="1"/>
  <c r="G2972" i="1"/>
  <c r="F2972" i="1"/>
  <c r="D2972" i="1"/>
  <c r="H2972" i="1" s="1"/>
  <c r="G2971" i="1"/>
  <c r="F2971" i="1"/>
  <c r="D2971" i="1"/>
  <c r="H2971" i="1" s="1"/>
  <c r="G2970" i="1"/>
  <c r="F2970" i="1"/>
  <c r="D2970" i="1"/>
  <c r="H2970" i="1" s="1"/>
  <c r="G2969" i="1"/>
  <c r="F2969" i="1"/>
  <c r="D2969" i="1"/>
  <c r="H2969" i="1" s="1"/>
  <c r="G2968" i="1"/>
  <c r="F2968" i="1"/>
  <c r="D2968" i="1"/>
  <c r="H2968" i="1" s="1"/>
  <c r="G2967" i="1"/>
  <c r="F2967" i="1"/>
  <c r="D2967" i="1"/>
  <c r="H2967" i="1" s="1"/>
  <c r="H2966" i="1"/>
  <c r="G2965" i="1"/>
  <c r="F2965" i="1"/>
  <c r="H2965" i="1" s="1"/>
  <c r="D2965" i="1"/>
  <c r="G2964" i="1"/>
  <c r="F2964" i="1"/>
  <c r="H2964" i="1" s="1"/>
  <c r="D2964" i="1"/>
  <c r="H2963" i="1"/>
  <c r="G2963" i="1"/>
  <c r="F2963" i="1"/>
  <c r="D2963" i="1"/>
  <c r="G2962" i="1"/>
  <c r="F2962" i="1"/>
  <c r="H2962" i="1" s="1"/>
  <c r="D2962" i="1"/>
  <c r="G2961" i="1"/>
  <c r="F2961" i="1"/>
  <c r="H2961" i="1" s="1"/>
  <c r="D2961" i="1"/>
  <c r="H2960" i="1"/>
  <c r="G2960" i="1"/>
  <c r="F2960" i="1"/>
  <c r="D2960" i="1"/>
  <c r="G2959" i="1"/>
  <c r="F2959" i="1"/>
  <c r="H2959" i="1" s="1"/>
  <c r="D2959" i="1"/>
  <c r="G2958" i="1"/>
  <c r="F2958" i="1"/>
  <c r="H2958" i="1" s="1"/>
  <c r="D2958" i="1"/>
  <c r="H2957" i="1"/>
  <c r="G2957" i="1"/>
  <c r="F2957" i="1"/>
  <c r="D2957" i="1"/>
  <c r="G2956" i="1"/>
  <c r="F2956" i="1"/>
  <c r="H2956" i="1" s="1"/>
  <c r="D2956" i="1"/>
  <c r="H2955" i="1"/>
  <c r="G2954" i="1"/>
  <c r="F2954" i="1"/>
  <c r="D2954" i="1"/>
  <c r="H2954" i="1" s="1"/>
  <c r="G2953" i="1"/>
  <c r="F2953" i="1"/>
  <c r="D2953" i="1"/>
  <c r="H2953" i="1" s="1"/>
  <c r="G2952" i="1"/>
  <c r="F2952" i="1"/>
  <c r="D2952" i="1"/>
  <c r="H2952" i="1" s="1"/>
  <c r="G2951" i="1"/>
  <c r="F2951" i="1"/>
  <c r="D2951" i="1"/>
  <c r="H2951" i="1" s="1"/>
  <c r="G2950" i="1"/>
  <c r="F2950" i="1"/>
  <c r="D2950" i="1"/>
  <c r="H2950" i="1" s="1"/>
  <c r="G2949" i="1"/>
  <c r="F2949" i="1"/>
  <c r="D2949" i="1"/>
  <c r="H2949" i="1" s="1"/>
  <c r="G2948" i="1"/>
  <c r="F2948" i="1"/>
  <c r="D2948" i="1"/>
  <c r="H2948" i="1" s="1"/>
  <c r="G2947" i="1"/>
  <c r="F2947" i="1"/>
  <c r="D2947" i="1"/>
  <c r="H2947" i="1" s="1"/>
  <c r="G2946" i="1"/>
  <c r="F2946" i="1"/>
  <c r="D2946" i="1"/>
  <c r="H2946" i="1" s="1"/>
  <c r="G2945" i="1"/>
  <c r="F2945" i="1"/>
  <c r="D2945" i="1"/>
  <c r="H2945" i="1" s="1"/>
  <c r="H2944" i="1"/>
  <c r="G2943" i="1"/>
  <c r="F2943" i="1"/>
  <c r="H2943" i="1" s="1"/>
  <c r="D2943" i="1"/>
  <c r="H2942" i="1"/>
  <c r="G2942" i="1"/>
  <c r="F2942" i="1"/>
  <c r="D2942" i="1"/>
  <c r="G2941" i="1"/>
  <c r="F2941" i="1"/>
  <c r="H2941" i="1" s="1"/>
  <c r="D2941" i="1"/>
  <c r="G2940" i="1"/>
  <c r="F2940" i="1"/>
  <c r="H2940" i="1" s="1"/>
  <c r="D2940" i="1"/>
  <c r="H2939" i="1"/>
  <c r="G2939" i="1"/>
  <c r="F2939" i="1"/>
  <c r="D2939" i="1"/>
  <c r="G2938" i="1"/>
  <c r="F2938" i="1"/>
  <c r="H2938" i="1" s="1"/>
  <c r="D2938" i="1"/>
  <c r="G2937" i="1"/>
  <c r="F2937" i="1"/>
  <c r="H2937" i="1" s="1"/>
  <c r="D2937" i="1"/>
  <c r="H2936" i="1"/>
  <c r="G2936" i="1"/>
  <c r="F2936" i="1"/>
  <c r="D2936" i="1"/>
  <c r="G2935" i="1"/>
  <c r="F2935" i="1"/>
  <c r="H2935" i="1" s="1"/>
  <c r="D2935" i="1"/>
  <c r="G2934" i="1"/>
  <c r="F2934" i="1"/>
  <c r="H2934" i="1" s="1"/>
  <c r="D2934" i="1"/>
  <c r="H2933" i="1"/>
  <c r="H2932" i="1"/>
  <c r="G2931" i="1"/>
  <c r="F2931" i="1"/>
  <c r="H2931" i="1" s="1"/>
  <c r="D2931" i="1"/>
  <c r="H2930" i="1"/>
  <c r="G2930" i="1"/>
  <c r="F2930" i="1"/>
  <c r="D2930" i="1"/>
  <c r="G2929" i="1"/>
  <c r="F2929" i="1"/>
  <c r="H2929" i="1" s="1"/>
  <c r="D2929" i="1"/>
  <c r="G2928" i="1"/>
  <c r="F2928" i="1"/>
  <c r="H2928" i="1" s="1"/>
  <c r="D2928" i="1"/>
  <c r="H2927" i="1"/>
  <c r="G2927" i="1"/>
  <c r="F2927" i="1"/>
  <c r="D2927" i="1"/>
  <c r="G2926" i="1"/>
  <c r="F2926" i="1"/>
  <c r="H2926" i="1" s="1"/>
  <c r="D2926" i="1"/>
  <c r="G2925" i="1"/>
  <c r="F2925" i="1"/>
  <c r="D2925" i="1"/>
  <c r="H2925" i="1" s="1"/>
  <c r="H2924" i="1"/>
  <c r="G2924" i="1"/>
  <c r="F2924" i="1"/>
  <c r="D2924" i="1"/>
  <c r="G2923" i="1"/>
  <c r="F2923" i="1"/>
  <c r="H2923" i="1" s="1"/>
  <c r="D2923" i="1"/>
  <c r="G2922" i="1"/>
  <c r="F2922" i="1"/>
  <c r="D2922" i="1"/>
  <c r="H2922" i="1" s="1"/>
  <c r="H2921" i="1"/>
  <c r="G2920" i="1"/>
  <c r="F2920" i="1"/>
  <c r="D2920" i="1"/>
  <c r="H2920" i="1" s="1"/>
  <c r="G2919" i="1"/>
  <c r="F2919" i="1"/>
  <c r="D2919" i="1"/>
  <c r="H2919" i="1" s="1"/>
  <c r="G2918" i="1"/>
  <c r="F2918" i="1"/>
  <c r="D2918" i="1"/>
  <c r="H2918" i="1" s="1"/>
  <c r="G2917" i="1"/>
  <c r="F2917" i="1"/>
  <c r="D2917" i="1"/>
  <c r="H2917" i="1" s="1"/>
  <c r="G2916" i="1"/>
  <c r="F2916" i="1"/>
  <c r="D2916" i="1"/>
  <c r="H2916" i="1" s="1"/>
  <c r="G2915" i="1"/>
  <c r="F2915" i="1"/>
  <c r="D2915" i="1"/>
  <c r="H2915" i="1" s="1"/>
  <c r="G2914" i="1"/>
  <c r="F2914" i="1"/>
  <c r="D2914" i="1"/>
  <c r="H2914" i="1" s="1"/>
  <c r="G2913" i="1"/>
  <c r="F2913" i="1"/>
  <c r="D2913" i="1"/>
  <c r="H2913" i="1" s="1"/>
  <c r="G2912" i="1"/>
  <c r="F2912" i="1"/>
  <c r="D2912" i="1"/>
  <c r="H2912" i="1" s="1"/>
  <c r="G2911" i="1"/>
  <c r="F2911" i="1"/>
  <c r="D2911" i="1"/>
  <c r="H2911" i="1" s="1"/>
  <c r="H2910" i="1"/>
  <c r="H2909" i="1"/>
  <c r="G2909" i="1"/>
  <c r="F2909" i="1"/>
  <c r="D2909" i="1"/>
  <c r="G2908" i="1"/>
  <c r="F2908" i="1"/>
  <c r="H2908" i="1" s="1"/>
  <c r="D2908" i="1"/>
  <c r="G2907" i="1"/>
  <c r="F2907" i="1"/>
  <c r="H2907" i="1" s="1"/>
  <c r="D2907" i="1"/>
  <c r="H2906" i="1"/>
  <c r="G2906" i="1"/>
  <c r="F2906" i="1"/>
  <c r="D2906" i="1"/>
  <c r="G2905" i="1"/>
  <c r="F2905" i="1"/>
  <c r="H2905" i="1" s="1"/>
  <c r="D2905" i="1"/>
  <c r="G2904" i="1"/>
  <c r="F2904" i="1"/>
  <c r="H2904" i="1" s="1"/>
  <c r="D2904" i="1"/>
  <c r="H2903" i="1"/>
  <c r="G2903" i="1"/>
  <c r="F2903" i="1"/>
  <c r="D2903" i="1"/>
  <c r="G2902" i="1"/>
  <c r="F2902" i="1"/>
  <c r="H2902" i="1" s="1"/>
  <c r="D2902" i="1"/>
  <c r="G2901" i="1"/>
  <c r="F2901" i="1"/>
  <c r="H2901" i="1" s="1"/>
  <c r="D2901" i="1"/>
  <c r="H2900" i="1"/>
  <c r="G2900" i="1"/>
  <c r="F2900" i="1"/>
  <c r="D2900" i="1"/>
  <c r="H2899" i="1"/>
  <c r="G2898" i="1"/>
  <c r="F2898" i="1"/>
  <c r="D2898" i="1"/>
  <c r="H2898" i="1" s="1"/>
  <c r="G2897" i="1"/>
  <c r="F2897" i="1"/>
  <c r="D2897" i="1"/>
  <c r="H2897" i="1" s="1"/>
  <c r="G2896" i="1"/>
  <c r="F2896" i="1"/>
  <c r="D2896" i="1"/>
  <c r="H2896" i="1" s="1"/>
  <c r="G2895" i="1"/>
  <c r="F2895" i="1"/>
  <c r="D2895" i="1"/>
  <c r="H2895" i="1" s="1"/>
  <c r="G2894" i="1"/>
  <c r="F2894" i="1"/>
  <c r="D2894" i="1"/>
  <c r="H2894" i="1" s="1"/>
  <c r="G2893" i="1"/>
  <c r="F2893" i="1"/>
  <c r="D2893" i="1"/>
  <c r="H2893" i="1" s="1"/>
  <c r="G2892" i="1"/>
  <c r="F2892" i="1"/>
  <c r="D2892" i="1"/>
  <c r="H2892" i="1" s="1"/>
  <c r="G2891" i="1"/>
  <c r="F2891" i="1"/>
  <c r="D2891" i="1"/>
  <c r="G2890" i="1"/>
  <c r="F2890" i="1"/>
  <c r="D2890" i="1"/>
  <c r="H2890" i="1" s="1"/>
  <c r="G2889" i="1"/>
  <c r="F2889" i="1"/>
  <c r="D2889" i="1"/>
  <c r="H2889" i="1" s="1"/>
  <c r="H2888" i="1"/>
  <c r="H2887" i="1"/>
  <c r="G2887" i="1"/>
  <c r="F2887" i="1"/>
  <c r="D2887" i="1"/>
  <c r="G2886" i="1"/>
  <c r="F2886" i="1"/>
  <c r="H2886" i="1" s="1"/>
  <c r="D2886" i="1"/>
  <c r="H2885" i="1"/>
  <c r="G2885" i="1"/>
  <c r="F2885" i="1"/>
  <c r="D2885" i="1"/>
  <c r="G2884" i="1"/>
  <c r="F2884" i="1"/>
  <c r="H2884" i="1" s="1"/>
  <c r="D2884" i="1"/>
  <c r="G2883" i="1"/>
  <c r="F2883" i="1"/>
  <c r="H2883" i="1" s="1"/>
  <c r="D2883" i="1"/>
  <c r="H2882" i="1"/>
  <c r="G2882" i="1"/>
  <c r="F2882" i="1"/>
  <c r="D2882" i="1"/>
  <c r="G2881" i="1"/>
  <c r="F2881" i="1"/>
  <c r="H2881" i="1" s="1"/>
  <c r="D2881" i="1"/>
  <c r="G2880" i="1"/>
  <c r="F2880" i="1"/>
  <c r="D2880" i="1"/>
  <c r="H2880" i="1" s="1"/>
  <c r="H2879" i="1"/>
  <c r="G2879" i="1"/>
  <c r="F2879" i="1"/>
  <c r="D2879" i="1"/>
  <c r="G2878" i="1"/>
  <c r="F2878" i="1"/>
  <c r="H2878" i="1" s="1"/>
  <c r="D2878" i="1"/>
  <c r="H2877" i="1"/>
  <c r="G2876" i="1"/>
  <c r="F2876" i="1"/>
  <c r="D2876" i="1"/>
  <c r="H2876" i="1" s="1"/>
  <c r="G2875" i="1"/>
  <c r="F2875" i="1"/>
  <c r="D2875" i="1"/>
  <c r="H2875" i="1" s="1"/>
  <c r="G2874" i="1"/>
  <c r="F2874" i="1"/>
  <c r="D2874" i="1"/>
  <c r="G2873" i="1"/>
  <c r="F2873" i="1"/>
  <c r="D2873" i="1"/>
  <c r="H2873" i="1" s="1"/>
  <c r="G2872" i="1"/>
  <c r="F2872" i="1"/>
  <c r="D2872" i="1"/>
  <c r="H2872" i="1" s="1"/>
  <c r="G2871" i="1"/>
  <c r="F2871" i="1"/>
  <c r="D2871" i="1"/>
  <c r="H2871" i="1" s="1"/>
  <c r="G2870" i="1"/>
  <c r="F2870" i="1"/>
  <c r="D2870" i="1"/>
  <c r="H2870" i="1" s="1"/>
  <c r="G2869" i="1"/>
  <c r="F2869" i="1"/>
  <c r="D2869" i="1"/>
  <c r="H2869" i="1" s="1"/>
  <c r="G2868" i="1"/>
  <c r="F2868" i="1"/>
  <c r="D2868" i="1"/>
  <c r="G2867" i="1"/>
  <c r="F2867" i="1"/>
  <c r="D2867" i="1"/>
  <c r="H2867" i="1" s="1"/>
  <c r="H2866" i="1"/>
  <c r="G2865" i="1"/>
  <c r="F2865" i="1"/>
  <c r="H2865" i="1" s="1"/>
  <c r="D2865" i="1"/>
  <c r="H2864" i="1"/>
  <c r="G2864" i="1"/>
  <c r="F2864" i="1"/>
  <c r="D2864" i="1"/>
  <c r="G2863" i="1"/>
  <c r="F2863" i="1"/>
  <c r="H2863" i="1" s="1"/>
  <c r="D2863" i="1"/>
  <c r="G2862" i="1"/>
  <c r="F2862" i="1"/>
  <c r="H2862" i="1" s="1"/>
  <c r="D2862" i="1"/>
  <c r="H2861" i="1"/>
  <c r="G2861" i="1"/>
  <c r="F2861" i="1"/>
  <c r="D2861" i="1"/>
  <c r="G2860" i="1"/>
  <c r="F2860" i="1"/>
  <c r="H2860" i="1" s="1"/>
  <c r="D2860" i="1"/>
  <c r="G2859" i="1"/>
  <c r="F2859" i="1"/>
  <c r="H2859" i="1" s="1"/>
  <c r="D2859" i="1"/>
  <c r="H2858" i="1"/>
  <c r="G2858" i="1"/>
  <c r="F2858" i="1"/>
  <c r="D2858" i="1"/>
  <c r="G2857" i="1"/>
  <c r="F2857" i="1"/>
  <c r="H2857" i="1" s="1"/>
  <c r="D2857" i="1"/>
  <c r="G2856" i="1"/>
  <c r="F2856" i="1"/>
  <c r="H2856" i="1" s="1"/>
  <c r="D2856" i="1"/>
  <c r="H2855" i="1"/>
  <c r="G2854" i="1"/>
  <c r="F2854" i="1"/>
  <c r="D2854" i="1"/>
  <c r="H2854" i="1" s="1"/>
  <c r="G2853" i="1"/>
  <c r="F2853" i="1"/>
  <c r="D2853" i="1"/>
  <c r="G2852" i="1"/>
  <c r="F2852" i="1"/>
  <c r="D2852" i="1"/>
  <c r="G2851" i="1"/>
  <c r="F2851" i="1"/>
  <c r="D2851" i="1"/>
  <c r="H2851" i="1" s="1"/>
  <c r="G2850" i="1"/>
  <c r="F2850" i="1"/>
  <c r="D2850" i="1"/>
  <c r="G2849" i="1"/>
  <c r="F2849" i="1"/>
  <c r="D2849" i="1"/>
  <c r="G2848" i="1"/>
  <c r="F2848" i="1"/>
  <c r="D2848" i="1"/>
  <c r="H2848" i="1" s="1"/>
  <c r="G2847" i="1"/>
  <c r="F2847" i="1"/>
  <c r="D2847" i="1"/>
  <c r="G2846" i="1"/>
  <c r="F2846" i="1"/>
  <c r="D2846" i="1"/>
  <c r="G2845" i="1"/>
  <c r="F2845" i="1"/>
  <c r="D2845" i="1"/>
  <c r="H2845" i="1" s="1"/>
  <c r="G2844" i="1"/>
  <c r="F2844" i="1"/>
  <c r="D2844" i="1"/>
  <c r="G2843" i="1"/>
  <c r="F2843" i="1"/>
  <c r="D2843" i="1"/>
  <c r="G2842" i="1"/>
  <c r="F2842" i="1"/>
  <c r="D2842" i="1"/>
  <c r="H2842" i="1" s="1"/>
  <c r="G2841" i="1"/>
  <c r="F2841" i="1"/>
  <c r="D2841" i="1"/>
  <c r="H2841" i="1" s="1"/>
  <c r="G2840" i="1"/>
  <c r="F2840" i="1"/>
  <c r="D2840" i="1"/>
  <c r="G2839" i="1"/>
  <c r="F2839" i="1"/>
  <c r="D2839" i="1"/>
  <c r="H2839" i="1" s="1"/>
  <c r="H2838" i="1"/>
  <c r="G2837" i="1"/>
  <c r="F2837" i="1"/>
  <c r="H2837" i="1" s="1"/>
  <c r="D2837" i="1"/>
  <c r="H2836" i="1"/>
  <c r="G2836" i="1"/>
  <c r="F2836" i="1"/>
  <c r="D2836" i="1"/>
  <c r="G2835" i="1"/>
  <c r="F2835" i="1"/>
  <c r="H2835" i="1" s="1"/>
  <c r="D2835" i="1"/>
  <c r="G2834" i="1"/>
  <c r="F2834" i="1"/>
  <c r="H2834" i="1" s="1"/>
  <c r="D2834" i="1"/>
  <c r="G2833" i="1"/>
  <c r="F2833" i="1"/>
  <c r="H2833" i="1" s="1"/>
  <c r="D2833" i="1"/>
  <c r="G2832" i="1"/>
  <c r="F2832" i="1"/>
  <c r="H2832" i="1" s="1"/>
  <c r="D2832" i="1"/>
  <c r="H2831" i="1"/>
  <c r="G2831" i="1"/>
  <c r="F2831" i="1"/>
  <c r="D2831" i="1"/>
  <c r="G2830" i="1"/>
  <c r="F2830" i="1"/>
  <c r="H2830" i="1" s="1"/>
  <c r="D2830" i="1"/>
  <c r="G2829" i="1"/>
  <c r="F2829" i="1"/>
  <c r="H2829" i="1" s="1"/>
  <c r="D2829" i="1"/>
  <c r="G2828" i="1"/>
  <c r="F2828" i="1"/>
  <c r="H2828" i="1" s="1"/>
  <c r="D2828" i="1"/>
  <c r="H2827" i="1"/>
  <c r="G2826" i="1"/>
  <c r="F2826" i="1"/>
  <c r="D2826" i="1"/>
  <c r="G2825" i="1"/>
  <c r="F2825" i="1"/>
  <c r="D2825" i="1"/>
  <c r="G2824" i="1"/>
  <c r="F2824" i="1"/>
  <c r="D2824" i="1"/>
  <c r="G2823" i="1"/>
  <c r="F2823" i="1"/>
  <c r="D2823" i="1"/>
  <c r="H2823" i="1" s="1"/>
  <c r="G2822" i="1"/>
  <c r="F2822" i="1"/>
  <c r="D2822" i="1"/>
  <c r="H2822" i="1" s="1"/>
  <c r="G2821" i="1"/>
  <c r="F2821" i="1"/>
  <c r="D2821" i="1"/>
  <c r="H2821" i="1" s="1"/>
  <c r="G2820" i="1"/>
  <c r="F2820" i="1"/>
  <c r="D2820" i="1"/>
  <c r="H2820" i="1" s="1"/>
  <c r="G2819" i="1"/>
  <c r="F2819" i="1"/>
  <c r="D2819" i="1"/>
  <c r="H2819" i="1" s="1"/>
  <c r="G2818" i="1"/>
  <c r="F2818" i="1"/>
  <c r="D2818" i="1"/>
  <c r="H2818" i="1" s="1"/>
  <c r="G2817" i="1"/>
  <c r="F2817" i="1"/>
  <c r="D2817" i="1"/>
  <c r="H2817" i="1" s="1"/>
  <c r="H2816" i="1"/>
  <c r="G2815" i="1"/>
  <c r="F2815" i="1"/>
  <c r="H2815" i="1" s="1"/>
  <c r="D2815" i="1"/>
  <c r="H2814" i="1"/>
  <c r="G2814" i="1"/>
  <c r="F2814" i="1"/>
  <c r="D2814" i="1"/>
  <c r="G2813" i="1"/>
  <c r="F2813" i="1"/>
  <c r="H2813" i="1" s="1"/>
  <c r="D2813" i="1"/>
  <c r="G2812" i="1"/>
  <c r="F2812" i="1"/>
  <c r="H2812" i="1" s="1"/>
  <c r="D2812" i="1"/>
  <c r="H2811" i="1"/>
  <c r="G2811" i="1"/>
  <c r="F2811" i="1"/>
  <c r="D2811" i="1"/>
  <c r="G2810" i="1"/>
  <c r="F2810" i="1"/>
  <c r="H2810" i="1" s="1"/>
  <c r="D2810" i="1"/>
  <c r="G2809" i="1"/>
  <c r="F2809" i="1"/>
  <c r="H2809" i="1" s="1"/>
  <c r="D2809" i="1"/>
  <c r="H2808" i="1"/>
  <c r="G2808" i="1"/>
  <c r="F2808" i="1"/>
  <c r="D2808" i="1"/>
  <c r="G2807" i="1"/>
  <c r="F2807" i="1"/>
  <c r="H2807" i="1" s="1"/>
  <c r="D2807" i="1"/>
  <c r="G2806" i="1"/>
  <c r="F2806" i="1"/>
  <c r="H2806" i="1" s="1"/>
  <c r="D2806" i="1"/>
  <c r="H2805" i="1"/>
  <c r="G2804" i="1"/>
  <c r="F2804" i="1"/>
  <c r="D2804" i="1"/>
  <c r="H2804" i="1" s="1"/>
  <c r="G2803" i="1"/>
  <c r="F2803" i="1"/>
  <c r="D2803" i="1"/>
  <c r="H2803" i="1" s="1"/>
  <c r="G2802" i="1"/>
  <c r="F2802" i="1"/>
  <c r="D2802" i="1"/>
  <c r="H2802" i="1" s="1"/>
  <c r="G2801" i="1"/>
  <c r="F2801" i="1"/>
  <c r="D2801" i="1"/>
  <c r="H2801" i="1" s="1"/>
  <c r="G2800" i="1"/>
  <c r="F2800" i="1"/>
  <c r="D2800" i="1"/>
  <c r="H2800" i="1" s="1"/>
  <c r="G2799" i="1"/>
  <c r="F2799" i="1"/>
  <c r="D2799" i="1"/>
  <c r="H2799" i="1" s="1"/>
  <c r="G2798" i="1"/>
  <c r="F2798" i="1"/>
  <c r="D2798" i="1"/>
  <c r="G2797" i="1"/>
  <c r="F2797" i="1"/>
  <c r="D2797" i="1"/>
  <c r="G2796" i="1"/>
  <c r="F2796" i="1"/>
  <c r="D2796" i="1"/>
  <c r="H2796" i="1" s="1"/>
  <c r="G2795" i="1"/>
  <c r="F2795" i="1"/>
  <c r="D2795" i="1"/>
  <c r="H2795" i="1" s="1"/>
  <c r="H2794" i="1"/>
  <c r="G2793" i="1"/>
  <c r="F2793" i="1"/>
  <c r="D2793" i="1"/>
  <c r="H2793" i="1" s="1"/>
  <c r="H2792" i="1"/>
  <c r="G2792" i="1"/>
  <c r="F2792" i="1"/>
  <c r="D2792" i="1"/>
  <c r="G2791" i="1"/>
  <c r="F2791" i="1"/>
  <c r="H2791" i="1" s="1"/>
  <c r="D2791" i="1"/>
  <c r="G2790" i="1"/>
  <c r="F2790" i="1"/>
  <c r="D2790" i="1"/>
  <c r="H2790" i="1" s="1"/>
  <c r="H2789" i="1"/>
  <c r="G2789" i="1"/>
  <c r="F2789" i="1"/>
  <c r="D2789" i="1"/>
  <c r="G2788" i="1"/>
  <c r="F2788" i="1"/>
  <c r="D2788" i="1"/>
  <c r="H2788" i="1" s="1"/>
  <c r="G2787" i="1"/>
  <c r="F2787" i="1"/>
  <c r="D2787" i="1"/>
  <c r="H2787" i="1" s="1"/>
  <c r="H2786" i="1"/>
  <c r="G2786" i="1"/>
  <c r="F2786" i="1"/>
  <c r="D2786" i="1"/>
  <c r="G2785" i="1"/>
  <c r="F2785" i="1"/>
  <c r="D2785" i="1"/>
  <c r="H2785" i="1" s="1"/>
  <c r="G2784" i="1"/>
  <c r="F2784" i="1"/>
  <c r="D2784" i="1"/>
  <c r="H2784" i="1" s="1"/>
  <c r="H2783" i="1"/>
  <c r="G2782" i="1"/>
  <c r="F2782" i="1"/>
  <c r="D2782" i="1"/>
  <c r="H2782" i="1" s="1"/>
  <c r="G2781" i="1"/>
  <c r="F2781" i="1"/>
  <c r="D2781" i="1"/>
  <c r="H2781" i="1" s="1"/>
  <c r="G2780" i="1"/>
  <c r="F2780" i="1"/>
  <c r="D2780" i="1"/>
  <c r="H2780" i="1" s="1"/>
  <c r="G2779" i="1"/>
  <c r="F2779" i="1"/>
  <c r="D2779" i="1"/>
  <c r="H2778" i="1"/>
  <c r="G2778" i="1"/>
  <c r="F2778" i="1"/>
  <c r="D2778" i="1"/>
  <c r="H2777" i="1"/>
  <c r="G2777" i="1"/>
  <c r="F2777" i="1"/>
  <c r="D2777" i="1"/>
  <c r="G2776" i="1"/>
  <c r="F2776" i="1"/>
  <c r="H2776" i="1" s="1"/>
  <c r="D2776" i="1"/>
  <c r="G2775" i="1"/>
  <c r="F2775" i="1"/>
  <c r="D2775" i="1"/>
  <c r="H2775" i="1" s="1"/>
  <c r="G2774" i="1"/>
  <c r="F2774" i="1"/>
  <c r="D2774" i="1"/>
  <c r="H2774" i="1" s="1"/>
  <c r="G2773" i="1"/>
  <c r="F2773" i="1"/>
  <c r="H2773" i="1" s="1"/>
  <c r="D2773" i="1"/>
  <c r="H2772" i="1"/>
  <c r="G2771" i="1"/>
  <c r="F2771" i="1"/>
  <c r="D2771" i="1"/>
  <c r="H2771" i="1" s="1"/>
  <c r="G2770" i="1"/>
  <c r="F2770" i="1"/>
  <c r="D2770" i="1"/>
  <c r="H2770" i="1" s="1"/>
  <c r="G2769" i="1"/>
  <c r="F2769" i="1"/>
  <c r="D2769" i="1"/>
  <c r="H2769" i="1" s="1"/>
  <c r="G2768" i="1"/>
  <c r="F2768" i="1"/>
  <c r="D2768" i="1"/>
  <c r="H2768" i="1" s="1"/>
  <c r="G2767" i="1"/>
  <c r="F2767" i="1"/>
  <c r="D2767" i="1"/>
  <c r="H2767" i="1" s="1"/>
  <c r="G2766" i="1"/>
  <c r="F2766" i="1"/>
  <c r="D2766" i="1"/>
  <c r="H2766" i="1" s="1"/>
  <c r="G2765" i="1"/>
  <c r="F2765" i="1"/>
  <c r="D2765" i="1"/>
  <c r="H2765" i="1" s="1"/>
  <c r="G2764" i="1"/>
  <c r="F2764" i="1"/>
  <c r="D2764" i="1"/>
  <c r="H2764" i="1" s="1"/>
  <c r="G2763" i="1"/>
  <c r="F2763" i="1"/>
  <c r="D2763" i="1"/>
  <c r="H2763" i="1" s="1"/>
  <c r="G2762" i="1"/>
  <c r="F2762" i="1"/>
  <c r="D2762" i="1"/>
  <c r="H2762" i="1" s="1"/>
  <c r="H2761" i="1"/>
  <c r="G2760" i="1"/>
  <c r="F2760" i="1"/>
  <c r="H2760" i="1" s="1"/>
  <c r="D2760" i="1"/>
  <c r="G2759" i="1"/>
  <c r="F2759" i="1"/>
  <c r="H2759" i="1" s="1"/>
  <c r="D2759" i="1"/>
  <c r="G2758" i="1"/>
  <c r="F2758" i="1"/>
  <c r="H2758" i="1" s="1"/>
  <c r="D2758" i="1"/>
  <c r="G2757" i="1"/>
  <c r="F2757" i="1"/>
  <c r="H2757" i="1" s="1"/>
  <c r="D2757" i="1"/>
  <c r="G2756" i="1"/>
  <c r="F2756" i="1"/>
  <c r="H2756" i="1" s="1"/>
  <c r="D2756" i="1"/>
  <c r="G2755" i="1"/>
  <c r="F2755" i="1"/>
  <c r="H2755" i="1" s="1"/>
  <c r="D2755" i="1"/>
  <c r="G2754" i="1"/>
  <c r="F2754" i="1"/>
  <c r="D2754" i="1"/>
  <c r="H2754" i="1" s="1"/>
  <c r="G2753" i="1"/>
  <c r="F2753" i="1"/>
  <c r="H2753" i="1" s="1"/>
  <c r="D2753" i="1"/>
  <c r="G2752" i="1"/>
  <c r="F2752" i="1"/>
  <c r="D2752" i="1"/>
  <c r="H2752" i="1" s="1"/>
  <c r="G2751" i="1"/>
  <c r="F2751" i="1"/>
  <c r="D2751" i="1"/>
  <c r="H2751" i="1" s="1"/>
  <c r="H2750" i="1"/>
  <c r="G2749" i="1"/>
  <c r="H2749" i="1" s="1"/>
  <c r="F2749" i="1"/>
  <c r="D2749" i="1"/>
  <c r="G2748" i="1"/>
  <c r="H2748" i="1" s="1"/>
  <c r="F2748" i="1"/>
  <c r="D2748" i="1"/>
  <c r="G2747" i="1"/>
  <c r="H2747" i="1" s="1"/>
  <c r="F2747" i="1"/>
  <c r="D2747" i="1"/>
  <c r="G2746" i="1"/>
  <c r="F2746" i="1"/>
  <c r="D2746" i="1"/>
  <c r="H2746" i="1" s="1"/>
  <c r="G2745" i="1"/>
  <c r="H2745" i="1" s="1"/>
  <c r="F2745" i="1"/>
  <c r="D2745" i="1"/>
  <c r="G2744" i="1"/>
  <c r="H2744" i="1" s="1"/>
  <c r="F2744" i="1"/>
  <c r="D2744" i="1"/>
  <c r="G2743" i="1"/>
  <c r="F2743" i="1"/>
  <c r="D2743" i="1"/>
  <c r="H2743" i="1" s="1"/>
  <c r="G2742" i="1"/>
  <c r="H2742" i="1" s="1"/>
  <c r="F2742" i="1"/>
  <c r="D2742" i="1"/>
  <c r="G2741" i="1"/>
  <c r="F2741" i="1"/>
  <c r="D2741" i="1"/>
  <c r="H2741" i="1" s="1"/>
  <c r="G2740" i="1"/>
  <c r="F2740" i="1"/>
  <c r="D2740" i="1"/>
  <c r="H2740" i="1" s="1"/>
  <c r="H2739" i="1"/>
  <c r="H2738" i="1"/>
  <c r="G2738" i="1"/>
  <c r="F2738" i="1"/>
  <c r="D2738" i="1"/>
  <c r="H2737" i="1"/>
  <c r="G2737" i="1"/>
  <c r="F2737" i="1"/>
  <c r="D2737" i="1"/>
  <c r="H2736" i="1"/>
  <c r="G2736" i="1"/>
  <c r="F2736" i="1"/>
  <c r="D2736" i="1"/>
  <c r="H2735" i="1"/>
  <c r="G2735" i="1"/>
  <c r="F2735" i="1"/>
  <c r="D2735" i="1"/>
  <c r="H2734" i="1"/>
  <c r="G2734" i="1"/>
  <c r="F2734" i="1"/>
  <c r="D2734" i="1"/>
  <c r="H2733" i="1"/>
  <c r="G2733" i="1"/>
  <c r="F2733" i="1"/>
  <c r="D2733" i="1"/>
  <c r="G2732" i="1"/>
  <c r="F2732" i="1"/>
  <c r="D2732" i="1"/>
  <c r="H2732" i="1" s="1"/>
  <c r="G2731" i="1"/>
  <c r="F2731" i="1"/>
  <c r="H2731" i="1" s="1"/>
  <c r="D2731" i="1"/>
  <c r="G2730" i="1"/>
  <c r="F2730" i="1"/>
  <c r="D2730" i="1"/>
  <c r="H2730" i="1" s="1"/>
  <c r="G2729" i="1"/>
  <c r="F2729" i="1"/>
  <c r="D2729" i="1"/>
  <c r="H2729" i="1" s="1"/>
  <c r="H2728" i="1"/>
  <c r="G2727" i="1"/>
  <c r="F2727" i="1"/>
  <c r="D2727" i="1"/>
  <c r="H2727" i="1" s="1"/>
  <c r="G2726" i="1"/>
  <c r="F2726" i="1"/>
  <c r="D2726" i="1"/>
  <c r="H2726" i="1" s="1"/>
  <c r="G2725" i="1"/>
  <c r="F2725" i="1"/>
  <c r="D2725" i="1"/>
  <c r="H2725" i="1" s="1"/>
  <c r="G2724" i="1"/>
  <c r="F2724" i="1"/>
  <c r="D2724" i="1"/>
  <c r="H2724" i="1" s="1"/>
  <c r="G2723" i="1"/>
  <c r="F2723" i="1"/>
  <c r="D2723" i="1"/>
  <c r="H2723" i="1" s="1"/>
  <c r="G2722" i="1"/>
  <c r="F2722" i="1"/>
  <c r="D2722" i="1"/>
  <c r="H2722" i="1" s="1"/>
  <c r="G2721" i="1"/>
  <c r="F2721" i="1"/>
  <c r="D2721" i="1"/>
  <c r="H2721" i="1" s="1"/>
  <c r="G2720" i="1"/>
  <c r="F2720" i="1"/>
  <c r="D2720" i="1"/>
  <c r="H2720" i="1" s="1"/>
  <c r="G2719" i="1"/>
  <c r="F2719" i="1"/>
  <c r="D2719" i="1"/>
  <c r="H2719" i="1" s="1"/>
  <c r="G2718" i="1"/>
  <c r="F2718" i="1"/>
  <c r="D2718" i="1"/>
  <c r="H2718" i="1" s="1"/>
  <c r="H2717" i="1"/>
  <c r="G2716" i="1"/>
  <c r="F2716" i="1"/>
  <c r="H2716" i="1" s="1"/>
  <c r="D2716" i="1"/>
  <c r="G2715" i="1"/>
  <c r="F2715" i="1"/>
  <c r="H2715" i="1" s="1"/>
  <c r="D2715" i="1"/>
  <c r="G2714" i="1"/>
  <c r="F2714" i="1"/>
  <c r="H2714" i="1" s="1"/>
  <c r="D2714" i="1"/>
  <c r="G2713" i="1"/>
  <c r="F2713" i="1"/>
  <c r="H2713" i="1" s="1"/>
  <c r="D2713" i="1"/>
  <c r="G2712" i="1"/>
  <c r="F2712" i="1"/>
  <c r="D2712" i="1"/>
  <c r="H2712" i="1" s="1"/>
  <c r="G2711" i="1"/>
  <c r="F2711" i="1"/>
  <c r="H2711" i="1" s="1"/>
  <c r="D2711" i="1"/>
  <c r="G2710" i="1"/>
  <c r="F2710" i="1"/>
  <c r="H2710" i="1" s="1"/>
  <c r="D2710" i="1"/>
  <c r="G2709" i="1"/>
  <c r="F2709" i="1"/>
  <c r="D2709" i="1"/>
  <c r="H2709" i="1" s="1"/>
  <c r="G2708" i="1"/>
  <c r="F2708" i="1"/>
  <c r="H2708" i="1" s="1"/>
  <c r="D2708" i="1"/>
  <c r="G2707" i="1"/>
  <c r="F2707" i="1"/>
  <c r="D2707" i="1"/>
  <c r="H2707" i="1" s="1"/>
  <c r="H2706" i="1"/>
  <c r="H2705" i="1"/>
  <c r="G2705" i="1"/>
  <c r="F2705" i="1"/>
  <c r="D2705" i="1"/>
  <c r="G2704" i="1"/>
  <c r="H2704" i="1" s="1"/>
  <c r="F2704" i="1"/>
  <c r="D2704" i="1"/>
  <c r="G2703" i="1"/>
  <c r="H2703" i="1" s="1"/>
  <c r="F2703" i="1"/>
  <c r="D2703" i="1"/>
  <c r="H2702" i="1"/>
  <c r="G2702" i="1"/>
  <c r="F2702" i="1"/>
  <c r="D2702" i="1"/>
  <c r="G2701" i="1"/>
  <c r="F2701" i="1"/>
  <c r="D2701" i="1"/>
  <c r="H2701" i="1" s="1"/>
  <c r="G2700" i="1"/>
  <c r="H2700" i="1" s="1"/>
  <c r="F2700" i="1"/>
  <c r="D2700" i="1"/>
  <c r="G2699" i="1"/>
  <c r="H2699" i="1" s="1"/>
  <c r="F2699" i="1"/>
  <c r="D2699" i="1"/>
  <c r="G2698" i="1"/>
  <c r="F2698" i="1"/>
  <c r="D2698" i="1"/>
  <c r="H2698" i="1" s="1"/>
  <c r="G2697" i="1"/>
  <c r="H2697" i="1" s="1"/>
  <c r="F2697" i="1"/>
  <c r="D2697" i="1"/>
  <c r="G2696" i="1"/>
  <c r="F2696" i="1"/>
  <c r="D2696" i="1"/>
  <c r="H2696" i="1" s="1"/>
  <c r="H2695" i="1"/>
  <c r="H2694" i="1"/>
  <c r="G2694" i="1"/>
  <c r="F2694" i="1"/>
  <c r="D2694" i="1"/>
  <c r="H2693" i="1"/>
  <c r="G2693" i="1"/>
  <c r="F2693" i="1"/>
  <c r="D2693" i="1"/>
  <c r="G2692" i="1"/>
  <c r="F2692" i="1"/>
  <c r="H2692" i="1" s="1"/>
  <c r="D2692" i="1"/>
  <c r="H2691" i="1"/>
  <c r="G2691" i="1"/>
  <c r="F2691" i="1"/>
  <c r="D2691" i="1"/>
  <c r="H2690" i="1"/>
  <c r="G2690" i="1"/>
  <c r="F2690" i="1"/>
  <c r="D2690" i="1"/>
  <c r="G2689" i="1"/>
  <c r="F2689" i="1"/>
  <c r="H2689" i="1" s="1"/>
  <c r="D2689" i="1"/>
  <c r="G2688" i="1"/>
  <c r="F2688" i="1"/>
  <c r="D2688" i="1"/>
  <c r="H2688" i="1" s="1"/>
  <c r="G2687" i="1"/>
  <c r="F2687" i="1"/>
  <c r="D2687" i="1"/>
  <c r="H2687" i="1" s="1"/>
  <c r="G2686" i="1"/>
  <c r="F2686" i="1"/>
  <c r="H2686" i="1" s="1"/>
  <c r="D2686" i="1"/>
  <c r="G2685" i="1"/>
  <c r="F2685" i="1"/>
  <c r="D2685" i="1"/>
  <c r="H2685" i="1" s="1"/>
  <c r="H2684" i="1"/>
  <c r="G2683" i="1"/>
  <c r="F2683" i="1"/>
  <c r="D2683" i="1"/>
  <c r="H2683" i="1" s="1"/>
  <c r="G2682" i="1"/>
  <c r="F2682" i="1"/>
  <c r="D2682" i="1"/>
  <c r="H2682" i="1" s="1"/>
  <c r="G2681" i="1"/>
  <c r="F2681" i="1"/>
  <c r="D2681" i="1"/>
  <c r="H2681" i="1" s="1"/>
  <c r="G2680" i="1"/>
  <c r="F2680" i="1"/>
  <c r="D2680" i="1"/>
  <c r="H2680" i="1" s="1"/>
  <c r="G2679" i="1"/>
  <c r="F2679" i="1"/>
  <c r="D2679" i="1"/>
  <c r="H2679" i="1" s="1"/>
  <c r="G2678" i="1"/>
  <c r="F2678" i="1"/>
  <c r="D2678" i="1"/>
  <c r="H2678" i="1" s="1"/>
  <c r="G2677" i="1"/>
  <c r="F2677" i="1"/>
  <c r="D2677" i="1"/>
  <c r="H2677" i="1" s="1"/>
  <c r="G2676" i="1"/>
  <c r="F2676" i="1"/>
  <c r="D2676" i="1"/>
  <c r="H2676" i="1" s="1"/>
  <c r="G2675" i="1"/>
  <c r="F2675" i="1"/>
  <c r="D2675" i="1"/>
  <c r="H2675" i="1" s="1"/>
  <c r="G2674" i="1"/>
  <c r="F2674" i="1"/>
  <c r="D2674" i="1"/>
  <c r="H2674" i="1" s="1"/>
  <c r="H2673" i="1"/>
  <c r="G2672" i="1"/>
  <c r="F2672" i="1"/>
  <c r="H2672" i="1" s="1"/>
  <c r="D2672" i="1"/>
  <c r="G2671" i="1"/>
  <c r="F2671" i="1"/>
  <c r="H2671" i="1" s="1"/>
  <c r="D2671" i="1"/>
  <c r="G2670" i="1"/>
  <c r="F2670" i="1"/>
  <c r="H2670" i="1" s="1"/>
  <c r="D2670" i="1"/>
  <c r="G2669" i="1"/>
  <c r="F2669" i="1"/>
  <c r="H2669" i="1" s="1"/>
  <c r="D2669" i="1"/>
  <c r="G2668" i="1"/>
  <c r="F2668" i="1"/>
  <c r="H2668" i="1" s="1"/>
  <c r="D2668" i="1"/>
  <c r="G2667" i="1"/>
  <c r="F2667" i="1"/>
  <c r="D2667" i="1"/>
  <c r="H2667" i="1" s="1"/>
  <c r="G2666" i="1"/>
  <c r="F2666" i="1"/>
  <c r="H2666" i="1" s="1"/>
  <c r="D2666" i="1"/>
  <c r="G2665" i="1"/>
  <c r="F2665" i="1"/>
  <c r="D2665" i="1"/>
  <c r="H2665" i="1" s="1"/>
  <c r="G2664" i="1"/>
  <c r="F2664" i="1"/>
  <c r="D2664" i="1"/>
  <c r="H2664" i="1" s="1"/>
  <c r="G2663" i="1"/>
  <c r="F2663" i="1"/>
  <c r="H2663" i="1" s="1"/>
  <c r="D2663" i="1"/>
  <c r="H2662" i="1"/>
  <c r="H2661" i="1"/>
  <c r="G2661" i="1"/>
  <c r="F2661" i="1"/>
  <c r="D2661" i="1"/>
  <c r="G2660" i="1"/>
  <c r="H2660" i="1" s="1"/>
  <c r="F2660" i="1"/>
  <c r="D2660" i="1"/>
  <c r="G2659" i="1"/>
  <c r="F2659" i="1"/>
  <c r="H2659" i="1" s="1"/>
  <c r="D2659" i="1"/>
  <c r="H2658" i="1"/>
  <c r="G2658" i="1"/>
  <c r="F2658" i="1"/>
  <c r="D2658" i="1"/>
  <c r="G2657" i="1"/>
  <c r="H2657" i="1" s="1"/>
  <c r="F2657" i="1"/>
  <c r="D2657" i="1"/>
  <c r="G2656" i="1"/>
  <c r="F2656" i="1"/>
  <c r="D2656" i="1"/>
  <c r="H2656" i="1" s="1"/>
  <c r="G2655" i="1"/>
  <c r="H2655" i="1" s="1"/>
  <c r="F2655" i="1"/>
  <c r="D2655" i="1"/>
  <c r="G2654" i="1"/>
  <c r="F2654" i="1"/>
  <c r="D2654" i="1"/>
  <c r="H2654" i="1" s="1"/>
  <c r="G2653" i="1"/>
  <c r="F2653" i="1"/>
  <c r="D2653" i="1"/>
  <c r="H2653" i="1" s="1"/>
  <c r="G2652" i="1"/>
  <c r="H2652" i="1" s="1"/>
  <c r="F2652" i="1"/>
  <c r="D2652" i="1"/>
  <c r="H2651" i="1"/>
  <c r="H2650" i="1"/>
  <c r="G2650" i="1"/>
  <c r="F2650" i="1"/>
  <c r="D2650" i="1"/>
  <c r="H2649" i="1"/>
  <c r="G2649" i="1"/>
  <c r="F2649" i="1"/>
  <c r="D2649" i="1"/>
  <c r="H2648" i="1"/>
  <c r="G2648" i="1"/>
  <c r="F2648" i="1"/>
  <c r="D2648" i="1"/>
  <c r="G2647" i="1"/>
  <c r="F2647" i="1"/>
  <c r="H2647" i="1" s="1"/>
  <c r="D2647" i="1"/>
  <c r="H2646" i="1"/>
  <c r="G2646" i="1"/>
  <c r="F2646" i="1"/>
  <c r="D2646" i="1"/>
  <c r="H2645" i="1"/>
  <c r="G2645" i="1"/>
  <c r="F2645" i="1"/>
  <c r="D2645" i="1"/>
  <c r="G2644" i="1"/>
  <c r="F2644" i="1"/>
  <c r="H2644" i="1" s="1"/>
  <c r="D2644" i="1"/>
  <c r="G2643" i="1"/>
  <c r="F2643" i="1"/>
  <c r="D2643" i="1"/>
  <c r="H2643" i="1" s="1"/>
  <c r="G2642" i="1"/>
  <c r="F2642" i="1"/>
  <c r="D2642" i="1"/>
  <c r="H2642" i="1" s="1"/>
  <c r="G2641" i="1"/>
  <c r="F2641" i="1"/>
  <c r="H2641" i="1" s="1"/>
  <c r="D2641" i="1"/>
  <c r="H2640" i="1"/>
  <c r="G2639" i="1"/>
  <c r="F2639" i="1"/>
  <c r="D2639" i="1"/>
  <c r="H2639" i="1" s="1"/>
  <c r="G2638" i="1"/>
  <c r="F2638" i="1"/>
  <c r="D2638" i="1"/>
  <c r="H2638" i="1" s="1"/>
  <c r="G2637" i="1"/>
  <c r="F2637" i="1"/>
  <c r="D2637" i="1"/>
  <c r="H2637" i="1" s="1"/>
  <c r="G2636" i="1"/>
  <c r="F2636" i="1"/>
  <c r="D2636" i="1"/>
  <c r="H2636" i="1" s="1"/>
  <c r="G2635" i="1"/>
  <c r="F2635" i="1"/>
  <c r="D2635" i="1"/>
  <c r="H2635" i="1" s="1"/>
  <c r="G2634" i="1"/>
  <c r="F2634" i="1"/>
  <c r="D2634" i="1"/>
  <c r="H2634" i="1" s="1"/>
  <c r="G2633" i="1"/>
  <c r="F2633" i="1"/>
  <c r="D2633" i="1"/>
  <c r="H2633" i="1" s="1"/>
  <c r="G2632" i="1"/>
  <c r="F2632" i="1"/>
  <c r="D2632" i="1"/>
  <c r="H2632" i="1" s="1"/>
  <c r="G2631" i="1"/>
  <c r="F2631" i="1"/>
  <c r="D2631" i="1"/>
  <c r="H2631" i="1" s="1"/>
  <c r="G2630" i="1"/>
  <c r="F2630" i="1"/>
  <c r="D2630" i="1"/>
  <c r="H2630" i="1" s="1"/>
  <c r="H2629" i="1"/>
  <c r="G2628" i="1"/>
  <c r="F2628" i="1"/>
  <c r="H2628" i="1" s="1"/>
  <c r="D2628" i="1"/>
  <c r="G2627" i="1"/>
  <c r="F2627" i="1"/>
  <c r="H2627" i="1" s="1"/>
  <c r="D2627" i="1"/>
  <c r="G2626" i="1"/>
  <c r="F2626" i="1"/>
  <c r="H2626" i="1" s="1"/>
  <c r="D2626" i="1"/>
  <c r="G2625" i="1"/>
  <c r="F2625" i="1"/>
  <c r="H2625" i="1" s="1"/>
  <c r="D2625" i="1"/>
  <c r="G2624" i="1"/>
  <c r="F2624" i="1"/>
  <c r="H2624" i="1" s="1"/>
  <c r="D2624" i="1"/>
  <c r="G2623" i="1"/>
  <c r="F2623" i="1"/>
  <c r="H2623" i="1" s="1"/>
  <c r="D2623" i="1"/>
  <c r="G2622" i="1"/>
  <c r="F2622" i="1"/>
  <c r="D2622" i="1"/>
  <c r="H2622" i="1" s="1"/>
  <c r="G2621" i="1"/>
  <c r="F2621" i="1"/>
  <c r="H2621" i="1" s="1"/>
  <c r="D2621" i="1"/>
  <c r="G2620" i="1"/>
  <c r="F2620" i="1"/>
  <c r="D2620" i="1"/>
  <c r="H2620" i="1" s="1"/>
  <c r="G2619" i="1"/>
  <c r="F2619" i="1"/>
  <c r="D2619" i="1"/>
  <c r="H2619" i="1" s="1"/>
  <c r="H2618" i="1"/>
  <c r="G2617" i="1"/>
  <c r="H2617" i="1" s="1"/>
  <c r="F2617" i="1"/>
  <c r="D2617" i="1"/>
  <c r="G2616" i="1"/>
  <c r="H2616" i="1" s="1"/>
  <c r="F2616" i="1"/>
  <c r="D2616" i="1"/>
  <c r="G2615" i="1"/>
  <c r="H2615" i="1" s="1"/>
  <c r="F2615" i="1"/>
  <c r="D2615" i="1"/>
  <c r="G2614" i="1"/>
  <c r="F2614" i="1"/>
  <c r="D2614" i="1"/>
  <c r="H2614" i="1" s="1"/>
  <c r="G2613" i="1"/>
  <c r="H2613" i="1" s="1"/>
  <c r="F2613" i="1"/>
  <c r="D2613" i="1"/>
  <c r="G2612" i="1"/>
  <c r="H2612" i="1" s="1"/>
  <c r="F2612" i="1"/>
  <c r="D2612" i="1"/>
  <c r="G2611" i="1"/>
  <c r="F2611" i="1"/>
  <c r="D2611" i="1"/>
  <c r="H2611" i="1" s="1"/>
  <c r="G2610" i="1"/>
  <c r="H2610" i="1" s="1"/>
  <c r="F2610" i="1"/>
  <c r="D2610" i="1"/>
  <c r="G2609" i="1"/>
  <c r="F2609" i="1"/>
  <c r="D2609" i="1"/>
  <c r="H2609" i="1" s="1"/>
  <c r="G2608" i="1"/>
  <c r="F2608" i="1"/>
  <c r="D2608" i="1"/>
  <c r="H2608" i="1" s="1"/>
  <c r="H2607" i="1"/>
  <c r="H2606" i="1"/>
  <c r="G2606" i="1"/>
  <c r="F2606" i="1"/>
  <c r="D2606" i="1"/>
  <c r="H2605" i="1"/>
  <c r="G2605" i="1"/>
  <c r="F2605" i="1"/>
  <c r="D2605" i="1"/>
  <c r="H2604" i="1"/>
  <c r="G2604" i="1"/>
  <c r="F2604" i="1"/>
  <c r="D2604" i="1"/>
  <c r="H2603" i="1"/>
  <c r="G2603" i="1"/>
  <c r="F2603" i="1"/>
  <c r="D2603" i="1"/>
  <c r="G2602" i="1"/>
  <c r="F2602" i="1"/>
  <c r="H2602" i="1" s="1"/>
  <c r="D2602" i="1"/>
  <c r="G2601" i="1"/>
  <c r="F2601" i="1"/>
  <c r="D2601" i="1"/>
  <c r="H2601" i="1" s="1"/>
  <c r="H2600" i="1"/>
  <c r="G2600" i="1"/>
  <c r="F2600" i="1"/>
  <c r="D2600" i="1"/>
  <c r="G2599" i="1"/>
  <c r="F2599" i="1"/>
  <c r="H2599" i="1" s="1"/>
  <c r="D2599" i="1"/>
  <c r="G2598" i="1"/>
  <c r="F2598" i="1"/>
  <c r="D2598" i="1"/>
  <c r="H2598" i="1" s="1"/>
  <c r="H2597" i="1"/>
  <c r="G2597" i="1"/>
  <c r="F2597" i="1"/>
  <c r="D2597" i="1"/>
  <c r="H2596" i="1"/>
  <c r="G2595" i="1"/>
  <c r="F2595" i="1"/>
  <c r="D2595" i="1"/>
  <c r="H2595" i="1" s="1"/>
  <c r="G2594" i="1"/>
  <c r="F2594" i="1"/>
  <c r="D2594" i="1"/>
  <c r="H2594" i="1" s="1"/>
  <c r="G2593" i="1"/>
  <c r="F2593" i="1"/>
  <c r="D2593" i="1"/>
  <c r="H2593" i="1" s="1"/>
  <c r="G2592" i="1"/>
  <c r="F2592" i="1"/>
  <c r="D2592" i="1"/>
  <c r="H2592" i="1" s="1"/>
  <c r="G2591" i="1"/>
  <c r="F2591" i="1"/>
  <c r="D2591" i="1"/>
  <c r="H2591" i="1" s="1"/>
  <c r="G2590" i="1"/>
  <c r="F2590" i="1"/>
  <c r="D2590" i="1"/>
  <c r="H2590" i="1" s="1"/>
  <c r="G2589" i="1"/>
  <c r="F2589" i="1"/>
  <c r="D2589" i="1"/>
  <c r="H2589" i="1" s="1"/>
  <c r="G2588" i="1"/>
  <c r="F2588" i="1"/>
  <c r="D2588" i="1"/>
  <c r="H2588" i="1" s="1"/>
  <c r="G2587" i="1"/>
  <c r="F2587" i="1"/>
  <c r="D2587" i="1"/>
  <c r="H2587" i="1" s="1"/>
  <c r="G2586" i="1"/>
  <c r="F2586" i="1"/>
  <c r="D2586" i="1"/>
  <c r="H2586" i="1" s="1"/>
  <c r="H2585" i="1"/>
  <c r="G2584" i="1"/>
  <c r="F2584" i="1"/>
  <c r="H2584" i="1" s="1"/>
  <c r="D2584" i="1"/>
  <c r="G2583" i="1"/>
  <c r="F2583" i="1"/>
  <c r="H2583" i="1" s="1"/>
  <c r="D2583" i="1"/>
  <c r="H2582" i="1"/>
  <c r="G2582" i="1"/>
  <c r="F2582" i="1"/>
  <c r="D2582" i="1"/>
  <c r="G2581" i="1"/>
  <c r="F2581" i="1"/>
  <c r="H2581" i="1" s="1"/>
  <c r="D2581" i="1"/>
  <c r="G2580" i="1"/>
  <c r="F2580" i="1"/>
  <c r="H2580" i="1" s="1"/>
  <c r="D2580" i="1"/>
  <c r="H2579" i="1"/>
  <c r="G2579" i="1"/>
  <c r="F2579" i="1"/>
  <c r="D2579" i="1"/>
  <c r="G2578" i="1"/>
  <c r="F2578" i="1"/>
  <c r="H2578" i="1" s="1"/>
  <c r="D2578" i="1"/>
  <c r="G2577" i="1"/>
  <c r="F2577" i="1"/>
  <c r="D2577" i="1"/>
  <c r="H2577" i="1" s="1"/>
  <c r="G2576" i="1"/>
  <c r="F2576" i="1"/>
  <c r="H2576" i="1" s="1"/>
  <c r="D2576" i="1"/>
  <c r="G2575" i="1"/>
  <c r="F2575" i="1"/>
  <c r="D2575" i="1"/>
  <c r="H2575" i="1" s="1"/>
  <c r="H2574" i="1"/>
  <c r="G2573" i="1"/>
  <c r="F2573" i="1"/>
  <c r="D2573" i="1"/>
  <c r="H2573" i="1" s="1"/>
  <c r="G2572" i="1"/>
  <c r="H2572" i="1" s="1"/>
  <c r="F2572" i="1"/>
  <c r="D2572" i="1"/>
  <c r="G2571" i="1"/>
  <c r="H2571" i="1" s="1"/>
  <c r="F2571" i="1"/>
  <c r="D2571" i="1"/>
  <c r="G2570" i="1"/>
  <c r="F2570" i="1"/>
  <c r="D2570" i="1"/>
  <c r="H2570" i="1" s="1"/>
  <c r="G2569" i="1"/>
  <c r="F2569" i="1"/>
  <c r="D2569" i="1"/>
  <c r="H2569" i="1" s="1"/>
  <c r="G2568" i="1"/>
  <c r="H2568" i="1" s="1"/>
  <c r="F2568" i="1"/>
  <c r="D2568" i="1"/>
  <c r="G2567" i="1"/>
  <c r="F2567" i="1"/>
  <c r="D2567" i="1"/>
  <c r="H2567" i="1" s="1"/>
  <c r="G2566" i="1"/>
  <c r="F2566" i="1"/>
  <c r="D2566" i="1"/>
  <c r="H2566" i="1" s="1"/>
  <c r="G2565" i="1"/>
  <c r="H2565" i="1" s="1"/>
  <c r="F2565" i="1"/>
  <c r="D2565" i="1"/>
  <c r="G2564" i="1"/>
  <c r="F2564" i="1"/>
  <c r="D2564" i="1"/>
  <c r="H2564" i="1" s="1"/>
  <c r="H2563" i="1"/>
  <c r="H2562" i="1"/>
  <c r="G2562" i="1"/>
  <c r="F2562" i="1"/>
  <c r="D2562" i="1"/>
  <c r="H2561" i="1"/>
  <c r="G2561" i="1"/>
  <c r="F2561" i="1"/>
  <c r="D2561" i="1"/>
  <c r="G2560" i="1"/>
  <c r="F2560" i="1"/>
  <c r="H2560" i="1" s="1"/>
  <c r="D2560" i="1"/>
  <c r="G2559" i="1"/>
  <c r="F2559" i="1"/>
  <c r="D2559" i="1"/>
  <c r="H2559" i="1" s="1"/>
  <c r="H2558" i="1"/>
  <c r="G2558" i="1"/>
  <c r="F2558" i="1"/>
  <c r="D2558" i="1"/>
  <c r="G2557" i="1"/>
  <c r="F2557" i="1"/>
  <c r="H2557" i="1" s="1"/>
  <c r="D2557" i="1"/>
  <c r="G2556" i="1"/>
  <c r="F2556" i="1"/>
  <c r="D2556" i="1"/>
  <c r="H2556" i="1" s="1"/>
  <c r="H2555" i="1"/>
  <c r="G2555" i="1"/>
  <c r="F2555" i="1"/>
  <c r="D2555" i="1"/>
  <c r="G2554" i="1"/>
  <c r="F2554" i="1"/>
  <c r="H2554" i="1" s="1"/>
  <c r="D2554" i="1"/>
  <c r="G2553" i="1"/>
  <c r="F2553" i="1"/>
  <c r="D2553" i="1"/>
  <c r="H2553" i="1" s="1"/>
  <c r="H2552" i="1"/>
  <c r="G2551" i="1"/>
  <c r="F2551" i="1"/>
  <c r="D2551" i="1"/>
  <c r="H2551" i="1" s="1"/>
  <c r="G2550" i="1"/>
  <c r="F2550" i="1"/>
  <c r="D2550" i="1"/>
  <c r="H2550" i="1" s="1"/>
  <c r="G2549" i="1"/>
  <c r="F2549" i="1"/>
  <c r="D2549" i="1"/>
  <c r="H2549" i="1" s="1"/>
  <c r="G2548" i="1"/>
  <c r="F2548" i="1"/>
  <c r="D2548" i="1"/>
  <c r="H2548" i="1" s="1"/>
  <c r="G2547" i="1"/>
  <c r="F2547" i="1"/>
  <c r="D2547" i="1"/>
  <c r="H2547" i="1" s="1"/>
  <c r="G2546" i="1"/>
  <c r="F2546" i="1"/>
  <c r="D2546" i="1"/>
  <c r="H2546" i="1" s="1"/>
  <c r="G2545" i="1"/>
  <c r="F2545" i="1"/>
  <c r="D2545" i="1"/>
  <c r="H2545" i="1" s="1"/>
  <c r="G2544" i="1"/>
  <c r="F2544" i="1"/>
  <c r="D2544" i="1"/>
  <c r="H2544" i="1" s="1"/>
  <c r="G2543" i="1"/>
  <c r="F2543" i="1"/>
  <c r="D2543" i="1"/>
  <c r="H2543" i="1" s="1"/>
  <c r="G2542" i="1"/>
  <c r="F2542" i="1"/>
  <c r="D2542" i="1"/>
  <c r="H2542" i="1" s="1"/>
  <c r="H2541" i="1"/>
  <c r="H2540" i="1"/>
  <c r="G2540" i="1"/>
  <c r="F2540" i="1"/>
  <c r="D2540" i="1"/>
  <c r="G2539" i="1"/>
  <c r="F2539" i="1"/>
  <c r="H2539" i="1" s="1"/>
  <c r="D2539" i="1"/>
  <c r="G2538" i="1"/>
  <c r="F2538" i="1"/>
  <c r="D2538" i="1"/>
  <c r="H2538" i="1" s="1"/>
  <c r="H2537" i="1"/>
  <c r="G2537" i="1"/>
  <c r="F2537" i="1"/>
  <c r="D2537" i="1"/>
  <c r="G2536" i="1"/>
  <c r="F2536" i="1"/>
  <c r="H2536" i="1" s="1"/>
  <c r="D2536" i="1"/>
  <c r="G2535" i="1"/>
  <c r="F2535" i="1"/>
  <c r="D2535" i="1"/>
  <c r="H2535" i="1" s="1"/>
  <c r="H2534" i="1"/>
  <c r="G2534" i="1"/>
  <c r="F2534" i="1"/>
  <c r="D2534" i="1"/>
  <c r="G2533" i="1"/>
  <c r="F2533" i="1"/>
  <c r="D2533" i="1"/>
  <c r="H2533" i="1" s="1"/>
  <c r="G2532" i="1"/>
  <c r="F2532" i="1"/>
  <c r="D2532" i="1"/>
  <c r="H2532" i="1" s="1"/>
  <c r="H2531" i="1"/>
  <c r="G2531" i="1"/>
  <c r="F2531" i="1"/>
  <c r="D2531" i="1"/>
  <c r="H2530" i="1"/>
  <c r="G2529" i="1"/>
  <c r="H2529" i="1" s="1"/>
  <c r="F2529" i="1"/>
  <c r="D2529" i="1"/>
  <c r="G2528" i="1"/>
  <c r="F2528" i="1"/>
  <c r="D2528" i="1"/>
  <c r="H2528" i="1" s="1"/>
  <c r="G2527" i="1"/>
  <c r="F2527" i="1"/>
  <c r="H2527" i="1" s="1"/>
  <c r="D2527" i="1"/>
  <c r="G2526" i="1"/>
  <c r="H2526" i="1" s="1"/>
  <c r="F2526" i="1"/>
  <c r="D2526" i="1"/>
  <c r="G2525" i="1"/>
  <c r="F2525" i="1"/>
  <c r="D2525" i="1"/>
  <c r="H2525" i="1" s="1"/>
  <c r="G2524" i="1"/>
  <c r="F2524" i="1"/>
  <c r="D2524" i="1"/>
  <c r="H2524" i="1" s="1"/>
  <c r="G2523" i="1"/>
  <c r="H2523" i="1" s="1"/>
  <c r="F2523" i="1"/>
  <c r="D2523" i="1"/>
  <c r="G2522" i="1"/>
  <c r="F2522" i="1"/>
  <c r="D2522" i="1"/>
  <c r="H2522" i="1" s="1"/>
  <c r="G2521" i="1"/>
  <c r="F2521" i="1"/>
  <c r="D2521" i="1"/>
  <c r="H2521" i="1" s="1"/>
  <c r="G2520" i="1"/>
  <c r="H2520" i="1" s="1"/>
  <c r="F2520" i="1"/>
  <c r="D2520" i="1"/>
  <c r="H2519" i="1"/>
  <c r="G2518" i="1"/>
  <c r="F2518" i="1"/>
  <c r="H2518" i="1" s="1"/>
  <c r="D2518" i="1"/>
  <c r="G2517" i="1"/>
  <c r="F2517" i="1"/>
  <c r="D2517" i="1"/>
  <c r="H2517" i="1" s="1"/>
  <c r="H2516" i="1"/>
  <c r="G2516" i="1"/>
  <c r="F2516" i="1"/>
  <c r="D2516" i="1"/>
  <c r="G2515" i="1"/>
  <c r="F2515" i="1"/>
  <c r="H2515" i="1" s="1"/>
  <c r="D2515" i="1"/>
  <c r="G2514" i="1"/>
  <c r="F2514" i="1"/>
  <c r="D2514" i="1"/>
  <c r="H2514" i="1" s="1"/>
  <c r="H2513" i="1"/>
  <c r="G2513" i="1"/>
  <c r="F2513" i="1"/>
  <c r="D2513" i="1"/>
  <c r="G2512" i="1"/>
  <c r="F2512" i="1"/>
  <c r="H2512" i="1" s="1"/>
  <c r="D2512" i="1"/>
  <c r="G2511" i="1"/>
  <c r="F2511" i="1"/>
  <c r="D2511" i="1"/>
  <c r="H2511" i="1" s="1"/>
  <c r="H2510" i="1"/>
  <c r="G2510" i="1"/>
  <c r="F2510" i="1"/>
  <c r="D2510" i="1"/>
  <c r="G2509" i="1"/>
  <c r="F2509" i="1"/>
  <c r="H2509" i="1" s="1"/>
  <c r="D2509" i="1"/>
  <c r="H2508" i="1"/>
  <c r="G2507" i="1"/>
  <c r="F2507" i="1"/>
  <c r="D2507" i="1"/>
  <c r="H2507" i="1" s="1"/>
  <c r="G2506" i="1"/>
  <c r="F2506" i="1"/>
  <c r="D2506" i="1"/>
  <c r="H2506" i="1" s="1"/>
  <c r="G2505" i="1"/>
  <c r="F2505" i="1"/>
  <c r="D2505" i="1"/>
  <c r="H2505" i="1" s="1"/>
  <c r="G2504" i="1"/>
  <c r="F2504" i="1"/>
  <c r="D2504" i="1"/>
  <c r="H2504" i="1" s="1"/>
  <c r="G2503" i="1"/>
  <c r="F2503" i="1"/>
  <c r="D2503" i="1"/>
  <c r="H2503" i="1" s="1"/>
  <c r="G2502" i="1"/>
  <c r="F2502" i="1"/>
  <c r="D2502" i="1"/>
  <c r="H2502" i="1" s="1"/>
  <c r="G2501" i="1"/>
  <c r="F2501" i="1"/>
  <c r="D2501" i="1"/>
  <c r="H2501" i="1" s="1"/>
  <c r="G2500" i="1"/>
  <c r="F2500" i="1"/>
  <c r="D2500" i="1"/>
  <c r="H2500" i="1" s="1"/>
  <c r="G2499" i="1"/>
  <c r="F2499" i="1"/>
  <c r="D2499" i="1"/>
  <c r="H2499" i="1" s="1"/>
  <c r="G2498" i="1"/>
  <c r="F2498" i="1"/>
  <c r="D2498" i="1"/>
  <c r="H2498" i="1" s="1"/>
  <c r="H2497" i="1"/>
  <c r="G2496" i="1"/>
  <c r="F2496" i="1"/>
  <c r="D2496" i="1"/>
  <c r="H2496" i="1" s="1"/>
  <c r="H2495" i="1"/>
  <c r="G2495" i="1"/>
  <c r="F2495" i="1"/>
  <c r="D2495" i="1"/>
  <c r="G2494" i="1"/>
  <c r="F2494" i="1"/>
  <c r="H2494" i="1" s="1"/>
  <c r="D2494" i="1"/>
  <c r="G2493" i="1"/>
  <c r="F2493" i="1"/>
  <c r="D2493" i="1"/>
  <c r="H2493" i="1" s="1"/>
  <c r="H2492" i="1"/>
  <c r="G2492" i="1"/>
  <c r="F2492" i="1"/>
  <c r="D2492" i="1"/>
  <c r="G2491" i="1"/>
  <c r="F2491" i="1"/>
  <c r="H2491" i="1" s="1"/>
  <c r="D2491" i="1"/>
  <c r="G2490" i="1"/>
  <c r="F2490" i="1"/>
  <c r="D2490" i="1"/>
  <c r="H2490" i="1" s="1"/>
  <c r="H2489" i="1"/>
  <c r="G2489" i="1"/>
  <c r="F2489" i="1"/>
  <c r="D2489" i="1"/>
  <c r="G2488" i="1"/>
  <c r="F2488" i="1"/>
  <c r="D2488" i="1"/>
  <c r="H2488" i="1" s="1"/>
  <c r="G2487" i="1"/>
  <c r="F2487" i="1"/>
  <c r="D2487" i="1"/>
  <c r="H2487" i="1" s="1"/>
  <c r="H2486" i="1"/>
  <c r="G2485" i="1"/>
  <c r="F2485" i="1"/>
  <c r="H2485" i="1" s="1"/>
  <c r="D2485" i="1"/>
  <c r="G2484" i="1"/>
  <c r="H2484" i="1" s="1"/>
  <c r="F2484" i="1"/>
  <c r="D2484" i="1"/>
  <c r="G2483" i="1"/>
  <c r="F2483" i="1"/>
  <c r="D2483" i="1"/>
  <c r="H2483" i="1" s="1"/>
  <c r="G2482" i="1"/>
  <c r="F2482" i="1"/>
  <c r="D2482" i="1"/>
  <c r="H2482" i="1" s="1"/>
  <c r="G2481" i="1"/>
  <c r="H2481" i="1" s="1"/>
  <c r="F2481" i="1"/>
  <c r="D2481" i="1"/>
  <c r="G2480" i="1"/>
  <c r="F2480" i="1"/>
  <c r="D2480" i="1"/>
  <c r="H2480" i="1" s="1"/>
  <c r="G2479" i="1"/>
  <c r="F2479" i="1"/>
  <c r="D2479" i="1"/>
  <c r="H2479" i="1" s="1"/>
  <c r="G2478" i="1"/>
  <c r="H2478" i="1" s="1"/>
  <c r="F2478" i="1"/>
  <c r="D2478" i="1"/>
  <c r="G2477" i="1"/>
  <c r="F2477" i="1"/>
  <c r="D2477" i="1"/>
  <c r="H2477" i="1" s="1"/>
  <c r="G2476" i="1"/>
  <c r="F2476" i="1"/>
  <c r="D2476" i="1"/>
  <c r="H2476" i="1" s="1"/>
  <c r="H2475" i="1"/>
  <c r="H2474" i="1"/>
  <c r="G2474" i="1"/>
  <c r="F2474" i="1"/>
  <c r="D2474" i="1"/>
  <c r="G2473" i="1"/>
  <c r="F2473" i="1"/>
  <c r="H2473" i="1" s="1"/>
  <c r="D2473" i="1"/>
  <c r="G2472" i="1"/>
  <c r="F2472" i="1"/>
  <c r="D2472" i="1"/>
  <c r="H2472" i="1" s="1"/>
  <c r="H2471" i="1"/>
  <c r="G2471" i="1"/>
  <c r="F2471" i="1"/>
  <c r="D2471" i="1"/>
  <c r="G2470" i="1"/>
  <c r="F2470" i="1"/>
  <c r="H2470" i="1" s="1"/>
  <c r="D2470" i="1"/>
  <c r="G2469" i="1"/>
  <c r="F2469" i="1"/>
  <c r="D2469" i="1"/>
  <c r="H2469" i="1" s="1"/>
  <c r="H2468" i="1"/>
  <c r="G2468" i="1"/>
  <c r="F2468" i="1"/>
  <c r="D2468" i="1"/>
  <c r="G2467" i="1"/>
  <c r="F2467" i="1"/>
  <c r="H2467" i="1" s="1"/>
  <c r="D2467" i="1"/>
  <c r="G2466" i="1"/>
  <c r="F2466" i="1"/>
  <c r="D2466" i="1"/>
  <c r="H2466" i="1" s="1"/>
  <c r="H2465" i="1"/>
  <c r="G2465" i="1"/>
  <c r="F2465" i="1"/>
  <c r="D2465" i="1"/>
  <c r="H2464" i="1"/>
  <c r="G2463" i="1"/>
  <c r="H2463" i="1" s="1"/>
  <c r="F2463" i="1"/>
  <c r="D2463" i="1"/>
  <c r="G2462" i="1"/>
  <c r="F2462" i="1"/>
  <c r="D2462" i="1"/>
  <c r="H2462" i="1" s="1"/>
  <c r="G2461" i="1"/>
  <c r="F2461" i="1"/>
  <c r="D2461" i="1"/>
  <c r="H2461" i="1" s="1"/>
  <c r="G2460" i="1"/>
  <c r="H2460" i="1" s="1"/>
  <c r="F2460" i="1"/>
  <c r="D2460" i="1"/>
  <c r="G2459" i="1"/>
  <c r="F2459" i="1"/>
  <c r="D2459" i="1"/>
  <c r="H2459" i="1" s="1"/>
  <c r="G2458" i="1"/>
  <c r="F2458" i="1"/>
  <c r="D2458" i="1"/>
  <c r="H2458" i="1" s="1"/>
  <c r="G2457" i="1"/>
  <c r="H2457" i="1" s="1"/>
  <c r="F2457" i="1"/>
  <c r="D2457" i="1"/>
  <c r="G2456" i="1"/>
  <c r="F2456" i="1"/>
  <c r="D2456" i="1"/>
  <c r="H2456" i="1" s="1"/>
  <c r="G2455" i="1"/>
  <c r="F2455" i="1"/>
  <c r="D2455" i="1"/>
  <c r="H2455" i="1" s="1"/>
  <c r="G2454" i="1"/>
  <c r="F2454" i="1"/>
  <c r="D2454" i="1"/>
  <c r="H2454" i="1" s="1"/>
  <c r="H2453" i="1"/>
  <c r="G2452" i="1"/>
  <c r="F2452" i="1"/>
  <c r="H2452" i="1" s="1"/>
  <c r="D2452" i="1"/>
  <c r="G2451" i="1"/>
  <c r="F2451" i="1"/>
  <c r="D2451" i="1"/>
  <c r="H2451" i="1" s="1"/>
  <c r="H2450" i="1"/>
  <c r="G2450" i="1"/>
  <c r="F2450" i="1"/>
  <c r="D2450" i="1"/>
  <c r="G2449" i="1"/>
  <c r="F2449" i="1"/>
  <c r="H2449" i="1" s="1"/>
  <c r="D2449" i="1"/>
  <c r="G2448" i="1"/>
  <c r="F2448" i="1"/>
  <c r="D2448" i="1"/>
  <c r="H2448" i="1" s="1"/>
  <c r="H2447" i="1"/>
  <c r="G2447" i="1"/>
  <c r="F2447" i="1"/>
  <c r="D2447" i="1"/>
  <c r="G2446" i="1"/>
  <c r="F2446" i="1"/>
  <c r="H2446" i="1" s="1"/>
  <c r="D2446" i="1"/>
  <c r="G2445" i="1"/>
  <c r="F2445" i="1"/>
  <c r="D2445" i="1"/>
  <c r="H2445" i="1" s="1"/>
  <c r="G2444" i="1"/>
  <c r="F2444" i="1"/>
  <c r="H2444" i="1" s="1"/>
  <c r="D2444" i="1"/>
  <c r="G2443" i="1"/>
  <c r="F2443" i="1"/>
  <c r="D2443" i="1"/>
  <c r="H2443" i="1" s="1"/>
  <c r="H2442" i="1"/>
  <c r="G2441" i="1"/>
  <c r="F2441" i="1"/>
  <c r="D2441" i="1"/>
  <c r="H2441" i="1" s="1"/>
  <c r="G2440" i="1"/>
  <c r="F2440" i="1"/>
  <c r="H2440" i="1" s="1"/>
  <c r="D2440" i="1"/>
  <c r="G2439" i="1"/>
  <c r="H2439" i="1" s="1"/>
  <c r="F2439" i="1"/>
  <c r="D2439" i="1"/>
  <c r="G2438" i="1"/>
  <c r="F2438" i="1"/>
  <c r="D2438" i="1"/>
  <c r="H2438" i="1" s="1"/>
  <c r="G2437" i="1"/>
  <c r="F2437" i="1"/>
  <c r="D2437" i="1"/>
  <c r="H2437" i="1" s="1"/>
  <c r="G2436" i="1"/>
  <c r="H2436" i="1" s="1"/>
  <c r="F2436" i="1"/>
  <c r="D2436" i="1"/>
  <c r="G2435" i="1"/>
  <c r="F2435" i="1"/>
  <c r="D2435" i="1"/>
  <c r="H2435" i="1" s="1"/>
  <c r="G2434" i="1"/>
  <c r="F2434" i="1"/>
  <c r="D2434" i="1"/>
  <c r="H2434" i="1" s="1"/>
  <c r="G2433" i="1"/>
  <c r="H2433" i="1" s="1"/>
  <c r="F2433" i="1"/>
  <c r="D2433" i="1"/>
  <c r="G2432" i="1"/>
  <c r="F2432" i="1"/>
  <c r="D2432" i="1"/>
  <c r="H2432" i="1" s="1"/>
  <c r="H2431" i="1"/>
  <c r="G2430" i="1"/>
  <c r="F2430" i="1"/>
  <c r="D2430" i="1"/>
  <c r="H2430" i="1" s="1"/>
  <c r="H2429" i="1"/>
  <c r="G2429" i="1"/>
  <c r="F2429" i="1"/>
  <c r="D2429" i="1"/>
  <c r="G2428" i="1"/>
  <c r="F2428" i="1"/>
  <c r="H2428" i="1" s="1"/>
  <c r="D2428" i="1"/>
  <c r="G2427" i="1"/>
  <c r="F2427" i="1"/>
  <c r="D2427" i="1"/>
  <c r="H2427" i="1" s="1"/>
  <c r="H2426" i="1"/>
  <c r="G2426" i="1"/>
  <c r="F2426" i="1"/>
  <c r="D2426" i="1"/>
  <c r="G2425" i="1"/>
  <c r="F2425" i="1"/>
  <c r="H2425" i="1" s="1"/>
  <c r="D2425" i="1"/>
  <c r="G2424" i="1"/>
  <c r="F2424" i="1"/>
  <c r="D2424" i="1"/>
  <c r="H2424" i="1" s="1"/>
  <c r="H2423" i="1"/>
  <c r="G2423" i="1"/>
  <c r="F2423" i="1"/>
  <c r="D2423" i="1"/>
  <c r="G2422" i="1"/>
  <c r="F2422" i="1"/>
  <c r="H2422" i="1" s="1"/>
  <c r="D2422" i="1"/>
  <c r="G2421" i="1"/>
  <c r="F2421" i="1"/>
  <c r="D2421" i="1"/>
  <c r="H2421" i="1" s="1"/>
  <c r="H2420" i="1"/>
  <c r="G2419" i="1"/>
  <c r="F2419" i="1"/>
  <c r="D2419" i="1"/>
  <c r="H2419" i="1" s="1"/>
  <c r="G2418" i="1"/>
  <c r="H2418" i="1" s="1"/>
  <c r="F2418" i="1"/>
  <c r="D2418" i="1"/>
  <c r="G2417" i="1"/>
  <c r="F2417" i="1"/>
  <c r="D2417" i="1"/>
  <c r="H2417" i="1" s="1"/>
  <c r="G2416" i="1"/>
  <c r="F2416" i="1"/>
  <c r="D2416" i="1"/>
  <c r="H2416" i="1" s="1"/>
  <c r="G2415" i="1"/>
  <c r="H2415" i="1" s="1"/>
  <c r="F2415" i="1"/>
  <c r="D2415" i="1"/>
  <c r="G2414" i="1"/>
  <c r="F2414" i="1"/>
  <c r="D2414" i="1"/>
  <c r="H2414" i="1" s="1"/>
  <c r="G2413" i="1"/>
  <c r="F2413" i="1"/>
  <c r="D2413" i="1"/>
  <c r="H2413" i="1" s="1"/>
  <c r="G2412" i="1"/>
  <c r="H2412" i="1" s="1"/>
  <c r="F2412" i="1"/>
  <c r="D2412" i="1"/>
  <c r="G2411" i="1"/>
  <c r="F2411" i="1"/>
  <c r="D2411" i="1"/>
  <c r="H2411" i="1" s="1"/>
  <c r="G2410" i="1"/>
  <c r="F2410" i="1"/>
  <c r="D2410" i="1"/>
  <c r="H2410" i="1" s="1"/>
  <c r="H2409" i="1"/>
  <c r="H2408" i="1"/>
  <c r="G2408" i="1"/>
  <c r="F2408" i="1"/>
  <c r="D2408" i="1"/>
  <c r="G2407" i="1"/>
  <c r="F2407" i="1"/>
  <c r="H2407" i="1" s="1"/>
  <c r="D2407" i="1"/>
  <c r="G2406" i="1"/>
  <c r="F2406" i="1"/>
  <c r="D2406" i="1"/>
  <c r="H2406" i="1" s="1"/>
  <c r="H2405" i="1"/>
  <c r="G2405" i="1"/>
  <c r="F2405" i="1"/>
  <c r="D2405" i="1"/>
  <c r="G2404" i="1"/>
  <c r="F2404" i="1"/>
  <c r="H2404" i="1" s="1"/>
  <c r="D2404" i="1"/>
  <c r="G2403" i="1"/>
  <c r="F2403" i="1"/>
  <c r="D2403" i="1"/>
  <c r="H2403" i="1" s="1"/>
  <c r="H2402" i="1"/>
  <c r="G2402" i="1"/>
  <c r="F2402" i="1"/>
  <c r="D2402" i="1"/>
  <c r="G2401" i="1"/>
  <c r="F2401" i="1"/>
  <c r="D2401" i="1"/>
  <c r="H2401" i="1" s="1"/>
  <c r="G2400" i="1"/>
  <c r="F2400" i="1"/>
  <c r="D2400" i="1"/>
  <c r="H2400" i="1" s="1"/>
  <c r="H2399" i="1"/>
  <c r="G2399" i="1"/>
  <c r="F2399" i="1"/>
  <c r="D2399" i="1"/>
  <c r="H2398" i="1"/>
  <c r="H2397" i="1"/>
  <c r="G2397" i="1"/>
  <c r="F2397" i="1"/>
  <c r="D2397" i="1"/>
  <c r="G2396" i="1"/>
  <c r="F2396" i="1"/>
  <c r="D2396" i="1"/>
  <c r="H2396" i="1" s="1"/>
  <c r="G2395" i="1"/>
  <c r="F2395" i="1"/>
  <c r="H2395" i="1" s="1"/>
  <c r="D2395" i="1"/>
  <c r="H2394" i="1"/>
  <c r="G2394" i="1"/>
  <c r="F2394" i="1"/>
  <c r="D2394" i="1"/>
  <c r="G2393" i="1"/>
  <c r="F2393" i="1"/>
  <c r="D2393" i="1"/>
  <c r="H2393" i="1" s="1"/>
  <c r="G2392" i="1"/>
  <c r="F2392" i="1"/>
  <c r="D2392" i="1"/>
  <c r="H2392" i="1" s="1"/>
  <c r="G2391" i="1"/>
  <c r="H2391" i="1" s="1"/>
  <c r="F2391" i="1"/>
  <c r="D2391" i="1"/>
  <c r="G2390" i="1"/>
  <c r="F2390" i="1"/>
  <c r="D2390" i="1"/>
  <c r="H2390" i="1" s="1"/>
  <c r="G2389" i="1"/>
  <c r="F2389" i="1"/>
  <c r="D2389" i="1"/>
  <c r="H2389" i="1" s="1"/>
  <c r="G2388" i="1"/>
  <c r="H2388" i="1" s="1"/>
  <c r="F2388" i="1"/>
  <c r="D2388" i="1"/>
  <c r="H2387" i="1"/>
  <c r="G2386" i="1"/>
  <c r="F2386" i="1"/>
  <c r="H2386" i="1" s="1"/>
  <c r="D2386" i="1"/>
  <c r="G2385" i="1"/>
  <c r="F2385" i="1"/>
  <c r="D2385" i="1"/>
  <c r="H2385" i="1" s="1"/>
  <c r="H2384" i="1"/>
  <c r="G2384" i="1"/>
  <c r="F2384" i="1"/>
  <c r="D2384" i="1"/>
  <c r="G2383" i="1"/>
  <c r="F2383" i="1"/>
  <c r="H2383" i="1" s="1"/>
  <c r="D2383" i="1"/>
  <c r="G2382" i="1"/>
  <c r="F2382" i="1"/>
  <c r="D2382" i="1"/>
  <c r="H2382" i="1" s="1"/>
  <c r="H2381" i="1"/>
  <c r="G2381" i="1"/>
  <c r="F2381" i="1"/>
  <c r="D2381" i="1"/>
  <c r="G2380" i="1"/>
  <c r="F2380" i="1"/>
  <c r="H2380" i="1" s="1"/>
  <c r="D2380" i="1"/>
  <c r="G2379" i="1"/>
  <c r="F2379" i="1"/>
  <c r="D2379" i="1"/>
  <c r="H2379" i="1" s="1"/>
  <c r="H2378" i="1"/>
  <c r="G2378" i="1"/>
  <c r="F2378" i="1"/>
  <c r="D2378" i="1"/>
  <c r="G2377" i="1"/>
  <c r="F2377" i="1"/>
  <c r="H2377" i="1" s="1"/>
  <c r="D2377" i="1"/>
  <c r="H2376" i="1"/>
  <c r="G2375" i="1"/>
  <c r="F2375" i="1"/>
  <c r="D2375" i="1"/>
  <c r="H2375" i="1" s="1"/>
  <c r="G2374" i="1"/>
  <c r="F2374" i="1"/>
  <c r="D2374" i="1"/>
  <c r="H2374" i="1" s="1"/>
  <c r="G2373" i="1"/>
  <c r="H2373" i="1" s="1"/>
  <c r="F2373" i="1"/>
  <c r="D2373" i="1"/>
  <c r="G2372" i="1"/>
  <c r="F2372" i="1"/>
  <c r="D2372" i="1"/>
  <c r="H2372" i="1" s="1"/>
  <c r="G2371" i="1"/>
  <c r="F2371" i="1"/>
  <c r="D2371" i="1"/>
  <c r="H2371" i="1" s="1"/>
  <c r="G2370" i="1"/>
  <c r="H2370" i="1" s="1"/>
  <c r="F2370" i="1"/>
  <c r="D2370" i="1"/>
  <c r="G2369" i="1"/>
  <c r="F2369" i="1"/>
  <c r="D2369" i="1"/>
  <c r="H2369" i="1" s="1"/>
  <c r="G2368" i="1"/>
  <c r="F2368" i="1"/>
  <c r="D2368" i="1"/>
  <c r="H2368" i="1" s="1"/>
  <c r="G2367" i="1"/>
  <c r="H2367" i="1" s="1"/>
  <c r="F2367" i="1"/>
  <c r="D2367" i="1"/>
  <c r="G2366" i="1"/>
  <c r="F2366" i="1"/>
  <c r="D2366" i="1"/>
  <c r="H2366" i="1" s="1"/>
  <c r="H2365" i="1"/>
  <c r="G2364" i="1"/>
  <c r="F2364" i="1"/>
  <c r="D2364" i="1"/>
  <c r="H2364" i="1" s="1"/>
  <c r="H2363" i="1"/>
  <c r="G2363" i="1"/>
  <c r="F2363" i="1"/>
  <c r="D2363" i="1"/>
  <c r="G2362" i="1"/>
  <c r="F2362" i="1"/>
  <c r="H2362" i="1" s="1"/>
  <c r="D2362" i="1"/>
  <c r="G2361" i="1"/>
  <c r="F2361" i="1"/>
  <c r="D2361" i="1"/>
  <c r="H2361" i="1" s="1"/>
  <c r="H2360" i="1"/>
  <c r="G2360" i="1"/>
  <c r="F2360" i="1"/>
  <c r="D2360" i="1"/>
  <c r="G2359" i="1"/>
  <c r="F2359" i="1"/>
  <c r="D2359" i="1"/>
  <c r="H2359" i="1" s="1"/>
  <c r="G2358" i="1"/>
  <c r="F2358" i="1"/>
  <c r="D2358" i="1"/>
  <c r="H2358" i="1" s="1"/>
  <c r="H2357" i="1"/>
  <c r="G2357" i="1"/>
  <c r="F2357" i="1"/>
  <c r="D2357" i="1"/>
  <c r="G2356" i="1"/>
  <c r="F2356" i="1"/>
  <c r="D2356" i="1"/>
  <c r="H2356" i="1" s="1"/>
  <c r="G2355" i="1"/>
  <c r="F2355" i="1"/>
  <c r="D2355" i="1"/>
  <c r="H2355" i="1" s="1"/>
  <c r="H2354" i="1"/>
  <c r="G2353" i="1"/>
  <c r="F2353" i="1"/>
  <c r="H2353" i="1" s="1"/>
  <c r="D2353" i="1"/>
  <c r="G2352" i="1"/>
  <c r="H2352" i="1" s="1"/>
  <c r="F2352" i="1"/>
  <c r="D2352" i="1"/>
  <c r="G2351" i="1"/>
  <c r="F2351" i="1"/>
  <c r="D2351" i="1"/>
  <c r="H2351" i="1" s="1"/>
  <c r="G2350" i="1"/>
  <c r="F2350" i="1"/>
  <c r="D2350" i="1"/>
  <c r="H2350" i="1" s="1"/>
  <c r="G2349" i="1"/>
  <c r="H2349" i="1" s="1"/>
  <c r="F2349" i="1"/>
  <c r="D2349" i="1"/>
  <c r="G2348" i="1"/>
  <c r="F2348" i="1"/>
  <c r="D2348" i="1"/>
  <c r="H2348" i="1" s="1"/>
  <c r="G2347" i="1"/>
  <c r="F2347" i="1"/>
  <c r="D2347" i="1"/>
  <c r="H2347" i="1" s="1"/>
  <c r="G2346" i="1"/>
  <c r="H2346" i="1" s="1"/>
  <c r="F2346" i="1"/>
  <c r="D2346" i="1"/>
  <c r="G2345" i="1"/>
  <c r="F2345" i="1"/>
  <c r="D2345" i="1"/>
  <c r="H2345" i="1" s="1"/>
  <c r="G2344" i="1"/>
  <c r="F2344" i="1"/>
  <c r="D2344" i="1"/>
  <c r="H2344" i="1" s="1"/>
  <c r="H2343" i="1"/>
  <c r="H2342" i="1"/>
  <c r="G2342" i="1"/>
  <c r="F2342" i="1"/>
  <c r="D2342" i="1"/>
  <c r="G2341" i="1"/>
  <c r="F2341" i="1"/>
  <c r="H2341" i="1" s="1"/>
  <c r="D2341" i="1"/>
  <c r="G2340" i="1"/>
  <c r="F2340" i="1"/>
  <c r="D2340" i="1"/>
  <c r="H2340" i="1" s="1"/>
  <c r="H2339" i="1"/>
  <c r="G2339" i="1"/>
  <c r="F2339" i="1"/>
  <c r="D2339" i="1"/>
  <c r="G2338" i="1"/>
  <c r="F2338" i="1"/>
  <c r="H2338" i="1" s="1"/>
  <c r="D2338" i="1"/>
  <c r="G2337" i="1"/>
  <c r="F2337" i="1"/>
  <c r="D2337" i="1"/>
  <c r="H2337" i="1" s="1"/>
  <c r="H2336" i="1"/>
  <c r="G2336" i="1"/>
  <c r="F2336" i="1"/>
  <c r="D2336" i="1"/>
  <c r="G2335" i="1"/>
  <c r="F2335" i="1"/>
  <c r="H2335" i="1" s="1"/>
  <c r="D2335" i="1"/>
  <c r="G2334" i="1"/>
  <c r="F2334" i="1"/>
  <c r="D2334" i="1"/>
  <c r="H2334" i="1" s="1"/>
  <c r="H2333" i="1"/>
  <c r="G2333" i="1"/>
  <c r="F2333" i="1"/>
  <c r="D2333" i="1"/>
  <c r="H2332" i="1"/>
  <c r="G2331" i="1"/>
  <c r="H2331" i="1" s="1"/>
  <c r="F2331" i="1"/>
  <c r="D2331" i="1"/>
  <c r="G2330" i="1"/>
  <c r="F2330" i="1"/>
  <c r="D2330" i="1"/>
  <c r="H2330" i="1" s="1"/>
  <c r="G2329" i="1"/>
  <c r="F2329" i="1"/>
  <c r="D2329" i="1"/>
  <c r="H2329" i="1" s="1"/>
  <c r="G2328" i="1"/>
  <c r="H2328" i="1" s="1"/>
  <c r="F2328" i="1"/>
  <c r="D2328" i="1"/>
  <c r="G2327" i="1"/>
  <c r="F2327" i="1"/>
  <c r="D2327" i="1"/>
  <c r="H2327" i="1" s="1"/>
  <c r="G2326" i="1"/>
  <c r="F2326" i="1"/>
  <c r="D2326" i="1"/>
  <c r="H2326" i="1" s="1"/>
  <c r="G2325" i="1"/>
  <c r="H2325" i="1" s="1"/>
  <c r="F2325" i="1"/>
  <c r="D2325" i="1"/>
  <c r="G2324" i="1"/>
  <c r="F2324" i="1"/>
  <c r="D2324" i="1"/>
  <c r="H2324" i="1" s="1"/>
  <c r="G2323" i="1"/>
  <c r="F2323" i="1"/>
  <c r="D2323" i="1"/>
  <c r="H2323" i="1" s="1"/>
  <c r="G2322" i="1"/>
  <c r="H2322" i="1" s="1"/>
  <c r="F2322" i="1"/>
  <c r="D2322" i="1"/>
  <c r="H2321" i="1"/>
  <c r="G2320" i="1"/>
  <c r="F2320" i="1"/>
  <c r="H2320" i="1" s="1"/>
  <c r="D2320" i="1"/>
  <c r="H2319" i="1"/>
  <c r="G2319" i="1"/>
  <c r="F2319" i="1"/>
  <c r="D2319" i="1"/>
  <c r="H2318" i="1"/>
  <c r="G2318" i="1"/>
  <c r="F2318" i="1"/>
  <c r="D2318" i="1"/>
  <c r="G2317" i="1"/>
  <c r="F2317" i="1"/>
  <c r="H2317" i="1" s="1"/>
  <c r="D2317" i="1"/>
  <c r="H2316" i="1"/>
  <c r="G2316" i="1"/>
  <c r="F2316" i="1"/>
  <c r="D2316" i="1"/>
  <c r="H2315" i="1"/>
  <c r="G2315" i="1"/>
  <c r="F2315" i="1"/>
  <c r="D2315" i="1"/>
  <c r="G2314" i="1"/>
  <c r="F2314" i="1"/>
  <c r="D2314" i="1"/>
  <c r="H2314" i="1" s="1"/>
  <c r="G2313" i="1"/>
  <c r="F2313" i="1"/>
  <c r="D2313" i="1"/>
  <c r="H2313" i="1" s="1"/>
  <c r="H2312" i="1"/>
  <c r="G2312" i="1"/>
  <c r="F2312" i="1"/>
  <c r="D2312" i="1"/>
  <c r="G2311" i="1"/>
  <c r="F2311" i="1"/>
  <c r="D2311" i="1"/>
  <c r="H2311" i="1" s="1"/>
  <c r="H2310" i="1"/>
  <c r="G2309" i="1"/>
  <c r="F2309" i="1"/>
  <c r="D2309" i="1"/>
  <c r="H2309" i="1" s="1"/>
  <c r="G2308" i="1"/>
  <c r="F2308" i="1"/>
  <c r="H2308" i="1" s="1"/>
  <c r="D2308" i="1"/>
  <c r="G2307" i="1"/>
  <c r="H2307" i="1" s="1"/>
  <c r="F2307" i="1"/>
  <c r="D2307" i="1"/>
  <c r="G2306" i="1"/>
  <c r="F2306" i="1"/>
  <c r="D2306" i="1"/>
  <c r="H2306" i="1" s="1"/>
  <c r="G2305" i="1"/>
  <c r="F2305" i="1"/>
  <c r="D2305" i="1"/>
  <c r="H2305" i="1" s="1"/>
  <c r="G2304" i="1"/>
  <c r="H2304" i="1" s="1"/>
  <c r="F2304" i="1"/>
  <c r="D2304" i="1"/>
  <c r="G2303" i="1"/>
  <c r="F2303" i="1"/>
  <c r="D2303" i="1"/>
  <c r="H2303" i="1" s="1"/>
  <c r="G2302" i="1"/>
  <c r="F2302" i="1"/>
  <c r="D2302" i="1"/>
  <c r="H2302" i="1" s="1"/>
  <c r="G2301" i="1"/>
  <c r="H2301" i="1" s="1"/>
  <c r="F2301" i="1"/>
  <c r="D2301" i="1"/>
  <c r="G2300" i="1"/>
  <c r="F2300" i="1"/>
  <c r="D2300" i="1"/>
  <c r="H2300" i="1" s="1"/>
  <c r="H2299" i="1"/>
  <c r="G2298" i="1"/>
  <c r="F2298" i="1"/>
  <c r="D2298" i="1"/>
  <c r="H2298" i="1" s="1"/>
  <c r="H2297" i="1"/>
  <c r="G2297" i="1"/>
  <c r="F2297" i="1"/>
  <c r="D2297" i="1"/>
  <c r="G2296" i="1"/>
  <c r="F2296" i="1"/>
  <c r="H2296" i="1" s="1"/>
  <c r="D2296" i="1"/>
  <c r="G2295" i="1"/>
  <c r="F2295" i="1"/>
  <c r="D2295" i="1"/>
  <c r="H2295" i="1" s="1"/>
  <c r="H2294" i="1"/>
  <c r="G2294" i="1"/>
  <c r="F2294" i="1"/>
  <c r="D2294" i="1"/>
  <c r="G2293" i="1"/>
  <c r="F2293" i="1"/>
  <c r="H2293" i="1" s="1"/>
  <c r="D2293" i="1"/>
  <c r="G2292" i="1"/>
  <c r="F2292" i="1"/>
  <c r="D2292" i="1"/>
  <c r="H2292" i="1" s="1"/>
  <c r="H2291" i="1"/>
  <c r="G2291" i="1"/>
  <c r="F2291" i="1"/>
  <c r="D2291" i="1"/>
  <c r="G2290" i="1"/>
  <c r="F2290" i="1"/>
  <c r="H2290" i="1" s="1"/>
  <c r="D2290" i="1"/>
  <c r="G2289" i="1"/>
  <c r="F2289" i="1"/>
  <c r="D2289" i="1"/>
  <c r="H2289" i="1" s="1"/>
  <c r="H2288" i="1"/>
  <c r="G2287" i="1"/>
  <c r="F2287" i="1"/>
  <c r="D2287" i="1"/>
  <c r="H2287" i="1" s="1"/>
  <c r="G2286" i="1"/>
  <c r="H2286" i="1" s="1"/>
  <c r="F2286" i="1"/>
  <c r="D2286" i="1"/>
  <c r="G2285" i="1"/>
  <c r="F2285" i="1"/>
  <c r="D2285" i="1"/>
  <c r="H2285" i="1" s="1"/>
  <c r="G2284" i="1"/>
  <c r="F2284" i="1"/>
  <c r="D2284" i="1"/>
  <c r="H2284" i="1" s="1"/>
  <c r="G2283" i="1"/>
  <c r="H2283" i="1" s="1"/>
  <c r="F2283" i="1"/>
  <c r="D2283" i="1"/>
  <c r="G2282" i="1"/>
  <c r="F2282" i="1"/>
  <c r="D2282" i="1"/>
  <c r="H2282" i="1" s="1"/>
  <c r="G2281" i="1"/>
  <c r="F2281" i="1"/>
  <c r="D2281" i="1"/>
  <c r="H2281" i="1" s="1"/>
  <c r="G2280" i="1"/>
  <c r="H2280" i="1" s="1"/>
  <c r="F2280" i="1"/>
  <c r="D2280" i="1"/>
  <c r="G2279" i="1"/>
  <c r="F2279" i="1"/>
  <c r="D2279" i="1"/>
  <c r="H2279" i="1" s="1"/>
  <c r="G2278" i="1"/>
  <c r="F2278" i="1"/>
  <c r="D2278" i="1"/>
  <c r="H2278" i="1" s="1"/>
  <c r="H2277" i="1"/>
  <c r="H2276" i="1"/>
  <c r="G2276" i="1"/>
  <c r="F2276" i="1"/>
  <c r="D2276" i="1"/>
  <c r="G2275" i="1"/>
  <c r="F2275" i="1"/>
  <c r="H2275" i="1" s="1"/>
  <c r="D2275" i="1"/>
  <c r="H2274" i="1"/>
  <c r="G2274" i="1"/>
  <c r="F2274" i="1"/>
  <c r="D2274" i="1"/>
  <c r="H2273" i="1"/>
  <c r="G2273" i="1"/>
  <c r="F2273" i="1"/>
  <c r="D2273" i="1"/>
  <c r="G2272" i="1"/>
  <c r="F2272" i="1"/>
  <c r="D2272" i="1"/>
  <c r="H2272" i="1" s="1"/>
  <c r="G2271" i="1"/>
  <c r="F2271" i="1"/>
  <c r="D2271" i="1"/>
  <c r="H2271" i="1" s="1"/>
  <c r="H2270" i="1"/>
  <c r="G2270" i="1"/>
  <c r="F2270" i="1"/>
  <c r="D2270" i="1"/>
  <c r="G2269" i="1"/>
  <c r="F2269" i="1"/>
  <c r="D2269" i="1"/>
  <c r="H2269" i="1" s="1"/>
  <c r="G2268" i="1"/>
  <c r="F2268" i="1"/>
  <c r="D2268" i="1"/>
  <c r="H2268" i="1" s="1"/>
  <c r="H2267" i="1"/>
  <c r="G2267" i="1"/>
  <c r="F2267" i="1"/>
  <c r="D2267" i="1"/>
  <c r="H2266" i="1"/>
  <c r="G2265" i="1"/>
  <c r="H2265" i="1" s="1"/>
  <c r="F2265" i="1"/>
  <c r="D2265" i="1"/>
  <c r="G2264" i="1"/>
  <c r="F2264" i="1"/>
  <c r="D2264" i="1"/>
  <c r="H2264" i="1" s="1"/>
  <c r="G2263" i="1"/>
  <c r="F2263" i="1"/>
  <c r="H2263" i="1" s="1"/>
  <c r="D2263" i="1"/>
  <c r="G2262" i="1"/>
  <c r="H2262" i="1" s="1"/>
  <c r="F2262" i="1"/>
  <c r="D2262" i="1"/>
  <c r="G2261" i="1"/>
  <c r="F2261" i="1"/>
  <c r="D2261" i="1"/>
  <c r="H2261" i="1" s="1"/>
  <c r="G2260" i="1"/>
  <c r="F2260" i="1"/>
  <c r="D2260" i="1"/>
  <c r="H2260" i="1" s="1"/>
  <c r="G2259" i="1"/>
  <c r="H2259" i="1" s="1"/>
  <c r="F2259" i="1"/>
  <c r="D2259" i="1"/>
  <c r="G2258" i="1"/>
  <c r="F2258" i="1"/>
  <c r="D2258" i="1"/>
  <c r="H2258" i="1" s="1"/>
  <c r="G2257" i="1"/>
  <c r="F2257" i="1"/>
  <c r="D2257" i="1"/>
  <c r="H2257" i="1" s="1"/>
  <c r="G2256" i="1"/>
  <c r="H2256" i="1" s="1"/>
  <c r="F2256" i="1"/>
  <c r="D2256" i="1"/>
  <c r="H2255" i="1"/>
  <c r="G2254" i="1"/>
  <c r="F2254" i="1"/>
  <c r="H2254" i="1" s="1"/>
  <c r="D2254" i="1"/>
  <c r="G2253" i="1"/>
  <c r="F2253" i="1"/>
  <c r="D2253" i="1"/>
  <c r="H2253" i="1" s="1"/>
  <c r="H2252" i="1"/>
  <c r="G2252" i="1"/>
  <c r="F2252" i="1"/>
  <c r="D2252" i="1"/>
  <c r="G2251" i="1"/>
  <c r="F2251" i="1"/>
  <c r="H2251" i="1" s="1"/>
  <c r="D2251" i="1"/>
  <c r="G2250" i="1"/>
  <c r="F2250" i="1"/>
  <c r="D2250" i="1"/>
  <c r="H2250" i="1" s="1"/>
  <c r="H2249" i="1"/>
  <c r="G2249" i="1"/>
  <c r="F2249" i="1"/>
  <c r="D2249" i="1"/>
  <c r="G2248" i="1"/>
  <c r="F2248" i="1"/>
  <c r="H2248" i="1" s="1"/>
  <c r="D2248" i="1"/>
  <c r="G2247" i="1"/>
  <c r="F2247" i="1"/>
  <c r="D2247" i="1"/>
  <c r="H2247" i="1" s="1"/>
  <c r="H2246" i="1"/>
  <c r="G2246" i="1"/>
  <c r="F2246" i="1"/>
  <c r="D2246" i="1"/>
  <c r="G2245" i="1"/>
  <c r="F2245" i="1"/>
  <c r="H2245" i="1" s="1"/>
  <c r="D2245" i="1"/>
  <c r="H2244" i="1"/>
  <c r="G2243" i="1"/>
  <c r="F2243" i="1"/>
  <c r="D2243" i="1"/>
  <c r="H2243" i="1" s="1"/>
  <c r="G2242" i="1"/>
  <c r="F2242" i="1"/>
  <c r="D2242" i="1"/>
  <c r="H2242" i="1" s="1"/>
  <c r="G2241" i="1"/>
  <c r="H2241" i="1" s="1"/>
  <c r="F2241" i="1"/>
  <c r="D2241" i="1"/>
  <c r="G2240" i="1"/>
  <c r="F2240" i="1"/>
  <c r="D2240" i="1"/>
  <c r="H2240" i="1" s="1"/>
  <c r="G2239" i="1"/>
  <c r="F2239" i="1"/>
  <c r="D2239" i="1"/>
  <c r="H2239" i="1" s="1"/>
  <c r="G2238" i="1"/>
  <c r="H2238" i="1" s="1"/>
  <c r="F2238" i="1"/>
  <c r="D2238" i="1"/>
  <c r="G2237" i="1"/>
  <c r="F2237" i="1"/>
  <c r="D2237" i="1"/>
  <c r="H2237" i="1" s="1"/>
  <c r="G2236" i="1"/>
  <c r="F2236" i="1"/>
  <c r="D2236" i="1"/>
  <c r="H2236" i="1" s="1"/>
  <c r="G2235" i="1"/>
  <c r="H2235" i="1" s="1"/>
  <c r="F2235" i="1"/>
  <c r="D2235" i="1"/>
  <c r="G2234" i="1"/>
  <c r="F2234" i="1"/>
  <c r="D2234" i="1"/>
  <c r="H2234" i="1" s="1"/>
  <c r="H2233" i="1"/>
  <c r="H2232" i="1"/>
  <c r="G2232" i="1"/>
  <c r="F2232" i="1"/>
  <c r="D2232" i="1"/>
  <c r="H2231" i="1"/>
  <c r="G2231" i="1"/>
  <c r="F2231" i="1"/>
  <c r="D2231" i="1"/>
  <c r="G2230" i="1"/>
  <c r="F2230" i="1"/>
  <c r="H2230" i="1" s="1"/>
  <c r="D2230" i="1"/>
  <c r="G2229" i="1"/>
  <c r="F2229" i="1"/>
  <c r="D2229" i="1"/>
  <c r="H2229" i="1" s="1"/>
  <c r="H2228" i="1"/>
  <c r="G2228" i="1"/>
  <c r="F2228" i="1"/>
  <c r="D2228" i="1"/>
  <c r="G2227" i="1"/>
  <c r="F2227" i="1"/>
  <c r="D2227" i="1"/>
  <c r="H2227" i="1" s="1"/>
  <c r="G2226" i="1"/>
  <c r="F2226" i="1"/>
  <c r="D2226" i="1"/>
  <c r="H2226" i="1" s="1"/>
  <c r="H2225" i="1"/>
  <c r="G2225" i="1"/>
  <c r="F2225" i="1"/>
  <c r="D2225" i="1"/>
  <c r="G2224" i="1"/>
  <c r="F2224" i="1"/>
  <c r="D2224" i="1"/>
  <c r="H2224" i="1" s="1"/>
  <c r="G2223" i="1"/>
  <c r="F2223" i="1"/>
  <c r="D2223" i="1"/>
  <c r="H2223" i="1" s="1"/>
  <c r="H2222" i="1"/>
  <c r="G2221" i="1"/>
  <c r="F2221" i="1"/>
  <c r="H2221" i="1" s="1"/>
  <c r="D2221" i="1"/>
  <c r="G2220" i="1"/>
  <c r="H2220" i="1" s="1"/>
  <c r="F2220" i="1"/>
  <c r="D2220" i="1"/>
  <c r="G2219" i="1"/>
  <c r="F2219" i="1"/>
  <c r="D2219" i="1"/>
  <c r="H2219" i="1" s="1"/>
  <c r="G2218" i="1"/>
  <c r="F2218" i="1"/>
  <c r="D2218" i="1"/>
  <c r="H2218" i="1" s="1"/>
  <c r="G2217" i="1"/>
  <c r="H2217" i="1" s="1"/>
  <c r="F2217" i="1"/>
  <c r="D2217" i="1"/>
  <c r="G2216" i="1"/>
  <c r="F2216" i="1"/>
  <c r="D2216" i="1"/>
  <c r="H2216" i="1" s="1"/>
  <c r="G2215" i="1"/>
  <c r="F2215" i="1"/>
  <c r="D2215" i="1"/>
  <c r="H2215" i="1" s="1"/>
  <c r="G2214" i="1"/>
  <c r="H2214" i="1" s="1"/>
  <c r="F2214" i="1"/>
  <c r="D2214" i="1"/>
  <c r="G2213" i="1"/>
  <c r="F2213" i="1"/>
  <c r="D2213" i="1"/>
  <c r="H2213" i="1" s="1"/>
  <c r="G2212" i="1"/>
  <c r="F2212" i="1"/>
  <c r="D2212" i="1"/>
  <c r="H2212" i="1" s="1"/>
  <c r="H2211" i="1"/>
  <c r="H2210" i="1"/>
  <c r="G2210" i="1"/>
  <c r="F2210" i="1"/>
  <c r="D2210" i="1"/>
  <c r="G2209" i="1"/>
  <c r="F2209" i="1"/>
  <c r="H2209" i="1" s="1"/>
  <c r="D2209" i="1"/>
  <c r="G2208" i="1"/>
  <c r="F2208" i="1"/>
  <c r="D2208" i="1"/>
  <c r="H2208" i="1" s="1"/>
  <c r="H2207" i="1"/>
  <c r="G2207" i="1"/>
  <c r="F2207" i="1"/>
  <c r="D2207" i="1"/>
  <c r="G2206" i="1"/>
  <c r="F2206" i="1"/>
  <c r="H2206" i="1" s="1"/>
  <c r="D2206" i="1"/>
  <c r="G2205" i="1"/>
  <c r="F2205" i="1"/>
  <c r="D2205" i="1"/>
  <c r="H2205" i="1" s="1"/>
  <c r="H2204" i="1"/>
  <c r="G2204" i="1"/>
  <c r="F2204" i="1"/>
  <c r="D2204" i="1"/>
  <c r="G2203" i="1"/>
  <c r="F2203" i="1"/>
  <c r="H2203" i="1" s="1"/>
  <c r="D2203" i="1"/>
  <c r="G2202" i="1"/>
  <c r="F2202" i="1"/>
  <c r="D2202" i="1"/>
  <c r="H2202" i="1" s="1"/>
  <c r="H2201" i="1"/>
  <c r="G2201" i="1"/>
  <c r="F2201" i="1"/>
  <c r="D2201" i="1"/>
  <c r="G2200" i="1"/>
  <c r="F2200" i="1"/>
  <c r="H2200" i="1" s="1"/>
  <c r="D2200" i="1"/>
  <c r="H2199" i="1"/>
  <c r="G2198" i="1"/>
  <c r="F2198" i="1"/>
  <c r="D2198" i="1"/>
  <c r="H2198" i="1" s="1"/>
  <c r="G2197" i="1"/>
  <c r="F2197" i="1"/>
  <c r="D2197" i="1"/>
  <c r="H2197" i="1" s="1"/>
  <c r="G2196" i="1"/>
  <c r="H2196" i="1" s="1"/>
  <c r="F2196" i="1"/>
  <c r="D2196" i="1"/>
  <c r="G2195" i="1"/>
  <c r="F2195" i="1"/>
  <c r="D2195" i="1"/>
  <c r="H2195" i="1" s="1"/>
  <c r="G2194" i="1"/>
  <c r="F2194" i="1"/>
  <c r="D2194" i="1"/>
  <c r="H2194" i="1" s="1"/>
  <c r="G2193" i="1"/>
  <c r="H2193" i="1" s="1"/>
  <c r="F2193" i="1"/>
  <c r="D2193" i="1"/>
  <c r="G2192" i="1"/>
  <c r="F2192" i="1"/>
  <c r="D2192" i="1"/>
  <c r="H2192" i="1" s="1"/>
  <c r="G2191" i="1"/>
  <c r="F2191" i="1"/>
  <c r="D2191" i="1"/>
  <c r="H2191" i="1" s="1"/>
  <c r="G2190" i="1"/>
  <c r="H2190" i="1" s="1"/>
  <c r="F2190" i="1"/>
  <c r="D2190" i="1"/>
  <c r="G2189" i="1"/>
  <c r="F2189" i="1"/>
  <c r="D2189" i="1"/>
  <c r="H2189" i="1" s="1"/>
  <c r="H2188" i="1"/>
  <c r="G2187" i="1"/>
  <c r="F2187" i="1"/>
  <c r="D2187" i="1"/>
  <c r="H2187" i="1" s="1"/>
  <c r="H2186" i="1"/>
  <c r="G2186" i="1"/>
  <c r="F2186" i="1"/>
  <c r="D2186" i="1"/>
  <c r="G2185" i="1"/>
  <c r="F2185" i="1"/>
  <c r="H2185" i="1" s="1"/>
  <c r="D2185" i="1"/>
  <c r="G2184" i="1"/>
  <c r="F2184" i="1"/>
  <c r="D2184" i="1"/>
  <c r="H2184" i="1" s="1"/>
  <c r="H2183" i="1"/>
  <c r="G2183" i="1"/>
  <c r="F2183" i="1"/>
  <c r="D2183" i="1"/>
  <c r="G2182" i="1"/>
  <c r="F2182" i="1"/>
  <c r="H2182" i="1" s="1"/>
  <c r="D2182" i="1"/>
  <c r="G2181" i="1"/>
  <c r="F2181" i="1"/>
  <c r="D2181" i="1"/>
  <c r="H2181" i="1" s="1"/>
  <c r="H2180" i="1"/>
  <c r="G2180" i="1"/>
  <c r="F2180" i="1"/>
  <c r="D2180" i="1"/>
  <c r="G2179" i="1"/>
  <c r="F2179" i="1"/>
  <c r="D2179" i="1"/>
  <c r="H2179" i="1" s="1"/>
  <c r="G2178" i="1"/>
  <c r="F2178" i="1"/>
  <c r="D2178" i="1"/>
  <c r="H2178" i="1" s="1"/>
  <c r="H2177" i="1"/>
  <c r="G2176" i="1"/>
  <c r="F2176" i="1"/>
  <c r="H2176" i="1" s="1"/>
  <c r="D2176" i="1"/>
  <c r="G2175" i="1"/>
  <c r="H2175" i="1" s="1"/>
  <c r="F2175" i="1"/>
  <c r="D2175" i="1"/>
  <c r="G2174" i="1"/>
  <c r="F2174" i="1"/>
  <c r="D2174" i="1"/>
  <c r="H2174" i="1" s="1"/>
  <c r="G2173" i="1"/>
  <c r="F2173" i="1"/>
  <c r="D2173" i="1"/>
  <c r="H2173" i="1" s="1"/>
  <c r="G2172" i="1"/>
  <c r="H2172" i="1" s="1"/>
  <c r="F2172" i="1"/>
  <c r="D2172" i="1"/>
  <c r="G2171" i="1"/>
  <c r="F2171" i="1"/>
  <c r="D2171" i="1"/>
  <c r="H2171" i="1" s="1"/>
  <c r="G2170" i="1"/>
  <c r="F2170" i="1"/>
  <c r="D2170" i="1"/>
  <c r="H2170" i="1" s="1"/>
  <c r="G2169" i="1"/>
  <c r="H2169" i="1" s="1"/>
  <c r="F2169" i="1"/>
  <c r="D2169" i="1"/>
  <c r="G2168" i="1"/>
  <c r="F2168" i="1"/>
  <c r="D2168" i="1"/>
  <c r="H2168" i="1" s="1"/>
  <c r="G2167" i="1"/>
  <c r="F2167" i="1"/>
  <c r="D2167" i="1"/>
  <c r="H2167" i="1" s="1"/>
  <c r="H2166" i="1"/>
  <c r="H2165" i="1"/>
  <c r="G2165" i="1"/>
  <c r="F2165" i="1"/>
  <c r="D2165" i="1"/>
  <c r="G2164" i="1"/>
  <c r="F2164" i="1"/>
  <c r="H2164" i="1" s="1"/>
  <c r="D2164" i="1"/>
  <c r="G2163" i="1"/>
  <c r="F2163" i="1"/>
  <c r="D2163" i="1"/>
  <c r="H2163" i="1" s="1"/>
  <c r="H2162" i="1"/>
  <c r="G2162" i="1"/>
  <c r="F2162" i="1"/>
  <c r="D2162" i="1"/>
  <c r="G2161" i="1"/>
  <c r="F2161" i="1"/>
  <c r="H2161" i="1" s="1"/>
  <c r="D2161" i="1"/>
  <c r="G2160" i="1"/>
  <c r="F2160" i="1"/>
  <c r="D2160" i="1"/>
  <c r="H2160" i="1" s="1"/>
  <c r="H2159" i="1"/>
  <c r="G2159" i="1"/>
  <c r="F2159" i="1"/>
  <c r="D2159" i="1"/>
  <c r="G2158" i="1"/>
  <c r="F2158" i="1"/>
  <c r="H2158" i="1" s="1"/>
  <c r="D2158" i="1"/>
  <c r="G2157" i="1"/>
  <c r="F2157" i="1"/>
  <c r="D2157" i="1"/>
  <c r="H2157" i="1" s="1"/>
  <c r="H2156" i="1"/>
  <c r="G2156" i="1"/>
  <c r="F2156" i="1"/>
  <c r="D2156" i="1"/>
  <c r="H2155" i="1"/>
  <c r="G2154" i="1"/>
  <c r="H2154" i="1" s="1"/>
  <c r="F2154" i="1"/>
  <c r="D2154" i="1"/>
  <c r="G2153" i="1"/>
  <c r="F2153" i="1"/>
  <c r="D2153" i="1"/>
  <c r="H2153" i="1" s="1"/>
  <c r="G2152" i="1"/>
  <c r="F2152" i="1"/>
  <c r="D2152" i="1"/>
  <c r="H2152" i="1" s="1"/>
  <c r="G2151" i="1"/>
  <c r="H2151" i="1" s="1"/>
  <c r="F2151" i="1"/>
  <c r="D2151" i="1"/>
  <c r="G2150" i="1"/>
  <c r="F2150" i="1"/>
  <c r="D2150" i="1"/>
  <c r="H2150" i="1" s="1"/>
  <c r="G2149" i="1"/>
  <c r="F2149" i="1"/>
  <c r="D2149" i="1"/>
  <c r="H2149" i="1" s="1"/>
  <c r="G2148" i="1"/>
  <c r="H2148" i="1" s="1"/>
  <c r="F2148" i="1"/>
  <c r="D2148" i="1"/>
  <c r="G2147" i="1"/>
  <c r="F2147" i="1"/>
  <c r="D2147" i="1"/>
  <c r="H2147" i="1" s="1"/>
  <c r="G2146" i="1"/>
  <c r="F2146" i="1"/>
  <c r="D2146" i="1"/>
  <c r="H2146" i="1" s="1"/>
  <c r="G2145" i="1"/>
  <c r="H2145" i="1" s="1"/>
  <c r="F2145" i="1"/>
  <c r="D2145" i="1"/>
  <c r="H2144" i="1"/>
  <c r="G2143" i="1"/>
  <c r="F2143" i="1"/>
  <c r="H2143" i="1" s="1"/>
  <c r="D2143" i="1"/>
  <c r="G2142" i="1"/>
  <c r="F2142" i="1"/>
  <c r="D2142" i="1"/>
  <c r="H2142" i="1" s="1"/>
  <c r="H2141" i="1"/>
  <c r="G2141" i="1"/>
  <c r="F2141" i="1"/>
  <c r="D2141" i="1"/>
  <c r="G2140" i="1"/>
  <c r="F2140" i="1"/>
  <c r="H2140" i="1" s="1"/>
  <c r="D2140" i="1"/>
  <c r="G2139" i="1"/>
  <c r="F2139" i="1"/>
  <c r="D2139" i="1"/>
  <c r="H2139" i="1" s="1"/>
  <c r="H2138" i="1"/>
  <c r="G2138" i="1"/>
  <c r="F2138" i="1"/>
  <c r="D2138" i="1"/>
  <c r="G2137" i="1"/>
  <c r="F2137" i="1"/>
  <c r="H2137" i="1" s="1"/>
  <c r="D2137" i="1"/>
  <c r="G2136" i="1"/>
  <c r="F2136" i="1"/>
  <c r="D2136" i="1"/>
  <c r="H2136" i="1" s="1"/>
  <c r="H2135" i="1"/>
  <c r="G2135" i="1"/>
  <c r="F2135" i="1"/>
  <c r="D2135" i="1"/>
  <c r="G2134" i="1"/>
  <c r="F2134" i="1"/>
  <c r="D2134" i="1"/>
  <c r="H2134" i="1" s="1"/>
  <c r="H2133" i="1"/>
  <c r="G2132" i="1"/>
  <c r="F2132" i="1"/>
  <c r="D2132" i="1"/>
  <c r="H2132" i="1" s="1"/>
  <c r="G2131" i="1"/>
  <c r="F2131" i="1"/>
  <c r="D2131" i="1"/>
  <c r="H2131" i="1" s="1"/>
  <c r="G2130" i="1"/>
  <c r="H2130" i="1" s="1"/>
  <c r="F2130" i="1"/>
  <c r="D2130" i="1"/>
  <c r="G2129" i="1"/>
  <c r="F2129" i="1"/>
  <c r="D2129" i="1"/>
  <c r="H2129" i="1" s="1"/>
  <c r="G2128" i="1"/>
  <c r="F2128" i="1"/>
  <c r="D2128" i="1"/>
  <c r="H2128" i="1" s="1"/>
  <c r="G2127" i="1"/>
  <c r="H2127" i="1" s="1"/>
  <c r="F2127" i="1"/>
  <c r="D2127" i="1"/>
  <c r="G2126" i="1"/>
  <c r="F2126" i="1"/>
  <c r="D2126" i="1"/>
  <c r="H2126" i="1" s="1"/>
  <c r="G2125" i="1"/>
  <c r="F2125" i="1"/>
  <c r="D2125" i="1"/>
  <c r="H2125" i="1" s="1"/>
  <c r="G2124" i="1"/>
  <c r="H2124" i="1" s="1"/>
  <c r="F2124" i="1"/>
  <c r="D2124" i="1"/>
  <c r="G2123" i="1"/>
  <c r="F2123" i="1"/>
  <c r="D2123" i="1"/>
  <c r="H2123" i="1" s="1"/>
  <c r="H2122" i="1"/>
  <c r="G2121" i="1"/>
  <c r="F2121" i="1"/>
  <c r="D2121" i="1"/>
  <c r="H2121" i="1" s="1"/>
  <c r="H2120" i="1"/>
  <c r="G2120" i="1"/>
  <c r="F2120" i="1"/>
  <c r="D2120" i="1"/>
  <c r="G2119" i="1"/>
  <c r="F2119" i="1"/>
  <c r="H2119" i="1" s="1"/>
  <c r="D2119" i="1"/>
  <c r="G2118" i="1"/>
  <c r="F2118" i="1"/>
  <c r="D2118" i="1"/>
  <c r="H2118" i="1" s="1"/>
  <c r="H2117" i="1"/>
  <c r="G2117" i="1"/>
  <c r="F2117" i="1"/>
  <c r="D2117" i="1"/>
  <c r="G2116" i="1"/>
  <c r="F2116" i="1"/>
  <c r="H2116" i="1" s="1"/>
  <c r="D2116" i="1"/>
  <c r="G2115" i="1"/>
  <c r="F2115" i="1"/>
  <c r="D2115" i="1"/>
  <c r="H2115" i="1" s="1"/>
  <c r="H2114" i="1"/>
  <c r="G2114" i="1"/>
  <c r="F2114" i="1"/>
  <c r="D2114" i="1"/>
  <c r="G2113" i="1"/>
  <c r="F2113" i="1"/>
  <c r="H2113" i="1" s="1"/>
  <c r="D2113" i="1"/>
  <c r="G2112" i="1"/>
  <c r="F2112" i="1"/>
  <c r="D2112" i="1"/>
  <c r="H2112" i="1" s="1"/>
  <c r="H2111" i="1"/>
  <c r="G2110" i="1"/>
  <c r="F2110" i="1"/>
  <c r="D2110" i="1"/>
  <c r="H2110" i="1" s="1"/>
  <c r="G2109" i="1"/>
  <c r="H2109" i="1" s="1"/>
  <c r="F2109" i="1"/>
  <c r="D2109" i="1"/>
  <c r="G2108" i="1"/>
  <c r="F2108" i="1"/>
  <c r="D2108" i="1"/>
  <c r="H2108" i="1" s="1"/>
  <c r="G2107" i="1"/>
  <c r="F2107" i="1"/>
  <c r="D2107" i="1"/>
  <c r="H2107" i="1" s="1"/>
  <c r="G2106" i="1"/>
  <c r="H2106" i="1" s="1"/>
  <c r="F2106" i="1"/>
  <c r="D2106" i="1"/>
  <c r="G2105" i="1"/>
  <c r="F2105" i="1"/>
  <c r="D2105" i="1"/>
  <c r="H2105" i="1" s="1"/>
  <c r="G2104" i="1"/>
  <c r="F2104" i="1"/>
  <c r="D2104" i="1"/>
  <c r="H2104" i="1" s="1"/>
  <c r="G2103" i="1"/>
  <c r="H2103" i="1" s="1"/>
  <c r="F2103" i="1"/>
  <c r="D2103" i="1"/>
  <c r="G2102" i="1"/>
  <c r="F2102" i="1"/>
  <c r="D2102" i="1"/>
  <c r="H2102" i="1" s="1"/>
  <c r="G2101" i="1"/>
  <c r="F2101" i="1"/>
  <c r="D2101" i="1"/>
  <c r="H2101" i="1" s="1"/>
  <c r="H2100" i="1"/>
  <c r="H2099" i="1"/>
  <c r="G2099" i="1"/>
  <c r="F2099" i="1"/>
  <c r="D2099" i="1"/>
  <c r="G2098" i="1"/>
  <c r="F2098" i="1"/>
  <c r="H2098" i="1" s="1"/>
  <c r="D2098" i="1"/>
  <c r="G2097" i="1"/>
  <c r="F2097" i="1"/>
  <c r="D2097" i="1"/>
  <c r="H2097" i="1" s="1"/>
  <c r="H2096" i="1"/>
  <c r="G2096" i="1"/>
  <c r="F2096" i="1"/>
  <c r="D2096" i="1"/>
  <c r="G2095" i="1"/>
  <c r="F2095" i="1"/>
  <c r="H2095" i="1" s="1"/>
  <c r="D2095" i="1"/>
  <c r="G2094" i="1"/>
  <c r="F2094" i="1"/>
  <c r="D2094" i="1"/>
  <c r="H2094" i="1" s="1"/>
  <c r="H2093" i="1"/>
  <c r="G2093" i="1"/>
  <c r="F2093" i="1"/>
  <c r="D2093" i="1"/>
  <c r="G2092" i="1"/>
  <c r="F2092" i="1"/>
  <c r="D2092" i="1"/>
  <c r="H2092" i="1" s="1"/>
  <c r="G2091" i="1"/>
  <c r="F2091" i="1"/>
  <c r="D2091" i="1"/>
  <c r="H2091" i="1" s="1"/>
  <c r="H2090" i="1"/>
  <c r="G2090" i="1"/>
  <c r="F2090" i="1"/>
  <c r="D2090" i="1"/>
  <c r="H2089" i="1"/>
  <c r="G2088" i="1"/>
  <c r="H2088" i="1" s="1"/>
  <c r="F2088" i="1"/>
  <c r="D2088" i="1"/>
  <c r="G2087" i="1"/>
  <c r="F2087" i="1"/>
  <c r="D2087" i="1"/>
  <c r="H2087" i="1" s="1"/>
  <c r="G2086" i="1"/>
  <c r="F2086" i="1"/>
  <c r="D2086" i="1"/>
  <c r="H2086" i="1" s="1"/>
  <c r="G2085" i="1"/>
  <c r="H2085" i="1" s="1"/>
  <c r="F2085" i="1"/>
  <c r="D2085" i="1"/>
  <c r="G2084" i="1"/>
  <c r="F2084" i="1"/>
  <c r="D2084" i="1"/>
  <c r="H2084" i="1" s="1"/>
  <c r="G2083" i="1"/>
  <c r="F2083" i="1"/>
  <c r="D2083" i="1"/>
  <c r="H2083" i="1" s="1"/>
  <c r="G2082" i="1"/>
  <c r="H2082" i="1" s="1"/>
  <c r="F2082" i="1"/>
  <c r="D2082" i="1"/>
  <c r="G2081" i="1"/>
  <c r="F2081" i="1"/>
  <c r="D2081" i="1"/>
  <c r="H2081" i="1" s="1"/>
  <c r="G2080" i="1"/>
  <c r="F2080" i="1"/>
  <c r="D2080" i="1"/>
  <c r="H2080" i="1" s="1"/>
  <c r="G2079" i="1"/>
  <c r="H2079" i="1" s="1"/>
  <c r="F2079" i="1"/>
  <c r="D2079" i="1"/>
  <c r="H2078" i="1"/>
  <c r="G2077" i="1"/>
  <c r="F2077" i="1"/>
  <c r="H2077" i="1" s="1"/>
  <c r="D2077" i="1"/>
  <c r="G2076" i="1"/>
  <c r="F2076" i="1"/>
  <c r="D2076" i="1"/>
  <c r="H2076" i="1" s="1"/>
  <c r="H2075" i="1"/>
  <c r="G2075" i="1"/>
  <c r="F2075" i="1"/>
  <c r="D2075" i="1"/>
  <c r="G2074" i="1"/>
  <c r="F2074" i="1"/>
  <c r="H2074" i="1" s="1"/>
  <c r="D2074" i="1"/>
  <c r="G2073" i="1"/>
  <c r="F2073" i="1"/>
  <c r="D2073" i="1"/>
  <c r="H2073" i="1" s="1"/>
  <c r="H2072" i="1"/>
  <c r="G2072" i="1"/>
  <c r="F2072" i="1"/>
  <c r="D2072" i="1"/>
  <c r="G2071" i="1"/>
  <c r="F2071" i="1"/>
  <c r="H2071" i="1" s="1"/>
  <c r="D2071" i="1"/>
  <c r="G2070" i="1"/>
  <c r="F2070" i="1"/>
  <c r="D2070" i="1"/>
  <c r="H2070" i="1" s="1"/>
  <c r="H2069" i="1"/>
  <c r="G2069" i="1"/>
  <c r="F2069" i="1"/>
  <c r="D2069" i="1"/>
  <c r="G2068" i="1"/>
  <c r="F2068" i="1"/>
  <c r="H2068" i="1" s="1"/>
  <c r="D2068" i="1"/>
  <c r="G2067" i="1"/>
  <c r="F2067" i="1"/>
  <c r="D2067" i="1"/>
  <c r="H2067" i="1" s="1"/>
  <c r="H2066" i="1"/>
  <c r="G2066" i="1"/>
  <c r="F2066" i="1"/>
  <c r="D2066" i="1"/>
  <c r="G2065" i="1"/>
  <c r="F2065" i="1"/>
  <c r="H2065" i="1" s="1"/>
  <c r="D2065" i="1"/>
  <c r="G2064" i="1"/>
  <c r="F2064" i="1"/>
  <c r="D2064" i="1"/>
  <c r="H2064" i="1" s="1"/>
  <c r="H2063" i="1"/>
  <c r="G2063" i="1"/>
  <c r="F2063" i="1"/>
  <c r="D2063" i="1"/>
  <c r="H2062" i="1"/>
  <c r="G2061" i="1"/>
  <c r="H2061" i="1" s="1"/>
  <c r="F2061" i="1"/>
  <c r="D2061" i="1"/>
  <c r="G2060" i="1"/>
  <c r="F2060" i="1"/>
  <c r="D2060" i="1"/>
  <c r="H2060" i="1" s="1"/>
  <c r="G2059" i="1"/>
  <c r="F2059" i="1"/>
  <c r="D2059" i="1"/>
  <c r="H2059" i="1" s="1"/>
  <c r="G2058" i="1"/>
  <c r="H2058" i="1" s="1"/>
  <c r="F2058" i="1"/>
  <c r="D2058" i="1"/>
  <c r="G2057" i="1"/>
  <c r="F2057" i="1"/>
  <c r="D2057" i="1"/>
  <c r="H2057" i="1" s="1"/>
  <c r="G2056" i="1"/>
  <c r="F2056" i="1"/>
  <c r="D2056" i="1"/>
  <c r="H2056" i="1" s="1"/>
  <c r="G2055" i="1"/>
  <c r="H2055" i="1" s="1"/>
  <c r="F2055" i="1"/>
  <c r="D2055" i="1"/>
  <c r="G2054" i="1"/>
  <c r="F2054" i="1"/>
  <c r="D2054" i="1"/>
  <c r="H2054" i="1" s="1"/>
  <c r="G2053" i="1"/>
  <c r="F2053" i="1"/>
  <c r="D2053" i="1"/>
  <c r="H2053" i="1" s="1"/>
  <c r="G2052" i="1"/>
  <c r="H2052" i="1" s="1"/>
  <c r="F2052" i="1"/>
  <c r="D2052" i="1"/>
  <c r="I2051" i="1"/>
  <c r="G2050" i="1"/>
  <c r="F2050" i="1"/>
  <c r="I2050" i="1" s="1"/>
  <c r="E2050" i="1"/>
  <c r="G2049" i="1"/>
  <c r="F2049" i="1"/>
  <c r="E2049" i="1"/>
  <c r="I2049" i="1" s="1"/>
  <c r="I2048" i="1"/>
  <c r="G2048" i="1"/>
  <c r="F2048" i="1"/>
  <c r="E2048" i="1"/>
  <c r="G2047" i="1"/>
  <c r="F2047" i="1"/>
  <c r="E2047" i="1"/>
  <c r="I2047" i="1" s="1"/>
  <c r="G2046" i="1"/>
  <c r="F2046" i="1"/>
  <c r="E2046" i="1"/>
  <c r="I2046" i="1" s="1"/>
  <c r="I2045" i="1"/>
  <c r="G2045" i="1"/>
  <c r="F2045" i="1"/>
  <c r="E2045" i="1"/>
  <c r="G2044" i="1"/>
  <c r="F2044" i="1"/>
  <c r="E2044" i="1"/>
  <c r="I2044" i="1" s="1"/>
  <c r="G2043" i="1"/>
  <c r="F2043" i="1"/>
  <c r="E2043" i="1"/>
  <c r="I2043" i="1" s="1"/>
  <c r="I2042" i="1"/>
  <c r="G2042" i="1"/>
  <c r="F2042" i="1"/>
  <c r="E2042" i="1"/>
  <c r="G2041" i="1"/>
  <c r="F2041" i="1"/>
  <c r="E2041" i="1"/>
  <c r="I2041" i="1" s="1"/>
  <c r="G2040" i="1"/>
  <c r="F2040" i="1"/>
  <c r="E2040" i="1"/>
  <c r="I2040" i="1" s="1"/>
  <c r="I2039" i="1"/>
  <c r="G2039" i="1"/>
  <c r="F2039" i="1"/>
  <c r="E2039" i="1"/>
  <c r="G2038" i="1"/>
  <c r="F2038" i="1"/>
  <c r="E2038" i="1"/>
  <c r="I2038" i="1" s="1"/>
  <c r="G2037" i="1"/>
  <c r="F2037" i="1"/>
  <c r="E2037" i="1"/>
  <c r="I2037" i="1" s="1"/>
  <c r="I2036" i="1"/>
  <c r="G2036" i="1"/>
  <c r="F2036" i="1"/>
  <c r="E2036" i="1"/>
  <c r="G2035" i="1"/>
  <c r="F2035" i="1"/>
  <c r="E2035" i="1"/>
  <c r="I2035" i="1" s="1"/>
  <c r="G2034" i="1"/>
  <c r="F2034" i="1"/>
  <c r="E2034" i="1"/>
  <c r="I2034" i="1" s="1"/>
  <c r="I2033" i="1"/>
  <c r="G2033" i="1"/>
  <c r="F2033" i="1"/>
  <c r="E2033" i="1"/>
  <c r="I2032" i="1"/>
  <c r="I2031" i="1"/>
  <c r="I2030" i="1"/>
  <c r="G2030" i="1"/>
  <c r="F2030" i="1"/>
  <c r="E2030" i="1"/>
  <c r="G2029" i="1"/>
  <c r="F2029" i="1"/>
  <c r="I2029" i="1" s="1"/>
  <c r="E2029" i="1"/>
  <c r="G2028" i="1"/>
  <c r="F2028" i="1"/>
  <c r="E2028" i="1"/>
  <c r="I2028" i="1" s="1"/>
  <c r="I2027" i="1"/>
  <c r="G2027" i="1"/>
  <c r="F2027" i="1"/>
  <c r="E2027" i="1"/>
  <c r="G2026" i="1"/>
  <c r="F2026" i="1"/>
  <c r="I2026" i="1" s="1"/>
  <c r="E2026" i="1"/>
  <c r="G2025" i="1"/>
  <c r="F2025" i="1"/>
  <c r="E2025" i="1"/>
  <c r="I2025" i="1" s="1"/>
  <c r="I2024" i="1"/>
  <c r="G2024" i="1"/>
  <c r="F2024" i="1"/>
  <c r="E2024" i="1"/>
  <c r="G2023" i="1"/>
  <c r="F2023" i="1"/>
  <c r="E2023" i="1"/>
  <c r="I2023" i="1" s="1"/>
  <c r="G2022" i="1"/>
  <c r="F2022" i="1"/>
  <c r="E2022" i="1"/>
  <c r="I2022" i="1" s="1"/>
  <c r="I2021" i="1"/>
  <c r="G2021" i="1"/>
  <c r="F2021" i="1"/>
  <c r="E2021" i="1"/>
  <c r="G2020" i="1"/>
  <c r="F2020" i="1"/>
  <c r="E2020" i="1"/>
  <c r="I2020" i="1" s="1"/>
  <c r="G2019" i="1"/>
  <c r="F2019" i="1"/>
  <c r="E2019" i="1"/>
  <c r="I2019" i="1" s="1"/>
  <c r="I2018" i="1"/>
  <c r="G2018" i="1"/>
  <c r="F2018" i="1"/>
  <c r="E2018" i="1"/>
  <c r="G2017" i="1"/>
  <c r="F2017" i="1"/>
  <c r="E2017" i="1"/>
  <c r="I2017" i="1" s="1"/>
  <c r="G2016" i="1"/>
  <c r="F2016" i="1"/>
  <c r="E2016" i="1"/>
  <c r="I2016" i="1" s="1"/>
  <c r="I2015" i="1"/>
  <c r="G2015" i="1"/>
  <c r="F2015" i="1"/>
  <c r="E2015" i="1"/>
  <c r="G2014" i="1"/>
  <c r="F2014" i="1"/>
  <c r="E2014" i="1"/>
  <c r="I2014" i="1" s="1"/>
  <c r="I2013" i="1"/>
  <c r="G2012" i="1"/>
  <c r="F2012" i="1"/>
  <c r="E2012" i="1"/>
  <c r="I2012" i="1" s="1"/>
  <c r="G2011" i="1"/>
  <c r="F2011" i="1"/>
  <c r="E2011" i="1"/>
  <c r="I2011" i="1" s="1"/>
  <c r="G2010" i="1"/>
  <c r="I2010" i="1" s="1"/>
  <c r="F2010" i="1"/>
  <c r="E2010" i="1"/>
  <c r="I2009" i="1"/>
  <c r="G2008" i="1"/>
  <c r="F2008" i="1"/>
  <c r="E2008" i="1"/>
  <c r="I2008" i="1" s="1"/>
  <c r="G2007" i="1"/>
  <c r="F2007" i="1"/>
  <c r="E2007" i="1"/>
  <c r="I2007" i="1" s="1"/>
  <c r="I2006" i="1"/>
  <c r="G2006" i="1"/>
  <c r="F2006" i="1"/>
  <c r="E2006" i="1"/>
  <c r="G2005" i="1"/>
  <c r="F2005" i="1"/>
  <c r="E2005" i="1"/>
  <c r="I2005" i="1" s="1"/>
  <c r="G2004" i="1"/>
  <c r="F2004" i="1"/>
  <c r="E2004" i="1"/>
  <c r="I2004" i="1" s="1"/>
  <c r="I2003" i="1"/>
  <c r="G2003" i="1"/>
  <c r="F2003" i="1"/>
  <c r="E2003" i="1"/>
  <c r="G2002" i="1"/>
  <c r="F2002" i="1"/>
  <c r="E2002" i="1"/>
  <c r="I2002" i="1" s="1"/>
  <c r="G2001" i="1"/>
  <c r="F2001" i="1"/>
  <c r="E2001" i="1"/>
  <c r="I2001" i="1" s="1"/>
  <c r="I2000" i="1"/>
  <c r="G2000" i="1"/>
  <c r="F2000" i="1"/>
  <c r="E2000" i="1"/>
  <c r="G1999" i="1"/>
  <c r="F1999" i="1"/>
  <c r="E1999" i="1"/>
  <c r="I1999" i="1" s="1"/>
  <c r="G1998" i="1"/>
  <c r="F1998" i="1"/>
  <c r="E1998" i="1"/>
  <c r="I1998" i="1" s="1"/>
  <c r="I1997" i="1"/>
  <c r="G1997" i="1"/>
  <c r="F1997" i="1"/>
  <c r="E1997" i="1"/>
  <c r="G1996" i="1"/>
  <c r="F1996" i="1"/>
  <c r="E1996" i="1"/>
  <c r="I1996" i="1" s="1"/>
  <c r="G1995" i="1"/>
  <c r="F1995" i="1"/>
  <c r="E1995" i="1"/>
  <c r="I1995" i="1" s="1"/>
  <c r="I1994" i="1"/>
  <c r="G1994" i="1"/>
  <c r="F1994" i="1"/>
  <c r="E1994" i="1"/>
  <c r="G1993" i="1"/>
  <c r="F1993" i="1"/>
  <c r="E1993" i="1"/>
  <c r="I1993" i="1" s="1"/>
  <c r="G1992" i="1"/>
  <c r="F1992" i="1"/>
  <c r="E1992" i="1"/>
  <c r="I1992" i="1" s="1"/>
  <c r="I1991" i="1"/>
  <c r="G1990" i="1"/>
  <c r="I1990" i="1" s="1"/>
  <c r="F1990" i="1"/>
  <c r="E1990" i="1"/>
  <c r="I1989" i="1"/>
  <c r="G1989" i="1"/>
  <c r="F1989" i="1"/>
  <c r="E1989" i="1"/>
  <c r="G1988" i="1"/>
  <c r="F1988" i="1"/>
  <c r="E1988" i="1"/>
  <c r="I1988" i="1" s="1"/>
  <c r="G1987" i="1"/>
  <c r="F1987" i="1"/>
  <c r="I1987" i="1" s="1"/>
  <c r="E1987" i="1"/>
  <c r="I1986" i="1"/>
  <c r="G1986" i="1"/>
  <c r="F1986" i="1"/>
  <c r="E1986" i="1"/>
  <c r="G1985" i="1"/>
  <c r="F1985" i="1"/>
  <c r="E1985" i="1"/>
  <c r="I1985" i="1" s="1"/>
  <c r="G1984" i="1"/>
  <c r="F1984" i="1"/>
  <c r="I1984" i="1" s="1"/>
  <c r="E1984" i="1"/>
  <c r="G1983" i="1"/>
  <c r="I1983" i="1" s="1"/>
  <c r="F1983" i="1"/>
  <c r="E1983" i="1"/>
  <c r="I1982" i="1"/>
  <c r="I1981" i="1"/>
  <c r="I1980" i="1"/>
  <c r="I1979" i="1"/>
  <c r="I1978" i="1"/>
  <c r="I1977" i="1"/>
  <c r="I1976" i="1"/>
  <c r="I1975" i="1"/>
  <c r="I1974" i="1"/>
  <c r="I1973" i="1"/>
  <c r="I1972" i="1"/>
  <c r="G1971" i="1"/>
  <c r="F1971" i="1"/>
  <c r="E1971" i="1"/>
  <c r="I1971" i="1" s="1"/>
  <c r="I1970" i="1"/>
  <c r="G1970" i="1"/>
  <c r="F1970" i="1"/>
  <c r="E1970" i="1"/>
  <c r="G1969" i="1"/>
  <c r="F1969" i="1"/>
  <c r="E1969" i="1"/>
  <c r="I1969" i="1" s="1"/>
  <c r="G1968" i="1"/>
  <c r="F1968" i="1"/>
  <c r="E1968" i="1"/>
  <c r="I1968" i="1" s="1"/>
  <c r="I1967" i="1"/>
  <c r="G1967" i="1"/>
  <c r="F1967" i="1"/>
  <c r="E1967" i="1"/>
  <c r="G1966" i="1"/>
  <c r="F1966" i="1"/>
  <c r="E1966" i="1"/>
  <c r="I1966" i="1" s="1"/>
  <c r="G1965" i="1"/>
  <c r="F1965" i="1"/>
  <c r="E1965" i="1"/>
  <c r="I1965" i="1" s="1"/>
  <c r="I1964" i="1"/>
  <c r="G1964" i="1"/>
  <c r="F1964" i="1"/>
  <c r="E1964" i="1"/>
  <c r="G1963" i="1"/>
  <c r="F1963" i="1"/>
  <c r="E1963" i="1"/>
  <c r="I1963" i="1" s="1"/>
  <c r="G1962" i="1"/>
  <c r="F1962" i="1"/>
  <c r="E1962" i="1"/>
  <c r="I1962" i="1" s="1"/>
  <c r="I1961" i="1"/>
  <c r="G1961" i="1"/>
  <c r="F1961" i="1"/>
  <c r="E1961" i="1"/>
  <c r="G1960" i="1"/>
  <c r="F1960" i="1"/>
  <c r="E1960" i="1"/>
  <c r="I1960" i="1" s="1"/>
  <c r="G1959" i="1"/>
  <c r="F1959" i="1"/>
  <c r="E1959" i="1"/>
  <c r="I1959" i="1" s="1"/>
  <c r="I1958" i="1"/>
  <c r="G1958" i="1"/>
  <c r="F1958" i="1"/>
  <c r="E1958" i="1"/>
  <c r="G1957" i="1"/>
  <c r="F1957" i="1"/>
  <c r="E1957" i="1"/>
  <c r="I1957" i="1" s="1"/>
  <c r="G1956" i="1"/>
  <c r="F1956" i="1"/>
  <c r="E1956" i="1"/>
  <c r="I1956" i="1" s="1"/>
  <c r="I1955" i="1"/>
  <c r="G1955" i="1"/>
  <c r="F1955" i="1"/>
  <c r="E1955" i="1"/>
  <c r="G1954" i="1"/>
  <c r="F1954" i="1"/>
  <c r="E1954" i="1"/>
  <c r="I1954" i="1" s="1"/>
  <c r="G1953" i="1"/>
  <c r="F1953" i="1"/>
  <c r="E1953" i="1"/>
  <c r="I1953" i="1" s="1"/>
  <c r="I1952" i="1"/>
  <c r="G1951" i="1"/>
  <c r="F1951" i="1"/>
  <c r="I1951" i="1" s="1"/>
  <c r="E1951" i="1"/>
  <c r="I1950" i="1"/>
  <c r="I1949" i="1"/>
  <c r="G1949" i="1"/>
  <c r="F1949" i="1"/>
  <c r="E1949" i="1"/>
  <c r="I1948" i="1"/>
  <c r="I1947" i="1"/>
  <c r="G1947" i="1"/>
  <c r="F1947" i="1"/>
  <c r="E1947" i="1"/>
  <c r="I1946" i="1"/>
  <c r="G1945" i="1"/>
  <c r="F1945" i="1"/>
  <c r="E1945" i="1"/>
  <c r="I1945" i="1" s="1"/>
  <c r="G1944" i="1"/>
  <c r="F1944" i="1"/>
  <c r="E1944" i="1"/>
  <c r="I1944" i="1" s="1"/>
  <c r="I1943" i="1"/>
  <c r="G1943" i="1"/>
  <c r="F1943" i="1"/>
  <c r="E1943" i="1"/>
  <c r="G1942" i="1"/>
  <c r="F1942" i="1"/>
  <c r="E1942" i="1"/>
  <c r="I1942" i="1" s="1"/>
  <c r="G1941" i="1"/>
  <c r="F1941" i="1"/>
  <c r="E1941" i="1"/>
  <c r="I1941" i="1" s="1"/>
  <c r="I1940" i="1"/>
  <c r="G1940" i="1"/>
  <c r="F1940" i="1"/>
  <c r="E1940" i="1"/>
  <c r="G1939" i="1"/>
  <c r="F1939" i="1"/>
  <c r="E1939" i="1"/>
  <c r="I1939" i="1" s="1"/>
  <c r="G1938" i="1"/>
  <c r="F1938" i="1"/>
  <c r="E1938" i="1"/>
  <c r="I1938" i="1" s="1"/>
  <c r="I1937" i="1"/>
  <c r="G1937" i="1"/>
  <c r="F1937" i="1"/>
  <c r="E1937" i="1"/>
  <c r="G1936" i="1"/>
  <c r="F1936" i="1"/>
  <c r="E1936" i="1"/>
  <c r="I1936" i="1" s="1"/>
  <c r="G1935" i="1"/>
  <c r="F1935" i="1"/>
  <c r="E1935" i="1"/>
  <c r="I1935" i="1" s="1"/>
  <c r="I1934" i="1"/>
  <c r="G1934" i="1"/>
  <c r="F1934" i="1"/>
  <c r="E1934" i="1"/>
  <c r="G1933" i="1"/>
  <c r="F1933" i="1"/>
  <c r="E1933" i="1"/>
  <c r="I1933" i="1" s="1"/>
  <c r="G1932" i="1"/>
  <c r="F1932" i="1"/>
  <c r="E1932" i="1"/>
  <c r="I1932" i="1" s="1"/>
  <c r="I1931" i="1"/>
  <c r="G1931" i="1"/>
  <c r="F1931" i="1"/>
  <c r="E1931" i="1"/>
  <c r="G1930" i="1"/>
  <c r="F1930" i="1"/>
  <c r="E1930" i="1"/>
  <c r="I1930" i="1" s="1"/>
  <c r="G1929" i="1"/>
  <c r="F1929" i="1"/>
  <c r="E1929" i="1"/>
  <c r="I1929" i="1" s="1"/>
  <c r="I1928" i="1"/>
  <c r="G1928" i="1"/>
  <c r="F1928" i="1"/>
  <c r="E1928" i="1"/>
  <c r="G1927" i="1"/>
  <c r="F1927" i="1"/>
  <c r="E1927" i="1"/>
  <c r="I1927" i="1" s="1"/>
  <c r="I1926" i="1"/>
  <c r="G1925" i="1"/>
  <c r="F1925" i="1"/>
  <c r="E1925" i="1"/>
  <c r="G1924" i="1"/>
  <c r="F1924" i="1"/>
  <c r="I1924" i="1" s="1"/>
  <c r="E1924" i="1"/>
  <c r="I1923" i="1"/>
  <c r="G1923" i="1"/>
  <c r="F1923" i="1"/>
  <c r="E1923" i="1"/>
  <c r="G1922" i="1"/>
  <c r="F1922" i="1"/>
  <c r="E1922" i="1"/>
  <c r="G1921" i="1"/>
  <c r="F1921" i="1"/>
  <c r="I1921" i="1" s="1"/>
  <c r="E1921" i="1"/>
  <c r="G1920" i="1"/>
  <c r="I1920" i="1" s="1"/>
  <c r="F1920" i="1"/>
  <c r="E1920" i="1"/>
  <c r="G1919" i="1"/>
  <c r="F1919" i="1"/>
  <c r="E1919" i="1"/>
  <c r="G1918" i="1"/>
  <c r="F1918" i="1"/>
  <c r="I1918" i="1" s="1"/>
  <c r="E1918" i="1"/>
  <c r="G1917" i="1"/>
  <c r="I1917" i="1" s="1"/>
  <c r="F1917" i="1"/>
  <c r="E1917" i="1"/>
  <c r="G1916" i="1"/>
  <c r="F1916" i="1"/>
  <c r="E1916" i="1"/>
  <c r="G1915" i="1"/>
  <c r="F1915" i="1"/>
  <c r="I1915" i="1" s="1"/>
  <c r="E1915" i="1"/>
  <c r="G1914" i="1"/>
  <c r="I1914" i="1" s="1"/>
  <c r="F1914" i="1"/>
  <c r="E1914" i="1"/>
  <c r="G1913" i="1"/>
  <c r="F1913" i="1"/>
  <c r="E1913" i="1"/>
  <c r="I1913" i="1" s="1"/>
  <c r="G1912" i="1"/>
  <c r="F1912" i="1"/>
  <c r="I1912" i="1" s="1"/>
  <c r="E1912" i="1"/>
  <c r="G1911" i="1"/>
  <c r="I1911" i="1" s="1"/>
  <c r="F1911" i="1"/>
  <c r="E1911" i="1"/>
  <c r="G1910" i="1"/>
  <c r="F1910" i="1"/>
  <c r="E1910" i="1"/>
  <c r="G1909" i="1"/>
  <c r="F1909" i="1"/>
  <c r="I1909" i="1" s="1"/>
  <c r="E1909" i="1"/>
  <c r="I1908" i="1"/>
  <c r="I1907" i="1"/>
  <c r="G1907" i="1"/>
  <c r="F1907" i="1"/>
  <c r="E1907" i="1"/>
  <c r="G1906" i="1"/>
  <c r="F1906" i="1"/>
  <c r="E1906" i="1"/>
  <c r="G1905" i="1"/>
  <c r="F1905" i="1"/>
  <c r="E1905" i="1"/>
  <c r="I1905" i="1" s="1"/>
  <c r="I1904" i="1"/>
  <c r="G1904" i="1"/>
  <c r="F1904" i="1"/>
  <c r="E1904" i="1"/>
  <c r="G1903" i="1"/>
  <c r="F1903" i="1"/>
  <c r="I1903" i="1" s="1"/>
  <c r="E1903" i="1"/>
  <c r="I1902" i="1"/>
  <c r="G1901" i="1"/>
  <c r="F1901" i="1"/>
  <c r="E1901" i="1"/>
  <c r="I1901" i="1" s="1"/>
  <c r="I1900" i="1"/>
  <c r="G1900" i="1"/>
  <c r="F1900" i="1"/>
  <c r="E1900" i="1"/>
  <c r="I1899" i="1"/>
  <c r="G1899" i="1"/>
  <c r="F1899" i="1"/>
  <c r="E1899" i="1"/>
  <c r="G1898" i="1"/>
  <c r="F1898" i="1"/>
  <c r="E1898" i="1"/>
  <c r="G1897" i="1"/>
  <c r="I1897" i="1" s="1"/>
  <c r="F1897" i="1"/>
  <c r="E1897" i="1"/>
  <c r="I1896" i="1"/>
  <c r="G1896" i="1"/>
  <c r="F1896" i="1"/>
  <c r="E1896" i="1"/>
  <c r="I1895" i="1"/>
  <c r="G1894" i="1"/>
  <c r="F1894" i="1"/>
  <c r="E1894" i="1"/>
  <c r="I1894" i="1" s="1"/>
  <c r="G1893" i="1"/>
  <c r="F1893" i="1"/>
  <c r="E1893" i="1"/>
  <c r="I1893" i="1" s="1"/>
  <c r="I1892" i="1"/>
  <c r="G1892" i="1"/>
  <c r="F1892" i="1"/>
  <c r="E1892" i="1"/>
  <c r="G1891" i="1"/>
  <c r="F1891" i="1"/>
  <c r="E1891" i="1"/>
  <c r="I1891" i="1" s="1"/>
  <c r="G1890" i="1"/>
  <c r="F1890" i="1"/>
  <c r="E1890" i="1"/>
  <c r="I1890" i="1" s="1"/>
  <c r="I1889" i="1"/>
  <c r="G1889" i="1"/>
  <c r="F1889" i="1"/>
  <c r="E1889" i="1"/>
  <c r="I1888" i="1"/>
  <c r="G1887" i="1"/>
  <c r="I1887" i="1" s="1"/>
  <c r="F1887" i="1"/>
  <c r="E1887" i="1"/>
  <c r="I1886" i="1"/>
  <c r="I1885" i="1"/>
  <c r="I1884" i="1"/>
  <c r="I1883" i="1"/>
  <c r="G1883" i="1"/>
  <c r="F1883" i="1"/>
  <c r="E1883" i="1"/>
  <c r="I1882" i="1"/>
  <c r="G1881" i="1"/>
  <c r="I1881" i="1" s="1"/>
  <c r="F1881" i="1"/>
  <c r="E1881" i="1"/>
  <c r="I1880" i="1"/>
  <c r="G1879" i="1"/>
  <c r="F1879" i="1"/>
  <c r="E1879" i="1"/>
  <c r="G1878" i="1"/>
  <c r="F1878" i="1"/>
  <c r="E1878" i="1"/>
  <c r="I1878" i="1" s="1"/>
  <c r="I1877" i="1"/>
  <c r="G1877" i="1"/>
  <c r="F1877" i="1"/>
  <c r="E1877" i="1"/>
  <c r="G1876" i="1"/>
  <c r="F1876" i="1"/>
  <c r="E1876" i="1"/>
  <c r="I1876" i="1" s="1"/>
  <c r="G1875" i="1"/>
  <c r="F1875" i="1"/>
  <c r="E1875" i="1"/>
  <c r="I1875" i="1" s="1"/>
  <c r="I1874" i="1"/>
  <c r="G1874" i="1"/>
  <c r="F1874" i="1"/>
  <c r="E1874" i="1"/>
  <c r="G1873" i="1"/>
  <c r="F1873" i="1"/>
  <c r="E1873" i="1"/>
  <c r="G1872" i="1"/>
  <c r="F1872" i="1"/>
  <c r="E1872" i="1"/>
  <c r="I1872" i="1" s="1"/>
  <c r="I1871" i="1"/>
  <c r="G1871" i="1"/>
  <c r="F1871" i="1"/>
  <c r="E1871" i="1"/>
  <c r="G1870" i="1"/>
  <c r="F1870" i="1"/>
  <c r="E1870" i="1"/>
  <c r="I1870" i="1" s="1"/>
  <c r="G1869" i="1"/>
  <c r="F1869" i="1"/>
  <c r="E1869" i="1"/>
  <c r="I1869" i="1" s="1"/>
  <c r="I1868" i="1"/>
  <c r="G1868" i="1"/>
  <c r="F1868" i="1"/>
  <c r="E1868" i="1"/>
  <c r="G1867" i="1"/>
  <c r="F1867" i="1"/>
  <c r="E1867" i="1"/>
  <c r="I1867" i="1" s="1"/>
  <c r="G1866" i="1"/>
  <c r="F1866" i="1"/>
  <c r="E1866" i="1"/>
  <c r="I1866" i="1" s="1"/>
  <c r="I1865" i="1"/>
  <c r="G1865" i="1"/>
  <c r="F1865" i="1"/>
  <c r="E1865" i="1"/>
  <c r="G1864" i="1"/>
  <c r="F1864" i="1"/>
  <c r="E1864" i="1"/>
  <c r="G1863" i="1"/>
  <c r="F1863" i="1"/>
  <c r="E1863" i="1"/>
  <c r="I1863" i="1" s="1"/>
  <c r="I1862" i="1"/>
  <c r="G1862" i="1"/>
  <c r="F1862" i="1"/>
  <c r="E1862" i="1"/>
  <c r="G1861" i="1"/>
  <c r="F1861" i="1"/>
  <c r="E1861" i="1"/>
  <c r="I1860" i="1"/>
  <c r="G1859" i="1"/>
  <c r="F1859" i="1"/>
  <c r="E1859" i="1"/>
  <c r="I1859" i="1" s="1"/>
  <c r="I1858" i="1"/>
  <c r="I1857" i="1"/>
  <c r="I1856" i="1"/>
  <c r="I1855" i="1"/>
  <c r="I1854" i="1"/>
  <c r="I1853" i="1"/>
  <c r="G1853" i="1"/>
  <c r="F1853" i="1"/>
  <c r="E1853" i="1"/>
  <c r="I1852" i="1"/>
  <c r="G1851" i="1"/>
  <c r="I1851" i="1" s="1"/>
  <c r="F1851" i="1"/>
  <c r="E1851" i="1"/>
  <c r="I1850" i="1"/>
  <c r="I1849" i="1"/>
  <c r="I1848" i="1"/>
  <c r="G1848" i="1"/>
  <c r="F1848" i="1"/>
  <c r="E1848" i="1"/>
  <c r="I1847" i="1"/>
  <c r="I1846" i="1"/>
  <c r="I1845" i="1"/>
  <c r="I1844" i="1"/>
  <c r="G1844" i="1"/>
  <c r="F1844" i="1"/>
  <c r="E1844" i="1"/>
  <c r="I1843" i="1"/>
  <c r="I1842" i="1"/>
  <c r="I1841" i="1"/>
  <c r="I1840" i="1"/>
  <c r="I1839" i="1"/>
  <c r="I1838" i="1"/>
  <c r="G1837" i="1"/>
  <c r="F1837" i="1"/>
  <c r="E1837" i="1"/>
  <c r="I1837" i="1" s="1"/>
  <c r="I1836" i="1"/>
  <c r="G1835" i="1"/>
  <c r="F1835" i="1"/>
  <c r="E1835" i="1"/>
  <c r="I1834" i="1"/>
  <c r="G1833" i="1"/>
  <c r="F1833" i="1"/>
  <c r="E1833" i="1"/>
  <c r="I1833" i="1" s="1"/>
  <c r="I1832" i="1"/>
  <c r="I1831" i="1"/>
  <c r="I1830" i="1"/>
  <c r="G1829" i="1"/>
  <c r="F1829" i="1"/>
  <c r="E1829" i="1"/>
  <c r="I1829" i="1" s="1"/>
  <c r="I1828" i="1"/>
  <c r="I1827" i="1"/>
  <c r="I1826" i="1"/>
  <c r="G1825" i="1"/>
  <c r="F1825" i="1"/>
  <c r="E1825" i="1"/>
  <c r="I1824" i="1"/>
  <c r="G1823" i="1"/>
  <c r="F1823" i="1"/>
  <c r="E1823" i="1"/>
  <c r="I1823" i="1" s="1"/>
  <c r="I1822" i="1"/>
  <c r="G1821" i="1"/>
  <c r="F1821" i="1"/>
  <c r="E1821" i="1"/>
  <c r="I1821" i="1" s="1"/>
  <c r="I1820" i="1"/>
  <c r="G1820" i="1"/>
  <c r="F1820" i="1"/>
  <c r="E1820" i="1"/>
  <c r="G1819" i="1"/>
  <c r="F1819" i="1"/>
  <c r="E1819" i="1"/>
  <c r="G1818" i="1"/>
  <c r="F1818" i="1"/>
  <c r="E1818" i="1"/>
  <c r="I1818" i="1" s="1"/>
  <c r="I1817" i="1"/>
  <c r="G1817" i="1"/>
  <c r="F1817" i="1"/>
  <c r="E1817" i="1"/>
  <c r="G1816" i="1"/>
  <c r="F1816" i="1"/>
  <c r="E1816" i="1"/>
  <c r="G1815" i="1"/>
  <c r="F1815" i="1"/>
  <c r="E1815" i="1"/>
  <c r="I1815" i="1" s="1"/>
  <c r="I1814" i="1"/>
  <c r="G1814" i="1"/>
  <c r="F1814" i="1"/>
  <c r="E1814" i="1"/>
  <c r="G1813" i="1"/>
  <c r="F1813" i="1"/>
  <c r="E1813" i="1"/>
  <c r="I1813" i="1" s="1"/>
  <c r="G1812" i="1"/>
  <c r="F1812" i="1"/>
  <c r="E1812" i="1"/>
  <c r="I1812" i="1" s="1"/>
  <c r="I1811" i="1"/>
  <c r="G1811" i="1"/>
  <c r="F1811" i="1"/>
  <c r="E1811" i="1"/>
  <c r="G1810" i="1"/>
  <c r="F1810" i="1"/>
  <c r="E1810" i="1"/>
  <c r="G1809" i="1"/>
  <c r="F1809" i="1"/>
  <c r="E1809" i="1"/>
  <c r="I1809" i="1" s="1"/>
  <c r="I1808" i="1"/>
  <c r="G1808" i="1"/>
  <c r="F1808" i="1"/>
  <c r="E1808" i="1"/>
  <c r="G1807" i="1"/>
  <c r="F1807" i="1"/>
  <c r="E1807" i="1"/>
  <c r="G1806" i="1"/>
  <c r="F1806" i="1"/>
  <c r="E1806" i="1"/>
  <c r="I1806" i="1" s="1"/>
  <c r="I1805" i="1"/>
  <c r="G1805" i="1"/>
  <c r="F1805" i="1"/>
  <c r="E1805" i="1"/>
  <c r="G1804" i="1"/>
  <c r="F1804" i="1"/>
  <c r="E1804" i="1"/>
  <c r="I1803" i="1"/>
  <c r="G1802" i="1"/>
  <c r="F1802" i="1"/>
  <c r="E1802" i="1"/>
  <c r="G1801" i="1"/>
  <c r="I1801" i="1" s="1"/>
  <c r="F1801" i="1"/>
  <c r="E1801" i="1"/>
  <c r="G1800" i="1"/>
  <c r="I1800" i="1" s="1"/>
  <c r="F1800" i="1"/>
  <c r="E1800" i="1"/>
  <c r="G1799" i="1"/>
  <c r="F1799" i="1"/>
  <c r="E1799" i="1"/>
  <c r="G1798" i="1"/>
  <c r="F1798" i="1"/>
  <c r="I1798" i="1" s="1"/>
  <c r="E1798" i="1"/>
  <c r="G1797" i="1"/>
  <c r="I1797" i="1" s="1"/>
  <c r="F1797" i="1"/>
  <c r="E1797" i="1"/>
  <c r="G1796" i="1"/>
  <c r="F1796" i="1"/>
  <c r="E1796" i="1"/>
  <c r="G1795" i="1"/>
  <c r="F1795" i="1"/>
  <c r="I1795" i="1" s="1"/>
  <c r="E1795" i="1"/>
  <c r="G1794" i="1"/>
  <c r="I1794" i="1" s="1"/>
  <c r="F1794" i="1"/>
  <c r="E1794" i="1"/>
  <c r="G1793" i="1"/>
  <c r="F1793" i="1"/>
  <c r="E1793" i="1"/>
  <c r="I1793" i="1" s="1"/>
  <c r="G1792" i="1"/>
  <c r="F1792" i="1"/>
  <c r="I1792" i="1" s="1"/>
  <c r="E1792" i="1"/>
  <c r="G1791" i="1"/>
  <c r="I1791" i="1" s="1"/>
  <c r="F1791" i="1"/>
  <c r="E1791" i="1"/>
  <c r="G1790" i="1"/>
  <c r="F1790" i="1"/>
  <c r="E1790" i="1"/>
  <c r="G1789" i="1"/>
  <c r="F1789" i="1"/>
  <c r="I1789" i="1" s="1"/>
  <c r="E1789" i="1"/>
  <c r="G1788" i="1"/>
  <c r="I1788" i="1" s="1"/>
  <c r="F1788" i="1"/>
  <c r="E1788" i="1"/>
  <c r="G1787" i="1"/>
  <c r="F1787" i="1"/>
  <c r="E1787" i="1"/>
  <c r="G1786" i="1"/>
  <c r="F1786" i="1"/>
  <c r="I1786" i="1" s="1"/>
  <c r="E1786" i="1"/>
  <c r="G1785" i="1"/>
  <c r="I1785" i="1" s="1"/>
  <c r="F1785" i="1"/>
  <c r="E1785" i="1"/>
  <c r="I1784" i="1"/>
  <c r="G1783" i="1"/>
  <c r="F1783" i="1"/>
  <c r="E1783" i="1"/>
  <c r="I1783" i="1" s="1"/>
  <c r="I1782" i="1"/>
  <c r="G1781" i="1"/>
  <c r="F1781" i="1"/>
  <c r="E1781" i="1"/>
  <c r="I1781" i="1" s="1"/>
  <c r="I1780" i="1"/>
  <c r="G1779" i="1"/>
  <c r="F1779" i="1"/>
  <c r="E1779" i="1"/>
  <c r="I1779" i="1" s="1"/>
  <c r="I1778" i="1"/>
  <c r="G1777" i="1"/>
  <c r="F1777" i="1"/>
  <c r="I1777" i="1" s="1"/>
  <c r="E1777" i="1"/>
  <c r="I1776" i="1"/>
  <c r="I1775" i="1"/>
  <c r="G1775" i="1"/>
  <c r="F1775" i="1"/>
  <c r="E1775" i="1"/>
  <c r="I1774" i="1"/>
  <c r="G1773" i="1"/>
  <c r="I1773" i="1" s="1"/>
  <c r="F1773" i="1"/>
  <c r="E1773" i="1"/>
  <c r="I1772" i="1"/>
  <c r="G1771" i="1"/>
  <c r="F1771" i="1"/>
  <c r="E1771" i="1"/>
  <c r="G1770" i="1"/>
  <c r="F1770" i="1"/>
  <c r="E1770" i="1"/>
  <c r="I1770" i="1" s="1"/>
  <c r="I1769" i="1"/>
  <c r="G1769" i="1"/>
  <c r="F1769" i="1"/>
  <c r="E1769" i="1"/>
  <c r="G1768" i="1"/>
  <c r="F1768" i="1"/>
  <c r="E1768" i="1"/>
  <c r="I1768" i="1" s="1"/>
  <c r="G1767" i="1"/>
  <c r="F1767" i="1"/>
  <c r="E1767" i="1"/>
  <c r="I1767" i="1" s="1"/>
  <c r="I1766" i="1"/>
  <c r="G1766" i="1"/>
  <c r="F1766" i="1"/>
  <c r="E1766" i="1"/>
  <c r="G1765" i="1"/>
  <c r="F1765" i="1"/>
  <c r="E1765" i="1"/>
  <c r="G1764" i="1"/>
  <c r="F1764" i="1"/>
  <c r="E1764" i="1"/>
  <c r="I1764" i="1" s="1"/>
  <c r="I1763" i="1"/>
  <c r="G1763" i="1"/>
  <c r="F1763" i="1"/>
  <c r="E1763" i="1"/>
  <c r="G1762" i="1"/>
  <c r="F1762" i="1"/>
  <c r="E1762" i="1"/>
  <c r="I1762" i="1" s="1"/>
  <c r="G1761" i="1"/>
  <c r="F1761" i="1"/>
  <c r="E1761" i="1"/>
  <c r="I1761" i="1" s="1"/>
  <c r="I1760" i="1"/>
  <c r="G1760" i="1"/>
  <c r="F1760" i="1"/>
  <c r="E1760" i="1"/>
  <c r="G1759" i="1"/>
  <c r="F1759" i="1"/>
  <c r="E1759" i="1"/>
  <c r="I1759" i="1" s="1"/>
  <c r="G1758" i="1"/>
  <c r="F1758" i="1"/>
  <c r="E1758" i="1"/>
  <c r="I1758" i="1" s="1"/>
  <c r="I1757" i="1"/>
  <c r="G1757" i="1"/>
  <c r="F1757" i="1"/>
  <c r="E1757" i="1"/>
  <c r="G1756" i="1"/>
  <c r="F1756" i="1"/>
  <c r="E1756" i="1"/>
  <c r="G1755" i="1"/>
  <c r="F1755" i="1"/>
  <c r="E1755" i="1"/>
  <c r="I1755" i="1" s="1"/>
  <c r="I1754" i="1"/>
  <c r="G1754" i="1"/>
  <c r="F1754" i="1"/>
  <c r="E1754" i="1"/>
  <c r="I1753" i="1"/>
  <c r="G1752" i="1"/>
  <c r="I1752" i="1" s="1"/>
  <c r="F1752" i="1"/>
  <c r="E1752" i="1"/>
  <c r="G1751" i="1"/>
  <c r="F1751" i="1"/>
  <c r="E1751" i="1"/>
  <c r="G1750" i="1"/>
  <c r="F1750" i="1"/>
  <c r="E1750" i="1"/>
  <c r="G1749" i="1"/>
  <c r="I1749" i="1" s="1"/>
  <c r="F1749" i="1"/>
  <c r="E1749" i="1"/>
  <c r="G1748" i="1"/>
  <c r="F1748" i="1"/>
  <c r="E1748" i="1"/>
  <c r="I1748" i="1" s="1"/>
  <c r="G1747" i="1"/>
  <c r="F1747" i="1"/>
  <c r="E1747" i="1"/>
  <c r="G1746" i="1"/>
  <c r="I1746" i="1" s="1"/>
  <c r="F1746" i="1"/>
  <c r="E1746" i="1"/>
  <c r="G1745" i="1"/>
  <c r="F1745" i="1"/>
  <c r="E1745" i="1"/>
  <c r="G1744" i="1"/>
  <c r="F1744" i="1"/>
  <c r="I1744" i="1" s="1"/>
  <c r="E1744" i="1"/>
  <c r="G1743" i="1"/>
  <c r="I1743" i="1" s="1"/>
  <c r="F1743" i="1"/>
  <c r="E1743" i="1"/>
  <c r="G1742" i="1"/>
  <c r="F1742" i="1"/>
  <c r="E1742" i="1"/>
  <c r="I1742" i="1" s="1"/>
  <c r="G1741" i="1"/>
  <c r="F1741" i="1"/>
  <c r="E1741" i="1"/>
  <c r="G1740" i="1"/>
  <c r="I1740" i="1" s="1"/>
  <c r="F1740" i="1"/>
  <c r="E1740" i="1"/>
  <c r="G1739" i="1"/>
  <c r="F1739" i="1"/>
  <c r="E1739" i="1"/>
  <c r="I1739" i="1" s="1"/>
  <c r="G1738" i="1"/>
  <c r="F1738" i="1"/>
  <c r="I1738" i="1" s="1"/>
  <c r="E1738" i="1"/>
  <c r="I1737" i="1"/>
  <c r="G1737" i="1"/>
  <c r="F1737" i="1"/>
  <c r="E1737" i="1"/>
  <c r="G1736" i="1"/>
  <c r="F1736" i="1"/>
  <c r="E1736" i="1"/>
  <c r="G1735" i="1"/>
  <c r="F1735" i="1"/>
  <c r="I1735" i="1" s="1"/>
  <c r="E1735" i="1"/>
  <c r="G1734" i="1"/>
  <c r="I1734" i="1" s="1"/>
  <c r="F1734" i="1"/>
  <c r="E1734" i="1"/>
  <c r="I1733" i="1"/>
  <c r="G1732" i="1"/>
  <c r="F1732" i="1"/>
  <c r="E1732" i="1"/>
  <c r="G1731" i="1"/>
  <c r="F1731" i="1"/>
  <c r="E1731" i="1"/>
  <c r="I1731" i="1" s="1"/>
  <c r="I1730" i="1"/>
  <c r="G1730" i="1"/>
  <c r="F1730" i="1"/>
  <c r="E1730" i="1"/>
  <c r="G1729" i="1"/>
  <c r="F1729" i="1"/>
  <c r="E1729" i="1"/>
  <c r="I1728" i="1"/>
  <c r="G1728" i="1"/>
  <c r="F1728" i="1"/>
  <c r="E1728" i="1"/>
  <c r="I1727" i="1"/>
  <c r="G1727" i="1"/>
  <c r="F1727" i="1"/>
  <c r="E1727" i="1"/>
  <c r="G1726" i="1"/>
  <c r="F1726" i="1"/>
  <c r="E1726" i="1"/>
  <c r="I1726" i="1" s="1"/>
  <c r="G1725" i="1"/>
  <c r="F1725" i="1"/>
  <c r="E1725" i="1"/>
  <c r="I1725" i="1" s="1"/>
  <c r="I1724" i="1"/>
  <c r="G1724" i="1"/>
  <c r="F1724" i="1"/>
  <c r="E1724" i="1"/>
  <c r="G1723" i="1"/>
  <c r="F1723" i="1"/>
  <c r="E1723" i="1"/>
  <c r="I1723" i="1" s="1"/>
  <c r="I1722" i="1"/>
  <c r="G1722" i="1"/>
  <c r="F1722" i="1"/>
  <c r="E1722" i="1"/>
  <c r="I1721" i="1"/>
  <c r="G1721" i="1"/>
  <c r="F1721" i="1"/>
  <c r="E1721" i="1"/>
  <c r="G1720" i="1"/>
  <c r="F1720" i="1"/>
  <c r="E1720" i="1"/>
  <c r="G1719" i="1"/>
  <c r="F1719" i="1"/>
  <c r="E1719" i="1"/>
  <c r="I1719" i="1" s="1"/>
  <c r="I1718" i="1"/>
  <c r="G1718" i="1"/>
  <c r="F1718" i="1"/>
  <c r="E1718" i="1"/>
  <c r="G1717" i="1"/>
  <c r="F1717" i="1"/>
  <c r="E1717" i="1"/>
  <c r="I1717" i="1" s="1"/>
  <c r="G1716" i="1"/>
  <c r="I1716" i="1" s="1"/>
  <c r="F1716" i="1"/>
  <c r="E1716" i="1"/>
  <c r="I1715" i="1"/>
  <c r="G1715" i="1"/>
  <c r="F1715" i="1"/>
  <c r="E1715" i="1"/>
  <c r="I1714" i="1"/>
  <c r="G1713" i="1"/>
  <c r="F1713" i="1"/>
  <c r="E1713" i="1"/>
  <c r="I1713" i="1" s="1"/>
  <c r="G1712" i="1"/>
  <c r="F1712" i="1"/>
  <c r="E1712" i="1"/>
  <c r="I1712" i="1" s="1"/>
  <c r="I1711" i="1"/>
  <c r="G1711" i="1"/>
  <c r="F1711" i="1"/>
  <c r="E1711" i="1"/>
  <c r="G1710" i="1"/>
  <c r="F1710" i="1"/>
  <c r="E1710" i="1"/>
  <c r="I1710" i="1" s="1"/>
  <c r="G1709" i="1"/>
  <c r="F1709" i="1"/>
  <c r="E1709" i="1"/>
  <c r="I1709" i="1" s="1"/>
  <c r="I1708" i="1"/>
  <c r="G1708" i="1"/>
  <c r="F1708" i="1"/>
  <c r="E1708" i="1"/>
  <c r="G1707" i="1"/>
  <c r="F1707" i="1"/>
  <c r="E1707" i="1"/>
  <c r="I1707" i="1" s="1"/>
  <c r="G1706" i="1"/>
  <c r="F1706" i="1"/>
  <c r="E1706" i="1"/>
  <c r="I1706" i="1" s="1"/>
  <c r="I1705" i="1"/>
  <c r="G1705" i="1"/>
  <c r="F1705" i="1"/>
  <c r="E1705" i="1"/>
  <c r="G1704" i="1"/>
  <c r="F1704" i="1"/>
  <c r="E1704" i="1"/>
  <c r="I1704" i="1" s="1"/>
  <c r="G1703" i="1"/>
  <c r="F1703" i="1"/>
  <c r="E1703" i="1"/>
  <c r="I1703" i="1" s="1"/>
  <c r="I1702" i="1"/>
  <c r="G1702" i="1"/>
  <c r="F1702" i="1"/>
  <c r="E1702" i="1"/>
  <c r="G1701" i="1"/>
  <c r="F1701" i="1"/>
  <c r="E1701" i="1"/>
  <c r="I1701" i="1" s="1"/>
  <c r="G1700" i="1"/>
  <c r="F1700" i="1"/>
  <c r="E1700" i="1"/>
  <c r="I1700" i="1" s="1"/>
  <c r="I1699" i="1"/>
  <c r="G1699" i="1"/>
  <c r="F1699" i="1"/>
  <c r="E1699" i="1"/>
  <c r="G1698" i="1"/>
  <c r="F1698" i="1"/>
  <c r="E1698" i="1"/>
  <c r="I1698" i="1" s="1"/>
  <c r="G1697" i="1"/>
  <c r="F1697" i="1"/>
  <c r="E1697" i="1"/>
  <c r="I1697" i="1" s="1"/>
  <c r="I1696" i="1"/>
  <c r="I1695" i="1"/>
  <c r="G1694" i="1"/>
  <c r="F1694" i="1"/>
  <c r="E1694" i="1"/>
  <c r="I1694" i="1" s="1"/>
  <c r="G1693" i="1"/>
  <c r="F1693" i="1"/>
  <c r="I1693" i="1" s="1"/>
  <c r="E1693" i="1"/>
  <c r="G1692" i="1"/>
  <c r="F1692" i="1"/>
  <c r="I1692" i="1" s="1"/>
  <c r="E1692" i="1"/>
  <c r="G1691" i="1"/>
  <c r="F1691" i="1"/>
  <c r="E1691" i="1"/>
  <c r="I1691" i="1" s="1"/>
  <c r="G1690" i="1"/>
  <c r="F1690" i="1"/>
  <c r="I1690" i="1" s="1"/>
  <c r="E1690" i="1"/>
  <c r="G1689" i="1"/>
  <c r="F1689" i="1"/>
  <c r="I1689" i="1" s="1"/>
  <c r="E1689" i="1"/>
  <c r="G1688" i="1"/>
  <c r="F1688" i="1"/>
  <c r="E1688" i="1"/>
  <c r="I1688" i="1" s="1"/>
  <c r="G1687" i="1"/>
  <c r="F1687" i="1"/>
  <c r="I1687" i="1" s="1"/>
  <c r="E1687" i="1"/>
  <c r="I1686" i="1"/>
  <c r="G1686" i="1"/>
  <c r="F1686" i="1"/>
  <c r="E1686" i="1"/>
  <c r="G1685" i="1"/>
  <c r="F1685" i="1"/>
  <c r="E1685" i="1"/>
  <c r="I1685" i="1" s="1"/>
  <c r="G1684" i="1"/>
  <c r="F1684" i="1"/>
  <c r="I1684" i="1" s="1"/>
  <c r="E1684" i="1"/>
  <c r="G1683" i="1"/>
  <c r="I1683" i="1" s="1"/>
  <c r="F1683" i="1"/>
  <c r="E1683" i="1"/>
  <c r="G1682" i="1"/>
  <c r="F1682" i="1"/>
  <c r="E1682" i="1"/>
  <c r="G1681" i="1"/>
  <c r="F1681" i="1"/>
  <c r="I1681" i="1" s="1"/>
  <c r="E1681" i="1"/>
  <c r="G1680" i="1"/>
  <c r="F1680" i="1"/>
  <c r="I1680" i="1" s="1"/>
  <c r="E1680" i="1"/>
  <c r="G1679" i="1"/>
  <c r="F1679" i="1"/>
  <c r="E1679" i="1"/>
  <c r="I1679" i="1" s="1"/>
  <c r="G1678" i="1"/>
  <c r="F1678" i="1"/>
  <c r="I1678" i="1" s="1"/>
  <c r="E1678" i="1"/>
  <c r="G1677" i="1"/>
  <c r="F1677" i="1"/>
  <c r="I1677" i="1" s="1"/>
  <c r="E1677" i="1"/>
  <c r="I1676" i="1"/>
  <c r="G1675" i="1"/>
  <c r="F1675" i="1"/>
  <c r="E1675" i="1"/>
  <c r="G1674" i="1"/>
  <c r="F1674" i="1"/>
  <c r="E1674" i="1"/>
  <c r="I1674" i="1" s="1"/>
  <c r="I1673" i="1"/>
  <c r="I1672" i="1"/>
  <c r="I1671" i="1"/>
  <c r="G1670" i="1"/>
  <c r="F1670" i="1"/>
  <c r="E1670" i="1"/>
  <c r="I1670" i="1" s="1"/>
  <c r="G1669" i="1"/>
  <c r="F1669" i="1"/>
  <c r="E1669" i="1"/>
  <c r="I1669" i="1" s="1"/>
  <c r="G1668" i="1"/>
  <c r="F1668" i="1"/>
  <c r="E1668" i="1"/>
  <c r="I1668" i="1" s="1"/>
  <c r="G1667" i="1"/>
  <c r="F1667" i="1"/>
  <c r="E1667" i="1"/>
  <c r="I1667" i="1" s="1"/>
  <c r="G1666" i="1"/>
  <c r="F1666" i="1"/>
  <c r="E1666" i="1"/>
  <c r="I1666" i="1" s="1"/>
  <c r="G1665" i="1"/>
  <c r="F1665" i="1"/>
  <c r="E1665" i="1"/>
  <c r="I1665" i="1" s="1"/>
  <c r="G1664" i="1"/>
  <c r="F1664" i="1"/>
  <c r="E1664" i="1"/>
  <c r="I1664" i="1" s="1"/>
  <c r="G1663" i="1"/>
  <c r="F1663" i="1"/>
  <c r="E1663" i="1"/>
  <c r="I1663" i="1" s="1"/>
  <c r="G1662" i="1"/>
  <c r="F1662" i="1"/>
  <c r="E1662" i="1"/>
  <c r="I1662" i="1" s="1"/>
  <c r="G1661" i="1"/>
  <c r="F1661" i="1"/>
  <c r="E1661" i="1"/>
  <c r="I1661" i="1" s="1"/>
  <c r="G1660" i="1"/>
  <c r="F1660" i="1"/>
  <c r="E1660" i="1"/>
  <c r="I1660" i="1" s="1"/>
  <c r="G1659" i="1"/>
  <c r="F1659" i="1"/>
  <c r="E1659" i="1"/>
  <c r="I1659" i="1" s="1"/>
  <c r="G1658" i="1"/>
  <c r="F1658" i="1"/>
  <c r="E1658" i="1"/>
  <c r="I1658" i="1" s="1"/>
  <c r="G1657" i="1"/>
  <c r="F1657" i="1"/>
  <c r="E1657" i="1"/>
  <c r="I1657" i="1" s="1"/>
  <c r="G1656" i="1"/>
  <c r="F1656" i="1"/>
  <c r="E1656" i="1"/>
  <c r="I1656" i="1" s="1"/>
  <c r="G1655" i="1"/>
  <c r="F1655" i="1"/>
  <c r="E1655" i="1"/>
  <c r="I1655" i="1" s="1"/>
  <c r="G1654" i="1"/>
  <c r="F1654" i="1"/>
  <c r="E1654" i="1"/>
  <c r="I1654" i="1" s="1"/>
  <c r="G1653" i="1"/>
  <c r="F1653" i="1"/>
  <c r="E1653" i="1"/>
  <c r="I1653" i="1" s="1"/>
  <c r="I1652" i="1"/>
  <c r="G1651" i="1"/>
  <c r="F1651" i="1"/>
  <c r="E1651" i="1"/>
  <c r="I1651" i="1" s="1"/>
  <c r="G1650" i="1"/>
  <c r="F1650" i="1"/>
  <c r="E1650" i="1"/>
  <c r="I1650" i="1" s="1"/>
  <c r="I1649" i="1"/>
  <c r="G1648" i="1"/>
  <c r="F1648" i="1"/>
  <c r="I1648" i="1" s="1"/>
  <c r="E1648" i="1"/>
  <c r="G1647" i="1"/>
  <c r="F1647" i="1"/>
  <c r="E1647" i="1"/>
  <c r="I1647" i="1" s="1"/>
  <c r="G1646" i="1"/>
  <c r="F1646" i="1"/>
  <c r="I1646" i="1" s="1"/>
  <c r="E1646" i="1"/>
  <c r="G1645" i="1"/>
  <c r="F1645" i="1"/>
  <c r="I1645" i="1" s="1"/>
  <c r="E1645" i="1"/>
  <c r="G1644" i="1"/>
  <c r="F1644" i="1"/>
  <c r="E1644" i="1"/>
  <c r="I1644" i="1" s="1"/>
  <c r="G1643" i="1"/>
  <c r="F1643" i="1"/>
  <c r="E1643" i="1"/>
  <c r="I1643" i="1" s="1"/>
  <c r="G1642" i="1"/>
  <c r="F1642" i="1"/>
  <c r="I1642" i="1" s="1"/>
  <c r="E1642" i="1"/>
  <c r="G1641" i="1"/>
  <c r="F1641" i="1"/>
  <c r="E1641" i="1"/>
  <c r="I1641" i="1" s="1"/>
  <c r="G1640" i="1"/>
  <c r="F1640" i="1"/>
  <c r="E1640" i="1"/>
  <c r="I1640" i="1" s="1"/>
  <c r="G1639" i="1"/>
  <c r="F1639" i="1"/>
  <c r="I1639" i="1" s="1"/>
  <c r="E1639" i="1"/>
  <c r="G1638" i="1"/>
  <c r="F1638" i="1"/>
  <c r="E1638" i="1"/>
  <c r="I1638" i="1" s="1"/>
  <c r="G1637" i="1"/>
  <c r="F1637" i="1"/>
  <c r="E1637" i="1"/>
  <c r="I1637" i="1" s="1"/>
  <c r="G1636" i="1"/>
  <c r="F1636" i="1"/>
  <c r="I1636" i="1" s="1"/>
  <c r="E1636" i="1"/>
  <c r="G1635" i="1"/>
  <c r="F1635" i="1"/>
  <c r="E1635" i="1"/>
  <c r="I1635" i="1" s="1"/>
  <c r="G1634" i="1"/>
  <c r="F1634" i="1"/>
  <c r="E1634" i="1"/>
  <c r="I1634" i="1" s="1"/>
  <c r="G1633" i="1"/>
  <c r="F1633" i="1"/>
  <c r="I1633" i="1" s="1"/>
  <c r="E1633" i="1"/>
  <c r="G1632" i="1"/>
  <c r="F1632" i="1"/>
  <c r="E1632" i="1"/>
  <c r="I1632" i="1" s="1"/>
  <c r="G1631" i="1"/>
  <c r="F1631" i="1"/>
  <c r="E1631" i="1"/>
  <c r="I1631" i="1" s="1"/>
  <c r="I1630" i="1"/>
  <c r="I1629" i="1"/>
  <c r="I1628" i="1"/>
  <c r="I1627" i="1"/>
  <c r="G1626" i="1"/>
  <c r="F1626" i="1"/>
  <c r="E1626" i="1"/>
  <c r="I1626" i="1" s="1"/>
  <c r="G1625" i="1"/>
  <c r="F1625" i="1"/>
  <c r="E1625" i="1"/>
  <c r="I1625" i="1" s="1"/>
  <c r="G1624" i="1"/>
  <c r="F1624" i="1"/>
  <c r="I1624" i="1" s="1"/>
  <c r="E1624" i="1"/>
  <c r="G1623" i="1"/>
  <c r="F1623" i="1"/>
  <c r="E1623" i="1"/>
  <c r="I1623" i="1" s="1"/>
  <c r="G1622" i="1"/>
  <c r="F1622" i="1"/>
  <c r="E1622" i="1"/>
  <c r="I1622" i="1" s="1"/>
  <c r="G1621" i="1"/>
  <c r="F1621" i="1"/>
  <c r="I1621" i="1" s="1"/>
  <c r="E1621" i="1"/>
  <c r="G1620" i="1"/>
  <c r="F1620" i="1"/>
  <c r="E1620" i="1"/>
  <c r="I1620" i="1" s="1"/>
  <c r="G1619" i="1"/>
  <c r="F1619" i="1"/>
  <c r="E1619" i="1"/>
  <c r="I1619" i="1" s="1"/>
  <c r="G1618" i="1"/>
  <c r="F1618" i="1"/>
  <c r="I1618" i="1" s="1"/>
  <c r="E1618" i="1"/>
  <c r="G1617" i="1"/>
  <c r="F1617" i="1"/>
  <c r="E1617" i="1"/>
  <c r="I1617" i="1" s="1"/>
  <c r="G1616" i="1"/>
  <c r="F1616" i="1"/>
  <c r="E1616" i="1"/>
  <c r="I1616" i="1" s="1"/>
  <c r="G1615" i="1"/>
  <c r="F1615" i="1"/>
  <c r="I1615" i="1" s="1"/>
  <c r="E1615" i="1"/>
  <c r="G1614" i="1"/>
  <c r="F1614" i="1"/>
  <c r="E1614" i="1"/>
  <c r="I1614" i="1" s="1"/>
  <c r="G1613" i="1"/>
  <c r="F1613" i="1"/>
  <c r="E1613" i="1"/>
  <c r="I1613" i="1" s="1"/>
  <c r="G1612" i="1"/>
  <c r="F1612" i="1"/>
  <c r="I1612" i="1" s="1"/>
  <c r="E1612" i="1"/>
  <c r="G1611" i="1"/>
  <c r="F1611" i="1"/>
  <c r="E1611" i="1"/>
  <c r="I1611" i="1" s="1"/>
  <c r="G1610" i="1"/>
  <c r="F1610" i="1"/>
  <c r="E1610" i="1"/>
  <c r="I1610" i="1" s="1"/>
  <c r="G1609" i="1"/>
  <c r="F1609" i="1"/>
  <c r="I1609" i="1" s="1"/>
  <c r="E1609" i="1"/>
  <c r="I1608" i="1"/>
  <c r="G1607" i="1"/>
  <c r="F1607" i="1"/>
  <c r="I1607" i="1" s="1"/>
  <c r="E1607" i="1"/>
  <c r="G1606" i="1"/>
  <c r="F1606" i="1"/>
  <c r="I1606" i="1" s="1"/>
  <c r="E1606" i="1"/>
  <c r="G1605" i="1"/>
  <c r="I1605" i="1" s="1"/>
  <c r="F1605" i="1"/>
  <c r="E1605" i="1"/>
  <c r="G1604" i="1"/>
  <c r="F1604" i="1"/>
  <c r="I1604" i="1" s="1"/>
  <c r="E1604" i="1"/>
  <c r="G1603" i="1"/>
  <c r="F1603" i="1"/>
  <c r="I1603" i="1" s="1"/>
  <c r="E1603" i="1"/>
  <c r="G1602" i="1"/>
  <c r="I1602" i="1" s="1"/>
  <c r="F1602" i="1"/>
  <c r="E1602" i="1"/>
  <c r="G1601" i="1"/>
  <c r="F1601" i="1"/>
  <c r="I1601" i="1" s="1"/>
  <c r="E1601" i="1"/>
  <c r="G1600" i="1"/>
  <c r="F1600" i="1"/>
  <c r="I1600" i="1" s="1"/>
  <c r="E1600" i="1"/>
  <c r="G1599" i="1"/>
  <c r="I1599" i="1" s="1"/>
  <c r="F1599" i="1"/>
  <c r="E1599" i="1"/>
  <c r="G1598" i="1"/>
  <c r="F1598" i="1"/>
  <c r="I1598" i="1" s="1"/>
  <c r="E1598" i="1"/>
  <c r="G1597" i="1"/>
  <c r="F1597" i="1"/>
  <c r="E1597" i="1"/>
  <c r="I1597" i="1" s="1"/>
  <c r="G1596" i="1"/>
  <c r="I1596" i="1" s="1"/>
  <c r="F1596" i="1"/>
  <c r="E1596" i="1"/>
  <c r="G1595" i="1"/>
  <c r="F1595" i="1"/>
  <c r="I1595" i="1" s="1"/>
  <c r="E1595" i="1"/>
  <c r="G1594" i="1"/>
  <c r="F1594" i="1"/>
  <c r="E1594" i="1"/>
  <c r="I1594" i="1" s="1"/>
  <c r="G1593" i="1"/>
  <c r="I1593" i="1" s="1"/>
  <c r="F1593" i="1"/>
  <c r="E1593" i="1"/>
  <c r="G1592" i="1"/>
  <c r="F1592" i="1"/>
  <c r="I1592" i="1" s="1"/>
  <c r="E1592" i="1"/>
  <c r="G1591" i="1"/>
  <c r="F1591" i="1"/>
  <c r="E1591" i="1"/>
  <c r="I1591" i="1" s="1"/>
  <c r="G1590" i="1"/>
  <c r="I1590" i="1" s="1"/>
  <c r="F1590" i="1"/>
  <c r="E1590" i="1"/>
  <c r="G1589" i="1"/>
  <c r="F1589" i="1"/>
  <c r="I1589" i="1" s="1"/>
  <c r="E1589" i="1"/>
  <c r="G1588" i="1"/>
  <c r="F1588" i="1"/>
  <c r="E1588" i="1"/>
  <c r="I1588" i="1" s="1"/>
  <c r="G1587" i="1"/>
  <c r="I1587" i="1" s="1"/>
  <c r="F1587" i="1"/>
  <c r="E1587" i="1"/>
  <c r="I1586" i="1"/>
  <c r="I1585" i="1"/>
  <c r="G1585" i="1"/>
  <c r="F1585" i="1"/>
  <c r="E1585" i="1"/>
  <c r="I1584" i="1"/>
  <c r="G1583" i="1"/>
  <c r="F1583" i="1"/>
  <c r="E1583" i="1"/>
  <c r="I1583" i="1" s="1"/>
  <c r="G1582" i="1"/>
  <c r="F1582" i="1"/>
  <c r="E1582" i="1"/>
  <c r="I1582" i="1" s="1"/>
  <c r="I1581" i="1"/>
  <c r="G1580" i="1"/>
  <c r="F1580" i="1"/>
  <c r="E1580" i="1"/>
  <c r="I1580" i="1" s="1"/>
  <c r="I1579" i="1"/>
  <c r="G1578" i="1"/>
  <c r="I1578" i="1" s="1"/>
  <c r="F1578" i="1"/>
  <c r="E1578" i="1"/>
  <c r="I1577" i="1"/>
  <c r="I1576" i="1"/>
  <c r="G1576" i="1"/>
  <c r="F1576" i="1"/>
  <c r="E1576" i="1"/>
  <c r="I1575" i="1"/>
  <c r="G1575" i="1"/>
  <c r="F1575" i="1"/>
  <c r="E1575" i="1"/>
  <c r="I1574" i="1"/>
  <c r="G1574" i="1"/>
  <c r="F1574" i="1"/>
  <c r="E1574" i="1"/>
  <c r="I1573" i="1"/>
  <c r="G1573" i="1"/>
  <c r="F1573" i="1"/>
  <c r="E1573" i="1"/>
  <c r="G1572" i="1"/>
  <c r="I1572" i="1" s="1"/>
  <c r="F1572" i="1"/>
  <c r="E1572" i="1"/>
  <c r="I1571" i="1"/>
  <c r="G1571" i="1"/>
  <c r="F1571" i="1"/>
  <c r="E1571" i="1"/>
  <c r="I1570" i="1"/>
  <c r="G1570" i="1"/>
  <c r="F1570" i="1"/>
  <c r="E1570" i="1"/>
  <c r="I1569" i="1"/>
  <c r="G1568" i="1"/>
  <c r="F1568" i="1"/>
  <c r="E1568" i="1"/>
  <c r="I1568" i="1" s="1"/>
  <c r="I1567" i="1"/>
  <c r="G1566" i="1"/>
  <c r="F1566" i="1"/>
  <c r="E1566" i="1"/>
  <c r="I1566" i="1" s="1"/>
  <c r="G1565" i="1"/>
  <c r="F1565" i="1"/>
  <c r="E1565" i="1"/>
  <c r="I1565" i="1" s="1"/>
  <c r="I1564" i="1"/>
  <c r="G1563" i="1"/>
  <c r="I1563" i="1" s="1"/>
  <c r="F1563" i="1"/>
  <c r="E1563" i="1"/>
  <c r="G1562" i="1"/>
  <c r="F1562" i="1"/>
  <c r="I1562" i="1" s="1"/>
  <c r="E1562" i="1"/>
  <c r="G1561" i="1"/>
  <c r="F1561" i="1"/>
  <c r="E1561" i="1"/>
  <c r="I1561" i="1" s="1"/>
  <c r="G1560" i="1"/>
  <c r="I1560" i="1" s="1"/>
  <c r="F1560" i="1"/>
  <c r="E1560" i="1"/>
  <c r="G1559" i="1"/>
  <c r="F1559" i="1"/>
  <c r="I1559" i="1" s="1"/>
  <c r="E1559" i="1"/>
  <c r="G1558" i="1"/>
  <c r="F1558" i="1"/>
  <c r="E1558" i="1"/>
  <c r="I1558" i="1" s="1"/>
  <c r="G1557" i="1"/>
  <c r="I1557" i="1" s="1"/>
  <c r="F1557" i="1"/>
  <c r="E1557" i="1"/>
  <c r="G1556" i="1"/>
  <c r="F1556" i="1"/>
  <c r="E1556" i="1"/>
  <c r="I1556" i="1" s="1"/>
  <c r="I1555" i="1"/>
  <c r="G1554" i="1"/>
  <c r="I1554" i="1" s="1"/>
  <c r="F1554" i="1"/>
  <c r="E1554" i="1"/>
  <c r="I1553" i="1"/>
  <c r="G1553" i="1"/>
  <c r="F1553" i="1"/>
  <c r="E1553" i="1"/>
  <c r="I1552" i="1"/>
  <c r="G1552" i="1"/>
  <c r="F1552" i="1"/>
  <c r="E1552" i="1"/>
  <c r="G1551" i="1"/>
  <c r="I1551" i="1" s="1"/>
  <c r="F1551" i="1"/>
  <c r="E1551" i="1"/>
  <c r="I1550" i="1"/>
  <c r="G1550" i="1"/>
  <c r="F1550" i="1"/>
  <c r="E1550" i="1"/>
  <c r="I1549" i="1"/>
  <c r="G1549" i="1"/>
  <c r="F1549" i="1"/>
  <c r="E1549" i="1"/>
  <c r="G1548" i="1"/>
  <c r="I1548" i="1" s="1"/>
  <c r="F1548" i="1"/>
  <c r="E1548" i="1"/>
  <c r="I1547" i="1"/>
  <c r="G1547" i="1"/>
  <c r="F1547" i="1"/>
  <c r="E1547" i="1"/>
  <c r="I1546" i="1"/>
  <c r="I1545" i="1"/>
  <c r="G1545" i="1"/>
  <c r="F1545" i="1"/>
  <c r="E1545" i="1"/>
  <c r="I1544" i="1"/>
  <c r="G1543" i="1"/>
  <c r="F1543" i="1"/>
  <c r="I1543" i="1" s="1"/>
  <c r="E1543" i="1"/>
  <c r="I1542" i="1"/>
  <c r="G1541" i="1"/>
  <c r="F1541" i="1"/>
  <c r="E1541" i="1"/>
  <c r="I1541" i="1" s="1"/>
  <c r="G1540" i="1"/>
  <c r="F1540" i="1"/>
  <c r="E1540" i="1"/>
  <c r="I1540" i="1" s="1"/>
  <c r="G1539" i="1"/>
  <c r="I1539" i="1" s="1"/>
  <c r="F1539" i="1"/>
  <c r="E1539" i="1"/>
  <c r="G1538" i="1"/>
  <c r="F1538" i="1"/>
  <c r="E1538" i="1"/>
  <c r="I1538" i="1" s="1"/>
  <c r="G1537" i="1"/>
  <c r="F1537" i="1"/>
  <c r="E1537" i="1"/>
  <c r="I1537" i="1" s="1"/>
  <c r="G1536" i="1"/>
  <c r="I1536" i="1" s="1"/>
  <c r="F1536" i="1"/>
  <c r="E1536" i="1"/>
  <c r="G1535" i="1"/>
  <c r="F1535" i="1"/>
  <c r="E1535" i="1"/>
  <c r="I1535" i="1" s="1"/>
  <c r="I1534" i="1"/>
  <c r="G1533" i="1"/>
  <c r="I1533" i="1" s="1"/>
  <c r="F1533" i="1"/>
  <c r="E1533" i="1"/>
  <c r="I1532" i="1"/>
  <c r="G1532" i="1"/>
  <c r="F1532" i="1"/>
  <c r="E1532" i="1"/>
  <c r="I1531" i="1"/>
  <c r="I1530" i="1"/>
  <c r="G1529" i="1"/>
  <c r="F1529" i="1"/>
  <c r="E1529" i="1"/>
  <c r="I1529" i="1" s="1"/>
  <c r="I1528" i="1"/>
  <c r="G1527" i="1"/>
  <c r="I1527" i="1" s="1"/>
  <c r="F1527" i="1"/>
  <c r="E1527" i="1"/>
  <c r="I1526" i="1"/>
  <c r="I1525" i="1"/>
  <c r="I1524" i="1"/>
  <c r="G1524" i="1"/>
  <c r="F1524" i="1"/>
  <c r="E1524" i="1"/>
  <c r="I1523" i="1"/>
  <c r="G1522" i="1"/>
  <c r="F1522" i="1"/>
  <c r="I1522" i="1" s="1"/>
  <c r="E1522" i="1"/>
  <c r="I1521" i="1"/>
  <c r="G1520" i="1"/>
  <c r="F1520" i="1"/>
  <c r="E1520" i="1"/>
  <c r="I1520" i="1" s="1"/>
  <c r="I1519" i="1"/>
  <c r="G1518" i="1"/>
  <c r="I1518" i="1" s="1"/>
  <c r="F1518" i="1"/>
  <c r="E1518" i="1"/>
  <c r="I1517" i="1"/>
  <c r="G1517" i="1"/>
  <c r="F1517" i="1"/>
  <c r="E1517" i="1"/>
  <c r="I1516" i="1"/>
  <c r="G1516" i="1"/>
  <c r="F1516" i="1"/>
  <c r="E1516" i="1"/>
  <c r="G1515" i="1"/>
  <c r="I1515" i="1" s="1"/>
  <c r="F1515" i="1"/>
  <c r="E1515" i="1"/>
  <c r="I1514" i="1"/>
  <c r="G1514" i="1"/>
  <c r="F1514" i="1"/>
  <c r="E1514" i="1"/>
  <c r="I1513" i="1"/>
  <c r="G1513" i="1"/>
  <c r="F1513" i="1"/>
  <c r="E1513" i="1"/>
  <c r="G1512" i="1"/>
  <c r="F1512" i="1"/>
  <c r="E1512" i="1"/>
  <c r="I1512" i="1" s="1"/>
  <c r="I1511" i="1"/>
  <c r="G1511" i="1"/>
  <c r="F1511" i="1"/>
  <c r="E1511" i="1"/>
  <c r="I1510" i="1"/>
  <c r="G1510" i="1"/>
  <c r="F1510" i="1"/>
  <c r="E1510" i="1"/>
  <c r="I1509" i="1"/>
  <c r="G1508" i="1"/>
  <c r="F1508" i="1"/>
  <c r="E1508" i="1"/>
  <c r="I1508" i="1" s="1"/>
  <c r="G1507" i="1"/>
  <c r="F1507" i="1"/>
  <c r="E1507" i="1"/>
  <c r="I1507" i="1" s="1"/>
  <c r="I1506" i="1"/>
  <c r="G1505" i="1"/>
  <c r="F1505" i="1"/>
  <c r="E1505" i="1"/>
  <c r="I1505" i="1" s="1"/>
  <c r="G1504" i="1"/>
  <c r="F1504" i="1"/>
  <c r="I1504" i="1" s="1"/>
  <c r="E1504" i="1"/>
  <c r="I1503" i="1"/>
  <c r="G1502" i="1"/>
  <c r="F1502" i="1"/>
  <c r="E1502" i="1"/>
  <c r="I1502" i="1" s="1"/>
  <c r="G1501" i="1"/>
  <c r="F1501" i="1"/>
  <c r="E1501" i="1"/>
  <c r="I1501" i="1" s="1"/>
  <c r="G1500" i="1"/>
  <c r="I1500" i="1" s="1"/>
  <c r="F1500" i="1"/>
  <c r="E1500" i="1"/>
  <c r="I1499" i="1"/>
  <c r="I1498" i="1"/>
  <c r="G1498" i="1"/>
  <c r="F1498" i="1"/>
  <c r="E1498" i="1"/>
  <c r="G1497" i="1"/>
  <c r="F1497" i="1"/>
  <c r="E1497" i="1"/>
  <c r="I1497" i="1" s="1"/>
  <c r="I1496" i="1"/>
  <c r="G1495" i="1"/>
  <c r="F1495" i="1"/>
  <c r="E1495" i="1"/>
  <c r="I1495" i="1" s="1"/>
  <c r="I1494" i="1"/>
  <c r="G1493" i="1"/>
  <c r="F1493" i="1"/>
  <c r="E1493" i="1"/>
  <c r="I1493" i="1" s="1"/>
  <c r="G1492" i="1"/>
  <c r="F1492" i="1"/>
  <c r="I1492" i="1" s="1"/>
  <c r="E1492" i="1"/>
  <c r="G1491" i="1"/>
  <c r="F1491" i="1"/>
  <c r="E1491" i="1"/>
  <c r="I1491" i="1" s="1"/>
  <c r="G1490" i="1"/>
  <c r="F1490" i="1"/>
  <c r="E1490" i="1"/>
  <c r="I1490" i="1" s="1"/>
  <c r="G1489" i="1"/>
  <c r="F1489" i="1"/>
  <c r="I1489" i="1" s="1"/>
  <c r="E1489" i="1"/>
  <c r="G1488" i="1"/>
  <c r="F1488" i="1"/>
  <c r="E1488" i="1"/>
  <c r="I1488" i="1" s="1"/>
  <c r="G1487" i="1"/>
  <c r="F1487" i="1"/>
  <c r="E1487" i="1"/>
  <c r="I1487" i="1" s="1"/>
  <c r="G1486" i="1"/>
  <c r="F1486" i="1"/>
  <c r="I1486" i="1" s="1"/>
  <c r="E1486" i="1"/>
  <c r="G1485" i="1"/>
  <c r="F1485" i="1"/>
  <c r="E1485" i="1"/>
  <c r="I1485" i="1" s="1"/>
  <c r="G1484" i="1"/>
  <c r="F1484" i="1"/>
  <c r="E1484" i="1"/>
  <c r="I1484" i="1" s="1"/>
  <c r="I1483" i="1"/>
  <c r="G1482" i="1"/>
  <c r="I1482" i="1" s="1"/>
  <c r="F1482" i="1"/>
  <c r="E1482" i="1"/>
  <c r="G1481" i="1"/>
  <c r="F1481" i="1"/>
  <c r="E1481" i="1"/>
  <c r="I1481" i="1" s="1"/>
  <c r="I1480" i="1"/>
  <c r="G1479" i="1"/>
  <c r="F1479" i="1"/>
  <c r="E1479" i="1"/>
  <c r="I1479" i="1" s="1"/>
  <c r="I1478" i="1"/>
  <c r="G1478" i="1"/>
  <c r="F1478" i="1"/>
  <c r="E1478" i="1"/>
  <c r="I1477" i="1"/>
  <c r="I1476" i="1"/>
  <c r="G1476" i="1"/>
  <c r="F1476" i="1"/>
  <c r="E1476" i="1"/>
  <c r="I1475" i="1"/>
  <c r="G1475" i="1"/>
  <c r="F1475" i="1"/>
  <c r="E1475" i="1"/>
  <c r="G1474" i="1"/>
  <c r="F1474" i="1"/>
  <c r="E1474" i="1"/>
  <c r="I1474" i="1" s="1"/>
  <c r="I1473" i="1"/>
  <c r="G1473" i="1"/>
  <c r="F1473" i="1"/>
  <c r="E1473" i="1"/>
  <c r="G1472" i="1"/>
  <c r="F1472" i="1"/>
  <c r="E1472" i="1"/>
  <c r="I1472" i="1" s="1"/>
  <c r="G1471" i="1"/>
  <c r="F1471" i="1"/>
  <c r="E1471" i="1"/>
  <c r="I1471" i="1" s="1"/>
  <c r="I1470" i="1"/>
  <c r="G1470" i="1"/>
  <c r="F1470" i="1"/>
  <c r="E1470" i="1"/>
  <c r="G1469" i="1"/>
  <c r="F1469" i="1"/>
  <c r="E1469" i="1"/>
  <c r="I1469" i="1" s="1"/>
  <c r="G1468" i="1"/>
  <c r="F1468" i="1"/>
  <c r="E1468" i="1"/>
  <c r="I1468" i="1" s="1"/>
  <c r="I1467" i="1"/>
  <c r="G1467" i="1"/>
  <c r="F1467" i="1"/>
  <c r="E1467" i="1"/>
  <c r="I1466" i="1"/>
  <c r="G1465" i="1"/>
  <c r="F1465" i="1"/>
  <c r="I1465" i="1" s="1"/>
  <c r="E1465" i="1"/>
  <c r="G1464" i="1"/>
  <c r="F1464" i="1"/>
  <c r="E1464" i="1"/>
  <c r="I1464" i="1" s="1"/>
  <c r="I1463" i="1"/>
  <c r="G1462" i="1"/>
  <c r="F1462" i="1"/>
  <c r="E1462" i="1"/>
  <c r="I1462" i="1" s="1"/>
  <c r="G1461" i="1"/>
  <c r="I1461" i="1" s="1"/>
  <c r="F1461" i="1"/>
  <c r="E1461" i="1"/>
  <c r="I1460" i="1"/>
  <c r="I1459" i="1"/>
  <c r="I1458" i="1"/>
  <c r="G1457" i="1"/>
  <c r="F1457" i="1"/>
  <c r="E1457" i="1"/>
  <c r="I1457" i="1" s="1"/>
  <c r="G1456" i="1"/>
  <c r="F1456" i="1"/>
  <c r="I1456" i="1" s="1"/>
  <c r="E1456" i="1"/>
  <c r="G1455" i="1"/>
  <c r="F1455" i="1"/>
  <c r="E1455" i="1"/>
  <c r="I1455" i="1" s="1"/>
  <c r="G1454" i="1"/>
  <c r="F1454" i="1"/>
  <c r="E1454" i="1"/>
  <c r="I1454" i="1" s="1"/>
  <c r="G1453" i="1"/>
  <c r="F1453" i="1"/>
  <c r="I1453" i="1" s="1"/>
  <c r="E1453" i="1"/>
  <c r="G1452" i="1"/>
  <c r="F1452" i="1"/>
  <c r="E1452" i="1"/>
  <c r="I1452" i="1" s="1"/>
  <c r="G1451" i="1"/>
  <c r="F1451" i="1"/>
  <c r="E1451" i="1"/>
  <c r="I1451" i="1" s="1"/>
  <c r="G1450" i="1"/>
  <c r="F1450" i="1"/>
  <c r="I1450" i="1" s="1"/>
  <c r="E1450" i="1"/>
  <c r="G1449" i="1"/>
  <c r="F1449" i="1"/>
  <c r="E1449" i="1"/>
  <c r="I1449" i="1" s="1"/>
  <c r="I1448" i="1"/>
  <c r="G1447" i="1"/>
  <c r="F1447" i="1"/>
  <c r="E1447" i="1"/>
  <c r="I1447" i="1" s="1"/>
  <c r="G1446" i="1"/>
  <c r="I1446" i="1" s="1"/>
  <c r="F1446" i="1"/>
  <c r="E1446" i="1"/>
  <c r="G1445" i="1"/>
  <c r="F1445" i="1"/>
  <c r="I1445" i="1" s="1"/>
  <c r="E1445" i="1"/>
  <c r="G1444" i="1"/>
  <c r="F1444" i="1"/>
  <c r="E1444" i="1"/>
  <c r="I1444" i="1" s="1"/>
  <c r="G1443" i="1"/>
  <c r="I1443" i="1" s="1"/>
  <c r="F1443" i="1"/>
  <c r="E1443" i="1"/>
  <c r="G1442" i="1"/>
  <c r="F1442" i="1"/>
  <c r="E1442" i="1"/>
  <c r="I1442" i="1" s="1"/>
  <c r="G1441" i="1"/>
  <c r="F1441" i="1"/>
  <c r="E1441" i="1"/>
  <c r="I1441" i="1" s="1"/>
  <c r="G1440" i="1"/>
  <c r="I1440" i="1" s="1"/>
  <c r="F1440" i="1"/>
  <c r="E1440" i="1"/>
  <c r="G1439" i="1"/>
  <c r="F1439" i="1"/>
  <c r="E1439" i="1"/>
  <c r="I1439" i="1" s="1"/>
  <c r="I1438" i="1"/>
  <c r="G1437" i="1"/>
  <c r="I1437" i="1" s="1"/>
  <c r="F1437" i="1"/>
  <c r="E1437" i="1"/>
  <c r="I1436" i="1"/>
  <c r="G1435" i="1"/>
  <c r="F1435" i="1"/>
  <c r="E1435" i="1"/>
  <c r="I1435" i="1" s="1"/>
  <c r="I1434" i="1"/>
  <c r="G1434" i="1"/>
  <c r="F1434" i="1"/>
  <c r="E1434" i="1"/>
  <c r="I1433" i="1"/>
  <c r="G1432" i="1"/>
  <c r="F1432" i="1"/>
  <c r="I1432" i="1" s="1"/>
  <c r="E1432" i="1"/>
  <c r="G1431" i="1"/>
  <c r="F1431" i="1"/>
  <c r="E1431" i="1"/>
  <c r="I1431" i="1" s="1"/>
  <c r="G1430" i="1"/>
  <c r="F1430" i="1"/>
  <c r="E1430" i="1"/>
  <c r="I1430" i="1" s="1"/>
  <c r="G1429" i="1"/>
  <c r="F1429" i="1"/>
  <c r="I1429" i="1" s="1"/>
  <c r="E1429" i="1"/>
  <c r="G1428" i="1"/>
  <c r="F1428" i="1"/>
  <c r="E1428" i="1"/>
  <c r="I1428" i="1" s="1"/>
  <c r="G1427" i="1"/>
  <c r="F1427" i="1"/>
  <c r="E1427" i="1"/>
  <c r="I1427" i="1" s="1"/>
  <c r="G1426" i="1"/>
  <c r="F1426" i="1"/>
  <c r="I1426" i="1" s="1"/>
  <c r="E1426" i="1"/>
  <c r="I1425" i="1"/>
  <c r="I1424" i="1"/>
  <c r="I1423" i="1"/>
  <c r="G1423" i="1"/>
  <c r="F1423" i="1"/>
  <c r="E1423" i="1"/>
  <c r="G1422" i="1"/>
  <c r="I1422" i="1" s="1"/>
  <c r="F1422" i="1"/>
  <c r="E1422" i="1"/>
  <c r="I1421" i="1"/>
  <c r="I1420" i="1"/>
  <c r="G1419" i="1"/>
  <c r="F1419" i="1"/>
  <c r="E1419" i="1"/>
  <c r="I1419" i="1" s="1"/>
  <c r="G1418" i="1"/>
  <c r="F1418" i="1"/>
  <c r="E1418" i="1"/>
  <c r="I1418" i="1" s="1"/>
  <c r="G1417" i="1"/>
  <c r="F1417" i="1"/>
  <c r="I1417" i="1" s="1"/>
  <c r="E1417" i="1"/>
  <c r="G1416" i="1"/>
  <c r="F1416" i="1"/>
  <c r="E1416" i="1"/>
  <c r="I1416" i="1" s="1"/>
  <c r="G1415" i="1"/>
  <c r="F1415" i="1"/>
  <c r="E1415" i="1"/>
  <c r="I1415" i="1" s="1"/>
  <c r="G1414" i="1"/>
  <c r="F1414" i="1"/>
  <c r="E1414" i="1"/>
  <c r="I1414" i="1" s="1"/>
  <c r="G1413" i="1"/>
  <c r="F1413" i="1"/>
  <c r="E1413" i="1"/>
  <c r="I1413" i="1" s="1"/>
  <c r="I1412" i="1"/>
  <c r="I1411" i="1"/>
  <c r="I1410" i="1"/>
  <c r="I1409" i="1"/>
  <c r="G1409" i="1"/>
  <c r="F1409" i="1"/>
  <c r="E1409" i="1"/>
  <c r="G1408" i="1"/>
  <c r="F1408" i="1"/>
  <c r="E1408" i="1"/>
  <c r="I1408" i="1" s="1"/>
  <c r="I1407" i="1"/>
  <c r="G1406" i="1"/>
  <c r="F1406" i="1"/>
  <c r="E1406" i="1"/>
  <c r="I1406" i="1" s="1"/>
  <c r="G1405" i="1"/>
  <c r="F1405" i="1"/>
  <c r="E1405" i="1"/>
  <c r="I1405" i="1" s="1"/>
  <c r="I1404" i="1"/>
  <c r="G1403" i="1"/>
  <c r="F1403" i="1"/>
  <c r="E1403" i="1"/>
  <c r="I1403" i="1" s="1"/>
  <c r="I1402" i="1"/>
  <c r="I1401" i="1"/>
  <c r="I1400" i="1"/>
  <c r="G1400" i="1"/>
  <c r="F1400" i="1"/>
  <c r="E1400" i="1"/>
  <c r="I1399" i="1"/>
  <c r="I1398" i="1"/>
  <c r="I1397" i="1"/>
  <c r="I1396" i="1"/>
  <c r="I1395" i="1"/>
  <c r="G1395" i="1"/>
  <c r="F1395" i="1"/>
  <c r="E1395" i="1"/>
  <c r="G1394" i="1"/>
  <c r="F1394" i="1"/>
  <c r="E1394" i="1"/>
  <c r="I1394" i="1" s="1"/>
  <c r="G1393" i="1"/>
  <c r="F1393" i="1"/>
  <c r="E1393" i="1"/>
  <c r="I1393" i="1" s="1"/>
  <c r="I1392" i="1"/>
  <c r="G1392" i="1"/>
  <c r="F1392" i="1"/>
  <c r="E1392" i="1"/>
  <c r="G1391" i="1"/>
  <c r="F1391" i="1"/>
  <c r="E1391" i="1"/>
  <c r="I1391" i="1" s="1"/>
  <c r="G1390" i="1"/>
  <c r="F1390" i="1"/>
  <c r="E1390" i="1"/>
  <c r="I1390" i="1" s="1"/>
  <c r="I1389" i="1"/>
  <c r="G1389" i="1"/>
  <c r="F1389" i="1"/>
  <c r="E1389" i="1"/>
  <c r="I1388" i="1"/>
  <c r="I1387" i="1"/>
  <c r="I1386" i="1"/>
  <c r="I1385" i="1"/>
  <c r="G1385" i="1"/>
  <c r="F1385" i="1"/>
  <c r="E1385" i="1"/>
  <c r="I1384" i="1"/>
  <c r="I1383" i="1"/>
  <c r="G1383" i="1"/>
  <c r="F1383" i="1"/>
  <c r="E1383" i="1"/>
  <c r="I1382" i="1"/>
  <c r="G1381" i="1"/>
  <c r="F1381" i="1"/>
  <c r="E1381" i="1"/>
  <c r="I1381" i="1" s="1"/>
  <c r="I1380" i="1"/>
  <c r="I1379" i="1"/>
  <c r="I1378" i="1"/>
  <c r="I1377" i="1"/>
  <c r="I1376" i="1"/>
  <c r="I1375" i="1"/>
  <c r="G1374" i="1"/>
  <c r="I1374" i="1" s="1"/>
  <c r="F1374" i="1"/>
  <c r="E1374" i="1"/>
  <c r="I1373" i="1"/>
  <c r="G1373" i="1"/>
  <c r="F1373" i="1"/>
  <c r="E1373" i="1"/>
  <c r="I1372" i="1"/>
  <c r="G1372" i="1"/>
  <c r="F1372" i="1"/>
  <c r="E1372" i="1"/>
  <c r="G1371" i="1"/>
  <c r="F1371" i="1"/>
  <c r="E1371" i="1"/>
  <c r="I1371" i="1" s="1"/>
  <c r="I1370" i="1"/>
  <c r="G1370" i="1"/>
  <c r="F1370" i="1"/>
  <c r="E1370" i="1"/>
  <c r="I1369" i="1"/>
  <c r="G1369" i="1"/>
  <c r="F1369" i="1"/>
  <c r="E1369" i="1"/>
  <c r="G1368" i="1"/>
  <c r="F1368" i="1"/>
  <c r="E1368" i="1"/>
  <c r="I1368" i="1" s="1"/>
  <c r="I1367" i="1"/>
  <c r="I1366" i="1"/>
  <c r="G1365" i="1"/>
  <c r="F1365" i="1"/>
  <c r="E1365" i="1"/>
  <c r="I1365" i="1" s="1"/>
  <c r="G1364" i="1"/>
  <c r="F1364" i="1"/>
  <c r="E1364" i="1"/>
  <c r="I1364" i="1" s="1"/>
  <c r="I1363" i="1"/>
  <c r="I1362" i="1"/>
  <c r="I1361" i="1"/>
  <c r="I1360" i="1"/>
  <c r="G1359" i="1"/>
  <c r="F1359" i="1"/>
  <c r="E1359" i="1"/>
  <c r="I1359" i="1" s="1"/>
  <c r="G1358" i="1"/>
  <c r="F1358" i="1"/>
  <c r="E1358" i="1"/>
  <c r="I1358" i="1" s="1"/>
  <c r="G1357" i="1"/>
  <c r="F1357" i="1"/>
  <c r="E1357" i="1"/>
  <c r="I1357" i="1" s="1"/>
  <c r="G1356" i="1"/>
  <c r="F1356" i="1"/>
  <c r="E1356" i="1"/>
  <c r="I1356" i="1" s="1"/>
  <c r="G1355" i="1"/>
  <c r="F1355" i="1"/>
  <c r="E1355" i="1"/>
  <c r="I1355" i="1" s="1"/>
  <c r="G1354" i="1"/>
  <c r="F1354" i="1"/>
  <c r="E1354" i="1"/>
  <c r="I1354" i="1" s="1"/>
  <c r="G1353" i="1"/>
  <c r="F1353" i="1"/>
  <c r="E1353" i="1"/>
  <c r="I1353" i="1" s="1"/>
  <c r="I1352" i="1"/>
  <c r="G1351" i="1"/>
  <c r="F1351" i="1"/>
  <c r="I1351" i="1" s="1"/>
  <c r="E1351" i="1"/>
  <c r="I1350" i="1"/>
  <c r="I1349" i="1"/>
  <c r="G1349" i="1"/>
  <c r="F1349" i="1"/>
  <c r="E1349" i="1"/>
  <c r="I1348" i="1"/>
  <c r="G1348" i="1"/>
  <c r="F1348" i="1"/>
  <c r="E1348" i="1"/>
  <c r="G1347" i="1"/>
  <c r="F1347" i="1"/>
  <c r="E1347" i="1"/>
  <c r="I1347" i="1" s="1"/>
  <c r="I1346" i="1"/>
  <c r="G1346" i="1"/>
  <c r="F1346" i="1"/>
  <c r="E1346" i="1"/>
  <c r="I1345" i="1"/>
  <c r="G1345" i="1"/>
  <c r="F1345" i="1"/>
  <c r="E1345" i="1"/>
  <c r="G1344" i="1"/>
  <c r="F1344" i="1"/>
  <c r="E1344" i="1"/>
  <c r="I1344" i="1" s="1"/>
  <c r="I1343" i="1"/>
  <c r="G1343" i="1"/>
  <c r="F1343" i="1"/>
  <c r="E1343" i="1"/>
  <c r="I1342" i="1"/>
  <c r="I1341" i="1"/>
  <c r="G1341" i="1"/>
  <c r="F1341" i="1"/>
  <c r="E1341" i="1"/>
  <c r="I1340" i="1"/>
  <c r="G1340" i="1"/>
  <c r="F1340" i="1"/>
  <c r="E1340" i="1"/>
  <c r="G1339" i="1"/>
  <c r="F1339" i="1"/>
  <c r="E1339" i="1"/>
  <c r="I1339" i="1" s="1"/>
  <c r="I1338" i="1"/>
  <c r="G1337" i="1"/>
  <c r="F1337" i="1"/>
  <c r="E1337" i="1"/>
  <c r="I1337" i="1" s="1"/>
  <c r="I1336" i="1"/>
  <c r="G1335" i="1"/>
  <c r="I1335" i="1" s="1"/>
  <c r="F1335" i="1"/>
  <c r="E1335" i="1"/>
  <c r="G1334" i="1"/>
  <c r="F1334" i="1"/>
  <c r="I1334" i="1" s="1"/>
  <c r="E1334" i="1"/>
  <c r="I1333" i="1"/>
  <c r="G1332" i="1"/>
  <c r="F1332" i="1"/>
  <c r="E1332" i="1"/>
  <c r="I1332" i="1" s="1"/>
  <c r="I1331" i="1"/>
  <c r="G1330" i="1"/>
  <c r="F1330" i="1"/>
  <c r="E1330" i="1"/>
  <c r="I1330" i="1" s="1"/>
  <c r="I1329" i="1"/>
  <c r="G1328" i="1"/>
  <c r="F1328" i="1"/>
  <c r="E1328" i="1"/>
  <c r="I1328" i="1" s="1"/>
  <c r="G1327" i="1"/>
  <c r="F1327" i="1"/>
  <c r="E1327" i="1"/>
  <c r="I1327" i="1" s="1"/>
  <c r="G1326" i="1"/>
  <c r="F1326" i="1"/>
  <c r="E1326" i="1"/>
  <c r="I1326" i="1" s="1"/>
  <c r="G1325" i="1"/>
  <c r="F1325" i="1"/>
  <c r="E1325" i="1"/>
  <c r="I1325" i="1" s="1"/>
  <c r="G1324" i="1"/>
  <c r="F1324" i="1"/>
  <c r="E1324" i="1"/>
  <c r="I1324" i="1" s="1"/>
  <c r="G1323" i="1"/>
  <c r="F1323" i="1"/>
  <c r="E1323" i="1"/>
  <c r="I1323" i="1" s="1"/>
  <c r="G1322" i="1"/>
  <c r="F1322" i="1"/>
  <c r="E1322" i="1"/>
  <c r="I1322" i="1" s="1"/>
  <c r="G1321" i="1"/>
  <c r="F1321" i="1"/>
  <c r="E1321" i="1"/>
  <c r="I1321" i="1" s="1"/>
  <c r="I1320" i="1"/>
  <c r="G1319" i="1"/>
  <c r="F1319" i="1"/>
  <c r="I1319" i="1" s="1"/>
  <c r="E1319" i="1"/>
  <c r="I1318" i="1"/>
  <c r="G1317" i="1"/>
  <c r="F1317" i="1"/>
  <c r="E1317" i="1"/>
  <c r="I1317" i="1" s="1"/>
  <c r="I1316" i="1"/>
  <c r="G1316" i="1"/>
  <c r="F1316" i="1"/>
  <c r="E1316" i="1"/>
  <c r="I1315" i="1"/>
  <c r="G1315" i="1"/>
  <c r="F1315" i="1"/>
  <c r="E1315" i="1"/>
  <c r="G1314" i="1"/>
  <c r="F1314" i="1"/>
  <c r="E1314" i="1"/>
  <c r="I1314" i="1" s="1"/>
  <c r="I1313" i="1"/>
  <c r="I1312" i="1"/>
  <c r="I1311" i="1"/>
  <c r="I1310" i="1"/>
  <c r="I1309" i="1"/>
  <c r="G1309" i="1"/>
  <c r="F1309" i="1"/>
  <c r="E1309" i="1"/>
  <c r="I1308" i="1"/>
  <c r="I1307" i="1"/>
  <c r="I1306" i="1"/>
  <c r="I1305" i="1"/>
  <c r="G1305" i="1"/>
  <c r="F1305" i="1"/>
  <c r="E1305" i="1"/>
  <c r="G1304" i="1"/>
  <c r="F1304" i="1"/>
  <c r="I1304" i="1" s="1"/>
  <c r="E1304" i="1"/>
  <c r="I1303" i="1"/>
  <c r="G1302" i="1"/>
  <c r="F1302" i="1"/>
  <c r="E1302" i="1"/>
  <c r="I1302" i="1" s="1"/>
  <c r="I1301" i="1"/>
  <c r="I1300" i="1"/>
  <c r="I1299" i="1"/>
  <c r="I1298" i="1"/>
  <c r="I1297" i="1"/>
  <c r="I1296" i="1"/>
  <c r="G1296" i="1"/>
  <c r="F1296" i="1"/>
  <c r="E1296" i="1"/>
  <c r="I1295" i="1"/>
  <c r="G1294" i="1"/>
  <c r="F1294" i="1"/>
  <c r="E1294" i="1"/>
  <c r="I1294" i="1" s="1"/>
  <c r="G1293" i="1"/>
  <c r="F1293" i="1"/>
  <c r="E1293" i="1"/>
  <c r="I1293" i="1" s="1"/>
  <c r="I1292" i="1"/>
  <c r="I1291" i="1"/>
  <c r="I1290" i="1"/>
  <c r="I1289" i="1"/>
  <c r="I1288" i="1"/>
  <c r="I1287" i="1"/>
  <c r="I1286" i="1"/>
  <c r="G1286" i="1"/>
  <c r="F1286" i="1"/>
  <c r="E1286" i="1"/>
  <c r="G1285" i="1"/>
  <c r="I1285" i="1" s="1"/>
  <c r="F1285" i="1"/>
  <c r="E1285" i="1"/>
  <c r="I1284" i="1"/>
  <c r="I1283" i="1"/>
  <c r="G1283" i="1"/>
  <c r="F1283" i="1"/>
  <c r="E1283" i="1"/>
  <c r="I1282" i="1"/>
  <c r="G1281" i="1"/>
  <c r="F1281" i="1"/>
  <c r="E1281" i="1"/>
  <c r="I1281" i="1" s="1"/>
  <c r="G1280" i="1"/>
  <c r="F1280" i="1"/>
  <c r="E1280" i="1"/>
  <c r="I1280" i="1" s="1"/>
  <c r="I1279" i="1"/>
  <c r="I1278" i="1"/>
  <c r="G1278" i="1"/>
  <c r="F1278" i="1"/>
  <c r="E1278" i="1"/>
  <c r="G1277" i="1"/>
  <c r="F1277" i="1"/>
  <c r="I1277" i="1" s="1"/>
  <c r="E1277" i="1"/>
  <c r="I1276" i="1"/>
  <c r="G1275" i="1"/>
  <c r="F1275" i="1"/>
  <c r="E1275" i="1"/>
  <c r="I1275" i="1" s="1"/>
  <c r="I1274" i="1"/>
  <c r="I1273" i="1"/>
  <c r="G1272" i="1"/>
  <c r="F1272" i="1"/>
  <c r="E1272" i="1"/>
  <c r="I1272" i="1" s="1"/>
  <c r="I1271" i="1"/>
  <c r="G1270" i="1"/>
  <c r="F1270" i="1"/>
  <c r="I1270" i="1" s="1"/>
  <c r="E1270" i="1"/>
  <c r="I1269" i="1"/>
  <c r="I1268" i="1"/>
  <c r="G1267" i="1"/>
  <c r="F1267" i="1"/>
  <c r="E1267" i="1"/>
  <c r="I1267" i="1" s="1"/>
  <c r="I1266" i="1"/>
  <c r="G1266" i="1"/>
  <c r="F1266" i="1"/>
  <c r="E1266" i="1"/>
  <c r="I1265" i="1"/>
  <c r="I1264" i="1"/>
  <c r="I1263" i="1"/>
  <c r="I1262" i="1"/>
  <c r="G1262" i="1"/>
  <c r="F1262" i="1"/>
  <c r="E1262" i="1"/>
  <c r="I1261" i="1"/>
  <c r="I1260" i="1"/>
  <c r="G1260" i="1"/>
  <c r="F1260" i="1"/>
  <c r="E1260" i="1"/>
  <c r="I1259" i="1"/>
  <c r="G1258" i="1"/>
  <c r="F1258" i="1"/>
  <c r="E1258" i="1"/>
  <c r="I1258" i="1" s="1"/>
  <c r="G1257" i="1"/>
  <c r="F1257" i="1"/>
  <c r="E1257" i="1"/>
  <c r="I1257" i="1" s="1"/>
  <c r="G1256" i="1"/>
  <c r="F1256" i="1"/>
  <c r="E1256" i="1"/>
  <c r="I1256" i="1" s="1"/>
  <c r="G1255" i="1"/>
  <c r="F1255" i="1"/>
  <c r="E1255" i="1"/>
  <c r="I1255" i="1" s="1"/>
  <c r="G1254" i="1"/>
  <c r="F1254" i="1"/>
  <c r="E1254" i="1"/>
  <c r="I1254" i="1" s="1"/>
  <c r="G1253" i="1"/>
  <c r="F1253" i="1"/>
  <c r="E1253" i="1"/>
  <c r="I1253" i="1" s="1"/>
  <c r="G1252" i="1"/>
  <c r="F1252" i="1"/>
  <c r="E1252" i="1"/>
  <c r="I1252" i="1" s="1"/>
  <c r="G1251" i="1"/>
  <c r="F1251" i="1"/>
  <c r="E1251" i="1"/>
  <c r="I1251" i="1" s="1"/>
  <c r="G1250" i="1"/>
  <c r="F1250" i="1"/>
  <c r="E1250" i="1"/>
  <c r="I1250" i="1" s="1"/>
  <c r="G1249" i="1"/>
  <c r="F1249" i="1"/>
  <c r="E1249" i="1"/>
  <c r="I1249" i="1" s="1"/>
  <c r="I1248" i="1"/>
  <c r="G1247" i="1"/>
  <c r="F1247" i="1"/>
  <c r="I1247" i="1" s="1"/>
  <c r="E1247" i="1"/>
  <c r="I1246" i="1"/>
  <c r="G1245" i="1"/>
  <c r="F1245" i="1"/>
  <c r="E1245" i="1"/>
  <c r="I1245" i="1" s="1"/>
  <c r="I1244" i="1"/>
  <c r="G1244" i="1"/>
  <c r="F1244" i="1"/>
  <c r="E1244" i="1"/>
  <c r="G1243" i="1"/>
  <c r="I1243" i="1" s="1"/>
  <c r="F1243" i="1"/>
  <c r="E1243" i="1"/>
  <c r="G1242" i="1"/>
  <c r="F1242" i="1"/>
  <c r="E1242" i="1"/>
  <c r="I1242" i="1" s="1"/>
  <c r="I1241" i="1"/>
  <c r="G1241" i="1"/>
  <c r="F1241" i="1"/>
  <c r="E1241" i="1"/>
  <c r="G1240" i="1"/>
  <c r="I1240" i="1" s="1"/>
  <c r="F1240" i="1"/>
  <c r="E1240" i="1"/>
  <c r="I1239" i="1"/>
  <c r="I1238" i="1"/>
  <c r="G1238" i="1"/>
  <c r="F1238" i="1"/>
  <c r="E1238" i="1"/>
  <c r="G1237" i="1"/>
  <c r="F1237" i="1"/>
  <c r="E1237" i="1"/>
  <c r="I1237" i="1" s="1"/>
  <c r="I1236" i="1"/>
  <c r="I1235" i="1"/>
  <c r="I1234" i="1"/>
  <c r="G1233" i="1"/>
  <c r="F1233" i="1"/>
  <c r="E1233" i="1"/>
  <c r="I1233" i="1" s="1"/>
  <c r="I1232" i="1"/>
  <c r="G1231" i="1"/>
  <c r="F1231" i="1"/>
  <c r="E1231" i="1"/>
  <c r="I1231" i="1" s="1"/>
  <c r="I1230" i="1"/>
  <c r="G1230" i="1"/>
  <c r="F1230" i="1"/>
  <c r="E1230" i="1"/>
  <c r="I1229" i="1"/>
  <c r="G1229" i="1"/>
  <c r="F1229" i="1"/>
  <c r="E1229" i="1"/>
  <c r="G1228" i="1"/>
  <c r="F1228" i="1"/>
  <c r="E1228" i="1"/>
  <c r="I1228" i="1" s="1"/>
  <c r="I1227" i="1"/>
  <c r="G1227" i="1"/>
  <c r="F1227" i="1"/>
  <c r="E1227" i="1"/>
  <c r="I1226" i="1"/>
  <c r="G1226" i="1"/>
  <c r="F1226" i="1"/>
  <c r="E1226" i="1"/>
  <c r="I1225" i="1"/>
  <c r="G1224" i="1"/>
  <c r="F1224" i="1"/>
  <c r="E1224" i="1"/>
  <c r="I1224" i="1" s="1"/>
  <c r="G1223" i="1"/>
  <c r="F1223" i="1"/>
  <c r="E1223" i="1"/>
  <c r="I1223" i="1" s="1"/>
  <c r="G1222" i="1"/>
  <c r="F1222" i="1"/>
  <c r="E1222" i="1"/>
  <c r="I1222" i="1" s="1"/>
  <c r="G1221" i="1"/>
  <c r="F1221" i="1"/>
  <c r="E1221" i="1"/>
  <c r="I1221" i="1" s="1"/>
  <c r="G1220" i="1"/>
  <c r="F1220" i="1"/>
  <c r="E1220" i="1"/>
  <c r="I1220" i="1" s="1"/>
  <c r="G1219" i="1"/>
  <c r="F1219" i="1"/>
  <c r="E1219" i="1"/>
  <c r="I1219" i="1" s="1"/>
  <c r="G1218" i="1"/>
  <c r="F1218" i="1"/>
  <c r="E1218" i="1"/>
  <c r="I1218" i="1" s="1"/>
  <c r="I1217" i="1"/>
  <c r="I1216" i="1"/>
  <c r="G1215" i="1"/>
  <c r="F1215" i="1"/>
  <c r="E1215" i="1"/>
  <c r="I1215" i="1" s="1"/>
  <c r="I1214" i="1"/>
  <c r="G1214" i="1"/>
  <c r="F1214" i="1"/>
  <c r="E1214" i="1"/>
  <c r="G1213" i="1"/>
  <c r="I1213" i="1" s="1"/>
  <c r="F1213" i="1"/>
  <c r="E1213" i="1"/>
  <c r="G1212" i="1"/>
  <c r="F1212" i="1"/>
  <c r="E1212" i="1"/>
  <c r="I1212" i="1" s="1"/>
  <c r="I1211" i="1"/>
  <c r="G1211" i="1"/>
  <c r="F1211" i="1"/>
  <c r="E1211" i="1"/>
  <c r="G1210" i="1"/>
  <c r="I1210" i="1" s="1"/>
  <c r="F1210" i="1"/>
  <c r="E1210" i="1"/>
  <c r="G1209" i="1"/>
  <c r="F1209" i="1"/>
  <c r="E1209" i="1"/>
  <c r="I1209" i="1" s="1"/>
  <c r="I1208" i="1"/>
  <c r="I1207" i="1"/>
  <c r="G1206" i="1"/>
  <c r="F1206" i="1"/>
  <c r="E1206" i="1"/>
  <c r="I1206" i="1" s="1"/>
  <c r="I1205" i="1"/>
  <c r="I1204" i="1"/>
  <c r="G1203" i="1"/>
  <c r="F1203" i="1"/>
  <c r="E1203" i="1"/>
  <c r="I1203" i="1" s="1"/>
  <c r="I1202" i="1"/>
  <c r="G1202" i="1"/>
  <c r="F1202" i="1"/>
  <c r="E1202" i="1"/>
  <c r="G1201" i="1"/>
  <c r="I1201" i="1" s="1"/>
  <c r="F1201" i="1"/>
  <c r="E1201" i="1"/>
  <c r="G1200" i="1"/>
  <c r="F1200" i="1"/>
  <c r="E1200" i="1"/>
  <c r="I1200" i="1" s="1"/>
  <c r="G1199" i="1"/>
  <c r="F1199" i="1"/>
  <c r="E1199" i="1"/>
  <c r="I1199" i="1" s="1"/>
  <c r="G1198" i="1"/>
  <c r="I1198" i="1" s="1"/>
  <c r="F1198" i="1"/>
  <c r="E1198" i="1"/>
  <c r="G1197" i="1"/>
  <c r="F1197" i="1"/>
  <c r="E1197" i="1"/>
  <c r="I1197" i="1" s="1"/>
  <c r="G1196" i="1"/>
  <c r="F1196" i="1"/>
  <c r="E1196" i="1"/>
  <c r="I1196" i="1" s="1"/>
  <c r="I1195" i="1"/>
  <c r="I1194" i="1"/>
  <c r="G1194" i="1"/>
  <c r="F1194" i="1"/>
  <c r="E1194" i="1"/>
  <c r="G1193" i="1"/>
  <c r="F1193" i="1"/>
  <c r="I1193" i="1" s="1"/>
  <c r="E1193" i="1"/>
  <c r="G1192" i="1"/>
  <c r="F1192" i="1"/>
  <c r="E1192" i="1"/>
  <c r="I1192" i="1" s="1"/>
  <c r="I1191" i="1"/>
  <c r="G1191" i="1"/>
  <c r="F1191" i="1"/>
  <c r="E1191" i="1"/>
  <c r="G1190" i="1"/>
  <c r="F1190" i="1"/>
  <c r="I1190" i="1" s="1"/>
  <c r="E1190" i="1"/>
  <c r="G1189" i="1"/>
  <c r="F1189" i="1"/>
  <c r="E1189" i="1"/>
  <c r="I1189" i="1" s="1"/>
  <c r="I1188" i="1"/>
  <c r="I1187" i="1"/>
  <c r="I1186" i="1"/>
  <c r="I1185" i="1"/>
  <c r="I1184" i="1"/>
  <c r="G1183" i="1"/>
  <c r="F1183" i="1"/>
  <c r="E1183" i="1"/>
  <c r="I1183" i="1" s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G1154" i="1"/>
  <c r="F1154" i="1"/>
  <c r="E1154" i="1"/>
  <c r="I1154" i="1" s="1"/>
  <c r="G1153" i="1"/>
  <c r="F1153" i="1"/>
  <c r="E1153" i="1"/>
  <c r="I1153" i="1" s="1"/>
  <c r="G1152" i="1"/>
  <c r="F1152" i="1"/>
  <c r="E1152" i="1"/>
  <c r="I1152" i="1" s="1"/>
  <c r="I1151" i="1"/>
  <c r="I1150" i="1"/>
  <c r="G1149" i="1"/>
  <c r="F1149" i="1"/>
  <c r="E1149" i="1"/>
  <c r="I1149" i="1" s="1"/>
  <c r="I1148" i="1"/>
  <c r="I1147" i="1"/>
  <c r="I1146" i="1"/>
  <c r="I1145" i="1"/>
  <c r="I1144" i="1"/>
  <c r="I1143" i="1"/>
  <c r="I1142" i="1"/>
  <c r="I1141" i="1"/>
  <c r="G1140" i="1"/>
  <c r="F1140" i="1"/>
  <c r="E1140" i="1"/>
  <c r="I1140" i="1" s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G1113" i="1"/>
  <c r="F1113" i="1"/>
  <c r="E1113" i="1"/>
  <c r="I1113" i="1" s="1"/>
  <c r="G1112" i="1"/>
  <c r="F1112" i="1"/>
  <c r="E1112" i="1"/>
  <c r="I1112" i="1" s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G1074" i="1"/>
  <c r="F1074" i="1"/>
  <c r="E1074" i="1"/>
  <c r="G1073" i="1"/>
  <c r="F1073" i="1"/>
  <c r="I1073" i="1" s="1"/>
  <c r="E1073" i="1"/>
  <c r="G1072" i="1"/>
  <c r="F1072" i="1"/>
  <c r="I1072" i="1" s="1"/>
  <c r="E1072" i="1"/>
  <c r="I1071" i="1"/>
  <c r="G1071" i="1"/>
  <c r="F1071" i="1"/>
  <c r="E1071" i="1"/>
  <c r="G1070" i="1"/>
  <c r="F1070" i="1"/>
  <c r="I1070" i="1" s="1"/>
  <c r="E1070" i="1"/>
  <c r="G1069" i="1"/>
  <c r="F1069" i="1"/>
  <c r="I1069" i="1" s="1"/>
  <c r="E1069" i="1"/>
  <c r="I1068" i="1"/>
  <c r="G1068" i="1"/>
  <c r="F1068" i="1"/>
  <c r="E1068" i="1"/>
  <c r="G1067" i="1"/>
  <c r="F1067" i="1"/>
  <c r="I1067" i="1" s="1"/>
  <c r="E1067" i="1"/>
  <c r="I1066" i="1"/>
  <c r="I1065" i="1"/>
  <c r="I1064" i="1"/>
  <c r="G1063" i="1"/>
  <c r="F1063" i="1"/>
  <c r="E1063" i="1"/>
  <c r="I1063" i="1" s="1"/>
  <c r="G1062" i="1"/>
  <c r="F1062" i="1"/>
  <c r="E1062" i="1"/>
  <c r="I1062" i="1" s="1"/>
  <c r="I1061" i="1"/>
  <c r="G1060" i="1"/>
  <c r="F1060" i="1"/>
  <c r="I1060" i="1" s="1"/>
  <c r="E1060" i="1"/>
  <c r="I1059" i="1"/>
  <c r="G1059" i="1"/>
  <c r="F1059" i="1"/>
  <c r="E1059" i="1"/>
  <c r="G1058" i="1"/>
  <c r="F1058" i="1"/>
  <c r="I1058" i="1" s="1"/>
  <c r="E1058" i="1"/>
  <c r="G1057" i="1"/>
  <c r="F1057" i="1"/>
  <c r="I1057" i="1" s="1"/>
  <c r="E1057" i="1"/>
  <c r="I1056" i="1"/>
  <c r="G1056" i="1"/>
  <c r="F1056" i="1"/>
  <c r="E1056" i="1"/>
  <c r="G1055" i="1"/>
  <c r="F1055" i="1"/>
  <c r="I1055" i="1" s="1"/>
  <c r="E1055" i="1"/>
  <c r="G1054" i="1"/>
  <c r="F1054" i="1"/>
  <c r="I1054" i="1" s="1"/>
  <c r="E1054" i="1"/>
  <c r="I1053" i="1"/>
  <c r="G1053" i="1"/>
  <c r="F1053" i="1"/>
  <c r="E1053" i="1"/>
  <c r="G1052" i="1"/>
  <c r="F1052" i="1"/>
  <c r="I1052" i="1" s="1"/>
  <c r="E1052" i="1"/>
  <c r="G1051" i="1"/>
  <c r="F1051" i="1"/>
  <c r="I1051" i="1" s="1"/>
  <c r="E1051" i="1"/>
  <c r="I1050" i="1"/>
  <c r="I1049" i="1"/>
  <c r="I1048" i="1"/>
  <c r="I1047" i="1"/>
  <c r="I1046" i="1"/>
  <c r="G1045" i="1"/>
  <c r="I1045" i="1" s="1"/>
  <c r="F1045" i="1"/>
  <c r="E1045" i="1"/>
  <c r="G1044" i="1"/>
  <c r="F1044" i="1"/>
  <c r="E1044" i="1"/>
  <c r="I1044" i="1" s="1"/>
  <c r="I1043" i="1"/>
  <c r="I1042" i="1"/>
  <c r="I1041" i="1"/>
  <c r="I1040" i="1"/>
  <c r="I1039" i="1"/>
  <c r="I1038" i="1"/>
  <c r="I1037" i="1"/>
  <c r="I1036" i="1"/>
  <c r="G1035" i="1"/>
  <c r="F1035" i="1"/>
  <c r="E1035" i="1"/>
  <c r="I1035" i="1" s="1"/>
  <c r="I1034" i="1"/>
  <c r="G1034" i="1"/>
  <c r="F1034" i="1"/>
  <c r="E1034" i="1"/>
  <c r="I1033" i="1"/>
  <c r="I1032" i="1"/>
  <c r="G1032" i="1"/>
  <c r="F1032" i="1"/>
  <c r="E1032" i="1"/>
  <c r="G1031" i="1"/>
  <c r="F1031" i="1"/>
  <c r="I1031" i="1" s="1"/>
  <c r="E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G1014" i="1"/>
  <c r="F1014" i="1"/>
  <c r="E1014" i="1"/>
  <c r="G1013" i="1"/>
  <c r="F1013" i="1"/>
  <c r="I1013" i="1" s="1"/>
  <c r="E1013" i="1"/>
  <c r="G1012" i="1"/>
  <c r="F1012" i="1"/>
  <c r="E1012" i="1"/>
  <c r="I1012" i="1" s="1"/>
  <c r="I1011" i="1"/>
  <c r="G1011" i="1"/>
  <c r="F1011" i="1"/>
  <c r="E1011" i="1"/>
  <c r="G1010" i="1"/>
  <c r="F1010" i="1"/>
  <c r="I1010" i="1" s="1"/>
  <c r="E1010" i="1"/>
  <c r="G1009" i="1"/>
  <c r="F1009" i="1"/>
  <c r="E1009" i="1"/>
  <c r="I1009" i="1" s="1"/>
  <c r="I1008" i="1"/>
  <c r="G1008" i="1"/>
  <c r="F1008" i="1"/>
  <c r="E1008" i="1"/>
  <c r="G1007" i="1"/>
  <c r="F1007" i="1"/>
  <c r="I1007" i="1" s="1"/>
  <c r="E1007" i="1"/>
  <c r="H1006" i="1"/>
  <c r="G1005" i="1"/>
  <c r="F1005" i="1"/>
  <c r="D1005" i="1"/>
  <c r="H1005" i="1" s="1"/>
  <c r="G1004" i="1"/>
  <c r="F1004" i="1"/>
  <c r="D1004" i="1"/>
  <c r="H1004" i="1" s="1"/>
  <c r="H1003" i="1"/>
  <c r="H1002" i="1"/>
  <c r="G1002" i="1"/>
  <c r="F1002" i="1"/>
  <c r="D1002" i="1"/>
  <c r="G1001" i="1"/>
  <c r="F1001" i="1"/>
  <c r="H1001" i="1" s="1"/>
  <c r="D1001" i="1"/>
  <c r="G1000" i="1"/>
  <c r="F1000" i="1"/>
  <c r="H1000" i="1" s="1"/>
  <c r="D1000" i="1"/>
  <c r="H999" i="1"/>
  <c r="G999" i="1"/>
  <c r="F999" i="1"/>
  <c r="D999" i="1"/>
  <c r="G998" i="1"/>
  <c r="F998" i="1"/>
  <c r="H998" i="1" s="1"/>
  <c r="D998" i="1"/>
  <c r="G997" i="1"/>
  <c r="F997" i="1"/>
  <c r="H997" i="1" s="1"/>
  <c r="D997" i="1"/>
  <c r="H996" i="1"/>
  <c r="G996" i="1"/>
  <c r="F996" i="1"/>
  <c r="D996" i="1"/>
  <c r="G995" i="1"/>
  <c r="F995" i="1"/>
  <c r="H995" i="1" s="1"/>
  <c r="D995" i="1"/>
  <c r="H994" i="1"/>
  <c r="G993" i="1"/>
  <c r="F993" i="1"/>
  <c r="D993" i="1"/>
  <c r="H993" i="1" s="1"/>
  <c r="H992" i="1"/>
  <c r="G992" i="1"/>
  <c r="F992" i="1"/>
  <c r="D992" i="1"/>
  <c r="G991" i="1"/>
  <c r="H991" i="1" s="1"/>
  <c r="F991" i="1"/>
  <c r="D991" i="1"/>
  <c r="G990" i="1"/>
  <c r="F990" i="1"/>
  <c r="D990" i="1"/>
  <c r="H990" i="1" s="1"/>
  <c r="H989" i="1"/>
  <c r="G989" i="1"/>
  <c r="F989" i="1"/>
  <c r="D989" i="1"/>
  <c r="G988" i="1"/>
  <c r="H988" i="1" s="1"/>
  <c r="F988" i="1"/>
  <c r="D988" i="1"/>
  <c r="G987" i="1"/>
  <c r="F987" i="1"/>
  <c r="D987" i="1"/>
  <c r="H987" i="1" s="1"/>
  <c r="H986" i="1"/>
  <c r="G985" i="1"/>
  <c r="F985" i="1"/>
  <c r="D985" i="1"/>
  <c r="H985" i="1" s="1"/>
  <c r="H984" i="1"/>
  <c r="G984" i="1"/>
  <c r="F984" i="1"/>
  <c r="D984" i="1"/>
  <c r="G983" i="1"/>
  <c r="F983" i="1"/>
  <c r="H983" i="1" s="1"/>
  <c r="D983" i="1"/>
  <c r="G982" i="1"/>
  <c r="F982" i="1"/>
  <c r="D982" i="1"/>
  <c r="H982" i="1" s="1"/>
  <c r="H981" i="1"/>
  <c r="G981" i="1"/>
  <c r="F981" i="1"/>
  <c r="D981" i="1"/>
  <c r="G980" i="1"/>
  <c r="F980" i="1"/>
  <c r="H980" i="1" s="1"/>
  <c r="D980" i="1"/>
  <c r="H979" i="1"/>
  <c r="G978" i="1"/>
  <c r="F978" i="1"/>
  <c r="D978" i="1"/>
  <c r="H978" i="1" s="1"/>
  <c r="H977" i="1"/>
  <c r="G976" i="1"/>
  <c r="F976" i="1"/>
  <c r="H976" i="1" s="1"/>
  <c r="D976" i="1"/>
  <c r="H975" i="1"/>
  <c r="G975" i="1"/>
  <c r="F975" i="1"/>
  <c r="D975" i="1"/>
  <c r="G974" i="1"/>
  <c r="F974" i="1"/>
  <c r="H974" i="1" s="1"/>
  <c r="D974" i="1"/>
  <c r="G973" i="1"/>
  <c r="F973" i="1"/>
  <c r="D973" i="1"/>
  <c r="H973" i="1" s="1"/>
  <c r="H972" i="1"/>
  <c r="G972" i="1"/>
  <c r="F972" i="1"/>
  <c r="D972" i="1"/>
  <c r="G971" i="1"/>
  <c r="F971" i="1"/>
  <c r="H971" i="1" s="1"/>
  <c r="D971" i="1"/>
  <c r="G970" i="1"/>
  <c r="F970" i="1"/>
  <c r="D970" i="1"/>
  <c r="H970" i="1" s="1"/>
  <c r="H969" i="1"/>
  <c r="H968" i="1"/>
  <c r="G968" i="1"/>
  <c r="F968" i="1"/>
  <c r="D968" i="1"/>
  <c r="H967" i="1"/>
  <c r="H966" i="1"/>
  <c r="G965" i="1"/>
  <c r="F965" i="1"/>
  <c r="D965" i="1"/>
  <c r="H965" i="1" s="1"/>
  <c r="G964" i="1"/>
  <c r="F964" i="1"/>
  <c r="D964" i="1"/>
  <c r="H964" i="1" s="1"/>
  <c r="G963" i="1"/>
  <c r="F963" i="1"/>
  <c r="D963" i="1"/>
  <c r="H963" i="1" s="1"/>
  <c r="G962" i="1"/>
  <c r="F962" i="1"/>
  <c r="D962" i="1"/>
  <c r="H962" i="1" s="1"/>
  <c r="G961" i="1"/>
  <c r="F961" i="1"/>
  <c r="D961" i="1"/>
  <c r="H961" i="1" s="1"/>
  <c r="G960" i="1"/>
  <c r="F960" i="1"/>
  <c r="D960" i="1"/>
  <c r="H960" i="1" s="1"/>
  <c r="G959" i="1"/>
  <c r="F959" i="1"/>
  <c r="D959" i="1"/>
  <c r="H959" i="1" s="1"/>
  <c r="H958" i="1"/>
  <c r="H957" i="1"/>
  <c r="H956" i="1"/>
  <c r="G955" i="1"/>
  <c r="F955" i="1"/>
  <c r="D955" i="1"/>
  <c r="H955" i="1" s="1"/>
  <c r="H954" i="1"/>
  <c r="G954" i="1"/>
  <c r="F954" i="1"/>
  <c r="D954" i="1"/>
  <c r="H953" i="1"/>
  <c r="G952" i="1"/>
  <c r="F952" i="1"/>
  <c r="D952" i="1"/>
  <c r="H952" i="1" s="1"/>
  <c r="G951" i="1"/>
  <c r="F951" i="1"/>
  <c r="D951" i="1"/>
  <c r="H951" i="1" s="1"/>
  <c r="H950" i="1"/>
  <c r="H949" i="1"/>
  <c r="G948" i="1"/>
  <c r="F948" i="1"/>
  <c r="D948" i="1"/>
  <c r="H948" i="1" s="1"/>
  <c r="H947" i="1"/>
  <c r="G947" i="1"/>
  <c r="F947" i="1"/>
  <c r="D947" i="1"/>
  <c r="G946" i="1"/>
  <c r="H946" i="1" s="1"/>
  <c r="F946" i="1"/>
  <c r="D946" i="1"/>
  <c r="G945" i="1"/>
  <c r="F945" i="1"/>
  <c r="D945" i="1"/>
  <c r="H945" i="1" s="1"/>
  <c r="H944" i="1"/>
  <c r="G944" i="1"/>
  <c r="F944" i="1"/>
  <c r="D944" i="1"/>
  <c r="G943" i="1"/>
  <c r="H943" i="1" s="1"/>
  <c r="F943" i="1"/>
  <c r="D943" i="1"/>
  <c r="H942" i="1"/>
  <c r="H941" i="1"/>
  <c r="G940" i="1"/>
  <c r="F940" i="1"/>
  <c r="D940" i="1"/>
  <c r="H940" i="1" s="1"/>
  <c r="G939" i="1"/>
  <c r="F939" i="1"/>
  <c r="D939" i="1"/>
  <c r="H939" i="1" s="1"/>
  <c r="H938" i="1"/>
  <c r="G937" i="1"/>
  <c r="F937" i="1"/>
  <c r="H937" i="1" s="1"/>
  <c r="D937" i="1"/>
  <c r="H936" i="1"/>
  <c r="G936" i="1"/>
  <c r="F936" i="1"/>
  <c r="D936" i="1"/>
  <c r="H935" i="1"/>
  <c r="H934" i="1"/>
  <c r="H933" i="1"/>
  <c r="G932" i="1"/>
  <c r="F932" i="1"/>
  <c r="D932" i="1"/>
  <c r="H932" i="1" s="1"/>
  <c r="G931" i="1"/>
  <c r="F931" i="1"/>
  <c r="D931" i="1"/>
  <c r="H931" i="1" s="1"/>
  <c r="G930" i="1"/>
  <c r="F930" i="1"/>
  <c r="D930" i="1"/>
  <c r="H930" i="1" s="1"/>
  <c r="G929" i="1"/>
  <c r="F929" i="1"/>
  <c r="D929" i="1"/>
  <c r="H929" i="1" s="1"/>
  <c r="G928" i="1"/>
  <c r="F928" i="1"/>
  <c r="D928" i="1"/>
  <c r="H928" i="1" s="1"/>
  <c r="G927" i="1"/>
  <c r="F927" i="1"/>
  <c r="D927" i="1"/>
  <c r="H927" i="1" s="1"/>
  <c r="H926" i="1"/>
  <c r="H925" i="1"/>
  <c r="H924" i="1"/>
  <c r="H923" i="1"/>
  <c r="G923" i="1"/>
  <c r="F923" i="1"/>
  <c r="D923" i="1"/>
  <c r="G922" i="1"/>
  <c r="F922" i="1"/>
  <c r="D922" i="1"/>
  <c r="H922" i="1" s="1"/>
  <c r="H921" i="1"/>
  <c r="G921" i="1"/>
  <c r="F921" i="1"/>
  <c r="D921" i="1"/>
  <c r="G920" i="1"/>
  <c r="F920" i="1"/>
  <c r="H920" i="1" s="1"/>
  <c r="D920" i="1"/>
  <c r="G919" i="1"/>
  <c r="F919" i="1"/>
  <c r="D919" i="1"/>
  <c r="H919" i="1" s="1"/>
  <c r="H918" i="1"/>
  <c r="G918" i="1"/>
  <c r="F918" i="1"/>
  <c r="D918" i="1"/>
  <c r="H917" i="1"/>
  <c r="G916" i="1"/>
  <c r="F916" i="1"/>
  <c r="D916" i="1"/>
  <c r="H916" i="1" s="1"/>
  <c r="G915" i="1"/>
  <c r="F915" i="1"/>
  <c r="D915" i="1"/>
  <c r="H915" i="1" s="1"/>
  <c r="H914" i="1"/>
  <c r="H913" i="1"/>
  <c r="H912" i="1"/>
  <c r="G911" i="1"/>
  <c r="F911" i="1"/>
  <c r="H911" i="1" s="1"/>
  <c r="D911" i="1"/>
  <c r="G910" i="1"/>
  <c r="F910" i="1"/>
  <c r="D910" i="1"/>
  <c r="H910" i="1" s="1"/>
  <c r="H909" i="1"/>
  <c r="G909" i="1"/>
  <c r="F909" i="1"/>
  <c r="D909" i="1"/>
  <c r="G908" i="1"/>
  <c r="F908" i="1"/>
  <c r="H908" i="1" s="1"/>
  <c r="D908" i="1"/>
  <c r="G907" i="1"/>
  <c r="F907" i="1"/>
  <c r="D907" i="1"/>
  <c r="H907" i="1" s="1"/>
  <c r="H906" i="1"/>
  <c r="G906" i="1"/>
  <c r="F906" i="1"/>
  <c r="D906" i="1"/>
  <c r="H905" i="1"/>
  <c r="G904" i="1"/>
  <c r="F904" i="1"/>
  <c r="D904" i="1"/>
  <c r="H904" i="1" s="1"/>
  <c r="G903" i="1"/>
  <c r="F903" i="1"/>
  <c r="D903" i="1"/>
  <c r="H903" i="1" s="1"/>
  <c r="G902" i="1"/>
  <c r="F902" i="1"/>
  <c r="D902" i="1"/>
  <c r="H902" i="1" s="1"/>
  <c r="G901" i="1"/>
  <c r="F901" i="1"/>
  <c r="D901" i="1"/>
  <c r="H901" i="1" s="1"/>
  <c r="G900" i="1"/>
  <c r="F900" i="1"/>
  <c r="D900" i="1"/>
  <c r="H900" i="1" s="1"/>
  <c r="G899" i="1"/>
  <c r="F899" i="1"/>
  <c r="D899" i="1"/>
  <c r="H899" i="1" s="1"/>
  <c r="G898" i="1"/>
  <c r="F898" i="1"/>
  <c r="D898" i="1"/>
  <c r="H898" i="1" s="1"/>
  <c r="G897" i="1"/>
  <c r="F897" i="1"/>
  <c r="D897" i="1"/>
  <c r="H897" i="1" s="1"/>
  <c r="G896" i="1"/>
  <c r="F896" i="1"/>
  <c r="D896" i="1"/>
  <c r="H896" i="1" s="1"/>
  <c r="G895" i="1"/>
  <c r="F895" i="1"/>
  <c r="D895" i="1"/>
  <c r="H895" i="1" s="1"/>
  <c r="H894" i="1"/>
  <c r="G893" i="1"/>
  <c r="F893" i="1"/>
  <c r="H893" i="1" s="1"/>
  <c r="D893" i="1"/>
  <c r="G892" i="1"/>
  <c r="F892" i="1"/>
  <c r="H892" i="1" s="1"/>
  <c r="D892" i="1"/>
  <c r="H891" i="1"/>
  <c r="H890" i="1"/>
  <c r="G889" i="1"/>
  <c r="F889" i="1"/>
  <c r="D889" i="1"/>
  <c r="H889" i="1" s="1"/>
  <c r="H888" i="1"/>
  <c r="G888" i="1"/>
  <c r="F888" i="1"/>
  <c r="D888" i="1"/>
  <c r="G887" i="1"/>
  <c r="F887" i="1"/>
  <c r="H887" i="1" s="1"/>
  <c r="D887" i="1"/>
  <c r="G886" i="1"/>
  <c r="F886" i="1"/>
  <c r="D886" i="1"/>
  <c r="H886" i="1" s="1"/>
  <c r="H885" i="1"/>
  <c r="G885" i="1"/>
  <c r="F885" i="1"/>
  <c r="D885" i="1"/>
  <c r="G884" i="1"/>
  <c r="F884" i="1"/>
  <c r="H884" i="1" s="1"/>
  <c r="D884" i="1"/>
  <c r="G883" i="1"/>
  <c r="F883" i="1"/>
  <c r="D883" i="1"/>
  <c r="H883" i="1" s="1"/>
  <c r="H882" i="1"/>
  <c r="G881" i="1"/>
  <c r="F881" i="1"/>
  <c r="D881" i="1"/>
  <c r="H881" i="1" s="1"/>
  <c r="G880" i="1"/>
  <c r="F880" i="1"/>
  <c r="D880" i="1"/>
  <c r="H880" i="1" s="1"/>
  <c r="H879" i="1"/>
  <c r="G878" i="1"/>
  <c r="F878" i="1"/>
  <c r="H878" i="1" s="1"/>
  <c r="D878" i="1"/>
  <c r="G877" i="1"/>
  <c r="F877" i="1"/>
  <c r="H877" i="1" s="1"/>
  <c r="D877" i="1"/>
  <c r="H876" i="1"/>
  <c r="G876" i="1"/>
  <c r="F876" i="1"/>
  <c r="D876" i="1"/>
  <c r="G875" i="1"/>
  <c r="F875" i="1"/>
  <c r="H875" i="1" s="1"/>
  <c r="D875" i="1"/>
  <c r="G874" i="1"/>
  <c r="F874" i="1"/>
  <c r="H874" i="1" s="1"/>
  <c r="D874" i="1"/>
  <c r="H873" i="1"/>
  <c r="G873" i="1"/>
  <c r="F873" i="1"/>
  <c r="D873" i="1"/>
  <c r="G872" i="1"/>
  <c r="F872" i="1"/>
  <c r="H872" i="1" s="1"/>
  <c r="D872" i="1"/>
  <c r="H871" i="1"/>
  <c r="G870" i="1"/>
  <c r="F870" i="1"/>
  <c r="D870" i="1"/>
  <c r="H870" i="1" s="1"/>
  <c r="H869" i="1"/>
  <c r="G869" i="1"/>
  <c r="F869" i="1"/>
  <c r="D869" i="1"/>
  <c r="G868" i="1"/>
  <c r="H868" i="1" s="1"/>
  <c r="F868" i="1"/>
  <c r="D868" i="1"/>
  <c r="G867" i="1"/>
  <c r="F867" i="1"/>
  <c r="D867" i="1"/>
  <c r="H867" i="1" s="1"/>
  <c r="H866" i="1"/>
  <c r="G866" i="1"/>
  <c r="F866" i="1"/>
  <c r="D866" i="1"/>
  <c r="G865" i="1"/>
  <c r="H865" i="1" s="1"/>
  <c r="F865" i="1"/>
  <c r="D865" i="1"/>
  <c r="G864" i="1"/>
  <c r="F864" i="1"/>
  <c r="D864" i="1"/>
  <c r="H864" i="1" s="1"/>
  <c r="H863" i="1"/>
  <c r="G863" i="1"/>
  <c r="F863" i="1"/>
  <c r="D863" i="1"/>
  <c r="G862" i="1"/>
  <c r="H862" i="1" s="1"/>
  <c r="F862" i="1"/>
  <c r="D862" i="1"/>
  <c r="G861" i="1"/>
  <c r="F861" i="1"/>
  <c r="D861" i="1"/>
  <c r="H861" i="1" s="1"/>
  <c r="H860" i="1"/>
  <c r="G859" i="1"/>
  <c r="F859" i="1"/>
  <c r="D859" i="1"/>
  <c r="H859" i="1" s="1"/>
  <c r="H858" i="1"/>
  <c r="G858" i="1"/>
  <c r="F858" i="1"/>
  <c r="D858" i="1"/>
  <c r="G857" i="1"/>
  <c r="F857" i="1"/>
  <c r="H857" i="1" s="1"/>
  <c r="D857" i="1"/>
  <c r="G856" i="1"/>
  <c r="F856" i="1"/>
  <c r="D856" i="1"/>
  <c r="H856" i="1" s="1"/>
  <c r="H855" i="1"/>
  <c r="G855" i="1"/>
  <c r="F855" i="1"/>
  <c r="D855" i="1"/>
  <c r="G854" i="1"/>
  <c r="F854" i="1"/>
  <c r="H854" i="1" s="1"/>
  <c r="D854" i="1"/>
  <c r="G853" i="1"/>
  <c r="F853" i="1"/>
  <c r="D853" i="1"/>
  <c r="H853" i="1" s="1"/>
  <c r="H852" i="1"/>
  <c r="G852" i="1"/>
  <c r="F852" i="1"/>
  <c r="D852" i="1"/>
  <c r="G851" i="1"/>
  <c r="F851" i="1"/>
  <c r="H851" i="1" s="1"/>
  <c r="D851" i="1"/>
  <c r="G850" i="1"/>
  <c r="F850" i="1"/>
  <c r="D850" i="1"/>
  <c r="H850" i="1" s="1"/>
  <c r="H849" i="1"/>
  <c r="G848" i="1"/>
  <c r="F848" i="1"/>
  <c r="D848" i="1"/>
  <c r="H848" i="1" s="1"/>
  <c r="G847" i="1"/>
  <c r="F847" i="1"/>
  <c r="D847" i="1"/>
  <c r="H847" i="1" s="1"/>
  <c r="G846" i="1"/>
  <c r="F846" i="1"/>
  <c r="D846" i="1"/>
  <c r="H846" i="1" s="1"/>
  <c r="G845" i="1"/>
  <c r="F845" i="1"/>
  <c r="D845" i="1"/>
  <c r="H845" i="1" s="1"/>
  <c r="G844" i="1"/>
  <c r="F844" i="1"/>
  <c r="D844" i="1"/>
  <c r="H844" i="1" s="1"/>
  <c r="G843" i="1"/>
  <c r="F843" i="1"/>
  <c r="D843" i="1"/>
  <c r="H843" i="1" s="1"/>
  <c r="G842" i="1"/>
  <c r="F842" i="1"/>
  <c r="D842" i="1"/>
  <c r="H842" i="1" s="1"/>
  <c r="G841" i="1"/>
  <c r="F841" i="1"/>
  <c r="D841" i="1"/>
  <c r="H841" i="1" s="1"/>
  <c r="G840" i="1"/>
  <c r="F840" i="1"/>
  <c r="D840" i="1"/>
  <c r="H840" i="1" s="1"/>
  <c r="G839" i="1"/>
  <c r="F839" i="1"/>
  <c r="D839" i="1"/>
  <c r="H839" i="1" s="1"/>
  <c r="H838" i="1"/>
  <c r="H837" i="1"/>
  <c r="H836" i="1"/>
  <c r="G836" i="1"/>
  <c r="F836" i="1"/>
  <c r="D836" i="1"/>
  <c r="G835" i="1"/>
  <c r="H835" i="1" s="1"/>
  <c r="F835" i="1"/>
  <c r="D835" i="1"/>
  <c r="H834" i="1"/>
  <c r="H833" i="1"/>
  <c r="H832" i="1"/>
  <c r="H831" i="1"/>
  <c r="H830" i="1"/>
  <c r="G830" i="1"/>
  <c r="F830" i="1"/>
  <c r="D830" i="1"/>
  <c r="G829" i="1"/>
  <c r="H829" i="1" s="1"/>
  <c r="F829" i="1"/>
  <c r="D829" i="1"/>
  <c r="H828" i="1"/>
  <c r="G827" i="1"/>
  <c r="F827" i="1"/>
  <c r="H827" i="1" s="1"/>
  <c r="D827" i="1"/>
  <c r="G826" i="1"/>
  <c r="F826" i="1"/>
  <c r="D826" i="1"/>
  <c r="H826" i="1" s="1"/>
  <c r="H825" i="1"/>
  <c r="H824" i="1"/>
  <c r="H823" i="1"/>
  <c r="G822" i="1"/>
  <c r="F822" i="1"/>
  <c r="D822" i="1"/>
  <c r="H822" i="1" s="1"/>
  <c r="H821" i="1"/>
  <c r="G821" i="1"/>
  <c r="F821" i="1"/>
  <c r="D821" i="1"/>
  <c r="G820" i="1"/>
  <c r="H820" i="1" s="1"/>
  <c r="F820" i="1"/>
  <c r="D820" i="1"/>
  <c r="G819" i="1"/>
  <c r="F819" i="1"/>
  <c r="D819" i="1"/>
  <c r="H819" i="1" s="1"/>
  <c r="H818" i="1"/>
  <c r="G818" i="1"/>
  <c r="F818" i="1"/>
  <c r="D818" i="1"/>
  <c r="G817" i="1"/>
  <c r="H817" i="1" s="1"/>
  <c r="F817" i="1"/>
  <c r="D817" i="1"/>
  <c r="G816" i="1"/>
  <c r="F816" i="1"/>
  <c r="D816" i="1"/>
  <c r="H816" i="1" s="1"/>
  <c r="H815" i="1"/>
  <c r="G814" i="1"/>
  <c r="F814" i="1"/>
  <c r="D814" i="1"/>
  <c r="H814" i="1" s="1"/>
  <c r="H813" i="1"/>
  <c r="G813" i="1"/>
  <c r="F813" i="1"/>
  <c r="D813" i="1"/>
  <c r="H812" i="1"/>
  <c r="G811" i="1"/>
  <c r="F811" i="1"/>
  <c r="D811" i="1"/>
  <c r="H811" i="1" s="1"/>
  <c r="G810" i="1"/>
  <c r="F810" i="1"/>
  <c r="D810" i="1"/>
  <c r="H810" i="1" s="1"/>
  <c r="G809" i="1"/>
  <c r="F809" i="1"/>
  <c r="D809" i="1"/>
  <c r="H809" i="1" s="1"/>
  <c r="G808" i="1"/>
  <c r="F808" i="1"/>
  <c r="D808" i="1"/>
  <c r="H808" i="1" s="1"/>
  <c r="G807" i="1"/>
  <c r="F807" i="1"/>
  <c r="D807" i="1"/>
  <c r="H807" i="1" s="1"/>
  <c r="G806" i="1"/>
  <c r="F806" i="1"/>
  <c r="D806" i="1"/>
  <c r="H806" i="1" s="1"/>
  <c r="H805" i="1"/>
  <c r="H804" i="1"/>
  <c r="G804" i="1"/>
  <c r="F804" i="1"/>
  <c r="D804" i="1"/>
  <c r="G803" i="1"/>
  <c r="F803" i="1"/>
  <c r="H803" i="1" s="1"/>
  <c r="D803" i="1"/>
  <c r="H802" i="1"/>
  <c r="G801" i="1"/>
  <c r="F801" i="1"/>
  <c r="D801" i="1"/>
  <c r="H801" i="1" s="1"/>
  <c r="G800" i="1"/>
  <c r="F800" i="1"/>
  <c r="D800" i="1"/>
  <c r="H800" i="1" s="1"/>
  <c r="G799" i="1"/>
  <c r="H799" i="1" s="1"/>
  <c r="F799" i="1"/>
  <c r="D799" i="1"/>
  <c r="G798" i="1"/>
  <c r="F798" i="1"/>
  <c r="D798" i="1"/>
  <c r="H798" i="1" s="1"/>
  <c r="G797" i="1"/>
  <c r="F797" i="1"/>
  <c r="D797" i="1"/>
  <c r="H797" i="1" s="1"/>
  <c r="G796" i="1"/>
  <c r="H796" i="1" s="1"/>
  <c r="F796" i="1"/>
  <c r="D796" i="1"/>
  <c r="G795" i="1"/>
  <c r="F795" i="1"/>
  <c r="D795" i="1"/>
  <c r="H795" i="1" s="1"/>
  <c r="H794" i="1"/>
  <c r="G793" i="1"/>
  <c r="F793" i="1"/>
  <c r="D793" i="1"/>
  <c r="H793" i="1" s="1"/>
  <c r="H792" i="1"/>
  <c r="G792" i="1"/>
  <c r="F792" i="1"/>
  <c r="D792" i="1"/>
  <c r="H791" i="1"/>
  <c r="G790" i="1"/>
  <c r="F790" i="1"/>
  <c r="D790" i="1"/>
  <c r="H790" i="1" s="1"/>
  <c r="G789" i="1"/>
  <c r="F789" i="1"/>
  <c r="D789" i="1"/>
  <c r="H789" i="1" s="1"/>
  <c r="H788" i="1"/>
  <c r="G787" i="1"/>
  <c r="F787" i="1"/>
  <c r="H787" i="1" s="1"/>
  <c r="D787" i="1"/>
  <c r="H786" i="1"/>
  <c r="G786" i="1"/>
  <c r="F786" i="1"/>
  <c r="D786" i="1"/>
  <c r="G785" i="1"/>
  <c r="F785" i="1"/>
  <c r="H785" i="1" s="1"/>
  <c r="D785" i="1"/>
  <c r="G784" i="1"/>
  <c r="F784" i="1"/>
  <c r="H784" i="1" s="1"/>
  <c r="D784" i="1"/>
  <c r="H783" i="1"/>
  <c r="G783" i="1"/>
  <c r="F783" i="1"/>
  <c r="D783" i="1"/>
  <c r="G782" i="1"/>
  <c r="F782" i="1"/>
  <c r="H782" i="1" s="1"/>
  <c r="D782" i="1"/>
  <c r="H781" i="1"/>
  <c r="H780" i="1"/>
  <c r="G779" i="1"/>
  <c r="F779" i="1"/>
  <c r="H779" i="1" s="1"/>
  <c r="D779" i="1"/>
  <c r="G778" i="1"/>
  <c r="F778" i="1"/>
  <c r="D778" i="1"/>
  <c r="H778" i="1" s="1"/>
  <c r="H777" i="1"/>
  <c r="G776" i="1"/>
  <c r="F776" i="1"/>
  <c r="D776" i="1"/>
  <c r="H776" i="1" s="1"/>
  <c r="G775" i="1"/>
  <c r="F775" i="1"/>
  <c r="D775" i="1"/>
  <c r="H775" i="1" s="1"/>
  <c r="H774" i="1"/>
  <c r="G773" i="1"/>
  <c r="F773" i="1"/>
  <c r="H773" i="1" s="1"/>
  <c r="D773" i="1"/>
  <c r="G772" i="1"/>
  <c r="F772" i="1"/>
  <c r="H772" i="1" s="1"/>
  <c r="D772" i="1"/>
  <c r="H771" i="1"/>
  <c r="G771" i="1"/>
  <c r="F771" i="1"/>
  <c r="D771" i="1"/>
  <c r="G770" i="1"/>
  <c r="F770" i="1"/>
  <c r="H770" i="1" s="1"/>
  <c r="D770" i="1"/>
  <c r="G769" i="1"/>
  <c r="F769" i="1"/>
  <c r="H769" i="1" s="1"/>
  <c r="D769" i="1"/>
  <c r="H768" i="1"/>
  <c r="G768" i="1"/>
  <c r="F768" i="1"/>
  <c r="D768" i="1"/>
  <c r="H767" i="1"/>
  <c r="G766" i="1"/>
  <c r="H766" i="1" s="1"/>
  <c r="F766" i="1"/>
  <c r="D766" i="1"/>
  <c r="G765" i="1"/>
  <c r="F765" i="1"/>
  <c r="D765" i="1"/>
  <c r="H765" i="1" s="1"/>
  <c r="H764" i="1"/>
  <c r="G763" i="1"/>
  <c r="F763" i="1"/>
  <c r="D763" i="1"/>
  <c r="H763" i="1" s="1"/>
  <c r="H762" i="1"/>
  <c r="G762" i="1"/>
  <c r="F762" i="1"/>
  <c r="D762" i="1"/>
  <c r="H761" i="1"/>
  <c r="H760" i="1"/>
  <c r="H759" i="1"/>
  <c r="G759" i="1"/>
  <c r="F759" i="1"/>
  <c r="D759" i="1"/>
  <c r="G758" i="1"/>
  <c r="F758" i="1"/>
  <c r="H758" i="1" s="1"/>
  <c r="D758" i="1"/>
  <c r="G757" i="1"/>
  <c r="F757" i="1"/>
  <c r="H757" i="1" s="1"/>
  <c r="D757" i="1"/>
  <c r="H756" i="1"/>
  <c r="G756" i="1"/>
  <c r="F756" i="1"/>
  <c r="D756" i="1"/>
  <c r="G755" i="1"/>
  <c r="F755" i="1"/>
  <c r="H755" i="1" s="1"/>
  <c r="D755" i="1"/>
  <c r="G754" i="1"/>
  <c r="F754" i="1"/>
  <c r="H754" i="1" s="1"/>
  <c r="D754" i="1"/>
  <c r="H753" i="1"/>
  <c r="G753" i="1"/>
  <c r="F753" i="1"/>
  <c r="D753" i="1"/>
  <c r="H752" i="1"/>
  <c r="H751" i="1"/>
  <c r="H750" i="1"/>
  <c r="G749" i="1"/>
  <c r="F749" i="1"/>
  <c r="D749" i="1"/>
  <c r="H749" i="1" s="1"/>
  <c r="G748" i="1"/>
  <c r="F748" i="1"/>
  <c r="D748" i="1"/>
  <c r="H748" i="1" s="1"/>
  <c r="H747" i="1"/>
  <c r="G746" i="1"/>
  <c r="F746" i="1"/>
  <c r="H746" i="1" s="1"/>
  <c r="D746" i="1"/>
  <c r="G745" i="1"/>
  <c r="F745" i="1"/>
  <c r="H745" i="1" s="1"/>
  <c r="D745" i="1"/>
  <c r="H744" i="1"/>
  <c r="H743" i="1"/>
  <c r="H742" i="1"/>
  <c r="H741" i="1"/>
  <c r="G740" i="1"/>
  <c r="F740" i="1"/>
  <c r="H740" i="1" s="1"/>
  <c r="D740" i="1"/>
  <c r="G739" i="1"/>
  <c r="F739" i="1"/>
  <c r="H739" i="1" s="1"/>
  <c r="D739" i="1"/>
  <c r="H738" i="1"/>
  <c r="G738" i="1"/>
  <c r="F738" i="1"/>
  <c r="D738" i="1"/>
  <c r="G737" i="1"/>
  <c r="F737" i="1"/>
  <c r="H737" i="1" s="1"/>
  <c r="D737" i="1"/>
  <c r="G736" i="1"/>
  <c r="F736" i="1"/>
  <c r="H736" i="1" s="1"/>
  <c r="D736" i="1"/>
  <c r="H735" i="1"/>
  <c r="G735" i="1"/>
  <c r="F735" i="1"/>
  <c r="D735" i="1"/>
  <c r="H734" i="1"/>
  <c r="G733" i="1"/>
  <c r="H733" i="1" s="1"/>
  <c r="F733" i="1"/>
  <c r="D733" i="1"/>
  <c r="G732" i="1"/>
  <c r="F732" i="1"/>
  <c r="D732" i="1"/>
  <c r="H732" i="1" s="1"/>
  <c r="H731" i="1"/>
  <c r="G731" i="1"/>
  <c r="F731" i="1"/>
  <c r="D731" i="1"/>
  <c r="G730" i="1"/>
  <c r="H730" i="1" s="1"/>
  <c r="F730" i="1"/>
  <c r="D730" i="1"/>
  <c r="G729" i="1"/>
  <c r="F729" i="1"/>
  <c r="D729" i="1"/>
  <c r="H729" i="1" s="1"/>
  <c r="G728" i="1"/>
  <c r="H728" i="1" s="1"/>
  <c r="F728" i="1"/>
  <c r="D728" i="1"/>
  <c r="G727" i="1"/>
  <c r="H727" i="1" s="1"/>
  <c r="F727" i="1"/>
  <c r="D727" i="1"/>
  <c r="G726" i="1"/>
  <c r="F726" i="1"/>
  <c r="D726" i="1"/>
  <c r="H726" i="1" s="1"/>
  <c r="G725" i="1"/>
  <c r="H725" i="1" s="1"/>
  <c r="F725" i="1"/>
  <c r="D725" i="1"/>
  <c r="G724" i="1"/>
  <c r="H724" i="1" s="1"/>
  <c r="F724" i="1"/>
  <c r="D724" i="1"/>
  <c r="H723" i="1"/>
  <c r="G722" i="1"/>
  <c r="F722" i="1"/>
  <c r="H722" i="1" s="1"/>
  <c r="D722" i="1"/>
  <c r="G721" i="1"/>
  <c r="F721" i="1"/>
  <c r="D721" i="1"/>
  <c r="H721" i="1" s="1"/>
  <c r="H720" i="1"/>
  <c r="G720" i="1"/>
  <c r="F720" i="1"/>
  <c r="D720" i="1"/>
  <c r="G719" i="1"/>
  <c r="F719" i="1"/>
  <c r="H719" i="1" s="1"/>
  <c r="D719" i="1"/>
  <c r="G718" i="1"/>
  <c r="F718" i="1"/>
  <c r="D718" i="1"/>
  <c r="H718" i="1" s="1"/>
  <c r="H717" i="1"/>
  <c r="G717" i="1"/>
  <c r="F717" i="1"/>
  <c r="D717" i="1"/>
  <c r="G716" i="1"/>
  <c r="F716" i="1"/>
  <c r="H716" i="1" s="1"/>
  <c r="D716" i="1"/>
  <c r="G715" i="1"/>
  <c r="F715" i="1"/>
  <c r="D715" i="1"/>
  <c r="H715" i="1" s="1"/>
  <c r="H714" i="1"/>
  <c r="G714" i="1"/>
  <c r="F714" i="1"/>
  <c r="D714" i="1"/>
  <c r="G713" i="1"/>
  <c r="F713" i="1"/>
  <c r="H713" i="1" s="1"/>
  <c r="D713" i="1"/>
  <c r="H712" i="1"/>
  <c r="G711" i="1"/>
  <c r="F711" i="1"/>
  <c r="D711" i="1"/>
  <c r="H711" i="1" s="1"/>
  <c r="G710" i="1"/>
  <c r="F710" i="1"/>
  <c r="D710" i="1"/>
  <c r="H710" i="1" s="1"/>
  <c r="G709" i="1"/>
  <c r="F709" i="1"/>
  <c r="D709" i="1"/>
  <c r="H709" i="1" s="1"/>
  <c r="G708" i="1"/>
  <c r="F708" i="1"/>
  <c r="D708" i="1"/>
  <c r="H708" i="1" s="1"/>
  <c r="G707" i="1"/>
  <c r="F707" i="1"/>
  <c r="D707" i="1"/>
  <c r="H707" i="1" s="1"/>
  <c r="G706" i="1"/>
  <c r="F706" i="1"/>
  <c r="D706" i="1"/>
  <c r="H706" i="1" s="1"/>
  <c r="G705" i="1"/>
  <c r="F705" i="1"/>
  <c r="D705" i="1"/>
  <c r="H705" i="1" s="1"/>
  <c r="G704" i="1"/>
  <c r="F704" i="1"/>
  <c r="D704" i="1"/>
  <c r="H704" i="1" s="1"/>
  <c r="G703" i="1"/>
  <c r="F703" i="1"/>
  <c r="D703" i="1"/>
  <c r="H703" i="1" s="1"/>
  <c r="G702" i="1"/>
  <c r="F702" i="1"/>
  <c r="D702" i="1"/>
  <c r="H702" i="1" s="1"/>
  <c r="H701" i="1"/>
  <c r="G700" i="1"/>
  <c r="F700" i="1"/>
  <c r="H700" i="1" s="1"/>
  <c r="D700" i="1"/>
  <c r="H699" i="1"/>
  <c r="G699" i="1"/>
  <c r="F699" i="1"/>
  <c r="D699" i="1"/>
  <c r="G698" i="1"/>
  <c r="F698" i="1"/>
  <c r="H698" i="1" s="1"/>
  <c r="D698" i="1"/>
  <c r="G697" i="1"/>
  <c r="F697" i="1"/>
  <c r="H697" i="1" s="1"/>
  <c r="D697" i="1"/>
  <c r="H696" i="1"/>
  <c r="G696" i="1"/>
  <c r="F696" i="1"/>
  <c r="D696" i="1"/>
  <c r="G695" i="1"/>
  <c r="F695" i="1"/>
  <c r="H695" i="1" s="1"/>
  <c r="D695" i="1"/>
  <c r="G694" i="1"/>
  <c r="F694" i="1"/>
  <c r="H694" i="1" s="1"/>
  <c r="D694" i="1"/>
  <c r="H693" i="1"/>
  <c r="G693" i="1"/>
  <c r="F693" i="1"/>
  <c r="D693" i="1"/>
  <c r="G692" i="1"/>
  <c r="F692" i="1"/>
  <c r="H692" i="1" s="1"/>
  <c r="D692" i="1"/>
  <c r="G691" i="1"/>
  <c r="F691" i="1"/>
  <c r="D691" i="1"/>
  <c r="H691" i="1" s="1"/>
  <c r="H690" i="1"/>
  <c r="H689" i="1"/>
  <c r="G689" i="1"/>
  <c r="F689" i="1"/>
  <c r="D689" i="1"/>
  <c r="G688" i="1"/>
  <c r="H688" i="1" s="1"/>
  <c r="F688" i="1"/>
  <c r="D688" i="1"/>
  <c r="G687" i="1"/>
  <c r="F687" i="1"/>
  <c r="D687" i="1"/>
  <c r="H687" i="1" s="1"/>
  <c r="H686" i="1"/>
  <c r="G686" i="1"/>
  <c r="F686" i="1"/>
  <c r="D686" i="1"/>
  <c r="G685" i="1"/>
  <c r="H685" i="1" s="1"/>
  <c r="F685" i="1"/>
  <c r="D685" i="1"/>
  <c r="G684" i="1"/>
  <c r="F684" i="1"/>
  <c r="D684" i="1"/>
  <c r="H684" i="1" s="1"/>
  <c r="H683" i="1"/>
  <c r="G683" i="1"/>
  <c r="F683" i="1"/>
  <c r="D683" i="1"/>
  <c r="G682" i="1"/>
  <c r="H682" i="1" s="1"/>
  <c r="F682" i="1"/>
  <c r="D682" i="1"/>
  <c r="G681" i="1"/>
  <c r="F681" i="1"/>
  <c r="D681" i="1"/>
  <c r="H681" i="1" s="1"/>
  <c r="G680" i="1"/>
  <c r="F680" i="1"/>
  <c r="D680" i="1"/>
  <c r="H680" i="1" s="1"/>
  <c r="H679" i="1"/>
  <c r="H678" i="1"/>
  <c r="G677" i="1"/>
  <c r="F677" i="1"/>
  <c r="D677" i="1"/>
  <c r="H677" i="1" s="1"/>
  <c r="G676" i="1"/>
  <c r="F676" i="1"/>
  <c r="D676" i="1"/>
  <c r="H676" i="1" s="1"/>
  <c r="H675" i="1"/>
  <c r="H674" i="1"/>
  <c r="H673" i="1"/>
  <c r="H672" i="1"/>
  <c r="G672" i="1"/>
  <c r="F672" i="1"/>
  <c r="D672" i="1"/>
  <c r="G671" i="1"/>
  <c r="F671" i="1"/>
  <c r="H671" i="1" s="1"/>
  <c r="D671" i="1"/>
  <c r="H670" i="1"/>
  <c r="G669" i="1"/>
  <c r="F669" i="1"/>
  <c r="D669" i="1"/>
  <c r="H669" i="1" s="1"/>
  <c r="G668" i="1"/>
  <c r="F668" i="1"/>
  <c r="D668" i="1"/>
  <c r="H668" i="1" s="1"/>
  <c r="H667" i="1"/>
  <c r="H666" i="1"/>
  <c r="H665" i="1"/>
  <c r="H664" i="1"/>
  <c r="H663" i="1"/>
  <c r="H662" i="1"/>
  <c r="G661" i="1"/>
  <c r="H661" i="1" s="1"/>
  <c r="F661" i="1"/>
  <c r="D661" i="1"/>
  <c r="G660" i="1"/>
  <c r="F660" i="1"/>
  <c r="D660" i="1"/>
  <c r="H660" i="1" s="1"/>
  <c r="G659" i="1"/>
  <c r="F659" i="1"/>
  <c r="D659" i="1"/>
  <c r="H659" i="1" s="1"/>
  <c r="G658" i="1"/>
  <c r="H658" i="1" s="1"/>
  <c r="F658" i="1"/>
  <c r="D658" i="1"/>
  <c r="G657" i="1"/>
  <c r="F657" i="1"/>
  <c r="D657" i="1"/>
  <c r="H657" i="1" s="1"/>
  <c r="G656" i="1"/>
  <c r="F656" i="1"/>
  <c r="D656" i="1"/>
  <c r="H656" i="1" s="1"/>
  <c r="H655" i="1"/>
  <c r="H654" i="1"/>
  <c r="G654" i="1"/>
  <c r="F654" i="1"/>
  <c r="D654" i="1"/>
  <c r="G653" i="1"/>
  <c r="F653" i="1"/>
  <c r="H653" i="1" s="1"/>
  <c r="D653" i="1"/>
  <c r="H652" i="1"/>
  <c r="H651" i="1"/>
  <c r="G650" i="1"/>
  <c r="F650" i="1"/>
  <c r="H650" i="1" s="1"/>
  <c r="D650" i="1"/>
  <c r="G649" i="1"/>
  <c r="F649" i="1"/>
  <c r="H649" i="1" s="1"/>
  <c r="D649" i="1"/>
  <c r="H648" i="1"/>
  <c r="H647" i="1"/>
  <c r="G646" i="1"/>
  <c r="F646" i="1"/>
  <c r="D646" i="1"/>
  <c r="H646" i="1" s="1"/>
  <c r="H645" i="1"/>
  <c r="G645" i="1"/>
  <c r="F645" i="1"/>
  <c r="D645" i="1"/>
  <c r="G644" i="1"/>
  <c r="F644" i="1"/>
  <c r="H644" i="1" s="1"/>
  <c r="D644" i="1"/>
  <c r="G643" i="1"/>
  <c r="F643" i="1"/>
  <c r="D643" i="1"/>
  <c r="H643" i="1" s="1"/>
  <c r="H642" i="1"/>
  <c r="G642" i="1"/>
  <c r="F642" i="1"/>
  <c r="D642" i="1"/>
  <c r="G641" i="1"/>
  <c r="F641" i="1"/>
  <c r="H641" i="1" s="1"/>
  <c r="D641" i="1"/>
  <c r="H640" i="1"/>
  <c r="G639" i="1"/>
  <c r="F639" i="1"/>
  <c r="D639" i="1"/>
  <c r="H639" i="1" s="1"/>
  <c r="G638" i="1"/>
  <c r="F638" i="1"/>
  <c r="D638" i="1"/>
  <c r="H638" i="1" s="1"/>
  <c r="H637" i="1"/>
  <c r="H636" i="1"/>
  <c r="G636" i="1"/>
  <c r="F636" i="1"/>
  <c r="D636" i="1"/>
  <c r="G635" i="1"/>
  <c r="F635" i="1"/>
  <c r="H635" i="1" s="1"/>
  <c r="D635" i="1"/>
  <c r="H634" i="1"/>
  <c r="G633" i="1"/>
  <c r="F633" i="1"/>
  <c r="D633" i="1"/>
  <c r="H633" i="1" s="1"/>
  <c r="G632" i="1"/>
  <c r="F632" i="1"/>
  <c r="D632" i="1"/>
  <c r="H632" i="1" s="1"/>
  <c r="H631" i="1"/>
  <c r="H630" i="1"/>
  <c r="G629" i="1"/>
  <c r="F629" i="1"/>
  <c r="D629" i="1"/>
  <c r="H629" i="1" s="1"/>
  <c r="G628" i="1"/>
  <c r="F628" i="1"/>
  <c r="D628" i="1"/>
  <c r="H628" i="1" s="1"/>
  <c r="G627" i="1"/>
  <c r="F627" i="1"/>
  <c r="D627" i="1"/>
  <c r="H627" i="1" s="1"/>
  <c r="G626" i="1"/>
  <c r="F626" i="1"/>
  <c r="D626" i="1"/>
  <c r="H626" i="1" s="1"/>
  <c r="G625" i="1"/>
  <c r="F625" i="1"/>
  <c r="D625" i="1"/>
  <c r="H625" i="1" s="1"/>
  <c r="G624" i="1"/>
  <c r="F624" i="1"/>
  <c r="D624" i="1"/>
  <c r="H624" i="1" s="1"/>
  <c r="G623" i="1"/>
  <c r="F623" i="1"/>
  <c r="D623" i="1"/>
  <c r="H623" i="1" s="1"/>
  <c r="G622" i="1"/>
  <c r="F622" i="1"/>
  <c r="D622" i="1"/>
  <c r="H622" i="1" s="1"/>
  <c r="H621" i="1"/>
  <c r="G620" i="1"/>
  <c r="F620" i="1"/>
  <c r="H620" i="1" s="1"/>
  <c r="D620" i="1"/>
  <c r="G619" i="1"/>
  <c r="F619" i="1"/>
  <c r="H619" i="1" s="1"/>
  <c r="D619" i="1"/>
  <c r="H618" i="1"/>
  <c r="G618" i="1"/>
  <c r="F618" i="1"/>
  <c r="D618" i="1"/>
  <c r="G617" i="1"/>
  <c r="F617" i="1"/>
  <c r="H617" i="1" s="1"/>
  <c r="D617" i="1"/>
  <c r="G616" i="1"/>
  <c r="F616" i="1"/>
  <c r="H616" i="1" s="1"/>
  <c r="D616" i="1"/>
  <c r="H615" i="1"/>
  <c r="G615" i="1"/>
  <c r="F615" i="1"/>
  <c r="D615" i="1"/>
  <c r="G614" i="1"/>
  <c r="F614" i="1"/>
  <c r="H614" i="1" s="1"/>
  <c r="D614" i="1"/>
  <c r="G613" i="1"/>
  <c r="F613" i="1"/>
  <c r="H613" i="1" s="1"/>
  <c r="D613" i="1"/>
  <c r="H612" i="1"/>
  <c r="G612" i="1"/>
  <c r="F612" i="1"/>
  <c r="D612" i="1"/>
  <c r="G611" i="1"/>
  <c r="F611" i="1"/>
  <c r="H611" i="1" s="1"/>
  <c r="D611" i="1"/>
  <c r="G610" i="1"/>
  <c r="F610" i="1"/>
  <c r="D610" i="1"/>
  <c r="H610" i="1" s="1"/>
  <c r="H609" i="1"/>
  <c r="G609" i="1"/>
  <c r="F609" i="1"/>
  <c r="D609" i="1"/>
  <c r="G608" i="1"/>
  <c r="F608" i="1"/>
  <c r="H608" i="1" s="1"/>
  <c r="D608" i="1"/>
  <c r="G607" i="1"/>
  <c r="F607" i="1"/>
  <c r="D607" i="1"/>
  <c r="H607" i="1" s="1"/>
  <c r="H606" i="1"/>
  <c r="G606" i="1"/>
  <c r="F606" i="1"/>
  <c r="D606" i="1"/>
  <c r="G605" i="1"/>
  <c r="F605" i="1"/>
  <c r="H605" i="1" s="1"/>
  <c r="D605" i="1"/>
  <c r="G604" i="1"/>
  <c r="F604" i="1"/>
  <c r="D604" i="1"/>
  <c r="H604" i="1" s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G550" i="1"/>
  <c r="H550" i="1" s="1"/>
  <c r="F550" i="1"/>
  <c r="D550" i="1"/>
  <c r="G549" i="1"/>
  <c r="F549" i="1"/>
  <c r="D549" i="1"/>
  <c r="H549" i="1" s="1"/>
  <c r="G548" i="1"/>
  <c r="H548" i="1" s="1"/>
  <c r="F548" i="1"/>
  <c r="D548" i="1"/>
  <c r="G547" i="1"/>
  <c r="H547" i="1" s="1"/>
  <c r="F547" i="1"/>
  <c r="D547" i="1"/>
  <c r="G546" i="1"/>
  <c r="F546" i="1"/>
  <c r="D546" i="1"/>
  <c r="H546" i="1" s="1"/>
  <c r="G545" i="1"/>
  <c r="H545" i="1" s="1"/>
  <c r="F545" i="1"/>
  <c r="D545" i="1"/>
  <c r="G544" i="1"/>
  <c r="H544" i="1" s="1"/>
  <c r="F544" i="1"/>
  <c r="D544" i="1"/>
  <c r="G543" i="1"/>
  <c r="F543" i="1"/>
  <c r="D543" i="1"/>
  <c r="H543" i="1" s="1"/>
  <c r="G542" i="1"/>
  <c r="F542" i="1"/>
  <c r="D542" i="1"/>
  <c r="H542" i="1" s="1"/>
  <c r="G541" i="1"/>
  <c r="H541" i="1" s="1"/>
  <c r="F541" i="1"/>
  <c r="D541" i="1"/>
  <c r="G540" i="1"/>
  <c r="F540" i="1"/>
  <c r="D540" i="1"/>
  <c r="H540" i="1" s="1"/>
  <c r="G539" i="1"/>
  <c r="F539" i="1"/>
  <c r="D539" i="1"/>
  <c r="H539" i="1" s="1"/>
  <c r="G538" i="1"/>
  <c r="H538" i="1" s="1"/>
  <c r="F538" i="1"/>
  <c r="D538" i="1"/>
  <c r="G537" i="1"/>
  <c r="F537" i="1"/>
  <c r="D537" i="1"/>
  <c r="H537" i="1" s="1"/>
  <c r="G536" i="1"/>
  <c r="F536" i="1"/>
  <c r="D536" i="1"/>
  <c r="H536" i="1" s="1"/>
  <c r="G535" i="1"/>
  <c r="H535" i="1" s="1"/>
  <c r="F535" i="1"/>
  <c r="D535" i="1"/>
  <c r="H534" i="1"/>
  <c r="H533" i="1"/>
  <c r="G532" i="1"/>
  <c r="F532" i="1"/>
  <c r="D532" i="1"/>
  <c r="H532" i="1" s="1"/>
  <c r="H531" i="1"/>
  <c r="H530" i="1"/>
  <c r="H529" i="1"/>
  <c r="H528" i="1"/>
  <c r="H527" i="1"/>
  <c r="G526" i="1"/>
  <c r="F526" i="1"/>
  <c r="H526" i="1" s="1"/>
  <c r="D526" i="1"/>
  <c r="H525" i="1"/>
  <c r="G525" i="1"/>
  <c r="F525" i="1"/>
  <c r="D525" i="1"/>
  <c r="G524" i="1"/>
  <c r="F524" i="1"/>
  <c r="H524" i="1" s="1"/>
  <c r="D524" i="1"/>
  <c r="G523" i="1"/>
  <c r="F523" i="1"/>
  <c r="D523" i="1"/>
  <c r="H523" i="1" s="1"/>
  <c r="H522" i="1"/>
  <c r="G522" i="1"/>
  <c r="F522" i="1"/>
  <c r="D522" i="1"/>
  <c r="G521" i="1"/>
  <c r="F521" i="1"/>
  <c r="H521" i="1" s="1"/>
  <c r="D521" i="1"/>
  <c r="G520" i="1"/>
  <c r="F520" i="1"/>
  <c r="D520" i="1"/>
  <c r="H520" i="1" s="1"/>
  <c r="H519" i="1"/>
  <c r="G519" i="1"/>
  <c r="F519" i="1"/>
  <c r="D519" i="1"/>
  <c r="G518" i="1"/>
  <c r="F518" i="1"/>
  <c r="H518" i="1" s="1"/>
  <c r="D518" i="1"/>
  <c r="G517" i="1"/>
  <c r="F517" i="1"/>
  <c r="D517" i="1"/>
  <c r="H517" i="1" s="1"/>
  <c r="H516" i="1"/>
  <c r="G516" i="1"/>
  <c r="F516" i="1"/>
  <c r="D516" i="1"/>
  <c r="G515" i="1"/>
  <c r="F515" i="1"/>
  <c r="H515" i="1" s="1"/>
  <c r="D515" i="1"/>
  <c r="G514" i="1"/>
  <c r="F514" i="1"/>
  <c r="D514" i="1"/>
  <c r="H514" i="1" s="1"/>
  <c r="H513" i="1"/>
  <c r="G513" i="1"/>
  <c r="F513" i="1"/>
  <c r="D513" i="1"/>
  <c r="G512" i="1"/>
  <c r="F512" i="1"/>
  <c r="D512" i="1"/>
  <c r="H512" i="1" s="1"/>
  <c r="G511" i="1"/>
  <c r="F511" i="1"/>
  <c r="D511" i="1"/>
  <c r="H511" i="1" s="1"/>
  <c r="H510" i="1"/>
  <c r="H509" i="1"/>
  <c r="H508" i="1"/>
  <c r="H507" i="1"/>
  <c r="H506" i="1"/>
  <c r="G505" i="1"/>
  <c r="H505" i="1" s="1"/>
  <c r="F505" i="1"/>
  <c r="D505" i="1"/>
  <c r="G504" i="1"/>
  <c r="F504" i="1"/>
  <c r="D504" i="1"/>
  <c r="H504" i="1" s="1"/>
  <c r="G503" i="1"/>
  <c r="F503" i="1"/>
  <c r="D503" i="1"/>
  <c r="H503" i="1" s="1"/>
  <c r="G502" i="1"/>
  <c r="H502" i="1" s="1"/>
  <c r="F502" i="1"/>
  <c r="D502" i="1"/>
  <c r="G501" i="1"/>
  <c r="F501" i="1"/>
  <c r="D501" i="1"/>
  <c r="H501" i="1" s="1"/>
  <c r="G500" i="1"/>
  <c r="F500" i="1"/>
  <c r="D500" i="1"/>
  <c r="H500" i="1" s="1"/>
  <c r="G499" i="1"/>
  <c r="H499" i="1" s="1"/>
  <c r="F499" i="1"/>
  <c r="D499" i="1"/>
  <c r="G498" i="1"/>
  <c r="F498" i="1"/>
  <c r="D498" i="1"/>
  <c r="H498" i="1" s="1"/>
  <c r="G497" i="1"/>
  <c r="F497" i="1"/>
  <c r="D497" i="1"/>
  <c r="H497" i="1" s="1"/>
  <c r="G496" i="1"/>
  <c r="H496" i="1" s="1"/>
  <c r="F496" i="1"/>
  <c r="D496" i="1"/>
  <c r="G495" i="1"/>
  <c r="F495" i="1"/>
  <c r="D495" i="1"/>
  <c r="H495" i="1" s="1"/>
  <c r="G494" i="1"/>
  <c r="F494" i="1"/>
  <c r="D494" i="1"/>
  <c r="H494" i="1" s="1"/>
  <c r="G493" i="1"/>
  <c r="H493" i="1" s="1"/>
  <c r="F493" i="1"/>
  <c r="D493" i="1"/>
  <c r="G492" i="1"/>
  <c r="F492" i="1"/>
  <c r="D492" i="1"/>
  <c r="H492" i="1" s="1"/>
  <c r="G491" i="1"/>
  <c r="F491" i="1"/>
  <c r="D491" i="1"/>
  <c r="H491" i="1" s="1"/>
  <c r="G490" i="1"/>
  <c r="H490" i="1" s="1"/>
  <c r="F490" i="1"/>
  <c r="D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G472" i="1"/>
  <c r="F472" i="1"/>
  <c r="D472" i="1"/>
  <c r="H472" i="1" s="1"/>
  <c r="H471" i="1"/>
  <c r="H470" i="1"/>
  <c r="H469" i="1"/>
  <c r="H468" i="1"/>
  <c r="H467" i="1"/>
  <c r="G466" i="1"/>
  <c r="F466" i="1"/>
  <c r="D466" i="1"/>
  <c r="H466" i="1" s="1"/>
  <c r="G465" i="1"/>
  <c r="F465" i="1"/>
  <c r="D465" i="1"/>
  <c r="H465" i="1" s="1"/>
  <c r="G464" i="1"/>
  <c r="F464" i="1"/>
  <c r="D464" i="1"/>
  <c r="H464" i="1" s="1"/>
  <c r="G463" i="1"/>
  <c r="F463" i="1"/>
  <c r="D463" i="1"/>
  <c r="G462" i="1"/>
  <c r="F462" i="1"/>
  <c r="D462" i="1"/>
  <c r="H462" i="1" s="1"/>
  <c r="G461" i="1"/>
  <c r="F461" i="1"/>
  <c r="D461" i="1"/>
  <c r="H461" i="1" s="1"/>
  <c r="H460" i="1"/>
  <c r="H459" i="1"/>
  <c r="G458" i="1"/>
  <c r="F458" i="1"/>
  <c r="D458" i="1"/>
  <c r="H458" i="1" s="1"/>
  <c r="G457" i="1"/>
  <c r="H457" i="1" s="1"/>
  <c r="F457" i="1"/>
  <c r="D457" i="1"/>
  <c r="G456" i="1"/>
  <c r="F456" i="1"/>
  <c r="D456" i="1"/>
  <c r="G455" i="1"/>
  <c r="F455" i="1"/>
  <c r="D455" i="1"/>
  <c r="H455" i="1" s="1"/>
  <c r="G454" i="1"/>
  <c r="H454" i="1" s="1"/>
  <c r="F454" i="1"/>
  <c r="D454" i="1"/>
  <c r="G453" i="1"/>
  <c r="F453" i="1"/>
  <c r="D453" i="1"/>
  <c r="G452" i="1"/>
  <c r="F452" i="1"/>
  <c r="D452" i="1"/>
  <c r="H452" i="1" s="1"/>
  <c r="G451" i="1"/>
  <c r="H451" i="1" s="1"/>
  <c r="F451" i="1"/>
  <c r="D451" i="1"/>
  <c r="G450" i="1"/>
  <c r="F450" i="1"/>
  <c r="D450" i="1"/>
  <c r="G449" i="1"/>
  <c r="F449" i="1"/>
  <c r="D449" i="1"/>
  <c r="H449" i="1" s="1"/>
  <c r="G448" i="1"/>
  <c r="H448" i="1" s="1"/>
  <c r="F448" i="1"/>
  <c r="D448" i="1"/>
  <c r="G447" i="1"/>
  <c r="F447" i="1"/>
  <c r="D447" i="1"/>
  <c r="G446" i="1"/>
  <c r="F446" i="1"/>
  <c r="D446" i="1"/>
  <c r="H446" i="1" s="1"/>
  <c r="G445" i="1"/>
  <c r="H445" i="1" s="1"/>
  <c r="F445" i="1"/>
  <c r="D445" i="1"/>
  <c r="G444" i="1"/>
  <c r="F444" i="1"/>
  <c r="D444" i="1"/>
  <c r="H443" i="1"/>
  <c r="H442" i="1"/>
  <c r="H441" i="1"/>
  <c r="H440" i="1"/>
  <c r="H439" i="1"/>
  <c r="H438" i="1"/>
  <c r="G437" i="1"/>
  <c r="F437" i="1"/>
  <c r="D437" i="1"/>
  <c r="H437" i="1" s="1"/>
  <c r="G436" i="1"/>
  <c r="F436" i="1"/>
  <c r="D436" i="1"/>
  <c r="G435" i="1"/>
  <c r="F435" i="1"/>
  <c r="D435" i="1"/>
  <c r="H435" i="1" s="1"/>
  <c r="H434" i="1"/>
  <c r="G433" i="1"/>
  <c r="F433" i="1"/>
  <c r="H433" i="1" s="1"/>
  <c r="D433" i="1"/>
  <c r="H432" i="1"/>
  <c r="G432" i="1"/>
  <c r="F432" i="1"/>
  <c r="D432" i="1"/>
  <c r="G431" i="1"/>
  <c r="F431" i="1"/>
  <c r="H431" i="1" s="1"/>
  <c r="D431" i="1"/>
  <c r="G430" i="1"/>
  <c r="F430" i="1"/>
  <c r="H430" i="1" s="1"/>
  <c r="D430" i="1"/>
  <c r="H429" i="1"/>
  <c r="G429" i="1"/>
  <c r="F429" i="1"/>
  <c r="D429" i="1"/>
  <c r="G428" i="1"/>
  <c r="F428" i="1"/>
  <c r="H428" i="1" s="1"/>
  <c r="D428" i="1"/>
  <c r="G427" i="1"/>
  <c r="F427" i="1"/>
  <c r="D427" i="1"/>
  <c r="H427" i="1" s="1"/>
  <c r="H426" i="1"/>
  <c r="G426" i="1"/>
  <c r="F426" i="1"/>
  <c r="D426" i="1"/>
  <c r="G425" i="1"/>
  <c r="F425" i="1"/>
  <c r="H425" i="1" s="1"/>
  <c r="D425" i="1"/>
  <c r="G424" i="1"/>
  <c r="F424" i="1"/>
  <c r="D424" i="1"/>
  <c r="H424" i="1" s="1"/>
  <c r="H423" i="1"/>
  <c r="G423" i="1"/>
  <c r="F423" i="1"/>
  <c r="D423" i="1"/>
  <c r="G422" i="1"/>
  <c r="F422" i="1"/>
  <c r="H422" i="1" s="1"/>
  <c r="D422" i="1"/>
  <c r="G421" i="1"/>
  <c r="F421" i="1"/>
  <c r="D421" i="1"/>
  <c r="H420" i="1"/>
  <c r="G420" i="1"/>
  <c r="F420" i="1"/>
  <c r="D420" i="1"/>
  <c r="G419" i="1"/>
  <c r="F419" i="1"/>
  <c r="H419" i="1" s="1"/>
  <c r="D419" i="1"/>
  <c r="G418" i="1"/>
  <c r="F418" i="1"/>
  <c r="D418" i="1"/>
  <c r="H418" i="1" s="1"/>
  <c r="H417" i="1"/>
  <c r="G417" i="1"/>
  <c r="F417" i="1"/>
  <c r="D417" i="1"/>
  <c r="H416" i="1"/>
  <c r="G415" i="1"/>
  <c r="H415" i="1" s="1"/>
  <c r="F415" i="1"/>
  <c r="D415" i="1"/>
  <c r="G414" i="1"/>
  <c r="F414" i="1"/>
  <c r="D414" i="1"/>
  <c r="G413" i="1"/>
  <c r="F413" i="1"/>
  <c r="D413" i="1"/>
  <c r="H413" i="1" s="1"/>
  <c r="G412" i="1"/>
  <c r="H412" i="1" s="1"/>
  <c r="F412" i="1"/>
  <c r="D412" i="1"/>
  <c r="G411" i="1"/>
  <c r="F411" i="1"/>
  <c r="D411" i="1"/>
  <c r="G410" i="1"/>
  <c r="F410" i="1"/>
  <c r="D410" i="1"/>
  <c r="H410" i="1" s="1"/>
  <c r="G409" i="1"/>
  <c r="F409" i="1"/>
  <c r="D409" i="1"/>
  <c r="H408" i="1"/>
  <c r="H407" i="1"/>
  <c r="G407" i="1"/>
  <c r="F407" i="1"/>
  <c r="D407" i="1"/>
  <c r="H406" i="1"/>
  <c r="G406" i="1"/>
  <c r="F406" i="1"/>
  <c r="D406" i="1"/>
  <c r="H405" i="1"/>
  <c r="G404" i="1"/>
  <c r="F404" i="1"/>
  <c r="D404" i="1"/>
  <c r="H404" i="1" s="1"/>
  <c r="G403" i="1"/>
  <c r="F403" i="1"/>
  <c r="D403" i="1"/>
  <c r="H403" i="1" s="1"/>
  <c r="G402" i="1"/>
  <c r="F402" i="1"/>
  <c r="D402" i="1"/>
  <c r="H402" i="1" s="1"/>
  <c r="G401" i="1"/>
  <c r="F401" i="1"/>
  <c r="D401" i="1"/>
  <c r="H401" i="1" s="1"/>
  <c r="G400" i="1"/>
  <c r="F400" i="1"/>
  <c r="D400" i="1"/>
  <c r="H400" i="1" s="1"/>
  <c r="G399" i="1"/>
  <c r="F399" i="1"/>
  <c r="D399" i="1"/>
  <c r="H399" i="1" s="1"/>
  <c r="G398" i="1"/>
  <c r="F398" i="1"/>
  <c r="D398" i="1"/>
  <c r="H398" i="1" s="1"/>
  <c r="G397" i="1"/>
  <c r="F397" i="1"/>
  <c r="D397" i="1"/>
  <c r="H397" i="1" s="1"/>
  <c r="H396" i="1"/>
  <c r="G395" i="1"/>
  <c r="F395" i="1"/>
  <c r="H395" i="1" s="1"/>
  <c r="D395" i="1"/>
  <c r="G394" i="1"/>
  <c r="F394" i="1"/>
  <c r="D394" i="1"/>
  <c r="G393" i="1"/>
  <c r="F393" i="1"/>
  <c r="H393" i="1" s="1"/>
  <c r="D393" i="1"/>
  <c r="G392" i="1"/>
  <c r="F392" i="1"/>
  <c r="H392" i="1" s="1"/>
  <c r="D392" i="1"/>
  <c r="G391" i="1"/>
  <c r="F391" i="1"/>
  <c r="D391" i="1"/>
  <c r="H390" i="1"/>
  <c r="G390" i="1"/>
  <c r="F390" i="1"/>
  <c r="D390" i="1"/>
  <c r="G389" i="1"/>
  <c r="F389" i="1"/>
  <c r="H389" i="1" s="1"/>
  <c r="D389" i="1"/>
  <c r="G388" i="1"/>
  <c r="F388" i="1"/>
  <c r="D388" i="1"/>
  <c r="H387" i="1"/>
  <c r="G386" i="1"/>
  <c r="F386" i="1"/>
  <c r="D386" i="1"/>
  <c r="H385" i="1"/>
  <c r="G385" i="1"/>
  <c r="F385" i="1"/>
  <c r="D385" i="1"/>
  <c r="G384" i="1"/>
  <c r="F384" i="1"/>
  <c r="D384" i="1"/>
  <c r="H384" i="1" s="1"/>
  <c r="G383" i="1"/>
  <c r="F383" i="1"/>
  <c r="D383" i="1"/>
  <c r="H383" i="1" s="1"/>
  <c r="G382" i="1"/>
  <c r="F382" i="1"/>
  <c r="H382" i="1" s="1"/>
  <c r="D382" i="1"/>
  <c r="G381" i="1"/>
  <c r="F381" i="1"/>
  <c r="D381" i="1"/>
  <c r="H381" i="1" s="1"/>
  <c r="G380" i="1"/>
  <c r="F380" i="1"/>
  <c r="D380" i="1"/>
  <c r="H380" i="1" s="1"/>
  <c r="G379" i="1"/>
  <c r="F379" i="1"/>
  <c r="D379" i="1"/>
  <c r="H379" i="1" s="1"/>
  <c r="G378" i="1"/>
  <c r="F378" i="1"/>
  <c r="D378" i="1"/>
  <c r="G377" i="1"/>
  <c r="F377" i="1"/>
  <c r="D377" i="1"/>
  <c r="H376" i="1"/>
  <c r="G375" i="1"/>
  <c r="F375" i="1"/>
  <c r="H375" i="1" s="1"/>
  <c r="D375" i="1"/>
  <c r="G374" i="1"/>
  <c r="H374" i="1" s="1"/>
  <c r="F374" i="1"/>
  <c r="D374" i="1"/>
  <c r="G373" i="1"/>
  <c r="F373" i="1"/>
  <c r="D373" i="1"/>
  <c r="H373" i="1" s="1"/>
  <c r="G372" i="1"/>
  <c r="F372" i="1"/>
  <c r="H372" i="1" s="1"/>
  <c r="D372" i="1"/>
  <c r="G371" i="1"/>
  <c r="H371" i="1" s="1"/>
  <c r="F371" i="1"/>
  <c r="D371" i="1"/>
  <c r="G370" i="1"/>
  <c r="F370" i="1"/>
  <c r="D370" i="1"/>
  <c r="H370" i="1" s="1"/>
  <c r="G369" i="1"/>
  <c r="F369" i="1"/>
  <c r="H369" i="1" s="1"/>
  <c r="D369" i="1"/>
  <c r="G368" i="1"/>
  <c r="F368" i="1"/>
  <c r="H368" i="1" s="1"/>
  <c r="D368" i="1"/>
  <c r="H367" i="1"/>
  <c r="G366" i="1"/>
  <c r="F366" i="1"/>
  <c r="D366" i="1"/>
  <c r="H366" i="1" s="1"/>
  <c r="H365" i="1"/>
  <c r="G365" i="1"/>
  <c r="F365" i="1"/>
  <c r="D365" i="1"/>
  <c r="G364" i="1"/>
  <c r="H364" i="1" s="1"/>
  <c r="F364" i="1"/>
  <c r="D364" i="1"/>
  <c r="G363" i="1"/>
  <c r="F363" i="1"/>
  <c r="D363" i="1"/>
  <c r="G362" i="1"/>
  <c r="F362" i="1"/>
  <c r="D362" i="1"/>
  <c r="H362" i="1" s="1"/>
  <c r="G361" i="1"/>
  <c r="F361" i="1"/>
  <c r="D361" i="1"/>
  <c r="H361" i="1" s="1"/>
  <c r="G360" i="1"/>
  <c r="F360" i="1"/>
  <c r="D360" i="1"/>
  <c r="H360" i="1" s="1"/>
  <c r="H359" i="1"/>
  <c r="G358" i="1"/>
  <c r="F358" i="1"/>
  <c r="D358" i="1"/>
  <c r="H358" i="1" s="1"/>
  <c r="G357" i="1"/>
  <c r="F357" i="1"/>
  <c r="H357" i="1" s="1"/>
  <c r="D357" i="1"/>
  <c r="G356" i="1"/>
  <c r="F356" i="1"/>
  <c r="D356" i="1"/>
  <c r="H356" i="1" s="1"/>
  <c r="G355" i="1"/>
  <c r="F355" i="1"/>
  <c r="D355" i="1"/>
  <c r="H355" i="1" s="1"/>
  <c r="G354" i="1"/>
  <c r="F354" i="1"/>
  <c r="H354" i="1" s="1"/>
  <c r="D354" i="1"/>
  <c r="G353" i="1"/>
  <c r="F353" i="1"/>
  <c r="D353" i="1"/>
  <c r="H353" i="1" s="1"/>
  <c r="G352" i="1"/>
  <c r="F352" i="1"/>
  <c r="D352" i="1"/>
  <c r="H352" i="1" s="1"/>
  <c r="H351" i="1"/>
  <c r="G350" i="1"/>
  <c r="F350" i="1"/>
  <c r="D350" i="1"/>
  <c r="H350" i="1" s="1"/>
  <c r="G349" i="1"/>
  <c r="F349" i="1"/>
  <c r="D349" i="1"/>
  <c r="H349" i="1" s="1"/>
  <c r="G348" i="1"/>
  <c r="F348" i="1"/>
  <c r="D348" i="1"/>
  <c r="G347" i="1"/>
  <c r="F347" i="1"/>
  <c r="D347" i="1"/>
  <c r="G346" i="1"/>
  <c r="F346" i="1"/>
  <c r="D346" i="1"/>
  <c r="H346" i="1" s="1"/>
  <c r="G345" i="1"/>
  <c r="F345" i="1"/>
  <c r="D345" i="1"/>
  <c r="H345" i="1" s="1"/>
  <c r="G344" i="1"/>
  <c r="F344" i="1"/>
  <c r="D344" i="1"/>
  <c r="H344" i="1" s="1"/>
  <c r="H343" i="1"/>
  <c r="G342" i="1"/>
  <c r="F342" i="1"/>
  <c r="H342" i="1" s="1"/>
  <c r="D342" i="1"/>
  <c r="G341" i="1"/>
  <c r="H341" i="1" s="1"/>
  <c r="F341" i="1"/>
  <c r="D341" i="1"/>
  <c r="G340" i="1"/>
  <c r="F340" i="1"/>
  <c r="H340" i="1" s="1"/>
  <c r="D340" i="1"/>
  <c r="G339" i="1"/>
  <c r="F339" i="1"/>
  <c r="H339" i="1" s="1"/>
  <c r="D339" i="1"/>
  <c r="G338" i="1"/>
  <c r="H338" i="1" s="1"/>
  <c r="F338" i="1"/>
  <c r="D338" i="1"/>
  <c r="G337" i="1"/>
  <c r="F337" i="1"/>
  <c r="H337" i="1" s="1"/>
  <c r="D337" i="1"/>
  <c r="G336" i="1"/>
  <c r="F336" i="1"/>
  <c r="H336" i="1" s="1"/>
  <c r="D336" i="1"/>
  <c r="H335" i="1"/>
  <c r="G334" i="1"/>
  <c r="F334" i="1"/>
  <c r="H334" i="1" s="1"/>
  <c r="D334" i="1"/>
  <c r="G333" i="1"/>
  <c r="F333" i="1"/>
  <c r="D333" i="1"/>
  <c r="H333" i="1" s="1"/>
  <c r="G332" i="1"/>
  <c r="F332" i="1"/>
  <c r="D332" i="1"/>
  <c r="H332" i="1" s="1"/>
  <c r="G331" i="1"/>
  <c r="F331" i="1"/>
  <c r="H331" i="1" s="1"/>
  <c r="D331" i="1"/>
  <c r="G330" i="1"/>
  <c r="F330" i="1"/>
  <c r="D330" i="1"/>
  <c r="H330" i="1" s="1"/>
  <c r="G329" i="1"/>
  <c r="F329" i="1"/>
  <c r="D329" i="1"/>
  <c r="H329" i="1" s="1"/>
  <c r="G328" i="1"/>
  <c r="F328" i="1"/>
  <c r="D328" i="1"/>
  <c r="H328" i="1" s="1"/>
  <c r="H327" i="1"/>
  <c r="H326" i="1"/>
  <c r="G326" i="1"/>
  <c r="F326" i="1"/>
  <c r="D326" i="1"/>
  <c r="G325" i="1"/>
  <c r="F325" i="1"/>
  <c r="D325" i="1"/>
  <c r="H325" i="1" s="1"/>
  <c r="G324" i="1"/>
  <c r="F324" i="1"/>
  <c r="H324" i="1" s="1"/>
  <c r="D324" i="1"/>
  <c r="H323" i="1"/>
  <c r="G323" i="1"/>
  <c r="F323" i="1"/>
  <c r="D323" i="1"/>
  <c r="G322" i="1"/>
  <c r="F322" i="1"/>
  <c r="D322" i="1"/>
  <c r="H322" i="1" s="1"/>
  <c r="G321" i="1"/>
  <c r="F321" i="1"/>
  <c r="H321" i="1" s="1"/>
  <c r="D321" i="1"/>
  <c r="H320" i="1"/>
  <c r="G320" i="1"/>
  <c r="F320" i="1"/>
  <c r="D320" i="1"/>
  <c r="H319" i="1"/>
  <c r="G318" i="1"/>
  <c r="F318" i="1"/>
  <c r="D318" i="1"/>
  <c r="H318" i="1" s="1"/>
  <c r="G317" i="1"/>
  <c r="F317" i="1"/>
  <c r="D317" i="1"/>
  <c r="H317" i="1" s="1"/>
  <c r="G316" i="1"/>
  <c r="F316" i="1"/>
  <c r="D316" i="1"/>
  <c r="H316" i="1" s="1"/>
  <c r="G315" i="1"/>
  <c r="F315" i="1"/>
  <c r="D315" i="1"/>
  <c r="H315" i="1" s="1"/>
  <c r="G314" i="1"/>
  <c r="F314" i="1"/>
  <c r="D314" i="1"/>
  <c r="H314" i="1" s="1"/>
  <c r="G313" i="1"/>
  <c r="F313" i="1"/>
  <c r="D313" i="1"/>
  <c r="H313" i="1" s="1"/>
  <c r="G312" i="1"/>
  <c r="F312" i="1"/>
  <c r="D312" i="1"/>
  <c r="H312" i="1" s="1"/>
  <c r="G311" i="1"/>
  <c r="F311" i="1"/>
  <c r="D311" i="1"/>
  <c r="H311" i="1" s="1"/>
  <c r="G310" i="1"/>
  <c r="F310" i="1"/>
  <c r="D310" i="1"/>
  <c r="H310" i="1" s="1"/>
  <c r="H309" i="1"/>
  <c r="G308" i="1"/>
  <c r="F308" i="1"/>
  <c r="D308" i="1"/>
  <c r="H308" i="1" s="1"/>
  <c r="G307" i="1"/>
  <c r="F307" i="1"/>
  <c r="H307" i="1" s="1"/>
  <c r="D307" i="1"/>
  <c r="H306" i="1"/>
  <c r="H305" i="1"/>
  <c r="G304" i="1"/>
  <c r="F304" i="1"/>
  <c r="D304" i="1"/>
  <c r="H304" i="1" s="1"/>
  <c r="G303" i="1"/>
  <c r="H303" i="1" s="1"/>
  <c r="F303" i="1"/>
  <c r="D303" i="1"/>
  <c r="H302" i="1"/>
  <c r="G302" i="1"/>
  <c r="F302" i="1"/>
  <c r="D302" i="1"/>
  <c r="G301" i="1"/>
  <c r="F301" i="1"/>
  <c r="D301" i="1"/>
  <c r="H301" i="1" s="1"/>
  <c r="G300" i="1"/>
  <c r="F300" i="1"/>
  <c r="H300" i="1" s="1"/>
  <c r="D300" i="1"/>
  <c r="H299" i="1"/>
  <c r="G299" i="1"/>
  <c r="F299" i="1"/>
  <c r="D299" i="1"/>
  <c r="G298" i="1"/>
  <c r="F298" i="1"/>
  <c r="D298" i="1"/>
  <c r="H298" i="1" s="1"/>
  <c r="G297" i="1"/>
  <c r="F297" i="1"/>
  <c r="H297" i="1" s="1"/>
  <c r="D297" i="1"/>
  <c r="H296" i="1"/>
  <c r="G295" i="1"/>
  <c r="F295" i="1"/>
  <c r="D295" i="1"/>
  <c r="H295" i="1" s="1"/>
  <c r="H294" i="1"/>
  <c r="G293" i="1"/>
  <c r="F293" i="1"/>
  <c r="D293" i="1"/>
  <c r="H293" i="1" s="1"/>
  <c r="H292" i="1"/>
  <c r="H291" i="1"/>
  <c r="H290" i="1"/>
  <c r="H289" i="1"/>
  <c r="G288" i="1"/>
  <c r="F288" i="1"/>
  <c r="H288" i="1" s="1"/>
  <c r="D288" i="1"/>
  <c r="H287" i="1"/>
  <c r="H286" i="1"/>
  <c r="H285" i="1"/>
  <c r="H284" i="1"/>
  <c r="H283" i="1"/>
  <c r="G282" i="1"/>
  <c r="F282" i="1"/>
  <c r="D282" i="1"/>
  <c r="H282" i="1" s="1"/>
  <c r="H281" i="1"/>
  <c r="G281" i="1"/>
  <c r="F281" i="1"/>
  <c r="D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G262" i="1"/>
  <c r="F262" i="1"/>
  <c r="D262" i="1"/>
  <c r="H262" i="1" s="1"/>
  <c r="G261" i="1"/>
  <c r="F261" i="1"/>
  <c r="D261" i="1"/>
  <c r="H261" i="1" s="1"/>
  <c r="H260" i="1"/>
  <c r="H259" i="1"/>
  <c r="H258" i="1"/>
  <c r="H257" i="1"/>
  <c r="G256" i="1"/>
  <c r="F256" i="1"/>
  <c r="D256" i="1"/>
  <c r="H256" i="1" s="1"/>
  <c r="G255" i="1"/>
  <c r="F255" i="1"/>
  <c r="D255" i="1"/>
  <c r="H255" i="1" s="1"/>
  <c r="H254" i="1"/>
  <c r="H253" i="1"/>
  <c r="H252" i="1"/>
  <c r="H251" i="1"/>
  <c r="H250" i="1"/>
  <c r="H249" i="1"/>
  <c r="H248" i="1"/>
  <c r="H247" i="1"/>
  <c r="H246" i="1"/>
  <c r="H245" i="1"/>
  <c r="H244" i="1"/>
  <c r="H243" i="1"/>
  <c r="G242" i="1"/>
  <c r="F242" i="1"/>
  <c r="D242" i="1"/>
  <c r="H242" i="1" s="1"/>
  <c r="G241" i="1"/>
  <c r="F241" i="1"/>
  <c r="D241" i="1"/>
  <c r="H241" i="1" s="1"/>
  <c r="G240" i="1"/>
  <c r="F240" i="1"/>
  <c r="D240" i="1"/>
  <c r="H240" i="1" s="1"/>
  <c r="G239" i="1"/>
  <c r="F239" i="1"/>
  <c r="D239" i="1"/>
  <c r="H239" i="1" s="1"/>
  <c r="G238" i="1"/>
  <c r="F238" i="1"/>
  <c r="D238" i="1"/>
  <c r="H238" i="1" s="1"/>
  <c r="G237" i="1"/>
  <c r="F237" i="1"/>
  <c r="D237" i="1"/>
  <c r="H237" i="1" s="1"/>
  <c r="G236" i="1"/>
  <c r="F236" i="1"/>
  <c r="D236" i="1"/>
  <c r="H236" i="1" s="1"/>
  <c r="G235" i="1"/>
  <c r="F235" i="1"/>
  <c r="D235" i="1"/>
  <c r="H235" i="1" s="1"/>
  <c r="H234" i="1"/>
  <c r="G233" i="1"/>
  <c r="F233" i="1"/>
  <c r="H233" i="1" s="1"/>
  <c r="D233" i="1"/>
  <c r="G232" i="1"/>
  <c r="F232" i="1"/>
  <c r="H232" i="1" s="1"/>
  <c r="D232" i="1"/>
  <c r="H231" i="1"/>
  <c r="H230" i="1"/>
  <c r="H229" i="1"/>
  <c r="G228" i="1"/>
  <c r="F228" i="1"/>
  <c r="D228" i="1"/>
  <c r="H228" i="1" s="1"/>
  <c r="G227" i="1"/>
  <c r="F227" i="1"/>
  <c r="D227" i="1"/>
  <c r="H227" i="1" s="1"/>
  <c r="G226" i="1"/>
  <c r="F226" i="1"/>
  <c r="D226" i="1"/>
  <c r="H226" i="1" s="1"/>
  <c r="G225" i="1"/>
  <c r="F225" i="1"/>
  <c r="D225" i="1"/>
  <c r="H225" i="1" s="1"/>
  <c r="G224" i="1"/>
  <c r="F224" i="1"/>
  <c r="D224" i="1"/>
  <c r="H224" i="1" s="1"/>
  <c r="G223" i="1"/>
  <c r="F223" i="1"/>
  <c r="D223" i="1"/>
  <c r="H223" i="1" s="1"/>
  <c r="G222" i="1"/>
  <c r="F222" i="1"/>
  <c r="D222" i="1"/>
  <c r="H222" i="1" s="1"/>
  <c r="G221" i="1"/>
  <c r="F221" i="1"/>
  <c r="D221" i="1"/>
  <c r="H221" i="1" s="1"/>
  <c r="G220" i="1"/>
  <c r="F220" i="1"/>
  <c r="D220" i="1"/>
  <c r="H220" i="1" s="1"/>
  <c r="H219" i="1"/>
  <c r="H218" i="1"/>
  <c r="H217" i="1"/>
  <c r="H216" i="1"/>
  <c r="G215" i="1"/>
  <c r="F215" i="1"/>
  <c r="D215" i="1"/>
  <c r="H215" i="1" s="1"/>
  <c r="G214" i="1"/>
  <c r="F214" i="1"/>
  <c r="D214" i="1"/>
  <c r="H214" i="1" s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G178" i="1"/>
  <c r="F178" i="1"/>
  <c r="D178" i="1"/>
  <c r="H178" i="1" s="1"/>
  <c r="H177" i="1"/>
  <c r="G177" i="1"/>
  <c r="F177" i="1"/>
  <c r="D177" i="1"/>
  <c r="H176" i="1"/>
  <c r="G175" i="1"/>
  <c r="F175" i="1"/>
  <c r="D175" i="1"/>
  <c r="H175" i="1" s="1"/>
  <c r="G174" i="1"/>
  <c r="F174" i="1"/>
  <c r="D174" i="1"/>
  <c r="H174" i="1" s="1"/>
  <c r="G173" i="1"/>
  <c r="F173" i="1"/>
  <c r="D173" i="1"/>
  <c r="H173" i="1" s="1"/>
  <c r="G172" i="1"/>
  <c r="F172" i="1"/>
  <c r="D172" i="1"/>
  <c r="H172" i="1" s="1"/>
  <c r="G171" i="1"/>
  <c r="F171" i="1"/>
  <c r="D171" i="1"/>
  <c r="H171" i="1" s="1"/>
  <c r="G170" i="1"/>
  <c r="F170" i="1"/>
  <c r="D170" i="1"/>
  <c r="H170" i="1" s="1"/>
  <c r="G169" i="1"/>
  <c r="F169" i="1"/>
  <c r="D169" i="1"/>
  <c r="H169" i="1" s="1"/>
  <c r="H168" i="1"/>
  <c r="G167" i="1"/>
  <c r="F167" i="1"/>
  <c r="H167" i="1" s="1"/>
  <c r="D167" i="1"/>
  <c r="G166" i="1"/>
  <c r="F166" i="1"/>
  <c r="H166" i="1" s="1"/>
  <c r="D166" i="1"/>
  <c r="G165" i="1"/>
  <c r="F165" i="1"/>
  <c r="H165" i="1" s="1"/>
  <c r="D165" i="1"/>
  <c r="G164" i="1"/>
  <c r="F164" i="1"/>
  <c r="H164" i="1" s="1"/>
  <c r="D164" i="1"/>
  <c r="G163" i="1"/>
  <c r="F163" i="1"/>
  <c r="H163" i="1" s="1"/>
  <c r="D163" i="1"/>
  <c r="G162" i="1"/>
  <c r="F162" i="1"/>
  <c r="H162" i="1" s="1"/>
  <c r="D162" i="1"/>
  <c r="G161" i="1"/>
  <c r="F161" i="1"/>
  <c r="D161" i="1"/>
  <c r="H161" i="1" s="1"/>
  <c r="H160" i="1"/>
  <c r="G159" i="1"/>
  <c r="F159" i="1"/>
  <c r="D159" i="1"/>
  <c r="H159" i="1" s="1"/>
  <c r="G158" i="1"/>
  <c r="H158" i="1" s="1"/>
  <c r="F158" i="1"/>
  <c r="D158" i="1"/>
  <c r="H157" i="1"/>
  <c r="H156" i="1"/>
  <c r="G156" i="1"/>
  <c r="F156" i="1"/>
  <c r="D156" i="1"/>
  <c r="H155" i="1"/>
  <c r="G155" i="1"/>
  <c r="F155" i="1"/>
  <c r="D155" i="1"/>
  <c r="H154" i="1"/>
  <c r="H153" i="1"/>
  <c r="H152" i="1"/>
  <c r="H151" i="1"/>
  <c r="G151" i="1"/>
  <c r="F151" i="1"/>
  <c r="D151" i="1"/>
  <c r="G150" i="1"/>
  <c r="F150" i="1"/>
  <c r="D150" i="1"/>
  <c r="H150" i="1" s="1"/>
  <c r="G149" i="1"/>
  <c r="H149" i="1" s="1"/>
  <c r="F149" i="1"/>
  <c r="D149" i="1"/>
  <c r="G148" i="1"/>
  <c r="H148" i="1" s="1"/>
  <c r="F148" i="1"/>
  <c r="D148" i="1"/>
  <c r="G147" i="1"/>
  <c r="F147" i="1"/>
  <c r="D147" i="1"/>
  <c r="H147" i="1" s="1"/>
  <c r="G146" i="1"/>
  <c r="H146" i="1" s="1"/>
  <c r="F146" i="1"/>
  <c r="D146" i="1"/>
  <c r="H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6" i="1"/>
  <c r="F136" i="1"/>
  <c r="D136" i="1"/>
  <c r="H136" i="1" s="1"/>
  <c r="G135" i="1"/>
  <c r="F135" i="1"/>
  <c r="D135" i="1"/>
  <c r="H135" i="1" s="1"/>
  <c r="H134" i="1"/>
  <c r="G133" i="1"/>
  <c r="F133" i="1"/>
  <c r="H133" i="1" s="1"/>
  <c r="D133" i="1"/>
  <c r="G132" i="1"/>
  <c r="F132" i="1"/>
  <c r="H132" i="1" s="1"/>
  <c r="D132" i="1"/>
  <c r="G131" i="1"/>
  <c r="F131" i="1"/>
  <c r="H131" i="1" s="1"/>
  <c r="D131" i="1"/>
  <c r="G130" i="1"/>
  <c r="F130" i="1"/>
  <c r="H130" i="1" s="1"/>
  <c r="D130" i="1"/>
  <c r="G129" i="1"/>
  <c r="F129" i="1"/>
  <c r="H129" i="1" s="1"/>
  <c r="D129" i="1"/>
  <c r="G128" i="1"/>
  <c r="F128" i="1"/>
  <c r="D128" i="1"/>
  <c r="H128" i="1" s="1"/>
  <c r="G127" i="1"/>
  <c r="F127" i="1"/>
  <c r="H127" i="1" s="1"/>
  <c r="D127" i="1"/>
  <c r="G126" i="1"/>
  <c r="F126" i="1"/>
  <c r="H126" i="1" s="1"/>
  <c r="D126" i="1"/>
  <c r="H125" i="1"/>
  <c r="H124" i="1"/>
  <c r="H123" i="1"/>
  <c r="G123" i="1"/>
  <c r="F123" i="1"/>
  <c r="D123" i="1"/>
  <c r="H122" i="1"/>
  <c r="G122" i="1"/>
  <c r="F122" i="1"/>
  <c r="D122" i="1"/>
  <c r="H121" i="1"/>
  <c r="H120" i="1"/>
  <c r="H119" i="1"/>
  <c r="H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3" i="1"/>
  <c r="F113" i="1"/>
  <c r="D113" i="1"/>
  <c r="H113" i="1" s="1"/>
  <c r="H112" i="1"/>
  <c r="H111" i="1"/>
  <c r="H110" i="1"/>
  <c r="H109" i="1"/>
  <c r="G108" i="1"/>
  <c r="F108" i="1"/>
  <c r="D108" i="1"/>
  <c r="H108" i="1" s="1"/>
  <c r="G107" i="1"/>
  <c r="F107" i="1"/>
  <c r="D107" i="1"/>
  <c r="H107" i="1" s="1"/>
  <c r="G106" i="1"/>
  <c r="F106" i="1"/>
  <c r="D106" i="1"/>
  <c r="H106" i="1" s="1"/>
  <c r="G105" i="1"/>
  <c r="F105" i="1"/>
  <c r="D105" i="1"/>
  <c r="H105" i="1" s="1"/>
  <c r="G104" i="1"/>
  <c r="F104" i="1"/>
  <c r="D104" i="1"/>
  <c r="H104" i="1" s="1"/>
  <c r="G103" i="1"/>
  <c r="F103" i="1"/>
  <c r="D103" i="1"/>
  <c r="H103" i="1" s="1"/>
  <c r="G102" i="1"/>
  <c r="F102" i="1"/>
  <c r="D102" i="1"/>
  <c r="H102" i="1" s="1"/>
  <c r="H101" i="1"/>
  <c r="G100" i="1"/>
  <c r="F100" i="1"/>
  <c r="H100" i="1" s="1"/>
  <c r="D100" i="1"/>
  <c r="G99" i="1"/>
  <c r="F99" i="1"/>
  <c r="H99" i="1" s="1"/>
  <c r="D99" i="1"/>
  <c r="G98" i="1"/>
  <c r="F98" i="1"/>
  <c r="D98" i="1"/>
  <c r="H98" i="1" s="1"/>
  <c r="G97" i="1"/>
  <c r="F97" i="1"/>
  <c r="H97" i="1" s="1"/>
  <c r="D97" i="1"/>
  <c r="G96" i="1"/>
  <c r="F96" i="1"/>
  <c r="H96" i="1" s="1"/>
  <c r="D96" i="1"/>
  <c r="G95" i="1"/>
  <c r="F95" i="1"/>
  <c r="D95" i="1"/>
  <c r="H95" i="1" s="1"/>
  <c r="H94" i="1"/>
  <c r="G93" i="1"/>
  <c r="H93" i="1" s="1"/>
  <c r="F93" i="1"/>
  <c r="D93" i="1"/>
  <c r="G92" i="1"/>
  <c r="H92" i="1" s="1"/>
  <c r="F92" i="1"/>
  <c r="D92" i="1"/>
  <c r="H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6" i="1"/>
  <c r="F86" i="1"/>
  <c r="D86" i="1"/>
  <c r="H86" i="1" s="1"/>
  <c r="G85" i="1"/>
  <c r="F85" i="1"/>
  <c r="D85" i="1"/>
  <c r="H85" i="1" s="1"/>
  <c r="G84" i="1"/>
  <c r="F84" i="1"/>
  <c r="D84" i="1"/>
  <c r="H84" i="1" s="1"/>
  <c r="G83" i="1"/>
  <c r="F83" i="1"/>
  <c r="D83" i="1"/>
  <c r="H83" i="1" s="1"/>
  <c r="G82" i="1"/>
  <c r="F82" i="1"/>
  <c r="D82" i="1"/>
  <c r="H82" i="1" s="1"/>
  <c r="G81" i="1"/>
  <c r="F81" i="1"/>
  <c r="D81" i="1"/>
  <c r="H81" i="1" s="1"/>
  <c r="G80" i="1"/>
  <c r="F80" i="1"/>
  <c r="D80" i="1"/>
  <c r="H80" i="1" s="1"/>
  <c r="G79" i="1"/>
  <c r="F79" i="1"/>
  <c r="D79" i="1"/>
  <c r="H79" i="1" s="1"/>
  <c r="H78" i="1"/>
  <c r="G77" i="1"/>
  <c r="F77" i="1"/>
  <c r="D77" i="1"/>
  <c r="H77" i="1" s="1"/>
  <c r="H76" i="1"/>
  <c r="G75" i="1"/>
  <c r="H75" i="1" s="1"/>
  <c r="F75" i="1"/>
  <c r="D75" i="1"/>
  <c r="G74" i="1"/>
  <c r="H74" i="1" s="1"/>
  <c r="F74" i="1"/>
  <c r="D74" i="1"/>
  <c r="G73" i="1"/>
  <c r="H73" i="1" s="1"/>
  <c r="F73" i="1"/>
  <c r="D73" i="1"/>
  <c r="G72" i="1"/>
  <c r="H72" i="1" s="1"/>
  <c r="F72" i="1"/>
  <c r="D72" i="1"/>
  <c r="G71" i="1"/>
  <c r="H71" i="1" s="1"/>
  <c r="F71" i="1"/>
  <c r="D71" i="1"/>
  <c r="G70" i="1"/>
  <c r="H70" i="1" s="1"/>
  <c r="F70" i="1"/>
  <c r="D70" i="1"/>
  <c r="G69" i="1"/>
  <c r="F69" i="1"/>
  <c r="D69" i="1"/>
  <c r="H69" i="1" s="1"/>
  <c r="G68" i="1"/>
  <c r="H68" i="1" s="1"/>
  <c r="F68" i="1"/>
  <c r="D68" i="1"/>
  <c r="H67" i="1"/>
  <c r="H66" i="1"/>
  <c r="G66" i="1"/>
  <c r="F66" i="1"/>
  <c r="D66" i="1"/>
  <c r="H65" i="1"/>
  <c r="G64" i="1"/>
  <c r="F64" i="1"/>
  <c r="D64" i="1"/>
  <c r="H64" i="1" s="1"/>
  <c r="G63" i="1"/>
  <c r="F63" i="1"/>
  <c r="D63" i="1"/>
  <c r="H63" i="1" s="1"/>
  <c r="H62" i="1"/>
  <c r="G61" i="1"/>
  <c r="F61" i="1"/>
  <c r="H61" i="1" s="1"/>
  <c r="D61" i="1"/>
  <c r="H60" i="1"/>
  <c r="H59" i="1"/>
  <c r="H58" i="1"/>
  <c r="H57" i="1"/>
  <c r="H56" i="1"/>
  <c r="H55" i="1"/>
  <c r="H54" i="1"/>
  <c r="G54" i="1"/>
  <c r="F54" i="1"/>
  <c r="D54" i="1"/>
  <c r="H53" i="1"/>
  <c r="G53" i="1"/>
  <c r="F53" i="1"/>
  <c r="D53" i="1"/>
  <c r="H52" i="1"/>
  <c r="H51" i="1"/>
  <c r="G50" i="1"/>
  <c r="F50" i="1"/>
  <c r="D50" i="1"/>
  <c r="H50" i="1" s="1"/>
  <c r="G49" i="1"/>
  <c r="F49" i="1"/>
  <c r="H49" i="1" s="1"/>
  <c r="D49" i="1"/>
  <c r="H48" i="1"/>
  <c r="G47" i="1"/>
  <c r="H47" i="1" s="1"/>
  <c r="F47" i="1"/>
  <c r="D47" i="1"/>
  <c r="H46" i="1"/>
  <c r="G45" i="1"/>
  <c r="F45" i="1"/>
  <c r="D45" i="1"/>
  <c r="H45" i="1" s="1"/>
  <c r="H44" i="1"/>
  <c r="G44" i="1"/>
  <c r="F44" i="1"/>
  <c r="D44" i="1"/>
  <c r="H43" i="1"/>
  <c r="G42" i="1"/>
  <c r="F42" i="1"/>
  <c r="D42" i="1"/>
  <c r="H42" i="1" s="1"/>
  <c r="H41" i="1"/>
  <c r="G40" i="1"/>
  <c r="F40" i="1"/>
  <c r="H40" i="1" s="1"/>
  <c r="D40" i="1"/>
  <c r="H39" i="1"/>
  <c r="H38" i="1"/>
  <c r="H37" i="1"/>
  <c r="G36" i="1"/>
  <c r="F36" i="1"/>
  <c r="D36" i="1"/>
  <c r="H36" i="1" s="1"/>
  <c r="G35" i="1"/>
  <c r="F35" i="1"/>
  <c r="D35" i="1"/>
  <c r="H35" i="1" s="1"/>
  <c r="G34" i="1"/>
  <c r="F34" i="1"/>
  <c r="D34" i="1"/>
  <c r="H34" i="1" s="1"/>
  <c r="G33" i="1"/>
  <c r="F33" i="1"/>
  <c r="D33" i="1"/>
  <c r="H33" i="1" s="1"/>
  <c r="G32" i="1"/>
  <c r="F32" i="1"/>
  <c r="D32" i="1"/>
  <c r="H32" i="1" s="1"/>
  <c r="G31" i="1"/>
  <c r="F31" i="1"/>
  <c r="D31" i="1"/>
  <c r="H31" i="1" s="1"/>
  <c r="G30" i="1"/>
  <c r="F30" i="1"/>
  <c r="D30" i="1"/>
  <c r="H30" i="1" s="1"/>
  <c r="H29" i="1"/>
  <c r="G28" i="1"/>
  <c r="F28" i="1"/>
  <c r="H28" i="1" s="1"/>
  <c r="D28" i="1"/>
  <c r="G27" i="1"/>
  <c r="F27" i="1"/>
  <c r="H27" i="1" s="1"/>
  <c r="D27" i="1"/>
  <c r="H26" i="1"/>
  <c r="G25" i="1"/>
  <c r="F25" i="1"/>
  <c r="H25" i="1" s="1"/>
  <c r="D25" i="1"/>
  <c r="G24" i="1"/>
  <c r="H24" i="1" s="1"/>
  <c r="F24" i="1"/>
  <c r="D24" i="1"/>
  <c r="H23" i="1"/>
  <c r="H22" i="1"/>
  <c r="G22" i="1"/>
  <c r="F22" i="1"/>
  <c r="D22" i="1"/>
  <c r="G21" i="1"/>
  <c r="F21" i="1"/>
  <c r="D21" i="1"/>
  <c r="H21" i="1" s="1"/>
  <c r="H20" i="1"/>
  <c r="G20" i="1"/>
  <c r="F20" i="1"/>
  <c r="D20" i="1"/>
  <c r="H19" i="1"/>
  <c r="G19" i="1"/>
  <c r="F19" i="1"/>
  <c r="D19" i="1"/>
  <c r="G18" i="1"/>
  <c r="F18" i="1"/>
  <c r="D18" i="1"/>
  <c r="H18" i="1" s="1"/>
  <c r="H17" i="1"/>
  <c r="G17" i="1"/>
  <c r="F17" i="1"/>
  <c r="D17" i="1"/>
  <c r="H16" i="1"/>
  <c r="G16" i="1"/>
  <c r="F16" i="1"/>
  <c r="D16" i="1"/>
  <c r="G15" i="1"/>
  <c r="F15" i="1"/>
  <c r="D15" i="1"/>
  <c r="H15" i="1" s="1"/>
  <c r="G14" i="1"/>
  <c r="F14" i="1"/>
  <c r="D14" i="1"/>
  <c r="H14" i="1" s="1"/>
  <c r="H13" i="1"/>
  <c r="G13" i="1"/>
  <c r="F13" i="1"/>
  <c r="D13" i="1"/>
  <c r="G12" i="1"/>
  <c r="F12" i="1"/>
  <c r="D12" i="1"/>
  <c r="H12" i="1" s="1"/>
  <c r="B351" i="6" l="1"/>
  <c r="I408" i="5"/>
  <c r="I445" i="5"/>
  <c r="I405" i="5"/>
  <c r="I441" i="5"/>
  <c r="I1476" i="5"/>
  <c r="I460" i="5"/>
  <c r="H1476" i="5"/>
  <c r="B1480" i="5" s="1"/>
  <c r="I367" i="5"/>
  <c r="I457" i="5"/>
  <c r="I454" i="5"/>
  <c r="I448" i="5"/>
  <c r="I1498" i="4"/>
  <c r="I513" i="4"/>
  <c r="H611" i="4"/>
  <c r="I501" i="4"/>
  <c r="I505" i="4"/>
  <c r="I510" i="4"/>
  <c r="I572" i="4"/>
  <c r="I539" i="4"/>
  <c r="H1498" i="4"/>
  <c r="B1502" i="4" s="1"/>
  <c r="H620" i="4"/>
  <c r="I502" i="4"/>
  <c r="I506" i="4"/>
  <c r="I569" i="4"/>
  <c r="I536" i="4"/>
  <c r="B546" i="3"/>
  <c r="H142" i="2"/>
  <c r="H279" i="2"/>
  <c r="H174" i="2"/>
  <c r="H246" i="2"/>
  <c r="H261" i="2"/>
  <c r="H196" i="2"/>
  <c r="H243" i="2"/>
  <c r="H262" i="2"/>
  <c r="H266" i="2"/>
  <c r="H167" i="2"/>
  <c r="H144" i="2"/>
  <c r="H164" i="2"/>
  <c r="H172" i="2"/>
  <c r="H190" i="2"/>
  <c r="H208" i="2"/>
  <c r="H244" i="2"/>
  <c r="H219" i="2"/>
  <c r="H223" i="2"/>
  <c r="H255" i="2"/>
  <c r="H263" i="2"/>
  <c r="H141" i="2"/>
  <c r="H252" i="2"/>
  <c r="H278" i="2"/>
  <c r="H1275" i="2"/>
  <c r="H1323" i="2"/>
  <c r="I6464" i="2"/>
  <c r="B6468" i="2" s="1"/>
  <c r="H1253" i="2"/>
  <c r="H1247" i="2"/>
  <c r="H1295" i="2"/>
  <c r="H1299" i="2"/>
  <c r="H1314" i="2"/>
  <c r="H2377" i="2"/>
  <c r="H2401" i="2"/>
  <c r="H2435" i="2"/>
  <c r="H2398" i="2"/>
  <c r="H2359" i="2"/>
  <c r="H2378" i="2"/>
  <c r="H2386" i="2"/>
  <c r="H2417" i="2"/>
  <c r="H2375" i="2"/>
  <c r="H2414" i="2"/>
  <c r="H2353" i="2"/>
  <c r="H2360" i="2"/>
  <c r="H2422" i="2"/>
  <c r="H2470" i="2"/>
  <c r="H2357" i="2"/>
  <c r="H2407" i="2"/>
  <c r="H2404" i="2"/>
  <c r="H2438" i="2"/>
  <c r="H2392" i="2"/>
  <c r="H2455" i="2"/>
  <c r="H2500" i="2"/>
  <c r="H3424" i="2"/>
  <c r="H3468" i="2"/>
  <c r="H3492" i="2"/>
  <c r="H3465" i="2"/>
  <c r="H3489" i="2"/>
  <c r="H3486" i="2"/>
  <c r="H3483" i="2"/>
  <c r="H4455" i="2"/>
  <c r="H4480" i="2"/>
  <c r="H4477" i="2"/>
  <c r="H4495" i="2"/>
  <c r="H4499" i="2"/>
  <c r="H5424" i="2"/>
  <c r="H5460" i="2"/>
  <c r="H5474" i="2"/>
  <c r="H5478" i="2"/>
  <c r="H5482" i="2"/>
  <c r="H5421" i="2"/>
  <c r="H5457" i="2"/>
  <c r="H5418" i="2"/>
  <c r="H5451" i="2"/>
  <c r="H5475" i="2"/>
  <c r="H5479" i="2"/>
  <c r="H5448" i="2"/>
  <c r="H5476" i="2"/>
  <c r="H5480" i="2"/>
  <c r="H5473" i="2"/>
  <c r="H5477" i="2"/>
  <c r="H5481" i="2"/>
  <c r="H453" i="1"/>
  <c r="H378" i="1"/>
  <c r="H414" i="1"/>
  <c r="H463" i="1"/>
  <c r="H450" i="1"/>
  <c r="H9017" i="1"/>
  <c r="B9021" i="1" s="1"/>
  <c r="H347" i="1"/>
  <c r="H386" i="1"/>
  <c r="H411" i="1"/>
  <c r="H394" i="1"/>
  <c r="H447" i="1"/>
  <c r="H348" i="1"/>
  <c r="H391" i="1"/>
  <c r="H388" i="1"/>
  <c r="H436" i="1"/>
  <c r="H444" i="1"/>
  <c r="H456" i="1"/>
  <c r="H363" i="1"/>
  <c r="H377" i="1"/>
  <c r="H409" i="1"/>
  <c r="H421" i="1"/>
  <c r="I1819" i="1"/>
  <c r="I1720" i="1"/>
  <c r="I1756" i="1"/>
  <c r="I1864" i="1"/>
  <c r="I1741" i="1"/>
  <c r="I1745" i="1"/>
  <c r="I1790" i="1"/>
  <c r="I1816" i="1"/>
  <c r="I1925" i="1"/>
  <c r="I1771" i="1"/>
  <c r="I1825" i="1"/>
  <c r="I1861" i="1"/>
  <c r="I1879" i="1"/>
  <c r="I1787" i="1"/>
  <c r="I1898" i="1"/>
  <c r="I1910" i="1"/>
  <c r="I1922" i="1"/>
  <c r="I1802" i="1"/>
  <c r="I1810" i="1"/>
  <c r="I1906" i="1"/>
  <c r="I1765" i="1"/>
  <c r="I1835" i="1"/>
  <c r="I1873" i="1"/>
  <c r="I1919" i="1"/>
  <c r="I1675" i="1"/>
  <c r="I1682" i="1"/>
  <c r="I1736" i="1"/>
  <c r="I1750" i="1"/>
  <c r="I1799" i="1"/>
  <c r="I1807" i="1"/>
  <c r="I9017" i="1"/>
  <c r="I1732" i="1"/>
  <c r="I1729" i="1"/>
  <c r="I1747" i="1"/>
  <c r="I1751" i="1"/>
  <c r="I1796" i="1"/>
  <c r="I1804" i="1"/>
  <c r="I1916" i="1"/>
  <c r="H2868" i="1"/>
  <c r="H2891" i="1"/>
  <c r="H2825" i="1"/>
  <c r="H2840" i="1"/>
  <c r="H2844" i="1"/>
  <c r="H2852" i="1"/>
  <c r="H2779" i="1"/>
  <c r="H2826" i="1"/>
  <c r="H2849" i="1"/>
  <c r="H2853" i="1"/>
  <c r="H2797" i="1"/>
  <c r="H2874" i="1"/>
  <c r="H2846" i="1"/>
  <c r="H2850" i="1"/>
  <c r="H2798" i="1"/>
  <c r="H2824" i="1"/>
  <c r="H2843" i="1"/>
  <c r="H2847" i="1"/>
  <c r="H3906" i="1"/>
  <c r="H3903" i="1"/>
  <c r="H3870" i="1"/>
  <c r="H3900" i="1"/>
  <c r="H3867" i="1"/>
  <c r="H3901" i="1"/>
  <c r="H3909" i="1"/>
  <c r="H5041" i="1"/>
  <c r="H5056" i="1"/>
  <c r="H5060" i="1"/>
  <c r="H5014" i="1"/>
  <c r="H5011" i="1"/>
  <c r="H5032" i="1"/>
  <c r="H6126" i="1"/>
  <c r="H6104" i="1"/>
  <c r="H6123" i="1"/>
  <c r="H7093" i="1"/>
  <c r="H7176" i="1"/>
  <c r="H7222" i="1"/>
  <c r="H7374" i="1"/>
  <c r="H7086" i="1"/>
  <c r="H7188" i="1"/>
  <c r="H7230" i="1"/>
  <c r="H7269" i="1"/>
  <c r="H7320" i="1"/>
  <c r="H7104" i="1"/>
  <c r="H7149" i="1"/>
  <c r="H7177" i="1"/>
  <c r="H7189" i="1"/>
  <c r="H7266" i="1"/>
  <c r="H7317" i="1"/>
  <c r="H7044" i="1"/>
  <c r="H7270" i="1"/>
  <c r="H7368" i="1"/>
  <c r="H7098" i="1"/>
  <c r="H7109" i="1"/>
  <c r="H7131" i="1"/>
  <c r="H7174" i="1"/>
  <c r="H7432" i="1"/>
  <c r="H7113" i="1"/>
  <c r="H7135" i="1"/>
  <c r="H7155" i="1"/>
  <c r="H7186" i="1"/>
  <c r="H7228" i="1"/>
  <c r="H7267" i="1"/>
  <c r="H7428" i="1"/>
  <c r="H7236" i="1"/>
  <c r="H7110" i="1"/>
  <c r="H7132" i="1"/>
  <c r="H7140" i="1"/>
  <c r="H7182" i="1"/>
  <c r="H7264" i="1"/>
  <c r="H7425" i="1"/>
  <c r="H7092" i="1"/>
  <c r="H7144" i="1"/>
  <c r="H7152" i="1"/>
  <c r="H7221" i="1"/>
  <c r="H7275" i="1"/>
  <c r="H7326" i="1"/>
  <c r="H7422" i="1"/>
  <c r="H7089" i="1"/>
  <c r="H7218" i="1"/>
  <c r="H7272" i="1"/>
  <c r="H8071" i="1"/>
  <c r="H8166" i="1"/>
  <c r="H8214" i="1"/>
  <c r="H8433" i="1"/>
  <c r="H8472" i="1"/>
  <c r="H8001" i="1"/>
  <c r="H8043" i="1"/>
  <c r="H8346" i="1"/>
  <c r="H8382" i="1"/>
  <c r="H8520" i="1"/>
  <c r="H7995" i="1"/>
  <c r="H8076" i="1"/>
  <c r="H8163" i="1"/>
  <c r="H8430" i="1"/>
  <c r="H7992" i="1"/>
  <c r="H8051" i="1"/>
  <c r="H8063" i="1"/>
  <c r="H8081" i="1"/>
  <c r="H8256" i="1"/>
  <c r="H8343" i="1"/>
  <c r="H8391" i="1"/>
  <c r="H8517" i="1"/>
  <c r="H7982" i="1"/>
  <c r="H7986" i="1"/>
  <c r="H8048" i="1"/>
  <c r="H8073" i="1"/>
  <c r="H8077" i="1"/>
  <c r="H8427" i="1"/>
  <c r="H8253" i="1"/>
  <c r="H8340" i="1"/>
  <c r="H8514" i="1"/>
  <c r="H8070" i="1"/>
  <c r="H8074" i="1"/>
  <c r="H8169" i="1"/>
  <c r="H8475" i="1"/>
  <c r="H8042" i="1"/>
  <c r="H8250" i="1"/>
  <c r="H8385" i="1"/>
  <c r="H8523" i="1"/>
  <c r="H8121" i="1"/>
  <c r="H8298" i="1"/>
</calcChain>
</file>

<file path=xl/sharedStrings.xml><?xml version="1.0" encoding="utf-8"?>
<sst xmlns="http://schemas.openxmlformats.org/spreadsheetml/2006/main" count="57912" uniqueCount="10204">
  <si>
    <t>DEBE</t>
  </si>
  <si>
    <t>HABER</t>
  </si>
  <si>
    <t>C U E N T A</t>
  </si>
  <si>
    <t>C O N C E P T O</t>
  </si>
  <si>
    <t>SALDOS ACUMULADOS</t>
  </si>
  <si>
    <t>M O V I M I E N T O S</t>
  </si>
  <si>
    <t>SALDOS INICIALES</t>
  </si>
  <si>
    <t>H. AYUNTAMIENTO MUNICIPAL CONSTITUCIONAL DE TÉCPAN DE GALEANA, GRO.</t>
  </si>
  <si>
    <t>TESORERIA MUNICIPAL</t>
  </si>
  <si>
    <t>CONSOLIDADO</t>
  </si>
  <si>
    <t/>
  </si>
  <si>
    <t>BALANZA DE COMPROBACIÓN DEL 1 DE ENERO AL 31 DE DICIEMBRE DEL 2024 A N U A L</t>
  </si>
  <si>
    <t>AL 1 DE ENERO DE 2024</t>
  </si>
  <si>
    <t>ENERO - DICIEMBRE 2024</t>
  </si>
  <si>
    <t>AL 31 DE DICIEMBRE DE 2024</t>
  </si>
  <si>
    <t>1</t>
  </si>
  <si>
    <t>ACTIVO</t>
  </si>
  <si>
    <t>1 1</t>
  </si>
  <si>
    <t>ACTIVO CIRCULANTE</t>
  </si>
  <si>
    <t>1 1 1</t>
  </si>
  <si>
    <t>EFECTIVO Y EQUIVALENTES</t>
  </si>
  <si>
    <t>1 1 1 1</t>
  </si>
  <si>
    <t>EFECTIVO</t>
  </si>
  <si>
    <t>1 1 1 1 1</t>
  </si>
  <si>
    <t>CAJA</t>
  </si>
  <si>
    <t>1 1 1 1 1 12</t>
  </si>
  <si>
    <t>GUERRERO</t>
  </si>
  <si>
    <t>1 1 1 1 1 12 31111</t>
  </si>
  <si>
    <t>ORGANO EJECUTIVO MUNICIPAL (AYUNTAMIENTO)</t>
  </si>
  <si>
    <t>1 1 1 1 1 12 31111 6</t>
  </si>
  <si>
    <t>SECTOR PÚBLICO MUNICIPAL</t>
  </si>
  <si>
    <t>1 1 1 1 1 12 31111 6 M59</t>
  </si>
  <si>
    <t>TÉCPAN DE GALEANA</t>
  </si>
  <si>
    <t>1 1 1 1 1 12 31111 6 M59 00001</t>
  </si>
  <si>
    <t>Gasto Corriente</t>
  </si>
  <si>
    <t>1 1 1 1 1 12 31111 6 M59 00001 000045</t>
  </si>
  <si>
    <t>ZONA FEDERAL MARITIMA TERRESTRE (ZOFEMAT)</t>
  </si>
  <si>
    <t>1 1 1 1 1 12 31111 6 M59 00001 000045 00001</t>
  </si>
  <si>
    <t>0</t>
  </si>
  <si>
    <t>1 1 1 1 1 12 31111 6 M59 00003</t>
  </si>
  <si>
    <t>FONDO DE APORTACIONES P/EL FORTALECIMENTO DE LOS MUNICIPIOS</t>
  </si>
  <si>
    <t>1 1 1 1 1 12 31111 6 M59 00003 000001</t>
  </si>
  <si>
    <t>xxx CUENTA FALTANTE xxx</t>
  </si>
  <si>
    <t>1 1 1 1 1 12 31111 6 M59 00003 000001 00001</t>
  </si>
  <si>
    <t>CAJA GENERAL (FORTAMUN-DF)</t>
  </si>
  <si>
    <t>1 1 1 1 1 12 31111 6 M59 00004</t>
  </si>
  <si>
    <t>INGRESOS PROPIOS</t>
  </si>
  <si>
    <t>1 1 1 1 1 12 31111 6 M59 00004 000001</t>
  </si>
  <si>
    <t>1 1 1 1 1 12 31111 6 M59 00004 000001 00001</t>
  </si>
  <si>
    <t>CAJA GENERAL</t>
  </si>
  <si>
    <t>1 1 1 2</t>
  </si>
  <si>
    <t>BANCOS/TESORERÍA</t>
  </si>
  <si>
    <t>1 1 1 2 1</t>
  </si>
  <si>
    <t>BANCOS MONEDA NACIONAL</t>
  </si>
  <si>
    <t>1 1 1 2 1 12</t>
  </si>
  <si>
    <t>1 1 1 2 1 12 31111</t>
  </si>
  <si>
    <t>1 1 1 2 1 12 31111 6</t>
  </si>
  <si>
    <t>1 1 1 2 1 12 31111 6 M59</t>
  </si>
  <si>
    <t>1 1 1 2 1 12 31111 6 M59 00001</t>
  </si>
  <si>
    <t>1 1 1 2 1 12 31111 6 M59 00001 000001</t>
  </si>
  <si>
    <t>0116128246 BBVA BANCOMER</t>
  </si>
  <si>
    <t>1 1 1 2 1 12 31111 6 M59 00001 000002</t>
  </si>
  <si>
    <t>0116839517 BBVA BANCOMER</t>
  </si>
  <si>
    <t>1 1 1 2 1 12 31111 6 M59 00001 000003</t>
  </si>
  <si>
    <t>0119720510 BBVA BANCOMER</t>
  </si>
  <si>
    <t>1 1 1 2 1 12 31111 6 M59 00001 000045</t>
  </si>
  <si>
    <t>1 1 1 2 1 12 31111 6 M59 00001 000045 01254</t>
  </si>
  <si>
    <t>0114723465 BBVA BANCOMER</t>
  </si>
  <si>
    <t>1 1 1 2 1 12 31111 6 M59 00001 000107</t>
  </si>
  <si>
    <t>PROGRAMA DE FORTALECIMIENTO A LA TRANSVERSIDAD DE LA PERSPECTIVA DE GÉNERO</t>
  </si>
  <si>
    <t>1 1 1 2 1 12 31111 6 M59 00001 000107 01257</t>
  </si>
  <si>
    <t>0120904783 BBVA BANCOMER</t>
  </si>
  <si>
    <t>1 1 1 2 1 12 31111 6 M59 00002</t>
  </si>
  <si>
    <t>Fondo De Aportación Estatal Para La Infraestructura Social Municipal (faeism)</t>
  </si>
  <si>
    <t>1 1 1 2 1 12 31111 6 M59 00002 000001</t>
  </si>
  <si>
    <t>BBVA BANCOMER</t>
  </si>
  <si>
    <t>1 1 1 2 1 12 31111 6 M59 00002 000001 00001</t>
  </si>
  <si>
    <t>0118059772 BBVA BANCOMER</t>
  </si>
  <si>
    <t>1 1 1 2 1 12 31111 6 M59 00002 000004</t>
  </si>
  <si>
    <t>SANTANDER</t>
  </si>
  <si>
    <t>1 1 1 2 1 12 31111 6 M59 00002 000004 00266</t>
  </si>
  <si>
    <t>SANTANDER CTA 18000288369</t>
  </si>
  <si>
    <t>1 1 1 2 1 12 31111 6 M59 00003</t>
  </si>
  <si>
    <t>Ingresos Propios</t>
  </si>
  <si>
    <t>1 1 1 2 1 12 31111 6 M59 00003 000004</t>
  </si>
  <si>
    <t>BANCOS</t>
  </si>
  <si>
    <t>1 1 1 2 1 12 31111 6 M59 00003 000004 00001</t>
  </si>
  <si>
    <t>18000244802 SANTADER</t>
  </si>
  <si>
    <t>1 1 1 2 1 12 31111 6 M59 00003 000004 00002</t>
  </si>
  <si>
    <t>18000288355 SANTADER</t>
  </si>
  <si>
    <t>1 1 1 2 1 12 31111 6 M59 00004</t>
  </si>
  <si>
    <t>Fondo De Aportación Para El Fortalecimiento De Los Municipios (fortamun-df)</t>
  </si>
  <si>
    <t>1 1 1 2 1 12 31111 6 M59 00004 000001</t>
  </si>
  <si>
    <t>1 1 1 2 1 12 31111 6 M59 00004 000001 00001</t>
  </si>
  <si>
    <t>0112356007 BBVA BANCOMER</t>
  </si>
  <si>
    <t>1 1 1 2 1 12 31111 6 M59 00004 000001 00002</t>
  </si>
  <si>
    <t>0118203873 BBVA BANCOMER</t>
  </si>
  <si>
    <t>1 1 1 2 1 12 31111 6 M59 00004 000001 00003</t>
  </si>
  <si>
    <t>0117848668 BBVA BANCOMER</t>
  </si>
  <si>
    <t>1 1 1 2 1 12 31111 6 M59 00004 000001 00004</t>
  </si>
  <si>
    <t>0119799885 BBVA BANCOMER</t>
  </si>
  <si>
    <t>1 1 1 2 1 12 31111 6 M59 00004 000001 00005</t>
  </si>
  <si>
    <t>0118531706 BBVA BANCOMER</t>
  </si>
  <si>
    <t>1 1 1 2 1 12 31111 6 M59 00004 000001 00006</t>
  </si>
  <si>
    <t>0121401815 BBVA BANCOMER</t>
  </si>
  <si>
    <t>1 1 1 2 1 12 31111 6 M59 00004 000003</t>
  </si>
  <si>
    <t>1 1 1 2 1 12 31111 6 M59 00004 000003 00002</t>
  </si>
  <si>
    <t>SANTANDER CTA 65509197944</t>
  </si>
  <si>
    <t>1 1 1 2 1 12 31111 6 M59 00005</t>
  </si>
  <si>
    <t>Fondo De Aportaciones Para La Infraestructura Social Municipal Y De Las Demarcaciones Territoriales Del Distrito Federal (faismun)</t>
  </si>
  <si>
    <t>1 1 1 2 1 12 31111 6 M59 00005 000001</t>
  </si>
  <si>
    <t>BANCOS ANTERIORES</t>
  </si>
  <si>
    <t>1 1 1 2 1 12 31111 6 M59 00005 000001 00001</t>
  </si>
  <si>
    <t>0119720545 BBVA BANCOMER</t>
  </si>
  <si>
    <t>1 1 1 6</t>
  </si>
  <si>
    <t>DEPÓSITOS DE FONDOS DE TERCEROS EN GARANTÍA  Y/O ADMINISTRACIÓN</t>
  </si>
  <si>
    <t>1 1 1 6 9</t>
  </si>
  <si>
    <t>OTROS DEPÓSITOS DE FONDOS DE TERCEROS EN GARANTÍA  Y/O ADMINISTRACIÓN</t>
  </si>
  <si>
    <t>1 1 2</t>
  </si>
  <si>
    <t>DERECHOS A RECIBIR EFECTIVO O EQUIVALENTES</t>
  </si>
  <si>
    <t>1 1 2 2</t>
  </si>
  <si>
    <t>CUENTAS POR COBRAR A CORTO PLAZO</t>
  </si>
  <si>
    <t>1 1 2 2 1</t>
  </si>
  <si>
    <t>CUENTAS POR COBRAR POR VENTA DE BIENES Y PRESTACIÓN DE SERVICIOS</t>
  </si>
  <si>
    <t>1 1 2 2 1 12</t>
  </si>
  <si>
    <t>1 1 2 2 1 12 31111</t>
  </si>
  <si>
    <t>1 1 2 2 1 12 31111 6</t>
  </si>
  <si>
    <t>1 1 2 2 1 12 31111 6 M59</t>
  </si>
  <si>
    <t>Cuentas por Cobrar por Ventas de Bienes y Prestación de Servicios</t>
  </si>
  <si>
    <t>1 1 2 2 1 12 31111 6 M59 00001</t>
  </si>
  <si>
    <t>1 1 2 2 1 12 31111 6 M59 00001 000001</t>
  </si>
  <si>
    <t>RAMO 28 (PARTICIPACIONES FEDERALES PENDIENTES DE DEPOSITAR)</t>
  </si>
  <si>
    <t>1 1 2 2 1 12 31111 6 M59 00005</t>
  </si>
  <si>
    <t>1 1 2 2 1 12 31111 6 M59 00005 000001</t>
  </si>
  <si>
    <t>1 1 2 2 5</t>
  </si>
  <si>
    <t>CUENTAS POR COBRAR A LA FEDERACIÓN</t>
  </si>
  <si>
    <t>1 1 2 2 5 12</t>
  </si>
  <si>
    <t>1 1 2 2 5 12 31111</t>
  </si>
  <si>
    <t>1 1 2 2 5 12 31111 6</t>
  </si>
  <si>
    <t>1 1 2 2 5 12 31111 6 M41</t>
  </si>
  <si>
    <t>TÉCPAN DE GALEANA</t>
  </si>
  <si>
    <t>1 1 2 2 5 12 31111 6 M41 00003</t>
  </si>
  <si>
    <t>FORTAMUN</t>
  </si>
  <si>
    <t>1 1 2 2 5 12 31111 6 M41 00003 000003</t>
  </si>
  <si>
    <t>CUENTAS POR COBRAR</t>
  </si>
  <si>
    <t>1 1 2 2 5 12 31111 6 M41 00003 000003 00005</t>
  </si>
  <si>
    <t>APORTACIONES FEDERALES</t>
  </si>
  <si>
    <t>1 1 2 2 5 12 31111 6 M41 00003 000003 00005 00001</t>
  </si>
  <si>
    <t>FONDO DE APORTACIONES PARA EL FORTALECIMIENTO DE LOS MUNICIPIOS (FORTAMUN)</t>
  </si>
  <si>
    <t>1 1 2 2 5 12 31111 6 M59</t>
  </si>
  <si>
    <t>1 1 2 2 5 12 31111 6 M59 00002</t>
  </si>
  <si>
    <t>1 1 2 2 5 12 31111 6 M59 00002 000004</t>
  </si>
  <si>
    <t>APORTACIONES PENDIENTES DE DEPOSITAR</t>
  </si>
  <si>
    <t>1 1 2 2 5 12 31111 6 M59 00002 000004 00001</t>
  </si>
  <si>
    <t>RAMO 33 APORTACIONES PENDIENTES DE DEPOSITAR FAISM</t>
  </si>
  <si>
    <t>1 1 2 2 5 12 31111 6 M59 00003</t>
  </si>
  <si>
    <t>1 1 2 2 5 12 31111 6 M59 00003 000002</t>
  </si>
  <si>
    <t>1 1 2 2 5 12 31111 6 M59 00003 000002 00001</t>
  </si>
  <si>
    <t>APORTACIONES FEDERALES (FORTAMUN) PENDIENTES DE DEPOSITAR</t>
  </si>
  <si>
    <t>1 1 2 2 6</t>
  </si>
  <si>
    <t>CUENTAS POR COBRAR A ENTIDADES FEDERATIVAS Y MUNICIPIOS</t>
  </si>
  <si>
    <t>1 1 2 2 6 12</t>
  </si>
  <si>
    <t>1 1 2 2 6 12 31111</t>
  </si>
  <si>
    <t>1 1 2 2 6 12 31111 6</t>
  </si>
  <si>
    <t>1 1 2 2 6 12 31111 6 M59</t>
  </si>
  <si>
    <t>Cuentas por Cobrar a Entidades Federativas y Municipios</t>
  </si>
  <si>
    <t>1 1 2 2 6 12 31111 6 M59 00001</t>
  </si>
  <si>
    <t>1 1 2 2 6 12 31111 6 M59 00001 000002</t>
  </si>
  <si>
    <t>FONSOL</t>
  </si>
  <si>
    <t>1 1 2 3</t>
  </si>
  <si>
    <t>DEUDORES DIVERSOS POR COBRAR A CORTO PLAZO</t>
  </si>
  <si>
    <t>1 1 2 3 1</t>
  </si>
  <si>
    <t>DEUDORES DIVERSOS POR COBRAR A CP</t>
  </si>
  <si>
    <t>1 1 2 3 1 12</t>
  </si>
  <si>
    <t>1 1 2 3 1 12 31111</t>
  </si>
  <si>
    <t>1 1 2 3 1 12 31111 6</t>
  </si>
  <si>
    <t>1 1 2 3 1 12 31111 6 M59</t>
  </si>
  <si>
    <t>1 1 2 3 1 12 31111 6 M59 00001</t>
  </si>
  <si>
    <t>1 1 2 3 1 12 31111 6 M59 00001 000001</t>
  </si>
  <si>
    <t>MANUEL SALVADOR PADILLA PEREZ</t>
  </si>
  <si>
    <t>1 1 2 3 1 12 31111 6 M59 00001 000002</t>
  </si>
  <si>
    <t>FORTAMUN (ISR SUELDOS Y SALARIOS)</t>
  </si>
  <si>
    <t>1 1 2 3 1 12 31111 6 M59 00001 000003</t>
  </si>
  <si>
    <t>SUINPAC</t>
  </si>
  <si>
    <t>1 1 2 3 1 12 31111 6 M59 00001 000004</t>
  </si>
  <si>
    <t>BEATRIZ ADRIANA VILLA SOBERANIS</t>
  </si>
  <si>
    <t>1 1 2 3 1 12 31111 6 M59 00002</t>
  </si>
  <si>
    <t>1 1 2 3 1 12 31111 6 M59 00002 000001</t>
  </si>
  <si>
    <t>BRENDA DALIA ROSAS NAVA</t>
  </si>
  <si>
    <t>1 1 2 3 1 12 31111 6 M59 00003</t>
  </si>
  <si>
    <t>1 1 2 3 1 12 31111 6 M59 00003 000003</t>
  </si>
  <si>
    <t>DEUDORES DIVERSOS</t>
  </si>
  <si>
    <t>1 1 2 3 1 12 31111 6 M59 00003 000003 00001</t>
  </si>
  <si>
    <t>TRASPASO ENTRE CUENTAS</t>
  </si>
  <si>
    <t>1 1 2 3 1 12 31111 6 M59 00003 000003 00001 00001</t>
  </si>
  <si>
    <t>0119720510 FONDO GENERAL</t>
  </si>
  <si>
    <t>1 1 2 3 1 12 31111 6 M59 00003 000003 00001 00040</t>
  </si>
  <si>
    <t>1 1 2 3 1 12 31111 6 M59 00003 000003 00001 00041</t>
  </si>
  <si>
    <t>ALBA IRIS SOBERANIS HERNANDEZ</t>
  </si>
  <si>
    <t>1 1 2 3 1 12 31111 6 M59 00003 000003 00001 00042</t>
  </si>
  <si>
    <t>ADRIANA MUÑOZ VILLAREAL</t>
  </si>
  <si>
    <t>1 1 2 3 1 12 31111 6 M59 00004</t>
  </si>
  <si>
    <t>1 1 2 3 1 12 31111 6 M59 00004 000001</t>
  </si>
  <si>
    <t>Publico en General</t>
  </si>
  <si>
    <t>1 1 2 3 1 12 31111 6 M59 00004 000001 00001</t>
  </si>
  <si>
    <t>(PAPM540502EXA) MANUEL SALVADOR PADILLA PEREZ</t>
  </si>
  <si>
    <t>1 1 2 3 1 12 31111 6 M59 00004 000001 00002</t>
  </si>
  <si>
    <t>1 1 2 4</t>
  </si>
  <si>
    <t>INGRESOS POR RECUPERAR A CORTO PLAZO</t>
  </si>
  <si>
    <t>1 1 2 4 1</t>
  </si>
  <si>
    <t>CONTRIBUCIONES POR COBRAR</t>
  </si>
  <si>
    <t>1 1 2 4 1 12</t>
  </si>
  <si>
    <t>1 1 2 4 1 12 31111</t>
  </si>
  <si>
    <t>1 1 2 4 1 12 31111 6</t>
  </si>
  <si>
    <t>1 1 2 4 1 12 31111 6 M59</t>
  </si>
  <si>
    <t>1 1 2 4 1 12 31111 6 M59 00001</t>
  </si>
  <si>
    <t>1 1 2 4 1 12 31111 6 M59 00001 000006</t>
  </si>
  <si>
    <t>Aprovechamientos por Cobrar</t>
  </si>
  <si>
    <t>1 1 2 4 1 12 31111 6 M59 00001 000006 00001</t>
  </si>
  <si>
    <t>SECRETARIA DE FINANZAS Y ADMINISTRACION DEL ESTADO DE GUERRERO</t>
  </si>
  <si>
    <t>1 1 2 4 1 12 31111 6 M59 00004</t>
  </si>
  <si>
    <t>1 1 2 4 1 12 31111 6 M59 00004 000001</t>
  </si>
  <si>
    <t>Impuestos por Cobrar</t>
  </si>
  <si>
    <t>1 1 2 4 1 12 31111 6 M59 00004 000001 00001</t>
  </si>
  <si>
    <t>IMPUESTOS POR COBRAR</t>
  </si>
  <si>
    <t>1 1 2 4 3</t>
  </si>
  <si>
    <t>DERECHOS POR COBRAR</t>
  </si>
  <si>
    <t>1 1 2 4 3 12</t>
  </si>
  <si>
    <t>1 1 2 4 3 12 31111</t>
  </si>
  <si>
    <t>1 1 2 4 3 12 31111 6</t>
  </si>
  <si>
    <t>1 1 2 4 3 12 31111 6 M59</t>
  </si>
  <si>
    <t>1 1 2 4 3 12 31111 6 M59 00004</t>
  </si>
  <si>
    <t>1 1 2 4 3 12 31111 6 M59 00004 000001</t>
  </si>
  <si>
    <t>Deudores por Cobrar con Resolución Judicial Fiscal Definitiva</t>
  </si>
  <si>
    <t>1 1 2 4 3 12 31111 6 M59 00004 000001 00001</t>
  </si>
  <si>
    <t>1 1 2 4 4</t>
  </si>
  <si>
    <t>PRODUCTOS POR COBRAR</t>
  </si>
  <si>
    <t>1 1 2 4 4 12</t>
  </si>
  <si>
    <t>1 1 2 4 4 12 31111</t>
  </si>
  <si>
    <t>1 1 2 4 4 12 31111 6</t>
  </si>
  <si>
    <t>1 1 2 4 4 12 31111 6 M59</t>
  </si>
  <si>
    <t>1 1 2 4 4 12 31111 6 M59 00001</t>
  </si>
  <si>
    <t>1 1 2 4 4 12 31111 6 M59 00001 000001</t>
  </si>
  <si>
    <t>Deudores Morosos por Cobrar por Incumplimientos Fiscales</t>
  </si>
  <si>
    <t>1 1 2 4 4 12 31111 6 M59 00002</t>
  </si>
  <si>
    <t>1 1 2 4 4 12 31111 6 M59 00003</t>
  </si>
  <si>
    <t>1 1 2 4 4 12 31111 6 M59 00004</t>
  </si>
  <si>
    <t>1 1 2 4 4 12 31111 6 M59 00004 000001</t>
  </si>
  <si>
    <t>1 1 2 4 4 12 31111 6 M59 00004 000001 00001</t>
  </si>
  <si>
    <t>1 1 2 4 4 12 31111 6 M59 00005</t>
  </si>
  <si>
    <t>1 1 2 4 4 12 31111 6 M59 00005 000001</t>
  </si>
  <si>
    <t>1 1 2 4 4 12 31111 6 M59 00005 000001 00001</t>
  </si>
  <si>
    <t>PRODUCTOS</t>
  </si>
  <si>
    <t>1 1 2 4 5</t>
  </si>
  <si>
    <t>APROVECHAMIENTOS POR COBRAR</t>
  </si>
  <si>
    <t>1 1 2 4 5 12</t>
  </si>
  <si>
    <t>1 1 2 4 5 12 31111</t>
  </si>
  <si>
    <t>1 1 2 4 5 12 31111 6</t>
  </si>
  <si>
    <t>1 1 2 4 5 12 31111 6 M59</t>
  </si>
  <si>
    <t>1 1 2 4 5 12 31111 6 M59 00004</t>
  </si>
  <si>
    <t>1 1 2 4 5 12 31111 6 M59 00004 000001</t>
  </si>
  <si>
    <t>Otras Contribuciones por Cobrar</t>
  </si>
  <si>
    <t>1 1 2 4 5 12 31111 6 M59 00004 000001 00001</t>
  </si>
  <si>
    <t>1 1 2 6</t>
  </si>
  <si>
    <t>PRÉSTAMOS OTORGADOS A CORTO PLAZO</t>
  </si>
  <si>
    <t>1 1 2 6 1</t>
  </si>
  <si>
    <t>PRÉSTAMOS OTORGADOS A CP AL SECTOR PÚBLICO</t>
  </si>
  <si>
    <t>1 1 2 6 1 12</t>
  </si>
  <si>
    <t>1 1 2 6 1 12 31111</t>
  </si>
  <si>
    <t>1 1 2 6 1 12 31111 6</t>
  </si>
  <si>
    <t>1 1 2 6 1 12 31111 6 M59</t>
  </si>
  <si>
    <t>Préstamos Otorgados a Corto Plazo a los Trabajadores</t>
  </si>
  <si>
    <t>1 1 2 6 1 12 31111 6 M59 00001</t>
  </si>
  <si>
    <t>1 1 2 6 1 12 31111 6 M59 00001 000001</t>
  </si>
  <si>
    <t>PUBLICO EN GENERAL</t>
  </si>
  <si>
    <t>1 1 2 6 4</t>
  </si>
  <si>
    <t>XXX CAMBIO DE ETIQUETA (CONAC) XXX</t>
  </si>
  <si>
    <t>1 1 2 6 4 12</t>
  </si>
  <si>
    <t>1 1 2 6 4 12 31111</t>
  </si>
  <si>
    <t>1 1 2 6 4 12 31111 6</t>
  </si>
  <si>
    <t>1 1 2 6 4 12 31111 6 M59</t>
  </si>
  <si>
    <t>1 1 2 6 4 12 31111 6 M59 00001</t>
  </si>
  <si>
    <t>GASTO CORRIENTE</t>
  </si>
  <si>
    <t>1 1 2 6 4 12 31111 6 M59 00001 019108</t>
  </si>
  <si>
    <t>(caot650307cx5) Tomas Caro Ocampo</t>
  </si>
  <si>
    <t>1 1 2 6 4 12 31111 6 M59 00001 019227</t>
  </si>
  <si>
    <t>(mage511121a20) Efrain MagaÑa Galeana</t>
  </si>
  <si>
    <t>1 1 2 6 4 12 31111 6 M59 00001 019253</t>
  </si>
  <si>
    <t>(sogr570809ff4) Rafael Solis Galeana</t>
  </si>
  <si>
    <t>1 1 2 6 4 12 31111 6 M59 00001 019336</t>
  </si>
  <si>
    <t>(gonr460112d56) Raul Gonzalez Navarrete</t>
  </si>
  <si>
    <t>1 1 2 6 4 12 31111 6 M59 00001 019455</t>
  </si>
  <si>
    <t>(jigi720514cl7) Isidro Jimenes Galeana</t>
  </si>
  <si>
    <t>1 1 2 6 4 12 31111 6 M59 00001 019477</t>
  </si>
  <si>
    <t>(maga4605047t9) Armando Magaña Galeana</t>
  </si>
  <si>
    <t>1 1 2 6 4 12 31111 6 M59 00001 019495</t>
  </si>
  <si>
    <t>(tore920609dg8) Edson Josimar Torrescano Reyes</t>
  </si>
  <si>
    <t>1 1 2 6 4 12 31111 6 M59 00001 019594</t>
  </si>
  <si>
    <t>(gaar800906a39) Rafael Garcia Ayala</t>
  </si>
  <si>
    <t>1 1 2 6 4 12 31111 6 M59 00001 019767</t>
  </si>
  <si>
    <t>(palm780903nz0) Manuel Salvador Padilla Leon</t>
  </si>
  <si>
    <t>1 1 2 6 4 12 31111 6 M59 00001 020017</t>
  </si>
  <si>
    <t>(papm540502exa) Manuel Salvador Padilla Perez</t>
  </si>
  <si>
    <t>1 1 2 6 4 12 31111 6 M59 00001 020028</t>
  </si>
  <si>
    <t>(dosg800430mx6) Ma Guadalupe Dominguez Solis</t>
  </si>
  <si>
    <t>1 1 2 6 4 12 31111 6 M59 00001 020030</t>
  </si>
  <si>
    <t>(moba8812106p8) Ana Karen Morantes Bello</t>
  </si>
  <si>
    <t>1 1 2 6 4 12 31111 6 M59 00001 020032</t>
  </si>
  <si>
    <t>(veac910327b92) Cinthia Karina Vega Antonio</t>
  </si>
  <si>
    <t>1 1 2 6 4 12 31111 6 M59 00001 020414</t>
  </si>
  <si>
    <t>(becu961226h47) Uriel Benitez Cuevas</t>
  </si>
  <si>
    <t>1 1 2 6 4 12 31111 6 M59 00001 020416</t>
  </si>
  <si>
    <t>(race911213ae7) Jose Eduardo Ramos Cordero</t>
  </si>
  <si>
    <t>1 1 2 6 4 12 31111 6 M59 00001 020423</t>
  </si>
  <si>
    <t>(rocl900722ta8) Luis Jesus Romero Castañeda</t>
  </si>
  <si>
    <t>1 1 2 6 4 12 31111 6 M59 00001 020510</t>
  </si>
  <si>
    <t>(meba860413c91) Jose Alberto Mendoza Barrientos</t>
  </si>
  <si>
    <t>1 1 2 6 4 12 31111 6 M59 00001 022050</t>
  </si>
  <si>
    <t>(rarp780224ik9) Pedro Ramirez Romero</t>
  </si>
  <si>
    <t>1 1 2 6 4 12 31111 6 M59 00001 022984</t>
  </si>
  <si>
    <t>(resr860517uu5) Ramiro Rebolledo Solis</t>
  </si>
  <si>
    <t>1 1 2 6 4 12 31111 6 M59 00001 023897</t>
  </si>
  <si>
    <t>(oemj750305m36) Jesus Ojeda Mendoza</t>
  </si>
  <si>
    <t>1 1 2 6 4 12 31111 6 M59 00001 024150</t>
  </si>
  <si>
    <t>(aamd920807tw6) Daniel Acatitlan Monica</t>
  </si>
  <si>
    <t>1 1 2 6 4 12 31111 6 M59 00001 024965</t>
  </si>
  <si>
    <t>(tage991018dc3) Eddie Martin Tabarez Gallegos</t>
  </si>
  <si>
    <t>1 1 2 6 4 12 31111 6 M59 00001 024968</t>
  </si>
  <si>
    <t>(oeoa970317gq8) Ana Patricia Olea Olivar</t>
  </si>
  <si>
    <t>1 1 2 6 4 12 31111 6 M59 00001 025011</t>
  </si>
  <si>
    <t>(gaap900618rx8) Pablo Garcia Avilez</t>
  </si>
  <si>
    <t>1 1 2 6 4 12 31111 6 M59 00001 025042</t>
  </si>
  <si>
    <t>(sesj490919pj2) Josefina Serna Secundino</t>
  </si>
  <si>
    <t>1 1 2 6 4 12 31111 6 M59 00001 025131</t>
  </si>
  <si>
    <t>(narm760918s82) Mario Navarrete Rumbo</t>
  </si>
  <si>
    <t>1 1 2 6 4 12 31111 6 M59 00001 025145</t>
  </si>
  <si>
    <t>(mere530306k80) Eulalia Mendoza Rendon</t>
  </si>
  <si>
    <t>1 1 2 6 4 12 31111 6 M59 00001 025234</t>
  </si>
  <si>
    <t>(moov751212kg0) Vicente Emmanuel Montesinos Ocampo</t>
  </si>
  <si>
    <t>1 1 2 6 4 12 31111 6 M59 00001 025334</t>
  </si>
  <si>
    <t>(macl9205239c9) Lidia Lizbeth Martinez Chino</t>
  </si>
  <si>
    <t>1 1 2 6 4 12 31111 6 M59 00001 025466</t>
  </si>
  <si>
    <t>(maak950215ep0) Karla Guadalupe Martinez Antonio</t>
  </si>
  <si>
    <t>1 1 2 6 4 12 31111 6 M59 00001 025584</t>
  </si>
  <si>
    <t>(panj80112826a) Jesus Javier Parra Nuñez</t>
  </si>
  <si>
    <t>1 1 2 6 4 12 31111 6 M59 00003</t>
  </si>
  <si>
    <t>1 1 2 6 4 12 31111 6 M59 00003 000001</t>
  </si>
  <si>
    <t>1 1 2 6 4 12 31111 6 M59 00003 000001 00002</t>
  </si>
  <si>
    <t>(OESR7211127Q4) RAFAEL OJENDIZ SILVA</t>
  </si>
  <si>
    <t>1 1 2 6 4 12 31111 6 M59 00003 000001 00003</t>
  </si>
  <si>
    <t>(BAFB7311217X7) BENITO BALTAZAR FIERROS</t>
  </si>
  <si>
    <t>1 1 2 6 4 12 31111 6 M59 00003 000001 00004</t>
  </si>
  <si>
    <t>(GURR871123RG5) REBECA GUTIERREZ RIVERA</t>
  </si>
  <si>
    <t>1 1 2 6 4 12 31111 6 M59 00003 000001 00005</t>
  </si>
  <si>
    <t>(REMM7907274RA) MARCO ANTONIO RESENDIZ MARTINEZ</t>
  </si>
  <si>
    <t>1 1 2 9</t>
  </si>
  <si>
    <t>OTROS DERECHOS A RECIBIR EFECTIVO O EQUIVALENTES A CORTO PLAZO</t>
  </si>
  <si>
    <t>1 1 2 9 1</t>
  </si>
  <si>
    <t>1 1 2 9 1 12</t>
  </si>
  <si>
    <t>1 1 2 9 1 12 31111</t>
  </si>
  <si>
    <t>1 1 2 9 1 12 31111 6</t>
  </si>
  <si>
    <t>1 1 2 9 1 12 31111 6 M59</t>
  </si>
  <si>
    <t>1 1 2 9 1 12 31111 6 M59 00001</t>
  </si>
  <si>
    <t>1 1 2 9 1 12 31111 6 M59 00001 000001</t>
  </si>
  <si>
    <t>Ingresos Financieros (Intereses Ganados)</t>
  </si>
  <si>
    <t>1 1 2 9 1 12 31111 6 M59 00001 000001 00045</t>
  </si>
  <si>
    <t>1 1 2 9 1 12 31111 6 M59 00001 000001 00045 00001</t>
  </si>
  <si>
    <t>(BBA830831LJ2) BBVA MEXICO, S.A., INSTITUCION DE BANCA MULTIPLE, GRUPO FINANCIERO BBVA MEXICO.</t>
  </si>
  <si>
    <t>1 1 2 9 1 12 31111 6 M59 00001 000001 16057</t>
  </si>
  <si>
    <t>(bsm970519du8) Banco Santander Mexico S.a., Institucion De Banca Multiple, Grupo Financiero Santander Mexico</t>
  </si>
  <si>
    <t>1 1 2 9 1 12 31111 6 M59 00001 000001 93417</t>
  </si>
  <si>
    <t>(sfa830301521) Secretaria De Finanzas Y Administracion Del Estado De Guerrero</t>
  </si>
  <si>
    <t>1 1 2 9 1 12 31111 6 M59 00004</t>
  </si>
  <si>
    <t>1 1 2 9 1 12 31111 6 M59 00004 000001</t>
  </si>
  <si>
    <t>1 1 2 9 1 12 31111 6 M59 00004 000001 00001</t>
  </si>
  <si>
    <t>(SFA830301521) SECRETARIA DE FINANZAS Y ADMINISTRACION DEL ESTADO DE GUERRERO</t>
  </si>
  <si>
    <t>1 1 3</t>
  </si>
  <si>
    <t>DERECHOS A RECIBIR BIENES O SERVICIOS</t>
  </si>
  <si>
    <t>1 1 3 1</t>
  </si>
  <si>
    <t>ANTICIPO A PROVEEDORES POR ADQUISICIÓN DE BIENES Y PRESTACIÓN DE SERVICIOS A CORTO PLAZO</t>
  </si>
  <si>
    <t>1 1 3 1 1</t>
  </si>
  <si>
    <t>1 1 3 1 1 12</t>
  </si>
  <si>
    <t>1 1 3 1 1 12 31111</t>
  </si>
  <si>
    <t>1 1 3 1 1 12 31111 6</t>
  </si>
  <si>
    <t>1 1 3 1 1 12 31111 6 M59</t>
  </si>
  <si>
    <t>1 1 3 1 1 12 31111 6 M59 00001</t>
  </si>
  <si>
    <t>1 1 3 1 1 12 31111 6 M59 00001 018906</t>
  </si>
  <si>
    <t>(GPE030605KS1) GASOLINERIA PETROMEX S.A. DE C.V.</t>
  </si>
  <si>
    <t>1 1 3 1 1 12 31111 6 M59 00001 018908</t>
  </si>
  <si>
    <t>1 1 3 1 1 12 31111 6 M59 00001 018956</t>
  </si>
  <si>
    <t>(CSS160330CP7) CFE Suministrador de Servicios Básicos</t>
  </si>
  <si>
    <t>1 1 3 1 1 12 31111 6 M59 00001 018960</t>
  </si>
  <si>
    <t>(SAT970701NN3) Servicio de Administración Tributaria (SAT)</t>
  </si>
  <si>
    <t>1 1 3 1 1 12 31111 6 M59 00001 018962</t>
  </si>
  <si>
    <t>(ISS791001KN4) Instituto de Seguridad Social de los Servidores Públicos del Estado de Guerrero (ISSSPEG)</t>
  </si>
  <si>
    <t>1 1 3 1 1 12 31111 6 M59 00001 021798</t>
  </si>
  <si>
    <t>(SCO130311P20) SALYMA COMBUSTIBLES SA DE CV</t>
  </si>
  <si>
    <t>1 1 3 1 1 12 31111 6 M59 00001 022816</t>
  </si>
  <si>
    <t>(MODM991119RM3) Miriam Alejandra Moreno Dominguez</t>
  </si>
  <si>
    <t>1 1 3 1 1 12 31111 6 M59 00001 024088</t>
  </si>
  <si>
    <t>(COMJ941225LQA) Jesus Francisco Cholula Miguel</t>
  </si>
  <si>
    <t>1 1 3 1 1 12 31111 6 M59 00001 030145</t>
  </si>
  <si>
    <t>(VAJC891005EJ6) Cinthya Vargas De Jesus</t>
  </si>
  <si>
    <t>1 1 3 1 1 12 31111 6 M59 00001 030307</t>
  </si>
  <si>
    <t>(SDI201105QZ8) SB DIHASA, SA DE CV</t>
  </si>
  <si>
    <t>1 1 3 1 1 12 31111 6 M59 00001 030339</t>
  </si>
  <si>
    <t>(FOM0612078Z6) FOMEPADE</t>
  </si>
  <si>
    <t>1 1 3 1 1 12 31111 6 M59 00001 031037</t>
  </si>
  <si>
    <t>(NUT221126AJ4) NUTRIIVID</t>
  </si>
  <si>
    <t>1 1 3 1 1 12 31111 6 M59 00002</t>
  </si>
  <si>
    <t>1 1 3 1 1 12 31111 6 M59 00002 000001</t>
  </si>
  <si>
    <t>ANTICIPO A PROVEEDORES</t>
  </si>
  <si>
    <t>1 1 3 1 1 12 31111 6 M59 00002 000001 00001</t>
  </si>
  <si>
    <t>ANTICIPO A PROVEEDORES VARIOS</t>
  </si>
  <si>
    <t>1 1 3 1 1 12 31111 6 M59 00002 000001 00002</t>
  </si>
  <si>
    <t>(SOJA900530SD7) JOSE ABEL SOSA JIMENEZ</t>
  </si>
  <si>
    <t>1 1 3 1 1 12 31111 6 M59 00002 000001 00003</t>
  </si>
  <si>
    <t>(RUPC740315J56) CECILIA LACHIDUA RUIZ PICASSO</t>
  </si>
  <si>
    <t>1 1 3 1 1 12 31111 6 M59 00002 000001 00004</t>
  </si>
  <si>
    <t>(SEOC730912GE7) CESAR GUSTAVO SERRANO OCAMPO</t>
  </si>
  <si>
    <t>1 1 3 1 1 12 31111 6 M59 00003</t>
  </si>
  <si>
    <t>1 1 3 1 1 12 31111 6 M59 00003 000003</t>
  </si>
  <si>
    <t>1 1 3 1 1 12 31111 6 M59 00003 000003 00001</t>
  </si>
  <si>
    <t>1 1 3 1 1 12 31111 6 M59 00003 000003 00018</t>
  </si>
  <si>
    <t>1 1 3 1 1 12 31111 6 M59 00003 000003 00019</t>
  </si>
  <si>
    <t>1 1 3 1 1 12 31111 6 M59 00003 000003 00020</t>
  </si>
  <si>
    <t>(CSS160330CP7) CFE SUMINISTRADOR DE SERVICIOS BÁSICOS</t>
  </si>
  <si>
    <t>1 1 3 1 1 12 31111 6 M59 00003 000003 00021</t>
  </si>
  <si>
    <t>(SAT970701NN3) SERVICIO DE ADMINISTRACIÓN TRIBUTARIA (SAT)</t>
  </si>
  <si>
    <t>1 1 3 1 1 12 31111 6 M59 00003 000003 00022</t>
  </si>
  <si>
    <t>(XAXX010101000) MARIA ESTRADA AGUILAR</t>
  </si>
  <si>
    <t>1 1 3 1 1 12 31111 6 M59 00003 000003 00023</t>
  </si>
  <si>
    <t>(XAXX010101000) MARIA ELENA ESPINOZA BARRERA</t>
  </si>
  <si>
    <t>1 1 3 1 1 12 31111 6 M59 00003 000003 00024</t>
  </si>
  <si>
    <t>(DAC7205171M0) DISTRIBUIDORA DE ACAPULCO S.A. DE C.V.</t>
  </si>
  <si>
    <t>1 1 3 1 1 12 31111 6 M59 00003 000003 00025</t>
  </si>
  <si>
    <t>(XAXX010101000) VERONICA MORALES VILLAR</t>
  </si>
  <si>
    <t>1 1 3 1 1 12 31111 6 M59 00003 000003 00026</t>
  </si>
  <si>
    <t>(XAXX010101000) PATRICIA AYALA MARTINEZ</t>
  </si>
  <si>
    <t>1 1 3 1 1 12 31111 6 M59 00003 000003 00027</t>
  </si>
  <si>
    <t>1 1 3 1 1 12 31111 6 M59 00003 000003 00028</t>
  </si>
  <si>
    <t>(XAXX010101000) PUBLICO EN GENERAL</t>
  </si>
  <si>
    <t>1 1 3 1 1 12 31111 6 M59 00003 000003 00029</t>
  </si>
  <si>
    <t>(VIRC830426DV3) CELIA VILLA RAMOS</t>
  </si>
  <si>
    <t>1 1 3 1 1 12 31111 6 M59 00003 000003 00030</t>
  </si>
  <si>
    <t>(REF190129EZ7) REFACTODO SA DE CV</t>
  </si>
  <si>
    <t>1 1 3 1 1 12 31111 6 M59 00003 000003 00031</t>
  </si>
  <si>
    <t>1 1 3 1 1 12 31111 6 M59 00003 000003 00032</t>
  </si>
  <si>
    <t>(CAGJ831217DL9) JUAN JOSE CAMACHO GALEANA</t>
  </si>
  <si>
    <t>1 1 3 1 1 12 31111 6 M59 00003 000003 00033</t>
  </si>
  <si>
    <t>(VAJC891005EJ6) CINTHYA VARGAS DE JESUS</t>
  </si>
  <si>
    <t>1 1 3 1 1 12 31111 6 M59 00003 000003 00034</t>
  </si>
  <si>
    <t>1 1 3 1 1 12 31111 6 M59 00004</t>
  </si>
  <si>
    <t>1 1 3 1 1 12 31111 6 M59 00004 000001</t>
  </si>
  <si>
    <t>1 1 3 1 1 12 31111 6 M59 00004 000001 00001</t>
  </si>
  <si>
    <t>1 1 3 1 1 12 31111 6 M59 00004 018906</t>
  </si>
  <si>
    <t>1 1 3 1 1 12 31111 6 M59 00004 019825</t>
  </si>
  <si>
    <t>(CAGX590613NT9) Antonia Cancela Garcia</t>
  </si>
  <si>
    <t>1 1 3 1 1 12 31111 6 M59 00004 030305</t>
  </si>
  <si>
    <t>(COGA920414QN0) Abril Contreras Gabriel</t>
  </si>
  <si>
    <t>1 1 3 1 1 12 31111 6 M59 00004 030681</t>
  </si>
  <si>
    <t>(AEMA970501RD3) Alan Jizath Acevedo Mendiola</t>
  </si>
  <si>
    <t>1 1 3 1 1 12 31111 6 M59 00005</t>
  </si>
  <si>
    <t>1 1 3 1 1 12 31111 6 M59 00005 000915</t>
  </si>
  <si>
    <t>(ATE020715AQ5) Autoservicios Tecpan S.A. de C.V</t>
  </si>
  <si>
    <t>1 1 3 1 1 12 31111 6 M59 00005 018906</t>
  </si>
  <si>
    <t>1 1 3 1 1 12 31111 6 M59 00005 021798</t>
  </si>
  <si>
    <t>1 1 3 1 1 12 31111 6 M59 00005 023915</t>
  </si>
  <si>
    <t>(ATE020715AQ5) Autoservicios Tecpan S.A. de C.V:</t>
  </si>
  <si>
    <t>1 1 3 1 1 12 31111 6 M59 00006</t>
  </si>
  <si>
    <t>ZOFEMAT</t>
  </si>
  <si>
    <t>1 1 3 1 1 12 31111 6 M59 00006 000001</t>
  </si>
  <si>
    <t>1 1 3 1 1 12 31111 6 M59 00091</t>
  </si>
  <si>
    <t>Programas Regionales 2</t>
  </si>
  <si>
    <t>1 1 3 1 1 12 31111 6 M59 00091 000001</t>
  </si>
  <si>
    <t>1 1 3 9</t>
  </si>
  <si>
    <t>OTROS DERECHOS A RECIBIR BIENES O SERVICIOS A CORTO PLAZO</t>
  </si>
  <si>
    <t>1 1 3 9 1</t>
  </si>
  <si>
    <t>1 1 3 9 1 12</t>
  </si>
  <si>
    <t>1 1 3 9 1 12 31111</t>
  </si>
  <si>
    <t>1 1 3 9 1 12 31111 6</t>
  </si>
  <si>
    <t>1 1 3 9 1 12 31111 6 M59</t>
  </si>
  <si>
    <t>Descuentos a las Participaciones, Aportaciones, Transferencias, Asignaciones, Subsidios y Otras Ayudas</t>
  </si>
  <si>
    <t>1 1 3 9 1 12 31111 6 M59 00001</t>
  </si>
  <si>
    <t>1 1 3 9 1 12 31111 6 M59 00001 000001</t>
  </si>
  <si>
    <t>1 1 3 9 1 12 31111 6 M59 00001 000001 93417</t>
  </si>
  <si>
    <t>1 1 3 9 1 12 31111 6 M59 00001 000002</t>
  </si>
  <si>
    <t>Transferencias Económicas entre Cuentas Bancarias correspondientes al Mismo Fondo, Programa o Subsidio</t>
  </si>
  <si>
    <t>1 1 3 9 1 12 31111 6 M59 00004</t>
  </si>
  <si>
    <t>1 1 3 9 1 12 31111 6 M59 00004 000001</t>
  </si>
  <si>
    <t>1 1 3 9 1 12 31111 6 M59 00004 000001 00001</t>
  </si>
  <si>
    <t>DESCUENTOS A LAS PARTICIPACIONES</t>
  </si>
  <si>
    <t>1 1 5</t>
  </si>
  <si>
    <t>ALMACENES</t>
  </si>
  <si>
    <t>1 1 5 1</t>
  </si>
  <si>
    <t>ALMACÉN DE MATERIALES Y SUMINISTROS DE CONSUMO</t>
  </si>
  <si>
    <t>1 1 5 1 1</t>
  </si>
  <si>
    <t>MATERIALES DE ADMINISTRACIÓN, EMISIÓN DE DOCUMENTOS Y ARTÍCULOS OFICIALES</t>
  </si>
  <si>
    <t>1 1 5 1 1 12</t>
  </si>
  <si>
    <t>1 1 5 1 1 12 31111</t>
  </si>
  <si>
    <t>1 1 5 1 1 12 31111 6</t>
  </si>
  <si>
    <t>1 1 5 1 1 12 31111 6 M59</t>
  </si>
  <si>
    <t>1 1 5 1 1 12 31111 6 M59 00001</t>
  </si>
  <si>
    <t>1 1 5 1 1 12 31111 6 M59 00001 000001</t>
  </si>
  <si>
    <t>1 1 5 1 1 12 31111 6 M59 00001 000001 00001</t>
  </si>
  <si>
    <t>MATERIALES DE ADMINISTRACIÓN, EMISIÓN DE DOCUMENTOS Y ARTÍCULOS OFICIALES VARIOS</t>
  </si>
  <si>
    <t>1 1 5 1 2</t>
  </si>
  <si>
    <t>ALIMENTOS Y UTENSILIOS</t>
  </si>
  <si>
    <t>1 1 5 1 2 12</t>
  </si>
  <si>
    <t>1 1 5 1 2 12 31111</t>
  </si>
  <si>
    <t>1 1 5 1 2 12 31111 6</t>
  </si>
  <si>
    <t>1 1 5 1 2 12 31111 6 M59</t>
  </si>
  <si>
    <t>1 1 5 1 2 12 31111 6 M59 00001</t>
  </si>
  <si>
    <t>1 1 5 1 2 12 31111 6 M59 00001 000001</t>
  </si>
  <si>
    <t>Alimentos y Utensilios</t>
  </si>
  <si>
    <t>1 1 5 1 2 12 31111 6 M59 00001 000001 00001</t>
  </si>
  <si>
    <t>Alimentos y Utensilios Varios</t>
  </si>
  <si>
    <t>1 1 5 1 3</t>
  </si>
  <si>
    <t>MATERIALES Y ARTÍCULOS DE CONSTRUCCIÓN Y DE REPARACIÓN</t>
  </si>
  <si>
    <t>1 1 5 1 3 12</t>
  </si>
  <si>
    <t>1 1 5 1 3 12 31111</t>
  </si>
  <si>
    <t>1 1 5 1 3 12 31111 6</t>
  </si>
  <si>
    <t>1 1 5 1 3 12 31111 6 M59</t>
  </si>
  <si>
    <t>1 1 5 1 3 12 31111 6 M59 00001</t>
  </si>
  <si>
    <t>1 1 5 1 3 12 31111 6 M59 00001 000001</t>
  </si>
  <si>
    <t>Materiales y Artículos de Construcción y Reparación</t>
  </si>
  <si>
    <t>1 1 5 1 3 12 31111 6 M59 00001 000001 00001</t>
  </si>
  <si>
    <t>Materiales y Artículos de Construcción y Reparación Varios</t>
  </si>
  <si>
    <t>1 1 5 1 4</t>
  </si>
  <si>
    <t>PRODUCTOS QUÍMICOS, FARMACÉUTICOS Y DE LABORATORIO</t>
  </si>
  <si>
    <t>1 1 5 1 4 12</t>
  </si>
  <si>
    <t>1 1 5 1 4 12 31111</t>
  </si>
  <si>
    <t>1 1 5 1 4 12 31111 6</t>
  </si>
  <si>
    <t>1 1 5 1 4 12 31111 6 M59</t>
  </si>
  <si>
    <t>1 1 5 1 4 12 31111 6 M59 00001</t>
  </si>
  <si>
    <t>1 1 5 1 4 12 31111 6 M59 00001 000001</t>
  </si>
  <si>
    <t>Productos Químicos, Farmacéuticos y de Laboratorio</t>
  </si>
  <si>
    <t>1 1 5 1 4 12 31111 6 M59 00001 000001 00001</t>
  </si>
  <si>
    <t>Productos Químicos, Farmacéuticos y de Laboratorio Varios</t>
  </si>
  <si>
    <t>1 1 5 1 5</t>
  </si>
  <si>
    <t>COMBUSTIBLES, LUBRICANTES Y ADITIVOS</t>
  </si>
  <si>
    <t>1 1 5 1 5 12</t>
  </si>
  <si>
    <t>1 1 5 1 5 12 31111</t>
  </si>
  <si>
    <t>1 1 5 1 5 12 31111 6</t>
  </si>
  <si>
    <t>1 1 5 1 5 12 31111 6 M59</t>
  </si>
  <si>
    <t>1 1 5 1 5 12 31111 6 M59 00001</t>
  </si>
  <si>
    <t>1 1 5 1 5 12 31111 6 M59 00001 000001</t>
  </si>
  <si>
    <t>Combustibles, Lubricantes y Aditivos</t>
  </si>
  <si>
    <t>1 1 5 1 5 12 31111 6 M59 00001 000001 00001</t>
  </si>
  <si>
    <t>Combustibles, Lubricantes y Aditivos Varios</t>
  </si>
  <si>
    <t>1 1 5 1 6</t>
  </si>
  <si>
    <t>VESTUARIO, BLANCOS, PRENDAS DE PROTECCIÓN Y ARTÍCULOS DEPORTIVOS</t>
  </si>
  <si>
    <t>1 1 5 1 6 12</t>
  </si>
  <si>
    <t>1 1 5 1 6 12 31111</t>
  </si>
  <si>
    <t>1 1 5 1 6 12 31111 6</t>
  </si>
  <si>
    <t>1 1 5 1 6 12 31111 6 M59</t>
  </si>
  <si>
    <t>1 1 5 1 6 12 31111 6 M59 00001</t>
  </si>
  <si>
    <t>1 1 5 1 6 12 31111 6 M59 00001 000001</t>
  </si>
  <si>
    <t>Vestuario, Blancos, Prendas de Protección y Artículos Deportivos</t>
  </si>
  <si>
    <t>1 1 5 1 6 12 31111 6 M59 00001 000001 00001</t>
  </si>
  <si>
    <t>Vestuario, Blancos, Prendas de Protección y Artículos Deportivos Varios</t>
  </si>
  <si>
    <t>1 1 5 1 8</t>
  </si>
  <si>
    <t>HERRAMIENTAS, REFACCIONES Y ACCESORIOS MENORES PARA CONSUMO</t>
  </si>
  <si>
    <t>1 1 5 1 8 12</t>
  </si>
  <si>
    <t>1 1 5 1 8 12 31111</t>
  </si>
  <si>
    <t>1 1 5 1 8 12 31111 6</t>
  </si>
  <si>
    <t>1 1 5 1 8 12 31111 6 M59</t>
  </si>
  <si>
    <t>1 1 5 1 8 12 31111 6 M59 00001</t>
  </si>
  <si>
    <t>1 1 5 1 8 12 31111 6 M59 00001 000001</t>
  </si>
  <si>
    <t>Herramientas, Refacciones y Accesorios Menores</t>
  </si>
  <si>
    <t>1 1 5 1 8 12 31111 6 M59 00001 000001 00001</t>
  </si>
  <si>
    <t>Herramientas, Refacciones y Accesorios Menores Varios</t>
  </si>
  <si>
    <t>1 1 9</t>
  </si>
  <si>
    <t>OTROS ACTIVOS CIRCULANTES</t>
  </si>
  <si>
    <t>1 1 9 4</t>
  </si>
  <si>
    <t>(PARTIDA ADICIONADA) ADQUISICIÓN CON FONDOS DE TERCEROS</t>
  </si>
  <si>
    <t>1 1 9 4 1</t>
  </si>
  <si>
    <t>1 1 9 4 1 12</t>
  </si>
  <si>
    <t>1 1 9 4 1 12 31111</t>
  </si>
  <si>
    <t>1 1 9 4 1 12 31111 6</t>
  </si>
  <si>
    <t>1 1 9 4 1 12 31111 6 M59</t>
  </si>
  <si>
    <t>Adquisición con Fondos de Terceros</t>
  </si>
  <si>
    <t>1 1 9 4 1 12 31111 6 M59 00001</t>
  </si>
  <si>
    <t>1 1 9 4 1 12 31111 6 M59 00001 000001</t>
  </si>
  <si>
    <t>SUBSIDIO AL EMPLEO</t>
  </si>
  <si>
    <t>1 2</t>
  </si>
  <si>
    <t>ACTIVO NO CIRCULANTE</t>
  </si>
  <si>
    <t>1 2 3</t>
  </si>
  <si>
    <t>BIENES INMUEBLES, INFRAESTRUCTURA Y CONSTRUCCIONES EN PROCESO</t>
  </si>
  <si>
    <t>1 2 3 1</t>
  </si>
  <si>
    <t>TERRENOS</t>
  </si>
  <si>
    <t>1 2 3 1 1</t>
  </si>
  <si>
    <t>(DESARROLLO DE BIENES)</t>
  </si>
  <si>
    <t>1 2 3 1 1 12</t>
  </si>
  <si>
    <t>1 2 3 1 1 12 31111</t>
  </si>
  <si>
    <t>1 2 3 1 1 12 31111 6</t>
  </si>
  <si>
    <t>1 2 3 1 1 12 31111 6 M59</t>
  </si>
  <si>
    <t>Terrenos</t>
  </si>
  <si>
    <t>1 2 3 1 1 12 31111 6 M59 00001</t>
  </si>
  <si>
    <t>1 2 3 1 1 12 31111 6 M59 00001 000001</t>
  </si>
  <si>
    <t>1 2 3 1 1 12 31111 6 M59 00001 000001 00001</t>
  </si>
  <si>
    <t>1 2 3 3</t>
  </si>
  <si>
    <t>EDIFICIOS NO HABITACIONALES</t>
  </si>
  <si>
    <t>1 2 3 3 1</t>
  </si>
  <si>
    <t>1 2 3 3 1 12</t>
  </si>
  <si>
    <t>1 2 3 3 1 12 31111</t>
  </si>
  <si>
    <t>1 2 3 3 1 12 31111 6</t>
  </si>
  <si>
    <t>1 2 3 3 1 12 31111 6 M59</t>
  </si>
  <si>
    <t>Edificios no Habitacionales</t>
  </si>
  <si>
    <t>1 2 3 3 1 12 31111 6 M59 00001</t>
  </si>
  <si>
    <t>1 2 3 3 1 12 31111 6 M59 00001 000001</t>
  </si>
  <si>
    <t>1 2 3 3 1 12 31111 6 M59 00001 000001 00001</t>
  </si>
  <si>
    <t>1 2 3 4</t>
  </si>
  <si>
    <t>INFRAESTRUCTURA</t>
  </si>
  <si>
    <t>1 2 3 4 1</t>
  </si>
  <si>
    <t>INFRAESTRUCTURA DE CARRETERAS</t>
  </si>
  <si>
    <t>1 2 3 4 1 12</t>
  </si>
  <si>
    <t>1 2 3 4 1 12 31111</t>
  </si>
  <si>
    <t>1 2 3 4 1 12 31111 6</t>
  </si>
  <si>
    <t>1 2 3 4 1 12 31111 6 M59</t>
  </si>
  <si>
    <t>TÉCPAN DE GALENAN</t>
  </si>
  <si>
    <t>1 2 3 4 1 12 31111 6 M59 00002</t>
  </si>
  <si>
    <t>1 2 3 4 1 12 31111 6 M59 00002 000001</t>
  </si>
  <si>
    <t>1 2 3 4 1 12 31111 6 M59 00002 000001 00001</t>
  </si>
  <si>
    <t>1 2 3 4 1 12 31111 6 M59 00004</t>
  </si>
  <si>
    <t>1 2 3 4 1 12 31111 6 M59 00004 000001</t>
  </si>
  <si>
    <t>1 2 3 4 1 12 31111 6 M59 00004 000001 00001</t>
  </si>
  <si>
    <t>1 2 3 4 6</t>
  </si>
  <si>
    <t>INFRAESTRUCTURA DE AGUA POTABLE, SANEAMIENTO, HIDROAGRÍCOLA Y CONTROL DE INUNDACIONES</t>
  </si>
  <si>
    <t>1 2 3 4 6 12</t>
  </si>
  <si>
    <t>1 2 3 4 6 12 31111</t>
  </si>
  <si>
    <t>1 2 3 4 6 12 31111 6</t>
  </si>
  <si>
    <t>1 2 3 4 6 12 31111 6 M59</t>
  </si>
  <si>
    <t>Infraestructura de Agua Potable, Saneamiento, Hidro - Agricola y Control de Inundaciones</t>
  </si>
  <si>
    <t>1 2 3 4 6 12 31111 6 M59 00002</t>
  </si>
  <si>
    <t>1 2 3 4 6 12 31111 6 M59 00002 000001</t>
  </si>
  <si>
    <t>1 2 3 4 6 12 31111 6 M59 00002 000001 00001</t>
  </si>
  <si>
    <t>1 2 3 5</t>
  </si>
  <si>
    <t>CONSTRUCCIONES EN PROCESO EN BIENES DE DOMINIO PÚBLICO</t>
  </si>
  <si>
    <t>1 2 3 5 2</t>
  </si>
  <si>
    <t>EDIFICACIÓN NO HABITACIONAL EN PROCESO</t>
  </si>
  <si>
    <t>1 2 3 5 2 12</t>
  </si>
  <si>
    <t>1 2 3 5 2 12 31111</t>
  </si>
  <si>
    <t>1 2 3 5 2 12 31111 6</t>
  </si>
  <si>
    <t>1 2 3 5 2 12 31111 6 M59</t>
  </si>
  <si>
    <t>1 2 3 5 2 12 31111 6 M59 30100</t>
  </si>
  <si>
    <t>DIRECIÓN DE OBRAS PÚBLICAS</t>
  </si>
  <si>
    <t>1 2 3 5 2 12 31111 6 M59 30100 000132</t>
  </si>
  <si>
    <t>POLÍTICA INTERIOR</t>
  </si>
  <si>
    <t>1 2 3 5 2 12 31111 6 M59 30100 000132 0000R</t>
  </si>
  <si>
    <t>ESPECIFICOS</t>
  </si>
  <si>
    <t>1 2 3 5 2 12 31111 6 M59 30100 000132 0000R 00002</t>
  </si>
  <si>
    <t>GASTO DE CAPITAL</t>
  </si>
  <si>
    <t>1 2 3 5 2 12 31111 6 M59 30100 000132 0000R 00002 00612</t>
  </si>
  <si>
    <t>EDIFICACION NO HABITACIONAL.</t>
  </si>
  <si>
    <t>1 2 3 5 2 12 31111 6 M59 30100 000132 0000R 00002 00612 025</t>
  </si>
  <si>
    <t>25 - RECURSOS FEDERALES</t>
  </si>
  <si>
    <t>1 2 3 5 2 12 31111 6 M59 30100 000132 0000R 00002 00612 025 2210000</t>
  </si>
  <si>
    <t>CONSTRUCCIONES EN PROCESO</t>
  </si>
  <si>
    <t>1 2 3 5 2 12 31111 6 M59 30100 000132 0000R 00002 00612 025 2210000 2024</t>
  </si>
  <si>
    <t>EJERCICIO 2024</t>
  </si>
  <si>
    <t>1 2 3 5 2 12 31111 6 M59 30100 000132 0000R 00002 00612 025 2210000 2024 CP1OP405</t>
  </si>
  <si>
    <t>CONTROL Y ADMINISTRACIÓN DE RECURSOS HUMANOS</t>
  </si>
  <si>
    <t>1 2 3 5 2 12 31111 6 M59 30100 000132 0000R 00002 00612 025 2210000 2024 CP1OP405 003</t>
  </si>
  <si>
    <t>FORTAMUN-DF</t>
  </si>
  <si>
    <t>1 2 3 5 2 12 31111 6 M59 30100 000132 0000R 00002 00612 025 2210000 2024 CP1OP405 003 0000001</t>
  </si>
  <si>
    <t>INFRAESTRUCTURA PARA OFICINAS Y EDIFICIOS PÚBLICOS</t>
  </si>
  <si>
    <t>1 2 3 5 2 12 31111 6 M59 30100 000132 0000R 00002 00612 025 2210000 2024 CP1OP405 003 0000001 00002</t>
  </si>
  <si>
    <t>CONSTRUCCIÓN DE ESTACIÓN Y ÁREAS DE USOS MÚLTIPLES DE PROTECCIÓN CIVIL, TECPAN DE GALEANA GUERRERO.</t>
  </si>
  <si>
    <t>1 2 3 5 2 12 31111 6 M59 30100 000132 0000R 00002 00612 025 2210000 2024 CP2OP405</t>
  </si>
  <si>
    <t>1 2 3 5 2 12 31111 6 M59 30100 000132 0000R 00002 00612 025 2210000 2024 CP2OP405 002</t>
  </si>
  <si>
    <t>OBRAS PÚBLICAS</t>
  </si>
  <si>
    <t>1 2 3 5 2 12 31111 6 M59 30100 000132 0000R 00002 00612 025 2210000 2024 CP2OP405 002 0000001</t>
  </si>
  <si>
    <t>INFRAESTRUCTURA BÁSICA EDUCATIVA</t>
  </si>
  <si>
    <t>1 2 3 5 2 12 31111 6 M59 30100 000132 0000R 00002 00612 025 2210000 2024 CP2OP405 002 0000001 00002</t>
  </si>
  <si>
    <t>REHABILITACIÓN DE SANITARIOS EN JARDIN DE NIÑOS JOSEFINA RAMOS DEL RIO</t>
  </si>
  <si>
    <t>1 2 3 5 2 12 31111 6 M59 30100 000132 0000R 00002 00612 025 2210000 2024 CP2OP405 002 0000001 00003</t>
  </si>
  <si>
    <t>CONSTRUCCIÓN DE TECHADO EN ESCUELA SECUNDARIA HERMENEGILDO GALEANA COMUNIDAD DE PAPANOA</t>
  </si>
  <si>
    <t>1 2 3 5 2 12 31111 6 M59 30100 000132 0000R 00002 00612 025 2210000 2024 CP2OP405 002 0000001 00004</t>
  </si>
  <si>
    <t>CONSTRUCCIÓN DE AULA EN ESCUELA PRIMARIA EL PORVENIR</t>
  </si>
  <si>
    <t>1 2 3 5 2 12 31111 6 M59 30100 000132 0000R 00002 00612 025 2210000 2024 CP2OP405 002 0000001 00005</t>
  </si>
  <si>
    <t>CONSTRUCCIÓN DE TECHADO EN ESCUELA PRIMARIA BENITO JUAREZ EN LA COMUNIDAD DE SAN LUIS SAN PEDRO</t>
  </si>
  <si>
    <t>1 2 3 5 2 12 31111 6 M59 30100 000132 0000R 00002 00612 025 2210000 2024 CP2OP405 002 0000001 00006</t>
  </si>
  <si>
    <t>REHABILITACIÓN DE SANITARIOS EN ESCUELA PRIMARIA EL PORVENIR</t>
  </si>
  <si>
    <t>1 2 3 5 2 12 31111 6 M59 30100 000132 0000R 00002 00612 025 2210000 2024 CP2OP405 002 0000001 00008</t>
  </si>
  <si>
    <t>CONSTRUCCIÓN DE TECHADO EN ESC. PRIM. GREGORIO TORRES QUINTERO COMUNIDAD DE EL EDÉN</t>
  </si>
  <si>
    <t>1 2 3 5 3</t>
  </si>
  <si>
    <t>CONSTRUCCIÓN DE OBRAS PARA EL ABASTECIMIENTO DE AGUA, PETRÓLEO, GAS, ELECTRICIDAD Y TELECOMUNICACIONES EN PROCESO</t>
  </si>
  <si>
    <t>1 2 3 5 3 12</t>
  </si>
  <si>
    <t>1 2 3 5 3 12 31111</t>
  </si>
  <si>
    <t>1 2 3 5 3 12 31111 6</t>
  </si>
  <si>
    <t>1 2 3 5 3 12 31111 6 M59</t>
  </si>
  <si>
    <t>1 2 3 5 3 12 31111 6 M59 30100</t>
  </si>
  <si>
    <t>1 2 3 5 3 12 31111 6 M59 30100 000132</t>
  </si>
  <si>
    <t>1 2 3 5 3 12 31111 6 M59 30100 000132 0000R</t>
  </si>
  <si>
    <t>1 2 3 5 3 12 31111 6 M59 30100 000132 0000R 00002</t>
  </si>
  <si>
    <t>1 2 3 5 3 12 31111 6 M59 30100 000132 0000R 00002 00613</t>
  </si>
  <si>
    <t>CONSTRUCCION DE OBRAS PARA EL ABASTECIMIENTO DE AGUA, PETROLEO, GAS, ELECTRICIDAD Y TELECOMUNICACIONES.</t>
  </si>
  <si>
    <t>1 2 3 5 3 12 31111 6 M59 30100 000132 0000R 00002 00613 011</t>
  </si>
  <si>
    <t>1 - NO ETIQUETADO</t>
  </si>
  <si>
    <t>1 2 3 5 3 12 31111 6 M59 30100 000132 0000R 00002 00613 011 2210000</t>
  </si>
  <si>
    <t>1 2 3 5 3 12 31111 6 M59 30100 000132 0000R 00002 00613 011 2210000 2024</t>
  </si>
  <si>
    <t>1 2 3 5 3 12 31111 6 M59 30100 000132 0000R 00002 00613 011 2210000 2024 CP1TM440</t>
  </si>
  <si>
    <t>1 2 3 5 3 12 31111 6 M59 30100 000132 0000R 00002 00613 011 2210000 2024 CP1TM440 006</t>
  </si>
  <si>
    <t>PROSANEAR</t>
  </si>
  <si>
    <t>1 2 3 5 3 12 31111 6 M59 30100 000132 0000R 00002 00613 011 2210000 2024 CP1TM440 006 0000002</t>
  </si>
  <si>
    <t>CONSTRUCCION DE DRENAJE SANITARIO EN LA COL. LOMAS BONITAS EN LA LOCALIDAD DE TECPAN DE GALEANA MUNICIPIO DE TECPAN DE GALEANA GRO.</t>
  </si>
  <si>
    <t>1 2 3 5 3 12 31111 6 M59 30100 000132 0000R 00002 00613 011 2210000 2024 CP1TM440 006 0000003</t>
  </si>
  <si>
    <t>AMPLIACIÓN DE RED DE DRENAJE SANITARIO EN LA COMUNIDAD DE SANTA ROSA DE LIMA MUNICIPIO DE TECPAN DE GALEANA GRO</t>
  </si>
  <si>
    <t>1 2 3 5 3 12 31111 6 M59 30100 000132 0000R 00002 00613 025</t>
  </si>
  <si>
    <t>1 2 3 5 3 12 31111 6 M59 30100 000132 0000R 00002 00613 025 2210000</t>
  </si>
  <si>
    <t>1 2 3 5 3 12 31111 6 M59 30100 000132 0000R 00002 00613 025 2210000 2024</t>
  </si>
  <si>
    <t>1 2 3 5 3 12 31111 6 M59 30100 000132 0000R 00002 00613 025 2210000 2024 CP2OP405</t>
  </si>
  <si>
    <t>1 2 3 5 3 12 31111 6 M59 30100 000132 0000R 00002 00613 025 2210000 2024 CP2OP405 002</t>
  </si>
  <si>
    <t>1 2 3 5 3 12 31111 6 M59 30100 000132 0000R 00002 00613 025 2210000 2024 CP2OP405 002 0000001</t>
  </si>
  <si>
    <t>AGUA POTABLE</t>
  </si>
  <si>
    <t>1 2 3 5 3 12 31111 6 M59 30100 000132 0000R 00002 00613 025 2210000 2024 CP2OP405 002 0000001 00002</t>
  </si>
  <si>
    <t>AMPLIACIÓN DE RED DE AGUA POTABLE EN CALLE TULIPANES COMUNIDAD DE EL SUCHIL</t>
  </si>
  <si>
    <t>1 2 3 5 3 12 31111 6 M59 30100 000132 0000R 00002 00613 025 2210000 2024 CP2OP405 002 0000001 00003</t>
  </si>
  <si>
    <t>REHABILITACION DE GALERIAS FILTRANTES DEL CARCAMO 2 EN TECPAN DE GALEANA</t>
  </si>
  <si>
    <t>1 2 3 5 3 12 31111 6 M59 30100 000132 0000R 00002 00613 025 2210000 2024 CP2OP405 002 0000001 00004</t>
  </si>
  <si>
    <t>REHABILITACION DE LINEA DEL SISTEMA DE AGUA POR GRAVEDAD TRAMO RIO CHIQUITO-TECPAN</t>
  </si>
  <si>
    <t>1 2 3 5 3 12 31111 6 M59 30100 000132 0000R 00002 00613 025 2210000 2024 CP2OP405 002 0000001 00005</t>
  </si>
  <si>
    <t>CONSTRUCCIÓN DE GALERIAS FILTRANTES EN LA COMUNIDAD DE RIO CHIQUITO</t>
  </si>
  <si>
    <t>1 2 3 5 3 12 31111 6 M59 30100 000132 0000R 00002 00613 025 2210000 2024 CP2OP405 002 0000001 00006</t>
  </si>
  <si>
    <t>REHABILITACIÓN DEL SISTEMA DE AGUA POTABLE EN LA COMUNIDAD DE LOS LAURELES</t>
  </si>
  <si>
    <t>1 2 3 5 3 12 31111 6 M59 30100 000132 0000R 00002 00613 025 2210000 2024 CP2OP405 002 0000002</t>
  </si>
  <si>
    <t>ELECTRIFICACIÓN RURAL</t>
  </si>
  <si>
    <t>1 2 3 5 3 12 31111 6 M59 30100 000132 0000R 00002 00613 025 2210000 2024 CP2OP405 002 0000002 00002</t>
  </si>
  <si>
    <t>ELECTRIFICACIÓN EN LA COMUNIDAD DE PUERTO VICENTE GUERRERO</t>
  </si>
  <si>
    <t>1 2 3 5 3 12 31111 6 M59 30100 000132 0000R 00002 00613 025 2210000 2024 CP2OP405 002 0000002 00003</t>
  </si>
  <si>
    <t>REHABILITACIÓN DE ALUMBRADO PÚBLICO TECPAN SECCIÓN 1 (COL. H. GALEANA, MANUEL ABARCA, LINDA VISTA, EMILIANO ZAPATA, REFORMA)</t>
  </si>
  <si>
    <t>1 2 3 5 3 12 31111 6 M59 30100 000132 0000R 00002 00613 025 2210000 2024 CP2OP405 002 0000002 00004</t>
  </si>
  <si>
    <t>REHABILITACIÓN DE ALUMBRADO PÚBLICO TECPAN SECCIÓN 2 (EL FORTIN, TEPETATE, REVOLUCIÓN, FRANCISCO I. MADERO)</t>
  </si>
  <si>
    <t>1 2 3 5 3 12 31111 6 M59 30100 000132 0000R 00002 00613 025 2210000 2024 CP2OP405 002 0000002 00005</t>
  </si>
  <si>
    <t>REHABILITACIÓN DE ALUMBRADO PÚBLICO TECPAN SECCIÓN 3 (COL. EL PRI, JESUS MARIA, CAPIRE, COL. CENTRO)</t>
  </si>
  <si>
    <t>1 2 3 5 3 12 31111 6 M59 30100 000132 0000R 00002 00613 025 2210000 2024 CP2OP405 002 0000002 00006</t>
  </si>
  <si>
    <t>REHABILITACIÓN DE ALUMBRADO PÚBLICO TECPAN SECCIÓN 4 (LOS LLANITOS, LOMA BONITA, BUENOS AIRES, VICENTE GRO)</t>
  </si>
  <si>
    <t>1 2 3 5 3 12 31111 6 M59 30100 000132 0000R 00002 00613 025 2210000 2024 CP2OP405 002 0000002 00007</t>
  </si>
  <si>
    <t>REHABILITACIÓN DE ALUMBRADO PÚBLICO RANCHO ALEGRE - TRAPICHE - COBANO - CONSUELITO</t>
  </si>
  <si>
    <t>1 2 3 5 3 12 31111 6 M59 30100 000132 0000R 00002 00613 025 2210000 2024 CP2OP405 002 0000002 00008</t>
  </si>
  <si>
    <t>REHABILITACIÓN DE ALUMBRADO PÚBLICO COMUNIDAD DE PAPANOA</t>
  </si>
  <si>
    <t>1 2 3 5 3 12 31111 6 M59 30100 000132 0000R 00002 00613 025 2210000 2024 CP2OP405 002 0000002 00009</t>
  </si>
  <si>
    <t>REHABILITACIÓN DE ALUMBRADO PÚBLICO EN SANTA ROSA DE LIMA-LAURELES-PUERTO VICENTE-BRISAS DEL MAR</t>
  </si>
  <si>
    <t>1 2 3 5 3 12 31111 6 M59 30100 000132 0000R 00002 00613 025 2210000 2024 CP2OP405 002 0000002 00010</t>
  </si>
  <si>
    <t>REHABILITACIÓN DE ALUMBRADO PÚBLICO LOS TARROS - POSA DE BACHE - GUAYABILLO - LLANOS DE NAVARRETE - CHILCAHUITE - PALO DE ARCO</t>
  </si>
  <si>
    <t>1 2 3 5 3 12 31111 6 M59 30100 000132 0000R 00002 00613 025 2210000 2024 CP2OP405 002 0000002 00011</t>
  </si>
  <si>
    <t>REHABILITACIÓN DE ALUMBRADO PÚBLICO RUTA SAN LUIS SAN PEDRO - ZARAGOZA (LIMÓN DEL POCHOTE, LA LAGUNA, BAJITOS, CHIVO, ZARAGOZA)</t>
  </si>
  <si>
    <t>1 2 3 5 3 12 31111 6 M59 30100 000132 0000R 00002 00613 025 2210000 2024 CP2OP405 002 0000002 00013</t>
  </si>
  <si>
    <t>REHABILITACIÓN DE ALUMBRADO PÚBLICO RUTA RODECIA - PALO DULCE</t>
  </si>
  <si>
    <t>1 2 3 5 3 12 31111 6 M59 30100 000132 0000R 00002 00613 025 2210000 2024 CP2OP405 002 0000002 00014</t>
  </si>
  <si>
    <t>REHABILITACIÓN DE ALUMBRADO PÚBLICO RUTA NUXCO - VUELTA DEL BARCO</t>
  </si>
  <si>
    <t>1 2 3 5 3 12 31111 6 M59 30100 000132 0000R 00002 00613 025 2210000 2024 CP2OP405 002 0000002 00015</t>
  </si>
  <si>
    <t>REHABILITACIÓN DE ALUMBRADO PÚBLICO RUTA LOS LLANITOS - SANTA MARÍA</t>
  </si>
  <si>
    <t>1 2 3 5 3 12 31111 6 M59 30100 000132 0000R 00002 00613 025 2210000 2024 CP2OP405 002 0000002 00016</t>
  </si>
  <si>
    <t>REHABILITACIÓN DE ALUMBRADO PÚBLICO ARROYO FRIO - EL MORENO - CORDÓN GRANDE</t>
  </si>
  <si>
    <t>1 2 3 5 3 12 31111 6 M59 30100 000132 0000R 00002 00613 025 2210000 2024 CP2OP405 002 0000002 00017</t>
  </si>
  <si>
    <t>REHABILITACIÓN DE ALUMBRADO PÚBLICO REFORMA AGRARIA - EL CARRIZAL</t>
  </si>
  <si>
    <t>1 2 3 5 3 12 31111 6 M59 30100 000132 0000R 00002 00613 025 2210000 2024 CP2OP405 002 0000002 00018</t>
  </si>
  <si>
    <t>REHABILITACIÓN DE ALUMBRADO PÚBLICO VILLA ROTARIA - TENEXPA</t>
  </si>
  <si>
    <t>1 2 3 5 3 12 31111 6 M59 30100 000132 0000R 00002 00613 025 2210000 2024 CP2OP405 002 0000002 00019</t>
  </si>
  <si>
    <t>REHABILITACIÓN DE ALUMBRADO PÚBLICO RUTA SAN LUIS LA LOMA - EL PORVENIR</t>
  </si>
  <si>
    <t>1 2 3 5 4</t>
  </si>
  <si>
    <t>DIVISIÓN DE TERRENOS Y CONSTRUCCIÓN DE OBRAS DE URBANIZACIÓN EN PROCESO</t>
  </si>
  <si>
    <t>1 2 3 5 4 12</t>
  </si>
  <si>
    <t>1 2 3 5 4 12 31111</t>
  </si>
  <si>
    <t>1 2 3 5 4 12 31111 6</t>
  </si>
  <si>
    <t>1 2 3 5 4 12 31111 6 M59</t>
  </si>
  <si>
    <t>1 2 3 5 4 12 31111 6 M59 30100</t>
  </si>
  <si>
    <t>1 2 3 5 4 12 31111 6 M59 30100 000132</t>
  </si>
  <si>
    <t>1 2 3 5 4 12 31111 6 M59 30100 000132 0000R</t>
  </si>
  <si>
    <t>1 2 3 5 4 12 31111 6 M59 30100 000132 0000R 00002</t>
  </si>
  <si>
    <t>1 2 3 5 4 12 31111 6 M59 30100 000132 0000R 00002 00614</t>
  </si>
  <si>
    <t>DIVISION DE TERRENOS Y CONSTRUCCION DE OBRAS DE URBANIZACION.</t>
  </si>
  <si>
    <t>1 2 3 5 4 12 31111 6 M59 30100 000132 0000R 00002 00614 025</t>
  </si>
  <si>
    <t>1 2 3 5 4 12 31111 6 M59 30100 000132 0000R 00002 00614 025 2210000</t>
  </si>
  <si>
    <t>1 2 3 5 4 12 31111 6 M59 30100 000132 0000R 00002 00614 025 2210000 2024</t>
  </si>
  <si>
    <t>1 2 3 5 4 12 31111 6 M59 30100 000132 0000R 00002 00614 025 2210000 2024 CP2OP405</t>
  </si>
  <si>
    <t>1 2 3 5 4 12 31111 6 M59 30100 000132 0000R 00002 00614 025 2210000 2024 CP2OP405 002</t>
  </si>
  <si>
    <t>1 2 3 5 4 12 31111 6 M59 30100 000132 0000R 00002 00614 025 2210000 2024 CP2OP405 002 0000001</t>
  </si>
  <si>
    <t>MEJORAMIENTO DEL ENTORNO</t>
  </si>
  <si>
    <t>1 2 3 5 4 12 31111 6 M59 30100 000132 0000R 00002 00614 025 2210000 2024 CP2OP405 002 0000001 00002</t>
  </si>
  <si>
    <t>REHABILITACIÓN DE MERCADO PÚBLICO EN LA COMUNIDAD DE SAN LUIS DE LA LOMA</t>
  </si>
  <si>
    <t>1 2 3 5 4 12 31111 6 M59 30100 000132 0000R 00002 00614 025 2210000 2024 CP2OP405 002 0000001 00003</t>
  </si>
  <si>
    <t>CONSTRUCCIÓN DE TECHADO EN LA COMUNIDAD DE CORDÓN GRANDE</t>
  </si>
  <si>
    <t>1 2 3 5 4 12 31111 6 M59 30100 000132 0000R 00002 00614 025 2210000 2024 CP2OP405 002 0000001 00004</t>
  </si>
  <si>
    <t>CONSTRUCCIÓN DE TECHADO EN LA COMUNIDAD DE RANCHO ALEGRE DEL LLANO</t>
  </si>
  <si>
    <t>1 2 3 5 4 12 31111 6 M59 30100 000132 0000R 00002 00614 025 2210000 2024 CP2OP405 002 0000001 00005</t>
  </si>
  <si>
    <t>CONSTRUCCIÓN DE TECHADO EN LA COMUNIDAD DE EL TULE</t>
  </si>
  <si>
    <t>1 2 3 5 4 12 31111 6 M59 30100 000132 0000R 00002 00614 025 2210000 2024 CP2OP405 002 0000001 00008</t>
  </si>
  <si>
    <t>REHABILITACIÓN DE CANCHA EN LA COMUNIDAD DE EL PLATANILLO</t>
  </si>
  <si>
    <t>1 2 3 5 5</t>
  </si>
  <si>
    <t>CONSTRUCCIÓN DE VÍAS DE COMUNICACIÓN EN PROCESO</t>
  </si>
  <si>
    <t>1 2 3 5 5 12</t>
  </si>
  <si>
    <t>1 2 3 5 5 12 31111</t>
  </si>
  <si>
    <t>1 2 3 5 5 12 31111 6</t>
  </si>
  <si>
    <t>1 2 3 5 5 12 31111 6 M59</t>
  </si>
  <si>
    <t>1 2 3 5 5 12 31111 6 M59 30100</t>
  </si>
  <si>
    <t>1 2 3 5 5 12 31111 6 M59 30100 000132</t>
  </si>
  <si>
    <t>1 2 3 5 5 12 31111 6 M59 30100 000132 0000R</t>
  </si>
  <si>
    <t>1 2 3 5 5 12 31111 6 M59 30100 000132 0000R 00002</t>
  </si>
  <si>
    <t>1 2 3 5 5 12 31111 6 M59 30100 000132 0000R 00002 00615</t>
  </si>
  <si>
    <t>CONSTRUCCION DE VIAS DE COMUNICACION.</t>
  </si>
  <si>
    <t>1 2 3 5 5 12 31111 6 M59 30100 000132 0000R 00002 00615 025</t>
  </si>
  <si>
    <t>1 2 3 5 5 12 31111 6 M59 30100 000132 0000R 00002 00615 025 2210000</t>
  </si>
  <si>
    <t>1 2 3 5 5 12 31111 6 M59 30100 000132 0000R 00002 00615 025 2210000 2024</t>
  </si>
  <si>
    <t>1 2 3 5 5 12 31111 6 M59 30100 000132 0000R 00002 00615 025 2210000 2024 CP2OP405</t>
  </si>
  <si>
    <t>1 2 3 5 5 12 31111 6 M59 30100 000132 0000R 00002 00615 025 2210000 2024 CP2OP405 002</t>
  </si>
  <si>
    <t>1 2 3 5 5 12 31111 6 M59 30100 000132 0000R 00002 00615 025 2210000 2024 CP2OP405 002 0000001</t>
  </si>
  <si>
    <t>PAVIMENTACIONES</t>
  </si>
  <si>
    <t>1 2 3 5 5 12 31111 6 M59 30100 000132 0000R 00002 00615 025 2210000 2024 CP2OP405 002 0000001 00002</t>
  </si>
  <si>
    <t>PAVIMENTACIÓN DE CALLE URUGUAY COMUNIDAD DE SAN LUIS SAN PEDRO</t>
  </si>
  <si>
    <t>1 2 3 5 5 12 31111 6 M59 30100 000132 0000R 00002 00615 025 2210000 2024 CP2OP405 002 0000001 00003</t>
  </si>
  <si>
    <t>PAVIMENTACION DE ACCESO PRINCIPAL DE LA COMUNIDAD DE CORINTO</t>
  </si>
  <si>
    <t>1 2 3 5 5 12 31111 6 M59 30100 000132 0000R 00002 00615 025 2210000 2024 CP2OP405 002 0000001 00004</t>
  </si>
  <si>
    <t>PAVIMENTACIÓN DE CALLE PRINCIPAL COMUNIDAD DEL GUAYABILLO</t>
  </si>
  <si>
    <t>1 2 3 5 5 12 31111 6 M59 30100 000132 0000R 00002 00615 025 2210000 2024 CP2OP405 002 0000001 00005</t>
  </si>
  <si>
    <t>PAVIMENTACIÓN DE CALLE A UN COSTADO DE LA COCA COLA COL. JESUS MARIA</t>
  </si>
  <si>
    <t>1 2 3 5 5 12 31111 6 M59 30100 000132 0000R 00002 00615 025 2210000 2024 CP2OP405 002 0000001 00006</t>
  </si>
  <si>
    <t>PAVIMENTACIÓN DE CALLE ANDADOR SIN NOMBRE COL. EL PRI</t>
  </si>
  <si>
    <t>1 2 3 5 5 12 31111 6 M59 30100 000132 0000R 00002 00615 025 2210000 2024 CP2OP405 002 0000002</t>
  </si>
  <si>
    <t>PUENTES VEHÍCULARES</t>
  </si>
  <si>
    <t>1 2 3 5 5 12 31111 6 M59 30100 000132 0000R 00002 00615 025 2210000 2024 CP2OP405 002 0000002 00002</t>
  </si>
  <si>
    <t>CONSTRUCCION DE PARAPETOS EN PUENTE VEHICULAR COMUNIDAD CORINTO</t>
  </si>
  <si>
    <t>1 2 3 5 5 12 31111 6 M59 30100 000132 0000R 00002 00615 025 2210000 2024 CP2OP405 002 0000002 00003</t>
  </si>
  <si>
    <t>CONSTRUCCIÓN DE CONOS DE DERRAME EN PUENTE VEHICULAR COMUNIDAD DE CORINTO</t>
  </si>
  <si>
    <t>1 2 3 5 9</t>
  </si>
  <si>
    <t>TRABAJOS DE ACABADOS EN EDIFICACIONES Y OTROS TRABAJOS ESPECIALIZADOS EN PROCESO</t>
  </si>
  <si>
    <t>1 2 3 5 9 12</t>
  </si>
  <si>
    <t>1 2 3 5 9 12 31111</t>
  </si>
  <si>
    <t>1 2 3 5 9 12 31111 6</t>
  </si>
  <si>
    <t>1 2 3 5 9 12 31111 6 M59</t>
  </si>
  <si>
    <t>1 2 3 5 9 12 31111 6 M59 30100</t>
  </si>
  <si>
    <t>1 2 3 5 9 12 31111 6 M59 30100 000132</t>
  </si>
  <si>
    <t>1 2 3 5 9 12 31111 6 M59 30100 000132 0000R</t>
  </si>
  <si>
    <t>1 2 3 5 9 12 31111 6 M59 30100 000132 0000R 00002</t>
  </si>
  <si>
    <t>1 2 3 5 9 12 31111 6 M59 30100 000132 0000R 00002 00619</t>
  </si>
  <si>
    <t>TRABAJOS DE ACABADOS EN EDIFICACIONES Y OTROS TRABAJOS ESPECIALIZADOS.</t>
  </si>
  <si>
    <t>1 2 3 5 9 12 31111 6 M59 30100 000132 0000R 00002 00619 025</t>
  </si>
  <si>
    <t>1 2 3 5 9 12 31111 6 M59 30100 000132 0000R 00002 00619 025 2210000</t>
  </si>
  <si>
    <t>1 2 3 5 9 12 31111 6 M59 30100 000132 0000R 00002 00619 025 2210000 2024</t>
  </si>
  <si>
    <t>1 2 3 5 9 12 31111 6 M59 30100 000132 0000R 00002 00619 025 2210000 2024 CP2OP405</t>
  </si>
  <si>
    <t>1 2 3 5 9 12 31111 6 M59 30100 000132 0000R 00002 00619 025 2210000 2024 CP2OP405 002</t>
  </si>
  <si>
    <t>1 2 3 5 9 12 31111 6 M59 30100 000132 0000R 00002 00619 025 2210000 2024 CP2OP405 002 0000001</t>
  </si>
  <si>
    <t>REHABILITACIÓN DE CAMINOS RURALES</t>
  </si>
  <si>
    <t>1 2 3 5 9 12 31111 6 M59 30100 000132 0000R 00002 00619 025 2210000 2024 CP2OP405 002 0000001 00002</t>
  </si>
  <si>
    <t>REHABILITACIÓN DE CAMINO RURAL RODECIA- BARRANCAS- PAROTA- PALO DULCE</t>
  </si>
  <si>
    <t>1 2 3 5 9 12 31111 6 M59 30100 000132 0000R 00002 00619 025 2210000 2024 CP2OP405 002 0000001 00003</t>
  </si>
  <si>
    <t>REHABILITACIÓN DE CAMINO RURAL PUERTO CANO- LOS BANCOS</t>
  </si>
  <si>
    <t>1 2 3 5 9 12 31111 6 M59 30100 000132 0000R 00002 00619 025 2210000 2024 CP2OP405 002 0000001 00004</t>
  </si>
  <si>
    <t>REHABILITACIÓN DE CAMINO SACACOSECHAS EJIDO SANTA ROSA - LA FLORIDA</t>
  </si>
  <si>
    <t>1 2 3 5 9 12 31111 6 M59 30100 000132 0000R 00002 00619 025 2210000 2024 CP2OP405 002 0000001 00005</t>
  </si>
  <si>
    <t>REHABILITACIÓN DE CAMINO RURAL PALO SOLO - LAS HUMEDADES - LA PALMA</t>
  </si>
  <si>
    <t>1 2 3 5 9 12 31111 6 M59 30100 000132 0000R 00002 00619 025 2210000 2024 CP2OP405 002 0000001 00006</t>
  </si>
  <si>
    <t>REHABILITACIÓN DE CAMINO RURAL LA LLAVE - RIO CHIQUITO</t>
  </si>
  <si>
    <t>1 2 3 5 9 12 31111 6 M59 30100 000132 0000R 00002 00619 025 2210000 2024 CP2OP405 002 0000001 00007</t>
  </si>
  <si>
    <t>REHABILITACIÓN DE CAMINO RURAL POCHOTE - LA CIENEGA - LIMÓN DEL POCHOTE - LA CUESTA - EL PUERTO SEGURO</t>
  </si>
  <si>
    <t>1 2 3 5 9 12 31111 6 M59 30100 000132 0000R 00002 00619 025 2210000 2024 CP2OP405 002 0000001 00008</t>
  </si>
  <si>
    <t>REHABILITACIÓN DE CAMINO SACACOSECHAS LAS PALMAS - EL GUARUMBO-POTRERILLO - EL ZOYAMICHE</t>
  </si>
  <si>
    <t>1 2 3 5 9 12 31111 6 M59 30100 000132 0000R 00002 00619 025 2210000 2024 CP2OP405 002 0000001 00009</t>
  </si>
  <si>
    <t>REHABILITACIÓN DE CAMINO RURAL BAJITOS DE LA LAGUNA-BAJOS DEL BALZAMAR-LA SIERRITA-MOSAICO</t>
  </si>
  <si>
    <t>1 2 3 5 9 12 31111 6 M59 30100 000132 0000R 00002 00619 025 2210000 2024 CP2OP405 002 0000001 00010</t>
  </si>
  <si>
    <t>REHABILITACION DE CAMINO RURAL BAJITOS DE LA LAGUNA-ZARAGOZA-CORDON GRANDE</t>
  </si>
  <si>
    <t>1 2 3 5 9 12 31111 6 M59 30100 000132 0000R 00002 00619 025 2210000 2024 CP2OP405 002 0000001 00011</t>
  </si>
  <si>
    <t>REHABILITACIÓN DE CAMINO RURAL BAJOS DEL BALZAMAR- EL MECHUDO</t>
  </si>
  <si>
    <t>1 2 3 5 9 12 31111 6 M59 30100 000132 0000R 00002 00619 025 2210000 2024 CP2OP405 002 0000001 00012</t>
  </si>
  <si>
    <t>REHABILITACIÓN DE CAMINO SACACOSECHAS COMUNIDAD CERRITO- TETITLAN</t>
  </si>
  <si>
    <t>1 2 3 5 9 12 31111 6 M59 30100 000132 0000R 00002 00619 025 2210000 2024 CP2OP405 002 0000001 00013</t>
  </si>
  <si>
    <t>REHABILITACIÓN DE CAMINO SACACOSECHAS COMUNIDAD DE TETITLAN Y SUS RAMALES</t>
  </si>
  <si>
    <t>1 2 3 5 9 12 31111 6 M59 30100 000132 0000R 00002 00619 025 2210000 2024 CP2OP405 002 0000001 00014</t>
  </si>
  <si>
    <t>REHABILITACIÓN DE CAMINO SACACOSECHAS RODECIA - CARRIZAL DE CINTA LARGA</t>
  </si>
  <si>
    <t>1 2 3 5 9 12 31111 6 M59 30100 000132 0000R 00002 00619 025 2210000 2024 CP2OP405 002 0000001 00015</t>
  </si>
  <si>
    <t>REHABILITACIÓN DE CAMINO SACACOSECHAS COMUNIDAD DE EL SUCHIL (AMATE-RIO-VILLA ROTARIA)</t>
  </si>
  <si>
    <t>1 2 3 5 9 12 31111 6 M59 30100 000132 0000R 00002 00619 025 2210000 2024 CP2OP405 002 0000001 00016</t>
  </si>
  <si>
    <t>REHABILITACIÓN DE CAMINO SACACOSECHAS EJIDO DE PAPANOA Y SUS RAMALES</t>
  </si>
  <si>
    <t>1 2 3 5 9 12 31111 6 M59 30100 000132 0000R 00002 00619 025 2210000 2024 CP2OP405 002 0000001 00017</t>
  </si>
  <si>
    <t>REHABILITACIÓN DE CAMINO SACACOSECHAS ZACATONAL - PUERTO EDEN</t>
  </si>
  <si>
    <t>1 2 3 5 9 12 31111 6 M59 30100 000132 0000R 00002 00619 025 2210000 2024 CP2OP405 002 0000001 00018</t>
  </si>
  <si>
    <t>REHABILITACIÓN DE CAMINO RURAL LA PALAPA - EL PORVENIR</t>
  </si>
  <si>
    <t>1 2 3 5 9 12 31111 6 M59 30100 000132 0000R 00002 00619 025 2210000 2024 CP2OP405 002 0000001 00019</t>
  </si>
  <si>
    <t>REHABILITACIÓN DE CAMINO RURAL POTRERO DE CARLOS - TIERRA BLANCA</t>
  </si>
  <si>
    <t>1 2 3 5 9 12 31111 6 M59 30100 000132 0000R 00002 00619 025 2210000 2024 CP2OP405 002 0000001 00020</t>
  </si>
  <si>
    <t>REHABILITACIÓN DE CAMINO RURAL HACIENDA - FINCAS VIEJAS - EL PARÁ - CAJONES - CIMIENTOS</t>
  </si>
  <si>
    <t>1 2 3 5 9 12 31111 6 M59 30100 000132 0000R 00002 00619 025 2210000 2024 CP2OP405 002 0000001 00021</t>
  </si>
  <si>
    <t>REHABILITACIÓN DE CAMINO SACACOSECHAS EJIDO DE SAN LUIS SAN PEDRO Y SUS RAMALES (PUENTE DEL MARCELO-EL GUINEO-EL EMBARCADERO-EL NANCHE)</t>
  </si>
  <si>
    <t>1 2 3 5 9 12 31111 6 M59 30100 000132 0000R 00002 00619 025 2210000 2024 CP2OP405 002 0000001 00022</t>
  </si>
  <si>
    <t>REHABILITACIÓN DE CAMINO SACACOSECHAS CAMINO REAL SUCHIL - RAMAL DE TENEXPA</t>
  </si>
  <si>
    <t>1 2 3 5 9 12 31111 6 M59 30100 000132 0000R 00002 00619 025 2210000 2024 CP2OP405 002 0000001 00023</t>
  </si>
  <si>
    <t>REHABILITACIÓN DE CAMINO SACACOSECHAS ARROYO FRIO-PLATANILLO-COMEDOR AL FILO</t>
  </si>
  <si>
    <t>1 2 3 5 9 12 31111 6 M59 30100 000132 0000R 00002 00619 025 2210000 2024 CP2OP405 002 0000001 00024</t>
  </si>
  <si>
    <t>REHABILITACIÓN DE CAMINO SACACOSECHAS RODECIA - PANTEON DE TENEXPA</t>
  </si>
  <si>
    <t>1 2 3 5 9 12 31111 6 M59 30100 000132 0000R 00002 00619 025 2210000 2024 CP2OP405 002 0000001 00025</t>
  </si>
  <si>
    <t>REHABILITACIÓN DE CAMINOS SACACOSECHAS LLANOS DE NAVARRETE-EL GUAYABILLO</t>
  </si>
  <si>
    <t>1 2 3 5 9 12 31111 6 M59 30100 000132 0000R 00002 00619 025 2210000 2024 CP2OP405 002 0000001 00026</t>
  </si>
  <si>
    <t>REHABILITACIÓN DE CAMINO RURAL EL MORENO-LOS LETRADOS</t>
  </si>
  <si>
    <t>1 2 3 5 9 12 31111 6 M59 30100 000132 0000R 00002 00619 025 2210000 2024 CP2OP405 002 0000001 00027</t>
  </si>
  <si>
    <t>REHABILITACIÓN DE CAMINO SACACOSECHAS RODECIA- CARRIZAL -VAINILLA</t>
  </si>
  <si>
    <t>1 2 3 5 9 12 31111 6 M59 30100 000132 0000R 00002 00619 025 2210000 2024 CP2OP405 002 0000001 00028</t>
  </si>
  <si>
    <t>REHABILITACION DE CAMINOS SACACOSECHAS SAN LUIS SAN PEDRO- LA IGLESIA- CAMINO VIEJO AL GUAYABILLO</t>
  </si>
  <si>
    <t>1 2 3 5 9 12 31111 6 M59 30100 000132 0000R 00002 00619 025 2210000 2024 CP2OP405 002 0000001 00029</t>
  </si>
  <si>
    <t>REHABILITACIÓN DE CAMINO SACACOSECHAS PUENTE RIO TECPAN - LA CUESTA</t>
  </si>
  <si>
    <t>1 2 3 5 9 12 31111 6 M59 30100 000132 0000R 00002 00619 025 2210000 2024 CP2OP405 002 0000001 00030</t>
  </si>
  <si>
    <t>REHABILITACIÓN DE CAMINO SACACOSECHAS EL JOBERO - ACHOTLA</t>
  </si>
  <si>
    <t>1 2 3 5 9 12 31111 6 M59 30100 000132 0000R 00002 00619 025 2210000 2024 CP2OP405 002 0000001 00031</t>
  </si>
  <si>
    <t>REHABILITACIÓN DE CAMINO RURAL EL VALLE - VUELTA DEL BARCO - OJO DE AGUA</t>
  </si>
  <si>
    <t>1 2 3 5 9 12 31111 6 M59 30100 000132 0000R 00002 00619 025 2210000 2024 CP2OP405 002 0000001 00032</t>
  </si>
  <si>
    <t>REHABILITACIÓN DE CAMINOS SACACOSECHAS CHILCAHUITE-LOS TARROS-HUAMILITO-ENTRONQUE CARRETERA FEDERAL</t>
  </si>
  <si>
    <t>1 2 3 5 9 12 31111 6 M59 30100 000132 0000R 00002 00619 025 2210000 2024 CP2OP405 002 0000001 00033</t>
  </si>
  <si>
    <t>REHABILITACIÓN DE CAMINO RURAL SANTA LUCIA-EL TULE</t>
  </si>
  <si>
    <t>1 2 3 5 9 12 31111 6 M59 30100 000132 0000R 00002 00619 025 2210000 2024 CP2OP405 002 0000001 00034</t>
  </si>
  <si>
    <t>REHABILITACIÓN DE CAMINO RURAL LOS PITALES-COELLADO-LOS PITOS</t>
  </si>
  <si>
    <t>1 2 3 5 9 12 31111 6 M59 30100 000132 0000R 00002 00619 025 2210000 2024 CP2OP405 002 0000001 00035</t>
  </si>
  <si>
    <t>REHABILITACIÓN DE CAMINO RURAL SANTA MARIA - LA CAÑA - EL TORONJO</t>
  </si>
  <si>
    <t>1 2 3 5 9 12 31111 6 M59 30100 000132 0000R 00002 00619 025 2210000 2024 CP2OP405 002 0000001 00036</t>
  </si>
  <si>
    <t>REHABILITACIÓN DE CAMINO SACA COSECHAS RANCHO ALEGRE DEL LLANO Y SUS LOCALIDADES (EL CARBONERO, LA PLAYA)</t>
  </si>
  <si>
    <t>1 2 3 5 9 12 31111 6 M59 30100 000132 0000R 00002 00619 025 2210000 2024 CP2OP405 002 0000001 00037</t>
  </si>
  <si>
    <t>REHABILITACIÓN DE CAMINO SACA COSECHAS EJIDO DE SAN LUIS DE LA LOMA Y SUS RAMALES (EL MANGLAR - CAMINO A LA PLAYA - EL BANCO -  LA LAGUNA)</t>
  </si>
  <si>
    <t>1 2 3 5 9 12 31111 6 M59 30100 000132 0000R 00002 00619 025 2210000 2024 CP2OP405 002 0000001 00038</t>
  </si>
  <si>
    <t>REHABILITACIÓN DE CAMINO SACA COSECHAS LA PALMA - LAS HUMEDADES</t>
  </si>
  <si>
    <t>1 2 3 5 9 12 31111 6 M59 30100 000132 0000R 00002 00619 025 2210000 2024 CP2OP405 002 0000001 00039</t>
  </si>
  <si>
    <t>REHABILITACIÓN DE CAMINO RURAL ARROYO FRIO -  CORDON GRANDE -  EL FILO</t>
  </si>
  <si>
    <t>1 2 3 5 9 12 31111 6 M59 30100 000132 0000R 00002 00619 025 2210000 2024 CP2OP405 002 0000001 00040</t>
  </si>
  <si>
    <t>REHABILITACIÓN DE CAMINO RURAL TIERRAS BLANCAS - ZINTAPALA</t>
  </si>
  <si>
    <t>1 2 3 5 9 12 31111 6 M59 30100 000132 0000R 00002 00619 025 2210000 2024 CP2OP405 002 0000001 00041</t>
  </si>
  <si>
    <t>REHABILITACIÓN DE CAMINO RURAL SANTA MARIA - ACHOTLA - TECPAN</t>
  </si>
  <si>
    <t>1 2 3 5 9 12 31111 6 M59 30100 000132 0000R 00002 00619 025 2210000 2024 CP2OP405 002 0000001 00042</t>
  </si>
  <si>
    <t>PAVIMENTACIÓN DE CALLE PRINCIPAL 2DA ETAPA EN LA COMUNIDAD DEL TULE</t>
  </si>
  <si>
    <t>1 2 3 5 9 12 31111 6 M59 30100 000132 0000R 00002 00619 025 2210000 2024 CP2OP405 002 0000001 00043</t>
  </si>
  <si>
    <t>REHABILITACIÓN DE CAMINO SACA COSECHAS SANTA LUCIA - EL CHURU</t>
  </si>
  <si>
    <t>1 2 3 5 9 12 31111 6 M59 30100 000132 0000R 00002 00619 025 2210000 2024 CP2OP405 002 0000001 00044</t>
  </si>
  <si>
    <t>REHABILITACION DE CAMINOS SACACOSECHAS EJIDO SANTA ROSA - LA FLORIDA EN LA LOCALIDAD DE SANTA ROSA</t>
  </si>
  <si>
    <t>1 2 3 5 9 12 31111 6 M59 30100 000132 0000R 00002 00619 025 2210000 2024 CP2OP405 002 0000001 00045</t>
  </si>
  <si>
    <t>REHABILITACION DE CAMINO RURAL LA PALAPA  - EL PORVENIR , EL LA LOCALIDAD DEL PORVENIR MUNICIPIO DE TECPAN DE GALEANA, GRO.</t>
  </si>
  <si>
    <t>1 2 3 5 9 12 31111 6 M59 30100 000132 0000R 00002 00619 025 2210000 2024 CP2OP405 002 0000001 00046</t>
  </si>
  <si>
    <t>REHABILITACION DE CAMINO SACACOSECHA SAN LUIS DE LA LOMA - LA LAGUNA EN LA LOCALIDAD DE SAN LUIS DE LA LOMA, MUNICIPIO DE TECPAN DE GALEANA, GRO.</t>
  </si>
  <si>
    <t>1 2 3 5 9 12 31111 6 M59 30100 000132 0000R 00002 00619 025 2210000 2024 CP2OP405 002 0000001 00047</t>
  </si>
  <si>
    <t>REHABILITACION DE CAMINO SACACOSECHAS EL GUAYABILLO  - LLANOS DE NAVARRETE, EN LA LOCALIDAD DEL GUAYABILLO</t>
  </si>
  <si>
    <t>1 2 3 5 9 12 31111 6 M59 30100 000132 0000R 00002 00619 025 2210000 2024 CP2OP405 002 0000001 00048</t>
  </si>
  <si>
    <t>REHABILITACION DE CAMINO SACOCOSECHAS EL TRAPICHE - PIEDRA BLANCA EN LA LOCALIDAD DEL TRAPICHE, MUNICIPIO DE TECPAN DE GALEANA, GRO.</t>
  </si>
  <si>
    <t>1 2 3 5 9 12 31111 6 M59 30100 000132 0000R 00002 00619 025 2210000 2024 CP2OP405 002 0000001 00049</t>
  </si>
  <si>
    <t>REHABILITACION DE CAMINO RURAL LAS BARRANCAS - ARROLLO DE CAL EN LA LOCALIDAD DE LAS BARRANCAS</t>
  </si>
  <si>
    <t>1 2 3 5 9 12 31111 6 M59 30100 000132 0000R 00002 00619 025 2210000 2024 CP2OP405 002 0000001 00050</t>
  </si>
  <si>
    <t>REHABILITACION DE CAMINO SACACOSECHAS ARROYO FRIO - EL COYOLITO, EN LA COMUNIDAD DE ARROLLO FRIO</t>
  </si>
  <si>
    <t>1 2 3 5 9 12 31111 6 M59 30100 000132 0000R 00002 00619 025 2210000 2024 CP2OP405 002 0000001 00051</t>
  </si>
  <si>
    <t>REHABILITACION DE CAMINO RURAL SANTA MARIA - POTRERO DE CARLOS - LA HACIENDA EN LA LOCALIDAD DE SANTA MARIA, MUNICIPIO DE TECPAN DE GALEANA, GRO</t>
  </si>
  <si>
    <t>1 2 3 5 9 12 31111 6 M59 30100 000132 0000R 00002 00619 025 2210000 2024 CP2OP405 002 0000001 00052</t>
  </si>
  <si>
    <t>REHABILITACION DE CAMINO RURAL BAJOS DEL BALZAMAR - BAJITOS DE LA LAGUNA - LA SIERRITA, EN LA LOCALIDAD DE BAJOS DEL BALZAMAR</t>
  </si>
  <si>
    <t>1 2 3 5 9 12 31111 6 M59 30100 000132 0000R 00002 00619 025 2210000 2024 CP2OP405 002 0000001 00053</t>
  </si>
  <si>
    <t>REHABILITACION DE CAMINO RURAL EL PARA - FINCAS VIEJAS - LA HACIENDA, EN LA LOCALIDAD DE EL PARA</t>
  </si>
  <si>
    <t>1 2 3 5 9 12 31111 6 M59 30100 000132 0000R 00002 00619 025 2210000 2024 CP2OP405 002 0000001 00054</t>
  </si>
  <si>
    <t>REHABILITACION DE CAMINO RURAL EL VALLE - LOS PINOS, EN LA LOCALIDAD DEL VALLE</t>
  </si>
  <si>
    <t>1 2 3 6</t>
  </si>
  <si>
    <t>CONSTRUCCIONES EN PROCESO EN BIENES PROPIOS</t>
  </si>
  <si>
    <t>1 2 3 6 9</t>
  </si>
  <si>
    <t>1 2 3 6 9 12</t>
  </si>
  <si>
    <t>1 2 3 6 9 12 31111</t>
  </si>
  <si>
    <t>1 2 3 6 9 12 31111 6</t>
  </si>
  <si>
    <t>1 2 3 6 9 12 31111 6 M59</t>
  </si>
  <si>
    <t>1 2 3 6 9 12 31111 6 M59 30100</t>
  </si>
  <si>
    <t>1 2 3 6 9 12 31111 6 M59 30100 000132</t>
  </si>
  <si>
    <t>1 2 3 6 9 12 31111 6 M59 30100 000132 0000R</t>
  </si>
  <si>
    <t>1 2 3 6 9 12 31111 6 M59 30100 000132 0000R 00002</t>
  </si>
  <si>
    <t>1 2 3 6 9 12 31111 6 M59 30100 000132 0000R 00002 00629</t>
  </si>
  <si>
    <t>1 2 3 6 9 12 31111 6 M59 30100 000132 0000R 00002 00629 025</t>
  </si>
  <si>
    <t>1 2 3 6 9 12 31111 6 M59 30100 000132 0000R 00002 00629 025 2210000</t>
  </si>
  <si>
    <t>1 2 3 6 9 12 31111 6 M59 30100 000132 0000R 00002 00629 025 2210000 2024</t>
  </si>
  <si>
    <t>1 2 3 6 9 12 31111 6 M59 30100 000132 0000R 00002 00629 025 2210000 2024 CP2OP405</t>
  </si>
  <si>
    <t>1 2 3 6 9 12 31111 6 M59 30100 000132 0000R 00002 00629 025 2210000 2024 CP2OP405 002</t>
  </si>
  <si>
    <t>1 2 3 6 9 12 31111 6 M59 30100 000132 0000R 00002 00629 025 2210000 2024 CP2OP405 002 0000001</t>
  </si>
  <si>
    <t>1 2 3 6 9 12 31111 6 M59 30100 000132 0000R 00002 00629 025 2210000 2024 CP2OP405 002 0000001 00001</t>
  </si>
  <si>
    <t>ADQUISICON DE MATERIAL MENOR DE OFICINA PARA VERIFICACION Y SEGUIMIENTO DE OBRAS PUBLICAS</t>
  </si>
  <si>
    <t>1 2 4</t>
  </si>
  <si>
    <t>BIENES MUEBLES</t>
  </si>
  <si>
    <t>1 2 4 1</t>
  </si>
  <si>
    <t>MOBILIARIO Y EQUIPO DE ADMINISTRACIÓN</t>
  </si>
  <si>
    <t>1 2 4 1 1</t>
  </si>
  <si>
    <t>MUEBLES DE OFICINA Y ESTANTERÍA</t>
  </si>
  <si>
    <t>1 2 4 1 1 12</t>
  </si>
  <si>
    <t>1 2 4 1 1 12 31111</t>
  </si>
  <si>
    <t>1 2 4 1 1 12 31111 6</t>
  </si>
  <si>
    <t>1 2 4 1 1 12 31111 6 M59</t>
  </si>
  <si>
    <t>1 2 4 1 1 12 31111 6 M59 00001</t>
  </si>
  <si>
    <t>1 2 4 1 1 12 31111 6 M59 00001 000001</t>
  </si>
  <si>
    <t>1 2 4 1 1 12 31111 6 M59 00001 029189</t>
  </si>
  <si>
    <t>(CPS190227EW1) COMERCIALIZADORA DE PRODUCTOS Y SERVICIOS LA PERSISTENTE SA DE CV</t>
  </si>
  <si>
    <t>1 2 4 1 1 12 31111 6 M59 00002</t>
  </si>
  <si>
    <t>FONDO DE APORTACIONES PARA INFRAESTRUCTURA SOCIAL MUNICIPAL</t>
  </si>
  <si>
    <t>1 2 4 1 1 12 31111 6 M59 00002 000001</t>
  </si>
  <si>
    <t>1 2 4 1 1 12 31111 6 M59 00002 000001 00001</t>
  </si>
  <si>
    <t>1 2 4 1 1 12 31111 6 M59 00003</t>
  </si>
  <si>
    <t>1 2 4 1 1 12 31111 6 M59 00003 000001</t>
  </si>
  <si>
    <t>1 2 4 1 1 12 31111 6 M59 00003 000001 00001</t>
  </si>
  <si>
    <t>1 2 4 1 1 12 31111 6 M59 00004</t>
  </si>
  <si>
    <t>1 2 4 1 1 12 31111 6 M59 00004 000001</t>
  </si>
  <si>
    <t>1 2 4 1 1 12 31111 6 M59 00004 000001 00001</t>
  </si>
  <si>
    <t>1 2 4 1 2</t>
  </si>
  <si>
    <t>MUEBLES, EXCEPTO DE OFICINA Y ESTANTERÍA</t>
  </si>
  <si>
    <t>1 2 4 1 2 12</t>
  </si>
  <si>
    <t>1 2 4 1 2 12 31111</t>
  </si>
  <si>
    <t>1 2 4 1 2 12 31111 6</t>
  </si>
  <si>
    <t>1 2 4 1 2 12 31111 6 M59</t>
  </si>
  <si>
    <t>1 2 4 1 2 12 31111 6 M59 00001</t>
  </si>
  <si>
    <t>1 2 4 1 2 12 31111 6 M59 00001 000001</t>
  </si>
  <si>
    <t>1 2 4 1 2 12 31111 6 M59 00001 019207</t>
  </si>
  <si>
    <t>(ROCI910319DZ8) Jose Isabel Rojas Castillo</t>
  </si>
  <si>
    <t>1 2 4 1 2 12 31111 6 M59 00003</t>
  </si>
  <si>
    <t>1 2 4 1 2 12 31111 6 M59 00003 000001</t>
  </si>
  <si>
    <t>1 2 4 1 2 12 31111 6 M59 00003 000001 00001</t>
  </si>
  <si>
    <t>1 2 4 1 2 12 31111 6 M59 00003 000001 00002</t>
  </si>
  <si>
    <t>1 2 4 1 2 12 31111 6 M59 00004</t>
  </si>
  <si>
    <t>1 2 4 1 2 12 31111 6 M59 00004 000001</t>
  </si>
  <si>
    <t>1 2 4 1 2 12 31111 6 M59 00004 000001 00001</t>
  </si>
  <si>
    <t>(PEVM700129898) MAYRA HILDA PEREZ VAZQUEZ</t>
  </si>
  <si>
    <t>1 2 4 1 3</t>
  </si>
  <si>
    <t>EQUIPO DE CÓMPUTO Y DE TECNOLOGÍAS DE LA INFORMACIÓN</t>
  </si>
  <si>
    <t>1 2 4 1 3 12</t>
  </si>
  <si>
    <t>1 2 4 1 3 12 31111</t>
  </si>
  <si>
    <t>1 2 4 1 3 12 31111 6</t>
  </si>
  <si>
    <t>1 2 4 1 3 12 31111 6 M59</t>
  </si>
  <si>
    <t>1 2 4 1 3 12 31111 6 M59 00001</t>
  </si>
  <si>
    <t>1 2 4 1 3 12 31111 6 M59 00001 000001</t>
  </si>
  <si>
    <t>1 2 4 1 3 12 31111 6 M59 00001 019764</t>
  </si>
  <si>
    <t>(GAAF860115LA3) Francisco Ariel Garcia Armenta</t>
  </si>
  <si>
    <t>1 2 4 1 3 12 31111 6 M59 00001 019825</t>
  </si>
  <si>
    <t>1 2 4 1 3 12 31111 6 M59 00001 026914</t>
  </si>
  <si>
    <t>(RIBM851029KJ4) Mayra Indira Rios Barrientos</t>
  </si>
  <si>
    <t>1 2 4 1 3 12 31111 6 M59 00001 029189</t>
  </si>
  <si>
    <t>1 2 4 1 3 12 31111 6 M59 00001 030228</t>
  </si>
  <si>
    <t>(BULC8609109Q7) Claudia Ibeth Buitimea Lucero</t>
  </si>
  <si>
    <t>1 2 4 1 3 12 31111 6 M59 00002</t>
  </si>
  <si>
    <t>1 2 4 1 3 12 31111 6 M59 00002 000001</t>
  </si>
  <si>
    <t>1 2 4 1 3 12 31111 6 M59 00002 000001 00001</t>
  </si>
  <si>
    <t>1 2 4 1 3 12 31111 6 M59 00003</t>
  </si>
  <si>
    <t>1 2 4 1 3 12 31111 6 M59 00003 000001</t>
  </si>
  <si>
    <t>1 2 4 1 3 12 31111 6 M59 00003 000001 00001</t>
  </si>
  <si>
    <t>(GAAF860115LA3) FRANCISCO ARIEL GARCIA ARMENTA</t>
  </si>
  <si>
    <t>1 2 4 1 3 12 31111 6 M59 00003 000001 00002</t>
  </si>
  <si>
    <t>(RIBM851029KJ4) MAYRA INDIRA RIOS BARRIENTOS</t>
  </si>
  <si>
    <t>1 2 4 1 3 12 31111 6 M59 00003 000001 00003</t>
  </si>
  <si>
    <t>1 2 4 1 3 12 31111 6 M59 00004</t>
  </si>
  <si>
    <t>1 2 4 1 3 12 31111 6 M59 00004 000001</t>
  </si>
  <si>
    <t>1 2 4 1 3 12 31111 6 M59 00004 000001 00001</t>
  </si>
  <si>
    <t>1 2 4 1 3 12 31111 6 M59 00004 000001 00002</t>
  </si>
  <si>
    <t>1 2 4 1 3 12 31111 6 M59 20000</t>
  </si>
  <si>
    <t>SECRETARÍA DE ADMINISTRACIÓN Y FINANZAS</t>
  </si>
  <si>
    <t>1 2 4 1 3 12 31111 6 M59 20000 000132</t>
  </si>
  <si>
    <t>1 2 4 1 3 12 31111 6 M59 20000 000132 0000R</t>
  </si>
  <si>
    <t>1 2 4 1 3 12 31111 6 M59 20000 000132 0000R 00002</t>
  </si>
  <si>
    <t>1 2 4 1 3 12 31111 6 M59 20000 000132 0000R 00002 00515</t>
  </si>
  <si>
    <t>EQUIPO DE COMPUTO Y DE TECNOLOGIAS DE LA INFORMACION.</t>
  </si>
  <si>
    <t>1 2 4 1 3 12 31111 6 M59 20000 000132 0000R 00002 00515 015</t>
  </si>
  <si>
    <t>15 - RECURSOS FEDERALES</t>
  </si>
  <si>
    <t>1 2 4 1 3 12 31111 6 M59 20000 000132 0000R 00002 00515 015 2222200</t>
  </si>
  <si>
    <t>EQUIPO DE TECNOLOGÍA DE LA INFORMACIÓN Y COMUNICACIONES</t>
  </si>
  <si>
    <t>1 2 4 1 3 12 31111 6 M59 20000 000132 0000R 00002 00515 015 2222200 2024</t>
  </si>
  <si>
    <t>1 2 4 1 3 12 31111 6 M59 20000 000132 0000R 00002 00515 015 2222200 2024 CP1AF389</t>
  </si>
  <si>
    <t>CONTROL Y ADMINISTRACIÓN DE LOS RECURSOS HUMANOS</t>
  </si>
  <si>
    <t>1 2 4 1 3 12 31111 6 M59 20000 000132 0000R 00002 00515 015 2222200 2024 CP1AF389 001</t>
  </si>
  <si>
    <t>1 2 4 1 3 12 31111 6 M59 20000 000132 0000R 00002 00515 015 2222200 2024 CP1AF389 001 0000001</t>
  </si>
  <si>
    <t>EQUIPO DE COMPUTO Y DE TECNOLOGIAS DE LA INFORMACION VARIOS</t>
  </si>
  <si>
    <t>1 2 4 1 3 12 31111 6 M59 20300</t>
  </si>
  <si>
    <t>DIRECCIÓN DE EGRESOS</t>
  </si>
  <si>
    <t>1 2 4 1 3 12 31111 6 M59 20300 000139</t>
  </si>
  <si>
    <t>OTROS</t>
  </si>
  <si>
    <t>1 2 4 1 3 12 31111 6 M59 20300 000139 0000E</t>
  </si>
  <si>
    <t>PRESTACION DE SERVICIOS PUBLICOS</t>
  </si>
  <si>
    <t>1 2 4 1 3 12 31111 6 M59 20300 000139 0000E 00002</t>
  </si>
  <si>
    <t>1 2 4 1 3 12 31111 6 M59 20300 000139 0000E 00002 00515</t>
  </si>
  <si>
    <t>1 2 4 1 3 12 31111 6 M59 20300 000139 0000E 00002 00515 015</t>
  </si>
  <si>
    <t>1 2 4 1 3 12 31111 6 M59 20300 000139 0000E 00002 00515 015 2222200</t>
  </si>
  <si>
    <t xml:space="preserve">EQUIPO DE TECNOLOGÍA DE LA INFORMACIÓN Y COMUNICACIONES </t>
  </si>
  <si>
    <t>1 2 4 1 3 12 31111 6 M59 20300 000139 0000E 00002 00515 015 2222200 2024</t>
  </si>
  <si>
    <t>1 2 4 1 3 12 31111 6 M59 20300 000139 0000E 00002 00515 015 2222200 2024 CP2DE533</t>
  </si>
  <si>
    <t>SERVICIOS BÁSICOS DE ENERGÍA ELÉCTRICA Y TELEFÓNICA</t>
  </si>
  <si>
    <t>1 2 4 1 3 12 31111 6 M59 20300 000139 0000E 00002 00515 015 2222200 2024 CP2DE533 005</t>
  </si>
  <si>
    <t>FAEISM</t>
  </si>
  <si>
    <t>1 2 4 1 3 12 31111 6 M59 20300 000139 0000E 00002 00515 015 2222200 2024 CP2DE533 005 0000002</t>
  </si>
  <si>
    <t>MULTIFUNCIONAL XEROX COLOR VERSALINK C625 DUPLEX</t>
  </si>
  <si>
    <t>1 2 4 1 3 12 31111 6 M59 20500</t>
  </si>
  <si>
    <t>DIRECCIÓN DE CONTROL PATRIMONIAL</t>
  </si>
  <si>
    <t>1 2 4 1 3 12 31111 6 M59 20500 000132</t>
  </si>
  <si>
    <t>1 2 4 1 3 12 31111 6 M59 20500 000132 0000R</t>
  </si>
  <si>
    <t>1 2 4 1 3 12 31111 6 M59 20500 000132 0000R 00002</t>
  </si>
  <si>
    <t>1 2 4 1 3 12 31111 6 M59 20500 000132 0000R 00002 00515</t>
  </si>
  <si>
    <t>1 2 4 1 3 12 31111 6 M59 20500 000132 0000R 00002 00515 015</t>
  </si>
  <si>
    <t>1 2 4 1 3 12 31111 6 M59 20500 000132 0000R 00002 00515 015 2222200</t>
  </si>
  <si>
    <t>1 2 4 1 3 12 31111 6 M59 20500 000132 0000R 00002 00515 015 2222200 2024</t>
  </si>
  <si>
    <t>1 2 4 1 3 12 31111 6 M59 20500 000132 0000R 00002 00515 015 2222200 2024 CP1CP420</t>
  </si>
  <si>
    <t>1 2 4 1 3 12 31111 6 M59 20500 000132 0000R 00002 00515 015 2222200 2024 CP1CP420 001</t>
  </si>
  <si>
    <t>1 2 4 1 3 12 31111 6 M59 20500 000132 0000R 00002 00515 015 2222200 2024 CP1CP420 001 0000001</t>
  </si>
  <si>
    <t>EQUIPO DE CÓMPUTO Y TECNOLOGÍAS DE LA INFORMACIÓN</t>
  </si>
  <si>
    <t>1 2 4 1 3 12 31111 6 M59 40000</t>
  </si>
  <si>
    <t>SECRETARÍA DE SEGURIDAD PÚBLICA</t>
  </si>
  <si>
    <t>1 2 4 1 3 12 31111 6 M59 40000 000161</t>
  </si>
  <si>
    <t>DEFENSA</t>
  </si>
  <si>
    <t>1 2 4 1 3 12 31111 6 M59 40000 000161 0000E</t>
  </si>
  <si>
    <t>1 2 4 1 3 12 31111 6 M59 40000 000161 0000E 00002</t>
  </si>
  <si>
    <t>1 2 4 1 3 12 31111 6 M59 40000 000161 0000E 00002 00515</t>
  </si>
  <si>
    <t>1 2 4 1 3 12 31111 6 M59 40000 000161 0000E 00002 00515 025</t>
  </si>
  <si>
    <t>1 2 4 1 3 12 31111 6 M59 40000 000161 0000E 00002 00515 025 2222200</t>
  </si>
  <si>
    <t>1 2 4 1 3 12 31111 6 M59 40000 000161 0000E 00002 00515 025 2222200 2024</t>
  </si>
  <si>
    <t>1 2 4 1 3 12 31111 6 M59 40000 000161 0000E 00002 00515 025 2222200 2024 CP4SP372</t>
  </si>
  <si>
    <t>1 2 4 1 3 12 31111 6 M59 40000 000161 0000E 00002 00515 025 2222200 2024 CP4SP372 003</t>
  </si>
  <si>
    <t>1 2 4 1 3 12 31111 6 M59 40000 000161 0000E 00002 00515 025 2222200 2024 CP4SP372 003 0000001</t>
  </si>
  <si>
    <t>1 2 4 1 3 12 31111 6 M59 40200</t>
  </si>
  <si>
    <t>DIRECIÓN DE PROTECCIÓN CIVIL</t>
  </si>
  <si>
    <t>1 2 4 1 3 12 31111 6 M59 40200 000172</t>
  </si>
  <si>
    <t>PROTECCIÓN CIVIL</t>
  </si>
  <si>
    <t>1 2 4 1 3 12 31111 6 M59 40200 000172 0000R</t>
  </si>
  <si>
    <t>1 2 4 1 3 12 31111 6 M59 40200 000172 0000R 00002</t>
  </si>
  <si>
    <t>1 2 4 1 3 12 31111 6 M59 40200 000172 0000R 00002 00515</t>
  </si>
  <si>
    <t>1 2 4 1 3 12 31111 6 M59 40200 000172 0000R 00002 00515 025</t>
  </si>
  <si>
    <t>1 2 4 1 3 12 31111 6 M59 40200 000172 0000R 00002 00515 025 2222200</t>
  </si>
  <si>
    <t>1 2 4 1 3 12 31111 6 M59 40200 000172 0000R 00002 00515 025 2222200 2024</t>
  </si>
  <si>
    <t>1 2 4 1 3 12 31111 6 M59 40200 000172 0000R 00002 00515 025 2222200 2024 CP4PC370</t>
  </si>
  <si>
    <t>1 2 4 1 3 12 31111 6 M59 40200 000172 0000R 00002 00515 025 2222200 2024 CP4PC370 003</t>
  </si>
  <si>
    <t>1 2 4 1 3 12 31111 6 M59 40200 000172 0000R 00002 00515 025 2222200 2024 CP4PC370 003 0000001</t>
  </si>
  <si>
    <t>1 2 4 1 9</t>
  </si>
  <si>
    <t>OTROS MOBILIARIOS Y EQUIPOS DE ADMINISTRACIÓN</t>
  </si>
  <si>
    <t>1 2 4 1 9 12</t>
  </si>
  <si>
    <t>1 2 4 1 9 12 31111</t>
  </si>
  <si>
    <t>1 2 4 1 9 12 31111 6</t>
  </si>
  <si>
    <t>1 2 4 1 9 12 31111 6 M59</t>
  </si>
  <si>
    <t>1 2 4 1 9 12 31111 6 M59 00001</t>
  </si>
  <si>
    <t>1 2 4 1 9 12 31111 6 M59 00001 000001</t>
  </si>
  <si>
    <t>1 2 4 1 9 12 31111 6 M59 00001 020769</t>
  </si>
  <si>
    <t>(HDM001017AS1) Home Depot Mexico, S de R.L. de C.V:</t>
  </si>
  <si>
    <t>1 2 4 1 9 12 31111 6 M59 00001 023939</t>
  </si>
  <si>
    <t>(LEGA520616QJ6) Jose Antonio Leon Gallardo</t>
  </si>
  <si>
    <t>1 2 4 1 9 12 31111 6 M59 00001 024313</t>
  </si>
  <si>
    <t>(EAC081007ME6) ELECTROCOMPONENTES ACAPULCO SA DE CV</t>
  </si>
  <si>
    <t>1 2 4 1 9 12 31111 6 M59 00003</t>
  </si>
  <si>
    <t>1 2 4 1 9 12 31111 6 M59 00003 000001</t>
  </si>
  <si>
    <t>1 2 4 1 9 12 31111 6 M59 00003 000001 00001</t>
  </si>
  <si>
    <t>1 2 4 1 9 12 31111 6 M59 00004</t>
  </si>
  <si>
    <t>1 2 4 1 9 12 31111 6 M59 00004 000001</t>
  </si>
  <si>
    <t>1 2 4 1 9 12 31111 6 M59 00004 000001 00001</t>
  </si>
  <si>
    <t>1 2 4 1 9 12 31111 6 M59 00004 000001 00002</t>
  </si>
  <si>
    <t>(AAFV480121HK0) VIOLETA ADAME FERNANDEZ</t>
  </si>
  <si>
    <t>1 2 4 1 9 12 31111 6 M59 00004 000001 00003</t>
  </si>
  <si>
    <t>1 2 4 2</t>
  </si>
  <si>
    <t>MOBILIARIO Y EQUIPO EDUCACIONAL Y RECREATIVO</t>
  </si>
  <si>
    <t>1 2 4 2 1</t>
  </si>
  <si>
    <t>EQUIPOS Y APARATOS AUDIOVISUALES</t>
  </si>
  <si>
    <t>1 2 4 2 1 12</t>
  </si>
  <si>
    <t>1 2 4 2 1 12 31111</t>
  </si>
  <si>
    <t>1 2 4 2 1 12 31111 6</t>
  </si>
  <si>
    <t>1 2 4 2 1 12 31111 6 M59</t>
  </si>
  <si>
    <t>1 2 4 2 1 12 31111 6 M59 00001</t>
  </si>
  <si>
    <t>1 2 4 2 1 12 31111 6 M59 00001 000001</t>
  </si>
  <si>
    <t>1 2 4 2 1 12 31111 6 M59 00001 024280</t>
  </si>
  <si>
    <t>(ECE9610253TA) Nueva Elektra Del Milenio, S.A. de C.V.</t>
  </si>
  <si>
    <t>1 2 4 2 1 12 31111 6 M59 00002</t>
  </si>
  <si>
    <t>1 2 4 2 1 12 31111 6 M59 00002 000001</t>
  </si>
  <si>
    <t>1 2 4 2 1 12 31111 6 M59 00002 000001 00001</t>
  </si>
  <si>
    <t>1 2 4 2 1 12 31111 6 M59 00003</t>
  </si>
  <si>
    <t>1 2 4 2 1 12 31111 6 M59 00003 000001</t>
  </si>
  <si>
    <t>1 2 4 2 1 12 31111 6 M59 00003 000001 00001</t>
  </si>
  <si>
    <t>1 2 4 2 3</t>
  </si>
  <si>
    <t>CÁMARAS FOTOGRÁFICAS Y DE VIDEO</t>
  </si>
  <si>
    <t>1 2 4 2 3 12</t>
  </si>
  <si>
    <t>1 2 4 2 3 12 31111</t>
  </si>
  <si>
    <t>1 2 4 2 3 12 31111 6</t>
  </si>
  <si>
    <t>1 2 4 2 3 12 31111 6 M59</t>
  </si>
  <si>
    <t>1 2 4 2 3 12 31111 6 M59 00001</t>
  </si>
  <si>
    <t>1 2 4 2 3 12 31111 6 M59 00001 000001</t>
  </si>
  <si>
    <t>1 2 4 2 3 12 31111 6 M59 00002</t>
  </si>
  <si>
    <t>1 2 4 2 3 12 31111 6 M59 00002 000001</t>
  </si>
  <si>
    <t>1 2 4 2 3 12 31111 6 M59 00002 000001 00001</t>
  </si>
  <si>
    <t>1 2 4 2 3 12 31111 6 M59 00003</t>
  </si>
  <si>
    <t>1 2 4 2 3 12 31111 6 M59 00003 000001</t>
  </si>
  <si>
    <t>1 2 4 2 3 12 31111 6 M59 00003 000001 00001</t>
  </si>
  <si>
    <t>1 2 4 2 3 12 31111 6 M59 00003 000001 00002</t>
  </si>
  <si>
    <t>1 2 4 2 9</t>
  </si>
  <si>
    <t>OTRO MOBILIARIO Y EQUIPO EDUCACIONAL Y RECREATIVO</t>
  </si>
  <si>
    <t>1 2 4 2 9 12</t>
  </si>
  <si>
    <t>1 2 4 2 9 12 31111</t>
  </si>
  <si>
    <t>1 2 4 2 9 12 31111 6</t>
  </si>
  <si>
    <t>1 2 4 2 9 12 31111 6 M59</t>
  </si>
  <si>
    <t>1 2 4 2 9 12 31111 6 M59 00001</t>
  </si>
  <si>
    <t>1 2 4 2 9 12 31111 6 M59 00001 000001</t>
  </si>
  <si>
    <t>1 2 4 2 9 12 31111 6 M59 00003</t>
  </si>
  <si>
    <t>1 2 4 2 9 12 31111 6 M59 00003 000001</t>
  </si>
  <si>
    <t>1 2 4 2 9 12 31111 6 M59 00003 000001 00001</t>
  </si>
  <si>
    <t>1 2 4 2 9 12 31111 6 M59 00004</t>
  </si>
  <si>
    <t>1 2 4 2 9 12 31111 6 M59 00004 000001</t>
  </si>
  <si>
    <t>1 2 4 2 9 12 31111 6 M59 00004 000001 00001</t>
  </si>
  <si>
    <t>1 2 4 3</t>
  </si>
  <si>
    <t>EQUIPO E INSTRUMENTAL MÉDICO Y DE LABORATORIO</t>
  </si>
  <si>
    <t>1 2 4 3 1</t>
  </si>
  <si>
    <t>EQUIPO MÉDICO Y DE LABORATORIO</t>
  </si>
  <si>
    <t>1 2 4 3 1 12</t>
  </si>
  <si>
    <t>1 2 4 3 1 12 31111</t>
  </si>
  <si>
    <t>1 2 4 3 1 12 31111 6</t>
  </si>
  <si>
    <t>1 2 4 3 1 12 31111 6 M59</t>
  </si>
  <si>
    <t>Equipo Médico y de Laboratorio</t>
  </si>
  <si>
    <t>1 2 4 3 1 12 31111 6 M59 00001</t>
  </si>
  <si>
    <t>1 2 4 3 1 12 31111 6 M59 00001 000001</t>
  </si>
  <si>
    <t>1 2 4 3 1 12 31111 6 M59 00003</t>
  </si>
  <si>
    <t>1 2 4 3 1 12 31111 6 M59 00003 000001</t>
  </si>
  <si>
    <t>1 2 4 3 1 12 31111 6 M59 00003 000001 00001</t>
  </si>
  <si>
    <t>1 2 4 3 2</t>
  </si>
  <si>
    <t>INSTRUMENTAL MÉDICO Y DE LABORATORIO</t>
  </si>
  <si>
    <t>1 2 4 3 2 12</t>
  </si>
  <si>
    <t>1 2 4 3 2 12 31111</t>
  </si>
  <si>
    <t>1 2 4 3 2 12 31111 6</t>
  </si>
  <si>
    <t>1 2 4 3 2 12 31111 6 M59</t>
  </si>
  <si>
    <t>Instrumental Médico y de Laboratorio</t>
  </si>
  <si>
    <t>1 2 4 3 2 12 31111 6 M59 00001</t>
  </si>
  <si>
    <t>1 2 4 3 2 12 31111 6 M59 00001 000001</t>
  </si>
  <si>
    <t>1 2 4 3 2 12 31111 6 M59 00003</t>
  </si>
  <si>
    <t>1 2 4 3 2 12 31111 6 M59 00003 000001</t>
  </si>
  <si>
    <t>1 2 4 3 2 12 31111 6 M59 00003 000001 00001</t>
  </si>
  <si>
    <t>1 2 4 4</t>
  </si>
  <si>
    <t>VEHÍCULOS Y EQUIPO DE TRANSPORTE</t>
  </si>
  <si>
    <t>1 2 4 4 1</t>
  </si>
  <si>
    <t>AUTOMÓVILES Y EQUIPO TERRESTRE</t>
  </si>
  <si>
    <t>1 2 4 4 1 12</t>
  </si>
  <si>
    <t>1 2 4 4 1 12 31111</t>
  </si>
  <si>
    <t>1 2 4 4 1 12 31111 6</t>
  </si>
  <si>
    <t>1 2 4 4 1 12 31111 6 M59</t>
  </si>
  <si>
    <t>1 2 4 4 1 12 31111 6 M59 00001</t>
  </si>
  <si>
    <t>1 2 4 4 1 12 31111 6 M59 00001 000001</t>
  </si>
  <si>
    <t>1 2 4 4 1 12 31111 6 M59 00001 030100</t>
  </si>
  <si>
    <t>(CAGJ831217DL9) Juan Jose Camacho Galeana</t>
  </si>
  <si>
    <t>1 2 4 4 1 12 31111 6 M59 00001 030232</t>
  </si>
  <si>
    <t>(AADF0301014S2) Fermin Gerardo Alvarado Dominguez</t>
  </si>
  <si>
    <t>1 2 4 4 1 12 31111 6 M59 00002</t>
  </si>
  <si>
    <t>1 2 4 4 1 12 31111 6 M59 00002 000001</t>
  </si>
  <si>
    <t>1 2 4 4 1 12 31111 6 M59 00002 000001 00001</t>
  </si>
  <si>
    <t>1 2 4 4 1 12 31111 6 M59 00003</t>
  </si>
  <si>
    <t>1 2 4 4 1 12 31111 6 M59 00003 000001</t>
  </si>
  <si>
    <t>1 2 4 4 1 12 31111 6 M59 00003 000001 00001</t>
  </si>
  <si>
    <t>1 2 4 4 1 12 31111 6 M59 00003 000001 00003</t>
  </si>
  <si>
    <t>(COAJ5607099X1) JESUS CONTRERAS AVILA</t>
  </si>
  <si>
    <t>1 2 4 4 1 12 31111 6 M59 00003 000001 00004</t>
  </si>
  <si>
    <t>(MOBC990104HF6) CAROLINA MORALES BEDOLLA</t>
  </si>
  <si>
    <t>1 2 4 4 1 12 31111 6 M59 00003 000001 00005</t>
  </si>
  <si>
    <t>1 2 4 4 1 12 31111 6 M59 00004</t>
  </si>
  <si>
    <t>1 2 4 4 1 12 31111 6 M59 00004 000001</t>
  </si>
  <si>
    <t>1 2 4 4 1 12 31111 6 M59 00004 000001 00001</t>
  </si>
  <si>
    <t>1 2 4 4 1 12 31111 6 M59 00004 000001 00002</t>
  </si>
  <si>
    <t>1 2 4 4 1 12 31111 6 M59 10000</t>
  </si>
  <si>
    <t>PRESIDENCIA MUNICIPAL</t>
  </si>
  <si>
    <t>1 2 4 4 1 12 31111 6 M59 10000 000132</t>
  </si>
  <si>
    <t>1 2 4 4 1 12 31111 6 M59 10000 000132 0000R</t>
  </si>
  <si>
    <t>1 2 4 4 1 12 31111 6 M59 10000 000132 0000R 00002</t>
  </si>
  <si>
    <t>1 2 4 4 1 12 31111 6 M59 10000 000132 0000R 00002 00541</t>
  </si>
  <si>
    <t>VEHICULOS Y EQUIPO TERRESTRE.</t>
  </si>
  <si>
    <t>1 2 4 4 1 12 31111 6 M59 10000 000132 0000R 00002 00541 015</t>
  </si>
  <si>
    <t>1 2 4 4 1 12 31111 6 M59 10000 000132 0000R 00002 00541 015 2222100</t>
  </si>
  <si>
    <t>EQUIPO DE TRANSPORTE</t>
  </si>
  <si>
    <t>1 2 4 4 1 12 31111 6 M59 10000 000132 0000R 00002 00541 015 2222100 2024</t>
  </si>
  <si>
    <t>1 2 4 4 1 12 31111 6 M59 10000 000132 0000R 00002 00541 015 2222100 2024 CP1PM439</t>
  </si>
  <si>
    <t>1 2 4 4 1 12 31111 6 M59 10000 000132 0000R 00002 00541 015 2222100 2024 CP1PM439 001</t>
  </si>
  <si>
    <t>1 2 4 4 1 12 31111 6 M59 10000 000132 0000R 00002 00541 015 2222100 2024 CP1PM439 001 0000001</t>
  </si>
  <si>
    <t>1 2 4 4 1 12 31111 6 M59 40000</t>
  </si>
  <si>
    <t>1 2 4 4 1 12 31111 6 M59 40000 000161</t>
  </si>
  <si>
    <t>1 2 4 4 1 12 31111 6 M59 40000 000161 0000E</t>
  </si>
  <si>
    <t>1 2 4 4 1 12 31111 6 M59 40000 000161 0000E 00002</t>
  </si>
  <si>
    <t>1 2 4 4 1 12 31111 6 M59 40000 000161 0000E 00002 00541</t>
  </si>
  <si>
    <t>1 2 4 4 1 12 31111 6 M59 40000 000161 0000E 00002 00541 025</t>
  </si>
  <si>
    <t>1 2 4 4 1 12 31111 6 M59 40000 000161 0000E 00002 00541 025 2222100</t>
  </si>
  <si>
    <t>1 2 4 4 1 12 31111 6 M59 40000 000161 0000E 00002 00541 025 2222100 2024</t>
  </si>
  <si>
    <t>1 2 4 4 1 12 31111 6 M59 40000 000161 0000E 00002 00541 025 2222100 2024 CP4SP372</t>
  </si>
  <si>
    <t>1 2 4 4 1 12 31111 6 M59 40000 000161 0000E 00002 00541 025 2222100 2024 CP4SP372 003</t>
  </si>
  <si>
    <t>1 2 4 4 1 12 31111 6 M59 40000 000161 0000E 00002 00541 025 2222100 2024 CP4SP372 003 0000001</t>
  </si>
  <si>
    <t>VEHÍCULOS Y EQUIPO TERRESTRE</t>
  </si>
  <si>
    <t>1 2 4 4 1 12 31111 6 M59 60100</t>
  </si>
  <si>
    <t>DIRECCIÓN DEL DIF MUNICIPAL</t>
  </si>
  <si>
    <t>1 2 4 4 1 12 31111 6 M59 60100 000132</t>
  </si>
  <si>
    <t>1 2 4 4 1 12 31111 6 M59 60100 000132 0000R</t>
  </si>
  <si>
    <t>1 2 4 4 1 12 31111 6 M59 60100 000132 0000R 00002</t>
  </si>
  <si>
    <t>1 2 4 4 1 12 31111 6 M59 60100 000132 0000R 00002 00541</t>
  </si>
  <si>
    <t>1 2 4 4 1 12 31111 6 M59 60100 000132 0000R 00002 00541 015</t>
  </si>
  <si>
    <t>1 2 4 4 1 12 31111 6 M59 60100 000132 0000R 00002 00541 015 2222100</t>
  </si>
  <si>
    <t>1 2 4 4 1 12 31111 6 M59 60100 000132 0000R 00002 00541 015 2222100 2024</t>
  </si>
  <si>
    <t>1 2 4 4 1 12 31111 6 M59 60100 000132 0000R 00002 00541 015 2222100 2024 CP1DM394</t>
  </si>
  <si>
    <t>1 2 4 4 1 12 31111 6 M59 60100 000132 0000R 00002 00541 015 2222100 2024 CP1DM394 001</t>
  </si>
  <si>
    <t>1 2 4 4 1 12 31111 6 M59 60100 000132 0000R 00002 00541 015 2222100 2024 CP1DM394 001 0000001</t>
  </si>
  <si>
    <t>1 2 4 5</t>
  </si>
  <si>
    <t>EQUIPO DE DEFENSA Y SEGURIDAD</t>
  </si>
  <si>
    <t>1 2 4 5 1</t>
  </si>
  <si>
    <t>1 2 4 5 1 12</t>
  </si>
  <si>
    <t>1 2 4 5 1 12 31111</t>
  </si>
  <si>
    <t>1 2 4 5 1 12 31111 6</t>
  </si>
  <si>
    <t>1 2 4 5 1 12 31111 6 M59</t>
  </si>
  <si>
    <t>1 2 4 5 1 12 31111 6 M59 00001</t>
  </si>
  <si>
    <t>1 2 4 5 1 12 31111 6 M59 00001 000001</t>
  </si>
  <si>
    <t>1 2 4 5 1 12 31111 6 M59 00003</t>
  </si>
  <si>
    <t>1 2 4 5 1 12 31111 6 M59 00003 000001</t>
  </si>
  <si>
    <t>1 2 4 5 1 12 31111 6 M59 00003 000001 00001</t>
  </si>
  <si>
    <t>1 2 4 6</t>
  </si>
  <si>
    <t>MAQUINARIA, OTROS EQUIPOS Y HERRAMIENTAS</t>
  </si>
  <si>
    <t>1 2 4 6 1</t>
  </si>
  <si>
    <t>MAQUINARIA Y EQUIPO AGROPECUARIO</t>
  </si>
  <si>
    <t>1 2 4 6 1 12</t>
  </si>
  <si>
    <t>1 2 4 6 1 12 31111</t>
  </si>
  <si>
    <t>1 2 4 6 1 12 31111 6</t>
  </si>
  <si>
    <t>1 2 4 6 1 12 31111 6 M59</t>
  </si>
  <si>
    <t>1 2 4 6 1 12 31111 6 M59 00001</t>
  </si>
  <si>
    <t>1 2 4 6 1 12 31111 6 M59 00001 000001</t>
  </si>
  <si>
    <t>1 2 4 6 1 12 31111 6 M59 00001 030867</t>
  </si>
  <si>
    <t>(BOHE9009234Y3) ERASMO BORGES HERNÁNDEZ</t>
  </si>
  <si>
    <t>1 2 4 6 1 12 31111 6 M59 00003</t>
  </si>
  <si>
    <t>1 2 4 6 1 12 31111 6 M59 00003 000001</t>
  </si>
  <si>
    <t>1 2 4 6 1 12 31111 6 M59 00003 000001 00001</t>
  </si>
  <si>
    <t>1 2 4 6 1 12 31111 6 M59 96300</t>
  </si>
  <si>
    <t>DIRECCIÓN DE SANEAMIENTO BASICO</t>
  </si>
  <si>
    <t>1 2 4 6 1 12 31111 6 M59 96300 000211</t>
  </si>
  <si>
    <t>ORDENACIÓN DE DESECHOS</t>
  </si>
  <si>
    <t>1 2 4 6 1 12 31111 6 M59 96300 000211 0000E</t>
  </si>
  <si>
    <t>1 2 4 6 1 12 31111 6 M59 96300 000211 0000E 00002</t>
  </si>
  <si>
    <t>1 2 4 6 1 12 31111 6 M59 96300 000211 0000E 00002 00561</t>
  </si>
  <si>
    <t>MAQUINARIA Y EQUIPO AGROPECUARIO.</t>
  </si>
  <si>
    <t>1 2 4 6 1 12 31111 6 M59 96300 000211 0000E 00002 00561 015</t>
  </si>
  <si>
    <t>1 2 4 6 1 12 31111 6 M59 96300 000211 0000E 00002 00561 015 2222300</t>
  </si>
  <si>
    <t>OTRA MAQUINARIA Y EQUIPO</t>
  </si>
  <si>
    <t>1 2 4 6 1 12 31111 6 M59 96300 000211 0000E 00002 00561 015 2222300 2024</t>
  </si>
  <si>
    <t>1 2 4 6 1 12 31111 6 M59 96300 000211 0000E 00002 00561 015 2222300 2024 CP1SB396</t>
  </si>
  <si>
    <t>1 2 4 6 1 12 31111 6 M59 96300 000211 0000E 00002 00561 015 2222300 2024 CP1SB396 001</t>
  </si>
  <si>
    <t>1 2 4 6 1 12 31111 6 M59 96300 000211 0000E 00002 00561 015 2222300 2024 CP1SB396 001 0000001</t>
  </si>
  <si>
    <t>1 2 4 6 2</t>
  </si>
  <si>
    <t>MAQUINARIA Y EQUIPO INDUSTRIAL</t>
  </si>
  <si>
    <t>1 2 4 6 2 12</t>
  </si>
  <si>
    <t>1 2 4 6 2 12 31111</t>
  </si>
  <si>
    <t>1 2 4 6 2 12 31111 6</t>
  </si>
  <si>
    <t>1 2 4 6 2 12 31111 6 M59</t>
  </si>
  <si>
    <t>1 2 4 6 2 12 31111 6 M59 00001</t>
  </si>
  <si>
    <t>1 2 4 6 2 12 31111 6 M59 00001 023939</t>
  </si>
  <si>
    <t>1 2 4 6 2 12 31111 6 M59 00001 024406</t>
  </si>
  <si>
    <t>(EER0105257T0) Equipos Especiales Para Rastros S.A. de C,V.</t>
  </si>
  <si>
    <t>1 2 4 6 2 12 31111 6 M59 00001 030281</t>
  </si>
  <si>
    <t>(JME920616B36) JARVIS DE MEXICO, S.A. DE C.V.</t>
  </si>
  <si>
    <t>1 2 4 6 2 12 31111 6 M59 00003</t>
  </si>
  <si>
    <t>1 2 4 6 2 12 31111 6 M59 00003 000001</t>
  </si>
  <si>
    <t>1 2 4 6 2 12 31111 6 M59 00003 000001 00001</t>
  </si>
  <si>
    <t>1 2 4 6 3</t>
  </si>
  <si>
    <t>MAQUINARIA Y EQUIPO DE CONSTRUCCIÓN</t>
  </si>
  <si>
    <t>1 2 4 6 3 12</t>
  </si>
  <si>
    <t>1 2 4 6 3 12 31111</t>
  </si>
  <si>
    <t>1 2 4 6 3 12 31111 6</t>
  </si>
  <si>
    <t>1 2 4 6 3 12 31111 6 M59</t>
  </si>
  <si>
    <t>1 2 4 6 3 12 31111 6 M59 00001</t>
  </si>
  <si>
    <t>1 2 4 6 3 12 31111 6 M59 00001 000001</t>
  </si>
  <si>
    <t>1 2 4 6 3 12 31111 6 M59 00001 029343</t>
  </si>
  <si>
    <t>(COAJ5607099X1) Jesus Contreras Avila</t>
  </si>
  <si>
    <t>1 2 4 6 3 12 31111 6 M59 00001 030281</t>
  </si>
  <si>
    <t>(JME920616B36) JARVIS DE MEXICO, S.A DE C.V.</t>
  </si>
  <si>
    <t>1 2 4 6 4</t>
  </si>
  <si>
    <t>SISTEMAS DE AIRE ACONDICIONADO, CALEFACCIÓN Y DE REFRIGERACIÓN INDUSTRIAL Y COMERCIAL</t>
  </si>
  <si>
    <t>1 2 4 6 4 12</t>
  </si>
  <si>
    <t>1 2 4 6 4 12 31111</t>
  </si>
  <si>
    <t>1 2 4 6 4 12 31111 6</t>
  </si>
  <si>
    <t>1 2 4 6 4 12 31111 6 M59</t>
  </si>
  <si>
    <t>1 2 4 6 4 12 31111 6 M59 00001</t>
  </si>
  <si>
    <t>1 2 4 6 4 12 31111 6 M59 00001 000001</t>
  </si>
  <si>
    <t>1 2 4 6 4 12 31111 6 M59 00001 029189</t>
  </si>
  <si>
    <t>1 2 4 6 4 12 31111 6 M59 00001 030346</t>
  </si>
  <si>
    <t>(GORR9601273W9) RODRIGO GOMEZ ROSAS</t>
  </si>
  <si>
    <t>1 2 4 6 4 12 31111 6 M59 00003</t>
  </si>
  <si>
    <t>1 2 4 6 4 12 31111 6 M59 00003 000001</t>
  </si>
  <si>
    <t>1 2 4 6 4 12 31111 6 M59 00003 000001 00001</t>
  </si>
  <si>
    <t>1 2 4 6 4 12 31111 6 M59 00004</t>
  </si>
  <si>
    <t>INGRESOS FISCALES</t>
  </si>
  <si>
    <t>1 2 4 6 4 12 31111 6 M59 00004 000001</t>
  </si>
  <si>
    <t>1 2 4 6 4 12 31111 6 M59 00004 000001 00001</t>
  </si>
  <si>
    <t>1 2 4 6 4 12 31111 6 M59 00004 000001 00002</t>
  </si>
  <si>
    <t>1 2 4 6 5</t>
  </si>
  <si>
    <t>EQUIPO DE COMUNICACIÓN Y TELECOMUNICACIÓN</t>
  </si>
  <si>
    <t>1 2 4 6 5 12</t>
  </si>
  <si>
    <t>1 2 4 6 5 12 31111</t>
  </si>
  <si>
    <t>1 2 4 6 5 12 31111 6</t>
  </si>
  <si>
    <t>1 2 4 6 5 12 31111 6 M59</t>
  </si>
  <si>
    <t>1 2 4 6 5 12 31111 6 M59 00001</t>
  </si>
  <si>
    <t>1 2 4 6 5 12 31111 6 M59 00001 000001</t>
  </si>
  <si>
    <t>1 2 4 6 5 12 31111 6 M59 00001 029270</t>
  </si>
  <si>
    <t>(GOVS900223I95) Sheyla Veronica Gonzalez Vidales</t>
  </si>
  <si>
    <t>1 2 4 6 5 12 31111 6 M59 00002</t>
  </si>
  <si>
    <t>1 2 4 6 5 12 31111 6 M59 00002 000001</t>
  </si>
  <si>
    <t>1 2 4 6 5 12 31111 6 M59 00002 000001 00001</t>
  </si>
  <si>
    <t>1 2 4 6 5 12 31111 6 M59 00003</t>
  </si>
  <si>
    <t>1 2 4 6 5 12 31111 6 M59 00003 000001</t>
  </si>
  <si>
    <t>1 2 4 6 5 12 31111 6 M59 00003 000001 00001</t>
  </si>
  <si>
    <t>(COSM540323QF9) MARTHA ELBA CORTÉS SOTELO</t>
  </si>
  <si>
    <t>1 2 4 6 5 12 31111 6 M59 00003 000001 00002</t>
  </si>
  <si>
    <t>(GOVS900223I95) SHEYLA VERONICA GONZALEZ VIDALES</t>
  </si>
  <si>
    <t>1 2 4 6 5 12 31111 6 M59 00003 000001 00003</t>
  </si>
  <si>
    <t>1 2 4 6 6</t>
  </si>
  <si>
    <t>EQUIPOS DE GENERACIÓN ELÉCTRICA, APARATOS Y ACCESORIOS ELÉCTRICOS</t>
  </si>
  <si>
    <t>1 2 4 6 6 12</t>
  </si>
  <si>
    <t>1 2 4 6 6 12 31111</t>
  </si>
  <si>
    <t>1 2 4 6 6 12 31111 6</t>
  </si>
  <si>
    <t>1 2 4 6 6 12 31111 6 M59</t>
  </si>
  <si>
    <t>Equipos de Generación Eléctrica, Aparatos y Accesorios Eléctricos</t>
  </si>
  <si>
    <t>1 2 4 6 6 12 31111 6 M59 00003</t>
  </si>
  <si>
    <t>1 2 4 6 6 12 31111 6 M59 00003 000001</t>
  </si>
  <si>
    <t>1 2 4 6 6 12 31111 6 M59 00003 000001 00001</t>
  </si>
  <si>
    <t>1 2 4 6 6 12 31111 6 M59 00003 000001 00002</t>
  </si>
  <si>
    <t>1 2 4 6 6 12 31111 6 M59 00004</t>
  </si>
  <si>
    <t>1 2 4 6 6 12 31111 6 M59 00004 019764</t>
  </si>
  <si>
    <t>1 2 4 6 7</t>
  </si>
  <si>
    <t>HERRAMIENTAS Y MÁQUINAS-HERRAMIENTA</t>
  </si>
  <si>
    <t>1 2 4 6 7 12</t>
  </si>
  <si>
    <t>1 2 4 6 7 12 31111</t>
  </si>
  <si>
    <t>1 2 4 6 7 12 31111 6</t>
  </si>
  <si>
    <t>1 2 4 6 7 12 31111 6 M59</t>
  </si>
  <si>
    <t>1 2 4 6 7 12 31111 6 M59 00003</t>
  </si>
  <si>
    <t>1 2 4 6 7 12 31111 6 M59 00003 000001</t>
  </si>
  <si>
    <t>1 2 4 6 7 12 31111 6 M59 00003 000001 00001</t>
  </si>
  <si>
    <t>1 2 4 6 7 12 31111 6 M59 00004</t>
  </si>
  <si>
    <t>1 2 4 6 7 12 31111 6 M59 00004 000001</t>
  </si>
  <si>
    <t>1 2 4 6 9</t>
  </si>
  <si>
    <t>OTROS EQUIPOS</t>
  </si>
  <si>
    <t>1 2 4 6 9 12</t>
  </si>
  <si>
    <t>1 2 4 6 9 12 31111</t>
  </si>
  <si>
    <t>1 2 4 6 9 12 31111 6</t>
  </si>
  <si>
    <t>1 2 4 6 9 12 31111 6 M59</t>
  </si>
  <si>
    <t>1 2 4 6 9 12 31111 6 M59 00001</t>
  </si>
  <si>
    <t>1 2 4 6 9 12 31111 6 M59 00001 000001</t>
  </si>
  <si>
    <t>1 2 4 7</t>
  </si>
  <si>
    <t>COLECCIONES, OBRAS DE ARTE Y OBJETOS VALIOSOS</t>
  </si>
  <si>
    <t>1 2 4 7 1</t>
  </si>
  <si>
    <t>BIENES ARTÍSTICOS, CULTURALES Y CIENTÍFICOS</t>
  </si>
  <si>
    <t>1 2 4 7 1 12</t>
  </si>
  <si>
    <t>1 2 4 7 1 12 31111</t>
  </si>
  <si>
    <t>1 2 4 7 1 12 31111 6</t>
  </si>
  <si>
    <t>1 2 4 7 1 12 31111 6 M59</t>
  </si>
  <si>
    <t>Bienes Artísticos, Culturales y Científicos</t>
  </si>
  <si>
    <t>1 2 4 7 1 12 31111 6 M59 00001</t>
  </si>
  <si>
    <t>1 2 4 7 1 12 31111 6 M59 00001 029015</t>
  </si>
  <si>
    <t>(TAGA700305F89) Antonio Tabares Gallardo</t>
  </si>
  <si>
    <t>1 2 5</t>
  </si>
  <si>
    <t>ACTIVOS INTANGIBLES</t>
  </si>
  <si>
    <t>1 2 5 1</t>
  </si>
  <si>
    <t>SOFTWARE</t>
  </si>
  <si>
    <t>1 2 5 1 1</t>
  </si>
  <si>
    <t>1 2 5 1 1 12</t>
  </si>
  <si>
    <t>1 2 5 1 1 12 31111</t>
  </si>
  <si>
    <t>1 2 5 1 1 12 31111 6</t>
  </si>
  <si>
    <t>1 2 5 1 1 12 31111 6 M59</t>
  </si>
  <si>
    <t>1 2 5 1 1 12 31111 6 M59 00001</t>
  </si>
  <si>
    <t>1 2 5 1 1 12 31111 6 M59 00001 000001</t>
  </si>
  <si>
    <t>1 2 5 1 1 12 31111 6 M59 00003</t>
  </si>
  <si>
    <t>1 2 5 1 1 12 31111 6 M59 00003 000001</t>
  </si>
  <si>
    <t>1 2 5 1 1 12 31111 6 M59 00003 000001 00001</t>
  </si>
  <si>
    <t>1 2 6</t>
  </si>
  <si>
    <t>DEPRECIACIÓN, DETERIORO Y AMORTIZACIÓN ACUMULADA DE BIENES</t>
  </si>
  <si>
    <t>1 2 6 3</t>
  </si>
  <si>
    <t>DEPRECIACIÓN ACUMULADA  DE BIENES MUEBLES</t>
  </si>
  <si>
    <t>1 2 6 3 1</t>
  </si>
  <si>
    <t>DEPRECIACIÓN ACUMULADA DE MOBILIARIO Y EQUIPO DE ADMINISTRACIÓN</t>
  </si>
  <si>
    <t>1 2 6 3 1 12</t>
  </si>
  <si>
    <t>1 2 6 3 1 12 31111</t>
  </si>
  <si>
    <t>1 2 6 3 1 12 31111 6</t>
  </si>
  <si>
    <t>1 2 6 3 1 12 31111 6 M59</t>
  </si>
  <si>
    <t>1 2 6 3 1 12 31111 6 M59 00001</t>
  </si>
  <si>
    <t>1 2 6 3 1 12 31111 6 M59 00001 000001</t>
  </si>
  <si>
    <t>1 2 6 3 1 12 31111 6 M59 00001 019207</t>
  </si>
  <si>
    <t>1 2 6 3 1 12 31111 6 M59 00001 019764</t>
  </si>
  <si>
    <t>1 2 6 3 1 12 31111 6 M59 00001 019825</t>
  </si>
  <si>
    <t>1 2 6 3 1 12 31111 6 M59 00001 019841</t>
  </si>
  <si>
    <t>(GUCR6303152M3) Raymundo Gutierrez Caro</t>
  </si>
  <si>
    <t>1 2 6 3 1 12 31111 6 M59 00001 020769</t>
  </si>
  <si>
    <t>1 2 6 3 1 12 31111 6 M59 00001 022723</t>
  </si>
  <si>
    <t>(COP920428Q20) COPPEL, S.A. DE C.V.</t>
  </si>
  <si>
    <t>1 2 6 3 1 12 31111 6 M59 00001 023939</t>
  </si>
  <si>
    <t>1 2 6 3 1 12 31111 6 M59 00001 024280</t>
  </si>
  <si>
    <t>1 2 6 3 1 12 31111 6 M59 00001 024313</t>
  </si>
  <si>
    <t>1 2 6 3 1 12 31111 6 M59 00001 024406</t>
  </si>
  <si>
    <t>1 2 6 3 1 12 31111 6 M59 00001 026914</t>
  </si>
  <si>
    <t>1 2 6 3 1 12 31111 6 M59 00001 029189</t>
  </si>
  <si>
    <t>1 2 6 3 1 12 31111 6 M59 00001 029270</t>
  </si>
  <si>
    <t>1 2 6 3 1 12 31111 6 M59 00001 029343</t>
  </si>
  <si>
    <t>1 2 6 3 1 12 31111 6 M59 00001 030100</t>
  </si>
  <si>
    <t>1 2 6 3 1 12 31111 6 M59 00002</t>
  </si>
  <si>
    <t>FONDO DE APORTACIONES P/ LA INFRAESTRUCTURA SOCIAL MPAL</t>
  </si>
  <si>
    <t>1 2 6 3 1 12 31111 6 M59 00002 000003</t>
  </si>
  <si>
    <t>1 2 6 3 1 12 31111 6 M59 00002 000003 00001</t>
  </si>
  <si>
    <t>1 2 6 3 1 12 31111 6 M59 00003</t>
  </si>
  <si>
    <t>1 2 6 3 1 12 31111 6 M59 00003 000003</t>
  </si>
  <si>
    <t>1 2 6 3 1 12 31111 6 M59 00003 000003 00001</t>
  </si>
  <si>
    <t>1 2 6 3 1 12 31111 6 M59 00003 000003 00002</t>
  </si>
  <si>
    <t>1 2 6 3 1 12 31111 6 M59 00003 000003 00003</t>
  </si>
  <si>
    <t>1 2 6 3 1 12 31111 6 M59 00003 000003 00004</t>
  </si>
  <si>
    <t>1 2 6 3 1 12 31111 6 M59 00003 000003 00005</t>
  </si>
  <si>
    <t>1 2 6 3 1 12 31111 6 M59 00003 000003 00006</t>
  </si>
  <si>
    <t>1 2 6 3 1 12 31111 6 M59 00003 000003 00007</t>
  </si>
  <si>
    <t>1 2 6 3 1 12 31111 6 M59 00003 000003 00008</t>
  </si>
  <si>
    <t>1 2 6 3 1 12 31111 6 M59 00004</t>
  </si>
  <si>
    <t>1 2 6 3 1 12 31111 6 M59 00004 000001</t>
  </si>
  <si>
    <t>1 2 6 3 1 12 31111 6 M59 00004 000001 00001</t>
  </si>
  <si>
    <t>1 2 6 3 1 12 31111 6 M59 00004 000001 00002</t>
  </si>
  <si>
    <t>1 2 6 3 1 12 31111 6 M59 00004 000001 00003</t>
  </si>
  <si>
    <t>1 2 6 3 1 12 31111 6 M59 00004 000001 00004</t>
  </si>
  <si>
    <t>1 2 6 3 1 12 31111 6 M59 00004 000001 00005</t>
  </si>
  <si>
    <t>2</t>
  </si>
  <si>
    <t>PASIVO</t>
  </si>
  <si>
    <t>2 1</t>
  </si>
  <si>
    <t>PASIVO CIRCULANTE</t>
  </si>
  <si>
    <t>2 1 1</t>
  </si>
  <si>
    <t>CUENTAS POR PAGAR A CORTO PLAZO</t>
  </si>
  <si>
    <t>2 1 1 1</t>
  </si>
  <si>
    <t>SERVICIOS PERSONALES POR PAGAR A CORTO PLAZO</t>
  </si>
  <si>
    <t>2 1 1 1 1</t>
  </si>
  <si>
    <t>REMUNERACIÓN POR PAGAR AL PERSONAL DE CARÁCTER PERMANENTE A CP</t>
  </si>
  <si>
    <t>2 1 1 1 1 12</t>
  </si>
  <si>
    <t>2 1 1 1 1 12 31111</t>
  </si>
  <si>
    <t>2 1 1 1 1 12 31111 6</t>
  </si>
  <si>
    <t>2 1 1 1 1 12 31111 6 M59</t>
  </si>
  <si>
    <t>2 1 1 1 1 12 31111 6 M59 00001</t>
  </si>
  <si>
    <t>2 1 1 1 1 12 31111 6 M59 00001 000001</t>
  </si>
  <si>
    <t>SUELDOS VARIOS DE CONFIANZA</t>
  </si>
  <si>
    <t>2 1 1 1 1 12 31111 6 M59 00003</t>
  </si>
  <si>
    <t>FONDO PARA EL FORTALECIMIENTO DE LOS MUNICIPIOS</t>
  </si>
  <si>
    <t>2 1 1 1 1 12 31111 6 M59 00003 000001</t>
  </si>
  <si>
    <t>SULEDOS DE CONFIANZA</t>
  </si>
  <si>
    <t>2 1 1 1 1 12 31111 6 M59 00003 000001 00001</t>
  </si>
  <si>
    <t>2 1 1 1 1 12 31111 6 M59 00003 000001 00002</t>
  </si>
  <si>
    <t>AGUINALDO</t>
  </si>
  <si>
    <t>2 1 1 1 3</t>
  </si>
  <si>
    <t>REMUNERACIONES ADICIONALES Y ESPECIALES POR PAGAR A CP</t>
  </si>
  <si>
    <t>2 1 1 2</t>
  </si>
  <si>
    <t>PROVEEDORES POR PAGAR A CORTO PLAZO</t>
  </si>
  <si>
    <t>2 1 1 2 1</t>
  </si>
  <si>
    <t>DEUDAS POR ADQUISICIÓN DE BIENES Y CONTRATACIÓN DE SERVICIOS POR PAGAR A CP</t>
  </si>
  <si>
    <t>2 1 1 2 1 12</t>
  </si>
  <si>
    <t>2 1 1 2 1 12 31111</t>
  </si>
  <si>
    <t>2 1 1 2 1 12 31111 6</t>
  </si>
  <si>
    <t>2 1 1 2 1 12 31111 6 M59</t>
  </si>
  <si>
    <t>2 1 1 2 1 12 31111 6 M59 00001</t>
  </si>
  <si>
    <t>2 1 1 2 1 12 31111 6 M59 00001 000001</t>
  </si>
  <si>
    <t>PROVEEDORES VARIOS</t>
  </si>
  <si>
    <t>2 1 1 2 1 12 31111 6 M59 00001 000001 00001</t>
  </si>
  <si>
    <t>2 1 1 2 1 12 31111 6 M59 00001 000001 00002</t>
  </si>
  <si>
    <t>COMERCIO ZENOX</t>
  </si>
  <si>
    <t>2 1 1 2 1 12 31111 6 M59 00001 000001 00003</t>
  </si>
  <si>
    <t>COMISIÓN DE AGUA POTABLE ALCANTARILLADO</t>
  </si>
  <si>
    <t>2 1 1 2 1 12 31111 6 M59 00001 000001 00004</t>
  </si>
  <si>
    <t>JAZIEL CORTES SANCHEZ</t>
  </si>
  <si>
    <t>2 1 1 2 1 12 31111 6 M59 00001 000001 00005</t>
  </si>
  <si>
    <t>CFE SUMINISTRADOR DE SERVICIOS BÁSICOS</t>
  </si>
  <si>
    <t>2 1 1 2 1 12 31111 6 M59 00001 000001 00006</t>
  </si>
  <si>
    <t>RAFAEL GUILLERMO LOPEZ ORTIZ</t>
  </si>
  <si>
    <t>2 1 1 2 1 12 31111 6 M59 00001 000001 00007</t>
  </si>
  <si>
    <t>OFFICE DEPOT</t>
  </si>
  <si>
    <t>2 1 1 2 1 12 31111 6 M59 00001 000001 00008</t>
  </si>
  <si>
    <t>NUEVA WAL MART DE MEXICO</t>
  </si>
  <si>
    <t>2 1 1 2 1 12 31111 6 M59 00001 000001 00009</t>
  </si>
  <si>
    <t>TERESA AGUILAR JUAREZ</t>
  </si>
  <si>
    <t>2 1 1 2 1 12 31111 6 M59 00001 000001 00010</t>
  </si>
  <si>
    <t>SAUL BENITEZ DIAZ</t>
  </si>
  <si>
    <t>2 1 1 2 1 12 31111 6 M59 00001 000001 00011</t>
  </si>
  <si>
    <t>GRUPO CONSTRUCTOR DAMC</t>
  </si>
  <si>
    <t>2 1 1 2 1 12 31111 6 M59 00001 000001 00012</t>
  </si>
  <si>
    <t>GRUPO CONSTRUCTOR VAYNA</t>
  </si>
  <si>
    <t>2 1 1 2 1 12 31111 6 M59 00001 000001 00013</t>
  </si>
  <si>
    <t>2 1 1 2 1 12 31111 6 M59 00001 000001 00014</t>
  </si>
  <si>
    <t>CERGIO ACOSTA SOLIS</t>
  </si>
  <si>
    <t>2 1 1 2 1 12 31111 6 M59 00001 000001 00015</t>
  </si>
  <si>
    <t>FELIPE LEON SERRANO</t>
  </si>
  <si>
    <t>2 1 1 2 1 12 31111 6 M59 00001 000001 00016</t>
  </si>
  <si>
    <t>YANET LAYNA BENITEZ</t>
  </si>
  <si>
    <t>2 1 1 2 1 12 31111 6 M59 00001 000001 00017</t>
  </si>
  <si>
    <t>PROYECTOS IBAGAZA</t>
  </si>
  <si>
    <t>2 1 1 2 1 12 31111 6 M59 00001 000001 00018</t>
  </si>
  <si>
    <t>JOSE ANTONIO GALLARDO MEJIA</t>
  </si>
  <si>
    <t>2 1 1 2 1 12 31111 6 M59 00001 000001 00019</t>
  </si>
  <si>
    <t>COMERCIALIZADORA ELECTRICA DE GUERRERO</t>
  </si>
  <si>
    <t>2 1 1 2 1 12 31111 6 M59 00001 000001 00020</t>
  </si>
  <si>
    <t>GRUPO ALCIONE</t>
  </si>
  <si>
    <t>2 1 1 2 1 12 31111 6 M59 00001 000001 00021</t>
  </si>
  <si>
    <t>INFOCOS</t>
  </si>
  <si>
    <t>2 1 1 2 1 12 31111 6 M59 00001 000001 00022</t>
  </si>
  <si>
    <t>TOMASITA RUBI ROMERO</t>
  </si>
  <si>
    <t>2 1 1 2 1 12 31111 6 M59 00001 000001 00023</t>
  </si>
  <si>
    <t>MIGUEL ANGEL LEON RIOS</t>
  </si>
  <si>
    <t>2 1 1 2 1 12 31111 6 M59 00001 018908</t>
  </si>
  <si>
    <t>2 1 1 2 1 12 31111 6 M59 00001 018956</t>
  </si>
  <si>
    <t>2 1 1 2 1 12 31111 6 M59 00001 018960</t>
  </si>
  <si>
    <t>2 1 1 2 1 12 31111 6 M59 00001 019852</t>
  </si>
  <si>
    <t>(LERM781216JD5) Miguel Angel León Rios</t>
  </si>
  <si>
    <t>2 1 1 2 1 12 31111 6 M59 00001 020766</t>
  </si>
  <si>
    <t>(TCH850701RM1) Tiendas Chedraui S.A. de C.V.</t>
  </si>
  <si>
    <t>2 1 1 2 1 12 31111 6 M59 00001 020940</t>
  </si>
  <si>
    <t>(BBA830831LJ2) BBVA BANCOMER, S A</t>
  </si>
  <si>
    <t>2 1 1 2 1 12 31111 6 M59 00001 021321</t>
  </si>
  <si>
    <t>(SSA960426QIA) SERVICIO SADALA SA DE CV</t>
  </si>
  <si>
    <t>2 1 1 2 1 12 31111 6 M59 00001 023915</t>
  </si>
  <si>
    <t>2 1 1 2 1 12 31111 6 M59 00001 025381</t>
  </si>
  <si>
    <t>(CAP940426MA2) Comisión de Agua Potable, Alcantarillado y Saneamiento del Estado de Guerrero</t>
  </si>
  <si>
    <t>2 1 1 2 1 12 31111 6 M59 00001 026472</t>
  </si>
  <si>
    <t>(ROML790621CZA) Luis Alberto Rosas Mata</t>
  </si>
  <si>
    <t>2 1 1 2 1 12 31111 6 M59 00001 030271</t>
  </si>
  <si>
    <t>(COGJ830414LP0) jesus contreras gabriel</t>
  </si>
  <si>
    <t>2 1 1 2 1 12 31111 6 M59 00001 030680</t>
  </si>
  <si>
    <t>(XAXX010101000)</t>
  </si>
  <si>
    <t>2 1 1 2 1 12 31111 6 M59 00001 393418</t>
  </si>
  <si>
    <t>(CADR86011FN) RODOLFO CASTRO DURAN</t>
  </si>
  <si>
    <t>2 1 1 2 1 12 31111 6 M59 00002</t>
  </si>
  <si>
    <t>2 1 1 2 1 12 31111 6 M59 00003</t>
  </si>
  <si>
    <t>2 1 1 2 1 12 31111 6 M59 00003 000001</t>
  </si>
  <si>
    <t>PROVEEDORES</t>
  </si>
  <si>
    <t>2 1 1 2 1 12 31111 6 M59 00003 000001 00001</t>
  </si>
  <si>
    <t>SERVICIO SADALA</t>
  </si>
  <si>
    <t>2 1 1 2 1 12 31111 6 M59 00003 000001 00002</t>
  </si>
  <si>
    <t>GASOLINERIA PETROMEX</t>
  </si>
  <si>
    <t>2 1 1 2 1 12 31111 6 M59 00003 000001 00003</t>
  </si>
  <si>
    <t>MIRIAM DALILA DOMINGUEZ GABRIEL</t>
  </si>
  <si>
    <t>2 1 1 2 1 12 31111 6 M59 00003 000001 00004</t>
  </si>
  <si>
    <t>SEGUICOL SA DE CV</t>
  </si>
  <si>
    <t>2 1 1 2 1 12 31111 6 M59 00003 000001 00005</t>
  </si>
  <si>
    <t>2 1 1 2 1 12 31111 6 M59 00003 000001 00006</t>
  </si>
  <si>
    <t>MARIA ANTONIA LOEZA MEZA</t>
  </si>
  <si>
    <t>2 1 1 2 1 12 31111 6 M59 00003 000001 00007</t>
  </si>
  <si>
    <t>GRUPO GASTRONOMICO TECUAN</t>
  </si>
  <si>
    <t>2 1 1 2 1 12 31111 6 M59 00003 000001 00008</t>
  </si>
  <si>
    <t>JESUS CONTRERAS GABRIEL</t>
  </si>
  <si>
    <t>2 1 1 2 1 12 31111 6 M59 00003 000001 00009</t>
  </si>
  <si>
    <t>LUIS ALBERTO ROSAS MATA</t>
  </si>
  <si>
    <t>2 1 1 2 1 12 31111 6 M59 00003 000001 00010</t>
  </si>
  <si>
    <t>PERLA MARINA CUEVAS GUZMAN</t>
  </si>
  <si>
    <t>2 1 1 2 1 12 31111 6 M59 00003 000001 00011</t>
  </si>
  <si>
    <t>INDUSTRIAL HIELERA</t>
  </si>
  <si>
    <t>2 1 1 2 1 12 31111 6 M59 00003 000001 00012</t>
  </si>
  <si>
    <t>MARIA OLGA ESTRADA SANCHEZ</t>
  </si>
  <si>
    <t>2 1 1 2 1 12 31111 6 M59 00003 000001 00013</t>
  </si>
  <si>
    <t>JOSE ANTONIO LEON GALLARDO</t>
  </si>
  <si>
    <t>2 1 1 2 1 12 31111 6 M59 00003 000001 00014</t>
  </si>
  <si>
    <t>NUEVA ELEKTRA DEL MILENIO</t>
  </si>
  <si>
    <t>2 1 1 2 1 12 31111 6 M59 00003 000001 00015</t>
  </si>
  <si>
    <t>COMISION NACIONAL DE AGUA (PRODDER)</t>
  </si>
  <si>
    <t>2 1 1 2 1 12 31111 6 M59 00003 000001 00016</t>
  </si>
  <si>
    <t>ASESORIA LOGISTICA MORAD S.A. DE C.V.</t>
  </si>
  <si>
    <t>2 1 1 2 1 12 31111 6 M59 00003 000001 00017</t>
  </si>
  <si>
    <t>DISTRIBUIDORA AUTOMOTRIZ ACAPULCO</t>
  </si>
  <si>
    <t>2 1 1 2 1 12 31111 6 M59 00003 000001 00018</t>
  </si>
  <si>
    <t>2 1 1 2 1 12 31111 6 M59 00003 000001 00019</t>
  </si>
  <si>
    <t>ADAN ANASTACIO ATRISCO</t>
  </si>
  <si>
    <t>2 1 1 2 1 12 31111 6 M59 00003 000001 00020</t>
  </si>
  <si>
    <t>HOTEL Y RESTAURANTE VICTORIA</t>
  </si>
  <si>
    <t>2 1 1 2 1 12 31111 6 M59 00003 000001 00021</t>
  </si>
  <si>
    <t>ESTRELLA DE ORO SA DE CV</t>
  </si>
  <si>
    <t>2 1 1 2 1 12 31111 6 M59 00003 000001 00022</t>
  </si>
  <si>
    <t>BANCO SANTANDER S.A., INTITUCIÓN DE BANCA MULTIPLE.</t>
  </si>
  <si>
    <t>2 1 1 2 1 12 31111 6 M59 00003 000001 00023</t>
  </si>
  <si>
    <t>2 1 1 2 1 12 31111 6 M59 00003 000001 00024</t>
  </si>
  <si>
    <t>MULTIMPRESIONTICS</t>
  </si>
  <si>
    <t>2 1 1 2 1 12 31111 6 M59 00003 000001 00025</t>
  </si>
  <si>
    <t>2 1 1 2 1 12 31111 6 M59 00003 000001 00026</t>
  </si>
  <si>
    <t>BRENDA LIZBETH RODRIGUEZ LOPEZ</t>
  </si>
  <si>
    <t>2 1 1 2 1 12 31111 6 M59 00003 000002</t>
  </si>
  <si>
    <t>2 1 1 2 1 12 31111 6 M59 00003 000002 00001</t>
  </si>
  <si>
    <t>(CCO8605231N4) CADENA COMERCIAL OXXO, S.A. DE C.V.</t>
  </si>
  <si>
    <t>2 1 1 2 1 12 31111 6 M59 00003 000002 00002</t>
  </si>
  <si>
    <t>2 1 1 2 1 12 31111 6 M59 00003 000002 00003</t>
  </si>
  <si>
    <t>2 1 1 2 1 12 31111 6 M59 00003 000002 00004</t>
  </si>
  <si>
    <t>(CAGX590613NT9) ANTONIA CANCELA GARCIA</t>
  </si>
  <si>
    <t>2 1 1 2 1 12 31111 6 M59 00003 000002 00005</t>
  </si>
  <si>
    <t>(BAGA8510297M1) ALEJANDO CESAR BARRAGÁN GONZALEZ</t>
  </si>
  <si>
    <t>2 1 1 2 1 12 31111 6 M59 00003 000002 00006</t>
  </si>
  <si>
    <t>2 1 1 2 1 12 31111 6 M59 00003 000002 00007</t>
  </si>
  <si>
    <t>(CANE4404232B3) MARIA ELENA CATALAN NUÑEZ</t>
  </si>
  <si>
    <t>2 1 1 2 1 12 31111 6 M59 00003 000002 00008</t>
  </si>
  <si>
    <t>(AIPY820823926) YOCELI AVILES PINEDA</t>
  </si>
  <si>
    <t>2 1 1 2 1 12 31111 6 M59 00003 000053</t>
  </si>
  <si>
    <t>2 1 1 2 1 12 31111 6 M59 00003 000053 00001</t>
  </si>
  <si>
    <t>PROVEEDORES POR PAGAR A CORTO PLAZO VARIOS</t>
  </si>
  <si>
    <t>2 1 1 2 1 12 31111 6 M59 00003 030271</t>
  </si>
  <si>
    <t>2 1 1 2 1 12 31111 6 M59 00004</t>
  </si>
  <si>
    <t>2 1 1 2 1 12 31111 6 M59 00004 000001</t>
  </si>
  <si>
    <t>2 1 1 2 1 12 31111 6 M59 00004 000001 00001</t>
  </si>
  <si>
    <t>2 1 1 2 1 12 31111 6 M59 00004 000001 00001 00001</t>
  </si>
  <si>
    <t>2 1 1 2 1 12 31111 6 M59 00004 000001 00001 00004</t>
  </si>
  <si>
    <t>2 1 1 2 1 12 31111 6 M59 00004 000001 00001 00005</t>
  </si>
  <si>
    <t>(CSS160330C97) CFE SUMINISTRADOR DE SERVICIOS BÁSICOS</t>
  </si>
  <si>
    <t>2 1 1 2 1 12 31111 6 M59 00004 000001 00001 00006</t>
  </si>
  <si>
    <t>(SAT970701NN3) SERVICIO DE ADMINISTRACIÓN TRIBURATIA (SAT)</t>
  </si>
  <si>
    <t>2 1 1 2 1 12 31111 6 M59 00004 000001 00001 00007</t>
  </si>
  <si>
    <t>(FNI970829JR9) FONDO NACIONAL DE INFRAESTRUCTURA</t>
  </si>
  <si>
    <t>2 1 1 2 1 12 31111 6 M59 00004 000001 00001 00008</t>
  </si>
  <si>
    <t>(GOR951002LM3) GASOLINERIA LOS ORGANOS, S.A. DE C.V.</t>
  </si>
  <si>
    <t>2 1 1 2 1 12 31111 6 M59 00004 000001 00001 00009</t>
  </si>
  <si>
    <t>(SGP990624KS8) SUPER GAS PIE DE LA CUESTA SA DE CV</t>
  </si>
  <si>
    <t>2 1 1 2 1 12 31111 6 M59 00004 000001 00001 00010</t>
  </si>
  <si>
    <t>(NWM9709244W4) NUEVA WAL MART DE MÉXICO, S. DE R. L. DE C.V.</t>
  </si>
  <si>
    <t>2 1 1 2 1 12 31111 6 M59 00004 000001 00001 00011</t>
  </si>
  <si>
    <t>(TASA8211244Q0) ABRAHAM TANAREZ SALOMON</t>
  </si>
  <si>
    <t>2 1 1 2 1 12 31111 6 M59 00004 000001 00001 00012</t>
  </si>
  <si>
    <t>(MASJ601125HU8) JUAN JOSE MAGAÑA SANCHEZ</t>
  </si>
  <si>
    <t>2 1 1 2 1 12 31111 6 M59 00004 000001 00001 00013</t>
  </si>
  <si>
    <t>(ATE020715AQ5) AUTOSERVICIOS TECPAN S.A. DE C.V.</t>
  </si>
  <si>
    <t>2 1 1 2 1 12 31111 6 M59 00004 000001 00001 00014</t>
  </si>
  <si>
    <t>(NME081219RG7) NOVALIMENTOS DE MEXICO S. DE R. L. DE C.V.</t>
  </si>
  <si>
    <t>2 1 1 2 1 12 31111 6 M59 00004 000001 00001 00015</t>
  </si>
  <si>
    <t>BBVA MEXICO, S.A., INSTITUCION DE BANCA MULTIPLE, GRUPO FINANCIERO BBVA MEXICO</t>
  </si>
  <si>
    <t>2 1 1 2 1 12 31111 6 M59 00004 000001 00001 00016</t>
  </si>
  <si>
    <t>2 1 1 2 1 12 31111 6 M59 00004 000001 00001 00017</t>
  </si>
  <si>
    <t>(LESF5806019Z8) FELIPE LEON SERRANO</t>
  </si>
  <si>
    <t>2 1 1 2 1 12 31111 6 M59 00004 000001 00001 00018</t>
  </si>
  <si>
    <t>(MARE870321IMA) ELISA RUBI MALDONADO ROMERO</t>
  </si>
  <si>
    <t>2 1 1 2 1 12 31111 6 M59 00004 000001 00001 00019</t>
  </si>
  <si>
    <t>(AARR621025EK7) RAFAEL ABARCA RIOS</t>
  </si>
  <si>
    <t>2 1 1 2 1 12 31111 6 M59 00004 000001 00001 00020</t>
  </si>
  <si>
    <t>2 1 1 2 1 12 31111 6 M59 00004 000001 00001 00021</t>
  </si>
  <si>
    <t>(TME840315KT6) TELEFONOS DE MEXICO S.A.B. DE C.B.</t>
  </si>
  <si>
    <t>2 1 1 2 1 12 31111 6 M59 00004 000001 00001 00022</t>
  </si>
  <si>
    <t>2 1 1 2 1 12 31111 6 M59 00004 000001 00001 00023</t>
  </si>
  <si>
    <t>MERCEDES AURORA ESTRADA DE LA O</t>
  </si>
  <si>
    <t>2 1 1 2 1 12 31111 6 M59 00004 000001 00001 00024</t>
  </si>
  <si>
    <t>BELINDA ISABEL MORALES RUIZ</t>
  </si>
  <si>
    <t>2 1 1 2 1 12 31111 6 M59 00004 000001 00001 00025</t>
  </si>
  <si>
    <t>2 1 1 2 1 12 31111 6 M59 00004 000001 00001 00026</t>
  </si>
  <si>
    <t>CELIA NAVARRO RAMOS</t>
  </si>
  <si>
    <t>2 1 1 2 1 12 31111 6 M59 00004 000001 00001 00027</t>
  </si>
  <si>
    <t>COMERCIALIZADORA ELECTRICA DE GUERRERO.</t>
  </si>
  <si>
    <t>2 1 1 2 1 12 31111 6 M59 00004 000001 00001 00031</t>
  </si>
  <si>
    <t>GERARDO ALVAREZ CORTEZ</t>
  </si>
  <si>
    <t>2 1 1 2 1 12 31111 6 M59 00004 000001 00001 00033</t>
  </si>
  <si>
    <t>JESUS GARCIA SEGURA</t>
  </si>
  <si>
    <t>2 1 1 2 1 12 31111 6 M59 00004 000001 00001 00034</t>
  </si>
  <si>
    <t>2 1 1 2 1 12 31111 6 M59 00005</t>
  </si>
  <si>
    <t>2 1 1 2 1 12 31111 6 M59 00005 000001</t>
  </si>
  <si>
    <t>2 1 1 2 1 12 31111 6 M59 00005 000002</t>
  </si>
  <si>
    <t>2 1 1 2 1 12 31111 6 M59 00005 000003</t>
  </si>
  <si>
    <t>2 1 1 2 1 12 31111 6 M59 00005 000004</t>
  </si>
  <si>
    <t>2 1 1 2 1 12 31111 6 M59 00005 000005</t>
  </si>
  <si>
    <t>IMPORT EXPORT AND INNIVATE</t>
  </si>
  <si>
    <t>2 1 1 2 2</t>
  </si>
  <si>
    <t>DEUDAS POR ADQUISICIÓN DE BIENES INMUEBLES, MUEBLES E INTANGIBLES POR PAGAR A CP</t>
  </si>
  <si>
    <t>2 1 1 2 2 12</t>
  </si>
  <si>
    <t>2 1 1 2 2 12 31111</t>
  </si>
  <si>
    <t>2 1 1 2 2 12 31111 6</t>
  </si>
  <si>
    <t>2 1 1 2 2 12 31111 6 M59</t>
  </si>
  <si>
    <t>Deudas por Adquisición de Bienes Inmuebles, Muebles e Intangibles por Pagar a Corto Plazo</t>
  </si>
  <si>
    <t>2 1 1 2 2 12 31111 6 M59 00001</t>
  </si>
  <si>
    <t>2 1 1 2 2 12 31111 6 M59 00001 000001</t>
  </si>
  <si>
    <t>DEUDAS POR ADQUISICIONES VARIOS</t>
  </si>
  <si>
    <t>2 1 1 3</t>
  </si>
  <si>
    <t>CONTRATISTAS POR OBRAS PÚBLICAS POR PAGAR A CORTO PLAZO</t>
  </si>
  <si>
    <t>2 1 1 3 1</t>
  </si>
  <si>
    <t>CONTRATISTAS POR OBRAS PÚBLICAS EN BIENES DE DOMINIO PÚBLICO POR PAGAR A CP</t>
  </si>
  <si>
    <t>2 1 1 3 1 12</t>
  </si>
  <si>
    <t>2 1 1 3 1 12 31111</t>
  </si>
  <si>
    <t>2 1 1 3 1 12 31111 6</t>
  </si>
  <si>
    <t>2 1 1 3 1 12 31111 6 M59</t>
  </si>
  <si>
    <t>2 1 1 3 1 12 31111 6 M59 00002</t>
  </si>
  <si>
    <t>2 1 1 3 1 12 31111 6 M59 00002 000001</t>
  </si>
  <si>
    <t>2 1 1 3 1 12 31111 6 M59 00002 000001 00001</t>
  </si>
  <si>
    <t>(MAAC720918LK4) CYNTHIA ESTHELA MARQUEZ ABARCA</t>
  </si>
  <si>
    <t>2 1 1 3 1 12 31111 6 M59 00002 000001 00002</t>
  </si>
  <si>
    <t>(LOMF920810L50) FERNANDO LOMELIN MELGAR</t>
  </si>
  <si>
    <t>2 1 1 3 1 12 31111 6 M59 00002 000007</t>
  </si>
  <si>
    <t>2 1 1 3 1 12 31111 6 M59 00002 000007 00001</t>
  </si>
  <si>
    <t>CONTRATISTAS POR OBRAS PÚBLICAS EN BIENES DE DOMINIO PÚBLICO POR PAGAR A CP VARIOS</t>
  </si>
  <si>
    <t>2 1 1 3 1 12 31111 6 M59 00006</t>
  </si>
  <si>
    <t>PROYECTOS IBAGAZA (PIB200123BX6)</t>
  </si>
  <si>
    <t>2 1 1 3 2</t>
  </si>
  <si>
    <t>CONTRATISTAS POR OBRAS PÚBLICAS EN BIENES PROPIOS POR PAGAR A CP</t>
  </si>
  <si>
    <t>2 1 1 3 2 12</t>
  </si>
  <si>
    <t>2 1 1 3 2 12 31111</t>
  </si>
  <si>
    <t>2 1 1 3 2 12 31111 6</t>
  </si>
  <si>
    <t>2 1 1 3 2 12 31111 6 M59</t>
  </si>
  <si>
    <t>2 1 1 3 2 12 31111 6 M59 00003</t>
  </si>
  <si>
    <t>FONDO DE APORTACIONES PARA EL FORTALECIMIENTO DE LOS MUNICIPIOS</t>
  </si>
  <si>
    <t>2 1 1 3 2 12 31111 6 M59 00003 000001</t>
  </si>
  <si>
    <t>CONTRATISTAS</t>
  </si>
  <si>
    <t>2 1 1 3 2 12 31111 6 M59 00003 000001 00001</t>
  </si>
  <si>
    <t>CONTRATISTAS VARIOS</t>
  </si>
  <si>
    <t>2 1 1 3 2 12 31111 6 M59 00003 000001 00002</t>
  </si>
  <si>
    <t>GRUPO CONSTRUCTOR VAYNA SA DE CV</t>
  </si>
  <si>
    <t>2 1 1 3 3</t>
  </si>
  <si>
    <t>2 1 1 3 3 12</t>
  </si>
  <si>
    <t>2 1 1 3 3 12 31111</t>
  </si>
  <si>
    <t>2 1 1 3 3 12 31111 6</t>
  </si>
  <si>
    <t>2 1 1 3 3 12 31111 6 M59</t>
  </si>
  <si>
    <t>2 1 1 3 3 12 31111 6 M59 00002</t>
  </si>
  <si>
    <t>2 1 1 3 3 12 31111 6 M59 00002 000001</t>
  </si>
  <si>
    <t>CONTRATISTAS POR PROYECTOS PRODUCTIVOS Y ACCIONES DE FOMENTO POR PAGAR A CP</t>
  </si>
  <si>
    <t>2 1 1 3 3 12 31111 6 M59 00002 000001 00001</t>
  </si>
  <si>
    <t>CONTRATISTAS POR PROYECTOS VARIOS</t>
  </si>
  <si>
    <t>2 1 1 5</t>
  </si>
  <si>
    <t>TRANSFERENCIAS OTORGADAS POR PAGAR A CORTO PLAZO</t>
  </si>
  <si>
    <t>2 1 1 5 1</t>
  </si>
  <si>
    <t>TRANSFERENCIAS INTERNAS Y ASIGNACIONES AL SECTOR PÚBLICO</t>
  </si>
  <si>
    <t>2 1 1 5 1 12</t>
  </si>
  <si>
    <t>2 1 1 5 1 12 31111</t>
  </si>
  <si>
    <t>2 1 1 5 1 12 31111 6</t>
  </si>
  <si>
    <t>2 1 1 5 1 12 31111 6 M59</t>
  </si>
  <si>
    <t>2 1 1 5 1 12 31111 6 M59 00001</t>
  </si>
  <si>
    <t>TRANSFERENCIAS OTORGADAS VARIAS</t>
  </si>
  <si>
    <t>2 1 1 5 1 12 31111 6 M59 00003</t>
  </si>
  <si>
    <t>(HEMM7809019Z9) Maria de los Remedios Henandez Marquez</t>
  </si>
  <si>
    <t>2 1 1 5 1 12 31111 6 M59 00003 000001</t>
  </si>
  <si>
    <t>JONHY MARTINEZ LINO</t>
  </si>
  <si>
    <t>2 1 1 5 1 12 31111 6 M59 00003 000002</t>
  </si>
  <si>
    <t>CUTBERTO MARTINEZ LINO</t>
  </si>
  <si>
    <t>2 1 1 5 1 12 31111 6 M59 00003 000003</t>
  </si>
  <si>
    <t>MA. DE JESUS PINEDA MONTOR</t>
  </si>
  <si>
    <t>2 1 1 5 1 12 31111 6 M59 00004</t>
  </si>
  <si>
    <t>2 1 1 5 1 12 31111 6 M59 00004 000001</t>
  </si>
  <si>
    <t>2 1 1 5 1 12 31111 6 M59 00004 000001 00001</t>
  </si>
  <si>
    <t>TRANSFERENCIAS OTORGADAS</t>
  </si>
  <si>
    <t>2 1 1 5 6</t>
  </si>
  <si>
    <t>AYUDAS SOCIALES</t>
  </si>
  <si>
    <t>2 1 1 5 6 12</t>
  </si>
  <si>
    <t>2 1 1 5 6 12 31111</t>
  </si>
  <si>
    <t>2 1 1 5 6 12 31111 6</t>
  </si>
  <si>
    <t>2 1 1 5 6 12 31111 6 M59</t>
  </si>
  <si>
    <t>2 1 1 5 6 12 31111 6 M59 00003</t>
  </si>
  <si>
    <t>2 1 1 5 6 12 31111 6 M59 00003 000001</t>
  </si>
  <si>
    <t>HERIBERTO RADILLA REYES</t>
  </si>
  <si>
    <t>2 1 1 5 6 12 31111 6 M59 00004</t>
  </si>
  <si>
    <t>2 1 1 5 6 12 31111 6 M59 00004 000001</t>
  </si>
  <si>
    <t>2 1 1 7</t>
  </si>
  <si>
    <t>RETENCIONES Y CONTRIBUCIONES POR PAGAR A CORTO PLAZO</t>
  </si>
  <si>
    <t>2 1 1 7 1</t>
  </si>
  <si>
    <t>RETENCIONES DE IMPUESTOS POR PAGAR A CP</t>
  </si>
  <si>
    <t>2 1 1 7 1 12</t>
  </si>
  <si>
    <t>2 1 1 7 1 12 31111</t>
  </si>
  <si>
    <t>2 1 1 7 1 12 31111 6</t>
  </si>
  <si>
    <t>2 1 1 7 1 12 31111 6 M59</t>
  </si>
  <si>
    <t>2 1 1 7 1 12 31111 6 M59 00001</t>
  </si>
  <si>
    <t>2 1 1 7 1 12 31111 6 M59 00001 000002</t>
  </si>
  <si>
    <t>Retención de Impuestos Federales (Patrón)</t>
  </si>
  <si>
    <t>2 1 1 7 1 12 31111 6 M59 00001 000002 00001</t>
  </si>
  <si>
    <t>Impuesto sobre la Renta (ISR)</t>
  </si>
  <si>
    <t>2 1 1 7 1 12 31111 6 M59 00001 000002 00001 00001</t>
  </si>
  <si>
    <t>Impuesto sobre Sueldos y Salarios (ISR)</t>
  </si>
  <si>
    <t>2 1 1 7 1 12 31111 6 M59 00001 000002 00001 00001 18960</t>
  </si>
  <si>
    <t>2 1 1 7 1 12 31111 6 M59 00001 000002 00001 00003</t>
  </si>
  <si>
    <t>10% ISR sobre Honorarios</t>
  </si>
  <si>
    <t>2 1 1 7 1 12 31111 6 M59 00001 000002 00001 00003 18960</t>
  </si>
  <si>
    <t>2 1 1 7 1 12 31111 6 M59 00001 000002 00001 00004</t>
  </si>
  <si>
    <t>10% ISR sobre Arrendamiento</t>
  </si>
  <si>
    <t>2 1 1 7 1 12 31111 6 M59 00001 000002 00001 00004 00001</t>
  </si>
  <si>
    <t>2 1 1 7 1 12 31111 6 M59 00001 000002 00001 00004 00003</t>
  </si>
  <si>
    <t>(RAOM730806AY5) MIGUEL ANGEL RADILLA DE LA O</t>
  </si>
  <si>
    <t>2 1 1 7 1 12 31111 6 M59 00001 000002 00001 00004 18960</t>
  </si>
  <si>
    <t>2 1 1 7 1 12 31111 6 M59 00001 000002 00001 00005</t>
  </si>
  <si>
    <t>01.25% ISR sobre Resico</t>
  </si>
  <si>
    <t>2 1 1 7 1 12 31111 6 M59 00001 000002 00001 00005 00107</t>
  </si>
  <si>
    <t>PROGRAMAS REGIONALES</t>
  </si>
  <si>
    <t>2 1 1 7 1 12 31111 6 M59 00001 000002 00001 00005 00107 002</t>
  </si>
  <si>
    <t>2 1 1 7 1 12 31111 6 M59 00001 000002 00001 00005 18960</t>
  </si>
  <si>
    <t>2 1 1 7 1 12 31111 6 M59 00001 000002 00002</t>
  </si>
  <si>
    <t>Impuesto al Valor Agregado (IVA)</t>
  </si>
  <si>
    <t>2 1 1 7 1 12 31111 6 M59 00001 000002 00002 00001</t>
  </si>
  <si>
    <t>Impuesto al Valor Agregado por Pagar (IVA Egresos)</t>
  </si>
  <si>
    <t>2 1 1 7 1 12 31111 6 M59 00001 000002 00002 00003</t>
  </si>
  <si>
    <t>10% IVA sobre Honorarios</t>
  </si>
  <si>
    <t>2 1 1 7 1 12 31111 6 M59 00001 000002 00002 00003 00002</t>
  </si>
  <si>
    <t>2 1 1 7 1 12 31111 6 M59 00001 000002 00002 00003 18960</t>
  </si>
  <si>
    <t>2 1 1 7 1 12 31111 6 M59 00001 000002 00002 00004</t>
  </si>
  <si>
    <t>10% IVA sobre Arrendamiento</t>
  </si>
  <si>
    <t>2 1 1 7 1 12 31111 6 M59 00001 000002 00002 00004 18960</t>
  </si>
  <si>
    <t>2 1 1 7 1 12 31111 6 M59 00001 000002 00003</t>
  </si>
  <si>
    <t>20% SOBRE EL COBRO DE CONCESIONES EN LA ZONA FEDERAL MARITIMO - TERRESTRE</t>
  </si>
  <si>
    <t>2 1 1 7 1 12 31111 6 M59 00001 000002 00003 00045</t>
  </si>
  <si>
    <t>2 1 1 7 1 12 31111 6 M59 00001 000002 00003 00045 00001</t>
  </si>
  <si>
    <t>2 1 1 7 1 12 31111 6 M59 00002</t>
  </si>
  <si>
    <t>2 1 1 7 1 12 31111 6 M59 00002 000001</t>
  </si>
  <si>
    <t>2 1 1 7 1 12 31111 6 M59 00002 000001 00001</t>
  </si>
  <si>
    <t>2 1 1 7 1 12 31111 6 M59 00002 000002</t>
  </si>
  <si>
    <t>2 1 1 7 1 12 31111 6 M59 00002 000002 00001</t>
  </si>
  <si>
    <t>2 1 1 7 1 12 31111 6 M59 00003</t>
  </si>
  <si>
    <t>2 1 1 7 1 12 31111 6 M59 00003 000001</t>
  </si>
  <si>
    <t>Retenciones de Impuestos Estatales (Patrón)</t>
  </si>
  <si>
    <t>2 1 1 7 1 12 31111 6 M59 00003 000001 00002</t>
  </si>
  <si>
    <t>Retenciones por Registro Civil</t>
  </si>
  <si>
    <t>2 1 1 7 1 12 31111 6 M59 00003 000001 00003</t>
  </si>
  <si>
    <t>05 al Millar Control y Vigilancia</t>
  </si>
  <si>
    <t>2 1 1 7 1 12 31111 6 M59 00003 000001 00004</t>
  </si>
  <si>
    <t>2 1 1 7 1 12 31111 6 M59 00003 000001 00005</t>
  </si>
  <si>
    <t>2 1 1 7 1 12 31111 6 M59 00003 000001 00006</t>
  </si>
  <si>
    <t>IMPUESTO AL VALOR AGREGADO POR PAGAR (IVA EGRESOS)</t>
  </si>
  <si>
    <t>2 1 1 7 1 12 31111 6 M59 00003 000001 00007</t>
  </si>
  <si>
    <t>ISR DE SUELDOS Y SALARIOS</t>
  </si>
  <si>
    <t>2 1 1 7 1 12 31111 6 M59 00004</t>
  </si>
  <si>
    <t>2 1 1 7 1 12 31111 6 M59 00004 000001</t>
  </si>
  <si>
    <t>2 1 1 7 1 12 31111 6 M59 00004 000001 00001</t>
  </si>
  <si>
    <t>15% DE CONTRIBUCIÓN ESTATAL</t>
  </si>
  <si>
    <t>2 1 1 7 1 12 31111 6 M59 00004 000001 00002</t>
  </si>
  <si>
    <t>2 1 1 7 1 12 31111 6 M59 00004 000001 00002 00001</t>
  </si>
  <si>
    <t>10% POR ADMINISTRACIÓN DEL REGISTRO CIVIL</t>
  </si>
  <si>
    <t>2 1 1 7 1 12 31111 6 M59 00004 000001 00002 00002</t>
  </si>
  <si>
    <t>15% PRO-EDUCACIÓN Y ASISTENCIA SOCIAL (REGISTRO CIVIL)</t>
  </si>
  <si>
    <t>2 1 1 7 1 12 31111 6 M59 00004 000001 00002 00003</t>
  </si>
  <si>
    <t>15% PRO-CAMINOS (REGISTRO CIVIL)</t>
  </si>
  <si>
    <t>2 1 1 7 1 12 31111 6 M59 00004 000001 00002 00004</t>
  </si>
  <si>
    <t>15% PRO-TURISMO (REGISTRO CIVIL)</t>
  </si>
  <si>
    <t>2 1 1 7 1 12 31111 6 M59 00004 000001 00002 00005</t>
  </si>
  <si>
    <t>15% PRO-RECUPERACIÓN ECOLOGÍA (REGISTRO CIVIL)</t>
  </si>
  <si>
    <t>2 1 1 7 1 12 31111 6 M59 00004 000001 00003</t>
  </si>
  <si>
    <t>2 1 1 7 1 12 31111 6 M59 00004 000001 00003 00001</t>
  </si>
  <si>
    <t>2 1 1 7 1 12 31111 6 M59 00004 000002</t>
  </si>
  <si>
    <t>2 1 1 7 1 12 31111 6 M59 00004 000002 00001</t>
  </si>
  <si>
    <t>2 1 1 7 1 12 31111 6 M59 00004 000002 00001 00001</t>
  </si>
  <si>
    <t>2 1 1 7 1 12 31111 6 M59 00004 000002 00001 00002</t>
  </si>
  <si>
    <t>10% ISR SOBRE HONORARIOS</t>
  </si>
  <si>
    <t>2 1 1 7 1 12 31111 6 M59 00004 000002 00001 00003</t>
  </si>
  <si>
    <t>01.25% ISR SOBRE ARRENDAMIENTO</t>
  </si>
  <si>
    <t>2 1 1 7 1 12 31111 6 M59 00004 000002 00002</t>
  </si>
  <si>
    <t>2 1 1 7 1 12 31111 6 M59 00004 000002 00002 00001</t>
  </si>
  <si>
    <t>2 1 1 7 1 12 31111 6 M59 00004 000002 00002 00002</t>
  </si>
  <si>
    <t>10% IVA SOBRE HONORARIOS</t>
  </si>
  <si>
    <t>2 1 1 7 1 12 31111 6 M59 00004 000002 00002 00003</t>
  </si>
  <si>
    <t>10% IVA SOBRE ARRENDAMIENTO</t>
  </si>
  <si>
    <t>2 1 1 7 1 12 31111 6 M59 00004 000002 00003</t>
  </si>
  <si>
    <t>20% SOBRE EL COBRO DE CONCESIONES EN LA ZONA FEDERAL MARÍTIMO-TERRESTRE</t>
  </si>
  <si>
    <t>2 1 1 7 1 12 31111 6 M59 00005</t>
  </si>
  <si>
    <t>2 1 1 7 1 12 31111 6 M59 00005 000002</t>
  </si>
  <si>
    <t>2 1 1 7 1 12 31111 6 M59 00005 000002 00001</t>
  </si>
  <si>
    <t>IMPUESTO SOBRE LA RENTA</t>
  </si>
  <si>
    <t>2 1 1 7 1 12 31111 6 M59 00005 000002 00001 00004</t>
  </si>
  <si>
    <t>10% ISR SOBRE ARRENDAMIENTOS</t>
  </si>
  <si>
    <t>2 1 1 7 1 12 31111 6 M59 00005 000002 00001 00004 18960</t>
  </si>
  <si>
    <t>2 1 1 7 1 12 31111 6 M59 00005 000002 00001 00005</t>
  </si>
  <si>
    <t>RESICO</t>
  </si>
  <si>
    <t>2 1 1 7 1 12 31111 6 M59 00005 000002 00001 00005 18960</t>
  </si>
  <si>
    <t>2 1 1 7 2</t>
  </si>
  <si>
    <t>RETENCIONES DEL SISTEMA DE SEGURIDAD SOCIAL POR PAGAR A CP</t>
  </si>
  <si>
    <t>2 1 1 7 2 12</t>
  </si>
  <si>
    <t>2 1 1 7 2 12 31111</t>
  </si>
  <si>
    <t>2 1 1 7 2 12 31111 6</t>
  </si>
  <si>
    <t>2 1 1 7 2 12 31111 6 M59</t>
  </si>
  <si>
    <t>Retenciones del Sistema de Seguridad Social por Pagar a Corto Plazo (Patrón - Trabajador)</t>
  </si>
  <si>
    <t>2 1 1 7 2 12 31111 6 M59 00001</t>
  </si>
  <si>
    <t>2 1 1 7 2 12 31111 6 M59 00001 000003</t>
  </si>
  <si>
    <t>Cuotas al Sistema de Seguridad Social Estatal</t>
  </si>
  <si>
    <t>2 1 1 7 2 12 31111 6 M59 00001 000003 00001</t>
  </si>
  <si>
    <t>Cuotas Patronales al Sistema de Seguridad Social Estatal</t>
  </si>
  <si>
    <t>2 1 1 7 2 12 31111 6 M59 00001 000003 00001 18962</t>
  </si>
  <si>
    <t>2 1 1 7 2 12 31111 6 M59 00001 000003 00002</t>
  </si>
  <si>
    <t>Cuotas Obreras al Sistema de Seguridad Social Estatal</t>
  </si>
  <si>
    <t>2 1 1 7 2 12 31111 6 M59 00001 000003 00002 18962</t>
  </si>
  <si>
    <t>2 1 1 7 2 12 31111 6 M59 00001 000003 00003</t>
  </si>
  <si>
    <t>Prestamos del Sistema de Seguridad Social Estatal</t>
  </si>
  <si>
    <t>2 1 1 7 2 12 31111 6 M59 00001 000003 00003 18962</t>
  </si>
  <si>
    <t>2 1 1 7 2 12 31111 6 M59 00003</t>
  </si>
  <si>
    <t>2 1 1 7 2 12 31111 6 M59 00003 000001</t>
  </si>
  <si>
    <t>2 1 1 7 2 12 31111 6 M59 00003 000001 00001</t>
  </si>
  <si>
    <t>(ISS791001KN4) INSTITUTO DE SEGURIDAD SOCIAL DE LOS SERVIDORES PÚBLICOS DEL ESTADO DE GUERRERO (ISSSPEG)</t>
  </si>
  <si>
    <t>2 1 1 7 2 12 31111 6 M59 00003 000002</t>
  </si>
  <si>
    <t>2 1 1 7 2 12 31111 6 M59 00003 000002 00001</t>
  </si>
  <si>
    <t>2 1 1 7 2 12 31111 6 M59 00004</t>
  </si>
  <si>
    <t>2 1 1 7 2 12 31111 6 M59 00004 000003</t>
  </si>
  <si>
    <t>2 1 1 7 2 12 31111 6 M59 00004 000003 00001</t>
  </si>
  <si>
    <t>2 1 1 7 2 12 31111 6 M59 00004 000003 00001 18962</t>
  </si>
  <si>
    <t>2 1 1 7 3</t>
  </si>
  <si>
    <t>IMPUESTO Y DERECHOS POR PAGAR A CP</t>
  </si>
  <si>
    <t>2 1 1 7 3 12</t>
  </si>
  <si>
    <t>2 1 1 7 3 12 31111</t>
  </si>
  <si>
    <t>2 1 1 7 3 12 31111 6</t>
  </si>
  <si>
    <t>2 1 1 7 3 12 31111 6 M59</t>
  </si>
  <si>
    <t>2 1 1 7 3 12 31111 6 M59 00004</t>
  </si>
  <si>
    <t>2 1 1 7 3 12 31111 6 M59 00004 000001</t>
  </si>
  <si>
    <t>Derechos de Aguas Nacionales</t>
  </si>
  <si>
    <t>2 1 1 7 3 12 31111 6 M59 00004 000001 29010</t>
  </si>
  <si>
    <t>(CNA890116SF2) COMISION NACIONAL DE AGUA</t>
  </si>
  <si>
    <t>2 1 1 7 3 12 31111 6 M59 00004 000002</t>
  </si>
  <si>
    <t>Derechos de Descargas de Aguas Residuales</t>
  </si>
  <si>
    <t>2 1 1 7 3 12 31111 6 M59 00004 000002 29010</t>
  </si>
  <si>
    <t>2 1 1 7 5</t>
  </si>
  <si>
    <t>IMPUESTOS SOBRE NÓMINA Y OTROS QUE DERIVEN DE UNA RELACIÓN LABORAL POR PAGAR A CP</t>
  </si>
  <si>
    <t>2 1 1 7 5 12</t>
  </si>
  <si>
    <t>2 1 1 7 5 12 31111</t>
  </si>
  <si>
    <t>2 1 1 7 5 12 31111 6</t>
  </si>
  <si>
    <t>2 1 1 7 5 12 31111 6 M59</t>
  </si>
  <si>
    <t>2 1 1 7 5 12 31111 6 M59 00001</t>
  </si>
  <si>
    <t>2 1 1 7 5 12 31111 6 M59 00001 000001</t>
  </si>
  <si>
    <t>Impuesto Estatal sobre Remuneración al Trabajo Personal</t>
  </si>
  <si>
    <t>2 1 1 7 5 12 31111 6 M59 00001 000001 00001</t>
  </si>
  <si>
    <t>ISR SOBRE SUELDOS Y SALARIOS</t>
  </si>
  <si>
    <t>2 1 1 7 5 12 31111 6 M59 00001 000001 00002</t>
  </si>
  <si>
    <t>CUOTAS I.S.S.S.P.E.G.</t>
  </si>
  <si>
    <t>2 1 1 7 5 12 31111 6 M59 00001 000001 00003</t>
  </si>
  <si>
    <t>CUOTAS S.U.S.P.E.G.</t>
  </si>
  <si>
    <t>2 1 1 7 5 12 31111 6 M59 00001 000001 18908</t>
  </si>
  <si>
    <t>2 1 1 7 5 12 31111 6 M59 00003</t>
  </si>
  <si>
    <t>2 1 1 7 5 12 31111 6 M59 00003 000003</t>
  </si>
  <si>
    <t>IMPUESTOS SOBRE NOMINA</t>
  </si>
  <si>
    <t>2 1 1 7 5 12 31111 6 M59 00003 000003 00001</t>
  </si>
  <si>
    <t>2 1 1 7 5 12 31111 6 M59 00003 000003 00002</t>
  </si>
  <si>
    <t>IMPUESTO SOBRE SUELDOS Y SALARIOS (ISR)</t>
  </si>
  <si>
    <t>2 1 1 7 6</t>
  </si>
  <si>
    <t>2 1 1 7 6 12</t>
  </si>
  <si>
    <t>2 1 1 7 6 12 31111</t>
  </si>
  <si>
    <t>2 1 1 7 6 12 31111 6</t>
  </si>
  <si>
    <t>2 1 1 7 6 12 31111 6 M59</t>
  </si>
  <si>
    <t>TECPAN DE GALEANA</t>
  </si>
  <si>
    <t>2 1 1 7 6 12 31111 6 M59 00003</t>
  </si>
  <si>
    <t>2 1 1 7 6 12 31111 6 M59 00003 000001</t>
  </si>
  <si>
    <t>2 1 1 7 6 12 31111 6 M59 00003 000001 00001</t>
  </si>
  <si>
    <t>(GAGC7608074W2) GARCIA GARCIA CAYETANO</t>
  </si>
  <si>
    <t>2 1 1 7 6 12 31111 6 M59 00003 000001 00002</t>
  </si>
  <si>
    <t>2 1 1 7 6 12 31111 6 M59 00003 000001 00003</t>
  </si>
  <si>
    <t>2 1 1 7 6 12 31111 6 M59 00003 000001 00004</t>
  </si>
  <si>
    <t>(XAXX010101000) ADELINA DELGADO RAMÍREZ</t>
  </si>
  <si>
    <t>2 1 1 7 6 12 31111 6 M59 00003 000001 00005</t>
  </si>
  <si>
    <t>(XAXX010101000) VIRIDIANA ACOSTA PADILLA</t>
  </si>
  <si>
    <t>2 1 1 7 6 12 31111 6 M59 00003 000001 00006</t>
  </si>
  <si>
    <t>(XAXX010101000) DIANA ZUÑIGA LUNA</t>
  </si>
  <si>
    <t>2 1 1 7 6 12 31111 6 M59 00003 000002</t>
  </si>
  <si>
    <t>2 1 1 7 6 12 31111 6 M59 00003 000002 00001</t>
  </si>
  <si>
    <t>2 1 1 7 6 12 31111 6 M59 00003 000003</t>
  </si>
  <si>
    <t>2 1 1 7 6 12 31111 6 M59 00003 000003 00001</t>
  </si>
  <si>
    <t>(XAXX010101000) SINDICATO ÚNICO DE SERVIDORES PÚBLICOS DE ESTADO DE GUERRERO (SUSPEG)</t>
  </si>
  <si>
    <t>2 1 1 7 6 12 31111 6 M59 00003 000004</t>
  </si>
  <si>
    <t>2 1 1 7 6 12 31111 6 M59 00003 000004 00001</t>
  </si>
  <si>
    <t>(SARJ8102071X2) JUAN RAMSES SANTOS ROMERO</t>
  </si>
  <si>
    <t>2 1 1 7 6 12 31111 6 M59 00003 000004 00002</t>
  </si>
  <si>
    <t>(RAMJ550103R83) JORGE LUIS RADILLA MARTINEZ</t>
  </si>
  <si>
    <t>2 1 1 7 6 12 31111 6 M59 00003 000004 00003</t>
  </si>
  <si>
    <t>(XAXX010101000) COYUCA RURAL SOCIEDAD COOPERATIVA DE R.L DE C.V.</t>
  </si>
  <si>
    <t>2 1 1 7 9</t>
  </si>
  <si>
    <t>OTRAS RETENCIONES Y CONTRIBUCIONES POR PAGAR A CP</t>
  </si>
  <si>
    <t>2 1 1 7 9 12</t>
  </si>
  <si>
    <t>2 1 1 7 9 12 31111</t>
  </si>
  <si>
    <t>2 1 1 7 9 12 31111 6</t>
  </si>
  <si>
    <t>2 1 1 7 9 12 31111 6 M59</t>
  </si>
  <si>
    <t>2 1 1 7 9 12 31111 6 M59 00001</t>
  </si>
  <si>
    <t>2 1 1 7 9 12 31111 6 M59 00001 000001</t>
  </si>
  <si>
    <t>Pensión Alimenticia</t>
  </si>
  <si>
    <t>2 1 1 7 9 12 31111 6 M59 00001 000001 19149</t>
  </si>
  <si>
    <t>(veoj671216is1) Jesus Velez Organista</t>
  </si>
  <si>
    <t>2 1 1 7 9 12 31111 6 M59 00001 000001 20018</t>
  </si>
  <si>
    <t>(lema8102204v7) Jose Alberto Leonides Martinez</t>
  </si>
  <si>
    <t>2 1 1 7 9 12 31111 6 M59 00001 000001 23601</t>
  </si>
  <si>
    <t>(gore610618p83) Efren Gomez Rodriguez</t>
  </si>
  <si>
    <t>2 1 1 7 9 12 31111 6 M59 00001 000001 29438</t>
  </si>
  <si>
    <t>2 1 1 7 9 12 31111 6 M59 00001 000002</t>
  </si>
  <si>
    <t>Descuento por Préstamo de Instituciones de Crédito a Trabajadores</t>
  </si>
  <si>
    <t>2 1 1 7 9 12 31111 6 M59 00001 000002 18962</t>
  </si>
  <si>
    <t>2 1 1 7 9 12 31111 6 M59 00001 000002 30339</t>
  </si>
  <si>
    <t>2 1 1 7 9 12 31111 6 M59 00001 000003</t>
  </si>
  <si>
    <t>Cuotas Sindicales</t>
  </si>
  <si>
    <t>2 1 1 7 9 12 31111 6 M59 00001 000003 18961</t>
  </si>
  <si>
    <t>(XAXX010101000) Sindicato Único de Servidores Públicos de Estado de Guerrero (SUSPEG)</t>
  </si>
  <si>
    <t>2 1 1 7 9 12 31111 6 M59 00001 000004</t>
  </si>
  <si>
    <t>Otras Retenciones y Contribuciones por Pagar a Corto Plazo</t>
  </si>
  <si>
    <t>2 1 1 7 9 12 31111 6 M59 00001 000004 00009</t>
  </si>
  <si>
    <t>Otras Retenciones y Contribuciones por Pagar</t>
  </si>
  <si>
    <t>2 1 1 7 9 12 31111 6 M59 00001 000004 00009 22434</t>
  </si>
  <si>
    <t>(gama8302202ga) Anabel Gallardo Moreno</t>
  </si>
  <si>
    <t>2 1 1 7 9 12 31111 6 M59 00003</t>
  </si>
  <si>
    <t>2 1 1 7 9 12 31111 6 M59 00003 000001</t>
  </si>
  <si>
    <t>RETENCIONES Y CONTRIBUCIONES</t>
  </si>
  <si>
    <t>2 1 1 7 9 12 31111 6 M59 00003 000001 00001</t>
  </si>
  <si>
    <t>PENSIÓN ALIMETICIA</t>
  </si>
  <si>
    <t>2 1 1 7 9 12 31111 6 M59 00003 000001 00002</t>
  </si>
  <si>
    <t>ANA SILVIA ORBE MELENDEZ</t>
  </si>
  <si>
    <t>2 1 1 7 9 12 31111 6 M59 00003 000001 00003</t>
  </si>
  <si>
    <t>MARIA ESTRADA AGUILAR</t>
  </si>
  <si>
    <t>2 1 1 9</t>
  </si>
  <si>
    <t>OTRAS CUENTAS POR PAGAR A CORTO PLAZO</t>
  </si>
  <si>
    <t>2 1 1 9 5</t>
  </si>
  <si>
    <t>PRÉSTAMOS RECIBIDOS A CP</t>
  </si>
  <si>
    <t>2 1 1 9 5 12</t>
  </si>
  <si>
    <t>2 1 1 9 5 12 31111</t>
  </si>
  <si>
    <t>2 1 1 9 5 12 31111 6</t>
  </si>
  <si>
    <t>2 1 1 9 5 12 31111 6 M59</t>
  </si>
  <si>
    <t>2 1 1 9 5 12 31111 6 M59 00001</t>
  </si>
  <si>
    <t>2 1 1 9 5 12 31111 6 M59 00001 000002</t>
  </si>
  <si>
    <t>2 1 1 9 5 12 31111 6 M59 00001 000003</t>
  </si>
  <si>
    <t>FORTAMUN ISR</t>
  </si>
  <si>
    <t>2 1 1 9 5 12 31111 6 M59 00003</t>
  </si>
  <si>
    <t>2 1 1 9 5 12 31111 6 M59 00003 000001</t>
  </si>
  <si>
    <t>PRESTAMOS ENTRE CUENTAS</t>
  </si>
  <si>
    <t>2 1 1 9 5 12 31111 6 M59 00003 000001 00001</t>
  </si>
  <si>
    <t>2 1 1 9 5 12 31111 6 M59 00003 000001 00002</t>
  </si>
  <si>
    <t>0119720510 BBVA BANCOMER, FONDO GENERAL</t>
  </si>
  <si>
    <t>2 1 1 9 9</t>
  </si>
  <si>
    <t>OTRAS CUENTAS POR PAGAR A CP</t>
  </si>
  <si>
    <t>2 1 1 9 9 12</t>
  </si>
  <si>
    <t>2 1 1 9 9 12 31111</t>
  </si>
  <si>
    <t>2 1 1 9 9 12 31111 6</t>
  </si>
  <si>
    <t>2 1 1 9 9 12 31111 6 M59</t>
  </si>
  <si>
    <t>2 1 1 9 9 12 31111 6 M59 00002</t>
  </si>
  <si>
    <t>FONDO DE APORTACIONES PARA LA INFRAESTRUCTURA SOCIAL MUNICIPAL</t>
  </si>
  <si>
    <t>2 1 1 9 9 12 31111 6 M59 00002 000001</t>
  </si>
  <si>
    <t>2 1 1 9 9 12 31111 6 M59 00002 000001 00001</t>
  </si>
  <si>
    <t>2 1 1 9 9 12 31111 6 M59 00003</t>
  </si>
  <si>
    <t>2 1 1 9 9 12 31111 6 M59 00003 000001</t>
  </si>
  <si>
    <t>2 1 1 9 9 12 31111 6 M59 00003 000001 00006</t>
  </si>
  <si>
    <t>(VISB820601174) BEATRIZ ADRIANA</t>
  </si>
  <si>
    <t>2 1 1 9 9 12 31111 6 M59 00003 000002</t>
  </si>
  <si>
    <t>PENSIONES ALIMENTICIAS</t>
  </si>
  <si>
    <t>2 1 1 9 9 12 31111 6 M59 00003 000002 00001</t>
  </si>
  <si>
    <t>PENSIONES ALIMENTICIAS (PROTECCION CIVIL)</t>
  </si>
  <si>
    <t>2 1 5</t>
  </si>
  <si>
    <t>PASIVOS DIFERIDOS A CORTO PLAZO</t>
  </si>
  <si>
    <t>2 1 5 1</t>
  </si>
  <si>
    <t>INGRESOS COBRADOS POR ADELANTADO A CORTO PLAZO</t>
  </si>
  <si>
    <t>2 1 5 1 1</t>
  </si>
  <si>
    <t>2 1 5 1 1 12</t>
  </si>
  <si>
    <t>2 1 5 1 1 12 31111</t>
  </si>
  <si>
    <t>2 1 5 1 1 12 31111 6</t>
  </si>
  <si>
    <t>2 1 5 1 1 12 31111 6 M59</t>
  </si>
  <si>
    <t>Ingresos Cobrados por Adelantado a Corto Plazo</t>
  </si>
  <si>
    <t>2 1 5 1 1 12 31111 6 M59 00004</t>
  </si>
  <si>
    <t>2 1 5 1 1 12 31111 6 M59 00004 000001</t>
  </si>
  <si>
    <t>2 1 5 1 1 12 31111 6 M59 00004 000001 00001</t>
  </si>
  <si>
    <t>INGRESOS COBRADOS POR ADELANTADO A CP</t>
  </si>
  <si>
    <t>2 1 9</t>
  </si>
  <si>
    <t>OTROS PASIVOS A CORTO PLAZO</t>
  </si>
  <si>
    <t>2 1 9 1</t>
  </si>
  <si>
    <t>INGRESOS POR CLASIFICAR</t>
  </si>
  <si>
    <t>2 1 9 1 1</t>
  </si>
  <si>
    <t>2 1 9 1 1 12</t>
  </si>
  <si>
    <t>2 1 9 1 1 12 31111</t>
  </si>
  <si>
    <t>2 1 9 1 1 12 31111 6</t>
  </si>
  <si>
    <t>2 1 9 1 1 12 31111 6 M59</t>
  </si>
  <si>
    <t>2 1 9 1 1 12 31111 6 M59 00003</t>
  </si>
  <si>
    <t>2 1 9 1 1 12 31111 6 M59 00003 000001</t>
  </si>
  <si>
    <t>2 1 9 1 1 12 31111 6 M59 00003 000001 00001</t>
  </si>
  <si>
    <t>(BBA830831LJ2) BBVA MEXICO, S.A., INSTITUCION DE BANCA MULTIPLE, GRUPO FINANCIERO BBVA MEXICO</t>
  </si>
  <si>
    <t>2 1 9 1 1 12 31111 6 M59 00003 000001 00002</t>
  </si>
  <si>
    <t>(VISB820601174) BENJAMIN MENDOZA ALARCON</t>
  </si>
  <si>
    <t>2 1 9 1 1 12 31111 6 M59 00003 000001 00003</t>
  </si>
  <si>
    <t>2 1 9 1 1 12 31111 6 M59 00004</t>
  </si>
  <si>
    <t>2 1 9 1 1 12 31111 6 M59 00004 000001</t>
  </si>
  <si>
    <t>2 1 9 1 1 12 31111 6 M59 00004 000001 00001</t>
  </si>
  <si>
    <t>2 1 9 1 1 12 31111 6 M59 00045</t>
  </si>
  <si>
    <t>2 1 9 1 1 12 31111 6 M59 00045 000001</t>
  </si>
  <si>
    <t>2 1 9 1 1 12 31111 6 M59 00045 000001 00001</t>
  </si>
  <si>
    <t>3</t>
  </si>
  <si>
    <t>HACIENDA PÚBLICA/ PATRIMONIO</t>
  </si>
  <si>
    <t>3 1</t>
  </si>
  <si>
    <t>HACIENDA PÚBLICA/PATRIMONIO CONTRIBUIDO</t>
  </si>
  <si>
    <t>3 1 1</t>
  </si>
  <si>
    <t>APORTACIONES</t>
  </si>
  <si>
    <t>3 1 1 1</t>
  </si>
  <si>
    <t>3 1 1 1 1</t>
  </si>
  <si>
    <t>3 1 1 1 1 12</t>
  </si>
  <si>
    <t>3 1 1 1 1 12 31111</t>
  </si>
  <si>
    <t>3 1 1 1 1 12 31111 6</t>
  </si>
  <si>
    <t>3 1 1 1 1 12 31111 6 M59</t>
  </si>
  <si>
    <t>3 1 1 1 1 12 31111 6 M59 00001</t>
  </si>
  <si>
    <t>3 1 1 1 1 12 31111 6 M59 00001 000001</t>
  </si>
  <si>
    <t>3 1 1 1 1 12 31111 6 M59 00002</t>
  </si>
  <si>
    <t>3 1 1 1 1 12 31111 6 M59 00002 000001</t>
  </si>
  <si>
    <t>3 1 1 1 1 12 31111 6 M59 00002 000001 00001</t>
  </si>
  <si>
    <t>3 1 1 1 1 12 31111 6 M59 00004</t>
  </si>
  <si>
    <t>3 1 1 1 1 12 31111 6 M59 00004 000001</t>
  </si>
  <si>
    <t>3 1 1 1 1 12 31111 6 M59 00004 000001 00001</t>
  </si>
  <si>
    <t>3 2</t>
  </si>
  <si>
    <t>HACIENDA PÚBLICA /PATRIMONIO GENERADO</t>
  </si>
  <si>
    <t>3 2 1</t>
  </si>
  <si>
    <t>RESULTADOS DEL EJERCICIO (AHORRO/ DESAHORRO)</t>
  </si>
  <si>
    <t>3 2 1 1</t>
  </si>
  <si>
    <t>3 2 1 1 1</t>
  </si>
  <si>
    <t>3 2 1 1 1 12</t>
  </si>
  <si>
    <t>3 2 1 1 1 12 31111</t>
  </si>
  <si>
    <t>3 2 1 1 1 12 31111 6</t>
  </si>
  <si>
    <t>3 2 1 1 1 12 31111 6 M59</t>
  </si>
  <si>
    <t>3 2 1 1 1 12 31111 6 M59 00001</t>
  </si>
  <si>
    <t>3 2 1 1 1 12 31111 6 M59 00001 000001</t>
  </si>
  <si>
    <t>3 2 1 1 1 12 31111 6 M59 00001 000001 00001</t>
  </si>
  <si>
    <t>3 2 1 1 1 12 31111 6 M59 00001 000045</t>
  </si>
  <si>
    <t>ZOFEMAT (RESULTADOS DEL EJERCICIO)</t>
  </si>
  <si>
    <t>3 2 1 1 1 12 31111 6 M59 00001 000045 00001</t>
  </si>
  <si>
    <t>3 2 1 1 1 12 31111 6 M59 00002</t>
  </si>
  <si>
    <t>3 2 1 1 1 12 31111 6 M59 00002 000001</t>
  </si>
  <si>
    <t>3 2 1 1 1 12 31111 6 M59 00002 000001 00001</t>
  </si>
  <si>
    <t>EJERCICIO 2022</t>
  </si>
  <si>
    <t>3 2 1 1 1 12 31111 6 M59 00003</t>
  </si>
  <si>
    <t>3 2 1 1 1 12 31111 6 M59 00003 000001</t>
  </si>
  <si>
    <t>3 2 1 1 1 12 31111 6 M59 00003 000001 00001</t>
  </si>
  <si>
    <t>3 2 1 1 1 12 31111 6 M59 00003 000001 00001 00001</t>
  </si>
  <si>
    <t>EJERCICIO 2023</t>
  </si>
  <si>
    <t>3 2 1 1 1 12 31111 6 M59 00004</t>
  </si>
  <si>
    <t>3 2 1 1 1 12 31111 6 M59 00004 000001</t>
  </si>
  <si>
    <t>3 2 1 1 1 12 31111 6 M59 00004 000001 00001</t>
  </si>
  <si>
    <t>3 2 1 1 1 12 31111 6 M59 00005</t>
  </si>
  <si>
    <t>3 2 1 1 1 12 31111 6 M59 00005 000001</t>
  </si>
  <si>
    <t>3 2 1 1 1 12 31111 6 M59 00005 000001 00001</t>
  </si>
  <si>
    <t>3 2 2</t>
  </si>
  <si>
    <t>RESULTADOS DE EJERCICIOS ANTERIORES</t>
  </si>
  <si>
    <t>3 2 2 1</t>
  </si>
  <si>
    <t>3 2 2 1 1</t>
  </si>
  <si>
    <t>RESULTADOS DEL EJERCICIO ANTERIOR</t>
  </si>
  <si>
    <t>3 2 2 1 1 12</t>
  </si>
  <si>
    <t>3 2 2 1 1 12 31111</t>
  </si>
  <si>
    <t>3 2 2 1 1 12 31111 6</t>
  </si>
  <si>
    <t>3 2 2 1 1 12 31111 6 M59</t>
  </si>
  <si>
    <t>3 2 2 1 1 12 31111 6 M59 00001</t>
  </si>
  <si>
    <t>3 2 2 1 1 12 31111 6 M59 00001 000001</t>
  </si>
  <si>
    <t>EJERCICIO ANTERIOR</t>
  </si>
  <si>
    <t>3 2 2 1 1 12 31111 6 M59 00001 000001 00001</t>
  </si>
  <si>
    <t>3 2 2 1 1 12 31111 6 M59 00001 000045</t>
  </si>
  <si>
    <t>ZOFEMAT (RESULTADO DE EJERCICIO ANTERIOR INMEDIATO)</t>
  </si>
  <si>
    <t>3 2 2 1 1 12 31111 6 M59 00001 000045 00001</t>
  </si>
  <si>
    <t>3 2 2 1 1 12 31111 6 M59 00001 000091</t>
  </si>
  <si>
    <t>3 2 2 1 1 12 31111 6 M59 00001 000091 00001</t>
  </si>
  <si>
    <t>3 2 2 1 1 12 31111 6 M59 00002</t>
  </si>
  <si>
    <t>3 2 2 1 1 12 31111 6 M59 00002 000006</t>
  </si>
  <si>
    <t>EJERCICIO FISCAL 2022</t>
  </si>
  <si>
    <t>3 2 2 1 1 12 31111 6 M59 00002 000007</t>
  </si>
  <si>
    <t>EJERCICIO FISCAL 2023</t>
  </si>
  <si>
    <t>3 2 2 1 1 12 31111 6 M59 00003</t>
  </si>
  <si>
    <t>3 2 2 1 1 12 31111 6 M59 00003 000007</t>
  </si>
  <si>
    <t>3 2 2 1 1 12 31111 6 M59 00004</t>
  </si>
  <si>
    <t>3 2 2 1 1 12 31111 6 M59 00004 000001</t>
  </si>
  <si>
    <t>3 2 2 1 1 12 31111 6 M59 00004 000002</t>
  </si>
  <si>
    <t>3 2 2 1 1 12 31111 6 M59 00005</t>
  </si>
  <si>
    <t>3 2 2 1 1 12 31111 6 M59 00005 000001</t>
  </si>
  <si>
    <t>3 2 2 1 1 12 31111 6 M59 00005 000001 00001</t>
  </si>
  <si>
    <t>3 2 2 1 2</t>
  </si>
  <si>
    <t>RESULTADO DE EJERCICIOS ANTERIORES</t>
  </si>
  <si>
    <t>3 2 2 1 2 12</t>
  </si>
  <si>
    <t>3 2 2 1 2 12 31111</t>
  </si>
  <si>
    <t>3 2 2 1 2 12 31111 6</t>
  </si>
  <si>
    <t>3 2 2 1 2 12 31111 6 M59</t>
  </si>
  <si>
    <t>3 2 2 1 2 12 31111 6 M59 00001</t>
  </si>
  <si>
    <t>3 2 2 1 2 12 31111 6 M59 00001 000001</t>
  </si>
  <si>
    <t>3 2 2 1 2 12 31111 6 M59 00001 000001 00001</t>
  </si>
  <si>
    <t>3 2 2 1 2 12 31111 6 M59 00001 000045</t>
  </si>
  <si>
    <t>ZOFEMAT (RESULTADOS DE EJERCICIOS ANTERIORES)</t>
  </si>
  <si>
    <t>3 2 2 1 2 12 31111 6 M59 00001 000045 00001</t>
  </si>
  <si>
    <t>3 2 2 1 2 12 31111 6 M59 00003</t>
  </si>
  <si>
    <t>3 2 2 1 2 12 31111 6 M59 00003 000002</t>
  </si>
  <si>
    <t>3 2 2 2</t>
  </si>
  <si>
    <t>3 2 2 2 1</t>
  </si>
  <si>
    <t>3 2 2 2 1 12</t>
  </si>
  <si>
    <t>3 2 2 2 1 12 31111</t>
  </si>
  <si>
    <t>3 2 2 2 1 12 31111 6</t>
  </si>
  <si>
    <t>3 2 2 2 1 12 31111 6 M59</t>
  </si>
  <si>
    <t>3 2 2 2 1 12 31111 6 M59 00005</t>
  </si>
  <si>
    <t>3 2 2 2 1 12 31111 6 M59 00005 000001</t>
  </si>
  <si>
    <t>RESULTADOS DE EJERCICIOS ANTERIORES (DOS AÑOS)</t>
  </si>
  <si>
    <t>3 2 2 2 1 12 31111 6 M59 00005 000001 00001</t>
  </si>
  <si>
    <t>PÚBLICO EN GENERAL</t>
  </si>
  <si>
    <t>3 2 3</t>
  </si>
  <si>
    <t>REVALÚOS</t>
  </si>
  <si>
    <t>3 2 3 2</t>
  </si>
  <si>
    <t>REVALÚO DE BIENES MUEBLES</t>
  </si>
  <si>
    <t>3 2 3 2 1</t>
  </si>
  <si>
    <t>3 2 3 2 1 12</t>
  </si>
  <si>
    <t>3 2 3 2 1 12 31111</t>
  </si>
  <si>
    <t>3 2 3 2 1 12 31111 6</t>
  </si>
  <si>
    <t>3 2 3 2 1 12 31111 6 M59</t>
  </si>
  <si>
    <t>Revalúos de Bienes Muebles</t>
  </si>
  <si>
    <t>3 2 3 2 1 12 31111 6 M59 00001</t>
  </si>
  <si>
    <t>3 2 3 2 1 12 31111 6 M59 00001 000001</t>
  </si>
  <si>
    <t>3 2 3 2 1 12 31111 6 M59 00002</t>
  </si>
  <si>
    <t>3 2 3 2 1 12 31111 6 M59 00002 000001</t>
  </si>
  <si>
    <t>3 2 3 2 1 12 31111 6 M59 00002 000001 00001</t>
  </si>
  <si>
    <t>3 2 3 2 1 12 31111 6 M59 00003</t>
  </si>
  <si>
    <t>3 2 3 2 1 12 31111 6 M59 00003 000001</t>
  </si>
  <si>
    <t>3 2 5</t>
  </si>
  <si>
    <t>RECTIFICACIONES DE RESULTADOS DE EJERCICIOS ANTERIORES</t>
  </si>
  <si>
    <t>3 2 5 2</t>
  </si>
  <si>
    <t>CAMBIOS POR ERRORES CONTABLES</t>
  </si>
  <si>
    <t>3 2 5 2 1</t>
  </si>
  <si>
    <t>3 2 5 2 1 12</t>
  </si>
  <si>
    <t>3 2 5 2 1 12 31111</t>
  </si>
  <si>
    <t>3 2 5 2 1 12 31111 6</t>
  </si>
  <si>
    <t>3 2 5 2 1 12 31111 6 M59</t>
  </si>
  <si>
    <t>3 2 5 2 1 12 31111 6 M59 00001</t>
  </si>
  <si>
    <t>3 2 5 2 1 12 31111 6 M59 00002</t>
  </si>
  <si>
    <t>3 2 5 2 1 12 31111 6 M59 00002 000001</t>
  </si>
  <si>
    <t>3 2 5 2 1 12 31111 6 M59 00003</t>
  </si>
  <si>
    <t>3 2 5 2 1 12 31111 6 M59 00003 000006</t>
  </si>
  <si>
    <t>EJERCICIO FISCAL 2021</t>
  </si>
  <si>
    <t>3 2 5 2 1 12 31111 6 M59 00004</t>
  </si>
  <si>
    <t>3 2 5 2 1 12 31111 6 M59 00004 000001</t>
  </si>
  <si>
    <t>3 2 5 2 1 12 31111 6 M59 00004 000001 00001</t>
  </si>
  <si>
    <t>CAMBIOS CONTABLES</t>
  </si>
  <si>
    <t>3 2 5 2 1 12 31111 6 M59 00005</t>
  </si>
  <si>
    <t>3 2 5 2 1 12 31111 6 M59 00005 000001</t>
  </si>
  <si>
    <t>4</t>
  </si>
  <si>
    <t>INGRESOS Y OTROS BENEFICIOS</t>
  </si>
  <si>
    <t>4 1</t>
  </si>
  <si>
    <t>INGRESOS DE GESTIÓN</t>
  </si>
  <si>
    <t>4 1 1</t>
  </si>
  <si>
    <t>IMPUESTOS</t>
  </si>
  <si>
    <t>4 1 1 1</t>
  </si>
  <si>
    <t>IMPUESTOS SOBRE LOS INGRESOS</t>
  </si>
  <si>
    <t>4 1 1 1 1</t>
  </si>
  <si>
    <t>4 1 1 1 1 12</t>
  </si>
  <si>
    <t>4 1 1 1 1 12 31111</t>
  </si>
  <si>
    <t>4 1 1 1 1 12 31111 6</t>
  </si>
  <si>
    <t>4 1 1 1 1 12 31111 6 M59</t>
  </si>
  <si>
    <t>XXX CAMBIO DE ETIQUETA PRESUPUESTAL XXX</t>
  </si>
  <si>
    <t>4 1 1 1 1 12 31111 6 M59 19000</t>
  </si>
  <si>
    <t>4 1 1 1 1 12 31111 6 M59 19000 000000</t>
  </si>
  <si>
    <t>CLASIFICACIÓN FUNCIONAL DEL GASTO (FFF)</t>
  </si>
  <si>
    <t>4 1 1 1 1 12 31111 6 M59 19000 000000 00000</t>
  </si>
  <si>
    <t>CLASIFICACIÓN PROGRAMÁTICA (PP)</t>
  </si>
  <si>
    <t>4 1 1 1 1 12 31111 6 M59 19000 000000 00000 00000</t>
  </si>
  <si>
    <t>CLASIFICADOR TIPO DE PRESUPUESTO (TG)</t>
  </si>
  <si>
    <t>4 1 1 1 1 12 31111 6 M59 19000 000000 00000 00000 00011</t>
  </si>
  <si>
    <t>4 1 1 1 1 12 31111 6 M59 19000 000000 00000 00000 00011 011</t>
  </si>
  <si>
    <t>4 1 1 1 1 12 31111 6 M59 19000 000000 00000 00000 00011 011 1111110</t>
  </si>
  <si>
    <t>IMPUESTO SOBRE LOS INGRESOS</t>
  </si>
  <si>
    <t>4 1 1 1 1 12 31111 6 M59 19000 000000 00000 00000 00011 011 1111110 2024</t>
  </si>
  <si>
    <t>4 1 1 1 1 12 31111 6 M59 19000 000000 00000 00000 00011 011 1111110 2024 00000000</t>
  </si>
  <si>
    <t>SIN PRIORIDAD</t>
  </si>
  <si>
    <t>4 1 1 1 1 12 31111 6 M59 19000 000000 00000 00000 00011 011 1111110 2024 00000000 004</t>
  </si>
  <si>
    <t>CG (INGRESOS PROPIOS)</t>
  </si>
  <si>
    <t>4 1 1 1 1 12 31111 6 M59 19000 000000 00000 00000 00011 011 1111110 2024 00000000 004 0000001</t>
  </si>
  <si>
    <t>4 1 1 1 1 12 31111 6 M59 19000 000000 00000 00000 00011 011 1111110 2024 00000000 004 0000001 00001</t>
  </si>
  <si>
    <t>DIVERSIONES Y ESPECTÁCULOS PÚBLICOS</t>
  </si>
  <si>
    <t>4 1 1 1 1 12 31111 6 M59 19000 000000 00000 00000 00011 011 1111110 2024 00000000 004 0000001 00001 002</t>
  </si>
  <si>
    <t>BAILES PARTICULARES, CUANDO SE DESARROLLEN EN ALGUN ESPACIO PUBLICO, POR EVENTO</t>
  </si>
  <si>
    <t>4 1 1 2</t>
  </si>
  <si>
    <t>IMPUESTOS SOBRE EL PATRIMONIO</t>
  </si>
  <si>
    <t>4 1 1 2 1</t>
  </si>
  <si>
    <t>4 1 1 2 1 12</t>
  </si>
  <si>
    <t>4 1 1 2 1 12 31111</t>
  </si>
  <si>
    <t>4 1 1 2 1 12 31111 6</t>
  </si>
  <si>
    <t>4 1 1 2 1 12 31111 6 M59</t>
  </si>
  <si>
    <t>4 1 1 2 1 12 31111 6 M59 19000</t>
  </si>
  <si>
    <t>4 1 1 2 1 12 31111 6 M59 19000 000000</t>
  </si>
  <si>
    <t>4 1 1 2 1 12 31111 6 M59 19000 000000 00000</t>
  </si>
  <si>
    <t>4 1 1 2 1 12 31111 6 M59 19000 000000 00000 00000</t>
  </si>
  <si>
    <t>4 1 1 2 1 12 31111 6 M59 19000 000000 00000 00000 00012</t>
  </si>
  <si>
    <t>4 1 1 2 1 12 31111 6 M59 19000 000000 00000 00000 00012 011</t>
  </si>
  <si>
    <t>4 1 1 2 1 12 31111 6 M59 19000 000000 00000 00000 00012 011 1113000</t>
  </si>
  <si>
    <t>IMPUESTO SOBRE LA PROPIEDAD</t>
  </si>
  <si>
    <t>4 1 1 2 1 12 31111 6 M59 19000 000000 00000 00000 00012 011 1113000 2024</t>
  </si>
  <si>
    <t>4 1 1 2 1 12 31111 6 M59 19000 000000 00000 00000 00012 011 1113000 2024 00000000</t>
  </si>
  <si>
    <t>4 1 1 2 1 12 31111 6 M59 19000 000000 00000 00000 00012 011 1113000 2024 00000000 004</t>
  </si>
  <si>
    <t>4 1 1 2 1 12 31111 6 M59 19000 000000 00000 00000 00012 011 1113000 2024 00000000 004 0000001</t>
  </si>
  <si>
    <t>4 1 1 2 1 12 31111 6 M59 19000 000000 00000 00000 00012 011 1113000 2024 00000000 004 0000001 00001</t>
  </si>
  <si>
    <t>IMPUESTO PREDIAL</t>
  </si>
  <si>
    <t>4 1 1 2 1 12 31111 6 M59 19000 000000 00000 00000 00012 011 1113000 2024 00000000 004 0000001 00001 001</t>
  </si>
  <si>
    <t>PREDIOS URBANOS Y SUBURBANOS BALDIOS</t>
  </si>
  <si>
    <t>4 1 1 2 1 12 31111 6 M59 19000 000000 00000 00000 00012 011 1113000 2024 00000000 004 0000001 00001 003</t>
  </si>
  <si>
    <t>PREDIOS RUSTICOS BALDIOS</t>
  </si>
  <si>
    <t>4 1 1 2 1 12 31111 6 M59 19000 000000 00000 00000 00012 011 1113000 2024 00000000 004 0000001 00001 004</t>
  </si>
  <si>
    <t>PREDIOS URBANOS Y SUB URBANOS Y RUSTICOS EDIFICADOS</t>
  </si>
  <si>
    <t>4 1 1 2 1 12 31111 6 M59 19000 000000 00000 00000 00012 011 1113000 2024 00000000 004 0000001 00001 008</t>
  </si>
  <si>
    <t>PREDIOS PROPIEDAD DE PENSIONADOS, JUBILADOS Y PERSONAS DE CAPACIDADES DIFERENTES</t>
  </si>
  <si>
    <t>4 1 1 3</t>
  </si>
  <si>
    <t>IMPUESTOS SOBRE LA PRODUCCIÓN, EL CONSUMO Y LAS TRANSACCIONES</t>
  </si>
  <si>
    <t>4 1 1 3 1</t>
  </si>
  <si>
    <t>IMPUESTOS SOBRE LA PRODUCCION, AL CONSUMO Y LAS TRANSACCIONES</t>
  </si>
  <si>
    <t>4 1 1 3 1 12</t>
  </si>
  <si>
    <t>4 1 1 3 1 12 31111</t>
  </si>
  <si>
    <t>4 1 1 3 1 12 31111 6</t>
  </si>
  <si>
    <t>4 1 1 3 1 12 31111 6 M59</t>
  </si>
  <si>
    <t>4 1 1 3 1 12 31111 6 M59 19000</t>
  </si>
  <si>
    <t>4 1 1 3 1 12 31111 6 M59 19000 000000</t>
  </si>
  <si>
    <t>4 1 1 3 1 12 31111 6 M59 19000 000000 00000</t>
  </si>
  <si>
    <t>4 1 1 3 1 12 31111 6 M59 19000 000000 00000 00000</t>
  </si>
  <si>
    <t>4 1 1 3 1 12 31111 6 M59 19000 000000 00000 00000 00013</t>
  </si>
  <si>
    <t>4 1 1 3 1 12 31111 6 M59 19000 000000 00000 00000 00013 011</t>
  </si>
  <si>
    <t>4 1 1 3 1 12 31111 6 M59 19000 000000 00000 00000 00013 011 1113000</t>
  </si>
  <si>
    <t>4 1 1 3 1 12 31111 6 M59 19000 000000 00000 00000 00013 011 1113000 2024</t>
  </si>
  <si>
    <t>4 1 1 3 1 12 31111 6 M59 19000 000000 00000 00000 00013 011 1113000 2024 00000000</t>
  </si>
  <si>
    <t>4 1 1 3 1 12 31111 6 M59 19000 000000 00000 00000 00013 011 1113000 2024 00000000 004</t>
  </si>
  <si>
    <t>4 1 1 3 1 12 31111 6 M59 19000 000000 00000 00000 00013 011 1113000 2024 00000000 004 0000001</t>
  </si>
  <si>
    <t>4 1 1 3 1 12 31111 6 M59 19000 000000 00000 00000 00013 011 1113000 2024 00000000 004 0000001 00001</t>
  </si>
  <si>
    <t>SOBRE ADQUISICIÓN DE INMUEBLES</t>
  </si>
  <si>
    <t>4 1 1 3 1 12 31111 6 M59 19000 000000 00000 00000 00013 011 1113000 2024 00000000 004 0000001 00001 001</t>
  </si>
  <si>
    <t>2% SOBRE ADQUISICION DE INMUEBLES</t>
  </si>
  <si>
    <t>4 1 1 3 1 12 31111 6 M59 19000 000000 00000 00000 00013 011 1113000 2024 00000000 004 0000013</t>
  </si>
  <si>
    <t>SEÑALES PARA GANADO, FIERROS Y MARCAS</t>
  </si>
  <si>
    <t>4 1 1 3 1 12 31111 6 M59 19000 000000 00000 00000 00013 011 1113000 2024 00000000 004 0000013 00001</t>
  </si>
  <si>
    <t>REGISTRO DE FIERRO QUEMADOR O SEÑAL DE SANGRE</t>
  </si>
  <si>
    <t>4 1 1 3 1 12 31111 6 M59 19000 000000 00000 00000 00013 011 1113000 2024 00000000 004 0000013 00001 001</t>
  </si>
  <si>
    <t>BOVINOS</t>
  </si>
  <si>
    <t>4 1 1 6</t>
  </si>
  <si>
    <t>IMPUESTOS ECOLÓGICOS</t>
  </si>
  <si>
    <t>4 1 1 6 1</t>
  </si>
  <si>
    <t>IMPUESTOS ECOLOGICOS</t>
  </si>
  <si>
    <t>4 1 1 6 1 12</t>
  </si>
  <si>
    <t>4 1 1 6 1 12 31111</t>
  </si>
  <si>
    <t>4 1 1 6 1 12 31111 6</t>
  </si>
  <si>
    <t>4 1 1 6 1 12 31111 6 M59</t>
  </si>
  <si>
    <t>4 1 1 6 1 12 31111 6 M59 19000</t>
  </si>
  <si>
    <t>4 1 1 6 1 12 31111 6 M59 19000 000000</t>
  </si>
  <si>
    <t>4 1 1 6 1 12 31111 6 M59 19000 000000 00000</t>
  </si>
  <si>
    <t>4 1 1 6 1 12 31111 6 M59 19000 000000 00000 00000</t>
  </si>
  <si>
    <t>4 1 1 6 1 12 31111 6 M59 19000 000000 00000 00000 00016</t>
  </si>
  <si>
    <t>4 1 1 6 1 12 31111 6 M59 19000 000000 00000 00000 00016 011</t>
  </si>
  <si>
    <t>4 1 1 6 1 12 31111 6 M59 19000 000000 00000 00000 00016 011 1116000</t>
  </si>
  <si>
    <t>4 1 1 6 1 12 31111 6 M59 19000 000000 00000 00000 00016 011 1116000 2024</t>
  </si>
  <si>
    <t>4 1 1 6 1 12 31111 6 M59 19000 000000 00000 00000 00016 011 1116000 2024 00000000</t>
  </si>
  <si>
    <t>4 1 1 6 1 12 31111 6 M59 19000 000000 00000 00000 00016 011 1116000 2024 00000000 004</t>
  </si>
  <si>
    <t>4 1 1 6 1 12 31111 6 M59 19000 000000 00000 00000 00016 011 1116000 2024 00000000 004 0000001</t>
  </si>
  <si>
    <t>4 1 1 6 1 12 31111 6 M59 19000 000000 00000 00000 00016 011 1116000 2024 00000000 004 0000001 00001</t>
  </si>
  <si>
    <t>POR LA RECOLECCION MANEJO Y DISPOSICION FINAL DE ENVASES NO RETORNABLES</t>
  </si>
  <si>
    <t>4 1 1 6 1 12 31111 6 M59 19000 000000 00000 00000 00016 011 1116000 2024 00000000 004 0000001 00001 001</t>
  </si>
  <si>
    <t>ENVASES NO RETORNABLES QUE CONTIENEN PRODUCTOS NO TOXICOS</t>
  </si>
  <si>
    <t>4 1 1 6 1 12 31111 6 M59 19000 000000 00000 00000 00016 011 1116000 2024 00000000 004 0000001 00001 002</t>
  </si>
  <si>
    <t>ENVASES NO RETORNABLES QUE CONTIENEN PRODUCTOS TOXICOS</t>
  </si>
  <si>
    <t>4 1 1 6 1 12 31111 6 M59 19000 000000 00000 00000 00016 011 1116000 2024 00000000 004 0000001 00002</t>
  </si>
  <si>
    <t>4 1 1 6 1 12 31111 6 M59 19000 000000 00000 00000 00016 011 1116000 2024 00000000 004 0000002</t>
  </si>
  <si>
    <t>PRO-ECOLOGIA</t>
  </si>
  <si>
    <t>4 1 1 6 1 12 31111 6 M59 19000 000000 00000 00000 00016 011 1116000 2024 00000000 004 0000002 00001</t>
  </si>
  <si>
    <t>4 1 1 6 1 12 31111 6 M59 19000 000000 00000 00000 00016 011 1116000 2024 00000000 004 0000002 00001 001</t>
  </si>
  <si>
    <t>POR AUTORIZACION DE REGISTRO COMO GENERADOR DE EMISIONES CONTAMINANTES A LA ATMOSFERA A ESTABLECIMIENTOS MERCANTILES Y DE SERVICIO</t>
  </si>
  <si>
    <t>4 1 1 7</t>
  </si>
  <si>
    <t>ACCESORIOS DE IMPUESTOS</t>
  </si>
  <si>
    <t>4 1 1 7 1</t>
  </si>
  <si>
    <t>4 1 1 7 1 12</t>
  </si>
  <si>
    <t>4 1 1 7 1 12 31111</t>
  </si>
  <si>
    <t>4 1 1 7 1 12 31111 6</t>
  </si>
  <si>
    <t>4 1 1 7 1 12 31111 6 M59</t>
  </si>
  <si>
    <t>4 1 1 7 1 12 31111 6 M59 19000</t>
  </si>
  <si>
    <t>4 1 1 7 1 12 31111 6 M59 19000 000000</t>
  </si>
  <si>
    <t>4 1 1 7 1 12 31111 6 M59 19000 000000 00000</t>
  </si>
  <si>
    <t>4 1 1 7 1 12 31111 6 M59 19000 000000 00000 00000</t>
  </si>
  <si>
    <t>4 1 1 7 1 12 31111 6 M59 19000 000000 00000 00000 00017</t>
  </si>
  <si>
    <t xml:space="preserve">ACCESORIOS DE IMPUESTOS </t>
  </si>
  <si>
    <t>4 1 1 7 1 12 31111 6 M59 19000 000000 00000 00000 00017 011</t>
  </si>
  <si>
    <t>4 1 1 7 1 12 31111 6 M59 19000 000000 00000 00000 00017 011 1113000</t>
  </si>
  <si>
    <t>4 1 1 7 1 12 31111 6 M59 19000 000000 00000 00000 00017 011 1113000 2024</t>
  </si>
  <si>
    <t>4 1 1 7 1 12 31111 6 M59 19000 000000 00000 00000 00017 011 1113000 2024 00000000</t>
  </si>
  <si>
    <t>4 1 1 7 1 12 31111 6 M59 19000 000000 00000 00000 00017 011 1113000 2024 00000000 004</t>
  </si>
  <si>
    <t>4 1 1 7 1 12 31111 6 M59 19000 000000 00000 00000 00017 011 1113000 2024 00000000 004 0000001</t>
  </si>
  <si>
    <t>4 1 1 7 1 12 31111 6 M59 19000 000000 00000 00000 00017 011 1113000 2024 00000000 004 0000001 00001</t>
  </si>
  <si>
    <t>RECARGOS, ACTUALIZACIONES, MULTAS Y GASTOS DE EJECUCIÓN</t>
  </si>
  <si>
    <t>4 1 1 7 1 12 31111 6 M59 19000 000000 00000 00000 00017 011 1113000 2024 00000000 004 0000001 00001 001</t>
  </si>
  <si>
    <t>MULTAS DE PREDIAL</t>
  </si>
  <si>
    <t>4 1 1 7 1 12 31111 6 M59 19000 000000 00000 00000 00017 011 1113000 2024 00000000 004 0000001 00001 002</t>
  </si>
  <si>
    <t>RECARGOS DE PREDIAL</t>
  </si>
  <si>
    <t>4 1 1 8</t>
  </si>
  <si>
    <t>IMPUESTOS NO COMPRENDIDOS EN LA LEY DE INGRESOS VIGENTE, CAUSADOS EN EJERCICIOS FISCALES ANTERIORES PENDIENTES DE LIQUIDACION O PAGO</t>
  </si>
  <si>
    <t>4 1 1 8 1</t>
  </si>
  <si>
    <t>IMPUESTOS NO COMPRENDIDOS EN LA LEY DE INGRESOS VIGENTE, CAUSADOS EN EJERCICIOS FISCALES ANTERIORES PENDIENTES DE LIQUIDACIÓN O PAGO</t>
  </si>
  <si>
    <t>4 1 1 8 1 12</t>
  </si>
  <si>
    <t>4 1 1 8 1 12 31111</t>
  </si>
  <si>
    <t>4 1 1 8 1 12 31111 6</t>
  </si>
  <si>
    <t>4 1 1 8 1 12 31111 6 M59</t>
  </si>
  <si>
    <t>4 1 1 8 1 12 31111 6 M59 19000</t>
  </si>
  <si>
    <t>4 1 1 8 1 12 31111 6 M59 19000 000000</t>
  </si>
  <si>
    <t>4 1 1 8 1 12 31111 6 M59 19000 000000 00000</t>
  </si>
  <si>
    <t>4 1 1 8 1 12 31111 6 M59 19000 000000 00000 00000</t>
  </si>
  <si>
    <t>4 1 1 8 1 12 31111 6 M59 19000 000000 00000 00000 00019</t>
  </si>
  <si>
    <t>IMPUESTOS NO COMPRENDIDOS EN LAS FRACCIONES DE LA LEY DE INGRESOS CAUSADAS EN EJERCICIOS FISCALES ANTERIORES PENDIENTES DE LIQUIDACIÓN O PAGO</t>
  </si>
  <si>
    <t>4 1 1 8 1 12 31111 6 M59 19000 000000 00000 00000 00019 011</t>
  </si>
  <si>
    <t>4 1 1 8 1 12 31111 6 M59 19000 000000 00000 00000 00019 011 0000000</t>
  </si>
  <si>
    <t>CLASIFICADOR ECONOMICO (CE)</t>
  </si>
  <si>
    <t>4 1 1 8 1 12 31111 6 M59 19000 000000 00000 00000 00019 011 0000000 2024</t>
  </si>
  <si>
    <t>4 1 1 8 1 12 31111 6 M59 19000 000000 00000 00000 00019 011 0000000 2024 00000000</t>
  </si>
  <si>
    <t>4 1 1 8 1 12 31111 6 M59 19000 000000 00000 00000 00019 011 0000000 2024 00000000 004</t>
  </si>
  <si>
    <t>4 1 1 8 1 12 31111 6 M59 19000 000000 00000 00000 00019 011 0000000 2024 00000000 004 0000001</t>
  </si>
  <si>
    <t>REZAGOS DE IMPUESTO PREDIAL</t>
  </si>
  <si>
    <t>4 1 1 8 1 12 31111 6 M59 19000 000000 00000 00000 00019 011 0000000 2024 00000000 004 0000001 00001</t>
  </si>
  <si>
    <t>4 1 1 9</t>
  </si>
  <si>
    <t>OTROS IMPUESTOS</t>
  </si>
  <si>
    <t>4 1 1 9 1</t>
  </si>
  <si>
    <t>4 1 1 9 1 12</t>
  </si>
  <si>
    <t>4 1 1 9 1 12 31111</t>
  </si>
  <si>
    <t>4 1 1 9 1 12 31111 6</t>
  </si>
  <si>
    <t>4 1 1 9 1 12 31111 6 M59</t>
  </si>
  <si>
    <t>4 1 1 9 1 12 31111 6 M59 19000</t>
  </si>
  <si>
    <t>4 1 1 9 1 12 31111 6 M59 19000 000000</t>
  </si>
  <si>
    <t>4 1 1 9 1 12 31111 6 M59 19000 000000 00000</t>
  </si>
  <si>
    <t>4 1 1 9 1 12 31111 6 M59 19000 000000 00000 00000</t>
  </si>
  <si>
    <t>4 1 1 9 1 12 31111 6 M59 19000 000000 00000 00000 00018</t>
  </si>
  <si>
    <t>4 1 1 9 1 12 31111 6 M59 19000 000000 00000 00000 00018 011</t>
  </si>
  <si>
    <t>4 1 1 9 1 12 31111 6 M59 19000 000000 00000 00000 00018 011 1118000</t>
  </si>
  <si>
    <t>4 1 1 9 1 12 31111 6 M59 19000 000000 00000 00000 00018 011 1118000 2024</t>
  </si>
  <si>
    <t>4 1 1 9 1 12 31111 6 M59 19000 000000 00000 00000 00018 011 1118000 2024 00000000</t>
  </si>
  <si>
    <t>4 1 1 9 1 12 31111 6 M59 19000 000000 00000 00000 00018 011 1118000 2024 00000000 004</t>
  </si>
  <si>
    <t>4 1 1 9 1 12 31111 6 M59 19000 000000 00000 00000 00018 011 1118000 2024 00000000 004 0000001</t>
  </si>
  <si>
    <t>4 1 1 9 1 12 31111 6 M59 19000 000000 00000 00000 00018 011 1118000 2024 00000000 004 0000001 00001</t>
  </si>
  <si>
    <t>4 1 1 9 1 12 31111 6 M59 19000 000000 00000 00000 00018 011 1118000 2024 00000000 004 0000001 00001 001</t>
  </si>
  <si>
    <t>4 1 4</t>
  </si>
  <si>
    <t>DERECHOS</t>
  </si>
  <si>
    <t>4 1 4 1</t>
  </si>
  <si>
    <t>DERECHOS POR EL USO, GOCE, APROVECHAMIENTO O EXPLOTACIÓN DE BIENES DE DOMINIO PÚBLICO</t>
  </si>
  <si>
    <t>4 1 4 1 1</t>
  </si>
  <si>
    <t>DERECHOS POR EL USO, GOCE, APROVECHAMIENTO O EXPLOTACION DE BIENES DE DOMINIO PUBLICO</t>
  </si>
  <si>
    <t>4 1 4 1 1 12</t>
  </si>
  <si>
    <t>4 1 4 1 1 12 31111</t>
  </si>
  <si>
    <t>4 1 4 1 1 12 31111 6</t>
  </si>
  <si>
    <t>4 1 4 1 1 12 31111 6 M59</t>
  </si>
  <si>
    <t>4 1 4 1 1 12 31111 6 M59 19000</t>
  </si>
  <si>
    <t>4 1 4 1 1 12 31111 6 M59 19000 000000</t>
  </si>
  <si>
    <t>4 1 4 1 1 12 31111 6 M59 19000 000000 00000</t>
  </si>
  <si>
    <t>4 1 4 1 1 12 31111 6 M59 19000 000000 00000 00000</t>
  </si>
  <si>
    <t>4 1 4 1 1 12 31111 6 M59 19000 000000 00000 00000 00041</t>
  </si>
  <si>
    <t>4 1 4 1 1 12 31111 6 M59 19000 000000 00000 00000 00041 011</t>
  </si>
  <si>
    <t>4 1 4 1 1 12 31111 6 M59 19000 000000 00000 00000 00041 011 1113000</t>
  </si>
  <si>
    <t>4 1 4 1 1 12 31111 6 M59 19000 000000 00000 00000 00041 011 1113000 2024</t>
  </si>
  <si>
    <t>4 1 4 1 1 12 31111 6 M59 19000 000000 00000 00000 00041 011 1113000 2024 00000000</t>
  </si>
  <si>
    <t>4 1 4 1 1 12 31111 6 M59 19000 000000 00000 00000 00041 011 1113000 2024 00000000 004</t>
  </si>
  <si>
    <t>4 1 4 1 1 12 31111 6 M59 19000 000000 00000 00000 00041 011 1113000 2024 00000000 004 0000001</t>
  </si>
  <si>
    <t>4 1 4 1 1 12 31111 6 M59 19000 000000 00000 00000 00041 011 1113000 2024 00000000 004 0000001 00001</t>
  </si>
  <si>
    <t>POR EL USO DE LA VÍA PÚBLICA</t>
  </si>
  <si>
    <t>4 1 4 1 1 12 31111 6 M59 19000 000000 00000 00000 00041 011 1113000 2024 00000000 004 0000001 00001 002</t>
  </si>
  <si>
    <t>COMERCIO AMBULANTE EN LAS CALLES AUTORIZADAS POR EL H. AYUNTAMIENTO DENTRO DE LA CABECERA MUNICIPAL, DIARIAMENTE; Y</t>
  </si>
  <si>
    <t>4 1 4 3</t>
  </si>
  <si>
    <t>DERECHOS POR PRESTACIÓN DE SERVICIOS</t>
  </si>
  <si>
    <t>4 1 4 3 1</t>
  </si>
  <si>
    <t>DERECHOS POR PRESTACION DE SERVICIOS</t>
  </si>
  <si>
    <t>4 1 4 3 1 12</t>
  </si>
  <si>
    <t>4 1 4 3 1 12 31111</t>
  </si>
  <si>
    <t>4 1 4 3 1 12 31111 6</t>
  </si>
  <si>
    <t>4 1 4 3 1 12 31111 6 M59</t>
  </si>
  <si>
    <t>4 1 4 3 1 12 31111 6 M59 19000</t>
  </si>
  <si>
    <t>4 1 4 3 1 12 31111 6 M59 19000 000000</t>
  </si>
  <si>
    <t>4 1 4 3 1 12 31111 6 M59 19000 000000 00000</t>
  </si>
  <si>
    <t>4 1 4 3 1 12 31111 6 M59 19000 000000 00000 00000</t>
  </si>
  <si>
    <t>4 1 4 3 1 12 31111 6 M59 19000 000000 00000 00000 00043</t>
  </si>
  <si>
    <t>4 1 4 3 1 12 31111 6 M59 19000 000000 00000 00000 00043 011</t>
  </si>
  <si>
    <t>4 1 4 3 1 12 31111 6 M59 19000 000000 00000 00000 00043 011 1113000</t>
  </si>
  <si>
    <t>4 1 4 3 1 12 31111 6 M59 19000 000000 00000 00000 00043 011 1113000 2024</t>
  </si>
  <si>
    <t>4 1 4 3 1 12 31111 6 M59 19000 000000 00000 00000 00043 011 1113000 2024 00000000</t>
  </si>
  <si>
    <t>4 1 4 3 1 12 31111 6 M59 19000 000000 00000 00000 00043 011 1113000 2024 00000000 004</t>
  </si>
  <si>
    <t>4 1 4 3 1 12 31111 6 M59 19000 000000 00000 00000 00043 011 1113000 2024 00000000 004 0000001</t>
  </si>
  <si>
    <t>4 1 4 3 1 12 31111 6 M59 19000 000000 00000 00000 00043 011 1113000 2024 00000000 004 0000001 00001</t>
  </si>
  <si>
    <t>SERVICIOS GENERALES DEL RASTRO MUNICIPAL O LUGARES AUTORIZADOS</t>
  </si>
  <si>
    <t>4 1 4 3 1 12 31111 6 M59 19000 000000 00000 00000 00043 011 1113000 2024 00000000 004 0000001 00001 001</t>
  </si>
  <si>
    <t>SACRIFICIO DESPRENDIDO DE PIEL O DESPLUME, RASURADO, EXTRACCION DE VISCERAS</t>
  </si>
  <si>
    <t>4 1 4 3 1 12 31111 6 M59 19000 000000 00000 00000 00043 011 1113000 2024 00000000 004 0000001 00002</t>
  </si>
  <si>
    <t>SERVICIOS GENERALES DE PANTEONES</t>
  </si>
  <si>
    <t>4 1 4 3 1 12 31111 6 M59 19000 000000 00000 00000 00043 011 1113000 2024 00000000 004 0000001 00002 001</t>
  </si>
  <si>
    <t>INHUMACIONES POR CUERPO</t>
  </si>
  <si>
    <t>4 1 4 3 1 12 31111 6 M59 19000 000000 00000 00000 00043 011 1113000 2024 00000000 004 0000001 00003</t>
  </si>
  <si>
    <t>POR SERVICIOS DE AGUA POTABLE, DRENAJE, ALCANTARILLADO Y SANEAMIENTO</t>
  </si>
  <si>
    <t>4 1 4 3 1 12 31111 6 M59 19000 000000 00000 00000 00043 011 1113000 2024 00000000 004 0000001 00003 001</t>
  </si>
  <si>
    <t xml:space="preserve">POR EL SERVICIO MENSUAL DE ABASTECIMIENTO DE AGUA POTABLE </t>
  </si>
  <si>
    <t>4 1 4 3 1 12 31111 6 M59 19000 000000 00000 00000 00043 011 1113000 2024 00000000 004 0000001 00004</t>
  </si>
  <si>
    <t>POR SERVICIOS DE ALUMBRADO PÚBLICO</t>
  </si>
  <si>
    <t>4 1 4 3 1 12 31111 6 M59 19000 000000 00000 00000 00043 011 1113000 2024 00000000 004 0000001 00004 001</t>
  </si>
  <si>
    <t>CALLES, AVENIDAS, BOULEVARES, CAMINOS VECINALES, PLAZAS, PARQUES, JARDINES Y LUGARES DE USO COMÚN</t>
  </si>
  <si>
    <t>4 1 4 3 1 12 31111 6 M59 19000 000000 00000 00000 00043 011 1113000 2024 00000000 004 0000001 00005</t>
  </si>
  <si>
    <t>POR SERVICIOS DE LIMPIA, ASEO PÚBLICO, RECOLECCIÓN, TRASLADO, TRATAMIENTO Y DISPOSICIÓN FINAL DE RESIDUOS</t>
  </si>
  <si>
    <t>4 1 4 3 1 12 31111 6 M59 19000 000000 00000 00000 00043 011 1113000 2024 00000000 004 0000001 00005 001</t>
  </si>
  <si>
    <t>POR  SERVICIO  DE  RECOLECCIÓN  SELECTIVA  DE  DESECHOS  Y/O  RESIDUOS  A  LOS PROPIETARIOS O POSEEDORES DE CASAS HABITACIÓN, CONDOMINIOS, DEPARTAMENTOS O SIMILARES</t>
  </si>
  <si>
    <t>4 1 4 3 1 12 31111 6 M59 19000 000000 00000 00000 00043 011 1113000 2024 00000000 004 0000001 00006</t>
  </si>
  <si>
    <t>POR LOS SERVICIOS MUNICIPALES DE SALUD</t>
  </si>
  <si>
    <t>4 1 4 3 1 12 31111 6 M59 19000 000000 00000 00000 00043 011 1113000 2024 00000000 004 0000001 00006 001</t>
  </si>
  <si>
    <t>DE LA PREVENCION Y CONTROL DE ENFERMEDADES  PORTRANSMISION SEXUAL</t>
  </si>
  <si>
    <t>4 1 4 3 1 12 31111 6 M59 19000 000000 00000 00000 00043 011 1113000 2024 00000000 004 0000001 00007</t>
  </si>
  <si>
    <t>POR LOS SERVICIOS PRESTADOS MEDIANTE LA DIRECCIÓN DE TRÁNSITO Y VIALIDAD</t>
  </si>
  <si>
    <t>4 1 4 3 1 12 31111 6 M59 19000 000000 00000 00000 00043 011 1113000 2024 00000000 004 0000001 00007 001</t>
  </si>
  <si>
    <t xml:space="preserve">LICENCIA PARA MANEJAR </t>
  </si>
  <si>
    <t>4 1 4 4</t>
  </si>
  <si>
    <t>ACCESORIOS DE DERECHOS</t>
  </si>
  <si>
    <t>4 1 4 4 1</t>
  </si>
  <si>
    <t>4 1 4 4 1 12</t>
  </si>
  <si>
    <t>4 1 4 4 1 12 31111</t>
  </si>
  <si>
    <t>4 1 4 4 1 12 31111 6</t>
  </si>
  <si>
    <t>4 1 4 4 1 12 31111 6 M59</t>
  </si>
  <si>
    <t>4 1 4 4 1 12 31111 6 M59 19000</t>
  </si>
  <si>
    <t>4 1 4 4 1 12 31111 6 M59 19000 000000</t>
  </si>
  <si>
    <t>4 1 4 4 1 12 31111 6 M59 19000 000000 00000</t>
  </si>
  <si>
    <t>4 1 4 4 1 12 31111 6 M59 19000 000000 00000 00000</t>
  </si>
  <si>
    <t>4 1 4 4 1 12 31111 6 M59 19000 000000 00000 00000 00045</t>
  </si>
  <si>
    <t>4 1 4 4 1 12 31111 6 M59 19000 000000 00000 00000 00045 011</t>
  </si>
  <si>
    <t>4 1 4 4 1 12 31111 6 M59 19000 000000 00000 00000 00045 011 1113000</t>
  </si>
  <si>
    <t>4 1 4 4 1 12 31111 6 M59 19000 000000 00000 00000 00045 011 1113000 2024</t>
  </si>
  <si>
    <t>4 1 4 4 1 12 31111 6 M59 19000 000000 00000 00000 00045 011 1113000 2024 00000000</t>
  </si>
  <si>
    <t>4 1 4 4 1 12 31111 6 M59 19000 000000 00000 00000 00045 011 1113000 2024 00000000 004</t>
  </si>
  <si>
    <t>4 1 4 4 1 12 31111 6 M59 19000 000000 00000 00000 00045 011 1113000 2024 00000000 004 0000001</t>
  </si>
  <si>
    <t>4 1 4 4 1 12 31111 6 M59 19000 000000 00000 00000 00045 011 1113000 2024 00000000 004 0000001 00001</t>
  </si>
  <si>
    <t>4 1 4 4 1 12 31111 6 M59 19000 000000 00000 00000 00045 011 1113000 2024 00000000 004 0000001 00001 001</t>
  </si>
  <si>
    <t>RECARGOS DE DERECHOS</t>
  </si>
  <si>
    <t>4 1 4 9</t>
  </si>
  <si>
    <t>OTROS DERECHOS</t>
  </si>
  <si>
    <t>4 1 4 9 1</t>
  </si>
  <si>
    <t>4 1 4 9 1 12</t>
  </si>
  <si>
    <t>4 1 4 9 1 12 31111</t>
  </si>
  <si>
    <t>4 1 4 9 1 12 31111 6</t>
  </si>
  <si>
    <t>4 1 4 9 1 12 31111 6 M59</t>
  </si>
  <si>
    <t>4 1 4 9 1 12 31111 6 M59 19000</t>
  </si>
  <si>
    <t>4 1 4 9 1 12 31111 6 M59 19000 000000</t>
  </si>
  <si>
    <t>4 1 4 9 1 12 31111 6 M59 19000 000000 00000</t>
  </si>
  <si>
    <t>4 1 4 9 1 12 31111 6 M59 19000 000000 00000 00000</t>
  </si>
  <si>
    <t>4 1 4 9 1 12 31111 6 M59 19000 000000 00000 00000 00044</t>
  </si>
  <si>
    <t>4 1 4 9 1 12 31111 6 M59 19000 000000 00000 00000 00044 011</t>
  </si>
  <si>
    <t>4 1 4 9 1 12 31111 6 M59 19000 000000 00000 00000 00044 011 1113000</t>
  </si>
  <si>
    <t>4 1 4 9 1 12 31111 6 M59 19000 000000 00000 00000 00044 011 1113000 2024</t>
  </si>
  <si>
    <t>4 1 4 9 1 12 31111 6 M59 19000 000000 00000 00000 00044 011 1113000 2024 00000000</t>
  </si>
  <si>
    <t>4 1 4 9 1 12 31111 6 M59 19000 000000 00000 00000 00044 011 1113000 2024 00000000 004</t>
  </si>
  <si>
    <t>4 1 4 9 1 12 31111 6 M59 19000 000000 00000 00000 00044 011 1113000 2024 00000000 004 0000001</t>
  </si>
  <si>
    <t>4 1 4 9 1 12 31111 6 M59 19000 000000 00000 00000 00044 011 1113000 2024 00000000 004 0000001 00004</t>
  </si>
  <si>
    <t>POR LA EXPEDICIÓN DE PERMISOS O LICENCIAS PARA LA APERTURA DE ZANJAS, CONSTRUCCIÓN DE INFRAESTRUCTURA EN LA VÍA PÚBLICA O INSTALACIÓN DE CASETAS PARA LA PRESTACIÓN DEL SERVICIO PÚBLICO DE TELEFONÍA, ASÍ COMO PARA EJECUTAR DE MANERA GENERAL RUPTURAS EN LA VÍA PÚBLICA</t>
  </si>
  <si>
    <t>4 1 4 9 1 12 31111 6 M59 19000 000000 00000 00000 00044 011 1113000 2024 00000000 004 0000001 00004 001</t>
  </si>
  <si>
    <t>APERTURA DE ZANJAS A ORGANISMOS Y/O EMPRESAS POR ML</t>
  </si>
  <si>
    <t>4 1 4 9 1 12 31111 6 M59 19000 000000 00000 00000 00044 011 1113000 2024 00000000 004 0000001 00005</t>
  </si>
  <si>
    <t>POR LA EXPEDICIÓN DE PERMISOS Y REGISTROS EN MATERIA AMBIENTAL</t>
  </si>
  <si>
    <t>4 1 4 9 1 12 31111 6 M59 19000 000000 00000 00000 00044 011 1113000 2024 00000000 004 0000001 00005 001</t>
  </si>
  <si>
    <t>4 1 4 9 1 12 31111 6 M59 19000 000000 00000 00000 00044 011 1113000 2024 00000000 004 0000001 00007</t>
  </si>
  <si>
    <t>DERECHOS POR COPIAS DE PLANOS, AVALÚOS Y SERVICIOS CATASTRALES</t>
  </si>
  <si>
    <t>4 1 4 9 1 12 31111 6 M59 19000 000000 00000 00000 00044 011 1113000 2024 00000000 004 0000001 00007 001</t>
  </si>
  <si>
    <t>CONSTANCIAS</t>
  </si>
  <si>
    <t>4 1 4 9 1 12 31111 6 M59 19000 000000 00000 00000 00044 011 1113000 2024 00000000 004 0000001 00007 002</t>
  </si>
  <si>
    <t>CERTIFICACIONES</t>
  </si>
  <si>
    <t>4 1 4 9 1 12 31111 6 M59 19000 000000 00000 00000 00044 011 1113000 2024 00000000 004 0000001 00007 004</t>
  </si>
  <si>
    <t>OTROS SERVICIOS</t>
  </si>
  <si>
    <t>4 1 4 9 1 12 31111 6 M59 19000 000000 00000 00000 00044 011 1113000 2024 00000000 004 0000001 00008</t>
  </si>
  <si>
    <t>POR LA EXPEDICIÓN INICIAL O REFRENDO DE LICENCIAS, PERMISOS Y AUTORIZACIONES PARA EL FUNCIONAMIENTO DE ESTABLECIMIENTOS O LOCALES, CUYOS GIROS SEAN LA ENAJENACIÓN DE BEBIDAS ALCOHÓLICAS O LA PRESTACIÓN DE SERVICIOS QUE INCLUYA SU EXPENDIO</t>
  </si>
  <si>
    <t>4 1 4 9 1 12 31111 6 M59 19000 000000 00000 00000 00044 011 1113000 2024 00000000 004 0000001 00008 001</t>
  </si>
  <si>
    <t>ENAJENACION</t>
  </si>
  <si>
    <t>4 1 4 9 1 12 31111 6 M59 19000 000000 00000 00000 00044 011 1113000 2024 00000000 004 0000001 00008 002</t>
  </si>
  <si>
    <t>POR LA INSCRIPCION AL REGISTRO ANUAL DE LINCENCIAS</t>
  </si>
  <si>
    <t>4 1 4 9 1 12 31111 6 M59 19000 000000 00000 00000 00044 011 1113000 2024 00000000 004 0000001 00008 003</t>
  </si>
  <si>
    <t>PRESTACION DE SERVICIOS</t>
  </si>
  <si>
    <t>4 1 4 9 1 12 31111 6 M59 19000 000000 00000 00000 00044 011 1113000 2024 00000000 004 0000001 00009</t>
  </si>
  <si>
    <t>LICENCIAS, PERMISOS O AUTORIZACIONES PARA COLOCACIÓN DE ANUNCIOS O CARTELES Y REALIZACIÓN DE PUBLICIDAD</t>
  </si>
  <si>
    <t>4 1 4 9 1 12 31111 6 M59 19000 000000 00000 00000 00044 011 1113000 2024 00000000 004 0000001 00009 001</t>
  </si>
  <si>
    <t>ANUNCIOS COMERCIALES O CARTELES EN FACHADAS, MUROS, PAREDES O BARDAS</t>
  </si>
  <si>
    <t>4 1 4 9 1 12 31111 6 M59 19000 000000 00000 00000 00044 011 1113000 2024 00000000 004 0000001 00011</t>
  </si>
  <si>
    <t>SERVICIOS GENERALES PRESTADOS POR CENTROS ANTIRRÁBICOS MUNICIPALES</t>
  </si>
  <si>
    <t>4 1 4 9 1 12 31111 6 M59 19000 000000 00000 00000 00044 011 1113000 2024 00000000 004 0000001 00011 001</t>
  </si>
  <si>
    <t>SERVICIOS GENERALES PRESTADOS POR LOS CENTROS ANTIRRÁBICOS MUNICIPALES</t>
  </si>
  <si>
    <t>4 1 4 9 1 12 31111 6 M59 19000 000000 00000 00000 00044 011 1113000 2024 00000000 004 0000001 00016</t>
  </si>
  <si>
    <t>SERVICIOS PRESTADOS POR LA DIRECCIÓN MUNICIPAL DE PROTECCIÓN CIVIL Y BOMBEROS</t>
  </si>
  <si>
    <t>4 1 4 9 1 12 31111 6 M59 19000 000000 00000 00000 00044 011 1113000 2024 00000000 004 0000001 00016 001</t>
  </si>
  <si>
    <t>10% POR ADMINISTRACION DEL REGISTRO CIVIL</t>
  </si>
  <si>
    <t>4 1 4 9 1 12 31111 6 M59 19000 000000 00000 00000 00044 011 1113000 2024 00000000 004 0000001 00016 002</t>
  </si>
  <si>
    <t>EXPEDICION DEL CERTIFICADO DE INSPECCION DE SEGURIDAD</t>
  </si>
  <si>
    <t>4 1 4 9 1 12 31111 6 M59 19000 000000 00000 00000 00044 011 1113000 2024 00000000 004 0000001 00016 003</t>
  </si>
  <si>
    <t>15% PRO CAMINOS</t>
  </si>
  <si>
    <t>4 1 4 9 1 12 31111 6 M59 19000 000000 00000 00000 00044 011 1113000 2024 00000000 004 0000001 00016 004</t>
  </si>
  <si>
    <t>15% PRO TURISMO</t>
  </si>
  <si>
    <t>4 1 4 9 1 12 31111 6 M59 19000 000000 00000 00000 00044 011 1113000 2024 00000000 004 0000001 00016 005</t>
  </si>
  <si>
    <t>15% PRO EDUCACION</t>
  </si>
  <si>
    <t>4 1 4 9 1 12 31111 6 M59 19000 000000 00000 00000 00044 011 1113000 2024 00000000 004 0000001 00016 006</t>
  </si>
  <si>
    <t>15% PRO ECOLOGIA</t>
  </si>
  <si>
    <t>4 1 4 9 1 12 31111 6 M59 19000 000000 00000 00000 00044 011 1113000 2024 00000000 004 0000001 00019</t>
  </si>
  <si>
    <t>LICENCIA PARA LA EJECUCION DE OBRAS DENTRO DEL PANTEON MUNIICIPAL Y PANTEONES PRIVADOS</t>
  </si>
  <si>
    <t>4 1 4 9 1 12 31111 6 M59 19000 000000 00000 00000 00044 011 1113000 2024 00000000 004 0000001 00019 001</t>
  </si>
  <si>
    <t>CONSTRUCCION DE BOBEDAS O GAVETAS</t>
  </si>
  <si>
    <t>4 1 4 9 1 12 31111 6 M59 19000 000000 00000 00000 00044 011 1113000 2024 00000000 004 0000001 00019 002</t>
  </si>
  <si>
    <t>CONSTRUCCION DE MONUMENTOS</t>
  </si>
  <si>
    <t>4 1 4 9 1 12 31111 6 M59 19000 000000 00000 00000 00044 011 1113000 2024 00000000 004 0000001 00019 007</t>
  </si>
  <si>
    <t>TECHOS</t>
  </si>
  <si>
    <t>4 1 4 9 1 12 31111 6 M59 19000 000000 00000 00000 00044 011 1113000 2024 00000000 004 0000001 00020</t>
  </si>
  <si>
    <t>LIC.P/CONST.EDIF.CASA HAB.REP. URB. FRACC.LOTIF.RELOTIF.FUSION Y SUBDIVISION</t>
  </si>
  <si>
    <t>4 1 4 9 1 12 31111 6 M59 19000 000000 00000 00000 00044 011 1113000 2024 00000000 004 0000001 00020 001</t>
  </si>
  <si>
    <t>AUTORIZACION PARA DIVISION, SUBDIVISION LOTIFICACION Y RELOTIFICACION DE PREDIOS RUSTICOS Y/O URBANOS</t>
  </si>
  <si>
    <t>4 1 4 9 1 12 31111 6 M59 19000 000000 00000 00000 00044 011 1113000 2024 00000000 004 0000001 00020 002</t>
  </si>
  <si>
    <t>EXPEDICION DE LICENCIAS PARA LA CONSTRUCCION DE OBRAS PUBLICAS Y PRIVADAS</t>
  </si>
  <si>
    <t>4 1 4 9 1 12 31111 6 M59 19000 000000 00000 00000 00044 011 1113000 2024 00000000 004 0000001 00021</t>
  </si>
  <si>
    <t>4 1 4 9 1 12 31111 6 M59 19000 000000 00000 00000 00044 011 1113000 2024 00000000 004 0000001 00021 002</t>
  </si>
  <si>
    <t>REFRENDO DE FIERRO QUEMADOR O SEÑAL DE SANGRE</t>
  </si>
  <si>
    <t>4 1 4 9 1 12 31111 6 M59 19000 000000 00000 00000 00044 011 1113000 2024 00000000 004 0000001 00022</t>
  </si>
  <si>
    <t>REGISTRO CIVIL</t>
  </si>
  <si>
    <t>4 1 4 9 1 12 31111 6 M59 19000 000000 00000 00000 00044 011 1113000 2024 00000000 004 0000001 00022 002</t>
  </si>
  <si>
    <t>REGISTRO DE LEGITIMACION Y RECONOCIMIENTO DE HIJOS</t>
  </si>
  <si>
    <t>4 1 4 9 1 12 31111 6 M59 19000 000000 00000 00000 00044 011 1113000 2024 00000000 004 0000001 00022 003</t>
  </si>
  <si>
    <t>REGISTRO DE ADOPCION</t>
  </si>
  <si>
    <t>4 1 4 9 1 12 31111 6 M59 19000 000000 00000 00000 00044 011 1113000 2024 00000000 004 0000001 00022 004</t>
  </si>
  <si>
    <t>REGISTRO DE MATRIMONIOS</t>
  </si>
  <si>
    <t>4 1 4 9 1 12 31111 6 M59 19000 000000 00000 00000 00044 011 1113000 2024 00000000 004 0000001 00022 005</t>
  </si>
  <si>
    <t>REGISTRO DE DIVORCIOS</t>
  </si>
  <si>
    <t>4 1 4 9 1 12 31111 6 M59 19000 000000 00000 00000 00044 011 1113000 2024 00000000 004 0000001 00022 009</t>
  </si>
  <si>
    <t>4 1 4 9 1 12 31111 6 M59 19000 000000 00000 00000 00044 011 1113000 2024 00000000 004 0000001 00023</t>
  </si>
  <si>
    <t>LIC.P/DEMOLICION DE EDIFICIOS O CASAS HABITACION Y LICENCIAS DE ESTRUCTURAS METALICAS</t>
  </si>
  <si>
    <t>4 1 4 9 1 12 31111 6 M59 19000 000000 00000 00000 00044 011 1113000 2024 00000000 004 0000001 00023 001</t>
  </si>
  <si>
    <t>LICENCIAS PARA LA DEMOLICION DE EDIFICIOS O CASAS HABITACION</t>
  </si>
  <si>
    <t>4 1 5</t>
  </si>
  <si>
    <t>4 1 5 1</t>
  </si>
  <si>
    <t>4 1 5 1 1</t>
  </si>
  <si>
    <t>PRODUCTOS DERIVADOS DEL USO Y APROVACHAMIENTO DE BIENES NO SUJETOS A REGIMEN DE DOMINIO PUBLICO</t>
  </si>
  <si>
    <t>4 1 5 1 1 12</t>
  </si>
  <si>
    <t>4 1 5 1 1 12 31111</t>
  </si>
  <si>
    <t>4 1 5 1 1 12 31111 6</t>
  </si>
  <si>
    <t>4 1 5 1 1 12 31111 6 M59</t>
  </si>
  <si>
    <t>4 1 5 1 1 12 31111 6 M59 19000</t>
  </si>
  <si>
    <t>4 1 5 1 1 12 31111 6 M59 19000 000000</t>
  </si>
  <si>
    <t>4 1 5 1 1 12 31111 6 M59 19000 000000 00000</t>
  </si>
  <si>
    <t>4 1 5 1 1 12 31111 6 M59 19000 000000 00000 00000</t>
  </si>
  <si>
    <t>4 1 5 1 1 12 31111 6 M59 19000 000000 00000 00000 00051</t>
  </si>
  <si>
    <t>4 1 5 1 1 12 31111 6 M59 19000 000000 00000 00000 00051 011</t>
  </si>
  <si>
    <t>4 1 5 1 1 12 31111 6 M59 19000 000000 00000 00000 00051 011 1113000</t>
  </si>
  <si>
    <t>4 1 5 1 1 12 31111 6 M59 19000 000000 00000 00000 00051 011 1113000 2024</t>
  </si>
  <si>
    <t>4 1 5 1 1 12 31111 6 M59 19000 000000 00000 00000 00051 011 1113000 2024 00000000</t>
  </si>
  <si>
    <t>4 1 5 1 1 12 31111 6 M59 19000 000000 00000 00000 00051 011 1113000 2024 00000000 004</t>
  </si>
  <si>
    <t>4 1 5 1 1 12 31111 6 M59 19000 000000 00000 00000 00051 011 1113000 2024 00000000 004 0000001</t>
  </si>
  <si>
    <t>PRODUCTOS DE TIPO CORRIENTE</t>
  </si>
  <si>
    <t>4 1 5 1 1 12 31111 6 M59 19000 000000 00000 00000 00051 011 1113000 2024 00000000 004 0000001 00001</t>
  </si>
  <si>
    <t>ARREND.EXPLOT.VENTA D/BIENES MUEBLES E INMUEBLES</t>
  </si>
  <si>
    <t>4 1 5 1 1 12 31111 6 M59 19000 000000 00000 00000 00051 011 1113000 2024 00000000 004 0000001 00001 002</t>
  </si>
  <si>
    <t>ARRENDAMIENTO EN CEMENTERIOS MUNICIPALES</t>
  </si>
  <si>
    <t>4 1 5 1 1 12 31111 6 M59 19000 000000 00000 00000 00051 011 1113000 2024 00000000 004 0000001 00002</t>
  </si>
  <si>
    <t>OCUPACION O APROVECHAMIENTO DE VIA PUBLICA</t>
  </si>
  <si>
    <t>4 1 5 1 1 12 31111 6 M59 19000 000000 00000 00000 00051 011 1113000 2024 00000000 004 0000001 00002 001</t>
  </si>
  <si>
    <t>LOS ESTACIONAMIENTOS EXCLUSIVOS EN LA VÍA PÚBLICA PARA CARGA Y DESCARGA EN ESTABLECIMIENTOS COMERCIALES, TURÍSTICOS, INDUSTRIALES Y AGRÍCOLAS</t>
  </si>
  <si>
    <t>4 1 5 1 1 12 31111 6 M59 19000 000000 00000 00000 00051 011 1113000 2024 00000000 004 0000001 00009</t>
  </si>
  <si>
    <t>PRODUCTOS DIVERSOS</t>
  </si>
  <si>
    <t>4 1 5 1 1 12 31111 6 M59 19000 000000 00000 00000 00051 011 1113000 2024 00000000 004 0000001 00009 001</t>
  </si>
  <si>
    <t>VENTA DE ESQUILMOS</t>
  </si>
  <si>
    <t>4 1 5 1 1 12 31111 6 M59 19000 000000 00000 00000 00051 011 1113000 2024 00000000 004 0000001 00009 002</t>
  </si>
  <si>
    <t>VENTA DE FORMAS IMPRESAS POR JUEGOS</t>
  </si>
  <si>
    <t>4 1 5 1 1 12 31111 6 M59 19000 000000 00000 00000 00051 011 1113000 2024 00000000 004 0000001 00009 007</t>
  </si>
  <si>
    <t>FORMAS DE REGISTRO CIVIL</t>
  </si>
  <si>
    <t>4 1 5 1 1 12 31111 6 M59 19000 000000 00000 00000 00051 011 1113000 2024 00000000 004 0000001 00010</t>
  </si>
  <si>
    <t>PRODUCTOS FINANCIEROS</t>
  </si>
  <si>
    <t>4 1 5 1 1 12 31111 6 M59 19000 000000 00000 00000 00051 011 1113000 2024 00000000 004 0000001 00010 001</t>
  </si>
  <si>
    <t>4 1 5 1 1 12 31111 6 M59 19000 000000 00000 00000 00051 015</t>
  </si>
  <si>
    <t>4 1 5 1 1 12 31111 6 M59 19000 000000 00000 00000 00051 015 1142000</t>
  </si>
  <si>
    <t>PRODUCTOS CORRIENTES NO INCLUIDOS EN OTROS CONCEPTOS</t>
  </si>
  <si>
    <t>4 1 5 1 1 12 31111 6 M59 19000 000000 00000 00000 00051 015 1142000 2024</t>
  </si>
  <si>
    <t>4 1 5 1 1 12 31111 6 M59 19000 000000 00000 00000 00051 015 1142000 2024 00000000</t>
  </si>
  <si>
    <t>4 1 5 1 1 12 31111 6 M59 19000 000000 00000 00000 00051 015 1142000 2024 00000000 001</t>
  </si>
  <si>
    <t>4 1 5 1 1 12 31111 6 M59 19000 000000 00000 00000 00051 015 1142000 2024 00000000 001 0000001</t>
  </si>
  <si>
    <t>RENDIMIENTOS FINANCIEROS</t>
  </si>
  <si>
    <t>4 1 5 1 1 12 31111 6 M59 19000 000000 00000 00000 00051 015 1142000 2024 00000000 001 0000001 00001</t>
  </si>
  <si>
    <t>RENDIMIENTOS E INTERESES</t>
  </si>
  <si>
    <t>4 1 5 1 1 12 31111 6 M59 19000 000000 00000 00000 00051 025</t>
  </si>
  <si>
    <t>4 1 5 1 1 12 31111 6 M59 19000 000000 00000 00000 00051 025 1142000</t>
  </si>
  <si>
    <t>4 1 5 1 1 12 31111 6 M59 19000 000000 00000 00000 00051 025 1142000 2024</t>
  </si>
  <si>
    <t>4 1 5 1 1 12 31111 6 M59 19000 000000 00000 00000 00051 025 1142000 2024 00000000</t>
  </si>
  <si>
    <t>4 1 5 1 1 12 31111 6 M59 19000 000000 00000 00000 00051 025 1142000 2024 00000000 003</t>
  </si>
  <si>
    <t>4 1 5 1 1 12 31111 6 M59 19000 000000 00000 00000 00051 025 1142000 2024 00000000 003 0000001</t>
  </si>
  <si>
    <t>4 1 5 1 1 12 31111 6 M59 19000 000000 00000 00000 00051 025 1142000 2024 00000000 003 0000001 00001</t>
  </si>
  <si>
    <t>4 1 5 1 1 12 31111 6 M59 19000 000000 00000 00000 00051 025 1182300</t>
  </si>
  <si>
    <t>DE MUNICIPIOS</t>
  </si>
  <si>
    <t>4 1 5 1 1 12 31111 6 M59 19000 000000 00000 00000 00051 025 1182300 2024</t>
  </si>
  <si>
    <t>4 1 5 1 1 12 31111 6 M59 19000 000000 00000 00000 00051 025 1182300 2024 00000000</t>
  </si>
  <si>
    <t>4 1 5 1 1 12 31111 6 M59 19000 000000 00000 00000 00051 025 1182300 2024 00000000 002</t>
  </si>
  <si>
    <t>OBRAS PUBLICAS</t>
  </si>
  <si>
    <t>4 1 5 1 1 12 31111 6 M59 19000 000000 00000 00000 00051 025 1182300 2024 00000000 002 0000001</t>
  </si>
  <si>
    <t>4 1 5 1 1 12 31111 6 M59 19000 000000 00000 00000 00051 025 1182300 2024 00000000 002 0000001 00001</t>
  </si>
  <si>
    <t>4 1 5 4</t>
  </si>
  <si>
    <t>PRODUCTOS NO COMPRENDIDOS EN LA LEY DE INGRESOS VIGENTE, CAUSADOS EN EJERCICIOS FISCALES ANTERIORES PENDIENTES DE LIQUIDACIÓN O PAGO</t>
  </si>
  <si>
    <t>4 1 5 4 1</t>
  </si>
  <si>
    <t>4 1 5 4 1 12</t>
  </si>
  <si>
    <t>4 1 5 4 1 12 31111</t>
  </si>
  <si>
    <t>4 1 5 4 1 12 31111 6</t>
  </si>
  <si>
    <t>4 1 5 4 1 12 31111 6 M59</t>
  </si>
  <si>
    <t>4 1 5 4 1 12 31111 6 M59 19000</t>
  </si>
  <si>
    <t>4 1 5 4 1 12 31111 6 M59 19000 000000</t>
  </si>
  <si>
    <t>4 1 5 4 1 12 31111 6 M59 19000 000000 00000</t>
  </si>
  <si>
    <t>4 1 5 4 1 12 31111 6 M59 19000 000000 00000 00000</t>
  </si>
  <si>
    <t>4 1 5 4 1 12 31111 6 M59 19000 000000 00000 00000 00059</t>
  </si>
  <si>
    <t>PRODUCTOS NO COMPRENDIDOS EN LAS FRACCIONES DE LA LEY DE INGRESOS CAUSADAS EN EJERCICIOS FISCALES ANTERIORES PENDIENTES DE LIQUIDACIÓN O PAGO</t>
  </si>
  <si>
    <t>4 1 5 4 1 12 31111 6 M59 19000 000000 00000 00000 00059 015</t>
  </si>
  <si>
    <t>4 1 5 4 1 12 31111 6 M59 19000 000000 00000 00000 00059 015 1142000</t>
  </si>
  <si>
    <t>4 1 5 4 1 12 31111 6 M59 19000 000000 00000 00000 00059 015 1142000 2024</t>
  </si>
  <si>
    <t>4 1 5 4 1 12 31111 6 M59 19000 000000 00000 00000 00059 015 1142000 2024 00000000</t>
  </si>
  <si>
    <t>SIN ACTIVIDAD</t>
  </si>
  <si>
    <t>4 1 5 4 1 12 31111 6 M59 19000 000000 00000 00000 00059 015 1142000 2024 00000000 005</t>
  </si>
  <si>
    <t>4 1 5 4 1 12 31111 6 M59 19000 000000 00000 00000 00059 015 1142000 2024 00000000 005 0000001</t>
  </si>
  <si>
    <t>PRODUCTOS NO COMPRENDIDOS</t>
  </si>
  <si>
    <t>4 1 5 4 1 12 31111 6 M59 19000 000000 00000 00000 00059 015 1142000 2024 00000000 005 0000001 00001</t>
  </si>
  <si>
    <t>4 1 6</t>
  </si>
  <si>
    <t>APROVECHAMIENTOS</t>
  </si>
  <si>
    <t>4 1 6 2</t>
  </si>
  <si>
    <t>MULTAS</t>
  </si>
  <si>
    <t>4 1 6 2 1</t>
  </si>
  <si>
    <t>4 1 6 2 1 12</t>
  </si>
  <si>
    <t>4 1 6 2 1 12 31111</t>
  </si>
  <si>
    <t>4 1 6 2 1 12 31111 6</t>
  </si>
  <si>
    <t>4 1 6 2 1 12 31111 6 M59</t>
  </si>
  <si>
    <t>4 1 6 2 1 12 31111 6 M59 19000</t>
  </si>
  <si>
    <t>4 1 6 2 1 12 31111 6 M59 19000 000000</t>
  </si>
  <si>
    <t>4 1 6 2 1 12 31111 6 M59 19000 000000 00000</t>
  </si>
  <si>
    <t>4 1 6 2 1 12 31111 6 M59 19000 000000 00000 00000</t>
  </si>
  <si>
    <t>4 1 6 2 1 12 31111 6 M59 19000 000000 00000 00000 00061</t>
  </si>
  <si>
    <t>4 1 6 2 1 12 31111 6 M59 19000 000000 00000 00000 00061 011</t>
  </si>
  <si>
    <t>4 1 6 2 1 12 31111 6 M59 19000 000000 00000 00000 00061 011 1113000</t>
  </si>
  <si>
    <t>4 1 6 2 1 12 31111 6 M59 19000 000000 00000 00000 00061 011 1113000 2024</t>
  </si>
  <si>
    <t>4 1 6 2 1 12 31111 6 M59 19000 000000 00000 00000 00061 011 1113000 2024 00000000</t>
  </si>
  <si>
    <t>4 1 6 2 1 12 31111 6 M59 19000 000000 00000 00000 00061 011 1113000 2024 00000000 004</t>
  </si>
  <si>
    <t>4 1 6 2 1 12 31111 6 M59 19000 000000 00000 00000 00061 011 1113000 2024 00000000 004 0000001</t>
  </si>
  <si>
    <t>APROVECHAMIENTOS DE TIPO CORRIENTE</t>
  </si>
  <si>
    <t>4 1 6 2 1 12 31111 6 M59 19000 000000 00000 00000 00061 011 1113000 2024 00000000 004 0000001 00001</t>
  </si>
  <si>
    <t>INCENTIVOS DERIVADOS DE LA COLABORACIÓN FISCAL</t>
  </si>
  <si>
    <t>4 1 6 2 1 12 31111 6 M59 19000 000000 00000 00000 00061 011 1113000 2024 00000000 004 0000001 00001 002</t>
  </si>
  <si>
    <t>POR EL COBRO DE MULTAS ADMINISTRATIVAS FEDERALES NO FISCALES Y DERECHOS FEDERALES</t>
  </si>
  <si>
    <t>4 1 6 2 1 12 31111 6 M59 19000 000000 00000 00000 00061 011 1113000 2024 00000000 004 0000001 00002</t>
  </si>
  <si>
    <t>4 1 6 2 1 12 31111 6 M59 19000 000000 00000 00000 00061 011 1113000 2024 00000000 004 0000001 00002 001</t>
  </si>
  <si>
    <t>MULTAS DE TRÁNSITO MUNICIPAL</t>
  </si>
  <si>
    <t>4 1 6 2 1 12 31111 6 M59 19000 000000 00000 00000 00061 011 1113000 2024 00000000 004 0000001 00003</t>
  </si>
  <si>
    <t>OTROS APROVECHAMIENTOS</t>
  </si>
  <si>
    <t>4 1 6 2 1 12 31111 6 M59 19000 000000 00000 00000 00061 011 1113000 2024 00000000 004 0000001 00003 001</t>
  </si>
  <si>
    <t>4 1 6 2 1 12 31111 6 M59 19000 000000 00000 00000 00061 011 1113000 2024 00000000 004 0000001 00004</t>
  </si>
  <si>
    <t>APROVECHAMIENTOS PATRIMONIALES</t>
  </si>
  <si>
    <t>4 1 6 2 1 12 31111 6 M59 19000 000000 00000 00000 00061 011 1113000 2024 00000000 004 0000001 00004 001</t>
  </si>
  <si>
    <t>TRANSPORTE</t>
  </si>
  <si>
    <t>4 2</t>
  </si>
  <si>
    <t>PARTICIPACIONES, APORTACIONES, CONVENIOS, INCENTIVOS DERIVADOS DE LA COLABORACIÓN FISCAL, FONDOS DISTINTOS DE APORTACIONES, TRANSFERENCIAS, ASIGNACIONES, SUBSIDIOS Y SUBVENCIONES, Y PENSIONES Y JUBILACIONES</t>
  </si>
  <si>
    <t>4 2 1</t>
  </si>
  <si>
    <t>PARTICIPACIONES, APORTACIONES, CONVENIOS, INCENTIVOS DERIVADOS DE LA COLABORACIÓN FISCAL Y FONDOS DISTINTOS DE APORTACIONES</t>
  </si>
  <si>
    <t>4 2 1 1</t>
  </si>
  <si>
    <t>PARTICIPACIONES</t>
  </si>
  <si>
    <t>4 2 1 1 1</t>
  </si>
  <si>
    <t>4 2 1 1 1 12</t>
  </si>
  <si>
    <t>4 2 1 1 1 12 31111</t>
  </si>
  <si>
    <t>4 2 1 1 1 12 31111 6</t>
  </si>
  <si>
    <t>4 2 1 1 1 12 31111 6 M59</t>
  </si>
  <si>
    <t>4 2 1 1 1 12 31111 6 M59 19000</t>
  </si>
  <si>
    <t>4 2 1 1 1 12 31111 6 M59 19000 000000</t>
  </si>
  <si>
    <t>4 2 1 1 1 12 31111 6 M59 19000 000000 00000</t>
  </si>
  <si>
    <t>4 2 1 1 1 12 31111 6 M59 19000 000000 00000 00000</t>
  </si>
  <si>
    <t>4 2 1 1 1 12 31111 6 M59 19000 000000 00000 00000 00081</t>
  </si>
  <si>
    <t>4 2 1 1 1 12 31111 6 M59 19000 000000 00000 00000 00081 015</t>
  </si>
  <si>
    <t>4 2 1 1 1 12 31111 6 M59 19000 000000 00000 00000 00081 015 1190000</t>
  </si>
  <si>
    <t>4 2 1 1 1 12 31111 6 M59 19000 000000 00000 00000 00081 015 1190000 2024</t>
  </si>
  <si>
    <t>4 2 1 1 1 12 31111 6 M59 19000 000000 00000 00000 00081 015 1190000 2024 00000000</t>
  </si>
  <si>
    <t>4 2 1 1 1 12 31111 6 M59 19000 000000 00000 00000 00081 015 1190000 2024 00000000 001</t>
  </si>
  <si>
    <t>4 2 1 1 1 12 31111 6 M59 19000 000000 00000 00000 00081 015 1190000 2024 00000000 001 0000001</t>
  </si>
  <si>
    <t>PARTICIPACIONES FEDERALES</t>
  </si>
  <si>
    <t>4 2 1 1 1 12 31111 6 M59 19000 000000 00000 00000 00081 015 1190000 2024 00000000 001 0000001 00001</t>
  </si>
  <si>
    <t>FONDO GENERAL DE PARTICIPACIONES</t>
  </si>
  <si>
    <t>4 2 1 1 1 12 31111 6 M59 19000 000000 00000 00000 00081 015 1190000 2024 00000000 001 0000001 00002</t>
  </si>
  <si>
    <t>FONDO DE FOMENTO MUNICIPAL</t>
  </si>
  <si>
    <t>4 2 1 1 1 12 31111 6 M59 19000 000000 00000 00000 00081 015 1190000 2024 00000000 001 0000001 00003</t>
  </si>
  <si>
    <t>FONDO PARA LA INFRAESTRUCTURA MUNICIPAL</t>
  </si>
  <si>
    <t>4 2 1 1 1 12 31111 6 M59 19000 000000 00000 00000 00081 015 1190000 2024 00000000 001 0000001 00004</t>
  </si>
  <si>
    <t>IMPUESTO ESPECIAL SOBRE PRODUCCIÓN Y SERVICIOS IEPS</t>
  </si>
  <si>
    <t>4 2 1 1 1 12 31111 6 M59 19000 000000 00000 00000 00081 015 1190000 2024 00000000 001 0000001 00005</t>
  </si>
  <si>
    <t>ISR IMPUESTO SOBRE LA RENTA QUE EFECTIVAMENTE SE ENTERÓ A LA FEDERACIÓN POR EL SALARIO</t>
  </si>
  <si>
    <t>4 2 1 1 1 12 31111 6 M59 19000 000000 00000 00000 00081 015 1190000 2024 00000000 001 0000001 00006</t>
  </si>
  <si>
    <t>FONDO DE FISCALIZACIÓN</t>
  </si>
  <si>
    <t>4 2 1 1 1 12 31111 6 M59 19000 000000 00000 00000 00081 015 1190000 2024 00000000 001 0000001 00007</t>
  </si>
  <si>
    <t>FONDO COMÚN "TENENCIA"</t>
  </si>
  <si>
    <t>4 2 1 1 1 12 31111 6 M59 19000 000000 00000 00000 00081 015 1190000 2024 00000000 001 0000001 00009</t>
  </si>
  <si>
    <t>FONDO COMÚN "I.S.A.N."</t>
  </si>
  <si>
    <t>4 2 1 1 1 12 31111 6 M59 19000 000000 00000 00000 00081 015 1190000 2024 00000000 001 0000001 00011</t>
  </si>
  <si>
    <t>FEIEF</t>
  </si>
  <si>
    <t>4 2 1 1 1 12 31111 6 M59 19000 000000 00000 00000 00081 015 1190000 2024 00000000 001 0000001 00012</t>
  </si>
  <si>
    <t>RECAUDACIÓN DEL ISR SOBRE BIENES INMUEBLES</t>
  </si>
  <si>
    <t>4 2 1 1 1 12 31111 6 M59 19000 000000 00000 00000 00081 015 1190000 2024 00000000 001 0000001 00013</t>
  </si>
  <si>
    <t>FONDO DE COMPENSACIÓN DEL IMPUESTO SOBRE AUTOMOVILES NUEVOS ISAN"</t>
  </si>
  <si>
    <t>4 2 1 1 1 12 31111 6 M59 19000 000000 00000 00001</t>
  </si>
  <si>
    <t>4 2 1 1 1 12 31111 6 M59 19000 000000 00000 00001 00081</t>
  </si>
  <si>
    <t>4 2 1 1 1 12 31111 6 M59 19000 000000 00000 00001 00081 015</t>
  </si>
  <si>
    <t>4 2 1 1 1 12 31111 6 M59 19000 000000 00000 00001 00081 015 1190000</t>
  </si>
  <si>
    <t>4 2 1 1 1 12 31111 6 M59 19000 000000 00000 00001 00081 015 1190000 2024</t>
  </si>
  <si>
    <t>4 2 1 1 1 12 31111 6 M59 19000 000000 00000 00001 00081 015 1190000 2024 00000000</t>
  </si>
  <si>
    <t>4 2 1 1 1 12 31111 6 M59 19000 000000 00000 00001 00081 015 1190000 2024 00000000 005</t>
  </si>
  <si>
    <t>4 2 1 1 1 12 31111 6 M59 19000 000000 00000 00001 00081 015 1190000 2024 00000000 005 0000081</t>
  </si>
  <si>
    <t>4 2 1 1 1 12 31111 6 M59 19000 000000 00000 00001 00081 015 1190000 2024 00000000 005 0000081 00001</t>
  </si>
  <si>
    <t>FONDO DE APORTACIÓN ESTATAL PARA LA INFRAESTRUCTURA SOCIAL MUNICIPAL (FAEISM)</t>
  </si>
  <si>
    <t>4 2 1 2</t>
  </si>
  <si>
    <t>4 2 1 2 1</t>
  </si>
  <si>
    <t>4 2 1 2 1 12</t>
  </si>
  <si>
    <t>4 2 1 2 1 12 31111</t>
  </si>
  <si>
    <t>4 2 1 2 1 12 31111 6</t>
  </si>
  <si>
    <t>4 2 1 2 1 12 31111 6 M59</t>
  </si>
  <si>
    <t>4 2 1 2 1 12 31111 6 M59 19000</t>
  </si>
  <si>
    <t>4 2 1 2 1 12 31111 6 M59 19000 000000</t>
  </si>
  <si>
    <t>4 2 1 2 1 12 31111 6 M59 19000 000000 00000</t>
  </si>
  <si>
    <t>4 2 1 2 1 12 31111 6 M59 19000 000000 00000 00000</t>
  </si>
  <si>
    <t>4 2 1 2 1 12 31111 6 M59 19000 000000 00000 00000 00082</t>
  </si>
  <si>
    <t>4 2 1 2 1 12 31111 6 M59 19000 000000 00000 00000 00082 025</t>
  </si>
  <si>
    <t>4 2 1 2 1 12 31111 6 M59 19000 000000 00000 00000 00082 025 1182300</t>
  </si>
  <si>
    <t>4 2 1 2 1 12 31111 6 M59 19000 000000 00000 00000 00082 025 1182300 2024</t>
  </si>
  <si>
    <t>4 2 1 2 1 12 31111 6 M59 19000 000000 00000 00000 00082 025 1182300 2024 00000000</t>
  </si>
  <si>
    <t>4 2 1 2 1 12 31111 6 M59 19000 000000 00000 00000 00082 025 1182300 2024 00000000 002</t>
  </si>
  <si>
    <t>FISM-DF</t>
  </si>
  <si>
    <t>4 2 1 2 1 12 31111 6 M59 19000 000000 00000 00000 00082 025 1182300 2024 00000000 002 0000001</t>
  </si>
  <si>
    <t>4 2 1 2 1 12 31111 6 M59 19000 000000 00000 00000 00082 025 1182300 2024 00000000 002 0000001 00001</t>
  </si>
  <si>
    <t>FONDO DE APORTACIONES PARA LA INFRAESTRUCTURA SOCIAL MUNICIPAL Y DE LAS DEMARCACIONES TERRITORIALES DEL DISTRITO FEDERAL (FAISMUN)</t>
  </si>
  <si>
    <t>4 2 1 2 1 12 31111 6 M59 19000 000000 00000 00000 00082 025 1182300 2024 00000000 003</t>
  </si>
  <si>
    <t>4 2 1 2 1 12 31111 6 M59 19000 000000 00000 00000 00082 025 1182300 2024 00000000 003 0000001</t>
  </si>
  <si>
    <t>APROVECHAMIENTO</t>
  </si>
  <si>
    <t>4 2 1 2 1 12 31111 6 M59 19000 000000 00000 00000 00082 025 1182300 2024 00000000 003 0000001 00001</t>
  </si>
  <si>
    <t>4 2 1 2 1 12 31111 6 M59 19000 000000 00000 00000 00082 025 1182300 2024 00000000 003 0000001 00001 001</t>
  </si>
  <si>
    <t>FONDO DE APORTACIÓN PARA EL FORTALECIMIENTO DE LOS MUNICIPIOS</t>
  </si>
  <si>
    <t>4 2 1 3</t>
  </si>
  <si>
    <t>CONVENIOS</t>
  </si>
  <si>
    <t>4 2 1 3 1</t>
  </si>
  <si>
    <t>4 2 1 3 1 12</t>
  </si>
  <si>
    <t>4 2 1 3 1 12 31111</t>
  </si>
  <si>
    <t>4 2 1 3 1 12 31111 6</t>
  </si>
  <si>
    <t>4 2 1 3 1 12 31111 6 M59</t>
  </si>
  <si>
    <t>4 2 1 3 1 12 31111 6 M59 19000</t>
  </si>
  <si>
    <t>4 2 1 3 1 12 31111 6 M59 19000 000000</t>
  </si>
  <si>
    <t>4 2 1 3 1 12 31111 6 M59 19000 000000 00000</t>
  </si>
  <si>
    <t>4 2 1 3 1 12 31111 6 M59 19000 000000 00000 00000</t>
  </si>
  <si>
    <t>4 2 1 3 1 12 31111 6 M59 19000 000000 00000 00000 00083</t>
  </si>
  <si>
    <t>4 2 1 3 1 12 31111 6 M59 19000 000000 00000 00000 00083 011</t>
  </si>
  <si>
    <t>4 2 1 3 1 12 31111 6 M59 19000 000000 00000 00000 00083 011 1113000</t>
  </si>
  <si>
    <t>4 2 1 3 1 12 31111 6 M59 19000 000000 00000 00000 00083 011 1113000 2024</t>
  </si>
  <si>
    <t>4 2 1 3 1 12 31111 6 M59 19000 000000 00000 00000 00083 011 1113000 2024 00000000</t>
  </si>
  <si>
    <t>4 2 1 3 1 12 31111 6 M59 19000 000000 00000 00000 00083 011 1113000 2024 00000000 004</t>
  </si>
  <si>
    <t>4 2 1 3 1 12 31111 6 M59 19000 000000 00000 00000 00083 011 1113000 2024 00000000 004 0000001</t>
  </si>
  <si>
    <t>4 2 1 3 1 12 31111 6 M59 19000 000000 00000 00000 00083 011 1113000 2024 00000000 004 0000001 00001</t>
  </si>
  <si>
    <t>PRODDER</t>
  </si>
  <si>
    <t>4 2 1 3 1 12 31111 6 M59 19000 000000 00000 00000 00083 011 1113000 2024 00000000 004 0000001 00002</t>
  </si>
  <si>
    <t>4 2 2</t>
  </si>
  <si>
    <t>TRANSFERENCIAS, ASIGNACIONES, SUBSIDIOS Y SUBVENCIONES, Y PENSIONES Y JUBILACIONES</t>
  </si>
  <si>
    <t>4 2 2 1</t>
  </si>
  <si>
    <t>TRANSFERENCIAS Y ASIGNACIONES</t>
  </si>
  <si>
    <t>4 2 2 1 1</t>
  </si>
  <si>
    <t>4 2 2 1 1 12</t>
  </si>
  <si>
    <t>4 2 2 1 1 12 31111</t>
  </si>
  <si>
    <t>4 2 2 1 1 12 31111 6</t>
  </si>
  <si>
    <t>4 2 2 1 1 12 31111 6 M59</t>
  </si>
  <si>
    <t>4 2 2 1 1 12 31111 6 M59 19000</t>
  </si>
  <si>
    <t>4 2 2 1 1 12 31111 6 M59 19000 000000</t>
  </si>
  <si>
    <t>4 2 2 1 1 12 31111 6 M59 19000 000000 00000</t>
  </si>
  <si>
    <t>4 2 2 1 1 12 31111 6 M59 19000 000000 00000 00000</t>
  </si>
  <si>
    <t>4 2 2 1 1 12 31111 6 M59 19000 000000 00000 00000 00091</t>
  </si>
  <si>
    <t>4 2 2 1 1 12 31111 6 M59 19000 000000 00000 00000 00091 011</t>
  </si>
  <si>
    <t>4 2 2 1 1 12 31111 6 M59 19000 000000 00000 00000 00091 011 1182110</t>
  </si>
  <si>
    <t xml:space="preserve">TRANSFERENCIAS INTERNAS Y ASIGNACIONES </t>
  </si>
  <si>
    <t>4 2 2 1 1 12 31111 6 M59 19000 000000 00000 00000 00091 011 1182110 2024</t>
  </si>
  <si>
    <t>4 2 2 1 1 12 31111 6 M59 19000 000000 00000 00000 00091 011 1182110 2024 00000000</t>
  </si>
  <si>
    <t>4 2 2 1 1 12 31111 6 M59 19000 000000 00000 00000 00091 011 1182110 2024 00000000 004</t>
  </si>
  <si>
    <t>4 2 2 1 1 12 31111 6 M59 19000 000000 00000 00000 00091 011 1182110 2024 00000000 004 0000001</t>
  </si>
  <si>
    <t>4 2 2 1 1 12 31111 6 M59 19000 000000 00000 00000 00091 011 1182110 2024 00000000 004 0000001 00001</t>
  </si>
  <si>
    <t>5</t>
  </si>
  <si>
    <t>GASTOS Y OTRAS PÉRDIDAS</t>
  </si>
  <si>
    <t>5 1</t>
  </si>
  <si>
    <t>GASTOS DE FUNCIONAMIENTO</t>
  </si>
  <si>
    <t>5 1 1</t>
  </si>
  <si>
    <t>SERVICIOS PERSONALES</t>
  </si>
  <si>
    <t>5 1 1 1</t>
  </si>
  <si>
    <t>REMUNERACIONES AL PERSONAL DE CARÁCTER PERMANENTE</t>
  </si>
  <si>
    <t>5 1 1 1 1</t>
  </si>
  <si>
    <t>DIETAS</t>
  </si>
  <si>
    <t>5 1 1 1 1 12</t>
  </si>
  <si>
    <t>5 1 1 1 1 12 31111</t>
  </si>
  <si>
    <t>5 1 1 1 1 12 31111 6</t>
  </si>
  <si>
    <t>5 1 1 1 1 12 31111 6 M64</t>
  </si>
  <si>
    <t>5 1 1 1 1 12 31111 6 M64 00001</t>
  </si>
  <si>
    <t>5 1 1 1 1 12 31111 6 M64 00001 000001</t>
  </si>
  <si>
    <t>REMUNERACIONES AL PERSONAL</t>
  </si>
  <si>
    <t>5 1 1 1 3</t>
  </si>
  <si>
    <t>SUELDOS BASE AL PERSONAL PERMANENTE</t>
  </si>
  <si>
    <t>5 1 1 1 3 12</t>
  </si>
  <si>
    <t>5 1 1 1 3 12 31111</t>
  </si>
  <si>
    <t>5 1 1 1 3 12 31111 6</t>
  </si>
  <si>
    <t>5 1 1 1 3 12 31111 6 M59</t>
  </si>
  <si>
    <t>5 1 1 1 3 12 31111 6 M59 10000</t>
  </si>
  <si>
    <t>5 1 1 1 3 12 31111 6 M59 10000 000132</t>
  </si>
  <si>
    <t>5 1 1 1 3 12 31111 6 M59 10000 000132 0000R</t>
  </si>
  <si>
    <t>5 1 1 1 3 12 31111 6 M59 10000 000132 0000R 00001</t>
  </si>
  <si>
    <t>5 1 1 1 3 12 31111 6 M59 10000 000132 0000R 00001 00113</t>
  </si>
  <si>
    <t>SUELDOS BASE AL PERSONAL PERMANENTE.</t>
  </si>
  <si>
    <t>5 1 1 1 3 12 31111 6 M59 10000 000132 0000R 00001 00113 015</t>
  </si>
  <si>
    <t>5 1 1 1 3 12 31111 6 M59 10000 000132 0000R 00001 00113 015 2111100</t>
  </si>
  <si>
    <t>SUELDOS Y SALARIOS</t>
  </si>
  <si>
    <t>5 1 1 1 3 12 31111 6 M59 10000 000132 0000R 00001 00113 015 2111100 2024</t>
  </si>
  <si>
    <t>5 1 1 1 3 12 31111 6 M59 10000 000132 0000R 00001 00113 015 2111100 2024 CP1PM439</t>
  </si>
  <si>
    <t>5 1 1 1 3 12 31111 6 M59 10000 000132 0000R 00001 00113 015 2111100 2024 CP1PM439 001</t>
  </si>
  <si>
    <t>5 1 1 1 3 12 31111 6 M59 10000 000132 0000R 00001 00113 015 2111100 2024 CP1PM439 001 0000001</t>
  </si>
  <si>
    <t>SUELDO BASE AL PERSONAL PERMANENTE</t>
  </si>
  <si>
    <t>5 1 1 1 3 12 31111 6 M59 10100</t>
  </si>
  <si>
    <t>COORDINACION DE ASESORES</t>
  </si>
  <si>
    <t>5 1 1 1 3 12 31111 6 M59 10100 000132</t>
  </si>
  <si>
    <t>5 1 1 1 3 12 31111 6 M59 10100 000132 0000R</t>
  </si>
  <si>
    <t>5 1 1 1 3 12 31111 6 M59 10100 000132 0000R 00001</t>
  </si>
  <si>
    <t>5 1 1 1 3 12 31111 6 M59 10100 000132 0000R 00001 00113</t>
  </si>
  <si>
    <t>5 1 1 1 3 12 31111 6 M59 10100 000132 0000R 00001 00113 015</t>
  </si>
  <si>
    <t>5 1 1 1 3 12 31111 6 M59 10100 000132 0000R 00001 00113 015 2111100</t>
  </si>
  <si>
    <t>5 1 1 1 3 12 31111 6 M59 10100 000132 0000R 00001 00113 015 2111100 2024</t>
  </si>
  <si>
    <t>5 1 1 1 3 12 31111 6 M59 10100 000132 0000R 00001 00113 015 2111100 2024 CP1CO438</t>
  </si>
  <si>
    <t>5 1 1 1 3 12 31111 6 M59 10100 000132 0000R 00001 00113 015 2111100 2024 CP1CO438 001</t>
  </si>
  <si>
    <t>5 1 1 1 3 12 31111 6 M59 10100 000132 0000R 00001 00113 015 2111100 2024 CP1CO438 001 0000001</t>
  </si>
  <si>
    <t>5 1 1 1 3 12 31111 6 M59 10300</t>
  </si>
  <si>
    <t>DIRECCION DE GIRAS Y EVENTOS</t>
  </si>
  <si>
    <t>5 1 1 1 3 12 31111 6 M59 10300 000132</t>
  </si>
  <si>
    <t>5 1 1 1 3 12 31111 6 M59 10300 000132 0000R</t>
  </si>
  <si>
    <t>5 1 1 1 3 12 31111 6 M59 10300 000132 0000R 00001</t>
  </si>
  <si>
    <t>5 1 1 1 3 12 31111 6 M59 10300 000132 0000R 00001 00113</t>
  </si>
  <si>
    <t>5 1 1 1 3 12 31111 6 M59 10300 000132 0000R 00001 00113 015</t>
  </si>
  <si>
    <t>5 1 1 1 3 12 31111 6 M59 10300 000132 0000R 00001 00113 015 2111100</t>
  </si>
  <si>
    <t>5 1 1 1 3 12 31111 6 M59 10300 000132 0000R 00001 00113 015 2111100 2024</t>
  </si>
  <si>
    <t>5 1 1 1 3 12 31111 6 M59 10300 000132 0000R 00001 00113 015 2111100 2024 CP1GE413</t>
  </si>
  <si>
    <t>GASTOS DE REPRESENTACIÓN</t>
  </si>
  <si>
    <t>5 1 1 1 3 12 31111 6 M59 10300 000132 0000R 00001 00113 015 2111100 2024 CP1GE413 001</t>
  </si>
  <si>
    <t>5 1 1 1 3 12 31111 6 M59 10300 000132 0000R 00001 00113 015 2111100 2024 CP1GE413 001 0000001</t>
  </si>
  <si>
    <t>5 1 1 1 3 12 31111 6 M59 10400</t>
  </si>
  <si>
    <t>DEPARTAMENTO DE CONTROL Y GESTIÓN DE LA DEMANDA CIUDADANA</t>
  </si>
  <si>
    <t>5 1 1 1 3 12 31111 6 M59 10400 000132</t>
  </si>
  <si>
    <t>5 1 1 1 3 12 31111 6 M59 10400 000132 0000R</t>
  </si>
  <si>
    <t>5 1 1 1 3 12 31111 6 M59 10400 000132 0000R 00001</t>
  </si>
  <si>
    <t>5 1 1 1 3 12 31111 6 M59 10400 000132 0000R 00001 00113</t>
  </si>
  <si>
    <t>5 1 1 1 3 12 31111 6 M59 10400 000132 0000R 00001 00113 015</t>
  </si>
  <si>
    <t>5 1 1 1 3 12 31111 6 M59 10400 000132 0000R 00001 00113 015 2111100</t>
  </si>
  <si>
    <t>5 1 1 1 3 12 31111 6 M59 10400 000132 0000R 00001 00113 015 2111100 2024</t>
  </si>
  <si>
    <t>5 1 1 1 3 12 31111 6 M59 10400 000132 0000R 00001 00113 015 2111100 2024 CP1CG432</t>
  </si>
  <si>
    <t>5 1 1 1 3 12 31111 6 M59 10400 000132 0000R 00001 00113 015 2111100 2024 CP1CG432 001</t>
  </si>
  <si>
    <t>5 1 1 1 3 12 31111 6 M59 10400 000132 0000R 00001 00113 015 2111100 2024 CP1CG432 001 0000001</t>
  </si>
  <si>
    <t>5 1 1 1 3 12 31111 6 M59 10500</t>
  </si>
  <si>
    <t>DIRECCIÓN DE COMUNICACIÓN SOCIAL</t>
  </si>
  <si>
    <t>5 1 1 1 3 12 31111 6 M59 10500 000132</t>
  </si>
  <si>
    <t>5 1 1 1 3 12 31111 6 M59 10500 000132 0000R</t>
  </si>
  <si>
    <t>5 1 1 1 3 12 31111 6 M59 10500 000132 0000R 00001</t>
  </si>
  <si>
    <t>5 1 1 1 3 12 31111 6 M59 10500 000132 0000R 00001 00113</t>
  </si>
  <si>
    <t>5 1 1 1 3 12 31111 6 M59 10500 000132 0000R 00001 00113 015</t>
  </si>
  <si>
    <t>5 1 1 1 3 12 31111 6 M59 10500 000132 0000R 00001 00113 015 2111100</t>
  </si>
  <si>
    <t>5 1 1 1 3 12 31111 6 M59 10500 000132 0000R 00001 00113 015 2111100 2024</t>
  </si>
  <si>
    <t>5 1 1 1 3 12 31111 6 M59 10500 000132 0000R 00001 00113 015 2111100 2024 CP1CS421</t>
  </si>
  <si>
    <t>5 1 1 1 3 12 31111 6 M59 10500 000132 0000R 00001 00113 015 2111100 2024 CP1CS421 001</t>
  </si>
  <si>
    <t>5 1 1 1 3 12 31111 6 M59 10500 000132 0000R 00001 00113 015 2111100 2024 CP1CS421 001 0000001</t>
  </si>
  <si>
    <t>5 1 1 1 3 12 31111 6 M59 10600</t>
  </si>
  <si>
    <t>COMUNA MUNICIPAL</t>
  </si>
  <si>
    <t>5 1 1 1 3 12 31111 6 M59 10600 000132</t>
  </si>
  <si>
    <t>5 1 1 1 3 12 31111 6 M59 10600 000132 0000R</t>
  </si>
  <si>
    <t>5 1 1 1 3 12 31111 6 M59 10600 000132 0000R 00001</t>
  </si>
  <si>
    <t>5 1 1 1 3 12 31111 6 M59 10600 000132 0000R 00001 00113</t>
  </si>
  <si>
    <t>5 1 1 1 3 12 31111 6 M59 10600 000132 0000R 00001 00113 015</t>
  </si>
  <si>
    <t>5 1 1 1 3 12 31111 6 M59 10600 000132 0000R 00001 00113 015 2111100</t>
  </si>
  <si>
    <t>5 1 1 1 3 12 31111 6 M59 10600 000132 0000R 00001 00113 015 2111100 2024</t>
  </si>
  <si>
    <t>5 1 1 1 3 12 31111 6 M59 10600 000132 0000R 00001 00113 015 2111100 2024 CP1CM436</t>
  </si>
  <si>
    <t>CONTROL Y ADMINISTRACIÓN DE RECURSOS FINANCIEROS</t>
  </si>
  <si>
    <t>5 1 1 1 3 12 31111 6 M59 10600 000132 0000R 00001 00113 015 2111100 2024 CP1CM436 001</t>
  </si>
  <si>
    <t>5 1 1 1 3 12 31111 6 M59 10600 000132 0000R 00001 00113 015 2111100 2024 CP1CM436 001 0000001</t>
  </si>
  <si>
    <t>5 1 1 1 3 12 31111 6 M59 10700</t>
  </si>
  <si>
    <t>COORDINACION DE GABINETE</t>
  </si>
  <si>
    <t>5 1 1 1 3 12 31111 6 M59 10700 000132</t>
  </si>
  <si>
    <t>5 1 1 1 3 12 31111 6 M59 10700 000132 0000R</t>
  </si>
  <si>
    <t>5 1 1 1 3 12 31111 6 M59 10700 000132 0000R 00001</t>
  </si>
  <si>
    <t>5 1 1 1 3 12 31111 6 M59 10700 000132 0000R 00001 00113</t>
  </si>
  <si>
    <t>5 1 1 1 3 12 31111 6 M59 10700 000132 0000R 00001 00113 015</t>
  </si>
  <si>
    <t>5 1 1 1 3 12 31111 6 M59 10700 000132 0000R 00001 00113 015 2111100</t>
  </si>
  <si>
    <t>5 1 1 1 3 12 31111 6 M59 10700 000132 0000R 00001 00113 015 2111100 2024</t>
  </si>
  <si>
    <t>5 1 1 1 3 12 31111 6 M59 10700 000132 0000R 00001 00113 015 2111100 2024 CP1GB435</t>
  </si>
  <si>
    <t>5 1 1 1 3 12 31111 6 M59 10700 000132 0000R 00001 00113 015 2111100 2024 CP1GB435 001</t>
  </si>
  <si>
    <t>5 1 1 1 3 12 31111 6 M59 10700 000132 0000R 00001 00113 015 2111100 2024 CP1GB435 001 0000001</t>
  </si>
  <si>
    <t>5 1 1 1 3 12 31111 6 M59 10800</t>
  </si>
  <si>
    <t>SALA DE REGIDORES</t>
  </si>
  <si>
    <t>5 1 1 1 3 12 31111 6 M59 10800 000132</t>
  </si>
  <si>
    <t>5 1 1 1 3 12 31111 6 M59 10800 000132 0000R</t>
  </si>
  <si>
    <t>5 1 1 1 3 12 31111 6 M59 10800 000132 0000R 00001</t>
  </si>
  <si>
    <t>5 1 1 1 3 12 31111 6 M59 10800 000132 0000R 00001 00113</t>
  </si>
  <si>
    <t>5 1 1 1 3 12 31111 6 M59 10800 000132 0000R 00001 00113 015</t>
  </si>
  <si>
    <t>5 1 1 1 3 12 31111 6 M59 10800 000132 0000R 00001 00113 015 2111100</t>
  </si>
  <si>
    <t>5 1 1 1 3 12 31111 6 M59 10800 000132 0000R 00001 00113 015 2111100 2024</t>
  </si>
  <si>
    <t>5 1 1 1 3 12 31111 6 M59 10800 000132 0000R 00001 00113 015 2111100 2024 CP1SR390</t>
  </si>
  <si>
    <t>5 1 1 1 3 12 31111 6 M59 10800 000132 0000R 00001 00113 015 2111100 2024 CP1SR390 001</t>
  </si>
  <si>
    <t>5 1 1 1 3 12 31111 6 M59 10800 000132 0000R 00001 00113 015 2111100 2024 CP1SR390 001 0000001</t>
  </si>
  <si>
    <t>5 1 1 1 3 12 31111 6 M59 11000</t>
  </si>
  <si>
    <t>SINDICATURA MUNICIPAL</t>
  </si>
  <si>
    <t>5 1 1 1 3 12 31111 6 M59 11000 000132</t>
  </si>
  <si>
    <t>5 1 1 1 3 12 31111 6 M59 11000 000132 0000R</t>
  </si>
  <si>
    <t>5 1 1 1 3 12 31111 6 M59 11000 000132 0000R 00001</t>
  </si>
  <si>
    <t>5 1 1 1 3 12 31111 6 M59 11000 000132 0000R 00001 00113</t>
  </si>
  <si>
    <t>5 1 1 1 3 12 31111 6 M59 11000 000132 0000R 00001 00113 015</t>
  </si>
  <si>
    <t>5 1 1 1 3 12 31111 6 M59 11000 000132 0000R 00001 00113 015 2111100</t>
  </si>
  <si>
    <t>5 1 1 1 3 12 31111 6 M59 11000 000132 0000R 00001 00113 015 2111100 2024</t>
  </si>
  <si>
    <t>5 1 1 1 3 12 31111 6 M59 11000 000132 0000R 00001 00113 015 2111100 2024 CP1SM382</t>
  </si>
  <si>
    <t>5 1 1 1 3 12 31111 6 M59 11000 000132 0000R 00001 00113 015 2111100 2024 CP1SM382 001</t>
  </si>
  <si>
    <t>5 1 1 1 3 12 31111 6 M59 11000 000132 0000R 00001 00113 015 2111100 2024 CP1SM382 001 0000001</t>
  </si>
  <si>
    <t>5 1 1 1 3 12 31111 6 M59 12000</t>
  </si>
  <si>
    <t>ORGANO DE CONTROL INTERNO MUNICIPAL</t>
  </si>
  <si>
    <t>5 1 1 1 3 12 31111 6 M59 12000 000121</t>
  </si>
  <si>
    <t>IMPARTICIÓN DE JUSTICIA</t>
  </si>
  <si>
    <t>5 1 1 1 3 12 31111 6 M59 12000 000121 0000E</t>
  </si>
  <si>
    <t>5 1 1 1 3 12 31111 6 M59 12000 000121 0000E 00001</t>
  </si>
  <si>
    <t>5 1 1 1 3 12 31111 6 M59 12000 000121 0000E 00001 00113</t>
  </si>
  <si>
    <t>5 1 1 1 3 12 31111 6 M59 12000 000121 0000E 00001 00113 015</t>
  </si>
  <si>
    <t>5 1 1 1 3 12 31111 6 M59 12000 000121 0000E 00001 00113 015 2111100</t>
  </si>
  <si>
    <t>5 1 1 1 3 12 31111 6 M59 12000 000121 0000E 00001 00113 015 2111100 2024</t>
  </si>
  <si>
    <t>5 1 1 1 3 12 31111 6 M59 12000 000121 0000E 00001 00113 015 2111100 2024 CP1CI591</t>
  </si>
  <si>
    <t>5 1 1 1 3 12 31111 6 M59 12000 000121 0000E 00001 00113 015 2111100 2024 CP1CI591 001</t>
  </si>
  <si>
    <t>5 1 1 1 3 12 31111 6 M59 12000 000121 0000E 00001 00113 015 2111100 2024 CP1CI591 001 0000001</t>
  </si>
  <si>
    <t>5 1 1 1 3 12 31111 6 M59 12100</t>
  </si>
  <si>
    <t>DEPARTAMENTO DE LA RENDICIÓN DE CUENTAS Y TRANSPARENCIA</t>
  </si>
  <si>
    <t>5 1 1 1 3 12 31111 6 M59 12100 000132</t>
  </si>
  <si>
    <t>5 1 1 1 3 12 31111 6 M59 12100 000132 0000R</t>
  </si>
  <si>
    <t>5 1 1 1 3 12 31111 6 M59 12100 000132 0000R 00001</t>
  </si>
  <si>
    <t>5 1 1 1 3 12 31111 6 M59 12100 000132 0000R 00001 00113</t>
  </si>
  <si>
    <t>5 1 1 1 3 12 31111 6 M59 12100 000132 0000R 00001 00113 015</t>
  </si>
  <si>
    <t>5 1 1 1 3 12 31111 6 M59 12100 000132 0000R 00001 00113 015 2111100</t>
  </si>
  <si>
    <t>5 1 1 1 3 12 31111 6 M59 12100 000132 0000R 00001 00113 015 2111100 2024</t>
  </si>
  <si>
    <t>5 1 1 1 3 12 31111 6 M59 12100 000132 0000R 00001 00113 015 2111100 2024 CP1TR430</t>
  </si>
  <si>
    <t>5 1 1 1 3 12 31111 6 M59 12100 000132 0000R 00001 00113 015 2111100 2024 CP1TR430 001</t>
  </si>
  <si>
    <t>5 1 1 1 3 12 31111 6 M59 12100 000132 0000R 00001 00113 015 2111100 2024 CP1TR430 001 0000001</t>
  </si>
  <si>
    <t>5 1 1 1 3 12 31111 6 M59 19000</t>
  </si>
  <si>
    <t>5 1 1 1 3 12 31111 6 M59 19000 000132</t>
  </si>
  <si>
    <t>5 1 1 1 3 12 31111 6 M59 19000 000132 0000R</t>
  </si>
  <si>
    <t>5 1 1 1 3 12 31111 6 M59 19000 000132 0000R 00001</t>
  </si>
  <si>
    <t>5 1 1 1 3 12 31111 6 M59 19000 000132 0000R 00001 00113</t>
  </si>
  <si>
    <t>5 1 1 1 3 12 31111 6 M59 19000 000132 0000R 00001 00113 015</t>
  </si>
  <si>
    <t>5 1 1 1 3 12 31111 6 M59 19000 000132 0000R 00001 00113 015 2111100</t>
  </si>
  <si>
    <t>5 1 1 1 3 12 31111 6 M59 19000 000132 0000R 00001 00113 015 2111100 2024</t>
  </si>
  <si>
    <t>5 1 1 1 3 12 31111 6 M59 19000 000132 0000R 00001 00113 015 2111100 2024 CP1TM440</t>
  </si>
  <si>
    <t>5 1 1 1 3 12 31111 6 M59 19000 000132 0000R 00001 00113 015 2111100 2024 CP1TM440 001</t>
  </si>
  <si>
    <t>5 1 1 1 3 12 31111 6 M59 19000 000132 0000R 00001 00113 015 2111100 2024 CP1TM440 001 0000001</t>
  </si>
  <si>
    <t>5 1 1 1 3 12 31111 6 M59 20000</t>
  </si>
  <si>
    <t>5 1 1 1 3 12 31111 6 M59 20000 000132</t>
  </si>
  <si>
    <t>5 1 1 1 3 12 31111 6 M59 20000 000132 0000R</t>
  </si>
  <si>
    <t>5 1 1 1 3 12 31111 6 M59 20000 000132 0000R 00001</t>
  </si>
  <si>
    <t>5 1 1 1 3 12 31111 6 M59 20000 000132 0000R 00001 00113</t>
  </si>
  <si>
    <t>5 1 1 1 3 12 31111 6 M59 20000 000132 0000R 00001 00113 015</t>
  </si>
  <si>
    <t>5 1 1 1 3 12 31111 6 M59 20000 000132 0000R 00001 00113 015 2111100</t>
  </si>
  <si>
    <t>5 1 1 1 3 12 31111 6 M59 20000 000132 0000R 00001 00113 015 2111100 2024</t>
  </si>
  <si>
    <t>5 1 1 1 3 12 31111 6 M59 20000 000132 0000R 00001 00113 015 2111100 2024 CP1AF389</t>
  </si>
  <si>
    <t>5 1 1 1 3 12 31111 6 M59 20000 000132 0000R 00001 00113 015 2111100 2024 CP1AF389 001</t>
  </si>
  <si>
    <t>5 1 1 1 3 12 31111 6 M59 20000 000132 0000R 00001 00113 015 2111100 2024 CP1AF389 001 0000001</t>
  </si>
  <si>
    <t>5 1 1 1 3 12 31111 6 M59 20000 000132 0000R 00001 00113 015 2111100 2024 CP1AF389 001 0000001 00001</t>
  </si>
  <si>
    <t>5 1 1 1 3 12 31111 6 M59 20200</t>
  </si>
  <si>
    <t>DIRECCIÓN DE INGRESOS</t>
  </si>
  <si>
    <t>5 1 1 1 3 12 31111 6 M59 20200 000132</t>
  </si>
  <si>
    <t>5 1 1 1 3 12 31111 6 M59 20200 000132 0000R</t>
  </si>
  <si>
    <t>5 1 1 1 3 12 31111 6 M59 20200 000132 0000R 00001</t>
  </si>
  <si>
    <t>5 1 1 1 3 12 31111 6 M59 20200 000132 0000R 00001 00113</t>
  </si>
  <si>
    <t>5 1 1 1 3 12 31111 6 M59 20200 000132 0000R 00001 00113 015</t>
  </si>
  <si>
    <t>5 1 1 1 3 12 31111 6 M59 20200 000132 0000R 00001 00113 015 2111100</t>
  </si>
  <si>
    <t>5 1 1 1 3 12 31111 6 M59 20200 000132 0000R 00001 00113 015 2111100 2024</t>
  </si>
  <si>
    <t>5 1 1 1 3 12 31111 6 M59 20200 000132 0000R 00001 00113 015 2111100 2024 CP1DI411</t>
  </si>
  <si>
    <t>5 1 1 1 3 12 31111 6 M59 20200 000132 0000R 00001 00113 015 2111100 2024 CP1DI411 001</t>
  </si>
  <si>
    <t>5 1 1 1 3 12 31111 6 M59 20200 000132 0000R 00001 00113 015 2111100 2024 CP1DI411 001 0000001</t>
  </si>
  <si>
    <t>5 1 1 1 3 12 31111 6 M59 20300</t>
  </si>
  <si>
    <t>5 1 1 1 3 12 31111 6 M59 20300 000132</t>
  </si>
  <si>
    <t>5 1 1 1 3 12 31111 6 M59 20300 000132 0000R</t>
  </si>
  <si>
    <t>5 1 1 1 3 12 31111 6 M59 20300 000132 0000R 00001</t>
  </si>
  <si>
    <t>5 1 1 1 3 12 31111 6 M59 20300 000132 0000R 00001 00113</t>
  </si>
  <si>
    <t>5 1 1 1 3 12 31111 6 M59 20300 000132 0000R 00001 00113 015</t>
  </si>
  <si>
    <t>5 1 1 1 3 12 31111 6 M59 20300 000132 0000R 00001 00113 015 2111100</t>
  </si>
  <si>
    <t>5 1 1 1 3 12 31111 6 M59 20300 000132 0000R 00001 00113 015 2111100 2024</t>
  </si>
  <si>
    <t>5 1 1 1 3 12 31111 6 M59 20300 000132 0000R 00001 00113 015 2111100 2024 CP1DE415</t>
  </si>
  <si>
    <t>5 1 1 1 3 12 31111 6 M59 20300 000132 0000R 00001 00113 015 2111100 2024 CP1DE415 001</t>
  </si>
  <si>
    <t>5 1 1 1 3 12 31111 6 M59 20300 000132 0000R 00001 00113 015 2111100 2024 CP1DE415 001 0000001</t>
  </si>
  <si>
    <t>5 1 1 1 3 12 31111 6 M59 20400</t>
  </si>
  <si>
    <t>DIRECCIÓN DE PARQUE VEHÍCULAR</t>
  </si>
  <si>
    <t>5 1 1 1 3 12 31111 6 M59 20400 000132</t>
  </si>
  <si>
    <t>5 1 1 1 3 12 31111 6 M59 20400 000132 0000R</t>
  </si>
  <si>
    <t>5 1 1 1 3 12 31111 6 M59 20400 000132 0000R 00001</t>
  </si>
  <si>
    <t>5 1 1 1 3 12 31111 6 M59 20400 000132 0000R 00001 00113</t>
  </si>
  <si>
    <t>5 1 1 1 3 12 31111 6 M59 20400 000132 0000R 00001 00113 015</t>
  </si>
  <si>
    <t>5 1 1 1 3 12 31111 6 M59 20400 000132 0000R 00001 00113 015 2111100</t>
  </si>
  <si>
    <t>5 1 1 1 3 12 31111 6 M59 20400 000132 0000R 00001 00113 015 2111100 2024</t>
  </si>
  <si>
    <t>5 1 1 1 3 12 31111 6 M59 20400 000132 0000R 00001 00113 015 2111100 2024 CP1PV404</t>
  </si>
  <si>
    <t>5 1 1 1 3 12 31111 6 M59 20400 000132 0000R 00001 00113 015 2111100 2024 CP1PV404 001</t>
  </si>
  <si>
    <t>5 1 1 1 3 12 31111 6 M59 20400 000132 0000R 00001 00113 015 2111100 2024 CP1PV404 001 0000001</t>
  </si>
  <si>
    <t>5 1 1 1 3 12 31111 6 M59 20500</t>
  </si>
  <si>
    <t>5 1 1 1 3 12 31111 6 M59 20500 000132</t>
  </si>
  <si>
    <t>5 1 1 1 3 12 31111 6 M59 20500 000132 0000R</t>
  </si>
  <si>
    <t>5 1 1 1 3 12 31111 6 M59 20500 000132 0000R 00001</t>
  </si>
  <si>
    <t>5 1 1 1 3 12 31111 6 M59 20500 000132 0000R 00001 00113</t>
  </si>
  <si>
    <t>5 1 1 1 3 12 31111 6 M59 20500 000132 0000R 00001 00113 015</t>
  </si>
  <si>
    <t>5 1 1 1 3 12 31111 6 M59 20500 000132 0000R 00001 00113 015 2111100</t>
  </si>
  <si>
    <t>5 1 1 1 3 12 31111 6 M59 20500 000132 0000R 00001 00113 015 2111100 2024</t>
  </si>
  <si>
    <t>5 1 1 1 3 12 31111 6 M59 20500 000132 0000R 00001 00113 015 2111100 2024 CP1CP420</t>
  </si>
  <si>
    <t>5 1 1 1 3 12 31111 6 M59 20500 000132 0000R 00001 00113 015 2111100 2024 CP1CP420 001</t>
  </si>
  <si>
    <t>5 1 1 1 3 12 31111 6 M59 20500 000132 0000R 00001 00113 015 2111100 2024 CP1CP420 001 0000001</t>
  </si>
  <si>
    <t>5 1 1 1 3 12 31111 6 M59 20600</t>
  </si>
  <si>
    <t>DIRECCIÓN DE CATASTRO</t>
  </si>
  <si>
    <t>5 1 1 1 3 12 31111 6 M59 20600 000132</t>
  </si>
  <si>
    <t>5 1 1 1 3 12 31111 6 M59 20600 000132 0000R</t>
  </si>
  <si>
    <t>5 1 1 1 3 12 31111 6 M59 20600 000132 0000R 00001</t>
  </si>
  <si>
    <t>5 1 1 1 3 12 31111 6 M59 20600 000132 0000R 00001 00113</t>
  </si>
  <si>
    <t>5 1 1 1 3 12 31111 6 M59 20600 000132 0000R 00001 00113 015</t>
  </si>
  <si>
    <t>5 1 1 1 3 12 31111 6 M59 20600 000132 0000R 00001 00113 015 2111100</t>
  </si>
  <si>
    <t>5 1 1 1 3 12 31111 6 M59 20600 000132 0000R 00001 00113 015 2111100 2024</t>
  </si>
  <si>
    <t>5 1 1 1 3 12 31111 6 M59 20600 000132 0000R 00001 00113 015 2111100 2024 CP1CA380</t>
  </si>
  <si>
    <t>5 1 1 1 3 12 31111 6 M59 20600 000132 0000R 00001 00113 015 2111100 2024 CP1CA380 001</t>
  </si>
  <si>
    <t>5 1 1 1 3 12 31111 6 M59 20600 000132 0000R 00001 00113 015 2111100 2024 CP1CA380 001 0000001</t>
  </si>
  <si>
    <t>5 1 1 1 3 12 31111 6 M59 20700</t>
  </si>
  <si>
    <t>DIRECCIÓN DE RASTRO MUNICIPAL</t>
  </si>
  <si>
    <t>5 1 1 1 3 12 31111 6 M59 20700 000132</t>
  </si>
  <si>
    <t>5 1 1 1 3 12 31111 6 M59 20700 000132 0000R</t>
  </si>
  <si>
    <t>5 1 1 1 3 12 31111 6 M59 20700 000132 0000R 00001</t>
  </si>
  <si>
    <t>5 1 1 1 3 12 31111 6 M59 20700 000132 0000R 00001 00113</t>
  </si>
  <si>
    <t>5 1 1 1 3 12 31111 6 M59 20700 000132 0000R 00001 00113 015</t>
  </si>
  <si>
    <t>5 1 1 1 3 12 31111 6 M59 20700 000132 0000R 00001 00113 015 2111100</t>
  </si>
  <si>
    <t>5 1 1 1 3 12 31111 6 M59 20700 000132 0000R 00001 00113 015 2111100 2024</t>
  </si>
  <si>
    <t>5 1 1 1 3 12 31111 6 M59 20700 000132 0000R 00001 00113 015 2111100 2024 CP1RM401</t>
  </si>
  <si>
    <t>5 1 1 1 3 12 31111 6 M59 20700 000132 0000R 00001 00113 015 2111100 2024 CP1RM401 001</t>
  </si>
  <si>
    <t>5 1 1 1 3 12 31111 6 M59 20700 000132 0000R 00001 00113 015 2111100 2024 CP1RM401 001 0000001</t>
  </si>
  <si>
    <t>5 1 1 1 3 12 31111 6 M59 20800</t>
  </si>
  <si>
    <t>DIRECCION DE ADQUISICIONES Y ALMACEN</t>
  </si>
  <si>
    <t>5 1 1 1 3 12 31111 6 M59 20800 000181</t>
  </si>
  <si>
    <t>SERVICIOS REGISTRALES, ADMINISTRATIVOS Y PATRIMONIALES</t>
  </si>
  <si>
    <t>5 1 1 1 3 12 31111 6 M59 20800 000181 0000R</t>
  </si>
  <si>
    <t>5 1 1 1 3 12 31111 6 M59 20800 000181 0000R 00001</t>
  </si>
  <si>
    <t>5 1 1 1 3 12 31111 6 M59 20800 000181 0000R 00001 00113</t>
  </si>
  <si>
    <t>5 1 1 1 3 12 31111 6 M59 20800 000181 0000R 00001 00113 015</t>
  </si>
  <si>
    <t>5 1 1 1 3 12 31111 6 M59 20800 000181 0000R 00001 00113 015 2111100</t>
  </si>
  <si>
    <t>5 1 1 1 3 12 31111 6 M59 20800 000181 0000R 00001 00113 015 2111100 2024</t>
  </si>
  <si>
    <t>5 1 1 1 3 12 31111 6 M59 20800 000181 0000R 00001 00113 015 2111100 2024 CP1AA392</t>
  </si>
  <si>
    <t>5 1 1 1 3 12 31111 6 M59 20800 000181 0000R 00001 00113 015 2111100 2024 CP1AA392 001</t>
  </si>
  <si>
    <t>5 1 1 1 3 12 31111 6 M59 20800 000181 0000R 00001 00113 015 2111100 2024 CP1AA392 001 0000001</t>
  </si>
  <si>
    <t>5 1 1 1 3 12 31111 6 M59 21000</t>
  </si>
  <si>
    <t>SECRETARÍA DE PROGRAMACIPON Y PRESUPUESTO</t>
  </si>
  <si>
    <t>5 1 1 1 3 12 31111 6 M59 21000 000132</t>
  </si>
  <si>
    <t>5 1 1 1 3 12 31111 6 M59 21000 000132 0000R</t>
  </si>
  <si>
    <t>5 1 1 1 3 12 31111 6 M59 21000 000132 0000R 00001</t>
  </si>
  <si>
    <t>5 1 1 1 3 12 31111 6 M59 21000 000132 0000R 00001 00113</t>
  </si>
  <si>
    <t>5 1 1 1 3 12 31111 6 M59 21000 000132 0000R 00001 00113 015</t>
  </si>
  <si>
    <t>5 1 1 1 3 12 31111 6 M59 21000 000132 0000R 00001 00113 015 2111100</t>
  </si>
  <si>
    <t>5 1 1 1 3 12 31111 6 M59 21000 000132 0000R 00001 00113 015 2111100 2024</t>
  </si>
  <si>
    <t>5 1 1 1 3 12 31111 6 M59 21000 000132 0000R 00001 00113 015 2111100 2024 CP1PP402</t>
  </si>
  <si>
    <t>5 1 1 1 3 12 31111 6 M59 21000 000132 0000R 00001 00113 015 2111100 2024 CP1PP402 001</t>
  </si>
  <si>
    <t>5 1 1 1 3 12 31111 6 M59 21000 000132 0000R 00001 00113 015 2111100 2024 CP1PP402 001 0000001</t>
  </si>
  <si>
    <t>5 1 1 1 3 12 31111 6 M59 22000</t>
  </si>
  <si>
    <t>SECRETARIA DE PLANEACIÓN, PROGRAMACIÓN Y PRESUPUESTO</t>
  </si>
  <si>
    <t>5 1 1 1 3 12 31111 6 M59 22000 000132</t>
  </si>
  <si>
    <t>5 1 1 1 3 12 31111 6 M59 22000 000132 0000R</t>
  </si>
  <si>
    <t>5 1 1 1 3 12 31111 6 M59 22000 000132 0000R 00001</t>
  </si>
  <si>
    <t>5 1 1 1 3 12 31111 6 M59 22000 000132 0000R 00001 00113</t>
  </si>
  <si>
    <t>5 1 1 1 3 12 31111 6 M59 22000 000132 0000R 00001 00113 015</t>
  </si>
  <si>
    <t>5 1 1 1 3 12 31111 6 M59 22000 000132 0000R 00001 00113 015 2111100</t>
  </si>
  <si>
    <t>5 1 1 1 3 12 31111 6 M59 22000 000132 0000R 00001 00113 015 2111100 2024</t>
  </si>
  <si>
    <t>5 1 1 1 3 12 31111 6 M59 22000 000132 0000R 00001 00113 015 2111100 2024 CP1PL384</t>
  </si>
  <si>
    <t>5 1 1 1 3 12 31111 6 M59 22000 000132 0000R 00001 00113 015 2111100 2024 CP1PL384 001</t>
  </si>
  <si>
    <t>5 1 1 1 3 12 31111 6 M59 22000 000132 0000R 00001 00113 015 2111100 2024 CP1PL384 001 0000001</t>
  </si>
  <si>
    <t>5 1 1 1 3 12 31111 6 M59 23000</t>
  </si>
  <si>
    <t>COMUNICACIÓN SOCIAL</t>
  </si>
  <si>
    <t>5 1 1 1 3 12 31111 6 M59 23000 000132</t>
  </si>
  <si>
    <t>5 1 1 1 3 12 31111 6 M59 23000 000132 0000R</t>
  </si>
  <si>
    <t>5 1 1 1 3 12 31111 6 M59 23000 000132 0000R 00001</t>
  </si>
  <si>
    <t>5 1 1 1 3 12 31111 6 M59 23000 000132 0000R 00001 00113</t>
  </si>
  <si>
    <t>5 1 1 1 3 12 31111 6 M59 23000 000132 0000R 00001 00113 015</t>
  </si>
  <si>
    <t>5 1 1 1 3 12 31111 6 M59 23000 000132 0000R 00001 00113 015 2111100</t>
  </si>
  <si>
    <t>5 1 1 1 3 12 31111 6 M59 23000 000132 0000R 00001 00113 015 2111100 2024</t>
  </si>
  <si>
    <t>5 1 1 1 3 12 31111 6 M59 23000 000132 0000R 00001 00113 015 2111100 2024 CP1ST377</t>
  </si>
  <si>
    <t>5 1 1 1 3 12 31111 6 M59 23000 000132 0000R 00001 00113 015 2111100 2024 CP1ST377 001</t>
  </si>
  <si>
    <t>5 1 1 1 3 12 31111 6 M59 23000 000132 0000R 00001 00113 015 2111100 2024 CP1ST377 001 0000001</t>
  </si>
  <si>
    <t>5 1 1 1 3 12 31111 6 M59 30000</t>
  </si>
  <si>
    <t>DIRECCIÓN DE DESARROLLO RURAL</t>
  </si>
  <si>
    <t>5 1 1 1 3 12 31111 6 M59 30000 000132</t>
  </si>
  <si>
    <t>5 1 1 1 3 12 31111 6 M59 30000 000132 0000R</t>
  </si>
  <si>
    <t>5 1 1 1 3 12 31111 6 M59 30000 000132 0000R 00001</t>
  </si>
  <si>
    <t>5 1 1 1 3 12 31111 6 M59 30000 000132 0000R 00001 00113</t>
  </si>
  <si>
    <t>5 1 1 1 3 12 31111 6 M59 30000 000132 0000R 00001 00113 015</t>
  </si>
  <si>
    <t>5 1 1 1 3 12 31111 6 M59 30000 000132 0000R 00001 00113 015 2111100</t>
  </si>
  <si>
    <t>5 1 1 1 3 12 31111 6 M59 30000 000132 0000R 00001 00113 015 2111100 2024</t>
  </si>
  <si>
    <t>5 1 1 1 3 12 31111 6 M59 30000 000132 0000R 00001 00113 015 2111100 2024 CP1DU385</t>
  </si>
  <si>
    <t>5 1 1 1 3 12 31111 6 M59 30000 000132 0000R 00001 00113 015 2111100 2024 CP1DU385 001</t>
  </si>
  <si>
    <t>5 1 1 1 3 12 31111 6 M59 30000 000132 0000R 00001 00113 015 2111100 2024 CP1DU385 001 0000001</t>
  </si>
  <si>
    <t>5 1 1 1 3 12 31111 6 M59 30100</t>
  </si>
  <si>
    <t>5 1 1 1 3 12 31111 6 M59 30100 000132</t>
  </si>
  <si>
    <t>5 1 1 1 3 12 31111 6 M59 30100 000132 0000R</t>
  </si>
  <si>
    <t>5 1 1 1 3 12 31111 6 M59 30100 000132 0000R 00001</t>
  </si>
  <si>
    <t>5 1 1 1 3 12 31111 6 M59 30100 000132 0000R 00001 00113</t>
  </si>
  <si>
    <t>5 1 1 1 3 12 31111 6 M59 30100 000132 0000R 00001 00113 015</t>
  </si>
  <si>
    <t>5 1 1 1 3 12 31111 6 M59 30100 000132 0000R 00001 00113 015 2111100</t>
  </si>
  <si>
    <t>5 1 1 1 3 12 31111 6 M59 30100 000132 0000R 00001 00113 015 2111100 2024</t>
  </si>
  <si>
    <t>5 1 1 1 3 12 31111 6 M59 30100 000132 0000R 00001 00113 015 2111100 2024 CP1OP405</t>
  </si>
  <si>
    <t>5 1 1 1 3 12 31111 6 M59 30100 000132 0000R 00001 00113 015 2111100 2024 CP1OP405 001</t>
  </si>
  <si>
    <t>5 1 1 1 3 12 31111 6 M59 30100 000132 0000R 00001 00113 015 2111100 2024 CP1OP405 001 0000001</t>
  </si>
  <si>
    <t>5 1 1 1 3 12 31111 6 M59 30200</t>
  </si>
  <si>
    <t>DIRECCIÓN DE DESARROLLO URBANO Y ORDENAMIENTO TERRITORIAL</t>
  </si>
  <si>
    <t>5 1 1 1 3 12 31111 6 M59 30200 000132</t>
  </si>
  <si>
    <t>5 1 1 1 3 12 31111 6 M59 30200 000132 0000R</t>
  </si>
  <si>
    <t>5 1 1 1 3 12 31111 6 M59 30200 000132 0000R 00001</t>
  </si>
  <si>
    <t>5 1 1 1 3 12 31111 6 M59 30200 000132 0000R 00001 00113</t>
  </si>
  <si>
    <t>5 1 1 1 3 12 31111 6 M59 30200 000132 0000R 00001 00113 015</t>
  </si>
  <si>
    <t>5 1 1 1 3 12 31111 6 M59 30200 000132 0000R 00001 00113 015 2111100</t>
  </si>
  <si>
    <t>5 1 1 1 3 12 31111 6 M59 30200 000132 0000R 00001 00113 015 2111100 2024</t>
  </si>
  <si>
    <t>5 1 1 1 3 12 31111 6 M59 30200 000132 0000R 00001 00113 015 2111100 2024 CP1OT378</t>
  </si>
  <si>
    <t>5 1 1 1 3 12 31111 6 M59 30200 000132 0000R 00001 00113 015 2111100 2024 CP1OT378 001</t>
  </si>
  <si>
    <t>5 1 1 1 3 12 31111 6 M59 30200 000132 0000R 00001 00113 015 2111100 2024 CP1OT378 001 0000001</t>
  </si>
  <si>
    <t>5 1 1 1 3 12 31111 6 M59 40000</t>
  </si>
  <si>
    <t>5 1 1 1 3 12 31111 6 M59 40000 000161</t>
  </si>
  <si>
    <t>5 1 1 1 3 12 31111 6 M59 40000 000161 0000E</t>
  </si>
  <si>
    <t>5 1 1 1 3 12 31111 6 M59 40000 000161 0000E 00001</t>
  </si>
  <si>
    <t>5 1 1 1 3 12 31111 6 M59 40000 000161 0000E 00001 00113</t>
  </si>
  <si>
    <t>5 1 1 1 3 12 31111 6 M59 40000 000161 0000E 00001 00113 025</t>
  </si>
  <si>
    <t>5 1 1 1 3 12 31111 6 M59 40000 000161 0000E 00001 00113 025 2111100</t>
  </si>
  <si>
    <t>5 1 1 1 3 12 31111 6 M59 40000 000161 0000E 00001 00113 025 2111100 2024</t>
  </si>
  <si>
    <t>5 1 1 1 3 12 31111 6 M59 40000 000161 0000E 00001 00113 025 2111100 2024 CP4SP372</t>
  </si>
  <si>
    <t>5 1 1 1 3 12 31111 6 M59 40000 000161 0000E 00001 00113 025 2111100 2024 CP4SP372 003</t>
  </si>
  <si>
    <t>5 1 1 1 3 12 31111 6 M59 40000 000161 0000E 00001 00113 025 2111100 2024 CP4SP372 003 0000001</t>
  </si>
  <si>
    <t>5 1 1 1 3 12 31111 6 M59 40200</t>
  </si>
  <si>
    <t>5 1 1 1 3 12 31111 6 M59 40200 000172</t>
  </si>
  <si>
    <t>5 1 1 1 3 12 31111 6 M59 40200 000172 0000R</t>
  </si>
  <si>
    <t>5 1 1 1 3 12 31111 6 M59 40200 000172 0000R 00001</t>
  </si>
  <si>
    <t>5 1 1 1 3 12 31111 6 M59 40200 000172 0000R 00001 00113</t>
  </si>
  <si>
    <t>5 1 1 1 3 12 31111 6 M59 40200 000172 0000R 00001 00113 025</t>
  </si>
  <si>
    <t>5 1 1 1 3 12 31111 6 M59 40200 000172 0000R 00001 00113 025 2111100</t>
  </si>
  <si>
    <t>5 1 1 1 3 12 31111 6 M59 40200 000172 0000R 00001 00113 025 2111100 2024</t>
  </si>
  <si>
    <t>5 1 1 1 3 12 31111 6 M59 40200 000172 0000R 00001 00113 025 2111100 2024 CP4PC370</t>
  </si>
  <si>
    <t>5 1 1 1 3 12 31111 6 M59 40200 000172 0000R 00001 00113 025 2111100 2024 CP4PC370 003</t>
  </si>
  <si>
    <t>5 1 1 1 3 12 31111 6 M59 40200 000172 0000R 00001 00113 025 2111100 2024 CP4PC370 003 0000001</t>
  </si>
  <si>
    <t>5 1 1 1 3 12 31111 6 M59 40300</t>
  </si>
  <si>
    <t>DIRECCIÓN DE TRANSITO Y VIALIDAD</t>
  </si>
  <si>
    <t>5 1 1 1 3 12 31111 6 M59 40300 000185</t>
  </si>
  <si>
    <t>5 1 1 1 3 12 31111 6 M59 40300 000185 0000R</t>
  </si>
  <si>
    <t>5 1 1 1 3 12 31111 6 M59 40300 000185 0000R 00001</t>
  </si>
  <si>
    <t>5 1 1 1 3 12 31111 6 M59 40300 000185 0000R 00001 00113</t>
  </si>
  <si>
    <t>5 1 1 1 3 12 31111 6 M59 40300 000185 0000R 00001 00113 025</t>
  </si>
  <si>
    <t>5 1 1 1 3 12 31111 6 M59 40300 000185 0000R 00001 00113 025 2111100</t>
  </si>
  <si>
    <t>5 1 1 1 3 12 31111 6 M59 40300 000185 0000R 00001 00113 025 2111100 2024</t>
  </si>
  <si>
    <t>5 1 1 1 3 12 31111 6 M59 40300 000185 0000R 00001 00113 025 2111100 2024 CP4TV371</t>
  </si>
  <si>
    <t>5 1 1 1 3 12 31111 6 M59 40300 000185 0000R 00001 00113 025 2111100 2024 CP4TV371 003</t>
  </si>
  <si>
    <t>5 1 1 1 3 12 31111 6 M59 40300 000185 0000R 00001 00113 025 2111100 2024 CP4TV371 003 0000001</t>
  </si>
  <si>
    <t>5 1 1 1 3 12 31111 6 M59 40400</t>
  </si>
  <si>
    <t>DIRECCIÓN DE PREVENCIÓN DE DELITO</t>
  </si>
  <si>
    <t>5 1 1 1 3 12 31111 6 M59 40400 000173</t>
  </si>
  <si>
    <t>OTROS ASUNTOS DE ORDEN PÚBLICO Y SEGURIDAD</t>
  </si>
  <si>
    <t>5 1 1 1 3 12 31111 6 M59 40400 000173 0000R</t>
  </si>
  <si>
    <t>5 1 1 1 3 12 31111 6 M59 40400 000173 0000R 00001</t>
  </si>
  <si>
    <t>5 1 1 1 3 12 31111 6 M59 40400 000173 0000R 00001 00113</t>
  </si>
  <si>
    <t>5 1 1 1 3 12 31111 6 M59 40400 000173 0000R 00001 00113 025</t>
  </si>
  <si>
    <t>5 1 1 1 3 12 31111 6 M59 40400 000173 0000R 00001 00113 025 2111100</t>
  </si>
  <si>
    <t>5 1 1 1 3 12 31111 6 M59 40400 000173 0000R 00001 00113 025 2111100 2024</t>
  </si>
  <si>
    <t>5 1 1 1 3 12 31111 6 M59 40400 000173 0000R 00001 00113 025 2111100 2024 CP4PD369</t>
  </si>
  <si>
    <t>5 1 1 1 3 12 31111 6 M59 40400 000173 0000R 00001 00113 025 2111100 2024 CP4PD369 003</t>
  </si>
  <si>
    <t>5 1 1 1 3 12 31111 6 M59 40400 000173 0000R 00001 00113 025 2111100 2024 CP4PD369 003 0000001</t>
  </si>
  <si>
    <t>5 1 1 1 3 12 31111 6 M59 50000</t>
  </si>
  <si>
    <t>DIRECCIÓN DE AGUA POTABLE Y ALCANTARILLADO</t>
  </si>
  <si>
    <t>5 1 1 1 3 12 31111 6 M59 50000 000223</t>
  </si>
  <si>
    <t>ABASTECIMIENTO DE AGUA</t>
  </si>
  <si>
    <t>5 1 1 1 3 12 31111 6 M59 50000 000223 0000E</t>
  </si>
  <si>
    <t>5 1 1 1 3 12 31111 6 M59 50000 000223 0000E 00001</t>
  </si>
  <si>
    <t>5 1 1 1 3 12 31111 6 M59 50000 000223 0000E 00001 00113</t>
  </si>
  <si>
    <t>5 1 1 1 3 12 31111 6 M59 50000 000223 0000E 00001 00113 015</t>
  </si>
  <si>
    <t>5 1 1 1 3 12 31111 6 M59 50000 000223 0000E 00001 00113 015 2111100</t>
  </si>
  <si>
    <t>5 1 1 1 3 12 31111 6 M59 50000 000223 0000E 00001 00113 015 2111100 2024</t>
  </si>
  <si>
    <t>5 1 1 1 3 12 31111 6 M59 50000 000223 0000E 00001 00113 015 2111100 2024 CP1DA424</t>
  </si>
  <si>
    <t>5 1 1 1 3 12 31111 6 M59 50000 000223 0000E 00001 00113 015 2111100 2024 CP1DA424 001</t>
  </si>
  <si>
    <t>5 1 1 1 3 12 31111 6 M59 50000 000223 0000E 00001 00113 015 2111100 2024 CP1DA424 001 0000001</t>
  </si>
  <si>
    <t>5 1 1 1 3 12 31111 6 M59 50100</t>
  </si>
  <si>
    <t>DIRECCIÓN DE CULTURA DEL AGUA</t>
  </si>
  <si>
    <t>5 1 1 1 3 12 31111 6 M59 50100 000132</t>
  </si>
  <si>
    <t>5 1 1 1 3 12 31111 6 M59 50100 000132 0000R</t>
  </si>
  <si>
    <t>5 1 1 1 3 12 31111 6 M59 50100 000132 0000R 00001</t>
  </si>
  <si>
    <t>5 1 1 1 3 12 31111 6 M59 50100 000132 0000R 00001 00113</t>
  </si>
  <si>
    <t>5 1 1 1 3 12 31111 6 M59 50100 000132 0000R 00001 00113 015</t>
  </si>
  <si>
    <t>5 1 1 1 3 12 31111 6 M59 50100 000132 0000R 00001 00113 015 2111100</t>
  </si>
  <si>
    <t>5 1 1 1 3 12 31111 6 M59 50100 000132 0000R 00001 00113 015 2111100 2024</t>
  </si>
  <si>
    <t>5 1 1 1 3 12 31111 6 M59 50100 000132 0000R 00001 00113 015 2111100 2024 CP1AG431</t>
  </si>
  <si>
    <t>5 1 1 1 3 12 31111 6 M59 50100 000132 0000R 00001 00113 015 2111100 2024 CP1AG431 001</t>
  </si>
  <si>
    <t>5 1 1 1 3 12 31111 6 M59 50100 000132 0000R 00001 00113 015 2111100 2024 CP1AG431 001 0000001</t>
  </si>
  <si>
    <t>5 1 1 1 3 12 31111 6 M59 60100</t>
  </si>
  <si>
    <t>5 1 1 1 3 12 31111 6 M59 60100 000132</t>
  </si>
  <si>
    <t>5 1 1 1 3 12 31111 6 M59 60100 000132 0000R</t>
  </si>
  <si>
    <t>5 1 1 1 3 12 31111 6 M59 60100 000132 0000R 00001</t>
  </si>
  <si>
    <t>5 1 1 1 3 12 31111 6 M59 60100 000132 0000R 00001 00113</t>
  </si>
  <si>
    <t>5 1 1 1 3 12 31111 6 M59 60100 000132 0000R 00001 00113 015</t>
  </si>
  <si>
    <t>5 1 1 1 3 12 31111 6 M59 60100 000132 0000R 00001 00113 015 2111100</t>
  </si>
  <si>
    <t>5 1 1 1 3 12 31111 6 M59 60100 000132 0000R 00001 00113 015 2111100 2024</t>
  </si>
  <si>
    <t>5 1 1 1 3 12 31111 6 M59 60100 000132 0000R 00001 00113 015 2111100 2024 CP1DM394</t>
  </si>
  <si>
    <t>5 1 1 1 3 12 31111 6 M59 60100 000132 0000R 00001 00113 015 2111100 2024 CP1DM394 001</t>
  </si>
  <si>
    <t>5 1 1 1 3 12 31111 6 M59 60100 000132 0000R 00001 00113 015 2111100 2024 CP1DM394 001 0000001</t>
  </si>
  <si>
    <t>5 1 1 1 3 12 31111 6 M59 61000</t>
  </si>
  <si>
    <t>COORDINACIÓN DE ASUNTOS INTERNACIONALES Y DEL MIGRANTE</t>
  </si>
  <si>
    <t>5 1 1 1 3 12 31111 6 M59 61000 000132</t>
  </si>
  <si>
    <t>5 1 1 1 3 12 31111 6 M59 61000 000132 0000R</t>
  </si>
  <si>
    <t>5 1 1 1 3 12 31111 6 M59 61000 000132 0000R 00001</t>
  </si>
  <si>
    <t>5 1 1 1 3 12 31111 6 M59 61000 000132 0000R 00001 00113</t>
  </si>
  <si>
    <t>5 1 1 1 3 12 31111 6 M59 61000 000132 0000R 00001 00113 015</t>
  </si>
  <si>
    <t>5 1 1 1 3 12 31111 6 M59 61000 000132 0000R 00001 00113 015 2111100</t>
  </si>
  <si>
    <t>5 1 1 1 3 12 31111 6 M59 61000 000132 0000R 00001 00113 015 2111100 2024</t>
  </si>
  <si>
    <t>5 1 1 1 3 12 31111 6 M59 61000 000132 0000R 00001 00113 015 2111100 2024 CP1MI406</t>
  </si>
  <si>
    <t>5 1 1 1 3 12 31111 6 M59 61000 000132 0000R 00001 00113 015 2111100 2024 CP1MI406 001</t>
  </si>
  <si>
    <t>5 1 1 1 3 12 31111 6 M59 61000 000132 0000R 00001 00113 015 2111100 2024 CP1MI406 001 0000001</t>
  </si>
  <si>
    <t>5 1 1 1 3 12 31111 6 M59 62000</t>
  </si>
  <si>
    <t>COORDINACIÓMN DE ADULTOS MAYORES</t>
  </si>
  <si>
    <t>5 1 1 1 3 12 31111 6 M59 62000 000132</t>
  </si>
  <si>
    <t>5 1 1 1 3 12 31111 6 M59 62000 000132 0000R</t>
  </si>
  <si>
    <t>5 1 1 1 3 12 31111 6 M59 62000 000132 0000R 00001</t>
  </si>
  <si>
    <t>5 1 1 1 3 12 31111 6 M59 62000 000132 0000R 00001 00113</t>
  </si>
  <si>
    <t>5 1 1 1 3 12 31111 6 M59 62000 000132 0000R 00001 00113 015</t>
  </si>
  <si>
    <t>5 1 1 1 3 12 31111 6 M59 62000 000132 0000R 00001 00113 015 2111100</t>
  </si>
  <si>
    <t>5 1 1 1 3 12 31111 6 M59 62000 000132 0000R 00001 00113 015 2111100 2024</t>
  </si>
  <si>
    <t>5 1 1 1 3 12 31111 6 M59 62000 000132 0000R 00001 00113 015 2111100 2024 CP1AM426</t>
  </si>
  <si>
    <t>5 1 1 1 3 12 31111 6 M59 62000 000132 0000R 00001 00113 015 2111100 2024 CP1AM426 001</t>
  </si>
  <si>
    <t>5 1 1 1 3 12 31111 6 M59 62000 000132 0000R 00001 00113 015 2111100 2024 CP1AM426 001 0000001</t>
  </si>
  <si>
    <t>5 1 1 1 3 12 31111 6 M59 63000</t>
  </si>
  <si>
    <t>COORDINACIÓN DE PROSPERA</t>
  </si>
  <si>
    <t>5 1 1 1 3 12 31111 6 M59 63000 000132</t>
  </si>
  <si>
    <t>5 1 1 1 3 12 31111 6 M59 63000 000132 0000R</t>
  </si>
  <si>
    <t>5 1 1 1 3 12 31111 6 M59 63000 000132 0000R 00001</t>
  </si>
  <si>
    <t>5 1 1 1 3 12 31111 6 M59 63000 000132 0000R 00001 00113</t>
  </si>
  <si>
    <t>5 1 1 1 3 12 31111 6 M59 63000 000132 0000R 00001 00113 015</t>
  </si>
  <si>
    <t>5 1 1 1 3 12 31111 6 M59 63000 000132 0000R 00001 00113 015 2111100</t>
  </si>
  <si>
    <t>5 1 1 1 3 12 31111 6 M59 63000 000132 0000R 00001 00113 015 2111100 2024</t>
  </si>
  <si>
    <t>5 1 1 1 3 12 31111 6 M59 63000 000132 0000R 00001 00113 015 2111100 2024 CP1PR434</t>
  </si>
  <si>
    <t>5 1 1 1 3 12 31111 6 M59 63000 000132 0000R 00001 00113 015 2111100 2024 CP1PR434 001</t>
  </si>
  <si>
    <t>5 1 1 1 3 12 31111 6 M59 63000 000132 0000R 00001 00113 015 2111100 2024 CP1PR434 001 0000001</t>
  </si>
  <si>
    <t>5 1 1 1 3 12 31111 6 M59 64000</t>
  </si>
  <si>
    <t>COORDINACIÓN GENERAL DE ADMINISTRACIÓN E INNVACIÓN GUBERNAMENTAL</t>
  </si>
  <si>
    <t>5 1 1 1 3 12 31111 6 M59 64000 000132</t>
  </si>
  <si>
    <t>5 1 1 1 3 12 31111 6 M59 64000 000132 0000R</t>
  </si>
  <si>
    <t>5 1 1 1 3 12 31111 6 M59 64000 000132 0000R 00001</t>
  </si>
  <si>
    <t>5 1 1 1 3 12 31111 6 M59 64000 000132 0000R 00001 00113</t>
  </si>
  <si>
    <t>5 1 1 1 3 12 31111 6 M59 64000 000132 0000R 00001 00113 015</t>
  </si>
  <si>
    <t>5 1 1 1 3 12 31111 6 M59 64000 000132 0000R 00001 00113 015 2111100</t>
  </si>
  <si>
    <t>5 1 1 1 3 12 31111 6 M59 64000 000132 0000R 00001 00113 015 2111100 2024</t>
  </si>
  <si>
    <t>5 1 1 1 3 12 31111 6 M59 64000 000132 0000R 00001 00113 015 2111100 2024 CP1IG433</t>
  </si>
  <si>
    <t>5 1 1 1 3 12 31111 6 M59 64000 000132 0000R 00001 00113 015 2111100 2024 CP1IG433 001</t>
  </si>
  <si>
    <t>5 1 1 1 3 12 31111 6 M59 64000 000132 0000R 00001 00113 015 2111100 2024 CP1IG433 001 0000001</t>
  </si>
  <si>
    <t>5 1 1 1 3 12 31111 6 M59 65000</t>
  </si>
  <si>
    <t>UNIDAD TECNICA DE EVALUACIÓN DEL DESEMPEÑO MUNICIPAL</t>
  </si>
  <si>
    <t>5 1 1 1 3 12 31111 6 M59 65000 000132</t>
  </si>
  <si>
    <t>5 1 1 1 3 12 31111 6 M59 65000 000132 0000R</t>
  </si>
  <si>
    <t>5 1 1 1 3 12 31111 6 M59 65000 000132 0000R 00001</t>
  </si>
  <si>
    <t>5 1 1 1 3 12 31111 6 M59 65000 000132 0000R 00001 00113</t>
  </si>
  <si>
    <t>5 1 1 1 3 12 31111 6 M59 65000 000132 0000R 00001 00113 015</t>
  </si>
  <si>
    <t>5 1 1 1 3 12 31111 6 M59 65000 000132 0000R 00001 00113 015 2111100</t>
  </si>
  <si>
    <t>5 1 1 1 3 12 31111 6 M59 65000 000132 0000R 00001 00113 015 2111100 2024</t>
  </si>
  <si>
    <t>5 1 1 1 3 12 31111 6 M59 65000 000132 0000R 00001 00113 015 2111100 2024 CP1EV381</t>
  </si>
  <si>
    <t>5 1 1 1 3 12 31111 6 M59 65000 000132 0000R 00001 00113 015 2111100 2024 CP1EV381 001</t>
  </si>
  <si>
    <t>5 1 1 1 3 12 31111 6 M59 65000 000132 0000R 00001 00113 015 2111100 2024 CP1EV381 001 0000001</t>
  </si>
  <si>
    <t>5 1 1 1 3 12 31111 6 M59 70000</t>
  </si>
  <si>
    <t>DIRECCIÓN DE DESARROLLO ECONOMICO</t>
  </si>
  <si>
    <t>5 1 1 1 3 12 31111 6 M59 70000 000132</t>
  </si>
  <si>
    <t>5 1 1 1 3 12 31111 6 M59 70000 000132 0000R</t>
  </si>
  <si>
    <t>5 1 1 1 3 12 31111 6 M59 70000 000132 0000R 00001</t>
  </si>
  <si>
    <t>5 1 1 1 3 12 31111 6 M59 70000 000132 0000R 00001 00113</t>
  </si>
  <si>
    <t>5 1 1 1 3 12 31111 6 M59 70000 000132 0000R 00001 00113 015</t>
  </si>
  <si>
    <t>5 1 1 1 3 12 31111 6 M59 70000 000132 0000R 00001 00113 015 2111100</t>
  </si>
  <si>
    <t>5 1 1 1 3 12 31111 6 M59 70000 000132 0000R 00001 00113 015 2111100 2024</t>
  </si>
  <si>
    <t>5 1 1 1 3 12 31111 6 M59 70000 000132 0000R 00001 00113 015 2111100 2024 CP1DS387</t>
  </si>
  <si>
    <t>5 1 1 1 3 12 31111 6 M59 70000 000132 0000R 00001 00113 015 2111100 2024 CP1DS387 001</t>
  </si>
  <si>
    <t>5 1 1 1 3 12 31111 6 M59 70000 000132 0000R 00001 00113 015 2111100 2024 CP1DS387 001 0000001</t>
  </si>
  <si>
    <t>5 1 1 1 3 12 31111 6 M59 70100</t>
  </si>
  <si>
    <t>DIRECCIÓN DE LA MUJER</t>
  </si>
  <si>
    <t>5 1 1 1 3 12 31111 6 M59 70100 000132</t>
  </si>
  <si>
    <t>5 1 1 1 3 12 31111 6 M59 70100 000132 0000R</t>
  </si>
  <si>
    <t>5 1 1 1 3 12 31111 6 M59 70100 000132 0000R 00001</t>
  </si>
  <si>
    <t>5 1 1 1 3 12 31111 6 M59 70100 000132 0000R 00001 00113</t>
  </si>
  <si>
    <t>5 1 1 1 3 12 31111 6 M59 70100 000132 0000R 00001 00113 015</t>
  </si>
  <si>
    <t>5 1 1 1 3 12 31111 6 M59 70100 000132 0000R 00001 00113 015 2111100</t>
  </si>
  <si>
    <t>5 1 1 1 3 12 31111 6 M59 70100 000132 0000R 00001 00113 015 2111100 2024</t>
  </si>
  <si>
    <t>5 1 1 1 3 12 31111 6 M59 70100 000132 0000R 00001 00113 015 2111100 2024 CP1MM393</t>
  </si>
  <si>
    <t>5 1 1 1 3 12 31111 6 M59 70100 000132 0000R 00001 00113 015 2111100 2024 CP1MM393 001</t>
  </si>
  <si>
    <t>5 1 1 1 3 12 31111 6 M59 70100 000132 0000R 00001 00113 015 2111100 2024 CP1MM393 001 0000001</t>
  </si>
  <si>
    <t>5 1 1 1 3 12 31111 6 M59 70200</t>
  </si>
  <si>
    <t>DIRECCIÓN DE DIVERSIDAD SEXUAL</t>
  </si>
  <si>
    <t>5 1 1 1 3 12 31111 6 M59 70200 000132</t>
  </si>
  <si>
    <t>5 1 1 1 3 12 31111 6 M59 70200 000132 0000R</t>
  </si>
  <si>
    <t>5 1 1 1 3 12 31111 6 M59 70200 000132 0000R 00001</t>
  </si>
  <si>
    <t>5 1 1 1 3 12 31111 6 M59 70200 000132 0000R 00001 00113</t>
  </si>
  <si>
    <t>5 1 1 1 3 12 31111 6 M59 70200 000132 0000R 00001 00113 015</t>
  </si>
  <si>
    <t>5 1 1 1 3 12 31111 6 M59 70200 000132 0000R 00001 00113 015 2111100</t>
  </si>
  <si>
    <t>5 1 1 1 3 12 31111 6 M59 70200 000132 0000R 00001 00113 015 2111100 2024</t>
  </si>
  <si>
    <t>5 1 1 1 3 12 31111 6 M59 70200 000132 0000R 00001 00113 015 2111100 2024 CP1SE410</t>
  </si>
  <si>
    <t>5 1 1 1 3 12 31111 6 M59 70200 000132 0000R 00001 00113 015 2111100 2024 CP1SE410 001</t>
  </si>
  <si>
    <t>5 1 1 1 3 12 31111 6 M59 70200 000132 0000R 00001 00113 015 2111100 2024 CP1SE410 001 0000001</t>
  </si>
  <si>
    <t>5 1 1 1 3 12 31111 6 M59 70300</t>
  </si>
  <si>
    <t>DIRECCIÓN DE CULTURA</t>
  </si>
  <si>
    <t>5 1 1 1 3 12 31111 6 M59 70300 000132</t>
  </si>
  <si>
    <t>5 1 1 1 3 12 31111 6 M59 70300 000132 0000R</t>
  </si>
  <si>
    <t>5 1 1 1 3 12 31111 6 M59 70300 000132 0000R 00001</t>
  </si>
  <si>
    <t>5 1 1 1 3 12 31111 6 M59 70300 000132 0000R 00001 00113</t>
  </si>
  <si>
    <t>5 1 1 1 3 12 31111 6 M59 70300 000132 0000R 00001 00113 015</t>
  </si>
  <si>
    <t>5 1 1 1 3 12 31111 6 M59 70300 000132 0000R 00001 00113 015 2111100</t>
  </si>
  <si>
    <t>5 1 1 1 3 12 31111 6 M59 70300 000132 0000R 00001 00113 015 2111100 2024</t>
  </si>
  <si>
    <t>5 1 1 1 3 12 31111 6 M59 70300 000132 0000R 00001 00113 015 2111100 2024 CP1CU419</t>
  </si>
  <si>
    <t>5 1 1 1 3 12 31111 6 M59 70300 000132 0000R 00001 00113 015 2111100 2024 CP1CU419 001</t>
  </si>
  <si>
    <t>5 1 1 1 3 12 31111 6 M59 70300 000132 0000R 00001 00113 015 2111100 2024 CP1CU419 001 0000001</t>
  </si>
  <si>
    <t>5 1 1 1 3 12 31111 6 M59 70400</t>
  </si>
  <si>
    <t>DIRECCIÓN DEL DEPORTE</t>
  </si>
  <si>
    <t>5 1 1 1 3 12 31111 6 M59 70400 000241</t>
  </si>
  <si>
    <t>DEPORTE Y RECREACIÓN</t>
  </si>
  <si>
    <t>5 1 1 1 3 12 31111 6 M59 70400 000241 0000R</t>
  </si>
  <si>
    <t>5 1 1 1 3 12 31111 6 M59 70400 000241 0000R 00001</t>
  </si>
  <si>
    <t>5 1 1 1 3 12 31111 6 M59 70400 000241 0000R 00001 00113</t>
  </si>
  <si>
    <t>5 1 1 1 3 12 31111 6 M59 70400 000241 0000R 00001 00113 015</t>
  </si>
  <si>
    <t>5 1 1 1 3 12 31111 6 M59 70400 000241 0000R 00001 00113 015 2111100</t>
  </si>
  <si>
    <t>5 1 1 1 3 12 31111 6 M59 70400 000241 0000R 00001 00113 015 2111100 2024</t>
  </si>
  <si>
    <t>5 1 1 1 3 12 31111 6 M59 70400 000241 0000R 00001 00113 015 2111100 2024 CP1DD418</t>
  </si>
  <si>
    <t>5 1 1 1 3 12 31111 6 M59 70400 000241 0000R 00001 00113 015 2111100 2024 CP1DD418 001</t>
  </si>
  <si>
    <t>5 1 1 1 3 12 31111 6 M59 70400 000241 0000R 00001 00113 015 2111100 2024 CP1DD418 001 0000001</t>
  </si>
  <si>
    <t>5 1 1 1 3 12 31111 6 M59 70500</t>
  </si>
  <si>
    <t>DIRECCIÓN DE TURISMO</t>
  </si>
  <si>
    <t>5 1 1 1 3 12 31111 6 M59 70500 000132</t>
  </si>
  <si>
    <t>5 1 1 1 3 12 31111 6 M59 70500 000132 0000R</t>
  </si>
  <si>
    <t>5 1 1 1 3 12 31111 6 M59 70500 000132 0000R 00001</t>
  </si>
  <si>
    <t>5 1 1 1 3 12 31111 6 M59 70500 000132 0000R 00001 00113</t>
  </si>
  <si>
    <t>5 1 1 1 3 12 31111 6 M59 70500 000132 0000R 00001 00113 015</t>
  </si>
  <si>
    <t>5 1 1 1 3 12 31111 6 M59 70500 000132 0000R 00001 00113 015 2111100</t>
  </si>
  <si>
    <t>5 1 1 1 3 12 31111 6 M59 70500 000132 0000R 00001 00113 015 2111100 2024</t>
  </si>
  <si>
    <t>5 1 1 1 3 12 31111 6 M59 70500 000132 0000R 00001 00113 015 2111100 2024 CP1DT395</t>
  </si>
  <si>
    <t>5 1 1 1 3 12 31111 6 M59 70500 000132 0000R 00001 00113 015 2111100 2024 CP1DT395 001</t>
  </si>
  <si>
    <t>5 1 1 1 3 12 31111 6 M59 70500 000132 0000R 00001 00113 015 2111100 2024 CP1DT395 001 0000001</t>
  </si>
  <si>
    <t>5 1 1 1 3 12 31111 6 M59 70600</t>
  </si>
  <si>
    <t>DIRECCIÓN DE LA JUVENTUD</t>
  </si>
  <si>
    <t>5 1 1 1 3 12 31111 6 M59 70600 000132</t>
  </si>
  <si>
    <t>5 1 1 1 3 12 31111 6 M59 70600 000132 0000R</t>
  </si>
  <si>
    <t>5 1 1 1 3 12 31111 6 M59 70600 000132 0000R 00001</t>
  </si>
  <si>
    <t>5 1 1 1 3 12 31111 6 M59 70600 000132 0000R 00001 00113</t>
  </si>
  <si>
    <t>5 1 1 1 3 12 31111 6 M59 70600 000132 0000R 00001 00113 015</t>
  </si>
  <si>
    <t>5 1 1 1 3 12 31111 6 M59 70600 000132 0000R 00001 00113 015 2111100</t>
  </si>
  <si>
    <t>5 1 1 1 3 12 31111 6 M59 70600 000132 0000R 00001 00113 015 2111100 2024</t>
  </si>
  <si>
    <t>5 1 1 1 3 12 31111 6 M59 70600 000132 0000R 00001 00113 015 2111100 2024 CP1DJ409</t>
  </si>
  <si>
    <t>5 1 1 1 3 12 31111 6 M59 70600 000132 0000R 00001 00113 015 2111100 2024 CP1DJ409 001</t>
  </si>
  <si>
    <t>5 1 1 1 3 12 31111 6 M59 70600 000132 0000R 00001 00113 015 2111100 2024 CP1DJ409 001 0000001</t>
  </si>
  <si>
    <t>5 1 1 1 3 12 31111 6 M59 70700</t>
  </si>
  <si>
    <t>DIRECCIÓN DE SALUD</t>
  </si>
  <si>
    <t>5 1 1 1 3 12 31111 6 M59 70700 000132</t>
  </si>
  <si>
    <t>5 1 1 1 3 12 31111 6 M59 70700 000132 0000R</t>
  </si>
  <si>
    <t>5 1 1 1 3 12 31111 6 M59 70700 000132 0000R 00001</t>
  </si>
  <si>
    <t>5 1 1 1 3 12 31111 6 M59 70700 000132 0000R 00001 00113</t>
  </si>
  <si>
    <t>5 1 1 1 3 12 31111 6 M59 70700 000132 0000R 00001 00113 015</t>
  </si>
  <si>
    <t>5 1 1 1 3 12 31111 6 M59 70700 000132 0000R 00001 00113 015 2111100</t>
  </si>
  <si>
    <t>5 1 1 1 3 12 31111 6 M59 70700 000132 0000R 00001 00113 015 2111100 2024</t>
  </si>
  <si>
    <t>5 1 1 1 3 12 31111 6 M59 70700 000132 0000R 00001 00113 015 2111100 2024 CP1SA397</t>
  </si>
  <si>
    <t>5 1 1 1 3 12 31111 6 M59 70700 000132 0000R 00001 00113 015 2111100 2024 CP1SA397 001</t>
  </si>
  <si>
    <t>5 1 1 1 3 12 31111 6 M59 70700 000132 0000R 00001 00113 015 2111100 2024 CP1SA397 001 0000001</t>
  </si>
  <si>
    <t>5 1 1 1 3 12 31111 6 M59 70800</t>
  </si>
  <si>
    <t>DIRECCIÓN  DE EDUCACIÓN</t>
  </si>
  <si>
    <t>5 1 1 1 3 12 31111 6 M59 70800 000132</t>
  </si>
  <si>
    <t>5 1 1 1 3 12 31111 6 M59 70800 000132 0000R</t>
  </si>
  <si>
    <t>5 1 1 1 3 12 31111 6 M59 70800 000132 0000R 00001</t>
  </si>
  <si>
    <t>5 1 1 1 3 12 31111 6 M59 70800 000132 0000R 00001 00113</t>
  </si>
  <si>
    <t>5 1 1 1 3 12 31111 6 M59 70800 000132 0000R 00001 00113 015</t>
  </si>
  <si>
    <t>5 1 1 1 3 12 31111 6 M59 70800 000132 0000R 00001 00113 015 2111100</t>
  </si>
  <si>
    <t>5 1 1 1 3 12 31111 6 M59 70800 000132 0000R 00001 00113 015 2111100 2024</t>
  </si>
  <si>
    <t>5 1 1 1 3 12 31111 6 M59 70800 000132 0000R 00001 00113 015 2111100 2024 CP1ED416</t>
  </si>
  <si>
    <t>5 1 1 1 3 12 31111 6 M59 70800 000132 0000R 00001 00113 015 2111100 2024 CP1ED416 001</t>
  </si>
  <si>
    <t>5 1 1 1 3 12 31111 6 M59 70800 000132 0000R 00001 00113 015 2111100 2024 CP1ED416 001 0000001</t>
  </si>
  <si>
    <t>5 1 1 1 3 12 31111 6 M59 70900</t>
  </si>
  <si>
    <t>DIRECCIÓN DE EMPLEO</t>
  </si>
  <si>
    <t>5 1 1 1 3 12 31111 6 M59 70900 000181</t>
  </si>
  <si>
    <t>5 1 1 1 3 12 31111 6 M59 70900 000181 0000R</t>
  </si>
  <si>
    <t>5 1 1 1 3 12 31111 6 M59 70900 000181 0000R 00001</t>
  </si>
  <si>
    <t>5 1 1 1 3 12 31111 6 M59 70900 000181 0000R 00001 00113</t>
  </si>
  <si>
    <t>5 1 1 1 3 12 31111 6 M59 70900 000181 0000R 00001 00113 015</t>
  </si>
  <si>
    <t>5 1 1 1 3 12 31111 6 M59 70900 000181 0000R 00001 00113 015 2111100</t>
  </si>
  <si>
    <t>5 1 1 1 3 12 31111 6 M59 70900 000181 0000R 00001 00113 015 2111100 2024</t>
  </si>
  <si>
    <t>5 1 1 1 3 12 31111 6 M59 70900 000181 0000R 00001 00113 015 2111100 2024 CP1EM392</t>
  </si>
  <si>
    <t>CONTROL Y ADMINISTRACION DE LOS RECURSOS HUMANOS</t>
  </si>
  <si>
    <t>5 1 1 1 3 12 31111 6 M59 70900 000181 0000R 00001 00113 015 2111100 2024 CP1EM392 001</t>
  </si>
  <si>
    <t>5 1 1 1 3 12 31111 6 M59 70900 000181 0000R 00001 00113 015 2111100 2024 CP1EM392 001 0000001</t>
  </si>
  <si>
    <t>5 1 1 1 3 12 31111 6 M59 71000</t>
  </si>
  <si>
    <t>DIRECCIÓN DE COMERCIO Y ABASTO POPULAR</t>
  </si>
  <si>
    <t>5 1 1 1 3 12 31111 6 M59 71000 000132</t>
  </si>
  <si>
    <t>5 1 1 1 3 12 31111 6 M59 71000 000132 0000R</t>
  </si>
  <si>
    <t>5 1 1 1 3 12 31111 6 M59 71000 000132 0000R 00001</t>
  </si>
  <si>
    <t>5 1 1 1 3 12 31111 6 M59 71000 000132 0000R 00001 00113</t>
  </si>
  <si>
    <t>5 1 1 1 3 12 31111 6 M59 71000 000132 0000R 00001 00113 015</t>
  </si>
  <si>
    <t>5 1 1 1 3 12 31111 6 M59 71000 000132 0000R 00001 00113 015 2111100</t>
  </si>
  <si>
    <t>5 1 1 1 3 12 31111 6 M59 71000 000132 0000R 00001 00113 015 2111100 2024</t>
  </si>
  <si>
    <t>5 1 1 1 3 12 31111 6 M59 71000 000132 0000R 00001 00113 015 2111100 2024 CP1AP422</t>
  </si>
  <si>
    <t>5 1 1 1 3 12 31111 6 M59 71000 000132 0000R 00001 00113 015 2111100 2024 CP1AP422 001</t>
  </si>
  <si>
    <t>5 1 1 1 3 12 31111 6 M59 71000 000132 0000R 00001 00113 015 2111100 2024 CP1AP422 001 0000001</t>
  </si>
  <si>
    <t>5 1 1 1 3 12 31111 6 M59 72000</t>
  </si>
  <si>
    <t>SECRETARÍA DE DESARROLLO SOCIAL</t>
  </si>
  <si>
    <t>5 1 1 1 3 12 31111 6 M59 72000 000132</t>
  </si>
  <si>
    <t>5 1 1 1 3 12 31111 6 M59 72000 000132 0000R</t>
  </si>
  <si>
    <t>5 1 1 1 3 12 31111 6 M59 72000 000132 0000R 00001</t>
  </si>
  <si>
    <t>5 1 1 1 3 12 31111 6 M59 72000 000132 0000R 00001 00113</t>
  </si>
  <si>
    <t>5 1 1 1 3 12 31111 6 M59 72000 000132 0000R 00001 00113 015</t>
  </si>
  <si>
    <t>5 1 1 1 3 12 31111 6 M59 72000 000132 0000R 00001 00113 015 2111100</t>
  </si>
  <si>
    <t>5 1 1 1 3 12 31111 6 M59 72000 000132 0000R 00001 00113 015 2111100 2024</t>
  </si>
  <si>
    <t>5 1 1 1 3 12 31111 6 M59 72000 000132 0000R 00001 00113 015 2111100 2024 CP1SC386</t>
  </si>
  <si>
    <t>5 1 1 1 3 12 31111 6 M59 72000 000132 0000R 00001 00113 015 2111100 2024 CP1SC386 001</t>
  </si>
  <si>
    <t>5 1 1 1 3 12 31111 6 M59 72000 000132 0000R 00001 00113 015 2111100 2024 CP1SC386 001 0000001</t>
  </si>
  <si>
    <t>5 1 1 1 3 12 31111 6 M59 80000</t>
  </si>
  <si>
    <t>SECRETARÍA DE DESARROLLO RURAL</t>
  </si>
  <si>
    <t>5 1 1 1 3 12 31111 6 M59 80000 000132</t>
  </si>
  <si>
    <t>5 1 1 1 3 12 31111 6 M59 80000 000132 0000R</t>
  </si>
  <si>
    <t>5 1 1 1 3 12 31111 6 M59 80000 000132 0000R 00001</t>
  </si>
  <si>
    <t>5 1 1 1 3 12 31111 6 M59 80000 000132 0000R 00001 00113</t>
  </si>
  <si>
    <t>5 1 1 1 3 12 31111 6 M59 80000 000132 0000R 00001 00113 015</t>
  </si>
  <si>
    <t>5 1 1 1 3 12 31111 6 M59 80000 000132 0000R 00001 00113 015 2111100</t>
  </si>
  <si>
    <t>5 1 1 1 3 12 31111 6 M59 80000 000132 0000R 00001 00113 015 2111100 2024</t>
  </si>
  <si>
    <t>5 1 1 1 3 12 31111 6 M59 80000 000132 0000R 00001 00113 015 2111100 2024 CP1DR388</t>
  </si>
  <si>
    <t>5 1 1 1 3 12 31111 6 M59 80000 000132 0000R 00001 00113 015 2111100 2024 CP1DR388 001</t>
  </si>
  <si>
    <t>5 1 1 1 3 12 31111 6 M59 80000 000132 0000R 00001 00113 015 2111100 2024 CP1DR388 001 0000001</t>
  </si>
  <si>
    <t>5 1 1 1 3 12 31111 6 M59 80100</t>
  </si>
  <si>
    <t>DIRECCIÓN DE AGRICULTURA</t>
  </si>
  <si>
    <t>5 1 1 1 3 12 31111 6 M59 80100 000132</t>
  </si>
  <si>
    <t>5 1 1 1 3 12 31111 6 M59 80100 000132 0000R</t>
  </si>
  <si>
    <t>5 1 1 1 3 12 31111 6 M59 80100 000132 0000R 00001</t>
  </si>
  <si>
    <t>5 1 1 1 3 12 31111 6 M59 80100 000132 0000R 00001 00113</t>
  </si>
  <si>
    <t>5 1 1 1 3 12 31111 6 M59 80100 000132 0000R 00001 00113 015</t>
  </si>
  <si>
    <t>5 1 1 1 3 12 31111 6 M59 80100 000132 0000R 00001 00113 015 2111100</t>
  </si>
  <si>
    <t>5 1 1 1 3 12 31111 6 M59 80100 000132 0000R 00001 00113 015 2111100 2024</t>
  </si>
  <si>
    <t>5 1 1 1 3 12 31111 6 M59 80100 000132 0000R 00001 00113 015 2111100 2024 CP1AC425</t>
  </si>
  <si>
    <t>5 1 1 1 3 12 31111 6 M59 80100 000132 0000R 00001 00113 015 2111100 2024 CP1AC425 001</t>
  </si>
  <si>
    <t>5 1 1 1 3 12 31111 6 M59 80100 000132 0000R 00001 00113 015 2111100 2024 CP1AC425 001 0000001</t>
  </si>
  <si>
    <t>5 1 1 1 3 12 31111 6 M59 80300</t>
  </si>
  <si>
    <t>DIRECCCIÓN DE GANADERÍA</t>
  </si>
  <si>
    <t>5 1 1 1 3 12 31111 6 M59 80300 000132</t>
  </si>
  <si>
    <t>5 1 1 1 3 12 31111 6 M59 80300 000132 0000R</t>
  </si>
  <si>
    <t>5 1 1 1 3 12 31111 6 M59 80300 000132 0000R 00001</t>
  </si>
  <si>
    <t>5 1 1 1 3 12 31111 6 M59 80300 000132 0000R 00001 00113</t>
  </si>
  <si>
    <t>5 1 1 1 3 12 31111 6 M59 80300 000132 0000R 00001 00113 015</t>
  </si>
  <si>
    <t>5 1 1 1 3 12 31111 6 M59 80300 000132 0000R 00001 00113 015 2111100</t>
  </si>
  <si>
    <t>5 1 1 1 3 12 31111 6 M59 80300 000132 0000R 00001 00113 015 2111100 2024</t>
  </si>
  <si>
    <t>5 1 1 1 3 12 31111 6 M59 80300 000132 0000R 00001 00113 015 2111100 2024 CP1GA414</t>
  </si>
  <si>
    <t>5 1 1 1 3 12 31111 6 M59 80300 000132 0000R 00001 00113 015 2111100 2024 CP1GA414 001</t>
  </si>
  <si>
    <t>5 1 1 1 3 12 31111 6 M59 80300 000132 0000R 00001 00113 015 2111100 2024 CP1GA414 001 0000001</t>
  </si>
  <si>
    <t>5 1 1 1 3 12 31111 6 M59 80400</t>
  </si>
  <si>
    <t>DIRECCIÓN DE PESCA</t>
  </si>
  <si>
    <t>5 1 1 1 3 12 31111 6 M59 80400 000132</t>
  </si>
  <si>
    <t>5 1 1 1 3 12 31111 6 M59 80400 000132 0000R</t>
  </si>
  <si>
    <t>5 1 1 1 3 12 31111 6 M59 80400 000132 0000R 00001</t>
  </si>
  <si>
    <t>5 1 1 1 3 12 31111 6 M59 80400 000132 0000R 00001 00113</t>
  </si>
  <si>
    <t>5 1 1 1 3 12 31111 6 M59 80400 000132 0000R 00001 00113 015</t>
  </si>
  <si>
    <t>5 1 1 1 3 12 31111 6 M59 80400 000132 0000R 00001 00113 015 2111100</t>
  </si>
  <si>
    <t>5 1 1 1 3 12 31111 6 M59 80400 000132 0000R 00001 00113 015 2111100 2024</t>
  </si>
  <si>
    <t>5 1 1 1 3 12 31111 6 M59 80400 000132 0000R 00001 00113 015 2111100 2024 CP1DP403</t>
  </si>
  <si>
    <t>5 1 1 1 3 12 31111 6 M59 80400 000132 0000R 00001 00113 015 2111100 2024 CP1DP403 001</t>
  </si>
  <si>
    <t>5 1 1 1 3 12 31111 6 M59 80400 000132 0000R 00001 00113 015 2111100 2024 CP1DP403 001 0000001</t>
  </si>
  <si>
    <t>5 1 1 1 3 12 31111 6 M59 80500</t>
  </si>
  <si>
    <t>DIRECCIÓN DE ECOLOGIA, MEDIO AMBIENTE Y RECURSOS</t>
  </si>
  <si>
    <t>5 1 1 1 3 12 31111 6 M59 80500 000216</t>
  </si>
  <si>
    <t>OTROS DE PROTECCIÓN AMBIENTAL</t>
  </si>
  <si>
    <t>5 1 1 1 3 12 31111 6 M59 80500 000216 0000R</t>
  </si>
  <si>
    <t>5 1 1 1 3 12 31111 6 M59 80500 000216 0000R 00001</t>
  </si>
  <si>
    <t>5 1 1 1 3 12 31111 6 M59 80500 000216 0000R 00001 00113</t>
  </si>
  <si>
    <t>5 1 1 1 3 12 31111 6 M59 80500 000216 0000R 00001 00113 015</t>
  </si>
  <si>
    <t>5 1 1 1 3 12 31111 6 M59 80500 000216 0000R 00001 00113 015 2111100</t>
  </si>
  <si>
    <t>5 1 1 1 3 12 31111 6 M59 80500 000216 0000R 00001 00113 015 2111100 2024</t>
  </si>
  <si>
    <t>5 1 1 1 3 12 31111 6 M59 80500 000216 0000R 00001 00113 015 2111100 2024 CP1MA417</t>
  </si>
  <si>
    <t>5 1 1 1 3 12 31111 6 M59 80500 000216 0000R 00001 00113 015 2111100 2024 CP1MA417 001</t>
  </si>
  <si>
    <t>5 1 1 1 3 12 31111 6 M59 80500 000216 0000R 00001 00113 015 2111100 2024 CP1MA417 001 0000001</t>
  </si>
  <si>
    <t>5 1 1 1 3 12 31111 6 M59 80700</t>
  </si>
  <si>
    <t>DIRECCIÓN DE MERCADOS</t>
  </si>
  <si>
    <t>5 1 1 1 3 12 31111 6 M59 80700 000132</t>
  </si>
  <si>
    <t>5 1 1 1 3 12 31111 6 M59 80700 000132 0000R</t>
  </si>
  <si>
    <t>5 1 1 1 3 12 31111 6 M59 80700 000132 0000R 00001</t>
  </si>
  <si>
    <t>5 1 1 1 3 12 31111 6 M59 80700 000132 0000R 00001 00113</t>
  </si>
  <si>
    <t>5 1 1 1 3 12 31111 6 M59 80700 000132 0000R 00001 00113 015</t>
  </si>
  <si>
    <t>5 1 1 1 3 12 31111 6 M59 80700 000132 0000R 00001 00113 015 2111100</t>
  </si>
  <si>
    <t>5 1 1 1 3 12 31111 6 M59 80700 000132 0000R 00001 00113 015 2111100 2024</t>
  </si>
  <si>
    <t>5 1 1 1 3 12 31111 6 M59 80700 000132 0000R 00001 00113 015 2111100 2024 CP1ME407</t>
  </si>
  <si>
    <t>5 1 1 1 3 12 31111 6 M59 80700 000132 0000R 00001 00113 015 2111100 2024 CP1ME407 001</t>
  </si>
  <si>
    <t>5 1 1 1 3 12 31111 6 M59 80700 000132 0000R 00001 00113 015 2111100 2024 CP1ME407 001 0000001</t>
  </si>
  <si>
    <t>5 1 1 1 3 12 31111 6 M59 90000</t>
  </si>
  <si>
    <t>SECRETARÍA GENERAL DE GOBIERNO</t>
  </si>
  <si>
    <t>5 1 1 1 3 12 31111 6 M59 90000 000132</t>
  </si>
  <si>
    <t>5 1 1 1 3 12 31111 6 M59 90000 000132 0000R</t>
  </si>
  <si>
    <t>5 1 1 1 3 12 31111 6 M59 90000 000132 0000R 00001</t>
  </si>
  <si>
    <t>5 1 1 1 3 12 31111 6 M59 90000 000132 0000R 00001 00113</t>
  </si>
  <si>
    <t>5 1 1 1 3 12 31111 6 M59 90000 000132 0000R 00001 00113 015</t>
  </si>
  <si>
    <t>5 1 1 1 3 12 31111 6 M59 90000 000132 0000R 00001 00113 015 2111100</t>
  </si>
  <si>
    <t>5 1 1 1 3 12 31111 6 M59 90000 000132 0000R 00001 00113 015 2111100 2024</t>
  </si>
  <si>
    <t>5 1 1 1 3 12 31111 6 M59 90000 000132 0000R 00001 00113 015 2111100 2024 CP1SG383</t>
  </si>
  <si>
    <t>5 1 1 1 3 12 31111 6 M59 90000 000132 0000R 00001 00113 015 2111100 2024 CP1SG383 001</t>
  </si>
  <si>
    <t>5 1 1 1 3 12 31111 6 M59 90000 000132 0000R 00001 00113 015 2111100 2024 CP1SG383 001 0000001</t>
  </si>
  <si>
    <t>5 1 1 1 3 12 31111 6 M59 91000</t>
  </si>
  <si>
    <t>DIRECCION DE REGLAMENTOS Y ESPECTACULOS</t>
  </si>
  <si>
    <t>5 1 1 1 3 12 31111 6 M59 91000 000132</t>
  </si>
  <si>
    <t>5 1 1 1 3 12 31111 6 M59 91000 000132 0000R</t>
  </si>
  <si>
    <t>5 1 1 1 3 12 31111 6 M59 91000 000132 0000R 00001</t>
  </si>
  <si>
    <t>5 1 1 1 3 12 31111 6 M59 91000 000132 0000R 00001 00113</t>
  </si>
  <si>
    <t>5 1 1 1 3 12 31111 6 M59 91000 000132 0000R 00001 00113 015</t>
  </si>
  <si>
    <t>5 1 1 1 3 12 31111 6 M59 91000 000132 0000R 00001 00113 015 2111100</t>
  </si>
  <si>
    <t>5 1 1 1 3 12 31111 6 M59 91000 000132 0000R 00001 00113 015 2111100 2024</t>
  </si>
  <si>
    <t>5 1 1 1 3 12 31111 6 M59 91000 000132 0000R 00001 00113 015 2111100 2024 CP1RE398</t>
  </si>
  <si>
    <t>5 1 1 1 3 12 31111 6 M59 91000 000132 0000R 00001 00113 015 2111100 2024 CP1RE398 001</t>
  </si>
  <si>
    <t>5 1 1 1 3 12 31111 6 M59 91000 000132 0000R 00001 00113 015 2111100 2024 CP1RE398 001 0000001</t>
  </si>
  <si>
    <t>5 1 1 1 3 12 31111 6 M59 92000</t>
  </si>
  <si>
    <t>DIRECCIÓN DE REGISTRO CIVIL</t>
  </si>
  <si>
    <t>5 1 1 1 3 12 31111 6 M59 92000 000181</t>
  </si>
  <si>
    <t>5 1 1 1 3 12 31111 6 M59 92000 000181 0000E</t>
  </si>
  <si>
    <t>5 1 1 1 3 12 31111 6 M59 92000 000181 0000E 00001</t>
  </si>
  <si>
    <t>5 1 1 1 3 12 31111 6 M59 92000 000181 0000E 00001 00113</t>
  </si>
  <si>
    <t>5 1 1 1 3 12 31111 6 M59 92000 000181 0000E 00001 00113 015</t>
  </si>
  <si>
    <t>5 1 1 1 3 12 31111 6 M59 92000 000181 0000E 00001 00113 015 2111100</t>
  </si>
  <si>
    <t>5 1 1 1 3 12 31111 6 M59 92000 000181 0000E 00001 00113 015 2111100 2024</t>
  </si>
  <si>
    <t>5 1 1 1 3 12 31111 6 M59 92000 000181 0000E 00001 00113 015 2111100 2024 CP1RC399</t>
  </si>
  <si>
    <t>5 1 1 1 3 12 31111 6 M59 92000 000181 0000E 00001 00113 015 2111100 2024 CP1RC399 001</t>
  </si>
  <si>
    <t>5 1 1 1 3 12 31111 6 M59 92000 000181 0000E 00001 00113 015 2111100 2024 CP1RC399 001 0000001</t>
  </si>
  <si>
    <t>5 1 1 1 3 12 31111 6 M59 93000</t>
  </si>
  <si>
    <t>DEPARTAMENTO DE RECLUTAMIENTO DEL SERVICIO MILITAR NACIONAL</t>
  </si>
  <si>
    <t>5 1 1 1 3 12 31111 6 M59 93000 000132</t>
  </si>
  <si>
    <t>5 1 1 1 3 12 31111 6 M59 93000 000132 0000R</t>
  </si>
  <si>
    <t>5 1 1 1 3 12 31111 6 M59 93000 000132 0000R 00001</t>
  </si>
  <si>
    <t>5 1 1 1 3 12 31111 6 M59 93000 000132 0000R 00001 00113</t>
  </si>
  <si>
    <t>5 1 1 1 3 12 31111 6 M59 93000 000132 0000R 00001 00113 015</t>
  </si>
  <si>
    <t>5 1 1 1 3 12 31111 6 M59 93000 000132 0000R 00001 00113 015 2111100</t>
  </si>
  <si>
    <t>5 1 1 1 3 12 31111 6 M59 93000 000132 0000R 00001 00113 015 2111100 2024</t>
  </si>
  <si>
    <t>5 1 1 1 3 12 31111 6 M59 93000 000132 0000R 00001 00113 015 2111100 2024 CP1RS429</t>
  </si>
  <si>
    <t>5 1 1 1 3 12 31111 6 M59 93000 000132 0000R 00001 00113 015 2111100 2024 CP1RS429 001</t>
  </si>
  <si>
    <t>5 1 1 1 3 12 31111 6 M59 93000 000132 0000R 00001 00113 015 2111100 2024 CP1RS429 001 0000001</t>
  </si>
  <si>
    <t>5 1 1 1 3 12 31111 6 M59 94000</t>
  </si>
  <si>
    <t>OFICIALIA MAYOR</t>
  </si>
  <si>
    <t>5 1 1 1 3 12 31111 6 M59 94000 000181</t>
  </si>
  <si>
    <t>5 1 1 1 3 12 31111 6 M59 94000 000181 0000R</t>
  </si>
  <si>
    <t>5 1 1 1 3 12 31111 6 M59 94000 000181 0000R 00001</t>
  </si>
  <si>
    <t>5 1 1 1 3 12 31111 6 M59 94000 000181 0000R 00001 00113</t>
  </si>
  <si>
    <t>5 1 1 1 3 12 31111 6 M59 94000 000181 0000R 00001 00113 015</t>
  </si>
  <si>
    <t>5 1 1 1 3 12 31111 6 M59 94000 000181 0000R 00001 00113 015 2111100</t>
  </si>
  <si>
    <t>5 1 1 1 3 12 31111 6 M59 94000 000181 0000R 00001 00113 015 2111100 2024</t>
  </si>
  <si>
    <t>5 1 1 1 3 12 31111 6 M59 94000 000181 0000R 00001 00113 015 2111100 2024 CP1OM392</t>
  </si>
  <si>
    <t>5 1 1 1 3 12 31111 6 M59 94000 000181 0000R 00001 00113 015 2111100 2024 CP1OM392 001</t>
  </si>
  <si>
    <t>5 1 1 1 3 12 31111 6 M59 94000 000181 0000R 00001 00113 015 2111100 2024 CP1OM392 001 0000001</t>
  </si>
  <si>
    <t>5 1 1 1 3 12 31111 6 M59 94100</t>
  </si>
  <si>
    <t>DIRECCIÓN DE ACTIVIDADES CIVICAS</t>
  </si>
  <si>
    <t>5 1 1 1 3 12 31111 6 M59 94100 000132</t>
  </si>
  <si>
    <t>5 1 1 1 3 12 31111 6 M59 94100 000132 0000R</t>
  </si>
  <si>
    <t>5 1 1 1 3 12 31111 6 M59 94100 000132 0000R 00001</t>
  </si>
  <si>
    <t>5 1 1 1 3 12 31111 6 M59 94100 000132 0000R 00001 00113</t>
  </si>
  <si>
    <t>5 1 1 1 3 12 31111 6 M59 94100 000132 0000R 00001 00113 015</t>
  </si>
  <si>
    <t>5 1 1 1 3 12 31111 6 M59 94100 000132 0000R 00001 00113 015 2111100</t>
  </si>
  <si>
    <t>5 1 1 1 3 12 31111 6 M59 94100 000132 0000R 00001 00113 015 2111100 2024</t>
  </si>
  <si>
    <t>5 1 1 1 3 12 31111 6 M59 94100 000132 0000R 00001 00113 015 2111100 2024 CP1AT427</t>
  </si>
  <si>
    <t>5 1 1 1 3 12 31111 6 M59 94100 000132 0000R 00001 00113 015 2111100 2024 CP1AT427 001</t>
  </si>
  <si>
    <t>5 1 1 1 3 12 31111 6 M59 94100 000132 0000R 00001 00113 015 2111100 2024 CP1AT427 001 0000001</t>
  </si>
  <si>
    <t>5 1 1 1 3 12 31111 6 M59 95000</t>
  </si>
  <si>
    <t>DIRECCIÓN DE ASUNTOS JURIDICOS</t>
  </si>
  <si>
    <t>5 1 1 1 3 12 31111 6 M59 95000 000139</t>
  </si>
  <si>
    <t>5 1 1 1 3 12 31111 6 M59 95000 000139 0000L</t>
  </si>
  <si>
    <t>OBLIGACIONES DE CUMPLIMIENTO DE RESOLUCION JURISDICCIONAL</t>
  </si>
  <si>
    <t>5 1 1 1 3 12 31111 6 M59 95000 000139 0000L 00001</t>
  </si>
  <si>
    <t>5 1 1 1 3 12 31111 6 M59 95000 000139 0000L 00001 00113</t>
  </si>
  <si>
    <t>5 1 1 1 3 12 31111 6 M59 95000 000139 0000L 00001 00113 015</t>
  </si>
  <si>
    <t>5 1 1 1 3 12 31111 6 M59 95000 000139 0000L 00001 00113 015 2111100</t>
  </si>
  <si>
    <t>5 1 1 1 3 12 31111 6 M59 95000 000139 0000L 00001 00113 015 2111100 2024</t>
  </si>
  <si>
    <t>5 1 1 1 3 12 31111 6 M59 95000 000139 0000L 00001 00113 015 2111100 2024 CP1AJ437</t>
  </si>
  <si>
    <t>5 1 1 1 3 12 31111 6 M59 95000 000139 0000L 00001 00113 015 2111100 2024 CP1AJ437 001</t>
  </si>
  <si>
    <t>5 1 1 1 3 12 31111 6 M59 95000 000139 0000L 00001 00113 015 2111100 2024 CP1AJ437 001 0000001</t>
  </si>
  <si>
    <t>5 1 1 1 3 12 31111 6 M59 96000</t>
  </si>
  <si>
    <t>DIRECCIÓN DE PANTEONES</t>
  </si>
  <si>
    <t>5 1 1 1 3 12 31111 6 M59 96000 000132</t>
  </si>
  <si>
    <t>5 1 1 1 3 12 31111 6 M59 96000 000132 0000R</t>
  </si>
  <si>
    <t>5 1 1 1 3 12 31111 6 M59 96000 000132 0000R 00001</t>
  </si>
  <si>
    <t>5 1 1 1 3 12 31111 6 M59 96000 000132 0000R 00001 00113</t>
  </si>
  <si>
    <t>5 1 1 1 3 12 31111 6 M59 96000 000132 0000R 00001 00113 015</t>
  </si>
  <si>
    <t>5 1 1 1 3 12 31111 6 M59 96000 000132 0000R 00001 00113 015 2111100</t>
  </si>
  <si>
    <t>5 1 1 1 3 12 31111 6 M59 96000 000132 0000R 00001 00113 015 2111100 2024</t>
  </si>
  <si>
    <t>5 1 1 1 3 12 31111 6 M59 96000 000132 0000R 00001 00113 015 2111100 2024 CP1PA379</t>
  </si>
  <si>
    <t>5 1 1 1 3 12 31111 6 M59 96000 000132 0000R 00001 00113 015 2111100 2024 CP1PA379 001</t>
  </si>
  <si>
    <t>5 1 1 1 3 12 31111 6 M59 96000 000132 0000R 00001 00113 015 2111100 2024 CP1PA379 001 0000001</t>
  </si>
  <si>
    <t>5 1 1 1 3 12 31111 6 M59 96100</t>
  </si>
  <si>
    <t>DIRECCIÓN DE IMAGEN URBANA</t>
  </si>
  <si>
    <t>5 1 1 1 3 12 31111 6 M59 96100 000211</t>
  </si>
  <si>
    <t>5 1 1 1 3 12 31111 6 M59 96100 000211 0000U</t>
  </si>
  <si>
    <t>OTROS SUBSIDIOS</t>
  </si>
  <si>
    <t>5 1 1 1 3 12 31111 6 M59 96100 000211 0000U 00001</t>
  </si>
  <si>
    <t>5 1 1 1 3 12 31111 6 M59 96100 000211 0000U 00001 00113</t>
  </si>
  <si>
    <t>5 1 1 1 3 12 31111 6 M59 96100 000211 0000U 00001 00113 015</t>
  </si>
  <si>
    <t>5 1 1 1 3 12 31111 6 M59 96100 000211 0000U 00001 00113 015 2111100</t>
  </si>
  <si>
    <t>5 1 1 1 3 12 31111 6 M59 96100 000211 0000U 00001 00113 015 2111100 2024</t>
  </si>
  <si>
    <t>5 1 1 1 3 12 31111 6 M59 96100 000211 0000U 00001 00113 015 2111100 2024 CP1IU412</t>
  </si>
  <si>
    <t>5 1 1 1 3 12 31111 6 M59 96100 000211 0000U 00001 00113 015 2111100 2024 CP1IU412 001</t>
  </si>
  <si>
    <t>5 1 1 1 3 12 31111 6 M59 96100 000211 0000U 00001 00113 015 2111100 2024 CP1IU412 001 0000001</t>
  </si>
  <si>
    <t>5 1 1 1 3 12 31111 6 M59 96200</t>
  </si>
  <si>
    <t>DIRECCION DE ALUMBRADO PUBLICO</t>
  </si>
  <si>
    <t>5 1 1 1 3 12 31111 6 M59 96200 000132</t>
  </si>
  <si>
    <t>5 1 1 1 3 12 31111 6 M59 96200 000132 0000R</t>
  </si>
  <si>
    <t>5 1 1 1 3 12 31111 6 M59 96200 000132 0000R 00001</t>
  </si>
  <si>
    <t>5 1 1 1 3 12 31111 6 M59 96200 000132 0000R 00001 00113</t>
  </si>
  <si>
    <t>5 1 1 1 3 12 31111 6 M59 96200 000132 0000R 00001 00113 015</t>
  </si>
  <si>
    <t>5 1 1 1 3 12 31111 6 M59 96200 000132 0000R 00001 00113 015 2111100</t>
  </si>
  <si>
    <t>5 1 1 1 3 12 31111 6 M59 96200 000132 0000R 00001 00113 015 2111100 2024</t>
  </si>
  <si>
    <t>5 1 1 1 3 12 31111 6 M59 96200 000132 0000R 00001 00113 015 2111100 2024 CP1AL423</t>
  </si>
  <si>
    <t>5 1 1 1 3 12 31111 6 M59 96200 000132 0000R 00001 00113 015 2111100 2024 CP1AL423 001</t>
  </si>
  <si>
    <t>5 1 1 1 3 12 31111 6 M59 96200 000132 0000R 00001 00113 015 2111100 2024 CP1AL423 001 0000001</t>
  </si>
  <si>
    <t>5 1 1 1 3 12 31111 6 M59 96300</t>
  </si>
  <si>
    <t>5 1 1 1 3 12 31111 6 M59 96300 000211</t>
  </si>
  <si>
    <t>5 1 1 1 3 12 31111 6 M59 96300 000211 0000E</t>
  </si>
  <si>
    <t>5 1 1 1 3 12 31111 6 M59 96300 000211 0000E 00001</t>
  </si>
  <si>
    <t>5 1 1 1 3 12 31111 6 M59 96300 000211 0000E 00001 00113</t>
  </si>
  <si>
    <t>5 1 1 1 3 12 31111 6 M59 96300 000211 0000E 00001 00113 015</t>
  </si>
  <si>
    <t>5 1 1 1 3 12 31111 6 M59 96300 000211 0000E 00001 00113 015 2111100</t>
  </si>
  <si>
    <t>5 1 1 1 3 12 31111 6 M59 96300 000211 0000E 00001 00113 015 2111100 2024</t>
  </si>
  <si>
    <t>5 1 1 1 3 12 31111 6 M59 96300 000211 0000E 00001 00113 015 2111100 2024 CP1SB396</t>
  </si>
  <si>
    <t>5 1 1 1 3 12 31111 6 M59 96300 000211 0000E 00001 00113 015 2111100 2024 CP1SB396 001</t>
  </si>
  <si>
    <t>5 1 1 1 3 12 31111 6 M59 96300 000211 0000E 00001 00113 015 2111100 2024 CP1SB396 001 0000001</t>
  </si>
  <si>
    <t>5 1 1 1 3 12 31111 6 M59 97000</t>
  </si>
  <si>
    <t>DIRECCION DE SISTEMAS Y SOPORTES TECNICOS</t>
  </si>
  <si>
    <t>5 1 1 1 3 12 31111 6 M59 97000 000132</t>
  </si>
  <si>
    <t>5 1 1 1 3 12 31111 6 M59 97000 000132 0000R</t>
  </si>
  <si>
    <t>5 1 1 1 3 12 31111 6 M59 97000 000132 0000R 00001</t>
  </si>
  <si>
    <t>5 1 1 1 3 12 31111 6 M59 97000 000132 0000R 00001 00113</t>
  </si>
  <si>
    <t>5 1 1 1 3 12 31111 6 M59 97000 000132 0000R 00001 00113 015</t>
  </si>
  <si>
    <t>5 1 1 1 3 12 31111 6 M59 97000 000132 0000R 00001 00113 015 2111100</t>
  </si>
  <si>
    <t>5 1 1 1 3 12 31111 6 M59 97000 000132 0000R 00001 00113 015 2111100 2024</t>
  </si>
  <si>
    <t>5 1 1 1 3 12 31111 6 M59 97000 000132 0000R 00001 00113 015 2111100 2024 CP1SP428</t>
  </si>
  <si>
    <t>5 1 1 1 3 12 31111 6 M59 97000 000132 0000R 00001 00113 015 2111100 2024 CP1SP428 001</t>
  </si>
  <si>
    <t>5 1 1 1 3 12 31111 6 M59 97000 000132 0000R 00001 00113 015 2111100 2024 CP1SP428 001 0000001</t>
  </si>
  <si>
    <t>5 1 1 1 3 12 31111 6 M59 98000</t>
  </si>
  <si>
    <t>DIRECCIÓN DE RECURSOS HUMANOS</t>
  </si>
  <si>
    <t>5 1 1 1 3 12 31111 6 M59 98000 000181</t>
  </si>
  <si>
    <t>5 1 1 1 3 12 31111 6 M59 98000 000181 0000R</t>
  </si>
  <si>
    <t>5 1 1 1 3 12 31111 6 M59 98000 000181 0000R 00001</t>
  </si>
  <si>
    <t>5 1 1 1 3 12 31111 6 M59 98000 000181 0000R 00001 00113</t>
  </si>
  <si>
    <t>5 1 1 1 3 12 31111 6 M59 98000 000181 0000R 00001 00113 015</t>
  </si>
  <si>
    <t>5 1 1 1 3 12 31111 6 M59 98000 000181 0000R 00001 00113 015 2111100</t>
  </si>
  <si>
    <t>5 1 1 1 3 12 31111 6 M59 98000 000181 0000R 00001 00113 015 2111100 2024</t>
  </si>
  <si>
    <t>5 1 1 1 3 12 31111 6 M59 98000 000181 0000R 00001 00113 015 2111100 2024 CP1RH392</t>
  </si>
  <si>
    <t>5 1 1 1 3 12 31111 6 M59 98000 000181 0000R 00001 00113 015 2111100 2024 CP1RH392 001</t>
  </si>
  <si>
    <t>5 1 1 1 3 12 31111 6 M59 98000 000181 0000R 00001 00113 015 2111100 2024 CP1RH392 001 0000001</t>
  </si>
  <si>
    <t>SUEDO BASE AL PERSONAL PERMANENTE</t>
  </si>
  <si>
    <t>5 1 1 1 3 12 31111 6 M59 99000</t>
  </si>
  <si>
    <t>DIRECCIÓN DE MANTENIMIENTO GENERAL</t>
  </si>
  <si>
    <t>5 1 1 1 3 12 31111 6 M59 99000 000132</t>
  </si>
  <si>
    <t>5 1 1 1 3 12 31111 6 M59 99000 000132 0000R</t>
  </si>
  <si>
    <t>5 1 1 1 3 12 31111 6 M59 99000 000132 0000R 00001</t>
  </si>
  <si>
    <t>5 1 1 1 3 12 31111 6 M59 99000 000132 0000R 00001 00113</t>
  </si>
  <si>
    <t>5 1 1 1 3 12 31111 6 M59 99000 000132 0000R 00001 00113 015</t>
  </si>
  <si>
    <t>5 1 1 1 3 12 31111 6 M59 99000 000132 0000R 00001 00113 015 2111100</t>
  </si>
  <si>
    <t>5 1 1 1 3 12 31111 6 M59 99000 000132 0000R 00001 00113 015 2111100 2024</t>
  </si>
  <si>
    <t>5 1 1 1 3 12 31111 6 M59 99000 000132 0000R 00001 00113 015 2111100 2024 CP1MG408</t>
  </si>
  <si>
    <t>5 1 1 1 3 12 31111 6 M59 99000 000132 0000R 00001 00113 015 2111100 2024 CP1MG408 001</t>
  </si>
  <si>
    <t>5 1 1 1 3 12 31111 6 M59 99000 000132 0000R 00001 00113 015 2111100 2024 CP1MG408 001 0000001</t>
  </si>
  <si>
    <t>5 1 1 3</t>
  </si>
  <si>
    <t>REMUNERACIONES ADICIONALES Y ESPECIALES</t>
  </si>
  <si>
    <t>5 1 1 3 1</t>
  </si>
  <si>
    <t>PRIMAS POR AÑOS DE SERVICIOS EFECTIVOS PRESTADOS</t>
  </si>
  <si>
    <t>5 1 1 3 1 12</t>
  </si>
  <si>
    <t>5 1 1 3 1 12 31111</t>
  </si>
  <si>
    <t>5 1 1 3 1 12 31111 6</t>
  </si>
  <si>
    <t>5 1 1 3 1 12 31111 6 M59</t>
  </si>
  <si>
    <t>5 1 1 3 1 12 31111 6 M59 10500</t>
  </si>
  <si>
    <t>5 1 1 3 1 12 31111 6 M59 10500 000132</t>
  </si>
  <si>
    <t>5 1 1 3 1 12 31111 6 M59 10500 000132 0000R</t>
  </si>
  <si>
    <t>5 1 1 3 1 12 31111 6 M59 10500 000132 0000R 00001</t>
  </si>
  <si>
    <t>5 1 1 3 1 12 31111 6 M59 10500 000132 0000R 00001 00131</t>
  </si>
  <si>
    <t>PRIMAS POR AÑOS DE SERVICIOS EFECTIVOS PRESTADOS.</t>
  </si>
  <si>
    <t>5 1 1 3 1 12 31111 6 M59 10500 000132 0000R 00001 00131 015</t>
  </si>
  <si>
    <t>5 1 1 3 1 12 31111 6 M59 10500 000132 0000R 00001 00131 015 2111100</t>
  </si>
  <si>
    <t>5 1 1 3 1 12 31111 6 M59 10500 000132 0000R 00001 00131 015 2111100 2024</t>
  </si>
  <si>
    <t>5 1 1 3 1 12 31111 6 M59 10500 000132 0000R 00001 00131 015 2111100 2024 CP1CS421</t>
  </si>
  <si>
    <t>5 1 1 3 1 12 31111 6 M59 10500 000132 0000R 00001 00131 015 2111100 2024 CP1CS421 001</t>
  </si>
  <si>
    <t>5 1 1 3 1 12 31111 6 M59 10500 000132 0000R 00001 00131 015 2111100 2024 CP1CS421 001 0000001</t>
  </si>
  <si>
    <t>QUINQUENIO</t>
  </si>
  <si>
    <t>5 1 1 3 1 12 31111 6 M59 11000</t>
  </si>
  <si>
    <t>5 1 1 3 1 12 31111 6 M59 11000 000132</t>
  </si>
  <si>
    <t>5 1 1 3 1 12 31111 6 M59 11000 000132 0000R</t>
  </si>
  <si>
    <t>5 1 1 3 1 12 31111 6 M59 11000 000132 0000R 00001</t>
  </si>
  <si>
    <t>5 1 1 3 1 12 31111 6 M59 11000 000132 0000R 00001 00131</t>
  </si>
  <si>
    <t>5 1 1 3 1 12 31111 6 M59 11000 000132 0000R 00001 00131 015</t>
  </si>
  <si>
    <t>5 1 1 3 1 12 31111 6 M59 11000 000132 0000R 00001 00131 015 2111100</t>
  </si>
  <si>
    <t>5 1 1 3 1 12 31111 6 M59 11000 000132 0000R 00001 00131 015 2111100 2024</t>
  </si>
  <si>
    <t>5 1 1 3 1 12 31111 6 M59 11000 000132 0000R 00001 00131 015 2111100 2024 CP1SM382</t>
  </si>
  <si>
    <t>5 1 1 3 1 12 31111 6 M59 11000 000132 0000R 00001 00131 015 2111100 2024 CP1SM382 001</t>
  </si>
  <si>
    <t>5 1 1 3 1 12 31111 6 M59 11000 000132 0000R 00001 00131 015 2111100 2024 CP1SM382 001 0000001</t>
  </si>
  <si>
    <t>5 1 1 3 1 12 31111 6 M59 20500</t>
  </si>
  <si>
    <t>5 1 1 3 1 12 31111 6 M59 20500 000132</t>
  </si>
  <si>
    <t>5 1 1 3 1 12 31111 6 M59 20500 000132 0000R</t>
  </si>
  <si>
    <t>5 1 1 3 1 12 31111 6 M59 20500 000132 0000R 00001</t>
  </si>
  <si>
    <t>5 1 1 3 1 12 31111 6 M59 20500 000132 0000R 00001 00131</t>
  </si>
  <si>
    <t>5 1 1 3 1 12 31111 6 M59 20500 000132 0000R 00001 00131 015</t>
  </si>
  <si>
    <t>5 1 1 3 1 12 31111 6 M59 20500 000132 0000R 00001 00131 015 2111100</t>
  </si>
  <si>
    <t>5 1 1 3 1 12 31111 6 M59 20500 000132 0000R 00001 00131 015 2111100 2024</t>
  </si>
  <si>
    <t>5 1 1 3 1 12 31111 6 M59 20500 000132 0000R 00001 00131 015 2111100 2024 CP1CP420</t>
  </si>
  <si>
    <t>5 1 1 3 1 12 31111 6 M59 20500 000132 0000R 00001 00131 015 2111100 2024 CP1CP420 001</t>
  </si>
  <si>
    <t>5 1 1 3 1 12 31111 6 M59 20500 000132 0000R 00001 00131 015 2111100 2024 CP1CP420 001 0000001</t>
  </si>
  <si>
    <t>5 1 1 3 1 12 31111 6 M59 20600</t>
  </si>
  <si>
    <t>5 1 1 3 1 12 31111 6 M59 20600 000132</t>
  </si>
  <si>
    <t>5 1 1 3 1 12 31111 6 M59 20600 000132 0000R</t>
  </si>
  <si>
    <t>5 1 1 3 1 12 31111 6 M59 20600 000132 0000R 00001</t>
  </si>
  <si>
    <t>5 1 1 3 1 12 31111 6 M59 20600 000132 0000R 00001 00131</t>
  </si>
  <si>
    <t>5 1 1 3 1 12 31111 6 M59 20600 000132 0000R 00001 00131 015</t>
  </si>
  <si>
    <t>5 1 1 3 1 12 31111 6 M59 20600 000132 0000R 00001 00131 015 2111100</t>
  </si>
  <si>
    <t>5 1 1 3 1 12 31111 6 M59 20600 000132 0000R 00001 00131 015 2111100 2024</t>
  </si>
  <si>
    <t>5 1 1 3 1 12 31111 6 M59 20600 000132 0000R 00001 00131 015 2111100 2024 CP1CA380</t>
  </si>
  <si>
    <t>5 1 1 3 1 12 31111 6 M59 20600 000132 0000R 00001 00131 015 2111100 2024 CP1CA380 001</t>
  </si>
  <si>
    <t>5 1 1 3 1 12 31111 6 M59 20600 000132 0000R 00001 00131 015 2111100 2024 CP1CA380 001 0000001</t>
  </si>
  <si>
    <t>5 1 1 3 1 12 31111 6 M59 23000</t>
  </si>
  <si>
    <t>5 1 1 3 1 12 31111 6 M59 23000 000132</t>
  </si>
  <si>
    <t>5 1 1 3 1 12 31111 6 M59 23000 000132 0000R</t>
  </si>
  <si>
    <t>5 1 1 3 1 12 31111 6 M59 23000 000132 0000R 00001</t>
  </si>
  <si>
    <t>5 1 1 3 1 12 31111 6 M59 23000 000132 0000R 00001 00131</t>
  </si>
  <si>
    <t>5 1 1 3 1 12 31111 6 M59 23000 000132 0000R 00001 00131 015</t>
  </si>
  <si>
    <t>5 1 1 3 1 12 31111 6 M59 23000 000132 0000R 00001 00131 015 2111100</t>
  </si>
  <si>
    <t>5 1 1 3 1 12 31111 6 M59 23000 000132 0000R 00001 00131 015 2111100 2024</t>
  </si>
  <si>
    <t>5 1 1 3 1 12 31111 6 M59 23000 000132 0000R 00001 00131 015 2111100 2024 CP1ST377</t>
  </si>
  <si>
    <t>5 1 1 3 1 12 31111 6 M59 23000 000132 0000R 00001 00131 015 2111100 2024 CP1ST377 001</t>
  </si>
  <si>
    <t>5 1 1 3 1 12 31111 6 M59 23000 000132 0000R 00001 00131 015 2111100 2024 CP1ST377 001 0000001</t>
  </si>
  <si>
    <t>5 1 1 3 1 12 31111 6 M59 30100</t>
  </si>
  <si>
    <t>5 1 1 3 1 12 31111 6 M59 30100 000132</t>
  </si>
  <si>
    <t>5 1 1 3 1 12 31111 6 M59 30100 000132 0000R</t>
  </si>
  <si>
    <t>5 1 1 3 1 12 31111 6 M59 30100 000132 0000R 00001</t>
  </si>
  <si>
    <t>5 1 1 3 1 12 31111 6 M59 30100 000132 0000R 00001 00131</t>
  </si>
  <si>
    <t>5 1 1 3 1 12 31111 6 M59 30100 000132 0000R 00001 00131 015</t>
  </si>
  <si>
    <t>5 1 1 3 1 12 31111 6 M59 30100 000132 0000R 00001 00131 015 2111100</t>
  </si>
  <si>
    <t>5 1 1 3 1 12 31111 6 M59 30100 000132 0000R 00001 00131 015 2111100 2024</t>
  </si>
  <si>
    <t>5 1 1 3 1 12 31111 6 M59 30100 000132 0000R 00001 00131 015 2111100 2024 CP1OP405</t>
  </si>
  <si>
    <t>5 1 1 3 1 12 31111 6 M59 30100 000132 0000R 00001 00131 015 2111100 2024 CP1OP405 001</t>
  </si>
  <si>
    <t>5 1 1 3 1 12 31111 6 M59 30100 000132 0000R 00001 00131 015 2111100 2024 CP1OP405 001 0000001</t>
  </si>
  <si>
    <t>5 1 1 3 1 12 31111 6 M59 50000</t>
  </si>
  <si>
    <t>5 1 1 3 1 12 31111 6 M59 50000 000223</t>
  </si>
  <si>
    <t>5 1 1 3 1 12 31111 6 M59 50000 000223 0000E</t>
  </si>
  <si>
    <t>5 1 1 3 1 12 31111 6 M59 50000 000223 0000E 00001</t>
  </si>
  <si>
    <t>5 1 1 3 1 12 31111 6 M59 50000 000223 0000E 00001 00131</t>
  </si>
  <si>
    <t>5 1 1 3 1 12 31111 6 M59 50000 000223 0000E 00001 00131 015</t>
  </si>
  <si>
    <t>5 1 1 3 1 12 31111 6 M59 50000 000223 0000E 00001 00131 015 2111100</t>
  </si>
  <si>
    <t>5 1 1 3 1 12 31111 6 M59 50000 000223 0000E 00001 00131 015 2111100 2024</t>
  </si>
  <si>
    <t>5 1 1 3 1 12 31111 6 M59 50000 000223 0000E 00001 00131 015 2111100 2024 CP1DA424</t>
  </si>
  <si>
    <t>5 1 1 3 1 12 31111 6 M59 50000 000223 0000E 00001 00131 015 2111100 2024 CP1DA424 001</t>
  </si>
  <si>
    <t>5 1 1 3 1 12 31111 6 M59 50000 000223 0000E 00001 00131 015 2111100 2024 CP1DA424 001 0000001</t>
  </si>
  <si>
    <t>5 1 1 3 1 12 31111 6 M59 60100</t>
  </si>
  <si>
    <t>5 1 1 3 1 12 31111 6 M59 60100 000132</t>
  </si>
  <si>
    <t>5 1 1 3 1 12 31111 6 M59 60100 000132 0000R</t>
  </si>
  <si>
    <t>5 1 1 3 1 12 31111 6 M59 60100 000132 0000R 00001</t>
  </si>
  <si>
    <t>5 1 1 3 1 12 31111 6 M59 60100 000132 0000R 00001 00131</t>
  </si>
  <si>
    <t>5 1 1 3 1 12 31111 6 M59 60100 000132 0000R 00001 00131 015</t>
  </si>
  <si>
    <t>5 1 1 3 1 12 31111 6 M59 60100 000132 0000R 00001 00131 015 2111100</t>
  </si>
  <si>
    <t>5 1 1 3 1 12 31111 6 M59 60100 000132 0000R 00001 00131 015 2111100 2024</t>
  </si>
  <si>
    <t>5 1 1 3 1 12 31111 6 M59 60100 000132 0000R 00001 00131 015 2111100 2024 CP1DM394</t>
  </si>
  <si>
    <t>5 1 1 3 1 12 31111 6 M59 60100 000132 0000R 00001 00131 015 2111100 2024 CP1DM394 001</t>
  </si>
  <si>
    <t>5 1 1 3 1 12 31111 6 M59 60100 000132 0000R 00001 00131 015 2111100 2024 CP1DM394 001 0000001</t>
  </si>
  <si>
    <t>5 1 1 3 1 12 31111 6 M59 60100 000132 0000R 00001 00131 015 2111100 2024 CP1DM394 001 0000002</t>
  </si>
  <si>
    <t>5 1 1 3 1 12 31111 6 M59 63000</t>
  </si>
  <si>
    <t>5 1 1 3 1 12 31111 6 M59 63000 000132</t>
  </si>
  <si>
    <t>5 1 1 3 1 12 31111 6 M59 63000 000132 0000R</t>
  </si>
  <si>
    <t>5 1 1 3 1 12 31111 6 M59 63000 000132 0000R 00001</t>
  </si>
  <si>
    <t>5 1 1 3 1 12 31111 6 M59 63000 000132 0000R 00001 00131</t>
  </si>
  <si>
    <t>5 1 1 3 1 12 31111 6 M59 63000 000132 0000R 00001 00131 015</t>
  </si>
  <si>
    <t>5 1 1 3 1 12 31111 6 M59 63000 000132 0000R 00001 00131 015 2111100</t>
  </si>
  <si>
    <t>5 1 1 3 1 12 31111 6 M59 63000 000132 0000R 00001 00131 015 2111100 2024</t>
  </si>
  <si>
    <t>5 1 1 3 1 12 31111 6 M59 63000 000132 0000R 00001 00131 015 2111100 2024 CP1PR434</t>
  </si>
  <si>
    <t>5 1 1 3 1 12 31111 6 M59 63000 000132 0000R 00001 00131 015 2111100 2024 CP1PR434 001</t>
  </si>
  <si>
    <t>5 1 1 3 1 12 31111 6 M59 63000 000132 0000R 00001 00131 015 2111100 2024 CP1PR434 001 0000001</t>
  </si>
  <si>
    <t>5 1 1 3 1 12 31111 6 M59 70000</t>
  </si>
  <si>
    <t>5 1 1 3 1 12 31111 6 M59 70000 000132</t>
  </si>
  <si>
    <t>5 1 1 3 1 12 31111 6 M59 70000 000132 0000R</t>
  </si>
  <si>
    <t>5 1 1 3 1 12 31111 6 M59 70000 000132 0000R 00001</t>
  </si>
  <si>
    <t>5 1 1 3 1 12 31111 6 M59 70000 000132 0000R 00001 00131</t>
  </si>
  <si>
    <t>5 1 1 3 1 12 31111 6 M59 70000 000132 0000R 00001 00131 015</t>
  </si>
  <si>
    <t>5 1 1 3 1 12 31111 6 M59 70000 000132 0000R 00001 00131 015 2111100</t>
  </si>
  <si>
    <t>5 1 1 3 1 12 31111 6 M59 70000 000132 0000R 00001 00131 015 2111100 2024</t>
  </si>
  <si>
    <t>5 1 1 3 1 12 31111 6 M59 70000 000132 0000R 00001 00131 015 2111100 2024 CP1DS387</t>
  </si>
  <si>
    <t>5 1 1 3 1 12 31111 6 M59 70000 000132 0000R 00001 00131 015 2111100 2024 CP1DS387 001</t>
  </si>
  <si>
    <t>5 1 1 3 1 12 31111 6 M59 70000 000132 0000R 00001 00131 015 2111100 2024 CP1DS387 001 0000001</t>
  </si>
  <si>
    <t>5 1 1 3 1 12 31111 6 M59 70100</t>
  </si>
  <si>
    <t>5 1 1 3 1 12 31111 6 M59 70100 000132</t>
  </si>
  <si>
    <t>5 1 1 3 1 12 31111 6 M59 70100 000132 0000R</t>
  </si>
  <si>
    <t>5 1 1 3 1 12 31111 6 M59 70100 000132 0000R 00001</t>
  </si>
  <si>
    <t>5 1 1 3 1 12 31111 6 M59 70100 000132 0000R 00001 00131</t>
  </si>
  <si>
    <t>5 1 1 3 1 12 31111 6 M59 70100 000132 0000R 00001 00131 015</t>
  </si>
  <si>
    <t>5 1 1 3 1 12 31111 6 M59 70100 000132 0000R 00001 00131 015 2111100</t>
  </si>
  <si>
    <t>5 1 1 3 1 12 31111 6 M59 70100 000132 0000R 00001 00131 015 2111100 2024</t>
  </si>
  <si>
    <t>5 1 1 3 1 12 31111 6 M59 70100 000132 0000R 00001 00131 015 2111100 2024 CP1MM393</t>
  </si>
  <si>
    <t>5 1 1 3 1 12 31111 6 M59 70100 000132 0000R 00001 00131 015 2111100 2024 CP1MM393 001</t>
  </si>
  <si>
    <t>5 1 1 3 1 12 31111 6 M59 70100 000132 0000R 00001 00131 015 2111100 2024 CP1MM393 001 0000001</t>
  </si>
  <si>
    <t>5 1 1 3 1 12 31111 6 M59 70800</t>
  </si>
  <si>
    <t>5 1 1 3 1 12 31111 6 M59 70800 000132</t>
  </si>
  <si>
    <t>5 1 1 3 1 12 31111 6 M59 70800 000132 0000R</t>
  </si>
  <si>
    <t>5 1 1 3 1 12 31111 6 M59 70800 000132 0000R 00001</t>
  </si>
  <si>
    <t>5 1 1 3 1 12 31111 6 M59 70800 000132 0000R 00001 00131</t>
  </si>
  <si>
    <t>5 1 1 3 1 12 31111 6 M59 70800 000132 0000R 00001 00131 015</t>
  </si>
  <si>
    <t>5 1 1 3 1 12 31111 6 M59 70800 000132 0000R 00001 00131 015 2111100</t>
  </si>
  <si>
    <t>5 1 1 3 1 12 31111 6 M59 70800 000132 0000R 00001 00131 015 2111100 2024</t>
  </si>
  <si>
    <t>5 1 1 3 1 12 31111 6 M59 70800 000132 0000R 00001 00131 015 2111100 2024 CP1ED416</t>
  </si>
  <si>
    <t>5 1 1 3 1 12 31111 6 M59 70800 000132 0000R 00001 00131 015 2111100 2024 CP1ED416 001</t>
  </si>
  <si>
    <t>5 1 1 3 1 12 31111 6 M59 70800 000132 0000R 00001 00131 015 2111100 2024 CP1ED416 001 0000001</t>
  </si>
  <si>
    <t>5 1 1 3 1 12 31111 6 M59 80400</t>
  </si>
  <si>
    <t>5 1 1 3 1 12 31111 6 M59 80400 000132</t>
  </si>
  <si>
    <t>5 1 1 3 1 12 31111 6 M59 80400 000132 0000R</t>
  </si>
  <si>
    <t>5 1 1 3 1 12 31111 6 M59 80400 000132 0000R 00001</t>
  </si>
  <si>
    <t>5 1 1 3 1 12 31111 6 M59 80400 000132 0000R 00001 00131</t>
  </si>
  <si>
    <t>5 1 1 3 1 12 31111 6 M59 80400 000132 0000R 00001 00131 015</t>
  </si>
  <si>
    <t>5 1 1 3 1 12 31111 6 M59 80400 000132 0000R 00001 00131 015 2111100</t>
  </si>
  <si>
    <t>5 1 1 3 1 12 31111 6 M59 80400 000132 0000R 00001 00131 015 2111100 2024</t>
  </si>
  <si>
    <t>5 1 1 3 1 12 31111 6 M59 80400 000132 0000R 00001 00131 015 2111100 2024 CP1DP403</t>
  </si>
  <si>
    <t>5 1 1 3 1 12 31111 6 M59 80400 000132 0000R 00001 00131 015 2111100 2024 CP1DP403 001</t>
  </si>
  <si>
    <t>5 1 1 3 1 12 31111 6 M59 80400 000132 0000R 00001 00131 015 2111100 2024 CP1DP403 001 0000001</t>
  </si>
  <si>
    <t>5 1 1 3 1 12 31111 6 M59 80500</t>
  </si>
  <si>
    <t>5 1 1 3 1 12 31111 6 M59 80500 000216</t>
  </si>
  <si>
    <t>5 1 1 3 1 12 31111 6 M59 80500 000216 0000R</t>
  </si>
  <si>
    <t>5 1 1 3 1 12 31111 6 M59 80500 000216 0000R 00001</t>
  </si>
  <si>
    <t>5 1 1 3 1 12 31111 6 M59 80500 000216 0000R 00001 00131</t>
  </si>
  <si>
    <t>5 1 1 3 1 12 31111 6 M59 80500 000216 0000R 00001 00131 015</t>
  </si>
  <si>
    <t>5 1 1 3 1 12 31111 6 M59 80500 000216 0000R 00001 00131 015 2111100</t>
  </si>
  <si>
    <t>5 1 1 3 1 12 31111 6 M59 80500 000216 0000R 00001 00131 015 2111100 2024</t>
  </si>
  <si>
    <t>5 1 1 3 1 12 31111 6 M59 80500 000216 0000R 00001 00131 015 2111100 2024 CP1MA417</t>
  </si>
  <si>
    <t>5 1 1 3 1 12 31111 6 M59 80500 000216 0000R 00001 00131 015 2111100 2024 CP1MA417 001</t>
  </si>
  <si>
    <t>5 1 1 3 1 12 31111 6 M59 80500 000216 0000R 00001 00131 015 2111100 2024 CP1MA417 001 0000001</t>
  </si>
  <si>
    <t>5 1 1 3 1 12 31111 6 M59 90000</t>
  </si>
  <si>
    <t>5 1 1 3 1 12 31111 6 M59 90000 000132</t>
  </si>
  <si>
    <t>5 1 1 3 1 12 31111 6 M59 90000 000132 0000R</t>
  </si>
  <si>
    <t>5 1 1 3 1 12 31111 6 M59 90000 000132 0000R 00001</t>
  </si>
  <si>
    <t>5 1 1 3 1 12 31111 6 M59 90000 000132 0000R 00001 00131</t>
  </si>
  <si>
    <t>5 1 1 3 1 12 31111 6 M59 90000 000132 0000R 00001 00131 015</t>
  </si>
  <si>
    <t>5 1 1 3 1 12 31111 6 M59 90000 000132 0000R 00001 00131 015 2111100</t>
  </si>
  <si>
    <t>5 1 1 3 1 12 31111 6 M59 90000 000132 0000R 00001 00131 015 2111100 2024</t>
  </si>
  <si>
    <t>5 1 1 3 1 12 31111 6 M59 90000 000132 0000R 00001 00131 015 2111100 2024 CP1SG383</t>
  </si>
  <si>
    <t>5 1 1 3 1 12 31111 6 M59 90000 000132 0000R 00001 00131 015 2111100 2024 CP1SG383 001</t>
  </si>
  <si>
    <t>5 1 1 3 1 12 31111 6 M59 90000 000132 0000R 00001 00131 015 2111100 2024 CP1SG383 001 0000001</t>
  </si>
  <si>
    <t>5 1 1 3 1 12 31111 6 M59 91000</t>
  </si>
  <si>
    <t>5 1 1 3 1 12 31111 6 M59 91000 000132</t>
  </si>
  <si>
    <t>5 1 1 3 1 12 31111 6 M59 91000 000132 0000R</t>
  </si>
  <si>
    <t>5 1 1 3 1 12 31111 6 M59 91000 000132 0000R 00001</t>
  </si>
  <si>
    <t>5 1 1 3 1 12 31111 6 M59 91000 000132 0000R 00001 00131</t>
  </si>
  <si>
    <t>5 1 1 3 1 12 31111 6 M59 91000 000132 0000R 00001 00131 015</t>
  </si>
  <si>
    <t>5 1 1 3 1 12 31111 6 M59 91000 000132 0000R 00001 00131 015 2111100</t>
  </si>
  <si>
    <t>5 1 1 3 1 12 31111 6 M59 91000 000132 0000R 00001 00131 015 2111100 2024</t>
  </si>
  <si>
    <t>5 1 1 3 1 12 31111 6 M59 91000 000132 0000R 00001 00131 015 2111100 2024 CP1RE398</t>
  </si>
  <si>
    <t>5 1 1 3 1 12 31111 6 M59 91000 000132 0000R 00001 00131 015 2111100 2024 CP1RE398 001</t>
  </si>
  <si>
    <t>5 1 1 3 1 12 31111 6 M59 91000 000132 0000R 00001 00131 015 2111100 2024 CP1RE398 001 0000001</t>
  </si>
  <si>
    <t>5 1 1 3 1 12 31111 6 M59 92000</t>
  </si>
  <si>
    <t>5 1 1 3 1 12 31111 6 M59 92000 000181</t>
  </si>
  <si>
    <t>5 1 1 3 1 12 31111 6 M59 92000 000181 0000E</t>
  </si>
  <si>
    <t>5 1 1 3 1 12 31111 6 M59 92000 000181 0000E 00001</t>
  </si>
  <si>
    <t>5 1 1 3 1 12 31111 6 M59 92000 000181 0000E 00001 00131</t>
  </si>
  <si>
    <t>5 1 1 3 1 12 31111 6 M59 92000 000181 0000E 00001 00131 015</t>
  </si>
  <si>
    <t>5 1 1 3 1 12 31111 6 M59 92000 000181 0000E 00001 00131 015 2111100</t>
  </si>
  <si>
    <t>5 1 1 3 1 12 31111 6 M59 92000 000181 0000E 00001 00131 015 2111100 2024</t>
  </si>
  <si>
    <t>5 1 1 3 1 12 31111 6 M59 92000 000181 0000E 00001 00131 015 2111100 2024 CP1RC399</t>
  </si>
  <si>
    <t>5 1 1 3 1 12 31111 6 M59 92000 000181 0000E 00001 00131 015 2111100 2024 CP1RC399 001</t>
  </si>
  <si>
    <t>5 1 1 3 1 12 31111 6 M59 92000 000181 0000E 00001 00131 015 2111100 2024 CP1RC399 001 0000001</t>
  </si>
  <si>
    <t>5 1 1 3 1 12 31111 6 M59 94000</t>
  </si>
  <si>
    <t>5 1 1 3 1 12 31111 6 M59 94000 000181</t>
  </si>
  <si>
    <t>5 1 1 3 1 12 31111 6 M59 94000 000181 0000R</t>
  </si>
  <si>
    <t>5 1 1 3 1 12 31111 6 M59 94000 000181 0000R 00001</t>
  </si>
  <si>
    <t>5 1 1 3 1 12 31111 6 M59 94000 000181 0000R 00001 00131</t>
  </si>
  <si>
    <t>5 1 1 3 1 12 31111 6 M59 94000 000181 0000R 00001 00131 015</t>
  </si>
  <si>
    <t>5 1 1 3 1 12 31111 6 M59 94000 000181 0000R 00001 00131 015 2111100</t>
  </si>
  <si>
    <t>5 1 1 3 1 12 31111 6 M59 94000 000181 0000R 00001 00131 015 2111100 2024</t>
  </si>
  <si>
    <t>5 1 1 3 1 12 31111 6 M59 94000 000181 0000R 00001 00131 015 2111100 2024 CP1OM392</t>
  </si>
  <si>
    <t>5 1 1 3 1 12 31111 6 M59 94000 000181 0000R 00001 00131 015 2111100 2024 CP1OM392 001</t>
  </si>
  <si>
    <t>5 1 1 3 1 12 31111 6 M59 94000 000181 0000R 00001 00131 015 2111100 2024 CP1OM392 001 0000001</t>
  </si>
  <si>
    <t>5 1 1 3 1 12 31111 6 M59 94100</t>
  </si>
  <si>
    <t>5 1 1 3 1 12 31111 6 M59 94100 000132</t>
  </si>
  <si>
    <t>5 1 1 3 1 12 31111 6 M59 94100 000132 0000R</t>
  </si>
  <si>
    <t>5 1 1 3 1 12 31111 6 M59 94100 000132 0000R 00001</t>
  </si>
  <si>
    <t>5 1 1 3 1 12 31111 6 M59 94100 000132 0000R 00001 00131</t>
  </si>
  <si>
    <t>5 1 1 3 1 12 31111 6 M59 94100 000132 0000R 00001 00131 015</t>
  </si>
  <si>
    <t>5 1 1 3 1 12 31111 6 M59 94100 000132 0000R 00001 00131 015 2111100</t>
  </si>
  <si>
    <t>5 1 1 3 1 12 31111 6 M59 94100 000132 0000R 00001 00131 015 2111100 2024</t>
  </si>
  <si>
    <t>5 1 1 3 1 12 31111 6 M59 94100 000132 0000R 00001 00131 015 2111100 2024 CP1AT427</t>
  </si>
  <si>
    <t>5 1 1 3 1 12 31111 6 M59 94100 000132 0000R 00001 00131 015 2111100 2024 CP1AT427 001</t>
  </si>
  <si>
    <t>5 1 1 3 1 12 31111 6 M59 94100 000132 0000R 00001 00131 015 2111100 2024 CP1AT427 001 0000001</t>
  </si>
  <si>
    <t>5 1 1 3 1 12 31111 6 M59 96100</t>
  </si>
  <si>
    <t>5 1 1 3 1 12 31111 6 M59 96100 000211</t>
  </si>
  <si>
    <t>5 1 1 3 1 12 31111 6 M59 96100 000211 0000U</t>
  </si>
  <si>
    <t>5 1 1 3 1 12 31111 6 M59 96100 000211 0000U 00001</t>
  </si>
  <si>
    <t>5 1 1 3 1 12 31111 6 M59 96100 000211 0000U 00001 00131</t>
  </si>
  <si>
    <t>5 1 1 3 1 12 31111 6 M59 96100 000211 0000U 00001 00131 015</t>
  </si>
  <si>
    <t>5 1 1 3 1 12 31111 6 M59 96100 000211 0000U 00001 00131 015 2111100</t>
  </si>
  <si>
    <t>5 1 1 3 1 12 31111 6 M59 96100 000211 0000U 00001 00131 015 2111100 2024</t>
  </si>
  <si>
    <t>5 1 1 3 1 12 31111 6 M59 96100 000211 0000U 00001 00131 015 2111100 2024 CP1IU412</t>
  </si>
  <si>
    <t>5 1 1 3 1 12 31111 6 M59 96100 000211 0000U 00001 00131 015 2111100 2024 CP1IU412 001</t>
  </si>
  <si>
    <t>5 1 1 3 1 12 31111 6 M59 96100 000211 0000U 00001 00131 015 2111100 2024 CP1IU412 001 0000001</t>
  </si>
  <si>
    <t>5 1 1 3 1 12 31111 6 M59 96200</t>
  </si>
  <si>
    <t>5 1 1 3 1 12 31111 6 M59 96200 000132</t>
  </si>
  <si>
    <t>5 1 1 3 1 12 31111 6 M59 96200 000132 0000R</t>
  </si>
  <si>
    <t>5 1 1 3 1 12 31111 6 M59 96200 000132 0000R 00001</t>
  </si>
  <si>
    <t>5 1 1 3 1 12 31111 6 M59 96200 000132 0000R 00001 00131</t>
  </si>
  <si>
    <t>5 1 1 3 1 12 31111 6 M59 96200 000132 0000R 00001 00131 015</t>
  </si>
  <si>
    <t>5 1 1 3 1 12 31111 6 M59 96200 000132 0000R 00001 00131 015 2111100</t>
  </si>
  <si>
    <t>5 1 1 3 1 12 31111 6 M59 96200 000132 0000R 00001 00131 015 2111100 2024</t>
  </si>
  <si>
    <t>5 1 1 3 1 12 31111 6 M59 96200 000132 0000R 00001 00131 015 2111100 2024 CP1AL423</t>
  </si>
  <si>
    <t>5 1 1 3 1 12 31111 6 M59 96200 000132 0000R 00001 00131 015 2111100 2024 CP1AL423 001</t>
  </si>
  <si>
    <t>5 1 1 3 1 12 31111 6 M59 96200 000132 0000R 00001 00131 015 2111100 2024 CP1AL423 001 0000001</t>
  </si>
  <si>
    <t>5 1 1 3 1 12 31111 6 M59 96300</t>
  </si>
  <si>
    <t>5 1 1 3 1 12 31111 6 M59 96300 000211</t>
  </si>
  <si>
    <t>5 1 1 3 1 12 31111 6 M59 96300 000211 0000E</t>
  </si>
  <si>
    <t>5 1 1 3 1 12 31111 6 M59 96300 000211 0000E 00001</t>
  </si>
  <si>
    <t>5 1 1 3 1 12 31111 6 M59 96300 000211 0000E 00001 00131</t>
  </si>
  <si>
    <t>5 1 1 3 1 12 31111 6 M59 96300 000211 0000E 00001 00131 015</t>
  </si>
  <si>
    <t>5 1 1 3 1 12 31111 6 M59 96300 000211 0000E 00001 00131 015 2111100</t>
  </si>
  <si>
    <t>5 1 1 3 1 12 31111 6 M59 96300 000211 0000E 00001 00131 015 2111100 2024</t>
  </si>
  <si>
    <t>5 1 1 3 1 12 31111 6 M59 96300 000211 0000E 00001 00131 015 2111100 2024 CP1SB396</t>
  </si>
  <si>
    <t>5 1 1 3 1 12 31111 6 M59 96300 000211 0000E 00001 00131 015 2111100 2024 CP1SB396 001</t>
  </si>
  <si>
    <t>5 1 1 3 1 12 31111 6 M59 96300 000211 0000E 00001 00131 015 2111100 2024 CP1SB396 001 0000001</t>
  </si>
  <si>
    <t>QUINQUENIA</t>
  </si>
  <si>
    <t>5 1 1 3 1 12 31111 6 M59 97000</t>
  </si>
  <si>
    <t>5 1 1 3 1 12 31111 6 M59 97000 000132</t>
  </si>
  <si>
    <t>5 1 1 3 1 12 31111 6 M59 97000 000132 0000R</t>
  </si>
  <si>
    <t>5 1 1 3 1 12 31111 6 M59 97000 000132 0000R 00001</t>
  </si>
  <si>
    <t>5 1 1 3 1 12 31111 6 M59 97000 000132 0000R 00001 00131</t>
  </si>
  <si>
    <t>5 1 1 3 1 12 31111 6 M59 97000 000132 0000R 00001 00131 015</t>
  </si>
  <si>
    <t>5 1 1 3 1 12 31111 6 M59 97000 000132 0000R 00001 00131 015 2111100</t>
  </si>
  <si>
    <t>5 1 1 3 1 12 31111 6 M59 97000 000132 0000R 00001 00131 015 2111100 2024</t>
  </si>
  <si>
    <t>5 1 1 3 1 12 31111 6 M59 97000 000132 0000R 00001 00131 015 2111100 2024 CP1SP428</t>
  </si>
  <si>
    <t>5 1 1 3 1 12 31111 6 M59 97000 000132 0000R 00001 00131 015 2111100 2024 CP1SP428 001</t>
  </si>
  <si>
    <t>5 1 1 3 1 12 31111 6 M59 97000 000132 0000R 00001 00131 015 2111100 2024 CP1SP428 001 0000001</t>
  </si>
  <si>
    <t>5 1 1 3 2</t>
  </si>
  <si>
    <t>PRIMAS DE VACACIONES, DOMINICAL Y GRATIFICACIÓN DE FIN DE AÑO</t>
  </si>
  <si>
    <t>5 1 1 3 2 12</t>
  </si>
  <si>
    <t>5 1 1 3 2 12 31111</t>
  </si>
  <si>
    <t>5 1 1 3 2 12 31111 6</t>
  </si>
  <si>
    <t>5 1 1 3 2 12 31111 6 M59</t>
  </si>
  <si>
    <t>5 1 1 3 2 12 31111 6 M59 10000</t>
  </si>
  <si>
    <t>5 1 1 3 2 12 31111 6 M59 10000 000132</t>
  </si>
  <si>
    <t>5 1 1 3 2 12 31111 6 M59 10000 000132 0000R</t>
  </si>
  <si>
    <t>5 1 1 3 2 12 31111 6 M59 10000 000132 0000R 00001</t>
  </si>
  <si>
    <t>5 1 1 3 2 12 31111 6 M59 10000 000132 0000R 00001 00132</t>
  </si>
  <si>
    <t>PRIMAS DE VACACIONES, DOMINICAL Y GRATIFICACION DE FIN DE AÑO.</t>
  </si>
  <si>
    <t>5 1 1 3 2 12 31111 6 M59 10000 000132 0000R 00001 00132 015</t>
  </si>
  <si>
    <t>5 1 1 3 2 12 31111 6 M59 10000 000132 0000R 00001 00132 015 2111100</t>
  </si>
  <si>
    <t>5 1 1 3 2 12 31111 6 M59 10000 000132 0000R 00001 00132 015 2111100 2024</t>
  </si>
  <si>
    <t>5 1 1 3 2 12 31111 6 M59 10000 000132 0000R 00001 00132 015 2111100 2024 CP1PM439</t>
  </si>
  <si>
    <t>5 1 1 3 2 12 31111 6 M59 10000 000132 0000R 00001 00132 015 2111100 2024 CP1PM439 001</t>
  </si>
  <si>
    <t>5 1 1 3 2 12 31111 6 M59 10000 000132 0000R 00001 00132 015 2111100 2024 CP1PM439 001 0000001</t>
  </si>
  <si>
    <t>5 1 1 3 2 12 31111 6 M59 10100</t>
  </si>
  <si>
    <t>5 1 1 3 2 12 31111 6 M59 10100 000132</t>
  </si>
  <si>
    <t>5 1 1 3 2 12 31111 6 M59 10100 000132 0000R</t>
  </si>
  <si>
    <t>5 1 1 3 2 12 31111 6 M59 10100 000132 0000R 00001</t>
  </si>
  <si>
    <t>5 1 1 3 2 12 31111 6 M59 10100 000132 0000R 00001 00132</t>
  </si>
  <si>
    <t>5 1 1 3 2 12 31111 6 M59 10100 000132 0000R 00001 00132 015</t>
  </si>
  <si>
    <t>5 1 1 3 2 12 31111 6 M59 10100 000132 0000R 00001 00132 015 2111100</t>
  </si>
  <si>
    <t>5 1 1 3 2 12 31111 6 M59 10100 000132 0000R 00001 00132 015 2111100 2024</t>
  </si>
  <si>
    <t>5 1 1 3 2 12 31111 6 M59 10100 000132 0000R 00001 00132 015 2111100 2024 CP1CO438</t>
  </si>
  <si>
    <t>5 1 1 3 2 12 31111 6 M59 10100 000132 0000R 00001 00132 015 2111100 2024 CP1CO438 001</t>
  </si>
  <si>
    <t>5 1 1 3 2 12 31111 6 M59 10100 000132 0000R 00001 00132 015 2111100 2024 CP1CO438 001 0000001</t>
  </si>
  <si>
    <t>5 1 1 3 2 12 31111 6 M59 10300</t>
  </si>
  <si>
    <t>5 1 1 3 2 12 31111 6 M59 10300 000132</t>
  </si>
  <si>
    <t>5 1 1 3 2 12 31111 6 M59 10300 000132 0000R</t>
  </si>
  <si>
    <t>5 1 1 3 2 12 31111 6 M59 10300 000132 0000R 00001</t>
  </si>
  <si>
    <t>5 1 1 3 2 12 31111 6 M59 10300 000132 0000R 00001 00132</t>
  </si>
  <si>
    <t>5 1 1 3 2 12 31111 6 M59 10300 000132 0000R 00001 00132 015</t>
  </si>
  <si>
    <t>5 1 1 3 2 12 31111 6 M59 10300 000132 0000R 00001 00132 015 2111100</t>
  </si>
  <si>
    <t>5 1 1 3 2 12 31111 6 M59 10300 000132 0000R 00001 00132 015 2111100 2024</t>
  </si>
  <si>
    <t>5 1 1 3 2 12 31111 6 M59 10300 000132 0000R 00001 00132 015 2111100 2024 CP1GE413</t>
  </si>
  <si>
    <t>5 1 1 3 2 12 31111 6 M59 10300 000132 0000R 00001 00132 015 2111100 2024 CP1GE413 001</t>
  </si>
  <si>
    <t>5 1 1 3 2 12 31111 6 M59 10300 000132 0000R 00001 00132 015 2111100 2024 CP1GE413 001 0000001</t>
  </si>
  <si>
    <t>5 1 1 3 2 12 31111 6 M59 10300 000132 0000R 00001 00132 015 2111100 2024 CP1GE413 001 0000002</t>
  </si>
  <si>
    <t>PRIMAS DE VACACIONES</t>
  </si>
  <si>
    <t>5 1 1 3 2 12 31111 6 M59 10400</t>
  </si>
  <si>
    <t>5 1 1 3 2 12 31111 6 M59 10400 000132</t>
  </si>
  <si>
    <t>5 1 1 3 2 12 31111 6 M59 10400 000132 0000R</t>
  </si>
  <si>
    <t>5 1 1 3 2 12 31111 6 M59 10400 000132 0000R 00001</t>
  </si>
  <si>
    <t>5 1 1 3 2 12 31111 6 M59 10400 000132 0000R 00001 00132</t>
  </si>
  <si>
    <t>5 1 1 3 2 12 31111 6 M59 10400 000132 0000R 00001 00132 015</t>
  </si>
  <si>
    <t>5 1 1 3 2 12 31111 6 M59 10400 000132 0000R 00001 00132 015 2111100</t>
  </si>
  <si>
    <t>5 1 1 3 2 12 31111 6 M59 10400 000132 0000R 00001 00132 015 2111100 2024</t>
  </si>
  <si>
    <t>5 1 1 3 2 12 31111 6 M59 10400 000132 0000R 00001 00132 015 2111100 2024 CP1CG432</t>
  </si>
  <si>
    <t>5 1 1 3 2 12 31111 6 M59 10400 000132 0000R 00001 00132 015 2111100 2024 CP1CG432 001</t>
  </si>
  <si>
    <t>5 1 1 3 2 12 31111 6 M59 10400 000132 0000R 00001 00132 015 2111100 2024 CP1CG432 001 0000001</t>
  </si>
  <si>
    <t>5 1 1 3 2 12 31111 6 M59 10500</t>
  </si>
  <si>
    <t>5 1 1 3 2 12 31111 6 M59 10500 000132</t>
  </si>
  <si>
    <t>5 1 1 3 2 12 31111 6 M59 10500 000132 0000R</t>
  </si>
  <si>
    <t>5 1 1 3 2 12 31111 6 M59 10500 000132 0000R 00001</t>
  </si>
  <si>
    <t>5 1 1 3 2 12 31111 6 M59 10500 000132 0000R 00001 00132</t>
  </si>
  <si>
    <t>5 1 1 3 2 12 31111 6 M59 10500 000132 0000R 00001 00132 015</t>
  </si>
  <si>
    <t>5 1 1 3 2 12 31111 6 M59 10500 000132 0000R 00001 00132 015 2111100</t>
  </si>
  <si>
    <t>5 1 1 3 2 12 31111 6 M59 10500 000132 0000R 00001 00132 015 2111100 2024</t>
  </si>
  <si>
    <t>5 1 1 3 2 12 31111 6 M59 10500 000132 0000R 00001 00132 015 2111100 2024 CP1CS421</t>
  </si>
  <si>
    <t>5 1 1 3 2 12 31111 6 M59 10500 000132 0000R 00001 00132 015 2111100 2024 CP1CS421 001</t>
  </si>
  <si>
    <t>5 1 1 3 2 12 31111 6 M59 10500 000132 0000R 00001 00132 015 2111100 2024 CP1CS421 001 0000001</t>
  </si>
  <si>
    <t>5 1 1 3 2 12 31111 6 M59 10500 000132 0000R 00001 00132 015 2111100 2024 CP1CS421 001 0000002</t>
  </si>
  <si>
    <t>5 1 1 3 2 12 31111 6 M59 10600</t>
  </si>
  <si>
    <t>5 1 1 3 2 12 31111 6 M59 10600 000132</t>
  </si>
  <si>
    <t>5 1 1 3 2 12 31111 6 M59 10600 000132 0000R</t>
  </si>
  <si>
    <t>5 1 1 3 2 12 31111 6 M59 10600 000132 0000R 00001</t>
  </si>
  <si>
    <t>5 1 1 3 2 12 31111 6 M59 10600 000132 0000R 00001 00132</t>
  </si>
  <si>
    <t>5 1 1 3 2 12 31111 6 M59 10600 000132 0000R 00001 00132 015</t>
  </si>
  <si>
    <t>5 1 1 3 2 12 31111 6 M59 10600 000132 0000R 00001 00132 015 2111100</t>
  </si>
  <si>
    <t>5 1 1 3 2 12 31111 6 M59 10600 000132 0000R 00001 00132 015 2111100 2024</t>
  </si>
  <si>
    <t>5 1 1 3 2 12 31111 6 M59 10600 000132 0000R 00001 00132 015 2111100 2024 CP1CM436</t>
  </si>
  <si>
    <t>5 1 1 3 2 12 31111 6 M59 10600 000132 0000R 00001 00132 015 2111100 2024 CP1CM436 001</t>
  </si>
  <si>
    <t>5 1 1 3 2 12 31111 6 M59 10600 000132 0000R 00001 00132 015 2111100 2024 CP1CM436 001 0000001</t>
  </si>
  <si>
    <t>5 1 1 3 2 12 31111 6 M59 10700</t>
  </si>
  <si>
    <t>5 1 1 3 2 12 31111 6 M59 10700 000132</t>
  </si>
  <si>
    <t>5 1 1 3 2 12 31111 6 M59 10700 000132 0000R</t>
  </si>
  <si>
    <t>5 1 1 3 2 12 31111 6 M59 10700 000132 0000R 00001</t>
  </si>
  <si>
    <t>5 1 1 3 2 12 31111 6 M59 10700 000132 0000R 00001 00132</t>
  </si>
  <si>
    <t>5 1 1 3 2 12 31111 6 M59 10700 000132 0000R 00001 00132 015</t>
  </si>
  <si>
    <t>5 1 1 3 2 12 31111 6 M59 10700 000132 0000R 00001 00132 015 2111100</t>
  </si>
  <si>
    <t>5 1 1 3 2 12 31111 6 M59 10700 000132 0000R 00001 00132 015 2111100 2024</t>
  </si>
  <si>
    <t>5 1 1 3 2 12 31111 6 M59 10700 000132 0000R 00001 00132 015 2111100 2024 CP1GB435</t>
  </si>
  <si>
    <t>5 1 1 3 2 12 31111 6 M59 10700 000132 0000R 00001 00132 015 2111100 2024 CP1GB435 001</t>
  </si>
  <si>
    <t>5 1 1 3 2 12 31111 6 M59 10700 000132 0000R 00001 00132 015 2111100 2024 CP1GB435 001 0000001</t>
  </si>
  <si>
    <t>5 1 1 3 2 12 31111 6 M59 10800</t>
  </si>
  <si>
    <t>5 1 1 3 2 12 31111 6 M59 10800 000132</t>
  </si>
  <si>
    <t>5 1 1 3 2 12 31111 6 M59 10800 000132 0000R</t>
  </si>
  <si>
    <t>5 1 1 3 2 12 31111 6 M59 10800 000132 0000R 00001</t>
  </si>
  <si>
    <t>5 1 1 3 2 12 31111 6 M59 10800 000132 0000R 00001 00132</t>
  </si>
  <si>
    <t>5 1 1 3 2 12 31111 6 M59 10800 000132 0000R 00001 00132 015</t>
  </si>
  <si>
    <t>5 1 1 3 2 12 31111 6 M59 10800 000132 0000R 00001 00132 015 2111100</t>
  </si>
  <si>
    <t>5 1 1 3 2 12 31111 6 M59 10800 000132 0000R 00001 00132 015 2111100 2024</t>
  </si>
  <si>
    <t>5 1 1 3 2 12 31111 6 M59 10800 000132 0000R 00001 00132 015 2111100 2024 CP1SR390</t>
  </si>
  <si>
    <t>5 1 1 3 2 12 31111 6 M59 10800 000132 0000R 00001 00132 015 2111100 2024 CP1SR390 001</t>
  </si>
  <si>
    <t>5 1 1 3 2 12 31111 6 M59 10800 000132 0000R 00001 00132 015 2111100 2024 CP1SR390 001 0000001</t>
  </si>
  <si>
    <t>5 1 1 3 2 12 31111 6 M59 11000</t>
  </si>
  <si>
    <t>5 1 1 3 2 12 31111 6 M59 11000 000132</t>
  </si>
  <si>
    <t>5 1 1 3 2 12 31111 6 M59 11000 000132 0000R</t>
  </si>
  <si>
    <t>5 1 1 3 2 12 31111 6 M59 11000 000132 0000R 00001</t>
  </si>
  <si>
    <t>5 1 1 3 2 12 31111 6 M59 11000 000132 0000R 00001 00132</t>
  </si>
  <si>
    <t>5 1 1 3 2 12 31111 6 M59 11000 000132 0000R 00001 00132 015</t>
  </si>
  <si>
    <t>5 1 1 3 2 12 31111 6 M59 11000 000132 0000R 00001 00132 015 2111100</t>
  </si>
  <si>
    <t>5 1 1 3 2 12 31111 6 M59 11000 000132 0000R 00001 00132 015 2111100 2024</t>
  </si>
  <si>
    <t>5 1 1 3 2 12 31111 6 M59 11000 000132 0000R 00001 00132 015 2111100 2024 CP1SM382</t>
  </si>
  <si>
    <t>5 1 1 3 2 12 31111 6 M59 11000 000132 0000R 00001 00132 015 2111100 2024 CP1SM382 001</t>
  </si>
  <si>
    <t>5 1 1 3 2 12 31111 6 M59 11000 000132 0000R 00001 00132 015 2111100 2024 CP1SM382 001 0000001</t>
  </si>
  <si>
    <t>5 1 1 3 2 12 31111 6 M59 11000 000132 0000R 00001 00132 015 2111100 2024 CP1SM382 001 0000002</t>
  </si>
  <si>
    <t>5 1 1 3 2 12 31111 6 M59 12000</t>
  </si>
  <si>
    <t>5 1 1 3 2 12 31111 6 M59 12000 000121</t>
  </si>
  <si>
    <t>5 1 1 3 2 12 31111 6 M59 12000 000121 0000E</t>
  </si>
  <si>
    <t>5 1 1 3 2 12 31111 6 M59 12000 000121 0000E 00001</t>
  </si>
  <si>
    <t>5 1 1 3 2 12 31111 6 M59 12000 000121 0000E 00001 00132</t>
  </si>
  <si>
    <t>5 1 1 3 2 12 31111 6 M59 12000 000121 0000E 00001 00132 015</t>
  </si>
  <si>
    <t>5 1 1 3 2 12 31111 6 M59 12000 000121 0000E 00001 00132 015 2111100</t>
  </si>
  <si>
    <t>5 1 1 3 2 12 31111 6 M59 12000 000121 0000E 00001 00132 015 2111100 2024</t>
  </si>
  <si>
    <t>5 1 1 3 2 12 31111 6 M59 12000 000121 0000E 00001 00132 015 2111100 2024 CP1CI591</t>
  </si>
  <si>
    <t>5 1 1 3 2 12 31111 6 M59 12000 000121 0000E 00001 00132 015 2111100 2024 CP1CI591 001</t>
  </si>
  <si>
    <t>5 1 1 3 2 12 31111 6 M59 12000 000121 0000E 00001 00132 015 2111100 2024 CP1CI591 001 0000001</t>
  </si>
  <si>
    <t>5 1 1 3 2 12 31111 6 M59 12100</t>
  </si>
  <si>
    <t>5 1 1 3 2 12 31111 6 M59 12100 000132</t>
  </si>
  <si>
    <t>5 1 1 3 2 12 31111 6 M59 12100 000132 0000R</t>
  </si>
  <si>
    <t>5 1 1 3 2 12 31111 6 M59 12100 000132 0000R 00001</t>
  </si>
  <si>
    <t>5 1 1 3 2 12 31111 6 M59 12100 000132 0000R 00001 00132</t>
  </si>
  <si>
    <t>5 1 1 3 2 12 31111 6 M59 12100 000132 0000R 00001 00132 015</t>
  </si>
  <si>
    <t>5 1 1 3 2 12 31111 6 M59 12100 000132 0000R 00001 00132 015 2111100</t>
  </si>
  <si>
    <t>5 1 1 3 2 12 31111 6 M59 12100 000132 0000R 00001 00132 015 2111100 2024</t>
  </si>
  <si>
    <t>5 1 1 3 2 12 31111 6 M59 12100 000132 0000R 00001 00132 015 2111100 2024 CP1TR430</t>
  </si>
  <si>
    <t>5 1 1 3 2 12 31111 6 M59 12100 000132 0000R 00001 00132 015 2111100 2024 CP1TR430 001</t>
  </si>
  <si>
    <t>5 1 1 3 2 12 31111 6 M59 12100 000132 0000R 00001 00132 015 2111100 2024 CP1TR430 001 0000001</t>
  </si>
  <si>
    <t>5 1 1 3 2 12 31111 6 M59 19000</t>
  </si>
  <si>
    <t>5 1 1 3 2 12 31111 6 M59 19000 000132</t>
  </si>
  <si>
    <t>5 1 1 3 2 12 31111 6 M59 19000 000132 0000R</t>
  </si>
  <si>
    <t>5 1 1 3 2 12 31111 6 M59 19000 000132 0000R 00001</t>
  </si>
  <si>
    <t>5 1 1 3 2 12 31111 6 M59 19000 000132 0000R 00001 00132</t>
  </si>
  <si>
    <t>5 1 1 3 2 12 31111 6 M59 19000 000132 0000R 00001 00132 015</t>
  </si>
  <si>
    <t>5 1 1 3 2 12 31111 6 M59 19000 000132 0000R 00001 00132 015 2111100</t>
  </si>
  <si>
    <t>5 1 1 3 2 12 31111 6 M59 19000 000132 0000R 00001 00132 015 2111100 2024</t>
  </si>
  <si>
    <t>5 1 1 3 2 12 31111 6 M59 19000 000132 0000R 00001 00132 015 2111100 2024 CP1TM440</t>
  </si>
  <si>
    <t>5 1 1 3 2 12 31111 6 M59 19000 000132 0000R 00001 00132 015 2111100 2024 CP1TM440 001</t>
  </si>
  <si>
    <t>5 1 1 3 2 12 31111 6 M59 19000 000132 0000R 00001 00132 015 2111100 2024 CP1TM440 001 0000001</t>
  </si>
  <si>
    <t>5 1 1 3 2 12 31111 6 M59 20000</t>
  </si>
  <si>
    <t>5 1 1 3 2 12 31111 6 M59 20000 000132</t>
  </si>
  <si>
    <t>5 1 1 3 2 12 31111 6 M59 20000 000132 0000R</t>
  </si>
  <si>
    <t>5 1 1 3 2 12 31111 6 M59 20000 000132 0000R 00001</t>
  </si>
  <si>
    <t>5 1 1 3 2 12 31111 6 M59 20000 000132 0000R 00001 00132</t>
  </si>
  <si>
    <t>5 1 1 3 2 12 31111 6 M59 20000 000132 0000R 00001 00132 015</t>
  </si>
  <si>
    <t>5 1 1 3 2 12 31111 6 M59 20000 000132 0000R 00001 00132 015 2111100</t>
  </si>
  <si>
    <t>5 1 1 3 2 12 31111 6 M59 20000 000132 0000R 00001 00132 015 2111100 2024</t>
  </si>
  <si>
    <t>5 1 1 3 2 12 31111 6 M59 20000 000132 0000R 00001 00132 015 2111100 2024 CP1AF389</t>
  </si>
  <si>
    <t>5 1 1 3 2 12 31111 6 M59 20000 000132 0000R 00001 00132 015 2111100 2024 CP1AF389 001</t>
  </si>
  <si>
    <t>5 1 1 3 2 12 31111 6 M59 20000 000132 0000R 00001 00132 015 2111100 2024 CP1AF389 001 0000001</t>
  </si>
  <si>
    <t>5 1 1 3 2 12 31111 6 M59 20200</t>
  </si>
  <si>
    <t>5 1 1 3 2 12 31111 6 M59 20200 000132</t>
  </si>
  <si>
    <t>5 1 1 3 2 12 31111 6 M59 20200 000132 0000R</t>
  </si>
  <si>
    <t>5 1 1 3 2 12 31111 6 M59 20200 000132 0000R 00001</t>
  </si>
  <si>
    <t>5 1 1 3 2 12 31111 6 M59 20200 000132 0000R 00001 00132</t>
  </si>
  <si>
    <t>5 1 1 3 2 12 31111 6 M59 20200 000132 0000R 00001 00132 015</t>
  </si>
  <si>
    <t>5 1 1 3 2 12 31111 6 M59 20200 000132 0000R 00001 00132 015 2111100</t>
  </si>
  <si>
    <t>5 1 1 3 2 12 31111 6 M59 20200 000132 0000R 00001 00132 015 2111100 2024</t>
  </si>
  <si>
    <t>5 1 1 3 2 12 31111 6 M59 20200 000132 0000R 00001 00132 015 2111100 2024 CP1DI411</t>
  </si>
  <si>
    <t>5 1 1 3 2 12 31111 6 M59 20200 000132 0000R 00001 00132 015 2111100 2024 CP1DI411 001</t>
  </si>
  <si>
    <t>5 1 1 3 2 12 31111 6 M59 20200 000132 0000R 00001 00132 015 2111100 2024 CP1DI411 001 0000001</t>
  </si>
  <si>
    <t>5 1 1 3 2 12 31111 6 M59 20200 000132 0000R 00001 00132 015 2111100 2024 CP1DI411 001 0000002</t>
  </si>
  <si>
    <t>5 1 1 3 2 12 31111 6 M59 20300</t>
  </si>
  <si>
    <t>5 1 1 3 2 12 31111 6 M59 20300 000132</t>
  </si>
  <si>
    <t>5 1 1 3 2 12 31111 6 M59 20300 000132 0000R</t>
  </si>
  <si>
    <t>5 1 1 3 2 12 31111 6 M59 20300 000132 0000R 00001</t>
  </si>
  <si>
    <t>5 1 1 3 2 12 31111 6 M59 20300 000132 0000R 00001 00132</t>
  </si>
  <si>
    <t>5 1 1 3 2 12 31111 6 M59 20300 000132 0000R 00001 00132 015</t>
  </si>
  <si>
    <t>5 1 1 3 2 12 31111 6 M59 20300 000132 0000R 00001 00132 015 2111100</t>
  </si>
  <si>
    <t>5 1 1 3 2 12 31111 6 M59 20300 000132 0000R 00001 00132 015 2111100 2024</t>
  </si>
  <si>
    <t>5 1 1 3 2 12 31111 6 M59 20300 000132 0000R 00001 00132 015 2111100 2024 CP1DE415</t>
  </si>
  <si>
    <t>5 1 1 3 2 12 31111 6 M59 20300 000132 0000R 00001 00132 015 2111100 2024 CP1DE415 001</t>
  </si>
  <si>
    <t>5 1 1 3 2 12 31111 6 M59 20300 000132 0000R 00001 00132 015 2111100 2024 CP1DE415 001 0000001</t>
  </si>
  <si>
    <t>5 1 1 3 2 12 31111 6 M59 20400</t>
  </si>
  <si>
    <t>5 1 1 3 2 12 31111 6 M59 20400 000132</t>
  </si>
  <si>
    <t>5 1 1 3 2 12 31111 6 M59 20400 000132 0000R</t>
  </si>
  <si>
    <t>5 1 1 3 2 12 31111 6 M59 20400 000132 0000R 00001</t>
  </si>
  <si>
    <t>5 1 1 3 2 12 31111 6 M59 20400 000132 0000R 00001 00132</t>
  </si>
  <si>
    <t>5 1 1 3 2 12 31111 6 M59 20400 000132 0000R 00001 00132 015</t>
  </si>
  <si>
    <t>5 1 1 3 2 12 31111 6 M59 20400 000132 0000R 00001 00132 015 2111100</t>
  </si>
  <si>
    <t>5 1 1 3 2 12 31111 6 M59 20400 000132 0000R 00001 00132 015 2111100 2024</t>
  </si>
  <si>
    <t>5 1 1 3 2 12 31111 6 M59 20400 000132 0000R 00001 00132 015 2111100 2024 CP1PV404</t>
  </si>
  <si>
    <t>5 1 1 3 2 12 31111 6 M59 20400 000132 0000R 00001 00132 015 2111100 2024 CP1PV404 001</t>
  </si>
  <si>
    <t>5 1 1 3 2 12 31111 6 M59 20400 000132 0000R 00001 00132 015 2111100 2024 CP1PV404 001 0000001</t>
  </si>
  <si>
    <t>5 1 1 3 2 12 31111 6 M59 20500</t>
  </si>
  <si>
    <t>5 1 1 3 2 12 31111 6 M59 20500 000132</t>
  </si>
  <si>
    <t>5 1 1 3 2 12 31111 6 M59 20500 000132 0000R</t>
  </si>
  <si>
    <t>5 1 1 3 2 12 31111 6 M59 20500 000132 0000R 00001</t>
  </si>
  <si>
    <t>5 1 1 3 2 12 31111 6 M59 20500 000132 0000R 00001 00132</t>
  </si>
  <si>
    <t>5 1 1 3 2 12 31111 6 M59 20500 000132 0000R 00001 00132 015</t>
  </si>
  <si>
    <t>5 1 1 3 2 12 31111 6 M59 20500 000132 0000R 00001 00132 015 2111100</t>
  </si>
  <si>
    <t>5 1 1 3 2 12 31111 6 M59 20500 000132 0000R 00001 00132 015 2111100 2024</t>
  </si>
  <si>
    <t>5 1 1 3 2 12 31111 6 M59 20500 000132 0000R 00001 00132 015 2111100 2024 CP1CP420</t>
  </si>
  <si>
    <t>5 1 1 3 2 12 31111 6 M59 20500 000132 0000R 00001 00132 015 2111100 2024 CP1CP420 001</t>
  </si>
  <si>
    <t>5 1 1 3 2 12 31111 6 M59 20500 000132 0000R 00001 00132 015 2111100 2024 CP1CP420 001 0000001</t>
  </si>
  <si>
    <t>5 1 1 3 2 12 31111 6 M59 20500 000132 0000R 00001 00132 015 2111100 2024 CP1CP420 001 0000002</t>
  </si>
  <si>
    <t>5 1 1 3 2 12 31111 6 M59 20600</t>
  </si>
  <si>
    <t>5 1 1 3 2 12 31111 6 M59 20600 000132</t>
  </si>
  <si>
    <t>5 1 1 3 2 12 31111 6 M59 20600 000132 0000R</t>
  </si>
  <si>
    <t>5 1 1 3 2 12 31111 6 M59 20600 000132 0000R 00001</t>
  </si>
  <si>
    <t>5 1 1 3 2 12 31111 6 M59 20600 000132 0000R 00001 00132</t>
  </si>
  <si>
    <t>5 1 1 3 2 12 31111 6 M59 20600 000132 0000R 00001 00132 015</t>
  </si>
  <si>
    <t>5 1 1 3 2 12 31111 6 M59 20600 000132 0000R 00001 00132 015 2111100</t>
  </si>
  <si>
    <t>5 1 1 3 2 12 31111 6 M59 20600 000132 0000R 00001 00132 015 2111100 2024</t>
  </si>
  <si>
    <t>5 1 1 3 2 12 31111 6 M59 20600 000132 0000R 00001 00132 015 2111100 2024 CP1CA380</t>
  </si>
  <si>
    <t>5 1 1 3 2 12 31111 6 M59 20600 000132 0000R 00001 00132 015 2111100 2024 CP1CA380 001</t>
  </si>
  <si>
    <t>5 1 1 3 2 12 31111 6 M59 20600 000132 0000R 00001 00132 015 2111100 2024 CP1CA380 001 0000001</t>
  </si>
  <si>
    <t>5 1 1 3 2 12 31111 6 M59 20600 000132 0000R 00001 00132 015 2111100 2024 CP1CA380 001 0000002</t>
  </si>
  <si>
    <t>5 1 1 3 2 12 31111 6 M59 20700</t>
  </si>
  <si>
    <t>5 1 1 3 2 12 31111 6 M59 20700 000132</t>
  </si>
  <si>
    <t>5 1 1 3 2 12 31111 6 M59 20700 000132 0000R</t>
  </si>
  <si>
    <t>5 1 1 3 2 12 31111 6 M59 20700 000132 0000R 00001</t>
  </si>
  <si>
    <t>5 1 1 3 2 12 31111 6 M59 20700 000132 0000R 00001 00132</t>
  </si>
  <si>
    <t>5 1 1 3 2 12 31111 6 M59 20700 000132 0000R 00001 00132 015</t>
  </si>
  <si>
    <t>5 1 1 3 2 12 31111 6 M59 20700 000132 0000R 00001 00132 015 2111100</t>
  </si>
  <si>
    <t>5 1 1 3 2 12 31111 6 M59 20700 000132 0000R 00001 00132 015 2111100 2024</t>
  </si>
  <si>
    <t>5 1 1 3 2 12 31111 6 M59 20700 000132 0000R 00001 00132 015 2111100 2024 CP1RM401</t>
  </si>
  <si>
    <t>5 1 1 3 2 12 31111 6 M59 20700 000132 0000R 00001 00132 015 2111100 2024 CP1RM401 001</t>
  </si>
  <si>
    <t>5 1 1 3 2 12 31111 6 M59 20700 000132 0000R 00001 00132 015 2111100 2024 CP1RM401 001 0000001</t>
  </si>
  <si>
    <t>5 1 1 3 2 12 31111 6 M59 20800</t>
  </si>
  <si>
    <t>5 1 1 3 2 12 31111 6 M59 20800 000181</t>
  </si>
  <si>
    <t>5 1 1 3 2 12 31111 6 M59 20800 000181 0000R</t>
  </si>
  <si>
    <t>5 1 1 3 2 12 31111 6 M59 20800 000181 0000R 00001</t>
  </si>
  <si>
    <t>5 1 1 3 2 12 31111 6 M59 20800 000181 0000R 00001 00132</t>
  </si>
  <si>
    <t>5 1 1 3 2 12 31111 6 M59 20800 000181 0000R 00001 00132 015</t>
  </si>
  <si>
    <t>5 1 1 3 2 12 31111 6 M59 20800 000181 0000R 00001 00132 015 2111100</t>
  </si>
  <si>
    <t>5 1 1 3 2 12 31111 6 M59 20800 000181 0000R 00001 00132 015 2111100 2024</t>
  </si>
  <si>
    <t>5 1 1 3 2 12 31111 6 M59 20800 000181 0000R 00001 00132 015 2111100 2024 CP1AA392</t>
  </si>
  <si>
    <t>5 1 1 3 2 12 31111 6 M59 20800 000181 0000R 00001 00132 015 2111100 2024 CP1AA392 001</t>
  </si>
  <si>
    <t>5 1 1 3 2 12 31111 6 M59 20800 000181 0000R 00001 00132 015 2111100 2024 CP1AA392 001 0000001</t>
  </si>
  <si>
    <t>5 1 1 3 2 12 31111 6 M59 22000</t>
  </si>
  <si>
    <t>5 1 1 3 2 12 31111 6 M59 22000 000132</t>
  </si>
  <si>
    <t>5 1 1 3 2 12 31111 6 M59 22000 000132 0000R</t>
  </si>
  <si>
    <t>5 1 1 3 2 12 31111 6 M59 22000 000132 0000R 00001</t>
  </si>
  <si>
    <t>5 1 1 3 2 12 31111 6 M59 22000 000132 0000R 00001 00132</t>
  </si>
  <si>
    <t>5 1 1 3 2 12 31111 6 M59 22000 000132 0000R 00001 00132 015</t>
  </si>
  <si>
    <t>5 1 1 3 2 12 31111 6 M59 22000 000132 0000R 00001 00132 015 2111100</t>
  </si>
  <si>
    <t>5 1 1 3 2 12 31111 6 M59 22000 000132 0000R 00001 00132 015 2111100 2024</t>
  </si>
  <si>
    <t>5 1 1 3 2 12 31111 6 M59 22000 000132 0000R 00001 00132 015 2111100 2024 CP1PL384</t>
  </si>
  <si>
    <t>5 1 1 3 2 12 31111 6 M59 22000 000132 0000R 00001 00132 015 2111100 2024 CP1PL384 001</t>
  </si>
  <si>
    <t>5 1 1 3 2 12 31111 6 M59 22000 000132 0000R 00001 00132 015 2111100 2024 CP1PL384 001 0000001</t>
  </si>
  <si>
    <t>5 1 1 3 2 12 31111 6 M59 23000</t>
  </si>
  <si>
    <t>5 1 1 3 2 12 31111 6 M59 23000 000132</t>
  </si>
  <si>
    <t>5 1 1 3 2 12 31111 6 M59 23000 000132 0000R</t>
  </si>
  <si>
    <t>5 1 1 3 2 12 31111 6 M59 23000 000132 0000R 00001</t>
  </si>
  <si>
    <t>5 1 1 3 2 12 31111 6 M59 23000 000132 0000R 00001 00132</t>
  </si>
  <si>
    <t>5 1 1 3 2 12 31111 6 M59 23000 000132 0000R 00001 00132 015</t>
  </si>
  <si>
    <t>5 1 1 3 2 12 31111 6 M59 23000 000132 0000R 00001 00132 015 2111100</t>
  </si>
  <si>
    <t>5 1 1 3 2 12 31111 6 M59 23000 000132 0000R 00001 00132 015 2111100 2024</t>
  </si>
  <si>
    <t>5 1 1 3 2 12 31111 6 M59 23000 000132 0000R 00001 00132 015 2111100 2024 CP1ST377</t>
  </si>
  <si>
    <t>5 1 1 3 2 12 31111 6 M59 23000 000132 0000R 00001 00132 015 2111100 2024 CP1ST377 001</t>
  </si>
  <si>
    <t>5 1 1 3 2 12 31111 6 M59 23000 000132 0000R 00001 00132 015 2111100 2024 CP1ST377 001 0000001</t>
  </si>
  <si>
    <t>5 1 1 3 2 12 31111 6 M59 23000 000132 0000R 00001 00132 015 2111100 2024 CP1ST377 001 0000002</t>
  </si>
  <si>
    <t>5 1 1 3 2 12 31111 6 M59 30000</t>
  </si>
  <si>
    <t>5 1 1 3 2 12 31111 6 M59 30000 000132</t>
  </si>
  <si>
    <t>5 1 1 3 2 12 31111 6 M59 30000 000132 0000R</t>
  </si>
  <si>
    <t>5 1 1 3 2 12 31111 6 M59 30000 000132 0000R 00001</t>
  </si>
  <si>
    <t>5 1 1 3 2 12 31111 6 M59 30000 000132 0000R 00001 00132</t>
  </si>
  <si>
    <t>5 1 1 3 2 12 31111 6 M59 30000 000132 0000R 00001 00132 015</t>
  </si>
  <si>
    <t>5 1 1 3 2 12 31111 6 M59 30000 000132 0000R 00001 00132 015 2111100</t>
  </si>
  <si>
    <t>5 1 1 3 2 12 31111 6 M59 30000 000132 0000R 00001 00132 015 2111100 2024</t>
  </si>
  <si>
    <t>5 1 1 3 2 12 31111 6 M59 30000 000132 0000R 00001 00132 015 2111100 2024 CP1DU385</t>
  </si>
  <si>
    <t>5 1 1 3 2 12 31111 6 M59 30000 000132 0000R 00001 00132 015 2111100 2024 CP1DU385 001</t>
  </si>
  <si>
    <t>5 1 1 3 2 12 31111 6 M59 30000 000132 0000R 00001 00132 015 2111100 2024 CP1DU385 001 0000001</t>
  </si>
  <si>
    <t>5 1 1 3 2 12 31111 6 M59 30100</t>
  </si>
  <si>
    <t>5 1 1 3 2 12 31111 6 M59 30100 000132</t>
  </si>
  <si>
    <t>5 1 1 3 2 12 31111 6 M59 30100 000132 0000R</t>
  </si>
  <si>
    <t>5 1 1 3 2 12 31111 6 M59 30100 000132 0000R 00001</t>
  </si>
  <si>
    <t>5 1 1 3 2 12 31111 6 M59 30100 000132 0000R 00001 00132</t>
  </si>
  <si>
    <t>5 1 1 3 2 12 31111 6 M59 30100 000132 0000R 00001 00132 015</t>
  </si>
  <si>
    <t>5 1 1 3 2 12 31111 6 M59 30100 000132 0000R 00001 00132 015 2111100</t>
  </si>
  <si>
    <t>5 1 1 3 2 12 31111 6 M59 30100 000132 0000R 00001 00132 015 2111100 2024</t>
  </si>
  <si>
    <t>5 1 1 3 2 12 31111 6 M59 30100 000132 0000R 00001 00132 015 2111100 2024 CP1OP405</t>
  </si>
  <si>
    <t>5 1 1 3 2 12 31111 6 M59 30100 000132 0000R 00001 00132 015 2111100 2024 CP1OP405 001</t>
  </si>
  <si>
    <t>5 1 1 3 2 12 31111 6 M59 30100 000132 0000R 00001 00132 015 2111100 2024 CP1OP405 001 0000001</t>
  </si>
  <si>
    <t>5 1 1 3 2 12 31111 6 M59 30100 000132 0000R 00001 00132 015 2111100 2024 CP1OP405 001 0000002</t>
  </si>
  <si>
    <t>5 1 1 3 2 12 31111 6 M59 30200</t>
  </si>
  <si>
    <t>5 1 1 3 2 12 31111 6 M59 30200 000132</t>
  </si>
  <si>
    <t>5 1 1 3 2 12 31111 6 M59 30200 000132 0000R</t>
  </si>
  <si>
    <t>5 1 1 3 2 12 31111 6 M59 30200 000132 0000R 00001</t>
  </si>
  <si>
    <t>5 1 1 3 2 12 31111 6 M59 30200 000132 0000R 00001 00132</t>
  </si>
  <si>
    <t>5 1 1 3 2 12 31111 6 M59 30200 000132 0000R 00001 00132 015</t>
  </si>
  <si>
    <t>5 1 1 3 2 12 31111 6 M59 30200 000132 0000R 00001 00132 015 2111100</t>
  </si>
  <si>
    <t>5 1 1 3 2 12 31111 6 M59 30200 000132 0000R 00001 00132 015 2111100 2024</t>
  </si>
  <si>
    <t>5 1 1 3 2 12 31111 6 M59 30200 000132 0000R 00001 00132 015 2111100 2024 CP1OT378</t>
  </si>
  <si>
    <t>5 1 1 3 2 12 31111 6 M59 30200 000132 0000R 00001 00132 015 2111100 2024 CP1OT378 001</t>
  </si>
  <si>
    <t>5 1 1 3 2 12 31111 6 M59 30200 000132 0000R 00001 00132 015 2111100 2024 CP1OT378 001 0000001</t>
  </si>
  <si>
    <t>5 1 1 3 2 12 31111 6 M59 40000</t>
  </si>
  <si>
    <t>5 1 1 3 2 12 31111 6 M59 40000 000161</t>
  </si>
  <si>
    <t>5 1 1 3 2 12 31111 6 M59 40000 000161 0000E</t>
  </si>
  <si>
    <t>5 1 1 3 2 12 31111 6 M59 40000 000161 0000E 00001</t>
  </si>
  <si>
    <t>5 1 1 3 2 12 31111 6 M59 40000 000161 0000E 00001 00132</t>
  </si>
  <si>
    <t>5 1 1 3 2 12 31111 6 M59 40000 000161 0000E 00001 00132 025</t>
  </si>
  <si>
    <t>5 1 1 3 2 12 31111 6 M59 40000 000161 0000E 00001 00132 025 2111100</t>
  </si>
  <si>
    <t>5 1 1 3 2 12 31111 6 M59 40000 000161 0000E 00001 00132 025 2111100 2024</t>
  </si>
  <si>
    <t>5 1 1 3 2 12 31111 6 M59 40000 000161 0000E 00001 00132 025 2111100 2024 CP4SP372</t>
  </si>
  <si>
    <t>5 1 1 3 2 12 31111 6 M59 40000 000161 0000E 00001 00132 025 2111100 2024 CP4SP372 003</t>
  </si>
  <si>
    <t>5 1 1 3 2 12 31111 6 M59 40000 000161 0000E 00001 00132 025 2111100 2024 CP4SP372 003 0000001</t>
  </si>
  <si>
    <t>AGUINALDO (GRATIFICACIÓN DE FIN DE AÑO)</t>
  </si>
  <si>
    <t>5 1 1 3 2 12 31111 6 M59 40200</t>
  </si>
  <si>
    <t>5 1 1 3 2 12 31111 6 M59 40200 000172</t>
  </si>
  <si>
    <t>5 1 1 3 2 12 31111 6 M59 40200 000172 0000R</t>
  </si>
  <si>
    <t>5 1 1 3 2 12 31111 6 M59 40200 000172 0000R 00001</t>
  </si>
  <si>
    <t>5 1 1 3 2 12 31111 6 M59 40200 000172 0000R 00001 00132</t>
  </si>
  <si>
    <t>5 1 1 3 2 12 31111 6 M59 40200 000172 0000R 00001 00132 025</t>
  </si>
  <si>
    <t>5 1 1 3 2 12 31111 6 M59 40200 000172 0000R 00001 00132 025 2111100</t>
  </si>
  <si>
    <t>5 1 1 3 2 12 31111 6 M59 40200 000172 0000R 00001 00132 025 2111100 2024</t>
  </si>
  <si>
    <t>5 1 1 3 2 12 31111 6 M59 40200 000172 0000R 00001 00132 025 2111100 2024 CP4PC370</t>
  </si>
  <si>
    <t>5 1 1 3 2 12 31111 6 M59 40200 000172 0000R 00001 00132 025 2111100 2024 CP4PC370 003</t>
  </si>
  <si>
    <t>5 1 1 3 2 12 31111 6 M59 40200 000172 0000R 00001 00132 025 2111100 2024 CP4PC370 003 0000001</t>
  </si>
  <si>
    <t>5 1 1 3 2 12 31111 6 M59 40300</t>
  </si>
  <si>
    <t>5 1 1 3 2 12 31111 6 M59 40300 000185</t>
  </si>
  <si>
    <t>5 1 1 3 2 12 31111 6 M59 40300 000185 0000R</t>
  </si>
  <si>
    <t>5 1 1 3 2 12 31111 6 M59 40300 000185 0000R 00001</t>
  </si>
  <si>
    <t>5 1 1 3 2 12 31111 6 M59 40300 000185 0000R 00001 00132</t>
  </si>
  <si>
    <t>5 1 1 3 2 12 31111 6 M59 40300 000185 0000R 00001 00132 025</t>
  </si>
  <si>
    <t>5 1 1 3 2 12 31111 6 M59 40300 000185 0000R 00001 00132 025 2111100</t>
  </si>
  <si>
    <t>5 1 1 3 2 12 31111 6 M59 40300 000185 0000R 00001 00132 025 2111100 2024</t>
  </si>
  <si>
    <t>5 1 1 3 2 12 31111 6 M59 40300 000185 0000R 00001 00132 025 2111100 2024 CP4TV371</t>
  </si>
  <si>
    <t>5 1 1 3 2 12 31111 6 M59 40300 000185 0000R 00001 00132 025 2111100 2024 CP4TV371 003</t>
  </si>
  <si>
    <t>5 1 1 3 2 12 31111 6 M59 40300 000185 0000R 00001 00132 025 2111100 2024 CP4TV371 003 0000001</t>
  </si>
  <si>
    <t>5 1 1 3 2 12 31111 6 M59 40400</t>
  </si>
  <si>
    <t>5 1 1 3 2 12 31111 6 M59 40400 000173</t>
  </si>
  <si>
    <t>5 1 1 3 2 12 31111 6 M59 40400 000173 0000R</t>
  </si>
  <si>
    <t>5 1 1 3 2 12 31111 6 M59 40400 000173 0000R 00001</t>
  </si>
  <si>
    <t>5 1 1 3 2 12 31111 6 M59 40400 000173 0000R 00001 00132</t>
  </si>
  <si>
    <t>5 1 1 3 2 12 31111 6 M59 40400 000173 0000R 00001 00132 025</t>
  </si>
  <si>
    <t>5 1 1 3 2 12 31111 6 M59 40400 000173 0000R 00001 00132 025 2111100</t>
  </si>
  <si>
    <t>5 1 1 3 2 12 31111 6 M59 40400 000173 0000R 00001 00132 025 2111100 2024</t>
  </si>
  <si>
    <t>5 1 1 3 2 12 31111 6 M59 40400 000173 0000R 00001 00132 025 2111100 2024 CP4PD369</t>
  </si>
  <si>
    <t>5 1 1 3 2 12 31111 6 M59 40400 000173 0000R 00001 00132 025 2111100 2024 CP4PD369 003</t>
  </si>
  <si>
    <t>5 1 1 3 2 12 31111 6 M59 40400 000173 0000R 00001 00132 025 2111100 2024 CP4PD369 003 0000001</t>
  </si>
  <si>
    <t>5 1 1 3 2 12 31111 6 M59 50000</t>
  </si>
  <si>
    <t>5 1 1 3 2 12 31111 6 M59 50000 000223</t>
  </si>
  <si>
    <t>5 1 1 3 2 12 31111 6 M59 50000 000223 0000E</t>
  </si>
  <si>
    <t>5 1 1 3 2 12 31111 6 M59 50000 000223 0000E 00001</t>
  </si>
  <si>
    <t>5 1 1 3 2 12 31111 6 M59 50000 000223 0000E 00001 00132</t>
  </si>
  <si>
    <t>5 1 1 3 2 12 31111 6 M59 50000 000223 0000E 00001 00132 015</t>
  </si>
  <si>
    <t>5 1 1 3 2 12 31111 6 M59 50000 000223 0000E 00001 00132 015 2111100</t>
  </si>
  <si>
    <t>5 1 1 3 2 12 31111 6 M59 50000 000223 0000E 00001 00132 015 2111100 2024</t>
  </si>
  <si>
    <t>5 1 1 3 2 12 31111 6 M59 50000 000223 0000E 00001 00132 015 2111100 2024 CP1DA424</t>
  </si>
  <si>
    <t>5 1 1 3 2 12 31111 6 M59 50000 000223 0000E 00001 00132 015 2111100 2024 CP1DA424 001</t>
  </si>
  <si>
    <t>5 1 1 3 2 12 31111 6 M59 50000 000223 0000E 00001 00132 015 2111100 2024 CP1DA424 001 0000001</t>
  </si>
  <si>
    <t>5 1 1 3 2 12 31111 6 M59 50000 000223 0000E 00001 00132 015 2111100 2024 CP1DA424 001 0000002</t>
  </si>
  <si>
    <t>5 1 1 3 2 12 31111 6 M59 50100</t>
  </si>
  <si>
    <t>5 1 1 3 2 12 31111 6 M59 50100 000132</t>
  </si>
  <si>
    <t>5 1 1 3 2 12 31111 6 M59 50100 000132 0000R</t>
  </si>
  <si>
    <t>5 1 1 3 2 12 31111 6 M59 50100 000132 0000R 00001</t>
  </si>
  <si>
    <t>5 1 1 3 2 12 31111 6 M59 50100 000132 0000R 00001 00132</t>
  </si>
  <si>
    <t>5 1 1 3 2 12 31111 6 M59 50100 000132 0000R 00001 00132 015</t>
  </si>
  <si>
    <t>5 1 1 3 2 12 31111 6 M59 50100 000132 0000R 00001 00132 015 2111100</t>
  </si>
  <si>
    <t>5 1 1 3 2 12 31111 6 M59 50100 000132 0000R 00001 00132 015 2111100 2024</t>
  </si>
  <si>
    <t>5 1 1 3 2 12 31111 6 M59 50100 000132 0000R 00001 00132 015 2111100 2024 CP1AG431</t>
  </si>
  <si>
    <t>5 1 1 3 2 12 31111 6 M59 50100 000132 0000R 00001 00132 015 2111100 2024 CP1AG431 001</t>
  </si>
  <si>
    <t>5 1 1 3 2 12 31111 6 M59 50100 000132 0000R 00001 00132 015 2111100 2024 CP1AG431 001 0000001</t>
  </si>
  <si>
    <t>5 1 1 3 2 12 31111 6 M59 60100</t>
  </si>
  <si>
    <t>5 1 1 3 2 12 31111 6 M59 60100 000132</t>
  </si>
  <si>
    <t>5 1 1 3 2 12 31111 6 M59 60100 000132 0000R</t>
  </si>
  <si>
    <t>5 1 1 3 2 12 31111 6 M59 60100 000132 0000R 00001</t>
  </si>
  <si>
    <t>5 1 1 3 2 12 31111 6 M59 60100 000132 0000R 00001 00132</t>
  </si>
  <si>
    <t>5 1 1 3 2 12 31111 6 M59 60100 000132 0000R 00001 00132 015</t>
  </si>
  <si>
    <t>5 1 1 3 2 12 31111 6 M59 60100 000132 0000R 00001 00132 015 2111100</t>
  </si>
  <si>
    <t>5 1 1 3 2 12 31111 6 M59 60100 000132 0000R 00001 00132 015 2111100 2024</t>
  </si>
  <si>
    <t>5 1 1 3 2 12 31111 6 M59 60100 000132 0000R 00001 00132 015 2111100 2024 CP1DM394</t>
  </si>
  <si>
    <t>5 1 1 3 2 12 31111 6 M59 60100 000132 0000R 00001 00132 015 2111100 2024 CP1DM394 001</t>
  </si>
  <si>
    <t>5 1 1 3 2 12 31111 6 M59 60100 000132 0000R 00001 00132 015 2111100 2024 CP1DM394 001 0000001</t>
  </si>
  <si>
    <t>5 1 1 3 2 12 31111 6 M59 60100 000132 0000R 00001 00132 015 2111100 2024 CP1DM394 001 0000002</t>
  </si>
  <si>
    <t>5 1 1 3 2 12 31111 6 M59 61000</t>
  </si>
  <si>
    <t>5 1 1 3 2 12 31111 6 M59 61000 000132</t>
  </si>
  <si>
    <t>5 1 1 3 2 12 31111 6 M59 61000 000132 0000R</t>
  </si>
  <si>
    <t>5 1 1 3 2 12 31111 6 M59 61000 000132 0000R 00001</t>
  </si>
  <si>
    <t>5 1 1 3 2 12 31111 6 M59 61000 000132 0000R 00001 00132</t>
  </si>
  <si>
    <t>5 1 1 3 2 12 31111 6 M59 61000 000132 0000R 00001 00132 015</t>
  </si>
  <si>
    <t>5 1 1 3 2 12 31111 6 M59 61000 000132 0000R 00001 00132 015 2111100</t>
  </si>
  <si>
    <t>5 1 1 3 2 12 31111 6 M59 61000 000132 0000R 00001 00132 015 2111100 2024</t>
  </si>
  <si>
    <t>5 1 1 3 2 12 31111 6 M59 61000 000132 0000R 00001 00132 015 2111100 2024 CP1MI406</t>
  </si>
  <si>
    <t>5 1 1 3 2 12 31111 6 M59 61000 000132 0000R 00001 00132 015 2111100 2024 CP1MI406 001</t>
  </si>
  <si>
    <t>5 1 1 3 2 12 31111 6 M59 61000 000132 0000R 00001 00132 015 2111100 2024 CP1MI406 001 0000001</t>
  </si>
  <si>
    <t>5 1 1 3 2 12 31111 6 M59 62000</t>
  </si>
  <si>
    <t>5 1 1 3 2 12 31111 6 M59 62000 000132</t>
  </si>
  <si>
    <t>5 1 1 3 2 12 31111 6 M59 62000 000132 0000R</t>
  </si>
  <si>
    <t>5 1 1 3 2 12 31111 6 M59 62000 000132 0000R 00001</t>
  </si>
  <si>
    <t>5 1 1 3 2 12 31111 6 M59 62000 000132 0000R 00001 00132</t>
  </si>
  <si>
    <t>5 1 1 3 2 12 31111 6 M59 62000 000132 0000R 00001 00132 015</t>
  </si>
  <si>
    <t>5 1 1 3 2 12 31111 6 M59 62000 000132 0000R 00001 00132 015 2111100</t>
  </si>
  <si>
    <t>5 1 1 3 2 12 31111 6 M59 62000 000132 0000R 00001 00132 015 2111100 2024</t>
  </si>
  <si>
    <t>5 1 1 3 2 12 31111 6 M59 62000 000132 0000R 00001 00132 015 2111100 2024 CP1AM426</t>
  </si>
  <si>
    <t>5 1 1 3 2 12 31111 6 M59 62000 000132 0000R 00001 00132 015 2111100 2024 CP1AM426 001</t>
  </si>
  <si>
    <t>5 1 1 3 2 12 31111 6 M59 62000 000132 0000R 00001 00132 015 2111100 2024 CP1AM426 001 0000001</t>
  </si>
  <si>
    <t>5 1 1 3 2 12 31111 6 M59 70000</t>
  </si>
  <si>
    <t>5 1 1 3 2 12 31111 6 M59 70000 000132</t>
  </si>
  <si>
    <t>5 1 1 3 2 12 31111 6 M59 70000 000132 0000R</t>
  </si>
  <si>
    <t>5 1 1 3 2 12 31111 6 M59 70000 000132 0000R 00001</t>
  </si>
  <si>
    <t>5 1 1 3 2 12 31111 6 M59 70000 000132 0000R 00001 00132</t>
  </si>
  <si>
    <t>5 1 1 3 2 12 31111 6 M59 70000 000132 0000R 00001 00132 015</t>
  </si>
  <si>
    <t>5 1 1 3 2 12 31111 6 M59 70000 000132 0000R 00001 00132 015 2111100</t>
  </si>
  <si>
    <t>5 1 1 3 2 12 31111 6 M59 70000 000132 0000R 00001 00132 015 2111100 2024</t>
  </si>
  <si>
    <t>5 1 1 3 2 12 31111 6 M59 70000 000132 0000R 00001 00132 015 2111100 2024 CP1DS387</t>
  </si>
  <si>
    <t>5 1 1 3 2 12 31111 6 M59 70000 000132 0000R 00001 00132 015 2111100 2024 CP1DS387 001</t>
  </si>
  <si>
    <t>5 1 1 3 2 12 31111 6 M59 70000 000132 0000R 00001 00132 015 2111100 2024 CP1DS387 001 0000001</t>
  </si>
  <si>
    <t>5 1 1 3 2 12 31111 6 M59 70000 000132 0000R 00001 00132 015 2111100 2024 CP1DS387 001 0000002</t>
  </si>
  <si>
    <t>PRIMA VACACIONAL</t>
  </si>
  <si>
    <t>5 1 1 3 2 12 31111 6 M59 70100</t>
  </si>
  <si>
    <t>5 1 1 3 2 12 31111 6 M59 70100 000132</t>
  </si>
  <si>
    <t>5 1 1 3 2 12 31111 6 M59 70100 000132 0000R</t>
  </si>
  <si>
    <t>5 1 1 3 2 12 31111 6 M59 70100 000132 0000R 00001</t>
  </si>
  <si>
    <t>5 1 1 3 2 12 31111 6 M59 70100 000132 0000R 00001 00132</t>
  </si>
  <si>
    <t>5 1 1 3 2 12 31111 6 M59 70100 000132 0000R 00001 00132 015</t>
  </si>
  <si>
    <t>5 1 1 3 2 12 31111 6 M59 70100 000132 0000R 00001 00132 015 2111100</t>
  </si>
  <si>
    <t>5 1 1 3 2 12 31111 6 M59 70100 000132 0000R 00001 00132 015 2111100 2024</t>
  </si>
  <si>
    <t>5 1 1 3 2 12 31111 6 M59 70100 000132 0000R 00001 00132 015 2111100 2024 CP1MM393</t>
  </si>
  <si>
    <t>5 1 1 3 2 12 31111 6 M59 70100 000132 0000R 00001 00132 015 2111100 2024 CP1MM393 001</t>
  </si>
  <si>
    <t>5 1 1 3 2 12 31111 6 M59 70100 000132 0000R 00001 00132 015 2111100 2024 CP1MM393 001 0000001</t>
  </si>
  <si>
    <t>5 1 1 3 2 12 31111 6 M59 70200</t>
  </si>
  <si>
    <t>5 1 1 3 2 12 31111 6 M59 70200 000132</t>
  </si>
  <si>
    <t>5 1 1 3 2 12 31111 6 M59 70200 000132 0000R</t>
  </si>
  <si>
    <t>5 1 1 3 2 12 31111 6 M59 70200 000132 0000R 00001</t>
  </si>
  <si>
    <t>5 1 1 3 2 12 31111 6 M59 70200 000132 0000R 00001 00132</t>
  </si>
  <si>
    <t>5 1 1 3 2 12 31111 6 M59 70200 000132 0000R 00001 00132 015</t>
  </si>
  <si>
    <t>5 1 1 3 2 12 31111 6 M59 70200 000132 0000R 00001 00132 015 2111100</t>
  </si>
  <si>
    <t>5 1 1 3 2 12 31111 6 M59 70200 000132 0000R 00001 00132 015 2111100 2024</t>
  </si>
  <si>
    <t>5 1 1 3 2 12 31111 6 M59 70200 000132 0000R 00001 00132 015 2111100 2024 CP1SE410</t>
  </si>
  <si>
    <t>5 1 1 3 2 12 31111 6 M59 70200 000132 0000R 00001 00132 015 2111100 2024 CP1SE410 001</t>
  </si>
  <si>
    <t>5 1 1 3 2 12 31111 6 M59 70200 000132 0000R 00001 00132 015 2111100 2024 CP1SE410 001 0000001</t>
  </si>
  <si>
    <t>5 1 1 3 2 12 31111 6 M59 70300</t>
  </si>
  <si>
    <t>5 1 1 3 2 12 31111 6 M59 70300 000132</t>
  </si>
  <si>
    <t>5 1 1 3 2 12 31111 6 M59 70300 000132 0000R</t>
  </si>
  <si>
    <t>5 1 1 3 2 12 31111 6 M59 70300 000132 0000R 00001</t>
  </si>
  <si>
    <t>5 1 1 3 2 12 31111 6 M59 70300 000132 0000R 00001 00132</t>
  </si>
  <si>
    <t>5 1 1 3 2 12 31111 6 M59 70300 000132 0000R 00001 00132 015</t>
  </si>
  <si>
    <t>5 1 1 3 2 12 31111 6 M59 70300 000132 0000R 00001 00132 015 2111100</t>
  </si>
  <si>
    <t>5 1 1 3 2 12 31111 6 M59 70300 000132 0000R 00001 00132 015 2111100 2024</t>
  </si>
  <si>
    <t>5 1 1 3 2 12 31111 6 M59 70300 000132 0000R 00001 00132 015 2111100 2024 CP1CU419</t>
  </si>
  <si>
    <t>5 1 1 3 2 12 31111 6 M59 70300 000132 0000R 00001 00132 015 2111100 2024 CP1CU419 001</t>
  </si>
  <si>
    <t>5 1 1 3 2 12 31111 6 M59 70300 000132 0000R 00001 00132 015 2111100 2024 CP1CU419 001 0000001</t>
  </si>
  <si>
    <t>5 1 1 3 2 12 31111 6 M59 70400</t>
  </si>
  <si>
    <t>5 1 1 3 2 12 31111 6 M59 70400 000241</t>
  </si>
  <si>
    <t>5 1 1 3 2 12 31111 6 M59 70400 000241 0000R</t>
  </si>
  <si>
    <t>5 1 1 3 2 12 31111 6 M59 70400 000241 0000R 00001</t>
  </si>
  <si>
    <t>5 1 1 3 2 12 31111 6 M59 70400 000241 0000R 00001 00132</t>
  </si>
  <si>
    <t>5 1 1 3 2 12 31111 6 M59 70400 000241 0000R 00001 00132 015</t>
  </si>
  <si>
    <t>5 1 1 3 2 12 31111 6 M59 70400 000241 0000R 00001 00132 015 2111100</t>
  </si>
  <si>
    <t>5 1 1 3 2 12 31111 6 M59 70400 000241 0000R 00001 00132 015 2111100 2024</t>
  </si>
  <si>
    <t>5 1 1 3 2 12 31111 6 M59 70400 000241 0000R 00001 00132 015 2111100 2024 CP1DD418</t>
  </si>
  <si>
    <t>5 1 1 3 2 12 31111 6 M59 70400 000241 0000R 00001 00132 015 2111100 2024 CP1DD418 001</t>
  </si>
  <si>
    <t>5 1 1 3 2 12 31111 6 M59 70400 000241 0000R 00001 00132 015 2111100 2024 CP1DD418 001 0000001</t>
  </si>
  <si>
    <t>5 1 1 3 2 12 31111 6 M59 70500</t>
  </si>
  <si>
    <t>5 1 1 3 2 12 31111 6 M59 70500 000132</t>
  </si>
  <si>
    <t>5 1 1 3 2 12 31111 6 M59 70500 000132 0000R</t>
  </si>
  <si>
    <t>5 1 1 3 2 12 31111 6 M59 70500 000132 0000R 00001</t>
  </si>
  <si>
    <t>5 1 1 3 2 12 31111 6 M59 70500 000132 0000R 00001 00132</t>
  </si>
  <si>
    <t>5 1 1 3 2 12 31111 6 M59 70500 000132 0000R 00001 00132 015</t>
  </si>
  <si>
    <t>5 1 1 3 2 12 31111 6 M59 70500 000132 0000R 00001 00132 015 2111100</t>
  </si>
  <si>
    <t>5 1 1 3 2 12 31111 6 M59 70500 000132 0000R 00001 00132 015 2111100 2024</t>
  </si>
  <si>
    <t>5 1 1 3 2 12 31111 6 M59 70500 000132 0000R 00001 00132 015 2111100 2024 CP1DT395</t>
  </si>
  <si>
    <t>5 1 1 3 2 12 31111 6 M59 70500 000132 0000R 00001 00132 015 2111100 2024 CP1DT395 001</t>
  </si>
  <si>
    <t>5 1 1 3 2 12 31111 6 M59 70500 000132 0000R 00001 00132 015 2111100 2024 CP1DT395 001 0000001</t>
  </si>
  <si>
    <t>5 1 1 3 2 12 31111 6 M59 70600</t>
  </si>
  <si>
    <t>5 1 1 3 2 12 31111 6 M59 70600 000132</t>
  </si>
  <si>
    <t>5 1 1 3 2 12 31111 6 M59 70600 000132 0000R</t>
  </si>
  <si>
    <t>5 1 1 3 2 12 31111 6 M59 70600 000132 0000R 00001</t>
  </si>
  <si>
    <t>5 1 1 3 2 12 31111 6 M59 70600 000132 0000R 00001 00132</t>
  </si>
  <si>
    <t>5 1 1 3 2 12 31111 6 M59 70600 000132 0000R 00001 00132 015</t>
  </si>
  <si>
    <t>5 1 1 3 2 12 31111 6 M59 70600 000132 0000R 00001 00132 015 2111100</t>
  </si>
  <si>
    <t>5 1 1 3 2 12 31111 6 M59 70600 000132 0000R 00001 00132 015 2111100 2024</t>
  </si>
  <si>
    <t>5 1 1 3 2 12 31111 6 M59 70600 000132 0000R 00001 00132 015 2111100 2024 CP1DJ409</t>
  </si>
  <si>
    <t>5 1 1 3 2 12 31111 6 M59 70600 000132 0000R 00001 00132 015 2111100 2024 CP1DJ409 001</t>
  </si>
  <si>
    <t>5 1 1 3 2 12 31111 6 M59 70600 000132 0000R 00001 00132 015 2111100 2024 CP1DJ409 001 0000001</t>
  </si>
  <si>
    <t>5 1 1 3 2 12 31111 6 M59 70700</t>
  </si>
  <si>
    <t>5 1 1 3 2 12 31111 6 M59 70700 000132</t>
  </si>
  <si>
    <t>5 1 1 3 2 12 31111 6 M59 70700 000132 0000R</t>
  </si>
  <si>
    <t>5 1 1 3 2 12 31111 6 M59 70700 000132 0000R 00001</t>
  </si>
  <si>
    <t>5 1 1 3 2 12 31111 6 M59 70700 000132 0000R 00001 00132</t>
  </si>
  <si>
    <t>5 1 1 3 2 12 31111 6 M59 70700 000132 0000R 00001 00132 015</t>
  </si>
  <si>
    <t>5 1 1 3 2 12 31111 6 M59 70700 000132 0000R 00001 00132 015 2111100</t>
  </si>
  <si>
    <t>5 1 1 3 2 12 31111 6 M59 70700 000132 0000R 00001 00132 015 2111100 2024</t>
  </si>
  <si>
    <t>5 1 1 3 2 12 31111 6 M59 70700 000132 0000R 00001 00132 015 2111100 2024 CP1SA397</t>
  </si>
  <si>
    <t>5 1 1 3 2 12 31111 6 M59 70700 000132 0000R 00001 00132 015 2111100 2024 CP1SA397 001</t>
  </si>
  <si>
    <t>5 1 1 3 2 12 31111 6 M59 70700 000132 0000R 00001 00132 015 2111100 2024 CP1SA397 001 0000001</t>
  </si>
  <si>
    <t>5 1 1 3 2 12 31111 6 M59 70800</t>
  </si>
  <si>
    <t>5 1 1 3 2 12 31111 6 M59 70800 000132</t>
  </si>
  <si>
    <t>5 1 1 3 2 12 31111 6 M59 70800 000132 0000R</t>
  </si>
  <si>
    <t>5 1 1 3 2 12 31111 6 M59 70800 000132 0000R 00001</t>
  </si>
  <si>
    <t>5 1 1 3 2 12 31111 6 M59 70800 000132 0000R 00001 00132</t>
  </si>
  <si>
    <t>5 1 1 3 2 12 31111 6 M59 70800 000132 0000R 00001 00132 015</t>
  </si>
  <si>
    <t>5 1 1 3 2 12 31111 6 M59 70800 000132 0000R 00001 00132 015 2111100</t>
  </si>
  <si>
    <t>5 1 1 3 2 12 31111 6 M59 70800 000132 0000R 00001 00132 015 2111100 2024</t>
  </si>
  <si>
    <t>5 1 1 3 2 12 31111 6 M59 70800 000132 0000R 00001 00132 015 2111100 2024 CP1ED416</t>
  </si>
  <si>
    <t>5 1 1 3 2 12 31111 6 M59 70800 000132 0000R 00001 00132 015 2111100 2024 CP1ED416 001</t>
  </si>
  <si>
    <t>5 1 1 3 2 12 31111 6 M59 70800 000132 0000R 00001 00132 015 2111100 2024 CP1ED416 001 0000001</t>
  </si>
  <si>
    <t>5 1 1 3 2 12 31111 6 M59 70800 000132 0000R 00001 00132 015 2111100 2024 CP1ED416 001 0000002</t>
  </si>
  <si>
    <t>5 1 1 3 2 12 31111 6 M59 70900</t>
  </si>
  <si>
    <t>5 1 1 3 2 12 31111 6 M59 70900 000181</t>
  </si>
  <si>
    <t>5 1 1 3 2 12 31111 6 M59 70900 000181 0000R</t>
  </si>
  <si>
    <t>5 1 1 3 2 12 31111 6 M59 70900 000181 0000R 00001</t>
  </si>
  <si>
    <t>5 1 1 3 2 12 31111 6 M59 70900 000181 0000R 00001 00132</t>
  </si>
  <si>
    <t>5 1 1 3 2 12 31111 6 M59 70900 000181 0000R 00001 00132 015</t>
  </si>
  <si>
    <t>5 1 1 3 2 12 31111 6 M59 70900 000181 0000R 00001 00132 015 2111100</t>
  </si>
  <si>
    <t>5 1 1 3 2 12 31111 6 M59 70900 000181 0000R 00001 00132 015 2111100 2024</t>
  </si>
  <si>
    <t>5 1 1 3 2 12 31111 6 M59 70900 000181 0000R 00001 00132 015 2111100 2024 CP1EM392</t>
  </si>
  <si>
    <t>5 1 1 3 2 12 31111 6 M59 70900 000181 0000R 00001 00132 015 2111100 2024 CP1EM392 001</t>
  </si>
  <si>
    <t>5 1 1 3 2 12 31111 6 M59 70900 000181 0000R 00001 00132 015 2111100 2024 CP1EM392 001 0000001</t>
  </si>
  <si>
    <t>5 1 1 3 2 12 31111 6 M59 71000</t>
  </si>
  <si>
    <t>5 1 1 3 2 12 31111 6 M59 71000 000132</t>
  </si>
  <si>
    <t>5 1 1 3 2 12 31111 6 M59 71000 000132 0000R</t>
  </si>
  <si>
    <t>5 1 1 3 2 12 31111 6 M59 71000 000132 0000R 00001</t>
  </si>
  <si>
    <t>5 1 1 3 2 12 31111 6 M59 71000 000132 0000R 00001 00132</t>
  </si>
  <si>
    <t>5 1 1 3 2 12 31111 6 M59 71000 000132 0000R 00001 00132 015</t>
  </si>
  <si>
    <t>5 1 1 3 2 12 31111 6 M59 71000 000132 0000R 00001 00132 015 2111100</t>
  </si>
  <si>
    <t>5 1 1 3 2 12 31111 6 M59 71000 000132 0000R 00001 00132 015 2111100 2024</t>
  </si>
  <si>
    <t>5 1 1 3 2 12 31111 6 M59 71000 000132 0000R 00001 00132 015 2111100 2024 CP1AP422</t>
  </si>
  <si>
    <t>5 1 1 3 2 12 31111 6 M59 71000 000132 0000R 00001 00132 015 2111100 2024 CP1AP422 001</t>
  </si>
  <si>
    <t>5 1 1 3 2 12 31111 6 M59 71000 000132 0000R 00001 00132 015 2111100 2024 CP1AP422 001 0000001</t>
  </si>
  <si>
    <t>5 1 1 3 2 12 31111 6 M59 80000</t>
  </si>
  <si>
    <t>5 1 1 3 2 12 31111 6 M59 80000 000132</t>
  </si>
  <si>
    <t>5 1 1 3 2 12 31111 6 M59 80000 000132 0000R</t>
  </si>
  <si>
    <t>5 1 1 3 2 12 31111 6 M59 80000 000132 0000R 00001</t>
  </si>
  <si>
    <t>5 1 1 3 2 12 31111 6 M59 80000 000132 0000R 00001 00132</t>
  </si>
  <si>
    <t>5 1 1 3 2 12 31111 6 M59 80000 000132 0000R 00001 00132 015</t>
  </si>
  <si>
    <t>5 1 1 3 2 12 31111 6 M59 80000 000132 0000R 00001 00132 015 2111100</t>
  </si>
  <si>
    <t>5 1 1 3 2 12 31111 6 M59 80000 000132 0000R 00001 00132 015 2111100 2024</t>
  </si>
  <si>
    <t>5 1 1 3 2 12 31111 6 M59 80000 000132 0000R 00001 00132 015 2111100 2024 CP1DR388</t>
  </si>
  <si>
    <t>5 1 1 3 2 12 31111 6 M59 80000 000132 0000R 00001 00132 015 2111100 2024 CP1DR388 001</t>
  </si>
  <si>
    <t>5 1 1 3 2 12 31111 6 M59 80000 000132 0000R 00001 00132 015 2111100 2024 CP1DR388 001 0000001</t>
  </si>
  <si>
    <t>5 1 1 3 2 12 31111 6 M59 80100</t>
  </si>
  <si>
    <t>5 1 1 3 2 12 31111 6 M59 80100 000132</t>
  </si>
  <si>
    <t>5 1 1 3 2 12 31111 6 M59 80100 000132 0000R</t>
  </si>
  <si>
    <t>5 1 1 3 2 12 31111 6 M59 80100 000132 0000R 00001</t>
  </si>
  <si>
    <t>5 1 1 3 2 12 31111 6 M59 80100 000132 0000R 00001 00132</t>
  </si>
  <si>
    <t>5 1 1 3 2 12 31111 6 M59 80100 000132 0000R 00001 00132 015</t>
  </si>
  <si>
    <t>5 1 1 3 2 12 31111 6 M59 80100 000132 0000R 00001 00132 015 2111100</t>
  </si>
  <si>
    <t>5 1 1 3 2 12 31111 6 M59 80100 000132 0000R 00001 00132 015 2111100 2024</t>
  </si>
  <si>
    <t>5 1 1 3 2 12 31111 6 M59 80100 000132 0000R 00001 00132 015 2111100 2024 CP1AC425</t>
  </si>
  <si>
    <t>5 1 1 3 2 12 31111 6 M59 80100 000132 0000R 00001 00132 015 2111100 2024 CP1AC425 001</t>
  </si>
  <si>
    <t>5 1 1 3 2 12 31111 6 M59 80100 000132 0000R 00001 00132 015 2111100 2024 CP1AC425 001 0000001</t>
  </si>
  <si>
    <t>5 1 1 3 2 12 31111 6 M59 80300</t>
  </si>
  <si>
    <t>5 1 1 3 2 12 31111 6 M59 80300 000132</t>
  </si>
  <si>
    <t>5 1 1 3 2 12 31111 6 M59 80300 000132 0000R</t>
  </si>
  <si>
    <t>5 1 1 3 2 12 31111 6 M59 80300 000132 0000R 00001</t>
  </si>
  <si>
    <t>5 1 1 3 2 12 31111 6 M59 80300 000132 0000R 00001 00132</t>
  </si>
  <si>
    <t>5 1 1 3 2 12 31111 6 M59 80300 000132 0000R 00001 00132 015</t>
  </si>
  <si>
    <t>5 1 1 3 2 12 31111 6 M59 80300 000132 0000R 00001 00132 015 2111100</t>
  </si>
  <si>
    <t>5 1 1 3 2 12 31111 6 M59 80300 000132 0000R 00001 00132 015 2111100 2024</t>
  </si>
  <si>
    <t>5 1 1 3 2 12 31111 6 M59 80300 000132 0000R 00001 00132 015 2111100 2024 CP1GA414</t>
  </si>
  <si>
    <t>5 1 1 3 2 12 31111 6 M59 80300 000132 0000R 00001 00132 015 2111100 2024 CP1GA414 001</t>
  </si>
  <si>
    <t>5 1 1 3 2 12 31111 6 M59 80300 000132 0000R 00001 00132 015 2111100 2024 CP1GA414 001 0000001</t>
  </si>
  <si>
    <t>5 1 1 3 2 12 31111 6 M59 80400</t>
  </si>
  <si>
    <t>5 1 1 3 2 12 31111 6 M59 80400 000132</t>
  </si>
  <si>
    <t>5 1 1 3 2 12 31111 6 M59 80400 000132 0000R</t>
  </si>
  <si>
    <t>5 1 1 3 2 12 31111 6 M59 80400 000132 0000R 00001</t>
  </si>
  <si>
    <t>5 1 1 3 2 12 31111 6 M59 80400 000132 0000R 00001 00132</t>
  </si>
  <si>
    <t>5 1 1 3 2 12 31111 6 M59 80400 000132 0000R 00001 00132 015</t>
  </si>
  <si>
    <t>5 1 1 3 2 12 31111 6 M59 80400 000132 0000R 00001 00132 015 2111100</t>
  </si>
  <si>
    <t>5 1 1 3 2 12 31111 6 M59 80400 000132 0000R 00001 00132 015 2111100 2024</t>
  </si>
  <si>
    <t>5 1 1 3 2 12 31111 6 M59 80400 000132 0000R 00001 00132 015 2111100 2024 CP1DP403</t>
  </si>
  <si>
    <t>5 1 1 3 2 12 31111 6 M59 80400 000132 0000R 00001 00132 015 2111100 2024 CP1DP403 001</t>
  </si>
  <si>
    <t>5 1 1 3 2 12 31111 6 M59 80400 000132 0000R 00001 00132 015 2111100 2024 CP1DP403 001 0000001</t>
  </si>
  <si>
    <t>5 1 1 3 2 12 31111 6 M59 80400 000132 0000R 00001 00132 015 2111100 2024 CP1DP403 001 0000002</t>
  </si>
  <si>
    <t>5 1 1 3 2 12 31111 6 M59 80500</t>
  </si>
  <si>
    <t>5 1 1 3 2 12 31111 6 M59 80500 000216</t>
  </si>
  <si>
    <t>5 1 1 3 2 12 31111 6 M59 80500 000216 0000R</t>
  </si>
  <si>
    <t>5 1 1 3 2 12 31111 6 M59 80500 000216 0000R 00001</t>
  </si>
  <si>
    <t>5 1 1 3 2 12 31111 6 M59 80500 000216 0000R 00001 00132</t>
  </si>
  <si>
    <t>5 1 1 3 2 12 31111 6 M59 80500 000216 0000R 00001 00132 015</t>
  </si>
  <si>
    <t>5 1 1 3 2 12 31111 6 M59 80500 000216 0000R 00001 00132 015 2111100</t>
  </si>
  <si>
    <t>5 1 1 3 2 12 31111 6 M59 80500 000216 0000R 00001 00132 015 2111100 2024</t>
  </si>
  <si>
    <t>5 1 1 3 2 12 31111 6 M59 80500 000216 0000R 00001 00132 015 2111100 2024 CP1MA417</t>
  </si>
  <si>
    <t>5 1 1 3 2 12 31111 6 M59 80500 000216 0000R 00001 00132 015 2111100 2024 CP1MA417 001</t>
  </si>
  <si>
    <t>5 1 1 3 2 12 31111 6 M59 80500 000216 0000R 00001 00132 015 2111100 2024 CP1MA417 001 0000001</t>
  </si>
  <si>
    <t>5 1 1 3 2 12 31111 6 M59 80500 000216 0000R 00001 00132 015 2111100 2024 CP1MA417 001 0000002</t>
  </si>
  <si>
    <t>5 1 1 3 2 12 31111 6 M59 90000</t>
  </si>
  <si>
    <t>5 1 1 3 2 12 31111 6 M59 90000 000132</t>
  </si>
  <si>
    <t>5 1 1 3 2 12 31111 6 M59 90000 000132 0000R</t>
  </si>
  <si>
    <t>5 1 1 3 2 12 31111 6 M59 90000 000132 0000R 00001</t>
  </si>
  <si>
    <t>5 1 1 3 2 12 31111 6 M59 90000 000132 0000R 00001 00132</t>
  </si>
  <si>
    <t>5 1 1 3 2 12 31111 6 M59 90000 000132 0000R 00001 00132 015</t>
  </si>
  <si>
    <t>5 1 1 3 2 12 31111 6 M59 90000 000132 0000R 00001 00132 015 2111100</t>
  </si>
  <si>
    <t>5 1 1 3 2 12 31111 6 M59 90000 000132 0000R 00001 00132 015 2111100 2024</t>
  </si>
  <si>
    <t>5 1 1 3 2 12 31111 6 M59 90000 000132 0000R 00001 00132 015 2111100 2024 CP1SG383</t>
  </si>
  <si>
    <t>5 1 1 3 2 12 31111 6 M59 90000 000132 0000R 00001 00132 015 2111100 2024 CP1SG383 001</t>
  </si>
  <si>
    <t>5 1 1 3 2 12 31111 6 M59 90000 000132 0000R 00001 00132 015 2111100 2024 CP1SG383 001 0000001</t>
  </si>
  <si>
    <t>5 1 1 3 2 12 31111 6 M59 90000 000132 0000R 00001 00132 015 2111100 2024 CP1SG383 001 0000002</t>
  </si>
  <si>
    <t>5 1 1 3 2 12 31111 6 M59 91000</t>
  </si>
  <si>
    <t>5 1 1 3 2 12 31111 6 M59 91000 000132</t>
  </si>
  <si>
    <t>5 1 1 3 2 12 31111 6 M59 91000 000132 0000R</t>
  </si>
  <si>
    <t>5 1 1 3 2 12 31111 6 M59 91000 000132 0000R 00001</t>
  </si>
  <si>
    <t>5 1 1 3 2 12 31111 6 M59 91000 000132 0000R 00001 00132</t>
  </si>
  <si>
    <t>5 1 1 3 2 12 31111 6 M59 91000 000132 0000R 00001 00132 015</t>
  </si>
  <si>
    <t>5 1 1 3 2 12 31111 6 M59 91000 000132 0000R 00001 00132 015 2111100</t>
  </si>
  <si>
    <t>5 1 1 3 2 12 31111 6 M59 91000 000132 0000R 00001 00132 015 2111100 2024</t>
  </si>
  <si>
    <t>5 1 1 3 2 12 31111 6 M59 91000 000132 0000R 00001 00132 015 2111100 2024 CP1RE398</t>
  </si>
  <si>
    <t>5 1 1 3 2 12 31111 6 M59 91000 000132 0000R 00001 00132 015 2111100 2024 CP1RE398 001</t>
  </si>
  <si>
    <t>5 1 1 3 2 12 31111 6 M59 91000 000132 0000R 00001 00132 015 2111100 2024 CP1RE398 001 0000001</t>
  </si>
  <si>
    <t>5 1 1 3 2 12 31111 6 M59 91000 000132 0000R 00001 00132 015 2111100 2024 CP1RE398 001 0000002</t>
  </si>
  <si>
    <t>5 1 1 3 2 12 31111 6 M59 92000</t>
  </si>
  <si>
    <t>5 1 1 3 2 12 31111 6 M59 92000 000181</t>
  </si>
  <si>
    <t>5 1 1 3 2 12 31111 6 M59 92000 000181 0000E</t>
  </si>
  <si>
    <t>5 1 1 3 2 12 31111 6 M59 92000 000181 0000E 00001</t>
  </si>
  <si>
    <t>5 1 1 3 2 12 31111 6 M59 92000 000181 0000E 00001 00132</t>
  </si>
  <si>
    <t>5 1 1 3 2 12 31111 6 M59 92000 000181 0000E 00001 00132 015</t>
  </si>
  <si>
    <t>5 1 1 3 2 12 31111 6 M59 92000 000181 0000E 00001 00132 015 2111100</t>
  </si>
  <si>
    <t>5 1 1 3 2 12 31111 6 M59 92000 000181 0000E 00001 00132 015 2111100 2024</t>
  </si>
  <si>
    <t>5 1 1 3 2 12 31111 6 M59 92000 000181 0000E 00001 00132 015 2111100 2024 CP1RC399</t>
  </si>
  <si>
    <t>5 1 1 3 2 12 31111 6 M59 92000 000181 0000E 00001 00132 015 2111100 2024 CP1RC399 001</t>
  </si>
  <si>
    <t>5 1 1 3 2 12 31111 6 M59 92000 000181 0000E 00001 00132 015 2111100 2024 CP1RC399 001 0000001</t>
  </si>
  <si>
    <t>5 1 1 3 2 12 31111 6 M59 92000 000181 0000E 00001 00132 015 2111100 2024 CP1RC399 001 0000002</t>
  </si>
  <si>
    <t>5 1 1 3 2 12 31111 6 M59 93000</t>
  </si>
  <si>
    <t>5 1 1 3 2 12 31111 6 M59 93000 000132</t>
  </si>
  <si>
    <t>5 1 1 3 2 12 31111 6 M59 93000 000132 0000R</t>
  </si>
  <si>
    <t>5 1 1 3 2 12 31111 6 M59 93000 000132 0000R 00001</t>
  </si>
  <si>
    <t>5 1 1 3 2 12 31111 6 M59 93000 000132 0000R 00001 00132</t>
  </si>
  <si>
    <t>5 1 1 3 2 12 31111 6 M59 93000 000132 0000R 00001 00132 015</t>
  </si>
  <si>
    <t>5 1 1 3 2 12 31111 6 M59 93000 000132 0000R 00001 00132 015 2111100</t>
  </si>
  <si>
    <t>5 1 1 3 2 12 31111 6 M59 93000 000132 0000R 00001 00132 015 2111100 2024</t>
  </si>
  <si>
    <t>5 1 1 3 2 12 31111 6 M59 93000 000132 0000R 00001 00132 015 2111100 2024 CP1RS429</t>
  </si>
  <si>
    <t>5 1 1 3 2 12 31111 6 M59 93000 000132 0000R 00001 00132 015 2111100 2024 CP1RS429 001</t>
  </si>
  <si>
    <t>5 1 1 3 2 12 31111 6 M59 93000 000132 0000R 00001 00132 015 2111100 2024 CP1RS429 001 0000001</t>
  </si>
  <si>
    <t>5 1 1 3 2 12 31111 6 M59 94000</t>
  </si>
  <si>
    <t>5 1 1 3 2 12 31111 6 M59 94000 000181</t>
  </si>
  <si>
    <t>5 1 1 3 2 12 31111 6 M59 94000 000181 0000R</t>
  </si>
  <si>
    <t>5 1 1 3 2 12 31111 6 M59 94000 000181 0000R 00001</t>
  </si>
  <si>
    <t>5 1 1 3 2 12 31111 6 M59 94000 000181 0000R 00001 00132</t>
  </si>
  <si>
    <t>5 1 1 3 2 12 31111 6 M59 94000 000181 0000R 00001 00132 015</t>
  </si>
  <si>
    <t>5 1 1 3 2 12 31111 6 M59 94000 000181 0000R 00001 00132 015 2111100</t>
  </si>
  <si>
    <t>5 1 1 3 2 12 31111 6 M59 94000 000181 0000R 00001 00132 015 2111100 2024</t>
  </si>
  <si>
    <t>5 1 1 3 2 12 31111 6 M59 94000 000181 0000R 00001 00132 015 2111100 2024 CP1OM392</t>
  </si>
  <si>
    <t>5 1 1 3 2 12 31111 6 M59 94000 000181 0000R 00001 00132 015 2111100 2024 CP1OM392 001</t>
  </si>
  <si>
    <t>5 1 1 3 2 12 31111 6 M59 94000 000181 0000R 00001 00132 015 2111100 2024 CP1OM392 001 0000001</t>
  </si>
  <si>
    <t>5 1 1 3 2 12 31111 6 M59 94000 000181 0000R 00001 00132 015 2111100 2024 CP1OM392 001 0000002</t>
  </si>
  <si>
    <t>5 1 1 3 2 12 31111 6 M59 94100</t>
  </si>
  <si>
    <t>5 1 1 3 2 12 31111 6 M59 94100 000132</t>
  </si>
  <si>
    <t>5 1 1 3 2 12 31111 6 M59 94100 000132 0000R</t>
  </si>
  <si>
    <t>5 1 1 3 2 12 31111 6 M59 94100 000132 0000R 00001</t>
  </si>
  <si>
    <t>5 1 1 3 2 12 31111 6 M59 94100 000132 0000R 00001 00132</t>
  </si>
  <si>
    <t>5 1 1 3 2 12 31111 6 M59 94100 000132 0000R 00001 00132 015</t>
  </si>
  <si>
    <t>5 1 1 3 2 12 31111 6 M59 94100 000132 0000R 00001 00132 015 2111100</t>
  </si>
  <si>
    <t>5 1 1 3 2 12 31111 6 M59 94100 000132 0000R 00001 00132 015 2111100 2024</t>
  </si>
  <si>
    <t>5 1 1 3 2 12 31111 6 M59 94100 000132 0000R 00001 00132 015 2111100 2024 CP1AT427</t>
  </si>
  <si>
    <t>5 1 1 3 2 12 31111 6 M59 94100 000132 0000R 00001 00132 015 2111100 2024 CP1AT427 001</t>
  </si>
  <si>
    <t>5 1 1 3 2 12 31111 6 M59 94100 000132 0000R 00001 00132 015 2111100 2024 CP1AT427 001 0000001</t>
  </si>
  <si>
    <t>5 1 1 3 2 12 31111 6 M59 95000</t>
  </si>
  <si>
    <t>5 1 1 3 2 12 31111 6 M59 95000 000139</t>
  </si>
  <si>
    <t>5 1 1 3 2 12 31111 6 M59 95000 000139 0000L</t>
  </si>
  <si>
    <t>5 1 1 3 2 12 31111 6 M59 95000 000139 0000L 00001</t>
  </si>
  <si>
    <t>5 1 1 3 2 12 31111 6 M59 95000 000139 0000L 00001 00132</t>
  </si>
  <si>
    <t>5 1 1 3 2 12 31111 6 M59 95000 000139 0000L 00001 00132 015</t>
  </si>
  <si>
    <t>5 1 1 3 2 12 31111 6 M59 95000 000139 0000L 00001 00132 015 2111100</t>
  </si>
  <si>
    <t>5 1 1 3 2 12 31111 6 M59 95000 000139 0000L 00001 00132 015 2111100 2024</t>
  </si>
  <si>
    <t>5 1 1 3 2 12 31111 6 M59 95000 000139 0000L 00001 00132 015 2111100 2024 CP1AJ437</t>
  </si>
  <si>
    <t>5 1 1 3 2 12 31111 6 M59 95000 000139 0000L 00001 00132 015 2111100 2024 CP1AJ437 001</t>
  </si>
  <si>
    <t>5 1 1 3 2 12 31111 6 M59 95000 000139 0000L 00001 00132 015 2111100 2024 CP1AJ437 001 0000001</t>
  </si>
  <si>
    <t>5 1 1 3 2 12 31111 6 M59 96000</t>
  </si>
  <si>
    <t>5 1 1 3 2 12 31111 6 M59 96000 000132</t>
  </si>
  <si>
    <t>5 1 1 3 2 12 31111 6 M59 96000 000132 0000R</t>
  </si>
  <si>
    <t>5 1 1 3 2 12 31111 6 M59 96000 000132 0000R 00001</t>
  </si>
  <si>
    <t>5 1 1 3 2 12 31111 6 M59 96000 000132 0000R 00001 00132</t>
  </si>
  <si>
    <t>5 1 1 3 2 12 31111 6 M59 96000 000132 0000R 00001 00132 015</t>
  </si>
  <si>
    <t>5 1 1 3 2 12 31111 6 M59 96000 000132 0000R 00001 00132 015 2111100</t>
  </si>
  <si>
    <t>5 1 1 3 2 12 31111 6 M59 96000 000132 0000R 00001 00132 015 2111100 2024</t>
  </si>
  <si>
    <t>5 1 1 3 2 12 31111 6 M59 96000 000132 0000R 00001 00132 015 2111100 2024 CP1PA379</t>
  </si>
  <si>
    <t>5 1 1 3 2 12 31111 6 M59 96000 000132 0000R 00001 00132 015 2111100 2024 CP1PA379 001</t>
  </si>
  <si>
    <t>5 1 1 3 2 12 31111 6 M59 96000 000132 0000R 00001 00132 015 2111100 2024 CP1PA379 001 0000001</t>
  </si>
  <si>
    <t>5 1 1 3 2 12 31111 6 M59 96100</t>
  </si>
  <si>
    <t>5 1 1 3 2 12 31111 6 M59 96100 000211</t>
  </si>
  <si>
    <t>5 1 1 3 2 12 31111 6 M59 96100 000211 0000U</t>
  </si>
  <si>
    <t>5 1 1 3 2 12 31111 6 M59 96100 000211 0000U 00001</t>
  </si>
  <si>
    <t>5 1 1 3 2 12 31111 6 M59 96100 000211 0000U 00001 00132</t>
  </si>
  <si>
    <t>5 1 1 3 2 12 31111 6 M59 96100 000211 0000U 00001 00132 015</t>
  </si>
  <si>
    <t>5 1 1 3 2 12 31111 6 M59 96100 000211 0000U 00001 00132 015 2111100</t>
  </si>
  <si>
    <t>5 1 1 3 2 12 31111 6 M59 96100 000211 0000U 00001 00132 015 2111100 2024</t>
  </si>
  <si>
    <t>5 1 1 3 2 12 31111 6 M59 96100 000211 0000U 00001 00132 015 2111100 2024 CP1IU412</t>
  </si>
  <si>
    <t>5 1 1 3 2 12 31111 6 M59 96100 000211 0000U 00001 00132 015 2111100 2024 CP1IU412 001</t>
  </si>
  <si>
    <t>5 1 1 3 2 12 31111 6 M59 96100 000211 0000U 00001 00132 015 2111100 2024 CP1IU412 001 0000001</t>
  </si>
  <si>
    <t>5 1 1 3 2 12 31111 6 M59 96100 000211 0000U 00001 00132 015 2111100 2024 CP1IU412 001 0000002</t>
  </si>
  <si>
    <t>5 1 1 3 2 12 31111 6 M59 96200</t>
  </si>
  <si>
    <t>5 1 1 3 2 12 31111 6 M59 96200 000132</t>
  </si>
  <si>
    <t>5 1 1 3 2 12 31111 6 M59 96200 000132 0000R</t>
  </si>
  <si>
    <t>5 1 1 3 2 12 31111 6 M59 96200 000132 0000R 00001</t>
  </si>
  <si>
    <t>5 1 1 3 2 12 31111 6 M59 96200 000132 0000R 00001 00132</t>
  </si>
  <si>
    <t>5 1 1 3 2 12 31111 6 M59 96200 000132 0000R 00001 00132 015</t>
  </si>
  <si>
    <t>5 1 1 3 2 12 31111 6 M59 96200 000132 0000R 00001 00132 015 2111100</t>
  </si>
  <si>
    <t>5 1 1 3 2 12 31111 6 M59 96200 000132 0000R 00001 00132 015 2111100 2024</t>
  </si>
  <si>
    <t>5 1 1 3 2 12 31111 6 M59 96200 000132 0000R 00001 00132 015 2111100 2024 CP1AL423</t>
  </si>
  <si>
    <t>5 1 1 3 2 12 31111 6 M59 96200 000132 0000R 00001 00132 015 2111100 2024 CP1AL423 001</t>
  </si>
  <si>
    <t>5 1 1 3 2 12 31111 6 M59 96200 000132 0000R 00001 00132 015 2111100 2024 CP1AL423 001 0000001</t>
  </si>
  <si>
    <t>5 1 1 3 2 12 31111 6 M59 96300</t>
  </si>
  <si>
    <t>5 1 1 3 2 12 31111 6 M59 96300 000211</t>
  </si>
  <si>
    <t>5 1 1 3 2 12 31111 6 M59 96300 000211 0000E</t>
  </si>
  <si>
    <t>5 1 1 3 2 12 31111 6 M59 96300 000211 0000E 00001</t>
  </si>
  <si>
    <t>5 1 1 3 2 12 31111 6 M59 96300 000211 0000E 00001 00132</t>
  </si>
  <si>
    <t>5 1 1 3 2 12 31111 6 M59 96300 000211 0000E 00001 00132 015</t>
  </si>
  <si>
    <t>5 1 1 3 2 12 31111 6 M59 96300 000211 0000E 00001 00132 015 2111100</t>
  </si>
  <si>
    <t>5 1 1 3 2 12 31111 6 M59 96300 000211 0000E 00001 00132 015 2111100 2024</t>
  </si>
  <si>
    <t>5 1 1 3 2 12 31111 6 M59 96300 000211 0000E 00001 00132 015 2111100 2024 CP1SB396</t>
  </si>
  <si>
    <t>5 1 1 3 2 12 31111 6 M59 96300 000211 0000E 00001 00132 015 2111100 2024 CP1SB396 001</t>
  </si>
  <si>
    <t>5 1 1 3 2 12 31111 6 M59 96300 000211 0000E 00001 00132 015 2111100 2024 CP1SB396 001 0000001</t>
  </si>
  <si>
    <t>5 1 1 3 2 12 31111 6 M59 96300 000211 0000E 00001 00132 015 2111100 2024 CP1SB396 001 0000002</t>
  </si>
  <si>
    <t>5 1 1 3 2 12 31111 6 M59 97000</t>
  </si>
  <si>
    <t>5 1 1 3 2 12 31111 6 M59 97000 000132</t>
  </si>
  <si>
    <t>5 1 1 3 2 12 31111 6 M59 97000 000132 0000R</t>
  </si>
  <si>
    <t>5 1 1 3 2 12 31111 6 M59 97000 000132 0000R 00001</t>
  </si>
  <si>
    <t>5 1 1 3 2 12 31111 6 M59 97000 000132 0000R 00001 00132</t>
  </si>
  <si>
    <t>5 1 1 3 2 12 31111 6 M59 97000 000132 0000R 00001 00132 015</t>
  </si>
  <si>
    <t>5 1 1 3 2 12 31111 6 M59 97000 000132 0000R 00001 00132 015 2111100</t>
  </si>
  <si>
    <t>5 1 1 3 2 12 31111 6 M59 97000 000132 0000R 00001 00132 015 2111100 2024</t>
  </si>
  <si>
    <t>5 1 1 3 2 12 31111 6 M59 97000 000132 0000R 00001 00132 015 2111100 2024 CP1SP428</t>
  </si>
  <si>
    <t>5 1 1 3 2 12 31111 6 M59 97000 000132 0000R 00001 00132 015 2111100 2024 CP1SP428 001</t>
  </si>
  <si>
    <t>5 1 1 3 2 12 31111 6 M59 97000 000132 0000R 00001 00132 015 2111100 2024 CP1SP428 001 0000001</t>
  </si>
  <si>
    <t>5 1 1 3 2 12 31111 6 M59 97000 000132 0000R 00001 00132 015 2111100 2024 CP1SP428 001 0000002</t>
  </si>
  <si>
    <t>5 1 1 3 2 12 31111 6 M59 98000</t>
  </si>
  <si>
    <t>5 1 1 3 2 12 31111 6 M59 98000 000181</t>
  </si>
  <si>
    <t>5 1 1 3 2 12 31111 6 M59 98000 000181 0000R</t>
  </si>
  <si>
    <t>5 1 1 3 2 12 31111 6 M59 98000 000181 0000R 00001</t>
  </si>
  <si>
    <t>5 1 1 3 2 12 31111 6 M59 98000 000181 0000R 00001 00132</t>
  </si>
  <si>
    <t>5 1 1 3 2 12 31111 6 M59 98000 000181 0000R 00001 00132 015</t>
  </si>
  <si>
    <t>5 1 1 3 2 12 31111 6 M59 98000 000181 0000R 00001 00132 015 2111100</t>
  </si>
  <si>
    <t>5 1 1 3 2 12 31111 6 M59 98000 000181 0000R 00001 00132 015 2111100 2024</t>
  </si>
  <si>
    <t>5 1 1 3 2 12 31111 6 M59 98000 000181 0000R 00001 00132 015 2111100 2024 CP1RH392</t>
  </si>
  <si>
    <t>5 1 1 3 2 12 31111 6 M59 98000 000181 0000R 00001 00132 015 2111100 2024 CP1RH392 001</t>
  </si>
  <si>
    <t>5 1 1 3 2 12 31111 6 M59 98000 000181 0000R 00001 00132 015 2111100 2024 CP1RH392 001 0000001</t>
  </si>
  <si>
    <t>5 1 1 3 2 12 31111 6 M59 99000</t>
  </si>
  <si>
    <t>5 1 1 3 2 12 31111 6 M59 99000 000132</t>
  </si>
  <si>
    <t>5 1 1 3 2 12 31111 6 M59 99000 000132 0000R</t>
  </si>
  <si>
    <t>5 1 1 3 2 12 31111 6 M59 99000 000132 0000R 00001</t>
  </si>
  <si>
    <t>5 1 1 3 2 12 31111 6 M59 99000 000132 0000R 00001 00132</t>
  </si>
  <si>
    <t>5 1 1 3 2 12 31111 6 M59 99000 000132 0000R 00001 00132 015</t>
  </si>
  <si>
    <t>5 1 1 3 2 12 31111 6 M59 99000 000132 0000R 00001 00132 015 2111100</t>
  </si>
  <si>
    <t>5 1 1 3 2 12 31111 6 M59 99000 000132 0000R 00001 00132 015 2111100 2024</t>
  </si>
  <si>
    <t>5 1 1 3 2 12 31111 6 M59 99000 000132 0000R 00001 00132 015 2111100 2024 CP1MG408</t>
  </si>
  <si>
    <t>5 1 1 3 2 12 31111 6 M59 99000 000132 0000R 00001 00132 015 2111100 2024 CP1MG408 001</t>
  </si>
  <si>
    <t>5 1 1 3 2 12 31111 6 M59 99000 000132 0000R 00001 00132 015 2111100 2024 CP1MG408 001 0000001</t>
  </si>
  <si>
    <t>5 1 1 3 4</t>
  </si>
  <si>
    <t>COMPENSACIONES</t>
  </si>
  <si>
    <t>5 1 1 3 4 12</t>
  </si>
  <si>
    <t>5 1 1 3 4 12 31111</t>
  </si>
  <si>
    <t>5 1 1 3 4 12 31111 6</t>
  </si>
  <si>
    <t>5 1 1 3 4 12 31111 6 M59</t>
  </si>
  <si>
    <t>5 1 1 3 4 12 31111 6 M59 10000</t>
  </si>
  <si>
    <t>5 1 1 3 4 12 31111 6 M59 10000 000132</t>
  </si>
  <si>
    <t>5 1 1 3 4 12 31111 6 M59 10000 000132 0000R</t>
  </si>
  <si>
    <t>5 1 1 3 4 12 31111 6 M59 10000 000132 0000R 00001</t>
  </si>
  <si>
    <t>5 1 1 3 4 12 31111 6 M59 10000 000132 0000R 00001 00134</t>
  </si>
  <si>
    <t>COMPENSACIONES.</t>
  </si>
  <si>
    <t>5 1 1 3 4 12 31111 6 M59 10000 000132 0000R 00001 00134 015</t>
  </si>
  <si>
    <t>5 1 1 3 4 12 31111 6 M59 10000 000132 0000R 00001 00134 015 2111100</t>
  </si>
  <si>
    <t>5 1 1 3 4 12 31111 6 M59 10000 000132 0000R 00001 00134 015 2111100 2024</t>
  </si>
  <si>
    <t>5 1 1 3 4 12 31111 6 M59 10000 000132 0000R 00001 00134 015 2111100 2024 CP1PM439</t>
  </si>
  <si>
    <t>5 1 1 3 4 12 31111 6 M59 10000 000132 0000R 00001 00134 015 2111100 2024 CP1PM439 001</t>
  </si>
  <si>
    <t>5 1 1 3 4 12 31111 6 M59 10000 000132 0000R 00001 00134 015 2111100 2024 CP1PM439 001 0000001</t>
  </si>
  <si>
    <t>COMPENSACIÓN ORDINARIA</t>
  </si>
  <si>
    <t>5 1 1 3 4 12 31111 6 M59 10100</t>
  </si>
  <si>
    <t>5 1 1 3 4 12 31111 6 M59 10100 000132</t>
  </si>
  <si>
    <t>5 1 1 3 4 12 31111 6 M59 10100 000132 0000R</t>
  </si>
  <si>
    <t>5 1 1 3 4 12 31111 6 M59 10100 000132 0000R 00001</t>
  </si>
  <si>
    <t>5 1 1 3 4 12 31111 6 M59 10100 000132 0000R 00001 00134</t>
  </si>
  <si>
    <t>5 1 1 3 4 12 31111 6 M59 10100 000132 0000R 00001 00134 015</t>
  </si>
  <si>
    <t>5 1 1 3 4 12 31111 6 M59 10100 000132 0000R 00001 00134 015 2111100</t>
  </si>
  <si>
    <t>5 1 1 3 4 12 31111 6 M59 10100 000132 0000R 00001 00134 015 2111100 2024</t>
  </si>
  <si>
    <t>5 1 1 3 4 12 31111 6 M59 10100 000132 0000R 00001 00134 015 2111100 2024 CP1CO438</t>
  </si>
  <si>
    <t>5 1 1 3 4 12 31111 6 M59 10100 000132 0000R 00001 00134 015 2111100 2024 CP1CO438 001</t>
  </si>
  <si>
    <t>5 1 1 3 4 12 31111 6 M59 10100 000132 0000R 00001 00134 015 2111100 2024 CP1CO438 001 0000001</t>
  </si>
  <si>
    <t>5 1 1 3 4 12 31111 6 M59 10300</t>
  </si>
  <si>
    <t>5 1 1 3 4 12 31111 6 M59 10300 000132</t>
  </si>
  <si>
    <t>5 1 1 3 4 12 31111 6 M59 10300 000132 0000R</t>
  </si>
  <si>
    <t>5 1 1 3 4 12 31111 6 M59 10300 000132 0000R 00001</t>
  </si>
  <si>
    <t>5 1 1 3 4 12 31111 6 M59 10300 000132 0000R 00001 00134</t>
  </si>
  <si>
    <t>5 1 1 3 4 12 31111 6 M59 10300 000132 0000R 00001 00134 015</t>
  </si>
  <si>
    <t>5 1 1 3 4 12 31111 6 M59 10300 000132 0000R 00001 00134 015 2111100</t>
  </si>
  <si>
    <t>5 1 1 3 4 12 31111 6 M59 10300 000132 0000R 00001 00134 015 2111100 2024</t>
  </si>
  <si>
    <t>5 1 1 3 4 12 31111 6 M59 10300 000132 0000R 00001 00134 015 2111100 2024 CP1GE413</t>
  </si>
  <si>
    <t>5 1 1 3 4 12 31111 6 M59 10300 000132 0000R 00001 00134 015 2111100 2024 CP1GE413 001</t>
  </si>
  <si>
    <t>5 1 1 3 4 12 31111 6 M59 10300 000132 0000R 00001 00134 015 2111100 2024 CP1GE413 001 0000001</t>
  </si>
  <si>
    <t>COMPENSACIONES VARIAS</t>
  </si>
  <si>
    <t>5 1 1 3 4 12 31111 6 M59 10500</t>
  </si>
  <si>
    <t>5 1 1 3 4 12 31111 6 M59 10500 000132</t>
  </si>
  <si>
    <t>5 1 1 3 4 12 31111 6 M59 10500 000132 0000R</t>
  </si>
  <si>
    <t>5 1 1 3 4 12 31111 6 M59 10500 000132 0000R 00001</t>
  </si>
  <si>
    <t>5 1 1 3 4 12 31111 6 M59 10500 000132 0000R 00001 00134</t>
  </si>
  <si>
    <t>5 1 1 3 4 12 31111 6 M59 10500 000132 0000R 00001 00134 015</t>
  </si>
  <si>
    <t>5 1 1 3 4 12 31111 6 M59 10500 000132 0000R 00001 00134 015 2111100</t>
  </si>
  <si>
    <t>5 1 1 3 4 12 31111 6 M59 10500 000132 0000R 00001 00134 015 2111100 2024</t>
  </si>
  <si>
    <t>5 1 1 3 4 12 31111 6 M59 10500 000132 0000R 00001 00134 015 2111100 2024 CP1CS421</t>
  </si>
  <si>
    <t>5 1 1 3 4 12 31111 6 M59 10500 000132 0000R 00001 00134 015 2111100 2024 CP1CS421 001</t>
  </si>
  <si>
    <t>5 1 1 3 4 12 31111 6 M59 10500 000132 0000R 00001 00134 015 2111100 2024 CP1CS421 001 0000001</t>
  </si>
  <si>
    <t>5 1 1 3 4 12 31111 6 M59 10700</t>
  </si>
  <si>
    <t>5 1 1 3 4 12 31111 6 M59 10700 000132</t>
  </si>
  <si>
    <t>5 1 1 3 4 12 31111 6 M59 10700 000132 0000R</t>
  </si>
  <si>
    <t>5 1 1 3 4 12 31111 6 M59 10700 000132 0000R 00001</t>
  </si>
  <si>
    <t>5 1 1 3 4 12 31111 6 M59 10700 000132 0000R 00001 00134</t>
  </si>
  <si>
    <t>5 1 1 3 4 12 31111 6 M59 10700 000132 0000R 00001 00134 015</t>
  </si>
  <si>
    <t>5 1 1 3 4 12 31111 6 M59 10700 000132 0000R 00001 00134 015 2111100</t>
  </si>
  <si>
    <t>5 1 1 3 4 12 31111 6 M59 10700 000132 0000R 00001 00134 015 2111100 2024</t>
  </si>
  <si>
    <t>5 1 1 3 4 12 31111 6 M59 10700 000132 0000R 00001 00134 015 2111100 2024 CP1GB435</t>
  </si>
  <si>
    <t>5 1 1 3 4 12 31111 6 M59 10700 000132 0000R 00001 00134 015 2111100 2024 CP1GB435 001</t>
  </si>
  <si>
    <t>5 1 1 3 4 12 31111 6 M59 10700 000132 0000R 00001 00134 015 2111100 2024 CP1GB435 001 0000001</t>
  </si>
  <si>
    <t>5 1 1 3 4 12 31111 6 M59 10800</t>
  </si>
  <si>
    <t>5 1 1 3 4 12 31111 6 M59 10800 000132</t>
  </si>
  <si>
    <t>5 1 1 3 4 12 31111 6 M59 10800 000132 0000R</t>
  </si>
  <si>
    <t>5 1 1 3 4 12 31111 6 M59 10800 000132 0000R 00001</t>
  </si>
  <si>
    <t>5 1 1 3 4 12 31111 6 M59 10800 000132 0000R 00001 00134</t>
  </si>
  <si>
    <t>5 1 1 3 4 12 31111 6 M59 10800 000132 0000R 00001 00134 015</t>
  </si>
  <si>
    <t>5 1 1 3 4 12 31111 6 M59 10800 000132 0000R 00001 00134 015 2111100</t>
  </si>
  <si>
    <t>5 1 1 3 4 12 31111 6 M59 10800 000132 0000R 00001 00134 015 2111100 2024</t>
  </si>
  <si>
    <t>5 1 1 3 4 12 31111 6 M59 10800 000132 0000R 00001 00134 015 2111100 2024 CP1SR390</t>
  </si>
  <si>
    <t>5 1 1 3 4 12 31111 6 M59 10800 000132 0000R 00001 00134 015 2111100 2024 CP1SR390 001</t>
  </si>
  <si>
    <t>5 1 1 3 4 12 31111 6 M59 10800 000132 0000R 00001 00134 015 2111100 2024 CP1SR390 001 0000001</t>
  </si>
  <si>
    <t>COMPENSACION ORDINARIA</t>
  </si>
  <si>
    <t>5 1 1 3 4 12 31111 6 M59 11000</t>
  </si>
  <si>
    <t>5 1 1 3 4 12 31111 6 M59 11000 000132</t>
  </si>
  <si>
    <t>5 1 1 3 4 12 31111 6 M59 11000 000132 0000R</t>
  </si>
  <si>
    <t>5 1 1 3 4 12 31111 6 M59 11000 000132 0000R 00001</t>
  </si>
  <si>
    <t>5 1 1 3 4 12 31111 6 M59 11000 000132 0000R 00001 00134</t>
  </si>
  <si>
    <t>5 1 1 3 4 12 31111 6 M59 11000 000132 0000R 00001 00134 015</t>
  </si>
  <si>
    <t>5 1 1 3 4 12 31111 6 M59 11000 000132 0000R 00001 00134 015 2111100</t>
  </si>
  <si>
    <t>5 1 1 3 4 12 31111 6 M59 11000 000132 0000R 00001 00134 015 2111100 2024</t>
  </si>
  <si>
    <t>5 1 1 3 4 12 31111 6 M59 11000 000132 0000R 00001 00134 015 2111100 2024 CP1SM382</t>
  </si>
  <si>
    <t>5 1 1 3 4 12 31111 6 M59 11000 000132 0000R 00001 00134 015 2111100 2024 CP1SM382 001</t>
  </si>
  <si>
    <t>5 1 1 3 4 12 31111 6 M59 11000 000132 0000R 00001 00134 015 2111100 2024 CP1SM382 001 0000001</t>
  </si>
  <si>
    <t>5 1 1 3 4 12 31111 6 M59 12000</t>
  </si>
  <si>
    <t>5 1 1 3 4 12 31111 6 M59 12000 000121</t>
  </si>
  <si>
    <t>5 1 1 3 4 12 31111 6 M59 12000 000121 0000E</t>
  </si>
  <si>
    <t>5 1 1 3 4 12 31111 6 M59 12000 000121 0000E 00001</t>
  </si>
  <si>
    <t>5 1 1 3 4 12 31111 6 M59 12000 000121 0000E 00001 00134</t>
  </si>
  <si>
    <t>5 1 1 3 4 12 31111 6 M59 12000 000121 0000E 00001 00134 015</t>
  </si>
  <si>
    <t>5 1 1 3 4 12 31111 6 M59 12000 000121 0000E 00001 00134 015 2111100</t>
  </si>
  <si>
    <t>5 1 1 3 4 12 31111 6 M59 12000 000121 0000E 00001 00134 015 2111100 2024</t>
  </si>
  <si>
    <t>5 1 1 3 4 12 31111 6 M59 12000 000121 0000E 00001 00134 015 2111100 2024 CP1CI591</t>
  </si>
  <si>
    <t>5 1 1 3 4 12 31111 6 M59 12000 000121 0000E 00001 00134 015 2111100 2024 CP1CI591 001</t>
  </si>
  <si>
    <t>5 1 1 3 4 12 31111 6 M59 12000 000121 0000E 00001 00134 015 2111100 2024 CP1CI591 001 0000001</t>
  </si>
  <si>
    <t>5 1 1 3 4 12 31111 6 M59 19000</t>
  </si>
  <si>
    <t>5 1 1 3 4 12 31111 6 M59 19000 000132</t>
  </si>
  <si>
    <t>5 1 1 3 4 12 31111 6 M59 19000 000132 0000R</t>
  </si>
  <si>
    <t>5 1 1 3 4 12 31111 6 M59 19000 000132 0000R 00001</t>
  </si>
  <si>
    <t>5 1 1 3 4 12 31111 6 M59 19000 000132 0000R 00001 00134</t>
  </si>
  <si>
    <t>5 1 1 3 4 12 31111 6 M59 19000 000132 0000R 00001 00134 015</t>
  </si>
  <si>
    <t>5 1 1 3 4 12 31111 6 M59 19000 000132 0000R 00001 00134 015 2111100</t>
  </si>
  <si>
    <t>5 1 1 3 4 12 31111 6 M59 19000 000132 0000R 00001 00134 015 2111100 2024</t>
  </si>
  <si>
    <t>5 1 1 3 4 12 31111 6 M59 19000 000132 0000R 00001 00134 015 2111100 2024 CP1TM440</t>
  </si>
  <si>
    <t>5 1 1 3 4 12 31111 6 M59 19000 000132 0000R 00001 00134 015 2111100 2024 CP1TM440 001</t>
  </si>
  <si>
    <t>5 1 1 3 4 12 31111 6 M59 19000 000132 0000R 00001 00134 015 2111100 2024 CP1TM440 001 0000001</t>
  </si>
  <si>
    <t>5 1 1 3 4 12 31111 6 M59 20200</t>
  </si>
  <si>
    <t>5 1 1 3 4 12 31111 6 M59 20200 000132</t>
  </si>
  <si>
    <t>5 1 1 3 4 12 31111 6 M59 20200 000132 0000R</t>
  </si>
  <si>
    <t>5 1 1 3 4 12 31111 6 M59 20200 000132 0000R 00001</t>
  </si>
  <si>
    <t>5 1 1 3 4 12 31111 6 M59 20200 000132 0000R 00001 00134</t>
  </si>
  <si>
    <t>5 1 1 3 4 12 31111 6 M59 20200 000132 0000R 00001 00134 015</t>
  </si>
  <si>
    <t>5 1 1 3 4 12 31111 6 M59 20200 000132 0000R 00001 00134 015 2111100</t>
  </si>
  <si>
    <t>5 1 1 3 4 12 31111 6 M59 20200 000132 0000R 00001 00134 015 2111100 2024</t>
  </si>
  <si>
    <t>5 1 1 3 4 12 31111 6 M59 20200 000132 0000R 00001 00134 015 2111100 2024 CP1DI411</t>
  </si>
  <si>
    <t>5 1 1 3 4 12 31111 6 M59 20200 000132 0000R 00001 00134 015 2111100 2024 CP1DI411 001</t>
  </si>
  <si>
    <t>5 1 1 3 4 12 31111 6 M59 20200 000132 0000R 00001 00134 015 2111100 2024 CP1DI411 001 0000001</t>
  </si>
  <si>
    <t>5 1 1 3 4 12 31111 6 M59 20300</t>
  </si>
  <si>
    <t>5 1 1 3 4 12 31111 6 M59 20300 000132</t>
  </si>
  <si>
    <t>5 1 1 3 4 12 31111 6 M59 20300 000132 0000R</t>
  </si>
  <si>
    <t>5 1 1 3 4 12 31111 6 M59 20300 000132 0000R 00001</t>
  </si>
  <si>
    <t>5 1 1 3 4 12 31111 6 M59 20300 000132 0000R 00001 00134</t>
  </si>
  <si>
    <t>5 1 1 3 4 12 31111 6 M59 20300 000132 0000R 00001 00134 015</t>
  </si>
  <si>
    <t>5 1 1 3 4 12 31111 6 M59 20300 000132 0000R 00001 00134 015 2111100</t>
  </si>
  <si>
    <t>5 1 1 3 4 12 31111 6 M59 20300 000132 0000R 00001 00134 015 2111100 2024</t>
  </si>
  <si>
    <t>5 1 1 3 4 12 31111 6 M59 20300 000132 0000R 00001 00134 015 2111100 2024 CP1DE415</t>
  </si>
  <si>
    <t>5 1 1 3 4 12 31111 6 M59 20300 000132 0000R 00001 00134 015 2111100 2024 CP1DE415 001</t>
  </si>
  <si>
    <t>5 1 1 3 4 12 31111 6 M59 20300 000132 0000R 00001 00134 015 2111100 2024 CP1DE415 001 0000001</t>
  </si>
  <si>
    <t>5 1 1 3 4 12 31111 6 M59 20600</t>
  </si>
  <si>
    <t>5 1 1 3 4 12 31111 6 M59 20600 000132</t>
  </si>
  <si>
    <t>5 1 1 3 4 12 31111 6 M59 20600 000132 0000R</t>
  </si>
  <si>
    <t>5 1 1 3 4 12 31111 6 M59 20600 000132 0000R 00001</t>
  </si>
  <si>
    <t>5 1 1 3 4 12 31111 6 M59 20600 000132 0000R 00001 00134</t>
  </si>
  <si>
    <t>5 1 1 3 4 12 31111 6 M59 20600 000132 0000R 00001 00134 015</t>
  </si>
  <si>
    <t>5 1 1 3 4 12 31111 6 M59 20600 000132 0000R 00001 00134 015 2111100</t>
  </si>
  <si>
    <t>5 1 1 3 4 12 31111 6 M59 20600 000132 0000R 00001 00134 015 2111100 2024</t>
  </si>
  <si>
    <t>5 1 1 3 4 12 31111 6 M59 20600 000132 0000R 00001 00134 015 2111100 2024 CP1CA380</t>
  </si>
  <si>
    <t>5 1 1 3 4 12 31111 6 M59 20600 000132 0000R 00001 00134 015 2111100 2024 CP1CA380 001</t>
  </si>
  <si>
    <t>5 1 1 3 4 12 31111 6 M59 20600 000132 0000R 00001 00134 015 2111100 2024 CP1CA380 001 0000001</t>
  </si>
  <si>
    <t>5 1 1 3 4 12 31111 6 M59 20800</t>
  </si>
  <si>
    <t>5 1 1 3 4 12 31111 6 M59 20800 000181</t>
  </si>
  <si>
    <t>5 1 1 3 4 12 31111 6 M59 20800 000181 0000R</t>
  </si>
  <si>
    <t>5 1 1 3 4 12 31111 6 M59 20800 000181 0000R 00001</t>
  </si>
  <si>
    <t>5 1 1 3 4 12 31111 6 M59 20800 000181 0000R 00001 00134</t>
  </si>
  <si>
    <t>5 1 1 3 4 12 31111 6 M59 20800 000181 0000R 00001 00134 015</t>
  </si>
  <si>
    <t>5 1 1 3 4 12 31111 6 M59 20800 000181 0000R 00001 00134 015 2111100</t>
  </si>
  <si>
    <t>5 1 1 3 4 12 31111 6 M59 20800 000181 0000R 00001 00134 015 2111100 2024</t>
  </si>
  <si>
    <t>5 1 1 3 4 12 31111 6 M59 20800 000181 0000R 00001 00134 015 2111100 2024 CP1AA392</t>
  </si>
  <si>
    <t>5 1 1 3 4 12 31111 6 M59 20800 000181 0000R 00001 00134 015 2111100 2024 CP1AA392 001</t>
  </si>
  <si>
    <t>5 1 1 3 4 12 31111 6 M59 20800 000181 0000R 00001 00134 015 2111100 2024 CP1AA392 001 0000001</t>
  </si>
  <si>
    <t>5 1 1 3 4 12 31111 6 M59 30000</t>
  </si>
  <si>
    <t>5 1 1 3 4 12 31111 6 M59 30000 000132</t>
  </si>
  <si>
    <t>5 1 1 3 4 12 31111 6 M59 30000 000132 0000R</t>
  </si>
  <si>
    <t>5 1 1 3 4 12 31111 6 M59 30000 000132 0000R 00001</t>
  </si>
  <si>
    <t>5 1 1 3 4 12 31111 6 M59 30000 000132 0000R 00001 00134</t>
  </si>
  <si>
    <t>5 1 1 3 4 12 31111 6 M59 30000 000132 0000R 00001 00134 015</t>
  </si>
  <si>
    <t>5 1 1 3 4 12 31111 6 M59 30000 000132 0000R 00001 00134 015 2111100</t>
  </si>
  <si>
    <t>5 1 1 3 4 12 31111 6 M59 30000 000132 0000R 00001 00134 015 2111100 2024</t>
  </si>
  <si>
    <t>5 1 1 3 4 12 31111 6 M59 30000 000132 0000R 00001 00134 015 2111100 2024 CP1DU385</t>
  </si>
  <si>
    <t>5 1 1 3 4 12 31111 6 M59 30000 000132 0000R 00001 00134 015 2111100 2024 CP1DU385 001</t>
  </si>
  <si>
    <t>5 1 1 3 4 12 31111 6 M59 30000 000132 0000R 00001 00134 015 2111100 2024 CP1DU385 001 0000001</t>
  </si>
  <si>
    <t>5 1 1 3 4 12 31111 6 M59 30100</t>
  </si>
  <si>
    <t>5 1 1 3 4 12 31111 6 M59 30100 000132</t>
  </si>
  <si>
    <t>5 1 1 3 4 12 31111 6 M59 30100 000132 0000R</t>
  </si>
  <si>
    <t>5 1 1 3 4 12 31111 6 M59 30100 000132 0000R 00001</t>
  </si>
  <si>
    <t>5 1 1 3 4 12 31111 6 M59 30100 000132 0000R 00001 00134</t>
  </si>
  <si>
    <t>5 1 1 3 4 12 31111 6 M59 30100 000132 0000R 00001 00134 015</t>
  </si>
  <si>
    <t>5 1 1 3 4 12 31111 6 M59 30100 000132 0000R 00001 00134 015 2111100</t>
  </si>
  <si>
    <t>5 1 1 3 4 12 31111 6 M59 30100 000132 0000R 00001 00134 015 2111100 2024</t>
  </si>
  <si>
    <t>5 1 1 3 4 12 31111 6 M59 30100 000132 0000R 00001 00134 015 2111100 2024 CP1OP405</t>
  </si>
  <si>
    <t>5 1 1 3 4 12 31111 6 M59 30100 000132 0000R 00001 00134 015 2111100 2024 CP1OP405 001</t>
  </si>
  <si>
    <t>5 1 1 3 4 12 31111 6 M59 30100 000132 0000R 00001 00134 015 2111100 2024 CP1OP405 001 0000001</t>
  </si>
  <si>
    <t>5 1 1 3 4 12 31111 6 M59 30200</t>
  </si>
  <si>
    <t>5 1 1 3 4 12 31111 6 M59 30200 000132</t>
  </si>
  <si>
    <t>5 1 1 3 4 12 31111 6 M59 30200 000132 0000R</t>
  </si>
  <si>
    <t>5 1 1 3 4 12 31111 6 M59 30200 000132 0000R 00001</t>
  </si>
  <si>
    <t>5 1 1 3 4 12 31111 6 M59 30200 000132 0000R 00001 00134</t>
  </si>
  <si>
    <t>5 1 1 3 4 12 31111 6 M59 30200 000132 0000R 00001 00134 015</t>
  </si>
  <si>
    <t>5 1 1 3 4 12 31111 6 M59 30200 000132 0000R 00001 00134 015 2111100</t>
  </si>
  <si>
    <t>5 1 1 3 4 12 31111 6 M59 30200 000132 0000R 00001 00134 015 2111100 2024</t>
  </si>
  <si>
    <t>5 1 1 3 4 12 31111 6 M59 30200 000132 0000R 00001 00134 015 2111100 2024 CP1OT378</t>
  </si>
  <si>
    <t>5 1 1 3 4 12 31111 6 M59 30200 000132 0000R 00001 00134 015 2111100 2024 CP1OT378 001</t>
  </si>
  <si>
    <t>5 1 1 3 4 12 31111 6 M59 30200 000132 0000R 00001 00134 015 2111100 2024 CP1OT378 001 0000001</t>
  </si>
  <si>
    <t>5 1 1 3 4 12 31111 6 M59 40000</t>
  </si>
  <si>
    <t>5 1 1 3 4 12 31111 6 M59 40000 000161</t>
  </si>
  <si>
    <t>5 1 1 3 4 12 31111 6 M59 40000 000161 0000E</t>
  </si>
  <si>
    <t>5 1 1 3 4 12 31111 6 M59 40000 000161 0000E 00001</t>
  </si>
  <si>
    <t>5 1 1 3 4 12 31111 6 M59 40000 000161 0000E 00001 00134</t>
  </si>
  <si>
    <t>5 1 1 3 4 12 31111 6 M59 40000 000161 0000E 00001 00134 025</t>
  </si>
  <si>
    <t>5 1 1 3 4 12 31111 6 M59 40000 000161 0000E 00001 00134 025 2111100</t>
  </si>
  <si>
    <t>5 1 1 3 4 12 31111 6 M59 40000 000161 0000E 00001 00134 025 2111100 2024</t>
  </si>
  <si>
    <t>5 1 1 3 4 12 31111 6 M59 40000 000161 0000E 00001 00134 025 2111100 2024 CP4SP372</t>
  </si>
  <si>
    <t>5 1 1 3 4 12 31111 6 M59 40000 000161 0000E 00001 00134 025 2111100 2024 CP4SP372 003</t>
  </si>
  <si>
    <t>5 1 1 3 4 12 31111 6 M59 40000 000161 0000E 00001 00134 025 2111100 2024 CP4SP372 003 0000001</t>
  </si>
  <si>
    <t>5 1 1 3 4 12 31111 6 M59 40200</t>
  </si>
  <si>
    <t>5 1 1 3 4 12 31111 6 M59 40200 000172</t>
  </si>
  <si>
    <t>5 1 1 3 4 12 31111 6 M59 40200 000172 0000R</t>
  </si>
  <si>
    <t>5 1 1 3 4 12 31111 6 M59 40200 000172 0000R 00001</t>
  </si>
  <si>
    <t>5 1 1 3 4 12 31111 6 M59 40200 000172 0000R 00001 00134</t>
  </si>
  <si>
    <t>5 1 1 3 4 12 31111 6 M59 40200 000172 0000R 00001 00134 025</t>
  </si>
  <si>
    <t>5 1 1 3 4 12 31111 6 M59 40200 000172 0000R 00001 00134 025 2111100</t>
  </si>
  <si>
    <t>5 1 1 3 4 12 31111 6 M59 40200 000172 0000R 00001 00134 025 2111100 2024</t>
  </si>
  <si>
    <t>5 1 1 3 4 12 31111 6 M59 40200 000172 0000R 00001 00134 025 2111100 2024 CP4PC370</t>
  </si>
  <si>
    <t>5 1 1 3 4 12 31111 6 M59 40200 000172 0000R 00001 00134 025 2111100 2024 CP4PC370 003</t>
  </si>
  <si>
    <t>5 1 1 3 4 12 31111 6 M59 40200 000172 0000R 00001 00134 025 2111100 2024 CP4PC370 003 0000001</t>
  </si>
  <si>
    <t>5 1 1 3 4 12 31111 6 M59 50000</t>
  </si>
  <si>
    <t>5 1 1 3 4 12 31111 6 M59 50000 000223</t>
  </si>
  <si>
    <t>5 1 1 3 4 12 31111 6 M59 50000 000223 0000E</t>
  </si>
  <si>
    <t>5 1 1 3 4 12 31111 6 M59 50000 000223 0000E 00001</t>
  </si>
  <si>
    <t>5 1 1 3 4 12 31111 6 M59 50000 000223 0000E 00001 00134</t>
  </si>
  <si>
    <t>5 1 1 3 4 12 31111 6 M59 50000 000223 0000E 00001 00134 015</t>
  </si>
  <si>
    <t>5 1 1 3 4 12 31111 6 M59 50000 000223 0000E 00001 00134 015 2111100</t>
  </si>
  <si>
    <t>5 1 1 3 4 12 31111 6 M59 50000 000223 0000E 00001 00134 015 2111100 2024</t>
  </si>
  <si>
    <t>5 1 1 3 4 12 31111 6 M59 50000 000223 0000E 00001 00134 015 2111100 2024 CP1DA424</t>
  </si>
  <si>
    <t>5 1 1 3 4 12 31111 6 M59 50000 000223 0000E 00001 00134 015 2111100 2024 CP1DA424 001</t>
  </si>
  <si>
    <t>5 1 1 3 4 12 31111 6 M59 50000 000223 0000E 00001 00134 015 2111100 2024 CP1DA424 001 0000001</t>
  </si>
  <si>
    <t>5 1 1 3 4 12 31111 6 M59 60100</t>
  </si>
  <si>
    <t>5 1 1 3 4 12 31111 6 M59 60100 000132</t>
  </si>
  <si>
    <t>5 1 1 3 4 12 31111 6 M59 60100 000132 0000R</t>
  </si>
  <si>
    <t>5 1 1 3 4 12 31111 6 M59 60100 000132 0000R 00001</t>
  </si>
  <si>
    <t>5 1 1 3 4 12 31111 6 M59 60100 000132 0000R 00001 00134</t>
  </si>
  <si>
    <t>5 1 1 3 4 12 31111 6 M59 60100 000132 0000R 00001 00134 015</t>
  </si>
  <si>
    <t>5 1 1 3 4 12 31111 6 M59 60100 000132 0000R 00001 00134 015 2111100</t>
  </si>
  <si>
    <t>5 1 1 3 4 12 31111 6 M59 60100 000132 0000R 00001 00134 015 2111100 2024</t>
  </si>
  <si>
    <t>5 1 1 3 4 12 31111 6 M59 60100 000132 0000R 00001 00134 015 2111100 2024 CP1DM394</t>
  </si>
  <si>
    <t>5 1 1 3 4 12 31111 6 M59 60100 000132 0000R 00001 00134 015 2111100 2024 CP1DM394 001</t>
  </si>
  <si>
    <t>5 1 1 3 4 12 31111 6 M59 60100 000132 0000R 00001 00134 015 2111100 2024 CP1DM394 001 0000001</t>
  </si>
  <si>
    <t>5 1 1 3 4 12 31111 6 M59 61000</t>
  </si>
  <si>
    <t>5 1 1 3 4 12 31111 6 M59 61000 000132</t>
  </si>
  <si>
    <t>5 1 1 3 4 12 31111 6 M59 61000 000132 0000R</t>
  </si>
  <si>
    <t>5 1 1 3 4 12 31111 6 M59 61000 000132 0000R 00001</t>
  </si>
  <si>
    <t>5 1 1 3 4 12 31111 6 M59 61000 000132 0000R 00001 00134</t>
  </si>
  <si>
    <t>5 1 1 3 4 12 31111 6 M59 61000 000132 0000R 00001 00134 015</t>
  </si>
  <si>
    <t>5 1 1 3 4 12 31111 6 M59 61000 000132 0000R 00001 00134 015 2111100</t>
  </si>
  <si>
    <t>5 1 1 3 4 12 31111 6 M59 61000 000132 0000R 00001 00134 015 2111100 2024</t>
  </si>
  <si>
    <t>5 1 1 3 4 12 31111 6 M59 61000 000132 0000R 00001 00134 015 2111100 2024 CP1MI406</t>
  </si>
  <si>
    <t>5 1 1 3 4 12 31111 6 M59 61000 000132 0000R 00001 00134 015 2111100 2024 CP1MI406 001</t>
  </si>
  <si>
    <t>5 1 1 3 4 12 31111 6 M59 61000 000132 0000R 00001 00134 015 2111100 2024 CP1MI406 001 0000001</t>
  </si>
  <si>
    <t>5 1 1 3 4 12 31111 6 M59 70400</t>
  </si>
  <si>
    <t>5 1 1 3 4 12 31111 6 M59 70400 000241</t>
  </si>
  <si>
    <t>5 1 1 3 4 12 31111 6 M59 70400 000241 0000R</t>
  </si>
  <si>
    <t>5 1 1 3 4 12 31111 6 M59 70400 000241 0000R 00001</t>
  </si>
  <si>
    <t>5 1 1 3 4 12 31111 6 M59 70400 000241 0000R 00001 00134</t>
  </si>
  <si>
    <t>5 1 1 3 4 12 31111 6 M59 70400 000241 0000R 00001 00134 015</t>
  </si>
  <si>
    <t>5 1 1 3 4 12 31111 6 M59 70400 000241 0000R 00001 00134 015 2111100</t>
  </si>
  <si>
    <t>5 1 1 3 4 12 31111 6 M59 70400 000241 0000R 00001 00134 015 2111100 2024</t>
  </si>
  <si>
    <t>5 1 1 3 4 12 31111 6 M59 70400 000241 0000R 00001 00134 015 2111100 2024 CP1DD418</t>
  </si>
  <si>
    <t>5 1 1 3 4 12 31111 6 M59 70400 000241 0000R 00001 00134 015 2111100 2024 CP1DD418 001</t>
  </si>
  <si>
    <t>5 1 1 3 4 12 31111 6 M59 70400 000241 0000R 00001 00134 015 2111100 2024 CP1DD418 001 0000001</t>
  </si>
  <si>
    <t>5 1 1 3 4 12 31111 6 M59 70500</t>
  </si>
  <si>
    <t>5 1 1 3 4 12 31111 6 M59 70500 000132</t>
  </si>
  <si>
    <t>5 1 1 3 4 12 31111 6 M59 70500 000132 0000R</t>
  </si>
  <si>
    <t>5 1 1 3 4 12 31111 6 M59 70500 000132 0000R 00001</t>
  </si>
  <si>
    <t>5 1 1 3 4 12 31111 6 M59 70500 000132 0000R 00001 00134</t>
  </si>
  <si>
    <t>5 1 1 3 4 12 31111 6 M59 70500 000132 0000R 00001 00134 015</t>
  </si>
  <si>
    <t>5 1 1 3 4 12 31111 6 M59 70500 000132 0000R 00001 00134 015 2111100</t>
  </si>
  <si>
    <t>5 1 1 3 4 12 31111 6 M59 70500 000132 0000R 00001 00134 015 2111100 2024</t>
  </si>
  <si>
    <t>5 1 1 3 4 12 31111 6 M59 70500 000132 0000R 00001 00134 015 2111100 2024 CP1DT395</t>
  </si>
  <si>
    <t>5 1 1 3 4 12 31111 6 M59 70500 000132 0000R 00001 00134 015 2111100 2024 CP1DT395 001</t>
  </si>
  <si>
    <t>5 1 1 3 4 12 31111 6 M59 70500 000132 0000R 00001 00134 015 2111100 2024 CP1DT395 001 0000001</t>
  </si>
  <si>
    <t>5 1 1 3 4 12 31111 6 M59 70800</t>
  </si>
  <si>
    <t>5 1 1 3 4 12 31111 6 M59 70800 000132</t>
  </si>
  <si>
    <t>5 1 1 3 4 12 31111 6 M59 70800 000132 0000R</t>
  </si>
  <si>
    <t>5 1 1 3 4 12 31111 6 M59 70800 000132 0000R 00001</t>
  </si>
  <si>
    <t>5 1 1 3 4 12 31111 6 M59 70800 000132 0000R 00001 00134</t>
  </si>
  <si>
    <t>5 1 1 3 4 12 31111 6 M59 70800 000132 0000R 00001 00134 015</t>
  </si>
  <si>
    <t>5 1 1 3 4 12 31111 6 M59 70800 000132 0000R 00001 00134 015 2111100</t>
  </si>
  <si>
    <t>5 1 1 3 4 12 31111 6 M59 70800 000132 0000R 00001 00134 015 2111100 2024</t>
  </si>
  <si>
    <t>5 1 1 3 4 12 31111 6 M59 70800 000132 0000R 00001 00134 015 2111100 2024 CP1ED416</t>
  </si>
  <si>
    <t>5 1 1 3 4 12 31111 6 M59 70800 000132 0000R 00001 00134 015 2111100 2024 CP1ED416 001</t>
  </si>
  <si>
    <t>5 1 1 3 4 12 31111 6 M59 70800 000132 0000R 00001 00134 015 2111100 2024 CP1ED416 001 0000001</t>
  </si>
  <si>
    <t>5 1 1 3 4 12 31111 6 M59 80000</t>
  </si>
  <si>
    <t>5 1 1 3 4 12 31111 6 M59 80000 000132</t>
  </si>
  <si>
    <t>5 1 1 3 4 12 31111 6 M59 80000 000132 0000R</t>
  </si>
  <si>
    <t>5 1 1 3 4 12 31111 6 M59 80000 000132 0000R 00001</t>
  </si>
  <si>
    <t>5 1 1 3 4 12 31111 6 M59 80000 000132 0000R 00001 00134</t>
  </si>
  <si>
    <t>5 1 1 3 4 12 31111 6 M59 80000 000132 0000R 00001 00134 015</t>
  </si>
  <si>
    <t>5 1 1 3 4 12 31111 6 M59 80000 000132 0000R 00001 00134 015 2111100</t>
  </si>
  <si>
    <t>5 1 1 3 4 12 31111 6 M59 80000 000132 0000R 00001 00134 015 2111100 2024</t>
  </si>
  <si>
    <t>5 1 1 3 4 12 31111 6 M59 80000 000132 0000R 00001 00134 015 2111100 2024 CP1DR388</t>
  </si>
  <si>
    <t>5 1 1 3 4 12 31111 6 M59 80000 000132 0000R 00001 00134 015 2111100 2024 CP1DR388 001</t>
  </si>
  <si>
    <t>5 1 1 3 4 12 31111 6 M59 80000 000132 0000R 00001 00134 015 2111100 2024 CP1DR388 001 0000001</t>
  </si>
  <si>
    <t>5 1 1 3 4 12 31111 6 M59 80400</t>
  </si>
  <si>
    <t>5 1 1 3 4 12 31111 6 M59 80400 000132</t>
  </si>
  <si>
    <t>5 1 1 3 4 12 31111 6 M59 80400 000132 0000R</t>
  </si>
  <si>
    <t>5 1 1 3 4 12 31111 6 M59 80400 000132 0000R 00001</t>
  </si>
  <si>
    <t>5 1 1 3 4 12 31111 6 M59 80400 000132 0000R 00001 00134</t>
  </si>
  <si>
    <t>5 1 1 3 4 12 31111 6 M59 80400 000132 0000R 00001 00134 015</t>
  </si>
  <si>
    <t>5 1 1 3 4 12 31111 6 M59 80400 000132 0000R 00001 00134 015 2111100</t>
  </si>
  <si>
    <t>5 1 1 3 4 12 31111 6 M59 80400 000132 0000R 00001 00134 015 2111100 2024</t>
  </si>
  <si>
    <t>5 1 1 3 4 12 31111 6 M59 80400 000132 0000R 00001 00134 015 2111100 2024 CP1DP403</t>
  </si>
  <si>
    <t>5 1 1 3 4 12 31111 6 M59 80400 000132 0000R 00001 00134 015 2111100 2024 CP1DP403 001</t>
  </si>
  <si>
    <t>5 1 1 3 4 12 31111 6 M59 80400 000132 0000R 00001 00134 015 2111100 2024 CP1DP403 001 0000001</t>
  </si>
  <si>
    <t>5 1 1 3 4 12 31111 6 M59 90000</t>
  </si>
  <si>
    <t>5 1 1 3 4 12 31111 6 M59 90000 000132</t>
  </si>
  <si>
    <t>5 1 1 3 4 12 31111 6 M59 90000 000132 0000R</t>
  </si>
  <si>
    <t>5 1 1 3 4 12 31111 6 M59 90000 000132 0000R 00001</t>
  </si>
  <si>
    <t>5 1 1 3 4 12 31111 6 M59 90000 000132 0000R 00001 00134</t>
  </si>
  <si>
    <t>5 1 1 3 4 12 31111 6 M59 90000 000132 0000R 00001 00134 015</t>
  </si>
  <si>
    <t>5 1 1 3 4 12 31111 6 M59 90000 000132 0000R 00001 00134 015 2111100</t>
  </si>
  <si>
    <t>5 1 1 3 4 12 31111 6 M59 90000 000132 0000R 00001 00134 015 2111100 2024</t>
  </si>
  <si>
    <t>5 1 1 3 4 12 31111 6 M59 90000 000132 0000R 00001 00134 015 2111100 2024 CP1SG383</t>
  </si>
  <si>
    <t>5 1 1 3 4 12 31111 6 M59 90000 000132 0000R 00001 00134 015 2111100 2024 CP1SG383 001</t>
  </si>
  <si>
    <t>GASTO CORRRIENTE</t>
  </si>
  <si>
    <t>5 1 1 3 4 12 31111 6 M59 90000 000132 0000R 00001 00134 015 2111100 2024 CP1SG383 001 0000001</t>
  </si>
  <si>
    <t>5 1 1 3 4 12 31111 6 M59 91000</t>
  </si>
  <si>
    <t>5 1 1 3 4 12 31111 6 M59 91000 000132</t>
  </si>
  <si>
    <t>5 1 1 3 4 12 31111 6 M59 91000 000132 0000R</t>
  </si>
  <si>
    <t>5 1 1 3 4 12 31111 6 M59 91000 000132 0000R 00001</t>
  </si>
  <si>
    <t>5 1 1 3 4 12 31111 6 M59 91000 000132 0000R 00001 00134</t>
  </si>
  <si>
    <t>5 1 1 3 4 12 31111 6 M59 91000 000132 0000R 00001 00134 015</t>
  </si>
  <si>
    <t>5 1 1 3 4 12 31111 6 M59 91000 000132 0000R 00001 00134 015 2111100</t>
  </si>
  <si>
    <t>5 1 1 3 4 12 31111 6 M59 91000 000132 0000R 00001 00134 015 2111100 2024</t>
  </si>
  <si>
    <t>5 1 1 3 4 12 31111 6 M59 91000 000132 0000R 00001 00134 015 2111100 2024 CP1RE398</t>
  </si>
  <si>
    <t>5 1 1 3 4 12 31111 6 M59 91000 000132 0000R 00001 00134 015 2111100 2024 CP1RE398 001</t>
  </si>
  <si>
    <t>5 1 1 3 4 12 31111 6 M59 91000 000132 0000R 00001 00134 015 2111100 2024 CP1RE398 001 0000001</t>
  </si>
  <si>
    <t>5 1 1 3 4 12 31111 6 M59 92000</t>
  </si>
  <si>
    <t>5 1 1 3 4 12 31111 6 M59 92000 000181</t>
  </si>
  <si>
    <t>5 1 1 3 4 12 31111 6 M59 92000 000181 0000E</t>
  </si>
  <si>
    <t>5 1 1 3 4 12 31111 6 M59 92000 000181 0000E 00001</t>
  </si>
  <si>
    <t>5 1 1 3 4 12 31111 6 M59 92000 000181 0000E 00001 00134</t>
  </si>
  <si>
    <t>5 1 1 3 4 12 31111 6 M59 92000 000181 0000E 00001 00134 015</t>
  </si>
  <si>
    <t>5 1 1 3 4 12 31111 6 M59 92000 000181 0000E 00001 00134 015 2111100</t>
  </si>
  <si>
    <t>5 1 1 3 4 12 31111 6 M59 92000 000181 0000E 00001 00134 015 2111100 2024</t>
  </si>
  <si>
    <t>5 1 1 3 4 12 31111 6 M59 92000 000181 0000E 00001 00134 015 2111100 2024 CP1RC399</t>
  </si>
  <si>
    <t>5 1 1 3 4 12 31111 6 M59 92000 000181 0000E 00001 00134 015 2111100 2024 CP1RC399 001</t>
  </si>
  <si>
    <t>5 1 1 3 4 12 31111 6 M59 92000 000181 0000E 00001 00134 015 2111100 2024 CP1RC399 001 0000001</t>
  </si>
  <si>
    <t>5 1 1 3 4 12 31111 6 M59 94000</t>
  </si>
  <si>
    <t>5 1 1 3 4 12 31111 6 M59 94000 000181</t>
  </si>
  <si>
    <t>5 1 1 3 4 12 31111 6 M59 94000 000181 0000R</t>
  </si>
  <si>
    <t>5 1 1 3 4 12 31111 6 M59 94000 000181 0000R 00001</t>
  </si>
  <si>
    <t>5 1 1 3 4 12 31111 6 M59 94000 000181 0000R 00001 00134</t>
  </si>
  <si>
    <t>5 1 1 3 4 12 31111 6 M59 94000 000181 0000R 00001 00134 015</t>
  </si>
  <si>
    <t>5 1 1 3 4 12 31111 6 M59 94000 000181 0000R 00001 00134 015 2111100</t>
  </si>
  <si>
    <t>5 1 1 3 4 12 31111 6 M59 94000 000181 0000R 00001 00134 015 2111100 2024</t>
  </si>
  <si>
    <t>5 1 1 3 4 12 31111 6 M59 94000 000181 0000R 00001 00134 015 2111100 2024 CP1OM392</t>
  </si>
  <si>
    <t>5 1 1 3 4 12 31111 6 M59 94000 000181 0000R 00001 00134 015 2111100 2024 CP1OM392 001</t>
  </si>
  <si>
    <t>5 1 1 3 4 12 31111 6 M59 94000 000181 0000R 00001 00134 015 2111100 2024 CP1OM392 001 0000001</t>
  </si>
  <si>
    <t>5 1 1 3 4 12 31111 6 M59 95000</t>
  </si>
  <si>
    <t>5 1 1 3 4 12 31111 6 M59 95000 000139</t>
  </si>
  <si>
    <t>5 1 1 3 4 12 31111 6 M59 95000 000139 0000L</t>
  </si>
  <si>
    <t>5 1 1 3 4 12 31111 6 M59 95000 000139 0000L 00001</t>
  </si>
  <si>
    <t>5 1 1 3 4 12 31111 6 M59 95000 000139 0000L 00001 00134</t>
  </si>
  <si>
    <t>5 1 1 3 4 12 31111 6 M59 95000 000139 0000L 00001 00134 015</t>
  </si>
  <si>
    <t>5 1 1 3 4 12 31111 6 M59 95000 000139 0000L 00001 00134 015 2111100</t>
  </si>
  <si>
    <t>5 1 1 3 4 12 31111 6 M59 95000 000139 0000L 00001 00134 015 2111100 2024</t>
  </si>
  <si>
    <t>5 1 1 3 4 12 31111 6 M59 95000 000139 0000L 00001 00134 015 2111100 2024 CP1AJ437</t>
  </si>
  <si>
    <t>5 1 1 3 4 12 31111 6 M59 95000 000139 0000L 00001 00134 015 2111100 2024 CP1AJ437 001</t>
  </si>
  <si>
    <t>5 1 1 3 4 12 31111 6 M59 95000 000139 0000L 00001 00134 015 2111100 2024 CP1AJ437 001 0000001</t>
  </si>
  <si>
    <t>5 1 1 3 4 12 31111 6 M59 96000</t>
  </si>
  <si>
    <t>5 1 1 3 4 12 31111 6 M59 96000 000132</t>
  </si>
  <si>
    <t>5 1 1 3 4 12 31111 6 M59 96000 000132 0000R</t>
  </si>
  <si>
    <t>5 1 1 3 4 12 31111 6 M59 96000 000132 0000R 00001</t>
  </si>
  <si>
    <t>5 1 1 3 4 12 31111 6 M59 96000 000132 0000R 00001 00134</t>
  </si>
  <si>
    <t>5 1 1 3 4 12 31111 6 M59 96000 000132 0000R 00001 00134 015</t>
  </si>
  <si>
    <t>5 1 1 3 4 12 31111 6 M59 96000 000132 0000R 00001 00134 015 2111100</t>
  </si>
  <si>
    <t>5 1 1 3 4 12 31111 6 M59 96000 000132 0000R 00001 00134 015 2111100 2024</t>
  </si>
  <si>
    <t>5 1 1 3 4 12 31111 6 M59 96000 000132 0000R 00001 00134 015 2111100 2024 CP1PA379</t>
  </si>
  <si>
    <t>5 1 1 3 4 12 31111 6 M59 96000 000132 0000R 00001 00134 015 2111100 2024 CP1PA379 001</t>
  </si>
  <si>
    <t>5 1 1 3 4 12 31111 6 M59 96000 000132 0000R 00001 00134 015 2111100 2024 CP1PA379 001 0000001</t>
  </si>
  <si>
    <t>5 1 1 3 4 12 31111 6 M59 96200</t>
  </si>
  <si>
    <t>5 1 1 3 4 12 31111 6 M59 96200 000132</t>
  </si>
  <si>
    <t>5 1 1 3 4 12 31111 6 M59 96200 000132 0000R</t>
  </si>
  <si>
    <t>5 1 1 3 4 12 31111 6 M59 96200 000132 0000R 00001</t>
  </si>
  <si>
    <t>5 1 1 3 4 12 31111 6 M59 96200 000132 0000R 00001 00134</t>
  </si>
  <si>
    <t>5 1 1 3 4 12 31111 6 M59 96200 000132 0000R 00001 00134 015</t>
  </si>
  <si>
    <t>5 1 1 3 4 12 31111 6 M59 96200 000132 0000R 00001 00134 015 2111100</t>
  </si>
  <si>
    <t>5 1 1 3 4 12 31111 6 M59 96200 000132 0000R 00001 00134 015 2111100 2024</t>
  </si>
  <si>
    <t>5 1 1 3 4 12 31111 6 M59 96200 000132 0000R 00001 00134 015 2111100 2024 CP1AL423</t>
  </si>
  <si>
    <t>5 1 1 3 4 12 31111 6 M59 96200 000132 0000R 00001 00134 015 2111100 2024 CP1AL423 001</t>
  </si>
  <si>
    <t>5 1 1 3 4 12 31111 6 M59 96200 000132 0000R 00001 00134 015 2111100 2024 CP1AL423 001 0000001</t>
  </si>
  <si>
    <t>5 1 1 3 4 12 31111 6 M59 96300</t>
  </si>
  <si>
    <t>5 1 1 3 4 12 31111 6 M59 96300 000211</t>
  </si>
  <si>
    <t>5 1 1 3 4 12 31111 6 M59 96300 000211 0000E</t>
  </si>
  <si>
    <t>5 1 1 3 4 12 31111 6 M59 96300 000211 0000E 00001</t>
  </si>
  <si>
    <t>5 1 1 3 4 12 31111 6 M59 96300 000211 0000E 00001 00134</t>
  </si>
  <si>
    <t>5 1 1 3 4 12 31111 6 M59 96300 000211 0000E 00001 00134 015</t>
  </si>
  <si>
    <t>5 1 1 3 4 12 31111 6 M59 96300 000211 0000E 00001 00134 015 2111100</t>
  </si>
  <si>
    <t>5 1 1 3 4 12 31111 6 M59 96300 000211 0000E 00001 00134 015 2111100 2024</t>
  </si>
  <si>
    <t>5 1 1 3 4 12 31111 6 M59 96300 000211 0000E 00001 00134 015 2111100 2024 CP1SB396</t>
  </si>
  <si>
    <t>5 1 1 3 4 12 31111 6 M59 96300 000211 0000E 00001 00134 015 2111100 2024 CP1SB396 001</t>
  </si>
  <si>
    <t>5 1 1 3 4 12 31111 6 M59 96300 000211 0000E 00001 00134 015 2111100 2024 CP1SB396 001 0000001</t>
  </si>
  <si>
    <t>5 1 1 3 4 12 31111 6 M59 97000</t>
  </si>
  <si>
    <t>5 1 1 3 4 12 31111 6 M59 97000 000132</t>
  </si>
  <si>
    <t>5 1 1 3 4 12 31111 6 M59 97000 000132 0000R</t>
  </si>
  <si>
    <t>5 1 1 3 4 12 31111 6 M59 97000 000132 0000R 00001</t>
  </si>
  <si>
    <t>5 1 1 3 4 12 31111 6 M59 97000 000132 0000R 00001 00134</t>
  </si>
  <si>
    <t>5 1 1 3 4 12 31111 6 M59 97000 000132 0000R 00001 00134 015</t>
  </si>
  <si>
    <t>5 1 1 3 4 12 31111 6 M59 97000 000132 0000R 00001 00134 015 2111100</t>
  </si>
  <si>
    <t>5 1 1 3 4 12 31111 6 M59 97000 000132 0000R 00001 00134 015 2111100 2024</t>
  </si>
  <si>
    <t>5 1 1 3 4 12 31111 6 M59 97000 000132 0000R 00001 00134 015 2111100 2024 CP1SP428</t>
  </si>
  <si>
    <t>5 1 1 3 4 12 31111 6 M59 97000 000132 0000R 00001 00134 015 2111100 2024 CP1SP428 001</t>
  </si>
  <si>
    <t>5 1 1 3 4 12 31111 6 M59 97000 000132 0000R 00001 00134 015 2111100 2024 CP1SP428 001 0000001</t>
  </si>
  <si>
    <t>5 1 1 4</t>
  </si>
  <si>
    <t>SEGURIDAD SOCIAL</t>
  </si>
  <si>
    <t>5 1 1 4 1</t>
  </si>
  <si>
    <t>APORTACIONES DE SEGURIDAD SOCIAL</t>
  </si>
  <si>
    <t>5 1 1 4 1 12</t>
  </si>
  <si>
    <t>5 1 1 4 1 12 31111</t>
  </si>
  <si>
    <t>5 1 1 4 1 12 31111 6</t>
  </si>
  <si>
    <t>5 1 1 4 1 12 31111 6 M59</t>
  </si>
  <si>
    <t>5 1 1 4 1 12 31111 6 M59 10500</t>
  </si>
  <si>
    <t>5 1 1 4 1 12 31111 6 M59 10500 000132</t>
  </si>
  <si>
    <t>5 1 1 4 1 12 31111 6 M59 10500 000132 0000R</t>
  </si>
  <si>
    <t>5 1 1 4 1 12 31111 6 M59 10500 000132 0000R 00001</t>
  </si>
  <si>
    <t>5 1 1 4 1 12 31111 6 M59 10500 000132 0000R 00001 00141</t>
  </si>
  <si>
    <t>APORTACIONES DE SEGURIDAD SOCIAL.</t>
  </si>
  <si>
    <t>5 1 1 4 1 12 31111 6 M59 10500 000132 0000R 00001 00141 015</t>
  </si>
  <si>
    <t>5 1 1 4 1 12 31111 6 M59 10500 000132 0000R 00001 00141 015 2111100</t>
  </si>
  <si>
    <t>5 1 1 4 1 12 31111 6 M59 10500 000132 0000R 00001 00141 015 2111100 2024</t>
  </si>
  <si>
    <t>5 1 1 4 1 12 31111 6 M59 10500 000132 0000R 00001 00141 015 2111100 2024 CP1CS421</t>
  </si>
  <si>
    <t>5 1 1 4 1 12 31111 6 M59 10500 000132 0000R 00001 00141 015 2111100 2024 CP1CS421 001</t>
  </si>
  <si>
    <t>5 1 1 4 1 12 31111 6 M59 10500 000132 0000R 00001 00141 015 2111100 2024 CP1CS421 001 0000001</t>
  </si>
  <si>
    <t>5 1 1 4 1 12 31111 6 M59 11000</t>
  </si>
  <si>
    <t>5 1 1 4 1 12 31111 6 M59 11000 000132</t>
  </si>
  <si>
    <t>5 1 1 4 1 12 31111 6 M59 11000 000132 0000R</t>
  </si>
  <si>
    <t>5 1 1 4 1 12 31111 6 M59 11000 000132 0000R 00001</t>
  </si>
  <si>
    <t>5 1 1 4 1 12 31111 6 M59 11000 000132 0000R 00001 00141</t>
  </si>
  <si>
    <t>5 1 1 4 1 12 31111 6 M59 11000 000132 0000R 00001 00141 015</t>
  </si>
  <si>
    <t>5 1 1 4 1 12 31111 6 M59 11000 000132 0000R 00001 00141 015 2111100</t>
  </si>
  <si>
    <t>5 1 1 4 1 12 31111 6 M59 11000 000132 0000R 00001 00141 015 2111100 2024</t>
  </si>
  <si>
    <t>5 1 1 4 1 12 31111 6 M59 11000 000132 0000R 00001 00141 015 2111100 2024 CP1SM382</t>
  </si>
  <si>
    <t>5 1 1 4 1 12 31111 6 M59 11000 000132 0000R 00001 00141 015 2111100 2024 CP1SM382 001</t>
  </si>
  <si>
    <t>5 1 1 4 1 12 31111 6 M59 11000 000132 0000R 00001 00141 015 2111100 2024 CP1SM382 001 0000001</t>
  </si>
  <si>
    <t>5 1 1 4 1 12 31111 6 M59 20500</t>
  </si>
  <si>
    <t>5 1 1 4 1 12 31111 6 M59 20500 000132</t>
  </si>
  <si>
    <t>5 1 1 4 1 12 31111 6 M59 20500 000132 0000R</t>
  </si>
  <si>
    <t>5 1 1 4 1 12 31111 6 M59 20500 000132 0000R 00001</t>
  </si>
  <si>
    <t>5 1 1 4 1 12 31111 6 M59 20500 000132 0000R 00001 00141</t>
  </si>
  <si>
    <t>5 1 1 4 1 12 31111 6 M59 20500 000132 0000R 00001 00141 015</t>
  </si>
  <si>
    <t>5 1 1 4 1 12 31111 6 M59 20500 000132 0000R 00001 00141 015 2111100</t>
  </si>
  <si>
    <t>5 1 1 4 1 12 31111 6 M59 20500 000132 0000R 00001 00141 015 2111100 2024</t>
  </si>
  <si>
    <t>5 1 1 4 1 12 31111 6 M59 20500 000132 0000R 00001 00141 015 2111100 2024 CP1CP420</t>
  </si>
  <si>
    <t>5 1 1 4 1 12 31111 6 M59 20500 000132 0000R 00001 00141 015 2111100 2024 CP1CP420 001</t>
  </si>
  <si>
    <t>5 1 1 4 1 12 31111 6 M59 20500 000132 0000R 00001 00141 015 2111100 2024 CP1CP420 001 0000001</t>
  </si>
  <si>
    <t>5 1 1 4 1 12 31111 6 M59 20600</t>
  </si>
  <si>
    <t>5 1 1 4 1 12 31111 6 M59 20600 000132</t>
  </si>
  <si>
    <t>5 1 1 4 1 12 31111 6 M59 20600 000132 0000R</t>
  </si>
  <si>
    <t>5 1 1 4 1 12 31111 6 M59 20600 000132 0000R 00001</t>
  </si>
  <si>
    <t>5 1 1 4 1 12 31111 6 M59 20600 000132 0000R 00001 00141</t>
  </si>
  <si>
    <t>5 1 1 4 1 12 31111 6 M59 20600 000132 0000R 00001 00141 015</t>
  </si>
  <si>
    <t>5 1 1 4 1 12 31111 6 M59 20600 000132 0000R 00001 00141 015 2111100</t>
  </si>
  <si>
    <t>5 1 1 4 1 12 31111 6 M59 20600 000132 0000R 00001 00141 015 2111100 2024</t>
  </si>
  <si>
    <t>5 1 1 4 1 12 31111 6 M59 20600 000132 0000R 00001 00141 015 2111100 2024 CP1CA380</t>
  </si>
  <si>
    <t>5 1 1 4 1 12 31111 6 M59 20600 000132 0000R 00001 00141 015 2111100 2024 CP1CA380 001</t>
  </si>
  <si>
    <t>5 1 1 4 1 12 31111 6 M59 20600 000132 0000R 00001 00141 015 2111100 2024 CP1CA380 001 0000001</t>
  </si>
  <si>
    <t>5 1 1 4 1 12 31111 6 M59 22000</t>
  </si>
  <si>
    <t>5 1 1 4 1 12 31111 6 M59 22000 000132</t>
  </si>
  <si>
    <t>5 1 1 4 1 12 31111 6 M59 22000 000132 0000R</t>
  </si>
  <si>
    <t>5 1 1 4 1 12 31111 6 M59 22000 000132 0000R 00001</t>
  </si>
  <si>
    <t>5 1 1 4 1 12 31111 6 M59 22000 000132 0000R 00001 00141</t>
  </si>
  <si>
    <t>5 1 1 4 1 12 31111 6 M59 22000 000132 0000R 00001 00141 015</t>
  </si>
  <si>
    <t>5 1 1 4 1 12 31111 6 M59 22000 000132 0000R 00001 00141 015 2111100</t>
  </si>
  <si>
    <t>5 1 1 4 1 12 31111 6 M59 22000 000132 0000R 00001 00141 015 2111100 2024</t>
  </si>
  <si>
    <t>5 1 1 4 1 12 31111 6 M59 22000 000132 0000R 00001 00141 015 2111100 2024 CP1PL384</t>
  </si>
  <si>
    <t>5 1 1 4 1 12 31111 6 M59 22000 000132 0000R 00001 00141 015 2111100 2024 CP1PL384 001</t>
  </si>
  <si>
    <t>5 1 1 4 1 12 31111 6 M59 22000 000132 0000R 00001 00141 015 2111100 2024 CP1PL384 001 0000001</t>
  </si>
  <si>
    <t>5 1 1 4 1 12 31111 6 M59 30100</t>
  </si>
  <si>
    <t>5 1 1 4 1 12 31111 6 M59 30100 000132</t>
  </si>
  <si>
    <t>5 1 1 4 1 12 31111 6 M59 30100 000132 0000R</t>
  </si>
  <si>
    <t>5 1 1 4 1 12 31111 6 M59 30100 000132 0000R 00001</t>
  </si>
  <si>
    <t>5 1 1 4 1 12 31111 6 M59 30100 000132 0000R 00001 00141</t>
  </si>
  <si>
    <t>5 1 1 4 1 12 31111 6 M59 30100 000132 0000R 00001 00141 015</t>
  </si>
  <si>
    <t>5 1 1 4 1 12 31111 6 M59 30100 000132 0000R 00001 00141 015 2111100</t>
  </si>
  <si>
    <t>5 1 1 4 1 12 31111 6 M59 30100 000132 0000R 00001 00141 015 2111100 2024</t>
  </si>
  <si>
    <t>5 1 1 4 1 12 31111 6 M59 30100 000132 0000R 00001 00141 015 2111100 2024 CP1OP405</t>
  </si>
  <si>
    <t>5 1 1 4 1 12 31111 6 M59 30100 000132 0000R 00001 00141 015 2111100 2024 CP1OP405 001</t>
  </si>
  <si>
    <t>5 1 1 4 1 12 31111 6 M59 30100 000132 0000R 00001 00141 015 2111100 2024 CP1OP405 001 0000001</t>
  </si>
  <si>
    <t>5 1 1 4 1 12 31111 6 M59 40200</t>
  </si>
  <si>
    <t>5 1 1 4 1 12 31111 6 M59 40200 000172</t>
  </si>
  <si>
    <t>5 1 1 4 1 12 31111 6 M59 40200 000172 0000R</t>
  </si>
  <si>
    <t>5 1 1 4 1 12 31111 6 M59 40200 000172 0000R 00001</t>
  </si>
  <si>
    <t>5 1 1 4 1 12 31111 6 M59 40200 000172 0000R 00001 00141</t>
  </si>
  <si>
    <t>5 1 1 4 1 12 31111 6 M59 40200 000172 0000R 00001 00141 025</t>
  </si>
  <si>
    <t>5 1 1 4 1 12 31111 6 M59 40200 000172 0000R 00001 00141 025 2111100</t>
  </si>
  <si>
    <t>5 1 1 4 1 12 31111 6 M59 40200 000172 0000R 00001 00141 025 2111100 2024</t>
  </si>
  <si>
    <t>5 1 1 4 1 12 31111 6 M59 40200 000172 0000R 00001 00141 025 2111100 2024 CP4PC370</t>
  </si>
  <si>
    <t>5 1 1 4 1 12 31111 6 M59 40200 000172 0000R 00001 00141 025 2111100 2024 CP4PC370 003</t>
  </si>
  <si>
    <t>5 1 1 4 1 12 31111 6 M59 40200 000172 0000R 00001 00141 025 2111100 2024 CP4PC370 003 0000001</t>
  </si>
  <si>
    <t>5 1 1 4 1 12 31111 6 M59 50000</t>
  </si>
  <si>
    <t>5 1 1 4 1 12 31111 6 M59 50000 000223</t>
  </si>
  <si>
    <t>5 1 1 4 1 12 31111 6 M59 50000 000223 0000E</t>
  </si>
  <si>
    <t>5 1 1 4 1 12 31111 6 M59 50000 000223 0000E 00001</t>
  </si>
  <si>
    <t>5 1 1 4 1 12 31111 6 M59 50000 000223 0000E 00001 00141</t>
  </si>
  <si>
    <t>5 1 1 4 1 12 31111 6 M59 50000 000223 0000E 00001 00141 015</t>
  </si>
  <si>
    <t>5 1 1 4 1 12 31111 6 M59 50000 000223 0000E 00001 00141 015 2111100</t>
  </si>
  <si>
    <t>5 1 1 4 1 12 31111 6 M59 50000 000223 0000E 00001 00141 015 2111100 2024</t>
  </si>
  <si>
    <t>5 1 1 4 1 12 31111 6 M59 50000 000223 0000E 00001 00141 015 2111100 2024 CP1DA424</t>
  </si>
  <si>
    <t>5 1 1 4 1 12 31111 6 M59 50000 000223 0000E 00001 00141 015 2111100 2024 CP1DA424 001</t>
  </si>
  <si>
    <t>5 1 1 4 1 12 31111 6 M59 50000 000223 0000E 00001 00141 015 2111100 2024 CP1DA424 001 0000001</t>
  </si>
  <si>
    <t>5 1 1 4 1 12 31111 6 M59 60100</t>
  </si>
  <si>
    <t>5 1 1 4 1 12 31111 6 M59 60100 000132</t>
  </si>
  <si>
    <t>5 1 1 4 1 12 31111 6 M59 60100 000132 0000R</t>
  </si>
  <si>
    <t>5 1 1 4 1 12 31111 6 M59 60100 000132 0000R 00001</t>
  </si>
  <si>
    <t>5 1 1 4 1 12 31111 6 M59 60100 000132 0000R 00001 00141</t>
  </si>
  <si>
    <t>5 1 1 4 1 12 31111 6 M59 60100 000132 0000R 00001 00141 015</t>
  </si>
  <si>
    <t>5 1 1 4 1 12 31111 6 M59 60100 000132 0000R 00001 00141 015 2111100</t>
  </si>
  <si>
    <t>5 1 1 4 1 12 31111 6 M59 60100 000132 0000R 00001 00141 015 2111100 2024</t>
  </si>
  <si>
    <t>5 1 1 4 1 12 31111 6 M59 60100 000132 0000R 00001 00141 015 2111100 2024 CP1DM394</t>
  </si>
  <si>
    <t>5 1 1 4 1 12 31111 6 M59 60100 000132 0000R 00001 00141 015 2111100 2024 CP1DM394 001</t>
  </si>
  <si>
    <t>5 1 1 4 1 12 31111 6 M59 60100 000132 0000R 00001 00141 015 2111100 2024 CP1DM394 001 0000001</t>
  </si>
  <si>
    <t>5 1 1 4 1 12 31111 6 M59 70000</t>
  </si>
  <si>
    <t>5 1 1 4 1 12 31111 6 M59 70000 000132</t>
  </si>
  <si>
    <t>5 1 1 4 1 12 31111 6 M59 70000 000132 0000R</t>
  </si>
  <si>
    <t>5 1 1 4 1 12 31111 6 M59 70000 000132 0000R 00001</t>
  </si>
  <si>
    <t>5 1 1 4 1 12 31111 6 M59 70000 000132 0000R 00001 00141</t>
  </si>
  <si>
    <t>5 1 1 4 1 12 31111 6 M59 70000 000132 0000R 00001 00141 015</t>
  </si>
  <si>
    <t>5 1 1 4 1 12 31111 6 M59 70000 000132 0000R 00001 00141 015 2111100</t>
  </si>
  <si>
    <t>5 1 1 4 1 12 31111 6 M59 70000 000132 0000R 00001 00141 015 2111100 2024</t>
  </si>
  <si>
    <t>5 1 1 4 1 12 31111 6 M59 70000 000132 0000R 00001 00141 015 2111100 2024 CP1DS387</t>
  </si>
  <si>
    <t>5 1 1 4 1 12 31111 6 M59 70000 000132 0000R 00001 00141 015 2111100 2024 CP1DS387 001</t>
  </si>
  <si>
    <t>5 1 1 4 1 12 31111 6 M59 70000 000132 0000R 00001 00141 015 2111100 2024 CP1DS387 001 0000001</t>
  </si>
  <si>
    <t>5 1 1 4 1 12 31111 6 M59 70100</t>
  </si>
  <si>
    <t>5 1 1 4 1 12 31111 6 M59 70100 000132</t>
  </si>
  <si>
    <t>5 1 1 4 1 12 31111 6 M59 70100 000132 0000R</t>
  </si>
  <si>
    <t>5 1 1 4 1 12 31111 6 M59 70100 000132 0000R 00001</t>
  </si>
  <si>
    <t>5 1 1 4 1 12 31111 6 M59 70100 000132 0000R 00001 00141</t>
  </si>
  <si>
    <t>5 1 1 4 1 12 31111 6 M59 70100 000132 0000R 00001 00141 015</t>
  </si>
  <si>
    <t>5 1 1 4 1 12 31111 6 M59 70100 000132 0000R 00001 00141 015 2111100</t>
  </si>
  <si>
    <t>5 1 1 4 1 12 31111 6 M59 70100 000132 0000R 00001 00141 015 2111100 2024</t>
  </si>
  <si>
    <t>5 1 1 4 1 12 31111 6 M59 70100 000132 0000R 00001 00141 015 2111100 2024 CP1MM393</t>
  </si>
  <si>
    <t>5 1 1 4 1 12 31111 6 M59 70100 000132 0000R 00001 00141 015 2111100 2024 CP1MM393 001</t>
  </si>
  <si>
    <t>5 1 1 4 1 12 31111 6 M59 70100 000132 0000R 00001 00141 015 2111100 2024 CP1MM393 001 0000001</t>
  </si>
  <si>
    <t>5 1 1 4 1 12 31111 6 M59 70400</t>
  </si>
  <si>
    <t>5 1 1 4 1 12 31111 6 M59 70400 000241</t>
  </si>
  <si>
    <t>5 1 1 4 1 12 31111 6 M59 70400 000241 0000R</t>
  </si>
  <si>
    <t>5 1 1 4 1 12 31111 6 M59 70400 000241 0000R 00001</t>
  </si>
  <si>
    <t>5 1 1 4 1 12 31111 6 M59 70400 000241 0000R 00001 00141</t>
  </si>
  <si>
    <t>5 1 1 4 1 12 31111 6 M59 70400 000241 0000R 00001 00141 015</t>
  </si>
  <si>
    <t>5 1 1 4 1 12 31111 6 M59 70400 000241 0000R 00001 00141 015 2111100</t>
  </si>
  <si>
    <t>5 1 1 4 1 12 31111 6 M59 70400 000241 0000R 00001 00141 015 2111100 2024</t>
  </si>
  <si>
    <t>5 1 1 4 1 12 31111 6 M59 70400 000241 0000R 00001 00141 015 2111100 2024 CP1DD418</t>
  </si>
  <si>
    <t>5 1 1 4 1 12 31111 6 M59 70400 000241 0000R 00001 00141 015 2111100 2024 CP1DD418 001</t>
  </si>
  <si>
    <t>5 1 1 4 1 12 31111 6 M59 70400 000241 0000R 00001 00141 015 2111100 2024 CP1DD418 001 0000001</t>
  </si>
  <si>
    <t>5 1 1 4 1 12 31111 6 M59 90000</t>
  </si>
  <si>
    <t>5 1 1 4 1 12 31111 6 M59 90000 000132</t>
  </si>
  <si>
    <t>5 1 1 4 1 12 31111 6 M59 90000 000132 0000R</t>
  </si>
  <si>
    <t>5 1 1 4 1 12 31111 6 M59 90000 000132 0000R 00001</t>
  </si>
  <si>
    <t>5 1 1 4 1 12 31111 6 M59 90000 000132 0000R 00001 00141</t>
  </si>
  <si>
    <t>5 1 1 4 1 12 31111 6 M59 90000 000132 0000R 00001 00141 015</t>
  </si>
  <si>
    <t>5 1 1 4 1 12 31111 6 M59 90000 000132 0000R 00001 00141 015 2111100</t>
  </si>
  <si>
    <t>5 1 1 4 1 12 31111 6 M59 90000 000132 0000R 00001 00141 015 2111100 2024</t>
  </si>
  <si>
    <t>5 1 1 4 1 12 31111 6 M59 90000 000132 0000R 00001 00141 015 2111100 2024 CP1SG383</t>
  </si>
  <si>
    <t>5 1 1 4 1 12 31111 6 M59 90000 000132 0000R 00001 00141 015 2111100 2024 CP1SG383 001</t>
  </si>
  <si>
    <t>5 1 1 4 1 12 31111 6 M59 90000 000132 0000R 00001 00141 015 2111100 2024 CP1SG383 001 0000001</t>
  </si>
  <si>
    <t>5 1 1 4 1 12 31111 6 M59 91000</t>
  </si>
  <si>
    <t>5 1 1 4 1 12 31111 6 M59 91000 000132</t>
  </si>
  <si>
    <t>5 1 1 4 1 12 31111 6 M59 91000 000132 0000R</t>
  </si>
  <si>
    <t>5 1 1 4 1 12 31111 6 M59 91000 000132 0000R 00001</t>
  </si>
  <si>
    <t>5 1 1 4 1 12 31111 6 M59 91000 000132 0000R 00001 00141</t>
  </si>
  <si>
    <t>5 1 1 4 1 12 31111 6 M59 91000 000132 0000R 00001 00141 015</t>
  </si>
  <si>
    <t>5 1 1 4 1 12 31111 6 M59 91000 000132 0000R 00001 00141 015 2111100</t>
  </si>
  <si>
    <t>5 1 1 4 1 12 31111 6 M59 91000 000132 0000R 00001 00141 015 2111100 2024</t>
  </si>
  <si>
    <t>5 1 1 4 1 12 31111 6 M59 91000 000132 0000R 00001 00141 015 2111100 2024 CP1RE398</t>
  </si>
  <si>
    <t>5 1 1 4 1 12 31111 6 M59 91000 000132 0000R 00001 00141 015 2111100 2024 CP1RE398 001</t>
  </si>
  <si>
    <t>5 1 1 4 1 12 31111 6 M59 91000 000132 0000R 00001 00141 015 2111100 2024 CP1RE398 001 0000001</t>
  </si>
  <si>
    <t>5 1 1 4 1 12 31111 6 M59 92000</t>
  </si>
  <si>
    <t>5 1 1 4 1 12 31111 6 M59 92000 000181</t>
  </si>
  <si>
    <t>5 1 1 4 1 12 31111 6 M59 92000 000181 0000E</t>
  </si>
  <si>
    <t>5 1 1 4 1 12 31111 6 M59 92000 000181 0000E 00001</t>
  </si>
  <si>
    <t>5 1 1 4 1 12 31111 6 M59 92000 000181 0000E 00001 00141</t>
  </si>
  <si>
    <t>5 1 1 4 1 12 31111 6 M59 92000 000181 0000E 00001 00141 015</t>
  </si>
  <si>
    <t>5 1 1 4 1 12 31111 6 M59 92000 000181 0000E 00001 00141 015 2111100</t>
  </si>
  <si>
    <t>5 1 1 4 1 12 31111 6 M59 92000 000181 0000E 00001 00141 015 2111100 2024</t>
  </si>
  <si>
    <t>5 1 1 4 1 12 31111 6 M59 92000 000181 0000E 00001 00141 015 2111100 2024 CP1RC399</t>
  </si>
  <si>
    <t>5 1 1 4 1 12 31111 6 M59 92000 000181 0000E 00001 00141 015 2111100 2024 CP1RC399 001</t>
  </si>
  <si>
    <t>5 1 1 4 1 12 31111 6 M59 92000 000181 0000E 00001 00141 015 2111100 2024 CP1RC399 001 0000001</t>
  </si>
  <si>
    <t>5 1 1 4 1 12 31111 6 M59 94000</t>
  </si>
  <si>
    <t>5 1 1 4 1 12 31111 6 M59 94000 000181</t>
  </si>
  <si>
    <t>5 1 1 4 1 12 31111 6 M59 94000 000181 0000R</t>
  </si>
  <si>
    <t>5 1 1 4 1 12 31111 6 M59 94000 000181 0000R 00001</t>
  </si>
  <si>
    <t>5 1 1 4 1 12 31111 6 M59 94000 000181 0000R 00001 00141</t>
  </si>
  <si>
    <t>5 1 1 4 1 12 31111 6 M59 94000 000181 0000R 00001 00141 015</t>
  </si>
  <si>
    <t>5 1 1 4 1 12 31111 6 M59 94000 000181 0000R 00001 00141 015 2111100</t>
  </si>
  <si>
    <t>5 1 1 4 1 12 31111 6 M59 94000 000181 0000R 00001 00141 015 2111100 2024</t>
  </si>
  <si>
    <t>5 1 1 4 1 12 31111 6 M59 94000 000181 0000R 00001 00141 015 2111100 2024 CP1OM392</t>
  </si>
  <si>
    <t>5 1 1 4 1 12 31111 6 M59 94000 000181 0000R 00001 00141 015 2111100 2024 CP1OM392 001</t>
  </si>
  <si>
    <t>5 1 1 4 1 12 31111 6 M59 94000 000181 0000R 00001 00141 015 2111100 2024 CP1OM392 001 0000001</t>
  </si>
  <si>
    <t>5 1 1 4 1 12 31111 6 M59 94100</t>
  </si>
  <si>
    <t>5 1 1 4 1 12 31111 6 M59 94100 000132</t>
  </si>
  <si>
    <t>5 1 1 4 1 12 31111 6 M59 94100 000132 0000R</t>
  </si>
  <si>
    <t>5 1 1 4 1 12 31111 6 M59 94100 000132 0000R 00001</t>
  </si>
  <si>
    <t>5 1 1 4 1 12 31111 6 M59 94100 000132 0000R 00001 00141</t>
  </si>
  <si>
    <t>5 1 1 4 1 12 31111 6 M59 94100 000132 0000R 00001 00141 015</t>
  </si>
  <si>
    <t>5 1 1 4 1 12 31111 6 M59 94100 000132 0000R 00001 00141 015 2111100</t>
  </si>
  <si>
    <t>5 1 1 4 1 12 31111 6 M59 94100 000132 0000R 00001 00141 015 2111100 2024</t>
  </si>
  <si>
    <t>5 1 1 4 1 12 31111 6 M59 94100 000132 0000R 00001 00141 015 2111100 2024 CP1AT427</t>
  </si>
  <si>
    <t>5 1 1 4 1 12 31111 6 M59 94100 000132 0000R 00001 00141 015 2111100 2024 CP1AT427 001</t>
  </si>
  <si>
    <t>5 1 1 4 1 12 31111 6 M59 94100 000132 0000R 00001 00141 015 2111100 2024 CP1AT427 001 0000001</t>
  </si>
  <si>
    <t>5 1 1 4 1 12 31111 6 M59 96100</t>
  </si>
  <si>
    <t>5 1 1 4 1 12 31111 6 M59 96100 000211</t>
  </si>
  <si>
    <t>5 1 1 4 1 12 31111 6 M59 96100 000211 0000U</t>
  </si>
  <si>
    <t>5 1 1 4 1 12 31111 6 M59 96100 000211 0000U 00001</t>
  </si>
  <si>
    <t>5 1 1 4 1 12 31111 6 M59 96100 000211 0000U 00001 00141</t>
  </si>
  <si>
    <t>5 1 1 4 1 12 31111 6 M59 96100 000211 0000U 00001 00141 015</t>
  </si>
  <si>
    <t>5 1 1 4 1 12 31111 6 M59 96100 000211 0000U 00001 00141 015 2111100</t>
  </si>
  <si>
    <t>5 1 1 4 1 12 31111 6 M59 96100 000211 0000U 00001 00141 015 2111100 2024</t>
  </si>
  <si>
    <t>5 1 1 4 1 12 31111 6 M59 96100 000211 0000U 00001 00141 015 2111100 2024 CP1IU412</t>
  </si>
  <si>
    <t>5 1 1 4 1 12 31111 6 M59 96100 000211 0000U 00001 00141 015 2111100 2024 CP1IU412 001</t>
  </si>
  <si>
    <t>5 1 1 4 1 12 31111 6 M59 96100 000211 0000U 00001 00141 015 2111100 2024 CP1IU412 001 0000001</t>
  </si>
  <si>
    <t>5 1 1 4 1 12 31111 6 M59 96200</t>
  </si>
  <si>
    <t>5 1 1 4 1 12 31111 6 M59 96200 000132</t>
  </si>
  <si>
    <t>5 1 1 4 1 12 31111 6 M59 96200 000132 0000R</t>
  </si>
  <si>
    <t>5 1 1 4 1 12 31111 6 M59 96200 000132 0000R 00001</t>
  </si>
  <si>
    <t>5 1 1 4 1 12 31111 6 M59 96200 000132 0000R 00001 00141</t>
  </si>
  <si>
    <t>5 1 1 4 1 12 31111 6 M59 96200 000132 0000R 00001 00141 015</t>
  </si>
  <si>
    <t>5 1 1 4 1 12 31111 6 M59 96200 000132 0000R 00001 00141 015 2111100</t>
  </si>
  <si>
    <t>5 1 1 4 1 12 31111 6 M59 96200 000132 0000R 00001 00141 015 2111100 2024</t>
  </si>
  <si>
    <t>5 1 1 4 1 12 31111 6 M59 96200 000132 0000R 00001 00141 015 2111100 2024 CP1AL423</t>
  </si>
  <si>
    <t>5 1 1 4 1 12 31111 6 M59 96200 000132 0000R 00001 00141 015 2111100 2024 CP1AL423 001</t>
  </si>
  <si>
    <t>5 1 1 4 1 12 31111 6 M59 96200 000132 0000R 00001 00141 015 2111100 2024 CP1AL423 001 0000001</t>
  </si>
  <si>
    <t>5 1 1 4 1 12 31111 6 M59 96300</t>
  </si>
  <si>
    <t>5 1 1 4 1 12 31111 6 M59 96300 000211</t>
  </si>
  <si>
    <t>5 1 1 4 1 12 31111 6 M59 96300 000211 0000E</t>
  </si>
  <si>
    <t>5 1 1 4 1 12 31111 6 M59 96300 000211 0000E 00001</t>
  </si>
  <si>
    <t>5 1 1 4 1 12 31111 6 M59 96300 000211 0000E 00001 00141</t>
  </si>
  <si>
    <t>5 1 1 4 1 12 31111 6 M59 96300 000211 0000E 00001 00141 015</t>
  </si>
  <si>
    <t>5 1 1 4 1 12 31111 6 M59 96300 000211 0000E 00001 00141 015 2111100</t>
  </si>
  <si>
    <t>5 1 1 4 1 12 31111 6 M59 96300 000211 0000E 00001 00141 015 2111100 2024</t>
  </si>
  <si>
    <t>5 1 1 4 1 12 31111 6 M59 96300 000211 0000E 00001 00141 015 2111100 2024 CP1SB396</t>
  </si>
  <si>
    <t>5 1 1 4 1 12 31111 6 M59 96300 000211 0000E 00001 00141 015 2111100 2024 CP1SB396 001</t>
  </si>
  <si>
    <t>5 1 1 4 1 12 31111 6 M59 96300 000211 0000E 00001 00141 015 2111100 2024 CP1SB396 001 0000001</t>
  </si>
  <si>
    <t>5 1 1 5</t>
  </si>
  <si>
    <t>OTRAS PRESTACIONES SOCIALES Y ECONÓMICAS</t>
  </si>
  <si>
    <t>5 1 1 5 2</t>
  </si>
  <si>
    <t>INDEMNIZACIONES</t>
  </si>
  <si>
    <t>5 1 1 5 2 12</t>
  </si>
  <si>
    <t>5 1 1 5 2 12 31111</t>
  </si>
  <si>
    <t>5 1 1 5 2 12 31111 6</t>
  </si>
  <si>
    <t>5 1 1 5 2 12 31111 6 M59</t>
  </si>
  <si>
    <t>5 1 1 5 2 12 31111 6 M59 95000</t>
  </si>
  <si>
    <t>5 1 1 5 2 12 31111 6 M59 95000 000139</t>
  </si>
  <si>
    <t>5 1 1 5 2 12 31111 6 M59 95000 000139 0000L</t>
  </si>
  <si>
    <t>5 1 1 5 2 12 31111 6 M59 95000 000139 0000L 00001</t>
  </si>
  <si>
    <t>5 1 1 5 2 12 31111 6 M59 95000 000139 0000L 00001 00152</t>
  </si>
  <si>
    <t>INDEMNIZACIONES.</t>
  </si>
  <si>
    <t>5 1 1 5 2 12 31111 6 M59 95000 000139 0000L 00001 00152 015</t>
  </si>
  <si>
    <t>5 1 1 5 2 12 31111 6 M59 95000 000139 0000L 00001 00152 015 2111100</t>
  </si>
  <si>
    <t>5 1 1 5 2 12 31111 6 M59 95000 000139 0000L 00001 00152 015 2111100 2024</t>
  </si>
  <si>
    <t>5 1 1 5 2 12 31111 6 M59 95000 000139 0000L 00001 00152 015 2111100 2024 CP1AJ437</t>
  </si>
  <si>
    <t>5 1 1 5 2 12 31111 6 M59 95000 000139 0000L 00001 00152 015 2111100 2024 CP1AJ437 001</t>
  </si>
  <si>
    <t>5 1 1 5 2 12 31111 6 M59 95000 000139 0000L 00001 00152 015 2111100 2024 CP1AJ437 001 0000001</t>
  </si>
  <si>
    <t>INDEMNIZACIONES - LIQUIDACIONES</t>
  </si>
  <si>
    <t>5 1 1 5 4</t>
  </si>
  <si>
    <t>PRESTACIONES CONTRACTUALES</t>
  </si>
  <si>
    <t>5 1 1 5 4 12</t>
  </si>
  <si>
    <t>5 1 1 5 4 12 31111</t>
  </si>
  <si>
    <t>5 1 1 5 4 12 31111 6</t>
  </si>
  <si>
    <t>5 1 1 5 4 12 31111 6 M59</t>
  </si>
  <si>
    <t>5 1 1 5 4 12 31111 6 M59 10300</t>
  </si>
  <si>
    <t>5 1 1 5 4 12 31111 6 M59 10300 000132</t>
  </si>
  <si>
    <t>5 1 1 5 4 12 31111 6 M59 10300 000132 0000R</t>
  </si>
  <si>
    <t>5 1 1 5 4 12 31111 6 M59 10300 000132 0000R 00001</t>
  </si>
  <si>
    <t>5 1 1 5 4 12 31111 6 M59 10300 000132 0000R 00001 00154</t>
  </si>
  <si>
    <t>PRESTACIONES CONTRACTUALES.</t>
  </si>
  <si>
    <t>5 1 1 5 4 12 31111 6 M59 10300 000132 0000R 00001 00154 015</t>
  </si>
  <si>
    <t>5 1 1 5 4 12 31111 6 M59 10300 000132 0000R 00001 00154 015 2111100</t>
  </si>
  <si>
    <t>5 1 1 5 4 12 31111 6 M59 10300 000132 0000R 00001 00154 015 2111100 2024</t>
  </si>
  <si>
    <t>5 1 1 5 4 12 31111 6 M59 10300 000132 0000R 00001 00154 015 2111100 2024 CP1GE413</t>
  </si>
  <si>
    <t>5 1 1 5 4 12 31111 6 M59 10300 000132 0000R 00001 00154 015 2111100 2024 CP1GE413 001</t>
  </si>
  <si>
    <t>5 1 1 5 4 12 31111 6 M59 10300 000132 0000R 00001 00154 015 2111100 2024 CP1GE413 001 0000001</t>
  </si>
  <si>
    <t>BECA PARA TRABAJADORES</t>
  </si>
  <si>
    <t>5 1 1 5 4 12 31111 6 M59 10300 000132 0000R 00001 00154 015 2111100 2024 CP1GE413 001 0000002</t>
  </si>
  <si>
    <t>DESPENSAS</t>
  </si>
  <si>
    <t>5 1 1 5 4 12 31111 6 M59 10500</t>
  </si>
  <si>
    <t>5 1 1 5 4 12 31111 6 M59 10500 000132</t>
  </si>
  <si>
    <t>5 1 1 5 4 12 31111 6 M59 10500 000132 0000R</t>
  </si>
  <si>
    <t>5 1 1 5 4 12 31111 6 M59 10500 000132 0000R 00001</t>
  </si>
  <si>
    <t>5 1 1 5 4 12 31111 6 M59 10500 000132 0000R 00001 00154</t>
  </si>
  <si>
    <t>5 1 1 5 4 12 31111 6 M59 10500 000132 0000R 00001 00154 015</t>
  </si>
  <si>
    <t>5 1 1 5 4 12 31111 6 M59 10500 000132 0000R 00001 00154 015 2111100</t>
  </si>
  <si>
    <t>5 1 1 5 4 12 31111 6 M59 10500 000132 0000R 00001 00154 015 2111100 2024</t>
  </si>
  <si>
    <t>5 1 1 5 4 12 31111 6 M59 10500 000132 0000R 00001 00154 015 2111100 2024 CP1CS421</t>
  </si>
  <si>
    <t>5 1 1 5 4 12 31111 6 M59 10500 000132 0000R 00001 00154 015 2111100 2024 CP1CS421 001</t>
  </si>
  <si>
    <t>5 1 1 5 4 12 31111 6 M59 10500 000132 0000R 00001 00154 015 2111100 2024 CP1CS421 001 0000001</t>
  </si>
  <si>
    <t>BECAS PARA TRABAJADORES</t>
  </si>
  <si>
    <t>5 1 1 5 4 12 31111 6 M59 10500 000132 0000R 00001 00154 015 2111100 2024 CP1CS421 001 0000002</t>
  </si>
  <si>
    <t>5 1 1 5 4 12 31111 6 M59 10500 000132 0000R 00001 00154 015 2111100 2024 CP1CS421 001 0000003</t>
  </si>
  <si>
    <t>BONOS</t>
  </si>
  <si>
    <t>5 1 1 5 4 12 31111 6 M59 11000</t>
  </si>
  <si>
    <t>5 1 1 5 4 12 31111 6 M59 11000 000132</t>
  </si>
  <si>
    <t>5 1 1 5 4 12 31111 6 M59 11000 000132 0000R</t>
  </si>
  <si>
    <t>5 1 1 5 4 12 31111 6 M59 11000 000132 0000R 00001</t>
  </si>
  <si>
    <t>5 1 1 5 4 12 31111 6 M59 11000 000132 0000R 00001 00154</t>
  </si>
  <si>
    <t>5 1 1 5 4 12 31111 6 M59 11000 000132 0000R 00001 00154 015</t>
  </si>
  <si>
    <t>5 1 1 5 4 12 31111 6 M59 11000 000132 0000R 00001 00154 015 2111100</t>
  </si>
  <si>
    <t>5 1 1 5 4 12 31111 6 M59 11000 000132 0000R 00001 00154 015 2111100 2024</t>
  </si>
  <si>
    <t>5 1 1 5 4 12 31111 6 M59 11000 000132 0000R 00001 00154 015 2111100 2024 CP1SM382</t>
  </si>
  <si>
    <t>5 1 1 5 4 12 31111 6 M59 11000 000132 0000R 00001 00154 015 2111100 2024 CP1SM382 001</t>
  </si>
  <si>
    <t>5 1 1 5 4 12 31111 6 M59 11000 000132 0000R 00001 00154 015 2111100 2024 CP1SM382 001 0000001</t>
  </si>
  <si>
    <t>5 1 1 5 4 12 31111 6 M59 11000 000132 0000R 00001 00154 015 2111100 2024 CP1SM382 001 0000002</t>
  </si>
  <si>
    <t>DESPENSA</t>
  </si>
  <si>
    <t>5 1 1 5 4 12 31111 6 M59 11000 000132 0000R 00001 00154 015 2111100 2024 CP1SM382 001 0000003</t>
  </si>
  <si>
    <t>5 1 1 5 4 12 31111 6 M59 20200</t>
  </si>
  <si>
    <t>5 1 1 5 4 12 31111 6 M59 20200 000132</t>
  </si>
  <si>
    <t>5 1 1 5 4 12 31111 6 M59 20200 000132 0000R</t>
  </si>
  <si>
    <t>5 1 1 5 4 12 31111 6 M59 20200 000132 0000R 00001</t>
  </si>
  <si>
    <t>5 1 1 5 4 12 31111 6 M59 20200 000132 0000R 00001 00154</t>
  </si>
  <si>
    <t>5 1 1 5 4 12 31111 6 M59 20200 000132 0000R 00001 00154 015</t>
  </si>
  <si>
    <t>5 1 1 5 4 12 31111 6 M59 20200 000132 0000R 00001 00154 015 2111100</t>
  </si>
  <si>
    <t>5 1 1 5 4 12 31111 6 M59 20200 000132 0000R 00001 00154 015 2111100 2024</t>
  </si>
  <si>
    <t>5 1 1 5 4 12 31111 6 M59 20200 000132 0000R 00001 00154 015 2111100 2024 CP1DI411</t>
  </si>
  <si>
    <t>5 1 1 5 4 12 31111 6 M59 20200 000132 0000R 00001 00154 015 2111100 2024 CP1DI411 001</t>
  </si>
  <si>
    <t>5 1 1 5 4 12 31111 6 M59 20200 000132 0000R 00001 00154 015 2111100 2024 CP1DI411 001 0000001</t>
  </si>
  <si>
    <t>5 1 1 5 4 12 31111 6 M59 20200 000132 0000R 00001 00154 015 2111100 2024 CP1DI411 001 0000002</t>
  </si>
  <si>
    <t>5 1 1 5 4 12 31111 6 M59 20300</t>
  </si>
  <si>
    <t>5 1 1 5 4 12 31111 6 M59 20300 000132</t>
  </si>
  <si>
    <t>5 1 1 5 4 12 31111 6 M59 20300 000132 0000R</t>
  </si>
  <si>
    <t>5 1 1 5 4 12 31111 6 M59 20300 000132 0000R 00001</t>
  </si>
  <si>
    <t>5 1 1 5 4 12 31111 6 M59 20300 000132 0000R 00001 00154</t>
  </si>
  <si>
    <t>5 1 1 5 4 12 31111 6 M59 20300 000132 0000R 00001 00154 015</t>
  </si>
  <si>
    <t>5 1 1 5 4 12 31111 6 M59 20300 000132 0000R 00001 00154 015 2111100</t>
  </si>
  <si>
    <t>5 1 1 5 4 12 31111 6 M59 20300 000132 0000R 00001 00154 015 2111100 2024</t>
  </si>
  <si>
    <t>5 1 1 5 4 12 31111 6 M59 20300 000132 0000R 00001 00154 015 2111100 2024 CP1DE415</t>
  </si>
  <si>
    <t>5 1 1 5 4 12 31111 6 M59 20300 000132 0000R 00001 00154 015 2111100 2024 CP1DE415 001</t>
  </si>
  <si>
    <t>5 1 1 5 4 12 31111 6 M59 20300 000132 0000R 00001 00154 015 2111100 2024 CP1DE415 001 0000001</t>
  </si>
  <si>
    <t>BECA PARA TRANAJDORES</t>
  </si>
  <si>
    <t>5 1 1 5 4 12 31111 6 M59 20500</t>
  </si>
  <si>
    <t>5 1 1 5 4 12 31111 6 M59 20500 000132</t>
  </si>
  <si>
    <t>5 1 1 5 4 12 31111 6 M59 20500 000132 0000R</t>
  </si>
  <si>
    <t>5 1 1 5 4 12 31111 6 M59 20500 000132 0000R 00001</t>
  </si>
  <si>
    <t>5 1 1 5 4 12 31111 6 M59 20500 000132 0000R 00001 00154</t>
  </si>
  <si>
    <t>5 1 1 5 4 12 31111 6 M59 20500 000132 0000R 00001 00154 015</t>
  </si>
  <si>
    <t>5 1 1 5 4 12 31111 6 M59 20500 000132 0000R 00001 00154 015 2111100</t>
  </si>
  <si>
    <t>5 1 1 5 4 12 31111 6 M59 20500 000132 0000R 00001 00154 015 2111100 2024</t>
  </si>
  <si>
    <t>5 1 1 5 4 12 31111 6 M59 20500 000132 0000R 00001 00154 015 2111100 2024 CP1CP420</t>
  </si>
  <si>
    <t>5 1 1 5 4 12 31111 6 M59 20500 000132 0000R 00001 00154 015 2111100 2024 CP1CP420 001</t>
  </si>
  <si>
    <t>5 1 1 5 4 12 31111 6 M59 20500 000132 0000R 00001 00154 015 2111100 2024 CP1CP420 001 0000001</t>
  </si>
  <si>
    <t>5 1 1 5 4 12 31111 6 M59 20500 000132 0000R 00001 00154 015 2111100 2024 CP1CP420 001 0000002</t>
  </si>
  <si>
    <t>5 1 1 5 4 12 31111 6 M59 20600</t>
  </si>
  <si>
    <t>5 1 1 5 4 12 31111 6 M59 20600 000132</t>
  </si>
  <si>
    <t>5 1 1 5 4 12 31111 6 M59 20600 000132 0000R</t>
  </si>
  <si>
    <t>5 1 1 5 4 12 31111 6 M59 20600 000132 0000R 00001</t>
  </si>
  <si>
    <t>5 1 1 5 4 12 31111 6 M59 20600 000132 0000R 00001 00154</t>
  </si>
  <si>
    <t>5 1 1 5 4 12 31111 6 M59 20600 000132 0000R 00001 00154 015</t>
  </si>
  <si>
    <t>5 1 1 5 4 12 31111 6 M59 20600 000132 0000R 00001 00154 015 2111100</t>
  </si>
  <si>
    <t>5 1 1 5 4 12 31111 6 M59 20600 000132 0000R 00001 00154 015 2111100 2024</t>
  </si>
  <si>
    <t>5 1 1 5 4 12 31111 6 M59 20600 000132 0000R 00001 00154 015 2111100 2024 CP1CA380</t>
  </si>
  <si>
    <t>5 1 1 5 4 12 31111 6 M59 20600 000132 0000R 00001 00154 015 2111100 2024 CP1CA380 001</t>
  </si>
  <si>
    <t>5 1 1 5 4 12 31111 6 M59 20600 000132 0000R 00001 00154 015 2111100 2024 CP1CA380 001 0000001</t>
  </si>
  <si>
    <t>5 1 1 5 4 12 31111 6 M59 20600 000132 0000R 00001 00154 015 2111100 2024 CP1CA380 001 0000002</t>
  </si>
  <si>
    <t>5 1 1 5 4 12 31111 6 M59 21000</t>
  </si>
  <si>
    <t>5 1 1 5 4 12 31111 6 M59 21000 000132</t>
  </si>
  <si>
    <t>5 1 1 5 4 12 31111 6 M59 21000 000132 0000R</t>
  </si>
  <si>
    <t>5 1 1 5 4 12 31111 6 M59 21000 000132 0000R 00001</t>
  </si>
  <si>
    <t>5 1 1 5 4 12 31111 6 M59 21000 000132 0000R 00001 00154</t>
  </si>
  <si>
    <t>5 1 1 5 4 12 31111 6 M59 21000 000132 0000R 00001 00154 015</t>
  </si>
  <si>
    <t>5 1 1 5 4 12 31111 6 M59 21000 000132 0000R 00001 00154 015 2111100</t>
  </si>
  <si>
    <t>5 1 1 5 4 12 31111 6 M59 21000 000132 0000R 00001 00154 015 2111100 2024</t>
  </si>
  <si>
    <t>5 1 1 5 4 12 31111 6 M59 21000 000132 0000R 00001 00154 015 2111100 2024 CP1PP402</t>
  </si>
  <si>
    <t>5 1 1 5 4 12 31111 6 M59 21000 000132 0000R 00001 00154 015 2111100 2024 CP1PP402 001</t>
  </si>
  <si>
    <t>5 1 1 5 4 12 31111 6 M59 21000 000132 0000R 00001 00154 015 2111100 2024 CP1PP402 001 0000001</t>
  </si>
  <si>
    <t>5 1 1 5 4 12 31111 6 M59 21000 000132 0000R 00001 00154 015 2111100 2024 CP1PP402 001 0000002</t>
  </si>
  <si>
    <t>5 1 1 5 4 12 31111 6 M59 22000</t>
  </si>
  <si>
    <t>5 1 1 5 4 12 31111 6 M59 22000 000132</t>
  </si>
  <si>
    <t>5 1 1 5 4 12 31111 6 M59 22000 000132 0000R</t>
  </si>
  <si>
    <t>5 1 1 5 4 12 31111 6 M59 22000 000132 0000R 00001</t>
  </si>
  <si>
    <t>5 1 1 5 4 12 31111 6 M59 22000 000132 0000R 00001 00154</t>
  </si>
  <si>
    <t>5 1 1 5 4 12 31111 6 M59 22000 000132 0000R 00001 00154 015</t>
  </si>
  <si>
    <t>5 1 1 5 4 12 31111 6 M59 22000 000132 0000R 00001 00154 015 2111100</t>
  </si>
  <si>
    <t>5 1 1 5 4 12 31111 6 M59 22000 000132 0000R 00001 00154 015 2111100 2024</t>
  </si>
  <si>
    <t>5 1 1 5 4 12 31111 6 M59 22000 000132 0000R 00001 00154 015 2111100 2024 CP1PL384</t>
  </si>
  <si>
    <t>5 1 1 5 4 12 31111 6 M59 22000 000132 0000R 00001 00154 015 2111100 2024 CP1PL384 001</t>
  </si>
  <si>
    <t>5 1 1 5 4 12 31111 6 M59 22000 000132 0000R 00001 00154 015 2111100 2024 CP1PL384 001 0000001</t>
  </si>
  <si>
    <t>5 1 1 5 4 12 31111 6 M59 22000 000132 0000R 00001 00154 015 2111100 2024 CP1PL384 001 0000002</t>
  </si>
  <si>
    <t>5 1 1 5 4 12 31111 6 M59 22000 000132 0000R 00001 00154 015 2111100 2024 CP1PL384 001 0000003</t>
  </si>
  <si>
    <t>5 1 1 5 4 12 31111 6 M59 23000</t>
  </si>
  <si>
    <t>5 1 1 5 4 12 31111 6 M59 23000 000132</t>
  </si>
  <si>
    <t>5 1 1 5 4 12 31111 6 M59 23000 000132 0000R</t>
  </si>
  <si>
    <t>5 1 1 5 4 12 31111 6 M59 23000 000132 0000R 00001</t>
  </si>
  <si>
    <t>5 1 1 5 4 12 31111 6 M59 23000 000132 0000R 00001 00154</t>
  </si>
  <si>
    <t>5 1 1 5 4 12 31111 6 M59 23000 000132 0000R 00001 00154 015</t>
  </si>
  <si>
    <t>5 1 1 5 4 12 31111 6 M59 23000 000132 0000R 00001 00154 015 2111100</t>
  </si>
  <si>
    <t>5 1 1 5 4 12 31111 6 M59 23000 000132 0000R 00001 00154 015 2111100 2024</t>
  </si>
  <si>
    <t>5 1 1 5 4 12 31111 6 M59 23000 000132 0000R 00001 00154 015 2111100 2024 CP1ST377</t>
  </si>
  <si>
    <t>5 1 1 5 4 12 31111 6 M59 23000 000132 0000R 00001 00154 015 2111100 2024 CP1ST377 001</t>
  </si>
  <si>
    <t>5 1 1 5 4 12 31111 6 M59 23000 000132 0000R 00001 00154 015 2111100 2024 CP1ST377 001 0000001</t>
  </si>
  <si>
    <t>5 1 1 5 4 12 31111 6 M59 23000 000132 0000R 00001 00154 015 2111100 2024 CP1ST377 001 0000002</t>
  </si>
  <si>
    <t>5 1 1 5 4 12 31111 6 M59 30100</t>
  </si>
  <si>
    <t>5 1 1 5 4 12 31111 6 M59 30100 000132</t>
  </si>
  <si>
    <t>5 1 1 5 4 12 31111 6 M59 30100 000132 0000R</t>
  </si>
  <si>
    <t>5 1 1 5 4 12 31111 6 M59 30100 000132 0000R 00001</t>
  </si>
  <si>
    <t>5 1 1 5 4 12 31111 6 M59 30100 000132 0000R 00001 00154</t>
  </si>
  <si>
    <t>5 1 1 5 4 12 31111 6 M59 30100 000132 0000R 00001 00154 015</t>
  </si>
  <si>
    <t>5 1 1 5 4 12 31111 6 M59 30100 000132 0000R 00001 00154 015 2111100</t>
  </si>
  <si>
    <t>5 1 1 5 4 12 31111 6 M59 30100 000132 0000R 00001 00154 015 2111100 2024</t>
  </si>
  <si>
    <t>5 1 1 5 4 12 31111 6 M59 30100 000132 0000R 00001 00154 015 2111100 2024 CP1OP405</t>
  </si>
  <si>
    <t>5 1 1 5 4 12 31111 6 M59 30100 000132 0000R 00001 00154 015 2111100 2024 CP1OP405 001</t>
  </si>
  <si>
    <t>5 1 1 5 4 12 31111 6 M59 30100 000132 0000R 00001 00154 015 2111100 2024 CP1OP405 001 0000001</t>
  </si>
  <si>
    <t>5 1 1 5 4 12 31111 6 M59 30100 000132 0000R 00001 00154 015 2111100 2024 CP1OP405 001 0000002</t>
  </si>
  <si>
    <t>5 1 1 5 4 12 31111 6 M59 40000</t>
  </si>
  <si>
    <t>5 1 1 5 4 12 31111 6 M59 40000 000161</t>
  </si>
  <si>
    <t>5 1 1 5 4 12 31111 6 M59 40000 000161 0000E</t>
  </si>
  <si>
    <t>5 1 1 5 4 12 31111 6 M59 40000 000161 0000E 00001</t>
  </si>
  <si>
    <t>5 1 1 5 4 12 31111 6 M59 40000 000161 0000E 00001 00154</t>
  </si>
  <si>
    <t>5 1 1 5 4 12 31111 6 M59 40000 000161 0000E 00001 00154 025</t>
  </si>
  <si>
    <t>5 1 1 5 4 12 31111 6 M59 40000 000161 0000E 00001 00154 025 2111100</t>
  </si>
  <si>
    <t>5 1 1 5 4 12 31111 6 M59 40000 000161 0000E 00001 00154 025 2111100 2024</t>
  </si>
  <si>
    <t>5 1 1 5 4 12 31111 6 M59 40000 000161 0000E 00001 00154 025 2111100 2024 CP4SP372</t>
  </si>
  <si>
    <t>5 1 1 5 4 12 31111 6 M59 40000 000161 0000E 00001 00154 025 2111100 2024 CP4SP372 003</t>
  </si>
  <si>
    <t>5 1 1 5 4 12 31111 6 M59 40000 000161 0000E 00001 00154 025 2111100 2024 CP4SP372 003 0000001</t>
  </si>
  <si>
    <t>5 1 1 5 4 12 31111 6 M59 50000</t>
  </si>
  <si>
    <t>5 1 1 5 4 12 31111 6 M59 50000 000223</t>
  </si>
  <si>
    <t>5 1 1 5 4 12 31111 6 M59 50000 000223 0000E</t>
  </si>
  <si>
    <t>5 1 1 5 4 12 31111 6 M59 50000 000223 0000E 00001</t>
  </si>
  <si>
    <t>5 1 1 5 4 12 31111 6 M59 50000 000223 0000E 00001 00154</t>
  </si>
  <si>
    <t>5 1 1 5 4 12 31111 6 M59 50000 000223 0000E 00001 00154 015</t>
  </si>
  <si>
    <t>5 1 1 5 4 12 31111 6 M59 50000 000223 0000E 00001 00154 015 2111100</t>
  </si>
  <si>
    <t>5 1 1 5 4 12 31111 6 M59 50000 000223 0000E 00001 00154 015 2111100 2024</t>
  </si>
  <si>
    <t>5 1 1 5 4 12 31111 6 M59 50000 000223 0000E 00001 00154 015 2111100 2024 CP1DA424</t>
  </si>
  <si>
    <t>5 1 1 5 4 12 31111 6 M59 50000 000223 0000E 00001 00154 015 2111100 2024 CP1DA424 001</t>
  </si>
  <si>
    <t>5 1 1 5 4 12 31111 6 M59 50000 000223 0000E 00001 00154 015 2111100 2024 CP1DA424 001 0000001</t>
  </si>
  <si>
    <t>5 1 1 5 4 12 31111 6 M59 50000 000223 0000E 00001 00154 015 2111100 2024 CP1DA424 001 0000002</t>
  </si>
  <si>
    <t>5 1 1 5 4 12 31111 6 M59 50000 000223 0000E 00001 00154 015 2111100 2024 CP1DA424 001 0000003</t>
  </si>
  <si>
    <t>5 1 1 5 4 12 31111 6 M59 60100</t>
  </si>
  <si>
    <t>5 1 1 5 4 12 31111 6 M59 60100 000132</t>
  </si>
  <si>
    <t>5 1 1 5 4 12 31111 6 M59 60100 000132 0000R</t>
  </si>
  <si>
    <t>5 1 1 5 4 12 31111 6 M59 60100 000132 0000R 00001</t>
  </si>
  <si>
    <t>5 1 1 5 4 12 31111 6 M59 60100 000132 0000R 00001 00154</t>
  </si>
  <si>
    <t>5 1 1 5 4 12 31111 6 M59 60100 000132 0000R 00001 00154 015</t>
  </si>
  <si>
    <t>5 1 1 5 4 12 31111 6 M59 60100 000132 0000R 00001 00154 015 2111100</t>
  </si>
  <si>
    <t>5 1 1 5 4 12 31111 6 M59 60100 000132 0000R 00001 00154 015 2111100 2024</t>
  </si>
  <si>
    <t>5 1 1 5 4 12 31111 6 M59 60100 000132 0000R 00001 00154 015 2111100 2024 CP1DM394</t>
  </si>
  <si>
    <t>5 1 1 5 4 12 31111 6 M59 60100 000132 0000R 00001 00154 015 2111100 2024 CP1DM394 001</t>
  </si>
  <si>
    <t>5 1 1 5 4 12 31111 6 M59 60100 000132 0000R 00001 00154 015 2111100 2024 CP1DM394 001 0000001</t>
  </si>
  <si>
    <t>5 1 1 5 4 12 31111 6 M59 60100 000132 0000R 00001 00154 015 2111100 2024 CP1DM394 001 0000002</t>
  </si>
  <si>
    <t>5 1 1 5 4 12 31111 6 M59 60100 000132 0000R 00001 00154 015 2111100 2024 CP1DM394 001 0000003</t>
  </si>
  <si>
    <t>5 1 1 5 4 12 31111 6 M59 63000</t>
  </si>
  <si>
    <t>5 1 1 5 4 12 31111 6 M59 63000 000132</t>
  </si>
  <si>
    <t>5 1 1 5 4 12 31111 6 M59 63000 000132 0000R</t>
  </si>
  <si>
    <t>5 1 1 5 4 12 31111 6 M59 63000 000132 0000R 00001</t>
  </si>
  <si>
    <t>5 1 1 5 4 12 31111 6 M59 63000 000132 0000R 00001 00154</t>
  </si>
  <si>
    <t>5 1 1 5 4 12 31111 6 M59 63000 000132 0000R 00001 00154 015</t>
  </si>
  <si>
    <t>5 1 1 5 4 12 31111 6 M59 63000 000132 0000R 00001 00154 015 2111100</t>
  </si>
  <si>
    <t>5 1 1 5 4 12 31111 6 M59 63000 000132 0000R 00001 00154 015 2111100 2024</t>
  </si>
  <si>
    <t>5 1 1 5 4 12 31111 6 M59 63000 000132 0000R 00001 00154 015 2111100 2024 CP1PR434</t>
  </si>
  <si>
    <t>5 1 1 5 4 12 31111 6 M59 63000 000132 0000R 00001 00154 015 2111100 2024 CP1PR434 001</t>
  </si>
  <si>
    <t>5 1 1 5 4 12 31111 6 M59 63000 000132 0000R 00001 00154 015 2111100 2024 CP1PR434 001 0000001</t>
  </si>
  <si>
    <t>5 1 1 5 4 12 31111 6 M59 63000 000132 0000R 00001 00154 015 2111100 2024 CP1PR434 001 0000002</t>
  </si>
  <si>
    <t>5 1 1 5 4 12 31111 6 M59 70000</t>
  </si>
  <si>
    <t>5 1 1 5 4 12 31111 6 M59 70000 000132</t>
  </si>
  <si>
    <t>5 1 1 5 4 12 31111 6 M59 70000 000132 0000R</t>
  </si>
  <si>
    <t>5 1 1 5 4 12 31111 6 M59 70000 000132 0000R 00001</t>
  </si>
  <si>
    <t>5 1 1 5 4 12 31111 6 M59 70000 000132 0000R 00001 00154</t>
  </si>
  <si>
    <t>5 1 1 5 4 12 31111 6 M59 70000 000132 0000R 00001 00154 015</t>
  </si>
  <si>
    <t>5 1 1 5 4 12 31111 6 M59 70000 000132 0000R 00001 00154 015 2111100</t>
  </si>
  <si>
    <t>5 1 1 5 4 12 31111 6 M59 70000 000132 0000R 00001 00154 015 2111100 2024</t>
  </si>
  <si>
    <t>5 1 1 5 4 12 31111 6 M59 70000 000132 0000R 00001 00154 015 2111100 2024 CP1DS387</t>
  </si>
  <si>
    <t>5 1 1 5 4 12 31111 6 M59 70000 000132 0000R 00001 00154 015 2111100 2024 CP1DS387 001</t>
  </si>
  <si>
    <t>5 1 1 5 4 12 31111 6 M59 70000 000132 0000R 00001 00154 015 2111100 2024 CP1DS387 001 0000001</t>
  </si>
  <si>
    <t>5 1 1 5 4 12 31111 6 M59 70000 000132 0000R 00001 00154 015 2111100 2024 CP1DS387 001 0000002</t>
  </si>
  <si>
    <t>5 1 1 5 4 12 31111 6 M59 70100</t>
  </si>
  <si>
    <t>5 1 1 5 4 12 31111 6 M59 70100 000132</t>
  </si>
  <si>
    <t>5 1 1 5 4 12 31111 6 M59 70100 000132 0000R</t>
  </si>
  <si>
    <t>5 1 1 5 4 12 31111 6 M59 70100 000132 0000R 00001</t>
  </si>
  <si>
    <t>5 1 1 5 4 12 31111 6 M59 70100 000132 0000R 00001 00154</t>
  </si>
  <si>
    <t>5 1 1 5 4 12 31111 6 M59 70100 000132 0000R 00001 00154 015</t>
  </si>
  <si>
    <t>5 1 1 5 4 12 31111 6 M59 70100 000132 0000R 00001 00154 015 2111100</t>
  </si>
  <si>
    <t>5 1 1 5 4 12 31111 6 M59 70100 000132 0000R 00001 00154 015 2111100 2024</t>
  </si>
  <si>
    <t>5 1 1 5 4 12 31111 6 M59 70100 000132 0000R 00001 00154 015 2111100 2024 CP1MM393</t>
  </si>
  <si>
    <t>5 1 1 5 4 12 31111 6 M59 70100 000132 0000R 00001 00154 015 2111100 2024 CP1MM393 001</t>
  </si>
  <si>
    <t>5 1 1 5 4 12 31111 6 M59 70100 000132 0000R 00001 00154 015 2111100 2024 CP1MM393 001 0000001</t>
  </si>
  <si>
    <t>5 1 1 5 4 12 31111 6 M59 70100 000132 0000R 00001 00154 015 2111100 2024 CP1MM393 001 0000002</t>
  </si>
  <si>
    <t>5 1 1 5 4 12 31111 6 M59 70100 000132 0000R 00001 00154 015 2111100 2024 CP1MM393 001 0000003</t>
  </si>
  <si>
    <t>5 1 1 5 4 12 31111 6 M59 70400</t>
  </si>
  <si>
    <t>5 1 1 5 4 12 31111 6 M59 70400 000241</t>
  </si>
  <si>
    <t>5 1 1 5 4 12 31111 6 M59 70400 000241 0000R</t>
  </si>
  <si>
    <t>5 1 1 5 4 12 31111 6 M59 70400 000241 0000R 00001</t>
  </si>
  <si>
    <t>5 1 1 5 4 12 31111 6 M59 70400 000241 0000R 00001 00154</t>
  </si>
  <si>
    <t>5 1 1 5 4 12 31111 6 M59 70400 000241 0000R 00001 00154 015</t>
  </si>
  <si>
    <t>5 1 1 5 4 12 31111 6 M59 70400 000241 0000R 00001 00154 015 2111100</t>
  </si>
  <si>
    <t>5 1 1 5 4 12 31111 6 M59 70400 000241 0000R 00001 00154 015 2111100 2024</t>
  </si>
  <si>
    <t>5 1 1 5 4 12 31111 6 M59 70400 000241 0000R 00001 00154 015 2111100 2024 CP1DD418</t>
  </si>
  <si>
    <t>5 1 1 5 4 12 31111 6 M59 70400 000241 0000R 00001 00154 015 2111100 2024 CP1DD418 001</t>
  </si>
  <si>
    <t>5 1 1 5 4 12 31111 6 M59 70400 000241 0000R 00001 00154 015 2111100 2024 CP1DD418 001 0000001</t>
  </si>
  <si>
    <t>5 1 1 5 4 12 31111 6 M59 70400 000241 0000R 00001 00154 015 2111100 2024 CP1DD418 001 0000002</t>
  </si>
  <si>
    <t>5 1 1 5 4 12 31111 6 M59 70800</t>
  </si>
  <si>
    <t>5 1 1 5 4 12 31111 6 M59 70800 000132</t>
  </si>
  <si>
    <t>5 1 1 5 4 12 31111 6 M59 70800 000132 0000R</t>
  </si>
  <si>
    <t>5 1 1 5 4 12 31111 6 M59 70800 000132 0000R 00001</t>
  </si>
  <si>
    <t>5 1 1 5 4 12 31111 6 M59 70800 000132 0000R 00001 00154</t>
  </si>
  <si>
    <t>5 1 1 5 4 12 31111 6 M59 70800 000132 0000R 00001 00154 015</t>
  </si>
  <si>
    <t>5 1 1 5 4 12 31111 6 M59 70800 000132 0000R 00001 00154 015 2111100</t>
  </si>
  <si>
    <t>5 1 1 5 4 12 31111 6 M59 70800 000132 0000R 00001 00154 015 2111100 2024</t>
  </si>
  <si>
    <t>5 1 1 5 4 12 31111 6 M59 70800 000132 0000R 00001 00154 015 2111100 2024 CP1ED416</t>
  </si>
  <si>
    <t>5 1 1 5 4 12 31111 6 M59 70800 000132 0000R 00001 00154 015 2111100 2024 CP1ED416 001</t>
  </si>
  <si>
    <t>5 1 1 5 4 12 31111 6 M59 70800 000132 0000R 00001 00154 015 2111100 2024 CP1ED416 001 0000001</t>
  </si>
  <si>
    <t>5 1 1 5 4 12 31111 6 M59 70800 000132 0000R 00001 00154 015 2111100 2024 CP1ED416 001 0000002</t>
  </si>
  <si>
    <t>5 1 1 5 4 12 31111 6 M59 80400</t>
  </si>
  <si>
    <t>5 1 1 5 4 12 31111 6 M59 80400 000132</t>
  </si>
  <si>
    <t>5 1 1 5 4 12 31111 6 M59 80400 000132 0000R</t>
  </si>
  <si>
    <t>5 1 1 5 4 12 31111 6 M59 80400 000132 0000R 00001</t>
  </si>
  <si>
    <t>5 1 1 5 4 12 31111 6 M59 80400 000132 0000R 00001 00154</t>
  </si>
  <si>
    <t>5 1 1 5 4 12 31111 6 M59 80400 000132 0000R 00001 00154 015</t>
  </si>
  <si>
    <t>5 1 1 5 4 12 31111 6 M59 80400 000132 0000R 00001 00154 015 2111100</t>
  </si>
  <si>
    <t>5 1 1 5 4 12 31111 6 M59 80400 000132 0000R 00001 00154 015 2111100 2024</t>
  </si>
  <si>
    <t>5 1 1 5 4 12 31111 6 M59 80400 000132 0000R 00001 00154 015 2111100 2024 CP1DP403</t>
  </si>
  <si>
    <t>5 1 1 5 4 12 31111 6 M59 80400 000132 0000R 00001 00154 015 2111100 2024 CP1DP403 001</t>
  </si>
  <si>
    <t>5 1 1 5 4 12 31111 6 M59 80400 000132 0000R 00001 00154 015 2111100 2024 CP1DP403 001 0000001</t>
  </si>
  <si>
    <t>5 1 1 5 4 12 31111 6 M59 80400 000132 0000R 00001 00154 015 2111100 2024 CP1DP403 001 0000002</t>
  </si>
  <si>
    <t>5 1 1 5 4 12 31111 6 M59 80500</t>
  </si>
  <si>
    <t>5 1 1 5 4 12 31111 6 M59 80500 000216</t>
  </si>
  <si>
    <t>5 1 1 5 4 12 31111 6 M59 80500 000216 0000R</t>
  </si>
  <si>
    <t>5 1 1 5 4 12 31111 6 M59 80500 000216 0000R 00001</t>
  </si>
  <si>
    <t>5 1 1 5 4 12 31111 6 M59 80500 000216 0000R 00001 00154</t>
  </si>
  <si>
    <t>5 1 1 5 4 12 31111 6 M59 80500 000216 0000R 00001 00154 015</t>
  </si>
  <si>
    <t>5 1 1 5 4 12 31111 6 M59 80500 000216 0000R 00001 00154 015 2111100</t>
  </si>
  <si>
    <t>5 1 1 5 4 12 31111 6 M59 80500 000216 0000R 00001 00154 015 2111100 2024</t>
  </si>
  <si>
    <t>5 1 1 5 4 12 31111 6 M59 80500 000216 0000R 00001 00154 015 2111100 2024 CP1MA417</t>
  </si>
  <si>
    <t>5 1 1 5 4 12 31111 6 M59 80500 000216 0000R 00001 00154 015 2111100 2024 CP1MA417 001</t>
  </si>
  <si>
    <t>5 1 1 5 4 12 31111 6 M59 80500 000216 0000R 00001 00154 015 2111100 2024 CP1MA417 001 0000001</t>
  </si>
  <si>
    <t>5 1 1 5 4 12 31111 6 M59 80500 000216 0000R 00001 00154 015 2111100 2024 CP1MA417 001 0000002</t>
  </si>
  <si>
    <t>5 1 1 5 4 12 31111 6 M59 90000</t>
  </si>
  <si>
    <t>5 1 1 5 4 12 31111 6 M59 90000 000132</t>
  </si>
  <si>
    <t>5 1 1 5 4 12 31111 6 M59 90000 000132 0000R</t>
  </si>
  <si>
    <t>5 1 1 5 4 12 31111 6 M59 90000 000132 0000R 00001</t>
  </si>
  <si>
    <t>5 1 1 5 4 12 31111 6 M59 90000 000132 0000R 00001 00154</t>
  </si>
  <si>
    <t>5 1 1 5 4 12 31111 6 M59 90000 000132 0000R 00001 00154 015</t>
  </si>
  <si>
    <t>5 1 1 5 4 12 31111 6 M59 90000 000132 0000R 00001 00154 015 2111100</t>
  </si>
  <si>
    <t>5 1 1 5 4 12 31111 6 M59 90000 000132 0000R 00001 00154 015 2111100 2024</t>
  </si>
  <si>
    <t>5 1 1 5 4 12 31111 6 M59 90000 000132 0000R 00001 00154 015 2111100 2024 CP1SG383</t>
  </si>
  <si>
    <t>5 1 1 5 4 12 31111 6 M59 90000 000132 0000R 00001 00154 015 2111100 2024 CP1SG383 001</t>
  </si>
  <si>
    <t>5 1 1 5 4 12 31111 6 M59 90000 000132 0000R 00001 00154 015 2111100 2024 CP1SG383 001 0000001</t>
  </si>
  <si>
    <t>5 1 1 5 4 12 31111 6 M59 90000 000132 0000R 00001 00154 015 2111100 2024 CP1SG383 001 0000002</t>
  </si>
  <si>
    <t>5 1 1 5 4 12 31111 6 M59 90000 000132 0000R 00001 00154 015 2111100 2024 CP1SG383 001 0000003</t>
  </si>
  <si>
    <t>5 1 1 5 4 12 31111 6 M59 91000</t>
  </si>
  <si>
    <t>5 1 1 5 4 12 31111 6 M59 91000 000132</t>
  </si>
  <si>
    <t>5 1 1 5 4 12 31111 6 M59 91000 000132 0000R</t>
  </si>
  <si>
    <t>5 1 1 5 4 12 31111 6 M59 91000 000132 0000R 00001</t>
  </si>
  <si>
    <t>5 1 1 5 4 12 31111 6 M59 91000 000132 0000R 00001 00154</t>
  </si>
  <si>
    <t>5 1 1 5 4 12 31111 6 M59 91000 000132 0000R 00001 00154 015</t>
  </si>
  <si>
    <t>5 1 1 5 4 12 31111 6 M59 91000 000132 0000R 00001 00154 015 2111100</t>
  </si>
  <si>
    <t>5 1 1 5 4 12 31111 6 M59 91000 000132 0000R 00001 00154 015 2111100 2024</t>
  </si>
  <si>
    <t>5 1 1 5 4 12 31111 6 M59 91000 000132 0000R 00001 00154 015 2111100 2024 CP1RE398</t>
  </si>
  <si>
    <t>5 1 1 5 4 12 31111 6 M59 91000 000132 0000R 00001 00154 015 2111100 2024 CP1RE398 001</t>
  </si>
  <si>
    <t>5 1 1 5 4 12 31111 6 M59 91000 000132 0000R 00001 00154 015 2111100 2024 CP1RE398 001 0000001</t>
  </si>
  <si>
    <t>5 1 1 5 4 12 31111 6 M59 91000 000132 0000R 00001 00154 015 2111100 2024 CP1RE398 001 0000002</t>
  </si>
  <si>
    <t>5 1 1 5 4 12 31111 6 M59 91000 000132 0000R 00001 00154 015 2111100 2024 CP1RE398 001 0000003</t>
  </si>
  <si>
    <t>5 1 1 5 4 12 31111 6 M59 92000</t>
  </si>
  <si>
    <t>5 1 1 5 4 12 31111 6 M59 92000 000181</t>
  </si>
  <si>
    <t>5 1 1 5 4 12 31111 6 M59 92000 000181 0000E</t>
  </si>
  <si>
    <t>5 1 1 5 4 12 31111 6 M59 92000 000181 0000E 00001</t>
  </si>
  <si>
    <t>5 1 1 5 4 12 31111 6 M59 92000 000181 0000E 00001 00154</t>
  </si>
  <si>
    <t>5 1 1 5 4 12 31111 6 M59 92000 000181 0000E 00001 00154 015</t>
  </si>
  <si>
    <t>5 1 1 5 4 12 31111 6 M59 92000 000181 0000E 00001 00154 015 2111100</t>
  </si>
  <si>
    <t>5 1 1 5 4 12 31111 6 M59 92000 000181 0000E 00001 00154 015 2111100 2024</t>
  </si>
  <si>
    <t>5 1 1 5 4 12 31111 6 M59 92000 000181 0000E 00001 00154 015 2111100 2024 CP1RC399</t>
  </si>
  <si>
    <t>5 1 1 5 4 12 31111 6 M59 92000 000181 0000E 00001 00154 015 2111100 2024 CP1RC399 001</t>
  </si>
  <si>
    <t>5 1 1 5 4 12 31111 6 M59 92000 000181 0000E 00001 00154 015 2111100 2024 CP1RC399 001 0000001</t>
  </si>
  <si>
    <t>5 1 1 5 4 12 31111 6 M59 92000 000181 0000E 00001 00154 015 2111100 2024 CP1RC399 001 0000002</t>
  </si>
  <si>
    <t>5 1 1 5 4 12 31111 6 M59 92000 000181 0000E 00001 00154 015 2111100 2024 CP1RC399 001 0000003</t>
  </si>
  <si>
    <t>5 1 1 5 4 12 31111 6 M59 94000</t>
  </si>
  <si>
    <t>5 1 1 5 4 12 31111 6 M59 94000 000181</t>
  </si>
  <si>
    <t>5 1 1 5 4 12 31111 6 M59 94000 000181 0000R</t>
  </si>
  <si>
    <t>5 1 1 5 4 12 31111 6 M59 94000 000181 0000R 00001</t>
  </si>
  <si>
    <t>5 1 1 5 4 12 31111 6 M59 94000 000181 0000R 00001 00154</t>
  </si>
  <si>
    <t>5 1 1 5 4 12 31111 6 M59 94000 000181 0000R 00001 00154 015</t>
  </si>
  <si>
    <t>5 1 1 5 4 12 31111 6 M59 94000 000181 0000R 00001 00154 015 2111100</t>
  </si>
  <si>
    <t>5 1 1 5 4 12 31111 6 M59 94000 000181 0000R 00001 00154 015 2111100 2024</t>
  </si>
  <si>
    <t>5 1 1 5 4 12 31111 6 M59 94000 000181 0000R 00001 00154 015 2111100 2024 CP1OM392</t>
  </si>
  <si>
    <t>5 1 1 5 4 12 31111 6 M59 94000 000181 0000R 00001 00154 015 2111100 2024 CP1OM392 001</t>
  </si>
  <si>
    <t>5 1 1 5 4 12 31111 6 M59 94000 000181 0000R 00001 00154 015 2111100 2024 CP1OM392 001 0000001</t>
  </si>
  <si>
    <t>5 1 1 5 4 12 31111 6 M59 94000 000181 0000R 00001 00154 015 2111100 2024 CP1OM392 001 0000002</t>
  </si>
  <si>
    <t>5 1 1 5 4 12 31111 6 M59 94000 000181 0000R 00001 00154 015 2111100 2024 CP1OM392 001 0000003</t>
  </si>
  <si>
    <t>5 1 1 5 4 12 31111 6 M59 94100</t>
  </si>
  <si>
    <t>5 1 1 5 4 12 31111 6 M59 94100 000132</t>
  </si>
  <si>
    <t>5 1 1 5 4 12 31111 6 M59 94100 000132 0000R</t>
  </si>
  <si>
    <t>5 1 1 5 4 12 31111 6 M59 94100 000132 0000R 00001</t>
  </si>
  <si>
    <t>5 1 1 5 4 12 31111 6 M59 94100 000132 0000R 00001 00154</t>
  </si>
  <si>
    <t>5 1 1 5 4 12 31111 6 M59 94100 000132 0000R 00001 00154 015</t>
  </si>
  <si>
    <t>5 1 1 5 4 12 31111 6 M59 94100 000132 0000R 00001 00154 015 2111100</t>
  </si>
  <si>
    <t>5 1 1 5 4 12 31111 6 M59 94100 000132 0000R 00001 00154 015 2111100 2024</t>
  </si>
  <si>
    <t>5 1 1 5 4 12 31111 6 M59 94100 000132 0000R 00001 00154 015 2111100 2024 CP1AT427</t>
  </si>
  <si>
    <t>5 1 1 5 4 12 31111 6 M59 94100 000132 0000R 00001 00154 015 2111100 2024 CP1AT427 001</t>
  </si>
  <si>
    <t>5 1 1 5 4 12 31111 6 M59 94100 000132 0000R 00001 00154 015 2111100 2024 CP1AT427 001 0000001</t>
  </si>
  <si>
    <t>5 1 1 5 4 12 31111 6 M59 94100 000132 0000R 00001 00154 015 2111100 2024 CP1AT427 001 0000002</t>
  </si>
  <si>
    <t xml:space="preserve">DESPENSAS </t>
  </si>
  <si>
    <t>5 1 1 5 4 12 31111 6 M59 94100 000132 0000R 00001 00154 015 2111100 2024 CP1AT427 001 0000003</t>
  </si>
  <si>
    <t>5 1 1 5 4 12 31111 6 M59 96100</t>
  </si>
  <si>
    <t>5 1 1 5 4 12 31111 6 M59 96100 000211</t>
  </si>
  <si>
    <t>5 1 1 5 4 12 31111 6 M59 96100 000211 0000U</t>
  </si>
  <si>
    <t>5 1 1 5 4 12 31111 6 M59 96100 000211 0000U 00001</t>
  </si>
  <si>
    <t>5 1 1 5 4 12 31111 6 M59 96100 000211 0000U 00001 00154</t>
  </si>
  <si>
    <t>5 1 1 5 4 12 31111 6 M59 96100 000211 0000U 00001 00154 015</t>
  </si>
  <si>
    <t>5 1 1 5 4 12 31111 6 M59 96100 000211 0000U 00001 00154 015 2111100</t>
  </si>
  <si>
    <t>5 1 1 5 4 12 31111 6 M59 96100 000211 0000U 00001 00154 015 2111100 2024</t>
  </si>
  <si>
    <t>5 1 1 5 4 12 31111 6 M59 96100 000211 0000U 00001 00154 015 2111100 2024 CP1IU412</t>
  </si>
  <si>
    <t>5 1 1 5 4 12 31111 6 M59 96100 000211 0000U 00001 00154 015 2111100 2024 CP1IU412 001</t>
  </si>
  <si>
    <t>5 1 1 5 4 12 31111 6 M59 96100 000211 0000U 00001 00154 015 2111100 2024 CP1IU412 001 0000001</t>
  </si>
  <si>
    <t>5 1 1 5 4 12 31111 6 M59 96100 000211 0000U 00001 00154 015 2111100 2024 CP1IU412 001 0000002</t>
  </si>
  <si>
    <t>5 1 1 5 4 12 31111 6 M59 96200</t>
  </si>
  <si>
    <t>5 1 1 5 4 12 31111 6 M59 96200 000132</t>
  </si>
  <si>
    <t>5 1 1 5 4 12 31111 6 M59 96200 000132 0000R</t>
  </si>
  <si>
    <t>5 1 1 5 4 12 31111 6 M59 96200 000132 0000R 00001</t>
  </si>
  <si>
    <t>5 1 1 5 4 12 31111 6 M59 96200 000132 0000R 00001 00154</t>
  </si>
  <si>
    <t>5 1 1 5 4 12 31111 6 M59 96200 000132 0000R 00001 00154 015</t>
  </si>
  <si>
    <t>5 1 1 5 4 12 31111 6 M59 96200 000132 0000R 00001 00154 015 2111100</t>
  </si>
  <si>
    <t>5 1 1 5 4 12 31111 6 M59 96200 000132 0000R 00001 00154 015 2111100 2024</t>
  </si>
  <si>
    <t>5 1 1 5 4 12 31111 6 M59 96200 000132 0000R 00001 00154 015 2111100 2024 CP1AL423</t>
  </si>
  <si>
    <t>5 1 1 5 4 12 31111 6 M59 96200 000132 0000R 00001 00154 015 2111100 2024 CP1AL423 001</t>
  </si>
  <si>
    <t>5 1 1 5 4 12 31111 6 M59 96200 000132 0000R 00001 00154 015 2111100 2024 CP1AL423 001 0000001</t>
  </si>
  <si>
    <t>5 1 1 5 4 12 31111 6 M59 96200 000132 0000R 00001 00154 015 2111100 2024 CP1AL423 001 0000002</t>
  </si>
  <si>
    <t>5 1 1 5 4 12 31111 6 M59 96200 000132 0000R 00001 00154 015 2111100 2024 CP1AL423 001 0000003</t>
  </si>
  <si>
    <t>5 1 1 5 4 12 31111 6 M59 96300</t>
  </si>
  <si>
    <t>5 1 1 5 4 12 31111 6 M59 96300 000211</t>
  </si>
  <si>
    <t>5 1 1 5 4 12 31111 6 M59 96300 000211 0000E</t>
  </si>
  <si>
    <t>5 1 1 5 4 12 31111 6 M59 96300 000211 0000E 00001</t>
  </si>
  <si>
    <t>5 1 1 5 4 12 31111 6 M59 96300 000211 0000E 00001 00154</t>
  </si>
  <si>
    <t>5 1 1 5 4 12 31111 6 M59 96300 000211 0000E 00001 00154 015</t>
  </si>
  <si>
    <t>5 1 1 5 4 12 31111 6 M59 96300 000211 0000E 00001 00154 015 2111100</t>
  </si>
  <si>
    <t>5 1 1 5 4 12 31111 6 M59 96300 000211 0000E 00001 00154 015 2111100 2024</t>
  </si>
  <si>
    <t>5 1 1 5 4 12 31111 6 M59 96300 000211 0000E 00001 00154 015 2111100 2024 CP1SB396</t>
  </si>
  <si>
    <t>5 1 1 5 4 12 31111 6 M59 96300 000211 0000E 00001 00154 015 2111100 2024 CP1SB396 001</t>
  </si>
  <si>
    <t>5 1 1 5 4 12 31111 6 M59 96300 000211 0000E 00001 00154 015 2111100 2024 CP1SB396 001 0000001</t>
  </si>
  <si>
    <t>5 1 1 5 4 12 31111 6 M59 96300 000211 0000E 00001 00154 015 2111100 2024 CP1SB396 001 0000002</t>
  </si>
  <si>
    <t>5 1 1 5 4 12 31111 6 M59 96300 000211 0000E 00001 00154 015 2111100 2024 CP1SB396 001 0000003</t>
  </si>
  <si>
    <t>5 1 1 5 4 12 31111 6 M59 97000</t>
  </si>
  <si>
    <t>5 1 1 5 4 12 31111 6 M59 97000 000132</t>
  </si>
  <si>
    <t>5 1 1 5 4 12 31111 6 M59 97000 000132 0000R</t>
  </si>
  <si>
    <t>5 1 1 5 4 12 31111 6 M59 97000 000132 0000R 00001</t>
  </si>
  <si>
    <t>5 1 1 5 4 12 31111 6 M59 97000 000132 0000R 00001 00154</t>
  </si>
  <si>
    <t>5 1 1 5 4 12 31111 6 M59 97000 000132 0000R 00001 00154 015</t>
  </si>
  <si>
    <t>5 1 1 5 4 12 31111 6 M59 97000 000132 0000R 00001 00154 015 2111100</t>
  </si>
  <si>
    <t>5 1 1 5 4 12 31111 6 M59 97000 000132 0000R 00001 00154 015 2111100 2024</t>
  </si>
  <si>
    <t>5 1 1 5 4 12 31111 6 M59 97000 000132 0000R 00001 00154 015 2111100 2024 CP1SP428</t>
  </si>
  <si>
    <t>5 1 1 5 4 12 31111 6 M59 97000 000132 0000R 00001 00154 015 2111100 2024 CP1SP428 001</t>
  </si>
  <si>
    <t>5 1 1 5 4 12 31111 6 M59 97000 000132 0000R 00001 00154 015 2111100 2024 CP1SP428 001 0000001</t>
  </si>
  <si>
    <t>5 1 1 5 4 12 31111 6 M59 97000 000132 0000R 00001 00154 015 2111100 2024 CP1SP428 001 0000002</t>
  </si>
  <si>
    <t>5 1 1 5 9</t>
  </si>
  <si>
    <t>5 1 1 5 9 12</t>
  </si>
  <si>
    <t>5 1 1 5 9 12 31111</t>
  </si>
  <si>
    <t>5 1 1 5 9 12 31111 6</t>
  </si>
  <si>
    <t>5 1 1 5 9 12 31111 6 M59</t>
  </si>
  <si>
    <t>5 1 1 5 9 12 31111 6 M59 40000</t>
  </si>
  <si>
    <t>5 1 1 5 9 12 31111 6 M59 40000 000161</t>
  </si>
  <si>
    <t>5 1 1 5 9 12 31111 6 M59 40000 000161 0000E</t>
  </si>
  <si>
    <t>5 1 1 5 9 12 31111 6 M59 40000 000161 0000E 00001</t>
  </si>
  <si>
    <t>5 1 1 5 9 12 31111 6 M59 40000 000161 0000E 00001 00159</t>
  </si>
  <si>
    <t>OTRAS PRESTACIONES SOCIALES Y ECONOMICAS.</t>
  </si>
  <si>
    <t>5 1 1 5 9 12 31111 6 M59 40000 000161 0000E 00001 00159 025</t>
  </si>
  <si>
    <t>5 1 1 5 9 12 31111 6 M59 40000 000161 0000E 00001 00159 025 2111100</t>
  </si>
  <si>
    <t>5 1 1 5 9 12 31111 6 M59 40000 000161 0000E 00001 00159 025 2111100 2024</t>
  </si>
  <si>
    <t>5 1 1 5 9 12 31111 6 M59 40000 000161 0000E 00001 00159 025 2111100 2024 CP4SP372</t>
  </si>
  <si>
    <t>5 1 1 5 9 12 31111 6 M59 40000 000161 0000E 00001 00159 025 2111100 2024 CP4SP372 003</t>
  </si>
  <si>
    <t>5 1 1 5 9 12 31111 6 M59 40000 000161 0000E 00001 00159 025 2111100 2024 CP4SP372 003 0000001</t>
  </si>
  <si>
    <t>5 1 2</t>
  </si>
  <si>
    <t>MATERIALES Y SUMINISTROS</t>
  </si>
  <si>
    <t>5 1 2 1</t>
  </si>
  <si>
    <t>5 1 2 1 1</t>
  </si>
  <si>
    <t>MATERIALES, ÚTILES Y EQUIPOS MENORES DE OFICINA</t>
  </si>
  <si>
    <t>5 1 2 1 1 12</t>
  </si>
  <si>
    <t>5 1 2 1 1 12 31111</t>
  </si>
  <si>
    <t>5 1 2 1 1 12 31111 6</t>
  </si>
  <si>
    <t>5 1 2 1 1 12 31111 6 M59</t>
  </si>
  <si>
    <t>5 1 2 1 1 12 31111 6 M59 10000</t>
  </si>
  <si>
    <t>5 1 2 1 1 12 31111 6 M59 10000 000132</t>
  </si>
  <si>
    <t>5 1 2 1 1 12 31111 6 M59 10000 000132 0000R</t>
  </si>
  <si>
    <t>5 1 2 1 1 12 31111 6 M59 10000 000132 0000R 00001</t>
  </si>
  <si>
    <t>5 1 2 1 1 12 31111 6 M59 10000 000132 0000R 00001 00211</t>
  </si>
  <si>
    <t>MATERIALES, UTILES Y EQUIPOS MENORES DE OFICINA.</t>
  </si>
  <si>
    <t>5 1 2 1 1 12 31111 6 M59 10000 000132 0000R 00001 00211 015</t>
  </si>
  <si>
    <t>5 1 2 1 1 12 31111 6 M59 10000 000132 0000R 00001 00211 015 2112000</t>
  </si>
  <si>
    <t>COMPRA DE BIENES Y SERVICIOS</t>
  </si>
  <si>
    <t>5 1 2 1 1 12 31111 6 M59 10000 000132 0000R 00001 00211 015 2112000 2024</t>
  </si>
  <si>
    <t>5 1 2 1 1 12 31111 6 M59 10000 000132 0000R 00001 00211 015 2112000 2024 CP1PM439</t>
  </si>
  <si>
    <t>5 1 2 1 1 12 31111 6 M59 10000 000132 0000R 00001 00211 015 2112000 2024 CP1PM439 001</t>
  </si>
  <si>
    <t>5 1 2 1 1 12 31111 6 M59 10000 000132 0000R 00001 00211 015 2112000 2024 CP1PM439 001 0000001</t>
  </si>
  <si>
    <t>5 1 2 1 1 12 31111 6 M59 10300</t>
  </si>
  <si>
    <t>5 1 2 1 1 12 31111 6 M59 10300 000132</t>
  </si>
  <si>
    <t>5 1 2 1 1 12 31111 6 M59 10300 000132 0000R</t>
  </si>
  <si>
    <t>5 1 2 1 1 12 31111 6 M59 10300 000132 0000R 00001</t>
  </si>
  <si>
    <t>5 1 2 1 1 12 31111 6 M59 10300 000132 0000R 00001 00211</t>
  </si>
  <si>
    <t>5 1 2 1 1 12 31111 6 M59 10300 000132 0000R 00001 00211 015</t>
  </si>
  <si>
    <t>5 1 2 1 1 12 31111 6 M59 10300 000132 0000R 00001 00211 015 2112000</t>
  </si>
  <si>
    <t>5 1 2 1 1 12 31111 6 M59 10300 000132 0000R 00001 00211 015 2112000 2024</t>
  </si>
  <si>
    <t>5 1 2 1 1 12 31111 6 M59 10300 000132 0000R 00001 00211 015 2112000 2024 CP1GE413</t>
  </si>
  <si>
    <t>5 1 2 1 1 12 31111 6 M59 10300 000132 0000R 00001 00211 015 2112000 2024 CP1GE413 001</t>
  </si>
  <si>
    <t>5 1 2 1 1 12 31111 6 M59 10300 000132 0000R 00001 00211 015 2112000 2024 CP1GE413 001 0000001</t>
  </si>
  <si>
    <t>5 1 2 1 1 12 31111 6 M59 10400</t>
  </si>
  <si>
    <t>5 1 2 1 1 12 31111 6 M59 10400 000132</t>
  </si>
  <si>
    <t>5 1 2 1 1 12 31111 6 M59 10400 000132 0000R</t>
  </si>
  <si>
    <t>5 1 2 1 1 12 31111 6 M59 10400 000132 0000R 00001</t>
  </si>
  <si>
    <t>5 1 2 1 1 12 31111 6 M59 10400 000132 0000R 00001 00211</t>
  </si>
  <si>
    <t>5 1 2 1 1 12 31111 6 M59 10400 000132 0000R 00001 00211 015</t>
  </si>
  <si>
    <t>5 1 2 1 1 12 31111 6 M59 10400 000132 0000R 00001 00211 015 2112000</t>
  </si>
  <si>
    <t>5 1 2 1 1 12 31111 6 M59 10400 000132 0000R 00001 00211 015 2112000 2024</t>
  </si>
  <si>
    <t>5 1 2 1 1 12 31111 6 M59 10400 000132 0000R 00001 00211 015 2112000 2024 CP1CG432</t>
  </si>
  <si>
    <t>5 1 2 1 1 12 31111 6 M59 10400 000132 0000R 00001 00211 015 2112000 2024 CP1CG432 001</t>
  </si>
  <si>
    <t>5 1 2 1 1 12 31111 6 M59 10400 000132 0000R 00001 00211 015 2112000 2024 CP1CG432 001 0000001</t>
  </si>
  <si>
    <t>5 1 2 1 1 12 31111 6 M59 10500</t>
  </si>
  <si>
    <t>5 1 2 1 1 12 31111 6 M59 10500 000132</t>
  </si>
  <si>
    <t>5 1 2 1 1 12 31111 6 M59 10500 000132 0000R</t>
  </si>
  <si>
    <t>5 1 2 1 1 12 31111 6 M59 10500 000132 0000R 00001</t>
  </si>
  <si>
    <t>5 1 2 1 1 12 31111 6 M59 10500 000132 0000R 00001 00211</t>
  </si>
  <si>
    <t>5 1 2 1 1 12 31111 6 M59 10500 000132 0000R 00001 00211 015</t>
  </si>
  <si>
    <t>5 1 2 1 1 12 31111 6 M59 10500 000132 0000R 00001 00211 015 2112000</t>
  </si>
  <si>
    <t>5 1 2 1 1 12 31111 6 M59 10500 000132 0000R 00001 00211 015 2112000 2024</t>
  </si>
  <si>
    <t>5 1 2 1 1 12 31111 6 M59 10500 000132 0000R 00001 00211 015 2112000 2024 CP1CS421</t>
  </si>
  <si>
    <t>5 1 2 1 1 12 31111 6 M59 10500 000132 0000R 00001 00211 015 2112000 2024 CP1CS421 001</t>
  </si>
  <si>
    <t>5 1 2 1 1 12 31111 6 M59 10500 000132 0000R 00001 00211 015 2112000 2024 CP1CS421 001 0000001</t>
  </si>
  <si>
    <t>5 1 2 1 1 12 31111 6 M59 11000</t>
  </si>
  <si>
    <t>5 1 2 1 1 12 31111 6 M59 11000 000132</t>
  </si>
  <si>
    <t>5 1 2 1 1 12 31111 6 M59 11000 000132 0000R</t>
  </si>
  <si>
    <t>5 1 2 1 1 12 31111 6 M59 11000 000132 0000R 00001</t>
  </si>
  <si>
    <t>5 1 2 1 1 12 31111 6 M59 11000 000132 0000R 00001 00211</t>
  </si>
  <si>
    <t>5 1 2 1 1 12 31111 6 M59 11000 000132 0000R 00001 00211 015</t>
  </si>
  <si>
    <t>5 1 2 1 1 12 31111 6 M59 11000 000132 0000R 00001 00211 015 2112000</t>
  </si>
  <si>
    <t>5 1 2 1 1 12 31111 6 M59 11000 000132 0000R 00001 00211 015 2112000 2024</t>
  </si>
  <si>
    <t>5 1 2 1 1 12 31111 6 M59 11000 000132 0000R 00001 00211 015 2112000 2024 CP1SM382</t>
  </si>
  <si>
    <t>5 1 2 1 1 12 31111 6 M59 11000 000132 0000R 00001 00211 015 2112000 2024 CP1SM382 001</t>
  </si>
  <si>
    <t>5 1 2 1 1 12 31111 6 M59 11000 000132 0000R 00001 00211 015 2112000 2024 CP1SM382 001 0000001</t>
  </si>
  <si>
    <t>5 1 2 1 1 12 31111 6 M59 12000</t>
  </si>
  <si>
    <t>5 1 2 1 1 12 31111 6 M59 12000 000121</t>
  </si>
  <si>
    <t>5 1 2 1 1 12 31111 6 M59 12000 000121 0000E</t>
  </si>
  <si>
    <t>5 1 2 1 1 12 31111 6 M59 12000 000121 0000E 00001</t>
  </si>
  <si>
    <t>5 1 2 1 1 12 31111 6 M59 12000 000121 0000E 00001 00211</t>
  </si>
  <si>
    <t>5 1 2 1 1 12 31111 6 M59 12000 000121 0000E 00001 00211 015</t>
  </si>
  <si>
    <t>5 1 2 1 1 12 31111 6 M59 12000 000121 0000E 00001 00211 015 2112000</t>
  </si>
  <si>
    <t>5 1 2 1 1 12 31111 6 M59 12000 000121 0000E 00001 00211 015 2112000 2024</t>
  </si>
  <si>
    <t>5 1 2 1 1 12 31111 6 M59 12000 000121 0000E 00001 00211 015 2112000 2024 CP1CI591</t>
  </si>
  <si>
    <t>5 1 2 1 1 12 31111 6 M59 12000 000121 0000E 00001 00211 015 2112000 2024 CP1CI591 001</t>
  </si>
  <si>
    <t>5 1 2 1 1 12 31111 6 M59 12000 000121 0000E 00001 00211 015 2112000 2024 CP1CI591 001 0000001</t>
  </si>
  <si>
    <t>5 1 2 1 1 12 31111 6 M59 12100</t>
  </si>
  <si>
    <t>5 1 2 1 1 12 31111 6 M59 12100 000132</t>
  </si>
  <si>
    <t>5 1 2 1 1 12 31111 6 M59 12100 000132 0000R</t>
  </si>
  <si>
    <t>5 1 2 1 1 12 31111 6 M59 12100 000132 0000R 00001</t>
  </si>
  <si>
    <t>5 1 2 1 1 12 31111 6 M59 12100 000132 0000R 00001 00211</t>
  </si>
  <si>
    <t>5 1 2 1 1 12 31111 6 M59 12100 000132 0000R 00001 00211 015</t>
  </si>
  <si>
    <t>5 1 2 1 1 12 31111 6 M59 12100 000132 0000R 00001 00211 015 2112000</t>
  </si>
  <si>
    <t>5 1 2 1 1 12 31111 6 M59 12100 000132 0000R 00001 00211 015 2112000 2024</t>
  </si>
  <si>
    <t>5 1 2 1 1 12 31111 6 M59 12100 000132 0000R 00001 00211 015 2112000 2024 CP1TR430</t>
  </si>
  <si>
    <t>5 1 2 1 1 12 31111 6 M59 12100 000132 0000R 00001 00211 015 2112000 2024 CP1TR430 001</t>
  </si>
  <si>
    <t>5 1 2 1 1 12 31111 6 M59 12100 000132 0000R 00001 00211 015 2112000 2024 CP1TR430 001 0000001</t>
  </si>
  <si>
    <t>5 1 2 1 1 12 31111 6 M59 19000</t>
  </si>
  <si>
    <t>5 1 2 1 1 12 31111 6 M59 19000 000132</t>
  </si>
  <si>
    <t>5 1 2 1 1 12 31111 6 M59 19000 000132 0000R</t>
  </si>
  <si>
    <t>5 1 2 1 1 12 31111 6 M59 19000 000132 0000R 00001</t>
  </si>
  <si>
    <t>5 1 2 1 1 12 31111 6 M59 19000 000132 0000R 00001 00211</t>
  </si>
  <si>
    <t>5 1 2 1 1 12 31111 6 M59 19000 000132 0000R 00001 00211 011</t>
  </si>
  <si>
    <t>5 1 2 1 1 12 31111 6 M59 19000 000132 0000R 00001 00211 011 2112000</t>
  </si>
  <si>
    <t>5 1 2 1 1 12 31111 6 M59 19000 000132 0000R 00001 00211 011 2112000 2024</t>
  </si>
  <si>
    <t>5 1 2 1 1 12 31111 6 M59 19000 000132 0000R 00001 00211 011 2112000 2024 CP1TM440</t>
  </si>
  <si>
    <t>5 1 2 1 1 12 31111 6 M59 19000 000132 0000R 00001 00211 011 2112000 2024 CP1TM440 004</t>
  </si>
  <si>
    <t>5 1 2 1 1 12 31111 6 M59 19000 000132 0000R 00001 00211 011 2112000 2024 CP1TM440 004 0000001</t>
  </si>
  <si>
    <t>5 1 2 1 1 12 31111 6 M59 19000 000132 0000R 00001 00211 015</t>
  </si>
  <si>
    <t>5 1 2 1 1 12 31111 6 M59 19000 000132 0000R 00001 00211 015 2112000</t>
  </si>
  <si>
    <t>5 1 2 1 1 12 31111 6 M59 19000 000132 0000R 00001 00211 015 2112000 2024</t>
  </si>
  <si>
    <t>5 1 2 1 1 12 31111 6 M59 19000 000132 0000R 00001 00211 015 2112000 2024 CP1TM440</t>
  </si>
  <si>
    <t>5 1 2 1 1 12 31111 6 M59 19000 000132 0000R 00001 00211 015 2112000 2024 CP1TM440 001</t>
  </si>
  <si>
    <t>5 1 2 1 1 12 31111 6 M59 19000 000132 0000R 00001 00211 015 2112000 2024 CP1TM440 001 0000001</t>
  </si>
  <si>
    <t>5 1 2 1 1 12 31111 6 M59 20000</t>
  </si>
  <si>
    <t>5 1 2 1 1 12 31111 6 M59 20000 000132</t>
  </si>
  <si>
    <t>5 1 2 1 1 12 31111 6 M59 20000 000132 0000R</t>
  </si>
  <si>
    <t>5 1 2 1 1 12 31111 6 M59 20000 000132 0000R 00001</t>
  </si>
  <si>
    <t>5 1 2 1 1 12 31111 6 M59 20000 000132 0000R 00001 00211</t>
  </si>
  <si>
    <t>5 1 2 1 1 12 31111 6 M59 20000 000132 0000R 00001 00211 015</t>
  </si>
  <si>
    <t>5 1 2 1 1 12 31111 6 M59 20000 000132 0000R 00001 00211 015 2112000</t>
  </si>
  <si>
    <t>5 1 2 1 1 12 31111 6 M59 20000 000132 0000R 00001 00211 015 2112000 2024</t>
  </si>
  <si>
    <t>5 1 2 1 1 12 31111 6 M59 20000 000132 0000R 00001 00211 015 2112000 2024 CP1AF389</t>
  </si>
  <si>
    <t>5 1 2 1 1 12 31111 6 M59 20000 000132 0000R 00001 00211 015 2112000 2024 CP1AF389 001</t>
  </si>
  <si>
    <t>5 1 2 1 1 12 31111 6 M59 20000 000132 0000R 00001 00211 015 2112000 2024 CP1AF389 001 0000001</t>
  </si>
  <si>
    <t>5 1 2 1 1 12 31111 6 M59 20000 000132 0000R 00001 00211 015 2112000 2024 CP1AF389 001 0000001 00001</t>
  </si>
  <si>
    <t>5 1 2 1 1 12 31111 6 M59 20200</t>
  </si>
  <si>
    <t>5 1 2 1 1 12 31111 6 M59 20200 000132</t>
  </si>
  <si>
    <t>5 1 2 1 1 12 31111 6 M59 20200 000132 0000R</t>
  </si>
  <si>
    <t>5 1 2 1 1 12 31111 6 M59 20200 000132 0000R 00001</t>
  </si>
  <si>
    <t>5 1 2 1 1 12 31111 6 M59 20200 000132 0000R 00001 00211</t>
  </si>
  <si>
    <t>5 1 2 1 1 12 31111 6 M59 20200 000132 0000R 00001 00211 015</t>
  </si>
  <si>
    <t>5 1 2 1 1 12 31111 6 M59 20200 000132 0000R 00001 00211 015 2112000</t>
  </si>
  <si>
    <t>5 1 2 1 1 12 31111 6 M59 20200 000132 0000R 00001 00211 015 2112000 2024</t>
  </si>
  <si>
    <t>5 1 2 1 1 12 31111 6 M59 20200 000132 0000R 00001 00211 015 2112000 2024 CP1DI411</t>
  </si>
  <si>
    <t>5 1 2 1 1 12 31111 6 M59 20200 000132 0000R 00001 00211 015 2112000 2024 CP1DI411 001</t>
  </si>
  <si>
    <t>5 1 2 1 1 12 31111 6 M59 20200 000132 0000R 00001 00211 015 2112000 2024 CP1DI411 001 0000001</t>
  </si>
  <si>
    <t>5 1 2 1 1 12 31111 6 M59 20300</t>
  </si>
  <si>
    <t>5 1 2 1 1 12 31111 6 M59 20300 000132</t>
  </si>
  <si>
    <t>5 1 2 1 1 12 31111 6 M59 20300 000132 0000R</t>
  </si>
  <si>
    <t>5 1 2 1 1 12 31111 6 M59 20300 000132 0000R 00001</t>
  </si>
  <si>
    <t>5 1 2 1 1 12 31111 6 M59 20300 000132 0000R 00001 00211</t>
  </si>
  <si>
    <t>5 1 2 1 1 12 31111 6 M59 20300 000132 0000R 00001 00211 015</t>
  </si>
  <si>
    <t>5 1 2 1 1 12 31111 6 M59 20300 000132 0000R 00001 00211 015 2112000</t>
  </si>
  <si>
    <t>5 1 2 1 1 12 31111 6 M59 20300 000132 0000R 00001 00211 015 2112000 2024</t>
  </si>
  <si>
    <t>5 1 2 1 1 12 31111 6 M59 20300 000132 0000R 00001 00211 015 2112000 2024 CP1DE415</t>
  </si>
  <si>
    <t>5 1 2 1 1 12 31111 6 M59 20300 000132 0000R 00001 00211 015 2112000 2024 CP1DE415 001</t>
  </si>
  <si>
    <t>5 1 2 1 1 12 31111 6 M59 20300 000132 0000R 00001 00211 015 2112000 2024 CP1DE415 001 0000001</t>
  </si>
  <si>
    <t>5 1 2 1 1 12 31111 6 M59 20400</t>
  </si>
  <si>
    <t>5 1 2 1 1 12 31111 6 M59 20400 000132</t>
  </si>
  <si>
    <t>5 1 2 1 1 12 31111 6 M59 20400 000132 0000R</t>
  </si>
  <si>
    <t>5 1 2 1 1 12 31111 6 M59 20400 000132 0000R 00001</t>
  </si>
  <si>
    <t>5 1 2 1 1 12 31111 6 M59 20400 000132 0000R 00001 00211</t>
  </si>
  <si>
    <t>5 1 2 1 1 12 31111 6 M59 20400 000132 0000R 00001 00211 015</t>
  </si>
  <si>
    <t>5 1 2 1 1 12 31111 6 M59 20400 000132 0000R 00001 00211 015 2112000</t>
  </si>
  <si>
    <t>5 1 2 1 1 12 31111 6 M59 20400 000132 0000R 00001 00211 015 2112000 2024</t>
  </si>
  <si>
    <t>5 1 2 1 1 12 31111 6 M59 20400 000132 0000R 00001 00211 015 2112000 2024 CP1PV404</t>
  </si>
  <si>
    <t>5 1 2 1 1 12 31111 6 M59 20400 000132 0000R 00001 00211 015 2112000 2024 CP1PV404 001</t>
  </si>
  <si>
    <t>5 1 2 1 1 12 31111 6 M59 20400 000132 0000R 00001 00211 015 2112000 2024 CP1PV404 001 0000001</t>
  </si>
  <si>
    <t>5 1 2 1 1 12 31111 6 M59 20500</t>
  </si>
  <si>
    <t>5 1 2 1 1 12 31111 6 M59 20500 000132</t>
  </si>
  <si>
    <t>5 1 2 1 1 12 31111 6 M59 20500 000132 0000R</t>
  </si>
  <si>
    <t>5 1 2 1 1 12 31111 6 M59 20500 000132 0000R 00001</t>
  </si>
  <si>
    <t>5 1 2 1 1 12 31111 6 M59 20500 000132 0000R 00001 00211</t>
  </si>
  <si>
    <t>5 1 2 1 1 12 31111 6 M59 20500 000132 0000R 00001 00211 015</t>
  </si>
  <si>
    <t>5 1 2 1 1 12 31111 6 M59 20500 000132 0000R 00001 00211 015 2112000</t>
  </si>
  <si>
    <t>5 1 2 1 1 12 31111 6 M59 20500 000132 0000R 00001 00211 015 2112000 2024</t>
  </si>
  <si>
    <t>5 1 2 1 1 12 31111 6 M59 20500 000132 0000R 00001 00211 015 2112000 2024 CP1CP420</t>
  </si>
  <si>
    <t>5 1 2 1 1 12 31111 6 M59 20500 000132 0000R 00001 00211 015 2112000 2024 CP1CP420 001</t>
  </si>
  <si>
    <t>5 1 2 1 1 12 31111 6 M59 20500 000132 0000R 00001 00211 015 2112000 2024 CP1CP420 001 0000001</t>
  </si>
  <si>
    <t>5 1 2 1 1 12 31111 6 M59 20500 000181</t>
  </si>
  <si>
    <t>5 1 2 1 1 12 31111 6 M59 20500 000181 0000E</t>
  </si>
  <si>
    <t>5 1 2 1 1 12 31111 6 M59 20500 000181 0000E 00001</t>
  </si>
  <si>
    <t>5 1 2 1 1 12 31111 6 M59 20500 000181 0000E 00001 00211</t>
  </si>
  <si>
    <t>5 1 2 1 1 12 31111 6 M59 20500 000181 0000E 00001 00211 011</t>
  </si>
  <si>
    <t>5 1 2 1 1 12 31111 6 M59 20500 000181 0000E 00001 00211 011 2112000</t>
  </si>
  <si>
    <t>5 1 2 1 1 12 31111 6 M59 20500 000181 0000E 00001 00211 011 2112000 2024</t>
  </si>
  <si>
    <t>5 1 2 1 1 12 31111 6 M59 20500 000181 0000E 00001 00211 011 2112000 2024 CP3CP471</t>
  </si>
  <si>
    <t>ABASTECIMIENTO DE REQUERIMIENTOS BÁSICOS PARA LAS ÁREAS ADMINISTRATIVAS Y OPERATIVAS DEL H. AYUNTAMIENTO.</t>
  </si>
  <si>
    <t>5 1 2 1 1 12 31111 6 M59 20500 000181 0000E 00001 00211 011 2112000 2024 CP3CP471 004</t>
  </si>
  <si>
    <t>5 1 2 1 1 12 31111 6 M59 20500 000181 0000E 00001 00211 011 2112000 2024 CP3CP471 004 0000001</t>
  </si>
  <si>
    <t>5 1 2 1 1 12 31111 6 M59 20600</t>
  </si>
  <si>
    <t>5 1 2 1 1 12 31111 6 M59 20600 000132</t>
  </si>
  <si>
    <t>5 1 2 1 1 12 31111 6 M59 20600 000132 0000R</t>
  </si>
  <si>
    <t>5 1 2 1 1 12 31111 6 M59 20600 000132 0000R 00001</t>
  </si>
  <si>
    <t>5 1 2 1 1 12 31111 6 M59 20600 000132 0000R 00001 00211</t>
  </si>
  <si>
    <t>5 1 2 1 1 12 31111 6 M59 20600 000132 0000R 00001 00211 015</t>
  </si>
  <si>
    <t>5 1 2 1 1 12 31111 6 M59 20600 000132 0000R 00001 00211 015 2112000</t>
  </si>
  <si>
    <t>5 1 2 1 1 12 31111 6 M59 20600 000132 0000R 00001 00211 015 2112000 2024</t>
  </si>
  <si>
    <t>5 1 2 1 1 12 31111 6 M59 20600 000132 0000R 00001 00211 015 2112000 2024 CP1CA380</t>
  </si>
  <si>
    <t>5 1 2 1 1 12 31111 6 M59 20600 000132 0000R 00001 00211 015 2112000 2024 CP1CA380 001</t>
  </si>
  <si>
    <t>5 1 2 1 1 12 31111 6 M59 20600 000132 0000R 00001 00211 015 2112000 2024 CP1CA380 001 0000001</t>
  </si>
  <si>
    <t>5 1 2 1 1 12 31111 6 M59 20700</t>
  </si>
  <si>
    <t>5 1 2 1 1 12 31111 6 M59 20700 000132</t>
  </si>
  <si>
    <t>5 1 2 1 1 12 31111 6 M59 20700 000132 0000R</t>
  </si>
  <si>
    <t>5 1 2 1 1 12 31111 6 M59 20700 000132 0000R 00001</t>
  </si>
  <si>
    <t>5 1 2 1 1 12 31111 6 M59 20700 000132 0000R 00001 00211</t>
  </si>
  <si>
    <t>5 1 2 1 1 12 31111 6 M59 20700 000132 0000R 00001 00211 015</t>
  </si>
  <si>
    <t>5 1 2 1 1 12 31111 6 M59 20700 000132 0000R 00001 00211 015 2112000</t>
  </si>
  <si>
    <t>5 1 2 1 1 12 31111 6 M59 20700 000132 0000R 00001 00211 015 2112000 2024</t>
  </si>
  <si>
    <t>5 1 2 1 1 12 31111 6 M59 20700 000132 0000R 00001 00211 015 2112000 2024 CP1RM401</t>
  </si>
  <si>
    <t>5 1 2 1 1 12 31111 6 M59 20700 000132 0000R 00001 00211 015 2112000 2024 CP1RM401 001</t>
  </si>
  <si>
    <t>5 1 2 1 1 12 31111 6 M59 20700 000132 0000R 00001 00211 015 2112000 2024 CP1RM401 001 0000001</t>
  </si>
  <si>
    <t>5 1 2 1 1 12 31111 6 M59 20800</t>
  </si>
  <si>
    <t>5 1 2 1 1 12 31111 6 M59 20800 000181</t>
  </si>
  <si>
    <t>5 1 2 1 1 12 31111 6 M59 20800 000181 0000R</t>
  </si>
  <si>
    <t>5 1 2 1 1 12 31111 6 M59 20800 000181 0000R 00001</t>
  </si>
  <si>
    <t>5 1 2 1 1 12 31111 6 M59 20800 000181 0000R 00001 00211</t>
  </si>
  <si>
    <t>5 1 2 1 1 12 31111 6 M59 20800 000181 0000R 00001 00211 015</t>
  </si>
  <si>
    <t>5 1 2 1 1 12 31111 6 M59 20800 000181 0000R 00001 00211 015 2112000</t>
  </si>
  <si>
    <t>5 1 2 1 1 12 31111 6 M59 20800 000181 0000R 00001 00211 015 2112000 2024</t>
  </si>
  <si>
    <t>5 1 2 1 1 12 31111 6 M59 20800 000181 0000R 00001 00211 015 2112000 2024 CP1AA392</t>
  </si>
  <si>
    <t>5 1 2 1 1 12 31111 6 M59 20800 000181 0000R 00001 00211 015 2112000 2024 CP1AA392 001</t>
  </si>
  <si>
    <t>5 1 2 1 1 12 31111 6 M59 20800 000181 0000R 00001 00211 015 2112000 2024 CP1AA392 001 0000001</t>
  </si>
  <si>
    <t>5 1 2 1 1 12 31111 6 M59 21000</t>
  </si>
  <si>
    <t>5 1 2 1 1 12 31111 6 M59 21000 000132</t>
  </si>
  <si>
    <t>5 1 2 1 1 12 31111 6 M59 21000 000132 0000R</t>
  </si>
  <si>
    <t>5 1 2 1 1 12 31111 6 M59 21000 000132 0000R 00001</t>
  </si>
  <si>
    <t>5 1 2 1 1 12 31111 6 M59 21000 000132 0000R 00001 00211</t>
  </si>
  <si>
    <t>5 1 2 1 1 12 31111 6 M59 21000 000132 0000R 00001 00211 015</t>
  </si>
  <si>
    <t>5 1 2 1 1 12 31111 6 M59 21000 000132 0000R 00001 00211 015 2112000</t>
  </si>
  <si>
    <t>5 1 2 1 1 12 31111 6 M59 21000 000132 0000R 00001 00211 015 2112000 2024</t>
  </si>
  <si>
    <t>5 1 2 1 1 12 31111 6 M59 21000 000132 0000R 00001 00211 015 2112000 2024 CP1PP402</t>
  </si>
  <si>
    <t>5 1 2 1 1 12 31111 6 M59 21000 000132 0000R 00001 00211 015 2112000 2024 CP1PP402 001</t>
  </si>
  <si>
    <t>5 1 2 1 1 12 31111 6 M59 21000 000132 0000R 00001 00211 015 2112000 2024 CP1PP402 001 0000001</t>
  </si>
  <si>
    <t>5 1 2 1 1 12 31111 6 M59 30000</t>
  </si>
  <si>
    <t>5 1 2 1 1 12 31111 6 M59 30000 000132</t>
  </si>
  <si>
    <t>5 1 2 1 1 12 31111 6 M59 30000 000132 0000R</t>
  </si>
  <si>
    <t>5 1 2 1 1 12 31111 6 M59 30000 000132 0000R 00001</t>
  </si>
  <si>
    <t>5 1 2 1 1 12 31111 6 M59 30000 000132 0000R 00001 00211</t>
  </si>
  <si>
    <t>5 1 2 1 1 12 31111 6 M59 30000 000132 0000R 00001 00211 015</t>
  </si>
  <si>
    <t>5 1 2 1 1 12 31111 6 M59 30000 000132 0000R 00001 00211 015 2112000</t>
  </si>
  <si>
    <t>5 1 2 1 1 12 31111 6 M59 30000 000132 0000R 00001 00211 015 2112000 2024</t>
  </si>
  <si>
    <t>5 1 2 1 1 12 31111 6 M59 30000 000132 0000R 00001 00211 015 2112000 2024 CP1DU385</t>
  </si>
  <si>
    <t>5 1 2 1 1 12 31111 6 M59 30000 000132 0000R 00001 00211 015 2112000 2024 CP1DU385 001</t>
  </si>
  <si>
    <t>5 1 2 1 1 12 31111 6 M59 30000 000132 0000R 00001 00211 015 2112000 2024 CP1DU385 001 0000001</t>
  </si>
  <si>
    <t>5 1 2 1 1 12 31111 6 M59 30100</t>
  </si>
  <si>
    <t>5 1 2 1 1 12 31111 6 M59 30100 000132</t>
  </si>
  <si>
    <t>5 1 2 1 1 12 31111 6 M59 30100 000132 0000R</t>
  </si>
  <si>
    <t>5 1 2 1 1 12 31111 6 M59 30100 000132 0000R 00001</t>
  </si>
  <si>
    <t>5 1 2 1 1 12 31111 6 M59 30100 000132 0000R 00001 00211</t>
  </si>
  <si>
    <t>5 1 2 1 1 12 31111 6 M59 30100 000132 0000R 00001 00211 015</t>
  </si>
  <si>
    <t>5 1 2 1 1 12 31111 6 M59 30100 000132 0000R 00001 00211 015 2112000</t>
  </si>
  <si>
    <t>5 1 2 1 1 12 31111 6 M59 30100 000132 0000R 00001 00211 015 2112000 2024</t>
  </si>
  <si>
    <t>5 1 2 1 1 12 31111 6 M59 30100 000132 0000R 00001 00211 015 2112000 2024 CP1OP405</t>
  </si>
  <si>
    <t>5 1 2 1 1 12 31111 6 M59 30100 000132 0000R 00001 00211 015 2112000 2024 CP1OP405 001</t>
  </si>
  <si>
    <t>5 1 2 1 1 12 31111 6 M59 30100 000132 0000R 00001 00211 015 2112000 2024 CP1OP405 001 0000001</t>
  </si>
  <si>
    <t>5 1 2 1 1 12 31111 6 M59 30200</t>
  </si>
  <si>
    <t>5 1 2 1 1 12 31111 6 M59 30200 000132</t>
  </si>
  <si>
    <t>5 1 2 1 1 12 31111 6 M59 30200 000132 0000R</t>
  </si>
  <si>
    <t>5 1 2 1 1 12 31111 6 M59 30200 000132 0000R 00001</t>
  </si>
  <si>
    <t>5 1 2 1 1 12 31111 6 M59 30200 000132 0000R 00001 00211</t>
  </si>
  <si>
    <t>5 1 2 1 1 12 31111 6 M59 30200 000132 0000R 00001 00211 015</t>
  </si>
  <si>
    <t>5 1 2 1 1 12 31111 6 M59 30200 000132 0000R 00001 00211 015 2112000</t>
  </si>
  <si>
    <t>5 1 2 1 1 12 31111 6 M59 30200 000132 0000R 00001 00211 015 2112000 2024</t>
  </si>
  <si>
    <t>5 1 2 1 1 12 31111 6 M59 30200 000132 0000R 00001 00211 015 2112000 2024 CP1OT378</t>
  </si>
  <si>
    <t>5 1 2 1 1 12 31111 6 M59 30200 000132 0000R 00001 00211 015 2112000 2024 CP1OT378 001</t>
  </si>
  <si>
    <t>5 1 2 1 1 12 31111 6 M59 30200 000132 0000R 00001 00211 015 2112000 2024 CP1OT378 001 0000001</t>
  </si>
  <si>
    <t>5 1 2 1 1 12 31111 6 M59 40000</t>
  </si>
  <si>
    <t>5 1 2 1 1 12 31111 6 M59 40000 000161</t>
  </si>
  <si>
    <t>5 1 2 1 1 12 31111 6 M59 40000 000161 0000E</t>
  </si>
  <si>
    <t>5 1 2 1 1 12 31111 6 M59 40000 000161 0000E 00001</t>
  </si>
  <si>
    <t>5 1 2 1 1 12 31111 6 M59 40000 000161 0000E 00001 00211</t>
  </si>
  <si>
    <t>5 1 2 1 1 12 31111 6 M59 40000 000161 0000E 00001 00211 025</t>
  </si>
  <si>
    <t>5 1 2 1 1 12 31111 6 M59 40000 000161 0000E 00001 00211 025 2112000</t>
  </si>
  <si>
    <t>5 1 2 1 1 12 31111 6 M59 40000 000161 0000E 00001 00211 025 2112000 2024</t>
  </si>
  <si>
    <t>5 1 2 1 1 12 31111 6 M59 40000 000161 0000E 00001 00211 025 2112000 2024 CP4SP372</t>
  </si>
  <si>
    <t>5 1 2 1 1 12 31111 6 M59 40000 000161 0000E 00001 00211 025 2112000 2024 CP4SP372 003</t>
  </si>
  <si>
    <t>5 1 2 1 1 12 31111 6 M59 40000 000161 0000E 00001 00211 025 2112000 2024 CP4SP372 003 0000001</t>
  </si>
  <si>
    <t>5 1 2 1 1 12 31111 6 M59 40200</t>
  </si>
  <si>
    <t>5 1 2 1 1 12 31111 6 M59 40200 000172</t>
  </si>
  <si>
    <t>5 1 2 1 1 12 31111 6 M59 40200 000172 0000R</t>
  </si>
  <si>
    <t>5 1 2 1 1 12 31111 6 M59 40200 000172 0000R 00001</t>
  </si>
  <si>
    <t>5 1 2 1 1 12 31111 6 M59 40200 000172 0000R 00001 00211</t>
  </si>
  <si>
    <t>5 1 2 1 1 12 31111 6 M59 40200 000172 0000R 00001 00211 015</t>
  </si>
  <si>
    <t>5 1 2 1 1 12 31111 6 M59 40200 000172 0000R 00001 00211 015 2112000</t>
  </si>
  <si>
    <t>5 1 2 1 1 12 31111 6 M59 40200 000172 0000R 00001 00211 015 2112000 2024</t>
  </si>
  <si>
    <t>5 1 2 1 1 12 31111 6 M59 40200 000172 0000R 00001 00211 015 2112000 2024 CP4PC370</t>
  </si>
  <si>
    <t>5 1 2 1 1 12 31111 6 M59 40200 000172 0000R 00001 00211 015 2112000 2024 CP4PC370 001</t>
  </si>
  <si>
    <t>5 1 2 1 1 12 31111 6 M59 40200 000172 0000R 00001 00211 015 2112000 2024 CP4PC370 001 0000001</t>
  </si>
  <si>
    <t>5 1 2 1 1 12 31111 6 M59 40200 000172 0000R 00001 00211 025</t>
  </si>
  <si>
    <t>5 1 2 1 1 12 31111 6 M59 40200 000172 0000R 00001 00211 025 2112000</t>
  </si>
  <si>
    <t>5 1 2 1 1 12 31111 6 M59 40200 000172 0000R 00001 00211 025 2112000 2024</t>
  </si>
  <si>
    <t>5 1 2 1 1 12 31111 6 M59 40200 000172 0000R 00001 00211 025 2112000 2024 CP4PC370</t>
  </si>
  <si>
    <t>5 1 2 1 1 12 31111 6 M59 40200 000172 0000R 00001 00211 025 2112000 2024 CP4PC370 003</t>
  </si>
  <si>
    <t>5 1 2 1 1 12 31111 6 M59 40200 000172 0000R 00001 00211 025 2112000 2024 CP4PC370 003 0000001</t>
  </si>
  <si>
    <t>5 1 2 1 1 12 31111 6 M59 40300</t>
  </si>
  <si>
    <t>5 1 2 1 1 12 31111 6 M59 40300 000185</t>
  </si>
  <si>
    <t>5 1 2 1 1 12 31111 6 M59 40300 000185 0000R</t>
  </si>
  <si>
    <t>5 1 2 1 1 12 31111 6 M59 40300 000185 0000R 00001</t>
  </si>
  <si>
    <t>5 1 2 1 1 12 31111 6 M59 40300 000185 0000R 00001 00211</t>
  </si>
  <si>
    <t>5 1 2 1 1 12 31111 6 M59 40300 000185 0000R 00001 00211 015</t>
  </si>
  <si>
    <t>5 1 2 1 1 12 31111 6 M59 40300 000185 0000R 00001 00211 015 2112000</t>
  </si>
  <si>
    <t>5 1 2 1 1 12 31111 6 M59 40300 000185 0000R 00001 00211 015 2112000 2024</t>
  </si>
  <si>
    <t>5 1 2 1 1 12 31111 6 M59 40300 000185 0000R 00001 00211 015 2112000 2024 CP4TV371</t>
  </si>
  <si>
    <t>5 1 2 1 1 12 31111 6 M59 40300 000185 0000R 00001 00211 015 2112000 2024 CP4TV371 001</t>
  </si>
  <si>
    <t>5 1 2 1 1 12 31111 6 M59 40300 000185 0000R 00001 00211 015 2112000 2024 CP4TV371 001 0000001</t>
  </si>
  <si>
    <t>5 1 2 1 1 12 31111 6 M59 40300 000185 0000R 00001 00211 025</t>
  </si>
  <si>
    <t>5 1 2 1 1 12 31111 6 M59 40300 000185 0000R 00001 00211 025 2112000</t>
  </si>
  <si>
    <t>5 1 2 1 1 12 31111 6 M59 40300 000185 0000R 00001 00211 025 2112000 2024</t>
  </si>
  <si>
    <t>5 1 2 1 1 12 31111 6 M59 40300 000185 0000R 00001 00211 025 2112000 2024 CP4TV371</t>
  </si>
  <si>
    <t>5 1 2 1 1 12 31111 6 M59 40300 000185 0000R 00001 00211 025 2112000 2024 CP4TV371 003</t>
  </si>
  <si>
    <t>5 1 2 1 1 12 31111 6 M59 40300 000185 0000R 00001 00211 025 2112000 2024 CP4TV371 003 0000001</t>
  </si>
  <si>
    <t>5 1 2 1 1 12 31111 6 M59 40400</t>
  </si>
  <si>
    <t>5 1 2 1 1 12 31111 6 M59 40400 000173</t>
  </si>
  <si>
    <t>5 1 2 1 1 12 31111 6 M59 40400 000173 0000R</t>
  </si>
  <si>
    <t>5 1 2 1 1 12 31111 6 M59 40400 000173 0000R 00001</t>
  </si>
  <si>
    <t>5 1 2 1 1 12 31111 6 M59 40400 000173 0000R 00001 00211</t>
  </si>
  <si>
    <t>5 1 2 1 1 12 31111 6 M59 40400 000173 0000R 00001 00211 015</t>
  </si>
  <si>
    <t>5 1 2 1 1 12 31111 6 M59 40400 000173 0000R 00001 00211 015 2112000</t>
  </si>
  <si>
    <t>5 1 2 1 1 12 31111 6 M59 40400 000173 0000R 00001 00211 015 2112000 2024</t>
  </si>
  <si>
    <t>5 1 2 1 1 12 31111 6 M59 40400 000173 0000R 00001 00211 015 2112000 2024 CP4PD369</t>
  </si>
  <si>
    <t>5 1 2 1 1 12 31111 6 M59 40400 000173 0000R 00001 00211 015 2112000 2024 CP4PD369 001</t>
  </si>
  <si>
    <t>5 1 2 1 1 12 31111 6 M59 40400 000173 0000R 00001 00211 015 2112000 2024 CP4PD369 001 0000001</t>
  </si>
  <si>
    <t>5 1 2 1 1 12 31111 6 M59 40400 000173 0000R 00001 00211 025</t>
  </si>
  <si>
    <t>5 1 2 1 1 12 31111 6 M59 40400 000173 0000R 00001 00211 025 2112000</t>
  </si>
  <si>
    <t>5 1 2 1 1 12 31111 6 M59 40400 000173 0000R 00001 00211 025 2112000 2024</t>
  </si>
  <si>
    <t>5 1 2 1 1 12 31111 6 M59 40400 000173 0000R 00001 00211 025 2112000 2024 CP4PD369</t>
  </si>
  <si>
    <t>5 1 2 1 1 12 31111 6 M59 40400 000173 0000R 00001 00211 025 2112000 2024 CP4PD369 003</t>
  </si>
  <si>
    <t>5 1 2 1 1 12 31111 6 M59 40400 000173 0000R 00001 00211 025 2112000 2024 CP4PD369 003 0000001</t>
  </si>
  <si>
    <t>5 1 2 1 1 12 31111 6 M59 50000</t>
  </si>
  <si>
    <t>5 1 2 1 1 12 31111 6 M59 50000 000223</t>
  </si>
  <si>
    <t>5 1 2 1 1 12 31111 6 M59 50000 000223 0000E</t>
  </si>
  <si>
    <t>5 1 2 1 1 12 31111 6 M59 50000 000223 0000E 00001</t>
  </si>
  <si>
    <t>5 1 2 1 1 12 31111 6 M59 50000 000223 0000E 00001 00211</t>
  </si>
  <si>
    <t>5 1 2 1 1 12 31111 6 M59 50000 000223 0000E 00001 00211 015</t>
  </si>
  <si>
    <t>5 1 2 1 1 12 31111 6 M59 50000 000223 0000E 00001 00211 015 2112000</t>
  </si>
  <si>
    <t>5 1 2 1 1 12 31111 6 M59 50000 000223 0000E 00001 00211 015 2112000 2024</t>
  </si>
  <si>
    <t>5 1 2 1 1 12 31111 6 M59 50000 000223 0000E 00001 00211 015 2112000 2024 CP1DA424</t>
  </si>
  <si>
    <t>5 1 2 1 1 12 31111 6 M59 50000 000223 0000E 00001 00211 015 2112000 2024 CP1DA424 001</t>
  </si>
  <si>
    <t>5 1 2 1 1 12 31111 6 M59 50000 000223 0000E 00001 00211 015 2112000 2024 CP1DA424 001 0000001</t>
  </si>
  <si>
    <t>5 1 2 1 1 12 31111 6 M59 50100</t>
  </si>
  <si>
    <t>5 1 2 1 1 12 31111 6 M59 50100 000132</t>
  </si>
  <si>
    <t>5 1 2 1 1 12 31111 6 M59 50100 000132 0000R</t>
  </si>
  <si>
    <t>5 1 2 1 1 12 31111 6 M59 50100 000132 0000R 00001</t>
  </si>
  <si>
    <t>5 1 2 1 1 12 31111 6 M59 50100 000132 0000R 00001 00211</t>
  </si>
  <si>
    <t>5 1 2 1 1 12 31111 6 M59 50100 000132 0000R 00001 00211 015</t>
  </si>
  <si>
    <t>5 1 2 1 1 12 31111 6 M59 50100 000132 0000R 00001 00211 015 2112000</t>
  </si>
  <si>
    <t>5 1 2 1 1 12 31111 6 M59 50100 000132 0000R 00001 00211 015 2112000 2024</t>
  </si>
  <si>
    <t>5 1 2 1 1 12 31111 6 M59 50100 000132 0000R 00001 00211 015 2112000 2024 CP1AG431</t>
  </si>
  <si>
    <t>5 1 2 1 1 12 31111 6 M59 50100 000132 0000R 00001 00211 015 2112000 2024 CP1AG431 001</t>
  </si>
  <si>
    <t>5 1 2 1 1 12 31111 6 M59 50100 000132 0000R 00001 00211 015 2112000 2024 CP1AG431 001 0000001</t>
  </si>
  <si>
    <t>5 1 2 1 1 12 31111 6 M59 60100</t>
  </si>
  <si>
    <t>5 1 2 1 1 12 31111 6 M59 60100 000132</t>
  </si>
  <si>
    <t>5 1 2 1 1 12 31111 6 M59 60100 000132 0000R</t>
  </si>
  <si>
    <t>5 1 2 1 1 12 31111 6 M59 60100 000132 0000R 00001</t>
  </si>
  <si>
    <t>5 1 2 1 1 12 31111 6 M59 60100 000132 0000R 00001 00211</t>
  </si>
  <si>
    <t>5 1 2 1 1 12 31111 6 M59 60100 000132 0000R 00001 00211 015</t>
  </si>
  <si>
    <t>5 1 2 1 1 12 31111 6 M59 60100 000132 0000R 00001 00211 015 2112000</t>
  </si>
  <si>
    <t>5 1 2 1 1 12 31111 6 M59 60100 000132 0000R 00001 00211 015 2112000 2024</t>
  </si>
  <si>
    <t>5 1 2 1 1 12 31111 6 M59 60100 000132 0000R 00001 00211 015 2112000 2024 CP1DM394</t>
  </si>
  <si>
    <t>5 1 2 1 1 12 31111 6 M59 60100 000132 0000R 00001 00211 015 2112000 2024 CP1DM394 001</t>
  </si>
  <si>
    <t>5 1 2 1 1 12 31111 6 M59 60100 000132 0000R 00001 00211 015 2112000 2024 CP1DM394 001 0000001</t>
  </si>
  <si>
    <t>5 1 2 1 1 12 31111 6 M59 70000</t>
  </si>
  <si>
    <t>5 1 2 1 1 12 31111 6 M59 70000 000132</t>
  </si>
  <si>
    <t>5 1 2 1 1 12 31111 6 M59 70000 000132 0000R</t>
  </si>
  <si>
    <t>5 1 2 1 1 12 31111 6 M59 70000 000132 0000R 00001</t>
  </si>
  <si>
    <t>5 1 2 1 1 12 31111 6 M59 70000 000132 0000R 00001 00211</t>
  </si>
  <si>
    <t>5 1 2 1 1 12 31111 6 M59 70000 000132 0000R 00001 00211 015</t>
  </si>
  <si>
    <t>5 1 2 1 1 12 31111 6 M59 70000 000132 0000R 00001 00211 015 2112000</t>
  </si>
  <si>
    <t>5 1 2 1 1 12 31111 6 M59 70000 000132 0000R 00001 00211 015 2112000 2024</t>
  </si>
  <si>
    <t>5 1 2 1 1 12 31111 6 M59 70000 000132 0000R 00001 00211 015 2112000 2024 CP1DS387</t>
  </si>
  <si>
    <t>5 1 2 1 1 12 31111 6 M59 70000 000132 0000R 00001 00211 015 2112000 2024 CP1DS387 001</t>
  </si>
  <si>
    <t>5 1 2 1 1 12 31111 6 M59 70000 000132 0000R 00001 00211 015 2112000 2024 CP1DS387 001 0000001</t>
  </si>
  <si>
    <t>5 1 2 1 1 12 31111 6 M59 70100</t>
  </si>
  <si>
    <t>5 1 2 1 1 12 31111 6 M59 70100 000132</t>
  </si>
  <si>
    <t>5 1 2 1 1 12 31111 6 M59 70100 000132 0000R</t>
  </si>
  <si>
    <t>5 1 2 1 1 12 31111 6 M59 70100 000132 0000R 00001</t>
  </si>
  <si>
    <t>5 1 2 1 1 12 31111 6 M59 70100 000132 0000R 00001 00211</t>
  </si>
  <si>
    <t>5 1 2 1 1 12 31111 6 M59 70100 000132 0000R 00001 00211 015</t>
  </si>
  <si>
    <t>5 1 2 1 1 12 31111 6 M59 70100 000132 0000R 00001 00211 015 2112000</t>
  </si>
  <si>
    <t>5 1 2 1 1 12 31111 6 M59 70100 000132 0000R 00001 00211 015 2112000 2024</t>
  </si>
  <si>
    <t>5 1 2 1 1 12 31111 6 M59 70100 000132 0000R 00001 00211 015 2112000 2024 CP1MM393</t>
  </si>
  <si>
    <t>5 1 2 1 1 12 31111 6 M59 70100 000132 0000R 00001 00211 015 2112000 2024 CP1MM393 001</t>
  </si>
  <si>
    <t>5 1 2 1 1 12 31111 6 M59 70100 000132 0000R 00001 00211 015 2112000 2024 CP1MM393 001 0000001</t>
  </si>
  <si>
    <t>5 1 2 1 1 12 31111 6 M59 70200</t>
  </si>
  <si>
    <t>5 1 2 1 1 12 31111 6 M59 70200 000132</t>
  </si>
  <si>
    <t>5 1 2 1 1 12 31111 6 M59 70200 000132 0000R</t>
  </si>
  <si>
    <t>5 1 2 1 1 12 31111 6 M59 70200 000132 0000R 00001</t>
  </si>
  <si>
    <t>5 1 2 1 1 12 31111 6 M59 70200 000132 0000R 00001 00211</t>
  </si>
  <si>
    <t>5 1 2 1 1 12 31111 6 M59 70200 000132 0000R 00001 00211 015</t>
  </si>
  <si>
    <t>5 1 2 1 1 12 31111 6 M59 70200 000132 0000R 00001 00211 015 2112000</t>
  </si>
  <si>
    <t>5 1 2 1 1 12 31111 6 M59 70200 000132 0000R 00001 00211 015 2112000 2024</t>
  </si>
  <si>
    <t>5 1 2 1 1 12 31111 6 M59 70200 000132 0000R 00001 00211 015 2112000 2024 CP1SE410</t>
  </si>
  <si>
    <t>5 1 2 1 1 12 31111 6 M59 70200 000132 0000R 00001 00211 015 2112000 2024 CP1SE410 001</t>
  </si>
  <si>
    <t>5 1 2 1 1 12 31111 6 M59 70200 000132 0000R 00001 00211 015 2112000 2024 CP1SE410 001 0000001</t>
  </si>
  <si>
    <t>5 1 2 1 1 12 31111 6 M59 70300</t>
  </si>
  <si>
    <t>5 1 2 1 1 12 31111 6 M59 70300 000132</t>
  </si>
  <si>
    <t>5 1 2 1 1 12 31111 6 M59 70300 000132 0000R</t>
  </si>
  <si>
    <t>5 1 2 1 1 12 31111 6 M59 70300 000132 0000R 00001</t>
  </si>
  <si>
    <t>5 1 2 1 1 12 31111 6 M59 70300 000132 0000R 00001 00211</t>
  </si>
  <si>
    <t>5 1 2 1 1 12 31111 6 M59 70300 000132 0000R 00001 00211 015</t>
  </si>
  <si>
    <t>5 1 2 1 1 12 31111 6 M59 70300 000132 0000R 00001 00211 015 2112000</t>
  </si>
  <si>
    <t>5 1 2 1 1 12 31111 6 M59 70300 000132 0000R 00001 00211 015 2112000 2024</t>
  </si>
  <si>
    <t>5 1 2 1 1 12 31111 6 M59 70300 000132 0000R 00001 00211 015 2112000 2024 CP1CU419</t>
  </si>
  <si>
    <t>5 1 2 1 1 12 31111 6 M59 70300 000132 0000R 00001 00211 015 2112000 2024 CP1CU419 001</t>
  </si>
  <si>
    <t>5 1 2 1 1 12 31111 6 M59 70300 000132 0000R 00001 00211 015 2112000 2024 CP1CU419 001 0000001</t>
  </si>
  <si>
    <t>5 1 2 1 1 12 31111 6 M59 70400</t>
  </si>
  <si>
    <t>5 1 2 1 1 12 31111 6 M59 70400 000241</t>
  </si>
  <si>
    <t>5 1 2 1 1 12 31111 6 M59 70400 000241 0000R</t>
  </si>
  <si>
    <t>5 1 2 1 1 12 31111 6 M59 70400 000241 0000R 00001</t>
  </si>
  <si>
    <t>5 1 2 1 1 12 31111 6 M59 70400 000241 0000R 00001 00211</t>
  </si>
  <si>
    <t>5 1 2 1 1 12 31111 6 M59 70400 000241 0000R 00001 00211 015</t>
  </si>
  <si>
    <t>5 1 2 1 1 12 31111 6 M59 70400 000241 0000R 00001 00211 015 2112000</t>
  </si>
  <si>
    <t>5 1 2 1 1 12 31111 6 M59 70400 000241 0000R 00001 00211 015 2112000 2024</t>
  </si>
  <si>
    <t>5 1 2 1 1 12 31111 6 M59 70400 000241 0000R 00001 00211 015 2112000 2024 CP1DD418</t>
  </si>
  <si>
    <t>5 1 2 1 1 12 31111 6 M59 70400 000241 0000R 00001 00211 015 2112000 2024 CP1DD418 001</t>
  </si>
  <si>
    <t>5 1 2 1 1 12 31111 6 M59 70400 000241 0000R 00001 00211 015 2112000 2024 CP1DD418 001 0000001</t>
  </si>
  <si>
    <t>5 1 2 1 1 12 31111 6 M59 70500</t>
  </si>
  <si>
    <t>5 1 2 1 1 12 31111 6 M59 70500 000132</t>
  </si>
  <si>
    <t>5 1 2 1 1 12 31111 6 M59 70500 000132 0000R</t>
  </si>
  <si>
    <t>5 1 2 1 1 12 31111 6 M59 70500 000132 0000R 00001</t>
  </si>
  <si>
    <t>5 1 2 1 1 12 31111 6 M59 70500 000132 0000R 00001 00211</t>
  </si>
  <si>
    <t>5 1 2 1 1 12 31111 6 M59 70500 000132 0000R 00001 00211 015</t>
  </si>
  <si>
    <t>5 1 2 1 1 12 31111 6 M59 70500 000132 0000R 00001 00211 015 2112000</t>
  </si>
  <si>
    <t>5 1 2 1 1 12 31111 6 M59 70500 000132 0000R 00001 00211 015 2112000 2024</t>
  </si>
  <si>
    <t>5 1 2 1 1 12 31111 6 M59 70500 000132 0000R 00001 00211 015 2112000 2024 CP1DT395</t>
  </si>
  <si>
    <t>5 1 2 1 1 12 31111 6 M59 70500 000132 0000R 00001 00211 015 2112000 2024 CP1DT395 001</t>
  </si>
  <si>
    <t>5 1 2 1 1 12 31111 6 M59 70500 000132 0000R 00001 00211 015 2112000 2024 CP1DT395 001 0000001</t>
  </si>
  <si>
    <t>5 1 2 1 1 12 31111 6 M59 70600</t>
  </si>
  <si>
    <t>5 1 2 1 1 12 31111 6 M59 70600 000132</t>
  </si>
  <si>
    <t>5 1 2 1 1 12 31111 6 M59 70600 000132 0000R</t>
  </si>
  <si>
    <t>5 1 2 1 1 12 31111 6 M59 70600 000132 0000R 00001</t>
  </si>
  <si>
    <t>5 1 2 1 1 12 31111 6 M59 70600 000132 0000R 00001 00211</t>
  </si>
  <si>
    <t>5 1 2 1 1 12 31111 6 M59 70600 000132 0000R 00001 00211 015</t>
  </si>
  <si>
    <t>5 1 2 1 1 12 31111 6 M59 70600 000132 0000R 00001 00211 015 2112000</t>
  </si>
  <si>
    <t>5 1 2 1 1 12 31111 6 M59 70600 000132 0000R 00001 00211 015 2112000 2024</t>
  </si>
  <si>
    <t>5 1 2 1 1 12 31111 6 M59 70600 000132 0000R 00001 00211 015 2112000 2024 CP1DJ409</t>
  </si>
  <si>
    <t>5 1 2 1 1 12 31111 6 M59 70600 000132 0000R 00001 00211 015 2112000 2024 CP1DJ409 001</t>
  </si>
  <si>
    <t>5 1 2 1 1 12 31111 6 M59 70600 000132 0000R 00001 00211 015 2112000 2024 CP1DJ409 001 0000001</t>
  </si>
  <si>
    <t>5 1 2 1 1 12 31111 6 M59 70700</t>
  </si>
  <si>
    <t>5 1 2 1 1 12 31111 6 M59 70700 000132</t>
  </si>
  <si>
    <t>5 1 2 1 1 12 31111 6 M59 70700 000132 0000R</t>
  </si>
  <si>
    <t>5 1 2 1 1 12 31111 6 M59 70700 000132 0000R 00001</t>
  </si>
  <si>
    <t>5 1 2 1 1 12 31111 6 M59 70700 000132 0000R 00001 00211</t>
  </si>
  <si>
    <t>5 1 2 1 1 12 31111 6 M59 70700 000132 0000R 00001 00211 015</t>
  </si>
  <si>
    <t>5 1 2 1 1 12 31111 6 M59 70700 000132 0000R 00001 00211 015 2112000</t>
  </si>
  <si>
    <t>5 1 2 1 1 12 31111 6 M59 70700 000132 0000R 00001 00211 015 2112000 2024</t>
  </si>
  <si>
    <t>5 1 2 1 1 12 31111 6 M59 70700 000132 0000R 00001 00211 015 2112000 2024 CP1SA397</t>
  </si>
  <si>
    <t>5 1 2 1 1 12 31111 6 M59 70700 000132 0000R 00001 00211 015 2112000 2024 CP1SA397 001</t>
  </si>
  <si>
    <t>5 1 2 1 1 12 31111 6 M59 70700 000132 0000R 00001 00211 015 2112000 2024 CP1SA397 001 0000001</t>
  </si>
  <si>
    <t>5 1 2 1 1 12 31111 6 M59 70800</t>
  </si>
  <si>
    <t>5 1 2 1 1 12 31111 6 M59 70800 000132</t>
  </si>
  <si>
    <t>5 1 2 1 1 12 31111 6 M59 70800 000132 0000R</t>
  </si>
  <si>
    <t>5 1 2 1 1 12 31111 6 M59 70800 000132 0000R 00001</t>
  </si>
  <si>
    <t>5 1 2 1 1 12 31111 6 M59 70800 000132 0000R 00001 00211</t>
  </si>
  <si>
    <t>5 1 2 1 1 12 31111 6 M59 70800 000132 0000R 00001 00211 015</t>
  </si>
  <si>
    <t>5 1 2 1 1 12 31111 6 M59 70800 000132 0000R 00001 00211 015 2112000</t>
  </si>
  <si>
    <t>5 1 2 1 1 12 31111 6 M59 70800 000132 0000R 00001 00211 015 2112000 2024</t>
  </si>
  <si>
    <t>5 1 2 1 1 12 31111 6 M59 70800 000132 0000R 00001 00211 015 2112000 2024 CP1ED416</t>
  </si>
  <si>
    <t>5 1 2 1 1 12 31111 6 M59 70800 000132 0000R 00001 00211 015 2112000 2024 CP1ED416 001</t>
  </si>
  <si>
    <t>5 1 2 1 1 12 31111 6 M59 70800 000132 0000R 00001 00211 015 2112000 2024 CP1ED416 001 0000001</t>
  </si>
  <si>
    <t>5 1 2 1 1 12 31111 6 M59 70900</t>
  </si>
  <si>
    <t>5 1 2 1 1 12 31111 6 M59 70900 000181</t>
  </si>
  <si>
    <t>5 1 2 1 1 12 31111 6 M59 70900 000181 0000R</t>
  </si>
  <si>
    <t>5 1 2 1 1 12 31111 6 M59 70900 000181 0000R 00001</t>
  </si>
  <si>
    <t>5 1 2 1 1 12 31111 6 M59 70900 000181 0000R 00001 00211</t>
  </si>
  <si>
    <t>5 1 2 1 1 12 31111 6 M59 70900 000181 0000R 00001 00211 015</t>
  </si>
  <si>
    <t>5 1 2 1 1 12 31111 6 M59 70900 000181 0000R 00001 00211 015 2112000</t>
  </si>
  <si>
    <t>5 1 2 1 1 12 31111 6 M59 70900 000181 0000R 00001 00211 015 2112000 2024</t>
  </si>
  <si>
    <t>5 1 2 1 1 12 31111 6 M59 70900 000181 0000R 00001 00211 015 2112000 2024 CP1EM392</t>
  </si>
  <si>
    <t>5 1 2 1 1 12 31111 6 M59 70900 000181 0000R 00001 00211 015 2112000 2024 CP1EM392 001</t>
  </si>
  <si>
    <t>5 1 2 1 1 12 31111 6 M59 70900 000181 0000R 00001 00211 015 2112000 2024 CP1EM392 001 0000001</t>
  </si>
  <si>
    <t>5 1 2 1 1 12 31111 6 M59 71000</t>
  </si>
  <si>
    <t>5 1 2 1 1 12 31111 6 M59 71000 000132</t>
  </si>
  <si>
    <t>5 1 2 1 1 12 31111 6 M59 71000 000132 0000R</t>
  </si>
  <si>
    <t>5 1 2 1 1 12 31111 6 M59 71000 000132 0000R 00001</t>
  </si>
  <si>
    <t>5 1 2 1 1 12 31111 6 M59 71000 000132 0000R 00001 00211</t>
  </si>
  <si>
    <t>5 1 2 1 1 12 31111 6 M59 71000 000132 0000R 00001 00211 015</t>
  </si>
  <si>
    <t>5 1 2 1 1 12 31111 6 M59 71000 000132 0000R 00001 00211 015 2112000</t>
  </si>
  <si>
    <t>5 1 2 1 1 12 31111 6 M59 71000 000132 0000R 00001 00211 015 2112000 2024</t>
  </si>
  <si>
    <t>5 1 2 1 1 12 31111 6 M59 71000 000132 0000R 00001 00211 015 2112000 2024 CP1AP422</t>
  </si>
  <si>
    <t>5 1 2 1 1 12 31111 6 M59 71000 000132 0000R 00001 00211 015 2112000 2024 CP1AP422 001</t>
  </si>
  <si>
    <t>5 1 2 1 1 12 31111 6 M59 71000 000132 0000R 00001 00211 015 2112000 2024 CP1AP422 001 0000001</t>
  </si>
  <si>
    <t>5 1 2 1 1 12 31111 6 M59 80100</t>
  </si>
  <si>
    <t>5 1 2 1 1 12 31111 6 M59 80100 000132</t>
  </si>
  <si>
    <t>5 1 2 1 1 12 31111 6 M59 80100 000132 0000R</t>
  </si>
  <si>
    <t>5 1 2 1 1 12 31111 6 M59 80100 000132 0000R 00001</t>
  </si>
  <si>
    <t>5 1 2 1 1 12 31111 6 M59 80100 000132 0000R 00001 00211</t>
  </si>
  <si>
    <t>5 1 2 1 1 12 31111 6 M59 80100 000132 0000R 00001 00211 015</t>
  </si>
  <si>
    <t>5 1 2 1 1 12 31111 6 M59 80100 000132 0000R 00001 00211 015 2112000</t>
  </si>
  <si>
    <t>5 1 2 1 1 12 31111 6 M59 80100 000132 0000R 00001 00211 015 2112000 2024</t>
  </si>
  <si>
    <t>5 1 2 1 1 12 31111 6 M59 80100 000132 0000R 00001 00211 015 2112000 2024 CP1AC425</t>
  </si>
  <si>
    <t>5 1 2 1 1 12 31111 6 M59 80100 000132 0000R 00001 00211 015 2112000 2024 CP1AC425 001</t>
  </si>
  <si>
    <t>5 1 2 1 1 12 31111 6 M59 80100 000132 0000R 00001 00211 015 2112000 2024 CP1AC425 001 0000001</t>
  </si>
  <si>
    <t>5 1 2 1 1 12 31111 6 M59 80200</t>
  </si>
  <si>
    <t>DIRECCCIÓN DE RECURSOS FORESTALES</t>
  </si>
  <si>
    <t>5 1 2 1 1 12 31111 6 M59 80200 000132</t>
  </si>
  <si>
    <t>5 1 2 1 1 12 31111 6 M59 80200 000132 0000R</t>
  </si>
  <si>
    <t>5 1 2 1 1 12 31111 6 M59 80200 000132 0000R 00001</t>
  </si>
  <si>
    <t>5 1 2 1 1 12 31111 6 M59 80200 000132 0000R 00001 00211</t>
  </si>
  <si>
    <t>5 1 2 1 1 12 31111 6 M59 80200 000132 0000R 00001 00211 015</t>
  </si>
  <si>
    <t>5 1 2 1 1 12 31111 6 M59 80200 000132 0000R 00001 00211 015 2112000</t>
  </si>
  <si>
    <t>5 1 2 1 1 12 31111 6 M59 80200 000132 0000R 00001 00211 015 2112000 2024</t>
  </si>
  <si>
    <t>5 1 2 1 1 12 31111 6 M59 80200 000132 0000R 00001 00211 015 2112000 2024 CP1RF400</t>
  </si>
  <si>
    <t>5 1 2 1 1 12 31111 6 M59 80200 000132 0000R 00001 00211 015 2112000 2024 CP1RF400 001</t>
  </si>
  <si>
    <t>5 1 2 1 1 12 31111 6 M59 80200 000132 0000R 00001 00211 015 2112000 2024 CP1RF400 001 0000001</t>
  </si>
  <si>
    <t>5 1 2 1 1 12 31111 6 M59 80300</t>
  </si>
  <si>
    <t>5 1 2 1 1 12 31111 6 M59 80300 000132</t>
  </si>
  <si>
    <t>5 1 2 1 1 12 31111 6 M59 80300 000132 0000R</t>
  </si>
  <si>
    <t>5 1 2 1 1 12 31111 6 M59 80300 000132 0000R 00001</t>
  </si>
  <si>
    <t>5 1 2 1 1 12 31111 6 M59 80300 000132 0000R 00001 00211</t>
  </si>
  <si>
    <t>5 1 2 1 1 12 31111 6 M59 80300 000132 0000R 00001 00211 015</t>
  </si>
  <si>
    <t>5 1 2 1 1 12 31111 6 M59 80300 000132 0000R 00001 00211 015 2112000</t>
  </si>
  <si>
    <t>5 1 2 1 1 12 31111 6 M59 80300 000132 0000R 00001 00211 015 2112000 2024</t>
  </si>
  <si>
    <t>5 1 2 1 1 12 31111 6 M59 80300 000132 0000R 00001 00211 015 2112000 2024 CP1GA414</t>
  </si>
  <si>
    <t>5 1 2 1 1 12 31111 6 M59 80300 000132 0000R 00001 00211 015 2112000 2024 CP1GA414 001</t>
  </si>
  <si>
    <t>5 1 2 1 1 12 31111 6 M59 80300 000132 0000R 00001 00211 015 2112000 2024 CP1GA414 001 0000001</t>
  </si>
  <si>
    <t>5 1 2 1 1 12 31111 6 M59 80400</t>
  </si>
  <si>
    <t>5 1 2 1 1 12 31111 6 M59 80400 000132</t>
  </si>
  <si>
    <t>5 1 2 1 1 12 31111 6 M59 80400 000132 0000R</t>
  </si>
  <si>
    <t>5 1 2 1 1 12 31111 6 M59 80400 000132 0000R 00001</t>
  </si>
  <si>
    <t>5 1 2 1 1 12 31111 6 M59 80400 000132 0000R 00001 00211</t>
  </si>
  <si>
    <t>5 1 2 1 1 12 31111 6 M59 80400 000132 0000R 00001 00211 015</t>
  </si>
  <si>
    <t>5 1 2 1 1 12 31111 6 M59 80400 000132 0000R 00001 00211 015 2112000</t>
  </si>
  <si>
    <t>5 1 2 1 1 12 31111 6 M59 80400 000132 0000R 00001 00211 015 2112000 2024</t>
  </si>
  <si>
    <t>5 1 2 1 1 12 31111 6 M59 80400 000132 0000R 00001 00211 015 2112000 2024 CP1DP403</t>
  </si>
  <si>
    <t>5 1 2 1 1 12 31111 6 M59 80400 000132 0000R 00001 00211 015 2112000 2024 CP1DP403 001</t>
  </si>
  <si>
    <t>5 1 2 1 1 12 31111 6 M59 80400 000132 0000R 00001 00211 015 2112000 2024 CP1DP403 001 0000001</t>
  </si>
  <si>
    <t>5 1 2 1 1 12 31111 6 M59 80500</t>
  </si>
  <si>
    <t>5 1 2 1 1 12 31111 6 M59 80500 000216</t>
  </si>
  <si>
    <t>5 1 2 1 1 12 31111 6 M59 80500 000216 0000R</t>
  </si>
  <si>
    <t>5 1 2 1 1 12 31111 6 M59 80500 000216 0000R 00001</t>
  </si>
  <si>
    <t>5 1 2 1 1 12 31111 6 M59 80500 000216 0000R 00001 00211</t>
  </si>
  <si>
    <t>5 1 2 1 1 12 31111 6 M59 80500 000216 0000R 00001 00211 015</t>
  </si>
  <si>
    <t>5 1 2 1 1 12 31111 6 M59 80500 000216 0000R 00001 00211 015 2112000</t>
  </si>
  <si>
    <t>5 1 2 1 1 12 31111 6 M59 80500 000216 0000R 00001 00211 015 2112000 2024</t>
  </si>
  <si>
    <t>5 1 2 1 1 12 31111 6 M59 80500 000216 0000R 00001 00211 015 2112000 2024 CP1MA417</t>
  </si>
  <si>
    <t>5 1 2 1 1 12 31111 6 M59 80500 000216 0000R 00001 00211 015 2112000 2024 CP1MA417 001</t>
  </si>
  <si>
    <t>5 1 2 1 1 12 31111 6 M59 80500 000216 0000R 00001 00211 015 2112000 2024 CP1MA417 001 0000001</t>
  </si>
  <si>
    <t>5 1 2 1 1 12 31111 6 M59 90000</t>
  </si>
  <si>
    <t>5 1 2 1 1 12 31111 6 M59 90000 000132</t>
  </si>
  <si>
    <t>5 1 2 1 1 12 31111 6 M59 90000 000132 0000R</t>
  </si>
  <si>
    <t>5 1 2 1 1 12 31111 6 M59 90000 000132 0000R 00001</t>
  </si>
  <si>
    <t>5 1 2 1 1 12 31111 6 M59 90000 000132 0000R 00001 00211</t>
  </si>
  <si>
    <t>5 1 2 1 1 12 31111 6 M59 90000 000132 0000R 00001 00211 015</t>
  </si>
  <si>
    <t>5 1 2 1 1 12 31111 6 M59 90000 000132 0000R 00001 00211 015 2112000</t>
  </si>
  <si>
    <t>5 1 2 1 1 12 31111 6 M59 90000 000132 0000R 00001 00211 015 2112000 2024</t>
  </si>
  <si>
    <t>5 1 2 1 1 12 31111 6 M59 90000 000132 0000R 00001 00211 015 2112000 2024 CP1SG383</t>
  </si>
  <si>
    <t>5 1 2 1 1 12 31111 6 M59 90000 000132 0000R 00001 00211 015 2112000 2024 CP1SG383 001</t>
  </si>
  <si>
    <t>5 1 2 1 1 12 31111 6 M59 90000 000132 0000R 00001 00211 015 2112000 2024 CP1SG383 001 0000001</t>
  </si>
  <si>
    <t>5 1 2 1 1 12 31111 6 M59 91000</t>
  </si>
  <si>
    <t>5 1 2 1 1 12 31111 6 M59 91000 000132</t>
  </si>
  <si>
    <t>5 1 2 1 1 12 31111 6 M59 91000 000132 0000R</t>
  </si>
  <si>
    <t>5 1 2 1 1 12 31111 6 M59 91000 000132 0000R 00001</t>
  </si>
  <si>
    <t>5 1 2 1 1 12 31111 6 M59 91000 000132 0000R 00001 00211</t>
  </si>
  <si>
    <t>5 1 2 1 1 12 31111 6 M59 91000 000132 0000R 00001 00211 015</t>
  </si>
  <si>
    <t>5 1 2 1 1 12 31111 6 M59 91000 000132 0000R 00001 00211 015 2112000</t>
  </si>
  <si>
    <t>5 1 2 1 1 12 31111 6 M59 91000 000132 0000R 00001 00211 015 2112000 2024</t>
  </si>
  <si>
    <t>5 1 2 1 1 12 31111 6 M59 91000 000132 0000R 00001 00211 015 2112000 2024 CP1RE398</t>
  </si>
  <si>
    <t>5 1 2 1 1 12 31111 6 M59 91000 000132 0000R 00001 00211 015 2112000 2024 CP1RE398 001</t>
  </si>
  <si>
    <t>5 1 2 1 1 12 31111 6 M59 91000 000132 0000R 00001 00211 015 2112000 2024 CP1RE398 001 0000001</t>
  </si>
  <si>
    <t>5 1 2 1 1 12 31111 6 M59 92000</t>
  </si>
  <si>
    <t>5 1 2 1 1 12 31111 6 M59 92000 000181</t>
  </si>
  <si>
    <t>5 1 2 1 1 12 31111 6 M59 92000 000181 0000E</t>
  </si>
  <si>
    <t>5 1 2 1 1 12 31111 6 M59 92000 000181 0000E 00001</t>
  </si>
  <si>
    <t>5 1 2 1 1 12 31111 6 M59 92000 000181 0000E 00001 00211</t>
  </si>
  <si>
    <t>5 1 2 1 1 12 31111 6 M59 92000 000181 0000E 00001 00211 015</t>
  </si>
  <si>
    <t>5 1 2 1 1 12 31111 6 M59 92000 000181 0000E 00001 00211 015 2112000</t>
  </si>
  <si>
    <t>5 1 2 1 1 12 31111 6 M59 92000 000181 0000E 00001 00211 015 2112000 2024</t>
  </si>
  <si>
    <t>5 1 2 1 1 12 31111 6 M59 92000 000181 0000E 00001 00211 015 2112000 2024 CP1RC399</t>
  </si>
  <si>
    <t>5 1 2 1 1 12 31111 6 M59 92000 000181 0000E 00001 00211 015 2112000 2024 CP1RC399 001</t>
  </si>
  <si>
    <t>5 1 2 1 1 12 31111 6 M59 92000 000181 0000E 00001 00211 015 2112000 2024 CP1RC399 001 0000001</t>
  </si>
  <si>
    <t>5 1 2 1 1 12 31111 6 M59 93000</t>
  </si>
  <si>
    <t>5 1 2 1 1 12 31111 6 M59 93000 000132</t>
  </si>
  <si>
    <t>5 1 2 1 1 12 31111 6 M59 93000 000132 0000R</t>
  </si>
  <si>
    <t>5 1 2 1 1 12 31111 6 M59 93000 000132 0000R 00001</t>
  </si>
  <si>
    <t>5 1 2 1 1 12 31111 6 M59 93000 000132 0000R 00001 00211</t>
  </si>
  <si>
    <t>5 1 2 1 1 12 31111 6 M59 93000 000132 0000R 00001 00211 015</t>
  </si>
  <si>
    <t>5 1 2 1 1 12 31111 6 M59 93000 000132 0000R 00001 00211 015 2112000</t>
  </si>
  <si>
    <t>5 1 2 1 1 12 31111 6 M59 93000 000132 0000R 00001 00211 015 2112000 2024</t>
  </si>
  <si>
    <t>5 1 2 1 1 12 31111 6 M59 93000 000132 0000R 00001 00211 015 2112000 2024 CP1RS429</t>
  </si>
  <si>
    <t>5 1 2 1 1 12 31111 6 M59 93000 000132 0000R 00001 00211 015 2112000 2024 CP1RS429 001</t>
  </si>
  <si>
    <t>5 1 2 1 1 12 31111 6 M59 93000 000132 0000R 00001 00211 015 2112000 2024 CP1RS429 001 0000001</t>
  </si>
  <si>
    <t>5 1 2 1 1 12 31111 6 M59 94000</t>
  </si>
  <si>
    <t>5 1 2 1 1 12 31111 6 M59 94000 000181</t>
  </si>
  <si>
    <t>5 1 2 1 1 12 31111 6 M59 94000 000181 0000R</t>
  </si>
  <si>
    <t>5 1 2 1 1 12 31111 6 M59 94000 000181 0000R 00001</t>
  </si>
  <si>
    <t>5 1 2 1 1 12 31111 6 M59 94000 000181 0000R 00001 00211</t>
  </si>
  <si>
    <t>5 1 2 1 1 12 31111 6 M59 94000 000181 0000R 00001 00211 015</t>
  </si>
  <si>
    <t>5 1 2 1 1 12 31111 6 M59 94000 000181 0000R 00001 00211 015 2112000</t>
  </si>
  <si>
    <t>5 1 2 1 1 12 31111 6 M59 94000 000181 0000R 00001 00211 015 2112000 2024</t>
  </si>
  <si>
    <t>5 1 2 1 1 12 31111 6 M59 94000 000181 0000R 00001 00211 015 2112000 2024 CP1OM392</t>
  </si>
  <si>
    <t>5 1 2 1 1 12 31111 6 M59 94000 000181 0000R 00001 00211 015 2112000 2024 CP1OM392 001</t>
  </si>
  <si>
    <t>5 1 2 1 1 12 31111 6 M59 94000 000181 0000R 00001 00211 015 2112000 2024 CP1OM392 001 0000001</t>
  </si>
  <si>
    <t>5 1 2 1 1 12 31111 6 M59 94100</t>
  </si>
  <si>
    <t>5 1 2 1 1 12 31111 6 M59 94100 000132</t>
  </si>
  <si>
    <t>5 1 2 1 1 12 31111 6 M59 94100 000132 0000R</t>
  </si>
  <si>
    <t>5 1 2 1 1 12 31111 6 M59 94100 000132 0000R 00001</t>
  </si>
  <si>
    <t>5 1 2 1 1 12 31111 6 M59 94100 000132 0000R 00001 00211</t>
  </si>
  <si>
    <t>5 1 2 1 1 12 31111 6 M59 94100 000132 0000R 00001 00211 015</t>
  </si>
  <si>
    <t>5 1 2 1 1 12 31111 6 M59 94100 000132 0000R 00001 00211 015 2112000</t>
  </si>
  <si>
    <t>5 1 2 1 1 12 31111 6 M59 94100 000132 0000R 00001 00211 015 2112000 2024</t>
  </si>
  <si>
    <t>5 1 2 1 1 12 31111 6 M59 94100 000132 0000R 00001 00211 015 2112000 2024 CP1AT427</t>
  </si>
  <si>
    <t>5 1 2 1 1 12 31111 6 M59 94100 000132 0000R 00001 00211 015 2112000 2024 CP1AT427 001</t>
  </si>
  <si>
    <t>5 1 2 1 1 12 31111 6 M59 94100 000132 0000R 00001 00211 015 2112000 2024 CP1AT427 001 0000001</t>
  </si>
  <si>
    <t>5 1 2 1 1 12 31111 6 M59 95000</t>
  </si>
  <si>
    <t>5 1 2 1 1 12 31111 6 M59 95000 000139</t>
  </si>
  <si>
    <t>5 1 2 1 1 12 31111 6 M59 95000 000139 0000L</t>
  </si>
  <si>
    <t>5 1 2 1 1 12 31111 6 M59 95000 000139 0000L 00001</t>
  </si>
  <si>
    <t>5 1 2 1 1 12 31111 6 M59 95000 000139 0000L 00001 00211</t>
  </si>
  <si>
    <t>5 1 2 1 1 12 31111 6 M59 95000 000139 0000L 00001 00211 015</t>
  </si>
  <si>
    <t>5 1 2 1 1 12 31111 6 M59 95000 000139 0000L 00001 00211 015 2112000</t>
  </si>
  <si>
    <t>5 1 2 1 1 12 31111 6 M59 95000 000139 0000L 00001 00211 015 2112000 2024</t>
  </si>
  <si>
    <t>5 1 2 1 1 12 31111 6 M59 95000 000139 0000L 00001 00211 015 2112000 2024 CP1AJ437</t>
  </si>
  <si>
    <t>5 1 2 1 1 12 31111 6 M59 95000 000139 0000L 00001 00211 015 2112000 2024 CP1AJ437 001</t>
  </si>
  <si>
    <t>5 1 2 1 1 12 31111 6 M59 95000 000139 0000L 00001 00211 015 2112000 2024 CP1AJ437 001 0000001</t>
  </si>
  <si>
    <t>5 1 2 1 1 12 31111 6 M59 96000</t>
  </si>
  <si>
    <t>5 1 2 1 1 12 31111 6 M59 96000 000132</t>
  </si>
  <si>
    <t>5 1 2 1 1 12 31111 6 M59 96000 000132 0000R</t>
  </si>
  <si>
    <t>5 1 2 1 1 12 31111 6 M59 96000 000132 0000R 00001</t>
  </si>
  <si>
    <t>5 1 2 1 1 12 31111 6 M59 96000 000132 0000R 00001 00211</t>
  </si>
  <si>
    <t>5 1 2 1 1 12 31111 6 M59 96000 000132 0000R 00001 00211 015</t>
  </si>
  <si>
    <t>5 1 2 1 1 12 31111 6 M59 96000 000132 0000R 00001 00211 015 2112000</t>
  </si>
  <si>
    <t>5 1 2 1 1 12 31111 6 M59 96000 000132 0000R 00001 00211 015 2112000 2024</t>
  </si>
  <si>
    <t>5 1 2 1 1 12 31111 6 M59 96000 000132 0000R 00001 00211 015 2112000 2024 CP1PA379</t>
  </si>
  <si>
    <t>5 1 2 1 1 12 31111 6 M59 96000 000132 0000R 00001 00211 015 2112000 2024 CP1PA379 001</t>
  </si>
  <si>
    <t>5 1 2 1 1 12 31111 6 M59 96000 000132 0000R 00001 00211 015 2112000 2024 CP1PA379 001 0000001</t>
  </si>
  <si>
    <t>5 1 2 1 1 12 31111 6 M59 96100</t>
  </si>
  <si>
    <t>5 1 2 1 1 12 31111 6 M59 96100 000211</t>
  </si>
  <si>
    <t>5 1 2 1 1 12 31111 6 M59 96100 000211 0000U</t>
  </si>
  <si>
    <t>5 1 2 1 1 12 31111 6 M59 96100 000211 0000U 00001</t>
  </si>
  <si>
    <t>5 1 2 1 1 12 31111 6 M59 96100 000211 0000U 00001 00211</t>
  </si>
  <si>
    <t>5 1 2 1 1 12 31111 6 M59 96100 000211 0000U 00001 00211 015</t>
  </si>
  <si>
    <t>5 1 2 1 1 12 31111 6 M59 96100 000211 0000U 00001 00211 015 2112000</t>
  </si>
  <si>
    <t>5 1 2 1 1 12 31111 6 M59 96100 000211 0000U 00001 00211 015 2112000 2024</t>
  </si>
  <si>
    <t>5 1 2 1 1 12 31111 6 M59 96100 000211 0000U 00001 00211 015 2112000 2024 CP1IU412</t>
  </si>
  <si>
    <t>5 1 2 1 1 12 31111 6 M59 96100 000211 0000U 00001 00211 015 2112000 2024 CP1IU412 001</t>
  </si>
  <si>
    <t>5 1 2 1 1 12 31111 6 M59 96100 000211 0000U 00001 00211 015 2112000 2024 CP1IU412 001 0000001</t>
  </si>
  <si>
    <t>5 1 2 1 1 12 31111 6 M59 96200</t>
  </si>
  <si>
    <t>5 1 2 1 1 12 31111 6 M59 96200 000132</t>
  </si>
  <si>
    <t>5 1 2 1 1 12 31111 6 M59 96200 000132 0000R</t>
  </si>
  <si>
    <t>5 1 2 1 1 12 31111 6 M59 96200 000132 0000R 00001</t>
  </si>
  <si>
    <t>5 1 2 1 1 12 31111 6 M59 96200 000132 0000R 00001 00211</t>
  </si>
  <si>
    <t>5 1 2 1 1 12 31111 6 M59 96200 000132 0000R 00001 00211 015</t>
  </si>
  <si>
    <t>5 1 2 1 1 12 31111 6 M59 96200 000132 0000R 00001 00211 015 2112000</t>
  </si>
  <si>
    <t>5 1 2 1 1 12 31111 6 M59 96200 000132 0000R 00001 00211 015 2112000 2024</t>
  </si>
  <si>
    <t>5 1 2 1 1 12 31111 6 M59 96200 000132 0000R 00001 00211 015 2112000 2024 CP1AL423</t>
  </si>
  <si>
    <t>5 1 2 1 1 12 31111 6 M59 96200 000132 0000R 00001 00211 015 2112000 2024 CP1AL423 001</t>
  </si>
  <si>
    <t>5 1 2 1 1 12 31111 6 M59 96200 000132 0000R 00001 00211 015 2112000 2024 CP1AL423 001 0000001</t>
  </si>
  <si>
    <t>5 1 2 1 1 12 31111 6 M59 96300</t>
  </si>
  <si>
    <t>5 1 2 1 1 12 31111 6 M59 96300 000211</t>
  </si>
  <si>
    <t>5 1 2 1 1 12 31111 6 M59 96300 000211 0000E</t>
  </si>
  <si>
    <t>5 1 2 1 1 12 31111 6 M59 96300 000211 0000E 00001</t>
  </si>
  <si>
    <t>5 1 2 1 1 12 31111 6 M59 96300 000211 0000E 00001 00211</t>
  </si>
  <si>
    <t>5 1 2 1 1 12 31111 6 M59 96300 000211 0000E 00001 00211 015</t>
  </si>
  <si>
    <t>5 1 2 1 1 12 31111 6 M59 96300 000211 0000E 00001 00211 015 2112000</t>
  </si>
  <si>
    <t>5 1 2 1 1 12 31111 6 M59 96300 000211 0000E 00001 00211 015 2112000 2024</t>
  </si>
  <si>
    <t>5 1 2 1 1 12 31111 6 M59 96300 000211 0000E 00001 00211 015 2112000 2024 CP1SB396</t>
  </si>
  <si>
    <t>5 1 2 1 1 12 31111 6 M59 96300 000211 0000E 00001 00211 015 2112000 2024 CP1SB396 001</t>
  </si>
  <si>
    <t>5 1 2 1 1 12 31111 6 M59 96300 000211 0000E 00001 00211 015 2112000 2024 CP1SB396 001 0000001</t>
  </si>
  <si>
    <t>5 1 2 1 1 12 31111 6 M59 97000</t>
  </si>
  <si>
    <t>5 1 2 1 1 12 31111 6 M59 97000 000132</t>
  </si>
  <si>
    <t>5 1 2 1 1 12 31111 6 M59 97000 000132 0000R</t>
  </si>
  <si>
    <t>5 1 2 1 1 12 31111 6 M59 97000 000132 0000R 00001</t>
  </si>
  <si>
    <t>5 1 2 1 1 12 31111 6 M59 97000 000132 0000R 00001 00211</t>
  </si>
  <si>
    <t>5 1 2 1 1 12 31111 6 M59 97000 000132 0000R 00001 00211 015</t>
  </si>
  <si>
    <t>5 1 2 1 1 12 31111 6 M59 97000 000132 0000R 00001 00211 015 2112000</t>
  </si>
  <si>
    <t>5 1 2 1 1 12 31111 6 M59 97000 000132 0000R 00001 00211 015 2112000 2024</t>
  </si>
  <si>
    <t>5 1 2 1 1 12 31111 6 M59 97000 000132 0000R 00001 00211 015 2112000 2024 CP1SP428</t>
  </si>
  <si>
    <t>5 1 2 1 1 12 31111 6 M59 97000 000132 0000R 00001 00211 015 2112000 2024 CP1SP428 001</t>
  </si>
  <si>
    <t>5 1 2 1 1 12 31111 6 M59 97000 000132 0000R 00001 00211 015 2112000 2024 CP1SP428 001 0000001</t>
  </si>
  <si>
    <t>5 1 2 1 1 12 31111 6 M59 98000</t>
  </si>
  <si>
    <t>5 1 2 1 1 12 31111 6 M59 98000 000181</t>
  </si>
  <si>
    <t>5 1 2 1 1 12 31111 6 M59 98000 000181 0000R</t>
  </si>
  <si>
    <t>5 1 2 1 1 12 31111 6 M59 98000 000181 0000R 00001</t>
  </si>
  <si>
    <t>5 1 2 1 1 12 31111 6 M59 98000 000181 0000R 00001 00211</t>
  </si>
  <si>
    <t>5 1 2 1 1 12 31111 6 M59 98000 000181 0000R 00001 00211 015</t>
  </si>
  <si>
    <t>5 1 2 1 1 12 31111 6 M59 98000 000181 0000R 00001 00211 015 2112000</t>
  </si>
  <si>
    <t>5 1 2 1 1 12 31111 6 M59 98000 000181 0000R 00001 00211 015 2112000 2024</t>
  </si>
  <si>
    <t>5 1 2 1 1 12 31111 6 M59 98000 000181 0000R 00001 00211 015 2112000 2024 CP1RH392</t>
  </si>
  <si>
    <t>5 1 2 1 1 12 31111 6 M59 98000 000181 0000R 00001 00211 015 2112000 2024 CP1RH392 001</t>
  </si>
  <si>
    <t>5 1 2 1 1 12 31111 6 M59 98000 000181 0000R 00001 00211 015 2112000 2024 CP1RH392 001 0000001</t>
  </si>
  <si>
    <t>5 1 2 1 1 12 31111 6 M59 99000</t>
  </si>
  <si>
    <t>5 1 2 1 1 12 31111 6 M59 99000 000132</t>
  </si>
  <si>
    <t>5 1 2 1 1 12 31111 6 M59 99000 000132 0000R</t>
  </si>
  <si>
    <t>5 1 2 1 1 12 31111 6 M59 99000 000132 0000R 00001</t>
  </si>
  <si>
    <t>5 1 2 1 1 12 31111 6 M59 99000 000132 0000R 00001 00211</t>
  </si>
  <si>
    <t>5 1 2 1 1 12 31111 6 M59 99000 000132 0000R 00001 00211 015</t>
  </si>
  <si>
    <t>5 1 2 1 1 12 31111 6 M59 99000 000132 0000R 00001 00211 015 2112000</t>
  </si>
  <si>
    <t>5 1 2 1 1 12 31111 6 M59 99000 000132 0000R 00001 00211 015 2112000 2024</t>
  </si>
  <si>
    <t>5 1 2 1 1 12 31111 6 M59 99000 000132 0000R 00001 00211 015 2112000 2024 CP1MG408</t>
  </si>
  <si>
    <t>5 1 2 1 1 12 31111 6 M59 99000 000132 0000R 00001 00211 015 2112000 2024 CP1MG408 001</t>
  </si>
  <si>
    <t>5 1 2 1 1 12 31111 6 M59 99000 000132 0000R 00001 00211 015 2112000 2024 CP1MG408 001 0000001</t>
  </si>
  <si>
    <t>5 1 2 1 2</t>
  </si>
  <si>
    <t>MATERIALES Y ÚTILES DE IMPRESIÓN Y REPRODUCCIÓN</t>
  </si>
  <si>
    <t>5 1 2 1 2 12</t>
  </si>
  <si>
    <t>5 1 2 1 2 12 31111</t>
  </si>
  <si>
    <t>5 1 2 1 2 12 31111 6</t>
  </si>
  <si>
    <t>5 1 2 1 2 12 31111 6 M59</t>
  </si>
  <si>
    <t>5 1 2 1 2 12 31111 6 M59 19000</t>
  </si>
  <si>
    <t>5 1 2 1 2 12 31111 6 M59 19000 000132</t>
  </si>
  <si>
    <t>5 1 2 1 2 12 31111 6 M59 19000 000132 0000R</t>
  </si>
  <si>
    <t>5 1 2 1 2 12 31111 6 M59 19000 000132 0000R 00001</t>
  </si>
  <si>
    <t>5 1 2 1 2 12 31111 6 M59 19000 000132 0000R 00001 00212</t>
  </si>
  <si>
    <t>MATERIALES Y UTILES DE IMPRESION Y REPRODUCCION.</t>
  </si>
  <si>
    <t>5 1 2 1 2 12 31111 6 M59 19000 000132 0000R 00001 00212 011</t>
  </si>
  <si>
    <t>5 1 2 1 2 12 31111 6 M59 19000 000132 0000R 00001 00212 011 2112000</t>
  </si>
  <si>
    <t>5 1 2 1 2 12 31111 6 M59 19000 000132 0000R 00001 00212 011 2112000 2024</t>
  </si>
  <si>
    <t>5 1 2 1 2 12 31111 6 M59 19000 000132 0000R 00001 00212 011 2112000 2024 CP1TM440</t>
  </si>
  <si>
    <t>5 1 2 1 2 12 31111 6 M59 19000 000132 0000R 00001 00212 011 2112000 2024 CP1TM440 004</t>
  </si>
  <si>
    <t>5 1 2 1 2 12 31111 6 M59 19000 000132 0000R 00001 00212 011 2112000 2024 CP1TM440 004 0000001</t>
  </si>
  <si>
    <t>5 1 2 1 2 12 31111 6 M59 19000 000132 0000R 00001 00212 015</t>
  </si>
  <si>
    <t>5 1 2 1 2 12 31111 6 M59 19000 000132 0000R 00001 00212 015 2112000</t>
  </si>
  <si>
    <t>5 1 2 1 2 12 31111 6 M59 19000 000132 0000R 00001 00212 015 2112000 2024</t>
  </si>
  <si>
    <t>5 1 2 1 2 12 31111 6 M59 19000 000132 0000R 00001 00212 015 2112000 2024 CP1TM440</t>
  </si>
  <si>
    <t>5 1 2 1 2 12 31111 6 M59 19000 000132 0000R 00001 00212 015 2112000 2024 CP1TM440 001</t>
  </si>
  <si>
    <t>5 1 2 1 2 12 31111 6 M59 19000 000132 0000R 00001 00212 015 2112000 2024 CP1TM440 001 0000001</t>
  </si>
  <si>
    <t>5 1 2 1 2 12 31111 6 M59 20500</t>
  </si>
  <si>
    <t>5 1 2 1 2 12 31111 6 M59 20500 000132</t>
  </si>
  <si>
    <t>5 1 2 1 2 12 31111 6 M59 20500 000132 0000R</t>
  </si>
  <si>
    <t>5 1 2 1 2 12 31111 6 M59 20500 000132 0000R 00001</t>
  </si>
  <si>
    <t>5 1 2 1 2 12 31111 6 M59 20500 000132 0000R 00001 00212</t>
  </si>
  <si>
    <t>5 1 2 1 2 12 31111 6 M59 20500 000132 0000R 00001 00212 015</t>
  </si>
  <si>
    <t>5 1 2 1 2 12 31111 6 M59 20500 000132 0000R 00001 00212 015 2112000</t>
  </si>
  <si>
    <t>5 1 2 1 2 12 31111 6 M59 20500 000132 0000R 00001 00212 015 2112000 2024</t>
  </si>
  <si>
    <t>5 1 2 1 2 12 31111 6 M59 20500 000132 0000R 00001 00212 015 2112000 2024 CP1CP420</t>
  </si>
  <si>
    <t>5 1 2 1 2 12 31111 6 M59 20500 000132 0000R 00001 00212 015 2112000 2024 CP1CP420 001</t>
  </si>
  <si>
    <t>5 1 2 1 2 12 31111 6 M59 20500 000132 0000R 00001 00212 015 2112000 2024 CP1CP420 001 0000001</t>
  </si>
  <si>
    <t>5 1 2 1 4</t>
  </si>
  <si>
    <t>MATERIALES, ÚTILES Y EQUIPOS MENORES DE TECNOLOGÍAS DE LA INFORMACIÓN Y COMUNICACIONES</t>
  </si>
  <si>
    <t>5 1 2 1 4 12</t>
  </si>
  <si>
    <t>5 1 2 1 4 12 31111</t>
  </si>
  <si>
    <t>5 1 2 1 4 12 31111 6</t>
  </si>
  <si>
    <t>5 1 2 1 4 12 31111 6 M59</t>
  </si>
  <si>
    <t>5 1 2 1 4 12 31111 6 M59 19000</t>
  </si>
  <si>
    <t>5 1 2 1 4 12 31111 6 M59 19000 000132</t>
  </si>
  <si>
    <t>5 1 2 1 4 12 31111 6 M59 19000 000132 0000R</t>
  </si>
  <si>
    <t>5 1 2 1 4 12 31111 6 M59 19000 000132 0000R 00001</t>
  </si>
  <si>
    <t>5 1 2 1 4 12 31111 6 M59 19000 000132 0000R 00001 00214</t>
  </si>
  <si>
    <t>MATERIALES, UTILES Y EQUIPOS MENORES DE TECNOLOGIAS DE LA INFORMACION Y COMUNICACIONES.</t>
  </si>
  <si>
    <t>5 1 2 1 4 12 31111 6 M59 19000 000132 0000R 00001 00214 011</t>
  </si>
  <si>
    <t>5 1 2 1 4 12 31111 6 M59 19000 000132 0000R 00001 00214 011 2112000</t>
  </si>
  <si>
    <t>5 1 2 1 4 12 31111 6 M59 19000 000132 0000R 00001 00214 011 2112000 2024</t>
  </si>
  <si>
    <t>5 1 2 1 4 12 31111 6 M59 19000 000132 0000R 00001 00214 011 2112000 2024 CP1TM440</t>
  </si>
  <si>
    <t>5 1 2 1 4 12 31111 6 M59 19000 000132 0000R 00001 00214 011 2112000 2024 CP1TM440 004</t>
  </si>
  <si>
    <t>5 1 2 1 4 12 31111 6 M59 19000 000132 0000R 00001 00214 011 2112000 2024 CP1TM440 004 0000001</t>
  </si>
  <si>
    <t>5 1 2 1 4 12 31111 6 M59 20000</t>
  </si>
  <si>
    <t>5 1 2 1 4 12 31111 6 M59 20000 000132</t>
  </si>
  <si>
    <t>5 1 2 1 4 12 31111 6 M59 20000 000132 0000R</t>
  </si>
  <si>
    <t>5 1 2 1 4 12 31111 6 M59 20000 000132 0000R 00001</t>
  </si>
  <si>
    <t>5 1 2 1 4 12 31111 6 M59 20000 000132 0000R 00001 00214</t>
  </si>
  <si>
    <t>5 1 2 1 4 12 31111 6 M59 20000 000132 0000R 00001 00214 015</t>
  </si>
  <si>
    <t>5 1 2 1 4 12 31111 6 M59 20000 000132 0000R 00001 00214 015 2112000</t>
  </si>
  <si>
    <t>5 1 2 1 4 12 31111 6 M59 20000 000132 0000R 00001 00214 015 2112000 2024</t>
  </si>
  <si>
    <t>5 1 2 1 4 12 31111 6 M59 20000 000132 0000R 00001 00214 015 2112000 2024 CP1AF389</t>
  </si>
  <si>
    <t>5 1 2 1 4 12 31111 6 M59 20000 000132 0000R 00001 00214 015 2112000 2024 CP1AF389 001</t>
  </si>
  <si>
    <t>5 1 2 1 4 12 31111 6 M59 20000 000132 0000R 00001 00214 015 2112000 2024 CP1AF389 001 0000001</t>
  </si>
  <si>
    <t>5 1 2 1 4 12 31111 6 M59 20300</t>
  </si>
  <si>
    <t>5 1 2 1 4 12 31111 6 M59 20300 000139</t>
  </si>
  <si>
    <t>5 1 2 1 4 12 31111 6 M59 20300 000139 0000E</t>
  </si>
  <si>
    <t>5 1 2 1 4 12 31111 6 M59 20300 000139 0000E 00001</t>
  </si>
  <si>
    <t>5 1 2 1 4 12 31111 6 M59 20300 000139 0000E 00001 00214</t>
  </si>
  <si>
    <t>5 1 2 1 4 12 31111 6 M59 20300 000139 0000E 00001 00214 015</t>
  </si>
  <si>
    <t>5 1 2 1 4 12 31111 6 M59 20300 000139 0000E 00001 00214 015 2112000</t>
  </si>
  <si>
    <t>5 1 2 1 4 12 31111 6 M59 20300 000139 0000E 00001 00214 015 2112000 2024</t>
  </si>
  <si>
    <t>5 1 2 1 4 12 31111 6 M59 20300 000139 0000E 00001 00214 015 2112000 2024 CP2DE533</t>
  </si>
  <si>
    <t>5 1 2 1 4 12 31111 6 M59 20300 000139 0000E 00001 00214 015 2112000 2024 CP2DE533 005</t>
  </si>
  <si>
    <t>5 1 2 1 4 12 31111 6 M59 20300 000139 0000E 00001 00214 015 2112000 2024 CP2DE533 005 0000001</t>
  </si>
  <si>
    <t>MATERIALES, UTILES Y EQUIPOS MENORES DE TECNOLOGIAS DE LA INFORMACION Y COMUNICACIONES</t>
  </si>
  <si>
    <t>5 1 2 1 4 12 31111 6 M59 20500</t>
  </si>
  <si>
    <t>5 1 2 1 4 12 31111 6 M59 20500 000132</t>
  </si>
  <si>
    <t>5 1 2 1 4 12 31111 6 M59 20500 000132 0000R</t>
  </si>
  <si>
    <t>5 1 2 1 4 12 31111 6 M59 20500 000132 0000R 00001</t>
  </si>
  <si>
    <t>5 1 2 1 4 12 31111 6 M59 20500 000132 0000R 00001 00214</t>
  </si>
  <si>
    <t>5 1 2 1 4 12 31111 6 M59 20500 000132 0000R 00001 00214 015</t>
  </si>
  <si>
    <t>5 1 2 1 4 12 31111 6 M59 20500 000132 0000R 00001 00214 015 2112000</t>
  </si>
  <si>
    <t>5 1 2 1 4 12 31111 6 M59 20500 000132 0000R 00001 00214 015 2112000 2024</t>
  </si>
  <si>
    <t>5 1 2 1 4 12 31111 6 M59 20500 000132 0000R 00001 00214 015 2112000 2024 CP1CP420</t>
  </si>
  <si>
    <t>5 1 2 1 4 12 31111 6 M59 20500 000132 0000R 00001 00214 015 2112000 2024 CP1CP420 001</t>
  </si>
  <si>
    <t>5 1 2 1 4 12 31111 6 M59 20500 000132 0000R 00001 00214 015 2112000 2024 CP1CP420 001 0000001</t>
  </si>
  <si>
    <t>5 1 2 1 4 12 31111 6 M59 40000</t>
  </si>
  <si>
    <t>5 1 2 1 4 12 31111 6 M59 40000 000161</t>
  </si>
  <si>
    <t>5 1 2 1 4 12 31111 6 M59 40000 000161 0000E</t>
  </si>
  <si>
    <t>5 1 2 1 4 12 31111 6 M59 40000 000161 0000E 00001</t>
  </si>
  <si>
    <t>5 1 2 1 4 12 31111 6 M59 40000 000161 0000E 00001 00214</t>
  </si>
  <si>
    <t>5 1 2 1 4 12 31111 6 M59 40000 000161 0000E 00001 00214 025</t>
  </si>
  <si>
    <t>5 1 2 1 4 12 31111 6 M59 40000 000161 0000E 00001 00214 025 2112000</t>
  </si>
  <si>
    <t>5 1 2 1 4 12 31111 6 M59 40000 000161 0000E 00001 00214 025 2112000 2024</t>
  </si>
  <si>
    <t>5 1 2 1 4 12 31111 6 M59 40000 000161 0000E 00001 00214 025 2112000 2024 CP4SP372</t>
  </si>
  <si>
    <t>5 1 2 1 4 12 31111 6 M59 40000 000161 0000E 00001 00214 025 2112000 2024 CP4SP372 003</t>
  </si>
  <si>
    <t>5 1 2 1 4 12 31111 6 M59 40000 000161 0000E 00001 00214 025 2112000 2024 CP4SP372 003 0000001</t>
  </si>
  <si>
    <t>5 1 2 1 4 12 31111 6 M59 40200</t>
  </si>
  <si>
    <t>5 1 2 1 4 12 31111 6 M59 40200 000172</t>
  </si>
  <si>
    <t>5 1 2 1 4 12 31111 6 M59 40200 000172 0000R</t>
  </si>
  <si>
    <t>5 1 2 1 4 12 31111 6 M59 40200 000172 0000R 00001</t>
  </si>
  <si>
    <t>5 1 2 1 4 12 31111 6 M59 40200 000172 0000R 00001 00214</t>
  </si>
  <si>
    <t>5 1 2 1 4 12 31111 6 M59 40200 000172 0000R 00001 00214 025</t>
  </si>
  <si>
    <t>5 1 2 1 4 12 31111 6 M59 40200 000172 0000R 00001 00214 025 2112000</t>
  </si>
  <si>
    <t>5 1 2 1 4 12 31111 6 M59 40200 000172 0000R 00001 00214 025 2112000 2024</t>
  </si>
  <si>
    <t>5 1 2 1 4 12 31111 6 M59 40200 000172 0000R 00001 00214 025 2112000 2024 CP4PC370</t>
  </si>
  <si>
    <t>5 1 2 1 4 12 31111 6 M59 40200 000172 0000R 00001 00214 025 2112000 2024 CP4PC370 003</t>
  </si>
  <si>
    <t>5 1 2 1 4 12 31111 6 M59 40200 000172 0000R 00001 00214 025 2112000 2024 CP4PC370 003 0000001</t>
  </si>
  <si>
    <t>5 1 2 1 4 12 31111 6 M59 40400</t>
  </si>
  <si>
    <t>5 1 2 1 4 12 31111 6 M59 40400 000173</t>
  </si>
  <si>
    <t>5 1 2 1 4 12 31111 6 M59 40400 000173 0000R</t>
  </si>
  <si>
    <t>5 1 2 1 4 12 31111 6 M59 40400 000173 0000R 00001</t>
  </si>
  <si>
    <t>5 1 2 1 4 12 31111 6 M59 40400 000173 0000R 00001 00214</t>
  </si>
  <si>
    <t>5 1 2 1 4 12 31111 6 M59 40400 000173 0000R 00001 00214 025</t>
  </si>
  <si>
    <t>5 1 2 1 4 12 31111 6 M59 40400 000173 0000R 00001 00214 025 2112000</t>
  </si>
  <si>
    <t>5 1 2 1 4 12 31111 6 M59 40400 000173 0000R 00001 00214 025 2112000 2024</t>
  </si>
  <si>
    <t>5 1 2 1 4 12 31111 6 M59 40400 000173 0000R 00001 00214 025 2112000 2024 CP4PD369</t>
  </si>
  <si>
    <t>5 1 2 1 4 12 31111 6 M59 40400 000173 0000R 00001 00214 025 2112000 2024 CP4PD369 003</t>
  </si>
  <si>
    <t>5 1 2 1 4 12 31111 6 M59 40400 000173 0000R 00001 00214 025 2112000 2024 CP4PD369 003 0000001</t>
  </si>
  <si>
    <t>5 1 2 1 5</t>
  </si>
  <si>
    <t>MATERIAL IMPRESO E INFORMACIÓN DIGITAL</t>
  </si>
  <si>
    <t>5 1 2 1 5 12</t>
  </si>
  <si>
    <t>5 1 2 1 5 12 31111</t>
  </si>
  <si>
    <t>5 1 2 1 5 12 31111 6</t>
  </si>
  <si>
    <t>5 1 2 1 5 12 31111 6 M59</t>
  </si>
  <si>
    <t>5 1 2 1 5 12 31111 6 M59 19000</t>
  </si>
  <si>
    <t>5 1 2 1 5 12 31111 6 M59 19000 000132</t>
  </si>
  <si>
    <t>5 1 2 1 5 12 31111 6 M59 19000 000132 0000R</t>
  </si>
  <si>
    <t>5 1 2 1 5 12 31111 6 M59 19000 000132 0000R 00001</t>
  </si>
  <si>
    <t>5 1 2 1 5 12 31111 6 M59 19000 000132 0000R 00001 00215</t>
  </si>
  <si>
    <t>MATERIAL IMPRESO E INFORMACION DIGITAL.</t>
  </si>
  <si>
    <t>5 1 2 1 5 12 31111 6 M59 19000 000132 0000R 00001 00215 011</t>
  </si>
  <si>
    <t>5 1 2 1 5 12 31111 6 M59 19000 000132 0000R 00001 00215 011 2112000</t>
  </si>
  <si>
    <t>5 1 2 1 5 12 31111 6 M59 19000 000132 0000R 00001 00215 011 2112000 2024</t>
  </si>
  <si>
    <t>5 1 2 1 5 12 31111 6 M59 19000 000132 0000R 00001 00215 011 2112000 2024 CP1TM440</t>
  </si>
  <si>
    <t>5 1 2 1 5 12 31111 6 M59 19000 000132 0000R 00001 00215 011 2112000 2024 CP1TM440 004</t>
  </si>
  <si>
    <t>5 1 2 1 5 12 31111 6 M59 19000 000132 0000R 00001 00215 011 2112000 2024 CP1TM440 004 0000001</t>
  </si>
  <si>
    <t>5 1 2 1 5 12 31111 6 M59 91000</t>
  </si>
  <si>
    <t>5 1 2 1 5 12 31111 6 M59 91000 000132</t>
  </si>
  <si>
    <t>5 1 2 1 5 12 31111 6 M59 91000 000132 0000R</t>
  </si>
  <si>
    <t>5 1 2 1 5 12 31111 6 M59 91000 000132 0000R 00001</t>
  </si>
  <si>
    <t>5 1 2 1 5 12 31111 6 M59 91000 000132 0000R 00001 00215</t>
  </si>
  <si>
    <t>5 1 2 1 5 12 31111 6 M59 91000 000132 0000R 00001 00215 015</t>
  </si>
  <si>
    <t>5 1 2 1 5 12 31111 6 M59 91000 000132 0000R 00001 00215 015 2112000</t>
  </si>
  <si>
    <t>5 1 2 1 5 12 31111 6 M59 91000 000132 0000R 00001 00215 015 2112000 2024</t>
  </si>
  <si>
    <t>5 1 2 1 5 12 31111 6 M59 91000 000132 0000R 00001 00215 015 2112000 2024 CP1RE398</t>
  </si>
  <si>
    <t>5 1 2 1 5 12 31111 6 M59 91000 000132 0000R 00001 00215 015 2112000 2024 CP1RE398 001</t>
  </si>
  <si>
    <t>5 1 2 1 5 12 31111 6 M59 91000 000132 0000R 00001 00215 015 2112000 2024 CP1RE398 001 0000001</t>
  </si>
  <si>
    <t>5 1 2 1 6</t>
  </si>
  <si>
    <t>MATERIAL DE LIMPIEZA</t>
  </si>
  <si>
    <t>5 1 2 1 6 12</t>
  </si>
  <si>
    <t>5 1 2 1 6 12 31111</t>
  </si>
  <si>
    <t>5 1 2 1 6 12 31111 6</t>
  </si>
  <si>
    <t>5 1 2 1 6 12 31111 6 M59</t>
  </si>
  <si>
    <t>5 1 2 1 6 12 31111 6 M59 19000</t>
  </si>
  <si>
    <t>5 1 2 1 6 12 31111 6 M59 19000 000132</t>
  </si>
  <si>
    <t>5 1 2 1 6 12 31111 6 M59 19000 000132 0000R</t>
  </si>
  <si>
    <t>5 1 2 1 6 12 31111 6 M59 19000 000132 0000R 00001</t>
  </si>
  <si>
    <t>5 1 2 1 6 12 31111 6 M59 19000 000132 0000R 00001 00216</t>
  </si>
  <si>
    <t>MATERIAL DE LIMPIEZA.</t>
  </si>
  <si>
    <t>5 1 2 1 6 12 31111 6 M59 19000 000132 0000R 00001 00216 011</t>
  </si>
  <si>
    <t>5 1 2 1 6 12 31111 6 M59 19000 000132 0000R 00001 00216 011 2112000</t>
  </si>
  <si>
    <t>5 1 2 1 6 12 31111 6 M59 19000 000132 0000R 00001 00216 011 2112000 2024</t>
  </si>
  <si>
    <t>5 1 2 1 6 12 31111 6 M59 19000 000132 0000R 00001 00216 011 2112000 2024 CP1TM440</t>
  </si>
  <si>
    <t>5 1 2 1 6 12 31111 6 M59 19000 000132 0000R 00001 00216 011 2112000 2024 CP1TM440 004</t>
  </si>
  <si>
    <t>5 1 2 1 6 12 31111 6 M59 19000 000132 0000R 00001 00216 011 2112000 2024 CP1TM440 004 0000001</t>
  </si>
  <si>
    <t>5 1 2 1 6 12 31111 6 M59 19000 000132 0000R 00001 00216 015</t>
  </si>
  <si>
    <t>5 1 2 1 6 12 31111 6 M59 19000 000132 0000R 00001 00216 015 2112000</t>
  </si>
  <si>
    <t>5 1 2 1 6 12 31111 6 M59 19000 000132 0000R 00001 00216 015 2112000 2024</t>
  </si>
  <si>
    <t>5 1 2 1 6 12 31111 6 M59 19000 000132 0000R 00001 00216 015 2112000 2024 CP1TM440</t>
  </si>
  <si>
    <t>5 1 2 1 6 12 31111 6 M59 19000 000132 0000R 00001 00216 015 2112000 2024 CP1TM440 001</t>
  </si>
  <si>
    <t>5 1 2 1 6 12 31111 6 M59 19000 000132 0000R 00001 00216 015 2112000 2024 CP1TM440 001 0000001</t>
  </si>
  <si>
    <t>5 1 2 1 6 12 31111 6 M59 20000</t>
  </si>
  <si>
    <t>5 1 2 1 6 12 31111 6 M59 20000 000132</t>
  </si>
  <si>
    <t>5 1 2 1 6 12 31111 6 M59 20000 000132 0000R</t>
  </si>
  <si>
    <t>5 1 2 1 6 12 31111 6 M59 20000 000132 0000R 00001</t>
  </si>
  <si>
    <t>5 1 2 1 6 12 31111 6 M59 20000 000132 0000R 00001 00216</t>
  </si>
  <si>
    <t>5 1 2 1 6 12 31111 6 M59 20000 000132 0000R 00001 00216 015</t>
  </si>
  <si>
    <t>5 1 2 1 6 12 31111 6 M59 20000 000132 0000R 00001 00216 015 2112000</t>
  </si>
  <si>
    <t>5 1 2 1 6 12 31111 6 M59 20000 000132 0000R 00001 00216 015 2112000 2024</t>
  </si>
  <si>
    <t>5 1 2 1 6 12 31111 6 M59 20000 000132 0000R 00001 00216 015 2112000 2024 CP1AF389</t>
  </si>
  <si>
    <t>5 1 2 1 6 12 31111 6 M59 20000 000132 0000R 00001 00216 015 2112000 2024 CP1AF389 001</t>
  </si>
  <si>
    <t>5 1 2 1 6 12 31111 6 M59 20000 000132 0000R 00001 00216 015 2112000 2024 CP1AF389 001 0000001</t>
  </si>
  <si>
    <t>5 1 2 1 6 12 31111 6 M59 20500</t>
  </si>
  <si>
    <t>5 1 2 1 6 12 31111 6 M59 20500 000132</t>
  </si>
  <si>
    <t>5 1 2 1 6 12 31111 6 M59 20500 000132 0000R</t>
  </si>
  <si>
    <t>5 1 2 1 6 12 31111 6 M59 20500 000132 0000R 00001</t>
  </si>
  <si>
    <t>5 1 2 1 6 12 31111 6 M59 20500 000132 0000R 00001 00216</t>
  </si>
  <si>
    <t>5 1 2 1 6 12 31111 6 M59 20500 000132 0000R 00001 00216 015</t>
  </si>
  <si>
    <t>5 1 2 1 6 12 31111 6 M59 20500 000132 0000R 00001 00216 015 2112000</t>
  </si>
  <si>
    <t>5 1 2 1 6 12 31111 6 M59 20500 000132 0000R 00001 00216 015 2112000 2024</t>
  </si>
  <si>
    <t>5 1 2 1 6 12 31111 6 M59 20500 000132 0000R 00001 00216 015 2112000 2024 CP1CP420</t>
  </si>
  <si>
    <t>5 1 2 1 6 12 31111 6 M59 20500 000132 0000R 00001 00216 015 2112000 2024 CP1CP420 001</t>
  </si>
  <si>
    <t>5 1 2 1 6 12 31111 6 M59 20500 000132 0000R 00001 00216 015 2112000 2024 CP1CP420 001 0000001</t>
  </si>
  <si>
    <t>5 1 2 1 6 12 31111 6 M59 20500 000181</t>
  </si>
  <si>
    <t>5 1 2 1 6 12 31111 6 M59 20500 000181 0000E</t>
  </si>
  <si>
    <t>5 1 2 1 6 12 31111 6 M59 20500 000181 0000E 00001</t>
  </si>
  <si>
    <t>5 1 2 1 6 12 31111 6 M59 20500 000181 0000E 00001 00216</t>
  </si>
  <si>
    <t>5 1 2 1 6 12 31111 6 M59 20500 000181 0000E 00001 00216 011</t>
  </si>
  <si>
    <t>5 1 2 1 6 12 31111 6 M59 20500 000181 0000E 00001 00216 011 2112000</t>
  </si>
  <si>
    <t>5 1 2 1 6 12 31111 6 M59 20500 000181 0000E 00001 00216 011 2112000 2024</t>
  </si>
  <si>
    <t>5 1 2 1 6 12 31111 6 M59 20500 000181 0000E 00001 00216 011 2112000 2024 CP3CP471</t>
  </si>
  <si>
    <t>5 1 2 1 6 12 31111 6 M59 20500 000181 0000E 00001 00216 011 2112000 2024 CP3CP471 004</t>
  </si>
  <si>
    <t>5 1 2 1 6 12 31111 6 M59 20500 000181 0000E 00001 00216 011 2112000 2024 CP3CP471 004 0000001</t>
  </si>
  <si>
    <t>5 1 2 1 6 12 31111 6 M59 20700</t>
  </si>
  <si>
    <t>5 1 2 1 6 12 31111 6 M59 20700 000132</t>
  </si>
  <si>
    <t>5 1 2 1 6 12 31111 6 M59 20700 000132 0000R</t>
  </si>
  <si>
    <t>5 1 2 1 6 12 31111 6 M59 20700 000132 0000R 00001</t>
  </si>
  <si>
    <t>5 1 2 1 6 12 31111 6 M59 20700 000132 0000R 00001 00216</t>
  </si>
  <si>
    <t>5 1 2 1 6 12 31111 6 M59 20700 000132 0000R 00001 00216 015</t>
  </si>
  <si>
    <t>5 1 2 1 6 12 31111 6 M59 20700 000132 0000R 00001 00216 015 2112000</t>
  </si>
  <si>
    <t>5 1 2 1 6 12 31111 6 M59 20700 000132 0000R 00001 00216 015 2112000 2024</t>
  </si>
  <si>
    <t>5 1 2 1 6 12 31111 6 M59 20700 000132 0000R 00001 00216 015 2112000 2024 CP1RM401</t>
  </si>
  <si>
    <t>5 1 2 1 6 12 31111 6 M59 20700 000132 0000R 00001 00216 015 2112000 2024 CP1RM401 001</t>
  </si>
  <si>
    <t>5 1 2 1 6 12 31111 6 M59 20700 000132 0000R 00001 00216 015 2112000 2024 CP1RM401 001 0000001</t>
  </si>
  <si>
    <t>5 1 2 1 6 12 31111 6 M59 40000</t>
  </si>
  <si>
    <t>5 1 2 1 6 12 31111 6 M59 40000 000161</t>
  </si>
  <si>
    <t>5 1 2 1 6 12 31111 6 M59 40000 000161 0000E</t>
  </si>
  <si>
    <t>5 1 2 1 6 12 31111 6 M59 40000 000161 0000E 00001</t>
  </si>
  <si>
    <t>5 1 2 1 6 12 31111 6 M59 40000 000161 0000E 00001 00216</t>
  </si>
  <si>
    <t>5 1 2 1 6 12 31111 6 M59 40000 000161 0000E 00001 00216 025</t>
  </si>
  <si>
    <t>5 1 2 1 6 12 31111 6 M59 40000 000161 0000E 00001 00216 025 2112000</t>
  </si>
  <si>
    <t>5 1 2 1 6 12 31111 6 M59 40000 000161 0000E 00001 00216 025 2112000 2024</t>
  </si>
  <si>
    <t>5 1 2 1 6 12 31111 6 M59 40000 000161 0000E 00001 00216 025 2112000 2024 CP4SP372</t>
  </si>
  <si>
    <t>5 1 2 1 6 12 31111 6 M59 40000 000161 0000E 00001 00216 025 2112000 2024 CP4SP372 003</t>
  </si>
  <si>
    <t>5 1 2 1 6 12 31111 6 M59 40000 000161 0000E 00001 00216 025 2112000 2024 CP4SP372 003 0000001</t>
  </si>
  <si>
    <t>5 1 2 1 6 12 31111 6 M59 50000</t>
  </si>
  <si>
    <t>5 1 2 1 6 12 31111 6 M59 50000 000223</t>
  </si>
  <si>
    <t>5 1 2 1 6 12 31111 6 M59 50000 000223 0000E</t>
  </si>
  <si>
    <t>5 1 2 1 6 12 31111 6 M59 50000 000223 0000E 00001</t>
  </si>
  <si>
    <t>5 1 2 1 6 12 31111 6 M59 50000 000223 0000E 00001 00216</t>
  </si>
  <si>
    <t>5 1 2 1 6 12 31111 6 M59 50000 000223 0000E 00001 00216 015</t>
  </si>
  <si>
    <t>5 1 2 1 6 12 31111 6 M59 50000 000223 0000E 00001 00216 015 2112000</t>
  </si>
  <si>
    <t>5 1 2 1 6 12 31111 6 M59 50000 000223 0000E 00001 00216 015 2112000 2024</t>
  </si>
  <si>
    <t>5 1 2 1 6 12 31111 6 M59 50000 000223 0000E 00001 00216 015 2112000 2024 CP1DA424</t>
  </si>
  <si>
    <t>5 1 2 1 6 12 31111 6 M59 50000 000223 0000E 00001 00216 015 2112000 2024 CP1DA424 001</t>
  </si>
  <si>
    <t>5 1 2 1 6 12 31111 6 M59 50000 000223 0000E 00001 00216 015 2112000 2024 CP1DA424 001 0000001</t>
  </si>
  <si>
    <t>5 1 2 1 6 12 31111 6 M59 94000</t>
  </si>
  <si>
    <t>5 1 2 1 6 12 31111 6 M59 94000 000181</t>
  </si>
  <si>
    <t>5 1 2 1 6 12 31111 6 M59 94000 000181 0000R</t>
  </si>
  <si>
    <t>5 1 2 1 6 12 31111 6 M59 94000 000181 0000R 00001</t>
  </si>
  <si>
    <t>5 1 2 1 6 12 31111 6 M59 94000 000181 0000R 00001 00216</t>
  </si>
  <si>
    <t>5 1 2 1 6 12 31111 6 M59 94000 000181 0000R 00001 00216 015</t>
  </si>
  <si>
    <t>5 1 2 1 6 12 31111 6 M59 94000 000181 0000R 00001 00216 015 2112000</t>
  </si>
  <si>
    <t>5 1 2 1 6 12 31111 6 M59 94000 000181 0000R 00001 00216 015 2112000 2024</t>
  </si>
  <si>
    <t>5 1 2 1 6 12 31111 6 M59 94000 000181 0000R 00001 00216 015 2112000 2024 CP1OM392</t>
  </si>
  <si>
    <t>5 1 2 1 6 12 31111 6 M59 94000 000181 0000R 00001 00216 015 2112000 2024 CP1OM392 001</t>
  </si>
  <si>
    <t>5 1 2 1 6 12 31111 6 M59 94000 000181 0000R 00001 00216 015 2112000 2024 CP1OM392 001 0000001</t>
  </si>
  <si>
    <t>5 1 2 1 6 12 31111 6 M59 96100</t>
  </si>
  <si>
    <t>5 1 2 1 6 12 31111 6 M59 96100 000211</t>
  </si>
  <si>
    <t>5 1 2 1 6 12 31111 6 M59 96100 000211 0000U</t>
  </si>
  <si>
    <t>5 1 2 1 6 12 31111 6 M59 96100 000211 0000U 00001</t>
  </si>
  <si>
    <t>5 1 2 1 6 12 31111 6 M59 96100 000211 0000U 00001 00216</t>
  </si>
  <si>
    <t>5 1 2 1 6 12 31111 6 M59 96100 000211 0000U 00001 00216 015</t>
  </si>
  <si>
    <t>5 1 2 1 6 12 31111 6 M59 96100 000211 0000U 00001 00216 015 2112000</t>
  </si>
  <si>
    <t>5 1 2 1 6 12 31111 6 M59 96100 000211 0000U 00001 00216 015 2112000 2024</t>
  </si>
  <si>
    <t>5 1 2 1 6 12 31111 6 M59 96100 000211 0000U 00001 00216 015 2112000 2024 CP1IU412</t>
  </si>
  <si>
    <t>5 1 2 1 6 12 31111 6 M59 96100 000211 0000U 00001 00216 015 2112000 2024 CP1IU412 001</t>
  </si>
  <si>
    <t>5 1 2 1 6 12 31111 6 M59 96100 000211 0000U 00001 00216 015 2112000 2024 CP1IU412 001 0000001</t>
  </si>
  <si>
    <t>5 1 2 1 6 12 31111 6 M59 96300</t>
  </si>
  <si>
    <t>5 1 2 1 6 12 31111 6 M59 96300 000211</t>
  </si>
  <si>
    <t>5 1 2 1 6 12 31111 6 M59 96300 000211 0000E</t>
  </si>
  <si>
    <t>5 1 2 1 6 12 31111 6 M59 96300 000211 0000E 00001</t>
  </si>
  <si>
    <t>5 1 2 1 6 12 31111 6 M59 96300 000211 0000E 00001 00216</t>
  </si>
  <si>
    <t>5 1 2 1 6 12 31111 6 M59 96300 000211 0000E 00001 00216 011</t>
  </si>
  <si>
    <t>5 1 2 1 6 12 31111 6 M59 96300 000211 0000E 00001 00216 011 2112000</t>
  </si>
  <si>
    <t>5 1 2 1 6 12 31111 6 M59 96300 000211 0000E 00001 00216 011 2112000 2024</t>
  </si>
  <si>
    <t>5 1 2 1 6 12 31111 6 M59 96300 000211 0000E 00001 00216 011 2112000 2024 CP3SB474</t>
  </si>
  <si>
    <t>ADQUISICIÓN DE EQUIPO DE TRANSPORTE</t>
  </si>
  <si>
    <t>5 1 2 1 6 12 31111 6 M59 96300 000211 0000E 00001 00216 011 2112000 2024 CP3SB474 004</t>
  </si>
  <si>
    <t>5 1 2 1 6 12 31111 6 M59 96300 000211 0000E 00001 00216 011 2112000 2024 CP3SB474 004 0000001</t>
  </si>
  <si>
    <t>5 1 2 1 6 12 31111 6 M59 96300 000211 0000E 00001 00216 015</t>
  </si>
  <si>
    <t>5 1 2 1 6 12 31111 6 M59 96300 000211 0000E 00001 00216 015 2112000</t>
  </si>
  <si>
    <t>5 1 2 1 6 12 31111 6 M59 96300 000211 0000E 00001 00216 015 2112000 2024</t>
  </si>
  <si>
    <t>5 1 2 1 6 12 31111 6 M59 96300 000211 0000E 00001 00216 015 2112000 2024 CP1SB396</t>
  </si>
  <si>
    <t>5 1 2 1 6 12 31111 6 M59 96300 000211 0000E 00001 00216 015 2112000 2024 CP1SB396 001</t>
  </si>
  <si>
    <t>5 1 2 1 6 12 31111 6 M59 96300 000211 0000E 00001 00216 015 2112000 2024 CP1SB396 001 0000001</t>
  </si>
  <si>
    <t>5 1 2 1 8</t>
  </si>
  <si>
    <t>MATERIALES PARA EL REGISTRO E IDENTIFICACIÓN DE BIENES Y PERSONAS</t>
  </si>
  <si>
    <t>5 1 2 1 8 12</t>
  </si>
  <si>
    <t>5 1 2 1 8 12 31111</t>
  </si>
  <si>
    <t>5 1 2 1 8 12 31111 6</t>
  </si>
  <si>
    <t>5 1 2 1 8 12 31111 6 M59</t>
  </si>
  <si>
    <t>5 1 2 1 8 12 31111 6 M59 19000</t>
  </si>
  <si>
    <t>5 1 2 1 8 12 31111 6 M59 19000 000132</t>
  </si>
  <si>
    <t>5 1 2 1 8 12 31111 6 M59 19000 000132 0000R</t>
  </si>
  <si>
    <t>5 1 2 1 8 12 31111 6 M59 19000 000132 0000R 00001</t>
  </si>
  <si>
    <t>5 1 2 1 8 12 31111 6 M59 19000 000132 0000R 00001 00218</t>
  </si>
  <si>
    <t>MATERIALES PARA EL REGISTRO E IDENTIFICACION DE BIENES Y PERSONAS.</t>
  </si>
  <si>
    <t>5 1 2 1 8 12 31111 6 M59 19000 000132 0000R 00001 00218 011</t>
  </si>
  <si>
    <t>5 1 2 1 8 12 31111 6 M59 19000 000132 0000R 00001 00218 011 2112000</t>
  </si>
  <si>
    <t>5 1 2 1 8 12 31111 6 M59 19000 000132 0000R 00001 00218 011 2112000 2024</t>
  </si>
  <si>
    <t>5 1 2 1 8 12 31111 6 M59 19000 000132 0000R 00001 00218 011 2112000 2024 CP1TM440</t>
  </si>
  <si>
    <t>5 1 2 1 8 12 31111 6 M59 19000 000132 0000R 00001 00218 011 2112000 2024 CP1TM440 004</t>
  </si>
  <si>
    <t>5 1 2 1 8 12 31111 6 M59 19000 000132 0000R 00001 00218 011 2112000 2024 CP1TM440 004 0000001</t>
  </si>
  <si>
    <t>5 1 2 1 8 12 31111 6 M59 20500</t>
  </si>
  <si>
    <t>5 1 2 1 8 12 31111 6 M59 20500 000181</t>
  </si>
  <si>
    <t>5 1 2 1 8 12 31111 6 M59 20500 000181 0000E</t>
  </si>
  <si>
    <t>5 1 2 1 8 12 31111 6 M59 20500 000181 0000E 00001</t>
  </si>
  <si>
    <t>5 1 2 1 8 12 31111 6 M59 20500 000181 0000E 00001 00218</t>
  </si>
  <si>
    <t>5 1 2 1 8 12 31111 6 M59 20500 000181 0000E 00001 00218 011</t>
  </si>
  <si>
    <t>5 1 2 1 8 12 31111 6 M59 20500 000181 0000E 00001 00218 011 2112000</t>
  </si>
  <si>
    <t>5 1 2 1 8 12 31111 6 M59 20500 000181 0000E 00001 00218 011 2112000 2024</t>
  </si>
  <si>
    <t>5 1 2 1 8 12 31111 6 M59 20500 000181 0000E 00001 00218 011 2112000 2024 CP3CP471</t>
  </si>
  <si>
    <t>5 1 2 1 8 12 31111 6 M59 20500 000181 0000E 00001 00218 011 2112000 2024 CP3CP471 004</t>
  </si>
  <si>
    <t>5 1 2 1 8 12 31111 6 M59 20500 000181 0000E 00001 00218 011 2112000 2024 CP3CP471 004 0000001</t>
  </si>
  <si>
    <t>OTROS MATERIALES Y ARTÍCULOS</t>
  </si>
  <si>
    <t>5 1 2 2</t>
  </si>
  <si>
    <t>5 1 2 2 1</t>
  </si>
  <si>
    <t>PRODUCTOS ALIMENTICIOS PARA PERSONAS</t>
  </si>
  <si>
    <t>5 1 2 2 1 12</t>
  </si>
  <si>
    <t>5 1 2 2 1 12 31111</t>
  </si>
  <si>
    <t>5 1 2 2 1 12 31111 6</t>
  </si>
  <si>
    <t>5 1 2 2 1 12 31111 6 M59</t>
  </si>
  <si>
    <t>5 1 2 2 1 12 31111 6 M59 19000</t>
  </si>
  <si>
    <t>5 1 2 2 1 12 31111 6 M59 19000 000132</t>
  </si>
  <si>
    <t>5 1 2 2 1 12 31111 6 M59 19000 000132 0000R</t>
  </si>
  <si>
    <t>5 1 2 2 1 12 31111 6 M59 19000 000132 0000R 00001</t>
  </si>
  <si>
    <t>5 1 2 2 1 12 31111 6 M59 19000 000132 0000R 00001 00221</t>
  </si>
  <si>
    <t>PRODUCTOS ALIMENTICIOS PARA PERSONAS.</t>
  </si>
  <si>
    <t>5 1 2 2 1 12 31111 6 M59 19000 000132 0000R 00001 00221 015</t>
  </si>
  <si>
    <t>5 1 2 2 1 12 31111 6 M59 19000 000132 0000R 00001 00221 015 2112000</t>
  </si>
  <si>
    <t>5 1 2 2 1 12 31111 6 M59 19000 000132 0000R 00001 00221 015 2112000 2024</t>
  </si>
  <si>
    <t>5 1 2 2 1 12 31111 6 M59 19000 000132 0000R 00001 00221 015 2112000 2024 CP1TM440</t>
  </si>
  <si>
    <t>5 1 2 2 1 12 31111 6 M59 19000 000132 0000R 00001 00221 015 2112000 2024 CP1TM440 001</t>
  </si>
  <si>
    <t>5 1 2 2 1 12 31111 6 M59 19000 000132 0000R 00001 00221 015 2112000 2024 CP1TM440 001 0000001</t>
  </si>
  <si>
    <t>5 1 2 2 1 12 31111 6 M59 20500</t>
  </si>
  <si>
    <t>5 1 2 2 1 12 31111 6 M59 20500 000132</t>
  </si>
  <si>
    <t>5 1 2 2 1 12 31111 6 M59 20500 000132 0000R</t>
  </si>
  <si>
    <t>5 1 2 2 1 12 31111 6 M59 20500 000132 0000R 00001</t>
  </si>
  <si>
    <t>5 1 2 2 1 12 31111 6 M59 20500 000132 0000R 00001 00221</t>
  </si>
  <si>
    <t>5 1 2 2 1 12 31111 6 M59 20500 000132 0000R 00001 00221 015</t>
  </si>
  <si>
    <t>5 1 2 2 1 12 31111 6 M59 20500 000132 0000R 00001 00221 015 2112000</t>
  </si>
  <si>
    <t>5 1 2 2 1 12 31111 6 M59 20500 000132 0000R 00001 00221 015 2112000 2024</t>
  </si>
  <si>
    <t>5 1 2 2 1 12 31111 6 M59 20500 000132 0000R 00001 00221 015 2112000 2024 CP1CP420</t>
  </si>
  <si>
    <t>5 1 2 2 1 12 31111 6 M59 20500 000132 0000R 00001 00221 015 2112000 2024 CP1CP420 001</t>
  </si>
  <si>
    <t>5 1 2 2 1 12 31111 6 M59 20500 000132 0000R 00001 00221 015 2112000 2024 CP1CP420 001 0000001</t>
  </si>
  <si>
    <t>5 1 2 2 1 12 31111 6 M59 20500 000181</t>
  </si>
  <si>
    <t>5 1 2 2 1 12 31111 6 M59 20500 000181 0000E</t>
  </si>
  <si>
    <t>5 1 2 2 1 12 31111 6 M59 20500 000181 0000E 00001</t>
  </si>
  <si>
    <t>5 1 2 2 1 12 31111 6 M59 20500 000181 0000E 00001 00221</t>
  </si>
  <si>
    <t>5 1 2 2 1 12 31111 6 M59 20500 000181 0000E 00001 00221 011</t>
  </si>
  <si>
    <t>5 1 2 2 1 12 31111 6 M59 20500 000181 0000E 00001 00221 011 2112000</t>
  </si>
  <si>
    <t>5 1 2 2 1 12 31111 6 M59 20500 000181 0000E 00001 00221 011 2112000 2024</t>
  </si>
  <si>
    <t>5 1 2 2 1 12 31111 6 M59 20500 000181 0000E 00001 00221 011 2112000 2024 CP3CP471</t>
  </si>
  <si>
    <t>5 1 2 2 1 12 31111 6 M59 20500 000181 0000E 00001 00221 011 2112000 2024 CP3CP471 004</t>
  </si>
  <si>
    <t>5 1 2 2 1 12 31111 6 M59 20500 000181 0000E 00001 00221 011 2112000 2024 CP3CP471 004 0000001</t>
  </si>
  <si>
    <t>5 1 2 2 1 12 31111 6 M59 40000</t>
  </si>
  <si>
    <t>5 1 2 2 1 12 31111 6 M59 40000 000161</t>
  </si>
  <si>
    <t>5 1 2 2 1 12 31111 6 M59 40000 000161 0000E</t>
  </si>
  <si>
    <t>5 1 2 2 1 12 31111 6 M59 40000 000161 0000E 00001</t>
  </si>
  <si>
    <t>5 1 2 2 1 12 31111 6 M59 40000 000161 0000E 00001 00221</t>
  </si>
  <si>
    <t>5 1 2 2 1 12 31111 6 M59 40000 000161 0000E 00001 00221 025</t>
  </si>
  <si>
    <t>5 1 2 2 1 12 31111 6 M59 40000 000161 0000E 00001 00221 025 2112000</t>
  </si>
  <si>
    <t>5 1 2 2 1 12 31111 6 M59 40000 000161 0000E 00001 00221 025 2112000 2024</t>
  </si>
  <si>
    <t>5 1 2 2 1 12 31111 6 M59 40000 000161 0000E 00001 00221 025 2112000 2024 CP4SP372</t>
  </si>
  <si>
    <t>5 1 2 2 1 12 31111 6 M59 40000 000161 0000E 00001 00221 025 2112000 2024 CP4SP372 003</t>
  </si>
  <si>
    <t>5 1 2 2 1 12 31111 6 M59 40000 000161 0000E 00001 00221 025 2112000 2024 CP4SP372 003 0000001</t>
  </si>
  <si>
    <t>5 1 2 2 3</t>
  </si>
  <si>
    <t>UTENSILIOS PARA EL SERVICIO DE ALIMENTACIÓN</t>
  </si>
  <si>
    <t>5 1 2 2 3 12</t>
  </si>
  <si>
    <t>5 1 2 2 3 12 31111</t>
  </si>
  <si>
    <t>5 1 2 2 3 12 31111 6</t>
  </si>
  <si>
    <t>5 1 2 2 3 12 31111 6 M59</t>
  </si>
  <si>
    <t>5 1 2 2 3 12 31111 6 M59 20000</t>
  </si>
  <si>
    <t>5 1 2 2 3 12 31111 6 M59 20000 000132</t>
  </si>
  <si>
    <t>5 1 2 2 3 12 31111 6 M59 20000 000132 0000R</t>
  </si>
  <si>
    <t>5 1 2 2 3 12 31111 6 M59 20000 000132 0000R 00001</t>
  </si>
  <si>
    <t>5 1 2 2 3 12 31111 6 M59 20000 000132 0000R 00001 00223</t>
  </si>
  <si>
    <t>UTENSILIOS PARA EL SERVICIO DE ALIMENTACION.</t>
  </si>
  <si>
    <t>5 1 2 2 3 12 31111 6 M59 20000 000132 0000R 00001 00223 015</t>
  </si>
  <si>
    <t>5 1 2 2 3 12 31111 6 M59 20000 000132 0000R 00001 00223 015 2112000</t>
  </si>
  <si>
    <t>5 1 2 2 3 12 31111 6 M59 20000 000132 0000R 00001 00223 015 2112000 2024</t>
  </si>
  <si>
    <t>5 1 2 2 3 12 31111 6 M59 20000 000132 0000R 00001 00223 015 2112000 2024 CP1AF389</t>
  </si>
  <si>
    <t>5 1 2 2 3 12 31111 6 M59 20000 000132 0000R 00001 00223 015 2112000 2024 CP1AF389 001</t>
  </si>
  <si>
    <t>5 1 2 2 3 12 31111 6 M59 20000 000132 0000R 00001 00223 015 2112000 2024 CP1AF389 001 0000001</t>
  </si>
  <si>
    <t>UTENSILIOS PARA EL SERVICIO DE ALIMENTACION</t>
  </si>
  <si>
    <t>5 1 2 2 3 12 31111 6 M59 20500</t>
  </si>
  <si>
    <t>5 1 2 2 3 12 31111 6 M59 20500 000132</t>
  </si>
  <si>
    <t>5 1 2 2 3 12 31111 6 M59 20500 000132 0000R</t>
  </si>
  <si>
    <t>5 1 2 2 3 12 31111 6 M59 20500 000132 0000R 00001</t>
  </si>
  <si>
    <t>5 1 2 2 3 12 31111 6 M59 20500 000132 0000R 00001 00223</t>
  </si>
  <si>
    <t>5 1 2 2 3 12 31111 6 M59 20500 000132 0000R 00001 00223 015</t>
  </si>
  <si>
    <t>5 1 2 2 3 12 31111 6 M59 20500 000132 0000R 00001 00223 015 2112000</t>
  </si>
  <si>
    <t>5 1 2 2 3 12 31111 6 M59 20500 000132 0000R 00001 00223 015 2112000 2024</t>
  </si>
  <si>
    <t>5 1 2 2 3 12 31111 6 M59 20500 000132 0000R 00001 00223 015 2112000 2024 CP1CP420</t>
  </si>
  <si>
    <t>5 1 2 2 3 12 31111 6 M59 20500 000132 0000R 00001 00223 015 2112000 2024 CP1CP420 001</t>
  </si>
  <si>
    <t>5 1 2 2 3 12 31111 6 M59 20500 000132 0000R 00001 00223 015 2112000 2024 CP1CP420 001 0000001</t>
  </si>
  <si>
    <t>5 1 2 3</t>
  </si>
  <si>
    <t>MATERIAS PRIMAS Y MATERIALES DE PRODUCCIÓN Y COMERCIALIZACIÓN</t>
  </si>
  <si>
    <t>5 1 2 3 2</t>
  </si>
  <si>
    <t>INSUMOS TEXTILES ADQUIRIDOS COMO MATERIA PRIMA</t>
  </si>
  <si>
    <t>5 1 2 3 2 12</t>
  </si>
  <si>
    <t>5 1 2 3 2 12 31111</t>
  </si>
  <si>
    <t>5 1 2 3 2 12 31111 6</t>
  </si>
  <si>
    <t>5 1 2 3 2 12 31111 6 M59</t>
  </si>
  <si>
    <t>5 1 2 3 2 12 31111 6 M59 50000</t>
  </si>
  <si>
    <t>5 1 2 3 2 12 31111 6 M59 50000 000223</t>
  </si>
  <si>
    <t>5 1 2 3 2 12 31111 6 M59 50000 000223 0000E</t>
  </si>
  <si>
    <t>5 1 2 3 2 12 31111 6 M59 50000 000223 0000E 00001</t>
  </si>
  <si>
    <t>5 1 2 3 2 12 31111 6 M59 50000 000223 0000E 00001 00232</t>
  </si>
  <si>
    <t>INSUMOS TEXTILES ADQUIRIDOS COMO MATERIA PRIMA.</t>
  </si>
  <si>
    <t>5 1 2 3 2 12 31111 6 M59 50000 000223 0000E 00001 00232 015</t>
  </si>
  <si>
    <t>5 1 2 3 2 12 31111 6 M59 50000 000223 0000E 00001 00232 015 2112000</t>
  </si>
  <si>
    <t>5 1 2 3 2 12 31111 6 M59 50000 000223 0000E 00001 00232 015 2112000 2024</t>
  </si>
  <si>
    <t>5 1 2 3 2 12 31111 6 M59 50000 000223 0000E 00001 00232 015 2112000 2024 CP1DA424</t>
  </si>
  <si>
    <t>5 1 2 3 2 12 31111 6 M59 50000 000223 0000E 00001 00232 015 2112000 2024 CP1DA424 001</t>
  </si>
  <si>
    <t>5 1 2 3 2 12 31111 6 M59 50000 000223 0000E 00001 00232 015 2112000 2024 CP1DA424 001 0000001</t>
  </si>
  <si>
    <t>5 1 2 4</t>
  </si>
  <si>
    <t>5 1 2 4 1</t>
  </si>
  <si>
    <t>PRODUCTOS MINERALES NO METÁLICOS</t>
  </si>
  <si>
    <t>5 1 2 4 1 12</t>
  </si>
  <si>
    <t>5 1 2 4 1 12 31111</t>
  </si>
  <si>
    <t>5 1 2 4 1 12 31111 6</t>
  </si>
  <si>
    <t>5 1 2 4 1 12 31111 6 M59</t>
  </si>
  <si>
    <t>5 1 2 4 1 12 31111 6 M59 19000</t>
  </si>
  <si>
    <t>5 1 2 4 1 12 31111 6 M59 19000 000132</t>
  </si>
  <si>
    <t>5 1 2 4 1 12 31111 6 M59 19000 000132 0000R</t>
  </si>
  <si>
    <t>5 1 2 4 1 12 31111 6 M59 19000 000132 0000R 00001</t>
  </si>
  <si>
    <t>5 1 2 4 1 12 31111 6 M59 19000 000132 0000R 00001 00241</t>
  </si>
  <si>
    <t>PRODUCTOS MINERALES NO METALICOS.</t>
  </si>
  <si>
    <t>5 1 2 4 1 12 31111 6 M59 19000 000132 0000R 00001 00241 011</t>
  </si>
  <si>
    <t>5 1 2 4 1 12 31111 6 M59 19000 000132 0000R 00001 00241 011 2112000</t>
  </si>
  <si>
    <t>5 1 2 4 1 12 31111 6 M59 19000 000132 0000R 00001 00241 011 2112000 2024</t>
  </si>
  <si>
    <t>5 1 2 4 1 12 31111 6 M59 19000 000132 0000R 00001 00241 011 2112000 2024 CP1TM440</t>
  </si>
  <si>
    <t>5 1 2 4 1 12 31111 6 M59 19000 000132 0000R 00001 00241 011 2112000 2024 CP1TM440 004</t>
  </si>
  <si>
    <t>5 1 2 4 1 12 31111 6 M59 19000 000132 0000R 00001 00241 011 2112000 2024 CP1TM440 004 0000001</t>
  </si>
  <si>
    <t>5 1 2 4 1 12 31111 6 M59 20400</t>
  </si>
  <si>
    <t>5 1 2 4 1 12 31111 6 M59 20400 000132</t>
  </si>
  <si>
    <t>5 1 2 4 1 12 31111 6 M59 20400 000132 0000R</t>
  </si>
  <si>
    <t>5 1 2 4 1 12 31111 6 M59 20400 000132 0000R 00001</t>
  </si>
  <si>
    <t>5 1 2 4 1 12 31111 6 M59 20400 000132 0000R 00001 00241</t>
  </si>
  <si>
    <t>5 1 2 4 1 12 31111 6 M59 20400 000132 0000R 00001 00241 015</t>
  </si>
  <si>
    <t>5 1 2 4 1 12 31111 6 M59 20400 000132 0000R 00001 00241 015 2112000</t>
  </si>
  <si>
    <t>5 1 2 4 1 12 31111 6 M59 20400 000132 0000R 00001 00241 015 2112000 2024</t>
  </si>
  <si>
    <t>5 1 2 4 1 12 31111 6 M59 20400 000132 0000R 00001 00241 015 2112000 2024 CP1PV404</t>
  </si>
  <si>
    <t>5 1 2 4 1 12 31111 6 M59 20400 000132 0000R 00001 00241 015 2112000 2024 CP1PV404 001</t>
  </si>
  <si>
    <t>5 1 2 4 1 12 31111 6 M59 20400 000132 0000R 00001 00241 015 2112000 2024 CP1PV404 001 0000001</t>
  </si>
  <si>
    <t>5 1 2 4 1 12 31111 6 M59 50000</t>
  </si>
  <si>
    <t>5 1 2 4 1 12 31111 6 M59 50000 000223</t>
  </si>
  <si>
    <t>5 1 2 4 1 12 31111 6 M59 50000 000223 0000E</t>
  </si>
  <si>
    <t>5 1 2 4 1 12 31111 6 M59 50000 000223 0000E 00001</t>
  </si>
  <si>
    <t>5 1 2 4 1 12 31111 6 M59 50000 000223 0000E 00001 00241</t>
  </si>
  <si>
    <t>5 1 2 4 1 12 31111 6 M59 50000 000223 0000E 00001 00241 015</t>
  </si>
  <si>
    <t>5 1 2 4 1 12 31111 6 M59 50000 000223 0000E 00001 00241 015 2112000</t>
  </si>
  <si>
    <t>5 1 2 4 1 12 31111 6 M59 50000 000223 0000E 00001 00241 015 2112000 2024</t>
  </si>
  <si>
    <t>5 1 2 4 1 12 31111 6 M59 50000 000223 0000E 00001 00241 015 2112000 2024 CP1DA424</t>
  </si>
  <si>
    <t>5 1 2 4 1 12 31111 6 M59 50000 000223 0000E 00001 00241 015 2112000 2024 CP1DA424 001</t>
  </si>
  <si>
    <t>5 1 2 4 1 12 31111 6 M59 50000 000223 0000E 00001 00241 015 2112000 2024 CP1DA424 001 0000001</t>
  </si>
  <si>
    <t>5 1 2 4 1 12 31111 6 M59 99000</t>
  </si>
  <si>
    <t>5 1 2 4 1 12 31111 6 M59 99000 000132</t>
  </si>
  <si>
    <t>5 1 2 4 1 12 31111 6 M59 99000 000132 0000R</t>
  </si>
  <si>
    <t>5 1 2 4 1 12 31111 6 M59 99000 000132 0000R 00001</t>
  </si>
  <si>
    <t>5 1 2 4 1 12 31111 6 M59 99000 000132 0000R 00001 00241</t>
  </si>
  <si>
    <t>5 1 2 4 1 12 31111 6 M59 99000 000132 0000R 00001 00241 015</t>
  </si>
  <si>
    <t>5 1 2 4 1 12 31111 6 M59 99000 000132 0000R 00001 00241 015 2112000</t>
  </si>
  <si>
    <t>5 1 2 4 1 12 31111 6 M59 99000 000132 0000R 00001 00241 015 2112000 2024</t>
  </si>
  <si>
    <t>5 1 2 4 1 12 31111 6 M59 99000 000132 0000R 00001 00241 015 2112000 2024 CP1MG408</t>
  </si>
  <si>
    <t>5 1 2 4 1 12 31111 6 M59 99000 000132 0000R 00001 00241 015 2112000 2024 CP1MG408 001</t>
  </si>
  <si>
    <t>5 1 2 4 1 12 31111 6 M59 99000 000132 0000R 00001 00241 015 2112000 2024 CP1MG408 001 0000001</t>
  </si>
  <si>
    <t>5 1 2 4 2</t>
  </si>
  <si>
    <t>CEMENTO Y PRODUCTOS DE CONCRETO</t>
  </si>
  <si>
    <t>5 1 2 4 2 12</t>
  </si>
  <si>
    <t>5 1 2 4 2 12 31111</t>
  </si>
  <si>
    <t>5 1 2 4 2 12 31111 6</t>
  </si>
  <si>
    <t>5 1 2 4 2 12 31111 6 M59</t>
  </si>
  <si>
    <t>5 1 2 4 2 12 31111 6 M59 19000</t>
  </si>
  <si>
    <t>5 1 2 4 2 12 31111 6 M59 19000 000132</t>
  </si>
  <si>
    <t>5 1 2 4 2 12 31111 6 M59 19000 000132 0000R</t>
  </si>
  <si>
    <t>5 1 2 4 2 12 31111 6 M59 19000 000132 0000R 00001</t>
  </si>
  <si>
    <t>5 1 2 4 2 12 31111 6 M59 19000 000132 0000R 00001 00242</t>
  </si>
  <si>
    <t>CEMENTO Y PRODUCTOS DE CONCRETO.</t>
  </si>
  <si>
    <t>5 1 2 4 2 12 31111 6 M59 19000 000132 0000R 00001 00242 011</t>
  </si>
  <si>
    <t>5 1 2 4 2 12 31111 6 M59 19000 000132 0000R 00001 00242 011 2112000</t>
  </si>
  <si>
    <t>5 1 2 4 2 12 31111 6 M59 19000 000132 0000R 00001 00242 011 2112000 2024</t>
  </si>
  <si>
    <t>5 1 2 4 2 12 31111 6 M59 19000 000132 0000R 00001 00242 011 2112000 2024 CP1TM440</t>
  </si>
  <si>
    <t>5 1 2 4 2 12 31111 6 M59 19000 000132 0000R 00001 00242 011 2112000 2024 CP1TM440 004</t>
  </si>
  <si>
    <t>5 1 2 4 2 12 31111 6 M59 19000 000132 0000R 00001 00242 011 2112000 2024 CP1TM440 004 0000001</t>
  </si>
  <si>
    <t>5 1 2 4 2 12 31111 6 M59 40000</t>
  </si>
  <si>
    <t>5 1 2 4 2 12 31111 6 M59 40000 000161</t>
  </si>
  <si>
    <t>5 1 2 4 2 12 31111 6 M59 40000 000161 0000E</t>
  </si>
  <si>
    <t>5 1 2 4 2 12 31111 6 M59 40000 000161 0000E 00001</t>
  </si>
  <si>
    <t>5 1 2 4 2 12 31111 6 M59 40000 000161 0000E 00001 00242</t>
  </si>
  <si>
    <t>5 1 2 4 2 12 31111 6 M59 40000 000161 0000E 00001 00242 025</t>
  </si>
  <si>
    <t>5 1 2 4 2 12 31111 6 M59 40000 000161 0000E 00001 00242 025 2112000</t>
  </si>
  <si>
    <t>5 1 2 4 2 12 31111 6 M59 40000 000161 0000E 00001 00242 025 2112000 2024</t>
  </si>
  <si>
    <t>5 1 2 4 2 12 31111 6 M59 40000 000161 0000E 00001 00242 025 2112000 2024 CP4SP372</t>
  </si>
  <si>
    <t>5 1 2 4 2 12 31111 6 M59 40000 000161 0000E 00001 00242 025 2112000 2024 CP4SP372 003</t>
  </si>
  <si>
    <t>5 1 2 4 2 12 31111 6 M59 40000 000161 0000E 00001 00242 025 2112000 2024 CP4SP372 003 0000001</t>
  </si>
  <si>
    <t>5 1 2 4 2 12 31111 6 M59 96100</t>
  </si>
  <si>
    <t>5 1 2 4 2 12 31111 6 M59 96100 000211</t>
  </si>
  <si>
    <t>5 1 2 4 2 12 31111 6 M59 96100 000211 0000U</t>
  </si>
  <si>
    <t>5 1 2 4 2 12 31111 6 M59 96100 000211 0000U 00001</t>
  </si>
  <si>
    <t>5 1 2 4 2 12 31111 6 M59 96100 000211 0000U 00001 00242</t>
  </si>
  <si>
    <t>5 1 2 4 2 12 31111 6 M59 96100 000211 0000U 00001 00242 015</t>
  </si>
  <si>
    <t>5 1 2 4 2 12 31111 6 M59 96100 000211 0000U 00001 00242 015 2112000</t>
  </si>
  <si>
    <t>5 1 2 4 2 12 31111 6 M59 96100 000211 0000U 00001 00242 015 2112000 2024</t>
  </si>
  <si>
    <t>5 1 2 4 2 12 31111 6 M59 96100 000211 0000U 00001 00242 015 2112000 2024 CP1IU412</t>
  </si>
  <si>
    <t>5 1 2 4 2 12 31111 6 M59 96100 000211 0000U 00001 00242 015 2112000 2024 CP1IU412 001</t>
  </si>
  <si>
    <t>5 1 2 4 2 12 31111 6 M59 96100 000211 0000U 00001 00242 015 2112000 2024 CP1IU412 001 0000001</t>
  </si>
  <si>
    <t>5 1 2 4 2 12 31111 6 M59 99000</t>
  </si>
  <si>
    <t>5 1 2 4 2 12 31111 6 M59 99000 000132</t>
  </si>
  <si>
    <t>5 1 2 4 2 12 31111 6 M59 99000 000132 0000R</t>
  </si>
  <si>
    <t>5 1 2 4 2 12 31111 6 M59 99000 000132 0000R 00001</t>
  </si>
  <si>
    <t>5 1 2 4 2 12 31111 6 M59 99000 000132 0000R 00001 00242</t>
  </si>
  <si>
    <t>5 1 2 4 2 12 31111 6 M59 99000 000132 0000R 00001 00242 015</t>
  </si>
  <si>
    <t>5 1 2 4 2 12 31111 6 M59 99000 000132 0000R 00001 00242 015 2112000</t>
  </si>
  <si>
    <t>5 1 2 4 2 12 31111 6 M59 99000 000132 0000R 00001 00242 015 2112000 2024</t>
  </si>
  <si>
    <t>5 1 2 4 2 12 31111 6 M59 99000 000132 0000R 00001 00242 015 2112000 2024 CP1MG408</t>
  </si>
  <si>
    <t>5 1 2 4 2 12 31111 6 M59 99000 000132 0000R 00001 00242 015 2112000 2024 CP1MG408 001</t>
  </si>
  <si>
    <t>5 1 2 4 2 12 31111 6 M59 99000 000132 0000R 00001 00242 015 2112000 2024 CP1MG408 001 0000001</t>
  </si>
  <si>
    <t>5 1 2 4 4</t>
  </si>
  <si>
    <t>MADERA Y PRODUCTOS DE MADERA</t>
  </si>
  <si>
    <t>5 1 2 4 4 12</t>
  </si>
  <si>
    <t>5 1 2 4 4 12 31111</t>
  </si>
  <si>
    <t>5 1 2 4 4 12 31111 6</t>
  </si>
  <si>
    <t>5 1 2 4 4 12 31111 6 M59</t>
  </si>
  <si>
    <t>5 1 2 4 4 12 31111 6 M59 19000</t>
  </si>
  <si>
    <t>5 1 2 4 4 12 31111 6 M59 19000 000132</t>
  </si>
  <si>
    <t>5 1 2 4 4 12 31111 6 M59 19000 000132 0000R</t>
  </si>
  <si>
    <t>5 1 2 4 4 12 31111 6 M59 19000 000132 0000R 00001</t>
  </si>
  <si>
    <t>5 1 2 4 4 12 31111 6 M59 19000 000132 0000R 00001 00244</t>
  </si>
  <si>
    <t>MADERA Y PRODUCTOS DE MADERA.</t>
  </si>
  <si>
    <t>5 1 2 4 4 12 31111 6 M59 19000 000132 0000R 00001 00244 015</t>
  </si>
  <si>
    <t>5 1 2 4 4 12 31111 6 M59 19000 000132 0000R 00001 00244 015 2112000</t>
  </si>
  <si>
    <t>5 1 2 4 4 12 31111 6 M59 19000 000132 0000R 00001 00244 015 2112000 2024</t>
  </si>
  <si>
    <t>5 1 2 4 4 12 31111 6 M59 19000 000132 0000R 00001 00244 015 2112000 2024 CP1TM440</t>
  </si>
  <si>
    <t>5 1 2 4 4 12 31111 6 M59 19000 000132 0000R 00001 00244 015 2112000 2024 CP1TM440 001</t>
  </si>
  <si>
    <t>5 1 2 4 4 12 31111 6 M59 50000</t>
  </si>
  <si>
    <t>5 1 2 4 4 12 31111 6 M59 50000 000223</t>
  </si>
  <si>
    <t>5 1 2 4 4 12 31111 6 M59 50000 000223 0000E</t>
  </si>
  <si>
    <t>5 1 2 4 4 12 31111 6 M59 50000 000223 0000E 00001</t>
  </si>
  <si>
    <t>5 1 2 4 4 12 31111 6 M59 50000 000223 0000E 00001 00244</t>
  </si>
  <si>
    <t>5 1 2 4 4 12 31111 6 M59 50000 000223 0000E 00001 00244 015</t>
  </si>
  <si>
    <t>5 1 2 4 4 12 31111 6 M59 50000 000223 0000E 00001 00244 015 2112000</t>
  </si>
  <si>
    <t>5 1 2 4 4 12 31111 6 M59 50000 000223 0000E 00001 00244 015 2112000 2024</t>
  </si>
  <si>
    <t>5 1 2 4 4 12 31111 6 M59 50000 000223 0000E 00001 00244 015 2112000 2024 CP1DA424</t>
  </si>
  <si>
    <t>5 1 2 4 4 12 31111 6 M59 50000 000223 0000E 00001 00244 015 2112000 2024 CP1DA424 001</t>
  </si>
  <si>
    <t>5 1 2 4 4 12 31111 6 M59 50000 000223 0000E 00001 00244 015 2112000 2024 CP1DA424 001 0000001</t>
  </si>
  <si>
    <t>5 1 2 4 4 12 31111 6 M59 96100</t>
  </si>
  <si>
    <t>5 1 2 4 4 12 31111 6 M59 96100 000211</t>
  </si>
  <si>
    <t>5 1 2 4 4 12 31111 6 M59 96100 000211 0000U</t>
  </si>
  <si>
    <t>5 1 2 4 4 12 31111 6 M59 96100 000211 0000U 00001</t>
  </si>
  <si>
    <t>5 1 2 4 4 12 31111 6 M59 96100 000211 0000U 00001 00244</t>
  </si>
  <si>
    <t>5 1 2 4 4 12 31111 6 M59 96100 000211 0000U 00001 00244 015</t>
  </si>
  <si>
    <t>5 1 2 4 4 12 31111 6 M59 96100 000211 0000U 00001 00244 015 2112000</t>
  </si>
  <si>
    <t>5 1 2 4 4 12 31111 6 M59 96100 000211 0000U 00001 00244 015 2112000 2024</t>
  </si>
  <si>
    <t>5 1 2 4 4 12 31111 6 M59 96100 000211 0000U 00001 00244 015 2112000 2024 CP1IU412</t>
  </si>
  <si>
    <t>5 1 2 4 4 12 31111 6 M59 96100 000211 0000U 00001 00244 015 2112000 2024 CP1IU412 001</t>
  </si>
  <si>
    <t>5 1 2 4 4 12 31111 6 M59 96100 000211 0000U 00001 00244 015 2112000 2024 CP1IU412 001 0000001</t>
  </si>
  <si>
    <t>5 1 2 4 6</t>
  </si>
  <si>
    <t>MATERIAL ELÉCTRICO Y ELECTRÓNICO</t>
  </si>
  <si>
    <t>5 1 2 4 6 12</t>
  </si>
  <si>
    <t>5 1 2 4 6 12 31111</t>
  </si>
  <si>
    <t>5 1 2 4 6 12 31111 6</t>
  </si>
  <si>
    <t>5 1 2 4 6 12 31111 6 M59</t>
  </si>
  <si>
    <t>5 1 2 4 6 12 31111 6 M59 19000</t>
  </si>
  <si>
    <t>5 1 2 4 6 12 31111 6 M59 19000 000132</t>
  </si>
  <si>
    <t>5 1 2 4 6 12 31111 6 M59 19000 000132 0000R</t>
  </si>
  <si>
    <t>5 1 2 4 6 12 31111 6 M59 19000 000132 0000R 00001</t>
  </si>
  <si>
    <t>5 1 2 4 6 12 31111 6 M59 19000 000132 0000R 00001 00246</t>
  </si>
  <si>
    <t>MATERIAL ELECTRICO Y ELECTRONICO.</t>
  </si>
  <si>
    <t>5 1 2 4 6 12 31111 6 M59 19000 000132 0000R 00001 00246 011</t>
  </si>
  <si>
    <t>5 1 2 4 6 12 31111 6 M59 19000 000132 0000R 00001 00246 011 2112000</t>
  </si>
  <si>
    <t>5 1 2 4 6 12 31111 6 M59 19000 000132 0000R 00001 00246 011 2112000 2024</t>
  </si>
  <si>
    <t>5 1 2 4 6 12 31111 6 M59 19000 000132 0000R 00001 00246 011 2112000 2024 CP1TM440</t>
  </si>
  <si>
    <t>5 1 2 4 6 12 31111 6 M59 19000 000132 0000R 00001 00246 011 2112000 2024 CP1TM440 004</t>
  </si>
  <si>
    <t>5 1 2 4 6 12 31111 6 M59 19000 000132 0000R 00001 00246 011 2112000 2024 CP1TM440 004 0000001</t>
  </si>
  <si>
    <t>MATERIAL ELECTRICO Y ELECTRONICO</t>
  </si>
  <si>
    <t>5 1 2 4 6 12 31111 6 M59 20400</t>
  </si>
  <si>
    <t>5 1 2 4 6 12 31111 6 M59 20400 000132</t>
  </si>
  <si>
    <t>5 1 2 4 6 12 31111 6 M59 20400 000132 0000R</t>
  </si>
  <si>
    <t>5 1 2 4 6 12 31111 6 M59 20400 000132 0000R 00001</t>
  </si>
  <si>
    <t>5 1 2 4 6 12 31111 6 M59 20400 000132 0000R 00001 00246</t>
  </si>
  <si>
    <t>5 1 2 4 6 12 31111 6 M59 20400 000132 0000R 00001 00246 015</t>
  </si>
  <si>
    <t>5 1 2 4 6 12 31111 6 M59 20400 000132 0000R 00001 00246 015 2112000</t>
  </si>
  <si>
    <t>5 1 2 4 6 12 31111 6 M59 20400 000132 0000R 00001 00246 015 2112000 2024</t>
  </si>
  <si>
    <t>5 1 2 4 6 12 31111 6 M59 20400 000132 0000R 00001 00246 015 2112000 2024 CP1PV404</t>
  </si>
  <si>
    <t>5 1 2 4 6 12 31111 6 M59 20400 000132 0000R 00001 00246 015 2112000 2024 CP1PV404 001</t>
  </si>
  <si>
    <t>5 1 2 4 6 12 31111 6 M59 20400 000132 0000R 00001 00246 015 2112000 2024 CP1PV404 001 0000001</t>
  </si>
  <si>
    <t>5 1 2 4 6 12 31111 6 M59 20700</t>
  </si>
  <si>
    <t>5 1 2 4 6 12 31111 6 M59 20700 000132</t>
  </si>
  <si>
    <t>5 1 2 4 6 12 31111 6 M59 20700 000132 0000R</t>
  </si>
  <si>
    <t>5 1 2 4 6 12 31111 6 M59 20700 000132 0000R 00001</t>
  </si>
  <si>
    <t>5 1 2 4 6 12 31111 6 M59 20700 000132 0000R 00001 00246</t>
  </si>
  <si>
    <t>5 1 2 4 6 12 31111 6 M59 20700 000132 0000R 00001 00246 015</t>
  </si>
  <si>
    <t>5 1 2 4 6 12 31111 6 M59 20700 000132 0000R 00001 00246 015 2112000</t>
  </si>
  <si>
    <t>5 1 2 4 6 12 31111 6 M59 20700 000132 0000R 00001 00246 015 2112000 2024</t>
  </si>
  <si>
    <t>5 1 2 4 6 12 31111 6 M59 20700 000132 0000R 00001 00246 015 2112000 2024 CP1RM401</t>
  </si>
  <si>
    <t>5 1 2 4 6 12 31111 6 M59 20700 000132 0000R 00001 00246 015 2112000 2024 CP1RM401 001</t>
  </si>
  <si>
    <t>5 1 2 4 6 12 31111 6 M59 20700 000132 0000R 00001 00246 015 2112000 2024 CP1RM401 001 0000001</t>
  </si>
  <si>
    <t>5 1 2 4 6 12 31111 6 M59 40000</t>
  </si>
  <si>
    <t>5 1 2 4 6 12 31111 6 M59 40000 000161</t>
  </si>
  <si>
    <t>5 1 2 4 6 12 31111 6 M59 40000 000161 0000E</t>
  </si>
  <si>
    <t>5 1 2 4 6 12 31111 6 M59 40000 000161 0000E 00001</t>
  </si>
  <si>
    <t>5 1 2 4 6 12 31111 6 M59 40000 000161 0000E 00001 00246</t>
  </si>
  <si>
    <t>5 1 2 4 6 12 31111 6 M59 40000 000161 0000E 00001 00246 025</t>
  </si>
  <si>
    <t>5 1 2 4 6 12 31111 6 M59 40000 000161 0000E 00001 00246 025 2112000</t>
  </si>
  <si>
    <t>5 1 2 4 6 12 31111 6 M59 40000 000161 0000E 00001 00246 025 2112000 2024</t>
  </si>
  <si>
    <t>5 1 2 4 6 12 31111 6 M59 40000 000161 0000E 00001 00246 025 2112000 2024 CP4SP372</t>
  </si>
  <si>
    <t>5 1 2 4 6 12 31111 6 M59 40000 000161 0000E 00001 00246 025 2112000 2024 CP4SP372 003</t>
  </si>
  <si>
    <t>5 1 2 4 6 12 31111 6 M59 40000 000161 0000E 00001 00246 025 2112000 2024 CP4SP372 003 0000001</t>
  </si>
  <si>
    <t>5 1 2 4 6 12 31111 6 M59 50000</t>
  </si>
  <si>
    <t>5 1 2 4 6 12 31111 6 M59 50000 000223</t>
  </si>
  <si>
    <t>5 1 2 4 6 12 31111 6 M59 50000 000223 0000E</t>
  </si>
  <si>
    <t>5 1 2 4 6 12 31111 6 M59 50000 000223 0000E 00001</t>
  </si>
  <si>
    <t>5 1 2 4 6 12 31111 6 M59 50000 000223 0000E 00001 00246</t>
  </si>
  <si>
    <t>5 1 2 4 6 12 31111 6 M59 50000 000223 0000E 00001 00246 015</t>
  </si>
  <si>
    <t>5 1 2 4 6 12 31111 6 M59 50000 000223 0000E 00001 00246 015 2112000</t>
  </si>
  <si>
    <t>5 1 2 4 6 12 31111 6 M59 50000 000223 0000E 00001 00246 015 2112000 2024</t>
  </si>
  <si>
    <t>5 1 2 4 6 12 31111 6 M59 50000 000223 0000E 00001 00246 015 2112000 2024 CP1DA424</t>
  </si>
  <si>
    <t>5 1 2 4 6 12 31111 6 M59 50000 000223 0000E 00001 00246 015 2112000 2024 CP1DA424 001</t>
  </si>
  <si>
    <t>5 1 2 4 6 12 31111 6 M59 50000 000223 0000E 00001 00246 015 2112000 2024 CP1DA424 001 0000001</t>
  </si>
  <si>
    <t>5 1 2 4 6 12 31111 6 M59 60100</t>
  </si>
  <si>
    <t>5 1 2 4 6 12 31111 6 M59 60100 000132</t>
  </si>
  <si>
    <t>5 1 2 4 6 12 31111 6 M59 60100 000132 0000R</t>
  </si>
  <si>
    <t>5 1 2 4 6 12 31111 6 M59 60100 000132 0000R 00001</t>
  </si>
  <si>
    <t>5 1 2 4 6 12 31111 6 M59 60100 000132 0000R 00001 00246</t>
  </si>
  <si>
    <t>5 1 2 4 6 12 31111 6 M59 60100 000132 0000R 00001 00246 015</t>
  </si>
  <si>
    <t>5 1 2 4 6 12 31111 6 M59 60100 000132 0000R 00001 00246 015 2112000</t>
  </si>
  <si>
    <t>5 1 2 4 6 12 31111 6 M59 60100 000132 0000R 00001 00246 015 2112000 2024</t>
  </si>
  <si>
    <t>5 1 2 4 6 12 31111 6 M59 60100 000132 0000R 00001 00246 015 2112000 2024 CP1DM394</t>
  </si>
  <si>
    <t>5 1 2 4 6 12 31111 6 M59 60100 000132 0000R 00001 00246 015 2112000 2024 CP1DM394 001</t>
  </si>
  <si>
    <t>5 1 2 4 6 12 31111 6 M59 60100 000132 0000R 00001 00246 015 2112000 2024 CP1DM394 001 0000001</t>
  </si>
  <si>
    <t>5 1 2 4 6 12 31111 6 M59 96100</t>
  </si>
  <si>
    <t>5 1 2 4 6 12 31111 6 M59 96100 000211</t>
  </si>
  <si>
    <t>5 1 2 4 6 12 31111 6 M59 96100 000211 0000U</t>
  </si>
  <si>
    <t>5 1 2 4 6 12 31111 6 M59 96100 000211 0000U 00001</t>
  </si>
  <si>
    <t>5 1 2 4 6 12 31111 6 M59 96100 000211 0000U 00001 00246</t>
  </si>
  <si>
    <t>5 1 2 4 6 12 31111 6 M59 96100 000211 0000U 00001 00246 015</t>
  </si>
  <si>
    <t>5 1 2 4 6 12 31111 6 M59 96100 000211 0000U 00001 00246 015 2112000</t>
  </si>
  <si>
    <t>5 1 2 4 6 12 31111 6 M59 96100 000211 0000U 00001 00246 015 2112000 2024</t>
  </si>
  <si>
    <t>5 1 2 4 6 12 31111 6 M59 96100 000211 0000U 00001 00246 015 2112000 2024 CP1IU412</t>
  </si>
  <si>
    <t>5 1 2 4 6 12 31111 6 M59 96100 000211 0000U 00001 00246 015 2112000 2024 CP1IU412 001</t>
  </si>
  <si>
    <t>5 1 2 4 6 12 31111 6 M59 96100 000211 0000U 00001 00246 015 2112000 2024 CP1IU412 001 0000001</t>
  </si>
  <si>
    <t>5 1 2 4 6 12 31111 6 M59 96200</t>
  </si>
  <si>
    <t>5 1 2 4 6 12 31111 6 M59 96200 000132</t>
  </si>
  <si>
    <t>5 1 2 4 6 12 31111 6 M59 96200 000132 0000R</t>
  </si>
  <si>
    <t>5 1 2 4 6 12 31111 6 M59 96200 000132 0000R 00001</t>
  </si>
  <si>
    <t>5 1 2 4 6 12 31111 6 M59 96200 000132 0000R 00001 00246</t>
  </si>
  <si>
    <t>5 1 2 4 6 12 31111 6 M59 96200 000132 0000R 00001 00246 015</t>
  </si>
  <si>
    <t>5 1 2 4 6 12 31111 6 M59 96200 000132 0000R 00001 00246 015 2112000</t>
  </si>
  <si>
    <t>5 1 2 4 6 12 31111 6 M59 96200 000132 0000R 00001 00246 015 2112000 2024</t>
  </si>
  <si>
    <t>5 1 2 4 6 12 31111 6 M59 96200 000132 0000R 00001 00246 015 2112000 2024 CP1AL423</t>
  </si>
  <si>
    <t>5 1 2 4 6 12 31111 6 M59 96200 000132 0000R 00001 00246 015 2112000 2024 CP1AL423 001</t>
  </si>
  <si>
    <t>5 1 2 4 6 12 31111 6 M59 96200 000132 0000R 00001 00246 015 2112000 2024 CP1AL423 001 0000001</t>
  </si>
  <si>
    <t>5 1 2 4 6 12 31111 6 M59 99000</t>
  </si>
  <si>
    <t>5 1 2 4 6 12 31111 6 M59 99000 000132</t>
  </si>
  <si>
    <t>5 1 2 4 6 12 31111 6 M59 99000 000132 0000R</t>
  </si>
  <si>
    <t>5 1 2 4 6 12 31111 6 M59 99000 000132 0000R 00001</t>
  </si>
  <si>
    <t>5 1 2 4 6 12 31111 6 M59 99000 000132 0000R 00001 00246</t>
  </si>
  <si>
    <t>5 1 2 4 6 12 31111 6 M59 99000 000132 0000R 00001 00246 015</t>
  </si>
  <si>
    <t>5 1 2 4 6 12 31111 6 M59 99000 000132 0000R 00001 00246 015 2112000</t>
  </si>
  <si>
    <t>5 1 2 4 6 12 31111 6 M59 99000 000132 0000R 00001 00246 015 2112000 2024</t>
  </si>
  <si>
    <t>5 1 2 4 6 12 31111 6 M59 99000 000132 0000R 00001 00246 015 2112000 2024 CP1MG408</t>
  </si>
  <si>
    <t>5 1 2 4 6 12 31111 6 M59 99000 000132 0000R 00001 00246 015 2112000 2024 CP1MG408 001</t>
  </si>
  <si>
    <t>5 1 2 4 6 12 31111 6 M59 99000 000132 0000R 00001 00246 015 2112000 2024 CP1MG408 001 0000001</t>
  </si>
  <si>
    <t>5 1 2 4 7</t>
  </si>
  <si>
    <t>ARTÍCULOS METÁLICOS PARA LA CONSTRUCCIÓN</t>
  </si>
  <si>
    <t>5 1 2 4 7 12</t>
  </si>
  <si>
    <t>5 1 2 4 7 12 31111</t>
  </si>
  <si>
    <t>5 1 2 4 7 12 31111 6</t>
  </si>
  <si>
    <t>5 1 2 4 7 12 31111 6 M59</t>
  </si>
  <si>
    <t>5 1 2 4 7 12 31111 6 M59 19000</t>
  </si>
  <si>
    <t>5 1 2 4 7 12 31111 6 M59 19000 000132</t>
  </si>
  <si>
    <t>5 1 2 4 7 12 31111 6 M59 19000 000132 0000R</t>
  </si>
  <si>
    <t>5 1 2 4 7 12 31111 6 M59 19000 000132 0000R 00001</t>
  </si>
  <si>
    <t>5 1 2 4 7 12 31111 6 M59 19000 000132 0000R 00001 00247</t>
  </si>
  <si>
    <t>ARTICULOS METALICOS PARA LA CONSTRUCCION.</t>
  </si>
  <si>
    <t>5 1 2 4 7 12 31111 6 M59 19000 000132 0000R 00001 00247 011</t>
  </si>
  <si>
    <t>5 1 2 4 7 12 31111 6 M59 19000 000132 0000R 00001 00247 011 2112000</t>
  </si>
  <si>
    <t>5 1 2 4 7 12 31111 6 M59 19000 000132 0000R 00001 00247 011 2112000 2024</t>
  </si>
  <si>
    <t>5 1 2 4 7 12 31111 6 M59 19000 000132 0000R 00001 00247 011 2112000 2024 CP1TM440</t>
  </si>
  <si>
    <t>5 1 2 4 7 12 31111 6 M59 19000 000132 0000R 00001 00247 011 2112000 2024 CP1TM440 004</t>
  </si>
  <si>
    <t>5 1 2 4 7 12 31111 6 M59 19000 000132 0000R 00001 00247 011 2112000 2024 CP1TM440 004 0000001</t>
  </si>
  <si>
    <t>5 1 2 4 7 12 31111 6 M59 20400</t>
  </si>
  <si>
    <t>5 1 2 4 7 12 31111 6 M59 20400 000132</t>
  </si>
  <si>
    <t>5 1 2 4 7 12 31111 6 M59 20400 000132 0000R</t>
  </si>
  <si>
    <t>5 1 2 4 7 12 31111 6 M59 20400 000132 0000R 00001</t>
  </si>
  <si>
    <t>5 1 2 4 7 12 31111 6 M59 20400 000132 0000R 00001 00247</t>
  </si>
  <si>
    <t>5 1 2 4 7 12 31111 6 M59 20400 000132 0000R 00001 00247 015</t>
  </si>
  <si>
    <t>5 1 2 4 7 12 31111 6 M59 20400 000132 0000R 00001 00247 015 2112000</t>
  </si>
  <si>
    <t>5 1 2 4 7 12 31111 6 M59 20400 000132 0000R 00001 00247 015 2112000 2024</t>
  </si>
  <si>
    <t>5 1 2 4 7 12 31111 6 M59 20400 000132 0000R 00001 00247 015 2112000 2024 CP1PV404</t>
  </si>
  <si>
    <t>5 1 2 4 7 12 31111 6 M59 20400 000132 0000R 00001 00247 015 2112000 2024 CP1PV404 001</t>
  </si>
  <si>
    <t>5 1 2 4 7 12 31111 6 M59 20400 000132 0000R 00001 00247 015 2112000 2024 CP1PV404 001 0000001</t>
  </si>
  <si>
    <t>5 1 2 4 7 12 31111 6 M59 20700</t>
  </si>
  <si>
    <t>5 1 2 4 7 12 31111 6 M59 20700 000132</t>
  </si>
  <si>
    <t>5 1 2 4 7 12 31111 6 M59 20700 000132 0000R</t>
  </si>
  <si>
    <t>5 1 2 4 7 12 31111 6 M59 20700 000132 0000R 00001</t>
  </si>
  <si>
    <t>5 1 2 4 7 12 31111 6 M59 20700 000132 0000R 00001 00247</t>
  </si>
  <si>
    <t>5 1 2 4 7 12 31111 6 M59 20700 000132 0000R 00001 00247 015</t>
  </si>
  <si>
    <t>5 1 2 4 7 12 31111 6 M59 20700 000132 0000R 00001 00247 015 2112000</t>
  </si>
  <si>
    <t>5 1 2 4 7 12 31111 6 M59 20700 000132 0000R 00001 00247 015 2112000 2024</t>
  </si>
  <si>
    <t>5 1 2 4 7 12 31111 6 M59 20700 000132 0000R 00001 00247 015 2112000 2024 CP1RM401</t>
  </si>
  <si>
    <t>5 1 2 4 7 12 31111 6 M59 20700 000132 0000R 00001 00247 015 2112000 2024 CP1RM401 001</t>
  </si>
  <si>
    <t>5 1 2 4 7 12 31111 6 M59 20700 000132 0000R 00001 00247 015 2112000 2024 CP1RM401 001 0000001</t>
  </si>
  <si>
    <t>5 1 2 4 7 12 31111 6 M59 50000</t>
  </si>
  <si>
    <t>5 1 2 4 7 12 31111 6 M59 50000 000223</t>
  </si>
  <si>
    <t>5 1 2 4 7 12 31111 6 M59 50000 000223 0000E</t>
  </si>
  <si>
    <t>5 1 2 4 7 12 31111 6 M59 50000 000223 0000E 00001</t>
  </si>
  <si>
    <t>5 1 2 4 7 12 31111 6 M59 50000 000223 0000E 00001 00247</t>
  </si>
  <si>
    <t>5 1 2 4 7 12 31111 6 M59 50000 000223 0000E 00001 00247 015</t>
  </si>
  <si>
    <t>5 1 2 4 7 12 31111 6 M59 50000 000223 0000E 00001 00247 015 2112000</t>
  </si>
  <si>
    <t>5 1 2 4 7 12 31111 6 M59 50000 000223 0000E 00001 00247 015 2112000 2024</t>
  </si>
  <si>
    <t>5 1 2 4 7 12 31111 6 M59 50000 000223 0000E 00001 00247 015 2112000 2024 CP1DA424</t>
  </si>
  <si>
    <t>5 1 2 4 7 12 31111 6 M59 50000 000223 0000E 00001 00247 015 2112000 2024 CP1DA424 001</t>
  </si>
  <si>
    <t>5 1 2 4 7 12 31111 6 M59 50000 000223 0000E 00001 00247 015 2112000 2024 CP1DA424 001 0000001</t>
  </si>
  <si>
    <t>5 1 2 4 7 12 31111 6 M59 60100</t>
  </si>
  <si>
    <t>5 1 2 4 7 12 31111 6 M59 60100 000132</t>
  </si>
  <si>
    <t>5 1 2 4 7 12 31111 6 M59 60100 000132 0000R</t>
  </si>
  <si>
    <t>5 1 2 4 7 12 31111 6 M59 60100 000132 0000R 00001</t>
  </si>
  <si>
    <t>5 1 2 4 7 12 31111 6 M59 60100 000132 0000R 00001 00247</t>
  </si>
  <si>
    <t>5 1 2 4 7 12 31111 6 M59 60100 000132 0000R 00001 00247 015</t>
  </si>
  <si>
    <t>5 1 2 4 7 12 31111 6 M59 60100 000132 0000R 00001 00247 015 2112000</t>
  </si>
  <si>
    <t>5 1 2 4 7 12 31111 6 M59 60100 000132 0000R 00001 00247 015 2112000 2024</t>
  </si>
  <si>
    <t>5 1 2 4 7 12 31111 6 M59 60100 000132 0000R 00001 00247 015 2112000 2024 CP1DM394</t>
  </si>
  <si>
    <t>5 1 2 4 7 12 31111 6 M59 60100 000132 0000R 00001 00247 015 2112000 2024 CP1DM394 001</t>
  </si>
  <si>
    <t>5 1 2 4 7 12 31111 6 M59 60100 000132 0000R 00001 00247 015 2112000 2024 CP1DM394 001 0000001</t>
  </si>
  <si>
    <t>5 1 2 4 7 12 31111 6 M59 96200</t>
  </si>
  <si>
    <t>5 1 2 4 7 12 31111 6 M59 96200 000132</t>
  </si>
  <si>
    <t>5 1 2 4 7 12 31111 6 M59 96200 000132 0000R</t>
  </si>
  <si>
    <t>5 1 2 4 7 12 31111 6 M59 96200 000132 0000R 00001</t>
  </si>
  <si>
    <t>5 1 2 4 7 12 31111 6 M59 96200 000132 0000R 00001 00247</t>
  </si>
  <si>
    <t>5 1 2 4 7 12 31111 6 M59 96200 000132 0000R 00001 00247 015</t>
  </si>
  <si>
    <t>5 1 2 4 7 12 31111 6 M59 96200 000132 0000R 00001 00247 015 2112000</t>
  </si>
  <si>
    <t>5 1 2 4 7 12 31111 6 M59 96200 000132 0000R 00001 00247 015 2112000 2024</t>
  </si>
  <si>
    <t>5 1 2 4 7 12 31111 6 M59 96200 000132 0000R 00001 00247 015 2112000 2024 CP1AL423</t>
  </si>
  <si>
    <t>5 1 2 4 7 12 31111 6 M59 96200 000132 0000R 00001 00247 015 2112000 2024 CP1AL423 001</t>
  </si>
  <si>
    <t>5 1 2 4 7 12 31111 6 M59 96200 000132 0000R 00001 00247 015 2112000 2024 CP1AL423 001 0000001</t>
  </si>
  <si>
    <t>5 1 2 4 7 12 31111 6 M59 99000</t>
  </si>
  <si>
    <t>5 1 2 4 7 12 31111 6 M59 99000 000132</t>
  </si>
  <si>
    <t>5 1 2 4 7 12 31111 6 M59 99000 000132 0000R</t>
  </si>
  <si>
    <t>5 1 2 4 7 12 31111 6 M59 99000 000132 0000R 00001</t>
  </si>
  <si>
    <t>5 1 2 4 7 12 31111 6 M59 99000 000132 0000R 00001 00247</t>
  </si>
  <si>
    <t>5 1 2 4 7 12 31111 6 M59 99000 000132 0000R 00001 00247 015</t>
  </si>
  <si>
    <t>5 1 2 4 7 12 31111 6 M59 99000 000132 0000R 00001 00247 015 2112000</t>
  </si>
  <si>
    <t>5 1 2 4 7 12 31111 6 M59 99000 000132 0000R 00001 00247 015 2112000 2024</t>
  </si>
  <si>
    <t>5 1 2 4 7 12 31111 6 M59 99000 000132 0000R 00001 00247 015 2112000 2024 CP1MG408</t>
  </si>
  <si>
    <t>5 1 2 4 7 12 31111 6 M59 99000 000132 0000R 00001 00247 015 2112000 2024 CP1MG408 001</t>
  </si>
  <si>
    <t>5 1 2 4 7 12 31111 6 M59 99000 000132 0000R 00001 00247 015 2112000 2024 CP1MG408 001 0000001</t>
  </si>
  <si>
    <t>5 1 2 4 8</t>
  </si>
  <si>
    <t>MATERIALES COMPLEMENTARIOS</t>
  </si>
  <si>
    <t>5 1 2 4 8 12</t>
  </si>
  <si>
    <t>5 1 2 4 8 12 31111</t>
  </si>
  <si>
    <t>5 1 2 4 8 12 31111 6</t>
  </si>
  <si>
    <t>5 1 2 4 8 12 31111 6 M59</t>
  </si>
  <si>
    <t>5 1 2 4 8 12 31111 6 M59 20400</t>
  </si>
  <si>
    <t>5 1 2 4 8 12 31111 6 M59 20400 000132</t>
  </si>
  <si>
    <t>5 1 2 4 8 12 31111 6 M59 20400 000132 0000R</t>
  </si>
  <si>
    <t>5 1 2 4 8 12 31111 6 M59 20400 000132 0000R 00001</t>
  </si>
  <si>
    <t>5 1 2 4 8 12 31111 6 M59 20400 000132 0000R 00001 00248</t>
  </si>
  <si>
    <t>MATERIALES COMPLEMENTARIOS.</t>
  </si>
  <si>
    <t>5 1 2 4 8 12 31111 6 M59 20400 000132 0000R 00001 00248 015</t>
  </si>
  <si>
    <t>5 1 2 4 8 12 31111 6 M59 20400 000132 0000R 00001 00248 015 2112000</t>
  </si>
  <si>
    <t>5 1 2 4 8 12 31111 6 M59 20400 000132 0000R 00001 00248 015 2112000 2024</t>
  </si>
  <si>
    <t>5 1 2 4 8 12 31111 6 M59 20400 000132 0000R 00001 00248 015 2112000 2024 CP1PV404</t>
  </si>
  <si>
    <t>5 1 2 4 8 12 31111 6 M59 20400 000132 0000R 00001 00248 015 2112000 2024 CP1PV404 001</t>
  </si>
  <si>
    <t>5 1 2 4 8 12 31111 6 M59 20400 000132 0000R 00001 00248 015 2112000 2024 CP1PV404 001 0000001</t>
  </si>
  <si>
    <t>5 1 2 4 8 12 31111 6 M59 99000</t>
  </si>
  <si>
    <t>5 1 2 4 8 12 31111 6 M59 99000 000132</t>
  </si>
  <si>
    <t>5 1 2 4 8 12 31111 6 M59 99000 000132 0000R</t>
  </si>
  <si>
    <t>5 1 2 4 8 12 31111 6 M59 99000 000132 0000R 00001</t>
  </si>
  <si>
    <t>5 1 2 4 8 12 31111 6 M59 99000 000132 0000R 00001 00248</t>
  </si>
  <si>
    <t>5 1 2 4 8 12 31111 6 M59 99000 000132 0000R 00001 00248 015</t>
  </si>
  <si>
    <t>5 1 2 4 8 12 31111 6 M59 99000 000132 0000R 00001 00248 015 2112000</t>
  </si>
  <si>
    <t>5 1 2 4 8 12 31111 6 M59 99000 000132 0000R 00001 00248 015 2112000 2024</t>
  </si>
  <si>
    <t>5 1 2 4 8 12 31111 6 M59 99000 000132 0000R 00001 00248 015 2112000 2024 CP1MG408</t>
  </si>
  <si>
    <t>5 1 2 4 8 12 31111 6 M59 99000 000132 0000R 00001 00248 015 2112000 2024 CP1MG408 001</t>
  </si>
  <si>
    <t>5 1 2 4 8 12 31111 6 M59 99000 000132 0000R 00001 00248 015 2112000 2024 CP1MG408 001 0000001</t>
  </si>
  <si>
    <t>REFACCIONES Y ACCESORIOS MENORES OTROS BIENES MUEBLES</t>
  </si>
  <si>
    <t>5 1 2 4 9</t>
  </si>
  <si>
    <t>OTROS MATERIALES Y ARTÍCULOS DE CONSTRUCCIÓN Y REPARACIÓN</t>
  </si>
  <si>
    <t>5 1 2 4 9 12</t>
  </si>
  <si>
    <t>5 1 2 4 9 12 31111</t>
  </si>
  <si>
    <t>5 1 2 4 9 12 31111 6</t>
  </si>
  <si>
    <t>5 1 2 4 9 12 31111 6 M59</t>
  </si>
  <si>
    <t>5 1 2 4 9 12 31111 6 M59 19000</t>
  </si>
  <si>
    <t>5 1 2 4 9 12 31111 6 M59 19000 000132</t>
  </si>
  <si>
    <t>5 1 2 4 9 12 31111 6 M59 19000 000132 0000R</t>
  </si>
  <si>
    <t>5 1 2 4 9 12 31111 6 M59 19000 000132 0000R 00001</t>
  </si>
  <si>
    <t>5 1 2 4 9 12 31111 6 M59 19000 000132 0000R 00001 00249</t>
  </si>
  <si>
    <t>OTROS MATERIALES Y ARTICULOS DE CONSTRUCCION Y REPARACION.</t>
  </si>
  <si>
    <t>5 1 2 4 9 12 31111 6 M59 19000 000132 0000R 00001 00249 011</t>
  </si>
  <si>
    <t>5 1 2 4 9 12 31111 6 M59 19000 000132 0000R 00001 00249 011 2112000</t>
  </si>
  <si>
    <t>5 1 2 4 9 12 31111 6 M59 19000 000132 0000R 00001 00249 011 2112000 2024</t>
  </si>
  <si>
    <t>5 1 2 4 9 12 31111 6 M59 19000 000132 0000R 00001 00249 011 2112000 2024 CP1TM440</t>
  </si>
  <si>
    <t>5 1 2 4 9 12 31111 6 M59 19000 000132 0000R 00001 00249 011 2112000 2024 CP1TM440 004</t>
  </si>
  <si>
    <t>5 1 2 4 9 12 31111 6 M59 19000 000132 0000R 00001 00249 011 2112000 2024 CP1TM440 004 0000001</t>
  </si>
  <si>
    <t>5 1 2 4 9 12 31111 6 M59 20400</t>
  </si>
  <si>
    <t>5 1 2 4 9 12 31111 6 M59 20400 000132</t>
  </si>
  <si>
    <t>5 1 2 4 9 12 31111 6 M59 20400 000132 0000R</t>
  </si>
  <si>
    <t>5 1 2 4 9 12 31111 6 M59 20400 000132 0000R 00001</t>
  </si>
  <si>
    <t>5 1 2 4 9 12 31111 6 M59 20400 000132 0000R 00001 00249</t>
  </si>
  <si>
    <t>5 1 2 4 9 12 31111 6 M59 20400 000132 0000R 00001 00249 015</t>
  </si>
  <si>
    <t>5 1 2 4 9 12 31111 6 M59 20400 000132 0000R 00001 00249 015 2112000</t>
  </si>
  <si>
    <t>5 1 2 4 9 12 31111 6 M59 20400 000132 0000R 00001 00249 015 2112000 2024</t>
  </si>
  <si>
    <t>5 1 2 4 9 12 31111 6 M59 20400 000132 0000R 00001 00249 015 2112000 2024 CP1PV404</t>
  </si>
  <si>
    <t>5 1 2 4 9 12 31111 6 M59 20400 000132 0000R 00001 00249 015 2112000 2024 CP1PV404 001</t>
  </si>
  <si>
    <t>5 1 2 4 9 12 31111 6 M59 20400 000132 0000R 00001 00249 015 2112000 2024 CP1PV404 001 0000001</t>
  </si>
  <si>
    <t>5 1 2 4 9 12 31111 6 M59 20500</t>
  </si>
  <si>
    <t>5 1 2 4 9 12 31111 6 M59 20500 000181</t>
  </si>
  <si>
    <t>5 1 2 4 9 12 31111 6 M59 20500 000181 0000E</t>
  </si>
  <si>
    <t>5 1 2 4 9 12 31111 6 M59 20500 000181 0000E 00001</t>
  </si>
  <si>
    <t>5 1 2 4 9 12 31111 6 M59 20500 000181 0000E 00001 00249</t>
  </si>
  <si>
    <t>5 1 2 4 9 12 31111 6 M59 20500 000181 0000E 00001 00249 011</t>
  </si>
  <si>
    <t>5 1 2 4 9 12 31111 6 M59 20500 000181 0000E 00001 00249 011 2112000</t>
  </si>
  <si>
    <t>5 1 2 4 9 12 31111 6 M59 20500 000181 0000E 00001 00249 011 2112000 2024</t>
  </si>
  <si>
    <t>5 1 2 4 9 12 31111 6 M59 20500 000181 0000E 00001 00249 011 2112000 2024 CP3CP471</t>
  </si>
  <si>
    <t>5 1 2 4 9 12 31111 6 M59 20500 000181 0000E 00001 00249 011 2112000 2024 CP3CP471 004</t>
  </si>
  <si>
    <t>5 1 2 4 9 12 31111 6 M59 20500 000181 0000E 00001 00249 011 2112000 2024 CP3CP471 004 0000001</t>
  </si>
  <si>
    <t>5 1 2 4 9 12 31111 6 M59 20700</t>
  </si>
  <si>
    <t>5 1 2 4 9 12 31111 6 M59 20700 000132</t>
  </si>
  <si>
    <t>5 1 2 4 9 12 31111 6 M59 20700 000132 0000R</t>
  </si>
  <si>
    <t>5 1 2 4 9 12 31111 6 M59 20700 000132 0000R 00001</t>
  </si>
  <si>
    <t>5 1 2 4 9 12 31111 6 M59 20700 000132 0000R 00001 00249</t>
  </si>
  <si>
    <t>5 1 2 4 9 12 31111 6 M59 20700 000132 0000R 00001 00249 015</t>
  </si>
  <si>
    <t>5 1 2 4 9 12 31111 6 M59 20700 000132 0000R 00001 00249 015 2112000</t>
  </si>
  <si>
    <t>5 1 2 4 9 12 31111 6 M59 20700 000132 0000R 00001 00249 015 2112000 2024</t>
  </si>
  <si>
    <t>5 1 2 4 9 12 31111 6 M59 20700 000132 0000R 00001 00249 015 2112000 2024 CP1RM401</t>
  </si>
  <si>
    <t>5 1 2 4 9 12 31111 6 M59 20700 000132 0000R 00001 00249 015 2112000 2024 CP1RM401 001</t>
  </si>
  <si>
    <t>5 1 2 4 9 12 31111 6 M59 20700 000132 0000R 00001 00249 015 2112000 2024 CP1RM401 001 0000001</t>
  </si>
  <si>
    <t>5 1 2 4 9 12 31111 6 M59 40000</t>
  </si>
  <si>
    <t>5 1 2 4 9 12 31111 6 M59 40000 000161</t>
  </si>
  <si>
    <t>5 1 2 4 9 12 31111 6 M59 40000 000161 0000E</t>
  </si>
  <si>
    <t>5 1 2 4 9 12 31111 6 M59 40000 000161 0000E 00001</t>
  </si>
  <si>
    <t>5 1 2 4 9 12 31111 6 M59 40000 000161 0000E 00001 00249</t>
  </si>
  <si>
    <t>5 1 2 4 9 12 31111 6 M59 40000 000161 0000E 00001 00249 025</t>
  </si>
  <si>
    <t>5 1 2 4 9 12 31111 6 M59 40000 000161 0000E 00001 00249 025 2112000</t>
  </si>
  <si>
    <t>5 1 2 4 9 12 31111 6 M59 40000 000161 0000E 00001 00249 025 2112000 2024</t>
  </si>
  <si>
    <t>5 1 2 4 9 12 31111 6 M59 40000 000161 0000E 00001 00249 025 2112000 2024 CP4SP372</t>
  </si>
  <si>
    <t>5 1 2 4 9 12 31111 6 M59 40000 000161 0000E 00001 00249 025 2112000 2024 CP4SP372 003</t>
  </si>
  <si>
    <t>5 1 2 4 9 12 31111 6 M59 40000 000161 0000E 00001 00249 025 2112000 2024 CP4SP372 003 0000001</t>
  </si>
  <si>
    <t>OTROS MATERIALES Y ARTICULOS DE CONSTRUCCION Y REPARACION</t>
  </si>
  <si>
    <t>5 1 2 4 9 12 31111 6 M59 50000</t>
  </si>
  <si>
    <t>5 1 2 4 9 12 31111 6 M59 50000 000223</t>
  </si>
  <si>
    <t>5 1 2 4 9 12 31111 6 M59 50000 000223 0000E</t>
  </si>
  <si>
    <t>5 1 2 4 9 12 31111 6 M59 50000 000223 0000E 00001</t>
  </si>
  <si>
    <t>5 1 2 4 9 12 31111 6 M59 50000 000223 0000E 00001 00249</t>
  </si>
  <si>
    <t>5 1 2 4 9 12 31111 6 M59 50000 000223 0000E 00001 00249 015</t>
  </si>
  <si>
    <t>5 1 2 4 9 12 31111 6 M59 50000 000223 0000E 00001 00249 015 2112000</t>
  </si>
  <si>
    <t>5 1 2 4 9 12 31111 6 M59 50000 000223 0000E 00001 00249 015 2112000 2024</t>
  </si>
  <si>
    <t>5 1 2 4 9 12 31111 6 M59 50000 000223 0000E 00001 00249 015 2112000 2024 CP1DA424</t>
  </si>
  <si>
    <t>5 1 2 4 9 12 31111 6 M59 50000 000223 0000E 00001 00249 015 2112000 2024 CP1DA424 001</t>
  </si>
  <si>
    <t>5 1 2 4 9 12 31111 6 M59 50000 000223 0000E 00001 00249 015 2112000 2024 CP1DA424 001 0000001</t>
  </si>
  <si>
    <t>5 1 2 4 9 12 31111 6 M59 60100</t>
  </si>
  <si>
    <t>5 1 2 4 9 12 31111 6 M59 60100 000132</t>
  </si>
  <si>
    <t>5 1 2 4 9 12 31111 6 M59 60100 000132 0000R</t>
  </si>
  <si>
    <t>5 1 2 4 9 12 31111 6 M59 60100 000132 0000R 00001</t>
  </si>
  <si>
    <t>5 1 2 4 9 12 31111 6 M59 60100 000132 0000R 00001 00249</t>
  </si>
  <si>
    <t>5 1 2 4 9 12 31111 6 M59 60100 000132 0000R 00001 00249 015</t>
  </si>
  <si>
    <t>5 1 2 4 9 12 31111 6 M59 60100 000132 0000R 00001 00249 015 2112000</t>
  </si>
  <si>
    <t>5 1 2 4 9 12 31111 6 M59 60100 000132 0000R 00001 00249 015 2112000 2024</t>
  </si>
  <si>
    <t>5 1 2 4 9 12 31111 6 M59 60100 000132 0000R 00001 00249 015 2112000 2024 CP1DM394</t>
  </si>
  <si>
    <t>5 1 2 4 9 12 31111 6 M59 60100 000132 0000R 00001 00249 015 2112000 2024 CP1DM394 001</t>
  </si>
  <si>
    <t>5 1 2 4 9 12 31111 6 M59 60100 000132 0000R 00001 00249 015 2112000 2024 CP1DM394 001 0000001</t>
  </si>
  <si>
    <t>5 1 2 4 9 12 31111 6 M59 70400</t>
  </si>
  <si>
    <t>5 1 2 4 9 12 31111 6 M59 70400 000241</t>
  </si>
  <si>
    <t>5 1 2 4 9 12 31111 6 M59 70400 000241 0000R</t>
  </si>
  <si>
    <t>5 1 2 4 9 12 31111 6 M59 70400 000241 0000R 00001</t>
  </si>
  <si>
    <t>5 1 2 4 9 12 31111 6 M59 70400 000241 0000R 00001 00249</t>
  </si>
  <si>
    <t>5 1 2 4 9 12 31111 6 M59 70400 000241 0000R 00001 00249 015</t>
  </si>
  <si>
    <t>5 1 2 4 9 12 31111 6 M59 70400 000241 0000R 00001 00249 015 2112000</t>
  </si>
  <si>
    <t>5 1 2 4 9 12 31111 6 M59 70400 000241 0000R 00001 00249 015 2112000 2024</t>
  </si>
  <si>
    <t>5 1 2 4 9 12 31111 6 M59 70400 000241 0000R 00001 00249 015 2112000 2024 CP1DD418</t>
  </si>
  <si>
    <t>5 1 2 4 9 12 31111 6 M59 70400 000241 0000R 00001 00249 015 2112000 2024 CP1DD418 001</t>
  </si>
  <si>
    <t>5 1 2 4 9 12 31111 6 M59 70400 000241 0000R 00001 00249 015 2112000 2024 CP1DD418 001 0000001</t>
  </si>
  <si>
    <t>5 1 2 4 9 12 31111 6 M59 96100</t>
  </si>
  <si>
    <t>5 1 2 4 9 12 31111 6 M59 96100 000211</t>
  </si>
  <si>
    <t>5 1 2 4 9 12 31111 6 M59 96100 000211 0000U</t>
  </si>
  <si>
    <t>5 1 2 4 9 12 31111 6 M59 96100 000211 0000U 00001</t>
  </si>
  <si>
    <t>5 1 2 4 9 12 31111 6 M59 96100 000211 0000U 00001 00249</t>
  </si>
  <si>
    <t>5 1 2 4 9 12 31111 6 M59 96100 000211 0000U 00001 00249 015</t>
  </si>
  <si>
    <t>5 1 2 4 9 12 31111 6 M59 96100 000211 0000U 00001 00249 015 2112000</t>
  </si>
  <si>
    <t>5 1 2 4 9 12 31111 6 M59 96100 000211 0000U 00001 00249 015 2112000 2024</t>
  </si>
  <si>
    <t>5 1 2 4 9 12 31111 6 M59 96100 000211 0000U 00001 00249 015 2112000 2024 CP1IU412</t>
  </si>
  <si>
    <t>5 1 2 4 9 12 31111 6 M59 96100 000211 0000U 00001 00249 015 2112000 2024 CP1IU412 001</t>
  </si>
  <si>
    <t>5 1 2 4 9 12 31111 6 M59 96100 000211 0000U 00001 00249 015 2112000 2024 CP1IU412 001 0000001</t>
  </si>
  <si>
    <t>5 1 2 4 9 12 31111 6 M59 96200</t>
  </si>
  <si>
    <t>5 1 2 4 9 12 31111 6 M59 96200 000132</t>
  </si>
  <si>
    <t>5 1 2 4 9 12 31111 6 M59 96200 000132 0000R</t>
  </si>
  <si>
    <t>5 1 2 4 9 12 31111 6 M59 96200 000132 0000R 00001</t>
  </si>
  <si>
    <t>5 1 2 4 9 12 31111 6 M59 96200 000132 0000R 00001 00249</t>
  </si>
  <si>
    <t>5 1 2 4 9 12 31111 6 M59 96200 000132 0000R 00001 00249 015</t>
  </si>
  <si>
    <t>5 1 2 4 9 12 31111 6 M59 96200 000132 0000R 00001 00249 015 2112000</t>
  </si>
  <si>
    <t>5 1 2 4 9 12 31111 6 M59 96200 000132 0000R 00001 00249 015 2112000 2024</t>
  </si>
  <si>
    <t>5 1 2 4 9 12 31111 6 M59 96200 000132 0000R 00001 00249 015 2112000 2024 CP1AL423</t>
  </si>
  <si>
    <t>5 1 2 4 9 12 31111 6 M59 96200 000132 0000R 00001 00249 015 2112000 2024 CP1AL423 001</t>
  </si>
  <si>
    <t>5 1 2 4 9 12 31111 6 M59 96200 000132 0000R 00001 00249 015 2112000 2024 CP1AL423 001 0000001</t>
  </si>
  <si>
    <t>5 1 2 4 9 12 31111 6 M59 96300</t>
  </si>
  <si>
    <t>5 1 2 4 9 12 31111 6 M59 96300 000211</t>
  </si>
  <si>
    <t>5 1 2 4 9 12 31111 6 M59 96300 000211 0000E</t>
  </si>
  <si>
    <t>5 1 2 4 9 12 31111 6 M59 96300 000211 0000E 00001</t>
  </si>
  <si>
    <t>5 1 2 4 9 12 31111 6 M59 96300 000211 0000E 00001 00249</t>
  </si>
  <si>
    <t>5 1 2 4 9 12 31111 6 M59 96300 000211 0000E 00001 00249 015</t>
  </si>
  <si>
    <t>5 1 2 4 9 12 31111 6 M59 96300 000211 0000E 00001 00249 015 2112000</t>
  </si>
  <si>
    <t>5 1 2 4 9 12 31111 6 M59 96300 000211 0000E 00001 00249 015 2112000 2024</t>
  </si>
  <si>
    <t>5 1 2 4 9 12 31111 6 M59 96300 000211 0000E 00001 00249 015 2112000 2024 CP1SB396</t>
  </si>
  <si>
    <t>5 1 2 4 9 12 31111 6 M59 96300 000211 0000E 00001 00249 015 2112000 2024 CP1SB396 001</t>
  </si>
  <si>
    <t>5 1 2 4 9 12 31111 6 M59 96300 000211 0000E 00001 00249 015 2112000 2024 CP1SB396 001 0000001</t>
  </si>
  <si>
    <t>5 1 2 4 9 12 31111 6 M59 99000</t>
  </si>
  <si>
    <t>5 1 2 4 9 12 31111 6 M59 99000 000132</t>
  </si>
  <si>
    <t>5 1 2 4 9 12 31111 6 M59 99000 000132 0000R</t>
  </si>
  <si>
    <t>5 1 2 4 9 12 31111 6 M59 99000 000132 0000R 00001</t>
  </si>
  <si>
    <t>5 1 2 4 9 12 31111 6 M59 99000 000132 0000R 00001 00249</t>
  </si>
  <si>
    <t>5 1 2 4 9 12 31111 6 M59 99000 000132 0000R 00001 00249 015</t>
  </si>
  <si>
    <t>5 1 2 4 9 12 31111 6 M59 99000 000132 0000R 00001 00249 015 2112000</t>
  </si>
  <si>
    <t>5 1 2 4 9 12 31111 6 M59 99000 000132 0000R 00001 00249 015 2112000 2024</t>
  </si>
  <si>
    <t>5 1 2 4 9 12 31111 6 M59 99000 000132 0000R 00001 00249 015 2112000 2024 CP1MG408</t>
  </si>
  <si>
    <t>5 1 2 4 9 12 31111 6 M59 99000 000132 0000R 00001 00249 015 2112000 2024 CP1MG408 001</t>
  </si>
  <si>
    <t>5 1 2 4 9 12 31111 6 M59 99000 000132 0000R 00001 00249 015 2112000 2024 CP1MG408 001 0000001</t>
  </si>
  <si>
    <t>5 1 2 5</t>
  </si>
  <si>
    <t>5 1 2 5 1</t>
  </si>
  <si>
    <t>PRODUCTOS QUÍMICOS BÁSICOS</t>
  </si>
  <si>
    <t>5 1 2 5 1 12</t>
  </si>
  <si>
    <t>5 1 2 5 1 12 31111</t>
  </si>
  <si>
    <t>5 1 2 5 1 12 31111 6</t>
  </si>
  <si>
    <t>5 1 2 5 1 12 31111 6 M59</t>
  </si>
  <si>
    <t>5 1 2 5 1 12 31111 6 M59 50000</t>
  </si>
  <si>
    <t>5 1 2 5 1 12 31111 6 M59 50000 000223</t>
  </si>
  <si>
    <t>5 1 2 5 1 12 31111 6 M59 50000 000223 0000E</t>
  </si>
  <si>
    <t>5 1 2 5 1 12 31111 6 M59 50000 000223 0000E 00001</t>
  </si>
  <si>
    <t>5 1 2 5 1 12 31111 6 M59 50000 000223 0000E 00001 00251</t>
  </si>
  <si>
    <t>PRODUCTOS QUIMICOS BASICOS.</t>
  </si>
  <si>
    <t>5 1 2 5 1 12 31111 6 M59 50000 000223 0000E 00001 00251 015</t>
  </si>
  <si>
    <t>5 1 2 5 1 12 31111 6 M59 50000 000223 0000E 00001 00251 015 2112000</t>
  </si>
  <si>
    <t>5 1 2 5 1 12 31111 6 M59 50000 000223 0000E 00001 00251 015 2112000 2024</t>
  </si>
  <si>
    <t>5 1 2 5 1 12 31111 6 M59 50000 000223 0000E 00001 00251 015 2112000 2024 CP1DA424</t>
  </si>
  <si>
    <t>5 1 2 5 1 12 31111 6 M59 50000 000223 0000E 00001 00251 015 2112000 2024 CP1DA424 001</t>
  </si>
  <si>
    <t>5 1 2 5 1 12 31111 6 M59 50000 000223 0000E 00001 00251 015 2112000 2024 CP1DA424 001 0000001</t>
  </si>
  <si>
    <t>5 1 2 5 1 12 31111 6 M59 99000</t>
  </si>
  <si>
    <t>5 1 2 5 1 12 31111 6 M59 99000 000132</t>
  </si>
  <si>
    <t>5 1 2 5 1 12 31111 6 M59 99000 000132 0000R</t>
  </si>
  <si>
    <t>5 1 2 5 1 12 31111 6 M59 99000 000132 0000R 00001</t>
  </si>
  <si>
    <t>5 1 2 5 1 12 31111 6 M59 99000 000132 0000R 00001 00251</t>
  </si>
  <si>
    <t>5 1 2 5 1 12 31111 6 M59 99000 000132 0000R 00001 00251 015</t>
  </si>
  <si>
    <t>5 1 2 5 1 12 31111 6 M59 99000 000132 0000R 00001 00251 015 2112000</t>
  </si>
  <si>
    <t>5 1 2 5 1 12 31111 6 M59 99000 000132 0000R 00001 00251 015 2112000 2024</t>
  </si>
  <si>
    <t>5 1 2 5 1 12 31111 6 M59 99000 000132 0000R 00001 00251 015 2112000 2024 CP1MG408</t>
  </si>
  <si>
    <t>5 1 2 5 1 12 31111 6 M59 99000 000132 0000R 00001 00251 015 2112000 2024 CP1MG408 001</t>
  </si>
  <si>
    <t>5 1 2 5 1 12 31111 6 M59 99000 000132 0000R 00001 00251 015 2112000 2024 CP1MG408 001 0000001</t>
  </si>
  <si>
    <t>5 1 2 5 5</t>
  </si>
  <si>
    <t>MATERIALES, ACCESORIOS Y SUMINISTROS DE LABORATORIO</t>
  </si>
  <si>
    <t>5 1 2 5 5 12</t>
  </si>
  <si>
    <t>5 1 2 5 5 12 31111</t>
  </si>
  <si>
    <t>5 1 2 5 5 12 31111 6</t>
  </si>
  <si>
    <t>5 1 2 5 5 12 31111 6 M59</t>
  </si>
  <si>
    <t>5 1 2 5 5 12 31111 6 M59 96200</t>
  </si>
  <si>
    <t>5 1 2 5 5 12 31111 6 M59 96200 000132</t>
  </si>
  <si>
    <t>5 1 2 5 5 12 31111 6 M59 96200 000132 0000R</t>
  </si>
  <si>
    <t>5 1 2 5 5 12 31111 6 M59 96200 000132 0000R 00001</t>
  </si>
  <si>
    <t>5 1 2 5 5 12 31111 6 M59 96200 000132 0000R 00001 00255</t>
  </si>
  <si>
    <t>MATERIALES, ACCESORIOS Y SUMINISTROS DE LABORATORIO.</t>
  </si>
  <si>
    <t>5 1 2 5 5 12 31111 6 M59 96200 000132 0000R 00001 00255 015</t>
  </si>
  <si>
    <t>5 1 2 5 5 12 31111 6 M59 96200 000132 0000R 00001 00255 015 2112000</t>
  </si>
  <si>
    <t>5 1 2 5 5 12 31111 6 M59 96200 000132 0000R 00001 00255 015 2112000 2024</t>
  </si>
  <si>
    <t>5 1 2 5 5 12 31111 6 M59 96200 000132 0000R 00001 00255 015 2112000 2024 CP1AL423</t>
  </si>
  <si>
    <t>5 1 2 5 5 12 31111 6 M59 96200 000132 0000R 00001 00255 015 2112000 2024 CP1AL423 001</t>
  </si>
  <si>
    <t>5 1 2 5 5 12 31111 6 M59 96200 000132 0000R 00001 00255 015 2112000 2024 CP1AL423 001 0000001</t>
  </si>
  <si>
    <t>5 1 2 5 5 12 31111 6 M59 99000</t>
  </si>
  <si>
    <t>5 1 2 5 5 12 31111 6 M59 99000 000132</t>
  </si>
  <si>
    <t>5 1 2 5 5 12 31111 6 M59 99000 000132 0000R</t>
  </si>
  <si>
    <t>5 1 2 5 5 12 31111 6 M59 99000 000132 0000R 00001</t>
  </si>
  <si>
    <t>5 1 2 5 5 12 31111 6 M59 99000 000132 0000R 00001 00255</t>
  </si>
  <si>
    <t>5 1 2 5 5 12 31111 6 M59 99000 000132 0000R 00001 00255 015</t>
  </si>
  <si>
    <t>5 1 2 5 5 12 31111 6 M59 99000 000132 0000R 00001 00255 015 2112000</t>
  </si>
  <si>
    <t>5 1 2 5 5 12 31111 6 M59 99000 000132 0000R 00001 00255 015 2112000 2024</t>
  </si>
  <si>
    <t>5 1 2 5 5 12 31111 6 M59 99000 000132 0000R 00001 00255 015 2112000 2024 CP1MG408</t>
  </si>
  <si>
    <t>5 1 2 5 5 12 31111 6 M59 99000 000132 0000R 00001 00255 015 2112000 2024 CP1MG408 001</t>
  </si>
  <si>
    <t>5 1 2 5 5 12 31111 6 M59 99000 000132 0000R 00001 00255 015 2112000 2024 CP1MG408 001 0000001</t>
  </si>
  <si>
    <t>5 1 2 5 6</t>
  </si>
  <si>
    <t>FIBRAS SINTÉTICAS, HULES, PLÁSTICOS Y DERIVADOS</t>
  </si>
  <si>
    <t>5 1 2 5 6 12</t>
  </si>
  <si>
    <t>5 1 2 5 6 12 31111</t>
  </si>
  <si>
    <t>5 1 2 5 6 12 31111 6</t>
  </si>
  <si>
    <t>5 1 2 5 6 12 31111 6 M59</t>
  </si>
  <si>
    <t>5 1 2 5 6 12 31111 6 M59 19000</t>
  </si>
  <si>
    <t>5 1 2 5 6 12 31111 6 M59 19000 000132</t>
  </si>
  <si>
    <t>5 1 2 5 6 12 31111 6 M59 19000 000132 0000R</t>
  </si>
  <si>
    <t>5 1 2 5 6 12 31111 6 M59 19000 000132 0000R 00001</t>
  </si>
  <si>
    <t>5 1 2 5 6 12 31111 6 M59 19000 000132 0000R 00001 00256</t>
  </si>
  <si>
    <t>FIBRAS SINTETICAS, HULES, PLASTICOS Y DERIVADOS.</t>
  </si>
  <si>
    <t>5 1 2 5 6 12 31111 6 M59 19000 000132 0000R 00001 00256 015</t>
  </si>
  <si>
    <t>5 1 2 5 6 12 31111 6 M59 19000 000132 0000R 00001 00256 015 2112000</t>
  </si>
  <si>
    <t>5 1 2 5 6 12 31111 6 M59 19000 000132 0000R 00001 00256 015 2112000 2024</t>
  </si>
  <si>
    <t>5 1 2 5 6 12 31111 6 M59 19000 000132 0000R 00001 00256 015 2112000 2024 CP1TM440</t>
  </si>
  <si>
    <t>5 1 2 5 6 12 31111 6 M59 19000 000132 0000R 00001 00256 015 2112000 2024 CP1TM440 001</t>
  </si>
  <si>
    <t>5 1 2 5 6 12 31111 6 M59 19000 000132 0000R 00001 00256 015 2112000 2024 CP1TM440 001 0000001</t>
  </si>
  <si>
    <t>FIBRAS SINTETICAS, HULES, PLASTICOS Y DERIVADOS</t>
  </si>
  <si>
    <t>5 1 2 5 6 12 31111 6 M59 40000</t>
  </si>
  <si>
    <t>5 1 2 5 6 12 31111 6 M59 40000 000161</t>
  </si>
  <si>
    <t>5 1 2 5 6 12 31111 6 M59 40000 000161 0000E</t>
  </si>
  <si>
    <t>5 1 2 5 6 12 31111 6 M59 40000 000161 0000E 00001</t>
  </si>
  <si>
    <t>5 1 2 5 6 12 31111 6 M59 40000 000161 0000E 00001 00256</t>
  </si>
  <si>
    <t>5 1 2 5 6 12 31111 6 M59 40000 000161 0000E 00001 00256 025</t>
  </si>
  <si>
    <t>5 1 2 5 6 12 31111 6 M59 40000 000161 0000E 00001 00256 025 2112000</t>
  </si>
  <si>
    <t>5 1 2 5 6 12 31111 6 M59 40000 000161 0000E 00001 00256 025 2112000 2024</t>
  </si>
  <si>
    <t>5 1 2 5 6 12 31111 6 M59 40000 000161 0000E 00001 00256 025 2112000 2024 CP4SP372</t>
  </si>
  <si>
    <t>5 1 2 5 6 12 31111 6 M59 40000 000161 0000E 00001 00256 025 2112000 2024 CP4SP372 003</t>
  </si>
  <si>
    <t>5 1 2 5 6 12 31111 6 M59 40000 000161 0000E 00001 00256 025 2112000 2024 CP4SP372 003 0000001</t>
  </si>
  <si>
    <t>5 1 2 5 6 12 31111 6 M59 50000</t>
  </si>
  <si>
    <t>5 1 2 5 6 12 31111 6 M59 50000 000223</t>
  </si>
  <si>
    <t>5 1 2 5 6 12 31111 6 M59 50000 000223 0000E</t>
  </si>
  <si>
    <t>5 1 2 5 6 12 31111 6 M59 50000 000223 0000E 00001</t>
  </si>
  <si>
    <t>5 1 2 5 6 12 31111 6 M59 50000 000223 0000E 00001 00256</t>
  </si>
  <si>
    <t>5 1 2 5 6 12 31111 6 M59 50000 000223 0000E 00001 00256 015</t>
  </si>
  <si>
    <t>5 1 2 5 6 12 31111 6 M59 50000 000223 0000E 00001 00256 015 2112000</t>
  </si>
  <si>
    <t>5 1 2 5 6 12 31111 6 M59 50000 000223 0000E 00001 00256 015 2112000 2024</t>
  </si>
  <si>
    <t>5 1 2 5 6 12 31111 6 M59 50000 000223 0000E 00001 00256 015 2112000 2024 CP1DA424</t>
  </si>
  <si>
    <t>5 1 2 5 6 12 31111 6 M59 50000 000223 0000E 00001 00256 015 2112000 2024 CP1DA424 001</t>
  </si>
  <si>
    <t>5 1 2 5 6 12 31111 6 M59 50000 000223 0000E 00001 00256 015 2112000 2024 CP1DA424 001 0000001</t>
  </si>
  <si>
    <t>5 1 2 6</t>
  </si>
  <si>
    <t>5 1 2 6 1</t>
  </si>
  <si>
    <t>5 1 2 6 1 12</t>
  </si>
  <si>
    <t>5 1 2 6 1 12 31111</t>
  </si>
  <si>
    <t>5 1 2 6 1 12 31111 6</t>
  </si>
  <si>
    <t>5 1 2 6 1 12 31111 6 M59</t>
  </si>
  <si>
    <t>5 1 2 6 1 12 31111 6 M59 10000</t>
  </si>
  <si>
    <t>5 1 2 6 1 12 31111 6 M59 10000 000132</t>
  </si>
  <si>
    <t>5 1 2 6 1 12 31111 6 M59 10000 000132 0000R</t>
  </si>
  <si>
    <t>5 1 2 6 1 12 31111 6 M59 10000 000132 0000R 00001</t>
  </si>
  <si>
    <t>5 1 2 6 1 12 31111 6 M59 10000 000132 0000R 00001 00261</t>
  </si>
  <si>
    <t>COMBUSTIBLES, LUBRICANTES Y ADITIVOS.</t>
  </si>
  <si>
    <t>5 1 2 6 1 12 31111 6 M59 10000 000132 0000R 00001 00261 015</t>
  </si>
  <si>
    <t>5 1 2 6 1 12 31111 6 M59 10000 000132 0000R 00001 00261 015 2112000</t>
  </si>
  <si>
    <t>5 1 2 6 1 12 31111 6 M59 10000 000132 0000R 00001 00261 015 2112000 2024</t>
  </si>
  <si>
    <t>5 1 2 6 1 12 31111 6 M59 10000 000132 0000R 00001 00261 015 2112000 2024 CP1PM439</t>
  </si>
  <si>
    <t>5 1 2 6 1 12 31111 6 M59 10000 000132 0000R 00001 00261 015 2112000 2024 CP1PM439 001</t>
  </si>
  <si>
    <t>5 1 2 6 1 12 31111 6 M59 10000 000132 0000R 00001 00261 015 2112000 2024 CP1PM439 001 0000001</t>
  </si>
  <si>
    <t>5 1 2 6 1 12 31111 6 M59 10000 000132 0000R 00001 00261 025</t>
  </si>
  <si>
    <t>5 1 2 6 1 12 31111 6 M59 10000 000132 0000R 00001 00261 025 2112000</t>
  </si>
  <si>
    <t>5 1 2 6 1 12 31111 6 M59 10000 000132 0000R 00001 00261 025 2112000 2024</t>
  </si>
  <si>
    <t>5 1 2 6 1 12 31111 6 M59 10000 000132 0000R 00001 00261 025 2112000 2024 CP1PM439</t>
  </si>
  <si>
    <t>5 1 2 6 1 12 31111 6 M59 10000 000132 0000R 00001 00261 025 2112000 2024 CP1PM439 003</t>
  </si>
  <si>
    <t>5 1 2 6 1 12 31111 6 M59 10000 000132 0000R 00001 00261 025 2112000 2024 CP1PM439 003 0000001</t>
  </si>
  <si>
    <t>5 1 2 6 1 12 31111 6 M59 19000</t>
  </si>
  <si>
    <t>5 1 2 6 1 12 31111 6 M59 19000 000132</t>
  </si>
  <si>
    <t>5 1 2 6 1 12 31111 6 M59 19000 000132 0000R</t>
  </si>
  <si>
    <t>5 1 2 6 1 12 31111 6 M59 19000 000132 0000R 00001</t>
  </si>
  <si>
    <t>5 1 2 6 1 12 31111 6 M59 19000 000132 0000R 00001 00261</t>
  </si>
  <si>
    <t>5 1 2 6 1 12 31111 6 M59 19000 000132 0000R 00001 00261 011</t>
  </si>
  <si>
    <t>5 1 2 6 1 12 31111 6 M59 19000 000132 0000R 00001 00261 011 2112000</t>
  </si>
  <si>
    <t>5 1 2 6 1 12 31111 6 M59 19000 000132 0000R 00001 00261 011 2112000 2024</t>
  </si>
  <si>
    <t>5 1 2 6 1 12 31111 6 M59 19000 000132 0000R 00001 00261 011 2112000 2024 CP1TM440</t>
  </si>
  <si>
    <t>5 1 2 6 1 12 31111 6 M59 19000 000132 0000R 00001 00261 011 2112000 2024 CP1TM440 004</t>
  </si>
  <si>
    <t>5 1 2 6 1 12 31111 6 M59 19000 000132 0000R 00001 00261 011 2112000 2024 CP1TM440 004 0000001</t>
  </si>
  <si>
    <t>5 1 2 6 1 12 31111 6 M59 20000</t>
  </si>
  <si>
    <t>5 1 2 6 1 12 31111 6 M59 20000 000132</t>
  </si>
  <si>
    <t>5 1 2 6 1 12 31111 6 M59 20000 000132 0000R</t>
  </si>
  <si>
    <t>5 1 2 6 1 12 31111 6 M59 20000 000132 0000R 00001</t>
  </si>
  <si>
    <t>5 1 2 6 1 12 31111 6 M59 20000 000132 0000R 00001 00261</t>
  </si>
  <si>
    <t>5 1 2 6 1 12 31111 6 M59 20000 000132 0000R 00001 00261 015</t>
  </si>
  <si>
    <t>5 1 2 6 1 12 31111 6 M59 20000 000132 0000R 00001 00261 015 2112000</t>
  </si>
  <si>
    <t>5 1 2 6 1 12 31111 6 M59 20000 000132 0000R 00001 00261 015 2112000 2024</t>
  </si>
  <si>
    <t>5 1 2 6 1 12 31111 6 M59 20000 000132 0000R 00001 00261 015 2112000 2024 CP1AF389</t>
  </si>
  <si>
    <t>5 1 2 6 1 12 31111 6 M59 20000 000132 0000R 00001 00261 015 2112000 2024 CP1AF389 001</t>
  </si>
  <si>
    <t>5 1 2 6 1 12 31111 6 M59 20000 000132 0000R 00001 00261 015 2112000 2024 CP1AF389 001 0000001</t>
  </si>
  <si>
    <t>5 1 2 6 1 12 31111 6 M59 20300</t>
  </si>
  <si>
    <t>5 1 2 6 1 12 31111 6 M59 20300 000132</t>
  </si>
  <si>
    <t>5 1 2 6 1 12 31111 6 M59 20300 000132 0000R</t>
  </si>
  <si>
    <t>5 1 2 6 1 12 31111 6 M59 20300 000132 0000R 00001</t>
  </si>
  <si>
    <t>5 1 2 6 1 12 31111 6 M59 20300 000132 0000R 00001 00261</t>
  </si>
  <si>
    <t>5 1 2 6 1 12 31111 6 M59 20300 000132 0000R 00001 00261 015</t>
  </si>
  <si>
    <t>5 1 2 6 1 12 31111 6 M59 20300 000132 0000R 00001 00261 015 2112000</t>
  </si>
  <si>
    <t>5 1 2 6 1 12 31111 6 M59 20300 000132 0000R 00001 00261 015 2112000 2024</t>
  </si>
  <si>
    <t>5 1 2 6 1 12 31111 6 M59 20300 000132 0000R 00001 00261 015 2112000 2024 CP1DE415</t>
  </si>
  <si>
    <t>5 1 2 6 1 12 31111 6 M59 20300 000132 0000R 00001 00261 015 2112000 2024 CP1DE415 001</t>
  </si>
  <si>
    <t>5 1 2 6 1 12 31111 6 M59 20300 000132 0000R 00001 00261 015 2112000 2024 CP1DE415 001 0000001</t>
  </si>
  <si>
    <t>5 1 2 6 1 12 31111 6 M59 20300 000139</t>
  </si>
  <si>
    <t>5 1 2 6 1 12 31111 6 M59 20300 000139 0000E</t>
  </si>
  <si>
    <t>5 1 2 6 1 12 31111 6 M59 20300 000139 0000E 00001</t>
  </si>
  <si>
    <t>5 1 2 6 1 12 31111 6 M59 20300 000139 0000E 00001 00261</t>
  </si>
  <si>
    <t>5 1 2 6 1 12 31111 6 M59 20300 000139 0000E 00001 00261 015</t>
  </si>
  <si>
    <t>5 1 2 6 1 12 31111 6 M59 20300 000139 0000E 00001 00261 015 2112000</t>
  </si>
  <si>
    <t>5 1 2 6 1 12 31111 6 M59 20300 000139 0000E 00001 00261 015 2112000 2024</t>
  </si>
  <si>
    <t>5 1 2 6 1 12 31111 6 M59 20300 000139 0000E 00001 00261 015 2112000 2024 CP2DE533</t>
  </si>
  <si>
    <t>5 1 2 6 1 12 31111 6 M59 20300 000139 0000E 00001 00261 015 2112000 2024 CP2DE533 005</t>
  </si>
  <si>
    <t>5 1 2 6 1 12 31111 6 M59 20300 000139 0000E 00001 00261 015 2112000 2024 CP2DE533 005 0000001</t>
  </si>
  <si>
    <t>5 1 2 6 1 12 31111 6 M59 20400</t>
  </si>
  <si>
    <t>5 1 2 6 1 12 31111 6 M59 20400 000132</t>
  </si>
  <si>
    <t>5 1 2 6 1 12 31111 6 M59 20400 000132 0000R</t>
  </si>
  <si>
    <t>5 1 2 6 1 12 31111 6 M59 20400 000132 0000R 00001</t>
  </si>
  <si>
    <t>5 1 2 6 1 12 31111 6 M59 20400 000132 0000R 00001 00261</t>
  </si>
  <si>
    <t>5 1 2 6 1 12 31111 6 M59 20400 000132 0000R 00001 00261 015</t>
  </si>
  <si>
    <t>5 1 2 6 1 12 31111 6 M59 20400 000132 0000R 00001 00261 015 2112000</t>
  </si>
  <si>
    <t>5 1 2 6 1 12 31111 6 M59 20400 000132 0000R 00001 00261 015 2112000 2024</t>
  </si>
  <si>
    <t>5 1 2 6 1 12 31111 6 M59 20400 000132 0000R 00001 00261 015 2112000 2024 CP1PV404</t>
  </si>
  <si>
    <t>5 1 2 6 1 12 31111 6 M59 20400 000132 0000R 00001 00261 015 2112000 2024 CP1PV404 001</t>
  </si>
  <si>
    <t>5 1 2 6 1 12 31111 6 M59 20400 000132 0000R 00001 00261 015 2112000 2024 CP1PV404 001 0000001</t>
  </si>
  <si>
    <t>COMBUSTIBLE, LUBRICANTES Y ADITIVOS</t>
  </si>
  <si>
    <t>5 1 2 6 1 12 31111 6 M59 20400 000139</t>
  </si>
  <si>
    <t>5 1 2 6 1 12 31111 6 M59 20400 000139 0000E</t>
  </si>
  <si>
    <t>5 1 2 6 1 12 31111 6 M59 20400 000139 0000E 00001</t>
  </si>
  <si>
    <t>5 1 2 6 1 12 31111 6 M59 20400 000139 0000E 00001 00261</t>
  </si>
  <si>
    <t>5 1 2 6 1 12 31111 6 M59 20400 000139 0000E 00001 00261 015</t>
  </si>
  <si>
    <t>5 1 2 6 1 12 31111 6 M59 20400 000139 0000E 00001 00261 015 2112000</t>
  </si>
  <si>
    <t>5 1 2 6 1 12 31111 6 M59 20400 000139 0000E 00001 00261 015 2112000 2024</t>
  </si>
  <si>
    <t>5 1 2 6 1 12 31111 6 M59 20400 000139 0000E 00001 00261 015 2112000 2024 CP2PV529</t>
  </si>
  <si>
    <t>MATENIMIENTO DEL PARQUE VEHÍCULAR</t>
  </si>
  <si>
    <t>5 1 2 6 1 12 31111 6 M59 20400 000139 0000E 00001 00261 015 2112000 2024 CP2PV529 005</t>
  </si>
  <si>
    <t>5 1 2 6 1 12 31111 6 M59 20400 000139 0000E 00001 00261 015 2112000 2024 CP2PV529 005 0000001</t>
  </si>
  <si>
    <t>5 1 2 6 1 12 31111 6 M59 20700</t>
  </si>
  <si>
    <t>5 1 2 6 1 12 31111 6 M59 20700 000132</t>
  </si>
  <si>
    <t>5 1 2 6 1 12 31111 6 M59 20700 000132 0000R</t>
  </si>
  <si>
    <t>5 1 2 6 1 12 31111 6 M59 20700 000132 0000R 00001</t>
  </si>
  <si>
    <t>5 1 2 6 1 12 31111 6 M59 20700 000132 0000R 00001 00261</t>
  </si>
  <si>
    <t>5 1 2 6 1 12 31111 6 M59 20700 000132 0000R 00001 00261 015</t>
  </si>
  <si>
    <t>5 1 2 6 1 12 31111 6 M59 20700 000132 0000R 00001 00261 015 2112000</t>
  </si>
  <si>
    <t>5 1 2 6 1 12 31111 6 M59 20700 000132 0000R 00001 00261 015 2112000 2024</t>
  </si>
  <si>
    <t>5 1 2 6 1 12 31111 6 M59 20700 000132 0000R 00001 00261 015 2112000 2024 CP1RM401</t>
  </si>
  <si>
    <t>5 1 2 6 1 12 31111 6 M59 20700 000132 0000R 00001 00261 015 2112000 2024 CP1RM401 001</t>
  </si>
  <si>
    <t>5 1 2 6 1 12 31111 6 M59 20700 000132 0000R 00001 00261 015 2112000 2024 CP1RM401 001 0000001</t>
  </si>
  <si>
    <t>5 1 2 6 1 12 31111 6 M59 30100</t>
  </si>
  <si>
    <t>5 1 2 6 1 12 31111 6 M59 30100 000132</t>
  </si>
  <si>
    <t>5 1 2 6 1 12 31111 6 M59 30100 000132 0000R</t>
  </si>
  <si>
    <t>5 1 2 6 1 12 31111 6 M59 30100 000132 0000R 00001</t>
  </si>
  <si>
    <t>5 1 2 6 1 12 31111 6 M59 30100 000132 0000R 00001 00261</t>
  </si>
  <si>
    <t>5 1 2 6 1 12 31111 6 M59 30100 000132 0000R 00001 00261 015</t>
  </si>
  <si>
    <t>5 1 2 6 1 12 31111 6 M59 30100 000132 0000R 00001 00261 015 2112000</t>
  </si>
  <si>
    <t>5 1 2 6 1 12 31111 6 M59 30100 000132 0000R 00001 00261 015 2112000 2024</t>
  </si>
  <si>
    <t>5 1 2 6 1 12 31111 6 M59 30100 000132 0000R 00001 00261 015 2112000 2024 CP1OP405</t>
  </si>
  <si>
    <t>5 1 2 6 1 12 31111 6 M59 30100 000132 0000R 00001 00261 015 2112000 2024 CP1OP405 001</t>
  </si>
  <si>
    <t>5 1 2 6 1 12 31111 6 M59 30100 000132 0000R 00001 00261 015 2112000 2024 CP1OP405 001 0000001</t>
  </si>
  <si>
    <t>5 1 2 6 1 12 31111 6 M59 40000</t>
  </si>
  <si>
    <t>5 1 2 6 1 12 31111 6 M59 40000 000161</t>
  </si>
  <si>
    <t>5 1 2 6 1 12 31111 6 M59 40000 000161 0000E</t>
  </si>
  <si>
    <t>5 1 2 6 1 12 31111 6 M59 40000 000161 0000E 00001</t>
  </si>
  <si>
    <t>5 1 2 6 1 12 31111 6 M59 40000 000161 0000E 00001 00261</t>
  </si>
  <si>
    <t>5 1 2 6 1 12 31111 6 M59 40000 000161 0000E 00001 00261 025</t>
  </si>
  <si>
    <t>5 1 2 6 1 12 31111 6 M59 40000 000161 0000E 00001 00261 025 2112000</t>
  </si>
  <si>
    <t>5 1 2 6 1 12 31111 6 M59 40000 000161 0000E 00001 00261 025 2112000 2024</t>
  </si>
  <si>
    <t>5 1 2 6 1 12 31111 6 M59 40000 000161 0000E 00001 00261 025 2112000 2024 CP4SP372</t>
  </si>
  <si>
    <t>5 1 2 6 1 12 31111 6 M59 40000 000161 0000E 00001 00261 025 2112000 2024 CP4SP372 003</t>
  </si>
  <si>
    <t>5 1 2 6 1 12 31111 6 M59 40000 000161 0000E 00001 00261 025 2112000 2024 CP4SP372 003 0000001</t>
  </si>
  <si>
    <t>5 1 2 6 1 12 31111 6 M59 40200</t>
  </si>
  <si>
    <t>5 1 2 6 1 12 31111 6 M59 40200 000172</t>
  </si>
  <si>
    <t>5 1 2 6 1 12 31111 6 M59 40200 000172 0000R</t>
  </si>
  <si>
    <t>5 1 2 6 1 12 31111 6 M59 40200 000172 0000R 00001</t>
  </si>
  <si>
    <t>5 1 2 6 1 12 31111 6 M59 40200 000172 0000R 00001 00261</t>
  </si>
  <si>
    <t>5 1 2 6 1 12 31111 6 M59 40200 000172 0000R 00001 00261 025</t>
  </si>
  <si>
    <t>5 1 2 6 1 12 31111 6 M59 40200 000172 0000R 00001 00261 025 2112000</t>
  </si>
  <si>
    <t>5 1 2 6 1 12 31111 6 M59 40200 000172 0000R 00001 00261 025 2112000 2024</t>
  </si>
  <si>
    <t>5 1 2 6 1 12 31111 6 M59 40200 000172 0000R 00001 00261 025 2112000 2024 CP4PC370</t>
  </si>
  <si>
    <t>5 1 2 6 1 12 31111 6 M59 40200 000172 0000R 00001 00261 025 2112000 2024 CP4PC370 003</t>
  </si>
  <si>
    <t>5 1 2 6 1 12 31111 6 M59 40200 000172 0000R 00001 00261 025 2112000 2024 CP4PC370 003 0000001</t>
  </si>
  <si>
    <t>5 1 2 6 1 12 31111 6 M59 40300</t>
  </si>
  <si>
    <t>5 1 2 6 1 12 31111 6 M59 40300 000185</t>
  </si>
  <si>
    <t>5 1 2 6 1 12 31111 6 M59 40300 000185 0000R</t>
  </si>
  <si>
    <t>5 1 2 6 1 12 31111 6 M59 40300 000185 0000R 00001</t>
  </si>
  <si>
    <t>5 1 2 6 1 12 31111 6 M59 40300 000185 0000R 00001 00261</t>
  </si>
  <si>
    <t>5 1 2 6 1 12 31111 6 M59 40300 000185 0000R 00001 00261 025</t>
  </si>
  <si>
    <t>5 1 2 6 1 12 31111 6 M59 40300 000185 0000R 00001 00261 025 2112000</t>
  </si>
  <si>
    <t>5 1 2 6 1 12 31111 6 M59 40300 000185 0000R 00001 00261 025 2112000 2024</t>
  </si>
  <si>
    <t>5 1 2 6 1 12 31111 6 M59 40300 000185 0000R 00001 00261 025 2112000 2024 CP4TV371</t>
  </si>
  <si>
    <t>5 1 2 6 1 12 31111 6 M59 40300 000185 0000R 00001 00261 025 2112000 2024 CP4TV371 003</t>
  </si>
  <si>
    <t>5 1 2 6 1 12 31111 6 M59 40300 000185 0000R 00001 00261 025 2112000 2024 CP4TV371 003 0000001</t>
  </si>
  <si>
    <t>5 1 2 6 1 12 31111 6 M59 50000</t>
  </si>
  <si>
    <t>5 1 2 6 1 12 31111 6 M59 50000 000223</t>
  </si>
  <si>
    <t>5 1 2 6 1 12 31111 6 M59 50000 000223 0000E</t>
  </si>
  <si>
    <t>5 1 2 6 1 12 31111 6 M59 50000 000223 0000E 00001</t>
  </si>
  <si>
    <t>5 1 2 6 1 12 31111 6 M59 50000 000223 0000E 00001 00261</t>
  </si>
  <si>
    <t>5 1 2 6 1 12 31111 6 M59 50000 000223 0000E 00001 00261 015</t>
  </si>
  <si>
    <t>5 1 2 6 1 12 31111 6 M59 50000 000223 0000E 00001 00261 015 2112000</t>
  </si>
  <si>
    <t>5 1 2 6 1 12 31111 6 M59 50000 000223 0000E 00001 00261 015 2112000 2024</t>
  </si>
  <si>
    <t>5 1 2 6 1 12 31111 6 M59 50000 000223 0000E 00001 00261 015 2112000 2024 CP1DA424</t>
  </si>
  <si>
    <t>5 1 2 6 1 12 31111 6 M59 50000 000223 0000E 00001 00261 015 2112000 2024 CP1DA424 001</t>
  </si>
  <si>
    <t>5 1 2 6 1 12 31111 6 M59 50000 000223 0000E 00001 00261 015 2112000 2024 CP1DA424 001 0000001</t>
  </si>
  <si>
    <t>5 1 2 6 1 12 31111 6 M59 50000 000223 0000E 00001 00261 015 2112000 2024 CP2DA534</t>
  </si>
  <si>
    <t>REPARACIÓN Y MANTENIMIENTO A LOS SISTEMAS DE AGUA POTABLE</t>
  </si>
  <si>
    <t>5 1 2 6 1 12 31111 6 M59 50000 000223 0000E 00001 00261 015 2112000 2024 CP2DA534 005</t>
  </si>
  <si>
    <t>5 1 2 6 1 12 31111 6 M59 50000 000223 0000E 00001 00261 015 2112000 2024 CP2DA534 005 0000001</t>
  </si>
  <si>
    <t>5 1 2 6 1 12 31111 6 M59 60100</t>
  </si>
  <si>
    <t>5 1 2 6 1 12 31111 6 M59 60100 000132</t>
  </si>
  <si>
    <t>5 1 2 6 1 12 31111 6 M59 60100 000132 0000R</t>
  </si>
  <si>
    <t>5 1 2 6 1 12 31111 6 M59 60100 000132 0000R 00001</t>
  </si>
  <si>
    <t>5 1 2 6 1 12 31111 6 M59 60100 000132 0000R 00001 00261</t>
  </si>
  <si>
    <t>5 1 2 6 1 12 31111 6 M59 60100 000132 0000R 00001 00261 015</t>
  </si>
  <si>
    <t>5 1 2 6 1 12 31111 6 M59 60100 000132 0000R 00001 00261 015 2112000</t>
  </si>
  <si>
    <t>5 1 2 6 1 12 31111 6 M59 60100 000132 0000R 00001 00261 015 2112000 2024</t>
  </si>
  <si>
    <t>5 1 2 6 1 12 31111 6 M59 60100 000132 0000R 00001 00261 015 2112000 2024 CP1DM394</t>
  </si>
  <si>
    <t>5 1 2 6 1 12 31111 6 M59 60100 000132 0000R 00001 00261 015 2112000 2024 CP1DM394 001</t>
  </si>
  <si>
    <t>5 1 2 6 1 12 31111 6 M59 60100 000132 0000R 00001 00261 015 2112000 2024 CP1DM394 001 0000001</t>
  </si>
  <si>
    <t>5 1 2 6 1 12 31111 6 M59 91000</t>
  </si>
  <si>
    <t>5 1 2 6 1 12 31111 6 M59 91000 000132</t>
  </si>
  <si>
    <t>5 1 2 6 1 12 31111 6 M59 91000 000132 0000R</t>
  </si>
  <si>
    <t>5 1 2 6 1 12 31111 6 M59 91000 000132 0000R 00001</t>
  </si>
  <si>
    <t>5 1 2 6 1 12 31111 6 M59 91000 000132 0000R 00001 00261</t>
  </si>
  <si>
    <t>5 1 2 6 1 12 31111 6 M59 91000 000132 0000R 00001 00261 015</t>
  </si>
  <si>
    <t>5 1 2 6 1 12 31111 6 M59 91000 000132 0000R 00001 00261 015 2112000</t>
  </si>
  <si>
    <t>5 1 2 6 1 12 31111 6 M59 91000 000132 0000R 00001 00261 015 2112000 2024</t>
  </si>
  <si>
    <t>5 1 2 6 1 12 31111 6 M59 91000 000132 0000R 00001 00261 015 2112000 2024 CP1RE398</t>
  </si>
  <si>
    <t>5 1 2 6 1 12 31111 6 M59 91000 000132 0000R 00001 00261 015 2112000 2024 CP1RE398 001</t>
  </si>
  <si>
    <t>5 1 2 6 1 12 31111 6 M59 91000 000132 0000R 00001 00261 015 2112000 2024 CP1RE398 001 0000001</t>
  </si>
  <si>
    <t>5 1 2 6 1 12 31111 6 M59 96100</t>
  </si>
  <si>
    <t>5 1 2 6 1 12 31111 6 M59 96100 000211</t>
  </si>
  <si>
    <t>5 1 2 6 1 12 31111 6 M59 96100 000211 0000U</t>
  </si>
  <si>
    <t>5 1 2 6 1 12 31111 6 M59 96100 000211 0000U 00001</t>
  </si>
  <si>
    <t>5 1 2 6 1 12 31111 6 M59 96100 000211 0000U 00001 00261</t>
  </si>
  <si>
    <t>5 1 2 6 1 12 31111 6 M59 96100 000211 0000U 00001 00261 015</t>
  </si>
  <si>
    <t>5 1 2 6 1 12 31111 6 M59 96100 000211 0000U 00001 00261 015 2112000</t>
  </si>
  <si>
    <t>5 1 2 6 1 12 31111 6 M59 96100 000211 0000U 00001 00261 015 2112000 2024</t>
  </si>
  <si>
    <t>5 1 2 6 1 12 31111 6 M59 96100 000211 0000U 00001 00261 015 2112000 2024 CP1IU412</t>
  </si>
  <si>
    <t>5 1 2 6 1 12 31111 6 M59 96100 000211 0000U 00001 00261 015 2112000 2024 CP1IU412 001</t>
  </si>
  <si>
    <t>5 1 2 6 1 12 31111 6 M59 96100 000211 0000U 00001 00261 015 2112000 2024 CP1IU412 001 0000001</t>
  </si>
  <si>
    <t>5 1 2 6 1 12 31111 6 M59 96200</t>
  </si>
  <si>
    <t>5 1 2 6 1 12 31111 6 M59 96200 000132</t>
  </si>
  <si>
    <t>5 1 2 6 1 12 31111 6 M59 96200 000132 0000R</t>
  </si>
  <si>
    <t>5 1 2 6 1 12 31111 6 M59 96200 000132 0000R 00001</t>
  </si>
  <si>
    <t>5 1 2 6 1 12 31111 6 M59 96200 000132 0000R 00001 00261</t>
  </si>
  <si>
    <t>5 1 2 6 1 12 31111 6 M59 96200 000132 0000R 00001 00261 015</t>
  </si>
  <si>
    <t>5 1 2 6 1 12 31111 6 M59 96200 000132 0000R 00001 00261 015 2112000</t>
  </si>
  <si>
    <t>5 1 2 6 1 12 31111 6 M59 96200 000132 0000R 00001 00261 015 2112000 2024</t>
  </si>
  <si>
    <t>5 1 2 6 1 12 31111 6 M59 96200 000132 0000R 00001 00261 015 2112000 2024 CP1AL423</t>
  </si>
  <si>
    <t>5 1 2 6 1 12 31111 6 M59 96200 000132 0000R 00001 00261 015 2112000 2024 CP1AL423 001</t>
  </si>
  <si>
    <t>5 1 2 6 1 12 31111 6 M59 96200 000132 0000R 00001 00261 015 2112000 2024 CP1AL423 001 0000001</t>
  </si>
  <si>
    <t>5 1 2 6 1 12 31111 6 M59 96300</t>
  </si>
  <si>
    <t>5 1 2 6 1 12 31111 6 M59 96300 000211</t>
  </si>
  <si>
    <t>5 1 2 6 1 12 31111 6 M59 96300 000211 0000E</t>
  </si>
  <si>
    <t>5 1 2 6 1 12 31111 6 M59 96300 000211 0000E 00001</t>
  </si>
  <si>
    <t>5 1 2 6 1 12 31111 6 M59 96300 000211 0000E 00001 00261</t>
  </si>
  <si>
    <t>5 1 2 6 1 12 31111 6 M59 96300 000211 0000E 00001 00261 015</t>
  </si>
  <si>
    <t>5 1 2 6 1 12 31111 6 M59 96300 000211 0000E 00001 00261 015 2112000</t>
  </si>
  <si>
    <t>5 1 2 6 1 12 31111 6 M59 96300 000211 0000E 00001 00261 015 2112000 2024</t>
  </si>
  <si>
    <t>5 1 2 6 1 12 31111 6 M59 96300 000211 0000E 00001 00261 015 2112000 2024 CP1SB396</t>
  </si>
  <si>
    <t>5 1 2 6 1 12 31111 6 M59 96300 000211 0000E 00001 00261 015 2112000 2024 CP1SB396 001</t>
  </si>
  <si>
    <t>5 1 2 6 1 12 31111 6 M59 96300 000211 0000E 00001 00261 015 2112000 2024 CP1SB396 001 0000001</t>
  </si>
  <si>
    <t>5 1 2 6 1 12 31111 6 M59 96300 000211 0000E 00001 00261 015 2112000 2024 CP1SB396 005</t>
  </si>
  <si>
    <t>5 1 2 6 1 12 31111 6 M59 96300 000211 0000E 00001 00261 015 2112000 2024 CP1SB396 005 0000001</t>
  </si>
  <si>
    <t>5 1 2 7</t>
  </si>
  <si>
    <t>5 1 2 7 1</t>
  </si>
  <si>
    <t>VESTUARIO Y UNIFORMES</t>
  </si>
  <si>
    <t>5 1 2 7 1 12</t>
  </si>
  <si>
    <t>5 1 2 7 1 12 31111</t>
  </si>
  <si>
    <t>5 1 2 7 1 12 31111 6</t>
  </si>
  <si>
    <t>5 1 2 7 1 12 31111 6 M59</t>
  </si>
  <si>
    <t>5 1 2 7 1 12 31111 6 M59 40000</t>
  </si>
  <si>
    <t>5 1 2 7 1 12 31111 6 M59 40000 000161</t>
  </si>
  <si>
    <t>5 1 2 7 1 12 31111 6 M59 40000 000161 0000E</t>
  </si>
  <si>
    <t>5 1 2 7 1 12 31111 6 M59 40000 000161 0000E 00001</t>
  </si>
  <si>
    <t>5 1 2 7 1 12 31111 6 M59 40000 000161 0000E 00001 00271</t>
  </si>
  <si>
    <t>VESTUARIO Y UNIFORMES.</t>
  </si>
  <si>
    <t>5 1 2 7 1 12 31111 6 M59 40000 000161 0000E 00001 00271 025</t>
  </si>
  <si>
    <t>5 1 2 7 1 12 31111 6 M59 40000 000161 0000E 00001 00271 025 2112000</t>
  </si>
  <si>
    <t>5 1 2 7 1 12 31111 6 M59 40000 000161 0000E 00001 00271 025 2112000 2024</t>
  </si>
  <si>
    <t>5 1 2 7 1 12 31111 6 M59 40000 000161 0000E 00001 00271 025 2112000 2024 CP4SP372</t>
  </si>
  <si>
    <t>5 1 2 7 1 12 31111 6 M59 40000 000161 0000E 00001 00271 025 2112000 2024 CP4SP372 003</t>
  </si>
  <si>
    <t>5 1 2 7 1 12 31111 6 M59 40000 000161 0000E 00001 00271 025 2112000 2024 CP4SP372 003 0000001</t>
  </si>
  <si>
    <t>5 1 2 7 1 12 31111 6 M59 40400</t>
  </si>
  <si>
    <t>5 1 2 7 1 12 31111 6 M59 40400 000173</t>
  </si>
  <si>
    <t>5 1 2 7 1 12 31111 6 M59 40400 000173 0000R</t>
  </si>
  <si>
    <t>5 1 2 7 1 12 31111 6 M59 40400 000173 0000R 00001</t>
  </si>
  <si>
    <t>5 1 2 7 1 12 31111 6 M59 40400 000173 0000R 00001 00271</t>
  </si>
  <si>
    <t>5 1 2 7 1 12 31111 6 M59 40400 000173 0000R 00001 00271 025</t>
  </si>
  <si>
    <t>5 1 2 7 1 12 31111 6 M59 40400 000173 0000R 00001 00271 025 2112000</t>
  </si>
  <si>
    <t>5 1 2 7 1 12 31111 6 M59 40400 000173 0000R 00001 00271 025 2112000 2024</t>
  </si>
  <si>
    <t>5 1 2 7 1 12 31111 6 M59 40400 000173 0000R 00001 00271 025 2112000 2024 CP4PD369</t>
  </si>
  <si>
    <t>5 1 2 7 1 12 31111 6 M59 40400 000173 0000R 00001 00271 025 2112000 2024 CP4PD369 003</t>
  </si>
  <si>
    <t>5 1 2 7 1 12 31111 6 M59 40400 000173 0000R 00001 00271 025 2112000 2024 CP4PD369 003 0000001</t>
  </si>
  <si>
    <t>5 1 2 7 1 12 31111 6 M59 96200</t>
  </si>
  <si>
    <t>5 1 2 7 1 12 31111 6 M59 96200 000132</t>
  </si>
  <si>
    <t>5 1 2 7 1 12 31111 6 M59 96200 000132 0000R</t>
  </si>
  <si>
    <t>5 1 2 7 1 12 31111 6 M59 96200 000132 0000R 00001</t>
  </si>
  <si>
    <t>5 1 2 7 1 12 31111 6 M59 96200 000132 0000R 00001 00271</t>
  </si>
  <si>
    <t>5 1 2 7 1 12 31111 6 M59 96200 000132 0000R 00001 00271 015</t>
  </si>
  <si>
    <t>5 1 2 7 1 12 31111 6 M59 96200 000132 0000R 00001 00271 015 2112000</t>
  </si>
  <si>
    <t>5 1 2 7 1 12 31111 6 M59 96200 000132 0000R 00001 00271 015 2112000 2024</t>
  </si>
  <si>
    <t>5 1 2 7 1 12 31111 6 M59 96200 000132 0000R 00001 00271 015 2112000 2024 CP1AL423</t>
  </si>
  <si>
    <t>5 1 2 7 1 12 31111 6 M59 96200 000132 0000R 00001 00271 015 2112000 2024 CP1AL423 001</t>
  </si>
  <si>
    <t>5 1 2 7 1 12 31111 6 M59 96200 000132 0000R 00001 00271 015 2112000 2024 CP1AL423 001 0000001</t>
  </si>
  <si>
    <t>5 1 2 7 2</t>
  </si>
  <si>
    <t>PRENDAS DE SEGURIDAD Y PROTECCIÓN PERSONAL</t>
  </si>
  <si>
    <t>5 1 2 7 2 12</t>
  </si>
  <si>
    <t>5 1 2 7 2 12 31111</t>
  </si>
  <si>
    <t>5 1 2 7 2 12 31111 6</t>
  </si>
  <si>
    <t>5 1 2 7 2 12 31111 6 M59</t>
  </si>
  <si>
    <t>5 1 2 7 2 12 31111 6 M59 20700</t>
  </si>
  <si>
    <t>5 1 2 7 2 12 31111 6 M59 20700 000132</t>
  </si>
  <si>
    <t>5 1 2 7 2 12 31111 6 M59 20700 000132 0000R</t>
  </si>
  <si>
    <t>5 1 2 7 2 12 31111 6 M59 20700 000132 0000R 00001</t>
  </si>
  <si>
    <t>5 1 2 7 2 12 31111 6 M59 20700 000132 0000R 00001 00272</t>
  </si>
  <si>
    <t>PRENDAS DE SEGURIDAD Y PROTECCION PERSONAL.</t>
  </si>
  <si>
    <t>5 1 2 7 2 12 31111 6 M59 20700 000132 0000R 00001 00272 015</t>
  </si>
  <si>
    <t>5 1 2 7 2 12 31111 6 M59 20700 000132 0000R 00001 00272 015 2112000</t>
  </si>
  <si>
    <t>5 1 2 7 2 12 31111 6 M59 20700 000132 0000R 00001 00272 015 2112000 2024</t>
  </si>
  <si>
    <t>5 1 2 7 2 12 31111 6 M59 20700 000132 0000R 00001 00272 015 2112000 2024 CP1RM401</t>
  </si>
  <si>
    <t>5 1 2 7 2 12 31111 6 M59 20700 000132 0000R 00001 00272 015 2112000 2024 CP1RM401 001</t>
  </si>
  <si>
    <t>5 1 2 7 2 12 31111 6 M59 20700 000132 0000R 00001 00272 015 2112000 2024 CP1RM401 001 0000001</t>
  </si>
  <si>
    <t>5 1 2 7 2 12 31111 6 M59 40000</t>
  </si>
  <si>
    <t>5 1 2 7 2 12 31111 6 M59 40000 000161</t>
  </si>
  <si>
    <t>5 1 2 7 2 12 31111 6 M59 40000 000161 0000E</t>
  </si>
  <si>
    <t>5 1 2 7 2 12 31111 6 M59 40000 000161 0000E 00001</t>
  </si>
  <si>
    <t>5 1 2 7 2 12 31111 6 M59 40000 000161 0000E 00001 00272</t>
  </si>
  <si>
    <t>5 1 2 7 2 12 31111 6 M59 40000 000161 0000E 00001 00272 025</t>
  </si>
  <si>
    <t>5 1 2 7 2 12 31111 6 M59 40000 000161 0000E 00001 00272 025 2112000</t>
  </si>
  <si>
    <t>5 1 2 7 2 12 31111 6 M59 40000 000161 0000E 00001 00272 025 2112000 2024</t>
  </si>
  <si>
    <t>5 1 2 7 2 12 31111 6 M59 40000 000161 0000E 00001 00272 025 2112000 2024 CP4SP372</t>
  </si>
  <si>
    <t>5 1 2 7 2 12 31111 6 M59 40000 000161 0000E 00001 00272 025 2112000 2024 CP4SP372 003</t>
  </si>
  <si>
    <t>FORTGAMUN-DF</t>
  </si>
  <si>
    <t>5 1 2 7 2 12 31111 6 M59 40000 000161 0000E 00001 00272 025 2112000 2024 CP4SP372 003 0000001</t>
  </si>
  <si>
    <t>PRENDAS DE SEGURIDAD Y PROTECCION PERSONAL</t>
  </si>
  <si>
    <t>5 1 2 7 2 12 31111 6 M59 50000</t>
  </si>
  <si>
    <t>5 1 2 7 2 12 31111 6 M59 50000 000223</t>
  </si>
  <si>
    <t>5 1 2 7 2 12 31111 6 M59 50000 000223 0000E</t>
  </si>
  <si>
    <t>5 1 2 7 2 12 31111 6 M59 50000 000223 0000E 00001</t>
  </si>
  <si>
    <t>5 1 2 7 2 12 31111 6 M59 50000 000223 0000E 00001 00272</t>
  </si>
  <si>
    <t>5 1 2 7 2 12 31111 6 M59 50000 000223 0000E 00001 00272 015</t>
  </si>
  <si>
    <t>5 1 2 7 2 12 31111 6 M59 50000 000223 0000E 00001 00272 015 2112000</t>
  </si>
  <si>
    <t>5 1 2 7 2 12 31111 6 M59 50000 000223 0000E 00001 00272 015 2112000 2024</t>
  </si>
  <si>
    <t>5 1 2 7 2 12 31111 6 M59 50000 000223 0000E 00001 00272 015 2112000 2024 CP1DA424</t>
  </si>
  <si>
    <t>5 1 2 7 2 12 31111 6 M59 50000 000223 0000E 00001 00272 015 2112000 2024 CP1DA424 001</t>
  </si>
  <si>
    <t>5 1 2 7 2 12 31111 6 M59 50000 000223 0000E 00001 00272 015 2112000 2024 CP1DA424 001 0000001</t>
  </si>
  <si>
    <t>5 1 2 7 2 12 31111 6 M59 96300</t>
  </si>
  <si>
    <t>5 1 2 7 2 12 31111 6 M59 96300 000211</t>
  </si>
  <si>
    <t>5 1 2 7 2 12 31111 6 M59 96300 000211 0000E</t>
  </si>
  <si>
    <t>5 1 2 7 2 12 31111 6 M59 96300 000211 0000E 00001</t>
  </si>
  <si>
    <t>5 1 2 7 2 12 31111 6 M59 96300 000211 0000E 00001 00272</t>
  </si>
  <si>
    <t>5 1 2 7 2 12 31111 6 M59 96300 000211 0000E 00001 00272 015</t>
  </si>
  <si>
    <t>5 1 2 7 2 12 31111 6 M59 96300 000211 0000E 00001 00272 015 2112000</t>
  </si>
  <si>
    <t>5 1 2 7 2 12 31111 6 M59 96300 000211 0000E 00001 00272 015 2112000 2024</t>
  </si>
  <si>
    <t>5 1 2 7 2 12 31111 6 M59 96300 000211 0000E 00001 00272 015 2112000 2024 CP1SB396</t>
  </si>
  <si>
    <t>5 1 2 7 2 12 31111 6 M59 96300 000211 0000E 00001 00272 015 2112000 2024 CP1SB396 001</t>
  </si>
  <si>
    <t>5 1 2 7 2 12 31111 6 M59 96300 000211 0000E 00001 00272 015 2112000 2024 CP1SB396 001 0000001</t>
  </si>
  <si>
    <t>5 1 2 7 4</t>
  </si>
  <si>
    <t>PRODUCTOS TEXTILES</t>
  </si>
  <si>
    <t>5 1 2 7 4 12</t>
  </si>
  <si>
    <t>5 1 2 7 4 12 31111</t>
  </si>
  <si>
    <t>5 1 2 7 4 12 31111 6</t>
  </si>
  <si>
    <t>5 1 2 7 4 12 31111 6 M59</t>
  </si>
  <si>
    <t>5 1 2 7 4 12 31111 6 M59 50000</t>
  </si>
  <si>
    <t>5 1 2 7 4 12 31111 6 M59 50000 000223</t>
  </si>
  <si>
    <t>5 1 2 7 4 12 31111 6 M59 50000 000223 0000E</t>
  </si>
  <si>
    <t>5 1 2 7 4 12 31111 6 M59 50000 000223 0000E 00001</t>
  </si>
  <si>
    <t>5 1 2 7 4 12 31111 6 M59 50000 000223 0000E 00001 00274</t>
  </si>
  <si>
    <t>PRODUCTOS TEXTILES.</t>
  </si>
  <si>
    <t>5 1 2 7 4 12 31111 6 M59 50000 000223 0000E 00001 00274 015</t>
  </si>
  <si>
    <t>5 1 2 7 4 12 31111 6 M59 50000 000223 0000E 00001 00274 015 2112000</t>
  </si>
  <si>
    <t>5 1 2 7 4 12 31111 6 M59 50000 000223 0000E 00001 00274 015 2112000 2024</t>
  </si>
  <si>
    <t>5 1 2 7 4 12 31111 6 M59 50000 000223 0000E 00001 00274 015 2112000 2024 CP1DA424</t>
  </si>
  <si>
    <t>5 1 2 7 4 12 31111 6 M59 50000 000223 0000E 00001 00274 015 2112000 2024 CP1DA424 001</t>
  </si>
  <si>
    <t>5 1 2 7 4 12 31111 6 M59 50000 000223 0000E 00001 00274 015 2112000 2024 CP1DA424 001 0000001</t>
  </si>
  <si>
    <t>5 1 2 9</t>
  </si>
  <si>
    <t>HERRAMIENTAS, REFACCIONES Y ACCESORIOS MENORES</t>
  </si>
  <si>
    <t>5 1 2 9 1</t>
  </si>
  <si>
    <t>HERRAMIENTAS MENORES</t>
  </si>
  <si>
    <t>5 1 2 9 1 12</t>
  </si>
  <si>
    <t>5 1 2 9 1 12 31111</t>
  </si>
  <si>
    <t>5 1 2 9 1 12 31111 6</t>
  </si>
  <si>
    <t>5 1 2 9 1 12 31111 6 M59</t>
  </si>
  <si>
    <t>5 1 2 9 1 12 31111 6 M59 19000</t>
  </si>
  <si>
    <t>5 1 2 9 1 12 31111 6 M59 19000 000132</t>
  </si>
  <si>
    <t>5 1 2 9 1 12 31111 6 M59 19000 000132 0000R</t>
  </si>
  <si>
    <t>5 1 2 9 1 12 31111 6 M59 19000 000132 0000R 00001</t>
  </si>
  <si>
    <t>5 1 2 9 1 12 31111 6 M59 19000 000132 0000R 00001 00291</t>
  </si>
  <si>
    <t>HERRAMIENTAS MENORES.</t>
  </si>
  <si>
    <t>5 1 2 9 1 12 31111 6 M59 19000 000132 0000R 00001 00291 011</t>
  </si>
  <si>
    <t>5 1 2 9 1 12 31111 6 M59 19000 000132 0000R 00001 00291 011 2112000</t>
  </si>
  <si>
    <t>5 1 2 9 1 12 31111 6 M59 19000 000132 0000R 00001 00291 011 2112000 2024</t>
  </si>
  <si>
    <t>5 1 2 9 1 12 31111 6 M59 19000 000132 0000R 00001 00291 011 2112000 2024 CP1TM440</t>
  </si>
  <si>
    <t>5 1 2 9 1 12 31111 6 M59 19000 000132 0000R 00001 00291 011 2112000 2024 CP1TM440 004</t>
  </si>
  <si>
    <t>5 1 2 9 1 12 31111 6 M59 19000 000132 0000R 00001 00291 011 2112000 2024 CP1TM440 004 0000001</t>
  </si>
  <si>
    <t>5 1 2 9 1 12 31111 6 M59 20400</t>
  </si>
  <si>
    <t>5 1 2 9 1 12 31111 6 M59 20400 000132</t>
  </si>
  <si>
    <t>5 1 2 9 1 12 31111 6 M59 20400 000132 0000R</t>
  </si>
  <si>
    <t>5 1 2 9 1 12 31111 6 M59 20400 000132 0000R 00001</t>
  </si>
  <si>
    <t>5 1 2 9 1 12 31111 6 M59 20400 000132 0000R 00001 00291</t>
  </si>
  <si>
    <t>5 1 2 9 1 12 31111 6 M59 20400 000132 0000R 00001 00291 015</t>
  </si>
  <si>
    <t>5 1 2 9 1 12 31111 6 M59 20400 000132 0000R 00001 00291 015 2112000</t>
  </si>
  <si>
    <t>5 1 2 9 1 12 31111 6 M59 20400 000132 0000R 00001 00291 015 2112000 2024</t>
  </si>
  <si>
    <t>5 1 2 9 1 12 31111 6 M59 20400 000132 0000R 00001 00291 015 2112000 2024 CP1PV404</t>
  </si>
  <si>
    <t>5 1 2 9 1 12 31111 6 M59 20400 000132 0000R 00001 00291 015 2112000 2024 CP1PV404 001</t>
  </si>
  <si>
    <t>5 1 2 9 1 12 31111 6 M59 20400 000132 0000R 00001 00291 015 2112000 2024 CP1PV404 001 0000001</t>
  </si>
  <si>
    <t>5 1 2 9 1 12 31111 6 M59 20500</t>
  </si>
  <si>
    <t>5 1 2 9 1 12 31111 6 M59 20500 000132</t>
  </si>
  <si>
    <t>5 1 2 9 1 12 31111 6 M59 20500 000132 0000R</t>
  </si>
  <si>
    <t>5 1 2 9 1 12 31111 6 M59 20500 000132 0000R 00001</t>
  </si>
  <si>
    <t>5 1 2 9 1 12 31111 6 M59 20500 000132 0000R 00001 00291</t>
  </si>
  <si>
    <t>5 1 2 9 1 12 31111 6 M59 20500 000132 0000R 00001 00291 015</t>
  </si>
  <si>
    <t>5 1 2 9 1 12 31111 6 M59 20500 000132 0000R 00001 00291 015 2112000</t>
  </si>
  <si>
    <t>5 1 2 9 1 12 31111 6 M59 20500 000132 0000R 00001 00291 015 2112000 2024</t>
  </si>
  <si>
    <t>5 1 2 9 1 12 31111 6 M59 20500 000132 0000R 00001 00291 015 2112000 2024 CP1CP420</t>
  </si>
  <si>
    <t>5 1 2 9 1 12 31111 6 M59 20500 000132 0000R 00001 00291 015 2112000 2024 CP1CP420 001</t>
  </si>
  <si>
    <t>5 1 2 9 1 12 31111 6 M59 20500 000132 0000R 00001 00291 015 2112000 2024 CP1CP420 001 0000001</t>
  </si>
  <si>
    <t>5 1 2 9 1 12 31111 6 M59 20700</t>
  </si>
  <si>
    <t>5 1 2 9 1 12 31111 6 M59 20700 000132</t>
  </si>
  <si>
    <t>5 1 2 9 1 12 31111 6 M59 20700 000132 0000R</t>
  </si>
  <si>
    <t>5 1 2 9 1 12 31111 6 M59 20700 000132 0000R 00001</t>
  </si>
  <si>
    <t>5 1 2 9 1 12 31111 6 M59 20700 000132 0000R 00001 00291</t>
  </si>
  <si>
    <t>5 1 2 9 1 12 31111 6 M59 20700 000132 0000R 00001 00291 015</t>
  </si>
  <si>
    <t>5 1 2 9 1 12 31111 6 M59 20700 000132 0000R 00001 00291 015 2112000</t>
  </si>
  <si>
    <t>5 1 2 9 1 12 31111 6 M59 20700 000132 0000R 00001 00291 015 2112000 2024</t>
  </si>
  <si>
    <t>5 1 2 9 1 12 31111 6 M59 20700 000132 0000R 00001 00291 015 2112000 2024 CP1RM401</t>
  </si>
  <si>
    <t>5 1 2 9 1 12 31111 6 M59 20700 000132 0000R 00001 00291 015 2112000 2024 CP1RM401 001</t>
  </si>
  <si>
    <t>5 1 2 9 1 12 31111 6 M59 20700 000132 0000R 00001 00291 015 2112000 2024 CP1RM401 001 0000001</t>
  </si>
  <si>
    <t>5 1 2 9 1 12 31111 6 M59 40000</t>
  </si>
  <si>
    <t>5 1 2 9 1 12 31111 6 M59 40000 000161</t>
  </si>
  <si>
    <t>5 1 2 9 1 12 31111 6 M59 40000 000161 0000E</t>
  </si>
  <si>
    <t>5 1 2 9 1 12 31111 6 M59 40000 000161 0000E 00001</t>
  </si>
  <si>
    <t>5 1 2 9 1 12 31111 6 M59 40000 000161 0000E 00001 00291</t>
  </si>
  <si>
    <t>5 1 2 9 1 12 31111 6 M59 40000 000161 0000E 00001 00291 025</t>
  </si>
  <si>
    <t>5 1 2 9 1 12 31111 6 M59 40000 000161 0000E 00001 00291 025 2112000</t>
  </si>
  <si>
    <t>5 1 2 9 1 12 31111 6 M59 40000 000161 0000E 00001 00291 025 2112000 2024</t>
  </si>
  <si>
    <t>5 1 2 9 1 12 31111 6 M59 40000 000161 0000E 00001 00291 025 2112000 2024 CP4SP372</t>
  </si>
  <si>
    <t>5 1 2 9 1 12 31111 6 M59 40000 000161 0000E 00001 00291 025 2112000 2024 CP4SP372 003</t>
  </si>
  <si>
    <t>5 1 2 9 1 12 31111 6 M59 40000 000161 0000E 00001 00291 025 2112000 2024 CP4SP372 003 0000001</t>
  </si>
  <si>
    <t>5 1 2 9 1 12 31111 6 M59 40200</t>
  </si>
  <si>
    <t>5 1 2 9 1 12 31111 6 M59 40200 000172</t>
  </si>
  <si>
    <t>5 1 2 9 1 12 31111 6 M59 40200 000172 0000R</t>
  </si>
  <si>
    <t>5 1 2 9 1 12 31111 6 M59 40200 000172 0000R 00001</t>
  </si>
  <si>
    <t>5 1 2 9 1 12 31111 6 M59 40200 000172 0000R 00001 00291</t>
  </si>
  <si>
    <t>5 1 2 9 1 12 31111 6 M59 40200 000172 0000R 00001 00291 025</t>
  </si>
  <si>
    <t>5 1 2 9 1 12 31111 6 M59 40200 000172 0000R 00001 00291 025 2112000</t>
  </si>
  <si>
    <t>5 1 2 9 1 12 31111 6 M59 40200 000172 0000R 00001 00291 025 2112000 2024</t>
  </si>
  <si>
    <t>5 1 2 9 1 12 31111 6 M59 40200 000172 0000R 00001 00291 025 2112000 2024 CP4PC370</t>
  </si>
  <si>
    <t>5 1 2 9 1 12 31111 6 M59 40200 000172 0000R 00001 00291 025 2112000 2024 CP4PC370 003</t>
  </si>
  <si>
    <t>5 1 2 9 1 12 31111 6 M59 40200 000172 0000R 00001 00291 025 2112000 2024 CP4PC370 003 0000001</t>
  </si>
  <si>
    <t>5 1 2 9 1 12 31111 6 M59 50000</t>
  </si>
  <si>
    <t>5 1 2 9 1 12 31111 6 M59 50000 000223</t>
  </si>
  <si>
    <t>5 1 2 9 1 12 31111 6 M59 50000 000223 0000E</t>
  </si>
  <si>
    <t>5 1 2 9 1 12 31111 6 M59 50000 000223 0000E 00001</t>
  </si>
  <si>
    <t>5 1 2 9 1 12 31111 6 M59 50000 000223 0000E 00001 00291</t>
  </si>
  <si>
    <t>5 1 2 9 1 12 31111 6 M59 50000 000223 0000E 00001 00291 015</t>
  </si>
  <si>
    <t>5 1 2 9 1 12 31111 6 M59 50000 000223 0000E 00001 00291 015 2112000</t>
  </si>
  <si>
    <t>5 1 2 9 1 12 31111 6 M59 50000 000223 0000E 00001 00291 015 2112000 2024</t>
  </si>
  <si>
    <t>5 1 2 9 1 12 31111 6 M59 50000 000223 0000E 00001 00291 015 2112000 2024 CP1DA424</t>
  </si>
  <si>
    <t>5 1 2 9 1 12 31111 6 M59 50000 000223 0000E 00001 00291 015 2112000 2024 CP1DA424 001</t>
  </si>
  <si>
    <t>5 1 2 9 1 12 31111 6 M59 50000 000223 0000E 00001 00291 015 2112000 2024 CP1DA424 001 0000001</t>
  </si>
  <si>
    <t>5 1 2 9 1 12 31111 6 M59 60100</t>
  </si>
  <si>
    <t>5 1 2 9 1 12 31111 6 M59 60100 000132</t>
  </si>
  <si>
    <t>5 1 2 9 1 12 31111 6 M59 60100 000132 0000R</t>
  </si>
  <si>
    <t>5 1 2 9 1 12 31111 6 M59 60100 000132 0000R 00001</t>
  </si>
  <si>
    <t>5 1 2 9 1 12 31111 6 M59 60100 000132 0000R 00001 00291</t>
  </si>
  <si>
    <t>5 1 2 9 1 12 31111 6 M59 60100 000132 0000R 00001 00291 015</t>
  </si>
  <si>
    <t>5 1 2 9 1 12 31111 6 M59 60100 000132 0000R 00001 00291 015 2112000</t>
  </si>
  <si>
    <t>5 1 2 9 1 12 31111 6 M59 60100 000132 0000R 00001 00291 015 2112000 2024</t>
  </si>
  <si>
    <t>5 1 2 9 1 12 31111 6 M59 60100 000132 0000R 00001 00291 015 2112000 2024 CP1DM394</t>
  </si>
  <si>
    <t>5 1 2 9 1 12 31111 6 M59 60100 000132 0000R 00001 00291 015 2112000 2024 CP1DM394 001</t>
  </si>
  <si>
    <t>5 1 2 9 1 12 31111 6 M59 60100 000132 0000R 00001 00291 015 2112000 2024 CP1DM394 001 0000001</t>
  </si>
  <si>
    <t>5 1 2 9 1 12 31111 6 M59 91000</t>
  </si>
  <si>
    <t>5 1 2 9 1 12 31111 6 M59 91000 000132</t>
  </si>
  <si>
    <t>5 1 2 9 1 12 31111 6 M59 91000 000132 0000R</t>
  </si>
  <si>
    <t>5 1 2 9 1 12 31111 6 M59 91000 000132 0000R 00001</t>
  </si>
  <si>
    <t>5 1 2 9 1 12 31111 6 M59 91000 000132 0000R 00001 00291</t>
  </si>
  <si>
    <t>5 1 2 9 1 12 31111 6 M59 91000 000132 0000R 00001 00291 015</t>
  </si>
  <si>
    <t>5 1 2 9 1 12 31111 6 M59 91000 000132 0000R 00001 00291 015 2112000</t>
  </si>
  <si>
    <t>5 1 2 9 1 12 31111 6 M59 91000 000132 0000R 00001 00291 015 2112000 2024</t>
  </si>
  <si>
    <t>5 1 2 9 1 12 31111 6 M59 91000 000132 0000R 00001 00291 015 2112000 2024 CP1RE398</t>
  </si>
  <si>
    <t>5 1 2 9 1 12 31111 6 M59 91000 000132 0000R 00001 00291 015 2112000 2024 CP1RE398 001</t>
  </si>
  <si>
    <t>5 1 2 9 1 12 31111 6 M59 91000 000132 0000R 00001 00291 015 2112000 2024 CP1RE398 001 0000001</t>
  </si>
  <si>
    <t>5 1 2 9 1 12 31111 6 M59 94000</t>
  </si>
  <si>
    <t>5 1 2 9 1 12 31111 6 M59 94000 000181</t>
  </si>
  <si>
    <t>5 1 2 9 1 12 31111 6 M59 94000 000181 0000R</t>
  </si>
  <si>
    <t>5 1 2 9 1 12 31111 6 M59 94000 000181 0000R 00001</t>
  </si>
  <si>
    <t>5 1 2 9 1 12 31111 6 M59 94000 000181 0000R 00001 00291</t>
  </si>
  <si>
    <t>5 1 2 9 1 12 31111 6 M59 94000 000181 0000R 00001 00291 015</t>
  </si>
  <si>
    <t>5 1 2 9 1 12 31111 6 M59 94000 000181 0000R 00001 00291 015 2112000</t>
  </si>
  <si>
    <t>5 1 2 9 1 12 31111 6 M59 94000 000181 0000R 00001 00291 015 2112000 2024</t>
  </si>
  <si>
    <t>5 1 2 9 1 12 31111 6 M59 94000 000181 0000R 00001 00291 015 2112000 2024 CP1OM392</t>
  </si>
  <si>
    <t>5 1 2 9 1 12 31111 6 M59 94000 000181 0000R 00001 00291 015 2112000 2024 CP1OM392 001</t>
  </si>
  <si>
    <t>5 1 2 9 1 12 31111 6 M59 94000 000181 0000R 00001 00291 015 2112000 2024 CP1OM392 001 0000001</t>
  </si>
  <si>
    <t>5 1 2 9 1 12 31111 6 M59 96100</t>
  </si>
  <si>
    <t>5 1 2 9 1 12 31111 6 M59 96100 000211</t>
  </si>
  <si>
    <t>5 1 2 9 1 12 31111 6 M59 96100 000211 0000U</t>
  </si>
  <si>
    <t>5 1 2 9 1 12 31111 6 M59 96100 000211 0000U 00001</t>
  </si>
  <si>
    <t>5 1 2 9 1 12 31111 6 M59 96100 000211 0000U 00001 00291</t>
  </si>
  <si>
    <t>5 1 2 9 1 12 31111 6 M59 96100 000211 0000U 00001 00291 015</t>
  </si>
  <si>
    <t>5 1 2 9 1 12 31111 6 M59 96100 000211 0000U 00001 00291 015 2112000</t>
  </si>
  <si>
    <t>5 1 2 9 1 12 31111 6 M59 96100 000211 0000U 00001 00291 015 2112000 2024</t>
  </si>
  <si>
    <t>5 1 2 9 1 12 31111 6 M59 96100 000211 0000U 00001 00291 015 2112000 2024 CP1IU412</t>
  </si>
  <si>
    <t>5 1 2 9 1 12 31111 6 M59 96100 000211 0000U 00001 00291 015 2112000 2024 CP1IU412 001</t>
  </si>
  <si>
    <t>5 1 2 9 1 12 31111 6 M59 96100 000211 0000U 00001 00291 015 2112000 2024 CP1IU412 001 0000001</t>
  </si>
  <si>
    <t>5 1 2 9 1 12 31111 6 M59 96200</t>
  </si>
  <si>
    <t>5 1 2 9 1 12 31111 6 M59 96200 000132</t>
  </si>
  <si>
    <t>5 1 2 9 1 12 31111 6 M59 96200 000132 0000R</t>
  </si>
  <si>
    <t>5 1 2 9 1 12 31111 6 M59 96200 000132 0000R 00001</t>
  </si>
  <si>
    <t>5 1 2 9 1 12 31111 6 M59 96200 000132 0000R 00001 00291</t>
  </si>
  <si>
    <t>5 1 2 9 1 12 31111 6 M59 96200 000132 0000R 00001 00291 015</t>
  </si>
  <si>
    <t>5 1 2 9 1 12 31111 6 M59 96200 000132 0000R 00001 00291 015 2112000</t>
  </si>
  <si>
    <t>5 1 2 9 1 12 31111 6 M59 96200 000132 0000R 00001 00291 015 2112000 2024</t>
  </si>
  <si>
    <t>5 1 2 9 1 12 31111 6 M59 96200 000132 0000R 00001 00291 015 2112000 2024 CP1AL423</t>
  </si>
  <si>
    <t>5 1 2 9 1 12 31111 6 M59 96200 000132 0000R 00001 00291 015 2112000 2024 CP1AL423 001</t>
  </si>
  <si>
    <t>5 1 2 9 1 12 31111 6 M59 96200 000132 0000R 00001 00291 015 2112000 2024 CP1AL423 001 0000001</t>
  </si>
  <si>
    <t>5 1 2 9 1 12 31111 6 M59 96300</t>
  </si>
  <si>
    <t>5 1 2 9 1 12 31111 6 M59 96300 000211</t>
  </si>
  <si>
    <t>5 1 2 9 1 12 31111 6 M59 96300 000211 0000E</t>
  </si>
  <si>
    <t>5 1 2 9 1 12 31111 6 M59 96300 000211 0000E 00001</t>
  </si>
  <si>
    <t>5 1 2 9 1 12 31111 6 M59 96300 000211 0000E 00001 00291</t>
  </si>
  <si>
    <t>5 1 2 9 1 12 31111 6 M59 96300 000211 0000E 00001 00291 015</t>
  </si>
  <si>
    <t>5 1 2 9 1 12 31111 6 M59 96300 000211 0000E 00001 00291 015 2112000</t>
  </si>
  <si>
    <t>5 1 2 9 1 12 31111 6 M59 96300 000211 0000E 00001 00291 015 2112000 2024</t>
  </si>
  <si>
    <t>5 1 2 9 1 12 31111 6 M59 96300 000211 0000E 00001 00291 015 2112000 2024 CP1SB396</t>
  </si>
  <si>
    <t>5 1 2 9 1 12 31111 6 M59 96300 000211 0000E 00001 00291 015 2112000 2024 CP1SB396 001</t>
  </si>
  <si>
    <t>5 1 2 9 1 12 31111 6 M59 96300 000211 0000E 00001 00291 015 2112000 2024 CP1SB396 001 0000001</t>
  </si>
  <si>
    <t>5 1 2 9 1 12 31111 6 M59 99000</t>
  </si>
  <si>
    <t>5 1 2 9 1 12 31111 6 M59 99000 000132</t>
  </si>
  <si>
    <t>5 1 2 9 1 12 31111 6 M59 99000 000132 0000R</t>
  </si>
  <si>
    <t>5 1 2 9 1 12 31111 6 M59 99000 000132 0000R 00001</t>
  </si>
  <si>
    <t>5 1 2 9 1 12 31111 6 M59 99000 000132 0000R 00001 00291</t>
  </si>
  <si>
    <t>5 1 2 9 1 12 31111 6 M59 99000 000132 0000R 00001 00291 015</t>
  </si>
  <si>
    <t>5 1 2 9 1 12 31111 6 M59 99000 000132 0000R 00001 00291 015 2112000</t>
  </si>
  <si>
    <t>5 1 2 9 1 12 31111 6 M59 99000 000132 0000R 00001 00291 015 2112000 2024</t>
  </si>
  <si>
    <t>5 1 2 9 1 12 31111 6 M59 99000 000132 0000R 00001 00291 015 2112000 2024 CP1MG408</t>
  </si>
  <si>
    <t>5 1 2 9 1 12 31111 6 M59 99000 000132 0000R 00001 00291 015 2112000 2024 CP1MG408 001</t>
  </si>
  <si>
    <t>5 1 2 9 1 12 31111 6 M59 99000 000132 0000R 00001 00291 015 2112000 2024 CP1MG408 001 0000001</t>
  </si>
  <si>
    <t>5 1 2 9 2</t>
  </si>
  <si>
    <t>REFACCIONES Y ACCESORIOS MENORES DE EDIFICIOS</t>
  </si>
  <si>
    <t>5 1 2 9 2 12</t>
  </si>
  <si>
    <t>5 1 2 9 2 12 31111</t>
  </si>
  <si>
    <t>5 1 2 9 2 12 31111 6</t>
  </si>
  <si>
    <t>5 1 2 9 2 12 31111 6 M59</t>
  </si>
  <si>
    <t>5 1 2 9 2 12 31111 6 M59 20400</t>
  </si>
  <si>
    <t>5 1 2 9 2 12 31111 6 M59 20400 000132</t>
  </si>
  <si>
    <t>5 1 2 9 2 12 31111 6 M59 20400 000132 0000R</t>
  </si>
  <si>
    <t>5 1 2 9 2 12 31111 6 M59 20400 000132 0000R 00001</t>
  </si>
  <si>
    <t>5 1 2 9 2 12 31111 6 M59 20400 000132 0000R 00001 00292</t>
  </si>
  <si>
    <t>REFACCIONES Y ACCESORIOS MENORES DE EDIFICIOS.</t>
  </si>
  <si>
    <t>5 1 2 9 2 12 31111 6 M59 20400 000132 0000R 00001 00292 015</t>
  </si>
  <si>
    <t>5 1 2 9 2 12 31111 6 M59 20400 000132 0000R 00001 00292 015 2112000</t>
  </si>
  <si>
    <t>5 1 2 9 2 12 31111 6 M59 20400 000132 0000R 00001 00292 015 2112000 2024</t>
  </si>
  <si>
    <t>5 1 2 9 2 12 31111 6 M59 20400 000132 0000R 00001 00292 015 2112000 2024 CP1PV404</t>
  </si>
  <si>
    <t>5 1 2 9 2 12 31111 6 M59 20400 000132 0000R 00001 00292 015 2112000 2024 CP1PV404 001</t>
  </si>
  <si>
    <t>5 1 2 9 2 12 31111 6 M59 20400 000132 0000R 00001 00292 015 2112000 2024 CP1PV404 001 0000001</t>
  </si>
  <si>
    <t>5 1 2 9 2 12 31111 6 M59 40000</t>
  </si>
  <si>
    <t>5 1 2 9 2 12 31111 6 M59 40000 000161</t>
  </si>
  <si>
    <t>5 1 2 9 2 12 31111 6 M59 40000 000161 0000E</t>
  </si>
  <si>
    <t>5 1 2 9 2 12 31111 6 M59 40000 000161 0000E 00001</t>
  </si>
  <si>
    <t>5 1 2 9 2 12 31111 6 M59 40000 000161 0000E 00001 00292</t>
  </si>
  <si>
    <t>5 1 2 9 2 12 31111 6 M59 40000 000161 0000E 00001 00292 025</t>
  </si>
  <si>
    <t>5 1 2 9 2 12 31111 6 M59 40000 000161 0000E 00001 00292 025 2112000</t>
  </si>
  <si>
    <t>5 1 2 9 2 12 31111 6 M59 40000 000161 0000E 00001 00292 025 2112000 2024</t>
  </si>
  <si>
    <t>5 1 2 9 2 12 31111 6 M59 40000 000161 0000E 00001 00292 025 2112000 2024 CP4SP372</t>
  </si>
  <si>
    <t>5 1 2 9 2 12 31111 6 M59 40000 000161 0000E 00001 00292 025 2112000 2024 CP4SP372 003</t>
  </si>
  <si>
    <t>5 1 2 9 2 12 31111 6 M59 40000 000161 0000E 00001 00292 025 2112000 2024 CP4SP372 003 0000001</t>
  </si>
  <si>
    <t>5 1 2 9 2 12 31111 6 M59 99000</t>
  </si>
  <si>
    <t>5 1 2 9 2 12 31111 6 M59 99000 000132</t>
  </si>
  <si>
    <t>5 1 2 9 2 12 31111 6 M59 99000 000132 0000R</t>
  </si>
  <si>
    <t>5 1 2 9 2 12 31111 6 M59 99000 000132 0000R 00001</t>
  </si>
  <si>
    <t>5 1 2 9 2 12 31111 6 M59 99000 000132 0000R 00001 00292</t>
  </si>
  <si>
    <t>5 1 2 9 2 12 31111 6 M59 99000 000132 0000R 00001 00292 015</t>
  </si>
  <si>
    <t>5 1 2 9 2 12 31111 6 M59 99000 000132 0000R 00001 00292 015 2112000</t>
  </si>
  <si>
    <t>5 1 2 9 2 12 31111 6 M59 99000 000132 0000R 00001 00292 015 2112000 2024</t>
  </si>
  <si>
    <t>5 1 2 9 2 12 31111 6 M59 99000 000132 0000R 00001 00292 015 2112000 2024 CP1MG408</t>
  </si>
  <si>
    <t>5 1 2 9 2 12 31111 6 M59 99000 000132 0000R 00001 00292 015 2112000 2024 CP1MG408 001</t>
  </si>
  <si>
    <t>5 1 2 9 2 12 31111 6 M59 99000 000132 0000R 00001 00292 015 2112000 2024 CP1MG408 001 0000001</t>
  </si>
  <si>
    <t>5 1 2 9 3</t>
  </si>
  <si>
    <t>REFACCIONES Y ACCESORIOS MENORES DE MOBILIARIO Y EQUIPO DE ADMINISTRACIÓN, EDUCACIONAL Y RECREATIVO</t>
  </si>
  <si>
    <t>5 1 2 9 3 12</t>
  </si>
  <si>
    <t>5 1 2 9 3 12 31111</t>
  </si>
  <si>
    <t>5 1 2 9 3 12 31111 6</t>
  </si>
  <si>
    <t>5 1 2 9 3 12 31111 6 M59</t>
  </si>
  <si>
    <t>5 1 2 9 3 12 31111 6 M59 94000</t>
  </si>
  <si>
    <t>5 1 2 9 3 12 31111 6 M59 94000 000181</t>
  </si>
  <si>
    <t>5 1 2 9 3 12 31111 6 M59 94000 000181 0000R</t>
  </si>
  <si>
    <t>5 1 2 9 3 12 31111 6 M59 94000 000181 0000R 00001</t>
  </si>
  <si>
    <t>5 1 2 9 3 12 31111 6 M59 94000 000181 0000R 00001 00293</t>
  </si>
  <si>
    <t>REFACCIONES Y ACCESORIOS MENORES DE MOBILIARIO Y EQUIPO DE ADMINISTRACION, EDUCACIONAL Y RECREATIVO.</t>
  </si>
  <si>
    <t>5 1 2 9 3 12 31111 6 M59 94000 000181 0000R 00001 00293 015</t>
  </si>
  <si>
    <t>5 1 2 9 3 12 31111 6 M59 94000 000181 0000R 00001 00293 015 2112000</t>
  </si>
  <si>
    <t>5 1 2 9 3 12 31111 6 M59 94000 000181 0000R 00001 00293 015 2112000 2024</t>
  </si>
  <si>
    <t>5 1 2 9 3 12 31111 6 M59 94000 000181 0000R 00001 00293 015 2112000 2024 CP1OM392</t>
  </si>
  <si>
    <t>5 1 2 9 3 12 31111 6 M59 94000 000181 0000R 00001 00293 015 2112000 2024 CP1OM392 001</t>
  </si>
  <si>
    <t>5 1 2 9 3 12 31111 6 M59 94000 000181 0000R 00001 00293 015 2112000 2024 CP1OM392 001 0000001</t>
  </si>
  <si>
    <t>5 1 2 9 4</t>
  </si>
  <si>
    <t>REFACCIONES Y ACCESORIOS MENORES DE EQUIPO DE CÓMPUTO Y TECNOLOGÍAS DE LA INFORMACIÓN</t>
  </si>
  <si>
    <t>5 1 2 9 4 12</t>
  </si>
  <si>
    <t>5 1 2 9 4 12 31111</t>
  </si>
  <si>
    <t>5 1 2 9 4 12 31111 6</t>
  </si>
  <si>
    <t>5 1 2 9 4 12 31111 6 M59</t>
  </si>
  <si>
    <t>5 1 2 9 4 12 31111 6 M59 40000</t>
  </si>
  <si>
    <t>5 1 2 9 4 12 31111 6 M59 40000 000161</t>
  </si>
  <si>
    <t>5 1 2 9 4 12 31111 6 M59 40000 000161 0000E</t>
  </si>
  <si>
    <t>5 1 2 9 4 12 31111 6 M59 40000 000161 0000E 00001</t>
  </si>
  <si>
    <t>5 1 2 9 4 12 31111 6 M59 40000 000161 0000E 00001 00294</t>
  </si>
  <si>
    <t>REFACCIONES Y ACCESORIOS MENORES DE EQUIPO DE COMPUTO Y TECNOLOGIAS DE LA INFORMACION.</t>
  </si>
  <si>
    <t>5 1 2 9 4 12 31111 6 M59 40000 000161 0000E 00001 00294 025</t>
  </si>
  <si>
    <t>5 1 2 9 4 12 31111 6 M59 40000 000161 0000E 00001 00294 025 2112000</t>
  </si>
  <si>
    <t>5 1 2 9 4 12 31111 6 M59 40000 000161 0000E 00001 00294 025 2112000 2024</t>
  </si>
  <si>
    <t>5 1 2 9 4 12 31111 6 M59 40000 000161 0000E 00001 00294 025 2112000 2024 CP4SP372</t>
  </si>
  <si>
    <t>5 1 2 9 4 12 31111 6 M59 40000 000161 0000E 00001 00294 025 2112000 2024 CP4SP372 003</t>
  </si>
  <si>
    <t>5 1 2 9 4 12 31111 6 M59 40000 000161 0000E 00001 00294 025 2112000 2024 CP4SP372 003 0000001</t>
  </si>
  <si>
    <t>5 1 2 9 6</t>
  </si>
  <si>
    <t>REFACCIONES Y ACCESORIOS MENORES DE EQUIPO DE TRANSPORTE</t>
  </si>
  <si>
    <t>5 1 2 9 6 12</t>
  </si>
  <si>
    <t>5 1 2 9 6 12 31111</t>
  </si>
  <si>
    <t>5 1 2 9 6 12 31111 6</t>
  </si>
  <si>
    <t>5 1 2 9 6 12 31111 6 M59</t>
  </si>
  <si>
    <t>5 1 2 9 6 12 31111 6 M59 19000</t>
  </si>
  <si>
    <t>5 1 2 9 6 12 31111 6 M59 19000 000132</t>
  </si>
  <si>
    <t>5 1 2 9 6 12 31111 6 M59 19000 000132 0000R</t>
  </si>
  <si>
    <t>5 1 2 9 6 12 31111 6 M59 19000 000132 0000R 00001</t>
  </si>
  <si>
    <t>5 1 2 9 6 12 31111 6 M59 19000 000132 0000R 00001 00296</t>
  </si>
  <si>
    <t>REFACCIONES Y ACCESORIOS MENORES DE EQUIPO DE TRANSPORTE.</t>
  </si>
  <si>
    <t>5 1 2 9 6 12 31111 6 M59 19000 000132 0000R 00001 00296 011</t>
  </si>
  <si>
    <t>5 1 2 9 6 12 31111 6 M59 19000 000132 0000R 00001 00296 011 2112000</t>
  </si>
  <si>
    <t>5 1 2 9 6 12 31111 6 M59 19000 000132 0000R 00001 00296 011 2112000 2024</t>
  </si>
  <si>
    <t>5 1 2 9 6 12 31111 6 M59 19000 000132 0000R 00001 00296 011 2112000 2024 CP1TM440</t>
  </si>
  <si>
    <t>5 1 2 9 6 12 31111 6 M59 19000 000132 0000R 00001 00296 011 2112000 2024 CP1TM440 004</t>
  </si>
  <si>
    <t>5 1 2 9 6 12 31111 6 M59 19000 000132 0000R 00001 00296 011 2112000 2024 CP1TM440 004 0000001</t>
  </si>
  <si>
    <t>5 1 2 9 6 12 31111 6 M59 20300</t>
  </si>
  <si>
    <t>5 1 2 9 6 12 31111 6 M59 20300 000132</t>
  </si>
  <si>
    <t>5 1 2 9 6 12 31111 6 M59 20300 000132 0000R</t>
  </si>
  <si>
    <t>5 1 2 9 6 12 31111 6 M59 20300 000132 0000R 00001</t>
  </si>
  <si>
    <t>5 1 2 9 6 12 31111 6 M59 20300 000132 0000R 00001 00296</t>
  </si>
  <si>
    <t>5 1 2 9 6 12 31111 6 M59 20300 000132 0000R 00001 00296 015</t>
  </si>
  <si>
    <t>5 1 2 9 6 12 31111 6 M59 20300 000132 0000R 00001 00296 015 2112000</t>
  </si>
  <si>
    <t>5 1 2 9 6 12 31111 6 M59 20300 000132 0000R 00001 00296 015 2112000 2024</t>
  </si>
  <si>
    <t>5 1 2 9 6 12 31111 6 M59 20300 000132 0000R 00001 00296 015 2112000 2024 CP1DE415</t>
  </si>
  <si>
    <t>5 1 2 9 6 12 31111 6 M59 20300 000132 0000R 00001 00296 015 2112000 2024 CP1DE415 001</t>
  </si>
  <si>
    <t>5 1 2 9 6 12 31111 6 M59 20300 000132 0000R 00001 00296 015 2112000 2024 CP1DE415 001 0000001</t>
  </si>
  <si>
    <t>5 1 2 9 6 12 31111 6 M59 20400</t>
  </si>
  <si>
    <t>5 1 2 9 6 12 31111 6 M59 20400 000132</t>
  </si>
  <si>
    <t>5 1 2 9 6 12 31111 6 M59 20400 000132 0000R</t>
  </si>
  <si>
    <t>5 1 2 9 6 12 31111 6 M59 20400 000132 0000R 00001</t>
  </si>
  <si>
    <t>5 1 2 9 6 12 31111 6 M59 20400 000132 0000R 00001 00296</t>
  </si>
  <si>
    <t>5 1 2 9 6 12 31111 6 M59 20400 000132 0000R 00001 00296 015</t>
  </si>
  <si>
    <t>5 1 2 9 6 12 31111 6 M59 20400 000132 0000R 00001 00296 015 2112000</t>
  </si>
  <si>
    <t>5 1 2 9 6 12 31111 6 M59 20400 000132 0000R 00001 00296 015 2112000 2024</t>
  </si>
  <si>
    <t>5 1 2 9 6 12 31111 6 M59 20400 000132 0000R 00001 00296 015 2112000 2024 CP1PV404</t>
  </si>
  <si>
    <t>5 1 2 9 6 12 31111 6 M59 20400 000132 0000R 00001 00296 015 2112000 2024 CP1PV404 001</t>
  </si>
  <si>
    <t>5 1 2 9 6 12 31111 6 M59 20400 000132 0000R 00001 00296 015 2112000 2024 CP1PV404 001 0000001</t>
  </si>
  <si>
    <t>5 1 2 9 6 12 31111 6 M59 20500</t>
  </si>
  <si>
    <t>5 1 2 9 6 12 31111 6 M59 20500 000132</t>
  </si>
  <si>
    <t>5 1 2 9 6 12 31111 6 M59 20500 000132 0000R</t>
  </si>
  <si>
    <t>5 1 2 9 6 12 31111 6 M59 20500 000132 0000R 00001</t>
  </si>
  <si>
    <t>5 1 2 9 6 12 31111 6 M59 20500 000132 0000R 00001 00296</t>
  </si>
  <si>
    <t>5 1 2 9 6 12 31111 6 M59 20500 000132 0000R 00001 00296 015</t>
  </si>
  <si>
    <t>5 1 2 9 6 12 31111 6 M59 20500 000132 0000R 00001 00296 015 2112000</t>
  </si>
  <si>
    <t>5 1 2 9 6 12 31111 6 M59 20500 000132 0000R 00001 00296 015 2112000 2024</t>
  </si>
  <si>
    <t>5 1 2 9 6 12 31111 6 M59 20500 000132 0000R 00001 00296 015 2112000 2024 CP1CP420</t>
  </si>
  <si>
    <t>5 1 2 9 6 12 31111 6 M59 20500 000132 0000R 00001 00296 015 2112000 2024 CP1CP420 001</t>
  </si>
  <si>
    <t>5 1 2 9 6 12 31111 6 M59 20500 000132 0000R 00001 00296 015 2112000 2024 CP1CP420 001 0000001</t>
  </si>
  <si>
    <t>5 1 2 9 6 12 31111 6 M59 20500 000181</t>
  </si>
  <si>
    <t>5 1 2 9 6 12 31111 6 M59 20500 000181 0000E</t>
  </si>
  <si>
    <t>5 1 2 9 6 12 31111 6 M59 20500 000181 0000E 00001</t>
  </si>
  <si>
    <t>5 1 2 9 6 12 31111 6 M59 20500 000181 0000E 00001 00296</t>
  </si>
  <si>
    <t>5 1 2 9 6 12 31111 6 M59 20500 000181 0000E 00001 00296 011</t>
  </si>
  <si>
    <t>5 1 2 9 6 12 31111 6 M59 20500 000181 0000E 00001 00296 011 2112000</t>
  </si>
  <si>
    <t>5 1 2 9 6 12 31111 6 M59 20500 000181 0000E 00001 00296 011 2112000 2024</t>
  </si>
  <si>
    <t>5 1 2 9 6 12 31111 6 M59 20500 000181 0000E 00001 00296 011 2112000 2024 CP3CP471</t>
  </si>
  <si>
    <t>5 1 2 9 6 12 31111 6 M59 20500 000181 0000E 00001 00296 011 2112000 2024 CP3CP471 004</t>
  </si>
  <si>
    <t>5 1 2 9 6 12 31111 6 M59 20500 000181 0000E 00001 00296 011 2112000 2024 CP3CP471 004 0000001</t>
  </si>
  <si>
    <t>5 1 2 9 6 12 31111 6 M59 40000</t>
  </si>
  <si>
    <t>5 1 2 9 6 12 31111 6 M59 40000 000161</t>
  </si>
  <si>
    <t>5 1 2 9 6 12 31111 6 M59 40000 000161 0000E</t>
  </si>
  <si>
    <t>5 1 2 9 6 12 31111 6 M59 40000 000161 0000E 00001</t>
  </si>
  <si>
    <t>5 1 2 9 6 12 31111 6 M59 40000 000161 0000E 00001 00296</t>
  </si>
  <si>
    <t>5 1 2 9 6 12 31111 6 M59 40000 000161 0000E 00001 00296 025</t>
  </si>
  <si>
    <t>5 1 2 9 6 12 31111 6 M59 40000 000161 0000E 00001 00296 025 2112000</t>
  </si>
  <si>
    <t>5 1 2 9 6 12 31111 6 M59 40000 000161 0000E 00001 00296 025 2112000 2024</t>
  </si>
  <si>
    <t>5 1 2 9 6 12 31111 6 M59 40000 000161 0000E 00001 00296 025 2112000 2024 CP4SP372</t>
  </si>
  <si>
    <t>5 1 2 9 6 12 31111 6 M59 40000 000161 0000E 00001 00296 025 2112000 2024 CP4SP372 003</t>
  </si>
  <si>
    <t>5 1 2 9 6 12 31111 6 M59 40000 000161 0000E 00001 00296 025 2112000 2024 CP4SP372 003 0000001</t>
  </si>
  <si>
    <t>5 1 2 9 6 12 31111 6 M59 40200</t>
  </si>
  <si>
    <t>5 1 2 9 6 12 31111 6 M59 40200 000172</t>
  </si>
  <si>
    <t>5 1 2 9 6 12 31111 6 M59 40200 000172 0000R</t>
  </si>
  <si>
    <t>5 1 2 9 6 12 31111 6 M59 40200 000172 0000R 00001</t>
  </si>
  <si>
    <t>5 1 2 9 6 12 31111 6 M59 40200 000172 0000R 00001 00296</t>
  </si>
  <si>
    <t>5 1 2 9 6 12 31111 6 M59 40200 000172 0000R 00001 00296 025</t>
  </si>
  <si>
    <t>5 1 2 9 6 12 31111 6 M59 40200 000172 0000R 00001 00296 025 2112000</t>
  </si>
  <si>
    <t>5 1 2 9 6 12 31111 6 M59 40200 000172 0000R 00001 00296 025 2112000 2024</t>
  </si>
  <si>
    <t>5 1 2 9 6 12 31111 6 M59 40200 000172 0000R 00001 00296 025 2112000 2024 CP4PC370</t>
  </si>
  <si>
    <t>5 1 2 9 6 12 31111 6 M59 40200 000172 0000R 00001 00296 025 2112000 2024 CP4PC370 003</t>
  </si>
  <si>
    <t>5 1 2 9 6 12 31111 6 M59 40200 000172 0000R 00001 00296 025 2112000 2024 CP4PC370 003 0000001</t>
  </si>
  <si>
    <t>5 1 2 9 6 12 31111 6 M59 40300</t>
  </si>
  <si>
    <t>5 1 2 9 6 12 31111 6 M59 40300 000185</t>
  </si>
  <si>
    <t>5 1 2 9 6 12 31111 6 M59 40300 000185 0000R</t>
  </si>
  <si>
    <t>5 1 2 9 6 12 31111 6 M59 40300 000185 0000R 00001</t>
  </si>
  <si>
    <t>5 1 2 9 6 12 31111 6 M59 40300 000185 0000R 00001 00296</t>
  </si>
  <si>
    <t>5 1 2 9 6 12 31111 6 M59 40300 000185 0000R 00001 00296 025</t>
  </si>
  <si>
    <t>5 1 2 9 6 12 31111 6 M59 40300 000185 0000R 00001 00296 025 2112000</t>
  </si>
  <si>
    <t>5 1 2 9 6 12 31111 6 M59 40300 000185 0000R 00001 00296 025 2112000 2024</t>
  </si>
  <si>
    <t>5 1 2 9 6 12 31111 6 M59 40300 000185 0000R 00001 00296 025 2112000 2024 CP4TV371</t>
  </si>
  <si>
    <t>5 1 2 9 6 12 31111 6 M59 40300 000185 0000R 00001 00296 025 2112000 2024 CP4TV371 003</t>
  </si>
  <si>
    <t>5 1 2 9 6 12 31111 6 M59 40300 000185 0000R 00001 00296 025 2112000 2024 CP4TV371 003 0000001</t>
  </si>
  <si>
    <t>5 1 2 9 6 12 31111 6 M59 40400</t>
  </si>
  <si>
    <t>5 1 2 9 6 12 31111 6 M59 40400 000173</t>
  </si>
  <si>
    <t>5 1 2 9 6 12 31111 6 M59 40400 000173 0000R</t>
  </si>
  <si>
    <t>5 1 2 9 6 12 31111 6 M59 40400 000173 0000R 00001</t>
  </si>
  <si>
    <t>5 1 2 9 6 12 31111 6 M59 40400 000173 0000R 00001 00296</t>
  </si>
  <si>
    <t>5 1 2 9 6 12 31111 6 M59 40400 000173 0000R 00001 00296 025</t>
  </si>
  <si>
    <t>5 1 2 9 6 12 31111 6 M59 40400 000173 0000R 00001 00296 025 2112000</t>
  </si>
  <si>
    <t>5 1 2 9 6 12 31111 6 M59 40400 000173 0000R 00001 00296 025 2112000 2024</t>
  </si>
  <si>
    <t>5 1 2 9 6 12 31111 6 M59 40400 000173 0000R 00001 00296 025 2112000 2024 CP4PD369</t>
  </si>
  <si>
    <t>5 1 2 9 6 12 31111 6 M59 40400 000173 0000R 00001 00296 025 2112000 2024 CP4PD369 003</t>
  </si>
  <si>
    <t>5 1 2 9 6 12 31111 6 M59 40400 000173 0000R 00001 00296 025 2112000 2024 CP4PD369 003 0000001</t>
  </si>
  <si>
    <t>5 1 2 9 6 12 31111 6 M59 60100</t>
  </si>
  <si>
    <t>5 1 2 9 6 12 31111 6 M59 60100 000132</t>
  </si>
  <si>
    <t>5 1 2 9 6 12 31111 6 M59 60100 000132 0000R</t>
  </si>
  <si>
    <t>5 1 2 9 6 12 31111 6 M59 60100 000132 0000R 00001</t>
  </si>
  <si>
    <t>5 1 2 9 6 12 31111 6 M59 60100 000132 0000R 00001 00296</t>
  </si>
  <si>
    <t>5 1 2 9 6 12 31111 6 M59 60100 000132 0000R 00001 00296 015</t>
  </si>
  <si>
    <t>5 1 2 9 6 12 31111 6 M59 60100 000132 0000R 00001 00296 015 2112000</t>
  </si>
  <si>
    <t>5 1 2 9 6 12 31111 6 M59 60100 000132 0000R 00001 00296 015 2112000 2024</t>
  </si>
  <si>
    <t>5 1 2 9 6 12 31111 6 M59 60100 000132 0000R 00001 00296 015 2112000 2024 CP1DM394</t>
  </si>
  <si>
    <t>5 1 2 9 6 12 31111 6 M59 60100 000132 0000R 00001 00296 015 2112000 2024 CP1DM394 001</t>
  </si>
  <si>
    <t>5 1 2 9 6 12 31111 6 M59 60100 000132 0000R 00001 00296 015 2112000 2024 CP1DM394 001 0000001</t>
  </si>
  <si>
    <t>5 1 2 9 6 12 31111 6 M59 91000</t>
  </si>
  <si>
    <t>5 1 2 9 6 12 31111 6 M59 91000 000132</t>
  </si>
  <si>
    <t>5 1 2 9 6 12 31111 6 M59 91000 000132 0000R</t>
  </si>
  <si>
    <t>5 1 2 9 6 12 31111 6 M59 91000 000132 0000R 00001</t>
  </si>
  <si>
    <t>5 1 2 9 6 12 31111 6 M59 91000 000132 0000R 00001 00296</t>
  </si>
  <si>
    <t>5 1 2 9 6 12 31111 6 M59 91000 000132 0000R 00001 00296 015</t>
  </si>
  <si>
    <t>5 1 2 9 6 12 31111 6 M59 91000 000132 0000R 00001 00296 015 2112000</t>
  </si>
  <si>
    <t>5 1 2 9 6 12 31111 6 M59 91000 000132 0000R 00001 00296 015 2112000 2024</t>
  </si>
  <si>
    <t>5 1 2 9 6 12 31111 6 M59 91000 000132 0000R 00001 00296 015 2112000 2024 CP1RE398</t>
  </si>
  <si>
    <t>5 1 2 9 6 12 31111 6 M59 91000 000132 0000R 00001 00296 015 2112000 2024 CP1RE398 001</t>
  </si>
  <si>
    <t>5 1 2 9 6 12 31111 6 M59 91000 000132 0000R 00001 00296 015 2112000 2024 CP1RE398 001 0000001</t>
  </si>
  <si>
    <t>5 1 2 9 6 12 31111 6 M59 96100</t>
  </si>
  <si>
    <t>5 1 2 9 6 12 31111 6 M59 96100 000211</t>
  </si>
  <si>
    <t>5 1 2 9 6 12 31111 6 M59 96100 000211 0000U</t>
  </si>
  <si>
    <t>5 1 2 9 6 12 31111 6 M59 96100 000211 0000U 00001</t>
  </si>
  <si>
    <t>5 1 2 9 6 12 31111 6 M59 96100 000211 0000U 00001 00296</t>
  </si>
  <si>
    <t>5 1 2 9 6 12 31111 6 M59 96100 000211 0000U 00001 00296 015</t>
  </si>
  <si>
    <t>5 1 2 9 6 12 31111 6 M59 96100 000211 0000U 00001 00296 015 2112000</t>
  </si>
  <si>
    <t>5 1 2 9 6 12 31111 6 M59 96100 000211 0000U 00001 00296 015 2112000 2024</t>
  </si>
  <si>
    <t>5 1 2 9 6 12 31111 6 M59 96100 000211 0000U 00001 00296 015 2112000 2024 CP1IU412</t>
  </si>
  <si>
    <t>5 1 2 9 6 12 31111 6 M59 96100 000211 0000U 00001 00296 015 2112000 2024 CP1IU412 001</t>
  </si>
  <si>
    <t>5 1 2 9 6 12 31111 6 M59 96100 000211 0000U 00001 00296 015 2112000 2024 CP1IU412 001 0000001</t>
  </si>
  <si>
    <t>5 1 2 9 6 12 31111 6 M59 96200</t>
  </si>
  <si>
    <t>5 1 2 9 6 12 31111 6 M59 96200 000132</t>
  </si>
  <si>
    <t>5 1 2 9 6 12 31111 6 M59 96200 000132 0000R</t>
  </si>
  <si>
    <t>5 1 2 9 6 12 31111 6 M59 96200 000132 0000R 00001</t>
  </si>
  <si>
    <t>5 1 2 9 6 12 31111 6 M59 96200 000132 0000R 00001 00296</t>
  </si>
  <si>
    <t>5 1 2 9 6 12 31111 6 M59 96200 000132 0000R 00001 00296 015</t>
  </si>
  <si>
    <t>5 1 2 9 6 12 31111 6 M59 96200 000132 0000R 00001 00296 015 2112000</t>
  </si>
  <si>
    <t>5 1 2 9 6 12 31111 6 M59 96200 000132 0000R 00001 00296 015 2112000 2024</t>
  </si>
  <si>
    <t>5 1 2 9 6 12 31111 6 M59 96200 000132 0000R 00001 00296 015 2112000 2024 CP1AL423</t>
  </si>
  <si>
    <t>5 1 2 9 6 12 31111 6 M59 96200 000132 0000R 00001 00296 015 2112000 2024 CP1AL423 001</t>
  </si>
  <si>
    <t>5 1 2 9 6 12 31111 6 M59 96200 000132 0000R 00001 00296 015 2112000 2024 CP1AL423 001 0000001</t>
  </si>
  <si>
    <t>5 1 2 9 6 12 31111 6 M59 96300</t>
  </si>
  <si>
    <t>5 1 2 9 6 12 31111 6 M59 96300 000211</t>
  </si>
  <si>
    <t>5 1 2 9 6 12 31111 6 M59 96300 000211 0000E</t>
  </si>
  <si>
    <t>5 1 2 9 6 12 31111 6 M59 96300 000211 0000E 00001</t>
  </si>
  <si>
    <t>5 1 2 9 6 12 31111 6 M59 96300 000211 0000E 00001 00296</t>
  </si>
  <si>
    <t>5 1 2 9 6 12 31111 6 M59 96300 000211 0000E 00001 00296 011</t>
  </si>
  <si>
    <t>5 1 2 9 6 12 31111 6 M59 96300 000211 0000E 00001 00296 011 2112000</t>
  </si>
  <si>
    <t>5 1 2 9 6 12 31111 6 M59 96300 000211 0000E 00001 00296 011 2112000 2024</t>
  </si>
  <si>
    <t>5 1 2 9 6 12 31111 6 M59 96300 000211 0000E 00001 00296 011 2112000 2024 CP3SB474</t>
  </si>
  <si>
    <t>5 1 2 9 6 12 31111 6 M59 96300 000211 0000E 00001 00296 011 2112000 2024 CP3SB474 004</t>
  </si>
  <si>
    <t>5 1 2 9 6 12 31111 6 M59 96300 000211 0000E 00001 00296 011 2112000 2024 CP3SB474 004 0000001</t>
  </si>
  <si>
    <t>5 1 2 9 6 12 31111 6 M59 96300 000211 0000E 00001 00296 015</t>
  </si>
  <si>
    <t>5 1 2 9 6 12 31111 6 M59 96300 000211 0000E 00001 00296 015 2112000</t>
  </si>
  <si>
    <t>5 1 2 9 6 12 31111 6 M59 96300 000211 0000E 00001 00296 015 2112000 2024</t>
  </si>
  <si>
    <t>5 1 2 9 6 12 31111 6 M59 96300 000211 0000E 00001 00296 015 2112000 2024 CP1SB396</t>
  </si>
  <si>
    <t>5 1 2 9 6 12 31111 6 M59 96300 000211 0000E 00001 00296 015 2112000 2024 CP1SB396 001</t>
  </si>
  <si>
    <t>5 1 2 9 6 12 31111 6 M59 96300 000211 0000E 00001 00296 015 2112000 2024 CP1SB396 001 0000001</t>
  </si>
  <si>
    <t>5 1 2 9 8</t>
  </si>
  <si>
    <t>REFACCIONES Y ACCESORIOS MENORES DE MAQUINARIA Y OTROS EQUIPOS</t>
  </si>
  <si>
    <t>5 1 2 9 8 12</t>
  </si>
  <si>
    <t>5 1 2 9 8 12 31111</t>
  </si>
  <si>
    <t>5 1 2 9 8 12 31111 6</t>
  </si>
  <si>
    <t>5 1 2 9 8 12 31111 6 M59</t>
  </si>
  <si>
    <t>5 1 2 9 8 12 31111 6 M59 40000</t>
  </si>
  <si>
    <t>5 1 2 9 8 12 31111 6 M59 40000 000161</t>
  </si>
  <si>
    <t>5 1 2 9 8 12 31111 6 M59 40000 000161 0000E</t>
  </si>
  <si>
    <t>5 1 2 9 8 12 31111 6 M59 40000 000161 0000E 00001</t>
  </si>
  <si>
    <t>5 1 2 9 8 12 31111 6 M59 40000 000161 0000E 00001 00298</t>
  </si>
  <si>
    <t>REFACCIONES Y ACCESORIOS MENORES DE MAQUINARIA Y OTROS EQUIPOS.</t>
  </si>
  <si>
    <t>5 1 2 9 8 12 31111 6 M59 40000 000161 0000E 00001 00298 025</t>
  </si>
  <si>
    <t>5 1 2 9 8 12 31111 6 M59 40000 000161 0000E 00001 00298 025 2112000</t>
  </si>
  <si>
    <t>5 1 2 9 8 12 31111 6 M59 40000 000161 0000E 00001 00298 025 2112000 2024</t>
  </si>
  <si>
    <t>5 1 2 9 8 12 31111 6 M59 40000 000161 0000E 00001 00298 025 2112000 2024 CP4SP372</t>
  </si>
  <si>
    <t>5 1 2 9 8 12 31111 6 M59 40000 000161 0000E 00001 00298 025 2112000 2024 CP4SP372 003</t>
  </si>
  <si>
    <t>5 1 2 9 8 12 31111 6 M59 40000 000161 0000E 00001 00298 025 2112000 2024 CP4SP372 003 0000001</t>
  </si>
  <si>
    <t>5 1 2 9 8 12 31111 6 M59 40200</t>
  </si>
  <si>
    <t>5 1 2 9 8 12 31111 6 M59 40200 000172</t>
  </si>
  <si>
    <t>5 1 2 9 8 12 31111 6 M59 40200 000172 0000R</t>
  </si>
  <si>
    <t>5 1 2 9 8 12 31111 6 M59 40200 000172 0000R 00001</t>
  </si>
  <si>
    <t>5 1 2 9 8 12 31111 6 M59 40200 000172 0000R 00001 00298</t>
  </si>
  <si>
    <t>5 1 2 9 8 12 31111 6 M59 40200 000172 0000R 00001 00298 025</t>
  </si>
  <si>
    <t>5 1 2 9 8 12 31111 6 M59 40200 000172 0000R 00001 00298 025 2112000</t>
  </si>
  <si>
    <t>5 1 2 9 8 12 31111 6 M59 40200 000172 0000R 00001 00298 025 2112000 2024</t>
  </si>
  <si>
    <t>5 1 2 9 8 12 31111 6 M59 40200 000172 0000R 00001 00298 025 2112000 2024 CP4PC370</t>
  </si>
  <si>
    <t>5 1 2 9 8 12 31111 6 M59 40200 000172 0000R 00001 00298 025 2112000 2024 CP4PC370 003</t>
  </si>
  <si>
    <t>5 1 2 9 8 12 31111 6 M59 40200 000172 0000R 00001 00298 025 2112000 2024 CP4PC370 003 0000001</t>
  </si>
  <si>
    <t>5 1 2 9 8 12 31111 6 M59 40300</t>
  </si>
  <si>
    <t>5 1 2 9 8 12 31111 6 M59 40300 000185</t>
  </si>
  <si>
    <t>5 1 2 9 8 12 31111 6 M59 40300 000185 0000R</t>
  </si>
  <si>
    <t>5 1 2 9 8 12 31111 6 M59 40300 000185 0000R 00001</t>
  </si>
  <si>
    <t>5 1 2 9 8 12 31111 6 M59 40300 000185 0000R 00001 00298</t>
  </si>
  <si>
    <t>5 1 2 9 8 12 31111 6 M59 40300 000185 0000R 00001 00298 025</t>
  </si>
  <si>
    <t>5 1 2 9 8 12 31111 6 M59 40300 000185 0000R 00001 00298 025 2112000</t>
  </si>
  <si>
    <t>5 1 2 9 8 12 31111 6 M59 40300 000185 0000R 00001 00298 025 2112000 2024</t>
  </si>
  <si>
    <t>5 1 2 9 8 12 31111 6 M59 40300 000185 0000R 00001 00298 025 2112000 2024 CP4TV371</t>
  </si>
  <si>
    <t>5 1 2 9 8 12 31111 6 M59 40300 000185 0000R 00001 00298 025 2112000 2024 CP4TV371 003</t>
  </si>
  <si>
    <t>5 1 2 9 8 12 31111 6 M59 40300 000185 0000R 00001 00298 025 2112000 2024 CP4TV371 003 0000001</t>
  </si>
  <si>
    <t>5 1 2 9 8 12 31111 6 M59 96000</t>
  </si>
  <si>
    <t>5 1 2 9 8 12 31111 6 M59 96000 000132</t>
  </si>
  <si>
    <t>5 1 2 9 8 12 31111 6 M59 96000 000132 0000R</t>
  </si>
  <si>
    <t>5 1 2 9 8 12 31111 6 M59 96000 000132 0000R 00001</t>
  </si>
  <si>
    <t>5 1 2 9 8 12 31111 6 M59 96000 000132 0000R 00001 00298</t>
  </si>
  <si>
    <t>5 1 2 9 8 12 31111 6 M59 96000 000132 0000R 00001 00298 015</t>
  </si>
  <si>
    <t>5 1 2 9 8 12 31111 6 M59 96000 000132 0000R 00001 00298 015 2112000</t>
  </si>
  <si>
    <t>5 1 2 9 8 12 31111 6 M59 96000 000132 0000R 00001 00298 015 2112000 2024</t>
  </si>
  <si>
    <t>5 1 2 9 8 12 31111 6 M59 96000 000132 0000R 00001 00298 015 2112000 2024 CP1PA379</t>
  </si>
  <si>
    <t>5 1 2 9 8 12 31111 6 M59 96000 000132 0000R 00001 00298 015 2112000 2024 CP1PA379 001</t>
  </si>
  <si>
    <t>5 1 2 9 8 12 31111 6 M59 96000 000132 0000R 00001 00298 015 2112000 2024 CP1PA379 001 0000001</t>
  </si>
  <si>
    <t>5 1 2 9 8 12 31111 6 M59 96300</t>
  </si>
  <si>
    <t>5 1 2 9 8 12 31111 6 M59 96300 000211</t>
  </si>
  <si>
    <t>5 1 2 9 8 12 31111 6 M59 96300 000211 0000E</t>
  </si>
  <si>
    <t>5 1 2 9 8 12 31111 6 M59 96300 000211 0000E 00001</t>
  </si>
  <si>
    <t>5 1 2 9 8 12 31111 6 M59 96300 000211 0000E 00001 00298</t>
  </si>
  <si>
    <t>5 1 2 9 8 12 31111 6 M59 96300 000211 0000E 00001 00298 015</t>
  </si>
  <si>
    <t>5 1 2 9 8 12 31111 6 M59 96300 000211 0000E 00001 00298 015 2112000</t>
  </si>
  <si>
    <t>5 1 2 9 8 12 31111 6 M59 96300 000211 0000E 00001 00298 015 2112000 2024</t>
  </si>
  <si>
    <t>5 1 2 9 8 12 31111 6 M59 96300 000211 0000E 00001 00298 015 2112000 2024 CP1SB396</t>
  </si>
  <si>
    <t>5 1 2 9 8 12 31111 6 M59 96300 000211 0000E 00001 00298 015 2112000 2024 CP1SB396 001</t>
  </si>
  <si>
    <t>5 1 2 9 8 12 31111 6 M59 96300 000211 0000E 00001 00298 015 2112000 2024 CP1SB396 001 0000001</t>
  </si>
  <si>
    <t>5 1 2 9 9</t>
  </si>
  <si>
    <t>5 1 2 9 9 12</t>
  </si>
  <si>
    <t>5 1 2 9 9 12 31111</t>
  </si>
  <si>
    <t>5 1 2 9 9 12 31111 6</t>
  </si>
  <si>
    <t>5 1 2 9 9 12 31111 6 M59</t>
  </si>
  <si>
    <t>5 1 2 9 9 12 31111 6 M59 96300</t>
  </si>
  <si>
    <t>5 1 2 9 9 12 31111 6 M59 96300 000211</t>
  </si>
  <si>
    <t>5 1 2 9 9 12 31111 6 M59 96300 000211 0000E</t>
  </si>
  <si>
    <t>5 1 2 9 9 12 31111 6 M59 96300 000211 0000E 00001</t>
  </si>
  <si>
    <t>5 1 2 9 9 12 31111 6 M59 96300 000211 0000E 00001 00299</t>
  </si>
  <si>
    <t>REFACCIONES Y ACCESORIOS MENORES OTROS BIENES MUEBLES.</t>
  </si>
  <si>
    <t>5 1 2 9 9 12 31111 6 M59 96300 000211 0000E 00001 00299 015</t>
  </si>
  <si>
    <t>5 1 2 9 9 12 31111 6 M59 96300 000211 0000E 00001 00299 015 2112000</t>
  </si>
  <si>
    <t>5 1 2 9 9 12 31111 6 M59 96300 000211 0000E 00001 00299 015 2112000 2024</t>
  </si>
  <si>
    <t>5 1 2 9 9 12 31111 6 M59 96300 000211 0000E 00001 00299 015 2112000 2024 CP1SB396</t>
  </si>
  <si>
    <t>5 1 2 9 9 12 31111 6 M59 96300 000211 0000E 00001 00299 015 2112000 2024 CP1SB396 001</t>
  </si>
  <si>
    <t>5 1 2 9 9 12 31111 6 M59 96300 000211 0000E 00001 00299 015 2112000 2024 CP1SB396 001 0000001</t>
  </si>
  <si>
    <t>5 1 2 9 9 12 31111 6 M59 99000</t>
  </si>
  <si>
    <t>5 1 2 9 9 12 31111 6 M59 99000 000132</t>
  </si>
  <si>
    <t>5 1 2 9 9 12 31111 6 M59 99000 000132 0000R</t>
  </si>
  <si>
    <t>5 1 2 9 9 12 31111 6 M59 99000 000132 0000R 00001</t>
  </si>
  <si>
    <t>5 1 2 9 9 12 31111 6 M59 99000 000132 0000R 00001 00299</t>
  </si>
  <si>
    <t>5 1 2 9 9 12 31111 6 M59 99000 000132 0000R 00001 00299 015</t>
  </si>
  <si>
    <t>5 1 2 9 9 12 31111 6 M59 99000 000132 0000R 00001 00299 015 2112000</t>
  </si>
  <si>
    <t>5 1 2 9 9 12 31111 6 M59 99000 000132 0000R 00001 00299 015 2112000 2024</t>
  </si>
  <si>
    <t>5 1 2 9 9 12 31111 6 M59 99000 000132 0000R 00001 00299 015 2112000 2024 CP1MG408</t>
  </si>
  <si>
    <t>5 1 2 9 9 12 31111 6 M59 99000 000132 0000R 00001 00299 015 2112000 2024 CP1MG408 001</t>
  </si>
  <si>
    <t>5 1 2 9 9 12 31111 6 M59 99000 000132 0000R 00001 00299 015 2112000 2024 CP1MG408 001 0000001</t>
  </si>
  <si>
    <t>5 1 3</t>
  </si>
  <si>
    <t>SERVICIOS GENERALES</t>
  </si>
  <si>
    <t>5 1 3 1</t>
  </si>
  <si>
    <t>SERVICIOS BÁSICOS</t>
  </si>
  <si>
    <t>5 1 3 1 1</t>
  </si>
  <si>
    <t>ENERGÍA ELÉCTRICA</t>
  </si>
  <si>
    <t>5 1 3 1 1 12</t>
  </si>
  <si>
    <t>5 1 3 1 1 12 31111</t>
  </si>
  <si>
    <t>5 1 3 1 1 12 31111 6</t>
  </si>
  <si>
    <t>5 1 3 1 1 12 31111 6 M59</t>
  </si>
  <si>
    <t>5 1 3 1 1 12 31111 6 M59 19000</t>
  </si>
  <si>
    <t>5 1 3 1 1 12 31111 6 M59 19000 000132</t>
  </si>
  <si>
    <t>5 1 3 1 1 12 31111 6 M59 19000 000132 0000R</t>
  </si>
  <si>
    <t>5 1 3 1 1 12 31111 6 M59 19000 000132 0000R 00001</t>
  </si>
  <si>
    <t>5 1 3 1 1 12 31111 6 M59 19000 000132 0000R 00001 00311</t>
  </si>
  <si>
    <t>ENERGIA ELECTRICA.</t>
  </si>
  <si>
    <t>5 1 3 1 1 12 31111 6 M59 19000 000132 0000R 00001 00311 011</t>
  </si>
  <si>
    <t>5 1 3 1 1 12 31111 6 M59 19000 000132 0000R 00001 00311 011 2112000</t>
  </si>
  <si>
    <t>5 1 3 1 1 12 31111 6 M59 19000 000132 0000R 00001 00311 011 2112000 2024</t>
  </si>
  <si>
    <t>5 1 3 1 1 12 31111 6 M59 19000 000132 0000R 00001 00311 011 2112000 2024 CP1TM440</t>
  </si>
  <si>
    <t>5 1 3 1 1 12 31111 6 M59 19000 000132 0000R 00001 00311 011 2112000 2024 CP1TM440 004</t>
  </si>
  <si>
    <t>5 1 3 1 1 12 31111 6 M59 19000 000132 0000R 00001 00311 011 2112000 2024 CP1TM440 004 0000002</t>
  </si>
  <si>
    <t>ENERGIA ELECTRICA</t>
  </si>
  <si>
    <t>5 1 3 1 1 12 31111 6 M59 20500</t>
  </si>
  <si>
    <t>5 1 3 1 1 12 31111 6 M59 20500 000181</t>
  </si>
  <si>
    <t>5 1 3 1 1 12 31111 6 M59 20500 000181 0000E</t>
  </si>
  <si>
    <t>5 1 3 1 1 12 31111 6 M59 20500 000181 0000E 00001</t>
  </si>
  <si>
    <t>5 1 3 1 1 12 31111 6 M59 20500 000181 0000E 00001 00311</t>
  </si>
  <si>
    <t>5 1 3 1 1 12 31111 6 M59 20500 000181 0000E 00001 00311 011</t>
  </si>
  <si>
    <t>5 1 3 1 1 12 31111 6 M59 20500 000181 0000E 00001 00311 011 2112000</t>
  </si>
  <si>
    <t>5 1 3 1 1 12 31111 6 M59 20500 000181 0000E 00001 00311 011 2112000 2024</t>
  </si>
  <si>
    <t>5 1 3 1 1 12 31111 6 M59 20500 000181 0000E 00001 00311 011 2112000 2024 CP3CP471</t>
  </si>
  <si>
    <t>5 1 3 1 1 12 31111 6 M59 20500 000181 0000E 00001 00311 011 2112000 2024 CP3CP471 004</t>
  </si>
  <si>
    <t>5 1 3 1 1 12 31111 6 M59 20500 000181 0000E 00001 00311 011 2112000 2024 CP3CP471 004 0000001</t>
  </si>
  <si>
    <t>ALUMBRADO PÚBLICO</t>
  </si>
  <si>
    <t>5 1 3 1 1 12 31111 6 M59 40000</t>
  </si>
  <si>
    <t>5 1 3 1 1 12 31111 6 M59 40000 000161</t>
  </si>
  <si>
    <t>5 1 3 1 1 12 31111 6 M59 40000 000161 0000E</t>
  </si>
  <si>
    <t>5 1 3 1 1 12 31111 6 M59 40000 000161 0000E 00001</t>
  </si>
  <si>
    <t>5 1 3 1 1 12 31111 6 M59 40000 000161 0000E 00001 00311</t>
  </si>
  <si>
    <t>5 1 3 1 1 12 31111 6 M59 40000 000161 0000E 00001 00311 025</t>
  </si>
  <si>
    <t>5 1 3 1 1 12 31111 6 M59 40000 000161 0000E 00001 00311 025 2112000</t>
  </si>
  <si>
    <t>5 1 3 1 1 12 31111 6 M59 40000 000161 0000E 00001 00311 025 2112000 2024</t>
  </si>
  <si>
    <t>5 1 3 1 1 12 31111 6 M59 40000 000161 0000E 00001 00311 025 2112000 2024 CP4SP372</t>
  </si>
  <si>
    <t>5 1 3 1 1 12 31111 6 M59 40000 000161 0000E 00001 00311 025 2112000 2024 CP4SP372 003</t>
  </si>
  <si>
    <t>5 1 3 1 1 12 31111 6 M59 40000 000161 0000E 00001 00311 025 2112000 2024 CP4SP372 003 0000001</t>
  </si>
  <si>
    <t>ENERGÍA ELÉCTRICA EDIFICIOS PÚBLICOS Y DAP</t>
  </si>
  <si>
    <t>5 1 3 1 1 12 31111 6 M59 94000</t>
  </si>
  <si>
    <t>5 1 3 1 1 12 31111 6 M59 94000 000181</t>
  </si>
  <si>
    <t>5 1 3 1 1 12 31111 6 M59 94000 000181 0000R</t>
  </si>
  <si>
    <t>5 1 3 1 1 12 31111 6 M59 94000 000181 0000R 00001</t>
  </si>
  <si>
    <t>5 1 3 1 1 12 31111 6 M59 94000 000181 0000R 00001 00311</t>
  </si>
  <si>
    <t>5 1 3 1 1 12 31111 6 M59 94000 000181 0000R 00001 00311 015</t>
  </si>
  <si>
    <t>5 1 3 1 1 12 31111 6 M59 94000 000181 0000R 00001 00311 015 2112000</t>
  </si>
  <si>
    <t>5 1 3 1 1 12 31111 6 M59 94000 000181 0000R 00001 00311 015 2112000 2024</t>
  </si>
  <si>
    <t>5 1 3 1 1 12 31111 6 M59 94000 000181 0000R 00001 00311 015 2112000 2024 CP1OM392</t>
  </si>
  <si>
    <t>5 1 3 1 1 12 31111 6 M59 94000 000181 0000R 00001 00311 015 2112000 2024 CP1OM392 001</t>
  </si>
  <si>
    <t>5 1 3 1 1 12 31111 6 M59 94000 000181 0000R 00001 00311 015 2112000 2024 CP1OM392 001 0000001</t>
  </si>
  <si>
    <t>5 1 3 1 1 12 31111 6 M59 96200</t>
  </si>
  <si>
    <t>5 1 3 1 1 12 31111 6 M59 96200 000132</t>
  </si>
  <si>
    <t>5 1 3 1 1 12 31111 6 M59 96200 000132 0000R</t>
  </si>
  <si>
    <t>5 1 3 1 1 12 31111 6 M59 96200 000132 0000R 00001</t>
  </si>
  <si>
    <t>5 1 3 1 1 12 31111 6 M59 96200 000132 0000R 00001 00311</t>
  </si>
  <si>
    <t>5 1 3 1 1 12 31111 6 M59 96200 000132 0000R 00001 00311 015</t>
  </si>
  <si>
    <t>5 1 3 1 1 12 31111 6 M59 96200 000132 0000R 00001 00311 015 2111100</t>
  </si>
  <si>
    <t>5 1 3 1 1 12 31111 6 M59 96200 000132 0000R 00001 00311 015 2111100 2024</t>
  </si>
  <si>
    <t>5 1 3 1 1 12 31111 6 M59 96200 000132 0000R 00001 00311 015 2111100 2024 CP1AL423</t>
  </si>
  <si>
    <t>5 1 3 1 1 12 31111 6 M59 96200 000132 0000R 00001 00311 015 2111100 2024 CP1AL423 001</t>
  </si>
  <si>
    <t>5 1 3 1 1 12 31111 6 M59 96200 000132 0000R 00001 00311 015 2111100 2024 CP1AL423 001 0000001</t>
  </si>
  <si>
    <t>5 1 3 1 4</t>
  </si>
  <si>
    <t>TELEFONÍA TRADICIONAL</t>
  </si>
  <si>
    <t>5 1 3 1 4 12</t>
  </si>
  <si>
    <t>5 1 3 1 4 12 31111</t>
  </si>
  <si>
    <t>5 1 3 1 4 12 31111 6</t>
  </si>
  <si>
    <t>5 1 3 1 4 12 31111 6 M59</t>
  </si>
  <si>
    <t>5 1 3 1 4 12 31111 6 M59 19000</t>
  </si>
  <si>
    <t>5 1 3 1 4 12 31111 6 M59 19000 000132</t>
  </si>
  <si>
    <t>5 1 3 1 4 12 31111 6 M59 19000 000132 0000R</t>
  </si>
  <si>
    <t>5 1 3 1 4 12 31111 6 M59 19000 000132 0000R 00001</t>
  </si>
  <si>
    <t>5 1 3 1 4 12 31111 6 M59 19000 000132 0000R 00001 00314</t>
  </si>
  <si>
    <t>TELEFONIA TRADICIONAL.</t>
  </si>
  <si>
    <t>5 1 3 1 4 12 31111 6 M59 19000 000132 0000R 00001 00314 011</t>
  </si>
  <si>
    <t>5 1 3 1 4 12 31111 6 M59 19000 000132 0000R 00001 00314 011 2112000</t>
  </si>
  <si>
    <t>5 1 3 1 4 12 31111 6 M59 19000 000132 0000R 00001 00314 011 2112000 2024</t>
  </si>
  <si>
    <t>5 1 3 1 4 12 31111 6 M59 19000 000132 0000R 00001 00314 011 2112000 2024 CP1TM440</t>
  </si>
  <si>
    <t>5 1 3 1 4 12 31111 6 M59 19000 000132 0000R 00001 00314 011 2112000 2024 CP1TM440 004</t>
  </si>
  <si>
    <t>5 1 3 1 4 12 31111 6 M59 19000 000132 0000R 00001 00314 011 2112000 2024 CP1TM440 004 0000001</t>
  </si>
  <si>
    <t>5 1 3 1 4 12 31111 6 M59 94000</t>
  </si>
  <si>
    <t>5 1 3 1 4 12 31111 6 M59 94000 000181</t>
  </si>
  <si>
    <t>5 1 3 1 4 12 31111 6 M59 94000 000181 0000R</t>
  </si>
  <si>
    <t>5 1 3 1 4 12 31111 6 M59 94000 000181 0000R 00001</t>
  </si>
  <si>
    <t>5 1 3 1 4 12 31111 6 M59 94000 000181 0000R 00001 00314</t>
  </si>
  <si>
    <t>5 1 3 1 4 12 31111 6 M59 94000 000181 0000R 00001 00314 015</t>
  </si>
  <si>
    <t>5 1 3 1 4 12 31111 6 M59 94000 000181 0000R 00001 00314 015 2112000</t>
  </si>
  <si>
    <t>5 1 3 1 4 12 31111 6 M59 94000 000181 0000R 00001 00314 015 2112000 2024</t>
  </si>
  <si>
    <t>5 1 3 1 4 12 31111 6 M59 94000 000181 0000R 00001 00314 015 2112000 2024 CP1OM392</t>
  </si>
  <si>
    <t>5 1 3 1 4 12 31111 6 M59 94000 000181 0000R 00001 00314 015 2112000 2024 CP1OM392 001</t>
  </si>
  <si>
    <t>5 1 3 1 4 12 31111 6 M59 94000 000181 0000R 00001 00314 015 2112000 2024 CP1OM392 001 0000001</t>
  </si>
  <si>
    <t>5 1 3 1 7</t>
  </si>
  <si>
    <t>SERVICIOS DE ACCESO DE INTERNET, REDES Y PROCESAMIENTO DE INFORMACIÓN</t>
  </si>
  <si>
    <t>5 1 3 1 7 12</t>
  </si>
  <si>
    <t>5 1 3 1 7 12 31111</t>
  </si>
  <si>
    <t>5 1 3 1 7 12 31111 6</t>
  </si>
  <si>
    <t>5 1 3 1 7 12 31111 6 M59</t>
  </si>
  <si>
    <t>5 1 3 1 7 12 31111 6 M59 20500</t>
  </si>
  <si>
    <t>5 1 3 1 7 12 31111 6 M59 20500 000181</t>
  </si>
  <si>
    <t>5 1 3 1 7 12 31111 6 M59 20500 000181 0000E</t>
  </si>
  <si>
    <t>5 1 3 1 7 12 31111 6 M59 20500 000181 0000E 00001</t>
  </si>
  <si>
    <t>5 1 3 1 7 12 31111 6 M59 20500 000181 0000E 00001 00317</t>
  </si>
  <si>
    <t>SERVICIOS DE ACCESO DE INTERNET, REDES Y PROCESAMIENTO DE INFORMACION.</t>
  </si>
  <si>
    <t>5 1 3 1 7 12 31111 6 M59 20500 000181 0000E 00001 00317 011</t>
  </si>
  <si>
    <t>5 1 3 1 7 12 31111 6 M59 20500 000181 0000E 00001 00317 011 2112000</t>
  </si>
  <si>
    <t>5 1 3 1 7 12 31111 6 M59 20500 000181 0000E 00001 00317 011 2112000 2024</t>
  </si>
  <si>
    <t>5 1 3 1 7 12 31111 6 M59 20500 000181 0000E 00001 00317 011 2112000 2024 CP3CP471</t>
  </si>
  <si>
    <t>5 1 3 1 7 12 31111 6 M59 20500 000181 0000E 00001 00317 011 2112000 2024 CP3CP471 004</t>
  </si>
  <si>
    <t>5 1 3 1 7 12 31111 6 M59 20500 000181 0000E 00001 00317 011 2112000 2024 CP3CP471 004 0000001</t>
  </si>
  <si>
    <t>5 1 3 2</t>
  </si>
  <si>
    <t>SERVICIOS DE ARRENDAMIENTO</t>
  </si>
  <si>
    <t>5 1 3 2 2</t>
  </si>
  <si>
    <t>ARRENDAMIENTO DE EDIFICIOS</t>
  </si>
  <si>
    <t>5 1 3 2 2 12</t>
  </si>
  <si>
    <t>5 1 3 2 2 12 31111</t>
  </si>
  <si>
    <t>5 1 3 2 2 12 31111 6</t>
  </si>
  <si>
    <t>5 1 3 2 2 12 31111 6 M59</t>
  </si>
  <si>
    <t>5 1 3 2 2 12 31111 6 M59 19000</t>
  </si>
  <si>
    <t>5 1 3 2 2 12 31111 6 M59 19000 000132</t>
  </si>
  <si>
    <t>5 1 3 2 2 12 31111 6 M59 19000 000132 0000R</t>
  </si>
  <si>
    <t>5 1 3 2 2 12 31111 6 M59 19000 000132 0000R 00001</t>
  </si>
  <si>
    <t>5 1 3 2 2 12 31111 6 M59 19000 000132 0000R 00001 00322</t>
  </si>
  <si>
    <t>ARRENDAMIENTO DE EDIFICIOS.</t>
  </si>
  <si>
    <t>5 1 3 2 2 12 31111 6 M59 19000 000132 0000R 00001 00322 011</t>
  </si>
  <si>
    <t>5 1 3 2 2 12 31111 6 M59 19000 000132 0000R 00001 00322 011 2112000</t>
  </si>
  <si>
    <t>5 1 3 2 2 12 31111 6 M59 19000 000132 0000R 00001 00322 011 2112000 2024</t>
  </si>
  <si>
    <t>5 1 3 2 2 12 31111 6 M59 19000 000132 0000R 00001 00322 011 2112000 2024 CP1TM440</t>
  </si>
  <si>
    <t>5 1 3 2 2 12 31111 6 M59 19000 000132 0000R 00001 00322 011 2112000 2024 CP1TM440 004</t>
  </si>
  <si>
    <t>5 1 3 2 2 12 31111 6 M59 19000 000132 0000R 00001 00322 011 2112000 2024 CP1TM440 004 0000001</t>
  </si>
  <si>
    <t>5 1 3 2 2 12 31111 6 M59 20500</t>
  </si>
  <si>
    <t>5 1 3 2 2 12 31111 6 M59 20500 000181</t>
  </si>
  <si>
    <t>5 1 3 2 2 12 31111 6 M59 20500 000181 0000E</t>
  </si>
  <si>
    <t>5 1 3 2 2 12 31111 6 M59 20500 000181 0000E 00001</t>
  </si>
  <si>
    <t>5 1 3 2 2 12 31111 6 M59 20500 000181 0000E 00001 00322</t>
  </si>
  <si>
    <t>5 1 3 2 2 12 31111 6 M59 20500 000181 0000E 00001 00322 011</t>
  </si>
  <si>
    <t>5 1 3 2 2 12 31111 6 M59 20500 000181 0000E 00001 00322 011 2112000</t>
  </si>
  <si>
    <t>5 1 3 2 2 12 31111 6 M59 20500 000181 0000E 00001 00322 011 2112000 2024</t>
  </si>
  <si>
    <t>5 1 3 2 2 12 31111 6 M59 20500 000181 0000E 00001 00322 011 2112000 2024 CP3CP471</t>
  </si>
  <si>
    <t>5 1 3 2 2 12 31111 6 M59 20500 000181 0000E 00001 00322 011 2112000 2024 CP3CP471 004</t>
  </si>
  <si>
    <t>5 1 3 2 2 12 31111 6 M59 20500 000181 0000E 00001 00322 011 2112000 2024 CP3CP471 004 0000001</t>
  </si>
  <si>
    <t>5 1 3 2 2 12 31111 6 M59 60100</t>
  </si>
  <si>
    <t>5 1 3 2 2 12 31111 6 M59 60100 000132</t>
  </si>
  <si>
    <t>5 1 3 2 2 12 31111 6 M59 60100 000132 0000R</t>
  </si>
  <si>
    <t>5 1 3 2 2 12 31111 6 M59 60100 000132 0000R 00001</t>
  </si>
  <si>
    <t>5 1 3 2 2 12 31111 6 M59 60100 000132 0000R 00001 00322</t>
  </si>
  <si>
    <t>5 1 3 2 2 12 31111 6 M59 60100 000132 0000R 00001 00322 015</t>
  </si>
  <si>
    <t>5 1 3 2 2 12 31111 6 M59 60100 000132 0000R 00001 00322 015 2112000</t>
  </si>
  <si>
    <t>5 1 3 2 2 12 31111 6 M59 60100 000132 0000R 00001 00322 015 2112000 2024</t>
  </si>
  <si>
    <t>5 1 3 2 2 12 31111 6 M59 60100 000132 0000R 00001 00322 015 2112000 2024 CP1DM394</t>
  </si>
  <si>
    <t>5 1 3 2 2 12 31111 6 M59 60100 000132 0000R 00001 00322 015 2112000 2024 CP1DM394 001</t>
  </si>
  <si>
    <t>5 1 3 2 2 12 31111 6 M59 60100 000132 0000R 00001 00322 015 2112000 2024 CP1DM394 001 0000001</t>
  </si>
  <si>
    <t>LOCALES Y OFICINAS</t>
  </si>
  <si>
    <t>5 1 3 2 2 12 31111 6 M59 70300</t>
  </si>
  <si>
    <t>5 1 3 2 2 12 31111 6 M59 70300 000132</t>
  </si>
  <si>
    <t>5 1 3 2 2 12 31111 6 M59 70300 000132 0000R</t>
  </si>
  <si>
    <t>5 1 3 2 2 12 31111 6 M59 70300 000132 0000R 00001</t>
  </si>
  <si>
    <t>5 1 3 2 2 12 31111 6 M59 70300 000132 0000R 00001 00322</t>
  </si>
  <si>
    <t>5 1 3 2 2 12 31111 6 M59 70300 000132 0000R 00001 00322 015</t>
  </si>
  <si>
    <t>5 1 3 2 2 12 31111 6 M59 70300 000132 0000R 00001 00322 015 2112000</t>
  </si>
  <si>
    <t>5 1 3 2 2 12 31111 6 M59 70300 000132 0000R 00001 00322 015 2112000 2024</t>
  </si>
  <si>
    <t>5 1 3 2 2 12 31111 6 M59 70300 000132 0000R 00001 00322 015 2112000 2024 CP1CU419</t>
  </si>
  <si>
    <t>5 1 3 2 2 12 31111 6 M59 70300 000132 0000R 00001 00322 015 2112000 2024 CP1CU419 001</t>
  </si>
  <si>
    <t>5 1 3 2 2 12 31111 6 M59 70300 000132 0000R 00001 00322 015 2112000 2024 CP1CU419 001 0000001</t>
  </si>
  <si>
    <t>5 1 3 2 3</t>
  </si>
  <si>
    <t>ARRENDAMIENTO DE MOBILIARIO Y EQUIPO DE ADMINISTRACIÓN, EDUCACIONAL Y RECREATIVO</t>
  </si>
  <si>
    <t>5 1 3 2 3 12</t>
  </si>
  <si>
    <t>5 1 3 2 3 12 31111</t>
  </si>
  <si>
    <t>5 1 3 2 3 12 31111 6</t>
  </si>
  <si>
    <t>5 1 3 2 3 12 31111 6 M59</t>
  </si>
  <si>
    <t>5 1 3 2 3 12 31111 6 M59 10300</t>
  </si>
  <si>
    <t>5 1 3 2 3 12 31111 6 M59 10300 000139</t>
  </si>
  <si>
    <t>5 1 3 2 3 12 31111 6 M59 10300 000139 0000E</t>
  </si>
  <si>
    <t>5 1 3 2 3 12 31111 6 M59 10300 000139 0000E 00001</t>
  </si>
  <si>
    <t>5 1 3 2 3 12 31111 6 M59 10300 000139 0000E 00001 00323</t>
  </si>
  <si>
    <t>ARRENDAMIENTO DE MOBILIARIO Y EQUIPO DE ADMINISTRACION, EDUCACIONAL Y RECREATIVO.</t>
  </si>
  <si>
    <t>5 1 3 2 3 12 31111 6 M59 10300 000139 0000E 00001 00323 011</t>
  </si>
  <si>
    <t>5 1 3 2 3 12 31111 6 M59 10300 000139 0000E 00001 00323 011 2112000</t>
  </si>
  <si>
    <t>5 1 3 2 3 12 31111 6 M59 10300 000139 0000E 00001 00323 011 2112000 2024</t>
  </si>
  <si>
    <t>5 1 3 2 3 12 31111 6 M59 10300 000139 0000E 00001 00323 011 2112000 2024 CP3GE486</t>
  </si>
  <si>
    <t>DIFUSIÓN DE LAS DIVERSAS ACTIVIDADES REALIZADAS Y POR REALIZAR DURANTE LA ADMINISTRACIÓN MUNICIPAL</t>
  </si>
  <si>
    <t>5 1 3 2 3 12 31111 6 M59 10300 000139 0000E 00001 00323 011 2112000 2024 CP3GE486 004</t>
  </si>
  <si>
    <t>5 1 3 2 3 12 31111 6 M59 10300 000139 0000E 00001 00323 011 2112000 2024 CP3GE486 004 0000001</t>
  </si>
  <si>
    <t>5 1 3 2 3 12 31111 6 M59 19000</t>
  </si>
  <si>
    <t>5 1 3 2 3 12 31111 6 M59 19000 000132</t>
  </si>
  <si>
    <t>5 1 3 2 3 12 31111 6 M59 19000 000132 0000R</t>
  </si>
  <si>
    <t>5 1 3 2 3 12 31111 6 M59 19000 000132 0000R 00001</t>
  </si>
  <si>
    <t>5 1 3 2 3 12 31111 6 M59 19000 000132 0000R 00001 00323</t>
  </si>
  <si>
    <t>5 1 3 2 3 12 31111 6 M59 19000 000132 0000R 00001 00323 011</t>
  </si>
  <si>
    <t>5 1 3 2 3 12 31111 6 M59 19000 000132 0000R 00001 00323 011 2112000</t>
  </si>
  <si>
    <t>5 1 3 2 3 12 31111 6 M59 19000 000132 0000R 00001 00323 011 2112000 2024</t>
  </si>
  <si>
    <t>5 1 3 2 3 12 31111 6 M59 19000 000132 0000R 00001 00323 011 2112000 2024 CP1TM440</t>
  </si>
  <si>
    <t>5 1 3 2 3 12 31111 6 M59 19000 000132 0000R 00001 00323 011 2112000 2024 CP1TM440 004</t>
  </si>
  <si>
    <t>5 1 3 2 3 12 31111 6 M59 19000 000132 0000R 00001 00323 011 2112000 2024 CP1TM440 004 0000001</t>
  </si>
  <si>
    <t>5 1 3 2 3 12 31111 6 M59 20500</t>
  </si>
  <si>
    <t>5 1 3 2 3 12 31111 6 M59 20500 000181</t>
  </si>
  <si>
    <t>5 1 3 2 3 12 31111 6 M59 20500 000181 0000E</t>
  </si>
  <si>
    <t>5 1 3 2 3 12 31111 6 M59 20500 000181 0000E 00001</t>
  </si>
  <si>
    <t>5 1 3 2 3 12 31111 6 M59 20500 000181 0000E 00001 00323</t>
  </si>
  <si>
    <t>5 1 3 2 3 12 31111 6 M59 20500 000181 0000E 00001 00323 011</t>
  </si>
  <si>
    <t>5 1 3 2 3 12 31111 6 M59 20500 000181 0000E 00001 00323 011 2112000</t>
  </si>
  <si>
    <t>5 1 3 2 3 12 31111 6 M59 20500 000181 0000E 00001 00323 011 2112000 2024</t>
  </si>
  <si>
    <t>5 1 3 2 3 12 31111 6 M59 20500 000181 0000E 00001 00323 011 2112000 2024 CP3CP471</t>
  </si>
  <si>
    <t>5 1 3 2 3 12 31111 6 M59 20500 000181 0000E 00001 00323 011 2112000 2024 CP3CP471 004</t>
  </si>
  <si>
    <t>5 1 3 2 3 12 31111 6 M59 20500 000181 0000E 00001 00323 011 2112000 2024 CP3CP471 004 0000001</t>
  </si>
  <si>
    <t>ARRENDAMIENTO DE MOBILIARIO Y EQUIPO DE ADMINISTRACION, EDUCACIONAL Y RECREATIVO</t>
  </si>
  <si>
    <t>5 1 3 2 6</t>
  </si>
  <si>
    <t>ARRENDAMIENTO DE MAQUINARIA, OTROS EQUIPOS Y HERRAMIENTAS</t>
  </si>
  <si>
    <t>5 1 3 2 6 12</t>
  </si>
  <si>
    <t>5 1 3 2 6 12 31111</t>
  </si>
  <si>
    <t>5 1 3 2 6 12 31111 6</t>
  </si>
  <si>
    <t>5 1 3 2 6 12 31111 6 M59</t>
  </si>
  <si>
    <t>5 1 3 2 6 12 31111 6 M59 96300</t>
  </si>
  <si>
    <t>5 1 3 2 6 12 31111 6 M59 96300 000211</t>
  </si>
  <si>
    <t>5 1 3 2 6 12 31111 6 M59 96300 000211 0000E</t>
  </si>
  <si>
    <t>5 1 3 2 6 12 31111 6 M59 96300 000211 0000E 00001</t>
  </si>
  <si>
    <t>5 1 3 2 6 12 31111 6 M59 96300 000211 0000E 00001 00326</t>
  </si>
  <si>
    <t>ARRENDAMIENTO DE MAQUINARIA, OTROS EQUIPOS Y HERRAMIENTAS.</t>
  </si>
  <si>
    <t>5 1 3 2 6 12 31111 6 M59 96300 000211 0000E 00001 00326 015</t>
  </si>
  <si>
    <t>5 1 3 2 6 12 31111 6 M59 96300 000211 0000E 00001 00326 015 2111300</t>
  </si>
  <si>
    <t>IMPUESTOS SOBRE NÓMINAS</t>
  </si>
  <si>
    <t>5 1 3 2 6 12 31111 6 M59 96300 000211 0000E 00001 00326 015 2111300 2024</t>
  </si>
  <si>
    <t>5 1 3 2 6 12 31111 6 M59 96300 000211 0000E 00001 00326 015 2111300 2024 CP1SB396</t>
  </si>
  <si>
    <t>5 1 3 2 6 12 31111 6 M59 96300 000211 0000E 00001 00326 015 2111300 2024 CP1SB396 001</t>
  </si>
  <si>
    <t>5 1 3 2 6 12 31111 6 M59 96300 000211 0000E 00001 00326 015 2111300 2024 CP1SB396 001 0000001</t>
  </si>
  <si>
    <t>5 1 3 2 6 12 31111 6 M59 96300 000211 0000E 00001 00326 015 2112000</t>
  </si>
  <si>
    <t>5 1 3 2 6 12 31111 6 M59 96300 000211 0000E 00001 00326 015 2112000 2024</t>
  </si>
  <si>
    <t>5 1 3 2 6 12 31111 6 M59 96300 000211 0000E 00001 00326 015 2112000 2024 CP1SB396</t>
  </si>
  <si>
    <t>5 1 3 2 6 12 31111 6 M59 96300 000211 0000E 00001 00326 015 2112000 2024 CP1SB396 001</t>
  </si>
  <si>
    <t>5 1 3 2 6 12 31111 6 M59 96300 000211 0000E 00001 00326 015 2112000 2024 CP1SB396 001 0000001</t>
  </si>
  <si>
    <t>5 1 3 2 7</t>
  </si>
  <si>
    <t>ARRENDAMIENTO DE ACTIVOS INTANGIBLES</t>
  </si>
  <si>
    <t>5 1 3 2 7 12</t>
  </si>
  <si>
    <t>5 1 3 2 7 12 31111</t>
  </si>
  <si>
    <t>5 1 3 2 7 12 31111 6</t>
  </si>
  <si>
    <t>5 1 3 2 7 12 31111 6 M59</t>
  </si>
  <si>
    <t>5 1 3 2 7 12 31111 6 M59 19000</t>
  </si>
  <si>
    <t>5 1 3 2 7 12 31111 6 M59 19000 000132</t>
  </si>
  <si>
    <t>5 1 3 2 7 12 31111 6 M59 19000 000132 0000R</t>
  </si>
  <si>
    <t>5 1 3 2 7 12 31111 6 M59 19000 000132 0000R 00001</t>
  </si>
  <si>
    <t>5 1 3 2 7 12 31111 6 M59 19000 000132 0000R 00001 00327</t>
  </si>
  <si>
    <t>ARRENDAMIENTO DE ACTIVOS INTANGIBLES.</t>
  </si>
  <si>
    <t>5 1 3 2 7 12 31111 6 M59 19000 000132 0000R 00001 00327 015</t>
  </si>
  <si>
    <t>5 1 3 2 7 12 31111 6 M59 19000 000132 0000R 00001 00327 015 2112000</t>
  </si>
  <si>
    <t>5 1 3 2 7 12 31111 6 M59 19000 000132 0000R 00001 00327 015 2112000 2024</t>
  </si>
  <si>
    <t>5 1 3 2 7 12 31111 6 M59 19000 000132 0000R 00001 00327 015 2112000 2024 CP1TM440</t>
  </si>
  <si>
    <t>5 1 3 2 7 12 31111 6 M59 19000 000132 0000R 00001 00327 015 2112000 2024 CP1TM440 001</t>
  </si>
  <si>
    <t>5 1 3 2 7 12 31111 6 M59 19000 000132 0000R 00001 00327 015 2112000 2024 CP1TM440 001 0000001</t>
  </si>
  <si>
    <t>5 1 3 3</t>
  </si>
  <si>
    <t>SERVICIOS PROFESIONALES, CIENTÍFICOS Y TÉCNICOS Y OTROS SERVICIOS</t>
  </si>
  <si>
    <t>5 1 3 3 3</t>
  </si>
  <si>
    <t>SERVICIOS DE CONSULTORÍA ADMINISTRATIVA, PROCESOS, TÉCNICA Y EN TECNOLOGÍAS DE LA INFORMACIÓN</t>
  </si>
  <si>
    <t>5 1 3 3 3 12</t>
  </si>
  <si>
    <t>5 1 3 3 3 12 31111</t>
  </si>
  <si>
    <t>5 1 3 3 3 12 31111 6</t>
  </si>
  <si>
    <t>5 1 3 3 3 12 31111 6 M59</t>
  </si>
  <si>
    <t>5 1 3 3 3 12 31111 6 M59 19000</t>
  </si>
  <si>
    <t>5 1 3 3 3 12 31111 6 M59 19000 000132</t>
  </si>
  <si>
    <t>5 1 3 3 3 12 31111 6 M59 19000 000132 0000R</t>
  </si>
  <si>
    <t>5 1 3 3 3 12 31111 6 M59 19000 000132 0000R 00001</t>
  </si>
  <si>
    <t>5 1 3 3 3 12 31111 6 M59 19000 000132 0000R 00001 00333</t>
  </si>
  <si>
    <t>SERVICIOS DE CONSULTORIA ADMINISTRATIVA, PROCESOS, TECNICA Y EN TECNOLOGIAS DE LA INFORMACION.</t>
  </si>
  <si>
    <t>5 1 3 3 3 12 31111 6 M59 19000 000132 0000R 00001 00333 015</t>
  </si>
  <si>
    <t>5 1 3 3 3 12 31111 6 M59 19000 000132 0000R 00001 00333 015 2112000</t>
  </si>
  <si>
    <t>5 1 3 3 3 12 31111 6 M59 19000 000132 0000R 00001 00333 015 2112000 2024</t>
  </si>
  <si>
    <t>5 1 3 3 3 12 31111 6 M59 19000 000132 0000R 00001 00333 015 2112000 2024 CP1TM440</t>
  </si>
  <si>
    <t>5 1 3 3 3 12 31111 6 M59 19000 000132 0000R 00001 00333 015 2112000 2024 CP1TM440 001</t>
  </si>
  <si>
    <t>5 1 3 3 3 12 31111 6 M59 19000 000132 0000R 00001 00333 015 2112000 2024 CP1TM440 001 0000001</t>
  </si>
  <si>
    <t>5 1 3 3 3 12 31111 6 M59 19000 000271</t>
  </si>
  <si>
    <t>OTROS ASUNTOS SOCIALES</t>
  </si>
  <si>
    <t>5 1 3 3 3 12 31111 6 M59 19000 000271 0000F</t>
  </si>
  <si>
    <t>PROMOCION Y FOMENTO</t>
  </si>
  <si>
    <t>5 1 3 3 3 12 31111 6 M59 19000 000271 0000F 00001</t>
  </si>
  <si>
    <t>5 1 3 3 3 12 31111 6 M59 19000 000271 0000F 00001 00333</t>
  </si>
  <si>
    <t>5 1 3 3 3 12 31111 6 M59 19000 000271 0000F 00001 00333 025</t>
  </si>
  <si>
    <t>5 1 3 3 3 12 31111 6 M59 19000 000271 0000F 00001 00333 025 2112000</t>
  </si>
  <si>
    <t>5 1 3 3 3 12 31111 6 M59 19000 000271 0000F 00001 00333 025 2112000 2024</t>
  </si>
  <si>
    <t>5 1 3 3 3 12 31111 6 M59 19000 000271 0000F 00001 00333 025 2112000 2024 CP4TM511</t>
  </si>
  <si>
    <t>CONTRIBUCIONES POR LA EXPLOTACIÓN, USO Y APROVECHAMIENTO DE AGUAS NACIONALES Y DESCARGA DE AGUAS RESIDUALES</t>
  </si>
  <si>
    <t>5 1 3 3 3 12 31111 6 M59 19000 000271 0000F 00001 00333 025 2112000 2024 CP4TM511 003</t>
  </si>
  <si>
    <t>5 1 3 3 3 12 31111 6 M59 19000 000271 0000F 00001 00333 025 2112000 2024 CP4TM511 003 0000001</t>
  </si>
  <si>
    <t>5 1 3 3 6</t>
  </si>
  <si>
    <t>SERVICIOS DE APOYO ADMINISTRATIVO, TRADUCCIÓN, FOTOCOPIADO E IMPRESIÓN</t>
  </si>
  <si>
    <t>5 1 3 3 6 12</t>
  </si>
  <si>
    <t>5 1 3 3 6 12 31111</t>
  </si>
  <si>
    <t>5 1 3 3 6 12 31111 6</t>
  </si>
  <si>
    <t>5 1 3 3 6 12 31111 6 M59</t>
  </si>
  <si>
    <t>5 1 3 3 6 12 31111 6 M59 20300</t>
  </si>
  <si>
    <t>5 1 3 3 6 12 31111 6 M59 20300 000132</t>
  </si>
  <si>
    <t>5 1 3 3 6 12 31111 6 M59 20300 000132 0000R</t>
  </si>
  <si>
    <t>5 1 3 3 6 12 31111 6 M59 20300 000132 0000R 00001</t>
  </si>
  <si>
    <t>5 1 3 3 6 12 31111 6 M59 20300 000132 0000R 00001 00336</t>
  </si>
  <si>
    <t>SERVICIOS DE APOYO ADMINISTRATIVO, TRADUCCION, FOTOCOPIADO E IMPRESION.</t>
  </si>
  <si>
    <t>5 1 3 3 6 12 31111 6 M59 20300 000132 0000R 00001 00336 015</t>
  </si>
  <si>
    <t>5 1 3 3 6 12 31111 6 M59 20300 000132 0000R 00001 00336 015 2112000</t>
  </si>
  <si>
    <t>5 1 3 3 6 12 31111 6 M59 20300 000132 0000R 00001 00336 015 2112000 2024</t>
  </si>
  <si>
    <t>5 1 3 3 6 12 31111 6 M59 20300 000132 0000R 00001 00336 015 2112000 2024 CP1DE415</t>
  </si>
  <si>
    <t>5 1 3 3 6 12 31111 6 M59 20300 000132 0000R 00001 00336 015 2112000 2024 CP1DE415 001</t>
  </si>
  <si>
    <t>5 1 3 3 6 12 31111 6 M59 20300 000132 0000R 00001 00336 015 2112000 2024 CP1DE415 001 0000001</t>
  </si>
  <si>
    <t>5 1 3 3 6 12 31111 6 M59 20300 000139</t>
  </si>
  <si>
    <t>5 1 3 3 6 12 31111 6 M59 20300 000139 0000E</t>
  </si>
  <si>
    <t>5 1 3 3 6 12 31111 6 M59 20300 000139 0000E 00001</t>
  </si>
  <si>
    <t>5 1 3 3 6 12 31111 6 M59 20300 000139 0000E 00001 00336</t>
  </si>
  <si>
    <t>5 1 3 3 6 12 31111 6 M59 20300 000139 0000E 00001 00336 011</t>
  </si>
  <si>
    <t>5 1 3 3 6 12 31111 6 M59 20300 000139 0000E 00001 00336 011 2112000</t>
  </si>
  <si>
    <t>5 1 3 3 6 12 31111 6 M59 20300 000139 0000E 00001 00336 011 2112000 2024</t>
  </si>
  <si>
    <t>5 1 3 3 6 12 31111 6 M59 20300 000139 0000E 00001 00336 011 2112000 2024 CP1DE415</t>
  </si>
  <si>
    <t>5 1 3 3 6 12 31111 6 M59 20300 000139 0000E 00001 00336 011 2112000 2024 CP1DE415 004</t>
  </si>
  <si>
    <t>5 1 3 3 6 12 31111 6 M59 20300 000139 0000E 00001 00336 011 2112000 2024 CP1DE415 004 0000001</t>
  </si>
  <si>
    <t>SERVICIOS DE APOYO ADMINISTRATIVO, TRADUCCION, FOTOCOPIADO E IMPRESION</t>
  </si>
  <si>
    <t>5 1 3 3 6 12 31111 6 M59 20600</t>
  </si>
  <si>
    <t>5 1 3 3 6 12 31111 6 M59 20600 000132</t>
  </si>
  <si>
    <t>5 1 3 3 6 12 31111 6 M59 20600 000132 0000R</t>
  </si>
  <si>
    <t>5 1 3 3 6 12 31111 6 M59 20600 000132 0000R 00001</t>
  </si>
  <si>
    <t>5 1 3 3 6 12 31111 6 M59 20600 000132 0000R 00001 00336</t>
  </si>
  <si>
    <t>5 1 3 3 6 12 31111 6 M59 20600 000132 0000R 00001 00336 015</t>
  </si>
  <si>
    <t>5 1 3 3 6 12 31111 6 M59 20600 000132 0000R 00001 00336 015 2112000</t>
  </si>
  <si>
    <t>5 1 3 3 6 12 31111 6 M59 20600 000132 0000R 00001 00336 015 2112000 2024</t>
  </si>
  <si>
    <t>5 1 3 3 6 12 31111 6 M59 20600 000132 0000R 00001 00336 015 2112000 2024 CP1CA380</t>
  </si>
  <si>
    <t>5 1 3 3 6 12 31111 6 M59 20600 000132 0000R 00001 00336 015 2112000 2024 CP1CA380 001</t>
  </si>
  <si>
    <t>5 1 3 3 6 12 31111 6 M59 20600 000132 0000R 00001 00336 015 2112000 2024 CP1CA380 001 0000001</t>
  </si>
  <si>
    <t>5 1 3 3 6 12 31111 6 M59 60100</t>
  </si>
  <si>
    <t>5 1 3 3 6 12 31111 6 M59 60100 000132</t>
  </si>
  <si>
    <t>5 1 3 3 6 12 31111 6 M59 60100 000132 0000R</t>
  </si>
  <si>
    <t>5 1 3 3 6 12 31111 6 M59 60100 000132 0000R 00001</t>
  </si>
  <si>
    <t>5 1 3 3 6 12 31111 6 M59 60100 000132 0000R 00001 00336</t>
  </si>
  <si>
    <t>5 1 3 3 6 12 31111 6 M59 60100 000132 0000R 00001 00336 015</t>
  </si>
  <si>
    <t>5 1 3 3 6 12 31111 6 M59 60100 000132 0000R 00001 00336 015 2112000</t>
  </si>
  <si>
    <t>5 1 3 3 6 12 31111 6 M59 60100 000132 0000R 00001 00336 015 2112000 2024</t>
  </si>
  <si>
    <t>5 1 3 3 6 12 31111 6 M59 60100 000132 0000R 00001 00336 015 2112000 2024 CP1DM394</t>
  </si>
  <si>
    <t>5 1 3 3 6 12 31111 6 M59 60100 000132 0000R 00001 00336 015 2112000 2024 CP1DM394 001</t>
  </si>
  <si>
    <t>5 1 3 3 6 12 31111 6 M59 60100 000132 0000R 00001 00336 015 2112000 2024 CP1DM394 001 0000001</t>
  </si>
  <si>
    <t>5 1 3 3 6 12 31111 6 M59 92000</t>
  </si>
  <si>
    <t>5 1 3 3 6 12 31111 6 M59 92000 000181</t>
  </si>
  <si>
    <t>5 1 3 3 6 12 31111 6 M59 92000 000181 0000E</t>
  </si>
  <si>
    <t>5 1 3 3 6 12 31111 6 M59 92000 000181 0000E 00001</t>
  </si>
  <si>
    <t>5 1 3 3 6 12 31111 6 M59 92000 000181 0000E 00001 00336</t>
  </si>
  <si>
    <t>5 1 3 3 6 12 31111 6 M59 92000 000181 0000E 00001 00336 015</t>
  </si>
  <si>
    <t>5 1 3 3 6 12 31111 6 M59 92000 000181 0000E 00001 00336 015 2112000</t>
  </si>
  <si>
    <t>5 1 3 3 6 12 31111 6 M59 92000 000181 0000E 00001 00336 015 2112000 2024</t>
  </si>
  <si>
    <t>5 1 3 3 6 12 31111 6 M59 92000 000181 0000E 00001 00336 015 2112000 2024 CP1RC399</t>
  </si>
  <si>
    <t>5 1 3 3 6 12 31111 6 M59 92000 000181 0000E 00001 00336 015 2112000 2024 CP1RC399 001</t>
  </si>
  <si>
    <t>5 1 3 3 6 12 31111 6 M59 92000 000181 0000E 00001 00336 015 2112000 2024 CP1RC399 001 0000001</t>
  </si>
  <si>
    <t>5 1 3 3 9</t>
  </si>
  <si>
    <t>SERVICIOS PROFESIONALES, CIENTÍFICOS Y TÉCNICOS INTEGRALES</t>
  </si>
  <si>
    <t>5 1 3 3 9 12</t>
  </si>
  <si>
    <t>5 1 3 3 9 12 31111</t>
  </si>
  <si>
    <t>5 1 3 3 9 12 31111 6</t>
  </si>
  <si>
    <t>5 1 3 3 9 12 31111 6 M59</t>
  </si>
  <si>
    <t>5 1 3 3 9 12 31111 6 M59 50000</t>
  </si>
  <si>
    <t>5 1 3 3 9 12 31111 6 M59 50000 000223</t>
  </si>
  <si>
    <t>5 1 3 3 9 12 31111 6 M59 50000 000223 0000E</t>
  </si>
  <si>
    <t>5 1 3 3 9 12 31111 6 M59 50000 000223 0000E 00001</t>
  </si>
  <si>
    <t>5 1 3 3 9 12 31111 6 M59 50000 000223 0000E 00001 00339</t>
  </si>
  <si>
    <t>SERVICIOS PROFESIONALES, CIENTIFICOS Y TECNICOS INTEGRALES.</t>
  </si>
  <si>
    <t>5 1 3 3 9 12 31111 6 M59 50000 000223 0000E 00001 00339 015</t>
  </si>
  <si>
    <t>5 1 3 3 9 12 31111 6 M59 50000 000223 0000E 00001 00339 015 2112000</t>
  </si>
  <si>
    <t>5 1 3 3 9 12 31111 6 M59 50000 000223 0000E 00001 00339 015 2112000 2024</t>
  </si>
  <si>
    <t>5 1 3 3 9 12 31111 6 M59 50000 000223 0000E 00001 00339 015 2112000 2024 CP2DA534</t>
  </si>
  <si>
    <t>5 1 3 3 9 12 31111 6 M59 50000 000223 0000E 00001 00339 015 2112000 2024 CP2DA534 005</t>
  </si>
  <si>
    <t>5 1 3 3 9 12 31111 6 M59 50000 000223 0000E 00001 00339 015 2112000 2024 CP2DA534 005 0000001</t>
  </si>
  <si>
    <t>SERVICIOS PROFESIONALES, CIENTIFICOS Y TECNICOS INTEGRALES</t>
  </si>
  <si>
    <t>5 1 3 4</t>
  </si>
  <si>
    <t>SERVICIOS FINANCIEROS, BANCARIOS Y COMERCIALES</t>
  </si>
  <si>
    <t>5 1 3 4 1</t>
  </si>
  <si>
    <t>SERVICIOS FINANCIEROS Y BANCARIOS</t>
  </si>
  <si>
    <t>5 1 3 4 1 12</t>
  </si>
  <si>
    <t>5 1 3 4 1 12 31111</t>
  </si>
  <si>
    <t>5 1 3 4 1 12 31111 6</t>
  </si>
  <si>
    <t>5 1 3 4 1 12 31111 6 M59</t>
  </si>
  <si>
    <t>5 1 3 4 1 12 31111 6 M59 19000</t>
  </si>
  <si>
    <t>5 1 3 4 1 12 31111 6 M59 19000 000132</t>
  </si>
  <si>
    <t>5 1 3 4 1 12 31111 6 M59 19000 000132 0000R</t>
  </si>
  <si>
    <t>5 1 3 4 1 12 31111 6 M59 19000 000132 0000R 00001</t>
  </si>
  <si>
    <t>5 1 3 4 1 12 31111 6 M59 19000 000132 0000R 00001 00341</t>
  </si>
  <si>
    <t>SERVICIOS FINANCIEROS Y BANCARIOS.</t>
  </si>
  <si>
    <t>5 1 3 4 1 12 31111 6 M59 19000 000132 0000R 00001 00341 011</t>
  </si>
  <si>
    <t>5 1 3 4 1 12 31111 6 M59 19000 000132 0000R 00001 00341 011 2112000</t>
  </si>
  <si>
    <t>5 1 3 4 1 12 31111 6 M59 19000 000132 0000R 00001 00341 011 2112000 2024</t>
  </si>
  <si>
    <t>5 1 3 4 1 12 31111 6 M59 19000 000132 0000R 00001 00341 011 2112000 2024 CP1TM440</t>
  </si>
  <si>
    <t>5 1 3 4 1 12 31111 6 M59 19000 000132 0000R 00001 00341 011 2112000 2024 CP1TM440 004</t>
  </si>
  <si>
    <t>5 1 3 4 1 12 31111 6 M59 19000 000132 0000R 00001 00341 011 2112000 2024 CP1TM440 004 0000001</t>
  </si>
  <si>
    <t>5 1 3 4 1 12 31111 6 M59 19000 000132 0000R 00001 00341 015</t>
  </si>
  <si>
    <t>5 1 3 4 1 12 31111 6 M59 19000 000132 0000R 00001 00341 015 2112000</t>
  </si>
  <si>
    <t>5 1 3 4 1 12 31111 6 M59 19000 000132 0000R 00001 00341 015 2112000 2024</t>
  </si>
  <si>
    <t>5 1 3 4 1 12 31111 6 M59 19000 000132 0000R 00001 00341 015 2112000 2024 CP1TM440</t>
  </si>
  <si>
    <t>5 1 3 4 1 12 31111 6 M59 19000 000132 0000R 00001 00341 015 2112000 2024 CP1TM440 001</t>
  </si>
  <si>
    <t>5 1 3 4 1 12 31111 6 M59 19000 000132 0000R 00001 00341 015 2112000 2024 CP1TM440 001 0000001</t>
  </si>
  <si>
    <t>5 1 3 4 1 12 31111 6 M59 19000 000132 0000R 00001 00341 015 2112000 2024 CP1TM440 005</t>
  </si>
  <si>
    <t>5 1 3 4 1 12 31111 6 M59 19000 000132 0000R 00001 00341 015 2112000 2024 CP1TM440 005 0000001</t>
  </si>
  <si>
    <t>5 1 3 4 1 12 31111 6 M59 19000 000271</t>
  </si>
  <si>
    <t>5 1 3 4 1 12 31111 6 M59 19000 000271 0000F</t>
  </si>
  <si>
    <t>5 1 3 4 1 12 31111 6 M59 19000 000271 0000F 00001</t>
  </si>
  <si>
    <t>5 1 3 4 1 12 31111 6 M59 19000 000271 0000F 00001 00341</t>
  </si>
  <si>
    <t>5 1 3 4 1 12 31111 6 M59 19000 000271 0000F 00001 00341 025</t>
  </si>
  <si>
    <t>5 1 3 4 1 12 31111 6 M59 19000 000271 0000F 00001 00341 025 2112000</t>
  </si>
  <si>
    <t>5 1 3 4 1 12 31111 6 M59 19000 000271 0000F 00001 00341 025 2112000 2024</t>
  </si>
  <si>
    <t>5 1 3 4 1 12 31111 6 M59 19000 000271 0000F 00001 00341 025 2112000 2024 CP4TM511</t>
  </si>
  <si>
    <t>5 1 3 4 1 12 31111 6 M59 19000 000271 0000F 00001 00341 025 2112000 2024 CP4TM511 003</t>
  </si>
  <si>
    <t>5 1 3 4 1 12 31111 6 M59 19000 000271 0000F 00001 00341 025 2112000 2024 CP4TM511 003 0000001</t>
  </si>
  <si>
    <t>COMISIONES BANCARIAS</t>
  </si>
  <si>
    <t>5 1 3 4 1 12 31111 6 M59 20300</t>
  </si>
  <si>
    <t>5 1 3 4 1 12 31111 6 M59 20300 000132</t>
  </si>
  <si>
    <t>5 1 3 4 1 12 31111 6 M59 20300 000132 0000R</t>
  </si>
  <si>
    <t>5 1 3 4 1 12 31111 6 M59 20300 000132 0000R 00001</t>
  </si>
  <si>
    <t>5 1 3 4 1 12 31111 6 M59 20300 000132 0000R 00001 00341</t>
  </si>
  <si>
    <t>5 1 3 4 1 12 31111 6 M59 20300 000132 0000R 00001 00341 015</t>
  </si>
  <si>
    <t>5 1 3 4 1 12 31111 6 M59 20300 000132 0000R 00001 00341 015 2112000</t>
  </si>
  <si>
    <t>5 1 3 4 1 12 31111 6 M59 20300 000132 0000R 00001 00341 015 2112000 2024</t>
  </si>
  <si>
    <t>5 1 3 4 1 12 31111 6 M59 20300 000132 0000R 00001 00341 015 2112000 2024 CP1DE415</t>
  </si>
  <si>
    <t>5 1 3 4 1 12 31111 6 M59 20300 000132 0000R 00001 00341 015 2112000 2024 CP1DE415 001</t>
  </si>
  <si>
    <t>5 1 3 4 1 12 31111 6 M59 20300 000132 0000R 00001 00341 015 2112000 2024 CP1DE415 001 0000001</t>
  </si>
  <si>
    <t>5 1 3 4 1 12 31111 6 M59 20300 000139</t>
  </si>
  <si>
    <t>5 1 3 4 1 12 31111 6 M59 20300 000139 0000E</t>
  </si>
  <si>
    <t>5 1 3 4 1 12 31111 6 M59 20300 000139 0000E 00001</t>
  </si>
  <si>
    <t>5 1 3 4 1 12 31111 6 M59 20300 000139 0000E 00001 00341</t>
  </si>
  <si>
    <t>5 1 3 4 1 12 31111 6 M59 20300 000139 0000E 00001 00341 015</t>
  </si>
  <si>
    <t>5 1 3 4 1 12 31111 6 M59 20300 000139 0000E 00001 00341 015 2112000</t>
  </si>
  <si>
    <t>5 1 3 4 1 12 31111 6 M59 20300 000139 0000E 00001 00341 015 2112000 2024</t>
  </si>
  <si>
    <t>5 1 3 4 1 12 31111 6 M59 20300 000139 0000E 00001 00341 015 2112000 2024 CP2DE533</t>
  </si>
  <si>
    <t>5 1 3 4 1 12 31111 6 M59 20300 000139 0000E 00001 00341 015 2112000 2024 CP2DE533 005</t>
  </si>
  <si>
    <t>5 1 3 4 1 12 31111 6 M59 20300 000139 0000E 00001 00341 015 2112000 2024 CP2DE533 005 0000001</t>
  </si>
  <si>
    <t>5 1 3 4 1 12 31111 6 M59 20500</t>
  </si>
  <si>
    <t>5 1 3 4 1 12 31111 6 M59 20500 000181</t>
  </si>
  <si>
    <t>5 1 3 4 1 12 31111 6 M59 20500 000181 0000E</t>
  </si>
  <si>
    <t>5 1 3 4 1 12 31111 6 M59 20500 000181 0000E 00001</t>
  </si>
  <si>
    <t>5 1 3 4 1 12 31111 6 M59 20500 000181 0000E 00001 00341</t>
  </si>
  <si>
    <t>5 1 3 4 1 12 31111 6 M59 20500 000181 0000E 00001 00341 011</t>
  </si>
  <si>
    <t>5 1 3 4 1 12 31111 6 M59 20500 000181 0000E 00001 00341 011 2112000</t>
  </si>
  <si>
    <t>5 1 3 4 1 12 31111 6 M59 20500 000181 0000E 00001 00341 011 2112000 2024</t>
  </si>
  <si>
    <t>5 1 3 4 1 12 31111 6 M59 20500 000181 0000E 00001 00341 011 2112000 2024 CP3CP471</t>
  </si>
  <si>
    <t>5 1 3 4 1 12 31111 6 M59 20500 000181 0000E 00001 00341 011 2112000 2024 CP3CP471 004</t>
  </si>
  <si>
    <t>5 1 3 4 1 12 31111 6 M59 20500 000181 0000E 00001 00341 011 2112000 2024 CP3CP471 004 0000001</t>
  </si>
  <si>
    <t>5 1 3 4 1 12 31111 6 M59 23000</t>
  </si>
  <si>
    <t>5 1 3 4 1 12 31111 6 M59 23000 000134</t>
  </si>
  <si>
    <t>FUNCIÓN PÚBLICA</t>
  </si>
  <si>
    <t>5 1 3 4 1 12 31111 6 M59 23000 000134 0000B</t>
  </si>
  <si>
    <t>PROVISION DE BIENES PUBLICOS</t>
  </si>
  <si>
    <t>5 1 3 4 1 12 31111 6 M59 23000 000134 0000B 00001</t>
  </si>
  <si>
    <t>5 1 3 4 1 12 31111 6 M59 23000 000134 0000B 00001 00341</t>
  </si>
  <si>
    <t>5 1 3 4 1 12 31111 6 M59 23000 000134 0000B 00001 00341 025</t>
  </si>
  <si>
    <t>5 1 3 4 1 12 31111 6 M59 23000 000134 0000B 00001 00341 025 2112000</t>
  </si>
  <si>
    <t>5 1 3 4 1 12 31111 6 M59 23000 000134 0000B 00001 00341 025 2112000 2024</t>
  </si>
  <si>
    <t>5 1 3 4 1 12 31111 6 M59 23000 000134 0000B 00001 00341 025 2112000 2024 CP4DE526</t>
  </si>
  <si>
    <t>SERVICIOS DE PROTECCIÓN PATRIMONIAL</t>
  </si>
  <si>
    <t>5 1 3 4 1 12 31111 6 M59 23000 000134 0000B 00001 00341 025 2112000 2024 CP4DE526 003</t>
  </si>
  <si>
    <t>5 1 3 4 1 12 31111 6 M59 23000 000134 0000B 00001 00341 025 2112000 2024 CP4DE526 003 0000001</t>
  </si>
  <si>
    <t>5 1 3 4 4</t>
  </si>
  <si>
    <t>SEGUROS DE RESPONSABILIDAD PATRIMONIAL Y FIANZAS</t>
  </si>
  <si>
    <t>5 1 3 4 4 12</t>
  </si>
  <si>
    <t>5 1 3 4 4 12 31111</t>
  </si>
  <si>
    <t>5 1 3 4 4 12 31111 6</t>
  </si>
  <si>
    <t>5 1 3 4 4 12 31111 6 M59</t>
  </si>
  <si>
    <t>5 1 3 4 4 12 31111 6 M59 23000</t>
  </si>
  <si>
    <t>5 1 3 4 4 12 31111 6 M59 23000 000134</t>
  </si>
  <si>
    <t>5 1 3 4 4 12 31111 6 M59 23000 000134 0000B</t>
  </si>
  <si>
    <t>5 1 3 4 4 12 31111 6 M59 23000 000134 0000B 00001</t>
  </si>
  <si>
    <t>5 1 3 4 4 12 31111 6 M59 23000 000134 0000B 00001 00344</t>
  </si>
  <si>
    <t>SEGUROS DE RESPONSABILIDAD PATRIMONIAL Y FIANZAS.</t>
  </si>
  <si>
    <t>5 1 3 4 4 12 31111 6 M59 23000 000134 0000B 00001 00344 025</t>
  </si>
  <si>
    <t>5 1 3 4 4 12 31111 6 M59 23000 000134 0000B 00001 00344 025 2112000</t>
  </si>
  <si>
    <t>5 1 3 4 4 12 31111 6 M59 23000 000134 0000B 00001 00344 025 2112000 2024</t>
  </si>
  <si>
    <t>5 1 3 4 4 12 31111 6 M59 23000 000134 0000B 00001 00344 025 2112000 2024 CP4DE526</t>
  </si>
  <si>
    <t>5 1 3 4 4 12 31111 6 M59 23000 000134 0000B 00001 00344 025 2112000 2024 CP4DE526 003</t>
  </si>
  <si>
    <t>5 1 3 4 4 12 31111 6 M59 23000 000134 0000B 00001 00344 025 2112000 2024 CP4DE526 003 0000001</t>
  </si>
  <si>
    <t>5 1 3 4 7</t>
  </si>
  <si>
    <t>FLETES Y MANIOBRAS</t>
  </si>
  <si>
    <t>5 1 3 4 7 12</t>
  </si>
  <si>
    <t>5 1 3 4 7 12 31111</t>
  </si>
  <si>
    <t>5 1 3 4 7 12 31111 6</t>
  </si>
  <si>
    <t>5 1 3 4 7 12 31111 6 M59</t>
  </si>
  <si>
    <t>5 1 3 4 7 12 31111 6 M59 20700</t>
  </si>
  <si>
    <t>5 1 3 4 7 12 31111 6 M59 20700 000132</t>
  </si>
  <si>
    <t>5 1 3 4 7 12 31111 6 M59 20700 000132 0000R</t>
  </si>
  <si>
    <t>5 1 3 4 7 12 31111 6 M59 20700 000132 0000R 00001</t>
  </si>
  <si>
    <t>5 1 3 4 7 12 31111 6 M59 20700 000132 0000R 00001 00347</t>
  </si>
  <si>
    <t>FLETES Y MANIOBRAS.</t>
  </si>
  <si>
    <t>5 1 3 4 7 12 31111 6 M59 20700 000132 0000R 00001 00347 015</t>
  </si>
  <si>
    <t>5 1 3 4 7 12 31111 6 M59 20700 000132 0000R 00001 00347 015 2112000</t>
  </si>
  <si>
    <t>5 1 3 4 7 12 31111 6 M59 20700 000132 0000R 00001 00347 015 2112000 2024</t>
  </si>
  <si>
    <t>5 1 3 4 7 12 31111 6 M59 20700 000132 0000R 00001 00347 015 2112000 2024 CP1RM401</t>
  </si>
  <si>
    <t>5 1 3 4 7 12 31111 6 M59 20700 000132 0000R 00001 00347 015 2112000 2024 CP1RM401 001</t>
  </si>
  <si>
    <t>5 1 3 4 7 12 31111 6 M59 20700 000132 0000R 00001 00347 015 2112000 2024 CP1RM401 001 0000001</t>
  </si>
  <si>
    <t>5 1 3 4 9</t>
  </si>
  <si>
    <t>SERVICIOS FINANCIEROS, BANCARIOS Y COMERCIALES INTEGRALES</t>
  </si>
  <si>
    <t>5 1 3 4 9 12</t>
  </si>
  <si>
    <t>5 1 3 4 9 12 31111</t>
  </si>
  <si>
    <t>5 1 3 4 9 12 31111 6</t>
  </si>
  <si>
    <t>5 1 3 4 9 12 31111 6 M59</t>
  </si>
  <si>
    <t>5 1 3 4 9 12 31111 6 M59 19000</t>
  </si>
  <si>
    <t>5 1 3 4 9 12 31111 6 M59 19000 000132</t>
  </si>
  <si>
    <t>5 1 3 4 9 12 31111 6 M59 19000 000132 0000R</t>
  </si>
  <si>
    <t>5 1 3 4 9 12 31111 6 M59 19000 000132 0000R 00001</t>
  </si>
  <si>
    <t>5 1 3 4 9 12 31111 6 M59 19000 000132 0000R 00001 00349</t>
  </si>
  <si>
    <t>SERVICIOS FINANCIEROS, BANCARIOS Y COMERCIALES INTEGRALES.</t>
  </si>
  <si>
    <t>5 1 3 4 9 12 31111 6 M59 19000 000132 0000R 00001 00349 025</t>
  </si>
  <si>
    <t>5 1 3 4 9 12 31111 6 M59 19000 000132 0000R 00001 00349 025 2112000</t>
  </si>
  <si>
    <t>5 1 3 4 9 12 31111 6 M59 19000 000132 0000R 00001 00349 025 2112000 2024</t>
  </si>
  <si>
    <t>5 1 3 4 9 12 31111 6 M59 19000 000132 0000R 00001 00349 025 2112000 2024 CP1TM440</t>
  </si>
  <si>
    <t>5 1 3 4 9 12 31111 6 M59 19000 000132 0000R 00001 00349 025 2112000 2024 CP1TM440 002</t>
  </si>
  <si>
    <t>5 1 3 4 9 12 31111 6 M59 19000 000132 0000R 00001 00349 025 2112000 2024 CP1TM440 002 0000001</t>
  </si>
  <si>
    <t>5 1 3 4 9 12 31111 6 M59 19000 000271</t>
  </si>
  <si>
    <t>5 1 3 4 9 12 31111 6 M59 19000 000271 0000F</t>
  </si>
  <si>
    <t>5 1 3 4 9 12 31111 6 M59 19000 000271 0000F 00001</t>
  </si>
  <si>
    <t>5 1 3 4 9 12 31111 6 M59 19000 000271 0000F 00001 00349</t>
  </si>
  <si>
    <t>5 1 3 4 9 12 31111 6 M59 19000 000271 0000F 00001 00349 025</t>
  </si>
  <si>
    <t>5 1 3 4 9 12 31111 6 M59 19000 000271 0000F 00001 00349 025 2112000</t>
  </si>
  <si>
    <t>5 1 3 4 9 12 31111 6 M59 19000 000271 0000F 00001 00349 025 2112000 2024</t>
  </si>
  <si>
    <t>5 1 3 4 9 12 31111 6 M59 19000 000271 0000F 00001 00349 025 2112000 2024 CP4TM511</t>
  </si>
  <si>
    <t>5 1 3 4 9 12 31111 6 M59 19000 000271 0000F 00001 00349 025 2112000 2024 CP4TM511 003</t>
  </si>
  <si>
    <t>5 1 3 4 9 12 31111 6 M59 19000 000271 0000F 00001 00349 025 2112000 2024 CP4TM511 003 0000001</t>
  </si>
  <si>
    <t>5 1 3 5</t>
  </si>
  <si>
    <t>SERVICIOS DE INSTALACIÓN, REPARACIÓN, MANTENIMIENTO Y CONSERVACIÓN</t>
  </si>
  <si>
    <t>5 1 3 5 1</t>
  </si>
  <si>
    <t>CONSERVACIÓN Y MANTENIMIENTO MENOR DE INMUEBLES</t>
  </si>
  <si>
    <t>5 1 3 5 1 12</t>
  </si>
  <si>
    <t>5 1 3 5 1 12 31111</t>
  </si>
  <si>
    <t>5 1 3 5 1 12 31111 6</t>
  </si>
  <si>
    <t>5 1 3 5 1 12 31111 6 M59</t>
  </si>
  <si>
    <t>5 1 3 5 1 12 31111 6 M59 94000</t>
  </si>
  <si>
    <t>5 1 3 5 1 12 31111 6 M59 94000 000181</t>
  </si>
  <si>
    <t>5 1 3 5 1 12 31111 6 M59 94000 000181 0000E</t>
  </si>
  <si>
    <t>5 1 3 5 1 12 31111 6 M59 94000 000181 0000E 00001</t>
  </si>
  <si>
    <t>5 1 3 5 1 12 31111 6 M59 94000 000181 0000E 00001 00351</t>
  </si>
  <si>
    <t>CONSERVACION Y MANTENIMIENTO MENOR DE INMUEBLES.</t>
  </si>
  <si>
    <t>5 1 3 5 1 12 31111 6 M59 94000 000181 0000E 00001 00351 015</t>
  </si>
  <si>
    <t>5 1 3 5 1 12 31111 6 M59 94000 000181 0000E 00001 00351 015 2112000</t>
  </si>
  <si>
    <t>5 1 3 5 1 12 31111 6 M59 94000 000181 0000E 00001 00351 015 2112000 2024</t>
  </si>
  <si>
    <t>5 1 3 5 1 12 31111 6 M59 94000 000181 0000E 00001 00351 015 2112000 2024 CP2OM530</t>
  </si>
  <si>
    <t>MANTENIMIENTO Y CONSERVACIÓN DE OFICINAS</t>
  </si>
  <si>
    <t>5 1 3 5 1 12 31111 6 M59 94000 000181 0000E 00001 00351 015 2112000 2024 CP2OM530 005</t>
  </si>
  <si>
    <t>5 1 3 5 1 12 31111 6 M59 94000 000181 0000E 00001 00351 015 2112000 2024 CP2OM530 005 0000001</t>
  </si>
  <si>
    <t>5 1 3 5 2</t>
  </si>
  <si>
    <t>INSTALACIÓN, REPARACIÓN Y MANTENIMIENTO DE MOBILIARIO Y EQUIPO DE ADMINISTRACIÓN, EDUCACIONAL Y RECREATIVO</t>
  </si>
  <si>
    <t>5 1 3 5 2 12</t>
  </si>
  <si>
    <t>5 1 3 5 2 12 31111</t>
  </si>
  <si>
    <t>5 1 3 5 2 12 31111 6</t>
  </si>
  <si>
    <t>5 1 3 5 2 12 31111 6 M59</t>
  </si>
  <si>
    <t>5 1 3 5 2 12 31111 6 M59 20500</t>
  </si>
  <si>
    <t>5 1 3 5 2 12 31111 6 M59 20500 000181</t>
  </si>
  <si>
    <t>5 1 3 5 2 12 31111 6 M59 20500 000181 0000E</t>
  </si>
  <si>
    <t>5 1 3 5 2 12 31111 6 M59 20500 000181 0000E 00001</t>
  </si>
  <si>
    <t>5 1 3 5 2 12 31111 6 M59 20500 000181 0000E 00001 00352</t>
  </si>
  <si>
    <t>INSTALACION, REPARACION Y MANTENIMIENTO DE MOBILIARIO Y EQUIPO DE ADMINISTRACION, EDUCACIONAL Y RECREATIVO.</t>
  </si>
  <si>
    <t>5 1 3 5 2 12 31111 6 M59 20500 000181 0000E 00001 00352 011</t>
  </si>
  <si>
    <t>5 1 3 5 2 12 31111 6 M59 20500 000181 0000E 00001 00352 011 2112000</t>
  </si>
  <si>
    <t>5 1 3 5 2 12 31111 6 M59 20500 000181 0000E 00001 00352 011 2112000 2024</t>
  </si>
  <si>
    <t>5 1 3 5 2 12 31111 6 M59 20500 000181 0000E 00001 00352 011 2112000 2024 CP3CP471</t>
  </si>
  <si>
    <t>5 1 3 5 2 12 31111 6 M59 20500 000181 0000E 00001 00352 011 2112000 2024 CP3CP471 004</t>
  </si>
  <si>
    <t>5 1 3 5 2 12 31111 6 M59 20500 000181 0000E 00001 00352 011 2112000 2024 CP3CP471 004 0000001</t>
  </si>
  <si>
    <t>INSTALACIÓN, REPARACIÓN Y MANTENIMIENTO DE MOBILIARIO Y EQUIPO DE ADMINISTRACIÓN, EDUCACIONAL, Y RECREATIVO</t>
  </si>
  <si>
    <t>5 1 3 5 5</t>
  </si>
  <si>
    <t>REPARACIÓN Y MANTENIMIENTO DE EQUIPO DE TRANSPORTE</t>
  </si>
  <si>
    <t>5 1 3 5 5 12</t>
  </si>
  <si>
    <t>5 1 3 5 5 12 31111</t>
  </si>
  <si>
    <t>5 1 3 5 5 12 31111 6</t>
  </si>
  <si>
    <t>5 1 3 5 5 12 31111 6 M59</t>
  </si>
  <si>
    <t>5 1 3 5 5 12 31111 6 M59 20400</t>
  </si>
  <si>
    <t>5 1 3 5 5 12 31111 6 M59 20400 000139</t>
  </si>
  <si>
    <t>5 1 3 5 5 12 31111 6 M59 20400 000139 0000E</t>
  </si>
  <si>
    <t>5 1 3 5 5 12 31111 6 M59 20400 000139 0000E 00001</t>
  </si>
  <si>
    <t>5 1 3 5 5 12 31111 6 M59 20400 000139 0000E 00001 00355</t>
  </si>
  <si>
    <t>REPARACION Y MANTENIMIENTO DE EQUIPO DE TRANSPORTE.</t>
  </si>
  <si>
    <t>5 1 3 5 5 12 31111 6 M59 20400 000139 0000E 00001 00355 015</t>
  </si>
  <si>
    <t>5 1 3 5 5 12 31111 6 M59 20400 000139 0000E 00001 00355 015 2112000</t>
  </si>
  <si>
    <t>5 1 3 5 5 12 31111 6 M59 20400 000139 0000E 00001 00355 015 2112000 2024</t>
  </si>
  <si>
    <t>5 1 3 5 5 12 31111 6 M59 20400 000139 0000E 00001 00355 015 2112000 2024 CP2PV529</t>
  </si>
  <si>
    <t>5 1 3 5 5 12 31111 6 M59 20400 000139 0000E 00001 00355 015 2112000 2024 CP2PV529 005</t>
  </si>
  <si>
    <t>5 1 3 5 5 12 31111 6 M59 20400 000139 0000E 00001 00355 015 2112000 2024 CP2PV529 005 0000001</t>
  </si>
  <si>
    <t>5 1 3 5 5 12 31111 6 M59 40000</t>
  </si>
  <si>
    <t>5 1 3 5 5 12 31111 6 M59 40000 000161</t>
  </si>
  <si>
    <t>5 1 3 5 5 12 31111 6 M59 40000 000161 0000E</t>
  </si>
  <si>
    <t>5 1 3 5 5 12 31111 6 M59 40000 000161 0000E 00001</t>
  </si>
  <si>
    <t>5 1 3 5 5 12 31111 6 M59 40000 000161 0000E 00001 00355</t>
  </si>
  <si>
    <t>5 1 3 5 5 12 31111 6 M59 40000 000161 0000E 00001 00355 025</t>
  </si>
  <si>
    <t>5 1 3 5 5 12 31111 6 M59 40000 000161 0000E 00001 00355 025 2112000</t>
  </si>
  <si>
    <t>5 1 3 5 5 12 31111 6 M59 40000 000161 0000E 00001 00355 025 2112000 2024</t>
  </si>
  <si>
    <t>5 1 3 5 5 12 31111 6 M59 40000 000161 0000E 00001 00355 025 2112000 2024 CP4SP372</t>
  </si>
  <si>
    <t>5 1 3 5 5 12 31111 6 M59 40000 000161 0000E 00001 00355 025 2112000 2024 CP4SP372 003</t>
  </si>
  <si>
    <t>5 1 3 5 5 12 31111 6 M59 40000 000161 0000E 00001 00355 025 2112000 2024 CP4SP372 003 0000001</t>
  </si>
  <si>
    <t>5 1 3 5 5 12 31111 6 M59 40200</t>
  </si>
  <si>
    <t>5 1 3 5 5 12 31111 6 M59 40200 000172</t>
  </si>
  <si>
    <t>5 1 3 5 5 12 31111 6 M59 40200 000172 0000R</t>
  </si>
  <si>
    <t>5 1 3 5 5 12 31111 6 M59 40200 000172 0000R 00001</t>
  </si>
  <si>
    <t>5 1 3 5 5 12 31111 6 M59 40200 000172 0000R 00001 00355</t>
  </si>
  <si>
    <t>5 1 3 5 5 12 31111 6 M59 40200 000172 0000R 00001 00355 025</t>
  </si>
  <si>
    <t>5 1 3 5 5 12 31111 6 M59 40200 000172 0000R 00001 00355 025 2112000</t>
  </si>
  <si>
    <t>5 1 3 5 5 12 31111 6 M59 40200 000172 0000R 00001 00355 025 2112000 2024</t>
  </si>
  <si>
    <t>5 1 3 5 5 12 31111 6 M59 40200 000172 0000R 00001 00355 025 2112000 2024 CP4PC370</t>
  </si>
  <si>
    <t>5 1 3 5 5 12 31111 6 M59 40200 000172 0000R 00001 00355 025 2112000 2024 CP4PC370 003</t>
  </si>
  <si>
    <t>5 1 3 5 5 12 31111 6 M59 40200 000172 0000R 00001 00355 025 2112000 2024 CP4PC370 003 0000001</t>
  </si>
  <si>
    <t>5 1 3 5 5 12 31111 6 M59 40400</t>
  </si>
  <si>
    <t>5 1 3 5 5 12 31111 6 M59 40400 000173</t>
  </si>
  <si>
    <t>5 1 3 5 5 12 31111 6 M59 40400 000173 0000R</t>
  </si>
  <si>
    <t>5 1 3 5 5 12 31111 6 M59 40400 000173 0000R 00001</t>
  </si>
  <si>
    <t>5 1 3 5 5 12 31111 6 M59 40400 000173 0000R 00001 00355</t>
  </si>
  <si>
    <t>5 1 3 5 5 12 31111 6 M59 40400 000173 0000R 00001 00355 025</t>
  </si>
  <si>
    <t>5 1 3 5 5 12 31111 6 M59 40400 000173 0000R 00001 00355 025 2112000</t>
  </si>
  <si>
    <t>5 1 3 5 5 12 31111 6 M59 40400 000173 0000R 00001 00355 025 2112000 2024</t>
  </si>
  <si>
    <t>5 1 3 5 5 12 31111 6 M59 40400 000173 0000R 00001 00355 025 2112000 2024 CP4PD369</t>
  </si>
  <si>
    <t>5 1 3 5 5 12 31111 6 M59 40400 000173 0000R 00001 00355 025 2112000 2024 CP4PD369 003</t>
  </si>
  <si>
    <t>5 1 3 5 5 12 31111 6 M59 40400 000173 0000R 00001 00355 025 2112000 2024 CP4PD369 003 0000001</t>
  </si>
  <si>
    <t>5 1 3 5 5 12 31111 6 M59 96300</t>
  </si>
  <si>
    <t>5 1 3 5 5 12 31111 6 M59 96300 000211</t>
  </si>
  <si>
    <t>5 1 3 5 5 12 31111 6 M59 96300 000211 0000E</t>
  </si>
  <si>
    <t>5 1 3 5 5 12 31111 6 M59 96300 000211 0000E 00001</t>
  </si>
  <si>
    <t>5 1 3 5 5 12 31111 6 M59 96300 000211 0000E 00001 00355</t>
  </si>
  <si>
    <t>5 1 3 5 5 12 31111 6 M59 96300 000211 0000E 00001 00355 011</t>
  </si>
  <si>
    <t>5 1 3 5 5 12 31111 6 M59 96300 000211 0000E 00001 00355 011 2112000</t>
  </si>
  <si>
    <t>5 1 3 5 5 12 31111 6 M59 96300 000211 0000E 00001 00355 011 2112000 2024</t>
  </si>
  <si>
    <t>5 1 3 5 5 12 31111 6 M59 96300 000211 0000E 00001 00355 011 2112000 2024 CP3SB474</t>
  </si>
  <si>
    <t>5 1 3 5 5 12 31111 6 M59 96300 000211 0000E 00001 00355 011 2112000 2024 CP3SB474 004</t>
  </si>
  <si>
    <t>5 1 3 5 5 12 31111 6 M59 96300 000211 0000E 00001 00355 011 2112000 2024 CP3SB474 004 0000001</t>
  </si>
  <si>
    <t>5 1 3 5 5 12 31111 6 M59 96300 000211 0000E 00001 00355 015</t>
  </si>
  <si>
    <t>5 1 3 5 5 12 31111 6 M59 96300 000211 0000E 00001 00355 015 2112000</t>
  </si>
  <si>
    <t>5 1 3 5 5 12 31111 6 M59 96300 000211 0000E 00001 00355 015 2112000 2024</t>
  </si>
  <si>
    <t>5 1 3 5 5 12 31111 6 M59 96300 000211 0000E 00001 00355 015 2112000 2024 CP1SB396</t>
  </si>
  <si>
    <t>5 1 3 5 5 12 31111 6 M59 96300 000211 0000E 00001 00355 015 2112000 2024 CP1SB396 001</t>
  </si>
  <si>
    <t>5 1 3 5 5 12 31111 6 M59 96300 000211 0000E 00001 00355 015 2112000 2024 CP1SB396 001 0000001</t>
  </si>
  <si>
    <t>5 1 3 5 7</t>
  </si>
  <si>
    <t>INSTALACIÓN, REPARACIÓN Y MANTENIMIENTO DE MAQUINARIA, OTROS EQUIPOS Y HERRAMIENTA</t>
  </si>
  <si>
    <t>5 1 3 5 7 12</t>
  </si>
  <si>
    <t>5 1 3 5 7 12 31111</t>
  </si>
  <si>
    <t>5 1 3 5 7 12 31111 6</t>
  </si>
  <si>
    <t>5 1 3 5 7 12 31111 6 M59</t>
  </si>
  <si>
    <t>5 1 3 5 7 12 31111 6 M59 20700</t>
  </si>
  <si>
    <t>5 1 3 5 7 12 31111 6 M59 20700 000132</t>
  </si>
  <si>
    <t>5 1 3 5 7 12 31111 6 M59 20700 000132 0000R</t>
  </si>
  <si>
    <t>5 1 3 5 7 12 31111 6 M59 20700 000132 0000R 00001</t>
  </si>
  <si>
    <t>5 1 3 5 7 12 31111 6 M59 20700 000132 0000R 00001 00357</t>
  </si>
  <si>
    <t>INSTALACION, REPARACION Y MANTENIMIENTO DE MAQUINARIA, OTROS EQUIPOS Y HERRAMIENTA.</t>
  </si>
  <si>
    <t>5 1 3 5 7 12 31111 6 M59 20700 000132 0000R 00001 00357 015</t>
  </si>
  <si>
    <t>5 1 3 5 7 12 31111 6 M59 20700 000132 0000R 00001 00357 015 2112000</t>
  </si>
  <si>
    <t>5 1 3 5 7 12 31111 6 M59 20700 000132 0000R 00001 00357 015 2112000 2024</t>
  </si>
  <si>
    <t>5 1 3 5 7 12 31111 6 M59 20700 000132 0000R 00001 00357 015 2112000 2024 CP1RM401</t>
  </si>
  <si>
    <t>5 1 3 5 7 12 31111 6 M59 20700 000132 0000R 00001 00357 015 2112000 2024 CP1RM401 001</t>
  </si>
  <si>
    <t>5 1 3 5 7 12 31111 6 M59 20700 000132 0000R 00001 00357 015 2112000 2024 CP1RM401 001 0000001</t>
  </si>
  <si>
    <t>INSTALACIÓN, REPARACIÓN Y MANTENIMIENTO DE MAQUINARIA, OTROS EQUIPOS Y HERRAMIENTAS</t>
  </si>
  <si>
    <t>5 1 3 5 7 12 31111 6 M59 50000</t>
  </si>
  <si>
    <t>5 1 3 5 7 12 31111 6 M59 50000 000223</t>
  </si>
  <si>
    <t>5 1 3 5 7 12 31111 6 M59 50000 000223 0000E</t>
  </si>
  <si>
    <t>5 1 3 5 7 12 31111 6 M59 50000 000223 0000E 00001</t>
  </si>
  <si>
    <t>5 1 3 5 7 12 31111 6 M59 50000 000223 0000E 00001 00357</t>
  </si>
  <si>
    <t>5 1 3 5 7 12 31111 6 M59 50000 000223 0000E 00001 00357 015</t>
  </si>
  <si>
    <t>5 1 3 5 7 12 31111 6 M59 50000 000223 0000E 00001 00357 015 2112000</t>
  </si>
  <si>
    <t>5 1 3 5 7 12 31111 6 M59 50000 000223 0000E 00001 00357 015 2112000 2024</t>
  </si>
  <si>
    <t>5 1 3 5 7 12 31111 6 M59 50000 000223 0000E 00001 00357 015 2112000 2024 CP1DA424</t>
  </si>
  <si>
    <t>5 1 3 5 7 12 31111 6 M59 50000 000223 0000E 00001 00357 015 2112000 2024 CP1DA424 001</t>
  </si>
  <si>
    <t>5 1 3 5 7 12 31111 6 M59 50000 000223 0000E 00001 00357 015 2112000 2024 CP1DA424 001 0000001</t>
  </si>
  <si>
    <t>5 1 3 6</t>
  </si>
  <si>
    <t>SERVICIOS DE COMUNICACIÓN SOCIAL Y PUBLICIDAD</t>
  </si>
  <si>
    <t>5 1 3 6 1</t>
  </si>
  <si>
    <t>DIFUSIÓN POR RADIO, TELEVISIÓN Y OTROS MEDIOS DE MENSAJES SOBRE PROGRAMAS Y ACTIVIDADES GUBERNAMENTALES</t>
  </si>
  <si>
    <t>5 1 3 6 1 12</t>
  </si>
  <si>
    <t>5 1 3 6 1 12 31111</t>
  </si>
  <si>
    <t>5 1 3 6 1 12 31111 6</t>
  </si>
  <si>
    <t>5 1 3 6 1 12 31111 6 M59</t>
  </si>
  <si>
    <t>5 1 3 6 1 12 31111 6 M59 10300</t>
  </si>
  <si>
    <t>5 1 3 6 1 12 31111 6 M59 10300 000132</t>
  </si>
  <si>
    <t>5 1 3 6 1 12 31111 6 M59 10300 000132 0000R</t>
  </si>
  <si>
    <t>5 1 3 6 1 12 31111 6 M59 10300 000132 0000R 00001</t>
  </si>
  <si>
    <t>5 1 3 6 1 12 31111 6 M59 10300 000132 0000R 00001 00361</t>
  </si>
  <si>
    <t>DIFUSION POR RADIO, TELEVISION Y OTROS MEDIOS DE MENSAJES SOBRE PROGRAMAS Y ACTIVIDADES GUBERNAMENTALES.</t>
  </si>
  <si>
    <t>5 1 3 6 1 12 31111 6 M59 10300 000132 0000R 00001 00361 015</t>
  </si>
  <si>
    <t>5 1 3 6 1 12 31111 6 M59 10300 000132 0000R 00001 00361 015 2112000</t>
  </si>
  <si>
    <t>5 1 3 6 1 12 31111 6 M59 10300 000132 0000R 00001 00361 015 2112000 2024</t>
  </si>
  <si>
    <t>5 1 3 6 1 12 31111 6 M59 10300 000132 0000R 00001 00361 015 2112000 2024 CP1GE413</t>
  </si>
  <si>
    <t>5 1 3 6 1 12 31111 6 M59 10300 000132 0000R 00001 00361 015 2112000 2024 CP1GE413 001</t>
  </si>
  <si>
    <t>5 1 3 6 1 12 31111 6 M59 10300 000132 0000R 00001 00361 015 2112000 2024 CP1GE413 001 0000001</t>
  </si>
  <si>
    <t>5 1 3 6 1 12 31111 6 M59 10300 000139</t>
  </si>
  <si>
    <t>5 1 3 6 1 12 31111 6 M59 10300 000139 0000E</t>
  </si>
  <si>
    <t>5 1 3 6 1 12 31111 6 M59 10300 000139 0000E 00001</t>
  </si>
  <si>
    <t>5 1 3 6 1 12 31111 6 M59 10300 000139 0000E 00001 00361</t>
  </si>
  <si>
    <t>5 1 3 6 1 12 31111 6 M59 10300 000139 0000E 00001 00361 011</t>
  </si>
  <si>
    <t>5 1 3 6 1 12 31111 6 M59 10300 000139 0000E 00001 00361 011 2112000</t>
  </si>
  <si>
    <t>5 1 3 6 1 12 31111 6 M59 10300 000139 0000E 00001 00361 011 2112000 2024</t>
  </si>
  <si>
    <t>5 1 3 6 1 12 31111 6 M59 10300 000139 0000E 00001 00361 011 2112000 2024 CP3GE486</t>
  </si>
  <si>
    <t>5 1 3 6 1 12 31111 6 M59 10300 000139 0000E 00001 00361 011 2112000 2024 CP3GE486 004</t>
  </si>
  <si>
    <t>5 1 3 6 1 12 31111 6 M59 10300 000139 0000E 00001 00361 011 2112000 2024 CP3GE486 004 0000001</t>
  </si>
  <si>
    <t>TELEVISIÓN</t>
  </si>
  <si>
    <t>5 1 3 6 1 12 31111 6 M59 10500</t>
  </si>
  <si>
    <t>5 1 3 6 1 12 31111 6 M59 10500 000132</t>
  </si>
  <si>
    <t>5 1 3 6 1 12 31111 6 M59 10500 000132 0000R</t>
  </si>
  <si>
    <t>5 1 3 6 1 12 31111 6 M59 10500 000132 0000R 00001</t>
  </si>
  <si>
    <t>5 1 3 6 1 12 31111 6 M59 10500 000132 0000R 00001 00361</t>
  </si>
  <si>
    <t>5 1 3 6 1 12 31111 6 M59 10500 000132 0000R 00001 00361 015</t>
  </si>
  <si>
    <t>5 1 3 6 1 12 31111 6 M59 10500 000132 0000R 00001 00361 015 2112000</t>
  </si>
  <si>
    <t>5 1 3 6 1 12 31111 6 M59 10500 000132 0000R 00001 00361 015 2112000 2024</t>
  </si>
  <si>
    <t>5 1 3 6 1 12 31111 6 M59 10500 000132 0000R 00001 00361 015 2112000 2024 CP1CS421</t>
  </si>
  <si>
    <t>5 1 3 6 1 12 31111 6 M59 10500 000132 0000R 00001 00361 015 2112000 2024 CP1CS421 001</t>
  </si>
  <si>
    <t>5 1 3 6 1 12 31111 6 M59 10500 000132 0000R 00001 00361 015 2112000 2024 CP1CS421 001 0000002</t>
  </si>
  <si>
    <t>5 1 3 7</t>
  </si>
  <si>
    <t>SERVICIOS DE TRASLADO Y VIÁTICOS</t>
  </si>
  <si>
    <t>5 1 3 7 5</t>
  </si>
  <si>
    <t>VIÁTICOS EN EL PAÍS</t>
  </si>
  <si>
    <t>5 1 3 7 5 12</t>
  </si>
  <si>
    <t>5 1 3 7 5 12 31111</t>
  </si>
  <si>
    <t>5 1 3 7 5 12 31111 6</t>
  </si>
  <si>
    <t>5 1 3 7 5 12 31111 6 M59</t>
  </si>
  <si>
    <t>5 1 3 7 5 12 31111 6 M59 10000</t>
  </si>
  <si>
    <t>5 1 3 7 5 12 31111 6 M59 10000 000132</t>
  </si>
  <si>
    <t>5 1 3 7 5 12 31111 6 M59 10000 000132 0000R</t>
  </si>
  <si>
    <t>5 1 3 7 5 12 31111 6 M59 10000 000132 0000R 00001</t>
  </si>
  <si>
    <t>5 1 3 7 5 12 31111 6 M59 10000 000132 0000R 00001 00375</t>
  </si>
  <si>
    <t>VIATICOS EN EL PAIS.</t>
  </si>
  <si>
    <t>5 1 3 7 5 12 31111 6 M59 10000 000132 0000R 00001 00375 015</t>
  </si>
  <si>
    <t>5 1 3 7 5 12 31111 6 M59 10000 000132 0000R 00001 00375 015 2112000</t>
  </si>
  <si>
    <t>5 1 3 7 5 12 31111 6 M59 10000 000132 0000R 00001 00375 015 2112000 2024</t>
  </si>
  <si>
    <t>5 1 3 7 5 12 31111 6 M59 10000 000132 0000R 00001 00375 015 2112000 2024 CP1PM439</t>
  </si>
  <si>
    <t>5 1 3 7 5 12 31111 6 M59 10000 000132 0000R 00001 00375 015 2112000 2024 CP1PM439 001</t>
  </si>
  <si>
    <t>5 1 3 7 5 12 31111 6 M59 10000 000132 0000R 00001 00375 015 2112000 2024 CP1PM439 001 0000001</t>
  </si>
  <si>
    <t>5 1 3 7 5 12 31111 6 M59 19000</t>
  </si>
  <si>
    <t>5 1 3 7 5 12 31111 6 M59 19000 000132</t>
  </si>
  <si>
    <t>5 1 3 7 5 12 31111 6 M59 19000 000132 0000R</t>
  </si>
  <si>
    <t>5 1 3 7 5 12 31111 6 M59 19000 000132 0000R 00001</t>
  </si>
  <si>
    <t>5 1 3 7 5 12 31111 6 M59 19000 000132 0000R 00001 00375</t>
  </si>
  <si>
    <t>5 1 3 7 5 12 31111 6 M59 19000 000132 0000R 00001 00375 011</t>
  </si>
  <si>
    <t>5 1 3 7 5 12 31111 6 M59 19000 000132 0000R 00001 00375 011 2112000</t>
  </si>
  <si>
    <t>5 1 3 7 5 12 31111 6 M59 19000 000132 0000R 00001 00375 011 2112000 2024</t>
  </si>
  <si>
    <t>5 1 3 7 5 12 31111 6 M59 19000 000132 0000R 00001 00375 011 2112000 2024 CP1TM440</t>
  </si>
  <si>
    <t>5 1 3 7 5 12 31111 6 M59 19000 000132 0000R 00001 00375 011 2112000 2024 CP1TM440 004</t>
  </si>
  <si>
    <t>5 1 3 7 5 12 31111 6 M59 19000 000132 0000R 00001 00375 011 2112000 2024 CP1TM440 004 0000001</t>
  </si>
  <si>
    <t>VIATICOS EN EL PAIS</t>
  </si>
  <si>
    <t>5 1 3 7 5 12 31111 6 M59 20500</t>
  </si>
  <si>
    <t>5 1 3 7 5 12 31111 6 M59 20500 000181</t>
  </si>
  <si>
    <t>5 1 3 7 5 12 31111 6 M59 20500 000181 0000E</t>
  </si>
  <si>
    <t>5 1 3 7 5 12 31111 6 M59 20500 000181 0000E 00001</t>
  </si>
  <si>
    <t>5 1 3 7 5 12 31111 6 M59 20500 000181 0000E 00001 00375</t>
  </si>
  <si>
    <t>5 1 3 7 5 12 31111 6 M59 20500 000181 0000E 00001 00375 011</t>
  </si>
  <si>
    <t>5 1 3 7 5 12 31111 6 M59 20500 000181 0000E 00001 00375 011 2112000</t>
  </si>
  <si>
    <t>5 1 3 7 5 12 31111 6 M59 20500 000181 0000E 00001 00375 011 2112000 2024</t>
  </si>
  <si>
    <t>5 1 3 7 5 12 31111 6 M59 20500 000181 0000E 00001 00375 011 2112000 2024 CP3CP471</t>
  </si>
  <si>
    <t>5 1 3 7 5 12 31111 6 M59 20500 000181 0000E 00001 00375 011 2112000 2024 CP3CP471 004</t>
  </si>
  <si>
    <t>5 1 3 7 5 12 31111 6 M59 20500 000181 0000E 00001 00375 011 2112000 2024 CP3CP471 004 0000001</t>
  </si>
  <si>
    <t>5 1 3 7 5 12 31111 6 M59 40000</t>
  </si>
  <si>
    <t>5 1 3 7 5 12 31111 6 M59 40000 000161</t>
  </si>
  <si>
    <t>5 1 3 7 5 12 31111 6 M59 40000 000161 0000E</t>
  </si>
  <si>
    <t>5 1 3 7 5 12 31111 6 M59 40000 000161 0000E 00001</t>
  </si>
  <si>
    <t>5 1 3 7 5 12 31111 6 M59 40000 000161 0000E 00001 00375</t>
  </si>
  <si>
    <t>5 1 3 7 5 12 31111 6 M59 40000 000161 0000E 00001 00375 025</t>
  </si>
  <si>
    <t>5 1 3 7 5 12 31111 6 M59 40000 000161 0000E 00001 00375 025 2112000</t>
  </si>
  <si>
    <t>5 1 3 7 5 12 31111 6 M59 40000 000161 0000E 00001 00375 025 2112000 2024</t>
  </si>
  <si>
    <t>5 1 3 7 5 12 31111 6 M59 40000 000161 0000E 00001 00375 025 2112000 2024 CP4SP372</t>
  </si>
  <si>
    <t>5 1 3 7 5 12 31111 6 M59 40000 000161 0000E 00001 00375 025 2112000 2024 CP4SP372 003</t>
  </si>
  <si>
    <t>5 1 3 7 5 12 31111 6 M59 40000 000161 0000E 00001 00375 025 2112000 2024 CP4SP372 003 0000001</t>
  </si>
  <si>
    <t>5 1 3 7 8</t>
  </si>
  <si>
    <t>SERVICIOS INTEGRALES DE TRASLADO Y VIÁTICOS</t>
  </si>
  <si>
    <t>5 1 3 7 8 12</t>
  </si>
  <si>
    <t>5 1 3 7 8 12 31111</t>
  </si>
  <si>
    <t>5 1 3 7 8 12 31111 6</t>
  </si>
  <si>
    <t>5 1 3 7 8 12 31111 6 M59</t>
  </si>
  <si>
    <t>5 1 3 7 8 12 31111 6 M59 40000</t>
  </si>
  <si>
    <t>5 1 3 7 8 12 31111 6 M59 40000 000161</t>
  </si>
  <si>
    <t>5 1 3 7 8 12 31111 6 M59 40000 000161 0000E</t>
  </si>
  <si>
    <t>5 1 3 7 8 12 31111 6 M59 40000 000161 0000E 00001</t>
  </si>
  <si>
    <t>5 1 3 7 8 12 31111 6 M59 40000 000161 0000E 00001 00378</t>
  </si>
  <si>
    <t>SERVICIOS INTEGRALES DE TRASLADO Y VIATICOS.</t>
  </si>
  <si>
    <t>5 1 3 7 8 12 31111 6 M59 40000 000161 0000E 00001 00378 025</t>
  </si>
  <si>
    <t>5 1 3 7 8 12 31111 6 M59 40000 000161 0000E 00001 00378 025 2112000</t>
  </si>
  <si>
    <t>5 1 3 7 8 12 31111 6 M59 40000 000161 0000E 00001 00378 025 2112000 2024</t>
  </si>
  <si>
    <t>5 1 3 7 8 12 31111 6 M59 40000 000161 0000E 00001 00378 025 2112000 2024 CP4SP372</t>
  </si>
  <si>
    <t>5 1 3 7 8 12 31111 6 M59 40000 000161 0000E 00001 00378 025 2112000 2024 CP4SP372 003</t>
  </si>
  <si>
    <t>5 1 3 7 8 12 31111 6 M59 40000 000161 0000E 00001 00378 025 2112000 2024 CP4SP372 003 0000001</t>
  </si>
  <si>
    <t>5 1 3 8</t>
  </si>
  <si>
    <t>SERVICIOS OFICIALES</t>
  </si>
  <si>
    <t>5 1 3 8 2</t>
  </si>
  <si>
    <t>GASTOS DE ORDEN SOCIAL Y CULTURAL</t>
  </si>
  <si>
    <t>5 1 3 8 2 12</t>
  </si>
  <si>
    <t>5 1 3 8 2 12 31111</t>
  </si>
  <si>
    <t>5 1 3 8 2 12 31111 6</t>
  </si>
  <si>
    <t>5 1 3 8 2 12 31111 6 M59</t>
  </si>
  <si>
    <t>5 1 3 8 2 12 31111 6 M59 10300</t>
  </si>
  <si>
    <t>5 1 3 8 2 12 31111 6 M59 10300 000139</t>
  </si>
  <si>
    <t>5 1 3 8 2 12 31111 6 M59 10300 000139 0000E</t>
  </si>
  <si>
    <t>5 1 3 8 2 12 31111 6 M59 10300 000139 0000E 00001</t>
  </si>
  <si>
    <t>5 1 3 8 2 12 31111 6 M59 10300 000139 0000E 00001 00382</t>
  </si>
  <si>
    <t>GASTOS DE ORDEN SOCIAL Y CULTURAL.</t>
  </si>
  <si>
    <t>5 1 3 8 2 12 31111 6 M59 10300 000139 0000E 00001 00382 011</t>
  </si>
  <si>
    <t>5 1 3 8 2 12 31111 6 M59 10300 000139 0000E 00001 00382 011 2112000</t>
  </si>
  <si>
    <t>5 1 3 8 2 12 31111 6 M59 10300 000139 0000E 00001 00382 011 2112000 2024</t>
  </si>
  <si>
    <t>5 1 3 8 2 12 31111 6 M59 10300 000139 0000E 00001 00382 011 2112000 2024 CP3GE486</t>
  </si>
  <si>
    <t>5 1 3 8 2 12 31111 6 M59 10300 000139 0000E 00001 00382 011 2112000 2024 CP3GE486 004</t>
  </si>
  <si>
    <t>5 1 3 8 2 12 31111 6 M59 10300 000139 0000E 00001 00382 011 2112000 2024 CP3GE486 004 0000001</t>
  </si>
  <si>
    <t>5 1 3 8 2 12 31111 6 M59 19000</t>
  </si>
  <si>
    <t>5 1 3 8 2 12 31111 6 M59 19000 000132</t>
  </si>
  <si>
    <t>5 1 3 8 2 12 31111 6 M59 19000 000132 0000R</t>
  </si>
  <si>
    <t>5 1 3 8 2 12 31111 6 M59 19000 000132 0000R 00001</t>
  </si>
  <si>
    <t>5 1 3 8 2 12 31111 6 M59 19000 000132 0000R 00001 00382</t>
  </si>
  <si>
    <t>5 1 3 8 2 12 31111 6 M59 19000 000132 0000R 00001 00382 011</t>
  </si>
  <si>
    <t>5 1 3 8 2 12 31111 6 M59 19000 000132 0000R 00001 00382 011 2112000</t>
  </si>
  <si>
    <t>5 1 3 8 2 12 31111 6 M59 19000 000132 0000R 00001 00382 011 2112000 2024</t>
  </si>
  <si>
    <t>5 1 3 8 2 12 31111 6 M59 19000 000132 0000R 00001 00382 011 2112000 2024 CP1TM440</t>
  </si>
  <si>
    <t>5 1 3 8 2 12 31111 6 M59 19000 000132 0000R 00001 00382 011 2112000 2024 CP1TM440 004</t>
  </si>
  <si>
    <t>5 1 3 8 2 12 31111 6 M59 19000 000132 0000R 00001 00382 011 2112000 2024 CP1TM440 004 0000001</t>
  </si>
  <si>
    <t>5 1 3 8 5</t>
  </si>
  <si>
    <t>5 1 3 8 5 12</t>
  </si>
  <si>
    <t>5 1 3 8 5 12 31111</t>
  </si>
  <si>
    <t>5 1 3 8 5 12 31111 6</t>
  </si>
  <si>
    <t>5 1 3 8 5 12 31111 6 M59</t>
  </si>
  <si>
    <t>5 1 3 8 5 12 31111 6 M59 10000</t>
  </si>
  <si>
    <t>5 1 3 8 5 12 31111 6 M59 10000 000132</t>
  </si>
  <si>
    <t>5 1 3 8 5 12 31111 6 M59 10000 000132 0000R</t>
  </si>
  <si>
    <t>5 1 3 8 5 12 31111 6 M59 10000 000132 0000R 00001</t>
  </si>
  <si>
    <t>5 1 3 8 5 12 31111 6 M59 10000 000132 0000R 00001 00385</t>
  </si>
  <si>
    <t>GASTOS DE REPRESENTACION.</t>
  </si>
  <si>
    <t>5 1 3 8 5 12 31111 6 M59 10000 000132 0000R 00001 00385 015</t>
  </si>
  <si>
    <t>5 1 3 8 5 12 31111 6 M59 10000 000132 0000R 00001 00385 015 2112000</t>
  </si>
  <si>
    <t>5 1 3 8 5 12 31111 6 M59 10000 000132 0000R 00001 00385 015 2112000 2024</t>
  </si>
  <si>
    <t>5 1 3 8 5 12 31111 6 M59 10000 000132 0000R 00001 00385 015 2112000 2024 CP1PM439</t>
  </si>
  <si>
    <t>5 1 3 8 5 12 31111 6 M59 10000 000132 0000R 00001 00385 015 2112000 2024 CP1PM439 001</t>
  </si>
  <si>
    <t>5 1 3 8 5 12 31111 6 M59 10000 000132 0000R 00001 00385 015 2112000 2024 CP1PM439 001 0000001</t>
  </si>
  <si>
    <t>5 1 3 8 5 12 31111 6 M59 19000</t>
  </si>
  <si>
    <t>5 1 3 8 5 12 31111 6 M59 19000 000132</t>
  </si>
  <si>
    <t>5 1 3 8 5 12 31111 6 M59 19000 000132 0000R</t>
  </si>
  <si>
    <t>5 1 3 8 5 12 31111 6 M59 19000 000132 0000R 00001</t>
  </si>
  <si>
    <t>5 1 3 8 5 12 31111 6 M59 19000 000132 0000R 00001 00385</t>
  </si>
  <si>
    <t>5 1 3 8 5 12 31111 6 M59 19000 000132 0000R 00001 00385 011</t>
  </si>
  <si>
    <t>5 1 3 8 5 12 31111 6 M59 19000 000132 0000R 00001 00385 011 2112000</t>
  </si>
  <si>
    <t>5 1 3 8 5 12 31111 6 M59 19000 000132 0000R 00001 00385 011 2112000 2024</t>
  </si>
  <si>
    <t>5 1 3 8 5 12 31111 6 M59 19000 000132 0000R 00001 00385 011 2112000 2024 CP1TM440</t>
  </si>
  <si>
    <t>5 1 3 8 5 12 31111 6 M59 19000 000132 0000R 00001 00385 011 2112000 2024 CP1TM440 004</t>
  </si>
  <si>
    <t>5 1 3 8 5 12 31111 6 M59 19000 000132 0000R 00001 00385 011 2112000 2024 CP1TM440 004 0000001</t>
  </si>
  <si>
    <t>5 1 3 9</t>
  </si>
  <si>
    <t>OTROS SERVICIOS GENERALES</t>
  </si>
  <si>
    <t>5 1 3 9 2</t>
  </si>
  <si>
    <t>IMPUESTOS Y DERECHOS</t>
  </si>
  <si>
    <t>5 1 3 9 2 12</t>
  </si>
  <si>
    <t>5 1 3 9 2 12 31111</t>
  </si>
  <si>
    <t>5 1 3 9 2 12 31111 6</t>
  </si>
  <si>
    <t>5 1 3 9 2 12 31111 6 M59</t>
  </si>
  <si>
    <t>5 1 3 9 2 12 31111 6 M59 19000</t>
  </si>
  <si>
    <t>5 1 3 9 2 12 31111 6 M59 19000 000132</t>
  </si>
  <si>
    <t>5 1 3 9 2 12 31111 6 M59 19000 000132 0000R</t>
  </si>
  <si>
    <t>5 1 3 9 2 12 31111 6 M59 19000 000132 0000R 00001</t>
  </si>
  <si>
    <t>5 1 3 9 2 12 31111 6 M59 19000 000132 0000R 00001 00392</t>
  </si>
  <si>
    <t>IMPUESTOS Y DERECHOS.</t>
  </si>
  <si>
    <t>5 1 3 9 2 12 31111 6 M59 19000 000132 0000R 00001 00392 015</t>
  </si>
  <si>
    <t>5 1 3 9 2 12 31111 6 M59 19000 000132 0000R 00001 00392 015 2112000</t>
  </si>
  <si>
    <t>5 1 3 9 2 12 31111 6 M59 19000 000132 0000R 00001 00392 015 2112000 2024</t>
  </si>
  <si>
    <t>5 1 3 9 2 12 31111 6 M59 19000 000132 0000R 00001 00392 015 2112000 2024 CP1TM440</t>
  </si>
  <si>
    <t>5 1 3 9 2 12 31111 6 M59 19000 000132 0000R 00001 00392 015 2112000 2024 CP1TM440 001</t>
  </si>
  <si>
    <t>5 1 3 9 2 12 31111 6 M59 19000 000132 0000R 00001 00392 015 2112000 2024 CP1TM440 001 0000001</t>
  </si>
  <si>
    <t>5 1 3 9 2 12 31111 6 M59 19000 000271</t>
  </si>
  <si>
    <t>5 1 3 9 2 12 31111 6 M59 19000 000271 0000F</t>
  </si>
  <si>
    <t>5 1 3 9 2 12 31111 6 M59 19000 000271 0000F 00001</t>
  </si>
  <si>
    <t>5 1 3 9 2 12 31111 6 M59 19000 000271 0000F 00001 00392</t>
  </si>
  <si>
    <t>5 1 3 9 2 12 31111 6 M59 19000 000271 0000F 00001 00392 025</t>
  </si>
  <si>
    <t>5 1 3 9 2 12 31111 6 M59 19000 000271 0000F 00001 00392 025 2112000</t>
  </si>
  <si>
    <t>5 1 3 9 2 12 31111 6 M59 19000 000271 0000F 00001 00392 025 2112000 2024</t>
  </si>
  <si>
    <t>5 1 3 9 2 12 31111 6 M59 19000 000271 0000F 00001 00392 025 2112000 2024 CP4TM511</t>
  </si>
  <si>
    <t>5 1 3 9 2 12 31111 6 M59 19000 000271 0000F 00001 00392 025 2112000 2024 CP4TM511 003</t>
  </si>
  <si>
    <t>5 1 3 9 2 12 31111 6 M59 19000 000271 0000F 00001 00392 025 2112000 2024 CP4TM511 003 0000001</t>
  </si>
  <si>
    <t>DERECHO DE AGUAS NACIONALES</t>
  </si>
  <si>
    <t>5 1 3 9 2 12 31111 6 M59 19000 000271 0000F 00001 00392 025 2112000 2024 CP4TM511 003 0000002</t>
  </si>
  <si>
    <t>DERECHO DESCARGAS DE AGUA</t>
  </si>
  <si>
    <t>5 1 3 9 2 12 31111 6 M59 30100</t>
  </si>
  <si>
    <t>5 1 3 9 2 12 31111 6 M59 30100 000132</t>
  </si>
  <si>
    <t>5 1 3 9 2 12 31111 6 M59 30100 000132 0000R</t>
  </si>
  <si>
    <t>5 1 3 9 2 12 31111 6 M59 30100 000132 0000R 00002</t>
  </si>
  <si>
    <t>5 1 3 9 2 12 31111 6 M59 30100 000132 0000R 00002 00392</t>
  </si>
  <si>
    <t>5 1 3 9 2 12 31111 6 M59 30100 000132 0000R 00002 00392 025</t>
  </si>
  <si>
    <t>5 1 3 9 2 12 31111 6 M59 30100 000132 0000R 00002 00392 025 2210000</t>
  </si>
  <si>
    <t>5 1 3 9 2 12 31111 6 M59 30100 000132 0000R 00002 00392 025 2210000 2024</t>
  </si>
  <si>
    <t>5 1 3 9 2 12 31111 6 M59 30100 000132 0000R 00002 00392 025 2210000 2024 CP1OP405</t>
  </si>
  <si>
    <t>5 1 3 9 2 12 31111 6 M59 30100 000132 0000R 00002 00392 025 2210000 2024 CP1OP405 003</t>
  </si>
  <si>
    <t>5 1 3 9 2 12 31111 6 M59 30100 000132 0000R 00002 00392 025 2210000 2024 CP1OP405 003 0000001</t>
  </si>
  <si>
    <t>DERECHOS CONAGUA (PRODDER)</t>
  </si>
  <si>
    <t>5 1 3 9 4</t>
  </si>
  <si>
    <t>SENTENCIAS Y RESOLUCIONES POR AUTORIDAD COMPETENTE</t>
  </si>
  <si>
    <t>5 1 3 9 4 12</t>
  </si>
  <si>
    <t>5 1 3 9 4 12 31111</t>
  </si>
  <si>
    <t>5 1 3 9 4 12 31111 6</t>
  </si>
  <si>
    <t>5 1 3 9 4 12 31111 6 M59</t>
  </si>
  <si>
    <t>5 1 3 9 4 12 31111 6 M59 95000</t>
  </si>
  <si>
    <t>5 1 3 9 4 12 31111 6 M59 95000 000139</t>
  </si>
  <si>
    <t>5 1 3 9 4 12 31111 6 M59 95000 000139 0000L</t>
  </si>
  <si>
    <t>5 1 3 9 4 12 31111 6 M59 95000 000139 0000L 00001</t>
  </si>
  <si>
    <t>5 1 3 9 4 12 31111 6 M59 95000 000139 0000L 00001 00394</t>
  </si>
  <si>
    <t>SENTENCIAS Y RESOLUCIONES POR AUTORIDAD COMPETENTE.</t>
  </si>
  <si>
    <t>5 1 3 9 4 12 31111 6 M59 95000 000139 0000L 00001 00394 015</t>
  </si>
  <si>
    <t>5 1 3 9 4 12 31111 6 M59 95000 000139 0000L 00001 00394 015 2112000</t>
  </si>
  <si>
    <t>5 1 3 9 4 12 31111 6 M59 95000 000139 0000L 00001 00394 015 2112000 2024</t>
  </si>
  <si>
    <t>5 1 3 9 4 12 31111 6 M59 95000 000139 0000L 00001 00394 015 2112000 2024 CP1AJ437</t>
  </si>
  <si>
    <t>5 1 3 9 4 12 31111 6 M59 95000 000139 0000L 00001 00394 015 2112000 2024 CP1AJ437 001</t>
  </si>
  <si>
    <t>5 1 3 9 4 12 31111 6 M59 95000 000139 0000L 00001 00394 015 2112000 2024 CP1AJ437 001 0000001</t>
  </si>
  <si>
    <t>5 1 3 9 5</t>
  </si>
  <si>
    <t>PENAS, MULTAS, ACCESORIOS Y ACTUALIZACIONES</t>
  </si>
  <si>
    <t>5 1 3 9 5 12</t>
  </si>
  <si>
    <t>5 1 3 9 5 12 31111</t>
  </si>
  <si>
    <t>5 1 3 9 5 12 31111 6</t>
  </si>
  <si>
    <t>5 1 3 9 5 12 31111 6 M59</t>
  </si>
  <si>
    <t>5 1 3 9 5 12 31111 6 M59 20300</t>
  </si>
  <si>
    <t>5 1 3 9 5 12 31111 6 M59 20300 000132</t>
  </si>
  <si>
    <t>5 1 3 9 5 12 31111 6 M59 20300 000132 0000R</t>
  </si>
  <si>
    <t>5 1 3 9 5 12 31111 6 M59 20300 000132 0000R 00001</t>
  </si>
  <si>
    <t>5 1 3 9 5 12 31111 6 M59 20300 000132 0000R 00001 00395</t>
  </si>
  <si>
    <t>PENAS, MULTAS, ACCESORIOS Y ACTUALIZACIONES.</t>
  </si>
  <si>
    <t>5 1 3 9 5 12 31111 6 M59 20300 000132 0000R 00001 00395 015</t>
  </si>
  <si>
    <t>5 1 3 9 5 12 31111 6 M59 20300 000132 0000R 00001 00395 015 2112000</t>
  </si>
  <si>
    <t>5 1 3 9 5 12 31111 6 M59 20300 000132 0000R 00001 00395 015 2112000 2024</t>
  </si>
  <si>
    <t>5 1 3 9 5 12 31111 6 M59 20300 000132 0000R 00001 00395 015 2112000 2024 CP1DE415</t>
  </si>
  <si>
    <t>5 1 3 9 5 12 31111 6 M59 20300 000132 0000R 00001 00395 015 2112000 2024 CP1DE415 001</t>
  </si>
  <si>
    <t>5 1 3 9 5 12 31111 6 M59 20300 000132 0000R 00001 00395 015 2112000 2024 CP1DE415 001 0000003</t>
  </si>
  <si>
    <t>RECARGOS</t>
  </si>
  <si>
    <t>5 1 3 9 5 12 31111 6 M59 20300 000132 0000R 00001 00395 015 2112000 2024 CP1DE415 001 0000004</t>
  </si>
  <si>
    <t>ACTUALIZACIONES</t>
  </si>
  <si>
    <t>5 1 3 9 8</t>
  </si>
  <si>
    <t>IMPUESTO SOBRE NÓMINAS Y OTROS QUE SE DERIVEN DE UNA RELACIÓN LABORAL</t>
  </si>
  <si>
    <t>5 1 3 9 8 12</t>
  </si>
  <si>
    <t>5 1 3 9 8 12 31111</t>
  </si>
  <si>
    <t>5 1 3 9 8 12 31111 6</t>
  </si>
  <si>
    <t>5 1 3 9 8 12 31111 6 M59</t>
  </si>
  <si>
    <t>5 1 3 9 8 12 31111 6 M59 10000</t>
  </si>
  <si>
    <t>5 1 3 9 8 12 31111 6 M59 10000 000132</t>
  </si>
  <si>
    <t>5 1 3 9 8 12 31111 6 M59 10000 000132 0000R</t>
  </si>
  <si>
    <t>5 1 3 9 8 12 31111 6 M59 10000 000132 0000R 00001</t>
  </si>
  <si>
    <t>5 1 3 9 8 12 31111 6 M59 10000 000132 0000R 00001 00398</t>
  </si>
  <si>
    <t>IMPUESTO SOBRE NOMINAS Y OTROS QUE SE DERIVEN DE UNA RELACION LABORAL.</t>
  </si>
  <si>
    <t>5 1 3 9 8 12 31111 6 M59 10000 000132 0000R 00001 00398 015</t>
  </si>
  <si>
    <t>5 1 3 9 8 12 31111 6 M59 10000 000132 0000R 00001 00398 015 2111100</t>
  </si>
  <si>
    <t>5 1 3 9 8 12 31111 6 M59 10000 000132 0000R 00001 00398 015 2111100 2024</t>
  </si>
  <si>
    <t>5 1 3 9 8 12 31111 6 M59 10000 000132 0000R 00001 00398 015 2111100 2024 CP1PM439</t>
  </si>
  <si>
    <t>5 1 3 9 8 12 31111 6 M59 10000 000132 0000R 00001 00398 015 2111100 2024 CP1PM439 001</t>
  </si>
  <si>
    <t>5 1 3 9 8 12 31111 6 M59 10000 000132 0000R 00001 00398 015 2111100 2024 CP1PM439 001 0000001</t>
  </si>
  <si>
    <t>IMPUESTOS SOBRE NÓMINA Y OTROS QUE SE DERIVEN DE UNA RELACIÓN LABORAL</t>
  </si>
  <si>
    <t>5 1 3 9 8 12 31111 6 M59 10100</t>
  </si>
  <si>
    <t>5 1 3 9 8 12 31111 6 M59 10100 000132</t>
  </si>
  <si>
    <t>5 1 3 9 8 12 31111 6 M59 10100 000132 0000R</t>
  </si>
  <si>
    <t>5 1 3 9 8 12 31111 6 M59 10100 000132 0000R 00001</t>
  </si>
  <si>
    <t>5 1 3 9 8 12 31111 6 M59 10100 000132 0000R 00001 00398</t>
  </si>
  <si>
    <t>5 1 3 9 8 12 31111 6 M59 10100 000132 0000R 00001 00398 015</t>
  </si>
  <si>
    <t>5 1 3 9 8 12 31111 6 M59 10100 000132 0000R 00001 00398 015 2111300</t>
  </si>
  <si>
    <t>5 1 3 9 8 12 31111 6 M59 10100 000132 0000R 00001 00398 015 2111300 2024</t>
  </si>
  <si>
    <t>5 1 3 9 8 12 31111 6 M59 10100 000132 0000R 00001 00398 015 2111300 2024 CP1CO438</t>
  </si>
  <si>
    <t>5 1 3 9 8 12 31111 6 M59 10100 000132 0000R 00001 00398 015 2111300 2024 CP1CO438 001</t>
  </si>
  <si>
    <t>5 1 3 9 8 12 31111 6 M59 10100 000132 0000R 00001 00398 015 2111300 2024 CP1CO438 001 0000001</t>
  </si>
  <si>
    <t>5 1 3 9 8 12 31111 6 M59 10300</t>
  </si>
  <si>
    <t>5 1 3 9 8 12 31111 6 M59 10300 000132</t>
  </si>
  <si>
    <t>5 1 3 9 8 12 31111 6 M59 10300 000132 0000R</t>
  </si>
  <si>
    <t>5 1 3 9 8 12 31111 6 M59 10300 000132 0000R 00001</t>
  </si>
  <si>
    <t>5 1 3 9 8 12 31111 6 M59 10300 000132 0000R 00001 00398</t>
  </si>
  <si>
    <t>5 1 3 9 8 12 31111 6 M59 10300 000132 0000R 00001 00398 015</t>
  </si>
  <si>
    <t>5 1 3 9 8 12 31111 6 M59 10300 000132 0000R 00001 00398 015 2111300</t>
  </si>
  <si>
    <t>5 1 3 9 8 12 31111 6 M59 10300 000132 0000R 00001 00398 015 2111300 2024</t>
  </si>
  <si>
    <t>5 1 3 9 8 12 31111 6 M59 10300 000132 0000R 00001 00398 015 2111300 2024 CP1GE413</t>
  </si>
  <si>
    <t>5 1 3 9 8 12 31111 6 M59 10300 000132 0000R 00001 00398 015 2111300 2024 CP1GE413 001</t>
  </si>
  <si>
    <t>5 1 3 9 8 12 31111 6 M59 10300 000132 0000R 00001 00398 015 2111300 2024 CP1GE413 001 0000001</t>
  </si>
  <si>
    <t>5 1 3 9 8 12 31111 6 M59 10400</t>
  </si>
  <si>
    <t>5 1 3 9 8 12 31111 6 M59 10400 000132</t>
  </si>
  <si>
    <t>5 1 3 9 8 12 31111 6 M59 10400 000132 0000R</t>
  </si>
  <si>
    <t>5 1 3 9 8 12 31111 6 M59 10400 000132 0000R 00001</t>
  </si>
  <si>
    <t>5 1 3 9 8 12 31111 6 M59 10400 000132 0000R 00001 00398</t>
  </si>
  <si>
    <t>5 1 3 9 8 12 31111 6 M59 10400 000132 0000R 00001 00398 015</t>
  </si>
  <si>
    <t>5 1 3 9 8 12 31111 6 M59 10400 000132 0000R 00001 00398 015 2111300</t>
  </si>
  <si>
    <t>5 1 3 9 8 12 31111 6 M59 10400 000132 0000R 00001 00398 015 2111300 2024</t>
  </si>
  <si>
    <t>5 1 3 9 8 12 31111 6 M59 10400 000132 0000R 00001 00398 015 2111300 2024 CP1CG432</t>
  </si>
  <si>
    <t>5 1 3 9 8 12 31111 6 M59 10400 000132 0000R 00001 00398 015 2111300 2024 CP1CG432 001</t>
  </si>
  <si>
    <t>5 1 3 9 8 12 31111 6 M59 10400 000132 0000R 00001 00398 015 2111300 2024 CP1CG432 001 0000001</t>
  </si>
  <si>
    <t>5 1 3 9 8 12 31111 6 M59 10500</t>
  </si>
  <si>
    <t>5 1 3 9 8 12 31111 6 M59 10500 000132</t>
  </si>
  <si>
    <t>5 1 3 9 8 12 31111 6 M59 10500 000132 0000R</t>
  </si>
  <si>
    <t>5 1 3 9 8 12 31111 6 M59 10500 000132 0000R 00001</t>
  </si>
  <si>
    <t>5 1 3 9 8 12 31111 6 M59 10500 000132 0000R 00001 00398</t>
  </si>
  <si>
    <t>5 1 3 9 8 12 31111 6 M59 10500 000132 0000R 00001 00398 015</t>
  </si>
  <si>
    <t>5 1 3 9 8 12 31111 6 M59 10500 000132 0000R 00001 00398 015 2111300</t>
  </si>
  <si>
    <t>5 1 3 9 8 12 31111 6 M59 10500 000132 0000R 00001 00398 015 2111300 2024</t>
  </si>
  <si>
    <t>5 1 3 9 8 12 31111 6 M59 10500 000132 0000R 00001 00398 015 2111300 2024 CP1CS421</t>
  </si>
  <si>
    <t>5 1 3 9 8 12 31111 6 M59 10500 000132 0000R 00001 00398 015 2111300 2024 CP1CS421 001</t>
  </si>
  <si>
    <t>5 1 3 9 8 12 31111 6 M59 10500 000132 0000R 00001 00398 015 2111300 2024 CP1CS421 001 0000001</t>
  </si>
  <si>
    <t>5 1 3 9 8 12 31111 6 M59 10700</t>
  </si>
  <si>
    <t>5 1 3 9 8 12 31111 6 M59 10700 000132</t>
  </si>
  <si>
    <t>5 1 3 9 8 12 31111 6 M59 10700 000132 0000R</t>
  </si>
  <si>
    <t>5 1 3 9 8 12 31111 6 M59 10700 000132 0000R 00001</t>
  </si>
  <si>
    <t>5 1 3 9 8 12 31111 6 M59 10700 000132 0000R 00001 00398</t>
  </si>
  <si>
    <t>5 1 3 9 8 12 31111 6 M59 10700 000132 0000R 00001 00398 015</t>
  </si>
  <si>
    <t>5 1 3 9 8 12 31111 6 M59 10700 000132 0000R 00001 00398 015 2111300</t>
  </si>
  <si>
    <t>5 1 3 9 8 12 31111 6 M59 10700 000132 0000R 00001 00398 015 2111300 2024</t>
  </si>
  <si>
    <t>5 1 3 9 8 12 31111 6 M59 10700 000132 0000R 00001 00398 015 2111300 2024 CP1GB435</t>
  </si>
  <si>
    <t>5 1 3 9 8 12 31111 6 M59 10700 000132 0000R 00001 00398 015 2111300 2024 CP1GB435 001</t>
  </si>
  <si>
    <t>5 1 3 9 8 12 31111 6 M59 10700 000132 0000R 00001 00398 015 2111300 2024 CP1GB435 001 0000001</t>
  </si>
  <si>
    <t>5 1 3 9 8 12 31111 6 M59 10800</t>
  </si>
  <si>
    <t>5 1 3 9 8 12 31111 6 M59 10800 000132</t>
  </si>
  <si>
    <t>5 1 3 9 8 12 31111 6 M59 10800 000132 0000R</t>
  </si>
  <si>
    <t>5 1 3 9 8 12 31111 6 M59 10800 000132 0000R 00001</t>
  </si>
  <si>
    <t>5 1 3 9 8 12 31111 6 M59 10800 000132 0000R 00001 00398</t>
  </si>
  <si>
    <t>5 1 3 9 8 12 31111 6 M59 10800 000132 0000R 00001 00398 015</t>
  </si>
  <si>
    <t>5 1 3 9 8 12 31111 6 M59 10800 000132 0000R 00001 00398 015 2111300</t>
  </si>
  <si>
    <t>5 1 3 9 8 12 31111 6 M59 10800 000132 0000R 00001 00398 015 2111300 2024</t>
  </si>
  <si>
    <t>5 1 3 9 8 12 31111 6 M59 10800 000132 0000R 00001 00398 015 2111300 2024 CP1SR390</t>
  </si>
  <si>
    <t>5 1 3 9 8 12 31111 6 M59 10800 000132 0000R 00001 00398 015 2111300 2024 CP1SR390 001</t>
  </si>
  <si>
    <t>5 1 3 9 8 12 31111 6 M59 10800 000132 0000R 00001 00398 015 2111300 2024 CP1SR390 001 0000001</t>
  </si>
  <si>
    <t>5 1 3 9 8 12 31111 6 M59 11000</t>
  </si>
  <si>
    <t>5 1 3 9 8 12 31111 6 M59 11000 000132</t>
  </si>
  <si>
    <t>5 1 3 9 8 12 31111 6 M59 11000 000132 0000R</t>
  </si>
  <si>
    <t>5 1 3 9 8 12 31111 6 M59 11000 000132 0000R 00001</t>
  </si>
  <si>
    <t>5 1 3 9 8 12 31111 6 M59 11000 000132 0000R 00001 00398</t>
  </si>
  <si>
    <t>5 1 3 9 8 12 31111 6 M59 11000 000132 0000R 00001 00398 015</t>
  </si>
  <si>
    <t>5 1 3 9 8 12 31111 6 M59 11000 000132 0000R 00001 00398 015 2111300</t>
  </si>
  <si>
    <t>5 1 3 9 8 12 31111 6 M59 11000 000132 0000R 00001 00398 015 2111300 2024</t>
  </si>
  <si>
    <t>5 1 3 9 8 12 31111 6 M59 11000 000132 0000R 00001 00398 015 2111300 2024 CP1SM382</t>
  </si>
  <si>
    <t>5 1 3 9 8 12 31111 6 M59 11000 000132 0000R 00001 00398 015 2111300 2024 CP1SM382 001</t>
  </si>
  <si>
    <t>5 1 3 9 8 12 31111 6 M59 11000 000132 0000R 00001 00398 015 2111300 2024 CP1SM382 001 0000001</t>
  </si>
  <si>
    <t>5 1 3 9 8 12 31111 6 M59 12000</t>
  </si>
  <si>
    <t>5 1 3 9 8 12 31111 6 M59 12000 000121</t>
  </si>
  <si>
    <t>5 1 3 9 8 12 31111 6 M59 12000 000121 0000E</t>
  </si>
  <si>
    <t>5 1 3 9 8 12 31111 6 M59 12000 000121 0000E 00001</t>
  </si>
  <si>
    <t>5 1 3 9 8 12 31111 6 M59 12000 000121 0000E 00001 00398</t>
  </si>
  <si>
    <t>5 1 3 9 8 12 31111 6 M59 12000 000121 0000E 00001 00398 015</t>
  </si>
  <si>
    <t>5 1 3 9 8 12 31111 6 M59 12000 000121 0000E 00001 00398 015 2111300</t>
  </si>
  <si>
    <t>5 1 3 9 8 12 31111 6 M59 12000 000121 0000E 00001 00398 015 2111300 2024</t>
  </si>
  <si>
    <t>5 1 3 9 8 12 31111 6 M59 12000 000121 0000E 00001 00398 015 2111300 2024 CP1CI591</t>
  </si>
  <si>
    <t>5 1 3 9 8 12 31111 6 M59 12000 000121 0000E 00001 00398 015 2111300 2024 CP1CI591 001</t>
  </si>
  <si>
    <t>5 1 3 9 8 12 31111 6 M59 12000 000121 0000E 00001 00398 015 2111300 2024 CP1CI591 001 0000001</t>
  </si>
  <si>
    <t>5 1 3 9 8 12 31111 6 M59 12100</t>
  </si>
  <si>
    <t>5 1 3 9 8 12 31111 6 M59 12100 000132</t>
  </si>
  <si>
    <t>5 1 3 9 8 12 31111 6 M59 12100 000132 0000R</t>
  </si>
  <si>
    <t>5 1 3 9 8 12 31111 6 M59 12100 000132 0000R 00001</t>
  </si>
  <si>
    <t>5 1 3 9 8 12 31111 6 M59 12100 000132 0000R 00001 00398</t>
  </si>
  <si>
    <t>5 1 3 9 8 12 31111 6 M59 12100 000132 0000R 00001 00398 015</t>
  </si>
  <si>
    <t>5 1 3 9 8 12 31111 6 M59 12100 000132 0000R 00001 00398 015 2111300</t>
  </si>
  <si>
    <t>5 1 3 9 8 12 31111 6 M59 12100 000132 0000R 00001 00398 015 2111300 2024</t>
  </si>
  <si>
    <t>5 1 3 9 8 12 31111 6 M59 12100 000132 0000R 00001 00398 015 2111300 2024 CP1TR430</t>
  </si>
  <si>
    <t>5 1 3 9 8 12 31111 6 M59 12100 000132 0000R 00001 00398 015 2111300 2024 CP1TR430 001</t>
  </si>
  <si>
    <t>5 1 3 9 8 12 31111 6 M59 12100 000132 0000R 00001 00398 015 2111300 2024 CP1TR430 001 0000001</t>
  </si>
  <si>
    <t>5 1 3 9 8 12 31111 6 M59 19000</t>
  </si>
  <si>
    <t>5 1 3 9 8 12 31111 6 M59 19000 000132</t>
  </si>
  <si>
    <t>5 1 3 9 8 12 31111 6 M59 19000 000132 0000R</t>
  </si>
  <si>
    <t>5 1 3 9 8 12 31111 6 M59 19000 000132 0000R 00001</t>
  </si>
  <si>
    <t>5 1 3 9 8 12 31111 6 M59 19000 000132 0000R 00001 00398</t>
  </si>
  <si>
    <t>5 1 3 9 8 12 31111 6 M59 19000 000132 0000R 00001 00398 015</t>
  </si>
  <si>
    <t>5 1 3 9 8 12 31111 6 M59 19000 000132 0000R 00001 00398 015 2111300</t>
  </si>
  <si>
    <t>5 1 3 9 8 12 31111 6 M59 19000 000132 0000R 00001 00398 015 2111300 2024</t>
  </si>
  <si>
    <t>5 1 3 9 8 12 31111 6 M59 19000 000132 0000R 00001 00398 015 2111300 2024 CP1TM440</t>
  </si>
  <si>
    <t>5 1 3 9 8 12 31111 6 M59 19000 000132 0000R 00001 00398 015 2111300 2024 CP1TM440 001</t>
  </si>
  <si>
    <t>5 1 3 9 8 12 31111 6 M59 19000 000132 0000R 00001 00398 015 2111300 2024 CP1TM440 001 0000001</t>
  </si>
  <si>
    <t>5 1 3 9 8 12 31111 6 M59 20000</t>
  </si>
  <si>
    <t>5 1 3 9 8 12 31111 6 M59 20000 000132</t>
  </si>
  <si>
    <t>5 1 3 9 8 12 31111 6 M59 20000 000132 0000R</t>
  </si>
  <si>
    <t>5 1 3 9 8 12 31111 6 M59 20000 000132 0000R 00001</t>
  </si>
  <si>
    <t>5 1 3 9 8 12 31111 6 M59 20000 000132 0000R 00001 00398</t>
  </si>
  <si>
    <t>5 1 3 9 8 12 31111 6 M59 20000 000132 0000R 00001 00398 015</t>
  </si>
  <si>
    <t>5 1 3 9 8 12 31111 6 M59 20000 000132 0000R 00001 00398 015 2111300</t>
  </si>
  <si>
    <t>5 1 3 9 8 12 31111 6 M59 20000 000132 0000R 00001 00398 015 2111300 2024</t>
  </si>
  <si>
    <t>5 1 3 9 8 12 31111 6 M59 20000 000132 0000R 00001 00398 015 2111300 2024 CP1AF389</t>
  </si>
  <si>
    <t>5 1 3 9 8 12 31111 6 M59 20000 000132 0000R 00001 00398 015 2111300 2024 CP1AF389 001</t>
  </si>
  <si>
    <t>5 1 3 9 8 12 31111 6 M59 20000 000132 0000R 00001 00398 015 2111300 2024 CP1AF389 001 0000001</t>
  </si>
  <si>
    <t>5 1 3 9 8 12 31111 6 M59 20200</t>
  </si>
  <si>
    <t>5 1 3 9 8 12 31111 6 M59 20200 000132</t>
  </si>
  <si>
    <t>5 1 3 9 8 12 31111 6 M59 20200 000132 0000R</t>
  </si>
  <si>
    <t>5 1 3 9 8 12 31111 6 M59 20200 000132 0000R 00001</t>
  </si>
  <si>
    <t>5 1 3 9 8 12 31111 6 M59 20200 000132 0000R 00001 00398</t>
  </si>
  <si>
    <t>5 1 3 9 8 12 31111 6 M59 20200 000132 0000R 00001 00398 015</t>
  </si>
  <si>
    <t>5 1 3 9 8 12 31111 6 M59 20200 000132 0000R 00001 00398 015 2111300</t>
  </si>
  <si>
    <t>5 1 3 9 8 12 31111 6 M59 20200 000132 0000R 00001 00398 015 2111300 2024</t>
  </si>
  <si>
    <t>5 1 3 9 8 12 31111 6 M59 20200 000132 0000R 00001 00398 015 2111300 2024 CP1DI411</t>
  </si>
  <si>
    <t>5 1 3 9 8 12 31111 6 M59 20200 000132 0000R 00001 00398 015 2111300 2024 CP1DI411 001</t>
  </si>
  <si>
    <t>5 1 3 9 8 12 31111 6 M59 20200 000132 0000R 00001 00398 015 2111300 2024 CP1DI411 001 0000001</t>
  </si>
  <si>
    <t>5 1 3 9 8 12 31111 6 M59 20300</t>
  </si>
  <si>
    <t>5 1 3 9 8 12 31111 6 M59 20300 000132</t>
  </si>
  <si>
    <t>5 1 3 9 8 12 31111 6 M59 20300 000132 0000R</t>
  </si>
  <si>
    <t>5 1 3 9 8 12 31111 6 M59 20300 000132 0000R 00001</t>
  </si>
  <si>
    <t>5 1 3 9 8 12 31111 6 M59 20300 000132 0000R 00001 00398</t>
  </si>
  <si>
    <t>5 1 3 9 8 12 31111 6 M59 20300 000132 0000R 00001 00398 015</t>
  </si>
  <si>
    <t>5 1 3 9 8 12 31111 6 M59 20300 000132 0000R 00001 00398 015 2111300</t>
  </si>
  <si>
    <t>5 1 3 9 8 12 31111 6 M59 20300 000132 0000R 00001 00398 015 2111300 2024</t>
  </si>
  <si>
    <t>5 1 3 9 8 12 31111 6 M59 20300 000132 0000R 00001 00398 015 2111300 2024 CP1DE415</t>
  </si>
  <si>
    <t>5 1 3 9 8 12 31111 6 M59 20300 000132 0000R 00001 00398 015 2111300 2024 CP1DE415 001</t>
  </si>
  <si>
    <t>5 1 3 9 8 12 31111 6 M59 20300 000132 0000R 00001 00398 015 2111300 2024 CP1DE415 001 0000001</t>
  </si>
  <si>
    <t>5 1 3 9 8 12 31111 6 M59 20400</t>
  </si>
  <si>
    <t>5 1 3 9 8 12 31111 6 M59 20400 000132</t>
  </si>
  <si>
    <t>5 1 3 9 8 12 31111 6 M59 20400 000132 0000R</t>
  </si>
  <si>
    <t>5 1 3 9 8 12 31111 6 M59 20400 000132 0000R 00001</t>
  </si>
  <si>
    <t>5 1 3 9 8 12 31111 6 M59 20400 000132 0000R 00001 00398</t>
  </si>
  <si>
    <t>5 1 3 9 8 12 31111 6 M59 20400 000132 0000R 00001 00398 015</t>
  </si>
  <si>
    <t>5 1 3 9 8 12 31111 6 M59 20400 000132 0000R 00001 00398 015 2111300</t>
  </si>
  <si>
    <t>5 1 3 9 8 12 31111 6 M59 20400 000132 0000R 00001 00398 015 2111300 2024</t>
  </si>
  <si>
    <t>5 1 3 9 8 12 31111 6 M59 20400 000132 0000R 00001 00398 015 2111300 2024 CP1PV404</t>
  </si>
  <si>
    <t>5 1 3 9 8 12 31111 6 M59 20400 000132 0000R 00001 00398 015 2111300 2024 CP1PV404 001</t>
  </si>
  <si>
    <t>5 1 3 9 8 12 31111 6 M59 20400 000132 0000R 00001 00398 015 2111300 2024 CP1PV404 001 0000001</t>
  </si>
  <si>
    <t>5 1 3 9 8 12 31111 6 M59 20500</t>
  </si>
  <si>
    <t>5 1 3 9 8 12 31111 6 M59 20500 000132</t>
  </si>
  <si>
    <t>5 1 3 9 8 12 31111 6 M59 20500 000132 0000R</t>
  </si>
  <si>
    <t>5 1 3 9 8 12 31111 6 M59 20500 000132 0000R 00001</t>
  </si>
  <si>
    <t>5 1 3 9 8 12 31111 6 M59 20500 000132 0000R 00001 00398</t>
  </si>
  <si>
    <t>5 1 3 9 8 12 31111 6 M59 20500 000132 0000R 00001 00398 015</t>
  </si>
  <si>
    <t>5 1 3 9 8 12 31111 6 M59 20500 000132 0000R 00001 00398 015 2111300</t>
  </si>
  <si>
    <t>5 1 3 9 8 12 31111 6 M59 20500 000132 0000R 00001 00398 015 2111300 2024</t>
  </si>
  <si>
    <t>5 1 3 9 8 12 31111 6 M59 20500 000132 0000R 00001 00398 015 2111300 2024 CP1CP420</t>
  </si>
  <si>
    <t>5 1 3 9 8 12 31111 6 M59 20500 000132 0000R 00001 00398 015 2111300 2024 CP1CP420 001</t>
  </si>
  <si>
    <t>5 1 3 9 8 12 31111 6 M59 20500 000132 0000R 00001 00398 015 2111300 2024 CP1CP420 001 0000001</t>
  </si>
  <si>
    <t>5 1 3 9 8 12 31111 6 M59 20600</t>
  </si>
  <si>
    <t>5 1 3 9 8 12 31111 6 M59 20600 000132</t>
  </si>
  <si>
    <t>5 1 3 9 8 12 31111 6 M59 20600 000132 0000R</t>
  </si>
  <si>
    <t>5 1 3 9 8 12 31111 6 M59 20600 000132 0000R 00001</t>
  </si>
  <si>
    <t>5 1 3 9 8 12 31111 6 M59 20600 000132 0000R 00001 00398</t>
  </si>
  <si>
    <t>5 1 3 9 8 12 31111 6 M59 20600 000132 0000R 00001 00398 015</t>
  </si>
  <si>
    <t>5 1 3 9 8 12 31111 6 M59 20600 000132 0000R 00001 00398 015 2111300</t>
  </si>
  <si>
    <t>5 1 3 9 8 12 31111 6 M59 20600 000132 0000R 00001 00398 015 2111300 2024</t>
  </si>
  <si>
    <t>5 1 3 9 8 12 31111 6 M59 20600 000132 0000R 00001 00398 015 2111300 2024 CP1CA380</t>
  </si>
  <si>
    <t>5 1 3 9 8 12 31111 6 M59 20600 000132 0000R 00001 00398 015 2111300 2024 CP1CA380 001</t>
  </si>
  <si>
    <t>5 1 3 9 8 12 31111 6 M59 20600 000132 0000R 00001 00398 015 2111300 2024 CP1CA380 001 0000001</t>
  </si>
  <si>
    <t>5 1 3 9 8 12 31111 6 M59 20700</t>
  </si>
  <si>
    <t>5 1 3 9 8 12 31111 6 M59 20700 000132</t>
  </si>
  <si>
    <t>5 1 3 9 8 12 31111 6 M59 20700 000132 0000R</t>
  </si>
  <si>
    <t>5 1 3 9 8 12 31111 6 M59 20700 000132 0000R 00001</t>
  </si>
  <si>
    <t>5 1 3 9 8 12 31111 6 M59 20700 000132 0000R 00001 00398</t>
  </si>
  <si>
    <t>5 1 3 9 8 12 31111 6 M59 20700 000132 0000R 00001 00398 015</t>
  </si>
  <si>
    <t>5 1 3 9 8 12 31111 6 M59 20700 000132 0000R 00001 00398 015 2111300</t>
  </si>
  <si>
    <t>5 1 3 9 8 12 31111 6 M59 20700 000132 0000R 00001 00398 015 2111300 2024</t>
  </si>
  <si>
    <t>5 1 3 9 8 12 31111 6 M59 20700 000132 0000R 00001 00398 015 2111300 2024 CP1RM401</t>
  </si>
  <si>
    <t>5 1 3 9 8 12 31111 6 M59 20700 000132 0000R 00001 00398 015 2111300 2024 CP1RM401 001</t>
  </si>
  <si>
    <t>5 1 3 9 8 12 31111 6 M59 20700 000132 0000R 00001 00398 015 2111300 2024 CP1RM401 001 0000001</t>
  </si>
  <si>
    <t>5 1 3 9 8 12 31111 6 M59 21000</t>
  </si>
  <si>
    <t>5 1 3 9 8 12 31111 6 M59 21000 000132</t>
  </si>
  <si>
    <t>5 1 3 9 8 12 31111 6 M59 21000 000132 0000R</t>
  </si>
  <si>
    <t>5 1 3 9 8 12 31111 6 M59 21000 000132 0000R 00001</t>
  </si>
  <si>
    <t>5 1 3 9 8 12 31111 6 M59 21000 000132 0000R 00001 00398</t>
  </si>
  <si>
    <t>5 1 3 9 8 12 31111 6 M59 21000 000132 0000R 00001 00398 015</t>
  </si>
  <si>
    <t>5 1 3 9 8 12 31111 6 M59 21000 000132 0000R 00001 00398 015 2111100</t>
  </si>
  <si>
    <t>5 1 3 9 8 12 31111 6 M59 21000 000132 0000R 00001 00398 015 2111100 2024</t>
  </si>
  <si>
    <t>5 1 3 9 8 12 31111 6 M59 21000 000132 0000R 00001 00398 015 2111100 2024 CP1PP402</t>
  </si>
  <si>
    <t>5 1 3 9 8 12 31111 6 M59 21000 000132 0000R 00001 00398 015 2111100 2024 CP1PP402 001</t>
  </si>
  <si>
    <t>5 1 3 9 8 12 31111 6 M59 21000 000132 0000R 00001 00398 015 2111100 2024 CP1PP402 001 0000001</t>
  </si>
  <si>
    <t>5 1 3 9 8 12 31111 6 M59 22000</t>
  </si>
  <si>
    <t>5 1 3 9 8 12 31111 6 M59 22000 000132</t>
  </si>
  <si>
    <t>5 1 3 9 8 12 31111 6 M59 22000 000132 0000R</t>
  </si>
  <si>
    <t>5 1 3 9 8 12 31111 6 M59 22000 000132 0000R 00001</t>
  </si>
  <si>
    <t>5 1 3 9 8 12 31111 6 M59 22000 000132 0000R 00001 00398</t>
  </si>
  <si>
    <t>5 1 3 9 8 12 31111 6 M59 22000 000132 0000R 00001 00398 015</t>
  </si>
  <si>
    <t>5 1 3 9 8 12 31111 6 M59 22000 000132 0000R 00001 00398 015 2111300</t>
  </si>
  <si>
    <t>5 1 3 9 8 12 31111 6 M59 22000 000132 0000R 00001 00398 015 2111300 2024</t>
  </si>
  <si>
    <t>5 1 3 9 8 12 31111 6 M59 22000 000132 0000R 00001 00398 015 2111300 2024 CP1PL384</t>
  </si>
  <si>
    <t>5 1 3 9 8 12 31111 6 M59 22000 000132 0000R 00001 00398 015 2111300 2024 CP1PL384 001</t>
  </si>
  <si>
    <t>5 1 3 9 8 12 31111 6 M59 22000 000132 0000R 00001 00398 015 2111300 2024 CP1PL384 001 0000001</t>
  </si>
  <si>
    <t>5 1 3 9 8 12 31111 6 M59 30100</t>
  </si>
  <si>
    <t>5 1 3 9 8 12 31111 6 M59 30100 000132</t>
  </si>
  <si>
    <t>5 1 3 9 8 12 31111 6 M59 30100 000132 0000R</t>
  </si>
  <si>
    <t>5 1 3 9 8 12 31111 6 M59 30100 000132 0000R 00001</t>
  </si>
  <si>
    <t>5 1 3 9 8 12 31111 6 M59 30100 000132 0000R 00001 00398</t>
  </si>
  <si>
    <t>5 1 3 9 8 12 31111 6 M59 30100 000132 0000R 00001 00398 015</t>
  </si>
  <si>
    <t>5 1 3 9 8 12 31111 6 M59 30100 000132 0000R 00001 00398 015 2111300</t>
  </si>
  <si>
    <t>5 1 3 9 8 12 31111 6 M59 30100 000132 0000R 00001 00398 015 2111300 2024</t>
  </si>
  <si>
    <t>5 1 3 9 8 12 31111 6 M59 30100 000132 0000R 00001 00398 015 2111300 2024 CP1OP405</t>
  </si>
  <si>
    <t>5 1 3 9 8 12 31111 6 M59 30100 000132 0000R 00001 00398 015 2111300 2024 CP1OP405 001</t>
  </si>
  <si>
    <t>5 1 3 9 8 12 31111 6 M59 30100 000132 0000R 00001 00398 015 2111300 2024 CP1OP405 001 0000001</t>
  </si>
  <si>
    <t>5 1 3 9 8 12 31111 6 M59 30200</t>
  </si>
  <si>
    <t>5 1 3 9 8 12 31111 6 M59 30200 000132</t>
  </si>
  <si>
    <t>5 1 3 9 8 12 31111 6 M59 30200 000132 0000R</t>
  </si>
  <si>
    <t>5 1 3 9 8 12 31111 6 M59 30200 000132 0000R 00001</t>
  </si>
  <si>
    <t>5 1 3 9 8 12 31111 6 M59 30200 000132 0000R 00001 00398</t>
  </si>
  <si>
    <t>5 1 3 9 8 12 31111 6 M59 30200 000132 0000R 00001 00398 015</t>
  </si>
  <si>
    <t>5 1 3 9 8 12 31111 6 M59 30200 000132 0000R 00001 00398 015 2111300</t>
  </si>
  <si>
    <t>5 1 3 9 8 12 31111 6 M59 30200 000132 0000R 00001 00398 015 2111300 2024</t>
  </si>
  <si>
    <t>5 1 3 9 8 12 31111 6 M59 30200 000132 0000R 00001 00398 015 2111300 2024 CP1OT378</t>
  </si>
  <si>
    <t>5 1 3 9 8 12 31111 6 M59 30200 000132 0000R 00001 00398 015 2111300 2024 CP1OT378 001</t>
  </si>
  <si>
    <t>5 1 3 9 8 12 31111 6 M59 30200 000132 0000R 00001 00398 015 2111300 2024 CP1OT378 001 0000001</t>
  </si>
  <si>
    <t>5 1 3 9 8 12 31111 6 M59 40000</t>
  </si>
  <si>
    <t>5 1 3 9 8 12 31111 6 M59 40000 000161</t>
  </si>
  <si>
    <t>5 1 3 9 8 12 31111 6 M59 40000 000161 0000E</t>
  </si>
  <si>
    <t>5 1 3 9 8 12 31111 6 M59 40000 000161 0000E 00001</t>
  </si>
  <si>
    <t>5 1 3 9 8 12 31111 6 M59 40000 000161 0000E 00001 00398</t>
  </si>
  <si>
    <t>5 1 3 9 8 12 31111 6 M59 40000 000161 0000E 00001 00398 025</t>
  </si>
  <si>
    <t>5 1 3 9 8 12 31111 6 M59 40000 000161 0000E 00001 00398 025 2111300</t>
  </si>
  <si>
    <t>5 1 3 9 8 12 31111 6 M59 40000 000161 0000E 00001 00398 025 2111300 2024</t>
  </si>
  <si>
    <t>5 1 3 9 8 12 31111 6 M59 40000 000161 0000E 00001 00398 025 2111300 2024 CP4SP372</t>
  </si>
  <si>
    <t>5 1 3 9 8 12 31111 6 M59 40000 000161 0000E 00001 00398 025 2111300 2024 CP4SP372 003</t>
  </si>
  <si>
    <t>5 1 3 9 8 12 31111 6 M59 40000 000161 0000E 00001 00398 025 2111300 2024 CP4SP372 003 0000001</t>
  </si>
  <si>
    <t>5 1 3 9 8 12 31111 6 M59 50000</t>
  </si>
  <si>
    <t>5 1 3 9 8 12 31111 6 M59 50000 000223</t>
  </si>
  <si>
    <t>5 1 3 9 8 12 31111 6 M59 50000 000223 0000E</t>
  </si>
  <si>
    <t>5 1 3 9 8 12 31111 6 M59 50000 000223 0000E 00001</t>
  </si>
  <si>
    <t>5 1 3 9 8 12 31111 6 M59 50000 000223 0000E 00001 00398</t>
  </si>
  <si>
    <t>5 1 3 9 8 12 31111 6 M59 50000 000223 0000E 00001 00398 015</t>
  </si>
  <si>
    <t>5 1 3 9 8 12 31111 6 M59 50000 000223 0000E 00001 00398 015 2111300</t>
  </si>
  <si>
    <t>5 1 3 9 8 12 31111 6 M59 50000 000223 0000E 00001 00398 015 2111300 2024</t>
  </si>
  <si>
    <t>5 1 3 9 8 12 31111 6 M59 50000 000223 0000E 00001 00398 015 2111300 2024 CP1DA424</t>
  </si>
  <si>
    <t>5 1 3 9 8 12 31111 6 M59 50000 000223 0000E 00001 00398 015 2111300 2024 CP1DA424 001</t>
  </si>
  <si>
    <t>5 1 3 9 8 12 31111 6 M59 50000 000223 0000E 00001 00398 015 2111300 2024 CP1DA424 001 0000001</t>
  </si>
  <si>
    <t>5 1 3 9 8 12 31111 6 M59 50100</t>
  </si>
  <si>
    <t>5 1 3 9 8 12 31111 6 M59 50100 000132</t>
  </si>
  <si>
    <t>5 1 3 9 8 12 31111 6 M59 50100 000132 0000R</t>
  </si>
  <si>
    <t>5 1 3 9 8 12 31111 6 M59 50100 000132 0000R 00001</t>
  </si>
  <si>
    <t>5 1 3 9 8 12 31111 6 M59 50100 000132 0000R 00001 00398</t>
  </si>
  <si>
    <t>5 1 3 9 8 12 31111 6 M59 50100 000132 0000R 00001 00398 015</t>
  </si>
  <si>
    <t>5 1 3 9 8 12 31111 6 M59 50100 000132 0000R 00001 00398 015 2111300</t>
  </si>
  <si>
    <t>5 1 3 9 8 12 31111 6 M59 50100 000132 0000R 00001 00398 015 2111300 2024</t>
  </si>
  <si>
    <t>5 1 3 9 8 12 31111 6 M59 50100 000132 0000R 00001 00398 015 2111300 2024 CP1AG431</t>
  </si>
  <si>
    <t>5 1 3 9 8 12 31111 6 M59 50100 000132 0000R 00001 00398 015 2111300 2024 CP1AG431 001</t>
  </si>
  <si>
    <t>5 1 3 9 8 12 31111 6 M59 50100 000132 0000R 00001 00398 015 2111300 2024 CP1AG431 001 0000001</t>
  </si>
  <si>
    <t>5 1 3 9 8 12 31111 6 M59 60100</t>
  </si>
  <si>
    <t>5 1 3 9 8 12 31111 6 M59 60100 000132</t>
  </si>
  <si>
    <t>5 1 3 9 8 12 31111 6 M59 60100 000132 0000R</t>
  </si>
  <si>
    <t>5 1 3 9 8 12 31111 6 M59 60100 000132 0000R 00001</t>
  </si>
  <si>
    <t>5 1 3 9 8 12 31111 6 M59 60100 000132 0000R 00001 00398</t>
  </si>
  <si>
    <t>5 1 3 9 8 12 31111 6 M59 60100 000132 0000R 00001 00398 015</t>
  </si>
  <si>
    <t>5 1 3 9 8 12 31111 6 M59 60100 000132 0000R 00001 00398 015 2111300</t>
  </si>
  <si>
    <t>5 1 3 9 8 12 31111 6 M59 60100 000132 0000R 00001 00398 015 2111300 2024</t>
  </si>
  <si>
    <t>5 1 3 9 8 12 31111 6 M59 60100 000132 0000R 00001 00398 015 2111300 2024 CP1DM394</t>
  </si>
  <si>
    <t>5 1 3 9 8 12 31111 6 M59 60100 000132 0000R 00001 00398 015 2111300 2024 CP1DM394 001</t>
  </si>
  <si>
    <t>5 1 3 9 8 12 31111 6 M59 60100 000132 0000R 00001 00398 015 2111300 2024 CP1DM394 001 0000001</t>
  </si>
  <si>
    <t>5 1 3 9 8 12 31111 6 M59 61000</t>
  </si>
  <si>
    <t>5 1 3 9 8 12 31111 6 M59 61000 000132</t>
  </si>
  <si>
    <t>5 1 3 9 8 12 31111 6 M59 61000 000132 0000R</t>
  </si>
  <si>
    <t>5 1 3 9 8 12 31111 6 M59 61000 000132 0000R 00001</t>
  </si>
  <si>
    <t>5 1 3 9 8 12 31111 6 M59 61000 000132 0000R 00001 00398</t>
  </si>
  <si>
    <t>5 1 3 9 8 12 31111 6 M59 61000 000132 0000R 00001 00398 015</t>
  </si>
  <si>
    <t>5 1 3 9 8 12 31111 6 M59 61000 000132 0000R 00001 00398 015 2111300</t>
  </si>
  <si>
    <t>5 1 3 9 8 12 31111 6 M59 61000 000132 0000R 00001 00398 015 2111300 2024</t>
  </si>
  <si>
    <t>5 1 3 9 8 12 31111 6 M59 61000 000132 0000R 00001 00398 015 2111300 2024 CP1MI406</t>
  </si>
  <si>
    <t>5 1 3 9 8 12 31111 6 M59 61000 000132 0000R 00001 00398 015 2111300 2024 CP1MI406 001</t>
  </si>
  <si>
    <t>5 1 3 9 8 12 31111 6 M59 61000 000132 0000R 00001 00398 015 2111300 2024 CP1MI406 001 0000001</t>
  </si>
  <si>
    <t>5 1 3 9 8 12 31111 6 M59 62000</t>
  </si>
  <si>
    <t>5 1 3 9 8 12 31111 6 M59 62000 000132</t>
  </si>
  <si>
    <t>5 1 3 9 8 12 31111 6 M59 62000 000132 0000R</t>
  </si>
  <si>
    <t>5 1 3 9 8 12 31111 6 M59 62000 000132 0000R 00001</t>
  </si>
  <si>
    <t>5 1 3 9 8 12 31111 6 M59 62000 000132 0000R 00001 00398</t>
  </si>
  <si>
    <t>5 1 3 9 8 12 31111 6 M59 62000 000132 0000R 00001 00398 015</t>
  </si>
  <si>
    <t>5 1 3 9 8 12 31111 6 M59 62000 000132 0000R 00001 00398 015 2111300</t>
  </si>
  <si>
    <t>5 1 3 9 8 12 31111 6 M59 62000 000132 0000R 00001 00398 015 2111300 2024</t>
  </si>
  <si>
    <t>5 1 3 9 8 12 31111 6 M59 62000 000132 0000R 00001 00398 015 2111300 2024 CP1AM426</t>
  </si>
  <si>
    <t>5 1 3 9 8 12 31111 6 M59 62000 000132 0000R 00001 00398 015 2111300 2024 CP1AM426 001</t>
  </si>
  <si>
    <t>5 1 3 9 8 12 31111 6 M59 62000 000132 0000R 00001 00398 015 2111300 2024 CP1AM426 001 0000001</t>
  </si>
  <si>
    <t>5 1 3 9 8 12 31111 6 M59 63000</t>
  </si>
  <si>
    <t>5 1 3 9 8 12 31111 6 M59 63000 000132</t>
  </si>
  <si>
    <t>5 1 3 9 8 12 31111 6 M59 63000 000132 0000R</t>
  </si>
  <si>
    <t>5 1 3 9 8 12 31111 6 M59 63000 000132 0000R 00001</t>
  </si>
  <si>
    <t>5 1 3 9 8 12 31111 6 M59 63000 000132 0000R 00001 00398</t>
  </si>
  <si>
    <t>5 1 3 9 8 12 31111 6 M59 63000 000132 0000R 00001 00398 015</t>
  </si>
  <si>
    <t>5 1 3 9 8 12 31111 6 M59 63000 000132 0000R 00001 00398 015 2111300</t>
  </si>
  <si>
    <t>5 1 3 9 8 12 31111 6 M59 63000 000132 0000R 00001 00398 015 2111300 2024</t>
  </si>
  <si>
    <t>5 1 3 9 8 12 31111 6 M59 63000 000132 0000R 00001 00398 015 2111300 2024 CP1PR434</t>
  </si>
  <si>
    <t>5 1 3 9 8 12 31111 6 M59 63000 000132 0000R 00001 00398 015 2111300 2024 CP1PR434 001</t>
  </si>
  <si>
    <t>5 1 3 9 8 12 31111 6 M59 63000 000132 0000R 00001 00398 015 2111300 2024 CP1PR434 001 0000001</t>
  </si>
  <si>
    <t>5 1 3 9 8 12 31111 6 M59 64000</t>
  </si>
  <si>
    <t>5 1 3 9 8 12 31111 6 M59 64000 000132</t>
  </si>
  <si>
    <t>5 1 3 9 8 12 31111 6 M59 64000 000132 0000R</t>
  </si>
  <si>
    <t>5 1 3 9 8 12 31111 6 M59 64000 000132 0000R 00001</t>
  </si>
  <si>
    <t>5 1 3 9 8 12 31111 6 M59 64000 000132 0000R 00001 00398</t>
  </si>
  <si>
    <t>5 1 3 9 8 12 31111 6 M59 64000 000132 0000R 00001 00398 015</t>
  </si>
  <si>
    <t>5 1 3 9 8 12 31111 6 M59 64000 000132 0000R 00001 00398 015 2111300</t>
  </si>
  <si>
    <t>5 1 3 9 8 12 31111 6 M59 64000 000132 0000R 00001 00398 015 2111300 2024</t>
  </si>
  <si>
    <t>5 1 3 9 8 12 31111 6 M59 64000 000132 0000R 00001 00398 015 2111300 2024 CP1IG433</t>
  </si>
  <si>
    <t>5 1 3 9 8 12 31111 6 M59 64000 000132 0000R 00001 00398 015 2111300 2024 CP1IG433 001</t>
  </si>
  <si>
    <t>5 1 3 9 8 12 31111 6 M59 64000 000132 0000R 00001 00398 015 2111300 2024 CP1IG433 001 0000001</t>
  </si>
  <si>
    <t>5 1 3 9 8 12 31111 6 M59 65000</t>
  </si>
  <si>
    <t>5 1 3 9 8 12 31111 6 M59 65000 000132</t>
  </si>
  <si>
    <t>5 1 3 9 8 12 31111 6 M59 65000 000132 0000R</t>
  </si>
  <si>
    <t>5 1 3 9 8 12 31111 6 M59 65000 000132 0000R 00001</t>
  </si>
  <si>
    <t>5 1 3 9 8 12 31111 6 M59 65000 000132 0000R 00001 00398</t>
  </si>
  <si>
    <t>5 1 3 9 8 12 31111 6 M59 65000 000132 0000R 00001 00398 015</t>
  </si>
  <si>
    <t>5 1 3 9 8 12 31111 6 M59 65000 000132 0000R 00001 00398 015 2111300</t>
  </si>
  <si>
    <t>5 1 3 9 8 12 31111 6 M59 65000 000132 0000R 00001 00398 015 2111300 2024</t>
  </si>
  <si>
    <t>5 1 3 9 8 12 31111 6 M59 65000 000132 0000R 00001 00398 015 2111300 2024 CP1EV381</t>
  </si>
  <si>
    <t>5 1 3 9 8 12 31111 6 M59 65000 000132 0000R 00001 00398 015 2111300 2024 CP1EV381 001</t>
  </si>
  <si>
    <t>5 1 3 9 8 12 31111 6 M59 65000 000132 0000R 00001 00398 015 2111300 2024 CP1EV381 001 0000001</t>
  </si>
  <si>
    <t>5 1 3 9 8 12 31111 6 M59 70000</t>
  </si>
  <si>
    <t>5 1 3 9 8 12 31111 6 M59 70000 000132</t>
  </si>
  <si>
    <t>5 1 3 9 8 12 31111 6 M59 70000 000132 0000R</t>
  </si>
  <si>
    <t>5 1 3 9 8 12 31111 6 M59 70000 000132 0000R 00001</t>
  </si>
  <si>
    <t>5 1 3 9 8 12 31111 6 M59 70000 000132 0000R 00001 00398</t>
  </si>
  <si>
    <t>5 1 3 9 8 12 31111 6 M59 70000 000132 0000R 00001 00398 015</t>
  </si>
  <si>
    <t>5 1 3 9 8 12 31111 6 M59 70000 000132 0000R 00001 00398 015 2111300</t>
  </si>
  <si>
    <t>5 1 3 9 8 12 31111 6 M59 70000 000132 0000R 00001 00398 015 2111300 2024</t>
  </si>
  <si>
    <t>5 1 3 9 8 12 31111 6 M59 70000 000132 0000R 00001 00398 015 2111300 2024 CP1DS387</t>
  </si>
  <si>
    <t>5 1 3 9 8 12 31111 6 M59 70000 000132 0000R 00001 00398 015 2111300 2024 CP1DS387 001</t>
  </si>
  <si>
    <t>5 1 3 9 8 12 31111 6 M59 70000 000132 0000R 00001 00398 015 2111300 2024 CP1DS387 001 0000001</t>
  </si>
  <si>
    <t>5 1 3 9 8 12 31111 6 M59 70100</t>
  </si>
  <si>
    <t>5 1 3 9 8 12 31111 6 M59 70100 000132</t>
  </si>
  <si>
    <t>5 1 3 9 8 12 31111 6 M59 70100 000132 0000R</t>
  </si>
  <si>
    <t>5 1 3 9 8 12 31111 6 M59 70100 000132 0000R 00001</t>
  </si>
  <si>
    <t>5 1 3 9 8 12 31111 6 M59 70100 000132 0000R 00001 00398</t>
  </si>
  <si>
    <t>5 1 3 9 8 12 31111 6 M59 70100 000132 0000R 00001 00398 015</t>
  </si>
  <si>
    <t>5 1 3 9 8 12 31111 6 M59 70100 000132 0000R 00001 00398 015 2111300</t>
  </si>
  <si>
    <t>5 1 3 9 8 12 31111 6 M59 70100 000132 0000R 00001 00398 015 2111300 2024</t>
  </si>
  <si>
    <t>5 1 3 9 8 12 31111 6 M59 70100 000132 0000R 00001 00398 015 2111300 2024 CP1MM393</t>
  </si>
  <si>
    <t>5 1 3 9 8 12 31111 6 M59 70100 000132 0000R 00001 00398 015 2111300 2024 CP1MM393 001</t>
  </si>
  <si>
    <t>5 1 3 9 8 12 31111 6 M59 70100 000132 0000R 00001 00398 015 2111300 2024 CP1MM393 001 0000001</t>
  </si>
  <si>
    <t>5 1 3 9 8 12 31111 6 M59 70200</t>
  </si>
  <si>
    <t>5 1 3 9 8 12 31111 6 M59 70200 000132</t>
  </si>
  <si>
    <t>5 1 3 9 8 12 31111 6 M59 70200 000132 0000R</t>
  </si>
  <si>
    <t>5 1 3 9 8 12 31111 6 M59 70200 000132 0000R 00001</t>
  </si>
  <si>
    <t>5 1 3 9 8 12 31111 6 M59 70200 000132 0000R 00001 00398</t>
  </si>
  <si>
    <t>5 1 3 9 8 12 31111 6 M59 70200 000132 0000R 00001 00398 015</t>
  </si>
  <si>
    <t>5 1 3 9 8 12 31111 6 M59 70200 000132 0000R 00001 00398 015 2111300</t>
  </si>
  <si>
    <t>5 1 3 9 8 12 31111 6 M59 70200 000132 0000R 00001 00398 015 2111300 2024</t>
  </si>
  <si>
    <t>5 1 3 9 8 12 31111 6 M59 70200 000132 0000R 00001 00398 015 2111300 2024 CP1SE410</t>
  </si>
  <si>
    <t>5 1 3 9 8 12 31111 6 M59 70200 000132 0000R 00001 00398 015 2111300 2024 CP1SE410 001</t>
  </si>
  <si>
    <t>5 1 3 9 8 12 31111 6 M59 70200 000132 0000R 00001 00398 015 2111300 2024 CP1SE410 001 0000001</t>
  </si>
  <si>
    <t>5 1 3 9 8 12 31111 6 M59 70300</t>
  </si>
  <si>
    <t>5 1 3 9 8 12 31111 6 M59 70300 000132</t>
  </si>
  <si>
    <t>5 1 3 9 8 12 31111 6 M59 70300 000132 0000R</t>
  </si>
  <si>
    <t>5 1 3 9 8 12 31111 6 M59 70300 000132 0000R 00001</t>
  </si>
  <si>
    <t>5 1 3 9 8 12 31111 6 M59 70300 000132 0000R 00001 00398</t>
  </si>
  <si>
    <t>5 1 3 9 8 12 31111 6 M59 70300 000132 0000R 00001 00398 015</t>
  </si>
  <si>
    <t>5 1 3 9 8 12 31111 6 M59 70300 000132 0000R 00001 00398 015 2111300</t>
  </si>
  <si>
    <t>5 1 3 9 8 12 31111 6 M59 70300 000132 0000R 00001 00398 015 2111300 2024</t>
  </si>
  <si>
    <t>5 1 3 9 8 12 31111 6 M59 70300 000132 0000R 00001 00398 015 2111300 2024 CP1CU419</t>
  </si>
  <si>
    <t>5 1 3 9 8 12 31111 6 M59 70300 000132 0000R 00001 00398 015 2111300 2024 CP1CU419 001</t>
  </si>
  <si>
    <t>5 1 3 9 8 12 31111 6 M59 70300 000132 0000R 00001 00398 015 2111300 2024 CP1CU419 001 0000001</t>
  </si>
  <si>
    <t>5 1 3 9 8 12 31111 6 M59 70400</t>
  </si>
  <si>
    <t>5 1 3 9 8 12 31111 6 M59 70400 000241</t>
  </si>
  <si>
    <t>5 1 3 9 8 12 31111 6 M59 70400 000241 0000R</t>
  </si>
  <si>
    <t>5 1 3 9 8 12 31111 6 M59 70400 000241 0000R 00001</t>
  </si>
  <si>
    <t>5 1 3 9 8 12 31111 6 M59 70400 000241 0000R 00001 00398</t>
  </si>
  <si>
    <t>5 1 3 9 8 12 31111 6 M59 70400 000241 0000R 00001 00398 015</t>
  </si>
  <si>
    <t>5 1 3 9 8 12 31111 6 M59 70400 000241 0000R 00001 00398 015 2111100</t>
  </si>
  <si>
    <t>5 1 3 9 8 12 31111 6 M59 70400 000241 0000R 00001 00398 015 2111100 2024</t>
  </si>
  <si>
    <t>5 1 3 9 8 12 31111 6 M59 70400 000241 0000R 00001 00398 015 2111100 2024 CP1DD418</t>
  </si>
  <si>
    <t>5 1 3 9 8 12 31111 6 M59 70400 000241 0000R 00001 00398 015 2111100 2024 CP1DD418 001</t>
  </si>
  <si>
    <t>5 1 3 9 8 12 31111 6 M59 70400 000241 0000R 00001 00398 015 2111100 2024 CP1DD418 001 0000001</t>
  </si>
  <si>
    <t>5 1 3 9 8 12 31111 6 M59 70500</t>
  </si>
  <si>
    <t>5 1 3 9 8 12 31111 6 M59 70500 000132</t>
  </si>
  <si>
    <t>5 1 3 9 8 12 31111 6 M59 70500 000132 0000R</t>
  </si>
  <si>
    <t>5 1 3 9 8 12 31111 6 M59 70500 000132 0000R 00001</t>
  </si>
  <si>
    <t>5 1 3 9 8 12 31111 6 M59 70500 000132 0000R 00001 00398</t>
  </si>
  <si>
    <t>5 1 3 9 8 12 31111 6 M59 70500 000132 0000R 00001 00398 015</t>
  </si>
  <si>
    <t>5 1 3 9 8 12 31111 6 M59 70500 000132 0000R 00001 00398 015 2111300</t>
  </si>
  <si>
    <t>5 1 3 9 8 12 31111 6 M59 70500 000132 0000R 00001 00398 015 2111300 2024</t>
  </si>
  <si>
    <t>5 1 3 9 8 12 31111 6 M59 70500 000132 0000R 00001 00398 015 2111300 2024 CP1DT395</t>
  </si>
  <si>
    <t>5 1 3 9 8 12 31111 6 M59 70500 000132 0000R 00001 00398 015 2111300 2024 CP1DT395 001</t>
  </si>
  <si>
    <t>5 1 3 9 8 12 31111 6 M59 70500 000132 0000R 00001 00398 015 2111300 2024 CP1DT395 001 0000001</t>
  </si>
  <si>
    <t>5 1 3 9 8 12 31111 6 M59 70600</t>
  </si>
  <si>
    <t>5 1 3 9 8 12 31111 6 M59 70600 000132</t>
  </si>
  <si>
    <t>5 1 3 9 8 12 31111 6 M59 70600 000132 0000R</t>
  </si>
  <si>
    <t>5 1 3 9 8 12 31111 6 M59 70600 000132 0000R 00001</t>
  </si>
  <si>
    <t>5 1 3 9 8 12 31111 6 M59 70600 000132 0000R 00001 00398</t>
  </si>
  <si>
    <t>5 1 3 9 8 12 31111 6 M59 70600 000132 0000R 00001 00398 015</t>
  </si>
  <si>
    <t>5 1 3 9 8 12 31111 6 M59 70600 000132 0000R 00001 00398 015 2111300</t>
  </si>
  <si>
    <t>5 1 3 9 8 12 31111 6 M59 70600 000132 0000R 00001 00398 015 2111300 2024</t>
  </si>
  <si>
    <t>5 1 3 9 8 12 31111 6 M59 70600 000132 0000R 00001 00398 015 2111300 2024 CP1DJ409</t>
  </si>
  <si>
    <t>5 1 3 9 8 12 31111 6 M59 70600 000132 0000R 00001 00398 015 2111300 2024 CP1DJ409 001</t>
  </si>
  <si>
    <t>5 1 3 9 8 12 31111 6 M59 70600 000132 0000R 00001 00398 015 2111300 2024 CP1DJ409 001 0000001</t>
  </si>
  <si>
    <t>5 1 3 9 8 12 31111 6 M59 70700</t>
  </si>
  <si>
    <t>5 1 3 9 8 12 31111 6 M59 70700 000132</t>
  </si>
  <si>
    <t>5 1 3 9 8 12 31111 6 M59 70700 000132 0000R</t>
  </si>
  <si>
    <t>5 1 3 9 8 12 31111 6 M59 70700 000132 0000R 00001</t>
  </si>
  <si>
    <t>5 1 3 9 8 12 31111 6 M59 70700 000132 0000R 00001 00398</t>
  </si>
  <si>
    <t>5 1 3 9 8 12 31111 6 M59 70700 000132 0000R 00001 00398 015</t>
  </si>
  <si>
    <t>5 1 3 9 8 12 31111 6 M59 70700 000132 0000R 00001 00398 015 2111300</t>
  </si>
  <si>
    <t>5 1 3 9 8 12 31111 6 M59 70700 000132 0000R 00001 00398 015 2111300 2024</t>
  </si>
  <si>
    <t>5 1 3 9 8 12 31111 6 M59 70700 000132 0000R 00001 00398 015 2111300 2024 CP1SA397</t>
  </si>
  <si>
    <t>5 1 3 9 8 12 31111 6 M59 70700 000132 0000R 00001 00398 015 2111300 2024 CP1SA397 001</t>
  </si>
  <si>
    <t>5 1 3 9 8 12 31111 6 M59 70700 000132 0000R 00001 00398 015 2111300 2024 CP1SA397 001 0000001</t>
  </si>
  <si>
    <t>5 1 3 9 8 12 31111 6 M59 70800</t>
  </si>
  <si>
    <t>5 1 3 9 8 12 31111 6 M59 70800 000132</t>
  </si>
  <si>
    <t>5 1 3 9 8 12 31111 6 M59 70800 000132 0000R</t>
  </si>
  <si>
    <t>5 1 3 9 8 12 31111 6 M59 70800 000132 0000R 00001</t>
  </si>
  <si>
    <t>5 1 3 9 8 12 31111 6 M59 70800 000132 0000R 00001 00398</t>
  </si>
  <si>
    <t>5 1 3 9 8 12 31111 6 M59 70800 000132 0000R 00001 00398 015</t>
  </si>
  <si>
    <t>5 1 3 9 8 12 31111 6 M59 70800 000132 0000R 00001 00398 015 2111300</t>
  </si>
  <si>
    <t>5 1 3 9 8 12 31111 6 M59 70800 000132 0000R 00001 00398 015 2111300 2024</t>
  </si>
  <si>
    <t>5 1 3 9 8 12 31111 6 M59 70800 000132 0000R 00001 00398 015 2111300 2024 CP1ED416</t>
  </si>
  <si>
    <t>5 1 3 9 8 12 31111 6 M59 70800 000132 0000R 00001 00398 015 2111300 2024 CP1ED416 001</t>
  </si>
  <si>
    <t>5 1 3 9 8 12 31111 6 M59 70800 000132 0000R 00001 00398 015 2111300 2024 CP1ED416 001 0000001</t>
  </si>
  <si>
    <t>5 1 3 9 8 12 31111 6 M59 71000</t>
  </si>
  <si>
    <t>5 1 3 9 8 12 31111 6 M59 71000 000132</t>
  </si>
  <si>
    <t>5 1 3 9 8 12 31111 6 M59 71000 000132 0000R</t>
  </si>
  <si>
    <t>5 1 3 9 8 12 31111 6 M59 71000 000132 0000R 00001</t>
  </si>
  <si>
    <t>5 1 3 9 8 12 31111 6 M59 71000 000132 0000R 00001 00398</t>
  </si>
  <si>
    <t>5 1 3 9 8 12 31111 6 M59 71000 000132 0000R 00001 00398 015</t>
  </si>
  <si>
    <t>5 1 3 9 8 12 31111 6 M59 71000 000132 0000R 00001 00398 015 2111300</t>
  </si>
  <si>
    <t>5 1 3 9 8 12 31111 6 M59 71000 000132 0000R 00001 00398 015 2111300 2024</t>
  </si>
  <si>
    <t>5 1 3 9 8 12 31111 6 M59 71000 000132 0000R 00001 00398 015 2111300 2024 CP1AP422</t>
  </si>
  <si>
    <t>5 1 3 9 8 12 31111 6 M59 71000 000132 0000R 00001 00398 015 2111300 2024 CP1AP422 001</t>
  </si>
  <si>
    <t>5 1 3 9 8 12 31111 6 M59 71000 000132 0000R 00001 00398 015 2111300 2024 CP1AP422 001 0000001</t>
  </si>
  <si>
    <t>5 1 3 9 8 12 31111 6 M59 72000</t>
  </si>
  <si>
    <t>5 1 3 9 8 12 31111 6 M59 72000 000132</t>
  </si>
  <si>
    <t>5 1 3 9 8 12 31111 6 M59 72000 000132 0000R</t>
  </si>
  <si>
    <t>5 1 3 9 8 12 31111 6 M59 72000 000132 0000R 00001</t>
  </si>
  <si>
    <t>5 1 3 9 8 12 31111 6 M59 72000 000132 0000R 00001 00398</t>
  </si>
  <si>
    <t>5 1 3 9 8 12 31111 6 M59 72000 000132 0000R 00001 00398 015</t>
  </si>
  <si>
    <t>5 1 3 9 8 12 31111 6 M59 72000 000132 0000R 00001 00398 015 2111300</t>
  </si>
  <si>
    <t>5 1 3 9 8 12 31111 6 M59 72000 000132 0000R 00001 00398 015 2111300 2024</t>
  </si>
  <si>
    <t>5 1 3 9 8 12 31111 6 M59 72000 000132 0000R 00001 00398 015 2111300 2024 CP1SC386</t>
  </si>
  <si>
    <t>5 1 3 9 8 12 31111 6 M59 72000 000132 0000R 00001 00398 015 2111300 2024 CP1SC386 001</t>
  </si>
  <si>
    <t>5 1 3 9 8 12 31111 6 M59 72000 000132 0000R 00001 00398 015 2111300 2024 CP1SC386 001 0000001</t>
  </si>
  <si>
    <t>5 1 3 9 8 12 31111 6 M59 80000</t>
  </si>
  <si>
    <t>5 1 3 9 8 12 31111 6 M59 80000 000132</t>
  </si>
  <si>
    <t>5 1 3 9 8 12 31111 6 M59 80000 000132 0000R</t>
  </si>
  <si>
    <t>5 1 3 9 8 12 31111 6 M59 80000 000132 0000R 00001</t>
  </si>
  <si>
    <t>5 1 3 9 8 12 31111 6 M59 80000 000132 0000R 00001 00398</t>
  </si>
  <si>
    <t>5 1 3 9 8 12 31111 6 M59 80000 000132 0000R 00001 00398 015</t>
  </si>
  <si>
    <t>5 1 3 9 8 12 31111 6 M59 80000 000132 0000R 00001 00398 015 2111300</t>
  </si>
  <si>
    <t>5 1 3 9 8 12 31111 6 M59 80000 000132 0000R 00001 00398 015 2111300 2024</t>
  </si>
  <si>
    <t>5 1 3 9 8 12 31111 6 M59 80000 000132 0000R 00001 00398 015 2111300 2024 CP1DR388</t>
  </si>
  <si>
    <t>5 1 3 9 8 12 31111 6 M59 80000 000132 0000R 00001 00398 015 2111300 2024 CP1DR388 001</t>
  </si>
  <si>
    <t>5 1 3 9 8 12 31111 6 M59 80000 000132 0000R 00001 00398 015 2111300 2024 CP1DR388 001 0000001</t>
  </si>
  <si>
    <t>5 1 3 9 8 12 31111 6 M59 80100</t>
  </si>
  <si>
    <t>5 1 3 9 8 12 31111 6 M59 80100 000132</t>
  </si>
  <si>
    <t>5 1 3 9 8 12 31111 6 M59 80100 000132 0000R</t>
  </si>
  <si>
    <t>5 1 3 9 8 12 31111 6 M59 80100 000132 0000R 00001</t>
  </si>
  <si>
    <t>5 1 3 9 8 12 31111 6 M59 80100 000132 0000R 00001 00398</t>
  </si>
  <si>
    <t>5 1 3 9 8 12 31111 6 M59 80100 000132 0000R 00001 00398 015</t>
  </si>
  <si>
    <t>5 1 3 9 8 12 31111 6 M59 80100 000132 0000R 00001 00398 015 2111300</t>
  </si>
  <si>
    <t>5 1 3 9 8 12 31111 6 M59 80100 000132 0000R 00001 00398 015 2111300 2024</t>
  </si>
  <si>
    <t>5 1 3 9 8 12 31111 6 M59 80100 000132 0000R 00001 00398 015 2111300 2024 CP1AC425</t>
  </si>
  <si>
    <t>5 1 3 9 8 12 31111 6 M59 80100 000132 0000R 00001 00398 015 2111300 2024 CP1AC425 001</t>
  </si>
  <si>
    <t>5 1 3 9 8 12 31111 6 M59 80100 000132 0000R 00001 00398 015 2111300 2024 CP1AC425 001 0000001</t>
  </si>
  <si>
    <t>5 1 3 9 8 12 31111 6 M59 80200</t>
  </si>
  <si>
    <t>5 1 3 9 8 12 31111 6 M59 80200 000132</t>
  </si>
  <si>
    <t>5 1 3 9 8 12 31111 6 M59 80200 000132 0000R</t>
  </si>
  <si>
    <t>5 1 3 9 8 12 31111 6 M59 80200 000132 0000R 00001</t>
  </si>
  <si>
    <t>5 1 3 9 8 12 31111 6 M59 80200 000132 0000R 00001 00398</t>
  </si>
  <si>
    <t>5 1 3 9 8 12 31111 6 M59 80200 000132 0000R 00001 00398 015</t>
  </si>
  <si>
    <t>5 1 3 9 8 12 31111 6 M59 80200 000132 0000R 00001 00398 015 2111300</t>
  </si>
  <si>
    <t>5 1 3 9 8 12 31111 6 M59 80200 000132 0000R 00001 00398 015 2111300 2024</t>
  </si>
  <si>
    <t>5 1 3 9 8 12 31111 6 M59 80200 000132 0000R 00001 00398 015 2111300 2024 CP1RF400</t>
  </si>
  <si>
    <t>5 1 3 9 8 12 31111 6 M59 80200 000132 0000R 00001 00398 015 2111300 2024 CP1RF400 001</t>
  </si>
  <si>
    <t>5 1 3 9 8 12 31111 6 M59 80200 000132 0000R 00001 00398 015 2111300 2024 CP1RF400 001 0000001</t>
  </si>
  <si>
    <t>5 1 3 9 8 12 31111 6 M59 80300</t>
  </si>
  <si>
    <t>5 1 3 9 8 12 31111 6 M59 80300 000132</t>
  </si>
  <si>
    <t>5 1 3 9 8 12 31111 6 M59 80300 000132 0000R</t>
  </si>
  <si>
    <t>5 1 3 9 8 12 31111 6 M59 80300 000132 0000R 00001</t>
  </si>
  <si>
    <t>5 1 3 9 8 12 31111 6 M59 80300 000132 0000R 00001 00398</t>
  </si>
  <si>
    <t>5 1 3 9 8 12 31111 6 M59 80300 000132 0000R 00001 00398 015</t>
  </si>
  <si>
    <t>5 1 3 9 8 12 31111 6 M59 80300 000132 0000R 00001 00398 015 2111300</t>
  </si>
  <si>
    <t>5 1 3 9 8 12 31111 6 M59 80300 000132 0000R 00001 00398 015 2111300 2024</t>
  </si>
  <si>
    <t>5 1 3 9 8 12 31111 6 M59 80300 000132 0000R 00001 00398 015 2111300 2024 CP1GA414</t>
  </si>
  <si>
    <t>5 1 3 9 8 12 31111 6 M59 80300 000132 0000R 00001 00398 015 2111300 2024 CP1GA414 001</t>
  </si>
  <si>
    <t>5 1 3 9 8 12 31111 6 M59 80300 000132 0000R 00001 00398 015 2111300 2024 CP1GA414 001 0000001</t>
  </si>
  <si>
    <t>5 1 3 9 8 12 31111 6 M59 80400</t>
  </si>
  <si>
    <t>5 1 3 9 8 12 31111 6 M59 80400 000132</t>
  </si>
  <si>
    <t>5 1 3 9 8 12 31111 6 M59 80400 000132 0000R</t>
  </si>
  <si>
    <t>5 1 3 9 8 12 31111 6 M59 80400 000132 0000R 00001</t>
  </si>
  <si>
    <t>5 1 3 9 8 12 31111 6 M59 80400 000132 0000R 00001 00398</t>
  </si>
  <si>
    <t>5 1 3 9 8 12 31111 6 M59 80400 000132 0000R 00001 00398 015</t>
  </si>
  <si>
    <t>5 1 3 9 8 12 31111 6 M59 80400 000132 0000R 00001 00398 015 2111300</t>
  </si>
  <si>
    <t>5 1 3 9 8 12 31111 6 M59 80400 000132 0000R 00001 00398 015 2111300 2024</t>
  </si>
  <si>
    <t>5 1 3 9 8 12 31111 6 M59 80400 000132 0000R 00001 00398 015 2111300 2024 CP1DP403</t>
  </si>
  <si>
    <t>5 1 3 9 8 12 31111 6 M59 80400 000132 0000R 00001 00398 015 2111300 2024 CP1DP403 001</t>
  </si>
  <si>
    <t>5 1 3 9 8 12 31111 6 M59 80400 000132 0000R 00001 00398 015 2111300 2024 CP1DP403 001 0000001</t>
  </si>
  <si>
    <t>5 1 3 9 8 12 31111 6 M59 80500</t>
  </si>
  <si>
    <t>5 1 3 9 8 12 31111 6 M59 80500 000216</t>
  </si>
  <si>
    <t>5 1 3 9 8 12 31111 6 M59 80500 000216 0000R</t>
  </si>
  <si>
    <t>5 1 3 9 8 12 31111 6 M59 80500 000216 0000R 00001</t>
  </si>
  <si>
    <t>5 1 3 9 8 12 31111 6 M59 80500 000216 0000R 00001 00398</t>
  </si>
  <si>
    <t>5 1 3 9 8 12 31111 6 M59 80500 000216 0000R 00001 00398 015</t>
  </si>
  <si>
    <t>5 1 3 9 8 12 31111 6 M59 80500 000216 0000R 00001 00398 015 2111300</t>
  </si>
  <si>
    <t>5 1 3 9 8 12 31111 6 M59 80500 000216 0000R 00001 00398 015 2111300 2024</t>
  </si>
  <si>
    <t>5 1 3 9 8 12 31111 6 M59 80500 000216 0000R 00001 00398 015 2111300 2024 CP1MA417</t>
  </si>
  <si>
    <t>5 1 3 9 8 12 31111 6 M59 80500 000216 0000R 00001 00398 015 2111300 2024 CP1MA417 001</t>
  </si>
  <si>
    <t>5 1 3 9 8 12 31111 6 M59 80500 000216 0000R 00001 00398 015 2111300 2024 CP1MA417 001 0000001</t>
  </si>
  <si>
    <t>5 1 3 9 8 12 31111 6 M59 80700</t>
  </si>
  <si>
    <t>5 1 3 9 8 12 31111 6 M59 80700 000132</t>
  </si>
  <si>
    <t>5 1 3 9 8 12 31111 6 M59 80700 000132 0000R</t>
  </si>
  <si>
    <t>5 1 3 9 8 12 31111 6 M59 80700 000132 0000R 00001</t>
  </si>
  <si>
    <t>5 1 3 9 8 12 31111 6 M59 80700 000132 0000R 00001 00398</t>
  </si>
  <si>
    <t>5 1 3 9 8 12 31111 6 M59 80700 000132 0000R 00001 00398 015</t>
  </si>
  <si>
    <t>5 1 3 9 8 12 31111 6 M59 80700 000132 0000R 00001 00398 015 2111300</t>
  </si>
  <si>
    <t>5 1 3 9 8 12 31111 6 M59 80700 000132 0000R 00001 00398 015 2111300 2024</t>
  </si>
  <si>
    <t>5 1 3 9 8 12 31111 6 M59 80700 000132 0000R 00001 00398 015 2111300 2024 CP1ME407</t>
  </si>
  <si>
    <t>5 1 3 9 8 12 31111 6 M59 80700 000132 0000R 00001 00398 015 2111300 2024 CP1ME407 001</t>
  </si>
  <si>
    <t>5 1 3 9 8 12 31111 6 M59 80700 000132 0000R 00001 00398 015 2111300 2024 CP1ME407 001 0000001</t>
  </si>
  <si>
    <t>5 1 3 9 8 12 31111 6 M59 90000</t>
  </si>
  <si>
    <t>5 1 3 9 8 12 31111 6 M59 90000 000132</t>
  </si>
  <si>
    <t>5 1 3 9 8 12 31111 6 M59 90000 000132 0000R</t>
  </si>
  <si>
    <t>5 1 3 9 8 12 31111 6 M59 90000 000132 0000R 00001</t>
  </si>
  <si>
    <t>5 1 3 9 8 12 31111 6 M59 90000 000132 0000R 00001 00398</t>
  </si>
  <si>
    <t>5 1 3 9 8 12 31111 6 M59 90000 000132 0000R 00001 00398 015</t>
  </si>
  <si>
    <t>5 1 3 9 8 12 31111 6 M59 90000 000132 0000R 00001 00398 015 2111300</t>
  </si>
  <si>
    <t>5 1 3 9 8 12 31111 6 M59 90000 000132 0000R 00001 00398 015 2111300 2024</t>
  </si>
  <si>
    <t>5 1 3 9 8 12 31111 6 M59 90000 000132 0000R 00001 00398 015 2111300 2024 CP1SG383</t>
  </si>
  <si>
    <t>5 1 3 9 8 12 31111 6 M59 90000 000132 0000R 00001 00398 015 2111300 2024 CP1SG383 001</t>
  </si>
  <si>
    <t>5 1 3 9 8 12 31111 6 M59 90000 000132 0000R 00001 00398 015 2111300 2024 CP1SG383 001 0000001</t>
  </si>
  <si>
    <t>5 1 3 9 8 12 31111 6 M59 91000</t>
  </si>
  <si>
    <t>5 1 3 9 8 12 31111 6 M59 91000 000132</t>
  </si>
  <si>
    <t>5 1 3 9 8 12 31111 6 M59 91000 000132 0000R</t>
  </si>
  <si>
    <t>5 1 3 9 8 12 31111 6 M59 91000 000132 0000R 00001</t>
  </si>
  <si>
    <t>5 1 3 9 8 12 31111 6 M59 91000 000132 0000R 00001 00398</t>
  </si>
  <si>
    <t>5 1 3 9 8 12 31111 6 M59 91000 000132 0000R 00001 00398 015</t>
  </si>
  <si>
    <t>5 1 3 9 8 12 31111 6 M59 91000 000132 0000R 00001 00398 015 2111300</t>
  </si>
  <si>
    <t>5 1 3 9 8 12 31111 6 M59 91000 000132 0000R 00001 00398 015 2111300 2024</t>
  </si>
  <si>
    <t>5 1 3 9 8 12 31111 6 M59 91000 000132 0000R 00001 00398 015 2111300 2024 CP1RE398</t>
  </si>
  <si>
    <t>5 1 3 9 8 12 31111 6 M59 91000 000132 0000R 00001 00398 015 2111300 2024 CP1RE398 001</t>
  </si>
  <si>
    <t>5 1 3 9 8 12 31111 6 M59 91000 000132 0000R 00001 00398 015 2111300 2024 CP1RE398 001 0000001</t>
  </si>
  <si>
    <t>5 1 3 9 8 12 31111 6 M59 92000</t>
  </si>
  <si>
    <t>5 1 3 9 8 12 31111 6 M59 92000 000181</t>
  </si>
  <si>
    <t>5 1 3 9 8 12 31111 6 M59 92000 000181 0000E</t>
  </si>
  <si>
    <t>5 1 3 9 8 12 31111 6 M59 92000 000181 0000E 00001</t>
  </si>
  <si>
    <t>5 1 3 9 8 12 31111 6 M59 92000 000181 0000E 00001 00398</t>
  </si>
  <si>
    <t>5 1 3 9 8 12 31111 6 M59 92000 000181 0000E 00001 00398 015</t>
  </si>
  <si>
    <t>5 1 3 9 8 12 31111 6 M59 92000 000181 0000E 00001 00398 015 2111300</t>
  </si>
  <si>
    <t>5 1 3 9 8 12 31111 6 M59 92000 000181 0000E 00001 00398 015 2111300 2024</t>
  </si>
  <si>
    <t>5 1 3 9 8 12 31111 6 M59 92000 000181 0000E 00001 00398 015 2111300 2024 CP1RC399</t>
  </si>
  <si>
    <t>5 1 3 9 8 12 31111 6 M59 92000 000181 0000E 00001 00398 015 2111300 2024 CP1RC399 001</t>
  </si>
  <si>
    <t>5 1 3 9 8 12 31111 6 M59 92000 000181 0000E 00001 00398 015 2111300 2024 CP1RC399 001 0000001</t>
  </si>
  <si>
    <t>5 1 3 9 8 12 31111 6 M59 93000</t>
  </si>
  <si>
    <t>5 1 3 9 8 12 31111 6 M59 93000 000132</t>
  </si>
  <si>
    <t>5 1 3 9 8 12 31111 6 M59 93000 000132 0000R</t>
  </si>
  <si>
    <t>5 1 3 9 8 12 31111 6 M59 93000 000132 0000R 00001</t>
  </si>
  <si>
    <t>5 1 3 9 8 12 31111 6 M59 93000 000132 0000R 00001 00398</t>
  </si>
  <si>
    <t>5 1 3 9 8 12 31111 6 M59 93000 000132 0000R 00001 00398 015</t>
  </si>
  <si>
    <t>5 1 3 9 8 12 31111 6 M59 93000 000132 0000R 00001 00398 015 2111300</t>
  </si>
  <si>
    <t>5 1 3 9 8 12 31111 6 M59 93000 000132 0000R 00001 00398 015 2111300 2024</t>
  </si>
  <si>
    <t>5 1 3 9 8 12 31111 6 M59 93000 000132 0000R 00001 00398 015 2111300 2024 CP1RS429</t>
  </si>
  <si>
    <t>5 1 3 9 8 12 31111 6 M59 93000 000132 0000R 00001 00398 015 2111300 2024 CP1RS429 001</t>
  </si>
  <si>
    <t>5 1 3 9 8 12 31111 6 M59 93000 000132 0000R 00001 00398 015 2111300 2024 CP1RS429 001 0000001</t>
  </si>
  <si>
    <t>5 1 3 9 8 12 31111 6 M59 94000</t>
  </si>
  <si>
    <t>5 1 3 9 8 12 31111 6 M59 94000 000181</t>
  </si>
  <si>
    <t>5 1 3 9 8 12 31111 6 M59 94000 000181 0000R</t>
  </si>
  <si>
    <t>5 1 3 9 8 12 31111 6 M59 94000 000181 0000R 00001</t>
  </si>
  <si>
    <t>5 1 3 9 8 12 31111 6 M59 94000 000181 0000R 00001 00398</t>
  </si>
  <si>
    <t>5 1 3 9 8 12 31111 6 M59 94000 000181 0000R 00001 00398 015</t>
  </si>
  <si>
    <t>5 1 3 9 8 12 31111 6 M59 94000 000181 0000R 00001 00398 015 2111300</t>
  </si>
  <si>
    <t>5 1 3 9 8 12 31111 6 M59 94000 000181 0000R 00001 00398 015 2111300 2024</t>
  </si>
  <si>
    <t>5 1 3 9 8 12 31111 6 M59 94000 000181 0000R 00001 00398 015 2111300 2024 CP1OM392</t>
  </si>
  <si>
    <t>5 1 3 9 8 12 31111 6 M59 94000 000181 0000R 00001 00398 015 2111300 2024 CP1OM392 001</t>
  </si>
  <si>
    <t>5 1 3 9 8 12 31111 6 M59 94000 000181 0000R 00001 00398 015 2111300 2024 CP1OM392 001 0000001</t>
  </si>
  <si>
    <t>5 1 3 9 8 12 31111 6 M59 94100</t>
  </si>
  <si>
    <t>5 1 3 9 8 12 31111 6 M59 94100 000132</t>
  </si>
  <si>
    <t>5 1 3 9 8 12 31111 6 M59 94100 000132 0000R</t>
  </si>
  <si>
    <t>5 1 3 9 8 12 31111 6 M59 94100 000132 0000R 00001</t>
  </si>
  <si>
    <t>5 1 3 9 8 12 31111 6 M59 94100 000132 0000R 00001 00398</t>
  </si>
  <si>
    <t>5 1 3 9 8 12 31111 6 M59 94100 000132 0000R 00001 00398 015</t>
  </si>
  <si>
    <t>5 1 3 9 8 12 31111 6 M59 94100 000132 0000R 00001 00398 015 2111300</t>
  </si>
  <si>
    <t>5 1 3 9 8 12 31111 6 M59 94100 000132 0000R 00001 00398 015 2111300 2024</t>
  </si>
  <si>
    <t>5 1 3 9 8 12 31111 6 M59 94100 000132 0000R 00001 00398 015 2111300 2024 CP1AT427</t>
  </si>
  <si>
    <t>5 1 3 9 8 12 31111 6 M59 94100 000132 0000R 00001 00398 015 2111300 2024 CP1AT427 001</t>
  </si>
  <si>
    <t>5 1 3 9 8 12 31111 6 M59 94100 000132 0000R 00001 00398 015 2111300 2024 CP1AT427 001 0000001</t>
  </si>
  <si>
    <t>PREVISIONES DE CARÁCTER LABORAL, ECONÓMICO Y SEGURIDAD SOCIAL</t>
  </si>
  <si>
    <t>5 1 3 9 8 12 31111 6 M59 95000</t>
  </si>
  <si>
    <t>5 1 3 9 8 12 31111 6 M59 95000 000139</t>
  </si>
  <si>
    <t>5 1 3 9 8 12 31111 6 M59 95000 000139 0000L</t>
  </si>
  <si>
    <t>5 1 3 9 8 12 31111 6 M59 95000 000139 0000L 00001</t>
  </si>
  <si>
    <t>5 1 3 9 8 12 31111 6 M59 95000 000139 0000L 00001 00398</t>
  </si>
  <si>
    <t>5 1 3 9 8 12 31111 6 M59 95000 000139 0000L 00001 00398 015</t>
  </si>
  <si>
    <t>5 1 3 9 8 12 31111 6 M59 95000 000139 0000L 00001 00398 015 2111100</t>
  </si>
  <si>
    <t>5 1 3 9 8 12 31111 6 M59 95000 000139 0000L 00001 00398 015 2111100 2024</t>
  </si>
  <si>
    <t>5 1 3 9 8 12 31111 6 M59 95000 000139 0000L 00001 00398 015 2111100 2024 CP1AJ437</t>
  </si>
  <si>
    <t>5 1 3 9 8 12 31111 6 M59 95000 000139 0000L 00001 00398 015 2111100 2024 CP1AJ437 001</t>
  </si>
  <si>
    <t>5 1 3 9 8 12 31111 6 M59 95000 000139 0000L 00001 00398 015 2111100 2024 CP1AJ437 001 0000001</t>
  </si>
  <si>
    <t>5 1 3 9 8 12 31111 6 M59 96000</t>
  </si>
  <si>
    <t>5 1 3 9 8 12 31111 6 M59 96000 000132</t>
  </si>
  <si>
    <t>5 1 3 9 8 12 31111 6 M59 96000 000132 0000R</t>
  </si>
  <si>
    <t>5 1 3 9 8 12 31111 6 M59 96000 000132 0000R 00001</t>
  </si>
  <si>
    <t>5 1 3 9 8 12 31111 6 M59 96000 000132 0000R 00001 00398</t>
  </si>
  <si>
    <t>5 1 3 9 8 12 31111 6 M59 96000 000132 0000R 00001 00398 015</t>
  </si>
  <si>
    <t>5 1 3 9 8 12 31111 6 M59 96000 000132 0000R 00001 00398 015 2111300</t>
  </si>
  <si>
    <t>5 1 3 9 8 12 31111 6 M59 96000 000132 0000R 00001 00398 015 2111300 2024</t>
  </si>
  <si>
    <t>5 1 3 9 8 12 31111 6 M59 96000 000132 0000R 00001 00398 015 2111300 2024 CP1PA379</t>
  </si>
  <si>
    <t>5 1 3 9 8 12 31111 6 M59 96000 000132 0000R 00001 00398 015 2111300 2024 CP1PA379 001</t>
  </si>
  <si>
    <t>5 1 3 9 8 12 31111 6 M59 96000 000132 0000R 00001 00398 015 2111300 2024 CP1PA379 001 0000001</t>
  </si>
  <si>
    <t>5 1 3 9 8 12 31111 6 M59 96100</t>
  </si>
  <si>
    <t>5 1 3 9 8 12 31111 6 M59 96100 000211</t>
  </si>
  <si>
    <t>5 1 3 9 8 12 31111 6 M59 96100 000211 0000U</t>
  </si>
  <si>
    <t>5 1 3 9 8 12 31111 6 M59 96100 000211 0000U 00001</t>
  </si>
  <si>
    <t>5 1 3 9 8 12 31111 6 M59 96100 000211 0000U 00001 00398</t>
  </si>
  <si>
    <t>5 1 3 9 8 12 31111 6 M59 96100 000211 0000U 00001 00398 015</t>
  </si>
  <si>
    <t>5 1 3 9 8 12 31111 6 M59 96100 000211 0000U 00001 00398 015 2111300</t>
  </si>
  <si>
    <t>5 1 3 9 8 12 31111 6 M59 96100 000211 0000U 00001 00398 015 2111300 2024</t>
  </si>
  <si>
    <t>5 1 3 9 8 12 31111 6 M59 96100 000211 0000U 00001 00398 015 2111300 2024 CP1IU412</t>
  </si>
  <si>
    <t>5 1 3 9 8 12 31111 6 M59 96100 000211 0000U 00001 00398 015 2111300 2024 CP1IU412 001</t>
  </si>
  <si>
    <t>5 1 3 9 8 12 31111 6 M59 96100 000211 0000U 00001 00398 015 2111300 2024 CP1IU412 001 0000001</t>
  </si>
  <si>
    <t>5 1 3 9 8 12 31111 6 M59 96200</t>
  </si>
  <si>
    <t>5 1 3 9 8 12 31111 6 M59 96200 000132</t>
  </si>
  <si>
    <t>5 1 3 9 8 12 31111 6 M59 96200 000132 0000R</t>
  </si>
  <si>
    <t>5 1 3 9 8 12 31111 6 M59 96200 000132 0000R 00001</t>
  </si>
  <si>
    <t>5 1 3 9 8 12 31111 6 M59 96200 000132 0000R 00001 00398</t>
  </si>
  <si>
    <t>5 1 3 9 8 12 31111 6 M59 96200 000132 0000R 00001 00398 015</t>
  </si>
  <si>
    <t>5 1 3 9 8 12 31111 6 M59 96200 000132 0000R 00001 00398 015 2111300</t>
  </si>
  <si>
    <t>5 1 3 9 8 12 31111 6 M59 96200 000132 0000R 00001 00398 015 2111300 2024</t>
  </si>
  <si>
    <t>5 1 3 9 8 12 31111 6 M59 96200 000132 0000R 00001 00398 015 2111300 2024 CP1AL423</t>
  </si>
  <si>
    <t>5 1 3 9 8 12 31111 6 M59 96200 000132 0000R 00001 00398 015 2111300 2024 CP1AL423 001</t>
  </si>
  <si>
    <t>5 1 3 9 8 12 31111 6 M59 96200 000132 0000R 00001 00398 015 2111300 2024 CP1AL423 001 0000001</t>
  </si>
  <si>
    <t>5 1 3 9 8 12 31111 6 M59 96300</t>
  </si>
  <si>
    <t>5 1 3 9 8 12 31111 6 M59 96300 000211</t>
  </si>
  <si>
    <t>5 1 3 9 8 12 31111 6 M59 96300 000211 0000E</t>
  </si>
  <si>
    <t>5 1 3 9 8 12 31111 6 M59 96300 000211 0000E 00001</t>
  </si>
  <si>
    <t>5 1 3 9 8 12 31111 6 M59 96300 000211 0000E 00001 00398</t>
  </si>
  <si>
    <t>5 1 3 9 8 12 31111 6 M59 96300 000211 0000E 00001 00398 015</t>
  </si>
  <si>
    <t>5 1 3 9 8 12 31111 6 M59 96300 000211 0000E 00001 00398 015 2111300</t>
  </si>
  <si>
    <t>5 1 3 9 8 12 31111 6 M59 96300 000211 0000E 00001 00398 015 2111300 2024</t>
  </si>
  <si>
    <t>5 1 3 9 8 12 31111 6 M59 96300 000211 0000E 00001 00398 015 2111300 2024 CP1SB396</t>
  </si>
  <si>
    <t>5 1 3 9 8 12 31111 6 M59 96300 000211 0000E 00001 00398 015 2111300 2024 CP1SB396 001</t>
  </si>
  <si>
    <t>5 1 3 9 8 12 31111 6 M59 96300 000211 0000E 00001 00398 015 2111300 2024 CP1SB396 001 0000001</t>
  </si>
  <si>
    <t>5 1 3 9 8 12 31111 6 M59 97000</t>
  </si>
  <si>
    <t>5 1 3 9 8 12 31111 6 M59 97000 000132</t>
  </si>
  <si>
    <t>5 1 3 9 8 12 31111 6 M59 97000 000132 0000R</t>
  </si>
  <si>
    <t>5 1 3 9 8 12 31111 6 M59 97000 000132 0000R 00001</t>
  </si>
  <si>
    <t>5 1 3 9 8 12 31111 6 M59 97000 000132 0000R 00001 00398</t>
  </si>
  <si>
    <t>5 1 3 9 8 12 31111 6 M59 97000 000132 0000R 00001 00398 015</t>
  </si>
  <si>
    <t>5 1 3 9 8 12 31111 6 M59 97000 000132 0000R 00001 00398 015 2111300</t>
  </si>
  <si>
    <t>5 1 3 9 8 12 31111 6 M59 97000 000132 0000R 00001 00398 015 2111300 2024</t>
  </si>
  <si>
    <t>5 1 3 9 8 12 31111 6 M59 97000 000132 0000R 00001 00398 015 2111300 2024 CP1SP428</t>
  </si>
  <si>
    <t>5 1 3 9 8 12 31111 6 M59 97000 000132 0000R 00001 00398 015 2111300 2024 CP1SP428 001</t>
  </si>
  <si>
    <t>5 1 3 9 8 12 31111 6 M59 97000 000132 0000R 00001 00398 015 2111300 2024 CP1SP428 001 0000001</t>
  </si>
  <si>
    <t>5 1 3 9 8 12 31111 6 M59 99000</t>
  </si>
  <si>
    <t>5 1 3 9 8 12 31111 6 M59 99000 000132</t>
  </si>
  <si>
    <t>5 1 3 9 8 12 31111 6 M59 99000 000132 0000R</t>
  </si>
  <si>
    <t>5 1 3 9 8 12 31111 6 M59 99000 000132 0000R 00001</t>
  </si>
  <si>
    <t>5 1 3 9 8 12 31111 6 M59 99000 000132 0000R 00001 00398</t>
  </si>
  <si>
    <t>5 1 3 9 8 12 31111 6 M59 99000 000132 0000R 00001 00398 015</t>
  </si>
  <si>
    <t>5 1 3 9 8 12 31111 6 M59 99000 000132 0000R 00001 00398 015 2111100</t>
  </si>
  <si>
    <t>5 1 3 9 8 12 31111 6 M59 99000 000132 0000R 00001 00398 015 2111100 2024</t>
  </si>
  <si>
    <t>5 1 3 9 8 12 31111 6 M59 99000 000132 0000R 00001 00398 015 2111100 2024 CP1MG408</t>
  </si>
  <si>
    <t>5 1 3 9 8 12 31111 6 M59 99000 000132 0000R 00001 00398 015 2111100 2024 CP1MG408 001</t>
  </si>
  <si>
    <t>5 1 3 9 8 12 31111 6 M59 99000 000132 0000R 00001 00398 015 2111100 2024 CP1MG408 001 0000001</t>
  </si>
  <si>
    <t>5 1 3 9 9</t>
  </si>
  <si>
    <t>5 1 3 9 9 12</t>
  </si>
  <si>
    <t>5 1 3 9 9 12 31111</t>
  </si>
  <si>
    <t>5 1 3 9 9 12 31111 6</t>
  </si>
  <si>
    <t>5 1 3 9 9 12 31111 6 M59</t>
  </si>
  <si>
    <t>5 1 3 9 9 12 31111 6 M59 10000</t>
  </si>
  <si>
    <t>5 1 3 9 9 12 31111 6 M59 10000 000132</t>
  </si>
  <si>
    <t>5 1 3 9 9 12 31111 6 M59 10000 000132 0000R</t>
  </si>
  <si>
    <t>5 1 3 9 9 12 31111 6 M59 10000 000132 0000R 00001</t>
  </si>
  <si>
    <t>5 1 3 9 9 12 31111 6 M59 10000 000132 0000R 00001 00399</t>
  </si>
  <si>
    <t>OTROS SERVICIOS GENERALES.</t>
  </si>
  <si>
    <t>5 1 3 9 9 12 31111 6 M59 10000 000132 0000R 00001 00399 015</t>
  </si>
  <si>
    <t>5 1 3 9 9 12 31111 6 M59 10000 000132 0000R 00001 00399 015 2112000</t>
  </si>
  <si>
    <t>5 1 3 9 9 12 31111 6 M59 10000 000132 0000R 00001 00399 015 2112000 2024</t>
  </si>
  <si>
    <t>5 1 3 9 9 12 31111 6 M59 10000 000132 0000R 00001 00399 015 2112000 2024 CP1PM439</t>
  </si>
  <si>
    <t>5 1 3 9 9 12 31111 6 M59 10000 000132 0000R 00001 00399 015 2112000 2024 CP1PM439 001</t>
  </si>
  <si>
    <t>5 1 3 9 9 12 31111 6 M59 10000 000132 0000R 00001 00399 015 2112000 2024 CP1PM439 001 0000001</t>
  </si>
  <si>
    <t>5 1 3 9 9 12 31111 6 M59 10300</t>
  </si>
  <si>
    <t>5 1 3 9 9 12 31111 6 M59 10300 000139</t>
  </si>
  <si>
    <t>5 1 3 9 9 12 31111 6 M59 10300 000139 0000E</t>
  </si>
  <si>
    <t>5 1 3 9 9 12 31111 6 M59 10300 000139 0000E 00001</t>
  </si>
  <si>
    <t>5 1 3 9 9 12 31111 6 M59 10300 000139 0000E 00001 00399</t>
  </si>
  <si>
    <t>5 1 3 9 9 12 31111 6 M59 10300 000139 0000E 00001 00399 011</t>
  </si>
  <si>
    <t>5 1 3 9 9 12 31111 6 M59 10300 000139 0000E 00001 00399 011 2112000</t>
  </si>
  <si>
    <t>5 1 3 9 9 12 31111 6 M59 10300 000139 0000E 00001 00399 011 2112000 2024</t>
  </si>
  <si>
    <t>5 1 3 9 9 12 31111 6 M59 10300 000139 0000E 00001 00399 011 2112000 2024 CP3GE486</t>
  </si>
  <si>
    <t>5 1 3 9 9 12 31111 6 M59 10300 000139 0000E 00001 00399 011 2112000 2024 CP3GE486 004</t>
  </si>
  <si>
    <t>5 1 3 9 9 12 31111 6 M59 10300 000139 0000E 00001 00399 011 2112000 2024 CP3GE486 004 0000001</t>
  </si>
  <si>
    <t>5 1 3 9 9 12 31111 6 M59 20400</t>
  </si>
  <si>
    <t>5 1 3 9 9 12 31111 6 M59 20400 000132</t>
  </si>
  <si>
    <t>5 1 3 9 9 12 31111 6 M59 20400 000132 0000R</t>
  </si>
  <si>
    <t>5 1 3 9 9 12 31111 6 M59 20400 000132 0000R 00001</t>
  </si>
  <si>
    <t>5 1 3 9 9 12 31111 6 M59 20400 000132 0000R 00001 00399</t>
  </si>
  <si>
    <t>5 1 3 9 9 12 31111 6 M59 20400 000132 0000R 00001 00399 015</t>
  </si>
  <si>
    <t>5 1 3 9 9 12 31111 6 M59 20400 000132 0000R 00001 00399 015 2112000</t>
  </si>
  <si>
    <t>5 1 3 9 9 12 31111 6 M59 20400 000132 0000R 00001 00399 015 2112000 2024</t>
  </si>
  <si>
    <t>5 1 3 9 9 12 31111 6 M59 20400 000132 0000R 00001 00399 015 2112000 2024 CP1PV404</t>
  </si>
  <si>
    <t>5 1 3 9 9 12 31111 6 M59 20400 000132 0000R 00001 00399 015 2112000 2024 CP1PV404 001</t>
  </si>
  <si>
    <t>5 1 3 9 9 12 31111 6 M59 20400 000132 0000R 00001 00399 015 2112000 2024 CP1PV404 001 0000001</t>
  </si>
  <si>
    <t>5 1 3 9 9 12 31111 6 M59 20500</t>
  </si>
  <si>
    <t>5 1 3 9 9 12 31111 6 M59 20500 000181</t>
  </si>
  <si>
    <t>5 1 3 9 9 12 31111 6 M59 20500 000181 0000E</t>
  </si>
  <si>
    <t>5 1 3 9 9 12 31111 6 M59 20500 000181 0000E 00001</t>
  </si>
  <si>
    <t>5 1 3 9 9 12 31111 6 M59 20500 000181 0000E 00001 00399</t>
  </si>
  <si>
    <t>5 1 3 9 9 12 31111 6 M59 20500 000181 0000E 00001 00399 011</t>
  </si>
  <si>
    <t>5 1 3 9 9 12 31111 6 M59 20500 000181 0000E 00001 00399 011 2112000</t>
  </si>
  <si>
    <t>5 1 3 9 9 12 31111 6 M59 20500 000181 0000E 00001 00399 011 2112000 2024</t>
  </si>
  <si>
    <t>5 1 3 9 9 12 31111 6 M59 20500 000181 0000E 00001 00399 011 2112000 2024 CP3CP471</t>
  </si>
  <si>
    <t>5 1 3 9 9 12 31111 6 M59 20500 000181 0000E 00001 00399 011 2112000 2024 CP3CP471 004</t>
  </si>
  <si>
    <t>5 1 3 9 9 12 31111 6 M59 20500 000181 0000E 00001 00399 011 2112000 2024 CP3CP471 004 0000001</t>
  </si>
  <si>
    <t>5 1 3 9 9 12 31111 6 M59 94000</t>
  </si>
  <si>
    <t>5 1 3 9 9 12 31111 6 M59 94000 000181</t>
  </si>
  <si>
    <t>5 1 3 9 9 12 31111 6 M59 94000 000181 0000R</t>
  </si>
  <si>
    <t>5 1 3 9 9 12 31111 6 M59 94000 000181 0000R 00001</t>
  </si>
  <si>
    <t>5 1 3 9 9 12 31111 6 M59 94000 000181 0000R 00001 00399</t>
  </si>
  <si>
    <t>5 1 3 9 9 12 31111 6 M59 94000 000181 0000R 00001 00399 015</t>
  </si>
  <si>
    <t>5 1 3 9 9 12 31111 6 M59 94000 000181 0000R 00001 00399 015 2112000</t>
  </si>
  <si>
    <t>5 1 3 9 9 12 31111 6 M59 94000 000181 0000R 00001 00399 015 2112000 2024</t>
  </si>
  <si>
    <t>5 1 3 9 9 12 31111 6 M59 94000 000181 0000R 00001 00399 015 2112000 2024 CP1OM392</t>
  </si>
  <si>
    <t>5 1 3 9 9 12 31111 6 M59 94000 000181 0000R 00001 00399 015 2112000 2024 CP1OM392 001</t>
  </si>
  <si>
    <t>5 1 3 9 9 12 31111 6 M59 94000 000181 0000R 00001 00399 015 2112000 2024 CP1OM392 001 0000001</t>
  </si>
  <si>
    <t>5 2</t>
  </si>
  <si>
    <t>TRANSFERENCIAS, ASIGNACIONES, SUBSIDIOS Y OTRAS AYUDAS</t>
  </si>
  <si>
    <t>5 2 2</t>
  </si>
  <si>
    <t>TRANSFERENCIAS AL RESTO DEL SECTOR PÚBLICO</t>
  </si>
  <si>
    <t>5 2 2 2</t>
  </si>
  <si>
    <t>TRANSFERENCIAS A ENTIDADES FEDERATIVAS Y MUNICIPIOS</t>
  </si>
  <si>
    <t>5 2 2 2 4</t>
  </si>
  <si>
    <t>TRANSFERENCIAS OTORGADAS A ENTIDADES FEDERATIVAS Y MUNICIPIOS</t>
  </si>
  <si>
    <t>5 2 2 2 4 12</t>
  </si>
  <si>
    <t>5 2 2 2 4 12 31111</t>
  </si>
  <si>
    <t>5 2 2 2 4 12 31111 6</t>
  </si>
  <si>
    <t>5 2 2 2 4 12 31111 6 M59</t>
  </si>
  <si>
    <t>5 2 2 2 4 12 31111 6 M59 19000</t>
  </si>
  <si>
    <t>5 2 2 2 4 12 31111 6 M59 19000 000271</t>
  </si>
  <si>
    <t>5 2 2 2 4 12 31111 6 M59 19000 000271 0000F</t>
  </si>
  <si>
    <t>5 2 2 2 4 12 31111 6 M59 19000 000271 0000F 00001</t>
  </si>
  <si>
    <t>5 2 2 2 4 12 31111 6 M59 19000 000271 0000F 00001 00424</t>
  </si>
  <si>
    <t>TRANSFERENCIAS OTORGADAS A ENTIDADES FEDERATIVAS Y MUNICIPIOS.</t>
  </si>
  <si>
    <t>5 2 2 2 4 12 31111 6 M59 19000 000271 0000F 00001 00424 025</t>
  </si>
  <si>
    <t>5 2 2 2 4 12 31111 6 M59 19000 000271 0000F 00001 00424 025 2152120</t>
  </si>
  <si>
    <t>TRANSFERENCIAS DEL RESTO DEL SECTOR PÚBLICO</t>
  </si>
  <si>
    <t>5 2 2 2 4 12 31111 6 M59 19000 000271 0000F 00001 00424 025 2152120 2024</t>
  </si>
  <si>
    <t>5 2 2 2 4 12 31111 6 M59 19000 000271 0000F 00001 00424 025 2152120 2024 CP4TM511</t>
  </si>
  <si>
    <t>5 2 2 2 4 12 31111 6 M59 19000 000271 0000F 00001 00424 025 2152120 2024 CP4TM511 003</t>
  </si>
  <si>
    <t>5 2 2 2 4 12 31111 6 M59 19000 000271 0000F 00001 00424 025 2152120 2024 CP4TM511 003 0000001</t>
  </si>
  <si>
    <t>5 2 3</t>
  </si>
  <si>
    <t>SUBSIDIOS Y SUBVENCIONES</t>
  </si>
  <si>
    <t>5 2 3 1</t>
  </si>
  <si>
    <t>SUBSIDIOS</t>
  </si>
  <si>
    <t>5 2 3 1 8</t>
  </si>
  <si>
    <t>SUBSIDIOS A ENTIDADES FEDERATIVAS Y MUNICIPIOS</t>
  </si>
  <si>
    <t>5 2 3 1 8 12</t>
  </si>
  <si>
    <t>5 2 3 1 8 12 31111</t>
  </si>
  <si>
    <t>5 2 3 1 8 12 31111 6</t>
  </si>
  <si>
    <t>5 2 3 1 8 12 31111 6 M59</t>
  </si>
  <si>
    <t>5 2 3 1 8 12 31111 6 M59 80500</t>
  </si>
  <si>
    <t>5 2 3 1 8 12 31111 6 M59 80500 000216</t>
  </si>
  <si>
    <t>5 2 3 1 8 12 31111 6 M59 80500 000216 0000R</t>
  </si>
  <si>
    <t>5 2 3 1 8 12 31111 6 M59 80500 000216 0000R 00001</t>
  </si>
  <si>
    <t>5 2 3 1 8 12 31111 6 M59 80500 000216 0000R 00001 00438</t>
  </si>
  <si>
    <t>SUBSIDIOS A ENTIDADES FEDERATIVAS Y MUNICIPIOS.</t>
  </si>
  <si>
    <t>5 2 3 1 8 12 31111 6 M59 80500 000216 0000R 00001 00438 011</t>
  </si>
  <si>
    <t>5 2 3 1 8 12 31111 6 M59 80500 000216 0000R 00001 00438 011 2152200</t>
  </si>
  <si>
    <t>A ENTIDADES FEDERATIVAS</t>
  </si>
  <si>
    <t>5 2 3 1 8 12 31111 6 M59 80500 000216 0000R 00001 00438 011 2152200 2024</t>
  </si>
  <si>
    <t>5 2 3 1 8 12 31111 6 M59 80500 000216 0000R 00001 00438 011 2152200 2024 CP3MA482</t>
  </si>
  <si>
    <t>BRIGADAS DE PROTECCIÓN FORESTAL</t>
  </si>
  <si>
    <t>5 2 3 1 8 12 31111 6 M59 80500 000216 0000R 00001 00438 011 2152200 2024 CP3MA482 004</t>
  </si>
  <si>
    <t>5 2 3 1 8 12 31111 6 M59 80500 000216 0000R 00001 00438 011 2152200 2024 CP3MA482 004 0000001</t>
  </si>
  <si>
    <t>5 2 3 1 8 12 31111 6 M59 80500 000216 0000R 00001 00438 015</t>
  </si>
  <si>
    <t>5 2 3 1 8 12 31111 6 M59 80500 000216 0000R 00001 00438 015 2152200</t>
  </si>
  <si>
    <t>5 2 3 1 8 12 31111 6 M59 80500 000216 0000R 00001 00438 015 2152200 2024</t>
  </si>
  <si>
    <t>5 2 3 1 8 12 31111 6 M59 80500 000216 0000R 00001 00438 015 2152200 2024 CP1MA417</t>
  </si>
  <si>
    <t>5 2 3 1 8 12 31111 6 M59 80500 000216 0000R 00001 00438 015 2152200 2024 CP1MA417 001</t>
  </si>
  <si>
    <t>5 2 3 1 8 12 31111 6 M59 80500 000216 0000R 00001 00438 015 2152200 2024 CP1MA417 001 0000001</t>
  </si>
  <si>
    <t>5 2 4</t>
  </si>
  <si>
    <t>5 2 4 1</t>
  </si>
  <si>
    <t>AYUDAS SOCIALES A PERSONAS</t>
  </si>
  <si>
    <t>5 2 4 1 1</t>
  </si>
  <si>
    <t>5 2 4 1 1 12</t>
  </si>
  <si>
    <t>5 2 4 1 1 12 31111</t>
  </si>
  <si>
    <t>5 2 4 1 1 12 31111 6</t>
  </si>
  <si>
    <t>5 2 4 1 1 12 31111 6 M59</t>
  </si>
  <si>
    <t>5 2 4 1 1 12 31111 6 M59 10000</t>
  </si>
  <si>
    <t>5 2 4 1 1 12 31111 6 M59 10000 000132</t>
  </si>
  <si>
    <t>5 2 4 1 1 12 31111 6 M59 10000 000132 0000R</t>
  </si>
  <si>
    <t>5 2 4 1 1 12 31111 6 M59 10000 000132 0000R 00001</t>
  </si>
  <si>
    <t>5 2 4 1 1 12 31111 6 M59 10000 000132 0000R 00001 00441</t>
  </si>
  <si>
    <t>AYUDAS SOCIALES A PERSONAS.</t>
  </si>
  <si>
    <t>5 2 4 1 1 12 31111 6 M59 10000 000132 0000R 00001 00441 025</t>
  </si>
  <si>
    <t>5 2 4 1 1 12 31111 6 M59 10000 000132 0000R 00001 00441 025 2151100</t>
  </si>
  <si>
    <t>AYUDA A PERSONAS</t>
  </si>
  <si>
    <t>5 2 4 1 1 12 31111 6 M59 10000 000132 0000R 00001 00441 025 2151100 2024</t>
  </si>
  <si>
    <t>5 2 4 1 1 12 31111 6 M59 10000 000132 0000R 00001 00441 025 2151100 2024 CP1PM439</t>
  </si>
  <si>
    <t>5 2 4 1 1 12 31111 6 M59 10000 000132 0000R 00001 00441 025 2151100 2024 CP1PM439 003</t>
  </si>
  <si>
    <t>5 2 4 1 1 12 31111 6 M59 10000 000132 0000R 00001 00441 025 2151100 2024 CP1PM439 003 0000001</t>
  </si>
  <si>
    <t>GASTOS FUNERARIOS</t>
  </si>
  <si>
    <t>5 2 4 1 1 12 31111 6 M59 10000 000132 0000R 00001 00441 025 2151100 2024 CP1PM439 003 0000002</t>
  </si>
  <si>
    <t>MEDICAMENTOS</t>
  </si>
  <si>
    <t>5 2 4 1 1 12 31111 6 M59 19000</t>
  </si>
  <si>
    <t>5 2 4 1 1 12 31111 6 M59 19000 000132</t>
  </si>
  <si>
    <t>5 2 4 1 1 12 31111 6 M59 19000 000132 0000R</t>
  </si>
  <si>
    <t>5 2 4 1 1 12 31111 6 M59 19000 000132 0000R 00001</t>
  </si>
  <si>
    <t>5 2 4 1 1 12 31111 6 M59 19000 000132 0000R 00001 00441</t>
  </si>
  <si>
    <t>5 2 4 1 1 12 31111 6 M59 19000 000132 0000R 00001 00441 011</t>
  </si>
  <si>
    <t>5 2 4 1 1 12 31111 6 M59 19000 000132 0000R 00001 00441 011 2112000</t>
  </si>
  <si>
    <t>5 2 4 1 1 12 31111 6 M59 19000 000132 0000R 00001 00441 011 2112000 2024</t>
  </si>
  <si>
    <t>5 2 4 1 1 12 31111 6 M59 19000 000132 0000R 00001 00441 011 2112000 2024 CP1TM440</t>
  </si>
  <si>
    <t>5 2 4 1 1 12 31111 6 M59 19000 000132 0000R 00001 00441 011 2112000 2024 CP1TM440 004</t>
  </si>
  <si>
    <t>5 2 4 1 1 12 31111 6 M59 19000 000132 0000R 00001 00441 011 2112000 2024 CP1TM440 004 0000001</t>
  </si>
  <si>
    <t>5 2 4 1 1 12 31111 6 M59 19000 000132 0000R 00001 00441 015</t>
  </si>
  <si>
    <t>5 2 4 1 1 12 31111 6 M59 19000 000132 0000R 00001 00441 015 2151100</t>
  </si>
  <si>
    <t>5 2 4 1 1 12 31111 6 M59 19000 000132 0000R 00001 00441 015 2151100 2024</t>
  </si>
  <si>
    <t>5 2 4 1 1 12 31111 6 M59 19000 000132 0000R 00001 00441 015 2151100 2024 CP1TM440</t>
  </si>
  <si>
    <t>5 2 4 1 1 12 31111 6 M59 19000 000132 0000R 00001 00441 015 2151100 2024 CP1TM440 001</t>
  </si>
  <si>
    <t>5 2 4 1 1 12 31111 6 M59 19000 000132 0000R 00001 00441 015 2151100 2024 CP1TM440 001 0000001</t>
  </si>
  <si>
    <t>AYUDA PARA FUNERALES</t>
  </si>
  <si>
    <t>5 2 4 1 1 12 31111 6 M59 19000 000132 0000R 00001 00441 015 2151100 2024 CP1TM440 001 0000002</t>
  </si>
  <si>
    <t>AYUDA DIVERSA EN ESPECIE</t>
  </si>
  <si>
    <t>5 2 4 1 1 12 31111 6 M59 19000 000132 0000R 00001 00441 015 2151100 2024 CP1TM440 001 0000003</t>
  </si>
  <si>
    <t>OTRAS AYUDAS SOCIALES A PERSONAS</t>
  </si>
  <si>
    <t>5 2 4 1 1 12 31111 6 M59 80600</t>
  </si>
  <si>
    <t>DIRECCIPON DE ATENCIÓN A COMUNIDADES SERRANAS</t>
  </si>
  <si>
    <t>5 2 4 1 1 12 31111 6 M59 80600 000322</t>
  </si>
  <si>
    <t>SILVICULTURA</t>
  </si>
  <si>
    <t>5 2 4 1 1 12 31111 6 M59 80600 000322 0000R</t>
  </si>
  <si>
    <t>5 2 4 1 1 12 31111 6 M59 80600 000322 0000R 00001</t>
  </si>
  <si>
    <t>5 2 4 1 1 12 31111 6 M59 80600 000322 0000R 00001 00441</t>
  </si>
  <si>
    <t>5 2 4 1 1 12 31111 6 M59 80600 000322 0000R 00001 00441 011</t>
  </si>
  <si>
    <t>5 2 4 1 1 12 31111 6 M59 80600 000322 0000R 00001 00441 011 2151100</t>
  </si>
  <si>
    <t>5 2 4 1 1 12 31111 6 M59 80600 000322 0000R 00001 00441 011 2151100 2024</t>
  </si>
  <si>
    <t>5 2 4 1 1 12 31111 6 M59 80600 000322 0000R 00001 00441 011 2151100 2024 CP3AC496</t>
  </si>
  <si>
    <t>PLAN SIERRA</t>
  </si>
  <si>
    <t>5 2 4 1 1 12 31111 6 M59 80600 000322 0000R 00001 00441 011 2151100 2024 CP3AC496 004</t>
  </si>
  <si>
    <t>5 2 4 1 1 12 31111 6 M59 80600 000322 0000R 00001 00441 011 2151100 2024 CP3AC496 004 0000001</t>
  </si>
  <si>
    <t>5 6</t>
  </si>
  <si>
    <t>INVERSION PUBLICA</t>
  </si>
  <si>
    <t>5 6 1</t>
  </si>
  <si>
    <t>INVERSION PUBLICA NO CAPITALIZABLE</t>
  </si>
  <si>
    <t>5 6 1 1</t>
  </si>
  <si>
    <t>CONSTRUCCION EN BIENES NO CAPITALIZABLE</t>
  </si>
  <si>
    <t>5 6 1 1 2</t>
  </si>
  <si>
    <t>EDIFICACION NO HABITACIONAL</t>
  </si>
  <si>
    <t>5 6 1 1 2 12</t>
  </si>
  <si>
    <t>5 6 1 1 2 12 31111</t>
  </si>
  <si>
    <t>5 6 1 1 2 12 31111 6</t>
  </si>
  <si>
    <t>5 6 1 1 2 12 31111 6 M59</t>
  </si>
  <si>
    <t>5 6 1 1 2 12 31111 6 M59 00003</t>
  </si>
  <si>
    <t>5 6 1 1 2 12 31111 6 M59 00003 000001</t>
  </si>
  <si>
    <t>OBRAS 2024</t>
  </si>
  <si>
    <t>5 6 1 1 2 12 31111 6 M59 00003 000001 00001</t>
  </si>
  <si>
    <t>5 6 1 1 2 12 31111 6 M59 00003 000001 00001 00002</t>
  </si>
  <si>
    <t>5 6 1 1 3</t>
  </si>
  <si>
    <t>CONSTRUCCION DE OBRAS PARA EL ABASTECIMIENTO DE AGUA, PETROLEO, GAS, ELECTRICIDAD Y TELECOMUNICACION</t>
  </si>
  <si>
    <t>5 6 1 1 3 12</t>
  </si>
  <si>
    <t>5 6 1 1 3 12 31111</t>
  </si>
  <si>
    <t>5 6 1 1 3 12 31111 6</t>
  </si>
  <si>
    <t>5 6 1 1 3 12 31111 6 M59</t>
  </si>
  <si>
    <t>5 6 1 1 3 12 31111 6 M59 30100</t>
  </si>
  <si>
    <t>5 6 1 1 3 12 31111 6 M59 30100 000132</t>
  </si>
  <si>
    <t>5 6 1 1 3 12 31111 6 M59 30100 000132 0000R</t>
  </si>
  <si>
    <t>5 6 1 1 3 12 31111 6 M59 30100 000132 0000R 00002</t>
  </si>
  <si>
    <t>5 6 1 1 3 12 31111 6 M59 30100 000132 0000R 00002 00613</t>
  </si>
  <si>
    <t>5 6 1 1 3 12 31111 6 M59 30100 000132 0000R 00002 00613 011</t>
  </si>
  <si>
    <t>5 6 1 1 3 12 31111 6 M59 30100 000132 0000R 00002 00613 011 2210000</t>
  </si>
  <si>
    <t>5 6 1 1 3 12 31111 6 M59 30100 000132 0000R 00002 00613 011 2210000 2024</t>
  </si>
  <si>
    <t>5 6 1 1 3 12 31111 6 M59 30100 000132 0000R 00002 00613 011 2210000 2024 CP1TM440</t>
  </si>
  <si>
    <t>5 6 1 1 3 12 31111 6 M59 30100 000132 0000R 00002 00613 011 2210000 2024 CP1TM440 006</t>
  </si>
  <si>
    <t>5 6 1 1 3 12 31111 6 M59 30100 000132 0000R 00002 00613 011 2210000 2024 CP1TM440 006 0000002</t>
  </si>
  <si>
    <t>5 6 1 1 3 12 31111 6 M59 30100 000132 0000R 00002 00613 011 2210000 2024 CP1TM440 006 0000003</t>
  </si>
  <si>
    <t>5 6 1 1 4</t>
  </si>
  <si>
    <t>DIVISION DE TERRENOS Y CONSTRUCCION DE OBRAS DE URBANIZACION</t>
  </si>
  <si>
    <t>5 6 1 1 4 12</t>
  </si>
  <si>
    <t>5 6 1 1 4 12 31111</t>
  </si>
  <si>
    <t>5 6 1 1 4 12 31111 6</t>
  </si>
  <si>
    <t>5 6 1 1 4 12 31111 6 M59</t>
  </si>
  <si>
    <t>5 6 1 1 4 12 31111 6 M59 00002</t>
  </si>
  <si>
    <t>5 6 1 1 4 12 31111 6 M59 00002 000001</t>
  </si>
  <si>
    <t>5 6 1 1 4 12 31111 6 M59 00002 000001 00001</t>
  </si>
  <si>
    <t>URBANIZACION</t>
  </si>
  <si>
    <t>5 6 1 1 4 12 31111 6 M59 00002 000001 00001 00001</t>
  </si>
  <si>
    <t>5 6 1 1 4 12 31111 6 M59 00002 000001 00001 00002</t>
  </si>
  <si>
    <t>5 6 1 1 4 12 31111 6 M59 00002 000001 00001 00003</t>
  </si>
  <si>
    <t>5 6 1 1 4 12 31111 6 M59 00002 000001 00001 00004</t>
  </si>
  <si>
    <t>5 6 1 1 4 12 31111 6 M59 00002 000001 00001 00005</t>
  </si>
  <si>
    <t>5 6 1 1 4 12 31111 6 M59 00002 000001 00001 00006</t>
  </si>
  <si>
    <t>5 6 1 1 4 12 31111 6 M59 00002 000001 00001 00007</t>
  </si>
  <si>
    <t>5 6 1 1 4 12 31111 6 M59 00002 000001 00001 00008</t>
  </si>
  <si>
    <t>5 6 1 1 4 12 31111 6 M59 00002 000001 00001 00009</t>
  </si>
  <si>
    <t>5 6 1 1 4 12 31111 6 M59 00002 000001 00001 00010</t>
  </si>
  <si>
    <t>5 6 1 1 4 12 31111 6 M59 00002 000001 00001 00011</t>
  </si>
  <si>
    <t>5 6 1 1 4 12 31111 6 M59 00002 000001 00001 00012</t>
  </si>
  <si>
    <t>8</t>
  </si>
  <si>
    <t>CUENTAS DE ORDEN PRESUPUESTARIAS</t>
  </si>
  <si>
    <t>8 1</t>
  </si>
  <si>
    <t>LEY DE INGRESOS</t>
  </si>
  <si>
    <t>8 1 1</t>
  </si>
  <si>
    <t>LEY DE INGRESOS ESTIMADA</t>
  </si>
  <si>
    <t>8 1 2</t>
  </si>
  <si>
    <t>LEY DE INGRESOS POR EJECUTAR</t>
  </si>
  <si>
    <t>8 1 3</t>
  </si>
  <si>
    <t>MODIFICACIONES A LA LEY DE INGRESOS ESTIMADA</t>
  </si>
  <si>
    <t>8 1 4</t>
  </si>
  <si>
    <t>LEY DE INGRESOS DEVENGADA</t>
  </si>
  <si>
    <t>8 1 5</t>
  </si>
  <si>
    <t>LEY DE INGRESOS RECAUDADA</t>
  </si>
  <si>
    <t>8 2</t>
  </si>
  <si>
    <t>PRESUPUESTO DE EGRESOS</t>
  </si>
  <si>
    <t>8 2 1</t>
  </si>
  <si>
    <t>PRESUPUESTO DE EGRESOS APROBADO</t>
  </si>
  <si>
    <t>8 2 2</t>
  </si>
  <si>
    <t>PRESUPUESTO DE EGRESOS POR EJERCER</t>
  </si>
  <si>
    <t>8 2 3</t>
  </si>
  <si>
    <t>MODIFICACIONES AL PRESUPUESTO DE EGRESOS APROBADO</t>
  </si>
  <si>
    <t>8 2 4</t>
  </si>
  <si>
    <t>PRESUPUESTO DE EGRESOS COMPROMETIDO</t>
  </si>
  <si>
    <t>8 2 5</t>
  </si>
  <si>
    <t>PRESUPUESTO DE EGRESOS DEVENGADO</t>
  </si>
  <si>
    <t>8 2 6</t>
  </si>
  <si>
    <t>PRESUPUESTO DE EGRESOS EJERCIDO</t>
  </si>
  <si>
    <t>8 2 7</t>
  </si>
  <si>
    <t>PRESUPUESTO DE EGRESOS PAGADO</t>
  </si>
  <si>
    <t>OBRA PUBLICA</t>
  </si>
  <si>
    <t>SEGURIDAD PUBLICA</t>
  </si>
  <si>
    <t xml:space="preserve">BALANZA DE COMPROBACIÓN DEL 1 AL 31 DE DICIEMBRE DEL 2024  </t>
  </si>
  <si>
    <t>AL 1 DE DICIEMBRE DE 2024</t>
  </si>
  <si>
    <t>DICIEMBRE 2024</t>
  </si>
  <si>
    <t>POR EL SERVICIO MENSUAL DE ABASTECIMIENTO DE AGUA POTABLE</t>
  </si>
  <si>
    <t>LICENCIA PARA MANEJAR</t>
  </si>
  <si>
    <t>TRANSFERENCIAS INTERNAS Y ASIGNACIONES</t>
  </si>
  <si>
    <t>DIRECCION DE ATENCIÓN A COMUNIDADES SERRANAS</t>
  </si>
  <si>
    <t>FORTALECIMIENTO FINANCIERO</t>
  </si>
  <si>
    <t>FAIESM</t>
  </si>
  <si>
    <t>RETENCIONES DE IMPUESTOS FEDERALES (PATRON)</t>
  </si>
  <si>
    <t>RESULTADO DEL EJERCICIO (AHORRO/DESAHORRO)</t>
  </si>
  <si>
    <t>RESULTADO DEL EJERCICIO INMEDIATO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</si>
</sst>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color indexed="8"/>
      <name val="Arial Narrow"/>
      <family val="2"/>
    </font>
    <font>
      <b/>
      <sz val="7"/>
      <name val="Arial"/>
      <family val="2"/>
    </font>
    <font>
      <sz val="7"/>
      <name val="Arial"/>
      <family val="2"/>
    </font>
    <font>
      <sz val="6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2E2E2"/>
        <bgColor indexed="64"/>
      </patternFill>
    </fill>
    <fill>
      <patternFill patternType="none">
        <fgColor rgb="FFE2E2E2"/>
      </patternFill>
    </fill>
    <fill>
      <patternFill patternType="solid">
        <fgColor rgb="FFE2E2E2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3" borderId="0"/>
  </cellStyleXfs>
  <cellXfs count="90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2" fillId="0" borderId="0" xfId="0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0" fillId="0" borderId="1" xfId="0" applyFill="1" applyBorder="1"/>
    <xf numFmtId="0" fontId="0" fillId="0" borderId="4" xfId="0" applyBorder="1"/>
    <xf numFmtId="0" fontId="2" fillId="0" borderId="5" xfId="0" applyFont="1" applyBorder="1" applyAlignment="1">
      <alignment vertical="top"/>
    </xf>
    <xf numFmtId="0" fontId="3" fillId="0" borderId="3" xfId="0" applyFont="1" applyFill="1" applyBorder="1"/>
    <xf numFmtId="0" fontId="3" fillId="0" borderId="6" xfId="0" applyFont="1" applyFill="1" applyBorder="1" applyAlignment="1">
      <alignment vertical="top"/>
    </xf>
    <xf numFmtId="0" fontId="3" fillId="0" borderId="7" xfId="0" applyFont="1" applyFill="1" applyBorder="1"/>
    <xf numFmtId="0" fontId="8" fillId="0" borderId="2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top"/>
    </xf>
    <xf numFmtId="0" fontId="9" fillId="0" borderId="8" xfId="0" applyFont="1" applyFill="1" applyBorder="1" applyAlignment="1">
      <alignment vertical="top"/>
    </xf>
    <xf numFmtId="0" fontId="9" fillId="0" borderId="8" xfId="0" applyFont="1" applyFill="1" applyBorder="1" applyAlignment="1">
      <alignment vertical="top" wrapText="1"/>
    </xf>
    <xf numFmtId="4" fontId="9" fillId="0" borderId="5" xfId="0" applyNumberFormat="1" applyFont="1" applyBorder="1" applyAlignment="1">
      <alignment horizontal="center"/>
    </xf>
    <xf numFmtId="4" fontId="9" fillId="0" borderId="6" xfId="0" applyNumberFormat="1" applyFont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9" fillId="0" borderId="0" xfId="0" applyFont="1" applyFill="1" applyBorder="1" applyAlignment="1">
      <alignment horizontal="center" vertical="top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4" fontId="14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4" fontId="16" fillId="4" borderId="0" xfId="0" applyNumberFormat="1" applyFont="1" applyFill="1" applyAlignment="1">
      <alignment horizontal="right" vertical="center"/>
    </xf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10" fillId="0" borderId="9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0" fontId="2" fillId="2" borderId="0" xfId="1" applyFont="1" applyFill="1"/>
    <xf numFmtId="0" fontId="2" fillId="2" borderId="0" xfId="1" applyFont="1" applyFill="1" applyAlignment="1">
      <alignment vertical="top"/>
    </xf>
    <xf numFmtId="0" fontId="2" fillId="2" borderId="0" xfId="1" applyFont="1" applyFill="1" applyAlignment="1">
      <alignment wrapText="1"/>
    </xf>
    <xf numFmtId="4" fontId="2" fillId="2" borderId="0" xfId="1" applyNumberFormat="1" applyFont="1" applyFill="1"/>
    <xf numFmtId="0" fontId="2" fillId="3" borderId="0" xfId="1" applyFont="1"/>
    <xf numFmtId="0" fontId="17" fillId="2" borderId="0" xfId="1" applyFill="1"/>
    <xf numFmtId="0" fontId="4" fillId="2" borderId="0" xfId="1" applyFont="1" applyFill="1" applyAlignment="1">
      <alignment horizontal="center" vertical="top"/>
    </xf>
    <xf numFmtId="0" fontId="17" fillId="3" borderId="0" xfId="1"/>
    <xf numFmtId="0" fontId="1" fillId="2" borderId="0" xfId="1" applyFont="1" applyFill="1"/>
    <xf numFmtId="0" fontId="5" fillId="2" borderId="0" xfId="1" applyFont="1" applyFill="1" applyAlignment="1">
      <alignment horizontal="center" vertical="top"/>
    </xf>
    <xf numFmtId="0" fontId="1" fillId="3" borderId="0" xfId="1" applyFont="1"/>
    <xf numFmtId="0" fontId="6" fillId="2" borderId="0" xfId="1" applyFont="1" applyFill="1" applyAlignment="1">
      <alignment horizontal="center" vertical="top"/>
    </xf>
    <xf numFmtId="0" fontId="7" fillId="2" borderId="0" xfId="1" applyFont="1" applyFill="1" applyAlignment="1">
      <alignment horizontal="center" vertical="top"/>
    </xf>
    <xf numFmtId="0" fontId="6" fillId="3" borderId="0" xfId="1" applyFont="1" applyAlignment="1">
      <alignment horizontal="center" vertical="top"/>
    </xf>
    <xf numFmtId="0" fontId="17" fillId="3" borderId="1" xfId="1" applyBorder="1"/>
    <xf numFmtId="0" fontId="8" fillId="3" borderId="2" xfId="1" applyFont="1" applyBorder="1" applyAlignment="1">
      <alignment horizontal="center" vertical="top"/>
    </xf>
    <xf numFmtId="0" fontId="8" fillId="3" borderId="1" xfId="1" applyFont="1" applyBorder="1" applyAlignment="1">
      <alignment horizontal="center" vertical="top"/>
    </xf>
    <xf numFmtId="0" fontId="8" fillId="3" borderId="3" xfId="1" applyFont="1" applyBorder="1" applyAlignment="1">
      <alignment horizontal="center" vertical="top"/>
    </xf>
    <xf numFmtId="0" fontId="8" fillId="3" borderId="2" xfId="1" applyFont="1" applyBorder="1" applyAlignment="1">
      <alignment horizontal="center" vertical="top"/>
    </xf>
    <xf numFmtId="0" fontId="3" fillId="3" borderId="3" xfId="1" applyFont="1" applyBorder="1"/>
    <xf numFmtId="0" fontId="17" fillId="3" borderId="4" xfId="1" applyBorder="1"/>
    <xf numFmtId="0" fontId="9" fillId="3" borderId="0" xfId="1" applyFont="1" applyAlignment="1">
      <alignment vertical="top"/>
    </xf>
    <xf numFmtId="0" fontId="9" fillId="3" borderId="0" xfId="1" applyFont="1" applyAlignment="1">
      <alignment horizontal="center" vertical="top"/>
    </xf>
    <xf numFmtId="0" fontId="10" fillId="3" borderId="9" xfId="1" applyFont="1" applyBorder="1" applyAlignment="1">
      <alignment horizontal="center" vertical="center" wrapText="1"/>
    </xf>
    <xf numFmtId="0" fontId="10" fillId="3" borderId="7" xfId="1" applyFont="1" applyBorder="1" applyAlignment="1">
      <alignment horizontal="center" vertical="center" wrapText="1"/>
    </xf>
    <xf numFmtId="0" fontId="10" fillId="3" borderId="10" xfId="1" applyFont="1" applyBorder="1" applyAlignment="1">
      <alignment horizontal="center" vertical="center" wrapText="1"/>
    </xf>
    <xf numFmtId="0" fontId="3" fillId="3" borderId="7" xfId="1" applyFont="1" applyBorder="1"/>
    <xf numFmtId="0" fontId="2" fillId="3" borderId="5" xfId="1" applyFont="1" applyBorder="1" applyAlignment="1">
      <alignment vertical="top"/>
    </xf>
    <xf numFmtId="0" fontId="9" fillId="3" borderId="8" xfId="1" applyFont="1" applyBorder="1" applyAlignment="1">
      <alignment vertical="top"/>
    </xf>
    <xf numFmtId="0" fontId="9" fillId="3" borderId="8" xfId="1" applyFont="1" applyBorder="1" applyAlignment="1">
      <alignment vertical="top" wrapText="1"/>
    </xf>
    <xf numFmtId="4" fontId="9" fillId="3" borderId="5" xfId="1" applyNumberFormat="1" applyFont="1" applyBorder="1" applyAlignment="1">
      <alignment horizontal="center"/>
    </xf>
    <xf numFmtId="4" fontId="9" fillId="3" borderId="6" xfId="1" applyNumberFormat="1" applyFont="1" applyBorder="1" applyAlignment="1">
      <alignment horizontal="center"/>
    </xf>
    <xf numFmtId="4" fontId="9" fillId="3" borderId="8" xfId="1" applyNumberFormat="1" applyFont="1" applyBorder="1" applyAlignment="1">
      <alignment horizontal="center"/>
    </xf>
    <xf numFmtId="0" fontId="3" fillId="3" borderId="6" xfId="1" applyFont="1" applyBorder="1" applyAlignment="1">
      <alignment vertical="top"/>
    </xf>
    <xf numFmtId="0" fontId="2" fillId="3" borderId="0" xfId="1" applyFont="1" applyAlignment="1">
      <alignment vertical="top"/>
    </xf>
    <xf numFmtId="0" fontId="13" fillId="3" borderId="0" xfId="1" applyFont="1" applyAlignment="1">
      <alignment horizontal="left" vertical="center" wrapText="1"/>
    </xf>
    <xf numFmtId="4" fontId="13" fillId="3" borderId="0" xfId="1" applyNumberFormat="1" applyFont="1" applyAlignment="1">
      <alignment horizontal="right" vertical="center"/>
    </xf>
    <xf numFmtId="0" fontId="11" fillId="3" borderId="0" xfId="1" applyFont="1" applyAlignment="1">
      <alignment horizontal="left" vertical="center" wrapText="1"/>
    </xf>
    <xf numFmtId="4" fontId="11" fillId="3" borderId="0" xfId="1" applyNumberFormat="1" applyFont="1" applyAlignment="1">
      <alignment horizontal="right" vertical="center"/>
    </xf>
    <xf numFmtId="0" fontId="2" fillId="3" borderId="0" xfId="1" applyFont="1" applyAlignment="1">
      <alignment vertical="top" wrapText="1"/>
    </xf>
    <xf numFmtId="4" fontId="11" fillId="4" borderId="0" xfId="1" applyNumberFormat="1" applyFont="1" applyFill="1" applyAlignment="1">
      <alignment horizontal="right" vertical="center"/>
    </xf>
    <xf numFmtId="0" fontId="10" fillId="3" borderId="0" xfId="1" applyFont="1" applyAlignment="1">
      <alignment horizontal="left" vertical="center"/>
    </xf>
    <xf numFmtId="4" fontId="2" fillId="3" borderId="0" xfId="1" applyNumberFormat="1" applyFont="1" applyAlignment="1">
      <alignment vertical="top"/>
    </xf>
  </cellXfs>
  <cellStyles count="2">
    <cellStyle name="Normal" xfId="0" builtinId="0"/>
    <cellStyle name="Normal 2" xfId="1" xr:uid="{6FE41B17-5E3C-40FC-A6B2-F7C93B0696B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2E2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9024</xdr:row>
      <xdr:rowOff>0</xdr:rowOff>
    </xdr:from>
    <xdr:to>
      <xdr:col>2</xdr:col>
      <xdr:colOff>1114425</xdr:colOff>
      <xdr:row>9030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ELABORO
__________________________________
L.C. BEATRIZ ADRIANA VILLA SOBERANIS
SECRETARIA DE ADMINISTRACION Y FINANZAS</a:t>
          </a:r>
        </a:p>
      </xdr:txBody>
    </xdr:sp>
    <xdr:clientData/>
  </xdr:twoCellAnchor>
  <xdr:twoCellAnchor>
    <xdr:from>
      <xdr:col>3</xdr:col>
      <xdr:colOff>438150</xdr:colOff>
      <xdr:row>9024</xdr:row>
      <xdr:rowOff>0</xdr:rowOff>
    </xdr:from>
    <xdr:to>
      <xdr:col>5</xdr:col>
      <xdr:colOff>438150</xdr:colOff>
      <xdr:row>9030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REVISO
__________________________________
MTRA. EDITH ABARCA HERNANDEZ
TITULAR DEL ORGANO DE CONTROL INTERNO MUNICIPAL</a:t>
          </a:r>
        </a:p>
      </xdr:txBody>
    </xdr:sp>
    <xdr:clientData/>
  </xdr:twoCellAnchor>
  <xdr:twoCellAnchor>
    <xdr:from>
      <xdr:col>6</xdr:col>
      <xdr:colOff>438150</xdr:colOff>
      <xdr:row>9024</xdr:row>
      <xdr:rowOff>0</xdr:rowOff>
    </xdr:from>
    <xdr:to>
      <xdr:col>8</xdr:col>
      <xdr:colOff>438150</xdr:colOff>
      <xdr:row>9030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 Bo.
__________________________________
C. LUIS ENRIQUE ABARCA ABARCA
SINDICO PROCURADOR</a:t>
          </a:r>
        </a:p>
      </xdr:txBody>
    </xdr:sp>
    <xdr:clientData/>
  </xdr:twoCellAnchor>
  <xdr:twoCellAnchor>
    <xdr:from>
      <xdr:col>3</xdr:col>
      <xdr:colOff>438150</xdr:colOff>
      <xdr:row>9033</xdr:row>
      <xdr:rowOff>0</xdr:rowOff>
    </xdr:from>
    <xdr:to>
      <xdr:col>5</xdr:col>
      <xdr:colOff>438150</xdr:colOff>
      <xdr:row>9039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AUTORIZO
__________________________________
LIC. ALBA IRIS SOBERANIS HERNANDEZ
PRESIDENTA MUNICIPAL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5E80F1F-76ED-43C6-886B-A5A09A9C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582C80EF-8E6D-4E30-9A1A-499953CB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675"/>
          <a:ext cx="885825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6471</xdr:row>
      <xdr:rowOff>0</xdr:rowOff>
    </xdr:from>
    <xdr:to>
      <xdr:col>2</xdr:col>
      <xdr:colOff>1114425</xdr:colOff>
      <xdr:row>6477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18154103-5CF0-4C72-A6FD-B8D932C176C8}"/>
            </a:ext>
          </a:extLst>
        </xdr:cNvPr>
        <xdr:cNvSpPr/>
      </xdr:nvSpPr>
      <xdr:spPr>
        <a:xfrm>
          <a:off x="485775" y="222468757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BEATRIZ ADRIANA VILLA SOBERANIS
SECRETARIA DE ADMINISTRACIÓN Y FINANZAS</a:t>
          </a:r>
        </a:p>
      </xdr:txBody>
    </xdr:sp>
    <xdr:clientData/>
  </xdr:twoCellAnchor>
  <xdr:twoCellAnchor>
    <xdr:from>
      <xdr:col>3</xdr:col>
      <xdr:colOff>438150</xdr:colOff>
      <xdr:row>6471</xdr:row>
      <xdr:rowOff>0</xdr:rowOff>
    </xdr:from>
    <xdr:to>
      <xdr:col>5</xdr:col>
      <xdr:colOff>438150</xdr:colOff>
      <xdr:row>6477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A05AAA9B-A3E9-49D0-98C9-AC5895480C0A}"/>
            </a:ext>
          </a:extLst>
        </xdr:cNvPr>
        <xdr:cNvSpPr/>
      </xdr:nvSpPr>
      <xdr:spPr>
        <a:xfrm>
          <a:off x="3114675" y="222468757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MTRA. EDITH ABARCA HERNANDEZ
TITULAR DEL ORGANO DE CONTROL INTERNO MUNICIPAL</a:t>
          </a:r>
        </a:p>
      </xdr:txBody>
    </xdr:sp>
    <xdr:clientData/>
  </xdr:twoCellAnchor>
  <xdr:twoCellAnchor>
    <xdr:from>
      <xdr:col>6</xdr:col>
      <xdr:colOff>438150</xdr:colOff>
      <xdr:row>6471</xdr:row>
      <xdr:rowOff>0</xdr:rowOff>
    </xdr:from>
    <xdr:to>
      <xdr:col>8</xdr:col>
      <xdr:colOff>438150</xdr:colOff>
      <xdr:row>6477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20B614A8-3F32-42D6-A6CD-2550F558A944}"/>
            </a:ext>
          </a:extLst>
        </xdr:cNvPr>
        <xdr:cNvSpPr/>
      </xdr:nvSpPr>
      <xdr:spPr>
        <a:xfrm>
          <a:off x="5772150" y="222468757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 Bo.
__________________________________
C. LUIS ENRIQUE ABARCA ABARCA
SINDICO PROCURADOR</a:t>
          </a:r>
        </a:p>
      </xdr:txBody>
    </xdr:sp>
    <xdr:clientData/>
  </xdr:twoCellAnchor>
  <xdr:twoCellAnchor>
    <xdr:from>
      <xdr:col>3</xdr:col>
      <xdr:colOff>438150</xdr:colOff>
      <xdr:row>6480</xdr:row>
      <xdr:rowOff>0</xdr:rowOff>
    </xdr:from>
    <xdr:to>
      <xdr:col>5</xdr:col>
      <xdr:colOff>438150</xdr:colOff>
      <xdr:row>6486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547DC57C-C2A5-498D-8A0A-F0263A8D020A}"/>
            </a:ext>
          </a:extLst>
        </xdr:cNvPr>
        <xdr:cNvSpPr/>
      </xdr:nvSpPr>
      <xdr:spPr>
        <a:xfrm>
          <a:off x="3114675" y="222597345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AUTORIZÓ
__________________________________
LIC. ALBA IRIS SOBERANIS HERNANDEZ
PRESIDENTA MUNICIPAL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A95B0E74-ECAE-40D9-A8D8-E29D8FDD8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5A17F9EC-4C46-49C8-8E1A-67975AF0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675"/>
          <a:ext cx="885825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549</xdr:row>
      <xdr:rowOff>0</xdr:rowOff>
    </xdr:from>
    <xdr:to>
      <xdr:col>2</xdr:col>
      <xdr:colOff>1114425</xdr:colOff>
      <xdr:row>555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10B5F32A-7A8C-41BF-85EF-2DB8F5353C94}"/>
            </a:ext>
          </a:extLst>
        </xdr:cNvPr>
        <xdr:cNvSpPr/>
      </xdr:nvSpPr>
      <xdr:spPr>
        <a:xfrm>
          <a:off x="485775" y="16776382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AUTORIZÓ
__________________________________
LIC. ALBA IRIS SOBERANIS HERNÁNDEZ
PRESIDENTA MUNICIPAL</a:t>
          </a:r>
        </a:p>
      </xdr:txBody>
    </xdr:sp>
    <xdr:clientData/>
  </xdr:twoCellAnchor>
  <xdr:twoCellAnchor>
    <xdr:from>
      <xdr:col>3</xdr:col>
      <xdr:colOff>438150</xdr:colOff>
      <xdr:row>549</xdr:row>
      <xdr:rowOff>0</xdr:rowOff>
    </xdr:from>
    <xdr:to>
      <xdr:col>5</xdr:col>
      <xdr:colOff>438150</xdr:colOff>
      <xdr:row>555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A4AE3E12-9AB4-401F-8E15-70ED9C790265}"/>
            </a:ext>
          </a:extLst>
        </xdr:cNvPr>
        <xdr:cNvSpPr/>
      </xdr:nvSpPr>
      <xdr:spPr>
        <a:xfrm>
          <a:off x="3114675" y="16776382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Vo.Bo.
__________________________________
C. LUIS ENRIQUE ABARCA ABARCA
SINDICO PROCURADOR</a:t>
          </a:r>
        </a:p>
      </xdr:txBody>
    </xdr:sp>
    <xdr:clientData/>
  </xdr:twoCellAnchor>
  <xdr:twoCellAnchor>
    <xdr:from>
      <xdr:col>6</xdr:col>
      <xdr:colOff>438150</xdr:colOff>
      <xdr:row>549</xdr:row>
      <xdr:rowOff>0</xdr:rowOff>
    </xdr:from>
    <xdr:to>
      <xdr:col>8</xdr:col>
      <xdr:colOff>438150</xdr:colOff>
      <xdr:row>555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85665553-D435-46E5-9E30-58EEC71E0EEE}"/>
            </a:ext>
          </a:extLst>
        </xdr:cNvPr>
        <xdr:cNvSpPr/>
      </xdr:nvSpPr>
      <xdr:spPr>
        <a:xfrm>
          <a:off x="5772150" y="16776382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BEATRIZ ADRIANA VILLA SOBERANIS
SECRETARIA DE ADMINISTRACIÓN Y FINANZAS</a:t>
          </a:r>
        </a:p>
      </xdr:txBody>
    </xdr:sp>
    <xdr:clientData/>
  </xdr:twoCellAnchor>
  <xdr:twoCellAnchor>
    <xdr:from>
      <xdr:col>3</xdr:col>
      <xdr:colOff>438150</xdr:colOff>
      <xdr:row>558</xdr:row>
      <xdr:rowOff>0</xdr:rowOff>
    </xdr:from>
    <xdr:to>
      <xdr:col>5</xdr:col>
      <xdr:colOff>438150</xdr:colOff>
      <xdr:row>564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48143346-CF88-4529-9E73-088716009859}"/>
            </a:ext>
          </a:extLst>
        </xdr:cNvPr>
        <xdr:cNvSpPr/>
      </xdr:nvSpPr>
      <xdr:spPr>
        <a:xfrm>
          <a:off x="3114675" y="1690497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MTRA. EDITH ABARCA HERNANDEZ
ENCARGADA DEL ORGANO DE CONTROL INTERNO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86681B4F-87EE-4709-8EDB-94FCE241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9DFBE531-5A9A-4C10-AF23-4E93AFD5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675"/>
          <a:ext cx="885825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1505</xdr:row>
      <xdr:rowOff>0</xdr:rowOff>
    </xdr:from>
    <xdr:to>
      <xdr:col>2</xdr:col>
      <xdr:colOff>1114425</xdr:colOff>
      <xdr:row>1511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36CACF37-E349-46A3-AAC6-4CC62DB46265}"/>
            </a:ext>
          </a:extLst>
        </xdr:cNvPr>
        <xdr:cNvSpPr/>
      </xdr:nvSpPr>
      <xdr:spPr>
        <a:xfrm>
          <a:off x="485775" y="43603545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AUTORIZÓ
__________________________________
LIC. ALBA IRIS SOBERANIS HERNANDEZ
PRESIDENTA MUNICIPAL</a:t>
          </a:r>
        </a:p>
      </xdr:txBody>
    </xdr:sp>
    <xdr:clientData/>
  </xdr:twoCellAnchor>
  <xdr:twoCellAnchor>
    <xdr:from>
      <xdr:col>3</xdr:col>
      <xdr:colOff>438150</xdr:colOff>
      <xdr:row>1505</xdr:row>
      <xdr:rowOff>0</xdr:rowOff>
    </xdr:from>
    <xdr:to>
      <xdr:col>5</xdr:col>
      <xdr:colOff>438150</xdr:colOff>
      <xdr:row>1511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AA03528A-1B27-4928-930C-019D7007F2D4}"/>
            </a:ext>
          </a:extLst>
        </xdr:cNvPr>
        <xdr:cNvSpPr/>
      </xdr:nvSpPr>
      <xdr:spPr>
        <a:xfrm>
          <a:off x="3114675" y="43603545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 Bo.
__________________________________
C. LUIS ENRIQUE ABARCA ABARCA
SINDICO PROCURADOR</a:t>
          </a:r>
        </a:p>
      </xdr:txBody>
    </xdr:sp>
    <xdr:clientData/>
  </xdr:twoCellAnchor>
  <xdr:twoCellAnchor>
    <xdr:from>
      <xdr:col>6</xdr:col>
      <xdr:colOff>438150</xdr:colOff>
      <xdr:row>1505</xdr:row>
      <xdr:rowOff>0</xdr:rowOff>
    </xdr:from>
    <xdr:to>
      <xdr:col>8</xdr:col>
      <xdr:colOff>438150</xdr:colOff>
      <xdr:row>1511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FDC0003E-C0C0-41E3-9538-468DF6B51728}"/>
            </a:ext>
          </a:extLst>
        </xdr:cNvPr>
        <xdr:cNvSpPr/>
      </xdr:nvSpPr>
      <xdr:spPr>
        <a:xfrm>
          <a:off x="5772150" y="43603545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BEATRIZ ADRIANA VILLA SOBERANIS
SECRETARIA DE ADMINISTRACIÓN Y FINANZAS</a:t>
          </a:r>
        </a:p>
      </xdr:txBody>
    </xdr:sp>
    <xdr:clientData/>
  </xdr:twoCellAnchor>
  <xdr:twoCellAnchor>
    <xdr:from>
      <xdr:col>3</xdr:col>
      <xdr:colOff>438150</xdr:colOff>
      <xdr:row>1514</xdr:row>
      <xdr:rowOff>0</xdr:rowOff>
    </xdr:from>
    <xdr:to>
      <xdr:col>5</xdr:col>
      <xdr:colOff>438150</xdr:colOff>
      <xdr:row>1520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8B2E6002-C013-40B7-B7A9-72DE22DB86F7}"/>
            </a:ext>
          </a:extLst>
        </xdr:cNvPr>
        <xdr:cNvSpPr/>
      </xdr:nvSpPr>
      <xdr:spPr>
        <a:xfrm>
          <a:off x="3114675" y="43732132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MTRA. EDITH ABARCA HERNANDEZ
TITULAR DEL ORGANO DE CONTROL INTERNO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C2365A8C-D742-493A-BE62-7A00E813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A46D6BAA-0BF2-4415-99D3-5504DC97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675"/>
          <a:ext cx="885825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1483</xdr:row>
      <xdr:rowOff>0</xdr:rowOff>
    </xdr:from>
    <xdr:to>
      <xdr:col>2</xdr:col>
      <xdr:colOff>1114425</xdr:colOff>
      <xdr:row>1489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F775394E-371D-40BF-9593-CEA213326EE7}"/>
            </a:ext>
          </a:extLst>
        </xdr:cNvPr>
        <xdr:cNvSpPr/>
      </xdr:nvSpPr>
      <xdr:spPr>
        <a:xfrm>
          <a:off x="485775" y="4681347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L.C. BEATRIZ ADRIANA VILLA SOBERANIS
SECRETARIA DE ADMINISTRACIÓN Y FINANZAS</a:t>
          </a:r>
        </a:p>
      </xdr:txBody>
    </xdr:sp>
    <xdr:clientData/>
  </xdr:twoCellAnchor>
  <xdr:twoCellAnchor>
    <xdr:from>
      <xdr:col>3</xdr:col>
      <xdr:colOff>438150</xdr:colOff>
      <xdr:row>1483</xdr:row>
      <xdr:rowOff>0</xdr:rowOff>
    </xdr:from>
    <xdr:to>
      <xdr:col>5</xdr:col>
      <xdr:colOff>438150</xdr:colOff>
      <xdr:row>1489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43658508-E338-4F14-ACB4-9F21E33084D3}"/>
            </a:ext>
          </a:extLst>
        </xdr:cNvPr>
        <xdr:cNvSpPr/>
      </xdr:nvSpPr>
      <xdr:spPr>
        <a:xfrm>
          <a:off x="3114675" y="4681347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MTRA. EDITH ABARCA HERNANDEZ
TITULAR DEL ORGANO DE CONTROL INTERNO MUNICIPAL</a:t>
          </a:r>
        </a:p>
      </xdr:txBody>
    </xdr:sp>
    <xdr:clientData/>
  </xdr:twoCellAnchor>
  <xdr:twoCellAnchor>
    <xdr:from>
      <xdr:col>6</xdr:col>
      <xdr:colOff>438150</xdr:colOff>
      <xdr:row>1483</xdr:row>
      <xdr:rowOff>0</xdr:rowOff>
    </xdr:from>
    <xdr:to>
      <xdr:col>8</xdr:col>
      <xdr:colOff>438150</xdr:colOff>
      <xdr:row>1489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3756DCBE-559A-4D98-BE06-C22ABF7E4120}"/>
            </a:ext>
          </a:extLst>
        </xdr:cNvPr>
        <xdr:cNvSpPr/>
      </xdr:nvSpPr>
      <xdr:spPr>
        <a:xfrm>
          <a:off x="5772150" y="4681347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 Bo.
__________________________________
C. LUIS ENRIQUE ABARCA ABARCA
SINDICO PROCURADOR</a:t>
          </a:r>
        </a:p>
      </xdr:txBody>
    </xdr:sp>
    <xdr:clientData/>
  </xdr:twoCellAnchor>
  <xdr:twoCellAnchor>
    <xdr:from>
      <xdr:col>3</xdr:col>
      <xdr:colOff>438150</xdr:colOff>
      <xdr:row>1492</xdr:row>
      <xdr:rowOff>0</xdr:rowOff>
    </xdr:from>
    <xdr:to>
      <xdr:col>5</xdr:col>
      <xdr:colOff>438150</xdr:colOff>
      <xdr:row>1498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E8E43547-B395-4C56-A0C4-72716B2ABCD6}"/>
            </a:ext>
          </a:extLst>
        </xdr:cNvPr>
        <xdr:cNvSpPr/>
      </xdr:nvSpPr>
      <xdr:spPr>
        <a:xfrm>
          <a:off x="3114675" y="46942057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AUTORIZÓ
__________________________________
LIC. ALBA IRIS SOBERANIS HERNANDEZ
PRESIDENTA MUNICIPAL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885825</xdr:colOff>
      <xdr:row>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F27DC46E-8227-449A-A4D6-65C6031C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6675"/>
          <a:ext cx="885825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4D5FD31D-9C34-4CE4-AE33-94B38CF4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66675"/>
          <a:ext cx="885825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438150</xdr:colOff>
      <xdr:row>354</xdr:row>
      <xdr:rowOff>0</xdr:rowOff>
    </xdr:from>
    <xdr:to>
      <xdr:col>2</xdr:col>
      <xdr:colOff>1114425</xdr:colOff>
      <xdr:row>360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71FEDA0E-36B1-4D5D-BCDB-C2C52D10D543}"/>
            </a:ext>
          </a:extLst>
        </xdr:cNvPr>
        <xdr:cNvSpPr/>
      </xdr:nvSpPr>
      <xdr:spPr>
        <a:xfrm>
          <a:off x="485775" y="990981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AUTORIZÓ:
__________________________________
LIC. ALBA IRIS SOBERANIS HERNÁNDEZ
PRESIDENTA MUNICIPAL</a:t>
          </a:r>
        </a:p>
      </xdr:txBody>
    </xdr:sp>
    <xdr:clientData/>
  </xdr:twoCellAnchor>
  <xdr:twoCellAnchor>
    <xdr:from>
      <xdr:col>3</xdr:col>
      <xdr:colOff>438150</xdr:colOff>
      <xdr:row>354</xdr:row>
      <xdr:rowOff>0</xdr:rowOff>
    </xdr:from>
    <xdr:to>
      <xdr:col>5</xdr:col>
      <xdr:colOff>438150</xdr:colOff>
      <xdr:row>360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CF453984-9BCF-486E-A5E2-6B23F9EBB523}"/>
            </a:ext>
          </a:extLst>
        </xdr:cNvPr>
        <xdr:cNvSpPr/>
      </xdr:nvSpPr>
      <xdr:spPr>
        <a:xfrm>
          <a:off x="3114675" y="990981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Vo.Bo.
__________________________________
C. LUIS ENRIQUE ABARCA ABARCA
SINDICO PROCURADOR</a:t>
          </a:r>
        </a:p>
      </xdr:txBody>
    </xdr:sp>
    <xdr:clientData/>
  </xdr:twoCellAnchor>
  <xdr:twoCellAnchor>
    <xdr:from>
      <xdr:col>6</xdr:col>
      <xdr:colOff>438150</xdr:colOff>
      <xdr:row>354</xdr:row>
      <xdr:rowOff>0</xdr:rowOff>
    </xdr:from>
    <xdr:to>
      <xdr:col>8</xdr:col>
      <xdr:colOff>438150</xdr:colOff>
      <xdr:row>360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B8867F36-3DA9-421F-9D5D-E3AF5B8D2320}"/>
            </a:ext>
          </a:extLst>
        </xdr:cNvPr>
        <xdr:cNvSpPr/>
      </xdr:nvSpPr>
      <xdr:spPr>
        <a:xfrm>
          <a:off x="5772150" y="99098100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ELABORO
__________________________________
L.C. BEATRIZ ADRIANA VILLA SOBERANIS
SECRETARIA DE ADMINISTRACIÓN Y FINANZAS</a:t>
          </a:r>
        </a:p>
      </xdr:txBody>
    </xdr:sp>
    <xdr:clientData/>
  </xdr:twoCellAnchor>
  <xdr:twoCellAnchor>
    <xdr:from>
      <xdr:col>3</xdr:col>
      <xdr:colOff>438150</xdr:colOff>
      <xdr:row>363</xdr:row>
      <xdr:rowOff>0</xdr:rowOff>
    </xdr:from>
    <xdr:to>
      <xdr:col>5</xdr:col>
      <xdr:colOff>438150</xdr:colOff>
      <xdr:row>369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5D2D6329-D194-49EC-9F55-5BDB5C514014}"/>
            </a:ext>
          </a:extLst>
        </xdr:cNvPr>
        <xdr:cNvSpPr/>
      </xdr:nvSpPr>
      <xdr:spPr>
        <a:xfrm>
          <a:off x="3114675" y="100383975"/>
          <a:ext cx="17716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MTRA. EDITH ABARCA HERNANDEZ
ENCARGADO DEL ORGANO DE CONTROL INTERNO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021"/>
  <sheetViews>
    <sheetView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6" customWidth="1" collapsed="1"/>
    <col min="2" max="2" width="16.42578125" style="4" customWidth="1" collapsed="1"/>
    <col min="3" max="3" width="23" style="8" customWidth="1" collapsed="1"/>
    <col min="4" max="6" width="13.28515625" style="7" customWidth="1" collapsed="1"/>
    <col min="7" max="7" width="13.28515625" style="4" customWidth="1" collapsed="1"/>
    <col min="8" max="8" width="13.28515625" style="8" customWidth="1" collapsed="1"/>
    <col min="9" max="9" width="13.28515625" style="7" customWidth="1" collapsed="1"/>
    <col min="10" max="10" width="0.7109375" style="6" customWidth="1" collapsed="1"/>
    <col min="11" max="11" width="13.7109375" style="6" hidden="1" customWidth="1" collapsed="1"/>
    <col min="12" max="13" width="0" style="6" hidden="1" customWidth="1" collapsed="1"/>
    <col min="14" max="16384" width="9.140625" style="6" collapsed="1"/>
  </cols>
  <sheetData>
    <row r="1" spans="1:12" s="5" customFormat="1" ht="5.25" customHeight="1" x14ac:dyDescent="0.2">
      <c r="A1" s="23"/>
      <c r="B1" s="24"/>
      <c r="C1" s="25"/>
      <c r="D1" s="26"/>
      <c r="E1" s="27"/>
      <c r="F1" s="27"/>
      <c r="G1" s="24"/>
      <c r="H1" s="25"/>
      <c r="I1" s="26"/>
      <c r="J1" s="23"/>
    </row>
    <row r="2" spans="1:12" s="2" customFormat="1" ht="13.5" customHeight="1" x14ac:dyDescent="0.2">
      <c r="A2" s="28"/>
      <c r="B2" s="38" t="s">
        <v>7</v>
      </c>
      <c r="C2" s="38"/>
      <c r="D2" s="38"/>
      <c r="E2" s="38"/>
      <c r="F2" s="38"/>
      <c r="G2" s="38"/>
      <c r="H2" s="38"/>
      <c r="I2" s="38"/>
      <c r="J2" s="28"/>
    </row>
    <row r="3" spans="1:12" s="1" customFormat="1" ht="13.5" customHeight="1" x14ac:dyDescent="0.2">
      <c r="A3" s="29"/>
      <c r="B3" s="39" t="s">
        <v>8</v>
      </c>
      <c r="C3" s="39"/>
      <c r="D3" s="39"/>
      <c r="E3" s="39"/>
      <c r="F3" s="39"/>
      <c r="G3" s="39"/>
      <c r="H3" s="39"/>
      <c r="I3" s="39"/>
      <c r="J3" s="29"/>
    </row>
    <row r="4" spans="1:12" s="1" customFormat="1" ht="13.5" customHeight="1" x14ac:dyDescent="0.2">
      <c r="A4" s="29"/>
      <c r="B4" s="37" t="s">
        <v>9</v>
      </c>
      <c r="C4" s="37"/>
      <c r="D4" s="37"/>
      <c r="E4" s="37"/>
      <c r="F4" s="37"/>
      <c r="G4" s="37"/>
      <c r="H4" s="37"/>
      <c r="I4" s="37"/>
      <c r="J4" s="29"/>
    </row>
    <row r="5" spans="1:12" s="1" customFormat="1" ht="13.5" customHeight="1" x14ac:dyDescent="0.2">
      <c r="A5" s="29"/>
      <c r="B5" s="37" t="s">
        <v>10</v>
      </c>
      <c r="C5" s="37"/>
      <c r="D5" s="37"/>
      <c r="E5" s="37"/>
      <c r="F5" s="37"/>
      <c r="G5" s="37"/>
      <c r="H5" s="37"/>
      <c r="I5" s="37"/>
      <c r="J5" s="29"/>
    </row>
    <row r="6" spans="1:12" s="2" customFormat="1" ht="13.5" customHeight="1" x14ac:dyDescent="0.2">
      <c r="A6" s="28"/>
      <c r="B6" s="40" t="s">
        <v>11</v>
      </c>
      <c r="C6" s="40"/>
      <c r="D6" s="40"/>
      <c r="E6" s="40"/>
      <c r="F6" s="40"/>
      <c r="G6" s="40"/>
      <c r="H6" s="40"/>
      <c r="I6" s="40"/>
      <c r="J6" s="28"/>
    </row>
    <row r="7" spans="1:12" s="2" customFormat="1" ht="13.5" customHeight="1" x14ac:dyDescent="0.2">
      <c r="A7" s="28"/>
      <c r="B7" s="37"/>
      <c r="C7" s="37"/>
      <c r="D7" s="37"/>
      <c r="E7" s="37"/>
      <c r="F7" s="37"/>
      <c r="G7" s="37"/>
      <c r="H7" s="37"/>
      <c r="I7" s="37"/>
      <c r="J7" s="28"/>
    </row>
    <row r="8" spans="1:12" s="2" customFormat="1" ht="8.25" customHeight="1" x14ac:dyDescent="0.2">
      <c r="A8" s="3"/>
      <c r="B8" s="9"/>
      <c r="C8" s="9"/>
      <c r="D8" s="9"/>
      <c r="E8" s="9"/>
      <c r="F8" s="9"/>
      <c r="G8" s="9"/>
      <c r="H8" s="9"/>
      <c r="I8" s="9"/>
      <c r="J8" s="3"/>
      <c r="K8" s="3"/>
      <c r="L8" s="3"/>
    </row>
    <row r="9" spans="1:12" s="2" customFormat="1" ht="12.75" x14ac:dyDescent="0.2">
      <c r="A9" s="10"/>
      <c r="B9" s="16"/>
      <c r="C9" s="16"/>
      <c r="D9" s="44" t="s">
        <v>6</v>
      </c>
      <c r="E9" s="45"/>
      <c r="F9" s="44" t="s">
        <v>5</v>
      </c>
      <c r="G9" s="45"/>
      <c r="H9" s="46" t="s">
        <v>4</v>
      </c>
      <c r="I9" s="46"/>
      <c r="J9" s="13"/>
      <c r="K9" s="3"/>
      <c r="L9" s="3"/>
    </row>
    <row r="10" spans="1:12" s="2" customFormat="1" ht="12.75" x14ac:dyDescent="0.2">
      <c r="A10" s="11"/>
      <c r="B10" s="17" t="s">
        <v>2</v>
      </c>
      <c r="C10" s="30" t="s">
        <v>3</v>
      </c>
      <c r="D10" s="41" t="s">
        <v>12</v>
      </c>
      <c r="E10" s="42"/>
      <c r="F10" s="41" t="s">
        <v>13</v>
      </c>
      <c r="G10" s="42"/>
      <c r="H10" s="43" t="s">
        <v>14</v>
      </c>
      <c r="I10" s="43"/>
      <c r="J10" s="15"/>
      <c r="K10" s="3"/>
    </row>
    <row r="11" spans="1:12" x14ac:dyDescent="0.15">
      <c r="A11" s="12"/>
      <c r="B11" s="18"/>
      <c r="C11" s="19"/>
      <c r="D11" s="20" t="s">
        <v>0</v>
      </c>
      <c r="E11" s="21" t="s">
        <v>1</v>
      </c>
      <c r="F11" s="20" t="s">
        <v>0</v>
      </c>
      <c r="G11" s="21" t="s">
        <v>1</v>
      </c>
      <c r="H11" s="22" t="s">
        <v>0</v>
      </c>
      <c r="I11" s="22" t="s">
        <v>1</v>
      </c>
      <c r="J11" s="14"/>
    </row>
    <row r="12" spans="1:12" ht="12.75" x14ac:dyDescent="0.2">
      <c r="B12" s="33" t="s">
        <v>15</v>
      </c>
      <c r="C12" s="33" t="s">
        <v>16</v>
      </c>
      <c r="D12" s="35">
        <f>SUMIFS(D13:D9015,K13:K9015,"0",B13:B9015,"1*")-SUMIFS(E13:E9015,K13:K9015,"0",B13:B9015,"1*")</f>
        <v>65753211.180000007</v>
      </c>
      <c r="E12"/>
      <c r="F12" s="35">
        <f>SUMIFS(F13:F9015,K13:K9015,"0",B13:B9015,"1*")</f>
        <v>828158519.56999993</v>
      </c>
      <c r="G12" s="35">
        <f>SUMIFS(G13:G9015,K13:K9015,"0",B13:B9015,"1*")</f>
        <v>739229725.55999994</v>
      </c>
      <c r="H12" s="35">
        <f t="shared" ref="H12:H75" si="0">D12 + F12 - G12</f>
        <v>154682005.19000006</v>
      </c>
      <c r="I12" s="35"/>
      <c r="K12" t="s">
        <v>15</v>
      </c>
    </row>
    <row r="13" spans="1:12" ht="12.75" x14ac:dyDescent="0.2">
      <c r="B13" s="33" t="s">
        <v>17</v>
      </c>
      <c r="C13" s="33" t="s">
        <v>18</v>
      </c>
      <c r="D13" s="35">
        <f>SUMIFS(D14:D9015,K14:K9015,"0",B14:B9015,"1 1*")-SUMIFS(E14:E9015,K14:K9015,"0",B14:B9015,"1 1*")</f>
        <v>16719082.919999996</v>
      </c>
      <c r="E13"/>
      <c r="F13" s="35">
        <f>SUMIFS(F14:F9015,K14:K9015,"0",B14:B9015,"1 1*")</f>
        <v>710214507.50999963</v>
      </c>
      <c r="G13" s="35">
        <f>SUMIFS(G14:G9015,K14:K9015,"0",B14:B9015,"1 1*")</f>
        <v>709293684.03999984</v>
      </c>
      <c r="H13" s="35">
        <f t="shared" si="0"/>
        <v>17639906.389999747</v>
      </c>
      <c r="I13" s="35"/>
      <c r="K13" t="s">
        <v>15</v>
      </c>
    </row>
    <row r="14" spans="1:12" ht="12.75" x14ac:dyDescent="0.2">
      <c r="B14" s="33" t="s">
        <v>19</v>
      </c>
      <c r="C14" s="33" t="s">
        <v>20</v>
      </c>
      <c r="D14" s="35">
        <f>SUMIFS(D15:D9015,K15:K9015,"0",B15:B9015,"1 1 1*")-SUMIFS(E15:E9015,K15:K9015,"0",B15:B9015,"1 1 1*")</f>
        <v>344016.97</v>
      </c>
      <c r="E14"/>
      <c r="F14" s="35">
        <f>SUMIFS(F15:F9015,K15:K9015,"0",B15:B9015,"1 1 1*")</f>
        <v>315045329.88999999</v>
      </c>
      <c r="G14" s="35">
        <f>SUMIFS(G15:G9015,K15:K9015,"0",B15:B9015,"1 1 1*")</f>
        <v>315078760.84000003</v>
      </c>
      <c r="H14" s="35">
        <f t="shared" si="0"/>
        <v>310586.01999998093</v>
      </c>
      <c r="I14" s="35"/>
      <c r="K14" t="s">
        <v>15</v>
      </c>
    </row>
    <row r="15" spans="1:12" ht="12.75" x14ac:dyDescent="0.2">
      <c r="B15" s="33" t="s">
        <v>21</v>
      </c>
      <c r="C15" s="33" t="s">
        <v>22</v>
      </c>
      <c r="D15" s="35">
        <f>SUMIFS(D16:D9015,K16:K9015,"0",B16:B9015,"1 1 1 1*")-SUMIFS(E16:E9015,K16:K9015,"0",B16:B9015,"1 1 1 1*")</f>
        <v>70376.929999999993</v>
      </c>
      <c r="E15"/>
      <c r="F15" s="35">
        <f>SUMIFS(F16:F9015,K16:K9015,"0",B16:B9015,"1 1 1 1*")</f>
        <v>4528325.51</v>
      </c>
      <c r="G15" s="35">
        <f>SUMIFS(G16:G9015,K16:K9015,"0",B16:B9015,"1 1 1 1*")</f>
        <v>4600449.28</v>
      </c>
      <c r="H15" s="35">
        <f t="shared" si="0"/>
        <v>-1746.8400000007823</v>
      </c>
      <c r="I15" s="35"/>
      <c r="K15" t="s">
        <v>15</v>
      </c>
    </row>
    <row r="16" spans="1:12" ht="12.75" x14ac:dyDescent="0.2">
      <c r="B16" s="33" t="s">
        <v>23</v>
      </c>
      <c r="C16" s="33" t="s">
        <v>24</v>
      </c>
      <c r="D16" s="35">
        <f>SUMIFS(D17:D9015,K17:K9015,"0",B17:B9015,"1 1 1 1 1*")-SUMIFS(E17:E9015,K17:K9015,"0",B17:B9015,"1 1 1 1 1*")</f>
        <v>70376.929999999993</v>
      </c>
      <c r="E16"/>
      <c r="F16" s="35">
        <f>SUMIFS(F17:F9015,K17:K9015,"0",B17:B9015,"1 1 1 1 1*")</f>
        <v>4528325.51</v>
      </c>
      <c r="G16" s="35">
        <f>SUMIFS(G17:G9015,K17:K9015,"0",B17:B9015,"1 1 1 1 1*")</f>
        <v>4600449.28</v>
      </c>
      <c r="H16" s="35">
        <f t="shared" si="0"/>
        <v>-1746.8400000007823</v>
      </c>
      <c r="I16" s="35"/>
      <c r="K16" t="s">
        <v>15</v>
      </c>
    </row>
    <row r="17" spans="2:11" ht="12.75" x14ac:dyDescent="0.2">
      <c r="B17" s="33" t="s">
        <v>25</v>
      </c>
      <c r="C17" s="33" t="s">
        <v>26</v>
      </c>
      <c r="D17" s="35">
        <f>SUMIFS(D18:D9015,K18:K9015,"0",B18:B9015,"1 1 1 1 1 12*")-SUMIFS(E18:E9015,K18:K9015,"0",B18:B9015,"1 1 1 1 1 12*")</f>
        <v>70376.929999999993</v>
      </c>
      <c r="E17"/>
      <c r="F17" s="35">
        <f>SUMIFS(F18:F9015,K18:K9015,"0",B18:B9015,"1 1 1 1 1 12*")</f>
        <v>4528325.51</v>
      </c>
      <c r="G17" s="35">
        <f>SUMIFS(G18:G9015,K18:K9015,"0",B18:B9015,"1 1 1 1 1 12*")</f>
        <v>4600449.28</v>
      </c>
      <c r="H17" s="35">
        <f t="shared" si="0"/>
        <v>-1746.8400000007823</v>
      </c>
      <c r="I17" s="35"/>
      <c r="K17" t="s">
        <v>15</v>
      </c>
    </row>
    <row r="18" spans="2:11" ht="16.5" x14ac:dyDescent="0.2">
      <c r="B18" s="33" t="s">
        <v>27</v>
      </c>
      <c r="C18" s="33" t="s">
        <v>28</v>
      </c>
      <c r="D18" s="35">
        <f>SUMIFS(D19:D9015,K19:K9015,"0",B19:B9015,"1 1 1 1 1 12 31111*")-SUMIFS(E19:E9015,K19:K9015,"0",B19:B9015,"1 1 1 1 1 12 31111*")</f>
        <v>70376.929999999993</v>
      </c>
      <c r="E18"/>
      <c r="F18" s="35">
        <f>SUMIFS(F19:F9015,K19:K9015,"0",B19:B9015,"1 1 1 1 1 12 31111*")</f>
        <v>4528325.51</v>
      </c>
      <c r="G18" s="35">
        <f>SUMIFS(G19:G9015,K19:K9015,"0",B19:B9015,"1 1 1 1 1 12 31111*")</f>
        <v>4600449.28</v>
      </c>
      <c r="H18" s="35">
        <f t="shared" si="0"/>
        <v>-1746.8400000007823</v>
      </c>
      <c r="I18" s="35"/>
      <c r="K18" t="s">
        <v>15</v>
      </c>
    </row>
    <row r="19" spans="2:11" ht="12.75" x14ac:dyDescent="0.2">
      <c r="B19" s="33" t="s">
        <v>29</v>
      </c>
      <c r="C19" s="33" t="s">
        <v>30</v>
      </c>
      <c r="D19" s="35">
        <f>SUMIFS(D20:D9015,K20:K9015,"0",B20:B9015,"1 1 1 1 1 12 31111 6*")-SUMIFS(E20:E9015,K20:K9015,"0",B20:B9015,"1 1 1 1 1 12 31111 6*")</f>
        <v>70376.929999999993</v>
      </c>
      <c r="E19"/>
      <c r="F19" s="35">
        <f>SUMIFS(F20:F9015,K20:K9015,"0",B20:B9015,"1 1 1 1 1 12 31111 6*")</f>
        <v>4528325.51</v>
      </c>
      <c r="G19" s="35">
        <f>SUMIFS(G20:G9015,K20:K9015,"0",B20:B9015,"1 1 1 1 1 12 31111 6*")</f>
        <v>4600449.28</v>
      </c>
      <c r="H19" s="35">
        <f t="shared" si="0"/>
        <v>-1746.8400000007823</v>
      </c>
      <c r="I19" s="35"/>
      <c r="K19" t="s">
        <v>15</v>
      </c>
    </row>
    <row r="20" spans="2:11" ht="12.75" x14ac:dyDescent="0.2">
      <c r="B20" s="33" t="s">
        <v>31</v>
      </c>
      <c r="C20" s="33" t="s">
        <v>32</v>
      </c>
      <c r="D20" s="35">
        <f>SUMIFS(D21:D9015,K21:K9015,"0",B21:B9015,"1 1 1 1 1 12 31111 6 M59*")-SUMIFS(E21:E9015,K21:K9015,"0",B21:B9015,"1 1 1 1 1 12 31111 6 M59*")</f>
        <v>70376.929999999993</v>
      </c>
      <c r="E20"/>
      <c r="F20" s="35">
        <f>SUMIFS(F21:F9015,K21:K9015,"0",B21:B9015,"1 1 1 1 1 12 31111 6 M59*")</f>
        <v>4528325.51</v>
      </c>
      <c r="G20" s="35">
        <f>SUMIFS(G21:G9015,K21:K9015,"0",B21:B9015,"1 1 1 1 1 12 31111 6 M59*")</f>
        <v>4600449.28</v>
      </c>
      <c r="H20" s="35">
        <f t="shared" si="0"/>
        <v>-1746.8400000007823</v>
      </c>
      <c r="I20" s="35"/>
      <c r="K20" t="s">
        <v>15</v>
      </c>
    </row>
    <row r="21" spans="2:11" ht="16.5" x14ac:dyDescent="0.2">
      <c r="B21" s="33" t="s">
        <v>33</v>
      </c>
      <c r="C21" s="33" t="s">
        <v>34</v>
      </c>
      <c r="D21" s="35">
        <f>SUMIFS(D22:D9015,K22:K9015,"0",B22:B9015,"1 1 1 1 1 12 31111 6 M59 00001*")-SUMIFS(E22:E9015,K22:K9015,"0",B22:B9015,"1 1 1 1 1 12 31111 6 M59 00001*")</f>
        <v>-34784</v>
      </c>
      <c r="E21"/>
      <c r="F21" s="35">
        <f>SUMIFS(F22:F9015,K22:K9015,"0",B22:B9015,"1 1 1 1 1 12 31111 6 M59 00001*")</f>
        <v>0</v>
      </c>
      <c r="G21" s="35">
        <f>SUMIFS(G22:G9015,K22:K9015,"0",B22:B9015,"1 1 1 1 1 12 31111 6 M59 00001*")</f>
        <v>0</v>
      </c>
      <c r="H21" s="35">
        <f t="shared" si="0"/>
        <v>-34784</v>
      </c>
      <c r="I21" s="35"/>
      <c r="K21" t="s">
        <v>15</v>
      </c>
    </row>
    <row r="22" spans="2:11" ht="16.5" x14ac:dyDescent="0.2">
      <c r="B22" s="33" t="s">
        <v>35</v>
      </c>
      <c r="C22" s="33" t="s">
        <v>36</v>
      </c>
      <c r="D22" s="35">
        <f>SUMIFS(D23:D9015,K23:K9015,"0",B23:B9015,"1 1 1 1 1 12 31111 6 M59 00001 000045*")-SUMIFS(E23:E9015,K23:K9015,"0",B23:B9015,"1 1 1 1 1 12 31111 6 M59 00001 000045*")</f>
        <v>-34784</v>
      </c>
      <c r="E22"/>
      <c r="F22" s="35">
        <f>SUMIFS(F23:F9015,K23:K9015,"0",B23:B9015,"1 1 1 1 1 12 31111 6 M59 00001 000045*")</f>
        <v>0</v>
      </c>
      <c r="G22" s="35">
        <f>SUMIFS(G23:G9015,K23:K9015,"0",B23:B9015,"1 1 1 1 1 12 31111 6 M59 00001 000045*")</f>
        <v>0</v>
      </c>
      <c r="H22" s="35">
        <f t="shared" si="0"/>
        <v>-34784</v>
      </c>
      <c r="I22" s="35"/>
      <c r="K22" t="s">
        <v>15</v>
      </c>
    </row>
    <row r="23" spans="2:11" ht="16.5" x14ac:dyDescent="0.2">
      <c r="B23" s="31" t="s">
        <v>37</v>
      </c>
      <c r="C23" s="31" t="s">
        <v>24</v>
      </c>
      <c r="D23" s="34">
        <v>-34784</v>
      </c>
      <c r="E23" s="34"/>
      <c r="F23" s="34">
        <v>0</v>
      </c>
      <c r="G23" s="34">
        <v>0</v>
      </c>
      <c r="H23" s="34">
        <f t="shared" si="0"/>
        <v>-34784</v>
      </c>
      <c r="I23" s="34"/>
      <c r="K23" t="s">
        <v>38</v>
      </c>
    </row>
    <row r="24" spans="2:11" ht="24.75" x14ac:dyDescent="0.2">
      <c r="B24" s="33" t="s">
        <v>39</v>
      </c>
      <c r="C24" s="33" t="s">
        <v>40</v>
      </c>
      <c r="D24" s="35">
        <f>SUMIFS(D25:D9015,K25:K9015,"0",B25:B9015,"1 1 1 1 1 12 31111 6 M59 00003*")-SUMIFS(E25:E9015,K25:K9015,"0",B25:B9015,"1 1 1 1 1 12 31111 6 M59 00003*")</f>
        <v>32302.35</v>
      </c>
      <c r="E24"/>
      <c r="F24" s="35">
        <f>SUMIFS(F25:F9015,K25:K9015,"0",B25:B9015,"1 1 1 1 1 12 31111 6 M59 00003*")</f>
        <v>0</v>
      </c>
      <c r="G24" s="35">
        <f>SUMIFS(G25:G9015,K25:K9015,"0",B25:B9015,"1 1 1 1 1 12 31111 6 M59 00003*")</f>
        <v>0</v>
      </c>
      <c r="H24" s="35">
        <f t="shared" si="0"/>
        <v>32302.35</v>
      </c>
      <c r="I24" s="35"/>
      <c r="K24" t="s">
        <v>15</v>
      </c>
    </row>
    <row r="25" spans="2:11" ht="16.5" x14ac:dyDescent="0.2">
      <c r="B25" s="33" t="s">
        <v>41</v>
      </c>
      <c r="C25" s="33" t="s">
        <v>42</v>
      </c>
      <c r="D25" s="35">
        <f>SUMIFS(D26:D9015,K26:K9015,"0",B26:B9015,"1 1 1 1 1 12 31111 6 M59 00003 000001*")-SUMIFS(E26:E9015,K26:K9015,"0",B26:B9015,"1 1 1 1 1 12 31111 6 M59 00003 000001*")</f>
        <v>32302.35</v>
      </c>
      <c r="E25"/>
      <c r="F25" s="35">
        <f>SUMIFS(F26:F9015,K26:K9015,"0",B26:B9015,"1 1 1 1 1 12 31111 6 M59 00003 000001*")</f>
        <v>0</v>
      </c>
      <c r="G25" s="35">
        <f>SUMIFS(G26:G9015,K26:K9015,"0",B26:B9015,"1 1 1 1 1 12 31111 6 M59 00003 000001*")</f>
        <v>0</v>
      </c>
      <c r="H25" s="35">
        <f t="shared" si="0"/>
        <v>32302.35</v>
      </c>
      <c r="I25" s="35"/>
      <c r="K25" t="s">
        <v>15</v>
      </c>
    </row>
    <row r="26" spans="2:11" ht="16.5" x14ac:dyDescent="0.2">
      <c r="B26" s="31" t="s">
        <v>43</v>
      </c>
      <c r="C26" s="31" t="s">
        <v>44</v>
      </c>
      <c r="D26" s="34">
        <v>32302.35</v>
      </c>
      <c r="E26" s="34"/>
      <c r="F26" s="34">
        <v>0</v>
      </c>
      <c r="G26" s="34">
        <v>0</v>
      </c>
      <c r="H26" s="34">
        <f t="shared" si="0"/>
        <v>32302.35</v>
      </c>
      <c r="I26" s="34"/>
      <c r="K26" t="s">
        <v>38</v>
      </c>
    </row>
    <row r="27" spans="2:11" ht="16.5" x14ac:dyDescent="0.2">
      <c r="B27" s="33" t="s">
        <v>45</v>
      </c>
      <c r="C27" s="33" t="s">
        <v>46</v>
      </c>
      <c r="D27" s="35">
        <f>SUMIFS(D28:D9015,K28:K9015,"0",B28:B9015,"1 1 1 1 1 12 31111 6 M59 00004*")-SUMIFS(E28:E9015,K28:K9015,"0",B28:B9015,"1 1 1 1 1 12 31111 6 M59 00004*")</f>
        <v>72858.58</v>
      </c>
      <c r="E27"/>
      <c r="F27" s="35">
        <f>SUMIFS(F28:F9015,K28:K9015,"0",B28:B9015,"1 1 1 1 1 12 31111 6 M59 00004*")</f>
        <v>4528325.51</v>
      </c>
      <c r="G27" s="35">
        <f>SUMIFS(G28:G9015,K28:K9015,"0",B28:B9015,"1 1 1 1 1 12 31111 6 M59 00004*")</f>
        <v>4600449.28</v>
      </c>
      <c r="H27" s="35">
        <f t="shared" si="0"/>
        <v>734.80999999959022</v>
      </c>
      <c r="I27" s="35"/>
      <c r="K27" t="s">
        <v>15</v>
      </c>
    </row>
    <row r="28" spans="2:11" ht="16.5" x14ac:dyDescent="0.2">
      <c r="B28" s="33" t="s">
        <v>47</v>
      </c>
      <c r="C28" s="33" t="s">
        <v>42</v>
      </c>
      <c r="D28" s="35">
        <f>SUMIFS(D29:D9015,K29:K9015,"0",B29:B9015,"1 1 1 1 1 12 31111 6 M59 00004 000001*")-SUMIFS(E29:E9015,K29:K9015,"0",B29:B9015,"1 1 1 1 1 12 31111 6 M59 00004 000001*")</f>
        <v>72858.58</v>
      </c>
      <c r="E28"/>
      <c r="F28" s="35">
        <f>SUMIFS(F29:F9015,K29:K9015,"0",B29:B9015,"1 1 1 1 1 12 31111 6 M59 00004 000001*")</f>
        <v>4528325.51</v>
      </c>
      <c r="G28" s="35">
        <f>SUMIFS(G29:G9015,K29:K9015,"0",B29:B9015,"1 1 1 1 1 12 31111 6 M59 00004 000001*")</f>
        <v>4600449.28</v>
      </c>
      <c r="H28" s="35">
        <f t="shared" si="0"/>
        <v>734.80999999959022</v>
      </c>
      <c r="I28" s="35"/>
      <c r="K28" t="s">
        <v>15</v>
      </c>
    </row>
    <row r="29" spans="2:11" ht="16.5" x14ac:dyDescent="0.2">
      <c r="B29" s="31" t="s">
        <v>48</v>
      </c>
      <c r="C29" s="31" t="s">
        <v>49</v>
      </c>
      <c r="D29" s="34">
        <v>72858.58</v>
      </c>
      <c r="E29" s="34"/>
      <c r="F29" s="34">
        <v>4528325.51</v>
      </c>
      <c r="G29" s="34">
        <v>4600449.28</v>
      </c>
      <c r="H29" s="34">
        <f t="shared" si="0"/>
        <v>734.80999999959022</v>
      </c>
      <c r="I29" s="34"/>
      <c r="K29" t="s">
        <v>38</v>
      </c>
    </row>
    <row r="30" spans="2:11" ht="12.75" x14ac:dyDescent="0.2">
      <c r="B30" s="33" t="s">
        <v>50</v>
      </c>
      <c r="C30" s="33" t="s">
        <v>51</v>
      </c>
      <c r="D30" s="35">
        <f>SUMIFS(D31:D9015,K31:K9015,"0",B31:B9015,"1 1 1 2*")-SUMIFS(E31:E9015,K31:K9015,"0",B31:B9015,"1 1 1 2*")</f>
        <v>273640.04000000004</v>
      </c>
      <c r="E30"/>
      <c r="F30" s="35">
        <f>SUMIFS(F31:F9015,K31:K9015,"0",B31:B9015,"1 1 1 2*")</f>
        <v>308886785.38</v>
      </c>
      <c r="G30" s="35">
        <f>SUMIFS(G31:G9015,K31:K9015,"0",B31:B9015,"1 1 1 2*")</f>
        <v>308848092.56</v>
      </c>
      <c r="H30" s="35">
        <f t="shared" si="0"/>
        <v>312332.86000001431</v>
      </c>
      <c r="I30" s="35"/>
      <c r="K30" t="s">
        <v>15</v>
      </c>
    </row>
    <row r="31" spans="2:11" ht="12.75" x14ac:dyDescent="0.2">
      <c r="B31" s="33" t="s">
        <v>52</v>
      </c>
      <c r="C31" s="33" t="s">
        <v>53</v>
      </c>
      <c r="D31" s="35">
        <f>SUMIFS(D32:D9015,K32:K9015,"0",B32:B9015,"1 1 1 2 1*")-SUMIFS(E32:E9015,K32:K9015,"0",B32:B9015,"1 1 1 2 1*")</f>
        <v>273640.04000000004</v>
      </c>
      <c r="E31"/>
      <c r="F31" s="35">
        <f>SUMIFS(F32:F9015,K32:K9015,"0",B32:B9015,"1 1 1 2 1*")</f>
        <v>308886785.38</v>
      </c>
      <c r="G31" s="35">
        <f>SUMIFS(G32:G9015,K32:K9015,"0",B32:B9015,"1 1 1 2 1*")</f>
        <v>308848092.56</v>
      </c>
      <c r="H31" s="35">
        <f t="shared" si="0"/>
        <v>312332.86000001431</v>
      </c>
      <c r="I31" s="35"/>
      <c r="K31" t="s">
        <v>15</v>
      </c>
    </row>
    <row r="32" spans="2:11" ht="12.75" x14ac:dyDescent="0.2">
      <c r="B32" s="33" t="s">
        <v>54</v>
      </c>
      <c r="C32" s="33" t="s">
        <v>26</v>
      </c>
      <c r="D32" s="35">
        <f>SUMIFS(D33:D9015,K33:K9015,"0",B33:B9015,"1 1 1 2 1 12*")-SUMIFS(E33:E9015,K33:K9015,"0",B33:B9015,"1 1 1 2 1 12*")</f>
        <v>273640.04000000004</v>
      </c>
      <c r="E32"/>
      <c r="F32" s="35">
        <f>SUMIFS(F33:F9015,K33:K9015,"0",B33:B9015,"1 1 1 2 1 12*")</f>
        <v>308886785.38</v>
      </c>
      <c r="G32" s="35">
        <f>SUMIFS(G33:G9015,K33:K9015,"0",B33:B9015,"1 1 1 2 1 12*")</f>
        <v>308848092.56</v>
      </c>
      <c r="H32" s="35">
        <f t="shared" si="0"/>
        <v>312332.86000001431</v>
      </c>
      <c r="I32" s="35"/>
      <c r="K32" t="s">
        <v>15</v>
      </c>
    </row>
    <row r="33" spans="2:11" ht="16.5" x14ac:dyDescent="0.2">
      <c r="B33" s="33" t="s">
        <v>55</v>
      </c>
      <c r="C33" s="33" t="s">
        <v>28</v>
      </c>
      <c r="D33" s="35">
        <f>SUMIFS(D34:D9015,K34:K9015,"0",B34:B9015,"1 1 1 2 1 12 31111*")-SUMIFS(E34:E9015,K34:K9015,"0",B34:B9015,"1 1 1 2 1 12 31111*")</f>
        <v>273640.04000000004</v>
      </c>
      <c r="E33"/>
      <c r="F33" s="35">
        <f>SUMIFS(F34:F9015,K34:K9015,"0",B34:B9015,"1 1 1 2 1 12 31111*")</f>
        <v>308886785.38</v>
      </c>
      <c r="G33" s="35">
        <f>SUMIFS(G34:G9015,K34:K9015,"0",B34:B9015,"1 1 1 2 1 12 31111*")</f>
        <v>308848092.56</v>
      </c>
      <c r="H33" s="35">
        <f t="shared" si="0"/>
        <v>312332.86000001431</v>
      </c>
      <c r="I33" s="35"/>
      <c r="K33" t="s">
        <v>15</v>
      </c>
    </row>
    <row r="34" spans="2:11" ht="12.75" x14ac:dyDescent="0.2">
      <c r="B34" s="33" t="s">
        <v>56</v>
      </c>
      <c r="C34" s="33" t="s">
        <v>30</v>
      </c>
      <c r="D34" s="35">
        <f>SUMIFS(D35:D9015,K35:K9015,"0",B35:B9015,"1 1 1 2 1 12 31111 6*")-SUMIFS(E35:E9015,K35:K9015,"0",B35:B9015,"1 1 1 2 1 12 31111 6*")</f>
        <v>273640.04000000004</v>
      </c>
      <c r="E34"/>
      <c r="F34" s="35">
        <f>SUMIFS(F35:F9015,K35:K9015,"0",B35:B9015,"1 1 1 2 1 12 31111 6*")</f>
        <v>308886785.38</v>
      </c>
      <c r="G34" s="35">
        <f>SUMIFS(G35:G9015,K35:K9015,"0",B35:B9015,"1 1 1 2 1 12 31111 6*")</f>
        <v>308848092.56</v>
      </c>
      <c r="H34" s="35">
        <f t="shared" si="0"/>
        <v>312332.86000001431</v>
      </c>
      <c r="I34" s="35"/>
      <c r="K34" t="s">
        <v>15</v>
      </c>
    </row>
    <row r="35" spans="2:11" ht="12.75" x14ac:dyDescent="0.2">
      <c r="B35" s="33" t="s">
        <v>57</v>
      </c>
      <c r="C35" s="33" t="s">
        <v>32</v>
      </c>
      <c r="D35" s="35">
        <f>SUMIFS(D36:D9015,K36:K9015,"0",B36:B9015,"1 1 1 2 1 12 31111 6 M59*")-SUMIFS(E36:E9015,K36:K9015,"0",B36:B9015,"1 1 1 2 1 12 31111 6 M59*")</f>
        <v>273640.04000000004</v>
      </c>
      <c r="E35"/>
      <c r="F35" s="35">
        <f>SUMIFS(F36:F9015,K36:K9015,"0",B36:B9015,"1 1 1 2 1 12 31111 6 M59*")</f>
        <v>308886785.38</v>
      </c>
      <c r="G35" s="35">
        <f>SUMIFS(G36:G9015,K36:K9015,"0",B36:B9015,"1 1 1 2 1 12 31111 6 M59*")</f>
        <v>308848092.56</v>
      </c>
      <c r="H35" s="35">
        <f t="shared" si="0"/>
        <v>312332.86000001431</v>
      </c>
      <c r="I35" s="35"/>
      <c r="K35" t="s">
        <v>15</v>
      </c>
    </row>
    <row r="36" spans="2:11" ht="16.5" x14ac:dyDescent="0.2">
      <c r="B36" s="33" t="s">
        <v>58</v>
      </c>
      <c r="C36" s="33" t="s">
        <v>34</v>
      </c>
      <c r="D36" s="35">
        <f>SUMIFS(D37:D9015,K37:K9015,"0",B37:B9015,"1 1 1 2 1 12 31111 6 M59 00001*")-SUMIFS(E37:E9015,K37:K9015,"0",B37:B9015,"1 1 1 2 1 12 31111 6 M59 00001*")</f>
        <v>79839.67</v>
      </c>
      <c r="E36"/>
      <c r="F36" s="35">
        <f>SUMIFS(F37:F9015,K37:K9015,"0",B37:B9015,"1 1 1 2 1 12 31111 6 M59 00001*")</f>
        <v>112895744.41000001</v>
      </c>
      <c r="G36" s="35">
        <f>SUMIFS(G37:G9015,K37:K9015,"0",B37:B9015,"1 1 1 2 1 12 31111 6 M59 00001*")</f>
        <v>112949546.18000001</v>
      </c>
      <c r="H36" s="35">
        <f t="shared" si="0"/>
        <v>26037.90000000596</v>
      </c>
      <c r="I36" s="35"/>
      <c r="K36" t="s">
        <v>15</v>
      </c>
    </row>
    <row r="37" spans="2:11" ht="16.5" x14ac:dyDescent="0.2">
      <c r="B37" s="31" t="s">
        <v>59</v>
      </c>
      <c r="C37" s="31" t="s">
        <v>60</v>
      </c>
      <c r="D37" s="34">
        <v>884.3</v>
      </c>
      <c r="E37" s="34"/>
      <c r="F37" s="34">
        <v>0</v>
      </c>
      <c r="G37" s="34">
        <v>0</v>
      </c>
      <c r="H37" s="34">
        <f t="shared" si="0"/>
        <v>884.3</v>
      </c>
      <c r="I37" s="34"/>
      <c r="K37" t="s">
        <v>38</v>
      </c>
    </row>
    <row r="38" spans="2:11" ht="16.5" x14ac:dyDescent="0.2">
      <c r="B38" s="31" t="s">
        <v>61</v>
      </c>
      <c r="C38" s="31" t="s">
        <v>62</v>
      </c>
      <c r="D38" s="34">
        <v>562.66999999999996</v>
      </c>
      <c r="E38" s="34"/>
      <c r="F38" s="34">
        <v>0</v>
      </c>
      <c r="G38" s="34">
        <v>0</v>
      </c>
      <c r="H38" s="34">
        <f t="shared" si="0"/>
        <v>562.66999999999996</v>
      </c>
      <c r="I38" s="34"/>
      <c r="K38" t="s">
        <v>38</v>
      </c>
    </row>
    <row r="39" spans="2:11" ht="16.5" x14ac:dyDescent="0.2">
      <c r="B39" s="31" t="s">
        <v>63</v>
      </c>
      <c r="C39" s="31" t="s">
        <v>64</v>
      </c>
      <c r="D39" s="34">
        <v>0</v>
      </c>
      <c r="E39" s="34"/>
      <c r="F39" s="34">
        <v>112768450.68000001</v>
      </c>
      <c r="G39" s="34">
        <v>112768450.68000001</v>
      </c>
      <c r="H39" s="34">
        <f t="shared" si="0"/>
        <v>0</v>
      </c>
      <c r="I39" s="34"/>
      <c r="K39" t="s">
        <v>38</v>
      </c>
    </row>
    <row r="40" spans="2:11" ht="16.5" x14ac:dyDescent="0.2">
      <c r="B40" s="33" t="s">
        <v>65</v>
      </c>
      <c r="C40" s="33" t="s">
        <v>36</v>
      </c>
      <c r="D40" s="35">
        <f>SUMIFS(D41:D9015,K41:K9015,"0",B41:B9015,"1 1 1 2 1 12 31111 6 M59 00001 000045*")-SUMIFS(E41:E9015,K41:K9015,"0",B41:B9015,"1 1 1 2 1 12 31111 6 M59 00001 000045*")</f>
        <v>78267.7</v>
      </c>
      <c r="E40"/>
      <c r="F40" s="35">
        <f>SUMIFS(F41:F9015,K41:K9015,"0",B41:B9015,"1 1 1 2 1 12 31111 6 M59 00001 000045*")</f>
        <v>127293.73</v>
      </c>
      <c r="G40" s="35">
        <f>SUMIFS(G41:G9015,K41:K9015,"0",B41:B9015,"1 1 1 2 1 12 31111 6 M59 00001 000045*")</f>
        <v>181095.5</v>
      </c>
      <c r="H40" s="35">
        <f t="shared" si="0"/>
        <v>24465.929999999993</v>
      </c>
      <c r="I40" s="35"/>
      <c r="K40" t="s">
        <v>15</v>
      </c>
    </row>
    <row r="41" spans="2:11" ht="16.5" x14ac:dyDescent="0.2">
      <c r="B41" s="31" t="s">
        <v>66</v>
      </c>
      <c r="C41" s="31" t="s">
        <v>67</v>
      </c>
      <c r="D41" s="34">
        <v>78267.7</v>
      </c>
      <c r="E41" s="34"/>
      <c r="F41" s="34">
        <v>127293.73</v>
      </c>
      <c r="G41" s="34">
        <v>181095.5</v>
      </c>
      <c r="H41" s="34">
        <f t="shared" si="0"/>
        <v>24465.929999999993</v>
      </c>
      <c r="I41" s="34"/>
      <c r="K41" t="s">
        <v>38</v>
      </c>
    </row>
    <row r="42" spans="2:11" ht="33" x14ac:dyDescent="0.2">
      <c r="B42" s="33" t="s">
        <v>68</v>
      </c>
      <c r="C42" s="33" t="s">
        <v>69</v>
      </c>
      <c r="D42" s="35">
        <f>SUMIFS(D43:D9015,K43:K9015,"0",B43:B9015,"1 1 1 2 1 12 31111 6 M59 00001 000107*")-SUMIFS(E43:E9015,K43:K9015,"0",B43:B9015,"1 1 1 2 1 12 31111 6 M59 00001 000107*")</f>
        <v>125</v>
      </c>
      <c r="E42"/>
      <c r="F42" s="35">
        <f>SUMIFS(F43:F9015,K43:K9015,"0",B43:B9015,"1 1 1 2 1 12 31111 6 M59 00001 000107*")</f>
        <v>0</v>
      </c>
      <c r="G42" s="35">
        <f>SUMIFS(G43:G9015,K43:K9015,"0",B43:B9015,"1 1 1 2 1 12 31111 6 M59 00001 000107*")</f>
        <v>0</v>
      </c>
      <c r="H42" s="35">
        <f t="shared" si="0"/>
        <v>125</v>
      </c>
      <c r="I42" s="35"/>
      <c r="K42" t="s">
        <v>15</v>
      </c>
    </row>
    <row r="43" spans="2:11" ht="16.5" x14ac:dyDescent="0.2">
      <c r="B43" s="31" t="s">
        <v>70</v>
      </c>
      <c r="C43" s="31" t="s">
        <v>71</v>
      </c>
      <c r="D43" s="34">
        <v>125</v>
      </c>
      <c r="E43" s="34"/>
      <c r="F43" s="34">
        <v>0</v>
      </c>
      <c r="G43" s="34">
        <v>0</v>
      </c>
      <c r="H43" s="34">
        <f t="shared" si="0"/>
        <v>125</v>
      </c>
      <c r="I43" s="34"/>
      <c r="K43" t="s">
        <v>38</v>
      </c>
    </row>
    <row r="44" spans="2:11" ht="24.75" x14ac:dyDescent="0.2">
      <c r="B44" s="33" t="s">
        <v>72</v>
      </c>
      <c r="C44" s="33" t="s">
        <v>73</v>
      </c>
      <c r="D44" s="35">
        <f>SUMIFS(D45:D9015,K45:K9015,"0",B45:B9015,"1 1 1 2 1 12 31111 6 M59 00002*")-SUMIFS(E45:E9015,K45:K9015,"0",B45:B9015,"1 1 1 2 1 12 31111 6 M59 00002*")</f>
        <v>10534.1</v>
      </c>
      <c r="E44"/>
      <c r="F44" s="35">
        <f>SUMIFS(F45:F9015,K45:K9015,"0",B45:B9015,"1 1 1 2 1 12 31111 6 M59 00002*")</f>
        <v>109204305.23</v>
      </c>
      <c r="G44" s="35">
        <f>SUMIFS(G45:G9015,K45:K9015,"0",B45:B9015,"1 1 1 2 1 12 31111 6 M59 00002*")</f>
        <v>109113266.76000001</v>
      </c>
      <c r="H44" s="35">
        <f t="shared" si="0"/>
        <v>101572.56999999285</v>
      </c>
      <c r="I44" s="35"/>
      <c r="K44" t="s">
        <v>15</v>
      </c>
    </row>
    <row r="45" spans="2:11" ht="16.5" x14ac:dyDescent="0.2">
      <c r="B45" s="33" t="s">
        <v>74</v>
      </c>
      <c r="C45" s="33" t="s">
        <v>75</v>
      </c>
      <c r="D45" s="35">
        <f>SUMIFS(D46:D9015,K46:K9015,"0",B46:B9015,"1 1 1 2 1 12 31111 6 M59 00002 000001*")-SUMIFS(E46:E9015,K46:K9015,"0",B46:B9015,"1 1 1 2 1 12 31111 6 M59 00002 000001*")</f>
        <v>10534.1</v>
      </c>
      <c r="E45"/>
      <c r="F45" s="35">
        <f>SUMIFS(F46:F9015,K46:K9015,"0",B46:B9015,"1 1 1 2 1 12 31111 6 M59 00002 000001*")</f>
        <v>0</v>
      </c>
      <c r="G45" s="35">
        <f>SUMIFS(G46:G9015,K46:K9015,"0",B46:B9015,"1 1 1 2 1 12 31111 6 M59 00002 000001*")</f>
        <v>0</v>
      </c>
      <c r="H45" s="35">
        <f t="shared" si="0"/>
        <v>10534.1</v>
      </c>
      <c r="I45" s="35"/>
      <c r="K45" t="s">
        <v>15</v>
      </c>
    </row>
    <row r="46" spans="2:11" ht="16.5" x14ac:dyDescent="0.2">
      <c r="B46" s="31" t="s">
        <v>76</v>
      </c>
      <c r="C46" s="31" t="s">
        <v>77</v>
      </c>
      <c r="D46" s="34">
        <v>10534.1</v>
      </c>
      <c r="E46" s="34"/>
      <c r="F46" s="34">
        <v>0</v>
      </c>
      <c r="G46" s="34">
        <v>0</v>
      </c>
      <c r="H46" s="34">
        <f t="shared" si="0"/>
        <v>10534.1</v>
      </c>
      <c r="I46" s="34"/>
      <c r="K46" t="s">
        <v>38</v>
      </c>
    </row>
    <row r="47" spans="2:11" ht="16.5" x14ac:dyDescent="0.2">
      <c r="B47" s="33" t="s">
        <v>78</v>
      </c>
      <c r="C47" s="33" t="s">
        <v>79</v>
      </c>
      <c r="D47" s="35">
        <f>SUMIFS(D48:D9015,K48:K9015,"0",B48:B9015,"1 1 1 2 1 12 31111 6 M59 00002 000004*")-SUMIFS(E48:E9015,K48:K9015,"0",B48:B9015,"1 1 1 2 1 12 31111 6 M59 00002 000004*")</f>
        <v>0</v>
      </c>
      <c r="E47"/>
      <c r="F47" s="35">
        <f>SUMIFS(F48:F9015,K48:K9015,"0",B48:B9015,"1 1 1 2 1 12 31111 6 M59 00002 000004*")</f>
        <v>109204305.23</v>
      </c>
      <c r="G47" s="35">
        <f>SUMIFS(G48:G9015,K48:K9015,"0",B48:B9015,"1 1 1 2 1 12 31111 6 M59 00002 000004*")</f>
        <v>109113266.76000001</v>
      </c>
      <c r="H47" s="35">
        <f t="shared" si="0"/>
        <v>91038.469999998808</v>
      </c>
      <c r="I47" s="35"/>
      <c r="K47" t="s">
        <v>15</v>
      </c>
    </row>
    <row r="48" spans="2:11" ht="16.5" x14ac:dyDescent="0.2">
      <c r="B48" s="31" t="s">
        <v>80</v>
      </c>
      <c r="C48" s="31" t="s">
        <v>81</v>
      </c>
      <c r="D48" s="34">
        <v>0</v>
      </c>
      <c r="E48" s="34"/>
      <c r="F48" s="34">
        <v>109204305.23</v>
      </c>
      <c r="G48" s="34">
        <v>109113266.76000001</v>
      </c>
      <c r="H48" s="34">
        <f t="shared" si="0"/>
        <v>91038.469999998808</v>
      </c>
      <c r="I48" s="34"/>
      <c r="K48" t="s">
        <v>38</v>
      </c>
    </row>
    <row r="49" spans="2:11" ht="16.5" x14ac:dyDescent="0.2">
      <c r="B49" s="33" t="s">
        <v>82</v>
      </c>
      <c r="C49" s="33" t="s">
        <v>83</v>
      </c>
      <c r="D49" s="35">
        <f>SUMIFS(D50:D9015,K50:K9015,"0",B50:B9015,"1 1 1 2 1 12 31111 6 M59 00003*")-SUMIFS(E50:E9015,K50:K9015,"0",B50:B9015,"1 1 1 2 1 12 31111 6 M59 00003*")</f>
        <v>0</v>
      </c>
      <c r="E49"/>
      <c r="F49" s="35">
        <f>SUMIFS(F50:F9015,K50:K9015,"0",B50:B9015,"1 1 1 2 1 12 31111 6 M59 00003*")</f>
        <v>66076658.770000003</v>
      </c>
      <c r="G49" s="35">
        <f>SUMIFS(G50:G9015,K50:K9015,"0",B50:B9015,"1 1 1 2 1 12 31111 6 M59 00003*")</f>
        <v>66076658.770000003</v>
      </c>
      <c r="H49" s="35">
        <f t="shared" si="0"/>
        <v>0</v>
      </c>
      <c r="I49" s="35"/>
      <c r="K49" t="s">
        <v>15</v>
      </c>
    </row>
    <row r="50" spans="2:11" ht="16.5" x14ac:dyDescent="0.2">
      <c r="B50" s="33" t="s">
        <v>84</v>
      </c>
      <c r="C50" s="33" t="s">
        <v>85</v>
      </c>
      <c r="D50" s="35">
        <f>SUMIFS(D51:D9015,K51:K9015,"0",B51:B9015,"1 1 1 2 1 12 31111 6 M59 00003 000004*")-SUMIFS(E51:E9015,K51:K9015,"0",B51:B9015,"1 1 1 2 1 12 31111 6 M59 00003 000004*")</f>
        <v>0</v>
      </c>
      <c r="E50"/>
      <c r="F50" s="35">
        <f>SUMIFS(F51:F9015,K51:K9015,"0",B51:B9015,"1 1 1 2 1 12 31111 6 M59 00003 000004*")</f>
        <v>66076658.770000003</v>
      </c>
      <c r="G50" s="35">
        <f>SUMIFS(G51:G9015,K51:K9015,"0",B51:B9015,"1 1 1 2 1 12 31111 6 M59 00003 000004*")</f>
        <v>66076658.770000003</v>
      </c>
      <c r="H50" s="35">
        <f t="shared" si="0"/>
        <v>0</v>
      </c>
      <c r="I50" s="35"/>
      <c r="K50" t="s">
        <v>15</v>
      </c>
    </row>
    <row r="51" spans="2:11" ht="16.5" x14ac:dyDescent="0.2">
      <c r="B51" s="31" t="s">
        <v>86</v>
      </c>
      <c r="C51" s="31" t="s">
        <v>87</v>
      </c>
      <c r="D51" s="34">
        <v>0</v>
      </c>
      <c r="E51" s="34"/>
      <c r="F51" s="34">
        <v>575000</v>
      </c>
      <c r="G51" s="34">
        <v>575000</v>
      </c>
      <c r="H51" s="34">
        <f t="shared" si="0"/>
        <v>0</v>
      </c>
      <c r="I51" s="34"/>
      <c r="K51" t="s">
        <v>38</v>
      </c>
    </row>
    <row r="52" spans="2:11" ht="16.5" x14ac:dyDescent="0.2">
      <c r="B52" s="31" t="s">
        <v>88</v>
      </c>
      <c r="C52" s="31" t="s">
        <v>89</v>
      </c>
      <c r="D52" s="34">
        <v>0</v>
      </c>
      <c r="E52" s="34"/>
      <c r="F52" s="34">
        <v>65501658.770000003</v>
      </c>
      <c r="G52" s="34">
        <v>65501658.770000003</v>
      </c>
      <c r="H52" s="34">
        <f t="shared" si="0"/>
        <v>0</v>
      </c>
      <c r="I52" s="34"/>
      <c r="K52" t="s">
        <v>38</v>
      </c>
    </row>
    <row r="53" spans="2:11" ht="24.75" x14ac:dyDescent="0.2">
      <c r="B53" s="33" t="s">
        <v>90</v>
      </c>
      <c r="C53" s="33" t="s">
        <v>91</v>
      </c>
      <c r="D53" s="35">
        <f>SUMIFS(D54:D9015,K54:K9015,"0",B54:B9015,"1 1 1 2 1 12 31111 6 M59 00004*")-SUMIFS(E54:E9015,K54:K9015,"0",B54:B9015,"1 1 1 2 1 12 31111 6 M59 00004*")</f>
        <v>183266.27000000002</v>
      </c>
      <c r="E53"/>
      <c r="F53" s="35">
        <f>SUMIFS(F54:F9015,K54:K9015,"0",B54:B9015,"1 1 1 2 1 12 31111 6 M59 00004*")</f>
        <v>14190567.91</v>
      </c>
      <c r="G53" s="35">
        <f>SUMIFS(G54:G9015,K54:K9015,"0",B54:B9015,"1 1 1 2 1 12 31111 6 M59 00004*")</f>
        <v>14189111.789999999</v>
      </c>
      <c r="H53" s="35">
        <f t="shared" si="0"/>
        <v>184722.3900000006</v>
      </c>
      <c r="I53" s="35"/>
      <c r="K53" t="s">
        <v>15</v>
      </c>
    </row>
    <row r="54" spans="2:11" ht="16.5" x14ac:dyDescent="0.2">
      <c r="B54" s="33" t="s">
        <v>92</v>
      </c>
      <c r="C54" s="33" t="s">
        <v>53</v>
      </c>
      <c r="D54" s="35">
        <f>SUMIFS(D55:D9015,K55:K9015,"0",B55:B9015,"1 1 1 2 1 12 31111 6 M59 00004 000001*")-SUMIFS(E55:E9015,K55:K9015,"0",B55:B9015,"1 1 1 2 1 12 31111 6 M59 00004 000001*")</f>
        <v>183266.27000000002</v>
      </c>
      <c r="E54"/>
      <c r="F54" s="35">
        <f>SUMIFS(F55:F9015,K55:K9015,"0",B55:B9015,"1 1 1 2 1 12 31111 6 M59 00004 000001*")</f>
        <v>14166973.34</v>
      </c>
      <c r="G54" s="35">
        <f>SUMIFS(G55:G9015,K55:K9015,"0",B55:B9015,"1 1 1 2 1 12 31111 6 M59 00004 000001*")</f>
        <v>14189111.789999999</v>
      </c>
      <c r="H54" s="35">
        <f t="shared" si="0"/>
        <v>161127.8200000003</v>
      </c>
      <c r="I54" s="35"/>
      <c r="K54" t="s">
        <v>15</v>
      </c>
    </row>
    <row r="55" spans="2:11" ht="16.5" x14ac:dyDescent="0.2">
      <c r="B55" s="31" t="s">
        <v>93</v>
      </c>
      <c r="C55" s="31" t="s">
        <v>94</v>
      </c>
      <c r="D55" s="34">
        <v>6640.87</v>
      </c>
      <c r="E55" s="34"/>
      <c r="F55" s="34">
        <v>55281.440000000002</v>
      </c>
      <c r="G55" s="34">
        <v>6640.87</v>
      </c>
      <c r="H55" s="34">
        <f t="shared" si="0"/>
        <v>55281.440000000002</v>
      </c>
      <c r="I55" s="34"/>
      <c r="K55" t="s">
        <v>38</v>
      </c>
    </row>
    <row r="56" spans="2:11" ht="16.5" x14ac:dyDescent="0.2">
      <c r="B56" s="31" t="s">
        <v>95</v>
      </c>
      <c r="C56" s="31" t="s">
        <v>96</v>
      </c>
      <c r="D56" s="34">
        <v>0.27</v>
      </c>
      <c r="E56" s="34"/>
      <c r="F56" s="34">
        <v>0.27</v>
      </c>
      <c r="G56" s="34">
        <v>0.54</v>
      </c>
      <c r="H56" s="34">
        <f t="shared" si="0"/>
        <v>0</v>
      </c>
      <c r="I56" s="34"/>
      <c r="K56" t="s">
        <v>38</v>
      </c>
    </row>
    <row r="57" spans="2:11" ht="16.5" x14ac:dyDescent="0.2">
      <c r="B57" s="31" t="s">
        <v>97</v>
      </c>
      <c r="C57" s="31" t="s">
        <v>98</v>
      </c>
      <c r="D57" s="34">
        <v>1791.66</v>
      </c>
      <c r="E57" s="34"/>
      <c r="F57" s="34">
        <v>8029330.2599999998</v>
      </c>
      <c r="G57" s="34">
        <v>8031121.9199999999</v>
      </c>
      <c r="H57" s="34">
        <f t="shared" si="0"/>
        <v>0</v>
      </c>
      <c r="I57" s="34"/>
      <c r="K57" t="s">
        <v>38</v>
      </c>
    </row>
    <row r="58" spans="2:11" ht="16.5" x14ac:dyDescent="0.2">
      <c r="B58" s="31" t="s">
        <v>99</v>
      </c>
      <c r="C58" s="31" t="s">
        <v>100</v>
      </c>
      <c r="D58" s="34">
        <v>807.77</v>
      </c>
      <c r="E58" s="34"/>
      <c r="F58" s="34">
        <v>807.86</v>
      </c>
      <c r="G58" s="34">
        <v>1615.75</v>
      </c>
      <c r="H58" s="34">
        <f t="shared" si="0"/>
        <v>-0.11999999999989086</v>
      </c>
      <c r="I58" s="34"/>
      <c r="K58" t="s">
        <v>38</v>
      </c>
    </row>
    <row r="59" spans="2:11" ht="16.5" x14ac:dyDescent="0.2">
      <c r="B59" s="31" t="s">
        <v>101</v>
      </c>
      <c r="C59" s="31" t="s">
        <v>102</v>
      </c>
      <c r="D59" s="34">
        <v>171393.89</v>
      </c>
      <c r="E59" s="34"/>
      <c r="F59" s="34">
        <v>1551958.38</v>
      </c>
      <c r="G59" s="34">
        <v>1723352.27</v>
      </c>
      <c r="H59" s="34">
        <f t="shared" si="0"/>
        <v>0</v>
      </c>
      <c r="I59" s="34"/>
      <c r="K59" t="s">
        <v>38</v>
      </c>
    </row>
    <row r="60" spans="2:11" ht="16.5" x14ac:dyDescent="0.2">
      <c r="B60" s="31" t="s">
        <v>103</v>
      </c>
      <c r="C60" s="31" t="s">
        <v>104</v>
      </c>
      <c r="D60" s="34">
        <v>2631.81</v>
      </c>
      <c r="E60" s="34"/>
      <c r="F60" s="34">
        <v>4529595.13</v>
      </c>
      <c r="G60" s="34">
        <v>4426380.4400000004</v>
      </c>
      <c r="H60" s="34">
        <f t="shared" si="0"/>
        <v>105846.49999999907</v>
      </c>
      <c r="I60" s="34"/>
      <c r="K60" t="s">
        <v>38</v>
      </c>
    </row>
    <row r="61" spans="2:11" ht="16.5" x14ac:dyDescent="0.2">
      <c r="B61" s="33" t="s">
        <v>105</v>
      </c>
      <c r="C61" s="33" t="s">
        <v>42</v>
      </c>
      <c r="D61" s="35">
        <f>SUMIFS(D62:D9015,K62:K9015,"0",B62:B9015,"1 1 1 2 1 12 31111 6 M59 00004 000003*")-SUMIFS(E62:E9015,K62:K9015,"0",B62:B9015,"1 1 1 2 1 12 31111 6 M59 00004 000003*")</f>
        <v>0</v>
      </c>
      <c r="E61"/>
      <c r="F61" s="35">
        <f>SUMIFS(F62:F9015,K62:K9015,"0",B62:B9015,"1 1 1 2 1 12 31111 6 M59 00004 000003*")</f>
        <v>23594.57</v>
      </c>
      <c r="G61" s="35">
        <f>SUMIFS(G62:G9015,K62:K9015,"0",B62:B9015,"1 1 1 2 1 12 31111 6 M59 00004 000003*")</f>
        <v>0</v>
      </c>
      <c r="H61" s="35">
        <f t="shared" si="0"/>
        <v>23594.57</v>
      </c>
      <c r="I61" s="35"/>
      <c r="K61" t="s">
        <v>15</v>
      </c>
    </row>
    <row r="62" spans="2:11" ht="16.5" x14ac:dyDescent="0.2">
      <c r="B62" s="31" t="s">
        <v>106</v>
      </c>
      <c r="C62" s="31" t="s">
        <v>107</v>
      </c>
      <c r="D62" s="34">
        <v>0</v>
      </c>
      <c r="E62" s="34"/>
      <c r="F62" s="34">
        <v>23594.57</v>
      </c>
      <c r="G62" s="34">
        <v>0</v>
      </c>
      <c r="H62" s="34">
        <f t="shared" si="0"/>
        <v>23594.57</v>
      </c>
      <c r="I62" s="34"/>
      <c r="K62" t="s">
        <v>38</v>
      </c>
    </row>
    <row r="63" spans="2:11" ht="41.25" x14ac:dyDescent="0.2">
      <c r="B63" s="33" t="s">
        <v>108</v>
      </c>
      <c r="C63" s="33" t="s">
        <v>109</v>
      </c>
      <c r="D63" s="35">
        <f>SUMIFS(D64:D9015,K64:K9015,"0",B64:B9015,"1 1 1 2 1 12 31111 6 M59 00005*")-SUMIFS(E64:E9015,K64:K9015,"0",B64:B9015,"1 1 1 2 1 12 31111 6 M59 00005*")</f>
        <v>0</v>
      </c>
      <c r="E63"/>
      <c r="F63" s="35">
        <f>SUMIFS(F64:F9015,K64:K9015,"0",B64:B9015,"1 1 1 2 1 12 31111 6 M59 00005*")</f>
        <v>6519509.0599999996</v>
      </c>
      <c r="G63" s="35">
        <f>SUMIFS(G64:G9015,K64:K9015,"0",B64:B9015,"1 1 1 2 1 12 31111 6 M59 00005*")</f>
        <v>6519509.0599999996</v>
      </c>
      <c r="H63" s="35">
        <f t="shared" si="0"/>
        <v>0</v>
      </c>
      <c r="I63" s="35"/>
      <c r="K63" t="s">
        <v>15</v>
      </c>
    </row>
    <row r="64" spans="2:11" ht="16.5" x14ac:dyDescent="0.2">
      <c r="B64" s="33" t="s">
        <v>110</v>
      </c>
      <c r="C64" s="33" t="s">
        <v>111</v>
      </c>
      <c r="D64" s="35">
        <f>SUMIFS(D65:D9015,K65:K9015,"0",B65:B9015,"1 1 1 2 1 12 31111 6 M59 00005 000001*")-SUMIFS(E65:E9015,K65:K9015,"0",B65:B9015,"1 1 1 2 1 12 31111 6 M59 00005 000001*")</f>
        <v>0</v>
      </c>
      <c r="E64"/>
      <c r="F64" s="35">
        <f>SUMIFS(F65:F9015,K65:K9015,"0",B65:B9015,"1 1 1 2 1 12 31111 6 M59 00005 000001*")</f>
        <v>6519509.0599999996</v>
      </c>
      <c r="G64" s="35">
        <f>SUMIFS(G65:G9015,K65:K9015,"0",B65:B9015,"1 1 1 2 1 12 31111 6 M59 00005 000001*")</f>
        <v>6519509.0599999996</v>
      </c>
      <c r="H64" s="35">
        <f t="shared" si="0"/>
        <v>0</v>
      </c>
      <c r="I64" s="35"/>
      <c r="K64" t="s">
        <v>15</v>
      </c>
    </row>
    <row r="65" spans="2:11" ht="16.5" x14ac:dyDescent="0.2">
      <c r="B65" s="31" t="s">
        <v>112</v>
      </c>
      <c r="C65" s="31" t="s">
        <v>113</v>
      </c>
      <c r="D65" s="34">
        <v>0</v>
      </c>
      <c r="E65" s="34"/>
      <c r="F65" s="34">
        <v>6519509.0599999996</v>
      </c>
      <c r="G65" s="34">
        <v>6519509.0599999996</v>
      </c>
      <c r="H65" s="34">
        <f t="shared" si="0"/>
        <v>0</v>
      </c>
      <c r="I65" s="34"/>
      <c r="K65" t="s">
        <v>38</v>
      </c>
    </row>
    <row r="66" spans="2:11" ht="24.75" x14ac:dyDescent="0.2">
      <c r="B66" s="33" t="s">
        <v>114</v>
      </c>
      <c r="C66" s="33" t="s">
        <v>115</v>
      </c>
      <c r="D66" s="35">
        <f>SUMIFS(D67:D9015,K67:K9015,"0",B67:B9015,"1 1 1 6*")-SUMIFS(E67:E9015,K67:K9015,"0",B67:B9015,"1 1 1 6*")</f>
        <v>0</v>
      </c>
      <c r="E66"/>
      <c r="F66" s="35">
        <f>SUMIFS(F67:F9015,K67:K9015,"0",B67:B9015,"1 1 1 6*")</f>
        <v>1630219</v>
      </c>
      <c r="G66" s="35">
        <f>SUMIFS(G67:G9015,K67:K9015,"0",B67:B9015,"1 1 1 6*")</f>
        <v>1630219</v>
      </c>
      <c r="H66" s="35">
        <f t="shared" si="0"/>
        <v>0</v>
      </c>
      <c r="I66" s="35"/>
      <c r="K66" t="s">
        <v>15</v>
      </c>
    </row>
    <row r="67" spans="2:11" ht="24.75" x14ac:dyDescent="0.2">
      <c r="B67" s="31" t="s">
        <v>116</v>
      </c>
      <c r="C67" s="31" t="s">
        <v>117</v>
      </c>
      <c r="D67" s="34">
        <v>0</v>
      </c>
      <c r="E67" s="34"/>
      <c r="F67" s="34">
        <v>1630219</v>
      </c>
      <c r="G67" s="34">
        <v>1630219</v>
      </c>
      <c r="H67" s="34">
        <f t="shared" si="0"/>
        <v>0</v>
      </c>
      <c r="I67" s="34"/>
      <c r="K67" t="s">
        <v>38</v>
      </c>
    </row>
    <row r="68" spans="2:11" ht="16.5" x14ac:dyDescent="0.2">
      <c r="B68" s="33" t="s">
        <v>118</v>
      </c>
      <c r="C68" s="33" t="s">
        <v>119</v>
      </c>
      <c r="D68" s="35">
        <f>SUMIFS(D69:D9015,K69:K9015,"0",B69:B9015,"1 1 2*")-SUMIFS(E69:E9015,K69:K9015,"0",B69:B9015,"1 1 2*")</f>
        <v>10141718.32</v>
      </c>
      <c r="E68"/>
      <c r="F68" s="35">
        <f>SUMIFS(F69:F9015,K69:K9015,"0",B69:B9015,"1 1 2*")</f>
        <v>309475329.68999994</v>
      </c>
      <c r="G68" s="35">
        <f>SUMIFS(G69:G9015,K69:K9015,"0",B69:B9015,"1 1 2*")</f>
        <v>309093898.4199999</v>
      </c>
      <c r="H68" s="35">
        <f t="shared" si="0"/>
        <v>10523149.590000033</v>
      </c>
      <c r="I68" s="35"/>
      <c r="K68" t="s">
        <v>15</v>
      </c>
    </row>
    <row r="69" spans="2:11" ht="16.5" x14ac:dyDescent="0.2">
      <c r="B69" s="33" t="s">
        <v>120</v>
      </c>
      <c r="C69" s="33" t="s">
        <v>121</v>
      </c>
      <c r="D69" s="35">
        <f>SUMIFS(D70:D9015,K70:K9015,"0",B70:B9015,"1 1 2 2*")-SUMIFS(E70:E9015,K70:K9015,"0",B70:B9015,"1 1 2 2*")</f>
        <v>0</v>
      </c>
      <c r="E69"/>
      <c r="F69" s="35">
        <f>SUMIFS(F70:F9015,K70:K9015,"0",B70:B9015,"1 1 2 2*")</f>
        <v>276972763.61000001</v>
      </c>
      <c r="G69" s="35">
        <f>SUMIFS(G70:G9015,K70:K9015,"0",B70:B9015,"1 1 2 2*")</f>
        <v>276972763.61000001</v>
      </c>
      <c r="H69" s="35">
        <f t="shared" si="0"/>
        <v>0</v>
      </c>
      <c r="I69" s="35"/>
      <c r="K69" t="s">
        <v>15</v>
      </c>
    </row>
    <row r="70" spans="2:11" ht="24.75" x14ac:dyDescent="0.2">
      <c r="B70" s="33" t="s">
        <v>122</v>
      </c>
      <c r="C70" s="33" t="s">
        <v>123</v>
      </c>
      <c r="D70" s="35">
        <f>SUMIFS(D71:D9015,K71:K9015,"0",B71:B9015,"1 1 2 2 1*")-SUMIFS(E71:E9015,K71:K9015,"0",B71:B9015,"1 1 2 2 1*")</f>
        <v>0</v>
      </c>
      <c r="E70"/>
      <c r="F70" s="35">
        <f>SUMIFS(F71:F9015,K71:K9015,"0",B71:B9015,"1 1 2 2 1*")</f>
        <v>111106432.69</v>
      </c>
      <c r="G70" s="35">
        <f>SUMIFS(G71:G9015,K71:K9015,"0",B71:B9015,"1 1 2 2 1*")</f>
        <v>111106432.69</v>
      </c>
      <c r="H70" s="35">
        <f t="shared" si="0"/>
        <v>0</v>
      </c>
      <c r="I70" s="35"/>
      <c r="K70" t="s">
        <v>15</v>
      </c>
    </row>
    <row r="71" spans="2:11" ht="12.75" x14ac:dyDescent="0.2">
      <c r="B71" s="33" t="s">
        <v>124</v>
      </c>
      <c r="C71" s="33" t="s">
        <v>26</v>
      </c>
      <c r="D71" s="35">
        <f>SUMIFS(D72:D9015,K72:K9015,"0",B72:B9015,"1 1 2 2 1 12*")-SUMIFS(E72:E9015,K72:K9015,"0",B72:B9015,"1 1 2 2 1 12*")</f>
        <v>0</v>
      </c>
      <c r="E71"/>
      <c r="F71" s="35">
        <f>SUMIFS(F72:F9015,K72:K9015,"0",B72:B9015,"1 1 2 2 1 12*")</f>
        <v>111106432.69</v>
      </c>
      <c r="G71" s="35">
        <f>SUMIFS(G72:G9015,K72:K9015,"0",B72:B9015,"1 1 2 2 1 12*")</f>
        <v>111106432.69</v>
      </c>
      <c r="H71" s="35">
        <f t="shared" si="0"/>
        <v>0</v>
      </c>
      <c r="I71" s="35"/>
      <c r="K71" t="s">
        <v>15</v>
      </c>
    </row>
    <row r="72" spans="2:11" ht="16.5" x14ac:dyDescent="0.2">
      <c r="B72" s="33" t="s">
        <v>125</v>
      </c>
      <c r="C72" s="33" t="s">
        <v>28</v>
      </c>
      <c r="D72" s="35">
        <f>SUMIFS(D73:D9015,K73:K9015,"0",B73:B9015,"1 1 2 2 1 12 31111*")-SUMIFS(E73:E9015,K73:K9015,"0",B73:B9015,"1 1 2 2 1 12 31111*")</f>
        <v>0</v>
      </c>
      <c r="E72"/>
      <c r="F72" s="35">
        <f>SUMIFS(F73:F9015,K73:K9015,"0",B73:B9015,"1 1 2 2 1 12 31111*")</f>
        <v>111106432.69</v>
      </c>
      <c r="G72" s="35">
        <f>SUMIFS(G73:G9015,K73:K9015,"0",B73:B9015,"1 1 2 2 1 12 31111*")</f>
        <v>111106432.69</v>
      </c>
      <c r="H72" s="35">
        <f t="shared" si="0"/>
        <v>0</v>
      </c>
      <c r="I72" s="35"/>
      <c r="K72" t="s">
        <v>15</v>
      </c>
    </row>
    <row r="73" spans="2:11" ht="12.75" x14ac:dyDescent="0.2">
      <c r="B73" s="33" t="s">
        <v>126</v>
      </c>
      <c r="C73" s="33" t="s">
        <v>30</v>
      </c>
      <c r="D73" s="35">
        <f>SUMIFS(D74:D9015,K74:K9015,"0",B74:B9015,"1 1 2 2 1 12 31111 6*")-SUMIFS(E74:E9015,K74:K9015,"0",B74:B9015,"1 1 2 2 1 12 31111 6*")</f>
        <v>0</v>
      </c>
      <c r="E73"/>
      <c r="F73" s="35">
        <f>SUMIFS(F74:F9015,K74:K9015,"0",B74:B9015,"1 1 2 2 1 12 31111 6*")</f>
        <v>111106432.69</v>
      </c>
      <c r="G73" s="35">
        <f>SUMIFS(G74:G9015,K74:K9015,"0",B74:B9015,"1 1 2 2 1 12 31111 6*")</f>
        <v>111106432.69</v>
      </c>
      <c r="H73" s="35">
        <f t="shared" si="0"/>
        <v>0</v>
      </c>
      <c r="I73" s="35"/>
      <c r="K73" t="s">
        <v>15</v>
      </c>
    </row>
    <row r="74" spans="2:11" ht="24.75" x14ac:dyDescent="0.2">
      <c r="B74" s="33" t="s">
        <v>127</v>
      </c>
      <c r="C74" s="33" t="s">
        <v>128</v>
      </c>
      <c r="D74" s="35">
        <f>SUMIFS(D75:D9015,K75:K9015,"0",B75:B9015,"1 1 2 2 1 12 31111 6 M59*")-SUMIFS(E75:E9015,K75:K9015,"0",B75:B9015,"1 1 2 2 1 12 31111 6 M59*")</f>
        <v>0</v>
      </c>
      <c r="E74"/>
      <c r="F74" s="35">
        <f>SUMIFS(F75:F9015,K75:K9015,"0",B75:B9015,"1 1 2 2 1 12 31111 6 M59*")</f>
        <v>111106432.69</v>
      </c>
      <c r="G74" s="35">
        <f>SUMIFS(G75:G9015,K75:K9015,"0",B75:B9015,"1 1 2 2 1 12 31111 6 M59*")</f>
        <v>111106432.69</v>
      </c>
      <c r="H74" s="35">
        <f t="shared" si="0"/>
        <v>0</v>
      </c>
      <c r="I74" s="35"/>
      <c r="K74" t="s">
        <v>15</v>
      </c>
    </row>
    <row r="75" spans="2:11" ht="16.5" x14ac:dyDescent="0.2">
      <c r="B75" s="33" t="s">
        <v>129</v>
      </c>
      <c r="C75" s="33" t="s">
        <v>34</v>
      </c>
      <c r="D75" s="35">
        <f>SUMIFS(D76:D9015,K76:K9015,"0",B76:B9015,"1 1 2 2 1 12 31111 6 M59 00001*")-SUMIFS(E76:E9015,K76:K9015,"0",B76:B9015,"1 1 2 2 1 12 31111 6 M59 00001*")</f>
        <v>0</v>
      </c>
      <c r="E75"/>
      <c r="F75" s="35">
        <f>SUMIFS(F76:F9015,K76:K9015,"0",B76:B9015,"1 1 2 2 1 12 31111 6 M59 00001*")</f>
        <v>109505128.16</v>
      </c>
      <c r="G75" s="35">
        <f>SUMIFS(G76:G9015,K76:K9015,"0",B76:B9015,"1 1 2 2 1 12 31111 6 M59 00001*")</f>
        <v>109505128.16</v>
      </c>
      <c r="H75" s="35">
        <f t="shared" si="0"/>
        <v>0</v>
      </c>
      <c r="I75" s="35"/>
      <c r="K75" t="s">
        <v>15</v>
      </c>
    </row>
    <row r="76" spans="2:11" ht="24.75" x14ac:dyDescent="0.2">
      <c r="B76" s="31" t="s">
        <v>130</v>
      </c>
      <c r="C76" s="31" t="s">
        <v>131</v>
      </c>
      <c r="D76" s="34">
        <v>0</v>
      </c>
      <c r="E76" s="34"/>
      <c r="F76" s="34">
        <v>109505128.16</v>
      </c>
      <c r="G76" s="34">
        <v>109505128.16</v>
      </c>
      <c r="H76" s="34">
        <f t="shared" ref="H76:H139" si="1">D76 + F76 - G76</f>
        <v>0</v>
      </c>
      <c r="I76" s="34"/>
      <c r="K76" t="s">
        <v>38</v>
      </c>
    </row>
    <row r="77" spans="2:11" ht="41.25" x14ac:dyDescent="0.2">
      <c r="B77" s="33" t="s">
        <v>132</v>
      </c>
      <c r="C77" s="33" t="s">
        <v>109</v>
      </c>
      <c r="D77" s="35">
        <f>SUMIFS(D78:D9015,K78:K9015,"0",B78:B9015,"1 1 2 2 1 12 31111 6 M59 00005*")-SUMIFS(E78:E9015,K78:K9015,"0",B78:B9015,"1 1 2 2 1 12 31111 6 M59 00005*")</f>
        <v>0</v>
      </c>
      <c r="E77"/>
      <c r="F77" s="35">
        <f>SUMIFS(F78:F9015,K78:K9015,"0",B78:B9015,"1 1 2 2 1 12 31111 6 M59 00005*")</f>
        <v>1601304.53</v>
      </c>
      <c r="G77" s="35">
        <f>SUMIFS(G78:G9015,K78:K9015,"0",B78:B9015,"1 1 2 2 1 12 31111 6 M59 00005*")</f>
        <v>1601304.53</v>
      </c>
      <c r="H77" s="35">
        <f t="shared" si="1"/>
        <v>0</v>
      </c>
      <c r="I77" s="35"/>
      <c r="K77" t="s">
        <v>15</v>
      </c>
    </row>
    <row r="78" spans="2:11" ht="16.5" x14ac:dyDescent="0.2">
      <c r="B78" s="31" t="s">
        <v>133</v>
      </c>
      <c r="C78" s="31" t="s">
        <v>128</v>
      </c>
      <c r="D78" s="34">
        <v>0</v>
      </c>
      <c r="E78" s="34"/>
      <c r="F78" s="34">
        <v>1601304.53</v>
      </c>
      <c r="G78" s="34">
        <v>1601304.53</v>
      </c>
      <c r="H78" s="34">
        <f t="shared" si="1"/>
        <v>0</v>
      </c>
      <c r="I78" s="34"/>
      <c r="K78" t="s">
        <v>38</v>
      </c>
    </row>
    <row r="79" spans="2:11" ht="16.5" x14ac:dyDescent="0.2">
      <c r="B79" s="33" t="s">
        <v>134</v>
      </c>
      <c r="C79" s="33" t="s">
        <v>135</v>
      </c>
      <c r="D79" s="35">
        <f>SUMIFS(D80:D9015,K80:K9015,"0",B80:B9015,"1 1 2 2 5*")-SUMIFS(E80:E9015,K80:K9015,"0",B80:B9015,"1 1 2 2 5*")</f>
        <v>0</v>
      </c>
      <c r="E79"/>
      <c r="F79" s="35">
        <f>SUMIFS(F80:F9015,K80:K9015,"0",B80:B9015,"1 1 2 2 5*")</f>
        <v>165721340.91999999</v>
      </c>
      <c r="G79" s="35">
        <f>SUMIFS(G80:G9015,K80:K9015,"0",B80:B9015,"1 1 2 2 5*")</f>
        <v>165721340.91999999</v>
      </c>
      <c r="H79" s="35">
        <f t="shared" si="1"/>
        <v>0</v>
      </c>
      <c r="I79" s="35"/>
      <c r="K79" t="s">
        <v>15</v>
      </c>
    </row>
    <row r="80" spans="2:11" ht="12.75" x14ac:dyDescent="0.2">
      <c r="B80" s="33" t="s">
        <v>136</v>
      </c>
      <c r="C80" s="33" t="s">
        <v>26</v>
      </c>
      <c r="D80" s="35">
        <f>SUMIFS(D81:D9015,K81:K9015,"0",B81:B9015,"1 1 2 2 5 12*")-SUMIFS(E81:E9015,K81:K9015,"0",B81:B9015,"1 1 2 2 5 12*")</f>
        <v>0</v>
      </c>
      <c r="E80"/>
      <c r="F80" s="35">
        <f>SUMIFS(F81:F9015,K81:K9015,"0",B81:B9015,"1 1 2 2 5 12*")</f>
        <v>165721340.91999999</v>
      </c>
      <c r="G80" s="35">
        <f>SUMIFS(G81:G9015,K81:K9015,"0",B81:B9015,"1 1 2 2 5 12*")</f>
        <v>165721340.91999999</v>
      </c>
      <c r="H80" s="35">
        <f t="shared" si="1"/>
        <v>0</v>
      </c>
      <c r="I80" s="35"/>
      <c r="K80" t="s">
        <v>15</v>
      </c>
    </row>
    <row r="81" spans="2:11" ht="16.5" x14ac:dyDescent="0.2">
      <c r="B81" s="33" t="s">
        <v>137</v>
      </c>
      <c r="C81" s="33" t="s">
        <v>28</v>
      </c>
      <c r="D81" s="35">
        <f>SUMIFS(D82:D9015,K82:K9015,"0",B82:B9015,"1 1 2 2 5 12 31111*")-SUMIFS(E82:E9015,K82:K9015,"0",B82:B9015,"1 1 2 2 5 12 31111*")</f>
        <v>0</v>
      </c>
      <c r="E81"/>
      <c r="F81" s="35">
        <f>SUMIFS(F82:F9015,K82:K9015,"0",B82:B9015,"1 1 2 2 5 12 31111*")</f>
        <v>165721340.91999999</v>
      </c>
      <c r="G81" s="35">
        <f>SUMIFS(G82:G9015,K82:K9015,"0",B82:B9015,"1 1 2 2 5 12 31111*")</f>
        <v>165721340.91999999</v>
      </c>
      <c r="H81" s="35">
        <f t="shared" si="1"/>
        <v>0</v>
      </c>
      <c r="I81" s="35"/>
      <c r="K81" t="s">
        <v>15</v>
      </c>
    </row>
    <row r="82" spans="2:11" ht="12.75" x14ac:dyDescent="0.2">
      <c r="B82" s="33" t="s">
        <v>138</v>
      </c>
      <c r="C82" s="33" t="s">
        <v>30</v>
      </c>
      <c r="D82" s="35">
        <f>SUMIFS(D83:D9015,K83:K9015,"0",B83:B9015,"1 1 2 2 5 12 31111 6*")-SUMIFS(E83:E9015,K83:K9015,"0",B83:B9015,"1 1 2 2 5 12 31111 6*")</f>
        <v>0</v>
      </c>
      <c r="E82"/>
      <c r="F82" s="35">
        <f>SUMIFS(F83:F9015,K83:K9015,"0",B83:B9015,"1 1 2 2 5 12 31111 6*")</f>
        <v>165721340.91999999</v>
      </c>
      <c r="G82" s="35">
        <f>SUMIFS(G83:G9015,K83:K9015,"0",B83:B9015,"1 1 2 2 5 12 31111 6*")</f>
        <v>165721340.91999999</v>
      </c>
      <c r="H82" s="35">
        <f t="shared" si="1"/>
        <v>0</v>
      </c>
      <c r="I82" s="35"/>
      <c r="K82" t="s">
        <v>15</v>
      </c>
    </row>
    <row r="83" spans="2:11" ht="12.75" x14ac:dyDescent="0.2">
      <c r="B83" s="33" t="s">
        <v>139</v>
      </c>
      <c r="C83" s="33" t="s">
        <v>140</v>
      </c>
      <c r="D83" s="35">
        <f>SUMIFS(D84:D9015,K84:K9015,"0",B84:B9015,"1 1 2 2 5 12 31111 6 M41*")-SUMIFS(E84:E9015,K84:K9015,"0",B84:B9015,"1 1 2 2 5 12 31111 6 M41*")</f>
        <v>0</v>
      </c>
      <c r="E83"/>
      <c r="F83" s="35">
        <f>SUMIFS(F84:F9015,K84:K9015,"0",B84:B9015,"1 1 2 2 5 12 31111 6 M41*")</f>
        <v>44557927.409999996</v>
      </c>
      <c r="G83" s="35">
        <f>SUMIFS(G84:G9015,K84:K9015,"0",B84:B9015,"1 1 2 2 5 12 31111 6 M41*")</f>
        <v>44557927.409999996</v>
      </c>
      <c r="H83" s="35">
        <f t="shared" si="1"/>
        <v>0</v>
      </c>
      <c r="I83" s="35"/>
      <c r="K83" t="s">
        <v>15</v>
      </c>
    </row>
    <row r="84" spans="2:11" ht="16.5" x14ac:dyDescent="0.2">
      <c r="B84" s="33" t="s">
        <v>141</v>
      </c>
      <c r="C84" s="33" t="s">
        <v>142</v>
      </c>
      <c r="D84" s="35">
        <f>SUMIFS(D85:D9015,K85:K9015,"0",B85:B9015,"1 1 2 2 5 12 31111 6 M41 00003*")-SUMIFS(E85:E9015,K85:K9015,"0",B85:B9015,"1 1 2 2 5 12 31111 6 M41 00003*")</f>
        <v>0</v>
      </c>
      <c r="E84"/>
      <c r="F84" s="35">
        <f>SUMIFS(F85:F9015,K85:K9015,"0",B85:B9015,"1 1 2 2 5 12 31111 6 M41 00003*")</f>
        <v>44557927.409999996</v>
      </c>
      <c r="G84" s="35">
        <f>SUMIFS(G85:G9015,K85:K9015,"0",B85:B9015,"1 1 2 2 5 12 31111 6 M41 00003*")</f>
        <v>44557927.409999996</v>
      </c>
      <c r="H84" s="35">
        <f t="shared" si="1"/>
        <v>0</v>
      </c>
      <c r="I84" s="35"/>
      <c r="K84" t="s">
        <v>15</v>
      </c>
    </row>
    <row r="85" spans="2:11" ht="16.5" x14ac:dyDescent="0.2">
      <c r="B85" s="33" t="s">
        <v>143</v>
      </c>
      <c r="C85" s="33" t="s">
        <v>144</v>
      </c>
      <c r="D85" s="35">
        <f>SUMIFS(D86:D9015,K86:K9015,"0",B86:B9015,"1 1 2 2 5 12 31111 6 M41 00003 000003*")-SUMIFS(E86:E9015,K86:K9015,"0",B86:B9015,"1 1 2 2 5 12 31111 6 M41 00003 000003*")</f>
        <v>0</v>
      </c>
      <c r="E85"/>
      <c r="F85" s="35">
        <f>SUMIFS(F86:F9015,K86:K9015,"0",B86:B9015,"1 1 2 2 5 12 31111 6 M41 00003 000003*")</f>
        <v>44557927.409999996</v>
      </c>
      <c r="G85" s="35">
        <f>SUMIFS(G86:G9015,K86:K9015,"0",B86:B9015,"1 1 2 2 5 12 31111 6 M41 00003 000003*")</f>
        <v>44557927.409999996</v>
      </c>
      <c r="H85" s="35">
        <f t="shared" si="1"/>
        <v>0</v>
      </c>
      <c r="I85" s="35"/>
      <c r="K85" t="s">
        <v>15</v>
      </c>
    </row>
    <row r="86" spans="2:11" ht="16.5" x14ac:dyDescent="0.2">
      <c r="B86" s="33" t="s">
        <v>145</v>
      </c>
      <c r="C86" s="33" t="s">
        <v>146</v>
      </c>
      <c r="D86" s="35">
        <f>SUMIFS(D87:D9015,K87:K9015,"0",B87:B9015,"1 1 2 2 5 12 31111 6 M41 00003 000003 00005*")-SUMIFS(E87:E9015,K87:K9015,"0",B87:B9015,"1 1 2 2 5 12 31111 6 M41 00003 000003 00005*")</f>
        <v>0</v>
      </c>
      <c r="E86"/>
      <c r="F86" s="35">
        <f>SUMIFS(F87:F9015,K87:K9015,"0",B87:B9015,"1 1 2 2 5 12 31111 6 M41 00003 000003 00005*")</f>
        <v>44557927.409999996</v>
      </c>
      <c r="G86" s="35">
        <f>SUMIFS(G87:G9015,K87:K9015,"0",B87:B9015,"1 1 2 2 5 12 31111 6 M41 00003 000003 00005*")</f>
        <v>44557927.409999996</v>
      </c>
      <c r="H86" s="35">
        <f t="shared" si="1"/>
        <v>0</v>
      </c>
      <c r="I86" s="35"/>
      <c r="K86" t="s">
        <v>15</v>
      </c>
    </row>
    <row r="87" spans="2:11" ht="24.75" x14ac:dyDescent="0.2">
      <c r="B87" s="31" t="s">
        <v>147</v>
      </c>
      <c r="C87" s="31" t="s">
        <v>148</v>
      </c>
      <c r="D87" s="34">
        <v>0</v>
      </c>
      <c r="E87" s="34"/>
      <c r="F87" s="34">
        <v>44557927.409999996</v>
      </c>
      <c r="G87" s="34">
        <v>44557927.409999996</v>
      </c>
      <c r="H87" s="34">
        <f t="shared" si="1"/>
        <v>0</v>
      </c>
      <c r="I87" s="34"/>
      <c r="K87" t="s">
        <v>38</v>
      </c>
    </row>
    <row r="88" spans="2:11" ht="16.5" x14ac:dyDescent="0.2">
      <c r="B88" s="33" t="s">
        <v>149</v>
      </c>
      <c r="C88" s="33" t="s">
        <v>32</v>
      </c>
      <c r="D88" s="35">
        <f>SUMIFS(D89:D9015,K89:K9015,"0",B89:B9015,"1 1 2 2 5 12 31111 6 M59*")-SUMIFS(E89:E9015,K89:K9015,"0",B89:B9015,"1 1 2 2 5 12 31111 6 M59*")</f>
        <v>0</v>
      </c>
      <c r="E88"/>
      <c r="F88" s="35">
        <f>SUMIFS(F89:F9015,K89:K9015,"0",B89:B9015,"1 1 2 2 5 12 31111 6 M59*")</f>
        <v>121163413.51000001</v>
      </c>
      <c r="G88" s="35">
        <f>SUMIFS(G89:G9015,K89:K9015,"0",B89:B9015,"1 1 2 2 5 12 31111 6 M59*")</f>
        <v>121163413.51000001</v>
      </c>
      <c r="H88" s="35">
        <f t="shared" si="1"/>
        <v>0</v>
      </c>
      <c r="I88" s="35"/>
      <c r="K88" t="s">
        <v>15</v>
      </c>
    </row>
    <row r="89" spans="2:11" ht="24.75" x14ac:dyDescent="0.2">
      <c r="B89" s="33" t="s">
        <v>150</v>
      </c>
      <c r="C89" s="33" t="s">
        <v>73</v>
      </c>
      <c r="D89" s="35">
        <f>SUMIFS(D90:D9015,K90:K9015,"0",B90:B9015,"1 1 2 2 5 12 31111 6 M59 00002*")-SUMIFS(E90:E9015,K90:K9015,"0",B90:B9015,"1 1 2 2 5 12 31111 6 M59 00002*")</f>
        <v>0</v>
      </c>
      <c r="E89"/>
      <c r="F89" s="35">
        <f>SUMIFS(F90:F9015,K90:K9015,"0",B90:B9015,"1 1 2 2 5 12 31111 6 M59 00002*")</f>
        <v>106310771</v>
      </c>
      <c r="G89" s="35">
        <f>SUMIFS(G90:G9015,K90:K9015,"0",B90:B9015,"1 1 2 2 5 12 31111 6 M59 00002*")</f>
        <v>106310771</v>
      </c>
      <c r="H89" s="35">
        <f t="shared" si="1"/>
        <v>0</v>
      </c>
      <c r="I89" s="35"/>
      <c r="K89" t="s">
        <v>15</v>
      </c>
    </row>
    <row r="90" spans="2:11" ht="16.5" x14ac:dyDescent="0.2">
      <c r="B90" s="33" t="s">
        <v>151</v>
      </c>
      <c r="C90" s="33" t="s">
        <v>152</v>
      </c>
      <c r="D90" s="35">
        <f>SUMIFS(D91:D9015,K91:K9015,"0",B91:B9015,"1 1 2 2 5 12 31111 6 M59 00002 000004*")-SUMIFS(E91:E9015,K91:K9015,"0",B91:B9015,"1 1 2 2 5 12 31111 6 M59 00002 000004*")</f>
        <v>0</v>
      </c>
      <c r="E90"/>
      <c r="F90" s="35">
        <f>SUMIFS(F91:F9015,K91:K9015,"0",B91:B9015,"1 1 2 2 5 12 31111 6 M59 00002 000004*")</f>
        <v>106310771</v>
      </c>
      <c r="G90" s="35">
        <f>SUMIFS(G91:G9015,K91:K9015,"0",B91:B9015,"1 1 2 2 5 12 31111 6 M59 00002 000004*")</f>
        <v>106310771</v>
      </c>
      <c r="H90" s="35">
        <f t="shared" si="1"/>
        <v>0</v>
      </c>
      <c r="I90" s="35"/>
      <c r="K90" t="s">
        <v>15</v>
      </c>
    </row>
    <row r="91" spans="2:11" ht="16.5" x14ac:dyDescent="0.2">
      <c r="B91" s="31" t="s">
        <v>153</v>
      </c>
      <c r="C91" s="31" t="s">
        <v>154</v>
      </c>
      <c r="D91" s="34">
        <v>0</v>
      </c>
      <c r="E91" s="34"/>
      <c r="F91" s="34">
        <v>106310771</v>
      </c>
      <c r="G91" s="34">
        <v>106310771</v>
      </c>
      <c r="H91" s="34">
        <f t="shared" si="1"/>
        <v>0</v>
      </c>
      <c r="I91" s="34"/>
      <c r="K91" t="s">
        <v>38</v>
      </c>
    </row>
    <row r="92" spans="2:11" ht="16.5" x14ac:dyDescent="0.2">
      <c r="B92" s="33" t="s">
        <v>155</v>
      </c>
      <c r="C92" s="33" t="s">
        <v>83</v>
      </c>
      <c r="D92" s="35">
        <f>SUMIFS(D93:D9015,K93:K9015,"0",B93:B9015,"1 1 2 2 5 12 31111 6 M59 00003*")-SUMIFS(E93:E9015,K93:K9015,"0",B93:B9015,"1 1 2 2 5 12 31111 6 M59 00003*")</f>
        <v>0</v>
      </c>
      <c r="E92"/>
      <c r="F92" s="35">
        <f>SUMIFS(F93:F9015,K93:K9015,"0",B93:B9015,"1 1 2 2 5 12 31111 6 M59 00003*")</f>
        <v>14852642.51</v>
      </c>
      <c r="G92" s="35">
        <f>SUMIFS(G93:G9015,K93:K9015,"0",B93:B9015,"1 1 2 2 5 12 31111 6 M59 00003*")</f>
        <v>14852642.51</v>
      </c>
      <c r="H92" s="35">
        <f t="shared" si="1"/>
        <v>0</v>
      </c>
      <c r="I92" s="35"/>
      <c r="K92" t="s">
        <v>15</v>
      </c>
    </row>
    <row r="93" spans="2:11" ht="16.5" x14ac:dyDescent="0.2">
      <c r="B93" s="33" t="s">
        <v>156</v>
      </c>
      <c r="C93" s="33" t="s">
        <v>146</v>
      </c>
      <c r="D93" s="35">
        <f>SUMIFS(D94:D9015,K94:K9015,"0",B94:B9015,"1 1 2 2 5 12 31111 6 M59 00003 000002*")-SUMIFS(E94:E9015,K94:K9015,"0",B94:B9015,"1 1 2 2 5 12 31111 6 M59 00003 000002*")</f>
        <v>0</v>
      </c>
      <c r="E93"/>
      <c r="F93" s="35">
        <f>SUMIFS(F94:F9015,K94:K9015,"0",B94:B9015,"1 1 2 2 5 12 31111 6 M59 00003 000002*")</f>
        <v>14852642.51</v>
      </c>
      <c r="G93" s="35">
        <f>SUMIFS(G94:G9015,K94:K9015,"0",B94:B9015,"1 1 2 2 5 12 31111 6 M59 00003 000002*")</f>
        <v>14852642.51</v>
      </c>
      <c r="H93" s="35">
        <f t="shared" si="1"/>
        <v>0</v>
      </c>
      <c r="I93" s="35"/>
      <c r="K93" t="s">
        <v>15</v>
      </c>
    </row>
    <row r="94" spans="2:11" ht="24.75" x14ac:dyDescent="0.2">
      <c r="B94" s="31" t="s">
        <v>157</v>
      </c>
      <c r="C94" s="31" t="s">
        <v>158</v>
      </c>
      <c r="D94" s="34">
        <v>0</v>
      </c>
      <c r="E94" s="34"/>
      <c r="F94" s="34">
        <v>14852642.51</v>
      </c>
      <c r="G94" s="34">
        <v>14852642.51</v>
      </c>
      <c r="H94" s="34">
        <f t="shared" si="1"/>
        <v>0</v>
      </c>
      <c r="I94" s="34"/>
      <c r="K94" t="s">
        <v>38</v>
      </c>
    </row>
    <row r="95" spans="2:11" ht="24.75" x14ac:dyDescent="0.2">
      <c r="B95" s="33" t="s">
        <v>159</v>
      </c>
      <c r="C95" s="33" t="s">
        <v>160</v>
      </c>
      <c r="D95" s="35">
        <f>SUMIFS(D96:D9015,K96:K9015,"0",B96:B9015,"1 1 2 2 6*")-SUMIFS(E96:E9015,K96:K9015,"0",B96:B9015,"1 1 2 2 6*")</f>
        <v>0</v>
      </c>
      <c r="E95"/>
      <c r="F95" s="35">
        <f>SUMIFS(F96:F9015,K96:K9015,"0",B96:B9015,"1 1 2 2 6*")</f>
        <v>144990</v>
      </c>
      <c r="G95" s="35">
        <f>SUMIFS(G96:G9015,K96:K9015,"0",B96:B9015,"1 1 2 2 6*")</f>
        <v>144990</v>
      </c>
      <c r="H95" s="35">
        <f t="shared" si="1"/>
        <v>0</v>
      </c>
      <c r="I95" s="35"/>
      <c r="K95" t="s">
        <v>15</v>
      </c>
    </row>
    <row r="96" spans="2:11" ht="12.75" x14ac:dyDescent="0.2">
      <c r="B96" s="33" t="s">
        <v>161</v>
      </c>
      <c r="C96" s="33" t="s">
        <v>26</v>
      </c>
      <c r="D96" s="35">
        <f>SUMIFS(D97:D9015,K97:K9015,"0",B97:B9015,"1 1 2 2 6 12*")-SUMIFS(E97:E9015,K97:K9015,"0",B97:B9015,"1 1 2 2 6 12*")</f>
        <v>0</v>
      </c>
      <c r="E96"/>
      <c r="F96" s="35">
        <f>SUMIFS(F97:F9015,K97:K9015,"0",B97:B9015,"1 1 2 2 6 12*")</f>
        <v>144990</v>
      </c>
      <c r="G96" s="35">
        <f>SUMIFS(G97:G9015,K97:K9015,"0",B97:B9015,"1 1 2 2 6 12*")</f>
        <v>144990</v>
      </c>
      <c r="H96" s="35">
        <f t="shared" si="1"/>
        <v>0</v>
      </c>
      <c r="I96" s="35"/>
      <c r="K96" t="s">
        <v>15</v>
      </c>
    </row>
    <row r="97" spans="2:11" ht="16.5" x14ac:dyDescent="0.2">
      <c r="B97" s="33" t="s">
        <v>162</v>
      </c>
      <c r="C97" s="33" t="s">
        <v>28</v>
      </c>
      <c r="D97" s="35">
        <f>SUMIFS(D98:D9015,K98:K9015,"0",B98:B9015,"1 1 2 2 6 12 31111*")-SUMIFS(E98:E9015,K98:K9015,"0",B98:B9015,"1 1 2 2 6 12 31111*")</f>
        <v>0</v>
      </c>
      <c r="E97"/>
      <c r="F97" s="35">
        <f>SUMIFS(F98:F9015,K98:K9015,"0",B98:B9015,"1 1 2 2 6 12 31111*")</f>
        <v>144990</v>
      </c>
      <c r="G97" s="35">
        <f>SUMIFS(G98:G9015,K98:K9015,"0",B98:B9015,"1 1 2 2 6 12 31111*")</f>
        <v>144990</v>
      </c>
      <c r="H97" s="35">
        <f t="shared" si="1"/>
        <v>0</v>
      </c>
      <c r="I97" s="35"/>
      <c r="K97" t="s">
        <v>15</v>
      </c>
    </row>
    <row r="98" spans="2:11" ht="12.75" x14ac:dyDescent="0.2">
      <c r="B98" s="33" t="s">
        <v>163</v>
      </c>
      <c r="C98" s="33" t="s">
        <v>30</v>
      </c>
      <c r="D98" s="35">
        <f>SUMIFS(D99:D9015,K99:K9015,"0",B99:B9015,"1 1 2 2 6 12 31111 6*")-SUMIFS(E99:E9015,K99:K9015,"0",B99:B9015,"1 1 2 2 6 12 31111 6*")</f>
        <v>0</v>
      </c>
      <c r="E98"/>
      <c r="F98" s="35">
        <f>SUMIFS(F99:F9015,K99:K9015,"0",B99:B9015,"1 1 2 2 6 12 31111 6*")</f>
        <v>144990</v>
      </c>
      <c r="G98" s="35">
        <f>SUMIFS(G99:G9015,K99:K9015,"0",B99:B9015,"1 1 2 2 6 12 31111 6*")</f>
        <v>144990</v>
      </c>
      <c r="H98" s="35">
        <f t="shared" si="1"/>
        <v>0</v>
      </c>
      <c r="I98" s="35"/>
      <c r="K98" t="s">
        <v>15</v>
      </c>
    </row>
    <row r="99" spans="2:11" ht="16.5" x14ac:dyDescent="0.2">
      <c r="B99" s="33" t="s">
        <v>164</v>
      </c>
      <c r="C99" s="33" t="s">
        <v>165</v>
      </c>
      <c r="D99" s="35">
        <f>SUMIFS(D100:D9015,K100:K9015,"0",B100:B9015,"1 1 2 2 6 12 31111 6 M59*")-SUMIFS(E100:E9015,K100:K9015,"0",B100:B9015,"1 1 2 2 6 12 31111 6 M59*")</f>
        <v>0</v>
      </c>
      <c r="E99"/>
      <c r="F99" s="35">
        <f>SUMIFS(F100:F9015,K100:K9015,"0",B100:B9015,"1 1 2 2 6 12 31111 6 M59*")</f>
        <v>144990</v>
      </c>
      <c r="G99" s="35">
        <f>SUMIFS(G100:G9015,K100:K9015,"0",B100:B9015,"1 1 2 2 6 12 31111 6 M59*")</f>
        <v>144990</v>
      </c>
      <c r="H99" s="35">
        <f t="shared" si="1"/>
        <v>0</v>
      </c>
      <c r="I99" s="35"/>
      <c r="K99" t="s">
        <v>15</v>
      </c>
    </row>
    <row r="100" spans="2:11" ht="16.5" x14ac:dyDescent="0.2">
      <c r="B100" s="33" t="s">
        <v>166</v>
      </c>
      <c r="C100" s="33" t="s">
        <v>34</v>
      </c>
      <c r="D100" s="35">
        <f>SUMIFS(D101:D9015,K101:K9015,"0",B101:B9015,"1 1 2 2 6 12 31111 6 M59 00001*")-SUMIFS(E101:E9015,K101:K9015,"0",B101:B9015,"1 1 2 2 6 12 31111 6 M59 00001*")</f>
        <v>0</v>
      </c>
      <c r="E100"/>
      <c r="F100" s="35">
        <f>SUMIFS(F101:F9015,K101:K9015,"0",B101:B9015,"1 1 2 2 6 12 31111 6 M59 00001*")</f>
        <v>144990</v>
      </c>
      <c r="G100" s="35">
        <f>SUMIFS(G101:G9015,K101:K9015,"0",B101:B9015,"1 1 2 2 6 12 31111 6 M59 00001*")</f>
        <v>144990</v>
      </c>
      <c r="H100" s="35">
        <f t="shared" si="1"/>
        <v>0</v>
      </c>
      <c r="I100" s="35"/>
      <c r="K100" t="s">
        <v>15</v>
      </c>
    </row>
    <row r="101" spans="2:11" ht="16.5" x14ac:dyDescent="0.2">
      <c r="B101" s="31" t="s">
        <v>167</v>
      </c>
      <c r="C101" s="31" t="s">
        <v>168</v>
      </c>
      <c r="D101" s="34">
        <v>0</v>
      </c>
      <c r="E101" s="34"/>
      <c r="F101" s="34">
        <v>144990</v>
      </c>
      <c r="G101" s="34">
        <v>144990</v>
      </c>
      <c r="H101" s="34">
        <f t="shared" si="1"/>
        <v>0</v>
      </c>
      <c r="I101" s="34"/>
      <c r="K101" t="s">
        <v>38</v>
      </c>
    </row>
    <row r="102" spans="2:11" ht="16.5" x14ac:dyDescent="0.2">
      <c r="B102" s="33" t="s">
        <v>169</v>
      </c>
      <c r="C102" s="33" t="s">
        <v>170</v>
      </c>
      <c r="D102" s="35">
        <f>SUMIFS(D103:D9015,K103:K9015,"0",B103:B9015,"1 1 2 3*")-SUMIFS(E103:E9015,K103:K9015,"0",B103:B9015,"1 1 2 3*")</f>
        <v>77477.89</v>
      </c>
      <c r="E102"/>
      <c r="F102" s="35">
        <f>SUMIFS(F103:F9015,K103:K9015,"0",B103:B9015,"1 1 2 3*")</f>
        <v>2310062.5699999998</v>
      </c>
      <c r="G102" s="35">
        <f>SUMIFS(G103:G9015,K103:K9015,"0",B103:B9015,"1 1 2 3*")</f>
        <v>1938399.79</v>
      </c>
      <c r="H102" s="35">
        <f t="shared" si="1"/>
        <v>449140.66999999993</v>
      </c>
      <c r="I102" s="35"/>
      <c r="K102" t="s">
        <v>15</v>
      </c>
    </row>
    <row r="103" spans="2:11" ht="16.5" x14ac:dyDescent="0.2">
      <c r="B103" s="33" t="s">
        <v>171</v>
      </c>
      <c r="C103" s="33" t="s">
        <v>172</v>
      </c>
      <c r="D103" s="35">
        <f>SUMIFS(D104:D9015,K104:K9015,"0",B104:B9015,"1 1 2 3 1*")-SUMIFS(E104:E9015,K104:K9015,"0",B104:B9015,"1 1 2 3 1*")</f>
        <v>77477.89</v>
      </c>
      <c r="E103"/>
      <c r="F103" s="35">
        <f>SUMIFS(F104:F9015,K104:K9015,"0",B104:B9015,"1 1 2 3 1*")</f>
        <v>2310062.5699999998</v>
      </c>
      <c r="G103" s="35">
        <f>SUMIFS(G104:G9015,K104:K9015,"0",B104:B9015,"1 1 2 3 1*")</f>
        <v>1938399.79</v>
      </c>
      <c r="H103" s="35">
        <f t="shared" si="1"/>
        <v>449140.66999999993</v>
      </c>
      <c r="I103" s="35"/>
      <c r="K103" t="s">
        <v>15</v>
      </c>
    </row>
    <row r="104" spans="2:11" ht="12.75" x14ac:dyDescent="0.2">
      <c r="B104" s="33" t="s">
        <v>173</v>
      </c>
      <c r="C104" s="33" t="s">
        <v>26</v>
      </c>
      <c r="D104" s="35">
        <f>SUMIFS(D105:D9015,K105:K9015,"0",B105:B9015,"1 1 2 3 1 12*")-SUMIFS(E105:E9015,K105:K9015,"0",B105:B9015,"1 1 2 3 1 12*")</f>
        <v>77477.89</v>
      </c>
      <c r="E104"/>
      <c r="F104" s="35">
        <f>SUMIFS(F105:F9015,K105:K9015,"0",B105:B9015,"1 1 2 3 1 12*")</f>
        <v>2310062.5699999998</v>
      </c>
      <c r="G104" s="35">
        <f>SUMIFS(G105:G9015,K105:K9015,"0",B105:B9015,"1 1 2 3 1 12*")</f>
        <v>1938399.79</v>
      </c>
      <c r="H104" s="35">
        <f t="shared" si="1"/>
        <v>449140.66999999993</v>
      </c>
      <c r="I104" s="35"/>
      <c r="K104" t="s">
        <v>15</v>
      </c>
    </row>
    <row r="105" spans="2:11" ht="16.5" x14ac:dyDescent="0.2">
      <c r="B105" s="33" t="s">
        <v>174</v>
      </c>
      <c r="C105" s="33" t="s">
        <v>28</v>
      </c>
      <c r="D105" s="35">
        <f>SUMIFS(D106:D9015,K106:K9015,"0",B106:B9015,"1 1 2 3 1 12 31111*")-SUMIFS(E106:E9015,K106:K9015,"0",B106:B9015,"1 1 2 3 1 12 31111*")</f>
        <v>77477.89</v>
      </c>
      <c r="E105"/>
      <c r="F105" s="35">
        <f>SUMIFS(F106:F9015,K106:K9015,"0",B106:B9015,"1 1 2 3 1 12 31111*")</f>
        <v>2310062.5699999998</v>
      </c>
      <c r="G105" s="35">
        <f>SUMIFS(G106:G9015,K106:K9015,"0",B106:B9015,"1 1 2 3 1 12 31111*")</f>
        <v>1938399.79</v>
      </c>
      <c r="H105" s="35">
        <f t="shared" si="1"/>
        <v>449140.66999999993</v>
      </c>
      <c r="I105" s="35"/>
      <c r="K105" t="s">
        <v>15</v>
      </c>
    </row>
    <row r="106" spans="2:11" ht="12.75" x14ac:dyDescent="0.2">
      <c r="B106" s="33" t="s">
        <v>175</v>
      </c>
      <c r="C106" s="33" t="s">
        <v>30</v>
      </c>
      <c r="D106" s="35">
        <f>SUMIFS(D107:D9015,K107:K9015,"0",B107:B9015,"1 1 2 3 1 12 31111 6*")-SUMIFS(E107:E9015,K107:K9015,"0",B107:B9015,"1 1 2 3 1 12 31111 6*")</f>
        <v>77477.89</v>
      </c>
      <c r="E106"/>
      <c r="F106" s="35">
        <f>SUMIFS(F107:F9015,K107:K9015,"0",B107:B9015,"1 1 2 3 1 12 31111 6*")</f>
        <v>2310062.5699999998</v>
      </c>
      <c r="G106" s="35">
        <f>SUMIFS(G107:G9015,K107:K9015,"0",B107:B9015,"1 1 2 3 1 12 31111 6*")</f>
        <v>1938399.79</v>
      </c>
      <c r="H106" s="35">
        <f t="shared" si="1"/>
        <v>449140.66999999993</v>
      </c>
      <c r="I106" s="35"/>
      <c r="K106" t="s">
        <v>15</v>
      </c>
    </row>
    <row r="107" spans="2:11" ht="12.75" x14ac:dyDescent="0.2">
      <c r="B107" s="33" t="s">
        <v>176</v>
      </c>
      <c r="C107" s="33" t="s">
        <v>32</v>
      </c>
      <c r="D107" s="35">
        <f>SUMIFS(D108:D9015,K108:K9015,"0",B108:B9015,"1 1 2 3 1 12 31111 6 M59*")-SUMIFS(E108:E9015,K108:K9015,"0",B108:B9015,"1 1 2 3 1 12 31111 6 M59*")</f>
        <v>77477.89</v>
      </c>
      <c r="E107"/>
      <c r="F107" s="35">
        <f>SUMIFS(F108:F9015,K108:K9015,"0",B108:B9015,"1 1 2 3 1 12 31111 6 M59*")</f>
        <v>2310062.5699999998</v>
      </c>
      <c r="G107" s="35">
        <f>SUMIFS(G108:G9015,K108:K9015,"0",B108:B9015,"1 1 2 3 1 12 31111 6 M59*")</f>
        <v>1938399.79</v>
      </c>
      <c r="H107" s="35">
        <f t="shared" si="1"/>
        <v>449140.66999999993</v>
      </c>
      <c r="I107" s="35"/>
      <c r="K107" t="s">
        <v>15</v>
      </c>
    </row>
    <row r="108" spans="2:11" ht="16.5" x14ac:dyDescent="0.2">
      <c r="B108" s="33" t="s">
        <v>177</v>
      </c>
      <c r="C108" s="33" t="s">
        <v>34</v>
      </c>
      <c r="D108" s="35">
        <f>SUMIFS(D109:D9015,K109:K9015,"0",B109:B9015,"1 1 2 3 1 12 31111 6 M59 00001*")-SUMIFS(E109:E9015,K109:K9015,"0",B109:B9015,"1 1 2 3 1 12 31111 6 M59 00001*")</f>
        <v>36006.89</v>
      </c>
      <c r="E108"/>
      <c r="F108" s="35">
        <f>SUMIFS(F109:F9015,K109:K9015,"0",B109:B9015,"1 1 2 3 1 12 31111 6 M59 00001*")</f>
        <v>400657</v>
      </c>
      <c r="G108" s="35">
        <f>SUMIFS(G109:G9015,K109:K9015,"0",B109:B9015,"1 1 2 3 1 12 31111 6 M59 00001*")</f>
        <v>850979.29</v>
      </c>
      <c r="H108" s="35">
        <f t="shared" si="1"/>
        <v>-414315.4</v>
      </c>
      <c r="I108" s="35"/>
      <c r="K108" t="s">
        <v>15</v>
      </c>
    </row>
    <row r="109" spans="2:11" ht="16.5" x14ac:dyDescent="0.2">
      <c r="B109" s="31" t="s">
        <v>178</v>
      </c>
      <c r="C109" s="31" t="s">
        <v>179</v>
      </c>
      <c r="D109" s="34">
        <v>36006.89</v>
      </c>
      <c r="E109" s="34"/>
      <c r="F109" s="34">
        <v>241278</v>
      </c>
      <c r="G109" s="34">
        <v>241256</v>
      </c>
      <c r="H109" s="34">
        <f t="shared" si="1"/>
        <v>36028.890000000014</v>
      </c>
      <c r="I109" s="34"/>
      <c r="K109" t="s">
        <v>38</v>
      </c>
    </row>
    <row r="110" spans="2:11" ht="16.5" x14ac:dyDescent="0.2">
      <c r="B110" s="31" t="s">
        <v>180</v>
      </c>
      <c r="C110" s="31" t="s">
        <v>181</v>
      </c>
      <c r="D110" s="34">
        <v>0</v>
      </c>
      <c r="E110" s="34"/>
      <c r="F110" s="34">
        <v>0</v>
      </c>
      <c r="G110" s="34">
        <v>208854.34</v>
      </c>
      <c r="H110" s="34">
        <f t="shared" si="1"/>
        <v>-208854.34</v>
      </c>
      <c r="I110" s="34"/>
      <c r="K110" t="s">
        <v>38</v>
      </c>
    </row>
    <row r="111" spans="2:11" ht="16.5" x14ac:dyDescent="0.2">
      <c r="B111" s="31" t="s">
        <v>182</v>
      </c>
      <c r="C111" s="31" t="s">
        <v>183</v>
      </c>
      <c r="D111" s="34">
        <v>0</v>
      </c>
      <c r="E111" s="34"/>
      <c r="F111" s="34">
        <v>95000</v>
      </c>
      <c r="G111" s="34">
        <v>95000</v>
      </c>
      <c r="H111" s="34">
        <f t="shared" si="1"/>
        <v>0</v>
      </c>
      <c r="I111" s="34"/>
      <c r="K111" t="s">
        <v>38</v>
      </c>
    </row>
    <row r="112" spans="2:11" ht="16.5" x14ac:dyDescent="0.2">
      <c r="B112" s="31" t="s">
        <v>184</v>
      </c>
      <c r="C112" s="31" t="s">
        <v>185</v>
      </c>
      <c r="D112" s="34">
        <v>0</v>
      </c>
      <c r="E112" s="34"/>
      <c r="F112" s="34">
        <v>64379</v>
      </c>
      <c r="G112" s="34">
        <v>305868.95</v>
      </c>
      <c r="H112" s="34">
        <f t="shared" si="1"/>
        <v>-241489.95</v>
      </c>
      <c r="I112" s="34"/>
      <c r="K112" t="s">
        <v>38</v>
      </c>
    </row>
    <row r="113" spans="2:11" ht="24.75" x14ac:dyDescent="0.2">
      <c r="B113" s="33" t="s">
        <v>186</v>
      </c>
      <c r="C113" s="33" t="s">
        <v>73</v>
      </c>
      <c r="D113" s="35">
        <f>SUMIFS(D114:D9015,K114:K9015,"0",B114:B9015,"1 1 2 3 1 12 31111 6 M59 00002*")-SUMIFS(E114:E9015,K114:K9015,"0",B114:B9015,"1 1 2 3 1 12 31111 6 M59 00002*")</f>
        <v>0</v>
      </c>
      <c r="E113"/>
      <c r="F113" s="35">
        <f>SUMIFS(F114:F9015,K114:K9015,"0",B114:B9015,"1 1 2 3 1 12 31111 6 M59 00002*")</f>
        <v>1082896.5</v>
      </c>
      <c r="G113" s="35">
        <f>SUMIFS(G114:G9015,K114:K9015,"0",B114:B9015,"1 1 2 3 1 12 31111 6 M59 00002*")</f>
        <v>1082896.5</v>
      </c>
      <c r="H113" s="35">
        <f t="shared" si="1"/>
        <v>0</v>
      </c>
      <c r="I113" s="35"/>
      <c r="K113" t="s">
        <v>15</v>
      </c>
    </row>
    <row r="114" spans="2:11" ht="16.5" x14ac:dyDescent="0.2">
      <c r="B114" s="31" t="s">
        <v>187</v>
      </c>
      <c r="C114" s="31" t="s">
        <v>188</v>
      </c>
      <c r="D114" s="34">
        <v>0</v>
      </c>
      <c r="E114" s="34"/>
      <c r="F114" s="34">
        <v>1082896.5</v>
      </c>
      <c r="G114" s="34">
        <v>1082896.5</v>
      </c>
      <c r="H114" s="34">
        <f t="shared" si="1"/>
        <v>0</v>
      </c>
      <c r="I114" s="34"/>
      <c r="K114" t="s">
        <v>38</v>
      </c>
    </row>
    <row r="115" spans="2:11" ht="16.5" x14ac:dyDescent="0.2">
      <c r="B115" s="33" t="s">
        <v>189</v>
      </c>
      <c r="C115" s="33" t="s">
        <v>83</v>
      </c>
      <c r="D115" s="35">
        <f>SUMIFS(D116:D9015,K116:K9015,"0",B116:B9015,"1 1 2 3 1 12 31111 6 M59 00003*")-SUMIFS(E116:E9015,K116:K9015,"0",B116:B9015,"1 1 2 3 1 12 31111 6 M59 00003*")</f>
        <v>23000</v>
      </c>
      <c r="E115"/>
      <c r="F115" s="35">
        <f>SUMIFS(F116:F9015,K116:K9015,"0",B116:B9015,"1 1 2 3 1 12 31111 6 M59 00003*")</f>
        <v>742929.4800000001</v>
      </c>
      <c r="G115" s="35">
        <f>SUMIFS(G116:G9015,K116:K9015,"0",B116:B9015,"1 1 2 3 1 12 31111 6 M59 00003*")</f>
        <v>4524</v>
      </c>
      <c r="H115" s="35">
        <f t="shared" si="1"/>
        <v>761405.4800000001</v>
      </c>
      <c r="I115" s="35"/>
      <c r="K115" t="s">
        <v>15</v>
      </c>
    </row>
    <row r="116" spans="2:11" ht="16.5" x14ac:dyDescent="0.2">
      <c r="B116" s="33" t="s">
        <v>190</v>
      </c>
      <c r="C116" s="33" t="s">
        <v>191</v>
      </c>
      <c r="D116" s="35">
        <f>SUMIFS(D117:D9015,K117:K9015,"0",B117:B9015,"1 1 2 3 1 12 31111 6 M59 00003 000003*")-SUMIFS(E117:E9015,K117:K9015,"0",B117:B9015,"1 1 2 3 1 12 31111 6 M59 00003 000003*")</f>
        <v>23000</v>
      </c>
      <c r="E116"/>
      <c r="F116" s="35">
        <f>SUMIFS(F117:F9015,K117:K9015,"0",B117:B9015,"1 1 2 3 1 12 31111 6 M59 00003 000003*")</f>
        <v>742929.4800000001</v>
      </c>
      <c r="G116" s="35">
        <f>SUMIFS(G117:G9015,K117:K9015,"0",B117:B9015,"1 1 2 3 1 12 31111 6 M59 00003 000003*")</f>
        <v>4524</v>
      </c>
      <c r="H116" s="35">
        <f t="shared" si="1"/>
        <v>761405.4800000001</v>
      </c>
      <c r="I116" s="35"/>
      <c r="K116" t="s">
        <v>15</v>
      </c>
    </row>
    <row r="117" spans="2:11" ht="16.5" x14ac:dyDescent="0.2">
      <c r="B117" s="33" t="s">
        <v>192</v>
      </c>
      <c r="C117" s="33" t="s">
        <v>193</v>
      </c>
      <c r="D117" s="35">
        <f>SUMIFS(D118:D9015,K118:K9015,"0",B118:B9015,"1 1 2 3 1 12 31111 6 M59 00003 000003 00001*")-SUMIFS(E118:E9015,K118:K9015,"0",B118:B9015,"1 1 2 3 1 12 31111 6 M59 00003 000003 00001*")</f>
        <v>23000</v>
      </c>
      <c r="E117"/>
      <c r="F117" s="35">
        <f>SUMIFS(F118:F9015,K118:K9015,"0",B118:B9015,"1 1 2 3 1 12 31111 6 M59 00003 000003 00001*")</f>
        <v>742929.4800000001</v>
      </c>
      <c r="G117" s="35">
        <f>SUMIFS(G118:G9015,K118:K9015,"0",B118:B9015,"1 1 2 3 1 12 31111 6 M59 00003 000003 00001*")</f>
        <v>4524</v>
      </c>
      <c r="H117" s="35">
        <f t="shared" si="1"/>
        <v>761405.4800000001</v>
      </c>
      <c r="I117" s="35"/>
      <c r="K117" t="s">
        <v>15</v>
      </c>
    </row>
    <row r="118" spans="2:11" ht="16.5" x14ac:dyDescent="0.2">
      <c r="B118" s="31" t="s">
        <v>194</v>
      </c>
      <c r="C118" s="31" t="s">
        <v>195</v>
      </c>
      <c r="D118" s="34">
        <v>0</v>
      </c>
      <c r="E118" s="34"/>
      <c r="F118" s="34">
        <v>679191.06</v>
      </c>
      <c r="G118" s="34">
        <v>0</v>
      </c>
      <c r="H118" s="34">
        <f t="shared" si="1"/>
        <v>679191.06</v>
      </c>
      <c r="I118" s="34"/>
      <c r="K118" t="s">
        <v>38</v>
      </c>
    </row>
    <row r="119" spans="2:11" ht="24.75" x14ac:dyDescent="0.2">
      <c r="B119" s="31" t="s">
        <v>196</v>
      </c>
      <c r="C119" s="31" t="s">
        <v>179</v>
      </c>
      <c r="D119" s="34">
        <v>20000</v>
      </c>
      <c r="E119" s="34"/>
      <c r="F119" s="34">
        <v>4524</v>
      </c>
      <c r="G119" s="34">
        <v>4524</v>
      </c>
      <c r="H119" s="34">
        <f t="shared" si="1"/>
        <v>20000</v>
      </c>
      <c r="I119" s="34"/>
      <c r="K119" t="s">
        <v>38</v>
      </c>
    </row>
    <row r="120" spans="2:11" ht="16.5" x14ac:dyDescent="0.2">
      <c r="B120" s="31" t="s">
        <v>197</v>
      </c>
      <c r="C120" s="31" t="s">
        <v>198</v>
      </c>
      <c r="D120" s="34">
        <v>3000</v>
      </c>
      <c r="E120" s="34"/>
      <c r="F120" s="34">
        <v>0</v>
      </c>
      <c r="G120" s="34">
        <v>0</v>
      </c>
      <c r="H120" s="34">
        <f t="shared" si="1"/>
        <v>3000</v>
      </c>
      <c r="I120" s="34"/>
      <c r="K120" t="s">
        <v>38</v>
      </c>
    </row>
    <row r="121" spans="2:11" ht="24.75" x14ac:dyDescent="0.2">
      <c r="B121" s="31" t="s">
        <v>199</v>
      </c>
      <c r="C121" s="31" t="s">
        <v>200</v>
      </c>
      <c r="D121" s="34">
        <v>0</v>
      </c>
      <c r="E121" s="34"/>
      <c r="F121" s="34">
        <v>59214.42</v>
      </c>
      <c r="G121" s="34">
        <v>0</v>
      </c>
      <c r="H121" s="34">
        <f t="shared" si="1"/>
        <v>59214.42</v>
      </c>
      <c r="I121" s="34"/>
      <c r="K121" t="s">
        <v>38</v>
      </c>
    </row>
    <row r="122" spans="2:11" ht="24.75" x14ac:dyDescent="0.2">
      <c r="B122" s="33" t="s">
        <v>201</v>
      </c>
      <c r="C122" s="33" t="s">
        <v>91</v>
      </c>
      <c r="D122" s="35">
        <f>SUMIFS(D123:D9015,K123:K9015,"0",B123:B9015,"1 1 2 3 1 12 31111 6 M59 00004*")-SUMIFS(E123:E9015,K123:K9015,"0",B123:B9015,"1 1 2 3 1 12 31111 6 M59 00004*")</f>
        <v>18471</v>
      </c>
      <c r="E122"/>
      <c r="F122" s="35">
        <f>SUMIFS(F123:F9015,K123:K9015,"0",B123:B9015,"1 1 2 3 1 12 31111 6 M59 00004*")</f>
        <v>83579.59</v>
      </c>
      <c r="G122" s="35">
        <f>SUMIFS(G123:G9015,K123:K9015,"0",B123:B9015,"1 1 2 3 1 12 31111 6 M59 00004*")</f>
        <v>0</v>
      </c>
      <c r="H122" s="35">
        <f t="shared" si="1"/>
        <v>102050.59</v>
      </c>
      <c r="I122" s="35"/>
      <c r="K122" t="s">
        <v>15</v>
      </c>
    </row>
    <row r="123" spans="2:11" ht="16.5" x14ac:dyDescent="0.2">
      <c r="B123" s="33" t="s">
        <v>202</v>
      </c>
      <c r="C123" s="33" t="s">
        <v>203</v>
      </c>
      <c r="D123" s="35">
        <f>SUMIFS(D124:D9015,K124:K9015,"0",B124:B9015,"1 1 2 3 1 12 31111 6 M59 00004 000001*")-SUMIFS(E124:E9015,K124:K9015,"0",B124:B9015,"1 1 2 3 1 12 31111 6 M59 00004 000001*")</f>
        <v>18471</v>
      </c>
      <c r="E123"/>
      <c r="F123" s="35">
        <f>SUMIFS(F124:F9015,K124:K9015,"0",B124:B9015,"1 1 2 3 1 12 31111 6 M59 00004 000001*")</f>
        <v>83579.59</v>
      </c>
      <c r="G123" s="35">
        <f>SUMIFS(G124:G9015,K124:K9015,"0",B124:B9015,"1 1 2 3 1 12 31111 6 M59 00004 000001*")</f>
        <v>0</v>
      </c>
      <c r="H123" s="35">
        <f t="shared" si="1"/>
        <v>102050.59</v>
      </c>
      <c r="I123" s="35"/>
      <c r="K123" t="s">
        <v>15</v>
      </c>
    </row>
    <row r="124" spans="2:11" ht="16.5" x14ac:dyDescent="0.2">
      <c r="B124" s="31" t="s">
        <v>204</v>
      </c>
      <c r="C124" s="31" t="s">
        <v>205</v>
      </c>
      <c r="D124" s="34">
        <v>18471</v>
      </c>
      <c r="E124" s="34"/>
      <c r="F124" s="34">
        <v>0</v>
      </c>
      <c r="G124" s="34">
        <v>0</v>
      </c>
      <c r="H124" s="34">
        <f t="shared" si="1"/>
        <v>18471</v>
      </c>
      <c r="I124" s="34"/>
      <c r="K124" t="s">
        <v>38</v>
      </c>
    </row>
    <row r="125" spans="2:11" ht="16.5" x14ac:dyDescent="0.2">
      <c r="B125" s="31" t="s">
        <v>206</v>
      </c>
      <c r="C125" s="31" t="s">
        <v>185</v>
      </c>
      <c r="D125" s="34">
        <v>0</v>
      </c>
      <c r="E125" s="34"/>
      <c r="F125" s="34">
        <v>83579.59</v>
      </c>
      <c r="G125" s="34">
        <v>0</v>
      </c>
      <c r="H125" s="34">
        <f t="shared" si="1"/>
        <v>83579.59</v>
      </c>
      <c r="I125" s="34"/>
      <c r="K125" t="s">
        <v>38</v>
      </c>
    </row>
    <row r="126" spans="2:11" ht="16.5" x14ac:dyDescent="0.2">
      <c r="B126" s="33" t="s">
        <v>207</v>
      </c>
      <c r="C126" s="33" t="s">
        <v>208</v>
      </c>
      <c r="D126" s="35">
        <f>SUMIFS(D127:D9015,K127:K9015,"0",B127:B9015,"1 1 2 4*")-SUMIFS(E127:E9015,K127:K9015,"0",B127:B9015,"1 1 2 4*")</f>
        <v>9936650.6000000015</v>
      </c>
      <c r="E126"/>
      <c r="F126" s="35">
        <f>SUMIFS(F127:F9015,K127:K9015,"0",B127:B9015,"1 1 2 4*")</f>
        <v>24182042.310000002</v>
      </c>
      <c r="G126" s="35">
        <f>SUMIFS(G127:G9015,K127:K9015,"0",B127:B9015,"1 1 2 4*")</f>
        <v>24258273.82</v>
      </c>
      <c r="H126" s="35">
        <f t="shared" si="1"/>
        <v>9860419.0900000036</v>
      </c>
      <c r="I126" s="35"/>
      <c r="K126" t="s">
        <v>15</v>
      </c>
    </row>
    <row r="127" spans="2:11" ht="16.5" x14ac:dyDescent="0.2">
      <c r="B127" s="33" t="s">
        <v>209</v>
      </c>
      <c r="C127" s="33" t="s">
        <v>210</v>
      </c>
      <c r="D127" s="35">
        <f>SUMIFS(D128:D9015,K128:K9015,"0",B128:B9015,"1 1 2 4 1*")-SUMIFS(E128:E9015,K128:K9015,"0",B128:B9015,"1 1 2 4 1*")</f>
        <v>302973.89</v>
      </c>
      <c r="E127"/>
      <c r="F127" s="35">
        <f>SUMIFS(F128:F9015,K128:K9015,"0",B128:B9015,"1 1 2 4 1*")</f>
        <v>2737005.26</v>
      </c>
      <c r="G127" s="35">
        <f>SUMIFS(G128:G9015,K128:K9015,"0",B128:B9015,"1 1 2 4 1*")</f>
        <v>2738074.26</v>
      </c>
      <c r="H127" s="35">
        <f t="shared" si="1"/>
        <v>301904.89000000013</v>
      </c>
      <c r="I127" s="35"/>
      <c r="K127" t="s">
        <v>15</v>
      </c>
    </row>
    <row r="128" spans="2:11" ht="12.75" x14ac:dyDescent="0.2">
      <c r="B128" s="33" t="s">
        <v>211</v>
      </c>
      <c r="C128" s="33" t="s">
        <v>26</v>
      </c>
      <c r="D128" s="35">
        <f>SUMIFS(D129:D9015,K129:K9015,"0",B129:B9015,"1 1 2 4 1 12*")-SUMIFS(E129:E9015,K129:K9015,"0",B129:B9015,"1 1 2 4 1 12*")</f>
        <v>302973.89</v>
      </c>
      <c r="E128"/>
      <c r="F128" s="35">
        <f>SUMIFS(F129:F9015,K129:K9015,"0",B129:B9015,"1 1 2 4 1 12*")</f>
        <v>2737005.26</v>
      </c>
      <c r="G128" s="35">
        <f>SUMIFS(G129:G9015,K129:K9015,"0",B129:B9015,"1 1 2 4 1 12*")</f>
        <v>2738074.26</v>
      </c>
      <c r="H128" s="35">
        <f t="shared" si="1"/>
        <v>301904.89000000013</v>
      </c>
      <c r="I128" s="35"/>
      <c r="K128" t="s">
        <v>15</v>
      </c>
    </row>
    <row r="129" spans="2:11" ht="16.5" x14ac:dyDescent="0.2">
      <c r="B129" s="33" t="s">
        <v>212</v>
      </c>
      <c r="C129" s="33" t="s">
        <v>28</v>
      </c>
      <c r="D129" s="35">
        <f>SUMIFS(D130:D9015,K130:K9015,"0",B130:B9015,"1 1 2 4 1 12 31111*")-SUMIFS(E130:E9015,K130:K9015,"0",B130:B9015,"1 1 2 4 1 12 31111*")</f>
        <v>302973.89</v>
      </c>
      <c r="E129"/>
      <c r="F129" s="35">
        <f>SUMIFS(F130:F9015,K130:K9015,"0",B130:B9015,"1 1 2 4 1 12 31111*")</f>
        <v>2737005.26</v>
      </c>
      <c r="G129" s="35">
        <f>SUMIFS(G130:G9015,K130:K9015,"0",B130:B9015,"1 1 2 4 1 12 31111*")</f>
        <v>2738074.26</v>
      </c>
      <c r="H129" s="35">
        <f t="shared" si="1"/>
        <v>301904.89000000013</v>
      </c>
      <c r="I129" s="35"/>
      <c r="K129" t="s">
        <v>15</v>
      </c>
    </row>
    <row r="130" spans="2:11" ht="12.75" x14ac:dyDescent="0.2">
      <c r="B130" s="33" t="s">
        <v>213</v>
      </c>
      <c r="C130" s="33" t="s">
        <v>30</v>
      </c>
      <c r="D130" s="35">
        <f>SUMIFS(D131:D9015,K131:K9015,"0",B131:B9015,"1 1 2 4 1 12 31111 6*")-SUMIFS(E131:E9015,K131:K9015,"0",B131:B9015,"1 1 2 4 1 12 31111 6*")</f>
        <v>302973.89</v>
      </c>
      <c r="E130"/>
      <c r="F130" s="35">
        <f>SUMIFS(F131:F9015,K131:K9015,"0",B131:B9015,"1 1 2 4 1 12 31111 6*")</f>
        <v>2737005.26</v>
      </c>
      <c r="G130" s="35">
        <f>SUMIFS(G131:G9015,K131:K9015,"0",B131:B9015,"1 1 2 4 1 12 31111 6*")</f>
        <v>2738074.26</v>
      </c>
      <c r="H130" s="35">
        <f t="shared" si="1"/>
        <v>301904.89000000013</v>
      </c>
      <c r="I130" s="35"/>
      <c r="K130" t="s">
        <v>15</v>
      </c>
    </row>
    <row r="131" spans="2:11" ht="12.75" x14ac:dyDescent="0.2">
      <c r="B131" s="33" t="s">
        <v>214</v>
      </c>
      <c r="C131" s="33" t="s">
        <v>32</v>
      </c>
      <c r="D131" s="35">
        <f>SUMIFS(D132:D9015,K132:K9015,"0",B132:B9015,"1 1 2 4 1 12 31111 6 M59*")-SUMIFS(E132:E9015,K132:K9015,"0",B132:B9015,"1 1 2 4 1 12 31111 6 M59*")</f>
        <v>302973.89</v>
      </c>
      <c r="E131"/>
      <c r="F131" s="35">
        <f>SUMIFS(F132:F9015,K132:K9015,"0",B132:B9015,"1 1 2 4 1 12 31111 6 M59*")</f>
        <v>2737005.26</v>
      </c>
      <c r="G131" s="35">
        <f>SUMIFS(G132:G9015,K132:K9015,"0",B132:B9015,"1 1 2 4 1 12 31111 6 M59*")</f>
        <v>2738074.26</v>
      </c>
      <c r="H131" s="35">
        <f t="shared" si="1"/>
        <v>301904.89000000013</v>
      </c>
      <c r="I131" s="35"/>
      <c r="K131" t="s">
        <v>15</v>
      </c>
    </row>
    <row r="132" spans="2:11" ht="16.5" x14ac:dyDescent="0.2">
      <c r="B132" s="33" t="s">
        <v>215</v>
      </c>
      <c r="C132" s="33" t="s">
        <v>34</v>
      </c>
      <c r="D132" s="35">
        <f>SUMIFS(D133:D9015,K133:K9015,"0",B133:B9015,"1 1 2 4 1 12 31111 6 M59 00001*")-SUMIFS(E133:E9015,K133:K9015,"0",B133:B9015,"1 1 2 4 1 12 31111 6 M59 00001*")</f>
        <v>277741.5</v>
      </c>
      <c r="E132"/>
      <c r="F132" s="35">
        <f>SUMIFS(F133:F9015,K133:K9015,"0",B133:B9015,"1 1 2 4 1 12 31111 6 M59 00001*")</f>
        <v>0</v>
      </c>
      <c r="G132" s="35">
        <f>SUMIFS(G133:G9015,K133:K9015,"0",B133:B9015,"1 1 2 4 1 12 31111 6 M59 00001*")</f>
        <v>0</v>
      </c>
      <c r="H132" s="35">
        <f t="shared" si="1"/>
        <v>277741.5</v>
      </c>
      <c r="I132" s="35"/>
      <c r="K132" t="s">
        <v>15</v>
      </c>
    </row>
    <row r="133" spans="2:11" ht="16.5" x14ac:dyDescent="0.2">
      <c r="B133" s="33" t="s">
        <v>216</v>
      </c>
      <c r="C133" s="33" t="s">
        <v>217</v>
      </c>
      <c r="D133" s="35">
        <f>SUMIFS(D134:D9015,K134:K9015,"0",B134:B9015,"1 1 2 4 1 12 31111 6 M59 00001 000006*")-SUMIFS(E134:E9015,K134:K9015,"0",B134:B9015,"1 1 2 4 1 12 31111 6 M59 00001 000006*")</f>
        <v>277741.5</v>
      </c>
      <c r="E133"/>
      <c r="F133" s="35">
        <f>SUMIFS(F134:F9015,K134:K9015,"0",B134:B9015,"1 1 2 4 1 12 31111 6 M59 00001 000006*")</f>
        <v>0</v>
      </c>
      <c r="G133" s="35">
        <f>SUMIFS(G134:G9015,K134:K9015,"0",B134:B9015,"1 1 2 4 1 12 31111 6 M59 00001 000006*")</f>
        <v>0</v>
      </c>
      <c r="H133" s="35">
        <f t="shared" si="1"/>
        <v>277741.5</v>
      </c>
      <c r="I133" s="35"/>
      <c r="K133" t="s">
        <v>15</v>
      </c>
    </row>
    <row r="134" spans="2:11" ht="24.75" x14ac:dyDescent="0.2">
      <c r="B134" s="31" t="s">
        <v>218</v>
      </c>
      <c r="C134" s="31" t="s">
        <v>219</v>
      </c>
      <c r="D134" s="34">
        <v>277741.5</v>
      </c>
      <c r="E134" s="34"/>
      <c r="F134" s="34">
        <v>0</v>
      </c>
      <c r="G134" s="34">
        <v>0</v>
      </c>
      <c r="H134" s="34">
        <f t="shared" si="1"/>
        <v>277741.5</v>
      </c>
      <c r="I134" s="34"/>
      <c r="K134" t="s">
        <v>38</v>
      </c>
    </row>
    <row r="135" spans="2:11" ht="24.75" x14ac:dyDescent="0.2">
      <c r="B135" s="33" t="s">
        <v>220</v>
      </c>
      <c r="C135" s="33" t="s">
        <v>91</v>
      </c>
      <c r="D135" s="35">
        <f>SUMIFS(D136:D9015,K136:K9015,"0",B136:B9015,"1 1 2 4 1 12 31111 6 M59 00004*")-SUMIFS(E136:E9015,K136:K9015,"0",B136:B9015,"1 1 2 4 1 12 31111 6 M59 00004*")</f>
        <v>25232.39</v>
      </c>
      <c r="E135"/>
      <c r="F135" s="35">
        <f>SUMIFS(F136:F9015,K136:K9015,"0",B136:B9015,"1 1 2 4 1 12 31111 6 M59 00004*")</f>
        <v>2737005.26</v>
      </c>
      <c r="G135" s="35">
        <f>SUMIFS(G136:G9015,K136:K9015,"0",B136:B9015,"1 1 2 4 1 12 31111 6 M59 00004*")</f>
        <v>2738074.26</v>
      </c>
      <c r="H135" s="35">
        <f t="shared" si="1"/>
        <v>24163.39000000013</v>
      </c>
      <c r="I135" s="35"/>
      <c r="K135" t="s">
        <v>15</v>
      </c>
    </row>
    <row r="136" spans="2:11" ht="16.5" x14ac:dyDescent="0.2">
      <c r="B136" s="33" t="s">
        <v>221</v>
      </c>
      <c r="C136" s="33" t="s">
        <v>222</v>
      </c>
      <c r="D136" s="35">
        <f>SUMIFS(D137:D9015,K137:K9015,"0",B137:B9015,"1 1 2 4 1 12 31111 6 M59 00004 000001*")-SUMIFS(E137:E9015,K137:K9015,"0",B137:B9015,"1 1 2 4 1 12 31111 6 M59 00004 000001*")</f>
        <v>25232.39</v>
      </c>
      <c r="E136"/>
      <c r="F136" s="35">
        <f>SUMIFS(F137:F9015,K137:K9015,"0",B137:B9015,"1 1 2 4 1 12 31111 6 M59 00004 000001*")</f>
        <v>2737005.26</v>
      </c>
      <c r="G136" s="35">
        <f>SUMIFS(G137:G9015,K137:K9015,"0",B137:B9015,"1 1 2 4 1 12 31111 6 M59 00004 000001*")</f>
        <v>2738074.26</v>
      </c>
      <c r="H136" s="35">
        <f t="shared" si="1"/>
        <v>24163.39000000013</v>
      </c>
      <c r="I136" s="35"/>
      <c r="K136" t="s">
        <v>15</v>
      </c>
    </row>
    <row r="137" spans="2:11" ht="16.5" x14ac:dyDescent="0.2">
      <c r="B137" s="31" t="s">
        <v>223</v>
      </c>
      <c r="C137" s="31" t="s">
        <v>224</v>
      </c>
      <c r="D137" s="34">
        <v>25232.39</v>
      </c>
      <c r="E137" s="34"/>
      <c r="F137" s="34">
        <v>2737005.26</v>
      </c>
      <c r="G137" s="34">
        <v>2738074.26</v>
      </c>
      <c r="H137" s="34">
        <f t="shared" si="1"/>
        <v>24163.39000000013</v>
      </c>
      <c r="I137" s="34"/>
      <c r="K137" t="s">
        <v>38</v>
      </c>
    </row>
    <row r="138" spans="2:11" ht="12.75" x14ac:dyDescent="0.2">
      <c r="B138" s="33" t="s">
        <v>225</v>
      </c>
      <c r="C138" s="33" t="s">
        <v>226</v>
      </c>
      <c r="D138" s="35">
        <f>SUMIFS(D139:D9015,K139:K9015,"0",B139:B9015,"1 1 2 4 3*")-SUMIFS(E139:E9015,K139:K9015,"0",B139:B9015,"1 1 2 4 3*")</f>
        <v>9352976.7100000009</v>
      </c>
      <c r="E138"/>
      <c r="F138" s="35">
        <f>SUMIFS(F139:F9015,K139:K9015,"0",B139:B9015,"1 1 2 4 3*")</f>
        <v>17649608.640000001</v>
      </c>
      <c r="G138" s="35">
        <f>SUMIFS(G139:G9015,K139:K9015,"0",B139:B9015,"1 1 2 4 3*")</f>
        <v>17725427.149999999</v>
      </c>
      <c r="H138" s="35">
        <f t="shared" si="1"/>
        <v>9277158.200000003</v>
      </c>
      <c r="I138" s="35"/>
      <c r="K138" t="s">
        <v>15</v>
      </c>
    </row>
    <row r="139" spans="2:11" ht="12.75" x14ac:dyDescent="0.2">
      <c r="B139" s="33" t="s">
        <v>227</v>
      </c>
      <c r="C139" s="33" t="s">
        <v>26</v>
      </c>
      <c r="D139" s="35">
        <f>SUMIFS(D140:D9015,K140:K9015,"0",B140:B9015,"1 1 2 4 3 12*")-SUMIFS(E140:E9015,K140:K9015,"0",B140:B9015,"1 1 2 4 3 12*")</f>
        <v>9352976.7100000009</v>
      </c>
      <c r="E139"/>
      <c r="F139" s="35">
        <f>SUMIFS(F140:F9015,K140:K9015,"0",B140:B9015,"1 1 2 4 3 12*")</f>
        <v>17649608.640000001</v>
      </c>
      <c r="G139" s="35">
        <f>SUMIFS(G140:G9015,K140:K9015,"0",B140:B9015,"1 1 2 4 3 12*")</f>
        <v>17725427.149999999</v>
      </c>
      <c r="H139" s="35">
        <f t="shared" si="1"/>
        <v>9277158.200000003</v>
      </c>
      <c r="I139" s="35"/>
      <c r="K139" t="s">
        <v>15</v>
      </c>
    </row>
    <row r="140" spans="2:11" ht="16.5" x14ac:dyDescent="0.2">
      <c r="B140" s="33" t="s">
        <v>228</v>
      </c>
      <c r="C140" s="33" t="s">
        <v>28</v>
      </c>
      <c r="D140" s="35">
        <f>SUMIFS(D141:D9015,K141:K9015,"0",B141:B9015,"1 1 2 4 3 12 31111*")-SUMIFS(E141:E9015,K141:K9015,"0",B141:B9015,"1 1 2 4 3 12 31111*")</f>
        <v>9352976.7100000009</v>
      </c>
      <c r="E140"/>
      <c r="F140" s="35">
        <f>SUMIFS(F141:F9015,K141:K9015,"0",B141:B9015,"1 1 2 4 3 12 31111*")</f>
        <v>17649608.640000001</v>
      </c>
      <c r="G140" s="35">
        <f>SUMIFS(G141:G9015,K141:K9015,"0",B141:B9015,"1 1 2 4 3 12 31111*")</f>
        <v>17725427.149999999</v>
      </c>
      <c r="H140" s="35">
        <f t="shared" ref="H140:H203" si="2">D140 + F140 - G140</f>
        <v>9277158.200000003</v>
      </c>
      <c r="I140" s="35"/>
      <c r="K140" t="s">
        <v>15</v>
      </c>
    </row>
    <row r="141" spans="2:11" ht="12.75" x14ac:dyDescent="0.2">
      <c r="B141" s="33" t="s">
        <v>229</v>
      </c>
      <c r="C141" s="33" t="s">
        <v>30</v>
      </c>
      <c r="D141" s="35">
        <f>SUMIFS(D142:D9015,K142:K9015,"0",B142:B9015,"1 1 2 4 3 12 31111 6*")-SUMIFS(E142:E9015,K142:K9015,"0",B142:B9015,"1 1 2 4 3 12 31111 6*")</f>
        <v>9352976.7100000009</v>
      </c>
      <c r="E141"/>
      <c r="F141" s="35">
        <f>SUMIFS(F142:F9015,K142:K9015,"0",B142:B9015,"1 1 2 4 3 12 31111 6*")</f>
        <v>17649608.640000001</v>
      </c>
      <c r="G141" s="35">
        <f>SUMIFS(G142:G9015,K142:K9015,"0",B142:B9015,"1 1 2 4 3 12 31111 6*")</f>
        <v>17725427.149999999</v>
      </c>
      <c r="H141" s="35">
        <f t="shared" si="2"/>
        <v>9277158.200000003</v>
      </c>
      <c r="I141" s="35"/>
      <c r="K141" t="s">
        <v>15</v>
      </c>
    </row>
    <row r="142" spans="2:11" ht="16.5" x14ac:dyDescent="0.2">
      <c r="B142" s="33" t="s">
        <v>230</v>
      </c>
      <c r="C142" s="33" t="s">
        <v>32</v>
      </c>
      <c r="D142" s="35">
        <f>SUMIFS(D143:D9015,K143:K9015,"0",B143:B9015,"1 1 2 4 3 12 31111 6 M59*")-SUMIFS(E143:E9015,K143:K9015,"0",B143:B9015,"1 1 2 4 3 12 31111 6 M59*")</f>
        <v>9352976.7100000009</v>
      </c>
      <c r="E142"/>
      <c r="F142" s="35">
        <f>SUMIFS(F143:F9015,K143:K9015,"0",B143:B9015,"1 1 2 4 3 12 31111 6 M59*")</f>
        <v>17649608.640000001</v>
      </c>
      <c r="G142" s="35">
        <f>SUMIFS(G143:G9015,K143:K9015,"0",B143:B9015,"1 1 2 4 3 12 31111 6 M59*")</f>
        <v>17725427.149999999</v>
      </c>
      <c r="H142" s="35">
        <f t="shared" si="2"/>
        <v>9277158.200000003</v>
      </c>
      <c r="I142" s="35"/>
      <c r="K142" t="s">
        <v>15</v>
      </c>
    </row>
    <row r="143" spans="2:11" ht="24.75" x14ac:dyDescent="0.2">
      <c r="B143" s="33" t="s">
        <v>231</v>
      </c>
      <c r="C143" s="33" t="s">
        <v>91</v>
      </c>
      <c r="D143" s="35">
        <f>SUMIFS(D144:D9015,K144:K9015,"0",B144:B9015,"1 1 2 4 3 12 31111 6 M59 00004*")-SUMIFS(E144:E9015,K144:K9015,"0",B144:B9015,"1 1 2 4 3 12 31111 6 M59 00004*")</f>
        <v>9352976.7100000009</v>
      </c>
      <c r="E143"/>
      <c r="F143" s="35">
        <f>SUMIFS(F144:F9015,K144:K9015,"0",B144:B9015,"1 1 2 4 3 12 31111 6 M59 00004*")</f>
        <v>17649608.640000001</v>
      </c>
      <c r="G143" s="35">
        <f>SUMIFS(G144:G9015,K144:K9015,"0",B144:B9015,"1 1 2 4 3 12 31111 6 M59 00004*")</f>
        <v>17725427.149999999</v>
      </c>
      <c r="H143" s="35">
        <f t="shared" si="2"/>
        <v>9277158.200000003</v>
      </c>
      <c r="I143" s="35"/>
      <c r="K143" t="s">
        <v>15</v>
      </c>
    </row>
    <row r="144" spans="2:11" ht="24.75" x14ac:dyDescent="0.2">
      <c r="B144" s="33" t="s">
        <v>232</v>
      </c>
      <c r="C144" s="33" t="s">
        <v>233</v>
      </c>
      <c r="D144" s="35">
        <f>SUMIFS(D145:D9015,K145:K9015,"0",B145:B9015,"1 1 2 4 3 12 31111 6 M59 00004 000001*")-SUMIFS(E145:E9015,K145:K9015,"0",B145:B9015,"1 1 2 4 3 12 31111 6 M59 00004 000001*")</f>
        <v>9352976.7100000009</v>
      </c>
      <c r="E144"/>
      <c r="F144" s="35">
        <f>SUMIFS(F145:F9015,K145:K9015,"0",B145:B9015,"1 1 2 4 3 12 31111 6 M59 00004 000001*")</f>
        <v>17649608.640000001</v>
      </c>
      <c r="G144" s="35">
        <f>SUMIFS(G145:G9015,K145:K9015,"0",B145:B9015,"1 1 2 4 3 12 31111 6 M59 00004 000001*")</f>
        <v>17725427.149999999</v>
      </c>
      <c r="H144" s="35">
        <f t="shared" si="2"/>
        <v>9277158.200000003</v>
      </c>
      <c r="I144" s="35"/>
      <c r="K144" t="s">
        <v>15</v>
      </c>
    </row>
    <row r="145" spans="2:11" ht="16.5" x14ac:dyDescent="0.2">
      <c r="B145" s="31" t="s">
        <v>234</v>
      </c>
      <c r="C145" s="31" t="s">
        <v>226</v>
      </c>
      <c r="D145" s="34">
        <v>9352976.7100000009</v>
      </c>
      <c r="E145" s="34"/>
      <c r="F145" s="34">
        <v>17649608.640000001</v>
      </c>
      <c r="G145" s="34">
        <v>17725427.149999999</v>
      </c>
      <c r="H145" s="34">
        <f t="shared" si="2"/>
        <v>9277158.200000003</v>
      </c>
      <c r="I145" s="34"/>
      <c r="K145" t="s">
        <v>38</v>
      </c>
    </row>
    <row r="146" spans="2:11" ht="12.75" x14ac:dyDescent="0.2">
      <c r="B146" s="33" t="s">
        <v>235</v>
      </c>
      <c r="C146" s="33" t="s">
        <v>236</v>
      </c>
      <c r="D146" s="35">
        <f>SUMIFS(D147:D9015,K147:K9015,"0",B147:B9015,"1 1 2 4 4*")-SUMIFS(E147:E9015,K147:K9015,"0",B147:B9015,"1 1 2 4 4*")</f>
        <v>280000</v>
      </c>
      <c r="E146"/>
      <c r="F146" s="35">
        <f>SUMIFS(F147:F9015,K147:K9015,"0",B147:B9015,"1 1 2 4 4*")</f>
        <v>2469828.11</v>
      </c>
      <c r="G146" s="35">
        <f>SUMIFS(G147:G9015,K147:K9015,"0",B147:B9015,"1 1 2 4 4*")</f>
        <v>2469172.11</v>
      </c>
      <c r="H146" s="35">
        <f t="shared" si="2"/>
        <v>280656</v>
      </c>
      <c r="I146" s="35"/>
      <c r="K146" t="s">
        <v>15</v>
      </c>
    </row>
    <row r="147" spans="2:11" ht="12.75" x14ac:dyDescent="0.2">
      <c r="B147" s="33" t="s">
        <v>237</v>
      </c>
      <c r="C147" s="33" t="s">
        <v>26</v>
      </c>
      <c r="D147" s="35">
        <f>SUMIFS(D148:D9015,K148:K9015,"0",B148:B9015,"1 1 2 4 4 12*")-SUMIFS(E148:E9015,K148:K9015,"0",B148:B9015,"1 1 2 4 4 12*")</f>
        <v>280000</v>
      </c>
      <c r="E147"/>
      <c r="F147" s="35">
        <f>SUMIFS(F148:F9015,K148:K9015,"0",B148:B9015,"1 1 2 4 4 12*")</f>
        <v>2469828.11</v>
      </c>
      <c r="G147" s="35">
        <f>SUMIFS(G148:G9015,K148:K9015,"0",B148:B9015,"1 1 2 4 4 12*")</f>
        <v>2469172.11</v>
      </c>
      <c r="H147" s="35">
        <f t="shared" si="2"/>
        <v>280656</v>
      </c>
      <c r="I147" s="35"/>
      <c r="K147" t="s">
        <v>15</v>
      </c>
    </row>
    <row r="148" spans="2:11" ht="16.5" x14ac:dyDescent="0.2">
      <c r="B148" s="33" t="s">
        <v>238</v>
      </c>
      <c r="C148" s="33" t="s">
        <v>28</v>
      </c>
      <c r="D148" s="35">
        <f>SUMIFS(D149:D9015,K149:K9015,"0",B149:B9015,"1 1 2 4 4 12 31111*")-SUMIFS(E149:E9015,K149:K9015,"0",B149:B9015,"1 1 2 4 4 12 31111*")</f>
        <v>280000</v>
      </c>
      <c r="E148"/>
      <c r="F148" s="35">
        <f>SUMIFS(F149:F9015,K149:K9015,"0",B149:B9015,"1 1 2 4 4 12 31111*")</f>
        <v>2469828.11</v>
      </c>
      <c r="G148" s="35">
        <f>SUMIFS(G149:G9015,K149:K9015,"0",B149:B9015,"1 1 2 4 4 12 31111*")</f>
        <v>2469172.11</v>
      </c>
      <c r="H148" s="35">
        <f t="shared" si="2"/>
        <v>280656</v>
      </c>
      <c r="I148" s="35"/>
      <c r="K148" t="s">
        <v>15</v>
      </c>
    </row>
    <row r="149" spans="2:11" ht="12.75" x14ac:dyDescent="0.2">
      <c r="B149" s="33" t="s">
        <v>239</v>
      </c>
      <c r="C149" s="33" t="s">
        <v>30</v>
      </c>
      <c r="D149" s="35">
        <f>SUMIFS(D150:D9015,K150:K9015,"0",B150:B9015,"1 1 2 4 4 12 31111 6*")-SUMIFS(E150:E9015,K150:K9015,"0",B150:B9015,"1 1 2 4 4 12 31111 6*")</f>
        <v>280000</v>
      </c>
      <c r="E149"/>
      <c r="F149" s="35">
        <f>SUMIFS(F150:F9015,K150:K9015,"0",B150:B9015,"1 1 2 4 4 12 31111 6*")</f>
        <v>2469828.11</v>
      </c>
      <c r="G149" s="35">
        <f>SUMIFS(G150:G9015,K150:K9015,"0",B150:B9015,"1 1 2 4 4 12 31111 6*")</f>
        <v>2469172.11</v>
      </c>
      <c r="H149" s="35">
        <f t="shared" si="2"/>
        <v>280656</v>
      </c>
      <c r="I149" s="35"/>
      <c r="K149" t="s">
        <v>15</v>
      </c>
    </row>
    <row r="150" spans="2:11" ht="16.5" x14ac:dyDescent="0.2">
      <c r="B150" s="33" t="s">
        <v>240</v>
      </c>
      <c r="C150" s="33" t="s">
        <v>32</v>
      </c>
      <c r="D150" s="35">
        <f>SUMIFS(D151:D9015,K151:K9015,"0",B151:B9015,"1 1 2 4 4 12 31111 6 M59*")-SUMIFS(E151:E9015,K151:K9015,"0",B151:B9015,"1 1 2 4 4 12 31111 6 M59*")</f>
        <v>280000</v>
      </c>
      <c r="E150"/>
      <c r="F150" s="35">
        <f>SUMIFS(F151:F9015,K151:K9015,"0",B151:B9015,"1 1 2 4 4 12 31111 6 M59*")</f>
        <v>2469828.11</v>
      </c>
      <c r="G150" s="35">
        <f>SUMIFS(G151:G9015,K151:K9015,"0",B151:B9015,"1 1 2 4 4 12 31111 6 M59*")</f>
        <v>2469172.11</v>
      </c>
      <c r="H150" s="35">
        <f t="shared" si="2"/>
        <v>280656</v>
      </c>
      <c r="I150" s="35"/>
      <c r="K150" t="s">
        <v>15</v>
      </c>
    </row>
    <row r="151" spans="2:11" ht="16.5" x14ac:dyDescent="0.2">
      <c r="B151" s="33" t="s">
        <v>241</v>
      </c>
      <c r="C151" s="33" t="s">
        <v>34</v>
      </c>
      <c r="D151" s="35">
        <f>SUMIFS(D152:D9015,K152:K9015,"0",B152:B9015,"1 1 2 4 4 12 31111 6 M59 00001*")-SUMIFS(E152:E9015,K152:K9015,"0",B152:B9015,"1 1 2 4 4 12 31111 6 M59 00001*")</f>
        <v>0</v>
      </c>
      <c r="E151"/>
      <c r="F151" s="35">
        <f>SUMIFS(F152:F9015,K152:K9015,"0",B152:B9015,"1 1 2 4 4 12 31111 6 M59 00001*")</f>
        <v>117.46</v>
      </c>
      <c r="G151" s="35">
        <f>SUMIFS(G152:G9015,K152:K9015,"0",B152:B9015,"1 1 2 4 4 12 31111 6 M59 00001*")</f>
        <v>117.46</v>
      </c>
      <c r="H151" s="35">
        <f t="shared" si="2"/>
        <v>0</v>
      </c>
      <c r="I151" s="35"/>
      <c r="K151" t="s">
        <v>15</v>
      </c>
    </row>
    <row r="152" spans="2:11" ht="16.5" x14ac:dyDescent="0.2">
      <c r="B152" s="31" t="s">
        <v>242</v>
      </c>
      <c r="C152" s="31" t="s">
        <v>243</v>
      </c>
      <c r="D152" s="34">
        <v>0</v>
      </c>
      <c r="E152" s="34"/>
      <c r="F152" s="34">
        <v>117.46</v>
      </c>
      <c r="G152" s="34">
        <v>117.46</v>
      </c>
      <c r="H152" s="34">
        <f t="shared" si="2"/>
        <v>0</v>
      </c>
      <c r="I152" s="34"/>
      <c r="K152" t="s">
        <v>38</v>
      </c>
    </row>
    <row r="153" spans="2:11" ht="16.5" x14ac:dyDescent="0.2">
      <c r="B153" s="31" t="s">
        <v>244</v>
      </c>
      <c r="C153" s="31" t="s">
        <v>73</v>
      </c>
      <c r="D153" s="34">
        <v>0</v>
      </c>
      <c r="E153" s="34"/>
      <c r="F153" s="34">
        <v>99129.21</v>
      </c>
      <c r="G153" s="34">
        <v>99129.21</v>
      </c>
      <c r="H153" s="34">
        <f t="shared" si="2"/>
        <v>0</v>
      </c>
      <c r="I153" s="34"/>
      <c r="K153" t="s">
        <v>38</v>
      </c>
    </row>
    <row r="154" spans="2:11" ht="16.5" x14ac:dyDescent="0.2">
      <c r="B154" s="31" t="s">
        <v>245</v>
      </c>
      <c r="C154" s="31" t="s">
        <v>83</v>
      </c>
      <c r="D154" s="34">
        <v>0</v>
      </c>
      <c r="E154" s="34"/>
      <c r="F154" s="34">
        <v>13610.15</v>
      </c>
      <c r="G154" s="34">
        <v>13610.15</v>
      </c>
      <c r="H154" s="34">
        <f t="shared" si="2"/>
        <v>0</v>
      </c>
      <c r="I154" s="34"/>
      <c r="K154" t="s">
        <v>38</v>
      </c>
    </row>
    <row r="155" spans="2:11" ht="24.75" x14ac:dyDescent="0.2">
      <c r="B155" s="33" t="s">
        <v>246</v>
      </c>
      <c r="C155" s="33" t="s">
        <v>91</v>
      </c>
      <c r="D155" s="35">
        <f>SUMIFS(D156:D9015,K156:K9015,"0",B156:B9015,"1 1 2 4 4 12 31111 6 M59 00004*")-SUMIFS(E156:E9015,K156:K9015,"0",B156:B9015,"1 1 2 4 4 12 31111 6 M59 00004*")</f>
        <v>280000</v>
      </c>
      <c r="E155"/>
      <c r="F155" s="35">
        <f>SUMIFS(F156:F9015,K156:K9015,"0",B156:B9015,"1 1 2 4 4 12 31111 6 M59 00004*")</f>
        <v>2356967.2400000002</v>
      </c>
      <c r="G155" s="35">
        <f>SUMIFS(G156:G9015,K156:K9015,"0",B156:B9015,"1 1 2 4 4 12 31111 6 M59 00004*")</f>
        <v>2356311.2400000002</v>
      </c>
      <c r="H155" s="35">
        <f t="shared" si="2"/>
        <v>280656</v>
      </c>
      <c r="I155" s="35"/>
      <c r="K155" t="s">
        <v>15</v>
      </c>
    </row>
    <row r="156" spans="2:11" ht="16.5" x14ac:dyDescent="0.2">
      <c r="B156" s="33" t="s">
        <v>247</v>
      </c>
      <c r="C156" s="33" t="s">
        <v>243</v>
      </c>
      <c r="D156" s="35">
        <f>SUMIFS(D157:D9015,K157:K9015,"0",B157:B9015,"1 1 2 4 4 12 31111 6 M59 00004 000001*")-SUMIFS(E157:E9015,K157:K9015,"0",B157:B9015,"1 1 2 4 4 12 31111 6 M59 00004 000001*")</f>
        <v>280000</v>
      </c>
      <c r="E156"/>
      <c r="F156" s="35">
        <f>SUMIFS(F157:F9015,K157:K9015,"0",B157:B9015,"1 1 2 4 4 12 31111 6 M59 00004 000001*")</f>
        <v>2356967.2400000002</v>
      </c>
      <c r="G156" s="35">
        <f>SUMIFS(G157:G9015,K157:K9015,"0",B157:B9015,"1 1 2 4 4 12 31111 6 M59 00004 000001*")</f>
        <v>2356311.2400000002</v>
      </c>
      <c r="H156" s="35">
        <f t="shared" si="2"/>
        <v>280656</v>
      </c>
      <c r="I156" s="35"/>
      <c r="K156" t="s">
        <v>15</v>
      </c>
    </row>
    <row r="157" spans="2:11" ht="16.5" x14ac:dyDescent="0.2">
      <c r="B157" s="31" t="s">
        <v>248</v>
      </c>
      <c r="C157" s="31" t="s">
        <v>236</v>
      </c>
      <c r="D157" s="34">
        <v>280000</v>
      </c>
      <c r="E157" s="34"/>
      <c r="F157" s="34">
        <v>2356967.2400000002</v>
      </c>
      <c r="G157" s="34">
        <v>2356311.2400000002</v>
      </c>
      <c r="H157" s="34">
        <f t="shared" si="2"/>
        <v>280656</v>
      </c>
      <c r="I157" s="34"/>
      <c r="K157" t="s">
        <v>38</v>
      </c>
    </row>
    <row r="158" spans="2:11" ht="41.25" x14ac:dyDescent="0.2">
      <c r="B158" s="33" t="s">
        <v>249</v>
      </c>
      <c r="C158" s="33" t="s">
        <v>109</v>
      </c>
      <c r="D158" s="35">
        <f>SUMIFS(D159:D9015,K159:K9015,"0",B159:B9015,"1 1 2 4 4 12 31111 6 M59 00005*")-SUMIFS(E159:E9015,K159:K9015,"0",B159:B9015,"1 1 2 4 4 12 31111 6 M59 00005*")</f>
        <v>0</v>
      </c>
      <c r="E158"/>
      <c r="F158" s="35">
        <f>SUMIFS(F159:F9015,K159:K9015,"0",B159:B9015,"1 1 2 4 4 12 31111 6 M59 00005*")</f>
        <v>4.05</v>
      </c>
      <c r="G158" s="35">
        <f>SUMIFS(G159:G9015,K159:K9015,"0",B159:B9015,"1 1 2 4 4 12 31111 6 M59 00005*")</f>
        <v>4.05</v>
      </c>
      <c r="H158" s="35">
        <f t="shared" si="2"/>
        <v>0</v>
      </c>
      <c r="I158" s="35"/>
      <c r="K158" t="s">
        <v>15</v>
      </c>
    </row>
    <row r="159" spans="2:11" ht="16.5" x14ac:dyDescent="0.2">
      <c r="B159" s="33" t="s">
        <v>250</v>
      </c>
      <c r="C159" s="33" t="s">
        <v>243</v>
      </c>
      <c r="D159" s="35">
        <f>SUMIFS(D160:D9015,K160:K9015,"0",B160:B9015,"1 1 2 4 4 12 31111 6 M59 00005 000001*")-SUMIFS(E160:E9015,K160:K9015,"0",B160:B9015,"1 1 2 4 4 12 31111 6 M59 00005 000001*")</f>
        <v>0</v>
      </c>
      <c r="E159"/>
      <c r="F159" s="35">
        <f>SUMIFS(F160:F9015,K160:K9015,"0",B160:B9015,"1 1 2 4 4 12 31111 6 M59 00005 000001*")</f>
        <v>4.05</v>
      </c>
      <c r="G159" s="35">
        <f>SUMIFS(G160:G9015,K160:K9015,"0",B160:B9015,"1 1 2 4 4 12 31111 6 M59 00005 000001*")</f>
        <v>4.05</v>
      </c>
      <c r="H159" s="35">
        <f t="shared" si="2"/>
        <v>0</v>
      </c>
      <c r="I159" s="35"/>
      <c r="K159" t="s">
        <v>15</v>
      </c>
    </row>
    <row r="160" spans="2:11" ht="16.5" x14ac:dyDescent="0.2">
      <c r="B160" s="31" t="s">
        <v>251</v>
      </c>
      <c r="C160" s="31" t="s">
        <v>252</v>
      </c>
      <c r="D160" s="34">
        <v>0</v>
      </c>
      <c r="E160" s="34"/>
      <c r="F160" s="34">
        <v>4.05</v>
      </c>
      <c r="G160" s="34">
        <v>4.05</v>
      </c>
      <c r="H160" s="34">
        <f t="shared" si="2"/>
        <v>0</v>
      </c>
      <c r="I160" s="34"/>
      <c r="K160" t="s">
        <v>38</v>
      </c>
    </row>
    <row r="161" spans="2:11" ht="16.5" x14ac:dyDescent="0.2">
      <c r="B161" s="33" t="s">
        <v>253</v>
      </c>
      <c r="C161" s="33" t="s">
        <v>254</v>
      </c>
      <c r="D161" s="35">
        <f>SUMIFS(D162:D9015,K162:K9015,"0",B162:B9015,"1 1 2 4 5*")-SUMIFS(E162:E9015,K162:K9015,"0",B162:B9015,"1 1 2 4 5*")</f>
        <v>700</v>
      </c>
      <c r="E161"/>
      <c r="F161" s="35">
        <f>SUMIFS(F162:F9015,K162:K9015,"0",B162:B9015,"1 1 2 4 5*")</f>
        <v>1325600.3</v>
      </c>
      <c r="G161" s="35">
        <f>SUMIFS(G162:G9015,K162:K9015,"0",B162:B9015,"1 1 2 4 5*")</f>
        <v>1325600.3</v>
      </c>
      <c r="H161" s="35">
        <f t="shared" si="2"/>
        <v>700</v>
      </c>
      <c r="I161" s="35"/>
      <c r="K161" t="s">
        <v>15</v>
      </c>
    </row>
    <row r="162" spans="2:11" ht="12.75" x14ac:dyDescent="0.2">
      <c r="B162" s="33" t="s">
        <v>255</v>
      </c>
      <c r="C162" s="33" t="s">
        <v>26</v>
      </c>
      <c r="D162" s="35">
        <f>SUMIFS(D163:D9015,K163:K9015,"0",B163:B9015,"1 1 2 4 5 12*")-SUMIFS(E163:E9015,K163:K9015,"0",B163:B9015,"1 1 2 4 5 12*")</f>
        <v>700</v>
      </c>
      <c r="E162"/>
      <c r="F162" s="35">
        <f>SUMIFS(F163:F9015,K163:K9015,"0",B163:B9015,"1 1 2 4 5 12*")</f>
        <v>1325600.3</v>
      </c>
      <c r="G162" s="35">
        <f>SUMIFS(G163:G9015,K163:K9015,"0",B163:B9015,"1 1 2 4 5 12*")</f>
        <v>1325600.3</v>
      </c>
      <c r="H162" s="35">
        <f t="shared" si="2"/>
        <v>700</v>
      </c>
      <c r="I162" s="35"/>
      <c r="K162" t="s">
        <v>15</v>
      </c>
    </row>
    <row r="163" spans="2:11" ht="16.5" x14ac:dyDescent="0.2">
      <c r="B163" s="33" t="s">
        <v>256</v>
      </c>
      <c r="C163" s="33" t="s">
        <v>28</v>
      </c>
      <c r="D163" s="35">
        <f>SUMIFS(D164:D9015,K164:K9015,"0",B164:B9015,"1 1 2 4 5 12 31111*")-SUMIFS(E164:E9015,K164:K9015,"0",B164:B9015,"1 1 2 4 5 12 31111*")</f>
        <v>700</v>
      </c>
      <c r="E163"/>
      <c r="F163" s="35">
        <f>SUMIFS(F164:F9015,K164:K9015,"0",B164:B9015,"1 1 2 4 5 12 31111*")</f>
        <v>1325600.3</v>
      </c>
      <c r="G163" s="35">
        <f>SUMIFS(G164:G9015,K164:K9015,"0",B164:B9015,"1 1 2 4 5 12 31111*")</f>
        <v>1325600.3</v>
      </c>
      <c r="H163" s="35">
        <f t="shared" si="2"/>
        <v>700</v>
      </c>
      <c r="I163" s="35"/>
      <c r="K163" t="s">
        <v>15</v>
      </c>
    </row>
    <row r="164" spans="2:11" ht="12.75" x14ac:dyDescent="0.2">
      <c r="B164" s="33" t="s">
        <v>257</v>
      </c>
      <c r="C164" s="33" t="s">
        <v>30</v>
      </c>
      <c r="D164" s="35">
        <f>SUMIFS(D165:D9015,K165:K9015,"0",B165:B9015,"1 1 2 4 5 12 31111 6*")-SUMIFS(E165:E9015,K165:K9015,"0",B165:B9015,"1 1 2 4 5 12 31111 6*")</f>
        <v>700</v>
      </c>
      <c r="E164"/>
      <c r="F164" s="35">
        <f>SUMIFS(F165:F9015,K165:K9015,"0",B165:B9015,"1 1 2 4 5 12 31111 6*")</f>
        <v>1325600.3</v>
      </c>
      <c r="G164" s="35">
        <f>SUMIFS(G165:G9015,K165:K9015,"0",B165:B9015,"1 1 2 4 5 12 31111 6*")</f>
        <v>1325600.3</v>
      </c>
      <c r="H164" s="35">
        <f t="shared" si="2"/>
        <v>700</v>
      </c>
      <c r="I164" s="35"/>
      <c r="K164" t="s">
        <v>15</v>
      </c>
    </row>
    <row r="165" spans="2:11" ht="16.5" x14ac:dyDescent="0.2">
      <c r="B165" s="33" t="s">
        <v>258</v>
      </c>
      <c r="C165" s="33" t="s">
        <v>32</v>
      </c>
      <c r="D165" s="35">
        <f>SUMIFS(D166:D9015,K166:K9015,"0",B166:B9015,"1 1 2 4 5 12 31111 6 M59*")-SUMIFS(E166:E9015,K166:K9015,"0",B166:B9015,"1 1 2 4 5 12 31111 6 M59*")</f>
        <v>700</v>
      </c>
      <c r="E165"/>
      <c r="F165" s="35">
        <f>SUMIFS(F166:F9015,K166:K9015,"0",B166:B9015,"1 1 2 4 5 12 31111 6 M59*")</f>
        <v>1325600.3</v>
      </c>
      <c r="G165" s="35">
        <f>SUMIFS(G166:G9015,K166:K9015,"0",B166:B9015,"1 1 2 4 5 12 31111 6 M59*")</f>
        <v>1325600.3</v>
      </c>
      <c r="H165" s="35">
        <f t="shared" si="2"/>
        <v>700</v>
      </c>
      <c r="I165" s="35"/>
      <c r="K165" t="s">
        <v>15</v>
      </c>
    </row>
    <row r="166" spans="2:11" ht="24.75" x14ac:dyDescent="0.2">
      <c r="B166" s="33" t="s">
        <v>259</v>
      </c>
      <c r="C166" s="33" t="s">
        <v>91</v>
      </c>
      <c r="D166" s="35">
        <f>SUMIFS(D167:D9015,K167:K9015,"0",B167:B9015,"1 1 2 4 5 12 31111 6 M59 00004*")-SUMIFS(E167:E9015,K167:K9015,"0",B167:B9015,"1 1 2 4 5 12 31111 6 M59 00004*")</f>
        <v>700</v>
      </c>
      <c r="E166"/>
      <c r="F166" s="35">
        <f>SUMIFS(F167:F9015,K167:K9015,"0",B167:B9015,"1 1 2 4 5 12 31111 6 M59 00004*")</f>
        <v>1325600.3</v>
      </c>
      <c r="G166" s="35">
        <f>SUMIFS(G167:G9015,K167:K9015,"0",B167:B9015,"1 1 2 4 5 12 31111 6 M59 00004*")</f>
        <v>1325600.3</v>
      </c>
      <c r="H166" s="35">
        <f t="shared" si="2"/>
        <v>700</v>
      </c>
      <c r="I166" s="35"/>
      <c r="K166" t="s">
        <v>15</v>
      </c>
    </row>
    <row r="167" spans="2:11" ht="16.5" x14ac:dyDescent="0.2">
      <c r="B167" s="33" t="s">
        <v>260</v>
      </c>
      <c r="C167" s="33" t="s">
        <v>261</v>
      </c>
      <c r="D167" s="35">
        <f>SUMIFS(D168:D9015,K168:K9015,"0",B168:B9015,"1 1 2 4 5 12 31111 6 M59 00004 000001*")-SUMIFS(E168:E9015,K168:K9015,"0",B168:B9015,"1 1 2 4 5 12 31111 6 M59 00004 000001*")</f>
        <v>700</v>
      </c>
      <c r="E167"/>
      <c r="F167" s="35">
        <f>SUMIFS(F168:F9015,K168:K9015,"0",B168:B9015,"1 1 2 4 5 12 31111 6 M59 00004 000001*")</f>
        <v>1325600.3</v>
      </c>
      <c r="G167" s="35">
        <f>SUMIFS(G168:G9015,K168:K9015,"0",B168:B9015,"1 1 2 4 5 12 31111 6 M59 00004 000001*")</f>
        <v>1325600.3</v>
      </c>
      <c r="H167" s="35">
        <f t="shared" si="2"/>
        <v>700</v>
      </c>
      <c r="I167" s="35"/>
      <c r="K167" t="s">
        <v>15</v>
      </c>
    </row>
    <row r="168" spans="2:11" ht="16.5" x14ac:dyDescent="0.2">
      <c r="B168" s="31" t="s">
        <v>262</v>
      </c>
      <c r="C168" s="31" t="s">
        <v>254</v>
      </c>
      <c r="D168" s="34">
        <v>700</v>
      </c>
      <c r="E168" s="34"/>
      <c r="F168" s="34">
        <v>1325600.3</v>
      </c>
      <c r="G168" s="34">
        <v>1325600.3</v>
      </c>
      <c r="H168" s="34">
        <f t="shared" si="2"/>
        <v>700</v>
      </c>
      <c r="I168" s="34"/>
      <c r="K168" t="s">
        <v>38</v>
      </c>
    </row>
    <row r="169" spans="2:11" ht="16.5" x14ac:dyDescent="0.2">
      <c r="B169" s="33" t="s">
        <v>263</v>
      </c>
      <c r="C169" s="33" t="s">
        <v>264</v>
      </c>
      <c r="D169" s="35">
        <f>SUMIFS(D170:D9015,K170:K9015,"0",B170:B9015,"1 1 2 6*")-SUMIFS(E170:E9015,K170:K9015,"0",B170:B9015,"1 1 2 6*")</f>
        <v>126050</v>
      </c>
      <c r="E169"/>
      <c r="F169" s="35">
        <f>SUMIFS(F170:F9015,K170:K9015,"0",B170:B9015,"1 1 2 6*")</f>
        <v>5905700</v>
      </c>
      <c r="G169" s="35">
        <f>SUMIFS(G170:G9015,K170:K9015,"0",B170:B9015,"1 1 2 6*")</f>
        <v>5819700</v>
      </c>
      <c r="H169" s="35">
        <f t="shared" si="2"/>
        <v>212050</v>
      </c>
      <c r="I169" s="35"/>
      <c r="K169" t="s">
        <v>15</v>
      </c>
    </row>
    <row r="170" spans="2:11" ht="16.5" x14ac:dyDescent="0.2">
      <c r="B170" s="33" t="s">
        <v>265</v>
      </c>
      <c r="C170" s="33" t="s">
        <v>266</v>
      </c>
      <c r="D170" s="35">
        <f>SUMIFS(D171:D9015,K171:K9015,"0",B171:B9015,"1 1 2 6 1*")-SUMIFS(E171:E9015,K171:K9015,"0",B171:B9015,"1 1 2 6 1*")</f>
        <v>2100</v>
      </c>
      <c r="E170"/>
      <c r="F170" s="35">
        <f>SUMIFS(F171:F9015,K171:K9015,"0",B171:B9015,"1 1 2 6 1*")</f>
        <v>5895700</v>
      </c>
      <c r="G170" s="35">
        <f>SUMIFS(G171:G9015,K171:K9015,"0",B171:B9015,"1 1 2 6 1*")</f>
        <v>5767700</v>
      </c>
      <c r="H170" s="35">
        <f t="shared" si="2"/>
        <v>130100</v>
      </c>
      <c r="I170" s="35"/>
      <c r="K170" t="s">
        <v>15</v>
      </c>
    </row>
    <row r="171" spans="2:11" ht="12.75" x14ac:dyDescent="0.2">
      <c r="B171" s="33" t="s">
        <v>267</v>
      </c>
      <c r="C171" s="33" t="s">
        <v>26</v>
      </c>
      <c r="D171" s="35">
        <f>SUMIFS(D172:D9015,K172:K9015,"0",B172:B9015,"1 1 2 6 1 12*")-SUMIFS(E172:E9015,K172:K9015,"0",B172:B9015,"1 1 2 6 1 12*")</f>
        <v>2100</v>
      </c>
      <c r="E171"/>
      <c r="F171" s="35">
        <f>SUMIFS(F172:F9015,K172:K9015,"0",B172:B9015,"1 1 2 6 1 12*")</f>
        <v>5895700</v>
      </c>
      <c r="G171" s="35">
        <f>SUMIFS(G172:G9015,K172:K9015,"0",B172:B9015,"1 1 2 6 1 12*")</f>
        <v>5767700</v>
      </c>
      <c r="H171" s="35">
        <f t="shared" si="2"/>
        <v>130100</v>
      </c>
      <c r="I171" s="35"/>
      <c r="K171" t="s">
        <v>15</v>
      </c>
    </row>
    <row r="172" spans="2:11" ht="16.5" x14ac:dyDescent="0.2">
      <c r="B172" s="33" t="s">
        <v>268</v>
      </c>
      <c r="C172" s="33" t="s">
        <v>28</v>
      </c>
      <c r="D172" s="35">
        <f>SUMIFS(D173:D9015,K173:K9015,"0",B173:B9015,"1 1 2 6 1 12 31111*")-SUMIFS(E173:E9015,K173:K9015,"0",B173:B9015,"1 1 2 6 1 12 31111*")</f>
        <v>2100</v>
      </c>
      <c r="E172"/>
      <c r="F172" s="35">
        <f>SUMIFS(F173:F9015,K173:K9015,"0",B173:B9015,"1 1 2 6 1 12 31111*")</f>
        <v>5895700</v>
      </c>
      <c r="G172" s="35">
        <f>SUMIFS(G173:G9015,K173:K9015,"0",B173:B9015,"1 1 2 6 1 12 31111*")</f>
        <v>5767700</v>
      </c>
      <c r="H172" s="35">
        <f t="shared" si="2"/>
        <v>130100</v>
      </c>
      <c r="I172" s="35"/>
      <c r="K172" t="s">
        <v>15</v>
      </c>
    </row>
    <row r="173" spans="2:11" ht="12.75" x14ac:dyDescent="0.2">
      <c r="B173" s="33" t="s">
        <v>269</v>
      </c>
      <c r="C173" s="33" t="s">
        <v>30</v>
      </c>
      <c r="D173" s="35">
        <f>SUMIFS(D174:D9015,K174:K9015,"0",B174:B9015,"1 1 2 6 1 12 31111 6*")-SUMIFS(E174:E9015,K174:K9015,"0",B174:B9015,"1 1 2 6 1 12 31111 6*")</f>
        <v>2100</v>
      </c>
      <c r="E173"/>
      <c r="F173" s="35">
        <f>SUMIFS(F174:F9015,K174:K9015,"0",B174:B9015,"1 1 2 6 1 12 31111 6*")</f>
        <v>5895700</v>
      </c>
      <c r="G173" s="35">
        <f>SUMIFS(G174:G9015,K174:K9015,"0",B174:B9015,"1 1 2 6 1 12 31111 6*")</f>
        <v>5767700</v>
      </c>
      <c r="H173" s="35">
        <f t="shared" si="2"/>
        <v>130100</v>
      </c>
      <c r="I173" s="35"/>
      <c r="K173" t="s">
        <v>15</v>
      </c>
    </row>
    <row r="174" spans="2:11" ht="16.5" x14ac:dyDescent="0.2">
      <c r="B174" s="33" t="s">
        <v>270</v>
      </c>
      <c r="C174" s="33" t="s">
        <v>271</v>
      </c>
      <c r="D174" s="35">
        <f>SUMIFS(D175:D9015,K175:K9015,"0",B175:B9015,"1 1 2 6 1 12 31111 6 M59*")-SUMIFS(E175:E9015,K175:K9015,"0",B175:B9015,"1 1 2 6 1 12 31111 6 M59*")</f>
        <v>2100</v>
      </c>
      <c r="E174"/>
      <c r="F174" s="35">
        <f>SUMIFS(F175:F9015,K175:K9015,"0",B175:B9015,"1 1 2 6 1 12 31111 6 M59*")</f>
        <v>5895700</v>
      </c>
      <c r="G174" s="35">
        <f>SUMIFS(G175:G9015,K175:K9015,"0",B175:B9015,"1 1 2 6 1 12 31111 6 M59*")</f>
        <v>5767700</v>
      </c>
      <c r="H174" s="35">
        <f t="shared" si="2"/>
        <v>130100</v>
      </c>
      <c r="I174" s="35"/>
      <c r="K174" t="s">
        <v>15</v>
      </c>
    </row>
    <row r="175" spans="2:11" ht="16.5" x14ac:dyDescent="0.2">
      <c r="B175" s="33" t="s">
        <v>272</v>
      </c>
      <c r="C175" s="33" t="s">
        <v>34</v>
      </c>
      <c r="D175" s="35">
        <f>SUMIFS(D176:D9015,K176:K9015,"0",B176:B9015,"1 1 2 6 1 12 31111 6 M59 00001*")-SUMIFS(E176:E9015,K176:K9015,"0",B176:B9015,"1 1 2 6 1 12 31111 6 M59 00001*")</f>
        <v>2100</v>
      </c>
      <c r="E175"/>
      <c r="F175" s="35">
        <f>SUMIFS(F176:F9015,K176:K9015,"0",B176:B9015,"1 1 2 6 1 12 31111 6 M59 00001*")</f>
        <v>5895700</v>
      </c>
      <c r="G175" s="35">
        <f>SUMIFS(G176:G9015,K176:K9015,"0",B176:B9015,"1 1 2 6 1 12 31111 6 M59 00001*")</f>
        <v>5767700</v>
      </c>
      <c r="H175" s="35">
        <f t="shared" si="2"/>
        <v>130100</v>
      </c>
      <c r="I175" s="35"/>
      <c r="K175" t="s">
        <v>15</v>
      </c>
    </row>
    <row r="176" spans="2:11" ht="16.5" x14ac:dyDescent="0.2">
      <c r="B176" s="31" t="s">
        <v>273</v>
      </c>
      <c r="C176" s="31" t="s">
        <v>274</v>
      </c>
      <c r="D176" s="34">
        <v>2100</v>
      </c>
      <c r="E176" s="34"/>
      <c r="F176" s="34">
        <v>5895700</v>
      </c>
      <c r="G176" s="34">
        <v>5767700</v>
      </c>
      <c r="H176" s="34">
        <f t="shared" si="2"/>
        <v>130100</v>
      </c>
      <c r="I176" s="34"/>
      <c r="K176" t="s">
        <v>38</v>
      </c>
    </row>
    <row r="177" spans="2:11" ht="16.5" x14ac:dyDescent="0.2">
      <c r="B177" s="33" t="s">
        <v>275</v>
      </c>
      <c r="C177" s="33" t="s">
        <v>276</v>
      </c>
      <c r="D177" s="35">
        <f>SUMIFS(D178:D9015,K178:K9015,"0",B178:B9015,"1 1 2 6 4*")-SUMIFS(E178:E9015,K178:K9015,"0",B178:B9015,"1 1 2 6 4*")</f>
        <v>123950</v>
      </c>
      <c r="E177"/>
      <c r="F177" s="35">
        <f>SUMIFS(F178:F9015,K178:K9015,"0",B178:B9015,"1 1 2 6 4*")</f>
        <v>10000</v>
      </c>
      <c r="G177" s="35">
        <f>SUMIFS(G178:G9015,K178:K9015,"0",B178:B9015,"1 1 2 6 4*")</f>
        <v>52000</v>
      </c>
      <c r="H177" s="35">
        <f t="shared" si="2"/>
        <v>81950</v>
      </c>
      <c r="I177" s="35"/>
      <c r="K177" t="s">
        <v>15</v>
      </c>
    </row>
    <row r="178" spans="2:11" ht="12.75" x14ac:dyDescent="0.2">
      <c r="B178" s="33" t="s">
        <v>277</v>
      </c>
      <c r="C178" s="33" t="s">
        <v>26</v>
      </c>
      <c r="D178" s="35">
        <f>SUMIFS(D179:D9015,K179:K9015,"0",B179:B9015,"1 1 2 6 4 12*")-SUMIFS(E179:E9015,K179:K9015,"0",B179:B9015,"1 1 2 6 4 12*")</f>
        <v>123950</v>
      </c>
      <c r="E178"/>
      <c r="F178" s="35">
        <f>SUMIFS(F179:F9015,K179:K9015,"0",B179:B9015,"1 1 2 6 4 12*")</f>
        <v>10000</v>
      </c>
      <c r="G178" s="35">
        <f>SUMIFS(G179:G9015,K179:K9015,"0",B179:B9015,"1 1 2 6 4 12*")</f>
        <v>52000</v>
      </c>
      <c r="H178" s="35">
        <f t="shared" si="2"/>
        <v>81950</v>
      </c>
      <c r="I178" s="35"/>
      <c r="K178" t="s">
        <v>15</v>
      </c>
    </row>
    <row r="179" spans="2:11" ht="16.5" x14ac:dyDescent="0.2">
      <c r="B179" s="33" t="s">
        <v>278</v>
      </c>
      <c r="C179" s="33" t="s">
        <v>28</v>
      </c>
      <c r="D179" s="35">
        <f>SUMIFS(D180:D9015,K180:K9015,"0",B180:B9015,"1 1 2 6 4 12 31111*")-SUMIFS(E180:E9015,K180:K9015,"0",B180:B9015,"1 1 2 6 4 12 31111*")</f>
        <v>123950</v>
      </c>
      <c r="E179"/>
      <c r="F179" s="35">
        <f>SUMIFS(F180:F9015,K180:K9015,"0",B180:B9015,"1 1 2 6 4 12 31111*")</f>
        <v>10000</v>
      </c>
      <c r="G179" s="35">
        <f>SUMIFS(G180:G9015,K180:K9015,"0",B180:B9015,"1 1 2 6 4 12 31111*")</f>
        <v>52000</v>
      </c>
      <c r="H179" s="35">
        <f t="shared" si="2"/>
        <v>81950</v>
      </c>
      <c r="I179" s="35"/>
      <c r="K179" t="s">
        <v>15</v>
      </c>
    </row>
    <row r="180" spans="2:11" ht="12.75" x14ac:dyDescent="0.2">
      <c r="B180" s="33" t="s">
        <v>279</v>
      </c>
      <c r="C180" s="33" t="s">
        <v>30</v>
      </c>
      <c r="D180" s="35">
        <f>SUMIFS(D181:D9015,K181:K9015,"0",B181:B9015,"1 1 2 6 4 12 31111 6*")-SUMIFS(E181:E9015,K181:K9015,"0",B181:B9015,"1 1 2 6 4 12 31111 6*")</f>
        <v>123950</v>
      </c>
      <c r="E180"/>
      <c r="F180" s="35">
        <f>SUMIFS(F181:F9015,K181:K9015,"0",B181:B9015,"1 1 2 6 4 12 31111 6*")</f>
        <v>10000</v>
      </c>
      <c r="G180" s="35">
        <f>SUMIFS(G181:G9015,K181:K9015,"0",B181:B9015,"1 1 2 6 4 12 31111 6*")</f>
        <v>52000</v>
      </c>
      <c r="H180" s="35">
        <f t="shared" si="2"/>
        <v>81950</v>
      </c>
      <c r="I180" s="35"/>
      <c r="K180" t="s">
        <v>15</v>
      </c>
    </row>
    <row r="181" spans="2:11" ht="16.5" x14ac:dyDescent="0.2">
      <c r="B181" s="33" t="s">
        <v>280</v>
      </c>
      <c r="C181" s="33" t="s">
        <v>140</v>
      </c>
      <c r="D181" s="35">
        <f>SUMIFS(D182:D9015,K182:K9015,"0",B182:B9015,"1 1 2 6 4 12 31111 6 M59*")-SUMIFS(E182:E9015,K182:K9015,"0",B182:B9015,"1 1 2 6 4 12 31111 6 M59*")</f>
        <v>123950</v>
      </c>
      <c r="E181"/>
      <c r="F181" s="35">
        <f>SUMIFS(F182:F9015,K182:K9015,"0",B182:B9015,"1 1 2 6 4 12 31111 6 M59*")</f>
        <v>10000</v>
      </c>
      <c r="G181" s="35">
        <f>SUMIFS(G182:G9015,K182:K9015,"0",B182:B9015,"1 1 2 6 4 12 31111 6 M59*")</f>
        <v>52000</v>
      </c>
      <c r="H181" s="35">
        <f t="shared" si="2"/>
        <v>81950</v>
      </c>
      <c r="I181" s="35"/>
      <c r="K181" t="s">
        <v>15</v>
      </c>
    </row>
    <row r="182" spans="2:11" ht="16.5" x14ac:dyDescent="0.2">
      <c r="B182" s="33" t="s">
        <v>281</v>
      </c>
      <c r="C182" s="33" t="s">
        <v>282</v>
      </c>
      <c r="D182" s="35">
        <f>SUMIFS(D183:D9015,K183:K9015,"0",B183:B9015,"1 1 2 6 4 12 31111 6 M59 00001*")-SUMIFS(E183:E9015,K183:K9015,"0",B183:B9015,"1 1 2 6 4 12 31111 6 M59 00001*")</f>
        <v>112450</v>
      </c>
      <c r="E182"/>
      <c r="F182" s="35">
        <f>SUMIFS(F183:F9015,K183:K9015,"0",B183:B9015,"1 1 2 6 4 12 31111 6 M59 00001*")</f>
        <v>5000</v>
      </c>
      <c r="G182" s="35">
        <f>SUMIFS(G183:G9015,K183:K9015,"0",B183:B9015,"1 1 2 6 4 12 31111 6 M59 00001*")</f>
        <v>35500</v>
      </c>
      <c r="H182" s="35">
        <f t="shared" si="2"/>
        <v>81950</v>
      </c>
      <c r="I182" s="35"/>
      <c r="K182" t="s">
        <v>15</v>
      </c>
    </row>
    <row r="183" spans="2:11" ht="16.5" x14ac:dyDescent="0.2">
      <c r="B183" s="31" t="s">
        <v>283</v>
      </c>
      <c r="C183" s="31" t="s">
        <v>284</v>
      </c>
      <c r="D183" s="34">
        <v>4700</v>
      </c>
      <c r="E183" s="34"/>
      <c r="F183" s="34">
        <v>0</v>
      </c>
      <c r="G183" s="34">
        <v>2000</v>
      </c>
      <c r="H183" s="34">
        <f t="shared" si="2"/>
        <v>2700</v>
      </c>
      <c r="I183" s="34"/>
      <c r="K183" t="s">
        <v>38</v>
      </c>
    </row>
    <row r="184" spans="2:11" ht="16.5" x14ac:dyDescent="0.2">
      <c r="B184" s="31" t="s">
        <v>285</v>
      </c>
      <c r="C184" s="31" t="s">
        <v>286</v>
      </c>
      <c r="D184" s="34">
        <v>2700</v>
      </c>
      <c r="E184" s="34"/>
      <c r="F184" s="34">
        <v>0</v>
      </c>
      <c r="G184" s="34">
        <v>0</v>
      </c>
      <c r="H184" s="34">
        <f t="shared" si="2"/>
        <v>2700</v>
      </c>
      <c r="I184" s="34"/>
      <c r="K184" t="s">
        <v>38</v>
      </c>
    </row>
    <row r="185" spans="2:11" ht="16.5" x14ac:dyDescent="0.2">
      <c r="B185" s="31" t="s">
        <v>287</v>
      </c>
      <c r="C185" s="31" t="s">
        <v>288</v>
      </c>
      <c r="D185" s="34">
        <v>2700</v>
      </c>
      <c r="E185" s="34"/>
      <c r="F185" s="34">
        <v>0</v>
      </c>
      <c r="G185" s="34">
        <v>0</v>
      </c>
      <c r="H185" s="34">
        <f t="shared" si="2"/>
        <v>2700</v>
      </c>
      <c r="I185" s="34"/>
      <c r="K185" t="s">
        <v>38</v>
      </c>
    </row>
    <row r="186" spans="2:11" ht="16.5" x14ac:dyDescent="0.2">
      <c r="B186" s="31" t="s">
        <v>289</v>
      </c>
      <c r="C186" s="31" t="s">
        <v>290</v>
      </c>
      <c r="D186" s="34">
        <v>2750</v>
      </c>
      <c r="E186" s="34"/>
      <c r="F186" s="34">
        <v>0</v>
      </c>
      <c r="G186" s="34">
        <v>0</v>
      </c>
      <c r="H186" s="34">
        <f t="shared" si="2"/>
        <v>2750</v>
      </c>
      <c r="I186" s="34"/>
      <c r="K186" t="s">
        <v>38</v>
      </c>
    </row>
    <row r="187" spans="2:11" ht="16.5" x14ac:dyDescent="0.2">
      <c r="B187" s="31" t="s">
        <v>291</v>
      </c>
      <c r="C187" s="31" t="s">
        <v>292</v>
      </c>
      <c r="D187" s="34">
        <v>2700</v>
      </c>
      <c r="E187" s="34"/>
      <c r="F187" s="34">
        <v>0</v>
      </c>
      <c r="G187" s="34">
        <v>0</v>
      </c>
      <c r="H187" s="34">
        <f t="shared" si="2"/>
        <v>2700</v>
      </c>
      <c r="I187" s="34"/>
      <c r="K187" t="s">
        <v>38</v>
      </c>
    </row>
    <row r="188" spans="2:11" ht="16.5" x14ac:dyDescent="0.2">
      <c r="B188" s="31" t="s">
        <v>293</v>
      </c>
      <c r="C188" s="31" t="s">
        <v>294</v>
      </c>
      <c r="D188" s="34">
        <v>2700</v>
      </c>
      <c r="E188" s="34"/>
      <c r="F188" s="34">
        <v>0</v>
      </c>
      <c r="G188" s="34">
        <v>0</v>
      </c>
      <c r="H188" s="34">
        <f t="shared" si="2"/>
        <v>2700</v>
      </c>
      <c r="I188" s="34"/>
      <c r="K188" t="s">
        <v>38</v>
      </c>
    </row>
    <row r="189" spans="2:11" ht="16.5" x14ac:dyDescent="0.2">
      <c r="B189" s="31" t="s">
        <v>295</v>
      </c>
      <c r="C189" s="31" t="s">
        <v>296</v>
      </c>
      <c r="D189" s="34">
        <v>0</v>
      </c>
      <c r="E189" s="34"/>
      <c r="F189" s="34">
        <v>5000</v>
      </c>
      <c r="G189" s="34">
        <v>5000</v>
      </c>
      <c r="H189" s="34">
        <f t="shared" si="2"/>
        <v>0</v>
      </c>
      <c r="I189" s="34"/>
      <c r="K189" t="s">
        <v>38</v>
      </c>
    </row>
    <row r="190" spans="2:11" ht="16.5" x14ac:dyDescent="0.2">
      <c r="B190" s="31" t="s">
        <v>297</v>
      </c>
      <c r="C190" s="31" t="s">
        <v>298</v>
      </c>
      <c r="D190" s="34">
        <v>3500</v>
      </c>
      <c r="E190" s="34"/>
      <c r="F190" s="34">
        <v>0</v>
      </c>
      <c r="G190" s="34">
        <v>0</v>
      </c>
      <c r="H190" s="34">
        <f t="shared" si="2"/>
        <v>3500</v>
      </c>
      <c r="I190" s="34"/>
      <c r="K190" t="s">
        <v>38</v>
      </c>
    </row>
    <row r="191" spans="2:11" ht="16.5" x14ac:dyDescent="0.2">
      <c r="B191" s="31" t="s">
        <v>299</v>
      </c>
      <c r="C191" s="31" t="s">
        <v>300</v>
      </c>
      <c r="D191" s="34">
        <v>5500</v>
      </c>
      <c r="E191" s="34"/>
      <c r="F191" s="34">
        <v>0</v>
      </c>
      <c r="G191" s="34">
        <v>0</v>
      </c>
      <c r="H191" s="34">
        <f t="shared" si="2"/>
        <v>5500</v>
      </c>
      <c r="I191" s="34"/>
      <c r="K191" t="s">
        <v>38</v>
      </c>
    </row>
    <row r="192" spans="2:11" ht="16.5" x14ac:dyDescent="0.2">
      <c r="B192" s="31" t="s">
        <v>301</v>
      </c>
      <c r="C192" s="31" t="s">
        <v>302</v>
      </c>
      <c r="D192" s="34">
        <v>2700</v>
      </c>
      <c r="E192" s="34"/>
      <c r="F192" s="34">
        <v>0</v>
      </c>
      <c r="G192" s="34">
        <v>0</v>
      </c>
      <c r="H192" s="34">
        <f t="shared" si="2"/>
        <v>2700</v>
      </c>
      <c r="I192" s="34"/>
      <c r="K192" t="s">
        <v>38</v>
      </c>
    </row>
    <row r="193" spans="2:11" ht="16.5" x14ac:dyDescent="0.2">
      <c r="B193" s="31" t="s">
        <v>303</v>
      </c>
      <c r="C193" s="31" t="s">
        <v>304</v>
      </c>
      <c r="D193" s="34">
        <v>3000</v>
      </c>
      <c r="E193" s="34"/>
      <c r="F193" s="34">
        <v>0</v>
      </c>
      <c r="G193" s="34">
        <v>2500</v>
      </c>
      <c r="H193" s="34">
        <f t="shared" si="2"/>
        <v>500</v>
      </c>
      <c r="I193" s="34"/>
      <c r="K193" t="s">
        <v>38</v>
      </c>
    </row>
    <row r="194" spans="2:11" ht="16.5" x14ac:dyDescent="0.2">
      <c r="B194" s="31" t="s">
        <v>305</v>
      </c>
      <c r="C194" s="31" t="s">
        <v>306</v>
      </c>
      <c r="D194" s="34">
        <v>5500</v>
      </c>
      <c r="E194" s="34"/>
      <c r="F194" s="34">
        <v>0</v>
      </c>
      <c r="G194" s="34">
        <v>0</v>
      </c>
      <c r="H194" s="34">
        <f t="shared" si="2"/>
        <v>5500</v>
      </c>
      <c r="I194" s="34"/>
      <c r="K194" t="s">
        <v>38</v>
      </c>
    </row>
    <row r="195" spans="2:11" ht="16.5" x14ac:dyDescent="0.2">
      <c r="B195" s="31" t="s">
        <v>307</v>
      </c>
      <c r="C195" s="31" t="s">
        <v>308</v>
      </c>
      <c r="D195" s="34">
        <v>5500</v>
      </c>
      <c r="E195" s="34"/>
      <c r="F195" s="34">
        <v>0</v>
      </c>
      <c r="G195" s="34">
        <v>0</v>
      </c>
      <c r="H195" s="34">
        <f t="shared" si="2"/>
        <v>5500</v>
      </c>
      <c r="I195" s="34"/>
      <c r="K195" t="s">
        <v>38</v>
      </c>
    </row>
    <row r="196" spans="2:11" ht="16.5" x14ac:dyDescent="0.2">
      <c r="B196" s="31" t="s">
        <v>309</v>
      </c>
      <c r="C196" s="31" t="s">
        <v>310</v>
      </c>
      <c r="D196" s="34">
        <v>2800</v>
      </c>
      <c r="E196" s="34"/>
      <c r="F196" s="34">
        <v>0</v>
      </c>
      <c r="G196" s="34">
        <v>0</v>
      </c>
      <c r="H196" s="34">
        <f t="shared" si="2"/>
        <v>2800</v>
      </c>
      <c r="I196" s="34"/>
      <c r="K196" t="s">
        <v>38</v>
      </c>
    </row>
    <row r="197" spans="2:11" ht="16.5" x14ac:dyDescent="0.2">
      <c r="B197" s="31" t="s">
        <v>311</v>
      </c>
      <c r="C197" s="31" t="s">
        <v>312</v>
      </c>
      <c r="D197" s="34">
        <v>2700</v>
      </c>
      <c r="E197" s="34"/>
      <c r="F197" s="34">
        <v>0</v>
      </c>
      <c r="G197" s="34">
        <v>0</v>
      </c>
      <c r="H197" s="34">
        <f t="shared" si="2"/>
        <v>2700</v>
      </c>
      <c r="I197" s="34"/>
      <c r="K197" t="s">
        <v>38</v>
      </c>
    </row>
    <row r="198" spans="2:11" ht="16.5" x14ac:dyDescent="0.2">
      <c r="B198" s="31" t="s">
        <v>313</v>
      </c>
      <c r="C198" s="31" t="s">
        <v>314</v>
      </c>
      <c r="D198" s="34">
        <v>2700</v>
      </c>
      <c r="E198" s="34"/>
      <c r="F198" s="34">
        <v>0</v>
      </c>
      <c r="G198" s="34">
        <v>0</v>
      </c>
      <c r="H198" s="34">
        <f t="shared" si="2"/>
        <v>2700</v>
      </c>
      <c r="I198" s="34"/>
      <c r="K198" t="s">
        <v>38</v>
      </c>
    </row>
    <row r="199" spans="2:11" ht="16.5" x14ac:dyDescent="0.2">
      <c r="B199" s="31" t="s">
        <v>315</v>
      </c>
      <c r="C199" s="31" t="s">
        <v>316</v>
      </c>
      <c r="D199" s="34">
        <v>5400</v>
      </c>
      <c r="E199" s="34"/>
      <c r="F199" s="34">
        <v>0</v>
      </c>
      <c r="G199" s="34">
        <v>0</v>
      </c>
      <c r="H199" s="34">
        <f t="shared" si="2"/>
        <v>5400</v>
      </c>
      <c r="I199" s="34"/>
      <c r="K199" t="s">
        <v>38</v>
      </c>
    </row>
    <row r="200" spans="2:11" ht="16.5" x14ac:dyDescent="0.2">
      <c r="B200" s="31" t="s">
        <v>317</v>
      </c>
      <c r="C200" s="31" t="s">
        <v>318</v>
      </c>
      <c r="D200" s="34">
        <v>2700</v>
      </c>
      <c r="E200" s="34"/>
      <c r="F200" s="34">
        <v>0</v>
      </c>
      <c r="G200" s="34">
        <v>0</v>
      </c>
      <c r="H200" s="34">
        <f t="shared" si="2"/>
        <v>2700</v>
      </c>
      <c r="I200" s="34"/>
      <c r="K200" t="s">
        <v>38</v>
      </c>
    </row>
    <row r="201" spans="2:11" ht="16.5" x14ac:dyDescent="0.2">
      <c r="B201" s="31" t="s">
        <v>319</v>
      </c>
      <c r="C201" s="31" t="s">
        <v>320</v>
      </c>
      <c r="D201" s="34">
        <v>3000</v>
      </c>
      <c r="E201" s="34"/>
      <c r="F201" s="34">
        <v>0</v>
      </c>
      <c r="G201" s="34">
        <v>0</v>
      </c>
      <c r="H201" s="34">
        <f t="shared" si="2"/>
        <v>3000</v>
      </c>
      <c r="I201" s="34"/>
      <c r="K201" t="s">
        <v>38</v>
      </c>
    </row>
    <row r="202" spans="2:11" ht="16.5" x14ac:dyDescent="0.2">
      <c r="B202" s="31" t="s">
        <v>321</v>
      </c>
      <c r="C202" s="31" t="s">
        <v>322</v>
      </c>
      <c r="D202" s="34">
        <v>4000</v>
      </c>
      <c r="E202" s="34"/>
      <c r="F202" s="34">
        <v>0</v>
      </c>
      <c r="G202" s="34">
        <v>0</v>
      </c>
      <c r="H202" s="34">
        <f t="shared" si="2"/>
        <v>4000</v>
      </c>
      <c r="I202" s="34"/>
      <c r="K202" t="s">
        <v>38</v>
      </c>
    </row>
    <row r="203" spans="2:11" ht="16.5" x14ac:dyDescent="0.2">
      <c r="B203" s="31" t="s">
        <v>323</v>
      </c>
      <c r="C203" s="31" t="s">
        <v>324</v>
      </c>
      <c r="D203" s="34">
        <v>2800</v>
      </c>
      <c r="E203" s="34"/>
      <c r="F203" s="34">
        <v>0</v>
      </c>
      <c r="G203" s="34">
        <v>0</v>
      </c>
      <c r="H203" s="34">
        <f t="shared" si="2"/>
        <v>2800</v>
      </c>
      <c r="I203" s="34"/>
      <c r="K203" t="s">
        <v>38</v>
      </c>
    </row>
    <row r="204" spans="2:11" ht="16.5" x14ac:dyDescent="0.2">
      <c r="B204" s="31" t="s">
        <v>325</v>
      </c>
      <c r="C204" s="31" t="s">
        <v>326</v>
      </c>
      <c r="D204" s="34">
        <v>5000</v>
      </c>
      <c r="E204" s="34"/>
      <c r="F204" s="34">
        <v>0</v>
      </c>
      <c r="G204" s="34">
        <v>4000</v>
      </c>
      <c r="H204" s="34">
        <f t="shared" ref="H204:H267" si="3">D204 + F204 - G204</f>
        <v>1000</v>
      </c>
      <c r="I204" s="34"/>
      <c r="K204" t="s">
        <v>38</v>
      </c>
    </row>
    <row r="205" spans="2:11" ht="16.5" x14ac:dyDescent="0.2">
      <c r="B205" s="31" t="s">
        <v>327</v>
      </c>
      <c r="C205" s="31" t="s">
        <v>328</v>
      </c>
      <c r="D205" s="34">
        <v>2000</v>
      </c>
      <c r="E205" s="34"/>
      <c r="F205" s="34">
        <v>0</v>
      </c>
      <c r="G205" s="34">
        <v>2000</v>
      </c>
      <c r="H205" s="34">
        <f t="shared" si="3"/>
        <v>0</v>
      </c>
      <c r="I205" s="34"/>
      <c r="K205" t="s">
        <v>38</v>
      </c>
    </row>
    <row r="206" spans="2:11" ht="16.5" x14ac:dyDescent="0.2">
      <c r="B206" s="31" t="s">
        <v>329</v>
      </c>
      <c r="C206" s="31" t="s">
        <v>330</v>
      </c>
      <c r="D206" s="34">
        <v>2800</v>
      </c>
      <c r="E206" s="34"/>
      <c r="F206" s="34">
        <v>0</v>
      </c>
      <c r="G206" s="34">
        <v>0</v>
      </c>
      <c r="H206" s="34">
        <f t="shared" si="3"/>
        <v>2800</v>
      </c>
      <c r="I206" s="34"/>
      <c r="K206" t="s">
        <v>38</v>
      </c>
    </row>
    <row r="207" spans="2:11" ht="16.5" x14ac:dyDescent="0.2">
      <c r="B207" s="31" t="s">
        <v>331</v>
      </c>
      <c r="C207" s="31" t="s">
        <v>332</v>
      </c>
      <c r="D207" s="34">
        <v>4500</v>
      </c>
      <c r="E207" s="34"/>
      <c r="F207" s="34">
        <v>0</v>
      </c>
      <c r="G207" s="34">
        <v>4500</v>
      </c>
      <c r="H207" s="34">
        <f t="shared" si="3"/>
        <v>0</v>
      </c>
      <c r="I207" s="34"/>
      <c r="K207" t="s">
        <v>38</v>
      </c>
    </row>
    <row r="208" spans="2:11" ht="16.5" x14ac:dyDescent="0.2">
      <c r="B208" s="31" t="s">
        <v>333</v>
      </c>
      <c r="C208" s="31" t="s">
        <v>334</v>
      </c>
      <c r="D208" s="34">
        <v>2800</v>
      </c>
      <c r="E208" s="34"/>
      <c r="F208" s="34">
        <v>0</v>
      </c>
      <c r="G208" s="34">
        <v>0</v>
      </c>
      <c r="H208" s="34">
        <f t="shared" si="3"/>
        <v>2800</v>
      </c>
      <c r="I208" s="34"/>
      <c r="K208" t="s">
        <v>38</v>
      </c>
    </row>
    <row r="209" spans="2:11" ht="16.5" x14ac:dyDescent="0.2">
      <c r="B209" s="31" t="s">
        <v>335</v>
      </c>
      <c r="C209" s="31" t="s">
        <v>336</v>
      </c>
      <c r="D209" s="34">
        <v>1000</v>
      </c>
      <c r="E209" s="34"/>
      <c r="F209" s="34">
        <v>0</v>
      </c>
      <c r="G209" s="34">
        <v>0</v>
      </c>
      <c r="H209" s="34">
        <f t="shared" si="3"/>
        <v>1000</v>
      </c>
      <c r="I209" s="34"/>
      <c r="K209" t="s">
        <v>38</v>
      </c>
    </row>
    <row r="210" spans="2:11" ht="16.5" x14ac:dyDescent="0.2">
      <c r="B210" s="31" t="s">
        <v>337</v>
      </c>
      <c r="C210" s="31" t="s">
        <v>338</v>
      </c>
      <c r="D210" s="34">
        <v>5000</v>
      </c>
      <c r="E210" s="34"/>
      <c r="F210" s="34">
        <v>0</v>
      </c>
      <c r="G210" s="34">
        <v>0</v>
      </c>
      <c r="H210" s="34">
        <f t="shared" si="3"/>
        <v>5000</v>
      </c>
      <c r="I210" s="34"/>
      <c r="K210" t="s">
        <v>38</v>
      </c>
    </row>
    <row r="211" spans="2:11" ht="16.5" x14ac:dyDescent="0.2">
      <c r="B211" s="31" t="s">
        <v>339</v>
      </c>
      <c r="C211" s="31" t="s">
        <v>340</v>
      </c>
      <c r="D211" s="34">
        <v>1800</v>
      </c>
      <c r="E211" s="34"/>
      <c r="F211" s="34">
        <v>0</v>
      </c>
      <c r="G211" s="34">
        <v>0</v>
      </c>
      <c r="H211" s="34">
        <f t="shared" si="3"/>
        <v>1800</v>
      </c>
      <c r="I211" s="34"/>
      <c r="K211" t="s">
        <v>38</v>
      </c>
    </row>
    <row r="212" spans="2:11" ht="16.5" x14ac:dyDescent="0.2">
      <c r="B212" s="31" t="s">
        <v>341</v>
      </c>
      <c r="C212" s="31" t="s">
        <v>342</v>
      </c>
      <c r="D212" s="34">
        <v>8500</v>
      </c>
      <c r="E212" s="34"/>
      <c r="F212" s="34">
        <v>0</v>
      </c>
      <c r="G212" s="34">
        <v>8000</v>
      </c>
      <c r="H212" s="34">
        <f t="shared" si="3"/>
        <v>500</v>
      </c>
      <c r="I212" s="34"/>
      <c r="K212" t="s">
        <v>38</v>
      </c>
    </row>
    <row r="213" spans="2:11" ht="16.5" x14ac:dyDescent="0.2">
      <c r="B213" s="31" t="s">
        <v>343</v>
      </c>
      <c r="C213" s="31" t="s">
        <v>344</v>
      </c>
      <c r="D213" s="34">
        <v>9000</v>
      </c>
      <c r="E213" s="34"/>
      <c r="F213" s="34">
        <v>0</v>
      </c>
      <c r="G213" s="34">
        <v>7500</v>
      </c>
      <c r="H213" s="34">
        <f t="shared" si="3"/>
        <v>1500</v>
      </c>
      <c r="I213" s="34"/>
      <c r="K213" t="s">
        <v>38</v>
      </c>
    </row>
    <row r="214" spans="2:11" ht="24.75" x14ac:dyDescent="0.2">
      <c r="B214" s="33" t="s">
        <v>345</v>
      </c>
      <c r="C214" s="33" t="s">
        <v>40</v>
      </c>
      <c r="D214" s="35">
        <f>SUMIFS(D215:D9015,K215:K9015,"0",B215:B9015,"1 1 2 6 4 12 31111 6 M59 00003*")-SUMIFS(E215:E9015,K215:K9015,"0",B215:B9015,"1 1 2 6 4 12 31111 6 M59 00003*")</f>
        <v>11500</v>
      </c>
      <c r="E214"/>
      <c r="F214" s="35">
        <f>SUMIFS(F215:F9015,K215:K9015,"0",B215:B9015,"1 1 2 6 4 12 31111 6 M59 00003*")</f>
        <v>5000</v>
      </c>
      <c r="G214" s="35">
        <f>SUMIFS(G215:G9015,K215:K9015,"0",B215:B9015,"1 1 2 6 4 12 31111 6 M59 00003*")</f>
        <v>16500</v>
      </c>
      <c r="H214" s="35">
        <f t="shared" si="3"/>
        <v>0</v>
      </c>
      <c r="I214" s="35"/>
      <c r="K214" t="s">
        <v>15</v>
      </c>
    </row>
    <row r="215" spans="2:11" ht="16.5" x14ac:dyDescent="0.2">
      <c r="B215" s="33" t="s">
        <v>346</v>
      </c>
      <c r="C215" s="33" t="s">
        <v>42</v>
      </c>
      <c r="D215" s="35">
        <f>SUMIFS(D216:D9015,K216:K9015,"0",B216:B9015,"1 1 2 6 4 12 31111 6 M59 00003 000001*")-SUMIFS(E216:E9015,K216:K9015,"0",B216:B9015,"1 1 2 6 4 12 31111 6 M59 00003 000001*")</f>
        <v>11500</v>
      </c>
      <c r="E215"/>
      <c r="F215" s="35">
        <f>SUMIFS(F216:F9015,K216:K9015,"0",B216:B9015,"1 1 2 6 4 12 31111 6 M59 00003 000001*")</f>
        <v>5000</v>
      </c>
      <c r="G215" s="35">
        <f>SUMIFS(G216:G9015,K216:K9015,"0",B216:B9015,"1 1 2 6 4 12 31111 6 M59 00003 000001*")</f>
        <v>16500</v>
      </c>
      <c r="H215" s="35">
        <f t="shared" si="3"/>
        <v>0</v>
      </c>
      <c r="I215" s="35"/>
      <c r="K215" t="s">
        <v>15</v>
      </c>
    </row>
    <row r="216" spans="2:11" ht="16.5" x14ac:dyDescent="0.2">
      <c r="B216" s="31" t="s">
        <v>347</v>
      </c>
      <c r="C216" s="31" t="s">
        <v>348</v>
      </c>
      <c r="D216" s="34">
        <v>6000</v>
      </c>
      <c r="E216" s="34"/>
      <c r="F216" s="34">
        <v>0</v>
      </c>
      <c r="G216" s="34">
        <v>6000</v>
      </c>
      <c r="H216" s="34">
        <f t="shared" si="3"/>
        <v>0</v>
      </c>
      <c r="I216" s="34"/>
      <c r="K216" t="s">
        <v>38</v>
      </c>
    </row>
    <row r="217" spans="2:11" ht="16.5" x14ac:dyDescent="0.2">
      <c r="B217" s="31" t="s">
        <v>349</v>
      </c>
      <c r="C217" s="31" t="s">
        <v>350</v>
      </c>
      <c r="D217" s="34">
        <v>4500</v>
      </c>
      <c r="E217" s="34"/>
      <c r="F217" s="34">
        <v>0</v>
      </c>
      <c r="G217" s="34">
        <v>4500</v>
      </c>
      <c r="H217" s="34">
        <f t="shared" si="3"/>
        <v>0</v>
      </c>
      <c r="I217" s="34"/>
      <c r="K217" t="s">
        <v>38</v>
      </c>
    </row>
    <row r="218" spans="2:11" ht="16.5" x14ac:dyDescent="0.2">
      <c r="B218" s="31" t="s">
        <v>351</v>
      </c>
      <c r="C218" s="31" t="s">
        <v>352</v>
      </c>
      <c r="D218" s="34">
        <v>1000</v>
      </c>
      <c r="E218" s="34"/>
      <c r="F218" s="34">
        <v>0</v>
      </c>
      <c r="G218" s="34">
        <v>1000</v>
      </c>
      <c r="H218" s="34">
        <f t="shared" si="3"/>
        <v>0</v>
      </c>
      <c r="I218" s="34"/>
      <c r="K218" t="s">
        <v>38</v>
      </c>
    </row>
    <row r="219" spans="2:11" ht="16.5" x14ac:dyDescent="0.2">
      <c r="B219" s="31" t="s">
        <v>353</v>
      </c>
      <c r="C219" s="31" t="s">
        <v>354</v>
      </c>
      <c r="D219" s="34">
        <v>0</v>
      </c>
      <c r="E219" s="34"/>
      <c r="F219" s="34">
        <v>5000</v>
      </c>
      <c r="G219" s="34">
        <v>5000</v>
      </c>
      <c r="H219" s="34">
        <f t="shared" si="3"/>
        <v>0</v>
      </c>
      <c r="I219" s="34"/>
      <c r="K219" t="s">
        <v>38</v>
      </c>
    </row>
    <row r="220" spans="2:11" ht="24.75" x14ac:dyDescent="0.2">
      <c r="B220" s="33" t="s">
        <v>355</v>
      </c>
      <c r="C220" s="33" t="s">
        <v>356</v>
      </c>
      <c r="D220" s="35">
        <f>SUMIFS(D221:D9015,K221:K9015,"0",B221:B9015,"1 1 2 9*")-SUMIFS(E221:E9015,K221:K9015,"0",B221:B9015,"1 1 2 9*")</f>
        <v>1539.8300000000002</v>
      </c>
      <c r="E220"/>
      <c r="F220" s="35">
        <f>SUMIFS(F221:F9015,K221:K9015,"0",B221:B9015,"1 1 2 9*")</f>
        <v>104761.20000000001</v>
      </c>
      <c r="G220" s="35">
        <f>SUMIFS(G221:G9015,K221:K9015,"0",B221:B9015,"1 1 2 9*")</f>
        <v>104761.20000000001</v>
      </c>
      <c r="H220" s="35">
        <f t="shared" si="3"/>
        <v>1539.8300000000017</v>
      </c>
      <c r="I220" s="35"/>
      <c r="K220" t="s">
        <v>15</v>
      </c>
    </row>
    <row r="221" spans="2:11" ht="24.75" x14ac:dyDescent="0.2">
      <c r="B221" s="33" t="s">
        <v>357</v>
      </c>
      <c r="C221" s="33" t="s">
        <v>356</v>
      </c>
      <c r="D221" s="35">
        <f>SUMIFS(D222:D9015,K222:K9015,"0",B222:B9015,"1 1 2 9 1*")-SUMIFS(E222:E9015,K222:K9015,"0",B222:B9015,"1 1 2 9 1*")</f>
        <v>1539.8300000000002</v>
      </c>
      <c r="E221"/>
      <c r="F221" s="35">
        <f>SUMIFS(F222:F9015,K222:K9015,"0",B222:B9015,"1 1 2 9 1*")</f>
        <v>104761.20000000001</v>
      </c>
      <c r="G221" s="35">
        <f>SUMIFS(G222:G9015,K222:K9015,"0",B222:B9015,"1 1 2 9 1*")</f>
        <v>104761.20000000001</v>
      </c>
      <c r="H221" s="35">
        <f t="shared" si="3"/>
        <v>1539.8300000000017</v>
      </c>
      <c r="I221" s="35"/>
      <c r="K221" t="s">
        <v>15</v>
      </c>
    </row>
    <row r="222" spans="2:11" ht="12.75" x14ac:dyDescent="0.2">
      <c r="B222" s="33" t="s">
        <v>358</v>
      </c>
      <c r="C222" s="33" t="s">
        <v>26</v>
      </c>
      <c r="D222" s="35">
        <f>SUMIFS(D223:D9015,K223:K9015,"0",B223:B9015,"1 1 2 9 1 12*")-SUMIFS(E223:E9015,K223:K9015,"0",B223:B9015,"1 1 2 9 1 12*")</f>
        <v>1539.8300000000002</v>
      </c>
      <c r="E222"/>
      <c r="F222" s="35">
        <f>SUMIFS(F223:F9015,K223:K9015,"0",B223:B9015,"1 1 2 9 1 12*")</f>
        <v>104761.20000000001</v>
      </c>
      <c r="G222" s="35">
        <f>SUMIFS(G223:G9015,K223:K9015,"0",B223:B9015,"1 1 2 9 1 12*")</f>
        <v>104761.20000000001</v>
      </c>
      <c r="H222" s="35">
        <f t="shared" si="3"/>
        <v>1539.8300000000017</v>
      </c>
      <c r="I222" s="35"/>
      <c r="K222" t="s">
        <v>15</v>
      </c>
    </row>
    <row r="223" spans="2:11" ht="16.5" x14ac:dyDescent="0.2">
      <c r="B223" s="33" t="s">
        <v>359</v>
      </c>
      <c r="C223" s="33" t="s">
        <v>28</v>
      </c>
      <c r="D223" s="35">
        <f>SUMIFS(D224:D9015,K224:K9015,"0",B224:B9015,"1 1 2 9 1 12 31111*")-SUMIFS(E224:E9015,K224:K9015,"0",B224:B9015,"1 1 2 9 1 12 31111*")</f>
        <v>1539.8300000000002</v>
      </c>
      <c r="E223"/>
      <c r="F223" s="35">
        <f>SUMIFS(F224:F9015,K224:K9015,"0",B224:B9015,"1 1 2 9 1 12 31111*")</f>
        <v>104761.20000000001</v>
      </c>
      <c r="G223" s="35">
        <f>SUMIFS(G224:G9015,K224:K9015,"0",B224:B9015,"1 1 2 9 1 12 31111*")</f>
        <v>104761.20000000001</v>
      </c>
      <c r="H223" s="35">
        <f t="shared" si="3"/>
        <v>1539.8300000000017</v>
      </c>
      <c r="I223" s="35"/>
      <c r="K223" t="s">
        <v>15</v>
      </c>
    </row>
    <row r="224" spans="2:11" ht="12.75" x14ac:dyDescent="0.2">
      <c r="B224" s="33" t="s">
        <v>360</v>
      </c>
      <c r="C224" s="33" t="s">
        <v>30</v>
      </c>
      <c r="D224" s="35">
        <f>SUMIFS(D225:D9015,K225:K9015,"0",B225:B9015,"1 1 2 9 1 12 31111 6*")-SUMIFS(E225:E9015,K225:K9015,"0",B225:B9015,"1 1 2 9 1 12 31111 6*")</f>
        <v>1539.8300000000002</v>
      </c>
      <c r="E224"/>
      <c r="F224" s="35">
        <f>SUMIFS(F225:F9015,K225:K9015,"0",B225:B9015,"1 1 2 9 1 12 31111 6*")</f>
        <v>104761.20000000001</v>
      </c>
      <c r="G224" s="35">
        <f>SUMIFS(G225:G9015,K225:K9015,"0",B225:B9015,"1 1 2 9 1 12 31111 6*")</f>
        <v>104761.20000000001</v>
      </c>
      <c r="H224" s="35">
        <f t="shared" si="3"/>
        <v>1539.8300000000017</v>
      </c>
      <c r="I224" s="35"/>
      <c r="K224" t="s">
        <v>15</v>
      </c>
    </row>
    <row r="225" spans="2:11" ht="12.75" x14ac:dyDescent="0.2">
      <c r="B225" s="33" t="s">
        <v>361</v>
      </c>
      <c r="C225" s="33" t="s">
        <v>42</v>
      </c>
      <c r="D225" s="35">
        <f>SUMIFS(D226:D9015,K226:K9015,"0",B226:B9015,"1 1 2 9 1 12 31111 6 M59*")-SUMIFS(E226:E9015,K226:K9015,"0",B226:B9015,"1 1 2 9 1 12 31111 6 M59*")</f>
        <v>1539.8300000000002</v>
      </c>
      <c r="E225"/>
      <c r="F225" s="35">
        <f>SUMIFS(F226:F9015,K226:K9015,"0",B226:B9015,"1 1 2 9 1 12 31111 6 M59*")</f>
        <v>104761.20000000001</v>
      </c>
      <c r="G225" s="35">
        <f>SUMIFS(G226:G9015,K226:K9015,"0",B226:B9015,"1 1 2 9 1 12 31111 6 M59*")</f>
        <v>104761.20000000001</v>
      </c>
      <c r="H225" s="35">
        <f t="shared" si="3"/>
        <v>1539.8300000000017</v>
      </c>
      <c r="I225" s="35"/>
      <c r="K225" t="s">
        <v>15</v>
      </c>
    </row>
    <row r="226" spans="2:11" ht="16.5" x14ac:dyDescent="0.2">
      <c r="B226" s="33" t="s">
        <v>362</v>
      </c>
      <c r="C226" s="33" t="s">
        <v>34</v>
      </c>
      <c r="D226" s="35">
        <f>SUMIFS(D227:D9015,K227:K9015,"0",B227:B9015,"1 1 2 9 1 12 31111 6 M59 00001*")-SUMIFS(E227:E9015,K227:K9015,"0",B227:B9015,"1 1 2 9 1 12 31111 6 M59 00001*")</f>
        <v>0.65</v>
      </c>
      <c r="E226"/>
      <c r="F226" s="35">
        <f>SUMIFS(F227:F9015,K227:K9015,"0",B227:B9015,"1 1 2 9 1 12 31111 6 M59 00001*")</f>
        <v>104761.20000000001</v>
      </c>
      <c r="G226" s="35">
        <f>SUMIFS(G227:G9015,K227:K9015,"0",B227:B9015,"1 1 2 9 1 12 31111 6 M59 00001*")</f>
        <v>104761.20000000001</v>
      </c>
      <c r="H226" s="35">
        <f t="shared" si="3"/>
        <v>0.64999999999417923</v>
      </c>
      <c r="I226" s="35"/>
      <c r="K226" t="s">
        <v>15</v>
      </c>
    </row>
    <row r="227" spans="2:11" ht="16.5" x14ac:dyDescent="0.2">
      <c r="B227" s="33" t="s">
        <v>363</v>
      </c>
      <c r="C227" s="33" t="s">
        <v>364</v>
      </c>
      <c r="D227" s="35">
        <f>SUMIFS(D228:D9015,K228:K9015,"0",B228:B9015,"1 1 2 9 1 12 31111 6 M59 00001 000001*")-SUMIFS(E228:E9015,K228:K9015,"0",B228:B9015,"1 1 2 9 1 12 31111 6 M59 00001 000001*")</f>
        <v>0.65</v>
      </c>
      <c r="E227"/>
      <c r="F227" s="35">
        <f>SUMIFS(F228:F9015,K228:K9015,"0",B228:B9015,"1 1 2 9 1 12 31111 6 M59 00001 000001*")</f>
        <v>104761.20000000001</v>
      </c>
      <c r="G227" s="35">
        <f>SUMIFS(G228:G9015,K228:K9015,"0",B228:B9015,"1 1 2 9 1 12 31111 6 M59 00001 000001*")</f>
        <v>104761.20000000001</v>
      </c>
      <c r="H227" s="35">
        <f t="shared" si="3"/>
        <v>0.64999999999417923</v>
      </c>
      <c r="I227" s="35"/>
      <c r="K227" t="s">
        <v>15</v>
      </c>
    </row>
    <row r="228" spans="2:11" ht="16.5" x14ac:dyDescent="0.2">
      <c r="B228" s="33" t="s">
        <v>365</v>
      </c>
      <c r="C228" s="33" t="s">
        <v>36</v>
      </c>
      <c r="D228" s="35">
        <f>SUMIFS(D229:D9015,K229:K9015,"0",B229:B9015,"1 1 2 9 1 12 31111 6 M59 00001 000001 00045*")-SUMIFS(E229:E9015,K229:K9015,"0",B229:B9015,"1 1 2 9 1 12 31111 6 M59 00001 000001 00045*")</f>
        <v>0.65</v>
      </c>
      <c r="E228"/>
      <c r="F228" s="35">
        <f>SUMIFS(F229:F9015,K229:K9015,"0",B229:B9015,"1 1 2 9 1 12 31111 6 M59 00001 000001 00045*")</f>
        <v>112.88</v>
      </c>
      <c r="G228" s="35">
        <f>SUMIFS(G229:G9015,K229:K9015,"0",B229:B9015,"1 1 2 9 1 12 31111 6 M59 00001 000001 00045*")</f>
        <v>112.88</v>
      </c>
      <c r="H228" s="35">
        <f t="shared" si="3"/>
        <v>0.65000000000000568</v>
      </c>
      <c r="I228" s="35"/>
      <c r="K228" t="s">
        <v>15</v>
      </c>
    </row>
    <row r="229" spans="2:11" ht="24.75" x14ac:dyDescent="0.2">
      <c r="B229" s="31" t="s">
        <v>366</v>
      </c>
      <c r="C229" s="31" t="s">
        <v>367</v>
      </c>
      <c r="D229" s="34">
        <v>0.65</v>
      </c>
      <c r="E229" s="34"/>
      <c r="F229" s="34">
        <v>112.88</v>
      </c>
      <c r="G229" s="34">
        <v>112.88</v>
      </c>
      <c r="H229" s="34">
        <f t="shared" si="3"/>
        <v>0.65000000000000568</v>
      </c>
      <c r="I229" s="34"/>
      <c r="K229" t="s">
        <v>38</v>
      </c>
    </row>
    <row r="230" spans="2:11" ht="33" x14ac:dyDescent="0.2">
      <c r="B230" s="31" t="s">
        <v>368</v>
      </c>
      <c r="C230" s="31" t="s">
        <v>369</v>
      </c>
      <c r="D230" s="34">
        <v>0</v>
      </c>
      <c r="E230" s="34"/>
      <c r="F230" s="34">
        <v>91183.19</v>
      </c>
      <c r="G230" s="34">
        <v>91183.19</v>
      </c>
      <c r="H230" s="34">
        <f t="shared" si="3"/>
        <v>0</v>
      </c>
      <c r="I230" s="34"/>
      <c r="K230" t="s">
        <v>38</v>
      </c>
    </row>
    <row r="231" spans="2:11" ht="16.5" x14ac:dyDescent="0.2">
      <c r="B231" s="31" t="s">
        <v>370</v>
      </c>
      <c r="C231" s="31" t="s">
        <v>371</v>
      </c>
      <c r="D231" s="34">
        <v>0</v>
      </c>
      <c r="E231" s="34"/>
      <c r="F231" s="34">
        <v>13465.13</v>
      </c>
      <c r="G231" s="34">
        <v>13465.13</v>
      </c>
      <c r="H231" s="34">
        <f t="shared" si="3"/>
        <v>0</v>
      </c>
      <c r="I231" s="34"/>
      <c r="K231" t="s">
        <v>38</v>
      </c>
    </row>
    <row r="232" spans="2:11" ht="24.75" x14ac:dyDescent="0.2">
      <c r="B232" s="33" t="s">
        <v>372</v>
      </c>
      <c r="C232" s="33" t="s">
        <v>91</v>
      </c>
      <c r="D232" s="35">
        <f>SUMIFS(D233:D9015,K233:K9015,"0",B233:B9015,"1 1 2 9 1 12 31111 6 M59 00004*")-SUMIFS(E233:E9015,K233:K9015,"0",B233:B9015,"1 1 2 9 1 12 31111 6 M59 00004*")</f>
        <v>1539.18</v>
      </c>
      <c r="E232"/>
      <c r="F232" s="35">
        <f>SUMIFS(F233:F9015,K233:K9015,"0",B233:B9015,"1 1 2 9 1 12 31111 6 M59 00004*")</f>
        <v>0</v>
      </c>
      <c r="G232" s="35">
        <f>SUMIFS(G233:G9015,K233:K9015,"0",B233:B9015,"1 1 2 9 1 12 31111 6 M59 00004*")</f>
        <v>0</v>
      </c>
      <c r="H232" s="35">
        <f t="shared" si="3"/>
        <v>1539.18</v>
      </c>
      <c r="I232" s="35"/>
      <c r="K232" t="s">
        <v>15</v>
      </c>
    </row>
    <row r="233" spans="2:11" ht="16.5" x14ac:dyDescent="0.2">
      <c r="B233" s="33" t="s">
        <v>373</v>
      </c>
      <c r="C233" s="33" t="s">
        <v>42</v>
      </c>
      <c r="D233" s="35">
        <f>SUMIFS(D234:D9015,K234:K9015,"0",B234:B9015,"1 1 2 9 1 12 31111 6 M59 00004 000001*")-SUMIFS(E234:E9015,K234:K9015,"0",B234:B9015,"1 1 2 9 1 12 31111 6 M59 00004 000001*")</f>
        <v>1539.18</v>
      </c>
      <c r="E233"/>
      <c r="F233" s="35">
        <f>SUMIFS(F234:F9015,K234:K9015,"0",B234:B9015,"1 1 2 9 1 12 31111 6 M59 00004 000001*")</f>
        <v>0</v>
      </c>
      <c r="G233" s="35">
        <f>SUMIFS(G234:G9015,K234:K9015,"0",B234:B9015,"1 1 2 9 1 12 31111 6 M59 00004 000001*")</f>
        <v>0</v>
      </c>
      <c r="H233" s="35">
        <f t="shared" si="3"/>
        <v>1539.18</v>
      </c>
      <c r="I233" s="35"/>
      <c r="K233" t="s">
        <v>15</v>
      </c>
    </row>
    <row r="234" spans="2:11" ht="24.75" x14ac:dyDescent="0.2">
      <c r="B234" s="31" t="s">
        <v>374</v>
      </c>
      <c r="C234" s="31" t="s">
        <v>375</v>
      </c>
      <c r="D234" s="34">
        <v>1539.18</v>
      </c>
      <c r="E234" s="34"/>
      <c r="F234" s="34">
        <v>0</v>
      </c>
      <c r="G234" s="34">
        <v>0</v>
      </c>
      <c r="H234" s="34">
        <f t="shared" si="3"/>
        <v>1539.18</v>
      </c>
      <c r="I234" s="34"/>
      <c r="K234" t="s">
        <v>38</v>
      </c>
    </row>
    <row r="235" spans="2:11" ht="16.5" x14ac:dyDescent="0.2">
      <c r="B235" s="33" t="s">
        <v>376</v>
      </c>
      <c r="C235" s="33" t="s">
        <v>377</v>
      </c>
      <c r="D235" s="35">
        <f>SUMIFS(D236:D9015,K236:K9015,"0",B236:B9015,"1 1 3*")-SUMIFS(E236:E9015,K236:K9015,"0",B236:B9015,"1 1 3*")</f>
        <v>6233347.629999999</v>
      </c>
      <c r="E235"/>
      <c r="F235" s="35">
        <f>SUMIFS(F236:F9015,K236:K9015,"0",B236:B9015,"1 1 3*")</f>
        <v>12736246.83</v>
      </c>
      <c r="G235" s="35">
        <f>SUMIFS(G236:G9015,K236:K9015,"0",B236:B9015,"1 1 3*")</f>
        <v>12108686.68</v>
      </c>
      <c r="H235" s="35">
        <f t="shared" si="3"/>
        <v>6860907.7800000012</v>
      </c>
      <c r="I235" s="35"/>
      <c r="K235" t="s">
        <v>15</v>
      </c>
    </row>
    <row r="236" spans="2:11" ht="33" x14ac:dyDescent="0.2">
      <c r="B236" s="33" t="s">
        <v>378</v>
      </c>
      <c r="C236" s="33" t="s">
        <v>379</v>
      </c>
      <c r="D236" s="35">
        <f>SUMIFS(D237:D9015,K237:K9015,"0",B237:B9015,"1 1 3 1*")-SUMIFS(E237:E9015,K237:K9015,"0",B237:B9015,"1 1 3 1*")</f>
        <v>1274870.7199999997</v>
      </c>
      <c r="E236"/>
      <c r="F236" s="35">
        <f>SUMIFS(F237:F9015,K237:K9015,"0",B237:B9015,"1 1 3 1*")</f>
        <v>5374833.8599999994</v>
      </c>
      <c r="G236" s="35">
        <f>SUMIFS(G237:G9015,K237:K9015,"0",B237:B9015,"1 1 3 1*")</f>
        <v>5359356.1099999994</v>
      </c>
      <c r="H236" s="35">
        <f t="shared" si="3"/>
        <v>1290348.4699999997</v>
      </c>
      <c r="I236" s="35"/>
      <c r="K236" t="s">
        <v>15</v>
      </c>
    </row>
    <row r="237" spans="2:11" ht="33" x14ac:dyDescent="0.2">
      <c r="B237" s="33" t="s">
        <v>380</v>
      </c>
      <c r="C237" s="33" t="s">
        <v>379</v>
      </c>
      <c r="D237" s="35">
        <f>SUMIFS(D238:D9015,K238:K9015,"0",B238:B9015,"1 1 3 1 1*")-SUMIFS(E238:E9015,K238:K9015,"0",B238:B9015,"1 1 3 1 1*")</f>
        <v>1274870.7199999997</v>
      </c>
      <c r="E237"/>
      <c r="F237" s="35">
        <f>SUMIFS(F238:F9015,K238:K9015,"0",B238:B9015,"1 1 3 1 1*")</f>
        <v>5374833.8599999994</v>
      </c>
      <c r="G237" s="35">
        <f>SUMIFS(G238:G9015,K238:K9015,"0",B238:B9015,"1 1 3 1 1*")</f>
        <v>5359356.1099999994</v>
      </c>
      <c r="H237" s="35">
        <f t="shared" si="3"/>
        <v>1290348.4699999997</v>
      </c>
      <c r="I237" s="35"/>
      <c r="K237" t="s">
        <v>15</v>
      </c>
    </row>
    <row r="238" spans="2:11" ht="12.75" x14ac:dyDescent="0.2">
      <c r="B238" s="33" t="s">
        <v>381</v>
      </c>
      <c r="C238" s="33" t="s">
        <v>26</v>
      </c>
      <c r="D238" s="35">
        <f>SUMIFS(D239:D9015,K239:K9015,"0",B239:B9015,"1 1 3 1 1 12*")-SUMIFS(E239:E9015,K239:K9015,"0",B239:B9015,"1 1 3 1 1 12*")</f>
        <v>1274870.7199999997</v>
      </c>
      <c r="E238"/>
      <c r="F238" s="35">
        <f>SUMIFS(F239:F9015,K239:K9015,"0",B239:B9015,"1 1 3 1 1 12*")</f>
        <v>5374833.8599999994</v>
      </c>
      <c r="G238" s="35">
        <f>SUMIFS(G239:G9015,K239:K9015,"0",B239:B9015,"1 1 3 1 1 12*")</f>
        <v>5359356.1099999994</v>
      </c>
      <c r="H238" s="35">
        <f t="shared" si="3"/>
        <v>1290348.4699999997</v>
      </c>
      <c r="I238" s="35"/>
      <c r="K238" t="s">
        <v>15</v>
      </c>
    </row>
    <row r="239" spans="2:11" ht="16.5" x14ac:dyDescent="0.2">
      <c r="B239" s="33" t="s">
        <v>382</v>
      </c>
      <c r="C239" s="33" t="s">
        <v>28</v>
      </c>
      <c r="D239" s="35">
        <f>SUMIFS(D240:D9015,K240:K9015,"0",B240:B9015,"1 1 3 1 1 12 31111*")-SUMIFS(E240:E9015,K240:K9015,"0",B240:B9015,"1 1 3 1 1 12 31111*")</f>
        <v>1274870.7199999997</v>
      </c>
      <c r="E239"/>
      <c r="F239" s="35">
        <f>SUMIFS(F240:F9015,K240:K9015,"0",B240:B9015,"1 1 3 1 1 12 31111*")</f>
        <v>5374833.8599999994</v>
      </c>
      <c r="G239" s="35">
        <f>SUMIFS(G240:G9015,K240:K9015,"0",B240:B9015,"1 1 3 1 1 12 31111*")</f>
        <v>5359356.1099999994</v>
      </c>
      <c r="H239" s="35">
        <f t="shared" si="3"/>
        <v>1290348.4699999997</v>
      </c>
      <c r="I239" s="35"/>
      <c r="K239" t="s">
        <v>15</v>
      </c>
    </row>
    <row r="240" spans="2:11" ht="12.75" x14ac:dyDescent="0.2">
      <c r="B240" s="33" t="s">
        <v>383</v>
      </c>
      <c r="C240" s="33" t="s">
        <v>30</v>
      </c>
      <c r="D240" s="35">
        <f>SUMIFS(D241:D9015,K241:K9015,"0",B241:B9015,"1 1 3 1 1 12 31111 6*")-SUMIFS(E241:E9015,K241:K9015,"0",B241:B9015,"1 1 3 1 1 12 31111 6*")</f>
        <v>1274870.7199999997</v>
      </c>
      <c r="E240"/>
      <c r="F240" s="35">
        <f>SUMIFS(F241:F9015,K241:K9015,"0",B241:B9015,"1 1 3 1 1 12 31111 6*")</f>
        <v>5374833.8599999994</v>
      </c>
      <c r="G240" s="35">
        <f>SUMIFS(G241:G9015,K241:K9015,"0",B241:B9015,"1 1 3 1 1 12 31111 6*")</f>
        <v>5359356.1099999994</v>
      </c>
      <c r="H240" s="35">
        <f t="shared" si="3"/>
        <v>1290348.4699999997</v>
      </c>
      <c r="I240" s="35"/>
      <c r="K240" t="s">
        <v>15</v>
      </c>
    </row>
    <row r="241" spans="2:11" ht="12.75" x14ac:dyDescent="0.2">
      <c r="B241" s="33" t="s">
        <v>384</v>
      </c>
      <c r="C241" s="33" t="s">
        <v>32</v>
      </c>
      <c r="D241" s="35">
        <f>SUMIFS(D242:D9015,K242:K9015,"0",B242:B9015,"1 1 3 1 1 12 31111 6 M59*")-SUMIFS(E242:E9015,K242:K9015,"0",B242:B9015,"1 1 3 1 1 12 31111 6 M59*")</f>
        <v>1274870.7199999997</v>
      </c>
      <c r="E241"/>
      <c r="F241" s="35">
        <f>SUMIFS(F242:F9015,K242:K9015,"0",B242:B9015,"1 1 3 1 1 12 31111 6 M59*")</f>
        <v>5374833.8599999994</v>
      </c>
      <c r="G241" s="35">
        <f>SUMIFS(G242:G9015,K242:K9015,"0",B242:B9015,"1 1 3 1 1 12 31111 6 M59*")</f>
        <v>5359356.1099999994</v>
      </c>
      <c r="H241" s="35">
        <f t="shared" si="3"/>
        <v>1290348.4699999997</v>
      </c>
      <c r="I241" s="35"/>
      <c r="K241" t="s">
        <v>15</v>
      </c>
    </row>
    <row r="242" spans="2:11" ht="16.5" x14ac:dyDescent="0.2">
      <c r="B242" s="33" t="s">
        <v>385</v>
      </c>
      <c r="C242" s="33" t="s">
        <v>34</v>
      </c>
      <c r="D242" s="35">
        <f>SUMIFS(D243:D9015,K243:K9015,"0",B243:B9015,"1 1 3 1 1 12 31111 6 M59 00001*")-SUMIFS(E243:E9015,K243:K9015,"0",B243:B9015,"1 1 3 1 1 12 31111 6 M59 00001*")</f>
        <v>215903.37</v>
      </c>
      <c r="E242"/>
      <c r="F242" s="35">
        <f>SUMIFS(F243:F9015,K243:K9015,"0",B243:B9015,"1 1 3 1 1 12 31111 6 M59 00001*")</f>
        <v>1072454.42</v>
      </c>
      <c r="G242" s="35">
        <f>SUMIFS(G243:G9015,K243:K9015,"0",B243:B9015,"1 1 3 1 1 12 31111 6 M59 00001*")</f>
        <v>1072358.3399999999</v>
      </c>
      <c r="H242" s="35">
        <f t="shared" si="3"/>
        <v>215999.45000000019</v>
      </c>
      <c r="I242" s="35"/>
      <c r="K242" t="s">
        <v>15</v>
      </c>
    </row>
    <row r="243" spans="2:11" ht="16.5" x14ac:dyDescent="0.2">
      <c r="B243" s="31" t="s">
        <v>386</v>
      </c>
      <c r="C243" s="31" t="s">
        <v>387</v>
      </c>
      <c r="D243" s="34">
        <v>0</v>
      </c>
      <c r="E243" s="34"/>
      <c r="F243" s="34">
        <v>281474.90000000002</v>
      </c>
      <c r="G243" s="34">
        <v>281474.90000000002</v>
      </c>
      <c r="H243" s="34">
        <f t="shared" si="3"/>
        <v>0</v>
      </c>
      <c r="I243" s="34"/>
      <c r="K243" t="s">
        <v>38</v>
      </c>
    </row>
    <row r="244" spans="2:11" ht="24.75" x14ac:dyDescent="0.2">
      <c r="B244" s="31" t="s">
        <v>388</v>
      </c>
      <c r="C244" s="31" t="s">
        <v>375</v>
      </c>
      <c r="D244" s="34">
        <v>96837.84</v>
      </c>
      <c r="E244" s="34"/>
      <c r="F244" s="34">
        <v>0</v>
      </c>
      <c r="G244" s="34">
        <v>0</v>
      </c>
      <c r="H244" s="34">
        <f t="shared" si="3"/>
        <v>96837.84</v>
      </c>
      <c r="I244" s="34"/>
      <c r="K244" t="s">
        <v>38</v>
      </c>
    </row>
    <row r="245" spans="2:11" ht="16.5" x14ac:dyDescent="0.2">
      <c r="B245" s="31" t="s">
        <v>389</v>
      </c>
      <c r="C245" s="31" t="s">
        <v>390</v>
      </c>
      <c r="D245" s="34">
        <v>10</v>
      </c>
      <c r="E245" s="34"/>
      <c r="F245" s="34">
        <v>24053</v>
      </c>
      <c r="G245" s="34">
        <v>24053</v>
      </c>
      <c r="H245" s="34">
        <f t="shared" si="3"/>
        <v>10</v>
      </c>
      <c r="I245" s="34"/>
      <c r="K245" t="s">
        <v>38</v>
      </c>
    </row>
    <row r="246" spans="2:11" ht="16.5" x14ac:dyDescent="0.2">
      <c r="B246" s="31" t="s">
        <v>391</v>
      </c>
      <c r="C246" s="31" t="s">
        <v>392</v>
      </c>
      <c r="D246" s="34">
        <v>1.1000000000000001</v>
      </c>
      <c r="E246" s="34"/>
      <c r="F246" s="34">
        <v>348955.04</v>
      </c>
      <c r="G246" s="34">
        <v>348955.04</v>
      </c>
      <c r="H246" s="34">
        <f t="shared" si="3"/>
        <v>1.0999999999767169</v>
      </c>
      <c r="I246" s="34"/>
      <c r="K246" t="s">
        <v>38</v>
      </c>
    </row>
    <row r="247" spans="2:11" ht="24.75" x14ac:dyDescent="0.2">
      <c r="B247" s="31" t="s">
        <v>393</v>
      </c>
      <c r="C247" s="31" t="s">
        <v>394</v>
      </c>
      <c r="D247" s="34">
        <v>11313.69</v>
      </c>
      <c r="E247" s="34"/>
      <c r="F247" s="34">
        <v>0</v>
      </c>
      <c r="G247" s="34">
        <v>0</v>
      </c>
      <c r="H247" s="34">
        <f t="shared" si="3"/>
        <v>11313.69</v>
      </c>
      <c r="I247" s="34"/>
      <c r="K247" t="s">
        <v>38</v>
      </c>
    </row>
    <row r="248" spans="2:11" ht="16.5" x14ac:dyDescent="0.2">
      <c r="B248" s="31" t="s">
        <v>395</v>
      </c>
      <c r="C248" s="31" t="s">
        <v>396</v>
      </c>
      <c r="D248" s="34">
        <v>20200</v>
      </c>
      <c r="E248" s="34"/>
      <c r="F248" s="34">
        <v>0</v>
      </c>
      <c r="G248" s="34">
        <v>0</v>
      </c>
      <c r="H248" s="34">
        <f t="shared" si="3"/>
        <v>20200</v>
      </c>
      <c r="I248" s="34"/>
      <c r="K248" t="s">
        <v>38</v>
      </c>
    </row>
    <row r="249" spans="2:11" ht="16.5" x14ac:dyDescent="0.2">
      <c r="B249" s="31" t="s">
        <v>397</v>
      </c>
      <c r="C249" s="31" t="s">
        <v>398</v>
      </c>
      <c r="D249" s="34">
        <v>0</v>
      </c>
      <c r="E249" s="34"/>
      <c r="F249" s="34">
        <v>21700</v>
      </c>
      <c r="G249" s="34">
        <v>21700</v>
      </c>
      <c r="H249" s="34">
        <f t="shared" si="3"/>
        <v>0</v>
      </c>
      <c r="I249" s="34"/>
      <c r="K249" t="s">
        <v>38</v>
      </c>
    </row>
    <row r="250" spans="2:11" ht="16.5" x14ac:dyDescent="0.2">
      <c r="B250" s="31" t="s">
        <v>399</v>
      </c>
      <c r="C250" s="31" t="s">
        <v>400</v>
      </c>
      <c r="D250" s="34">
        <v>0</v>
      </c>
      <c r="E250" s="34"/>
      <c r="F250" s="34">
        <v>150000</v>
      </c>
      <c r="G250" s="34">
        <v>150000</v>
      </c>
      <c r="H250" s="34">
        <f t="shared" si="3"/>
        <v>0</v>
      </c>
      <c r="I250" s="34"/>
      <c r="K250" t="s">
        <v>38</v>
      </c>
    </row>
    <row r="251" spans="2:11" ht="16.5" x14ac:dyDescent="0.2">
      <c r="B251" s="31" t="s">
        <v>401</v>
      </c>
      <c r="C251" s="31" t="s">
        <v>402</v>
      </c>
      <c r="D251" s="34">
        <v>0</v>
      </c>
      <c r="E251" s="34"/>
      <c r="F251" s="34">
        <v>90929.600000000006</v>
      </c>
      <c r="G251" s="34">
        <v>90929.600000000006</v>
      </c>
      <c r="H251" s="34">
        <f t="shared" si="3"/>
        <v>0</v>
      </c>
      <c r="I251" s="34"/>
      <c r="K251" t="s">
        <v>38</v>
      </c>
    </row>
    <row r="252" spans="2:11" ht="16.5" x14ac:dyDescent="0.2">
      <c r="B252" s="31" t="s">
        <v>403</v>
      </c>
      <c r="C252" s="31" t="s">
        <v>404</v>
      </c>
      <c r="D252" s="34">
        <v>61775</v>
      </c>
      <c r="E252" s="34"/>
      <c r="F252" s="34">
        <v>0</v>
      </c>
      <c r="G252" s="34">
        <v>0</v>
      </c>
      <c r="H252" s="34">
        <f t="shared" si="3"/>
        <v>61775</v>
      </c>
      <c r="I252" s="34"/>
      <c r="K252" t="s">
        <v>38</v>
      </c>
    </row>
    <row r="253" spans="2:11" ht="16.5" x14ac:dyDescent="0.2">
      <c r="B253" s="31" t="s">
        <v>405</v>
      </c>
      <c r="C253" s="31" t="s">
        <v>406</v>
      </c>
      <c r="D253" s="34">
        <v>25765.74</v>
      </c>
      <c r="E253" s="34"/>
      <c r="F253" s="34">
        <v>149802.88</v>
      </c>
      <c r="G253" s="34">
        <v>149706.79999999999</v>
      </c>
      <c r="H253" s="34">
        <f t="shared" si="3"/>
        <v>25861.820000000007</v>
      </c>
      <c r="I253" s="34"/>
      <c r="K253" t="s">
        <v>38</v>
      </c>
    </row>
    <row r="254" spans="2:11" ht="16.5" x14ac:dyDescent="0.2">
      <c r="B254" s="31" t="s">
        <v>407</v>
      </c>
      <c r="C254" s="31" t="s">
        <v>408</v>
      </c>
      <c r="D254" s="34">
        <v>0</v>
      </c>
      <c r="E254" s="34"/>
      <c r="F254" s="34">
        <v>5539</v>
      </c>
      <c r="G254" s="34">
        <v>5539</v>
      </c>
      <c r="H254" s="34">
        <f t="shared" si="3"/>
        <v>0</v>
      </c>
      <c r="I254" s="34"/>
      <c r="K254" t="s">
        <v>38</v>
      </c>
    </row>
    <row r="255" spans="2:11" ht="24.75" x14ac:dyDescent="0.2">
      <c r="B255" s="33" t="s">
        <v>409</v>
      </c>
      <c r="C255" s="33" t="s">
        <v>73</v>
      </c>
      <c r="D255" s="35">
        <f>SUMIFS(D256:D9015,K256:K9015,"0",B256:B9015,"1 1 3 1 1 12 31111 6 M59 00002*")-SUMIFS(E256:E9015,K256:K9015,"0",B256:B9015,"1 1 3 1 1 12 31111 6 M59 00002*")</f>
        <v>319513.97000000003</v>
      </c>
      <c r="E255"/>
      <c r="F255" s="35">
        <f>SUMIFS(F256:F9015,K256:K9015,"0",B256:B9015,"1 1 3 1 1 12 31111 6 M59 00002*")</f>
        <v>3151325.76</v>
      </c>
      <c r="G255" s="35">
        <f>SUMIFS(G256:G9015,K256:K9015,"0",B256:B9015,"1 1 3 1 1 12 31111 6 M59 00002*")</f>
        <v>3151325.76</v>
      </c>
      <c r="H255" s="35">
        <f t="shared" si="3"/>
        <v>319513.9700000002</v>
      </c>
      <c r="I255" s="35"/>
      <c r="K255" t="s">
        <v>15</v>
      </c>
    </row>
    <row r="256" spans="2:11" ht="16.5" x14ac:dyDescent="0.2">
      <c r="B256" s="33" t="s">
        <v>410</v>
      </c>
      <c r="C256" s="33" t="s">
        <v>411</v>
      </c>
      <c r="D256" s="35">
        <f>SUMIFS(D257:D9015,K257:K9015,"0",B257:B9015,"1 1 3 1 1 12 31111 6 M59 00002 000001*")-SUMIFS(E257:E9015,K257:K9015,"0",B257:B9015,"1 1 3 1 1 12 31111 6 M59 00002 000001*")</f>
        <v>319513.97000000003</v>
      </c>
      <c r="E256"/>
      <c r="F256" s="35">
        <f>SUMIFS(F257:F9015,K257:K9015,"0",B257:B9015,"1 1 3 1 1 12 31111 6 M59 00002 000001*")</f>
        <v>3151325.76</v>
      </c>
      <c r="G256" s="35">
        <f>SUMIFS(G257:G9015,K257:K9015,"0",B257:B9015,"1 1 3 1 1 12 31111 6 M59 00002 000001*")</f>
        <v>3151325.76</v>
      </c>
      <c r="H256" s="35">
        <f t="shared" si="3"/>
        <v>319513.9700000002</v>
      </c>
      <c r="I256" s="35"/>
      <c r="K256" t="s">
        <v>15</v>
      </c>
    </row>
    <row r="257" spans="2:11" ht="16.5" x14ac:dyDescent="0.2">
      <c r="B257" s="31" t="s">
        <v>412</v>
      </c>
      <c r="C257" s="31" t="s">
        <v>413</v>
      </c>
      <c r="D257" s="34">
        <v>6.69</v>
      </c>
      <c r="E257" s="34"/>
      <c r="F257" s="34">
        <v>3151325.76</v>
      </c>
      <c r="G257" s="34">
        <v>3151325.76</v>
      </c>
      <c r="H257" s="34">
        <f t="shared" si="3"/>
        <v>6.6899999999441206</v>
      </c>
      <c r="I257" s="34"/>
      <c r="K257" t="s">
        <v>38</v>
      </c>
    </row>
    <row r="258" spans="2:11" ht="16.5" x14ac:dyDescent="0.2">
      <c r="B258" s="31" t="s">
        <v>414</v>
      </c>
      <c r="C258" s="31" t="s">
        <v>415</v>
      </c>
      <c r="D258" s="34">
        <v>70</v>
      </c>
      <c r="E258" s="34"/>
      <c r="F258" s="34">
        <v>0</v>
      </c>
      <c r="G258" s="34">
        <v>0</v>
      </c>
      <c r="H258" s="34">
        <f t="shared" si="3"/>
        <v>70</v>
      </c>
      <c r="I258" s="34"/>
      <c r="K258" t="s">
        <v>38</v>
      </c>
    </row>
    <row r="259" spans="2:11" ht="16.5" x14ac:dyDescent="0.2">
      <c r="B259" s="31" t="s">
        <v>416</v>
      </c>
      <c r="C259" s="31" t="s">
        <v>417</v>
      </c>
      <c r="D259" s="34">
        <v>319437.27</v>
      </c>
      <c r="E259" s="34"/>
      <c r="F259" s="34">
        <v>0</v>
      </c>
      <c r="G259" s="34">
        <v>0</v>
      </c>
      <c r="H259" s="34">
        <f t="shared" si="3"/>
        <v>319437.27</v>
      </c>
      <c r="I259" s="34"/>
      <c r="K259" t="s">
        <v>38</v>
      </c>
    </row>
    <row r="260" spans="2:11" ht="16.5" x14ac:dyDescent="0.2">
      <c r="B260" s="31" t="s">
        <v>418</v>
      </c>
      <c r="C260" s="31" t="s">
        <v>419</v>
      </c>
      <c r="D260" s="34">
        <v>0.01</v>
      </c>
      <c r="E260" s="34"/>
      <c r="F260" s="34">
        <v>0</v>
      </c>
      <c r="G260" s="34">
        <v>0</v>
      </c>
      <c r="H260" s="34">
        <f t="shared" si="3"/>
        <v>0.01</v>
      </c>
      <c r="I260" s="34"/>
      <c r="K260" t="s">
        <v>38</v>
      </c>
    </row>
    <row r="261" spans="2:11" ht="16.5" x14ac:dyDescent="0.2">
      <c r="B261" s="33" t="s">
        <v>420</v>
      </c>
      <c r="C261" s="33" t="s">
        <v>83</v>
      </c>
      <c r="D261" s="35">
        <f>SUMIFS(D262:D9015,K262:K9015,"0",B262:B9015,"1 1 3 1 1 12 31111 6 M59 00003*")-SUMIFS(E262:E9015,K262:K9015,"0",B262:B9015,"1 1 3 1 1 12 31111 6 M59 00003*")</f>
        <v>503453.01000000007</v>
      </c>
      <c r="E261"/>
      <c r="F261" s="35">
        <f>SUMIFS(F262:F9015,K262:K9015,"0",B262:B9015,"1 1 3 1 1 12 31111 6 M59 00003*")</f>
        <v>759867.55</v>
      </c>
      <c r="G261" s="35">
        <f>SUMIFS(G262:G9015,K262:K9015,"0",B262:B9015,"1 1 3 1 1 12 31111 6 M59 00003*")</f>
        <v>757799.75</v>
      </c>
      <c r="H261" s="35">
        <f t="shared" si="3"/>
        <v>505520.81000000006</v>
      </c>
      <c r="I261" s="35"/>
      <c r="K261" t="s">
        <v>15</v>
      </c>
    </row>
    <row r="262" spans="2:11" ht="16.5" x14ac:dyDescent="0.2">
      <c r="B262" s="33" t="s">
        <v>421</v>
      </c>
      <c r="C262" s="33" t="s">
        <v>411</v>
      </c>
      <c r="D262" s="35">
        <f>SUMIFS(D263:D9015,K263:K9015,"0",B263:B9015,"1 1 3 1 1 12 31111 6 M59 00003 000003*")-SUMIFS(E263:E9015,K263:K9015,"0",B263:B9015,"1 1 3 1 1 12 31111 6 M59 00003 000003*")</f>
        <v>503453.01000000007</v>
      </c>
      <c r="E262"/>
      <c r="F262" s="35">
        <f>SUMIFS(F263:F9015,K263:K9015,"0",B263:B9015,"1 1 3 1 1 12 31111 6 M59 00003 000003*")</f>
        <v>759867.55</v>
      </c>
      <c r="G262" s="35">
        <f>SUMIFS(G263:G9015,K263:K9015,"0",B263:B9015,"1 1 3 1 1 12 31111 6 M59 00003 000003*")</f>
        <v>757799.75</v>
      </c>
      <c r="H262" s="35">
        <f t="shared" si="3"/>
        <v>505520.81000000006</v>
      </c>
      <c r="I262" s="35"/>
      <c r="K262" t="s">
        <v>15</v>
      </c>
    </row>
    <row r="263" spans="2:11" ht="16.5" x14ac:dyDescent="0.2">
      <c r="B263" s="31" t="s">
        <v>422</v>
      </c>
      <c r="C263" s="31" t="s">
        <v>413</v>
      </c>
      <c r="D263" s="34">
        <v>0</v>
      </c>
      <c r="E263" s="34"/>
      <c r="F263" s="34">
        <v>759867.55</v>
      </c>
      <c r="G263" s="34">
        <v>757799.75</v>
      </c>
      <c r="H263" s="34">
        <f t="shared" si="3"/>
        <v>2067.8000000000466</v>
      </c>
      <c r="I263" s="34"/>
      <c r="K263" t="s">
        <v>38</v>
      </c>
    </row>
    <row r="264" spans="2:11" ht="16.5" x14ac:dyDescent="0.2">
      <c r="B264" s="31" t="s">
        <v>423</v>
      </c>
      <c r="C264" s="31" t="s">
        <v>387</v>
      </c>
      <c r="D264" s="34">
        <v>53</v>
      </c>
      <c r="E264" s="34"/>
      <c r="F264" s="34">
        <v>0</v>
      </c>
      <c r="G264" s="34">
        <v>0</v>
      </c>
      <c r="H264" s="34">
        <f t="shared" si="3"/>
        <v>53</v>
      </c>
      <c r="I264" s="34"/>
      <c r="K264" t="s">
        <v>38</v>
      </c>
    </row>
    <row r="265" spans="2:11" ht="24.75" x14ac:dyDescent="0.2">
      <c r="B265" s="31" t="s">
        <v>424</v>
      </c>
      <c r="C265" s="31" t="s">
        <v>375</v>
      </c>
      <c r="D265" s="34">
        <v>165049.29</v>
      </c>
      <c r="E265" s="34"/>
      <c r="F265" s="34">
        <v>0</v>
      </c>
      <c r="G265" s="34">
        <v>0</v>
      </c>
      <c r="H265" s="34">
        <f t="shared" si="3"/>
        <v>165049.29</v>
      </c>
      <c r="I265" s="34"/>
      <c r="K265" t="s">
        <v>38</v>
      </c>
    </row>
    <row r="266" spans="2:11" ht="24.75" x14ac:dyDescent="0.2">
      <c r="B266" s="31" t="s">
        <v>425</v>
      </c>
      <c r="C266" s="31" t="s">
        <v>426</v>
      </c>
      <c r="D266" s="34">
        <v>928.79</v>
      </c>
      <c r="E266" s="34"/>
      <c r="F266" s="34">
        <v>0</v>
      </c>
      <c r="G266" s="34">
        <v>0</v>
      </c>
      <c r="H266" s="34">
        <f t="shared" si="3"/>
        <v>928.79</v>
      </c>
      <c r="I266" s="34"/>
      <c r="K266" t="s">
        <v>38</v>
      </c>
    </row>
    <row r="267" spans="2:11" ht="16.5" x14ac:dyDescent="0.2">
      <c r="B267" s="31" t="s">
        <v>427</v>
      </c>
      <c r="C267" s="31" t="s">
        <v>428</v>
      </c>
      <c r="D267" s="34">
        <v>3</v>
      </c>
      <c r="E267" s="34"/>
      <c r="F267" s="34">
        <v>0</v>
      </c>
      <c r="G267" s="34">
        <v>0</v>
      </c>
      <c r="H267" s="34">
        <f t="shared" si="3"/>
        <v>3</v>
      </c>
      <c r="I267" s="34"/>
      <c r="K267" t="s">
        <v>38</v>
      </c>
    </row>
    <row r="268" spans="2:11" ht="16.5" x14ac:dyDescent="0.2">
      <c r="B268" s="31" t="s">
        <v>429</v>
      </c>
      <c r="C268" s="31" t="s">
        <v>430</v>
      </c>
      <c r="D268" s="34">
        <v>3200</v>
      </c>
      <c r="E268" s="34"/>
      <c r="F268" s="34">
        <v>0</v>
      </c>
      <c r="G268" s="34">
        <v>0</v>
      </c>
      <c r="H268" s="34">
        <f t="shared" ref="H268:H331" si="4">D268 + F268 - G268</f>
        <v>3200</v>
      </c>
      <c r="I268" s="34"/>
      <c r="K268" t="s">
        <v>38</v>
      </c>
    </row>
    <row r="269" spans="2:11" ht="16.5" x14ac:dyDescent="0.2">
      <c r="B269" s="31" t="s">
        <v>431</v>
      </c>
      <c r="C269" s="31" t="s">
        <v>432</v>
      </c>
      <c r="D269" s="34">
        <v>1665</v>
      </c>
      <c r="E269" s="34"/>
      <c r="F269" s="34">
        <v>0</v>
      </c>
      <c r="G269" s="34">
        <v>0</v>
      </c>
      <c r="H269" s="34">
        <f t="shared" si="4"/>
        <v>1665</v>
      </c>
      <c r="I269" s="34"/>
      <c r="K269" t="s">
        <v>38</v>
      </c>
    </row>
    <row r="270" spans="2:11" ht="16.5" x14ac:dyDescent="0.2">
      <c r="B270" s="31" t="s">
        <v>433</v>
      </c>
      <c r="C270" s="31" t="s">
        <v>434</v>
      </c>
      <c r="D270" s="34">
        <v>42294.44</v>
      </c>
      <c r="E270" s="34"/>
      <c r="F270" s="34">
        <v>0</v>
      </c>
      <c r="G270" s="34">
        <v>0</v>
      </c>
      <c r="H270" s="34">
        <f t="shared" si="4"/>
        <v>42294.44</v>
      </c>
      <c r="I270" s="34"/>
      <c r="K270" t="s">
        <v>38</v>
      </c>
    </row>
    <row r="271" spans="2:11" ht="16.5" x14ac:dyDescent="0.2">
      <c r="B271" s="31" t="s">
        <v>435</v>
      </c>
      <c r="C271" s="31" t="s">
        <v>436</v>
      </c>
      <c r="D271" s="34">
        <v>5040</v>
      </c>
      <c r="E271" s="34"/>
      <c r="F271" s="34">
        <v>0</v>
      </c>
      <c r="G271" s="34">
        <v>0</v>
      </c>
      <c r="H271" s="34">
        <f t="shared" si="4"/>
        <v>5040</v>
      </c>
      <c r="I271" s="34"/>
      <c r="K271" t="s">
        <v>38</v>
      </c>
    </row>
    <row r="272" spans="2:11" ht="16.5" x14ac:dyDescent="0.2">
      <c r="B272" s="31" t="s">
        <v>437</v>
      </c>
      <c r="C272" s="31" t="s">
        <v>438</v>
      </c>
      <c r="D272" s="34">
        <v>3080</v>
      </c>
      <c r="E272" s="34"/>
      <c r="F272" s="34">
        <v>0</v>
      </c>
      <c r="G272" s="34">
        <v>0</v>
      </c>
      <c r="H272" s="34">
        <f t="shared" si="4"/>
        <v>3080</v>
      </c>
      <c r="I272" s="34"/>
      <c r="K272" t="s">
        <v>38</v>
      </c>
    </row>
    <row r="273" spans="2:11" ht="16.5" x14ac:dyDescent="0.2">
      <c r="B273" s="31" t="s">
        <v>439</v>
      </c>
      <c r="C273" s="31" t="s">
        <v>396</v>
      </c>
      <c r="D273" s="34">
        <v>159583.94</v>
      </c>
      <c r="E273" s="34"/>
      <c r="F273" s="34">
        <v>0</v>
      </c>
      <c r="G273" s="34">
        <v>0</v>
      </c>
      <c r="H273" s="34">
        <f t="shared" si="4"/>
        <v>159583.94</v>
      </c>
      <c r="I273" s="34"/>
      <c r="K273" t="s">
        <v>38</v>
      </c>
    </row>
    <row r="274" spans="2:11" ht="16.5" x14ac:dyDescent="0.2">
      <c r="B274" s="31" t="s">
        <v>440</v>
      </c>
      <c r="C274" s="31" t="s">
        <v>441</v>
      </c>
      <c r="D274" s="34">
        <v>400</v>
      </c>
      <c r="E274" s="34"/>
      <c r="F274" s="34">
        <v>0</v>
      </c>
      <c r="G274" s="34">
        <v>0</v>
      </c>
      <c r="H274" s="34">
        <f t="shared" si="4"/>
        <v>400</v>
      </c>
      <c r="I274" s="34"/>
      <c r="K274" t="s">
        <v>38</v>
      </c>
    </row>
    <row r="275" spans="2:11" ht="16.5" x14ac:dyDescent="0.2">
      <c r="B275" s="31" t="s">
        <v>442</v>
      </c>
      <c r="C275" s="31" t="s">
        <v>443</v>
      </c>
      <c r="D275" s="34">
        <v>49900</v>
      </c>
      <c r="E275" s="34"/>
      <c r="F275" s="34">
        <v>0</v>
      </c>
      <c r="G275" s="34">
        <v>0</v>
      </c>
      <c r="H275" s="34">
        <f t="shared" si="4"/>
        <v>49900</v>
      </c>
      <c r="I275" s="34"/>
      <c r="K275" t="s">
        <v>38</v>
      </c>
    </row>
    <row r="276" spans="2:11" ht="16.5" x14ac:dyDescent="0.2">
      <c r="B276" s="31" t="s">
        <v>444</v>
      </c>
      <c r="C276" s="31" t="s">
        <v>445</v>
      </c>
      <c r="D276" s="34">
        <v>8933.01</v>
      </c>
      <c r="E276" s="34"/>
      <c r="F276" s="34">
        <v>0</v>
      </c>
      <c r="G276" s="34">
        <v>0</v>
      </c>
      <c r="H276" s="34">
        <f t="shared" si="4"/>
        <v>8933.01</v>
      </c>
      <c r="I276" s="34"/>
      <c r="K276" t="s">
        <v>38</v>
      </c>
    </row>
    <row r="277" spans="2:11" ht="16.5" x14ac:dyDescent="0.2">
      <c r="B277" s="31" t="s">
        <v>446</v>
      </c>
      <c r="C277" s="31" t="s">
        <v>441</v>
      </c>
      <c r="D277" s="34">
        <v>1400</v>
      </c>
      <c r="E277" s="34"/>
      <c r="F277" s="34">
        <v>0</v>
      </c>
      <c r="G277" s="34">
        <v>0</v>
      </c>
      <c r="H277" s="34">
        <f t="shared" si="4"/>
        <v>1400</v>
      </c>
      <c r="I277" s="34"/>
      <c r="K277" t="s">
        <v>38</v>
      </c>
    </row>
    <row r="278" spans="2:11" ht="16.5" x14ac:dyDescent="0.2">
      <c r="B278" s="31" t="s">
        <v>447</v>
      </c>
      <c r="C278" s="31" t="s">
        <v>448</v>
      </c>
      <c r="D278" s="34">
        <v>200</v>
      </c>
      <c r="E278" s="34"/>
      <c r="F278" s="34">
        <v>0</v>
      </c>
      <c r="G278" s="34">
        <v>0</v>
      </c>
      <c r="H278" s="34">
        <f t="shared" si="4"/>
        <v>200</v>
      </c>
      <c r="I278" s="34"/>
      <c r="K278" t="s">
        <v>38</v>
      </c>
    </row>
    <row r="279" spans="2:11" ht="16.5" x14ac:dyDescent="0.2">
      <c r="B279" s="31" t="s">
        <v>449</v>
      </c>
      <c r="C279" s="31" t="s">
        <v>450</v>
      </c>
      <c r="D279" s="34">
        <v>38149.199999999997</v>
      </c>
      <c r="E279" s="34"/>
      <c r="F279" s="34">
        <v>0</v>
      </c>
      <c r="G279" s="34">
        <v>0</v>
      </c>
      <c r="H279" s="34">
        <f t="shared" si="4"/>
        <v>38149.199999999997</v>
      </c>
      <c r="I279" s="34"/>
      <c r="K279" t="s">
        <v>38</v>
      </c>
    </row>
    <row r="280" spans="2:11" ht="16.5" x14ac:dyDescent="0.2">
      <c r="B280" s="31" t="s">
        <v>451</v>
      </c>
      <c r="C280" s="31" t="s">
        <v>406</v>
      </c>
      <c r="D280" s="34">
        <v>23573.34</v>
      </c>
      <c r="E280" s="34"/>
      <c r="F280" s="34">
        <v>0</v>
      </c>
      <c r="G280" s="34">
        <v>0</v>
      </c>
      <c r="H280" s="34">
        <f t="shared" si="4"/>
        <v>23573.34</v>
      </c>
      <c r="I280" s="34"/>
      <c r="K280" t="s">
        <v>38</v>
      </c>
    </row>
    <row r="281" spans="2:11" ht="24.75" x14ac:dyDescent="0.2">
      <c r="B281" s="33" t="s">
        <v>452</v>
      </c>
      <c r="C281" s="33" t="s">
        <v>91</v>
      </c>
      <c r="D281" s="35">
        <f>SUMIFS(D282:D9015,K282:K9015,"0",B282:B9015,"1 1 3 1 1 12 31111 6 M59 00004*")-SUMIFS(E282:E9015,K282:K9015,"0",B282:B9015,"1 1 3 1 1 12 31111 6 M59 00004*")</f>
        <v>75664.509999999995</v>
      </c>
      <c r="E281"/>
      <c r="F281" s="35">
        <f>SUMIFS(F282:F9015,K282:K9015,"0",B282:B9015,"1 1 3 1 1 12 31111 6 M59 00004*")</f>
        <v>213039.16</v>
      </c>
      <c r="G281" s="35">
        <f>SUMIFS(G282:G9015,K282:K9015,"0",B282:B9015,"1 1 3 1 1 12 31111 6 M59 00004*")</f>
        <v>199725.28999999998</v>
      </c>
      <c r="H281" s="35">
        <f t="shared" si="4"/>
        <v>88978.38</v>
      </c>
      <c r="I281" s="35"/>
      <c r="K281" t="s">
        <v>15</v>
      </c>
    </row>
    <row r="282" spans="2:11" ht="16.5" x14ac:dyDescent="0.2">
      <c r="B282" s="33" t="s">
        <v>453</v>
      </c>
      <c r="C282" s="33" t="s">
        <v>203</v>
      </c>
      <c r="D282" s="35">
        <f>SUMIFS(D283:D9015,K283:K9015,"0",B283:B9015,"1 1 3 1 1 12 31111 6 M59 00004 000001*")-SUMIFS(E283:E9015,K283:K9015,"0",B283:B9015,"1 1 3 1 1 12 31111 6 M59 00004 000001*")</f>
        <v>75664.509999999995</v>
      </c>
      <c r="E282"/>
      <c r="F282" s="35">
        <f>SUMIFS(F283:F9015,K283:K9015,"0",B283:B9015,"1 1 3 1 1 12 31111 6 M59 00004 000001*")</f>
        <v>0</v>
      </c>
      <c r="G282" s="35">
        <f>SUMIFS(G283:G9015,K283:K9015,"0",B283:B9015,"1 1 3 1 1 12 31111 6 M59 00004 000001*")</f>
        <v>0</v>
      </c>
      <c r="H282" s="35">
        <f t="shared" si="4"/>
        <v>75664.509999999995</v>
      </c>
      <c r="I282" s="35"/>
      <c r="K282" t="s">
        <v>15</v>
      </c>
    </row>
    <row r="283" spans="2:11" ht="16.5" x14ac:dyDescent="0.2">
      <c r="B283" s="31" t="s">
        <v>454</v>
      </c>
      <c r="C283" s="31" t="s">
        <v>413</v>
      </c>
      <c r="D283" s="34">
        <v>75664.509999999995</v>
      </c>
      <c r="E283" s="34"/>
      <c r="F283" s="34">
        <v>0</v>
      </c>
      <c r="G283" s="34">
        <v>0</v>
      </c>
      <c r="H283" s="34">
        <f t="shared" si="4"/>
        <v>75664.509999999995</v>
      </c>
      <c r="I283" s="34"/>
      <c r="K283" t="s">
        <v>38</v>
      </c>
    </row>
    <row r="284" spans="2:11" ht="16.5" x14ac:dyDescent="0.2">
      <c r="B284" s="31" t="s">
        <v>455</v>
      </c>
      <c r="C284" s="31" t="s">
        <v>387</v>
      </c>
      <c r="D284" s="34">
        <v>0</v>
      </c>
      <c r="E284" s="34"/>
      <c r="F284" s="34">
        <v>154901.15</v>
      </c>
      <c r="G284" s="34">
        <v>154901.15</v>
      </c>
      <c r="H284" s="34">
        <f t="shared" si="4"/>
        <v>0</v>
      </c>
      <c r="I284" s="34"/>
      <c r="K284" t="s">
        <v>38</v>
      </c>
    </row>
    <row r="285" spans="2:11" ht="16.5" x14ac:dyDescent="0.2">
      <c r="B285" s="31" t="s">
        <v>456</v>
      </c>
      <c r="C285" s="31" t="s">
        <v>457</v>
      </c>
      <c r="D285" s="34">
        <v>0</v>
      </c>
      <c r="E285" s="34"/>
      <c r="F285" s="34">
        <v>4602.01</v>
      </c>
      <c r="G285" s="34">
        <v>0</v>
      </c>
      <c r="H285" s="34">
        <f t="shared" si="4"/>
        <v>4602.01</v>
      </c>
      <c r="I285" s="34"/>
      <c r="K285" t="s">
        <v>38</v>
      </c>
    </row>
    <row r="286" spans="2:11" ht="16.5" x14ac:dyDescent="0.2">
      <c r="B286" s="31" t="s">
        <v>458</v>
      </c>
      <c r="C286" s="31" t="s">
        <v>459</v>
      </c>
      <c r="D286" s="34">
        <v>0</v>
      </c>
      <c r="E286" s="34"/>
      <c r="F286" s="34">
        <v>51966</v>
      </c>
      <c r="G286" s="34">
        <v>44824.14</v>
      </c>
      <c r="H286" s="34">
        <f t="shared" si="4"/>
        <v>7141.8600000000006</v>
      </c>
      <c r="I286" s="34"/>
      <c r="K286" t="s">
        <v>38</v>
      </c>
    </row>
    <row r="287" spans="2:11" ht="16.5" x14ac:dyDescent="0.2">
      <c r="B287" s="31" t="s">
        <v>460</v>
      </c>
      <c r="C287" s="31" t="s">
        <v>461</v>
      </c>
      <c r="D287" s="34">
        <v>0</v>
      </c>
      <c r="E287" s="34"/>
      <c r="F287" s="34">
        <v>1570</v>
      </c>
      <c r="G287" s="34">
        <v>0</v>
      </c>
      <c r="H287" s="34">
        <f t="shared" si="4"/>
        <v>1570</v>
      </c>
      <c r="I287" s="34"/>
      <c r="K287" t="s">
        <v>38</v>
      </c>
    </row>
    <row r="288" spans="2:11" ht="41.25" x14ac:dyDescent="0.2">
      <c r="B288" s="33" t="s">
        <v>462</v>
      </c>
      <c r="C288" s="33" t="s">
        <v>109</v>
      </c>
      <c r="D288" s="35">
        <f>SUMIFS(D289:D9015,K289:K9015,"0",B289:B9015,"1 1 3 1 1 12 31111 6 M59 00005*")-SUMIFS(E289:E9015,K289:K9015,"0",B289:B9015,"1 1 3 1 1 12 31111 6 M59 00005*")</f>
        <v>160334.21000000002</v>
      </c>
      <c r="E288"/>
      <c r="F288" s="35">
        <f>SUMIFS(F289:F9015,K289:K9015,"0",B289:B9015,"1 1 3 1 1 12 31111 6 M59 00005*")</f>
        <v>156446.97</v>
      </c>
      <c r="G288" s="35">
        <f>SUMIFS(G289:G9015,K289:K9015,"0",B289:B9015,"1 1 3 1 1 12 31111 6 M59 00005*")</f>
        <v>156446.97</v>
      </c>
      <c r="H288" s="35">
        <f t="shared" si="4"/>
        <v>160334.21000000005</v>
      </c>
      <c r="I288" s="35"/>
      <c r="K288" t="s">
        <v>15</v>
      </c>
    </row>
    <row r="289" spans="2:11" ht="16.5" x14ac:dyDescent="0.2">
      <c r="B289" s="31" t="s">
        <v>463</v>
      </c>
      <c r="C289" s="31" t="s">
        <v>464</v>
      </c>
      <c r="D289" s="34">
        <v>0</v>
      </c>
      <c r="E289" s="34"/>
      <c r="F289" s="34">
        <v>156446.97</v>
      </c>
      <c r="G289" s="34">
        <v>0</v>
      </c>
      <c r="H289" s="34">
        <f t="shared" si="4"/>
        <v>156446.97</v>
      </c>
      <c r="I289" s="34"/>
      <c r="K289" t="s">
        <v>38</v>
      </c>
    </row>
    <row r="290" spans="2:11" ht="16.5" x14ac:dyDescent="0.2">
      <c r="B290" s="31" t="s">
        <v>465</v>
      </c>
      <c r="C290" s="31" t="s">
        <v>387</v>
      </c>
      <c r="D290" s="34">
        <v>0</v>
      </c>
      <c r="E290" s="34"/>
      <c r="F290" s="34">
        <v>0</v>
      </c>
      <c r="G290" s="34">
        <v>156446.97</v>
      </c>
      <c r="H290" s="34">
        <f t="shared" si="4"/>
        <v>-156446.97</v>
      </c>
      <c r="I290" s="34"/>
      <c r="K290" t="s">
        <v>38</v>
      </c>
    </row>
    <row r="291" spans="2:11" ht="16.5" x14ac:dyDescent="0.2">
      <c r="B291" s="31" t="s">
        <v>466</v>
      </c>
      <c r="C291" s="31" t="s">
        <v>396</v>
      </c>
      <c r="D291" s="34">
        <v>83235.38</v>
      </c>
      <c r="E291" s="34"/>
      <c r="F291" s="34">
        <v>0</v>
      </c>
      <c r="G291" s="34">
        <v>0</v>
      </c>
      <c r="H291" s="34">
        <f t="shared" si="4"/>
        <v>83235.38</v>
      </c>
      <c r="I291" s="34"/>
      <c r="K291" t="s">
        <v>38</v>
      </c>
    </row>
    <row r="292" spans="2:11" ht="16.5" x14ac:dyDescent="0.2">
      <c r="B292" s="31" t="s">
        <v>467</v>
      </c>
      <c r="C292" s="31" t="s">
        <v>468</v>
      </c>
      <c r="D292" s="34">
        <v>77098.83</v>
      </c>
      <c r="E292" s="34"/>
      <c r="F292" s="34">
        <v>0</v>
      </c>
      <c r="G292" s="34">
        <v>0</v>
      </c>
      <c r="H292" s="34">
        <f t="shared" si="4"/>
        <v>77098.83</v>
      </c>
      <c r="I292" s="34"/>
      <c r="K292" t="s">
        <v>38</v>
      </c>
    </row>
    <row r="293" spans="2:11" ht="16.5" x14ac:dyDescent="0.2">
      <c r="B293" s="33" t="s">
        <v>469</v>
      </c>
      <c r="C293" s="33" t="s">
        <v>470</v>
      </c>
      <c r="D293" s="35">
        <f>SUMIFS(D294:D9015,K294:K9015,"0",B294:B9015,"1 1 3 1 1 12 31111 6 M59 00006*")-SUMIFS(E294:E9015,K294:K9015,"0",B294:B9015,"1 1 3 1 1 12 31111 6 M59 00006*")</f>
        <v>0</v>
      </c>
      <c r="E293"/>
      <c r="F293" s="35">
        <f>SUMIFS(F294:F9015,K294:K9015,"0",B294:B9015,"1 1 3 1 1 12 31111 6 M59 00006*")</f>
        <v>21700</v>
      </c>
      <c r="G293" s="35">
        <f>SUMIFS(G294:G9015,K294:K9015,"0",B294:B9015,"1 1 3 1 1 12 31111 6 M59 00006*")</f>
        <v>21700</v>
      </c>
      <c r="H293" s="35">
        <f t="shared" si="4"/>
        <v>0</v>
      </c>
      <c r="I293" s="35"/>
      <c r="K293" t="s">
        <v>15</v>
      </c>
    </row>
    <row r="294" spans="2:11" ht="16.5" x14ac:dyDescent="0.2">
      <c r="B294" s="31" t="s">
        <v>471</v>
      </c>
      <c r="C294" s="31" t="s">
        <v>413</v>
      </c>
      <c r="D294" s="34">
        <v>0</v>
      </c>
      <c r="E294" s="34"/>
      <c r="F294" s="34">
        <v>21700</v>
      </c>
      <c r="G294" s="34">
        <v>21700</v>
      </c>
      <c r="H294" s="34">
        <f t="shared" si="4"/>
        <v>0</v>
      </c>
      <c r="I294" s="34"/>
      <c r="K294" t="s">
        <v>38</v>
      </c>
    </row>
    <row r="295" spans="2:11" ht="16.5" x14ac:dyDescent="0.2">
      <c r="B295" s="33" t="s">
        <v>472</v>
      </c>
      <c r="C295" s="33" t="s">
        <v>473</v>
      </c>
      <c r="D295" s="35">
        <f>SUMIFS(D296:D9015,K296:K9015,"0",B296:B9015,"1 1 3 1 1 12 31111 6 M59 00091*")-SUMIFS(E296:E9015,K296:K9015,"0",B296:B9015,"1 1 3 1 1 12 31111 6 M59 00091*")</f>
        <v>1.65</v>
      </c>
      <c r="E295"/>
      <c r="F295" s="35">
        <f>SUMIFS(F296:F9015,K296:K9015,"0",B296:B9015,"1 1 3 1 1 12 31111 6 M59 00091*")</f>
        <v>0</v>
      </c>
      <c r="G295" s="35">
        <f>SUMIFS(G296:G9015,K296:K9015,"0",B296:B9015,"1 1 3 1 1 12 31111 6 M59 00091*")</f>
        <v>0</v>
      </c>
      <c r="H295" s="35">
        <f t="shared" si="4"/>
        <v>1.65</v>
      </c>
      <c r="I295" s="35"/>
      <c r="K295" t="s">
        <v>15</v>
      </c>
    </row>
    <row r="296" spans="2:11" ht="16.5" x14ac:dyDescent="0.2">
      <c r="B296" s="31" t="s">
        <v>474</v>
      </c>
      <c r="C296" s="31" t="s">
        <v>274</v>
      </c>
      <c r="D296" s="34">
        <v>1.65</v>
      </c>
      <c r="E296" s="34"/>
      <c r="F296" s="34">
        <v>0</v>
      </c>
      <c r="G296" s="34">
        <v>0</v>
      </c>
      <c r="H296" s="34">
        <f t="shared" si="4"/>
        <v>1.65</v>
      </c>
      <c r="I296" s="34"/>
      <c r="K296" t="s">
        <v>38</v>
      </c>
    </row>
    <row r="297" spans="2:11" ht="24.75" x14ac:dyDescent="0.2">
      <c r="B297" s="33" t="s">
        <v>475</v>
      </c>
      <c r="C297" s="33" t="s">
        <v>476</v>
      </c>
      <c r="D297" s="35">
        <f>SUMIFS(D298:D9015,K298:K9015,"0",B298:B9015,"1 1 3 9*")-SUMIFS(E298:E9015,K298:K9015,"0",B298:B9015,"1 1 3 9*")</f>
        <v>4958476.91</v>
      </c>
      <c r="E297"/>
      <c r="F297" s="35">
        <f>SUMIFS(F298:F9015,K298:K9015,"0",B298:B9015,"1 1 3 9*")</f>
        <v>7361412.9699999997</v>
      </c>
      <c r="G297" s="35">
        <f>SUMIFS(G298:G9015,K298:K9015,"0",B298:B9015,"1 1 3 9*")</f>
        <v>6749330.5699999994</v>
      </c>
      <c r="H297" s="35">
        <f t="shared" si="4"/>
        <v>5570559.3099999996</v>
      </c>
      <c r="I297" s="35"/>
      <c r="K297" t="s">
        <v>15</v>
      </c>
    </row>
    <row r="298" spans="2:11" ht="24.75" x14ac:dyDescent="0.2">
      <c r="B298" s="33" t="s">
        <v>477</v>
      </c>
      <c r="C298" s="33" t="s">
        <v>476</v>
      </c>
      <c r="D298" s="35">
        <f>SUMIFS(D299:D9015,K299:K9015,"0",B299:B9015,"1 1 3 9 1*")-SUMIFS(E299:E9015,K299:K9015,"0",B299:B9015,"1 1 3 9 1*")</f>
        <v>4958476.91</v>
      </c>
      <c r="E298"/>
      <c r="F298" s="35">
        <f>SUMIFS(F299:F9015,K299:K9015,"0",B299:B9015,"1 1 3 9 1*")</f>
        <v>7361412.9699999997</v>
      </c>
      <c r="G298" s="35">
        <f>SUMIFS(G299:G9015,K299:K9015,"0",B299:B9015,"1 1 3 9 1*")</f>
        <v>6749330.5699999994</v>
      </c>
      <c r="H298" s="35">
        <f t="shared" si="4"/>
        <v>5570559.3099999996</v>
      </c>
      <c r="I298" s="35"/>
      <c r="K298" t="s">
        <v>15</v>
      </c>
    </row>
    <row r="299" spans="2:11" ht="12.75" x14ac:dyDescent="0.2">
      <c r="B299" s="33" t="s">
        <v>478</v>
      </c>
      <c r="C299" s="33" t="s">
        <v>26</v>
      </c>
      <c r="D299" s="35">
        <f>SUMIFS(D300:D9015,K300:K9015,"0",B300:B9015,"1 1 3 9 1 12*")-SUMIFS(E300:E9015,K300:K9015,"0",B300:B9015,"1 1 3 9 1 12*")</f>
        <v>4958476.91</v>
      </c>
      <c r="E299"/>
      <c r="F299" s="35">
        <f>SUMIFS(F300:F9015,K300:K9015,"0",B300:B9015,"1 1 3 9 1 12*")</f>
        <v>7361412.9699999997</v>
      </c>
      <c r="G299" s="35">
        <f>SUMIFS(G300:G9015,K300:K9015,"0",B300:B9015,"1 1 3 9 1 12*")</f>
        <v>6749330.5699999994</v>
      </c>
      <c r="H299" s="35">
        <f t="shared" si="4"/>
        <v>5570559.3099999996</v>
      </c>
      <c r="I299" s="35"/>
      <c r="K299" t="s">
        <v>15</v>
      </c>
    </row>
    <row r="300" spans="2:11" ht="16.5" x14ac:dyDescent="0.2">
      <c r="B300" s="33" t="s">
        <v>479</v>
      </c>
      <c r="C300" s="33" t="s">
        <v>28</v>
      </c>
      <c r="D300" s="35">
        <f>SUMIFS(D301:D9015,K301:K9015,"0",B301:B9015,"1 1 3 9 1 12 31111*")-SUMIFS(E301:E9015,K301:K9015,"0",B301:B9015,"1 1 3 9 1 12 31111*")</f>
        <v>4958476.91</v>
      </c>
      <c r="E300"/>
      <c r="F300" s="35">
        <f>SUMIFS(F301:F9015,K301:K9015,"0",B301:B9015,"1 1 3 9 1 12 31111*")</f>
        <v>7361412.9699999997</v>
      </c>
      <c r="G300" s="35">
        <f>SUMIFS(G301:G9015,K301:K9015,"0",B301:B9015,"1 1 3 9 1 12 31111*")</f>
        <v>6749330.5699999994</v>
      </c>
      <c r="H300" s="35">
        <f t="shared" si="4"/>
        <v>5570559.3099999996</v>
      </c>
      <c r="I300" s="35"/>
      <c r="K300" t="s">
        <v>15</v>
      </c>
    </row>
    <row r="301" spans="2:11" ht="12.75" x14ac:dyDescent="0.2">
      <c r="B301" s="33" t="s">
        <v>480</v>
      </c>
      <c r="C301" s="33" t="s">
        <v>30</v>
      </c>
      <c r="D301" s="35">
        <f>SUMIFS(D302:D9015,K302:K9015,"0",B302:B9015,"1 1 3 9 1 12 31111 6*")-SUMIFS(E302:E9015,K302:K9015,"0",B302:B9015,"1 1 3 9 1 12 31111 6*")</f>
        <v>4958476.91</v>
      </c>
      <c r="E301"/>
      <c r="F301" s="35">
        <f>SUMIFS(F302:F9015,K302:K9015,"0",B302:B9015,"1 1 3 9 1 12 31111 6*")</f>
        <v>7361412.9699999997</v>
      </c>
      <c r="G301" s="35">
        <f>SUMIFS(G302:G9015,K302:K9015,"0",B302:B9015,"1 1 3 9 1 12 31111 6*")</f>
        <v>6749330.5699999994</v>
      </c>
      <c r="H301" s="35">
        <f t="shared" si="4"/>
        <v>5570559.3099999996</v>
      </c>
      <c r="I301" s="35"/>
      <c r="K301" t="s">
        <v>15</v>
      </c>
    </row>
    <row r="302" spans="2:11" ht="33" x14ac:dyDescent="0.2">
      <c r="B302" s="33" t="s">
        <v>481</v>
      </c>
      <c r="C302" s="33" t="s">
        <v>482</v>
      </c>
      <c r="D302" s="35">
        <f>SUMIFS(D303:D9015,K303:K9015,"0",B303:B9015,"1 1 3 9 1 12 31111 6 M59*")-SUMIFS(E303:E9015,K303:K9015,"0",B303:B9015,"1 1 3 9 1 12 31111 6 M59*")</f>
        <v>4958476.91</v>
      </c>
      <c r="E302"/>
      <c r="F302" s="35">
        <f>SUMIFS(F303:F9015,K303:K9015,"0",B303:B9015,"1 1 3 9 1 12 31111 6 M59*")</f>
        <v>7361412.9699999997</v>
      </c>
      <c r="G302" s="35">
        <f>SUMIFS(G303:G9015,K303:K9015,"0",B303:B9015,"1 1 3 9 1 12 31111 6 M59*")</f>
        <v>6749330.5699999994</v>
      </c>
      <c r="H302" s="35">
        <f t="shared" si="4"/>
        <v>5570559.3099999996</v>
      </c>
      <c r="I302" s="35"/>
      <c r="K302" t="s">
        <v>15</v>
      </c>
    </row>
    <row r="303" spans="2:11" ht="16.5" x14ac:dyDescent="0.2">
      <c r="B303" s="33" t="s">
        <v>483</v>
      </c>
      <c r="C303" s="33" t="s">
        <v>34</v>
      </c>
      <c r="D303" s="35">
        <f>SUMIFS(D304:D9015,K304:K9015,"0",B304:B9015,"1 1 3 9 1 12 31111 6 M59 00001*")-SUMIFS(E304:E9015,K304:K9015,"0",B304:B9015,"1 1 3 9 1 12 31111 6 M59 00001*")</f>
        <v>3535761.9</v>
      </c>
      <c r="E303"/>
      <c r="F303" s="35">
        <f>SUMIFS(F304:F9015,K304:K9015,"0",B304:B9015,"1 1 3 9 1 12 31111 6 M59 00001*")</f>
        <v>7361412.9699999997</v>
      </c>
      <c r="G303" s="35">
        <f>SUMIFS(G304:G9015,K304:K9015,"0",B304:B9015,"1 1 3 9 1 12 31111 6 M59 00001*")</f>
        <v>6749330.5699999994</v>
      </c>
      <c r="H303" s="35">
        <f t="shared" si="4"/>
        <v>4147844.3</v>
      </c>
      <c r="I303" s="35"/>
      <c r="K303" t="s">
        <v>15</v>
      </c>
    </row>
    <row r="304" spans="2:11" ht="33" x14ac:dyDescent="0.2">
      <c r="B304" s="33" t="s">
        <v>484</v>
      </c>
      <c r="C304" s="33" t="s">
        <v>482</v>
      </c>
      <c r="D304" s="35">
        <f>SUMIFS(D305:D9015,K305:K9015,"0",B305:B9015,"1 1 3 9 1 12 31111 6 M59 00001 000001*")-SUMIFS(E305:E9015,K305:K9015,"0",B305:B9015,"1 1 3 9 1 12 31111 6 M59 00001 000001*")</f>
        <v>3535761.9</v>
      </c>
      <c r="E304"/>
      <c r="F304" s="35">
        <f>SUMIFS(F305:F9015,K305:K9015,"0",B305:B9015,"1 1 3 9 1 12 31111 6 M59 00001 000001*")</f>
        <v>7099879</v>
      </c>
      <c r="G304" s="35">
        <f>SUMIFS(G305:G9015,K305:K9015,"0",B305:B9015,"1 1 3 9 1 12 31111 6 M59 00001 000001*")</f>
        <v>6487796.5999999996</v>
      </c>
      <c r="H304" s="35">
        <f t="shared" si="4"/>
        <v>4147844.3000000007</v>
      </c>
      <c r="I304" s="35"/>
      <c r="K304" t="s">
        <v>15</v>
      </c>
    </row>
    <row r="305" spans="2:11" ht="24.75" x14ac:dyDescent="0.2">
      <c r="B305" s="31" t="s">
        <v>485</v>
      </c>
      <c r="C305" s="31" t="s">
        <v>219</v>
      </c>
      <c r="D305" s="34">
        <v>3535761.9</v>
      </c>
      <c r="E305" s="34"/>
      <c r="F305" s="34">
        <v>7099879</v>
      </c>
      <c r="G305" s="34">
        <v>6487796.5999999996</v>
      </c>
      <c r="H305" s="34">
        <f t="shared" si="4"/>
        <v>4147844.3000000007</v>
      </c>
      <c r="I305" s="34"/>
      <c r="K305" t="s">
        <v>38</v>
      </c>
    </row>
    <row r="306" spans="2:11" ht="24.75" x14ac:dyDescent="0.2">
      <c r="B306" s="31" t="s">
        <v>486</v>
      </c>
      <c r="C306" s="31" t="s">
        <v>487</v>
      </c>
      <c r="D306" s="34">
        <v>0</v>
      </c>
      <c r="E306" s="34"/>
      <c r="F306" s="34">
        <v>261533.97</v>
      </c>
      <c r="G306" s="34">
        <v>261533.97</v>
      </c>
      <c r="H306" s="34">
        <f t="shared" si="4"/>
        <v>0</v>
      </c>
      <c r="I306" s="34"/>
      <c r="K306" t="s">
        <v>38</v>
      </c>
    </row>
    <row r="307" spans="2:11" ht="24.75" x14ac:dyDescent="0.2">
      <c r="B307" s="33" t="s">
        <v>488</v>
      </c>
      <c r="C307" s="33" t="s">
        <v>91</v>
      </c>
      <c r="D307" s="35">
        <f>SUMIFS(D308:D9015,K308:K9015,"0",B308:B9015,"1 1 3 9 1 12 31111 6 M59 00004*")-SUMIFS(E308:E9015,K308:K9015,"0",B308:B9015,"1 1 3 9 1 12 31111 6 M59 00004*")</f>
        <v>1422715.01</v>
      </c>
      <c r="E307"/>
      <c r="F307" s="35">
        <f>SUMIFS(F308:F9015,K308:K9015,"0",B308:B9015,"1 1 3 9 1 12 31111 6 M59 00004*")</f>
        <v>0</v>
      </c>
      <c r="G307" s="35">
        <f>SUMIFS(G308:G9015,K308:K9015,"0",B308:B9015,"1 1 3 9 1 12 31111 6 M59 00004*")</f>
        <v>0</v>
      </c>
      <c r="H307" s="35">
        <f t="shared" si="4"/>
        <v>1422715.01</v>
      </c>
      <c r="I307" s="35"/>
      <c r="K307" t="s">
        <v>15</v>
      </c>
    </row>
    <row r="308" spans="2:11" ht="33" x14ac:dyDescent="0.2">
      <c r="B308" s="33" t="s">
        <v>489</v>
      </c>
      <c r="C308" s="33" t="s">
        <v>482</v>
      </c>
      <c r="D308" s="35">
        <f>SUMIFS(D309:D9015,K309:K9015,"0",B309:B9015,"1 1 3 9 1 12 31111 6 M59 00004 000001*")-SUMIFS(E309:E9015,K309:K9015,"0",B309:B9015,"1 1 3 9 1 12 31111 6 M59 00004 000001*")</f>
        <v>1422715.01</v>
      </c>
      <c r="E308"/>
      <c r="F308" s="35">
        <f>SUMIFS(F309:F9015,K309:K9015,"0",B309:B9015,"1 1 3 9 1 12 31111 6 M59 00004 000001*")</f>
        <v>0</v>
      </c>
      <c r="G308" s="35">
        <f>SUMIFS(G309:G9015,K309:K9015,"0",B309:B9015,"1 1 3 9 1 12 31111 6 M59 00004 000001*")</f>
        <v>0</v>
      </c>
      <c r="H308" s="35">
        <f t="shared" si="4"/>
        <v>1422715.01</v>
      </c>
      <c r="I308" s="35"/>
      <c r="K308" t="s">
        <v>15</v>
      </c>
    </row>
    <row r="309" spans="2:11" ht="16.5" x14ac:dyDescent="0.2">
      <c r="B309" s="31" t="s">
        <v>490</v>
      </c>
      <c r="C309" s="31" t="s">
        <v>491</v>
      </c>
      <c r="D309" s="34">
        <v>1422715.01</v>
      </c>
      <c r="E309" s="34"/>
      <c r="F309" s="34">
        <v>0</v>
      </c>
      <c r="G309" s="34">
        <v>0</v>
      </c>
      <c r="H309" s="34">
        <f t="shared" si="4"/>
        <v>1422715.01</v>
      </c>
      <c r="I309" s="34"/>
      <c r="K309" t="s">
        <v>38</v>
      </c>
    </row>
    <row r="310" spans="2:11" ht="12.75" x14ac:dyDescent="0.2">
      <c r="B310" s="33" t="s">
        <v>492</v>
      </c>
      <c r="C310" s="33" t="s">
        <v>493</v>
      </c>
      <c r="D310" s="35">
        <f>SUMIFS(D311:D9015,K311:K9015,"0",B311:B9015,"1 1 5*")-SUMIFS(E311:E9015,K311:K9015,"0",B311:B9015,"1 1 5*")</f>
        <v>0</v>
      </c>
      <c r="E310"/>
      <c r="F310" s="35">
        <f>SUMIFS(F311:F9015,K311:K9015,"0",B311:B9015,"1 1 5*")</f>
        <v>72957601.100000009</v>
      </c>
      <c r="G310" s="35">
        <f>SUMIFS(G311:G9015,K311:K9015,"0",B311:B9015,"1 1 5*")</f>
        <v>72957601.100000009</v>
      </c>
      <c r="H310" s="35">
        <f t="shared" si="4"/>
        <v>0</v>
      </c>
      <c r="I310" s="35"/>
      <c r="K310" t="s">
        <v>15</v>
      </c>
    </row>
    <row r="311" spans="2:11" ht="16.5" x14ac:dyDescent="0.2">
      <c r="B311" s="33" t="s">
        <v>494</v>
      </c>
      <c r="C311" s="33" t="s">
        <v>495</v>
      </c>
      <c r="D311" s="35">
        <f>SUMIFS(D312:D9015,K312:K9015,"0",B312:B9015,"1 1 5 1*")-SUMIFS(E312:E9015,K312:K9015,"0",B312:B9015,"1 1 5 1*")</f>
        <v>0</v>
      </c>
      <c r="E311"/>
      <c r="F311" s="35">
        <f>SUMIFS(F312:F9015,K312:K9015,"0",B312:B9015,"1 1 5 1*")</f>
        <v>72957601.100000009</v>
      </c>
      <c r="G311" s="35">
        <f>SUMIFS(G312:G9015,K312:K9015,"0",B312:B9015,"1 1 5 1*")</f>
        <v>72957601.100000009</v>
      </c>
      <c r="H311" s="35">
        <f t="shared" si="4"/>
        <v>0</v>
      </c>
      <c r="I311" s="35"/>
      <c r="K311" t="s">
        <v>15</v>
      </c>
    </row>
    <row r="312" spans="2:11" ht="33" x14ac:dyDescent="0.2">
      <c r="B312" s="33" t="s">
        <v>496</v>
      </c>
      <c r="C312" s="33" t="s">
        <v>497</v>
      </c>
      <c r="D312" s="35">
        <f>SUMIFS(D313:D9015,K313:K9015,"0",B313:B9015,"1 1 5 1 1*")-SUMIFS(E313:E9015,K313:K9015,"0",B313:B9015,"1 1 5 1 1*")</f>
        <v>0</v>
      </c>
      <c r="E312"/>
      <c r="F312" s="35">
        <f>SUMIFS(F313:F9015,K313:K9015,"0",B313:B9015,"1 1 5 1 1*")</f>
        <v>52015632.340000004</v>
      </c>
      <c r="G312" s="35">
        <f>SUMIFS(G313:G9015,K313:K9015,"0",B313:B9015,"1 1 5 1 1*")</f>
        <v>52015632.340000004</v>
      </c>
      <c r="H312" s="35">
        <f t="shared" si="4"/>
        <v>0</v>
      </c>
      <c r="I312" s="35"/>
      <c r="K312" t="s">
        <v>15</v>
      </c>
    </row>
    <row r="313" spans="2:11" ht="12.75" x14ac:dyDescent="0.2">
      <c r="B313" s="33" t="s">
        <v>498</v>
      </c>
      <c r="C313" s="33" t="s">
        <v>26</v>
      </c>
      <c r="D313" s="35">
        <f>SUMIFS(D314:D9015,K314:K9015,"0",B314:B9015,"1 1 5 1 1 12*")-SUMIFS(E314:E9015,K314:K9015,"0",B314:B9015,"1 1 5 1 1 12*")</f>
        <v>0</v>
      </c>
      <c r="E313"/>
      <c r="F313" s="35">
        <f>SUMIFS(F314:F9015,K314:K9015,"0",B314:B9015,"1 1 5 1 1 12*")</f>
        <v>52015632.340000004</v>
      </c>
      <c r="G313" s="35">
        <f>SUMIFS(G314:G9015,K314:K9015,"0",B314:B9015,"1 1 5 1 1 12*")</f>
        <v>52015632.340000004</v>
      </c>
      <c r="H313" s="35">
        <f t="shared" si="4"/>
        <v>0</v>
      </c>
      <c r="I313" s="35"/>
      <c r="K313" t="s">
        <v>15</v>
      </c>
    </row>
    <row r="314" spans="2:11" ht="16.5" x14ac:dyDescent="0.2">
      <c r="B314" s="33" t="s">
        <v>499</v>
      </c>
      <c r="C314" s="33" t="s">
        <v>28</v>
      </c>
      <c r="D314" s="35">
        <f>SUMIFS(D315:D9015,K315:K9015,"0",B315:B9015,"1 1 5 1 1 12 31111*")-SUMIFS(E315:E9015,K315:K9015,"0",B315:B9015,"1 1 5 1 1 12 31111*")</f>
        <v>0</v>
      </c>
      <c r="E314"/>
      <c r="F314" s="35">
        <f>SUMIFS(F315:F9015,K315:K9015,"0",B315:B9015,"1 1 5 1 1 12 31111*")</f>
        <v>52015632.340000004</v>
      </c>
      <c r="G314" s="35">
        <f>SUMIFS(G315:G9015,K315:K9015,"0",B315:B9015,"1 1 5 1 1 12 31111*")</f>
        <v>52015632.340000004</v>
      </c>
      <c r="H314" s="35">
        <f t="shared" si="4"/>
        <v>0</v>
      </c>
      <c r="I314" s="35"/>
      <c r="K314" t="s">
        <v>15</v>
      </c>
    </row>
    <row r="315" spans="2:11" ht="12.75" x14ac:dyDescent="0.2">
      <c r="B315" s="33" t="s">
        <v>500</v>
      </c>
      <c r="C315" s="33" t="s">
        <v>30</v>
      </c>
      <c r="D315" s="35">
        <f>SUMIFS(D316:D9015,K316:K9015,"0",B316:B9015,"1 1 5 1 1 12 31111 6*")-SUMIFS(E316:E9015,K316:K9015,"0",B316:B9015,"1 1 5 1 1 12 31111 6*")</f>
        <v>0</v>
      </c>
      <c r="E315"/>
      <c r="F315" s="35">
        <f>SUMIFS(F316:F9015,K316:K9015,"0",B316:B9015,"1 1 5 1 1 12 31111 6*")</f>
        <v>52015632.340000004</v>
      </c>
      <c r="G315" s="35">
        <f>SUMIFS(G316:G9015,K316:K9015,"0",B316:B9015,"1 1 5 1 1 12 31111 6*")</f>
        <v>52015632.340000004</v>
      </c>
      <c r="H315" s="35">
        <f t="shared" si="4"/>
        <v>0</v>
      </c>
      <c r="I315" s="35"/>
      <c r="K315" t="s">
        <v>15</v>
      </c>
    </row>
    <row r="316" spans="2:11" ht="12.75" x14ac:dyDescent="0.2">
      <c r="B316" s="33" t="s">
        <v>501</v>
      </c>
      <c r="C316" s="33" t="s">
        <v>140</v>
      </c>
      <c r="D316" s="35">
        <f>SUMIFS(D317:D9015,K317:K9015,"0",B317:B9015,"1 1 5 1 1 12 31111 6 M59*")-SUMIFS(E317:E9015,K317:K9015,"0",B317:B9015,"1 1 5 1 1 12 31111 6 M59*")</f>
        <v>0</v>
      </c>
      <c r="E316"/>
      <c r="F316" s="35">
        <f>SUMIFS(F317:F9015,K317:K9015,"0",B317:B9015,"1 1 5 1 1 12 31111 6 M59*")</f>
        <v>52015632.340000004</v>
      </c>
      <c r="G316" s="35">
        <f>SUMIFS(G317:G9015,K317:K9015,"0",B317:B9015,"1 1 5 1 1 12 31111 6 M59*")</f>
        <v>52015632.340000004</v>
      </c>
      <c r="H316" s="35">
        <f t="shared" si="4"/>
        <v>0</v>
      </c>
      <c r="I316" s="35"/>
      <c r="K316" t="s">
        <v>15</v>
      </c>
    </row>
    <row r="317" spans="2:11" ht="16.5" x14ac:dyDescent="0.2">
      <c r="B317" s="33" t="s">
        <v>502</v>
      </c>
      <c r="C317" s="33" t="s">
        <v>282</v>
      </c>
      <c r="D317" s="35">
        <f>SUMIFS(D318:D9015,K318:K9015,"0",B318:B9015,"1 1 5 1 1 12 31111 6 M59 00001*")-SUMIFS(E318:E9015,K318:K9015,"0",B318:B9015,"1 1 5 1 1 12 31111 6 M59 00001*")</f>
        <v>0</v>
      </c>
      <c r="E317"/>
      <c r="F317" s="35">
        <f>SUMIFS(F318:F9015,K318:K9015,"0",B318:B9015,"1 1 5 1 1 12 31111 6 M59 00001*")</f>
        <v>52015632.340000004</v>
      </c>
      <c r="G317" s="35">
        <f>SUMIFS(G318:G9015,K318:K9015,"0",B318:B9015,"1 1 5 1 1 12 31111 6 M59 00001*")</f>
        <v>52015632.340000004</v>
      </c>
      <c r="H317" s="35">
        <f t="shared" si="4"/>
        <v>0</v>
      </c>
      <c r="I317" s="35"/>
      <c r="K317" t="s">
        <v>15</v>
      </c>
    </row>
    <row r="318" spans="2:11" ht="33" x14ac:dyDescent="0.2">
      <c r="B318" s="33" t="s">
        <v>503</v>
      </c>
      <c r="C318" s="33" t="s">
        <v>497</v>
      </c>
      <c r="D318" s="35">
        <f>SUMIFS(D319:D9015,K319:K9015,"0",B319:B9015,"1 1 5 1 1 12 31111 6 M59 00001 000001*")-SUMIFS(E319:E9015,K319:K9015,"0",B319:B9015,"1 1 5 1 1 12 31111 6 M59 00001 000001*")</f>
        <v>0</v>
      </c>
      <c r="E318"/>
      <c r="F318" s="35">
        <f>SUMIFS(F319:F9015,K319:K9015,"0",B319:B9015,"1 1 5 1 1 12 31111 6 M59 00001 000001*")</f>
        <v>52015632.340000004</v>
      </c>
      <c r="G318" s="35">
        <f>SUMIFS(G319:G9015,K319:K9015,"0",B319:B9015,"1 1 5 1 1 12 31111 6 M59 00001 000001*")</f>
        <v>52015632.340000004</v>
      </c>
      <c r="H318" s="35">
        <f t="shared" si="4"/>
        <v>0</v>
      </c>
      <c r="I318" s="35"/>
      <c r="K318" t="s">
        <v>15</v>
      </c>
    </row>
    <row r="319" spans="2:11" ht="24.75" x14ac:dyDescent="0.2">
      <c r="B319" s="31" t="s">
        <v>504</v>
      </c>
      <c r="C319" s="31" t="s">
        <v>505</v>
      </c>
      <c r="D319" s="34">
        <v>0</v>
      </c>
      <c r="E319" s="34"/>
      <c r="F319" s="34">
        <v>52015632.340000004</v>
      </c>
      <c r="G319" s="34">
        <v>52015632.340000004</v>
      </c>
      <c r="H319" s="34">
        <f t="shared" si="4"/>
        <v>0</v>
      </c>
      <c r="I319" s="34"/>
      <c r="K319" t="s">
        <v>38</v>
      </c>
    </row>
    <row r="320" spans="2:11" ht="12.75" x14ac:dyDescent="0.2">
      <c r="B320" s="33" t="s">
        <v>506</v>
      </c>
      <c r="C320" s="33" t="s">
        <v>507</v>
      </c>
      <c r="D320" s="35">
        <f>SUMIFS(D321:D9015,K321:K9015,"0",B321:B9015,"1 1 5 1 2*")-SUMIFS(E321:E9015,K321:K9015,"0",B321:B9015,"1 1 5 1 2*")</f>
        <v>0</v>
      </c>
      <c r="E320"/>
      <c r="F320" s="35">
        <f>SUMIFS(F321:F9015,K321:K9015,"0",B321:B9015,"1 1 5 1 2*")</f>
        <v>40738.39</v>
      </c>
      <c r="G320" s="35">
        <f>SUMIFS(G321:G9015,K321:K9015,"0",B321:B9015,"1 1 5 1 2*")</f>
        <v>40738.39</v>
      </c>
      <c r="H320" s="35">
        <f t="shared" si="4"/>
        <v>0</v>
      </c>
      <c r="I320" s="35"/>
      <c r="K320" t="s">
        <v>15</v>
      </c>
    </row>
    <row r="321" spans="2:11" ht="12.75" x14ac:dyDescent="0.2">
      <c r="B321" s="33" t="s">
        <v>508</v>
      </c>
      <c r="C321" s="33" t="s">
        <v>26</v>
      </c>
      <c r="D321" s="35">
        <f>SUMIFS(D322:D9015,K322:K9015,"0",B322:B9015,"1 1 5 1 2 12*")-SUMIFS(E322:E9015,K322:K9015,"0",B322:B9015,"1 1 5 1 2 12*")</f>
        <v>0</v>
      </c>
      <c r="E321"/>
      <c r="F321" s="35">
        <f>SUMIFS(F322:F9015,K322:K9015,"0",B322:B9015,"1 1 5 1 2 12*")</f>
        <v>40738.39</v>
      </c>
      <c r="G321" s="35">
        <f>SUMIFS(G322:G9015,K322:K9015,"0",B322:B9015,"1 1 5 1 2 12*")</f>
        <v>40738.39</v>
      </c>
      <c r="H321" s="35">
        <f t="shared" si="4"/>
        <v>0</v>
      </c>
      <c r="I321" s="35"/>
      <c r="K321" t="s">
        <v>15</v>
      </c>
    </row>
    <row r="322" spans="2:11" ht="16.5" x14ac:dyDescent="0.2">
      <c r="B322" s="33" t="s">
        <v>509</v>
      </c>
      <c r="C322" s="33" t="s">
        <v>28</v>
      </c>
      <c r="D322" s="35">
        <f>SUMIFS(D323:D9015,K323:K9015,"0",B323:B9015,"1 1 5 1 2 12 31111*")-SUMIFS(E323:E9015,K323:K9015,"0",B323:B9015,"1 1 5 1 2 12 31111*")</f>
        <v>0</v>
      </c>
      <c r="E322"/>
      <c r="F322" s="35">
        <f>SUMIFS(F323:F9015,K323:K9015,"0",B323:B9015,"1 1 5 1 2 12 31111*")</f>
        <v>40738.39</v>
      </c>
      <c r="G322" s="35">
        <f>SUMIFS(G323:G9015,K323:K9015,"0",B323:B9015,"1 1 5 1 2 12 31111*")</f>
        <v>40738.39</v>
      </c>
      <c r="H322" s="35">
        <f t="shared" si="4"/>
        <v>0</v>
      </c>
      <c r="I322" s="35"/>
      <c r="K322" t="s">
        <v>15</v>
      </c>
    </row>
    <row r="323" spans="2:11" ht="12.75" x14ac:dyDescent="0.2">
      <c r="B323" s="33" t="s">
        <v>510</v>
      </c>
      <c r="C323" s="33" t="s">
        <v>30</v>
      </c>
      <c r="D323" s="35">
        <f>SUMIFS(D324:D9015,K324:K9015,"0",B324:B9015,"1 1 5 1 2 12 31111 6*")-SUMIFS(E324:E9015,K324:K9015,"0",B324:B9015,"1 1 5 1 2 12 31111 6*")</f>
        <v>0</v>
      </c>
      <c r="E323"/>
      <c r="F323" s="35">
        <f>SUMIFS(F324:F9015,K324:K9015,"0",B324:B9015,"1 1 5 1 2 12 31111 6*")</f>
        <v>40738.39</v>
      </c>
      <c r="G323" s="35">
        <f>SUMIFS(G324:G9015,K324:K9015,"0",B324:B9015,"1 1 5 1 2 12 31111 6*")</f>
        <v>40738.39</v>
      </c>
      <c r="H323" s="35">
        <f t="shared" si="4"/>
        <v>0</v>
      </c>
      <c r="I323" s="35"/>
      <c r="K323" t="s">
        <v>15</v>
      </c>
    </row>
    <row r="324" spans="2:11" ht="12.75" x14ac:dyDescent="0.2">
      <c r="B324" s="33" t="s">
        <v>511</v>
      </c>
      <c r="C324" s="33" t="s">
        <v>140</v>
      </c>
      <c r="D324" s="35">
        <f>SUMIFS(D325:D9015,K325:K9015,"0",B325:B9015,"1 1 5 1 2 12 31111 6 M59*")-SUMIFS(E325:E9015,K325:K9015,"0",B325:B9015,"1 1 5 1 2 12 31111 6 M59*")</f>
        <v>0</v>
      </c>
      <c r="E324"/>
      <c r="F324" s="35">
        <f>SUMIFS(F325:F9015,K325:K9015,"0",B325:B9015,"1 1 5 1 2 12 31111 6 M59*")</f>
        <v>40738.39</v>
      </c>
      <c r="G324" s="35">
        <f>SUMIFS(G325:G9015,K325:K9015,"0",B325:B9015,"1 1 5 1 2 12 31111 6 M59*")</f>
        <v>40738.39</v>
      </c>
      <c r="H324" s="35">
        <f t="shared" si="4"/>
        <v>0</v>
      </c>
      <c r="I324" s="35"/>
      <c r="K324" t="s">
        <v>15</v>
      </c>
    </row>
    <row r="325" spans="2:11" ht="16.5" x14ac:dyDescent="0.2">
      <c r="B325" s="33" t="s">
        <v>512</v>
      </c>
      <c r="C325" s="33" t="s">
        <v>34</v>
      </c>
      <c r="D325" s="35">
        <f>SUMIFS(D326:D9015,K326:K9015,"0",B326:B9015,"1 1 5 1 2 12 31111 6 M59 00001*")-SUMIFS(E326:E9015,K326:K9015,"0",B326:B9015,"1 1 5 1 2 12 31111 6 M59 00001*")</f>
        <v>0</v>
      </c>
      <c r="E325"/>
      <c r="F325" s="35">
        <f>SUMIFS(F326:F9015,K326:K9015,"0",B326:B9015,"1 1 5 1 2 12 31111 6 M59 00001*")</f>
        <v>40738.39</v>
      </c>
      <c r="G325" s="35">
        <f>SUMIFS(G326:G9015,K326:K9015,"0",B326:B9015,"1 1 5 1 2 12 31111 6 M59 00001*")</f>
        <v>40738.39</v>
      </c>
      <c r="H325" s="35">
        <f t="shared" si="4"/>
        <v>0</v>
      </c>
      <c r="I325" s="35"/>
      <c r="K325" t="s">
        <v>15</v>
      </c>
    </row>
    <row r="326" spans="2:11" ht="16.5" x14ac:dyDescent="0.2">
      <c r="B326" s="33" t="s">
        <v>513</v>
      </c>
      <c r="C326" s="33" t="s">
        <v>514</v>
      </c>
      <c r="D326" s="35">
        <f>SUMIFS(D327:D9015,K327:K9015,"0",B327:B9015,"1 1 5 1 2 12 31111 6 M59 00001 000001*")-SUMIFS(E327:E9015,K327:K9015,"0",B327:B9015,"1 1 5 1 2 12 31111 6 M59 00001 000001*")</f>
        <v>0</v>
      </c>
      <c r="E326"/>
      <c r="F326" s="35">
        <f>SUMIFS(F327:F9015,K327:K9015,"0",B327:B9015,"1 1 5 1 2 12 31111 6 M59 00001 000001*")</f>
        <v>40738.39</v>
      </c>
      <c r="G326" s="35">
        <f>SUMIFS(G327:G9015,K327:K9015,"0",B327:B9015,"1 1 5 1 2 12 31111 6 M59 00001 000001*")</f>
        <v>40738.39</v>
      </c>
      <c r="H326" s="35">
        <f t="shared" si="4"/>
        <v>0</v>
      </c>
      <c r="I326" s="35"/>
      <c r="K326" t="s">
        <v>15</v>
      </c>
    </row>
    <row r="327" spans="2:11" ht="16.5" x14ac:dyDescent="0.2">
      <c r="B327" s="31" t="s">
        <v>515</v>
      </c>
      <c r="C327" s="31" t="s">
        <v>516</v>
      </c>
      <c r="D327" s="34">
        <v>0</v>
      </c>
      <c r="E327" s="34"/>
      <c r="F327" s="34">
        <v>40738.39</v>
      </c>
      <c r="G327" s="34">
        <v>40738.39</v>
      </c>
      <c r="H327" s="34">
        <f t="shared" si="4"/>
        <v>0</v>
      </c>
      <c r="I327" s="34"/>
      <c r="K327" t="s">
        <v>38</v>
      </c>
    </row>
    <row r="328" spans="2:11" ht="24.75" x14ac:dyDescent="0.2">
      <c r="B328" s="33" t="s">
        <v>517</v>
      </c>
      <c r="C328" s="33" t="s">
        <v>518</v>
      </c>
      <c r="D328" s="35">
        <f>SUMIFS(D329:D9015,K329:K9015,"0",B329:B9015,"1 1 5 1 3*")-SUMIFS(E329:E9015,K329:K9015,"0",B329:B9015,"1 1 5 1 3*")</f>
        <v>0</v>
      </c>
      <c r="E328"/>
      <c r="F328" s="35">
        <f>SUMIFS(F329:F9015,K329:K9015,"0",B329:B9015,"1 1 5 1 3*")</f>
        <v>485524.81</v>
      </c>
      <c r="G328" s="35">
        <f>SUMIFS(G329:G9015,K329:K9015,"0",B329:B9015,"1 1 5 1 3*")</f>
        <v>485524.81</v>
      </c>
      <c r="H328" s="35">
        <f t="shared" si="4"/>
        <v>0</v>
      </c>
      <c r="I328" s="35"/>
      <c r="K328" t="s">
        <v>15</v>
      </c>
    </row>
    <row r="329" spans="2:11" ht="12.75" x14ac:dyDescent="0.2">
      <c r="B329" s="33" t="s">
        <v>519</v>
      </c>
      <c r="C329" s="33" t="s">
        <v>26</v>
      </c>
      <c r="D329" s="35">
        <f>SUMIFS(D330:D9015,K330:K9015,"0",B330:B9015,"1 1 5 1 3 12*")-SUMIFS(E330:E9015,K330:K9015,"0",B330:B9015,"1 1 5 1 3 12*")</f>
        <v>0</v>
      </c>
      <c r="E329"/>
      <c r="F329" s="35">
        <f>SUMIFS(F330:F9015,K330:K9015,"0",B330:B9015,"1 1 5 1 3 12*")</f>
        <v>485524.81</v>
      </c>
      <c r="G329" s="35">
        <f>SUMIFS(G330:G9015,K330:K9015,"0",B330:B9015,"1 1 5 1 3 12*")</f>
        <v>485524.81</v>
      </c>
      <c r="H329" s="35">
        <f t="shared" si="4"/>
        <v>0</v>
      </c>
      <c r="I329" s="35"/>
      <c r="K329" t="s">
        <v>15</v>
      </c>
    </row>
    <row r="330" spans="2:11" ht="16.5" x14ac:dyDescent="0.2">
      <c r="B330" s="33" t="s">
        <v>520</v>
      </c>
      <c r="C330" s="33" t="s">
        <v>28</v>
      </c>
      <c r="D330" s="35">
        <f>SUMIFS(D331:D9015,K331:K9015,"0",B331:B9015,"1 1 5 1 3 12 31111*")-SUMIFS(E331:E9015,K331:K9015,"0",B331:B9015,"1 1 5 1 3 12 31111*")</f>
        <v>0</v>
      </c>
      <c r="E330"/>
      <c r="F330" s="35">
        <f>SUMIFS(F331:F9015,K331:K9015,"0",B331:B9015,"1 1 5 1 3 12 31111*")</f>
        <v>485524.81</v>
      </c>
      <c r="G330" s="35">
        <f>SUMIFS(G331:G9015,K331:K9015,"0",B331:B9015,"1 1 5 1 3 12 31111*")</f>
        <v>485524.81</v>
      </c>
      <c r="H330" s="35">
        <f t="shared" si="4"/>
        <v>0</v>
      </c>
      <c r="I330" s="35"/>
      <c r="K330" t="s">
        <v>15</v>
      </c>
    </row>
    <row r="331" spans="2:11" ht="12.75" x14ac:dyDescent="0.2">
      <c r="B331" s="33" t="s">
        <v>521</v>
      </c>
      <c r="C331" s="33" t="s">
        <v>30</v>
      </c>
      <c r="D331" s="35">
        <f>SUMIFS(D332:D9015,K332:K9015,"0",B332:B9015,"1 1 5 1 3 12 31111 6*")-SUMIFS(E332:E9015,K332:K9015,"0",B332:B9015,"1 1 5 1 3 12 31111 6*")</f>
        <v>0</v>
      </c>
      <c r="E331"/>
      <c r="F331" s="35">
        <f>SUMIFS(F332:F9015,K332:K9015,"0",B332:B9015,"1 1 5 1 3 12 31111 6*")</f>
        <v>485524.81</v>
      </c>
      <c r="G331" s="35">
        <f>SUMIFS(G332:G9015,K332:K9015,"0",B332:B9015,"1 1 5 1 3 12 31111 6*")</f>
        <v>485524.81</v>
      </c>
      <c r="H331" s="35">
        <f t="shared" si="4"/>
        <v>0</v>
      </c>
      <c r="I331" s="35"/>
      <c r="K331" t="s">
        <v>15</v>
      </c>
    </row>
    <row r="332" spans="2:11" ht="12.75" x14ac:dyDescent="0.2">
      <c r="B332" s="33" t="s">
        <v>522</v>
      </c>
      <c r="C332" s="33" t="s">
        <v>140</v>
      </c>
      <c r="D332" s="35">
        <f>SUMIFS(D333:D9015,K333:K9015,"0",B333:B9015,"1 1 5 1 3 12 31111 6 M59*")-SUMIFS(E333:E9015,K333:K9015,"0",B333:B9015,"1 1 5 1 3 12 31111 6 M59*")</f>
        <v>0</v>
      </c>
      <c r="E332"/>
      <c r="F332" s="35">
        <f>SUMIFS(F333:F9015,K333:K9015,"0",B333:B9015,"1 1 5 1 3 12 31111 6 M59*")</f>
        <v>485524.81</v>
      </c>
      <c r="G332" s="35">
        <f>SUMIFS(G333:G9015,K333:K9015,"0",B333:B9015,"1 1 5 1 3 12 31111 6 M59*")</f>
        <v>485524.81</v>
      </c>
      <c r="H332" s="35">
        <f t="shared" ref="H332:H395" si="5">D332 + F332 - G332</f>
        <v>0</v>
      </c>
      <c r="I332" s="35"/>
      <c r="K332" t="s">
        <v>15</v>
      </c>
    </row>
    <row r="333" spans="2:11" ht="16.5" x14ac:dyDescent="0.2">
      <c r="B333" s="33" t="s">
        <v>523</v>
      </c>
      <c r="C333" s="33" t="s">
        <v>34</v>
      </c>
      <c r="D333" s="35">
        <f>SUMIFS(D334:D9015,K334:K9015,"0",B334:B9015,"1 1 5 1 3 12 31111 6 M59 00001*")-SUMIFS(E334:E9015,K334:K9015,"0",B334:B9015,"1 1 5 1 3 12 31111 6 M59 00001*")</f>
        <v>0</v>
      </c>
      <c r="E333"/>
      <c r="F333" s="35">
        <f>SUMIFS(F334:F9015,K334:K9015,"0",B334:B9015,"1 1 5 1 3 12 31111 6 M59 00001*")</f>
        <v>485524.81</v>
      </c>
      <c r="G333" s="35">
        <f>SUMIFS(G334:G9015,K334:K9015,"0",B334:B9015,"1 1 5 1 3 12 31111 6 M59 00001*")</f>
        <v>485524.81</v>
      </c>
      <c r="H333" s="35">
        <f t="shared" si="5"/>
        <v>0</v>
      </c>
      <c r="I333" s="35"/>
      <c r="K333" t="s">
        <v>15</v>
      </c>
    </row>
    <row r="334" spans="2:11" ht="16.5" x14ac:dyDescent="0.2">
      <c r="B334" s="33" t="s">
        <v>524</v>
      </c>
      <c r="C334" s="33" t="s">
        <v>525</v>
      </c>
      <c r="D334" s="35">
        <f>SUMIFS(D335:D9015,K335:K9015,"0",B335:B9015,"1 1 5 1 3 12 31111 6 M59 00001 000001*")-SUMIFS(E335:E9015,K335:K9015,"0",B335:B9015,"1 1 5 1 3 12 31111 6 M59 00001 000001*")</f>
        <v>0</v>
      </c>
      <c r="E334"/>
      <c r="F334" s="35">
        <f>SUMIFS(F335:F9015,K335:K9015,"0",B335:B9015,"1 1 5 1 3 12 31111 6 M59 00001 000001*")</f>
        <v>485524.81</v>
      </c>
      <c r="G334" s="35">
        <f>SUMIFS(G335:G9015,K335:K9015,"0",B335:B9015,"1 1 5 1 3 12 31111 6 M59 00001 000001*")</f>
        <v>485524.81</v>
      </c>
      <c r="H334" s="35">
        <f t="shared" si="5"/>
        <v>0</v>
      </c>
      <c r="I334" s="35"/>
      <c r="K334" t="s">
        <v>15</v>
      </c>
    </row>
    <row r="335" spans="2:11" ht="16.5" x14ac:dyDescent="0.2">
      <c r="B335" s="31" t="s">
        <v>526</v>
      </c>
      <c r="C335" s="31" t="s">
        <v>527</v>
      </c>
      <c r="D335" s="34">
        <v>0</v>
      </c>
      <c r="E335" s="34"/>
      <c r="F335" s="34">
        <v>485524.81</v>
      </c>
      <c r="G335" s="34">
        <v>485524.81</v>
      </c>
      <c r="H335" s="34">
        <f t="shared" si="5"/>
        <v>0</v>
      </c>
      <c r="I335" s="34"/>
      <c r="K335" t="s">
        <v>38</v>
      </c>
    </row>
    <row r="336" spans="2:11" ht="24.75" x14ac:dyDescent="0.2">
      <c r="B336" s="33" t="s">
        <v>528</v>
      </c>
      <c r="C336" s="33" t="s">
        <v>529</v>
      </c>
      <c r="D336" s="35">
        <f>SUMIFS(D337:D9015,K337:K9015,"0",B337:B9015,"1 1 5 1 4*")-SUMIFS(E337:E9015,K337:K9015,"0",B337:B9015,"1 1 5 1 4*")</f>
        <v>0</v>
      </c>
      <c r="E336"/>
      <c r="F336" s="35">
        <f>SUMIFS(F337:F9015,K337:K9015,"0",B337:B9015,"1 1 5 1 4*")</f>
        <v>1314.16</v>
      </c>
      <c r="G336" s="35">
        <f>SUMIFS(G337:G9015,K337:K9015,"0",B337:B9015,"1 1 5 1 4*")</f>
        <v>1314.16</v>
      </c>
      <c r="H336" s="35">
        <f t="shared" si="5"/>
        <v>0</v>
      </c>
      <c r="I336" s="35"/>
      <c r="K336" t="s">
        <v>15</v>
      </c>
    </row>
    <row r="337" spans="2:11" ht="12.75" x14ac:dyDescent="0.2">
      <c r="B337" s="33" t="s">
        <v>530</v>
      </c>
      <c r="C337" s="33" t="s">
        <v>26</v>
      </c>
      <c r="D337" s="35">
        <f>SUMIFS(D338:D9015,K338:K9015,"0",B338:B9015,"1 1 5 1 4 12*")-SUMIFS(E338:E9015,K338:K9015,"0",B338:B9015,"1 1 5 1 4 12*")</f>
        <v>0</v>
      </c>
      <c r="E337"/>
      <c r="F337" s="35">
        <f>SUMIFS(F338:F9015,K338:K9015,"0",B338:B9015,"1 1 5 1 4 12*")</f>
        <v>1314.16</v>
      </c>
      <c r="G337" s="35">
        <f>SUMIFS(G338:G9015,K338:K9015,"0",B338:B9015,"1 1 5 1 4 12*")</f>
        <v>1314.16</v>
      </c>
      <c r="H337" s="35">
        <f t="shared" si="5"/>
        <v>0</v>
      </c>
      <c r="I337" s="35"/>
      <c r="K337" t="s">
        <v>15</v>
      </c>
    </row>
    <row r="338" spans="2:11" ht="16.5" x14ac:dyDescent="0.2">
      <c r="B338" s="33" t="s">
        <v>531</v>
      </c>
      <c r="C338" s="33" t="s">
        <v>28</v>
      </c>
      <c r="D338" s="35">
        <f>SUMIFS(D339:D9015,K339:K9015,"0",B339:B9015,"1 1 5 1 4 12 31111*")-SUMIFS(E339:E9015,K339:K9015,"0",B339:B9015,"1 1 5 1 4 12 31111*")</f>
        <v>0</v>
      </c>
      <c r="E338"/>
      <c r="F338" s="35">
        <f>SUMIFS(F339:F9015,K339:K9015,"0",B339:B9015,"1 1 5 1 4 12 31111*")</f>
        <v>1314.16</v>
      </c>
      <c r="G338" s="35">
        <f>SUMIFS(G339:G9015,K339:K9015,"0",B339:B9015,"1 1 5 1 4 12 31111*")</f>
        <v>1314.16</v>
      </c>
      <c r="H338" s="35">
        <f t="shared" si="5"/>
        <v>0</v>
      </c>
      <c r="I338" s="35"/>
      <c r="K338" t="s">
        <v>15</v>
      </c>
    </row>
    <row r="339" spans="2:11" ht="12.75" x14ac:dyDescent="0.2">
      <c r="B339" s="33" t="s">
        <v>532</v>
      </c>
      <c r="C339" s="33" t="s">
        <v>30</v>
      </c>
      <c r="D339" s="35">
        <f>SUMIFS(D340:D9015,K340:K9015,"0",B340:B9015,"1 1 5 1 4 12 31111 6*")-SUMIFS(E340:E9015,K340:K9015,"0",B340:B9015,"1 1 5 1 4 12 31111 6*")</f>
        <v>0</v>
      </c>
      <c r="E339"/>
      <c r="F339" s="35">
        <f>SUMIFS(F340:F9015,K340:K9015,"0",B340:B9015,"1 1 5 1 4 12 31111 6*")</f>
        <v>1314.16</v>
      </c>
      <c r="G339" s="35">
        <f>SUMIFS(G340:G9015,K340:K9015,"0",B340:B9015,"1 1 5 1 4 12 31111 6*")</f>
        <v>1314.16</v>
      </c>
      <c r="H339" s="35">
        <f t="shared" si="5"/>
        <v>0</v>
      </c>
      <c r="I339" s="35"/>
      <c r="K339" t="s">
        <v>15</v>
      </c>
    </row>
    <row r="340" spans="2:11" ht="12.75" x14ac:dyDescent="0.2">
      <c r="B340" s="33" t="s">
        <v>533</v>
      </c>
      <c r="C340" s="33" t="s">
        <v>140</v>
      </c>
      <c r="D340" s="35">
        <f>SUMIFS(D341:D9015,K341:K9015,"0",B341:B9015,"1 1 5 1 4 12 31111 6 M59*")-SUMIFS(E341:E9015,K341:K9015,"0",B341:B9015,"1 1 5 1 4 12 31111 6 M59*")</f>
        <v>0</v>
      </c>
      <c r="E340"/>
      <c r="F340" s="35">
        <f>SUMIFS(F341:F9015,K341:K9015,"0",B341:B9015,"1 1 5 1 4 12 31111 6 M59*")</f>
        <v>1314.16</v>
      </c>
      <c r="G340" s="35">
        <f>SUMIFS(G341:G9015,K341:K9015,"0",B341:B9015,"1 1 5 1 4 12 31111 6 M59*")</f>
        <v>1314.16</v>
      </c>
      <c r="H340" s="35">
        <f t="shared" si="5"/>
        <v>0</v>
      </c>
      <c r="I340" s="35"/>
      <c r="K340" t="s">
        <v>15</v>
      </c>
    </row>
    <row r="341" spans="2:11" ht="16.5" x14ac:dyDescent="0.2">
      <c r="B341" s="33" t="s">
        <v>534</v>
      </c>
      <c r="C341" s="33" t="s">
        <v>34</v>
      </c>
      <c r="D341" s="35">
        <f>SUMIFS(D342:D9015,K342:K9015,"0",B342:B9015,"1 1 5 1 4 12 31111 6 M59 00001*")-SUMIFS(E342:E9015,K342:K9015,"0",B342:B9015,"1 1 5 1 4 12 31111 6 M59 00001*")</f>
        <v>0</v>
      </c>
      <c r="E341"/>
      <c r="F341" s="35">
        <f>SUMIFS(F342:F9015,K342:K9015,"0",B342:B9015,"1 1 5 1 4 12 31111 6 M59 00001*")</f>
        <v>1314.16</v>
      </c>
      <c r="G341" s="35">
        <f>SUMIFS(G342:G9015,K342:K9015,"0",B342:B9015,"1 1 5 1 4 12 31111 6 M59 00001*")</f>
        <v>1314.16</v>
      </c>
      <c r="H341" s="35">
        <f t="shared" si="5"/>
        <v>0</v>
      </c>
      <c r="I341" s="35"/>
      <c r="K341" t="s">
        <v>15</v>
      </c>
    </row>
    <row r="342" spans="2:11" ht="16.5" x14ac:dyDescent="0.2">
      <c r="B342" s="33" t="s">
        <v>535</v>
      </c>
      <c r="C342" s="33" t="s">
        <v>536</v>
      </c>
      <c r="D342" s="35">
        <f>SUMIFS(D343:D9015,K343:K9015,"0",B343:B9015,"1 1 5 1 4 12 31111 6 M59 00001 000001*")-SUMIFS(E343:E9015,K343:K9015,"0",B343:B9015,"1 1 5 1 4 12 31111 6 M59 00001 000001*")</f>
        <v>0</v>
      </c>
      <c r="E342"/>
      <c r="F342" s="35">
        <f>SUMIFS(F343:F9015,K343:K9015,"0",B343:B9015,"1 1 5 1 4 12 31111 6 M59 00001 000001*")</f>
        <v>1314.16</v>
      </c>
      <c r="G342" s="35">
        <f>SUMIFS(G343:G9015,K343:K9015,"0",B343:B9015,"1 1 5 1 4 12 31111 6 M59 00001 000001*")</f>
        <v>1314.16</v>
      </c>
      <c r="H342" s="35">
        <f t="shared" si="5"/>
        <v>0</v>
      </c>
      <c r="I342" s="35"/>
      <c r="K342" t="s">
        <v>15</v>
      </c>
    </row>
    <row r="343" spans="2:11" ht="16.5" x14ac:dyDescent="0.2">
      <c r="B343" s="31" t="s">
        <v>537</v>
      </c>
      <c r="C343" s="31" t="s">
        <v>538</v>
      </c>
      <c r="D343" s="34">
        <v>0</v>
      </c>
      <c r="E343" s="34"/>
      <c r="F343" s="34">
        <v>1314.16</v>
      </c>
      <c r="G343" s="34">
        <v>1314.16</v>
      </c>
      <c r="H343" s="34">
        <f t="shared" si="5"/>
        <v>0</v>
      </c>
      <c r="I343" s="34"/>
      <c r="K343" t="s">
        <v>38</v>
      </c>
    </row>
    <row r="344" spans="2:11" ht="16.5" x14ac:dyDescent="0.2">
      <c r="B344" s="33" t="s">
        <v>539</v>
      </c>
      <c r="C344" s="33" t="s">
        <v>540</v>
      </c>
      <c r="D344" s="35">
        <f>SUMIFS(D345:D9015,K345:K9015,"0",B345:B9015,"1 1 5 1 5*")-SUMIFS(E345:E9015,K345:K9015,"0",B345:B9015,"1 1 5 1 5*")</f>
        <v>0</v>
      </c>
      <c r="E344"/>
      <c r="F344" s="35">
        <f>SUMIFS(F345:F9015,K345:K9015,"0",B345:B9015,"1 1 5 1 5*")</f>
        <v>9927631.4900000002</v>
      </c>
      <c r="G344" s="35">
        <f>SUMIFS(G345:G9015,K345:K9015,"0",B345:B9015,"1 1 5 1 5*")</f>
        <v>9927631.4900000002</v>
      </c>
      <c r="H344" s="35">
        <f t="shared" si="5"/>
        <v>0</v>
      </c>
      <c r="I344" s="35"/>
      <c r="K344" t="s">
        <v>15</v>
      </c>
    </row>
    <row r="345" spans="2:11" ht="12.75" x14ac:dyDescent="0.2">
      <c r="B345" s="33" t="s">
        <v>541</v>
      </c>
      <c r="C345" s="33" t="s">
        <v>26</v>
      </c>
      <c r="D345" s="35">
        <f>SUMIFS(D346:D9015,K346:K9015,"0",B346:B9015,"1 1 5 1 5 12*")-SUMIFS(E346:E9015,K346:K9015,"0",B346:B9015,"1 1 5 1 5 12*")</f>
        <v>0</v>
      </c>
      <c r="E345"/>
      <c r="F345" s="35">
        <f>SUMIFS(F346:F9015,K346:K9015,"0",B346:B9015,"1 1 5 1 5 12*")</f>
        <v>9927631.4900000002</v>
      </c>
      <c r="G345" s="35">
        <f>SUMIFS(G346:G9015,K346:K9015,"0",B346:B9015,"1 1 5 1 5 12*")</f>
        <v>9927631.4900000002</v>
      </c>
      <c r="H345" s="35">
        <f t="shared" si="5"/>
        <v>0</v>
      </c>
      <c r="I345" s="35"/>
      <c r="K345" t="s">
        <v>15</v>
      </c>
    </row>
    <row r="346" spans="2:11" ht="16.5" x14ac:dyDescent="0.2">
      <c r="B346" s="33" t="s">
        <v>542</v>
      </c>
      <c r="C346" s="33" t="s">
        <v>28</v>
      </c>
      <c r="D346" s="35">
        <f>SUMIFS(D347:D9015,K347:K9015,"0",B347:B9015,"1 1 5 1 5 12 31111*")-SUMIFS(E347:E9015,K347:K9015,"0",B347:B9015,"1 1 5 1 5 12 31111*")</f>
        <v>0</v>
      </c>
      <c r="E346"/>
      <c r="F346" s="35">
        <f>SUMIFS(F347:F9015,K347:K9015,"0",B347:B9015,"1 1 5 1 5 12 31111*")</f>
        <v>9927631.4900000002</v>
      </c>
      <c r="G346" s="35">
        <f>SUMIFS(G347:G9015,K347:K9015,"0",B347:B9015,"1 1 5 1 5 12 31111*")</f>
        <v>9927631.4900000002</v>
      </c>
      <c r="H346" s="35">
        <f t="shared" si="5"/>
        <v>0</v>
      </c>
      <c r="I346" s="35"/>
      <c r="K346" t="s">
        <v>15</v>
      </c>
    </row>
    <row r="347" spans="2:11" ht="12.75" x14ac:dyDescent="0.2">
      <c r="B347" s="33" t="s">
        <v>543</v>
      </c>
      <c r="C347" s="33" t="s">
        <v>30</v>
      </c>
      <c r="D347" s="35">
        <f>SUMIFS(D348:D9015,K348:K9015,"0",B348:B9015,"1 1 5 1 5 12 31111 6*")-SUMIFS(E348:E9015,K348:K9015,"0",B348:B9015,"1 1 5 1 5 12 31111 6*")</f>
        <v>0</v>
      </c>
      <c r="E347"/>
      <c r="F347" s="35">
        <f>SUMIFS(F348:F9015,K348:K9015,"0",B348:B9015,"1 1 5 1 5 12 31111 6*")</f>
        <v>9927631.4900000002</v>
      </c>
      <c r="G347" s="35">
        <f>SUMIFS(G348:G9015,K348:K9015,"0",B348:B9015,"1 1 5 1 5 12 31111 6*")</f>
        <v>9927631.4900000002</v>
      </c>
      <c r="H347" s="35">
        <f t="shared" si="5"/>
        <v>0</v>
      </c>
      <c r="I347" s="35"/>
      <c r="K347" t="s">
        <v>15</v>
      </c>
    </row>
    <row r="348" spans="2:11" ht="12.75" x14ac:dyDescent="0.2">
      <c r="B348" s="33" t="s">
        <v>544</v>
      </c>
      <c r="C348" s="33" t="s">
        <v>140</v>
      </c>
      <c r="D348" s="35">
        <f>SUMIFS(D349:D9015,K349:K9015,"0",B349:B9015,"1 1 5 1 5 12 31111 6 M59*")-SUMIFS(E349:E9015,K349:K9015,"0",B349:B9015,"1 1 5 1 5 12 31111 6 M59*")</f>
        <v>0</v>
      </c>
      <c r="E348"/>
      <c r="F348" s="35">
        <f>SUMIFS(F349:F9015,K349:K9015,"0",B349:B9015,"1 1 5 1 5 12 31111 6 M59*")</f>
        <v>9927631.4900000002</v>
      </c>
      <c r="G348" s="35">
        <f>SUMIFS(G349:G9015,K349:K9015,"0",B349:B9015,"1 1 5 1 5 12 31111 6 M59*")</f>
        <v>9927631.4900000002</v>
      </c>
      <c r="H348" s="35">
        <f t="shared" si="5"/>
        <v>0</v>
      </c>
      <c r="I348" s="35"/>
      <c r="K348" t="s">
        <v>15</v>
      </c>
    </row>
    <row r="349" spans="2:11" ht="16.5" x14ac:dyDescent="0.2">
      <c r="B349" s="33" t="s">
        <v>545</v>
      </c>
      <c r="C349" s="33" t="s">
        <v>34</v>
      </c>
      <c r="D349" s="35">
        <f>SUMIFS(D350:D9015,K350:K9015,"0",B350:B9015,"1 1 5 1 5 12 31111 6 M59 00001*")-SUMIFS(E350:E9015,K350:K9015,"0",B350:B9015,"1 1 5 1 5 12 31111 6 M59 00001*")</f>
        <v>0</v>
      </c>
      <c r="E349"/>
      <c r="F349" s="35">
        <f>SUMIFS(F350:F9015,K350:K9015,"0",B350:B9015,"1 1 5 1 5 12 31111 6 M59 00001*")</f>
        <v>9927631.4900000002</v>
      </c>
      <c r="G349" s="35">
        <f>SUMIFS(G350:G9015,K350:K9015,"0",B350:B9015,"1 1 5 1 5 12 31111 6 M59 00001*")</f>
        <v>9927631.4900000002</v>
      </c>
      <c r="H349" s="35">
        <f t="shared" si="5"/>
        <v>0</v>
      </c>
      <c r="I349" s="35"/>
      <c r="K349" t="s">
        <v>15</v>
      </c>
    </row>
    <row r="350" spans="2:11" ht="16.5" x14ac:dyDescent="0.2">
      <c r="B350" s="33" t="s">
        <v>546</v>
      </c>
      <c r="C350" s="33" t="s">
        <v>547</v>
      </c>
      <c r="D350" s="35">
        <f>SUMIFS(D351:D9015,K351:K9015,"0",B351:B9015,"1 1 5 1 5 12 31111 6 M59 00001 000001*")-SUMIFS(E351:E9015,K351:K9015,"0",B351:B9015,"1 1 5 1 5 12 31111 6 M59 00001 000001*")</f>
        <v>0</v>
      </c>
      <c r="E350"/>
      <c r="F350" s="35">
        <f>SUMIFS(F351:F9015,K351:K9015,"0",B351:B9015,"1 1 5 1 5 12 31111 6 M59 00001 000001*")</f>
        <v>9927631.4900000002</v>
      </c>
      <c r="G350" s="35">
        <f>SUMIFS(G351:G9015,K351:K9015,"0",B351:B9015,"1 1 5 1 5 12 31111 6 M59 00001 000001*")</f>
        <v>9927631.4900000002</v>
      </c>
      <c r="H350" s="35">
        <f t="shared" si="5"/>
        <v>0</v>
      </c>
      <c r="I350" s="35"/>
      <c r="K350" t="s">
        <v>15</v>
      </c>
    </row>
    <row r="351" spans="2:11" ht="16.5" x14ac:dyDescent="0.2">
      <c r="B351" s="31" t="s">
        <v>548</v>
      </c>
      <c r="C351" s="31" t="s">
        <v>549</v>
      </c>
      <c r="D351" s="34">
        <v>0</v>
      </c>
      <c r="E351" s="34"/>
      <c r="F351" s="34">
        <v>9927631.4900000002</v>
      </c>
      <c r="G351" s="34">
        <v>9927631.4900000002</v>
      </c>
      <c r="H351" s="34">
        <f t="shared" si="5"/>
        <v>0</v>
      </c>
      <c r="I351" s="34"/>
      <c r="K351" t="s">
        <v>38</v>
      </c>
    </row>
    <row r="352" spans="2:11" ht="24.75" x14ac:dyDescent="0.2">
      <c r="B352" s="33" t="s">
        <v>550</v>
      </c>
      <c r="C352" s="33" t="s">
        <v>551</v>
      </c>
      <c r="D352" s="35">
        <f>SUMIFS(D353:D9015,K353:K9015,"0",B353:B9015,"1 1 5 1 6*")-SUMIFS(E353:E9015,K353:K9015,"0",B353:B9015,"1 1 5 1 6*")</f>
        <v>0</v>
      </c>
      <c r="E352"/>
      <c r="F352" s="35">
        <f>SUMIFS(F353:F9015,K353:K9015,"0",B353:B9015,"1 1 5 1 6*")</f>
        <v>65315.63</v>
      </c>
      <c r="G352" s="35">
        <f>SUMIFS(G353:G9015,K353:K9015,"0",B353:B9015,"1 1 5 1 6*")</f>
        <v>65315.63</v>
      </c>
      <c r="H352" s="35">
        <f t="shared" si="5"/>
        <v>0</v>
      </c>
      <c r="I352" s="35"/>
      <c r="K352" t="s">
        <v>15</v>
      </c>
    </row>
    <row r="353" spans="2:11" ht="12.75" x14ac:dyDescent="0.2">
      <c r="B353" s="33" t="s">
        <v>552</v>
      </c>
      <c r="C353" s="33" t="s">
        <v>26</v>
      </c>
      <c r="D353" s="35">
        <f>SUMIFS(D354:D9015,K354:K9015,"0",B354:B9015,"1 1 5 1 6 12*")-SUMIFS(E354:E9015,K354:K9015,"0",B354:B9015,"1 1 5 1 6 12*")</f>
        <v>0</v>
      </c>
      <c r="E353"/>
      <c r="F353" s="35">
        <f>SUMIFS(F354:F9015,K354:K9015,"0",B354:B9015,"1 1 5 1 6 12*")</f>
        <v>65315.63</v>
      </c>
      <c r="G353" s="35">
        <f>SUMIFS(G354:G9015,K354:K9015,"0",B354:B9015,"1 1 5 1 6 12*")</f>
        <v>65315.63</v>
      </c>
      <c r="H353" s="35">
        <f t="shared" si="5"/>
        <v>0</v>
      </c>
      <c r="I353" s="35"/>
      <c r="K353" t="s">
        <v>15</v>
      </c>
    </row>
    <row r="354" spans="2:11" ht="16.5" x14ac:dyDescent="0.2">
      <c r="B354" s="33" t="s">
        <v>553</v>
      </c>
      <c r="C354" s="33" t="s">
        <v>28</v>
      </c>
      <c r="D354" s="35">
        <f>SUMIFS(D355:D9015,K355:K9015,"0",B355:B9015,"1 1 5 1 6 12 31111*")-SUMIFS(E355:E9015,K355:K9015,"0",B355:B9015,"1 1 5 1 6 12 31111*")</f>
        <v>0</v>
      </c>
      <c r="E354"/>
      <c r="F354" s="35">
        <f>SUMIFS(F355:F9015,K355:K9015,"0",B355:B9015,"1 1 5 1 6 12 31111*")</f>
        <v>65315.63</v>
      </c>
      <c r="G354" s="35">
        <f>SUMIFS(G355:G9015,K355:K9015,"0",B355:B9015,"1 1 5 1 6 12 31111*")</f>
        <v>65315.63</v>
      </c>
      <c r="H354" s="35">
        <f t="shared" si="5"/>
        <v>0</v>
      </c>
      <c r="I354" s="35"/>
      <c r="K354" t="s">
        <v>15</v>
      </c>
    </row>
    <row r="355" spans="2:11" ht="12.75" x14ac:dyDescent="0.2">
      <c r="B355" s="33" t="s">
        <v>554</v>
      </c>
      <c r="C355" s="33" t="s">
        <v>30</v>
      </c>
      <c r="D355" s="35">
        <f>SUMIFS(D356:D9015,K356:K9015,"0",B356:B9015,"1 1 5 1 6 12 31111 6*")-SUMIFS(E356:E9015,K356:K9015,"0",B356:B9015,"1 1 5 1 6 12 31111 6*")</f>
        <v>0</v>
      </c>
      <c r="E355"/>
      <c r="F355" s="35">
        <f>SUMIFS(F356:F9015,K356:K9015,"0",B356:B9015,"1 1 5 1 6 12 31111 6*")</f>
        <v>65315.63</v>
      </c>
      <c r="G355" s="35">
        <f>SUMIFS(G356:G9015,K356:K9015,"0",B356:B9015,"1 1 5 1 6 12 31111 6*")</f>
        <v>65315.63</v>
      </c>
      <c r="H355" s="35">
        <f t="shared" si="5"/>
        <v>0</v>
      </c>
      <c r="I355" s="35"/>
      <c r="K355" t="s">
        <v>15</v>
      </c>
    </row>
    <row r="356" spans="2:11" ht="12.75" x14ac:dyDescent="0.2">
      <c r="B356" s="33" t="s">
        <v>555</v>
      </c>
      <c r="C356" s="33" t="s">
        <v>140</v>
      </c>
      <c r="D356" s="35">
        <f>SUMIFS(D357:D9015,K357:K9015,"0",B357:B9015,"1 1 5 1 6 12 31111 6 M59*")-SUMIFS(E357:E9015,K357:K9015,"0",B357:B9015,"1 1 5 1 6 12 31111 6 M59*")</f>
        <v>0</v>
      </c>
      <c r="E356"/>
      <c r="F356" s="35">
        <f>SUMIFS(F357:F9015,K357:K9015,"0",B357:B9015,"1 1 5 1 6 12 31111 6 M59*")</f>
        <v>65315.63</v>
      </c>
      <c r="G356" s="35">
        <f>SUMIFS(G357:G9015,K357:K9015,"0",B357:B9015,"1 1 5 1 6 12 31111 6 M59*")</f>
        <v>65315.63</v>
      </c>
      <c r="H356" s="35">
        <f t="shared" si="5"/>
        <v>0</v>
      </c>
      <c r="I356" s="35"/>
      <c r="K356" t="s">
        <v>15</v>
      </c>
    </row>
    <row r="357" spans="2:11" ht="16.5" x14ac:dyDescent="0.2">
      <c r="B357" s="33" t="s">
        <v>556</v>
      </c>
      <c r="C357" s="33" t="s">
        <v>34</v>
      </c>
      <c r="D357" s="35">
        <f>SUMIFS(D358:D9015,K358:K9015,"0",B358:B9015,"1 1 5 1 6 12 31111 6 M59 00001*")-SUMIFS(E358:E9015,K358:K9015,"0",B358:B9015,"1 1 5 1 6 12 31111 6 M59 00001*")</f>
        <v>0</v>
      </c>
      <c r="E357"/>
      <c r="F357" s="35">
        <f>SUMIFS(F358:F9015,K358:K9015,"0",B358:B9015,"1 1 5 1 6 12 31111 6 M59 00001*")</f>
        <v>65315.63</v>
      </c>
      <c r="G357" s="35">
        <f>SUMIFS(G358:G9015,K358:K9015,"0",B358:B9015,"1 1 5 1 6 12 31111 6 M59 00001*")</f>
        <v>65315.63</v>
      </c>
      <c r="H357" s="35">
        <f t="shared" si="5"/>
        <v>0</v>
      </c>
      <c r="I357" s="35"/>
      <c r="K357" t="s">
        <v>15</v>
      </c>
    </row>
    <row r="358" spans="2:11" ht="24.75" x14ac:dyDescent="0.2">
      <c r="B358" s="33" t="s">
        <v>557</v>
      </c>
      <c r="C358" s="33" t="s">
        <v>558</v>
      </c>
      <c r="D358" s="35">
        <f>SUMIFS(D359:D9015,K359:K9015,"0",B359:B9015,"1 1 5 1 6 12 31111 6 M59 00001 000001*")-SUMIFS(E359:E9015,K359:K9015,"0",B359:B9015,"1 1 5 1 6 12 31111 6 M59 00001 000001*")</f>
        <v>0</v>
      </c>
      <c r="E358"/>
      <c r="F358" s="35">
        <f>SUMIFS(F359:F9015,K359:K9015,"0",B359:B9015,"1 1 5 1 6 12 31111 6 M59 00001 000001*")</f>
        <v>65315.63</v>
      </c>
      <c r="G358" s="35">
        <f>SUMIFS(G359:G9015,K359:K9015,"0",B359:B9015,"1 1 5 1 6 12 31111 6 M59 00001 000001*")</f>
        <v>65315.63</v>
      </c>
      <c r="H358" s="35">
        <f t="shared" si="5"/>
        <v>0</v>
      </c>
      <c r="I358" s="35"/>
      <c r="K358" t="s">
        <v>15</v>
      </c>
    </row>
    <row r="359" spans="2:11" ht="16.5" x14ac:dyDescent="0.2">
      <c r="B359" s="31" t="s">
        <v>559</v>
      </c>
      <c r="C359" s="31" t="s">
        <v>560</v>
      </c>
      <c r="D359" s="34">
        <v>0</v>
      </c>
      <c r="E359" s="34"/>
      <c r="F359" s="34">
        <v>65315.63</v>
      </c>
      <c r="G359" s="34">
        <v>65315.63</v>
      </c>
      <c r="H359" s="34">
        <f t="shared" si="5"/>
        <v>0</v>
      </c>
      <c r="I359" s="34"/>
      <c r="K359" t="s">
        <v>38</v>
      </c>
    </row>
    <row r="360" spans="2:11" ht="24.75" x14ac:dyDescent="0.2">
      <c r="B360" s="33" t="s">
        <v>561</v>
      </c>
      <c r="C360" s="33" t="s">
        <v>562</v>
      </c>
      <c r="D360" s="35">
        <f>SUMIFS(D361:D9015,K361:K9015,"0",B361:B9015,"1 1 5 1 8*")-SUMIFS(E361:E9015,K361:K9015,"0",B361:B9015,"1 1 5 1 8*")</f>
        <v>0</v>
      </c>
      <c r="E360"/>
      <c r="F360" s="35">
        <f>SUMIFS(F361:F9015,K361:K9015,"0",B361:B9015,"1 1 5 1 8*")</f>
        <v>10421444.279999999</v>
      </c>
      <c r="G360" s="35">
        <f>SUMIFS(G361:G9015,K361:K9015,"0",B361:B9015,"1 1 5 1 8*")</f>
        <v>10421444.279999999</v>
      </c>
      <c r="H360" s="35">
        <f t="shared" si="5"/>
        <v>0</v>
      </c>
      <c r="I360" s="35"/>
      <c r="K360" t="s">
        <v>15</v>
      </c>
    </row>
    <row r="361" spans="2:11" ht="12.75" x14ac:dyDescent="0.2">
      <c r="B361" s="33" t="s">
        <v>563</v>
      </c>
      <c r="C361" s="33" t="s">
        <v>26</v>
      </c>
      <c r="D361" s="35">
        <f>SUMIFS(D362:D9015,K362:K9015,"0",B362:B9015,"1 1 5 1 8 12*")-SUMIFS(E362:E9015,K362:K9015,"0",B362:B9015,"1 1 5 1 8 12*")</f>
        <v>0</v>
      </c>
      <c r="E361"/>
      <c r="F361" s="35">
        <f>SUMIFS(F362:F9015,K362:K9015,"0",B362:B9015,"1 1 5 1 8 12*")</f>
        <v>10421444.279999999</v>
      </c>
      <c r="G361" s="35">
        <f>SUMIFS(G362:G9015,K362:K9015,"0",B362:B9015,"1 1 5 1 8 12*")</f>
        <v>10421444.279999999</v>
      </c>
      <c r="H361" s="35">
        <f t="shared" si="5"/>
        <v>0</v>
      </c>
      <c r="I361" s="35"/>
      <c r="K361" t="s">
        <v>15</v>
      </c>
    </row>
    <row r="362" spans="2:11" ht="16.5" x14ac:dyDescent="0.2">
      <c r="B362" s="33" t="s">
        <v>564</v>
      </c>
      <c r="C362" s="33" t="s">
        <v>28</v>
      </c>
      <c r="D362" s="35">
        <f>SUMIFS(D363:D9015,K363:K9015,"0",B363:B9015,"1 1 5 1 8 12 31111*")-SUMIFS(E363:E9015,K363:K9015,"0",B363:B9015,"1 1 5 1 8 12 31111*")</f>
        <v>0</v>
      </c>
      <c r="E362"/>
      <c r="F362" s="35">
        <f>SUMIFS(F363:F9015,K363:K9015,"0",B363:B9015,"1 1 5 1 8 12 31111*")</f>
        <v>10421444.279999999</v>
      </c>
      <c r="G362" s="35">
        <f>SUMIFS(G363:G9015,K363:K9015,"0",B363:B9015,"1 1 5 1 8 12 31111*")</f>
        <v>10421444.279999999</v>
      </c>
      <c r="H362" s="35">
        <f t="shared" si="5"/>
        <v>0</v>
      </c>
      <c r="I362" s="35"/>
      <c r="K362" t="s">
        <v>15</v>
      </c>
    </row>
    <row r="363" spans="2:11" ht="12.75" x14ac:dyDescent="0.2">
      <c r="B363" s="33" t="s">
        <v>565</v>
      </c>
      <c r="C363" s="33" t="s">
        <v>30</v>
      </c>
      <c r="D363" s="35">
        <f>SUMIFS(D364:D9015,K364:K9015,"0",B364:B9015,"1 1 5 1 8 12 31111 6*")-SUMIFS(E364:E9015,K364:K9015,"0",B364:B9015,"1 1 5 1 8 12 31111 6*")</f>
        <v>0</v>
      </c>
      <c r="E363"/>
      <c r="F363" s="35">
        <f>SUMIFS(F364:F9015,K364:K9015,"0",B364:B9015,"1 1 5 1 8 12 31111 6*")</f>
        <v>10421444.279999999</v>
      </c>
      <c r="G363" s="35">
        <f>SUMIFS(G364:G9015,K364:K9015,"0",B364:B9015,"1 1 5 1 8 12 31111 6*")</f>
        <v>10421444.279999999</v>
      </c>
      <c r="H363" s="35">
        <f t="shared" si="5"/>
        <v>0</v>
      </c>
      <c r="I363" s="35"/>
      <c r="K363" t="s">
        <v>15</v>
      </c>
    </row>
    <row r="364" spans="2:11" ht="12.75" x14ac:dyDescent="0.2">
      <c r="B364" s="33" t="s">
        <v>566</v>
      </c>
      <c r="C364" s="33" t="s">
        <v>140</v>
      </c>
      <c r="D364" s="35">
        <f>SUMIFS(D365:D9015,K365:K9015,"0",B365:B9015,"1 1 5 1 8 12 31111 6 M59*")-SUMIFS(E365:E9015,K365:K9015,"0",B365:B9015,"1 1 5 1 8 12 31111 6 M59*")</f>
        <v>0</v>
      </c>
      <c r="E364"/>
      <c r="F364" s="35">
        <f>SUMIFS(F365:F9015,K365:K9015,"0",B365:B9015,"1 1 5 1 8 12 31111 6 M59*")</f>
        <v>10421444.279999999</v>
      </c>
      <c r="G364" s="35">
        <f>SUMIFS(G365:G9015,K365:K9015,"0",B365:B9015,"1 1 5 1 8 12 31111 6 M59*")</f>
        <v>10421444.279999999</v>
      </c>
      <c r="H364" s="35">
        <f t="shared" si="5"/>
        <v>0</v>
      </c>
      <c r="I364" s="35"/>
      <c r="K364" t="s">
        <v>15</v>
      </c>
    </row>
    <row r="365" spans="2:11" ht="16.5" x14ac:dyDescent="0.2">
      <c r="B365" s="33" t="s">
        <v>567</v>
      </c>
      <c r="C365" s="33" t="s">
        <v>34</v>
      </c>
      <c r="D365" s="35">
        <f>SUMIFS(D366:D9015,K366:K9015,"0",B366:B9015,"1 1 5 1 8 12 31111 6 M59 00001*")-SUMIFS(E366:E9015,K366:K9015,"0",B366:B9015,"1 1 5 1 8 12 31111 6 M59 00001*")</f>
        <v>0</v>
      </c>
      <c r="E365"/>
      <c r="F365" s="35">
        <f>SUMIFS(F366:F9015,K366:K9015,"0",B366:B9015,"1 1 5 1 8 12 31111 6 M59 00001*")</f>
        <v>10421444.279999999</v>
      </c>
      <c r="G365" s="35">
        <f>SUMIFS(G366:G9015,K366:K9015,"0",B366:B9015,"1 1 5 1 8 12 31111 6 M59 00001*")</f>
        <v>10421444.279999999</v>
      </c>
      <c r="H365" s="35">
        <f t="shared" si="5"/>
        <v>0</v>
      </c>
      <c r="I365" s="35"/>
      <c r="K365" t="s">
        <v>15</v>
      </c>
    </row>
    <row r="366" spans="2:11" ht="16.5" x14ac:dyDescent="0.2">
      <c r="B366" s="33" t="s">
        <v>568</v>
      </c>
      <c r="C366" s="33" t="s">
        <v>569</v>
      </c>
      <c r="D366" s="35">
        <f>SUMIFS(D367:D9015,K367:K9015,"0",B367:B9015,"1 1 5 1 8 12 31111 6 M59 00001 000001*")-SUMIFS(E367:E9015,K367:K9015,"0",B367:B9015,"1 1 5 1 8 12 31111 6 M59 00001 000001*")</f>
        <v>0</v>
      </c>
      <c r="E366"/>
      <c r="F366" s="35">
        <f>SUMIFS(F367:F9015,K367:K9015,"0",B367:B9015,"1 1 5 1 8 12 31111 6 M59 00001 000001*")</f>
        <v>10421444.279999999</v>
      </c>
      <c r="G366" s="35">
        <f>SUMIFS(G367:G9015,K367:K9015,"0",B367:B9015,"1 1 5 1 8 12 31111 6 M59 00001 000001*")</f>
        <v>10421444.279999999</v>
      </c>
      <c r="H366" s="35">
        <f t="shared" si="5"/>
        <v>0</v>
      </c>
      <c r="I366" s="35"/>
      <c r="K366" t="s">
        <v>15</v>
      </c>
    </row>
    <row r="367" spans="2:11" ht="16.5" x14ac:dyDescent="0.2">
      <c r="B367" s="31" t="s">
        <v>570</v>
      </c>
      <c r="C367" s="31" t="s">
        <v>571</v>
      </c>
      <c r="D367" s="34">
        <v>0</v>
      </c>
      <c r="E367" s="34"/>
      <c r="F367" s="34">
        <v>10421444.279999999</v>
      </c>
      <c r="G367" s="34">
        <v>10421444.279999999</v>
      </c>
      <c r="H367" s="34">
        <f t="shared" si="5"/>
        <v>0</v>
      </c>
      <c r="I367" s="34"/>
      <c r="K367" t="s">
        <v>38</v>
      </c>
    </row>
    <row r="368" spans="2:11" ht="12.75" x14ac:dyDescent="0.2">
      <c r="B368" s="33" t="s">
        <v>572</v>
      </c>
      <c r="C368" s="33" t="s">
        <v>573</v>
      </c>
      <c r="D368" s="35">
        <f>SUMIFS(D369:D9015,K369:K9015,"0",B369:B9015,"1 1 9*")-SUMIFS(E369:E9015,K369:K9015,"0",B369:B9015,"1 1 9*")</f>
        <v>0</v>
      </c>
      <c r="E368"/>
      <c r="F368" s="35">
        <f>SUMIFS(F369:F9015,K369:K9015,"0",B369:B9015,"1 1 9*")</f>
        <v>0</v>
      </c>
      <c r="G368" s="35">
        <f>SUMIFS(G369:G9015,K369:K9015,"0",B369:B9015,"1 1 9*")</f>
        <v>54737</v>
      </c>
      <c r="H368" s="35">
        <f t="shared" si="5"/>
        <v>-54737</v>
      </c>
      <c r="I368" s="35"/>
      <c r="K368" t="s">
        <v>15</v>
      </c>
    </row>
    <row r="369" spans="2:11" ht="24.75" x14ac:dyDescent="0.2">
      <c r="B369" s="33" t="s">
        <v>574</v>
      </c>
      <c r="C369" s="33" t="s">
        <v>575</v>
      </c>
      <c r="D369" s="35">
        <f>SUMIFS(D370:D9015,K370:K9015,"0",B370:B9015,"1 1 9 4*")-SUMIFS(E370:E9015,K370:K9015,"0",B370:B9015,"1 1 9 4*")</f>
        <v>0</v>
      </c>
      <c r="E369"/>
      <c r="F369" s="35">
        <f>SUMIFS(F370:F9015,K370:K9015,"0",B370:B9015,"1 1 9 4*")</f>
        <v>0</v>
      </c>
      <c r="G369" s="35">
        <f>SUMIFS(G370:G9015,K370:K9015,"0",B370:B9015,"1 1 9 4*")</f>
        <v>54737</v>
      </c>
      <c r="H369" s="35">
        <f t="shared" si="5"/>
        <v>-54737</v>
      </c>
      <c r="I369" s="35"/>
      <c r="K369" t="s">
        <v>15</v>
      </c>
    </row>
    <row r="370" spans="2:11" ht="24.75" x14ac:dyDescent="0.2">
      <c r="B370" s="33" t="s">
        <v>576</v>
      </c>
      <c r="C370" s="33" t="s">
        <v>575</v>
      </c>
      <c r="D370" s="35">
        <f>SUMIFS(D371:D9015,K371:K9015,"0",B371:B9015,"1 1 9 4 1*")-SUMIFS(E371:E9015,K371:K9015,"0",B371:B9015,"1 1 9 4 1*")</f>
        <v>0</v>
      </c>
      <c r="E370"/>
      <c r="F370" s="35">
        <f>SUMIFS(F371:F9015,K371:K9015,"0",B371:B9015,"1 1 9 4 1*")</f>
        <v>0</v>
      </c>
      <c r="G370" s="35">
        <f>SUMIFS(G371:G9015,K371:K9015,"0",B371:B9015,"1 1 9 4 1*")</f>
        <v>54737</v>
      </c>
      <c r="H370" s="35">
        <f t="shared" si="5"/>
        <v>-54737</v>
      </c>
      <c r="I370" s="35"/>
      <c r="K370" t="s">
        <v>15</v>
      </c>
    </row>
    <row r="371" spans="2:11" ht="12.75" x14ac:dyDescent="0.2">
      <c r="B371" s="33" t="s">
        <v>577</v>
      </c>
      <c r="C371" s="33" t="s">
        <v>26</v>
      </c>
      <c r="D371" s="35">
        <f>SUMIFS(D372:D9015,K372:K9015,"0",B372:B9015,"1 1 9 4 1 12*")-SUMIFS(E372:E9015,K372:K9015,"0",B372:B9015,"1 1 9 4 1 12*")</f>
        <v>0</v>
      </c>
      <c r="E371"/>
      <c r="F371" s="35">
        <f>SUMIFS(F372:F9015,K372:K9015,"0",B372:B9015,"1 1 9 4 1 12*")</f>
        <v>0</v>
      </c>
      <c r="G371" s="35">
        <f>SUMIFS(G372:G9015,K372:K9015,"0",B372:B9015,"1 1 9 4 1 12*")</f>
        <v>54737</v>
      </c>
      <c r="H371" s="35">
        <f t="shared" si="5"/>
        <v>-54737</v>
      </c>
      <c r="I371" s="35"/>
      <c r="K371" t="s">
        <v>15</v>
      </c>
    </row>
    <row r="372" spans="2:11" ht="16.5" x14ac:dyDescent="0.2">
      <c r="B372" s="33" t="s">
        <v>578</v>
      </c>
      <c r="C372" s="33" t="s">
        <v>28</v>
      </c>
      <c r="D372" s="35">
        <f>SUMIFS(D373:D9015,K373:K9015,"0",B373:B9015,"1 1 9 4 1 12 31111*")-SUMIFS(E373:E9015,K373:K9015,"0",B373:B9015,"1 1 9 4 1 12 31111*")</f>
        <v>0</v>
      </c>
      <c r="E372"/>
      <c r="F372" s="35">
        <f>SUMIFS(F373:F9015,K373:K9015,"0",B373:B9015,"1 1 9 4 1 12 31111*")</f>
        <v>0</v>
      </c>
      <c r="G372" s="35">
        <f>SUMIFS(G373:G9015,K373:K9015,"0",B373:B9015,"1 1 9 4 1 12 31111*")</f>
        <v>54737</v>
      </c>
      <c r="H372" s="35">
        <f t="shared" si="5"/>
        <v>-54737</v>
      </c>
      <c r="I372" s="35"/>
      <c r="K372" t="s">
        <v>15</v>
      </c>
    </row>
    <row r="373" spans="2:11" ht="12.75" x14ac:dyDescent="0.2">
      <c r="B373" s="33" t="s">
        <v>579</v>
      </c>
      <c r="C373" s="33" t="s">
        <v>30</v>
      </c>
      <c r="D373" s="35">
        <f>SUMIFS(D374:D9015,K374:K9015,"0",B374:B9015,"1 1 9 4 1 12 31111 6*")-SUMIFS(E374:E9015,K374:K9015,"0",B374:B9015,"1 1 9 4 1 12 31111 6*")</f>
        <v>0</v>
      </c>
      <c r="E373"/>
      <c r="F373" s="35">
        <f>SUMIFS(F374:F9015,K374:K9015,"0",B374:B9015,"1 1 9 4 1 12 31111 6*")</f>
        <v>0</v>
      </c>
      <c r="G373" s="35">
        <f>SUMIFS(G374:G9015,K374:K9015,"0",B374:B9015,"1 1 9 4 1 12 31111 6*")</f>
        <v>54737</v>
      </c>
      <c r="H373" s="35">
        <f t="shared" si="5"/>
        <v>-54737</v>
      </c>
      <c r="I373" s="35"/>
      <c r="K373" t="s">
        <v>15</v>
      </c>
    </row>
    <row r="374" spans="2:11" ht="16.5" x14ac:dyDescent="0.2">
      <c r="B374" s="33" t="s">
        <v>580</v>
      </c>
      <c r="C374" s="33" t="s">
        <v>581</v>
      </c>
      <c r="D374" s="35">
        <f>SUMIFS(D375:D9015,K375:K9015,"0",B375:B9015,"1 1 9 4 1 12 31111 6 M59*")-SUMIFS(E375:E9015,K375:K9015,"0",B375:B9015,"1 1 9 4 1 12 31111 6 M59*")</f>
        <v>0</v>
      </c>
      <c r="E374"/>
      <c r="F374" s="35">
        <f>SUMIFS(F375:F9015,K375:K9015,"0",B375:B9015,"1 1 9 4 1 12 31111 6 M59*")</f>
        <v>0</v>
      </c>
      <c r="G374" s="35">
        <f>SUMIFS(G375:G9015,K375:K9015,"0",B375:B9015,"1 1 9 4 1 12 31111 6 M59*")</f>
        <v>54737</v>
      </c>
      <c r="H374" s="35">
        <f t="shared" si="5"/>
        <v>-54737</v>
      </c>
      <c r="I374" s="35"/>
      <c r="K374" t="s">
        <v>15</v>
      </c>
    </row>
    <row r="375" spans="2:11" ht="16.5" x14ac:dyDescent="0.2">
      <c r="B375" s="33" t="s">
        <v>582</v>
      </c>
      <c r="C375" s="33" t="s">
        <v>34</v>
      </c>
      <c r="D375" s="35">
        <f>SUMIFS(D376:D9015,K376:K9015,"0",B376:B9015,"1 1 9 4 1 12 31111 6 M59 00001*")-SUMIFS(E376:E9015,K376:K9015,"0",B376:B9015,"1 1 9 4 1 12 31111 6 M59 00001*")</f>
        <v>0</v>
      </c>
      <c r="E375"/>
      <c r="F375" s="35">
        <f>SUMIFS(F376:F9015,K376:K9015,"0",B376:B9015,"1 1 9 4 1 12 31111 6 M59 00001*")</f>
        <v>0</v>
      </c>
      <c r="G375" s="35">
        <f>SUMIFS(G376:G9015,K376:K9015,"0",B376:B9015,"1 1 9 4 1 12 31111 6 M59 00001*")</f>
        <v>54737</v>
      </c>
      <c r="H375" s="35">
        <f t="shared" si="5"/>
        <v>-54737</v>
      </c>
      <c r="I375" s="35"/>
      <c r="K375" t="s">
        <v>15</v>
      </c>
    </row>
    <row r="376" spans="2:11" ht="16.5" x14ac:dyDescent="0.2">
      <c r="B376" s="31" t="s">
        <v>583</v>
      </c>
      <c r="C376" s="31" t="s">
        <v>584</v>
      </c>
      <c r="D376" s="34">
        <v>0</v>
      </c>
      <c r="E376" s="34"/>
      <c r="F376" s="34">
        <v>0</v>
      </c>
      <c r="G376" s="34">
        <v>54737</v>
      </c>
      <c r="H376" s="34">
        <f t="shared" si="5"/>
        <v>-54737</v>
      </c>
      <c r="I376" s="34"/>
      <c r="K376" t="s">
        <v>38</v>
      </c>
    </row>
    <row r="377" spans="2:11" ht="12.75" x14ac:dyDescent="0.2">
      <c r="B377" s="33" t="s">
        <v>585</v>
      </c>
      <c r="C377" s="33" t="s">
        <v>586</v>
      </c>
      <c r="D377" s="35">
        <f>SUMIFS(D378:D9015,K378:K9015,"0",B378:B9015,"1 2*")-SUMIFS(E378:E9015,K378:K9015,"0",B378:B9015,"1 2*")</f>
        <v>49034128.260000005</v>
      </c>
      <c r="E377"/>
      <c r="F377" s="35">
        <f>SUMIFS(F378:F9015,K378:K9015,"0",B378:B9015,"1 2*")</f>
        <v>117944012.05999994</v>
      </c>
      <c r="G377" s="35">
        <f>SUMIFS(G378:G9015,K378:K9015,"0",B378:B9015,"1 2*")</f>
        <v>29936041.52</v>
      </c>
      <c r="H377" s="35">
        <f t="shared" si="5"/>
        <v>137042098.79999992</v>
      </c>
      <c r="I377" s="35"/>
      <c r="K377" t="s">
        <v>15</v>
      </c>
    </row>
    <row r="378" spans="2:11" ht="33" x14ac:dyDescent="0.2">
      <c r="B378" s="33" t="s">
        <v>587</v>
      </c>
      <c r="C378" s="33" t="s">
        <v>588</v>
      </c>
      <c r="D378" s="35">
        <f>SUMIFS(D379:D9015,K379:K9015,"0",B379:B9015,"1 2 3*")-SUMIFS(E379:E9015,K379:K9015,"0",B379:B9015,"1 2 3*")</f>
        <v>48495524.490000002</v>
      </c>
      <c r="E378"/>
      <c r="F378" s="35">
        <f>SUMIFS(F379:F9015,K379:K9015,"0",B379:B9015,"1 2 3*")</f>
        <v>108159204.37999995</v>
      </c>
      <c r="G378" s="35">
        <f>SUMIFS(G379:G9015,K379:K9015,"0",B379:B9015,"1 2 3*")</f>
        <v>23022717.199999996</v>
      </c>
      <c r="H378" s="35">
        <f t="shared" si="5"/>
        <v>133632011.66999996</v>
      </c>
      <c r="I378" s="35"/>
      <c r="K378" t="s">
        <v>15</v>
      </c>
    </row>
    <row r="379" spans="2:11" ht="12.75" x14ac:dyDescent="0.2">
      <c r="B379" s="33" t="s">
        <v>589</v>
      </c>
      <c r="C379" s="33" t="s">
        <v>590</v>
      </c>
      <c r="D379" s="35">
        <f>SUMIFS(D380:D9015,K380:K9015,"0",B380:B9015,"1 2 3 1*")-SUMIFS(E380:E9015,K380:K9015,"0",B380:B9015,"1 2 3 1*")</f>
        <v>3465000</v>
      </c>
      <c r="E379"/>
      <c r="F379" s="35">
        <f>SUMIFS(F380:F9015,K380:K9015,"0",B380:B9015,"1 2 3 1*")</f>
        <v>0</v>
      </c>
      <c r="G379" s="35">
        <f>SUMIFS(G380:G9015,K380:K9015,"0",B380:B9015,"1 2 3 1*")</f>
        <v>0</v>
      </c>
      <c r="H379" s="35">
        <f t="shared" si="5"/>
        <v>3465000</v>
      </c>
      <c r="I379" s="35"/>
      <c r="K379" t="s">
        <v>15</v>
      </c>
    </row>
    <row r="380" spans="2:11" ht="12.75" x14ac:dyDescent="0.2">
      <c r="B380" s="33" t="s">
        <v>591</v>
      </c>
      <c r="C380" s="33" t="s">
        <v>592</v>
      </c>
      <c r="D380" s="35">
        <f>SUMIFS(D381:D9015,K381:K9015,"0",B381:B9015,"1 2 3 1 1*")-SUMIFS(E381:E9015,K381:K9015,"0",B381:B9015,"1 2 3 1 1*")</f>
        <v>3465000</v>
      </c>
      <c r="E380"/>
      <c r="F380" s="35">
        <f>SUMIFS(F381:F9015,K381:K9015,"0",B381:B9015,"1 2 3 1 1*")</f>
        <v>0</v>
      </c>
      <c r="G380" s="35">
        <f>SUMIFS(G381:G9015,K381:K9015,"0",B381:B9015,"1 2 3 1 1*")</f>
        <v>0</v>
      </c>
      <c r="H380" s="35">
        <f t="shared" si="5"/>
        <v>3465000</v>
      </c>
      <c r="I380" s="35"/>
      <c r="K380" t="s">
        <v>15</v>
      </c>
    </row>
    <row r="381" spans="2:11" ht="12.75" x14ac:dyDescent="0.2">
      <c r="B381" s="33" t="s">
        <v>593</v>
      </c>
      <c r="C381" s="33" t="s">
        <v>26</v>
      </c>
      <c r="D381" s="35">
        <f>SUMIFS(D382:D9015,K382:K9015,"0",B382:B9015,"1 2 3 1 1 12*")-SUMIFS(E382:E9015,K382:K9015,"0",B382:B9015,"1 2 3 1 1 12*")</f>
        <v>3465000</v>
      </c>
      <c r="E381"/>
      <c r="F381" s="35">
        <f>SUMIFS(F382:F9015,K382:K9015,"0",B382:B9015,"1 2 3 1 1 12*")</f>
        <v>0</v>
      </c>
      <c r="G381" s="35">
        <f>SUMIFS(G382:G9015,K382:K9015,"0",B382:B9015,"1 2 3 1 1 12*")</f>
        <v>0</v>
      </c>
      <c r="H381" s="35">
        <f t="shared" si="5"/>
        <v>3465000</v>
      </c>
      <c r="I381" s="35"/>
      <c r="K381" t="s">
        <v>15</v>
      </c>
    </row>
    <row r="382" spans="2:11" ht="16.5" x14ac:dyDescent="0.2">
      <c r="B382" s="33" t="s">
        <v>594</v>
      </c>
      <c r="C382" s="33" t="s">
        <v>28</v>
      </c>
      <c r="D382" s="35">
        <f>SUMIFS(D383:D9015,K383:K9015,"0",B383:B9015,"1 2 3 1 1 12 31111*")-SUMIFS(E383:E9015,K383:K9015,"0",B383:B9015,"1 2 3 1 1 12 31111*")</f>
        <v>3465000</v>
      </c>
      <c r="E382"/>
      <c r="F382" s="35">
        <f>SUMIFS(F383:F9015,K383:K9015,"0",B383:B9015,"1 2 3 1 1 12 31111*")</f>
        <v>0</v>
      </c>
      <c r="G382" s="35">
        <f>SUMIFS(G383:G9015,K383:K9015,"0",B383:B9015,"1 2 3 1 1 12 31111*")</f>
        <v>0</v>
      </c>
      <c r="H382" s="35">
        <f t="shared" si="5"/>
        <v>3465000</v>
      </c>
      <c r="I382" s="35"/>
      <c r="K382" t="s">
        <v>15</v>
      </c>
    </row>
    <row r="383" spans="2:11" ht="12.75" x14ac:dyDescent="0.2">
      <c r="B383" s="33" t="s">
        <v>595</v>
      </c>
      <c r="C383" s="33" t="s">
        <v>30</v>
      </c>
      <c r="D383" s="35">
        <f>SUMIFS(D384:D9015,K384:K9015,"0",B384:B9015,"1 2 3 1 1 12 31111 6*")-SUMIFS(E384:E9015,K384:K9015,"0",B384:B9015,"1 2 3 1 1 12 31111 6*")</f>
        <v>3465000</v>
      </c>
      <c r="E383"/>
      <c r="F383" s="35">
        <f>SUMIFS(F384:F9015,K384:K9015,"0",B384:B9015,"1 2 3 1 1 12 31111 6*")</f>
        <v>0</v>
      </c>
      <c r="G383" s="35">
        <f>SUMIFS(G384:G9015,K384:K9015,"0",B384:B9015,"1 2 3 1 1 12 31111 6*")</f>
        <v>0</v>
      </c>
      <c r="H383" s="35">
        <f t="shared" si="5"/>
        <v>3465000</v>
      </c>
      <c r="I383" s="35"/>
      <c r="K383" t="s">
        <v>15</v>
      </c>
    </row>
    <row r="384" spans="2:11" ht="12.75" x14ac:dyDescent="0.2">
      <c r="B384" s="33" t="s">
        <v>596</v>
      </c>
      <c r="C384" s="33" t="s">
        <v>597</v>
      </c>
      <c r="D384" s="35">
        <f>SUMIFS(D385:D9015,K385:K9015,"0",B385:B9015,"1 2 3 1 1 12 31111 6 M59*")-SUMIFS(E385:E9015,K385:K9015,"0",B385:B9015,"1 2 3 1 1 12 31111 6 M59*")</f>
        <v>3465000</v>
      </c>
      <c r="E384"/>
      <c r="F384" s="35">
        <f>SUMIFS(F385:F9015,K385:K9015,"0",B385:B9015,"1 2 3 1 1 12 31111 6 M59*")</f>
        <v>0</v>
      </c>
      <c r="G384" s="35">
        <f>SUMIFS(G385:G9015,K385:K9015,"0",B385:B9015,"1 2 3 1 1 12 31111 6 M59*")</f>
        <v>0</v>
      </c>
      <c r="H384" s="35">
        <f t="shared" si="5"/>
        <v>3465000</v>
      </c>
      <c r="I384" s="35"/>
      <c r="K384" t="s">
        <v>15</v>
      </c>
    </row>
    <row r="385" spans="2:11" ht="16.5" x14ac:dyDescent="0.2">
      <c r="B385" s="33" t="s">
        <v>598</v>
      </c>
      <c r="C385" s="33" t="s">
        <v>34</v>
      </c>
      <c r="D385" s="35">
        <f>SUMIFS(D386:D9015,K386:K9015,"0",B386:B9015,"1 2 3 1 1 12 31111 6 M59 00001*")-SUMIFS(E386:E9015,K386:K9015,"0",B386:B9015,"1 2 3 1 1 12 31111 6 M59 00001*")</f>
        <v>3465000</v>
      </c>
      <c r="E385"/>
      <c r="F385" s="35">
        <f>SUMIFS(F386:F9015,K386:K9015,"0",B386:B9015,"1 2 3 1 1 12 31111 6 M59 00001*")</f>
        <v>0</v>
      </c>
      <c r="G385" s="35">
        <f>SUMIFS(G386:G9015,K386:K9015,"0",B386:B9015,"1 2 3 1 1 12 31111 6 M59 00001*")</f>
        <v>0</v>
      </c>
      <c r="H385" s="35">
        <f t="shared" si="5"/>
        <v>3465000</v>
      </c>
      <c r="I385" s="35"/>
      <c r="K385" t="s">
        <v>15</v>
      </c>
    </row>
    <row r="386" spans="2:11" ht="16.5" x14ac:dyDescent="0.2">
      <c r="B386" s="33" t="s">
        <v>599</v>
      </c>
      <c r="C386" s="33" t="s">
        <v>203</v>
      </c>
      <c r="D386" s="35">
        <f>SUMIFS(D387:D9015,K387:K9015,"0",B387:B9015,"1 2 3 1 1 12 31111 6 M59 00001 000001*")-SUMIFS(E387:E9015,K387:K9015,"0",B387:B9015,"1 2 3 1 1 12 31111 6 M59 00001 000001*")</f>
        <v>3465000</v>
      </c>
      <c r="E386"/>
      <c r="F386" s="35">
        <f>SUMIFS(F387:F9015,K387:K9015,"0",B387:B9015,"1 2 3 1 1 12 31111 6 M59 00001 000001*")</f>
        <v>0</v>
      </c>
      <c r="G386" s="35">
        <f>SUMIFS(G387:G9015,K387:K9015,"0",B387:B9015,"1 2 3 1 1 12 31111 6 M59 00001 000001*")</f>
        <v>0</v>
      </c>
      <c r="H386" s="35">
        <f t="shared" si="5"/>
        <v>3465000</v>
      </c>
      <c r="I386" s="35"/>
      <c r="K386" t="s">
        <v>15</v>
      </c>
    </row>
    <row r="387" spans="2:11" ht="16.5" x14ac:dyDescent="0.2">
      <c r="B387" s="31" t="s">
        <v>600</v>
      </c>
      <c r="C387" s="31" t="s">
        <v>274</v>
      </c>
      <c r="D387" s="34">
        <v>3465000</v>
      </c>
      <c r="E387" s="34"/>
      <c r="F387" s="34">
        <v>0</v>
      </c>
      <c r="G387" s="34">
        <v>0</v>
      </c>
      <c r="H387" s="34">
        <f t="shared" si="5"/>
        <v>3465000</v>
      </c>
      <c r="I387" s="34"/>
      <c r="K387" t="s">
        <v>38</v>
      </c>
    </row>
    <row r="388" spans="2:11" ht="16.5" x14ac:dyDescent="0.2">
      <c r="B388" s="33" t="s">
        <v>601</v>
      </c>
      <c r="C388" s="33" t="s">
        <v>602</v>
      </c>
      <c r="D388" s="35">
        <f>SUMIFS(D389:D9015,K389:K9015,"0",B389:B9015,"1 2 3 3*")-SUMIFS(E389:E9015,K389:K9015,"0",B389:B9015,"1 2 3 3*")</f>
        <v>2700000</v>
      </c>
      <c r="E388"/>
      <c r="F388" s="35">
        <f>SUMIFS(F389:F9015,K389:K9015,"0",B389:B9015,"1 2 3 3*")</f>
        <v>0</v>
      </c>
      <c r="G388" s="35">
        <f>SUMIFS(G389:G9015,K389:K9015,"0",B389:B9015,"1 2 3 3*")</f>
        <v>0</v>
      </c>
      <c r="H388" s="35">
        <f t="shared" si="5"/>
        <v>2700000</v>
      </c>
      <c r="I388" s="35"/>
      <c r="K388" t="s">
        <v>15</v>
      </c>
    </row>
    <row r="389" spans="2:11" ht="12.75" x14ac:dyDescent="0.2">
      <c r="B389" s="33" t="s">
        <v>603</v>
      </c>
      <c r="C389" s="33" t="s">
        <v>592</v>
      </c>
      <c r="D389" s="35">
        <f>SUMIFS(D390:D9015,K390:K9015,"0",B390:B9015,"1 2 3 3 1*")-SUMIFS(E390:E9015,K390:K9015,"0",B390:B9015,"1 2 3 3 1*")</f>
        <v>2700000</v>
      </c>
      <c r="E389"/>
      <c r="F389" s="35">
        <f>SUMIFS(F390:F9015,K390:K9015,"0",B390:B9015,"1 2 3 3 1*")</f>
        <v>0</v>
      </c>
      <c r="G389" s="35">
        <f>SUMIFS(G390:G9015,K390:K9015,"0",B390:B9015,"1 2 3 3 1*")</f>
        <v>0</v>
      </c>
      <c r="H389" s="35">
        <f t="shared" si="5"/>
        <v>2700000</v>
      </c>
      <c r="I389" s="35"/>
      <c r="K389" t="s">
        <v>15</v>
      </c>
    </row>
    <row r="390" spans="2:11" ht="12.75" x14ac:dyDescent="0.2">
      <c r="B390" s="33" t="s">
        <v>604</v>
      </c>
      <c r="C390" s="33" t="s">
        <v>26</v>
      </c>
      <c r="D390" s="35">
        <f>SUMIFS(D391:D9015,K391:K9015,"0",B391:B9015,"1 2 3 3 1 12*")-SUMIFS(E391:E9015,K391:K9015,"0",B391:B9015,"1 2 3 3 1 12*")</f>
        <v>2700000</v>
      </c>
      <c r="E390"/>
      <c r="F390" s="35">
        <f>SUMIFS(F391:F9015,K391:K9015,"0",B391:B9015,"1 2 3 3 1 12*")</f>
        <v>0</v>
      </c>
      <c r="G390" s="35">
        <f>SUMIFS(G391:G9015,K391:K9015,"0",B391:B9015,"1 2 3 3 1 12*")</f>
        <v>0</v>
      </c>
      <c r="H390" s="35">
        <f t="shared" si="5"/>
        <v>2700000</v>
      </c>
      <c r="I390" s="35"/>
      <c r="K390" t="s">
        <v>15</v>
      </c>
    </row>
    <row r="391" spans="2:11" ht="16.5" x14ac:dyDescent="0.2">
      <c r="B391" s="33" t="s">
        <v>605</v>
      </c>
      <c r="C391" s="33" t="s">
        <v>28</v>
      </c>
      <c r="D391" s="35">
        <f>SUMIFS(D392:D9015,K392:K9015,"0",B392:B9015,"1 2 3 3 1 12 31111*")-SUMIFS(E392:E9015,K392:K9015,"0",B392:B9015,"1 2 3 3 1 12 31111*")</f>
        <v>2700000</v>
      </c>
      <c r="E391"/>
      <c r="F391" s="35">
        <f>SUMIFS(F392:F9015,K392:K9015,"0",B392:B9015,"1 2 3 3 1 12 31111*")</f>
        <v>0</v>
      </c>
      <c r="G391" s="35">
        <f>SUMIFS(G392:G9015,K392:K9015,"0",B392:B9015,"1 2 3 3 1 12 31111*")</f>
        <v>0</v>
      </c>
      <c r="H391" s="35">
        <f t="shared" si="5"/>
        <v>2700000</v>
      </c>
      <c r="I391" s="35"/>
      <c r="K391" t="s">
        <v>15</v>
      </c>
    </row>
    <row r="392" spans="2:11" ht="12.75" x14ac:dyDescent="0.2">
      <c r="B392" s="33" t="s">
        <v>606</v>
      </c>
      <c r="C392" s="33" t="s">
        <v>30</v>
      </c>
      <c r="D392" s="35">
        <f>SUMIFS(D393:D9015,K393:K9015,"0",B393:B9015,"1 2 3 3 1 12 31111 6*")-SUMIFS(E393:E9015,K393:K9015,"0",B393:B9015,"1 2 3 3 1 12 31111 6*")</f>
        <v>2700000</v>
      </c>
      <c r="E392"/>
      <c r="F392" s="35">
        <f>SUMIFS(F393:F9015,K393:K9015,"0",B393:B9015,"1 2 3 3 1 12 31111 6*")</f>
        <v>0</v>
      </c>
      <c r="G392" s="35">
        <f>SUMIFS(G393:G9015,K393:K9015,"0",B393:B9015,"1 2 3 3 1 12 31111 6*")</f>
        <v>0</v>
      </c>
      <c r="H392" s="35">
        <f t="shared" si="5"/>
        <v>2700000</v>
      </c>
      <c r="I392" s="35"/>
      <c r="K392" t="s">
        <v>15</v>
      </c>
    </row>
    <row r="393" spans="2:11" ht="16.5" x14ac:dyDescent="0.2">
      <c r="B393" s="33" t="s">
        <v>607</v>
      </c>
      <c r="C393" s="33" t="s">
        <v>608</v>
      </c>
      <c r="D393" s="35">
        <f>SUMIFS(D394:D9015,K394:K9015,"0",B394:B9015,"1 2 3 3 1 12 31111 6 M59*")-SUMIFS(E394:E9015,K394:K9015,"0",B394:B9015,"1 2 3 3 1 12 31111 6 M59*")</f>
        <v>2700000</v>
      </c>
      <c r="E393"/>
      <c r="F393" s="35">
        <f>SUMIFS(F394:F9015,K394:K9015,"0",B394:B9015,"1 2 3 3 1 12 31111 6 M59*")</f>
        <v>0</v>
      </c>
      <c r="G393" s="35">
        <f>SUMIFS(G394:G9015,K394:K9015,"0",B394:B9015,"1 2 3 3 1 12 31111 6 M59*")</f>
        <v>0</v>
      </c>
      <c r="H393" s="35">
        <f t="shared" si="5"/>
        <v>2700000</v>
      </c>
      <c r="I393" s="35"/>
      <c r="K393" t="s">
        <v>15</v>
      </c>
    </row>
    <row r="394" spans="2:11" ht="16.5" x14ac:dyDescent="0.2">
      <c r="B394" s="33" t="s">
        <v>609</v>
      </c>
      <c r="C394" s="33" t="s">
        <v>34</v>
      </c>
      <c r="D394" s="35">
        <f>SUMIFS(D395:D9015,K395:K9015,"0",B395:B9015,"1 2 3 3 1 12 31111 6 M59 00001*")-SUMIFS(E395:E9015,K395:K9015,"0",B395:B9015,"1 2 3 3 1 12 31111 6 M59 00001*")</f>
        <v>2700000</v>
      </c>
      <c r="E394"/>
      <c r="F394" s="35">
        <f>SUMIFS(F395:F9015,K395:K9015,"0",B395:B9015,"1 2 3 3 1 12 31111 6 M59 00001*")</f>
        <v>0</v>
      </c>
      <c r="G394" s="35">
        <f>SUMIFS(G395:G9015,K395:K9015,"0",B395:B9015,"1 2 3 3 1 12 31111 6 M59 00001*")</f>
        <v>0</v>
      </c>
      <c r="H394" s="35">
        <f t="shared" si="5"/>
        <v>2700000</v>
      </c>
      <c r="I394" s="35"/>
      <c r="K394" t="s">
        <v>15</v>
      </c>
    </row>
    <row r="395" spans="2:11" ht="16.5" x14ac:dyDescent="0.2">
      <c r="B395" s="33" t="s">
        <v>610</v>
      </c>
      <c r="C395" s="33" t="s">
        <v>203</v>
      </c>
      <c r="D395" s="35">
        <f>SUMIFS(D396:D9015,K396:K9015,"0",B396:B9015,"1 2 3 3 1 12 31111 6 M59 00001 000001*")-SUMIFS(E396:E9015,K396:K9015,"0",B396:B9015,"1 2 3 3 1 12 31111 6 M59 00001 000001*")</f>
        <v>2700000</v>
      </c>
      <c r="E395"/>
      <c r="F395" s="35">
        <f>SUMIFS(F396:F9015,K396:K9015,"0",B396:B9015,"1 2 3 3 1 12 31111 6 M59 00001 000001*")</f>
        <v>0</v>
      </c>
      <c r="G395" s="35">
        <f>SUMIFS(G396:G9015,K396:K9015,"0",B396:B9015,"1 2 3 3 1 12 31111 6 M59 00001 000001*")</f>
        <v>0</v>
      </c>
      <c r="H395" s="35">
        <f t="shared" si="5"/>
        <v>2700000</v>
      </c>
      <c r="I395" s="35"/>
      <c r="K395" t="s">
        <v>15</v>
      </c>
    </row>
    <row r="396" spans="2:11" ht="16.5" x14ac:dyDescent="0.2">
      <c r="B396" s="31" t="s">
        <v>611</v>
      </c>
      <c r="C396" s="31" t="s">
        <v>274</v>
      </c>
      <c r="D396" s="34">
        <v>2700000</v>
      </c>
      <c r="E396" s="34"/>
      <c r="F396" s="34">
        <v>0</v>
      </c>
      <c r="G396" s="34">
        <v>0</v>
      </c>
      <c r="H396" s="34">
        <f t="shared" ref="H396:H459" si="6">D396 + F396 - G396</f>
        <v>2700000</v>
      </c>
      <c r="I396" s="34"/>
      <c r="K396" t="s">
        <v>38</v>
      </c>
    </row>
    <row r="397" spans="2:11" ht="12.75" x14ac:dyDescent="0.2">
      <c r="B397" s="33" t="s">
        <v>612</v>
      </c>
      <c r="C397" s="33" t="s">
        <v>613</v>
      </c>
      <c r="D397" s="35">
        <f>SUMIFS(D398:D9015,K398:K9015,"0",B398:B9015,"1 2 3 4*")-SUMIFS(E398:E9015,K398:K9015,"0",B398:B9015,"1 2 3 4*")</f>
        <v>42330524.490000002</v>
      </c>
      <c r="E397"/>
      <c r="F397" s="35">
        <f>SUMIFS(F398:F9015,K398:K9015,"0",B398:B9015,"1 2 3 4*")</f>
        <v>0</v>
      </c>
      <c r="G397" s="35">
        <f>SUMIFS(G398:G9015,K398:K9015,"0",B398:B9015,"1 2 3 4*")</f>
        <v>0</v>
      </c>
      <c r="H397" s="35">
        <f t="shared" si="6"/>
        <v>42330524.490000002</v>
      </c>
      <c r="I397" s="35"/>
      <c r="K397" t="s">
        <v>15</v>
      </c>
    </row>
    <row r="398" spans="2:11" ht="16.5" x14ac:dyDescent="0.2">
      <c r="B398" s="33" t="s">
        <v>614</v>
      </c>
      <c r="C398" s="33" t="s">
        <v>615</v>
      </c>
      <c r="D398" s="35">
        <f>SUMIFS(D399:D9015,K399:K9015,"0",B399:B9015,"1 2 3 4 1*")-SUMIFS(E399:E9015,K399:K9015,"0",B399:B9015,"1 2 3 4 1*")</f>
        <v>6697882.1500000004</v>
      </c>
      <c r="E398"/>
      <c r="F398" s="35">
        <f>SUMIFS(F399:F9015,K399:K9015,"0",B399:B9015,"1 2 3 4 1*")</f>
        <v>0</v>
      </c>
      <c r="G398" s="35">
        <f>SUMIFS(G399:G9015,K399:K9015,"0",B399:B9015,"1 2 3 4 1*")</f>
        <v>0</v>
      </c>
      <c r="H398" s="35">
        <f t="shared" si="6"/>
        <v>6697882.1500000004</v>
      </c>
      <c r="I398" s="35"/>
      <c r="K398" t="s">
        <v>15</v>
      </c>
    </row>
    <row r="399" spans="2:11" ht="12.75" x14ac:dyDescent="0.2">
      <c r="B399" s="33" t="s">
        <v>616</v>
      </c>
      <c r="C399" s="33" t="s">
        <v>26</v>
      </c>
      <c r="D399" s="35">
        <f>SUMIFS(D400:D9015,K400:K9015,"0",B400:B9015,"1 2 3 4 1 12*")-SUMIFS(E400:E9015,K400:K9015,"0",B400:B9015,"1 2 3 4 1 12*")</f>
        <v>6697882.1500000004</v>
      </c>
      <c r="E399"/>
      <c r="F399" s="35">
        <f>SUMIFS(F400:F9015,K400:K9015,"0",B400:B9015,"1 2 3 4 1 12*")</f>
        <v>0</v>
      </c>
      <c r="G399" s="35">
        <f>SUMIFS(G400:G9015,K400:K9015,"0",B400:B9015,"1 2 3 4 1 12*")</f>
        <v>0</v>
      </c>
      <c r="H399" s="35">
        <f t="shared" si="6"/>
        <v>6697882.1500000004</v>
      </c>
      <c r="I399" s="35"/>
      <c r="K399" t="s">
        <v>15</v>
      </c>
    </row>
    <row r="400" spans="2:11" ht="16.5" x14ac:dyDescent="0.2">
      <c r="B400" s="33" t="s">
        <v>617</v>
      </c>
      <c r="C400" s="33" t="s">
        <v>28</v>
      </c>
      <c r="D400" s="35">
        <f>SUMIFS(D401:D9015,K401:K9015,"0",B401:B9015,"1 2 3 4 1 12 31111*")-SUMIFS(E401:E9015,K401:K9015,"0",B401:B9015,"1 2 3 4 1 12 31111*")</f>
        <v>6697882.1500000004</v>
      </c>
      <c r="E400"/>
      <c r="F400" s="35">
        <f>SUMIFS(F401:F9015,K401:K9015,"0",B401:B9015,"1 2 3 4 1 12 31111*")</f>
        <v>0</v>
      </c>
      <c r="G400" s="35">
        <f>SUMIFS(G401:G9015,K401:K9015,"0",B401:B9015,"1 2 3 4 1 12 31111*")</f>
        <v>0</v>
      </c>
      <c r="H400" s="35">
        <f t="shared" si="6"/>
        <v>6697882.1500000004</v>
      </c>
      <c r="I400" s="35"/>
      <c r="K400" t="s">
        <v>15</v>
      </c>
    </row>
    <row r="401" spans="2:11" ht="12.75" x14ac:dyDescent="0.2">
      <c r="B401" s="33" t="s">
        <v>618</v>
      </c>
      <c r="C401" s="33" t="s">
        <v>30</v>
      </c>
      <c r="D401" s="35">
        <f>SUMIFS(D402:D9015,K402:K9015,"0",B402:B9015,"1 2 3 4 1 12 31111 6*")-SUMIFS(E402:E9015,K402:K9015,"0",B402:B9015,"1 2 3 4 1 12 31111 6*")</f>
        <v>6697882.1500000004</v>
      </c>
      <c r="E401"/>
      <c r="F401" s="35">
        <f>SUMIFS(F402:F9015,K402:K9015,"0",B402:B9015,"1 2 3 4 1 12 31111 6*")</f>
        <v>0</v>
      </c>
      <c r="G401" s="35">
        <f>SUMIFS(G402:G9015,K402:K9015,"0",B402:B9015,"1 2 3 4 1 12 31111 6*")</f>
        <v>0</v>
      </c>
      <c r="H401" s="35">
        <f t="shared" si="6"/>
        <v>6697882.1500000004</v>
      </c>
      <c r="I401" s="35"/>
      <c r="K401" t="s">
        <v>15</v>
      </c>
    </row>
    <row r="402" spans="2:11" ht="16.5" x14ac:dyDescent="0.2">
      <c r="B402" s="33" t="s">
        <v>619</v>
      </c>
      <c r="C402" s="33" t="s">
        <v>620</v>
      </c>
      <c r="D402" s="35">
        <f>SUMIFS(D403:D9015,K403:K9015,"0",B403:B9015,"1 2 3 4 1 12 31111 6 M59*")-SUMIFS(E403:E9015,K403:K9015,"0",B403:B9015,"1 2 3 4 1 12 31111 6 M59*")</f>
        <v>6697882.1500000004</v>
      </c>
      <c r="E402"/>
      <c r="F402" s="35">
        <f>SUMIFS(F403:F9015,K403:K9015,"0",B403:B9015,"1 2 3 4 1 12 31111 6 M59*")</f>
        <v>0</v>
      </c>
      <c r="G402" s="35">
        <f>SUMIFS(G403:G9015,K403:K9015,"0",B403:B9015,"1 2 3 4 1 12 31111 6 M59*")</f>
        <v>0</v>
      </c>
      <c r="H402" s="35">
        <f t="shared" si="6"/>
        <v>6697882.1500000004</v>
      </c>
      <c r="I402" s="35"/>
      <c r="K402" t="s">
        <v>15</v>
      </c>
    </row>
    <row r="403" spans="2:11" ht="24.75" x14ac:dyDescent="0.2">
      <c r="B403" s="33" t="s">
        <v>621</v>
      </c>
      <c r="C403" s="33" t="s">
        <v>73</v>
      </c>
      <c r="D403" s="35">
        <f>SUMIFS(D404:D9015,K404:K9015,"0",B404:B9015,"1 2 3 4 1 12 31111 6 M59 00002*")-SUMIFS(E404:E9015,K404:K9015,"0",B404:B9015,"1 2 3 4 1 12 31111 6 M59 00002*")</f>
        <v>5814454.04</v>
      </c>
      <c r="E403"/>
      <c r="F403" s="35">
        <f>SUMIFS(F404:F9015,K404:K9015,"0",B404:B9015,"1 2 3 4 1 12 31111 6 M59 00002*")</f>
        <v>0</v>
      </c>
      <c r="G403" s="35">
        <f>SUMIFS(G404:G9015,K404:K9015,"0",B404:B9015,"1 2 3 4 1 12 31111 6 M59 00002*")</f>
        <v>0</v>
      </c>
      <c r="H403" s="35">
        <f t="shared" si="6"/>
        <v>5814454.04</v>
      </c>
      <c r="I403" s="35"/>
      <c r="K403" t="s">
        <v>15</v>
      </c>
    </row>
    <row r="404" spans="2:11" ht="16.5" x14ac:dyDescent="0.2">
      <c r="B404" s="33" t="s">
        <v>622</v>
      </c>
      <c r="C404" s="33" t="s">
        <v>42</v>
      </c>
      <c r="D404" s="35">
        <f>SUMIFS(D405:D9015,K405:K9015,"0",B405:B9015,"1 2 3 4 1 12 31111 6 M59 00002 000001*")-SUMIFS(E405:E9015,K405:K9015,"0",B405:B9015,"1 2 3 4 1 12 31111 6 M59 00002 000001*")</f>
        <v>5814454.04</v>
      </c>
      <c r="E404"/>
      <c r="F404" s="35">
        <f>SUMIFS(F405:F9015,K405:K9015,"0",B405:B9015,"1 2 3 4 1 12 31111 6 M59 00002 000001*")</f>
        <v>0</v>
      </c>
      <c r="G404" s="35">
        <f>SUMIFS(G405:G9015,K405:K9015,"0",B405:B9015,"1 2 3 4 1 12 31111 6 M59 00002 000001*")</f>
        <v>0</v>
      </c>
      <c r="H404" s="35">
        <f t="shared" si="6"/>
        <v>5814454.04</v>
      </c>
      <c r="I404" s="35"/>
      <c r="K404" t="s">
        <v>15</v>
      </c>
    </row>
    <row r="405" spans="2:11" ht="16.5" x14ac:dyDescent="0.2">
      <c r="B405" s="31" t="s">
        <v>623</v>
      </c>
      <c r="C405" s="31" t="s">
        <v>274</v>
      </c>
      <c r="D405" s="34">
        <v>5814454.04</v>
      </c>
      <c r="E405" s="34"/>
      <c r="F405" s="34">
        <v>0</v>
      </c>
      <c r="G405" s="34">
        <v>0</v>
      </c>
      <c r="H405" s="34">
        <f t="shared" si="6"/>
        <v>5814454.04</v>
      </c>
      <c r="I405" s="34"/>
      <c r="K405" t="s">
        <v>38</v>
      </c>
    </row>
    <row r="406" spans="2:11" ht="24.75" x14ac:dyDescent="0.2">
      <c r="B406" s="33" t="s">
        <v>624</v>
      </c>
      <c r="C406" s="33" t="s">
        <v>91</v>
      </c>
      <c r="D406" s="35">
        <f>SUMIFS(D407:D9015,K407:K9015,"0",B407:B9015,"1 2 3 4 1 12 31111 6 M59 00004*")-SUMIFS(E407:E9015,K407:K9015,"0",B407:B9015,"1 2 3 4 1 12 31111 6 M59 00004*")</f>
        <v>883428.11</v>
      </c>
      <c r="E406"/>
      <c r="F406" s="35">
        <f>SUMIFS(F407:F9015,K407:K9015,"0",B407:B9015,"1 2 3 4 1 12 31111 6 M59 00004*")</f>
        <v>0</v>
      </c>
      <c r="G406" s="35">
        <f>SUMIFS(G407:G9015,K407:K9015,"0",B407:B9015,"1 2 3 4 1 12 31111 6 M59 00004*")</f>
        <v>0</v>
      </c>
      <c r="H406" s="35">
        <f t="shared" si="6"/>
        <v>883428.11</v>
      </c>
      <c r="I406" s="35"/>
      <c r="K406" t="s">
        <v>15</v>
      </c>
    </row>
    <row r="407" spans="2:11" ht="16.5" x14ac:dyDescent="0.2">
      <c r="B407" s="33" t="s">
        <v>625</v>
      </c>
      <c r="C407" s="33" t="s">
        <v>42</v>
      </c>
      <c r="D407" s="35">
        <f>SUMIFS(D408:D9015,K408:K9015,"0",B408:B9015,"1 2 3 4 1 12 31111 6 M59 00004 000001*")-SUMIFS(E408:E9015,K408:K9015,"0",B408:B9015,"1 2 3 4 1 12 31111 6 M59 00004 000001*")</f>
        <v>883428.11</v>
      </c>
      <c r="E407"/>
      <c r="F407" s="35">
        <f>SUMIFS(F408:F9015,K408:K9015,"0",B408:B9015,"1 2 3 4 1 12 31111 6 M59 00004 000001*")</f>
        <v>0</v>
      </c>
      <c r="G407" s="35">
        <f>SUMIFS(G408:G9015,K408:K9015,"0",B408:B9015,"1 2 3 4 1 12 31111 6 M59 00004 000001*")</f>
        <v>0</v>
      </c>
      <c r="H407" s="35">
        <f t="shared" si="6"/>
        <v>883428.11</v>
      </c>
      <c r="I407" s="35"/>
      <c r="K407" t="s">
        <v>15</v>
      </c>
    </row>
    <row r="408" spans="2:11" ht="16.5" x14ac:dyDescent="0.2">
      <c r="B408" s="31" t="s">
        <v>626</v>
      </c>
      <c r="C408" s="31" t="s">
        <v>274</v>
      </c>
      <c r="D408" s="34">
        <v>883428.11</v>
      </c>
      <c r="E408" s="34"/>
      <c r="F408" s="34">
        <v>0</v>
      </c>
      <c r="G408" s="34">
        <v>0</v>
      </c>
      <c r="H408" s="34">
        <f t="shared" si="6"/>
        <v>883428.11</v>
      </c>
      <c r="I408" s="34"/>
      <c r="K408" t="s">
        <v>38</v>
      </c>
    </row>
    <row r="409" spans="2:11" ht="33" x14ac:dyDescent="0.2">
      <c r="B409" s="33" t="s">
        <v>627</v>
      </c>
      <c r="C409" s="33" t="s">
        <v>628</v>
      </c>
      <c r="D409" s="35">
        <f>SUMIFS(D410:D9015,K410:K9015,"0",B410:B9015,"1 2 3 4 6*")-SUMIFS(E410:E9015,K410:K9015,"0",B410:B9015,"1 2 3 4 6*")</f>
        <v>35632642.340000004</v>
      </c>
      <c r="E409"/>
      <c r="F409" s="35">
        <f>SUMIFS(F410:F9015,K410:K9015,"0",B410:B9015,"1 2 3 4 6*")</f>
        <v>0</v>
      </c>
      <c r="G409" s="35">
        <f>SUMIFS(G410:G9015,K410:K9015,"0",B410:B9015,"1 2 3 4 6*")</f>
        <v>0</v>
      </c>
      <c r="H409" s="35">
        <f t="shared" si="6"/>
        <v>35632642.340000004</v>
      </c>
      <c r="I409" s="35"/>
      <c r="K409" t="s">
        <v>15</v>
      </c>
    </row>
    <row r="410" spans="2:11" ht="12.75" x14ac:dyDescent="0.2">
      <c r="B410" s="33" t="s">
        <v>629</v>
      </c>
      <c r="C410" s="33" t="s">
        <v>26</v>
      </c>
      <c r="D410" s="35">
        <f>SUMIFS(D411:D9015,K411:K9015,"0",B411:B9015,"1 2 3 4 6 12*")-SUMIFS(E411:E9015,K411:K9015,"0",B411:B9015,"1 2 3 4 6 12*")</f>
        <v>35632642.340000004</v>
      </c>
      <c r="E410"/>
      <c r="F410" s="35">
        <f>SUMIFS(F411:F9015,K411:K9015,"0",B411:B9015,"1 2 3 4 6 12*")</f>
        <v>0</v>
      </c>
      <c r="G410" s="35">
        <f>SUMIFS(G411:G9015,K411:K9015,"0",B411:B9015,"1 2 3 4 6 12*")</f>
        <v>0</v>
      </c>
      <c r="H410" s="35">
        <f t="shared" si="6"/>
        <v>35632642.340000004</v>
      </c>
      <c r="I410" s="35"/>
      <c r="K410" t="s">
        <v>15</v>
      </c>
    </row>
    <row r="411" spans="2:11" ht="16.5" x14ac:dyDescent="0.2">
      <c r="B411" s="33" t="s">
        <v>630</v>
      </c>
      <c r="C411" s="33" t="s">
        <v>28</v>
      </c>
      <c r="D411" s="35">
        <f>SUMIFS(D412:D9015,K412:K9015,"0",B412:B9015,"1 2 3 4 6 12 31111*")-SUMIFS(E412:E9015,K412:K9015,"0",B412:B9015,"1 2 3 4 6 12 31111*")</f>
        <v>35632642.340000004</v>
      </c>
      <c r="E411"/>
      <c r="F411" s="35">
        <f>SUMIFS(F412:F9015,K412:K9015,"0",B412:B9015,"1 2 3 4 6 12 31111*")</f>
        <v>0</v>
      </c>
      <c r="G411" s="35">
        <f>SUMIFS(G412:G9015,K412:K9015,"0",B412:B9015,"1 2 3 4 6 12 31111*")</f>
        <v>0</v>
      </c>
      <c r="H411" s="35">
        <f t="shared" si="6"/>
        <v>35632642.340000004</v>
      </c>
      <c r="I411" s="35"/>
      <c r="K411" t="s">
        <v>15</v>
      </c>
    </row>
    <row r="412" spans="2:11" ht="12.75" x14ac:dyDescent="0.2">
      <c r="B412" s="33" t="s">
        <v>631</v>
      </c>
      <c r="C412" s="33" t="s">
        <v>30</v>
      </c>
      <c r="D412" s="35">
        <f>SUMIFS(D413:D9015,K413:K9015,"0",B413:B9015,"1 2 3 4 6 12 31111 6*")-SUMIFS(E413:E9015,K413:K9015,"0",B413:B9015,"1 2 3 4 6 12 31111 6*")</f>
        <v>35632642.340000004</v>
      </c>
      <c r="E412"/>
      <c r="F412" s="35">
        <f>SUMIFS(F413:F9015,K413:K9015,"0",B413:B9015,"1 2 3 4 6 12 31111 6*")</f>
        <v>0</v>
      </c>
      <c r="G412" s="35">
        <f>SUMIFS(G413:G9015,K413:K9015,"0",B413:B9015,"1 2 3 4 6 12 31111 6*")</f>
        <v>0</v>
      </c>
      <c r="H412" s="35">
        <f t="shared" si="6"/>
        <v>35632642.340000004</v>
      </c>
      <c r="I412" s="35"/>
      <c r="K412" t="s">
        <v>15</v>
      </c>
    </row>
    <row r="413" spans="2:11" ht="24.75" x14ac:dyDescent="0.2">
      <c r="B413" s="33" t="s">
        <v>632</v>
      </c>
      <c r="C413" s="33" t="s">
        <v>633</v>
      </c>
      <c r="D413" s="35">
        <f>SUMIFS(D414:D9015,K414:K9015,"0",B414:B9015,"1 2 3 4 6 12 31111 6 M59*")-SUMIFS(E414:E9015,K414:K9015,"0",B414:B9015,"1 2 3 4 6 12 31111 6 M59*")</f>
        <v>35632642.340000004</v>
      </c>
      <c r="E413"/>
      <c r="F413" s="35">
        <f>SUMIFS(F414:F9015,K414:K9015,"0",B414:B9015,"1 2 3 4 6 12 31111 6 M59*")</f>
        <v>0</v>
      </c>
      <c r="G413" s="35">
        <f>SUMIFS(G414:G9015,K414:K9015,"0",B414:B9015,"1 2 3 4 6 12 31111 6 M59*")</f>
        <v>0</v>
      </c>
      <c r="H413" s="35">
        <f t="shared" si="6"/>
        <v>35632642.340000004</v>
      </c>
      <c r="I413" s="35"/>
      <c r="K413" t="s">
        <v>15</v>
      </c>
    </row>
    <row r="414" spans="2:11" ht="24.75" x14ac:dyDescent="0.2">
      <c r="B414" s="33" t="s">
        <v>634</v>
      </c>
      <c r="C414" s="33" t="s">
        <v>73</v>
      </c>
      <c r="D414" s="35">
        <f>SUMIFS(D415:D9015,K415:K9015,"0",B415:B9015,"1 2 3 4 6 12 31111 6 M59 00002*")-SUMIFS(E415:E9015,K415:K9015,"0",B415:B9015,"1 2 3 4 6 12 31111 6 M59 00002*")</f>
        <v>35632642.340000004</v>
      </c>
      <c r="E414"/>
      <c r="F414" s="35">
        <f>SUMIFS(F415:F9015,K415:K9015,"0",B415:B9015,"1 2 3 4 6 12 31111 6 M59 00002*")</f>
        <v>0</v>
      </c>
      <c r="G414" s="35">
        <f>SUMIFS(G415:G9015,K415:K9015,"0",B415:B9015,"1 2 3 4 6 12 31111 6 M59 00002*")</f>
        <v>0</v>
      </c>
      <c r="H414" s="35">
        <f t="shared" si="6"/>
        <v>35632642.340000004</v>
      </c>
      <c r="I414" s="35"/>
      <c r="K414" t="s">
        <v>15</v>
      </c>
    </row>
    <row r="415" spans="2:11" ht="16.5" x14ac:dyDescent="0.2">
      <c r="B415" s="33" t="s">
        <v>635</v>
      </c>
      <c r="C415" s="33" t="s">
        <v>42</v>
      </c>
      <c r="D415" s="35">
        <f>SUMIFS(D416:D9015,K416:K9015,"0",B416:B9015,"1 2 3 4 6 12 31111 6 M59 00002 000001*")-SUMIFS(E416:E9015,K416:K9015,"0",B416:B9015,"1 2 3 4 6 12 31111 6 M59 00002 000001*")</f>
        <v>35632642.340000004</v>
      </c>
      <c r="E415"/>
      <c r="F415" s="35">
        <f>SUMIFS(F416:F9015,K416:K9015,"0",B416:B9015,"1 2 3 4 6 12 31111 6 M59 00002 000001*")</f>
        <v>0</v>
      </c>
      <c r="G415" s="35">
        <f>SUMIFS(G416:G9015,K416:K9015,"0",B416:B9015,"1 2 3 4 6 12 31111 6 M59 00002 000001*")</f>
        <v>0</v>
      </c>
      <c r="H415" s="35">
        <f t="shared" si="6"/>
        <v>35632642.340000004</v>
      </c>
      <c r="I415" s="35"/>
      <c r="K415" t="s">
        <v>15</v>
      </c>
    </row>
    <row r="416" spans="2:11" ht="16.5" x14ac:dyDescent="0.2">
      <c r="B416" s="31" t="s">
        <v>636</v>
      </c>
      <c r="C416" s="31" t="s">
        <v>274</v>
      </c>
      <c r="D416" s="34">
        <v>35632642.340000004</v>
      </c>
      <c r="E416" s="34"/>
      <c r="F416" s="34">
        <v>0</v>
      </c>
      <c r="G416" s="34">
        <v>0</v>
      </c>
      <c r="H416" s="34">
        <f t="shared" si="6"/>
        <v>35632642.340000004</v>
      </c>
      <c r="I416" s="34"/>
      <c r="K416" t="s">
        <v>38</v>
      </c>
    </row>
    <row r="417" spans="2:11" ht="24.75" x14ac:dyDescent="0.2">
      <c r="B417" s="33" t="s">
        <v>637</v>
      </c>
      <c r="C417" s="33" t="s">
        <v>638</v>
      </c>
      <c r="D417" s="35">
        <f>SUMIFS(D418:D9015,K418:K9015,"0",B418:B9015,"1 2 3 5*")-SUMIFS(E418:E9015,K418:K9015,"0",B418:B9015,"1 2 3 5*")</f>
        <v>0</v>
      </c>
      <c r="E417"/>
      <c r="F417" s="35">
        <f>SUMIFS(F418:F9015,K418:K9015,"0",B418:B9015,"1 2 3 5*")</f>
        <v>108071333.99999996</v>
      </c>
      <c r="G417" s="35">
        <f>SUMIFS(G418:G9015,K418:K9015,"0",B418:B9015,"1 2 3 5*")</f>
        <v>23022717.199999996</v>
      </c>
      <c r="H417" s="35">
        <f t="shared" si="6"/>
        <v>85048616.799999952</v>
      </c>
      <c r="I417" s="35"/>
      <c r="K417" t="s">
        <v>15</v>
      </c>
    </row>
    <row r="418" spans="2:11" ht="16.5" x14ac:dyDescent="0.2">
      <c r="B418" s="33" t="s">
        <v>639</v>
      </c>
      <c r="C418" s="33" t="s">
        <v>640</v>
      </c>
      <c r="D418" s="35">
        <f>SUMIFS(D419:D9015,K419:K9015,"0",B419:B9015,"1 2 3 5 2*")-SUMIFS(E419:E9015,K419:K9015,"0",B419:B9015,"1 2 3 5 2*")</f>
        <v>0</v>
      </c>
      <c r="E418"/>
      <c r="F418" s="35">
        <f>SUMIFS(F419:F9015,K419:K9015,"0",B419:B9015,"1 2 3 5 2*")</f>
        <v>6916008.7000000002</v>
      </c>
      <c r="G418" s="35">
        <f>SUMIFS(G419:G9015,K419:K9015,"0",B419:B9015,"1 2 3 5 2*")</f>
        <v>380000</v>
      </c>
      <c r="H418" s="35">
        <f t="shared" si="6"/>
        <v>6536008.7000000002</v>
      </c>
      <c r="I418" s="35"/>
      <c r="K418" t="s">
        <v>15</v>
      </c>
    </row>
    <row r="419" spans="2:11" ht="12.75" x14ac:dyDescent="0.2">
      <c r="B419" s="33" t="s">
        <v>641</v>
      </c>
      <c r="C419" s="33" t="s">
        <v>26</v>
      </c>
      <c r="D419" s="35">
        <f>SUMIFS(D420:D9015,K420:K9015,"0",B420:B9015,"1 2 3 5 2 12*")-SUMIFS(E420:E9015,K420:K9015,"0",B420:B9015,"1 2 3 5 2 12*")</f>
        <v>0</v>
      </c>
      <c r="E419"/>
      <c r="F419" s="35">
        <f>SUMIFS(F420:F9015,K420:K9015,"0",B420:B9015,"1 2 3 5 2 12*")</f>
        <v>6916008.7000000002</v>
      </c>
      <c r="G419" s="35">
        <f>SUMIFS(G420:G9015,K420:K9015,"0",B420:B9015,"1 2 3 5 2 12*")</f>
        <v>380000</v>
      </c>
      <c r="H419" s="35">
        <f t="shared" si="6"/>
        <v>6536008.7000000002</v>
      </c>
      <c r="I419" s="35"/>
      <c r="K419" t="s">
        <v>15</v>
      </c>
    </row>
    <row r="420" spans="2:11" ht="16.5" x14ac:dyDescent="0.2">
      <c r="B420" s="33" t="s">
        <v>642</v>
      </c>
      <c r="C420" s="33" t="s">
        <v>28</v>
      </c>
      <c r="D420" s="35">
        <f>SUMIFS(D421:D9015,K421:K9015,"0",B421:B9015,"1 2 3 5 2 12 31111*")-SUMIFS(E421:E9015,K421:K9015,"0",B421:B9015,"1 2 3 5 2 12 31111*")</f>
        <v>0</v>
      </c>
      <c r="E420"/>
      <c r="F420" s="35">
        <f>SUMIFS(F421:F9015,K421:K9015,"0",B421:B9015,"1 2 3 5 2 12 31111*")</f>
        <v>6916008.7000000002</v>
      </c>
      <c r="G420" s="35">
        <f>SUMIFS(G421:G9015,K421:K9015,"0",B421:B9015,"1 2 3 5 2 12 31111*")</f>
        <v>380000</v>
      </c>
      <c r="H420" s="35">
        <f t="shared" si="6"/>
        <v>6536008.7000000002</v>
      </c>
      <c r="I420" s="35"/>
      <c r="K420" t="s">
        <v>15</v>
      </c>
    </row>
    <row r="421" spans="2:11" ht="12.75" x14ac:dyDescent="0.2">
      <c r="B421" s="33" t="s">
        <v>643</v>
      </c>
      <c r="C421" s="33" t="s">
        <v>30</v>
      </c>
      <c r="D421" s="35">
        <f>SUMIFS(D422:D9015,K422:K9015,"0",B422:B9015,"1 2 3 5 2 12 31111 6*")-SUMIFS(E422:E9015,K422:K9015,"0",B422:B9015,"1 2 3 5 2 12 31111 6*")</f>
        <v>0</v>
      </c>
      <c r="E421"/>
      <c r="F421" s="35">
        <f>SUMIFS(F422:F9015,K422:K9015,"0",B422:B9015,"1 2 3 5 2 12 31111 6*")</f>
        <v>6916008.7000000002</v>
      </c>
      <c r="G421" s="35">
        <f>SUMIFS(G422:G9015,K422:K9015,"0",B422:B9015,"1 2 3 5 2 12 31111 6*")</f>
        <v>380000</v>
      </c>
      <c r="H421" s="35">
        <f t="shared" si="6"/>
        <v>6536008.7000000002</v>
      </c>
      <c r="I421" s="35"/>
      <c r="K421" t="s">
        <v>15</v>
      </c>
    </row>
    <row r="422" spans="2:11" ht="16.5" x14ac:dyDescent="0.2">
      <c r="B422" s="33" t="s">
        <v>644</v>
      </c>
      <c r="C422" s="33" t="s">
        <v>32</v>
      </c>
      <c r="D422" s="35">
        <f>SUMIFS(D423:D9015,K423:K9015,"0",B423:B9015,"1 2 3 5 2 12 31111 6 M59*")-SUMIFS(E423:E9015,K423:K9015,"0",B423:B9015,"1 2 3 5 2 12 31111 6 M59*")</f>
        <v>0</v>
      </c>
      <c r="E422"/>
      <c r="F422" s="35">
        <f>SUMIFS(F423:F9015,K423:K9015,"0",B423:B9015,"1 2 3 5 2 12 31111 6 M59*")</f>
        <v>6916008.7000000002</v>
      </c>
      <c r="G422" s="35">
        <f>SUMIFS(G423:G9015,K423:K9015,"0",B423:B9015,"1 2 3 5 2 12 31111 6 M59*")</f>
        <v>380000</v>
      </c>
      <c r="H422" s="35">
        <f t="shared" si="6"/>
        <v>6536008.7000000002</v>
      </c>
      <c r="I422" s="35"/>
      <c r="K422" t="s">
        <v>15</v>
      </c>
    </row>
    <row r="423" spans="2:11" ht="16.5" x14ac:dyDescent="0.2">
      <c r="B423" s="33" t="s">
        <v>645</v>
      </c>
      <c r="C423" s="33" t="s">
        <v>646</v>
      </c>
      <c r="D423" s="35">
        <f>SUMIFS(D424:D9015,K424:K9015,"0",B424:B9015,"1 2 3 5 2 12 31111 6 M59 30100*")-SUMIFS(E424:E9015,K424:K9015,"0",B424:B9015,"1 2 3 5 2 12 31111 6 M59 30100*")</f>
        <v>0</v>
      </c>
      <c r="E423"/>
      <c r="F423" s="35">
        <f>SUMIFS(F424:F9015,K424:K9015,"0",B424:B9015,"1 2 3 5 2 12 31111 6 M59 30100*")</f>
        <v>6916008.7000000002</v>
      </c>
      <c r="G423" s="35">
        <f>SUMIFS(G424:G9015,K424:K9015,"0",B424:B9015,"1 2 3 5 2 12 31111 6 M59 30100*")</f>
        <v>380000</v>
      </c>
      <c r="H423" s="35">
        <f t="shared" si="6"/>
        <v>6536008.7000000002</v>
      </c>
      <c r="I423" s="35"/>
      <c r="K423" t="s">
        <v>15</v>
      </c>
    </row>
    <row r="424" spans="2:11" ht="16.5" x14ac:dyDescent="0.2">
      <c r="B424" s="33" t="s">
        <v>647</v>
      </c>
      <c r="C424" s="33" t="s">
        <v>648</v>
      </c>
      <c r="D424" s="35">
        <f>SUMIFS(D425:D9015,K425:K9015,"0",B425:B9015,"1 2 3 5 2 12 31111 6 M59 30100 000132*")-SUMIFS(E425:E9015,K425:K9015,"0",B425:B9015,"1 2 3 5 2 12 31111 6 M59 30100 000132*")</f>
        <v>0</v>
      </c>
      <c r="E424"/>
      <c r="F424" s="35">
        <f>SUMIFS(F425:F9015,K425:K9015,"0",B425:B9015,"1 2 3 5 2 12 31111 6 M59 30100 000132*")</f>
        <v>6916008.7000000002</v>
      </c>
      <c r="G424" s="35">
        <f>SUMIFS(G425:G9015,K425:K9015,"0",B425:B9015,"1 2 3 5 2 12 31111 6 M59 30100 000132*")</f>
        <v>380000</v>
      </c>
      <c r="H424" s="35">
        <f t="shared" si="6"/>
        <v>6536008.7000000002</v>
      </c>
      <c r="I424" s="35"/>
      <c r="K424" t="s">
        <v>15</v>
      </c>
    </row>
    <row r="425" spans="2:11" ht="24.75" x14ac:dyDescent="0.2">
      <c r="B425" s="33" t="s">
        <v>649</v>
      </c>
      <c r="C425" s="33" t="s">
        <v>650</v>
      </c>
      <c r="D425" s="35">
        <f>SUMIFS(D426:D9015,K426:K9015,"0",B426:B9015,"1 2 3 5 2 12 31111 6 M59 30100 000132 0000R*")-SUMIFS(E426:E9015,K426:K9015,"0",B426:B9015,"1 2 3 5 2 12 31111 6 M59 30100 000132 0000R*")</f>
        <v>0</v>
      </c>
      <c r="E425"/>
      <c r="F425" s="35">
        <f>SUMIFS(F426:F9015,K426:K9015,"0",B426:B9015,"1 2 3 5 2 12 31111 6 M59 30100 000132 0000R*")</f>
        <v>6916008.7000000002</v>
      </c>
      <c r="G425" s="35">
        <f>SUMIFS(G426:G9015,K426:K9015,"0",B426:B9015,"1 2 3 5 2 12 31111 6 M59 30100 000132 0000R*")</f>
        <v>380000</v>
      </c>
      <c r="H425" s="35">
        <f t="shared" si="6"/>
        <v>6536008.7000000002</v>
      </c>
      <c r="I425" s="35"/>
      <c r="K425" t="s">
        <v>15</v>
      </c>
    </row>
    <row r="426" spans="2:11" ht="24.75" x14ac:dyDescent="0.2">
      <c r="B426" s="33" t="s">
        <v>651</v>
      </c>
      <c r="C426" s="33" t="s">
        <v>652</v>
      </c>
      <c r="D426" s="35">
        <f>SUMIFS(D427:D9015,K427:K9015,"0",B427:B9015,"1 2 3 5 2 12 31111 6 M59 30100 000132 0000R 00002*")-SUMIFS(E427:E9015,K427:K9015,"0",B427:B9015,"1 2 3 5 2 12 31111 6 M59 30100 000132 0000R 00002*")</f>
        <v>0</v>
      </c>
      <c r="E426"/>
      <c r="F426" s="35">
        <f>SUMIFS(F427:F9015,K427:K9015,"0",B427:B9015,"1 2 3 5 2 12 31111 6 M59 30100 000132 0000R 00002*")</f>
        <v>6916008.7000000002</v>
      </c>
      <c r="G426" s="35">
        <f>SUMIFS(G427:G9015,K427:K9015,"0",B427:B9015,"1 2 3 5 2 12 31111 6 M59 30100 000132 0000R 00002*")</f>
        <v>380000</v>
      </c>
      <c r="H426" s="35">
        <f t="shared" si="6"/>
        <v>6536008.7000000002</v>
      </c>
      <c r="I426" s="35"/>
      <c r="K426" t="s">
        <v>15</v>
      </c>
    </row>
    <row r="427" spans="2:11" ht="24.75" x14ac:dyDescent="0.2">
      <c r="B427" s="33" t="s">
        <v>653</v>
      </c>
      <c r="C427" s="33" t="s">
        <v>654</v>
      </c>
      <c r="D427" s="35">
        <f>SUMIFS(D428:D9015,K428:K9015,"0",B428:B9015,"1 2 3 5 2 12 31111 6 M59 30100 000132 0000R 00002 00612*")-SUMIFS(E428:E9015,K428:K9015,"0",B428:B9015,"1 2 3 5 2 12 31111 6 M59 30100 000132 0000R 00002 00612*")</f>
        <v>0</v>
      </c>
      <c r="E427"/>
      <c r="F427" s="35">
        <f>SUMIFS(F428:F9015,K428:K9015,"0",B428:B9015,"1 2 3 5 2 12 31111 6 M59 30100 000132 0000R 00002 00612*")</f>
        <v>6916008.7000000002</v>
      </c>
      <c r="G427" s="35">
        <f>SUMIFS(G428:G9015,K428:K9015,"0",B428:B9015,"1 2 3 5 2 12 31111 6 M59 30100 000132 0000R 00002 00612*")</f>
        <v>380000</v>
      </c>
      <c r="H427" s="35">
        <f t="shared" si="6"/>
        <v>6536008.7000000002</v>
      </c>
      <c r="I427" s="35"/>
      <c r="K427" t="s">
        <v>15</v>
      </c>
    </row>
    <row r="428" spans="2:11" ht="33" x14ac:dyDescent="0.2">
      <c r="B428" s="33" t="s">
        <v>655</v>
      </c>
      <c r="C428" s="33" t="s">
        <v>656</v>
      </c>
      <c r="D428" s="35">
        <f>SUMIFS(D429:D9015,K429:K9015,"0",B429:B9015,"1 2 3 5 2 12 31111 6 M59 30100 000132 0000R 00002 00612 025*")-SUMIFS(E429:E9015,K429:K9015,"0",B429:B9015,"1 2 3 5 2 12 31111 6 M59 30100 000132 0000R 00002 00612 025*")</f>
        <v>0</v>
      </c>
      <c r="E428"/>
      <c r="F428" s="35">
        <f>SUMIFS(F429:F9015,K429:K9015,"0",B429:B9015,"1 2 3 5 2 12 31111 6 M59 30100 000132 0000R 00002 00612 025*")</f>
        <v>6916008.7000000002</v>
      </c>
      <c r="G428" s="35">
        <f>SUMIFS(G429:G9015,K429:K9015,"0",B429:B9015,"1 2 3 5 2 12 31111 6 M59 30100 000132 0000R 00002 00612 025*")</f>
        <v>380000</v>
      </c>
      <c r="H428" s="35">
        <f t="shared" si="6"/>
        <v>6536008.7000000002</v>
      </c>
      <c r="I428" s="35"/>
      <c r="K428" t="s">
        <v>15</v>
      </c>
    </row>
    <row r="429" spans="2:11" ht="33" x14ac:dyDescent="0.2">
      <c r="B429" s="33" t="s">
        <v>657</v>
      </c>
      <c r="C429" s="33" t="s">
        <v>658</v>
      </c>
      <c r="D429" s="35">
        <f>SUMIFS(D430:D9015,K430:K9015,"0",B430:B9015,"1 2 3 5 2 12 31111 6 M59 30100 000132 0000R 00002 00612 025 2210000*")-SUMIFS(E430:E9015,K430:K9015,"0",B430:B9015,"1 2 3 5 2 12 31111 6 M59 30100 000132 0000R 00002 00612 025 2210000*")</f>
        <v>0</v>
      </c>
      <c r="E429"/>
      <c r="F429" s="35">
        <f>SUMIFS(F430:F9015,K430:K9015,"0",B430:B9015,"1 2 3 5 2 12 31111 6 M59 30100 000132 0000R 00002 00612 025 2210000*")</f>
        <v>6916008.7000000002</v>
      </c>
      <c r="G429" s="35">
        <f>SUMIFS(G430:G9015,K430:K9015,"0",B430:B9015,"1 2 3 5 2 12 31111 6 M59 30100 000132 0000R 00002 00612 025 2210000*")</f>
        <v>380000</v>
      </c>
      <c r="H429" s="35">
        <f t="shared" si="6"/>
        <v>6536008.7000000002</v>
      </c>
      <c r="I429" s="35"/>
      <c r="K429" t="s">
        <v>15</v>
      </c>
    </row>
    <row r="430" spans="2:11" ht="33" x14ac:dyDescent="0.2">
      <c r="B430" s="33" t="s">
        <v>659</v>
      </c>
      <c r="C430" s="33" t="s">
        <v>660</v>
      </c>
      <c r="D430" s="35">
        <f>SUMIFS(D431:D9015,K431:K9015,"0",B431:B9015,"1 2 3 5 2 12 31111 6 M59 30100 000132 0000R 00002 00612 025 2210000 2024*")-SUMIFS(E431:E9015,K431:K9015,"0",B431:B9015,"1 2 3 5 2 12 31111 6 M59 30100 000132 0000R 00002 00612 025 2210000 2024*")</f>
        <v>0</v>
      </c>
      <c r="E430"/>
      <c r="F430" s="35">
        <f>SUMIFS(F431:F9015,K431:K9015,"0",B431:B9015,"1 2 3 5 2 12 31111 6 M59 30100 000132 0000R 00002 00612 025 2210000 2024*")</f>
        <v>6916008.7000000002</v>
      </c>
      <c r="G430" s="35">
        <f>SUMIFS(G431:G9015,K431:K9015,"0",B431:B9015,"1 2 3 5 2 12 31111 6 M59 30100 000132 0000R 00002 00612 025 2210000 2024*")</f>
        <v>380000</v>
      </c>
      <c r="H430" s="35">
        <f t="shared" si="6"/>
        <v>6536008.7000000002</v>
      </c>
      <c r="I430" s="35"/>
      <c r="K430" t="s">
        <v>15</v>
      </c>
    </row>
    <row r="431" spans="2:11" ht="41.25" x14ac:dyDescent="0.2">
      <c r="B431" s="33" t="s">
        <v>661</v>
      </c>
      <c r="C431" s="33" t="s">
        <v>662</v>
      </c>
      <c r="D431" s="35">
        <f>SUMIFS(D432:D9015,K432:K9015,"0",B432:B9015,"1 2 3 5 2 12 31111 6 M59 30100 000132 0000R 00002 00612 025 2210000 2024 CP1OP405*")-SUMIFS(E432:E9015,K432:K9015,"0",B432:B9015,"1 2 3 5 2 12 31111 6 M59 30100 000132 0000R 00002 00612 025 2210000 2024 CP1OP405*")</f>
        <v>0</v>
      </c>
      <c r="E431"/>
      <c r="F431" s="35">
        <f>SUMIFS(F432:F9015,K432:K9015,"0",B432:B9015,"1 2 3 5 2 12 31111 6 M59 30100 000132 0000R 00002 00612 025 2210000 2024 CP1OP405*")</f>
        <v>380000</v>
      </c>
      <c r="G431" s="35">
        <f>SUMIFS(G432:G9015,K432:K9015,"0",B432:B9015,"1 2 3 5 2 12 31111 6 M59 30100 000132 0000R 00002 00612 025 2210000 2024 CP1OP405*")</f>
        <v>380000</v>
      </c>
      <c r="H431" s="35">
        <f t="shared" si="6"/>
        <v>0</v>
      </c>
      <c r="I431" s="35"/>
      <c r="K431" t="s">
        <v>15</v>
      </c>
    </row>
    <row r="432" spans="2:11" ht="41.25" x14ac:dyDescent="0.2">
      <c r="B432" s="33" t="s">
        <v>663</v>
      </c>
      <c r="C432" s="33" t="s">
        <v>664</v>
      </c>
      <c r="D432" s="35">
        <f>SUMIFS(D433:D9015,K433:K9015,"0",B433:B9015,"1 2 3 5 2 12 31111 6 M59 30100 000132 0000R 00002 00612 025 2210000 2024 CP1OP405 003*")-SUMIFS(E433:E9015,K433:K9015,"0",B433:B9015,"1 2 3 5 2 12 31111 6 M59 30100 000132 0000R 00002 00612 025 2210000 2024 CP1OP405 003*")</f>
        <v>0</v>
      </c>
      <c r="E432"/>
      <c r="F432" s="35">
        <f>SUMIFS(F433:F9015,K433:K9015,"0",B433:B9015,"1 2 3 5 2 12 31111 6 M59 30100 000132 0000R 00002 00612 025 2210000 2024 CP1OP405 003*")</f>
        <v>380000</v>
      </c>
      <c r="G432" s="35">
        <f>SUMIFS(G433:G9015,K433:K9015,"0",B433:B9015,"1 2 3 5 2 12 31111 6 M59 30100 000132 0000R 00002 00612 025 2210000 2024 CP1OP405 003*")</f>
        <v>380000</v>
      </c>
      <c r="H432" s="35">
        <f t="shared" si="6"/>
        <v>0</v>
      </c>
      <c r="I432" s="35"/>
      <c r="K432" t="s">
        <v>15</v>
      </c>
    </row>
    <row r="433" spans="2:11" ht="49.5" x14ac:dyDescent="0.2">
      <c r="B433" s="33" t="s">
        <v>665</v>
      </c>
      <c r="C433" s="33" t="s">
        <v>666</v>
      </c>
      <c r="D433" s="35">
        <f>SUMIFS(D434:D9015,K434:K9015,"0",B434:B9015,"1 2 3 5 2 12 31111 6 M59 30100 000132 0000R 00002 00612 025 2210000 2024 CP1OP405 003 0000001*")-SUMIFS(E434:E9015,K434:K9015,"0",B434:B9015,"1 2 3 5 2 12 31111 6 M59 30100 000132 0000R 00002 00612 025 2210000 2024 CP1OP405 003 0000001*")</f>
        <v>0</v>
      </c>
      <c r="E433"/>
      <c r="F433" s="35">
        <f>SUMIFS(F434:F9015,K434:K9015,"0",B434:B9015,"1 2 3 5 2 12 31111 6 M59 30100 000132 0000R 00002 00612 025 2210000 2024 CP1OP405 003 0000001*")</f>
        <v>380000</v>
      </c>
      <c r="G433" s="35">
        <f>SUMIFS(G434:G9015,K434:K9015,"0",B434:B9015,"1 2 3 5 2 12 31111 6 M59 30100 000132 0000R 00002 00612 025 2210000 2024 CP1OP405 003 0000001*")</f>
        <v>380000</v>
      </c>
      <c r="H433" s="35">
        <f t="shared" si="6"/>
        <v>0</v>
      </c>
      <c r="I433" s="35"/>
      <c r="K433" t="s">
        <v>15</v>
      </c>
    </row>
    <row r="434" spans="2:11" ht="41.25" x14ac:dyDescent="0.2">
      <c r="B434" s="31" t="s">
        <v>667</v>
      </c>
      <c r="C434" s="31" t="s">
        <v>668</v>
      </c>
      <c r="D434" s="34">
        <v>0</v>
      </c>
      <c r="E434" s="34"/>
      <c r="F434" s="34">
        <v>380000</v>
      </c>
      <c r="G434" s="34">
        <v>380000</v>
      </c>
      <c r="H434" s="34">
        <f t="shared" si="6"/>
        <v>0</v>
      </c>
      <c r="I434" s="34"/>
      <c r="K434" t="s">
        <v>38</v>
      </c>
    </row>
    <row r="435" spans="2:11" ht="41.25" x14ac:dyDescent="0.2">
      <c r="B435" s="33" t="s">
        <v>669</v>
      </c>
      <c r="C435" s="33" t="s">
        <v>662</v>
      </c>
      <c r="D435" s="35">
        <f>SUMIFS(D436:D9015,K436:K9015,"0",B436:B9015,"1 2 3 5 2 12 31111 6 M59 30100 000132 0000R 00002 00612 025 2210000 2024 CP2OP405*")-SUMIFS(E436:E9015,K436:K9015,"0",B436:B9015,"1 2 3 5 2 12 31111 6 M59 30100 000132 0000R 00002 00612 025 2210000 2024 CP2OP405*")</f>
        <v>0</v>
      </c>
      <c r="E435"/>
      <c r="F435" s="35">
        <f>SUMIFS(F436:F9015,K436:K9015,"0",B436:B9015,"1 2 3 5 2 12 31111 6 M59 30100 000132 0000R 00002 00612 025 2210000 2024 CP2OP405*")</f>
        <v>6536008.7000000002</v>
      </c>
      <c r="G435" s="35">
        <f>SUMIFS(G436:G9015,K436:K9015,"0",B436:B9015,"1 2 3 5 2 12 31111 6 M59 30100 000132 0000R 00002 00612 025 2210000 2024 CP2OP405*")</f>
        <v>0</v>
      </c>
      <c r="H435" s="35">
        <f t="shared" si="6"/>
        <v>6536008.7000000002</v>
      </c>
      <c r="I435" s="35"/>
      <c r="K435" t="s">
        <v>15</v>
      </c>
    </row>
    <row r="436" spans="2:11" ht="41.25" x14ac:dyDescent="0.2">
      <c r="B436" s="33" t="s">
        <v>670</v>
      </c>
      <c r="C436" s="33" t="s">
        <v>671</v>
      </c>
      <c r="D436" s="35">
        <f>SUMIFS(D437:D9015,K437:K9015,"0",B437:B9015,"1 2 3 5 2 12 31111 6 M59 30100 000132 0000R 00002 00612 025 2210000 2024 CP2OP405 002*")-SUMIFS(E437:E9015,K437:K9015,"0",B437:B9015,"1 2 3 5 2 12 31111 6 M59 30100 000132 0000R 00002 00612 025 2210000 2024 CP2OP405 002*")</f>
        <v>0</v>
      </c>
      <c r="E436"/>
      <c r="F436" s="35">
        <f>SUMIFS(F437:F9015,K437:K9015,"0",B437:B9015,"1 2 3 5 2 12 31111 6 M59 30100 000132 0000R 00002 00612 025 2210000 2024 CP2OP405 002*")</f>
        <v>6536008.7000000002</v>
      </c>
      <c r="G436" s="35">
        <f>SUMIFS(G437:G9015,K437:K9015,"0",B437:B9015,"1 2 3 5 2 12 31111 6 M59 30100 000132 0000R 00002 00612 025 2210000 2024 CP2OP405 002*")</f>
        <v>0</v>
      </c>
      <c r="H436" s="35">
        <f t="shared" si="6"/>
        <v>6536008.7000000002</v>
      </c>
      <c r="I436" s="35"/>
      <c r="K436" t="s">
        <v>15</v>
      </c>
    </row>
    <row r="437" spans="2:11" ht="49.5" x14ac:dyDescent="0.2">
      <c r="B437" s="33" t="s">
        <v>672</v>
      </c>
      <c r="C437" s="33" t="s">
        <v>673</v>
      </c>
      <c r="D437" s="35">
        <f>SUMIFS(D438:D9015,K438:K9015,"0",B438:B9015,"1 2 3 5 2 12 31111 6 M59 30100 000132 0000R 00002 00612 025 2210000 2024 CP2OP405 002 0000001*")-SUMIFS(E438:E9015,K438:K9015,"0",B438:B9015,"1 2 3 5 2 12 31111 6 M59 30100 000132 0000R 00002 00612 025 2210000 2024 CP2OP405 002 0000001*")</f>
        <v>0</v>
      </c>
      <c r="E437"/>
      <c r="F437" s="35">
        <f>SUMIFS(F438:F9015,K438:K9015,"0",B438:B9015,"1 2 3 5 2 12 31111 6 M59 30100 000132 0000R 00002 00612 025 2210000 2024 CP2OP405 002 0000001*")</f>
        <v>6536008.7000000002</v>
      </c>
      <c r="G437" s="35">
        <f>SUMIFS(G438:G9015,K438:K9015,"0",B438:B9015,"1 2 3 5 2 12 31111 6 M59 30100 000132 0000R 00002 00612 025 2210000 2024 CP2OP405 002 0000001*")</f>
        <v>0</v>
      </c>
      <c r="H437" s="35">
        <f t="shared" si="6"/>
        <v>6536008.7000000002</v>
      </c>
      <c r="I437" s="35"/>
      <c r="K437" t="s">
        <v>15</v>
      </c>
    </row>
    <row r="438" spans="2:11" ht="41.25" x14ac:dyDescent="0.2">
      <c r="B438" s="31" t="s">
        <v>674</v>
      </c>
      <c r="C438" s="31" t="s">
        <v>675</v>
      </c>
      <c r="D438" s="34">
        <v>0</v>
      </c>
      <c r="E438" s="34"/>
      <c r="F438" s="34">
        <v>389285.1</v>
      </c>
      <c r="G438" s="34">
        <v>0</v>
      </c>
      <c r="H438" s="34">
        <f t="shared" si="6"/>
        <v>389285.1</v>
      </c>
      <c r="I438" s="34"/>
      <c r="K438" t="s">
        <v>38</v>
      </c>
    </row>
    <row r="439" spans="2:11" ht="41.25" x14ac:dyDescent="0.2">
      <c r="B439" s="31" t="s">
        <v>676</v>
      </c>
      <c r="C439" s="31" t="s">
        <v>677</v>
      </c>
      <c r="D439" s="34">
        <v>0</v>
      </c>
      <c r="E439" s="34"/>
      <c r="F439" s="34">
        <v>1680000</v>
      </c>
      <c r="G439" s="34">
        <v>0</v>
      </c>
      <c r="H439" s="34">
        <f t="shared" si="6"/>
        <v>1680000</v>
      </c>
      <c r="I439" s="34"/>
      <c r="K439" t="s">
        <v>38</v>
      </c>
    </row>
    <row r="440" spans="2:11" ht="41.25" x14ac:dyDescent="0.2">
      <c r="B440" s="31" t="s">
        <v>678</v>
      </c>
      <c r="C440" s="31" t="s">
        <v>679</v>
      </c>
      <c r="D440" s="34">
        <v>0</v>
      </c>
      <c r="E440" s="34"/>
      <c r="F440" s="34">
        <v>887922</v>
      </c>
      <c r="G440" s="34">
        <v>0</v>
      </c>
      <c r="H440" s="34">
        <f t="shared" si="6"/>
        <v>887922</v>
      </c>
      <c r="I440" s="34"/>
      <c r="K440" t="s">
        <v>38</v>
      </c>
    </row>
    <row r="441" spans="2:11" ht="41.25" x14ac:dyDescent="0.2">
      <c r="B441" s="31" t="s">
        <v>680</v>
      </c>
      <c r="C441" s="31" t="s">
        <v>681</v>
      </c>
      <c r="D441" s="34">
        <v>0</v>
      </c>
      <c r="E441" s="34"/>
      <c r="F441" s="34">
        <v>1280358.31</v>
      </c>
      <c r="G441" s="34">
        <v>0</v>
      </c>
      <c r="H441" s="34">
        <f t="shared" si="6"/>
        <v>1280358.31</v>
      </c>
      <c r="I441" s="34"/>
      <c r="K441" t="s">
        <v>38</v>
      </c>
    </row>
    <row r="442" spans="2:11" ht="41.25" x14ac:dyDescent="0.2">
      <c r="B442" s="31" t="s">
        <v>682</v>
      </c>
      <c r="C442" s="31" t="s">
        <v>683</v>
      </c>
      <c r="D442" s="34">
        <v>0</v>
      </c>
      <c r="E442" s="34"/>
      <c r="F442" s="34">
        <v>650000</v>
      </c>
      <c r="G442" s="34">
        <v>0</v>
      </c>
      <c r="H442" s="34">
        <f t="shared" si="6"/>
        <v>650000</v>
      </c>
      <c r="I442" s="34"/>
      <c r="K442" t="s">
        <v>38</v>
      </c>
    </row>
    <row r="443" spans="2:11" ht="41.25" x14ac:dyDescent="0.2">
      <c r="B443" s="31" t="s">
        <v>684</v>
      </c>
      <c r="C443" s="31" t="s">
        <v>685</v>
      </c>
      <c r="D443" s="34">
        <v>0</v>
      </c>
      <c r="E443" s="34"/>
      <c r="F443" s="34">
        <v>1648443.29</v>
      </c>
      <c r="G443" s="34">
        <v>0</v>
      </c>
      <c r="H443" s="34">
        <f t="shared" si="6"/>
        <v>1648443.29</v>
      </c>
      <c r="I443" s="34"/>
      <c r="K443" t="s">
        <v>38</v>
      </c>
    </row>
    <row r="444" spans="2:11" ht="49.5" x14ac:dyDescent="0.2">
      <c r="B444" s="33" t="s">
        <v>686</v>
      </c>
      <c r="C444" s="33" t="s">
        <v>687</v>
      </c>
      <c r="D444" s="35">
        <f>SUMIFS(D445:D9015,K445:K9015,"0",B445:B9015,"1 2 3 5 3*")-SUMIFS(E445:E9015,K445:K9015,"0",B445:B9015,"1 2 3 5 3*")</f>
        <v>0</v>
      </c>
      <c r="E444"/>
      <c r="F444" s="35">
        <f>SUMIFS(F445:F9015,K445:K9015,"0",B445:B9015,"1 2 3 5 3*")</f>
        <v>27571245.219999995</v>
      </c>
      <c r="G444" s="35">
        <f>SUMIFS(G445:G9015,K445:K9015,"0",B445:B9015,"1 2 3 5 3*")</f>
        <v>1380563</v>
      </c>
      <c r="H444" s="35">
        <f t="shared" si="6"/>
        <v>26190682.219999995</v>
      </c>
      <c r="I444" s="35"/>
      <c r="K444" t="s">
        <v>15</v>
      </c>
    </row>
    <row r="445" spans="2:11" ht="12.75" x14ac:dyDescent="0.2">
      <c r="B445" s="33" t="s">
        <v>688</v>
      </c>
      <c r="C445" s="33" t="s">
        <v>26</v>
      </c>
      <c r="D445" s="35">
        <f>SUMIFS(D446:D9015,K446:K9015,"0",B446:B9015,"1 2 3 5 3 12*")-SUMIFS(E446:E9015,K446:K9015,"0",B446:B9015,"1 2 3 5 3 12*")</f>
        <v>0</v>
      </c>
      <c r="E445"/>
      <c r="F445" s="35">
        <f>SUMIFS(F446:F9015,K446:K9015,"0",B446:B9015,"1 2 3 5 3 12*")</f>
        <v>27571245.219999995</v>
      </c>
      <c r="G445" s="35">
        <f>SUMIFS(G446:G9015,K446:K9015,"0",B446:B9015,"1 2 3 5 3 12*")</f>
        <v>1380563</v>
      </c>
      <c r="H445" s="35">
        <f t="shared" si="6"/>
        <v>26190682.219999995</v>
      </c>
      <c r="I445" s="35"/>
      <c r="K445" t="s">
        <v>15</v>
      </c>
    </row>
    <row r="446" spans="2:11" ht="16.5" x14ac:dyDescent="0.2">
      <c r="B446" s="33" t="s">
        <v>689</v>
      </c>
      <c r="C446" s="33" t="s">
        <v>28</v>
      </c>
      <c r="D446" s="35">
        <f>SUMIFS(D447:D9015,K447:K9015,"0",B447:B9015,"1 2 3 5 3 12 31111*")-SUMIFS(E447:E9015,K447:K9015,"0",B447:B9015,"1 2 3 5 3 12 31111*")</f>
        <v>0</v>
      </c>
      <c r="E446"/>
      <c r="F446" s="35">
        <f>SUMIFS(F447:F9015,K447:K9015,"0",B447:B9015,"1 2 3 5 3 12 31111*")</f>
        <v>27571245.219999995</v>
      </c>
      <c r="G446" s="35">
        <f>SUMIFS(G447:G9015,K447:K9015,"0",B447:B9015,"1 2 3 5 3 12 31111*")</f>
        <v>1380563</v>
      </c>
      <c r="H446" s="35">
        <f t="shared" si="6"/>
        <v>26190682.219999995</v>
      </c>
      <c r="I446" s="35"/>
      <c r="K446" t="s">
        <v>15</v>
      </c>
    </row>
    <row r="447" spans="2:11" ht="12.75" x14ac:dyDescent="0.2">
      <c r="B447" s="33" t="s">
        <v>690</v>
      </c>
      <c r="C447" s="33" t="s">
        <v>30</v>
      </c>
      <c r="D447" s="35">
        <f>SUMIFS(D448:D9015,K448:K9015,"0",B448:B9015,"1 2 3 5 3 12 31111 6*")-SUMIFS(E448:E9015,K448:K9015,"0",B448:B9015,"1 2 3 5 3 12 31111 6*")</f>
        <v>0</v>
      </c>
      <c r="E447"/>
      <c r="F447" s="35">
        <f>SUMIFS(F448:F9015,K448:K9015,"0",B448:B9015,"1 2 3 5 3 12 31111 6*")</f>
        <v>27571245.219999995</v>
      </c>
      <c r="G447" s="35">
        <f>SUMIFS(G448:G9015,K448:K9015,"0",B448:B9015,"1 2 3 5 3 12 31111 6*")</f>
        <v>1380563</v>
      </c>
      <c r="H447" s="35">
        <f t="shared" si="6"/>
        <v>26190682.219999995</v>
      </c>
      <c r="I447" s="35"/>
      <c r="K447" t="s">
        <v>15</v>
      </c>
    </row>
    <row r="448" spans="2:11" ht="16.5" x14ac:dyDescent="0.2">
      <c r="B448" s="33" t="s">
        <v>691</v>
      </c>
      <c r="C448" s="33" t="s">
        <v>32</v>
      </c>
      <c r="D448" s="35">
        <f>SUMIFS(D449:D9015,K449:K9015,"0",B449:B9015,"1 2 3 5 3 12 31111 6 M59*")-SUMIFS(E449:E9015,K449:K9015,"0",B449:B9015,"1 2 3 5 3 12 31111 6 M59*")</f>
        <v>0</v>
      </c>
      <c r="E448"/>
      <c r="F448" s="35">
        <f>SUMIFS(F449:F9015,K449:K9015,"0",B449:B9015,"1 2 3 5 3 12 31111 6 M59*")</f>
        <v>27571245.219999995</v>
      </c>
      <c r="G448" s="35">
        <f>SUMIFS(G449:G9015,K449:K9015,"0",B449:B9015,"1 2 3 5 3 12 31111 6 M59*")</f>
        <v>1380563</v>
      </c>
      <c r="H448" s="35">
        <f t="shared" si="6"/>
        <v>26190682.219999995</v>
      </c>
      <c r="I448" s="35"/>
      <c r="K448" t="s">
        <v>15</v>
      </c>
    </row>
    <row r="449" spans="2:11" ht="16.5" x14ac:dyDescent="0.2">
      <c r="B449" s="33" t="s">
        <v>692</v>
      </c>
      <c r="C449" s="33" t="s">
        <v>646</v>
      </c>
      <c r="D449" s="35">
        <f>SUMIFS(D450:D9015,K450:K9015,"0",B450:B9015,"1 2 3 5 3 12 31111 6 M59 30100*")-SUMIFS(E450:E9015,K450:K9015,"0",B450:B9015,"1 2 3 5 3 12 31111 6 M59 30100*")</f>
        <v>0</v>
      </c>
      <c r="E449"/>
      <c r="F449" s="35">
        <f>SUMIFS(F450:F9015,K450:K9015,"0",B450:B9015,"1 2 3 5 3 12 31111 6 M59 30100*")</f>
        <v>27571245.219999995</v>
      </c>
      <c r="G449" s="35">
        <f>SUMIFS(G450:G9015,K450:K9015,"0",B450:B9015,"1 2 3 5 3 12 31111 6 M59 30100*")</f>
        <v>1380563</v>
      </c>
      <c r="H449" s="35">
        <f t="shared" si="6"/>
        <v>26190682.219999995</v>
      </c>
      <c r="I449" s="35"/>
      <c r="K449" t="s">
        <v>15</v>
      </c>
    </row>
    <row r="450" spans="2:11" ht="16.5" x14ac:dyDescent="0.2">
      <c r="B450" s="33" t="s">
        <v>693</v>
      </c>
      <c r="C450" s="33" t="s">
        <v>648</v>
      </c>
      <c r="D450" s="35">
        <f>SUMIFS(D451:D9015,K451:K9015,"0",B451:B9015,"1 2 3 5 3 12 31111 6 M59 30100 000132*")-SUMIFS(E451:E9015,K451:K9015,"0",B451:B9015,"1 2 3 5 3 12 31111 6 M59 30100 000132*")</f>
        <v>0</v>
      </c>
      <c r="E450"/>
      <c r="F450" s="35">
        <f>SUMIFS(F451:F9015,K451:K9015,"0",B451:B9015,"1 2 3 5 3 12 31111 6 M59 30100 000132*")</f>
        <v>27571245.219999995</v>
      </c>
      <c r="G450" s="35">
        <f>SUMIFS(G451:G9015,K451:K9015,"0",B451:B9015,"1 2 3 5 3 12 31111 6 M59 30100 000132*")</f>
        <v>1380563</v>
      </c>
      <c r="H450" s="35">
        <f t="shared" si="6"/>
        <v>26190682.219999995</v>
      </c>
      <c r="I450" s="35"/>
      <c r="K450" t="s">
        <v>15</v>
      </c>
    </row>
    <row r="451" spans="2:11" ht="24.75" x14ac:dyDescent="0.2">
      <c r="B451" s="33" t="s">
        <v>694</v>
      </c>
      <c r="C451" s="33" t="s">
        <v>650</v>
      </c>
      <c r="D451" s="35">
        <f>SUMIFS(D452:D9015,K452:K9015,"0",B452:B9015,"1 2 3 5 3 12 31111 6 M59 30100 000132 0000R*")-SUMIFS(E452:E9015,K452:K9015,"0",B452:B9015,"1 2 3 5 3 12 31111 6 M59 30100 000132 0000R*")</f>
        <v>0</v>
      </c>
      <c r="E451"/>
      <c r="F451" s="35">
        <f>SUMIFS(F452:F9015,K452:K9015,"0",B452:B9015,"1 2 3 5 3 12 31111 6 M59 30100 000132 0000R*")</f>
        <v>27571245.219999995</v>
      </c>
      <c r="G451" s="35">
        <f>SUMIFS(G452:G9015,K452:K9015,"0",B452:B9015,"1 2 3 5 3 12 31111 6 M59 30100 000132 0000R*")</f>
        <v>1380563</v>
      </c>
      <c r="H451" s="35">
        <f t="shared" si="6"/>
        <v>26190682.219999995</v>
      </c>
      <c r="I451" s="35"/>
      <c r="K451" t="s">
        <v>15</v>
      </c>
    </row>
    <row r="452" spans="2:11" ht="24.75" x14ac:dyDescent="0.2">
      <c r="B452" s="33" t="s">
        <v>695</v>
      </c>
      <c r="C452" s="33" t="s">
        <v>652</v>
      </c>
      <c r="D452" s="35">
        <f>SUMIFS(D453:D9015,K453:K9015,"0",B453:B9015,"1 2 3 5 3 12 31111 6 M59 30100 000132 0000R 00002*")-SUMIFS(E453:E9015,K453:K9015,"0",B453:B9015,"1 2 3 5 3 12 31111 6 M59 30100 000132 0000R 00002*")</f>
        <v>0</v>
      </c>
      <c r="E452"/>
      <c r="F452" s="35">
        <f>SUMIFS(F453:F9015,K453:K9015,"0",B453:B9015,"1 2 3 5 3 12 31111 6 M59 30100 000132 0000R 00002*")</f>
        <v>27571245.219999995</v>
      </c>
      <c r="G452" s="35">
        <f>SUMIFS(G453:G9015,K453:K9015,"0",B453:B9015,"1 2 3 5 3 12 31111 6 M59 30100 000132 0000R 00002*")</f>
        <v>1380563</v>
      </c>
      <c r="H452" s="35">
        <f t="shared" si="6"/>
        <v>26190682.219999995</v>
      </c>
      <c r="I452" s="35"/>
      <c r="K452" t="s">
        <v>15</v>
      </c>
    </row>
    <row r="453" spans="2:11" ht="41.25" x14ac:dyDescent="0.2">
      <c r="B453" s="33" t="s">
        <v>696</v>
      </c>
      <c r="C453" s="33" t="s">
        <v>697</v>
      </c>
      <c r="D453" s="35">
        <f>SUMIFS(D454:D9015,K454:K9015,"0",B454:B9015,"1 2 3 5 3 12 31111 6 M59 30100 000132 0000R 00002 00613*")-SUMIFS(E454:E9015,K454:K9015,"0",B454:B9015,"1 2 3 5 3 12 31111 6 M59 30100 000132 0000R 00002 00613*")</f>
        <v>0</v>
      </c>
      <c r="E453"/>
      <c r="F453" s="35">
        <f>SUMIFS(F454:F9015,K454:K9015,"0",B454:B9015,"1 2 3 5 3 12 31111 6 M59 30100 000132 0000R 00002 00613*")</f>
        <v>27571245.219999995</v>
      </c>
      <c r="G453" s="35">
        <f>SUMIFS(G454:G9015,K454:K9015,"0",B454:B9015,"1 2 3 5 3 12 31111 6 M59 30100 000132 0000R 00002 00613*")</f>
        <v>1380563</v>
      </c>
      <c r="H453" s="35">
        <f t="shared" si="6"/>
        <v>26190682.219999995</v>
      </c>
      <c r="I453" s="35"/>
      <c r="K453" t="s">
        <v>15</v>
      </c>
    </row>
    <row r="454" spans="2:11" ht="33" x14ac:dyDescent="0.2">
      <c r="B454" s="33" t="s">
        <v>698</v>
      </c>
      <c r="C454" s="33" t="s">
        <v>699</v>
      </c>
      <c r="D454" s="35">
        <f>SUMIFS(D455:D9015,K455:K9015,"0",B455:B9015,"1 2 3 5 3 12 31111 6 M59 30100 000132 0000R 00002 00613 011*")-SUMIFS(E455:E9015,K455:K9015,"0",B455:B9015,"1 2 3 5 3 12 31111 6 M59 30100 000132 0000R 00002 00613 011*")</f>
        <v>0</v>
      </c>
      <c r="E454"/>
      <c r="F454" s="35">
        <f>SUMIFS(F455:F9015,K455:K9015,"0",B455:B9015,"1 2 3 5 3 12 31111 6 M59 30100 000132 0000R 00002 00613 011*")</f>
        <v>1380563</v>
      </c>
      <c r="G454" s="35">
        <f>SUMIFS(G455:G9015,K455:K9015,"0",B455:B9015,"1 2 3 5 3 12 31111 6 M59 30100 000132 0000R 00002 00613 011*")</f>
        <v>1380563</v>
      </c>
      <c r="H454" s="35">
        <f t="shared" si="6"/>
        <v>0</v>
      </c>
      <c r="I454" s="35"/>
      <c r="K454" t="s">
        <v>15</v>
      </c>
    </row>
    <row r="455" spans="2:11" ht="33" x14ac:dyDescent="0.2">
      <c r="B455" s="33" t="s">
        <v>700</v>
      </c>
      <c r="C455" s="33" t="s">
        <v>658</v>
      </c>
      <c r="D455" s="35">
        <f>SUMIFS(D456:D9015,K456:K9015,"0",B456:B9015,"1 2 3 5 3 12 31111 6 M59 30100 000132 0000R 00002 00613 011 2210000*")-SUMIFS(E456:E9015,K456:K9015,"0",B456:B9015,"1 2 3 5 3 12 31111 6 M59 30100 000132 0000R 00002 00613 011 2210000*")</f>
        <v>0</v>
      </c>
      <c r="E455"/>
      <c r="F455" s="35">
        <f>SUMIFS(F456:F9015,K456:K9015,"0",B456:B9015,"1 2 3 5 3 12 31111 6 M59 30100 000132 0000R 00002 00613 011 2210000*")</f>
        <v>1380563</v>
      </c>
      <c r="G455" s="35">
        <f>SUMIFS(G456:G9015,K456:K9015,"0",B456:B9015,"1 2 3 5 3 12 31111 6 M59 30100 000132 0000R 00002 00613 011 2210000*")</f>
        <v>1380563</v>
      </c>
      <c r="H455" s="35">
        <f t="shared" si="6"/>
        <v>0</v>
      </c>
      <c r="I455" s="35"/>
      <c r="K455" t="s">
        <v>15</v>
      </c>
    </row>
    <row r="456" spans="2:11" ht="33" x14ac:dyDescent="0.2">
      <c r="B456" s="33" t="s">
        <v>701</v>
      </c>
      <c r="C456" s="33" t="s">
        <v>660</v>
      </c>
      <c r="D456" s="35">
        <f>SUMIFS(D457:D9015,K457:K9015,"0",B457:B9015,"1 2 3 5 3 12 31111 6 M59 30100 000132 0000R 00002 00613 011 2210000 2024*")-SUMIFS(E457:E9015,K457:K9015,"0",B457:B9015,"1 2 3 5 3 12 31111 6 M59 30100 000132 0000R 00002 00613 011 2210000 2024*")</f>
        <v>0</v>
      </c>
      <c r="E456"/>
      <c r="F456" s="35">
        <f>SUMIFS(F457:F9015,K457:K9015,"0",B457:B9015,"1 2 3 5 3 12 31111 6 M59 30100 000132 0000R 00002 00613 011 2210000 2024*")</f>
        <v>1380563</v>
      </c>
      <c r="G456" s="35">
        <f>SUMIFS(G457:G9015,K457:K9015,"0",B457:B9015,"1 2 3 5 3 12 31111 6 M59 30100 000132 0000R 00002 00613 011 2210000 2024*")</f>
        <v>1380563</v>
      </c>
      <c r="H456" s="35">
        <f t="shared" si="6"/>
        <v>0</v>
      </c>
      <c r="I456" s="35"/>
      <c r="K456" t="s">
        <v>15</v>
      </c>
    </row>
    <row r="457" spans="2:11" ht="41.25" x14ac:dyDescent="0.2">
      <c r="B457" s="33" t="s">
        <v>702</v>
      </c>
      <c r="C457" s="33" t="s">
        <v>662</v>
      </c>
      <c r="D457" s="35">
        <f>SUMIFS(D458:D9015,K458:K9015,"0",B458:B9015,"1 2 3 5 3 12 31111 6 M59 30100 000132 0000R 00002 00613 011 2210000 2024 CP1TM440*")-SUMIFS(E458:E9015,K458:K9015,"0",B458:B9015,"1 2 3 5 3 12 31111 6 M59 30100 000132 0000R 00002 00613 011 2210000 2024 CP1TM440*")</f>
        <v>0</v>
      </c>
      <c r="E457"/>
      <c r="F457" s="35">
        <f>SUMIFS(F458:F9015,K458:K9015,"0",B458:B9015,"1 2 3 5 3 12 31111 6 M59 30100 000132 0000R 00002 00613 011 2210000 2024 CP1TM440*")</f>
        <v>1380563</v>
      </c>
      <c r="G457" s="35">
        <f>SUMIFS(G458:G9015,K458:K9015,"0",B458:B9015,"1 2 3 5 3 12 31111 6 M59 30100 000132 0000R 00002 00613 011 2210000 2024 CP1TM440*")</f>
        <v>1380563</v>
      </c>
      <c r="H457" s="35">
        <f t="shared" si="6"/>
        <v>0</v>
      </c>
      <c r="I457" s="35"/>
      <c r="K457" t="s">
        <v>15</v>
      </c>
    </row>
    <row r="458" spans="2:11" ht="41.25" x14ac:dyDescent="0.2">
      <c r="B458" s="33" t="s">
        <v>703</v>
      </c>
      <c r="C458" s="33" t="s">
        <v>704</v>
      </c>
      <c r="D458" s="35">
        <f>SUMIFS(D459:D9015,K459:K9015,"0",B459:B9015,"1 2 3 5 3 12 31111 6 M59 30100 000132 0000R 00002 00613 011 2210000 2024 CP1TM440 006*")-SUMIFS(E459:E9015,K459:K9015,"0",B459:B9015,"1 2 3 5 3 12 31111 6 M59 30100 000132 0000R 00002 00613 011 2210000 2024 CP1TM440 006*")</f>
        <v>0</v>
      </c>
      <c r="E458"/>
      <c r="F458" s="35">
        <f>SUMIFS(F459:F9015,K459:K9015,"0",B459:B9015,"1 2 3 5 3 12 31111 6 M59 30100 000132 0000R 00002 00613 011 2210000 2024 CP1TM440 006*")</f>
        <v>1380563</v>
      </c>
      <c r="G458" s="35">
        <f>SUMIFS(G459:G9015,K459:K9015,"0",B459:B9015,"1 2 3 5 3 12 31111 6 M59 30100 000132 0000R 00002 00613 011 2210000 2024 CP1TM440 006*")</f>
        <v>1380563</v>
      </c>
      <c r="H458" s="35">
        <f t="shared" si="6"/>
        <v>0</v>
      </c>
      <c r="I458" s="35"/>
      <c r="K458" t="s">
        <v>15</v>
      </c>
    </row>
    <row r="459" spans="2:11" ht="41.25" x14ac:dyDescent="0.2">
      <c r="B459" s="31" t="s">
        <v>705</v>
      </c>
      <c r="C459" s="31" t="s">
        <v>706</v>
      </c>
      <c r="D459" s="34">
        <v>0</v>
      </c>
      <c r="E459" s="34"/>
      <c r="F459" s="34">
        <v>780000</v>
      </c>
      <c r="G459" s="34">
        <v>780000</v>
      </c>
      <c r="H459" s="34">
        <f t="shared" si="6"/>
        <v>0</v>
      </c>
      <c r="I459" s="34"/>
      <c r="K459" t="s">
        <v>38</v>
      </c>
    </row>
    <row r="460" spans="2:11" ht="41.25" x14ac:dyDescent="0.2">
      <c r="B460" s="31" t="s">
        <v>707</v>
      </c>
      <c r="C460" s="31" t="s">
        <v>708</v>
      </c>
      <c r="D460" s="34">
        <v>0</v>
      </c>
      <c r="E460" s="34"/>
      <c r="F460" s="34">
        <v>600563</v>
      </c>
      <c r="G460" s="34">
        <v>600563</v>
      </c>
      <c r="H460" s="34">
        <f t="shared" ref="H460:H523" si="7">D460 + F460 - G460</f>
        <v>0</v>
      </c>
      <c r="I460" s="34"/>
      <c r="K460" t="s">
        <v>38</v>
      </c>
    </row>
    <row r="461" spans="2:11" ht="33" x14ac:dyDescent="0.2">
      <c r="B461" s="33" t="s">
        <v>709</v>
      </c>
      <c r="C461" s="33" t="s">
        <v>656</v>
      </c>
      <c r="D461" s="35">
        <f>SUMIFS(D462:D9015,K462:K9015,"0",B462:B9015,"1 2 3 5 3 12 31111 6 M59 30100 000132 0000R 00002 00613 025*")-SUMIFS(E462:E9015,K462:K9015,"0",B462:B9015,"1 2 3 5 3 12 31111 6 M59 30100 000132 0000R 00002 00613 025*")</f>
        <v>0</v>
      </c>
      <c r="E461"/>
      <c r="F461" s="35">
        <f>SUMIFS(F462:F9015,K462:K9015,"0",B462:B9015,"1 2 3 5 3 12 31111 6 M59 30100 000132 0000R 00002 00613 025*")</f>
        <v>26190682.219999995</v>
      </c>
      <c r="G461" s="35">
        <f>SUMIFS(G462:G9015,K462:K9015,"0",B462:B9015,"1 2 3 5 3 12 31111 6 M59 30100 000132 0000R 00002 00613 025*")</f>
        <v>0</v>
      </c>
      <c r="H461" s="35">
        <f t="shared" si="7"/>
        <v>26190682.219999995</v>
      </c>
      <c r="I461" s="35"/>
      <c r="K461" t="s">
        <v>15</v>
      </c>
    </row>
    <row r="462" spans="2:11" ht="33" x14ac:dyDescent="0.2">
      <c r="B462" s="33" t="s">
        <v>710</v>
      </c>
      <c r="C462" s="33" t="s">
        <v>658</v>
      </c>
      <c r="D462" s="35">
        <f>SUMIFS(D463:D9015,K463:K9015,"0",B463:B9015,"1 2 3 5 3 12 31111 6 M59 30100 000132 0000R 00002 00613 025 2210000*")-SUMIFS(E463:E9015,K463:K9015,"0",B463:B9015,"1 2 3 5 3 12 31111 6 M59 30100 000132 0000R 00002 00613 025 2210000*")</f>
        <v>0</v>
      </c>
      <c r="E462"/>
      <c r="F462" s="35">
        <f>SUMIFS(F463:F9015,K463:K9015,"0",B463:B9015,"1 2 3 5 3 12 31111 6 M59 30100 000132 0000R 00002 00613 025 2210000*")</f>
        <v>26190682.219999995</v>
      </c>
      <c r="G462" s="35">
        <f>SUMIFS(G463:G9015,K463:K9015,"0",B463:B9015,"1 2 3 5 3 12 31111 6 M59 30100 000132 0000R 00002 00613 025 2210000*")</f>
        <v>0</v>
      </c>
      <c r="H462" s="35">
        <f t="shared" si="7"/>
        <v>26190682.219999995</v>
      </c>
      <c r="I462" s="35"/>
      <c r="K462" t="s">
        <v>15</v>
      </c>
    </row>
    <row r="463" spans="2:11" ht="33" x14ac:dyDescent="0.2">
      <c r="B463" s="33" t="s">
        <v>711</v>
      </c>
      <c r="C463" s="33" t="s">
        <v>660</v>
      </c>
      <c r="D463" s="35">
        <f>SUMIFS(D464:D9015,K464:K9015,"0",B464:B9015,"1 2 3 5 3 12 31111 6 M59 30100 000132 0000R 00002 00613 025 2210000 2024*")-SUMIFS(E464:E9015,K464:K9015,"0",B464:B9015,"1 2 3 5 3 12 31111 6 M59 30100 000132 0000R 00002 00613 025 2210000 2024*")</f>
        <v>0</v>
      </c>
      <c r="E463"/>
      <c r="F463" s="35">
        <f>SUMIFS(F464:F9015,K464:K9015,"0",B464:B9015,"1 2 3 5 3 12 31111 6 M59 30100 000132 0000R 00002 00613 025 2210000 2024*")</f>
        <v>26190682.219999995</v>
      </c>
      <c r="G463" s="35">
        <f>SUMIFS(G464:G9015,K464:K9015,"0",B464:B9015,"1 2 3 5 3 12 31111 6 M59 30100 000132 0000R 00002 00613 025 2210000 2024*")</f>
        <v>0</v>
      </c>
      <c r="H463" s="35">
        <f t="shared" si="7"/>
        <v>26190682.219999995</v>
      </c>
      <c r="I463" s="35"/>
      <c r="K463" t="s">
        <v>15</v>
      </c>
    </row>
    <row r="464" spans="2:11" ht="41.25" x14ac:dyDescent="0.2">
      <c r="B464" s="33" t="s">
        <v>712</v>
      </c>
      <c r="C464" s="33" t="s">
        <v>662</v>
      </c>
      <c r="D464" s="35">
        <f>SUMIFS(D465:D9015,K465:K9015,"0",B465:B9015,"1 2 3 5 3 12 31111 6 M59 30100 000132 0000R 00002 00613 025 2210000 2024 CP2OP405*")-SUMIFS(E465:E9015,K465:K9015,"0",B465:B9015,"1 2 3 5 3 12 31111 6 M59 30100 000132 0000R 00002 00613 025 2210000 2024 CP2OP405*")</f>
        <v>0</v>
      </c>
      <c r="E464"/>
      <c r="F464" s="35">
        <f>SUMIFS(F465:F9015,K465:K9015,"0",B465:B9015,"1 2 3 5 3 12 31111 6 M59 30100 000132 0000R 00002 00613 025 2210000 2024 CP2OP405*")</f>
        <v>26190682.219999995</v>
      </c>
      <c r="G464" s="35">
        <f>SUMIFS(G465:G9015,K465:K9015,"0",B465:B9015,"1 2 3 5 3 12 31111 6 M59 30100 000132 0000R 00002 00613 025 2210000 2024 CP2OP405*")</f>
        <v>0</v>
      </c>
      <c r="H464" s="35">
        <f t="shared" si="7"/>
        <v>26190682.219999995</v>
      </c>
      <c r="I464" s="35"/>
      <c r="K464" t="s">
        <v>15</v>
      </c>
    </row>
    <row r="465" spans="2:11" ht="41.25" x14ac:dyDescent="0.2">
      <c r="B465" s="33" t="s">
        <v>713</v>
      </c>
      <c r="C465" s="33" t="s">
        <v>671</v>
      </c>
      <c r="D465" s="35">
        <f>SUMIFS(D466:D9015,K466:K9015,"0",B466:B9015,"1 2 3 5 3 12 31111 6 M59 30100 000132 0000R 00002 00613 025 2210000 2024 CP2OP405 002*")-SUMIFS(E466:E9015,K466:K9015,"0",B466:B9015,"1 2 3 5 3 12 31111 6 M59 30100 000132 0000R 00002 00613 025 2210000 2024 CP2OP405 002*")</f>
        <v>0</v>
      </c>
      <c r="E465"/>
      <c r="F465" s="35">
        <f>SUMIFS(F466:F9015,K466:K9015,"0",B466:B9015,"1 2 3 5 3 12 31111 6 M59 30100 000132 0000R 00002 00613 025 2210000 2024 CP2OP405 002*")</f>
        <v>26190682.219999995</v>
      </c>
      <c r="G465" s="35">
        <f>SUMIFS(G466:G9015,K466:K9015,"0",B466:B9015,"1 2 3 5 3 12 31111 6 M59 30100 000132 0000R 00002 00613 025 2210000 2024 CP2OP405 002*")</f>
        <v>0</v>
      </c>
      <c r="H465" s="35">
        <f t="shared" si="7"/>
        <v>26190682.219999995</v>
      </c>
      <c r="I465" s="35"/>
      <c r="K465" t="s">
        <v>15</v>
      </c>
    </row>
    <row r="466" spans="2:11" ht="49.5" x14ac:dyDescent="0.2">
      <c r="B466" s="33" t="s">
        <v>714</v>
      </c>
      <c r="C466" s="33" t="s">
        <v>715</v>
      </c>
      <c r="D466" s="35">
        <f>SUMIFS(D467:D9015,K467:K9015,"0",B467:B9015,"1 2 3 5 3 12 31111 6 M59 30100 000132 0000R 00002 00613 025 2210000 2024 CP2OP405 002 0000001*")-SUMIFS(E467:E9015,K467:K9015,"0",B467:B9015,"1 2 3 5 3 12 31111 6 M59 30100 000132 0000R 00002 00613 025 2210000 2024 CP2OP405 002 0000001*")</f>
        <v>0</v>
      </c>
      <c r="E466"/>
      <c r="F466" s="35">
        <f>SUMIFS(F467:F9015,K467:K9015,"0",B467:B9015,"1 2 3 5 3 12 31111 6 M59 30100 000132 0000R 00002 00613 025 2210000 2024 CP2OP405 002 0000001*")</f>
        <v>4164852.02</v>
      </c>
      <c r="G466" s="35">
        <f>SUMIFS(G467:G9015,K467:K9015,"0",B467:B9015,"1 2 3 5 3 12 31111 6 M59 30100 000132 0000R 00002 00613 025 2210000 2024 CP2OP405 002 0000001*")</f>
        <v>0</v>
      </c>
      <c r="H466" s="35">
        <f t="shared" si="7"/>
        <v>4164852.02</v>
      </c>
      <c r="I466" s="35"/>
      <c r="K466" t="s">
        <v>15</v>
      </c>
    </row>
    <row r="467" spans="2:11" ht="41.25" x14ac:dyDescent="0.2">
      <c r="B467" s="31" t="s">
        <v>716</v>
      </c>
      <c r="C467" s="31" t="s">
        <v>717</v>
      </c>
      <c r="D467" s="34">
        <v>0</v>
      </c>
      <c r="E467" s="34"/>
      <c r="F467" s="34">
        <v>205600.02</v>
      </c>
      <c r="G467" s="34">
        <v>0</v>
      </c>
      <c r="H467" s="34">
        <f t="shared" si="7"/>
        <v>205600.02</v>
      </c>
      <c r="I467" s="34"/>
      <c r="K467" t="s">
        <v>38</v>
      </c>
    </row>
    <row r="468" spans="2:11" ht="41.25" x14ac:dyDescent="0.2">
      <c r="B468" s="31" t="s">
        <v>718</v>
      </c>
      <c r="C468" s="31" t="s">
        <v>719</v>
      </c>
      <c r="D468" s="34">
        <v>0</v>
      </c>
      <c r="E468" s="34"/>
      <c r="F468" s="34">
        <v>1296000</v>
      </c>
      <c r="G468" s="34">
        <v>0</v>
      </c>
      <c r="H468" s="34">
        <f t="shared" si="7"/>
        <v>1296000</v>
      </c>
      <c r="I468" s="34"/>
      <c r="K468" t="s">
        <v>38</v>
      </c>
    </row>
    <row r="469" spans="2:11" ht="41.25" x14ac:dyDescent="0.2">
      <c r="B469" s="31" t="s">
        <v>720</v>
      </c>
      <c r="C469" s="31" t="s">
        <v>721</v>
      </c>
      <c r="D469" s="34">
        <v>0</v>
      </c>
      <c r="E469" s="34"/>
      <c r="F469" s="34">
        <v>900000</v>
      </c>
      <c r="G469" s="34">
        <v>0</v>
      </c>
      <c r="H469" s="34">
        <f t="shared" si="7"/>
        <v>900000</v>
      </c>
      <c r="I469" s="34"/>
      <c r="K469" t="s">
        <v>38</v>
      </c>
    </row>
    <row r="470" spans="2:11" ht="41.25" x14ac:dyDescent="0.2">
      <c r="B470" s="31" t="s">
        <v>722</v>
      </c>
      <c r="C470" s="31" t="s">
        <v>723</v>
      </c>
      <c r="D470" s="34">
        <v>0</v>
      </c>
      <c r="E470" s="34"/>
      <c r="F470" s="34">
        <v>1200000</v>
      </c>
      <c r="G470" s="34">
        <v>0</v>
      </c>
      <c r="H470" s="34">
        <f t="shared" si="7"/>
        <v>1200000</v>
      </c>
      <c r="I470" s="34"/>
      <c r="K470" t="s">
        <v>38</v>
      </c>
    </row>
    <row r="471" spans="2:11" ht="41.25" x14ac:dyDescent="0.2">
      <c r="B471" s="31" t="s">
        <v>724</v>
      </c>
      <c r="C471" s="31" t="s">
        <v>725</v>
      </c>
      <c r="D471" s="34">
        <v>0</v>
      </c>
      <c r="E471" s="34"/>
      <c r="F471" s="34">
        <v>563252</v>
      </c>
      <c r="G471" s="34">
        <v>0</v>
      </c>
      <c r="H471" s="34">
        <f t="shared" si="7"/>
        <v>563252</v>
      </c>
      <c r="I471" s="34"/>
      <c r="K471" t="s">
        <v>38</v>
      </c>
    </row>
    <row r="472" spans="2:11" ht="49.5" x14ac:dyDescent="0.2">
      <c r="B472" s="33" t="s">
        <v>726</v>
      </c>
      <c r="C472" s="33" t="s">
        <v>727</v>
      </c>
      <c r="D472" s="35">
        <f>SUMIFS(D473:D9015,K473:K9015,"0",B473:B9015,"1 2 3 5 3 12 31111 6 M59 30100 000132 0000R 00002 00613 025 2210000 2024 CP2OP405 002 0000002*")-SUMIFS(E473:E9015,K473:K9015,"0",B473:B9015,"1 2 3 5 3 12 31111 6 M59 30100 000132 0000R 00002 00613 025 2210000 2024 CP2OP405 002 0000002*")</f>
        <v>0</v>
      </c>
      <c r="E472"/>
      <c r="F472" s="35">
        <f>SUMIFS(F473:F9015,K473:K9015,"0",B473:B9015,"1 2 3 5 3 12 31111 6 M59 30100 000132 0000R 00002 00613 025 2210000 2024 CP2OP405 002 0000002*")</f>
        <v>22025830.199999999</v>
      </c>
      <c r="G472" s="35">
        <f>SUMIFS(G473:G9015,K473:K9015,"0",B473:B9015,"1 2 3 5 3 12 31111 6 M59 30100 000132 0000R 00002 00613 025 2210000 2024 CP2OP405 002 0000002*")</f>
        <v>0</v>
      </c>
      <c r="H472" s="35">
        <f t="shared" si="7"/>
        <v>22025830.199999999</v>
      </c>
      <c r="I472" s="35"/>
      <c r="K472" t="s">
        <v>15</v>
      </c>
    </row>
    <row r="473" spans="2:11" ht="41.25" x14ac:dyDescent="0.2">
      <c r="B473" s="31" t="s">
        <v>728</v>
      </c>
      <c r="C473" s="31" t="s">
        <v>729</v>
      </c>
      <c r="D473" s="34">
        <v>0</v>
      </c>
      <c r="E473" s="34"/>
      <c r="F473" s="34">
        <v>900000</v>
      </c>
      <c r="G473" s="34">
        <v>0</v>
      </c>
      <c r="H473" s="34">
        <f t="shared" si="7"/>
        <v>900000</v>
      </c>
      <c r="I473" s="34"/>
      <c r="K473" t="s">
        <v>38</v>
      </c>
    </row>
    <row r="474" spans="2:11" ht="41.25" x14ac:dyDescent="0.2">
      <c r="B474" s="31" t="s">
        <v>730</v>
      </c>
      <c r="C474" s="31" t="s">
        <v>731</v>
      </c>
      <c r="D474" s="34">
        <v>0</v>
      </c>
      <c r="E474" s="34"/>
      <c r="F474" s="34">
        <v>1664276.36</v>
      </c>
      <c r="G474" s="34">
        <v>0</v>
      </c>
      <c r="H474" s="34">
        <f t="shared" si="7"/>
        <v>1664276.36</v>
      </c>
      <c r="I474" s="34"/>
      <c r="K474" t="s">
        <v>38</v>
      </c>
    </row>
    <row r="475" spans="2:11" ht="41.25" x14ac:dyDescent="0.2">
      <c r="B475" s="31" t="s">
        <v>732</v>
      </c>
      <c r="C475" s="31" t="s">
        <v>733</v>
      </c>
      <c r="D475" s="34">
        <v>0</v>
      </c>
      <c r="E475" s="34"/>
      <c r="F475" s="34">
        <v>1720000</v>
      </c>
      <c r="G475" s="34">
        <v>0</v>
      </c>
      <c r="H475" s="34">
        <f t="shared" si="7"/>
        <v>1720000</v>
      </c>
      <c r="I475" s="34"/>
      <c r="K475" t="s">
        <v>38</v>
      </c>
    </row>
    <row r="476" spans="2:11" ht="41.25" x14ac:dyDescent="0.2">
      <c r="B476" s="31" t="s">
        <v>734</v>
      </c>
      <c r="C476" s="31" t="s">
        <v>735</v>
      </c>
      <c r="D476" s="34">
        <v>0</v>
      </c>
      <c r="E476" s="34"/>
      <c r="F476" s="34">
        <v>1718293.25</v>
      </c>
      <c r="G476" s="34">
        <v>0</v>
      </c>
      <c r="H476" s="34">
        <f t="shared" si="7"/>
        <v>1718293.25</v>
      </c>
      <c r="I476" s="34"/>
      <c r="K476" t="s">
        <v>38</v>
      </c>
    </row>
    <row r="477" spans="2:11" ht="41.25" x14ac:dyDescent="0.2">
      <c r="B477" s="31" t="s">
        <v>736</v>
      </c>
      <c r="C477" s="31" t="s">
        <v>737</v>
      </c>
      <c r="D477" s="34">
        <v>0</v>
      </c>
      <c r="E477" s="34"/>
      <c r="F477" s="34">
        <v>1718293.25</v>
      </c>
      <c r="G477" s="34">
        <v>0</v>
      </c>
      <c r="H477" s="34">
        <f t="shared" si="7"/>
        <v>1718293.25</v>
      </c>
      <c r="I477" s="34"/>
      <c r="K477" t="s">
        <v>38</v>
      </c>
    </row>
    <row r="478" spans="2:11" ht="41.25" x14ac:dyDescent="0.2">
      <c r="B478" s="31" t="s">
        <v>738</v>
      </c>
      <c r="C478" s="31" t="s">
        <v>739</v>
      </c>
      <c r="D478" s="34">
        <v>0</v>
      </c>
      <c r="E478" s="34"/>
      <c r="F478" s="34">
        <v>1560259.16</v>
      </c>
      <c r="G478" s="34">
        <v>0</v>
      </c>
      <c r="H478" s="34">
        <f t="shared" si="7"/>
        <v>1560259.16</v>
      </c>
      <c r="I478" s="34"/>
      <c r="K478" t="s">
        <v>38</v>
      </c>
    </row>
    <row r="479" spans="2:11" ht="41.25" x14ac:dyDescent="0.2">
      <c r="B479" s="31" t="s">
        <v>740</v>
      </c>
      <c r="C479" s="31" t="s">
        <v>741</v>
      </c>
      <c r="D479" s="34">
        <v>0</v>
      </c>
      <c r="E479" s="34"/>
      <c r="F479" s="34">
        <v>1718293.25</v>
      </c>
      <c r="G479" s="34">
        <v>0</v>
      </c>
      <c r="H479" s="34">
        <f t="shared" si="7"/>
        <v>1718293.25</v>
      </c>
      <c r="I479" s="34"/>
      <c r="K479" t="s">
        <v>38</v>
      </c>
    </row>
    <row r="480" spans="2:11" ht="41.25" x14ac:dyDescent="0.2">
      <c r="B480" s="31" t="s">
        <v>742</v>
      </c>
      <c r="C480" s="31" t="s">
        <v>743</v>
      </c>
      <c r="D480" s="34">
        <v>0</v>
      </c>
      <c r="E480" s="34"/>
      <c r="F480" s="34">
        <v>1443750.09</v>
      </c>
      <c r="G480" s="34">
        <v>0</v>
      </c>
      <c r="H480" s="34">
        <f t="shared" si="7"/>
        <v>1443750.09</v>
      </c>
      <c r="I480" s="34"/>
      <c r="K480" t="s">
        <v>38</v>
      </c>
    </row>
    <row r="481" spans="2:11" ht="41.25" x14ac:dyDescent="0.2">
      <c r="B481" s="31" t="s">
        <v>744</v>
      </c>
      <c r="C481" s="31" t="s">
        <v>745</v>
      </c>
      <c r="D481" s="34">
        <v>0</v>
      </c>
      <c r="E481" s="34"/>
      <c r="F481" s="34">
        <v>1248207.4099999999</v>
      </c>
      <c r="G481" s="34">
        <v>0</v>
      </c>
      <c r="H481" s="34">
        <f t="shared" si="7"/>
        <v>1248207.4099999999</v>
      </c>
      <c r="I481" s="34"/>
      <c r="K481" t="s">
        <v>38</v>
      </c>
    </row>
    <row r="482" spans="2:11" ht="41.25" x14ac:dyDescent="0.2">
      <c r="B482" s="31" t="s">
        <v>746</v>
      </c>
      <c r="C482" s="31" t="s">
        <v>747</v>
      </c>
      <c r="D482" s="34">
        <v>0</v>
      </c>
      <c r="E482" s="34"/>
      <c r="F482" s="34">
        <v>1718293.25</v>
      </c>
      <c r="G482" s="34">
        <v>0</v>
      </c>
      <c r="H482" s="34">
        <f t="shared" si="7"/>
        <v>1718293.25</v>
      </c>
      <c r="I482" s="34"/>
      <c r="K482" t="s">
        <v>38</v>
      </c>
    </row>
    <row r="483" spans="2:11" ht="41.25" x14ac:dyDescent="0.2">
      <c r="B483" s="31" t="s">
        <v>748</v>
      </c>
      <c r="C483" s="31" t="s">
        <v>749</v>
      </c>
      <c r="D483" s="34">
        <v>0</v>
      </c>
      <c r="E483" s="34"/>
      <c r="F483" s="34">
        <v>1460259.16</v>
      </c>
      <c r="G483" s="34">
        <v>0</v>
      </c>
      <c r="H483" s="34">
        <f t="shared" si="7"/>
        <v>1460259.16</v>
      </c>
      <c r="I483" s="34"/>
      <c r="K483" t="s">
        <v>38</v>
      </c>
    </row>
    <row r="484" spans="2:11" ht="41.25" x14ac:dyDescent="0.2">
      <c r="B484" s="31" t="s">
        <v>750</v>
      </c>
      <c r="C484" s="31" t="s">
        <v>751</v>
      </c>
      <c r="D484" s="34">
        <v>0</v>
      </c>
      <c r="E484" s="34"/>
      <c r="F484" s="34">
        <v>1510551.42</v>
      </c>
      <c r="G484" s="34">
        <v>0</v>
      </c>
      <c r="H484" s="34">
        <f t="shared" si="7"/>
        <v>1510551.42</v>
      </c>
      <c r="I484" s="34"/>
      <c r="K484" t="s">
        <v>38</v>
      </c>
    </row>
    <row r="485" spans="2:11" ht="41.25" x14ac:dyDescent="0.2">
      <c r="B485" s="31" t="s">
        <v>752</v>
      </c>
      <c r="C485" s="31" t="s">
        <v>753</v>
      </c>
      <c r="D485" s="34">
        <v>0</v>
      </c>
      <c r="E485" s="34"/>
      <c r="F485" s="34">
        <v>416069.14</v>
      </c>
      <c r="G485" s="34">
        <v>0</v>
      </c>
      <c r="H485" s="34">
        <f t="shared" si="7"/>
        <v>416069.14</v>
      </c>
      <c r="I485" s="34"/>
      <c r="K485" t="s">
        <v>38</v>
      </c>
    </row>
    <row r="486" spans="2:11" ht="41.25" x14ac:dyDescent="0.2">
      <c r="B486" s="31" t="s">
        <v>754</v>
      </c>
      <c r="C486" s="31" t="s">
        <v>755</v>
      </c>
      <c r="D486" s="34">
        <v>0</v>
      </c>
      <c r="E486" s="34"/>
      <c r="F486" s="34">
        <v>609974.4</v>
      </c>
      <c r="G486" s="34">
        <v>0</v>
      </c>
      <c r="H486" s="34">
        <f t="shared" si="7"/>
        <v>609974.4</v>
      </c>
      <c r="I486" s="34"/>
      <c r="K486" t="s">
        <v>38</v>
      </c>
    </row>
    <row r="487" spans="2:11" ht="41.25" x14ac:dyDescent="0.2">
      <c r="B487" s="31" t="s">
        <v>756</v>
      </c>
      <c r="C487" s="31" t="s">
        <v>757</v>
      </c>
      <c r="D487" s="34">
        <v>0</v>
      </c>
      <c r="E487" s="34"/>
      <c r="F487" s="34">
        <v>579525.44999999995</v>
      </c>
      <c r="G487" s="34">
        <v>0</v>
      </c>
      <c r="H487" s="34">
        <f t="shared" si="7"/>
        <v>579525.44999999995</v>
      </c>
      <c r="I487" s="34"/>
      <c r="K487" t="s">
        <v>38</v>
      </c>
    </row>
    <row r="488" spans="2:11" ht="41.25" x14ac:dyDescent="0.2">
      <c r="B488" s="31" t="s">
        <v>758</v>
      </c>
      <c r="C488" s="31" t="s">
        <v>759</v>
      </c>
      <c r="D488" s="34">
        <v>0</v>
      </c>
      <c r="E488" s="34"/>
      <c r="F488" s="34">
        <v>579525.44999999995</v>
      </c>
      <c r="G488" s="34">
        <v>0</v>
      </c>
      <c r="H488" s="34">
        <f t="shared" si="7"/>
        <v>579525.44999999995</v>
      </c>
      <c r="I488" s="34"/>
      <c r="K488" t="s">
        <v>38</v>
      </c>
    </row>
    <row r="489" spans="2:11" ht="41.25" x14ac:dyDescent="0.2">
      <c r="B489" s="31" t="s">
        <v>760</v>
      </c>
      <c r="C489" s="31" t="s">
        <v>761</v>
      </c>
      <c r="D489" s="34">
        <v>0</v>
      </c>
      <c r="E489" s="34"/>
      <c r="F489" s="34">
        <v>1460259.16</v>
      </c>
      <c r="G489" s="34">
        <v>0</v>
      </c>
      <c r="H489" s="34">
        <f t="shared" si="7"/>
        <v>1460259.16</v>
      </c>
      <c r="I489" s="34"/>
      <c r="K489" t="s">
        <v>38</v>
      </c>
    </row>
    <row r="490" spans="2:11" ht="24.75" x14ac:dyDescent="0.2">
      <c r="B490" s="33" t="s">
        <v>762</v>
      </c>
      <c r="C490" s="33" t="s">
        <v>763</v>
      </c>
      <c r="D490" s="35">
        <f>SUMIFS(D491:D9015,K491:K9015,"0",B491:B9015,"1 2 3 5 4*")-SUMIFS(E491:E9015,K491:K9015,"0",B491:B9015,"1 2 3 5 4*")</f>
        <v>0</v>
      </c>
      <c r="E490"/>
      <c r="F490" s="35">
        <f>SUMIFS(F491:F9015,K491:K9015,"0",B491:B9015,"1 2 3 5 4*")</f>
        <v>7549999.9900000002</v>
      </c>
      <c r="G490" s="35">
        <f>SUMIFS(G491:G9015,K491:K9015,"0",B491:B9015,"1 2 3 5 4*")</f>
        <v>0</v>
      </c>
      <c r="H490" s="35">
        <f t="shared" si="7"/>
        <v>7549999.9900000002</v>
      </c>
      <c r="I490" s="35"/>
      <c r="K490" t="s">
        <v>15</v>
      </c>
    </row>
    <row r="491" spans="2:11" ht="12.75" x14ac:dyDescent="0.2">
      <c r="B491" s="33" t="s">
        <v>764</v>
      </c>
      <c r="C491" s="33" t="s">
        <v>26</v>
      </c>
      <c r="D491" s="35">
        <f>SUMIFS(D492:D9015,K492:K9015,"0",B492:B9015,"1 2 3 5 4 12*")-SUMIFS(E492:E9015,K492:K9015,"0",B492:B9015,"1 2 3 5 4 12*")</f>
        <v>0</v>
      </c>
      <c r="E491"/>
      <c r="F491" s="35">
        <f>SUMIFS(F492:F9015,K492:K9015,"0",B492:B9015,"1 2 3 5 4 12*")</f>
        <v>7549999.9900000002</v>
      </c>
      <c r="G491" s="35">
        <f>SUMIFS(G492:G9015,K492:K9015,"0",B492:B9015,"1 2 3 5 4 12*")</f>
        <v>0</v>
      </c>
      <c r="H491" s="35">
        <f t="shared" si="7"/>
        <v>7549999.9900000002</v>
      </c>
      <c r="I491" s="35"/>
      <c r="K491" t="s">
        <v>15</v>
      </c>
    </row>
    <row r="492" spans="2:11" ht="16.5" x14ac:dyDescent="0.2">
      <c r="B492" s="33" t="s">
        <v>765</v>
      </c>
      <c r="C492" s="33" t="s">
        <v>28</v>
      </c>
      <c r="D492" s="35">
        <f>SUMIFS(D493:D9015,K493:K9015,"0",B493:B9015,"1 2 3 5 4 12 31111*")-SUMIFS(E493:E9015,K493:K9015,"0",B493:B9015,"1 2 3 5 4 12 31111*")</f>
        <v>0</v>
      </c>
      <c r="E492"/>
      <c r="F492" s="35">
        <f>SUMIFS(F493:F9015,K493:K9015,"0",B493:B9015,"1 2 3 5 4 12 31111*")</f>
        <v>7549999.9900000002</v>
      </c>
      <c r="G492" s="35">
        <f>SUMIFS(G493:G9015,K493:K9015,"0",B493:B9015,"1 2 3 5 4 12 31111*")</f>
        <v>0</v>
      </c>
      <c r="H492" s="35">
        <f t="shared" si="7"/>
        <v>7549999.9900000002</v>
      </c>
      <c r="I492" s="35"/>
      <c r="K492" t="s">
        <v>15</v>
      </c>
    </row>
    <row r="493" spans="2:11" ht="12.75" x14ac:dyDescent="0.2">
      <c r="B493" s="33" t="s">
        <v>766</v>
      </c>
      <c r="C493" s="33" t="s">
        <v>30</v>
      </c>
      <c r="D493" s="35">
        <f>SUMIFS(D494:D9015,K494:K9015,"0",B494:B9015,"1 2 3 5 4 12 31111 6*")-SUMIFS(E494:E9015,K494:K9015,"0",B494:B9015,"1 2 3 5 4 12 31111 6*")</f>
        <v>0</v>
      </c>
      <c r="E493"/>
      <c r="F493" s="35">
        <f>SUMIFS(F494:F9015,K494:K9015,"0",B494:B9015,"1 2 3 5 4 12 31111 6*")</f>
        <v>7549999.9900000002</v>
      </c>
      <c r="G493" s="35">
        <f>SUMIFS(G494:G9015,K494:K9015,"0",B494:B9015,"1 2 3 5 4 12 31111 6*")</f>
        <v>0</v>
      </c>
      <c r="H493" s="35">
        <f t="shared" si="7"/>
        <v>7549999.9900000002</v>
      </c>
      <c r="I493" s="35"/>
      <c r="K493" t="s">
        <v>15</v>
      </c>
    </row>
    <row r="494" spans="2:11" ht="16.5" x14ac:dyDescent="0.2">
      <c r="B494" s="33" t="s">
        <v>767</v>
      </c>
      <c r="C494" s="33" t="s">
        <v>32</v>
      </c>
      <c r="D494" s="35">
        <f>SUMIFS(D495:D9015,K495:K9015,"0",B495:B9015,"1 2 3 5 4 12 31111 6 M59*")-SUMIFS(E495:E9015,K495:K9015,"0",B495:B9015,"1 2 3 5 4 12 31111 6 M59*")</f>
        <v>0</v>
      </c>
      <c r="E494"/>
      <c r="F494" s="35">
        <f>SUMIFS(F495:F9015,K495:K9015,"0",B495:B9015,"1 2 3 5 4 12 31111 6 M59*")</f>
        <v>7549999.9900000002</v>
      </c>
      <c r="G494" s="35">
        <f>SUMIFS(G495:G9015,K495:K9015,"0",B495:B9015,"1 2 3 5 4 12 31111 6 M59*")</f>
        <v>0</v>
      </c>
      <c r="H494" s="35">
        <f t="shared" si="7"/>
        <v>7549999.9900000002</v>
      </c>
      <c r="I494" s="35"/>
      <c r="K494" t="s">
        <v>15</v>
      </c>
    </row>
    <row r="495" spans="2:11" ht="16.5" x14ac:dyDescent="0.2">
      <c r="B495" s="33" t="s">
        <v>768</v>
      </c>
      <c r="C495" s="33" t="s">
        <v>646</v>
      </c>
      <c r="D495" s="35">
        <f>SUMIFS(D496:D9015,K496:K9015,"0",B496:B9015,"1 2 3 5 4 12 31111 6 M59 30100*")-SUMIFS(E496:E9015,K496:K9015,"0",B496:B9015,"1 2 3 5 4 12 31111 6 M59 30100*")</f>
        <v>0</v>
      </c>
      <c r="E495"/>
      <c r="F495" s="35">
        <f>SUMIFS(F496:F9015,K496:K9015,"0",B496:B9015,"1 2 3 5 4 12 31111 6 M59 30100*")</f>
        <v>7549999.9900000002</v>
      </c>
      <c r="G495" s="35">
        <f>SUMIFS(G496:G9015,K496:K9015,"0",B496:B9015,"1 2 3 5 4 12 31111 6 M59 30100*")</f>
        <v>0</v>
      </c>
      <c r="H495" s="35">
        <f t="shared" si="7"/>
        <v>7549999.9900000002</v>
      </c>
      <c r="I495" s="35"/>
      <c r="K495" t="s">
        <v>15</v>
      </c>
    </row>
    <row r="496" spans="2:11" ht="16.5" x14ac:dyDescent="0.2">
      <c r="B496" s="33" t="s">
        <v>769</v>
      </c>
      <c r="C496" s="33" t="s">
        <v>648</v>
      </c>
      <c r="D496" s="35">
        <f>SUMIFS(D497:D9015,K497:K9015,"0",B497:B9015,"1 2 3 5 4 12 31111 6 M59 30100 000132*")-SUMIFS(E497:E9015,K497:K9015,"0",B497:B9015,"1 2 3 5 4 12 31111 6 M59 30100 000132*")</f>
        <v>0</v>
      </c>
      <c r="E496"/>
      <c r="F496" s="35">
        <f>SUMIFS(F497:F9015,K497:K9015,"0",B497:B9015,"1 2 3 5 4 12 31111 6 M59 30100 000132*")</f>
        <v>7549999.9900000002</v>
      </c>
      <c r="G496" s="35">
        <f>SUMIFS(G497:G9015,K497:K9015,"0",B497:B9015,"1 2 3 5 4 12 31111 6 M59 30100 000132*")</f>
        <v>0</v>
      </c>
      <c r="H496" s="35">
        <f t="shared" si="7"/>
        <v>7549999.9900000002</v>
      </c>
      <c r="I496" s="35"/>
      <c r="K496" t="s">
        <v>15</v>
      </c>
    </row>
    <row r="497" spans="2:11" ht="24.75" x14ac:dyDescent="0.2">
      <c r="B497" s="33" t="s">
        <v>770</v>
      </c>
      <c r="C497" s="33" t="s">
        <v>650</v>
      </c>
      <c r="D497" s="35">
        <f>SUMIFS(D498:D9015,K498:K9015,"0",B498:B9015,"1 2 3 5 4 12 31111 6 M59 30100 000132 0000R*")-SUMIFS(E498:E9015,K498:K9015,"0",B498:B9015,"1 2 3 5 4 12 31111 6 M59 30100 000132 0000R*")</f>
        <v>0</v>
      </c>
      <c r="E497"/>
      <c r="F497" s="35">
        <f>SUMIFS(F498:F9015,K498:K9015,"0",B498:B9015,"1 2 3 5 4 12 31111 6 M59 30100 000132 0000R*")</f>
        <v>7549999.9900000002</v>
      </c>
      <c r="G497" s="35">
        <f>SUMIFS(G498:G9015,K498:K9015,"0",B498:B9015,"1 2 3 5 4 12 31111 6 M59 30100 000132 0000R*")</f>
        <v>0</v>
      </c>
      <c r="H497" s="35">
        <f t="shared" si="7"/>
        <v>7549999.9900000002</v>
      </c>
      <c r="I497" s="35"/>
      <c r="K497" t="s">
        <v>15</v>
      </c>
    </row>
    <row r="498" spans="2:11" ht="24.75" x14ac:dyDescent="0.2">
      <c r="B498" s="33" t="s">
        <v>771</v>
      </c>
      <c r="C498" s="33" t="s">
        <v>652</v>
      </c>
      <c r="D498" s="35">
        <f>SUMIFS(D499:D9015,K499:K9015,"0",B499:B9015,"1 2 3 5 4 12 31111 6 M59 30100 000132 0000R 00002*")-SUMIFS(E499:E9015,K499:K9015,"0",B499:B9015,"1 2 3 5 4 12 31111 6 M59 30100 000132 0000R 00002*")</f>
        <v>0</v>
      </c>
      <c r="E498"/>
      <c r="F498" s="35">
        <f>SUMIFS(F499:F9015,K499:K9015,"0",B499:B9015,"1 2 3 5 4 12 31111 6 M59 30100 000132 0000R 00002*")</f>
        <v>7549999.9900000002</v>
      </c>
      <c r="G498" s="35">
        <f>SUMIFS(G499:G9015,K499:K9015,"0",B499:B9015,"1 2 3 5 4 12 31111 6 M59 30100 000132 0000R 00002*")</f>
        <v>0</v>
      </c>
      <c r="H498" s="35">
        <f t="shared" si="7"/>
        <v>7549999.9900000002</v>
      </c>
      <c r="I498" s="35"/>
      <c r="K498" t="s">
        <v>15</v>
      </c>
    </row>
    <row r="499" spans="2:11" ht="24.75" x14ac:dyDescent="0.2">
      <c r="B499" s="33" t="s">
        <v>772</v>
      </c>
      <c r="C499" s="33" t="s">
        <v>773</v>
      </c>
      <c r="D499" s="35">
        <f>SUMIFS(D500:D9015,K500:K9015,"0",B500:B9015,"1 2 3 5 4 12 31111 6 M59 30100 000132 0000R 00002 00614*")-SUMIFS(E500:E9015,K500:K9015,"0",B500:B9015,"1 2 3 5 4 12 31111 6 M59 30100 000132 0000R 00002 00614*")</f>
        <v>0</v>
      </c>
      <c r="E499"/>
      <c r="F499" s="35">
        <f>SUMIFS(F500:F9015,K500:K9015,"0",B500:B9015,"1 2 3 5 4 12 31111 6 M59 30100 000132 0000R 00002 00614*")</f>
        <v>7549999.9900000002</v>
      </c>
      <c r="G499" s="35">
        <f>SUMIFS(G500:G9015,K500:K9015,"0",B500:B9015,"1 2 3 5 4 12 31111 6 M59 30100 000132 0000R 00002 00614*")</f>
        <v>0</v>
      </c>
      <c r="H499" s="35">
        <f t="shared" si="7"/>
        <v>7549999.9900000002</v>
      </c>
      <c r="I499" s="35"/>
      <c r="K499" t="s">
        <v>15</v>
      </c>
    </row>
    <row r="500" spans="2:11" ht="33" x14ac:dyDescent="0.2">
      <c r="B500" s="33" t="s">
        <v>774</v>
      </c>
      <c r="C500" s="33" t="s">
        <v>656</v>
      </c>
      <c r="D500" s="35">
        <f>SUMIFS(D501:D9015,K501:K9015,"0",B501:B9015,"1 2 3 5 4 12 31111 6 M59 30100 000132 0000R 00002 00614 025*")-SUMIFS(E501:E9015,K501:K9015,"0",B501:B9015,"1 2 3 5 4 12 31111 6 M59 30100 000132 0000R 00002 00614 025*")</f>
        <v>0</v>
      </c>
      <c r="E500"/>
      <c r="F500" s="35">
        <f>SUMIFS(F501:F9015,K501:K9015,"0",B501:B9015,"1 2 3 5 4 12 31111 6 M59 30100 000132 0000R 00002 00614 025*")</f>
        <v>7549999.9900000002</v>
      </c>
      <c r="G500" s="35">
        <f>SUMIFS(G501:G9015,K501:K9015,"0",B501:B9015,"1 2 3 5 4 12 31111 6 M59 30100 000132 0000R 00002 00614 025*")</f>
        <v>0</v>
      </c>
      <c r="H500" s="35">
        <f t="shared" si="7"/>
        <v>7549999.9900000002</v>
      </c>
      <c r="I500" s="35"/>
      <c r="K500" t="s">
        <v>15</v>
      </c>
    </row>
    <row r="501" spans="2:11" ht="33" x14ac:dyDescent="0.2">
      <c r="B501" s="33" t="s">
        <v>775</v>
      </c>
      <c r="C501" s="33" t="s">
        <v>658</v>
      </c>
      <c r="D501" s="35">
        <f>SUMIFS(D502:D9015,K502:K9015,"0",B502:B9015,"1 2 3 5 4 12 31111 6 M59 30100 000132 0000R 00002 00614 025 2210000*")-SUMIFS(E502:E9015,K502:K9015,"0",B502:B9015,"1 2 3 5 4 12 31111 6 M59 30100 000132 0000R 00002 00614 025 2210000*")</f>
        <v>0</v>
      </c>
      <c r="E501"/>
      <c r="F501" s="35">
        <f>SUMIFS(F502:F9015,K502:K9015,"0",B502:B9015,"1 2 3 5 4 12 31111 6 M59 30100 000132 0000R 00002 00614 025 2210000*")</f>
        <v>7549999.9900000002</v>
      </c>
      <c r="G501" s="35">
        <f>SUMIFS(G502:G9015,K502:K9015,"0",B502:B9015,"1 2 3 5 4 12 31111 6 M59 30100 000132 0000R 00002 00614 025 2210000*")</f>
        <v>0</v>
      </c>
      <c r="H501" s="35">
        <f t="shared" si="7"/>
        <v>7549999.9900000002</v>
      </c>
      <c r="I501" s="35"/>
      <c r="K501" t="s">
        <v>15</v>
      </c>
    </row>
    <row r="502" spans="2:11" ht="33" x14ac:dyDescent="0.2">
      <c r="B502" s="33" t="s">
        <v>776</v>
      </c>
      <c r="C502" s="33" t="s">
        <v>660</v>
      </c>
      <c r="D502" s="35">
        <f>SUMIFS(D503:D9015,K503:K9015,"0",B503:B9015,"1 2 3 5 4 12 31111 6 M59 30100 000132 0000R 00002 00614 025 2210000 2024*")-SUMIFS(E503:E9015,K503:K9015,"0",B503:B9015,"1 2 3 5 4 12 31111 6 M59 30100 000132 0000R 00002 00614 025 2210000 2024*")</f>
        <v>0</v>
      </c>
      <c r="E502"/>
      <c r="F502" s="35">
        <f>SUMIFS(F503:F9015,K503:K9015,"0",B503:B9015,"1 2 3 5 4 12 31111 6 M59 30100 000132 0000R 00002 00614 025 2210000 2024*")</f>
        <v>7549999.9900000002</v>
      </c>
      <c r="G502" s="35">
        <f>SUMIFS(G503:G9015,K503:K9015,"0",B503:B9015,"1 2 3 5 4 12 31111 6 M59 30100 000132 0000R 00002 00614 025 2210000 2024*")</f>
        <v>0</v>
      </c>
      <c r="H502" s="35">
        <f t="shared" si="7"/>
        <v>7549999.9900000002</v>
      </c>
      <c r="I502" s="35"/>
      <c r="K502" t="s">
        <v>15</v>
      </c>
    </row>
    <row r="503" spans="2:11" ht="41.25" x14ac:dyDescent="0.2">
      <c r="B503" s="33" t="s">
        <v>777</v>
      </c>
      <c r="C503" s="33" t="s">
        <v>662</v>
      </c>
      <c r="D503" s="35">
        <f>SUMIFS(D504:D9015,K504:K9015,"0",B504:B9015,"1 2 3 5 4 12 31111 6 M59 30100 000132 0000R 00002 00614 025 2210000 2024 CP2OP405*")-SUMIFS(E504:E9015,K504:K9015,"0",B504:B9015,"1 2 3 5 4 12 31111 6 M59 30100 000132 0000R 00002 00614 025 2210000 2024 CP2OP405*")</f>
        <v>0</v>
      </c>
      <c r="E503"/>
      <c r="F503" s="35">
        <f>SUMIFS(F504:F9015,K504:K9015,"0",B504:B9015,"1 2 3 5 4 12 31111 6 M59 30100 000132 0000R 00002 00614 025 2210000 2024 CP2OP405*")</f>
        <v>7549999.9900000002</v>
      </c>
      <c r="G503" s="35">
        <f>SUMIFS(G504:G9015,K504:K9015,"0",B504:B9015,"1 2 3 5 4 12 31111 6 M59 30100 000132 0000R 00002 00614 025 2210000 2024 CP2OP405*")</f>
        <v>0</v>
      </c>
      <c r="H503" s="35">
        <f t="shared" si="7"/>
        <v>7549999.9900000002</v>
      </c>
      <c r="I503" s="35"/>
      <c r="K503" t="s">
        <v>15</v>
      </c>
    </row>
    <row r="504" spans="2:11" ht="41.25" x14ac:dyDescent="0.2">
      <c r="B504" s="33" t="s">
        <v>778</v>
      </c>
      <c r="C504" s="33" t="s">
        <v>671</v>
      </c>
      <c r="D504" s="35">
        <f>SUMIFS(D505:D9015,K505:K9015,"0",B505:B9015,"1 2 3 5 4 12 31111 6 M59 30100 000132 0000R 00002 00614 025 2210000 2024 CP2OP405 002*")-SUMIFS(E505:E9015,K505:K9015,"0",B505:B9015,"1 2 3 5 4 12 31111 6 M59 30100 000132 0000R 00002 00614 025 2210000 2024 CP2OP405 002*")</f>
        <v>0</v>
      </c>
      <c r="E504"/>
      <c r="F504" s="35">
        <f>SUMIFS(F505:F9015,K505:K9015,"0",B505:B9015,"1 2 3 5 4 12 31111 6 M59 30100 000132 0000R 00002 00614 025 2210000 2024 CP2OP405 002*")</f>
        <v>7549999.9900000002</v>
      </c>
      <c r="G504" s="35">
        <f>SUMIFS(G505:G9015,K505:K9015,"0",B505:B9015,"1 2 3 5 4 12 31111 6 M59 30100 000132 0000R 00002 00614 025 2210000 2024 CP2OP405 002*")</f>
        <v>0</v>
      </c>
      <c r="H504" s="35">
        <f t="shared" si="7"/>
        <v>7549999.9900000002</v>
      </c>
      <c r="I504" s="35"/>
      <c r="K504" t="s">
        <v>15</v>
      </c>
    </row>
    <row r="505" spans="2:11" ht="49.5" x14ac:dyDescent="0.2">
      <c r="B505" s="33" t="s">
        <v>779</v>
      </c>
      <c r="C505" s="33" t="s">
        <v>780</v>
      </c>
      <c r="D505" s="35">
        <f>SUMIFS(D506:D9015,K506:K9015,"0",B506:B9015,"1 2 3 5 4 12 31111 6 M59 30100 000132 0000R 00002 00614 025 2210000 2024 CP2OP405 002 0000001*")-SUMIFS(E506:E9015,K506:K9015,"0",B506:B9015,"1 2 3 5 4 12 31111 6 M59 30100 000132 0000R 00002 00614 025 2210000 2024 CP2OP405 002 0000001*")</f>
        <v>0</v>
      </c>
      <c r="E505"/>
      <c r="F505" s="35">
        <f>SUMIFS(F506:F9015,K506:K9015,"0",B506:B9015,"1 2 3 5 4 12 31111 6 M59 30100 000132 0000R 00002 00614 025 2210000 2024 CP2OP405 002 0000001*")</f>
        <v>7549999.9900000002</v>
      </c>
      <c r="G505" s="35">
        <f>SUMIFS(G506:G9015,K506:K9015,"0",B506:B9015,"1 2 3 5 4 12 31111 6 M59 30100 000132 0000R 00002 00614 025 2210000 2024 CP2OP405 002 0000001*")</f>
        <v>0</v>
      </c>
      <c r="H505" s="35">
        <f t="shared" si="7"/>
        <v>7549999.9900000002</v>
      </c>
      <c r="I505" s="35"/>
      <c r="K505" t="s">
        <v>15</v>
      </c>
    </row>
    <row r="506" spans="2:11" ht="41.25" x14ac:dyDescent="0.2">
      <c r="B506" s="31" t="s">
        <v>781</v>
      </c>
      <c r="C506" s="31" t="s">
        <v>782</v>
      </c>
      <c r="D506" s="34">
        <v>0</v>
      </c>
      <c r="E506" s="34"/>
      <c r="F506" s="34">
        <v>1599999.99</v>
      </c>
      <c r="G506" s="34">
        <v>0</v>
      </c>
      <c r="H506" s="34">
        <f t="shared" si="7"/>
        <v>1599999.99</v>
      </c>
      <c r="I506" s="34"/>
      <c r="K506" t="s">
        <v>38</v>
      </c>
    </row>
    <row r="507" spans="2:11" ht="41.25" x14ac:dyDescent="0.2">
      <c r="B507" s="31" t="s">
        <v>783</v>
      </c>
      <c r="C507" s="31" t="s">
        <v>784</v>
      </c>
      <c r="D507" s="34">
        <v>0</v>
      </c>
      <c r="E507" s="34"/>
      <c r="F507" s="34">
        <v>1720000</v>
      </c>
      <c r="G507" s="34">
        <v>0</v>
      </c>
      <c r="H507" s="34">
        <f t="shared" si="7"/>
        <v>1720000</v>
      </c>
      <c r="I507" s="34"/>
      <c r="K507" t="s">
        <v>38</v>
      </c>
    </row>
    <row r="508" spans="2:11" ht="41.25" x14ac:dyDescent="0.2">
      <c r="B508" s="31" t="s">
        <v>785</v>
      </c>
      <c r="C508" s="31" t="s">
        <v>786</v>
      </c>
      <c r="D508" s="34">
        <v>0</v>
      </c>
      <c r="E508" s="34"/>
      <c r="F508" s="34">
        <v>1680000</v>
      </c>
      <c r="G508" s="34">
        <v>0</v>
      </c>
      <c r="H508" s="34">
        <f t="shared" si="7"/>
        <v>1680000</v>
      </c>
      <c r="I508" s="34"/>
      <c r="K508" t="s">
        <v>38</v>
      </c>
    </row>
    <row r="509" spans="2:11" ht="41.25" x14ac:dyDescent="0.2">
      <c r="B509" s="31" t="s">
        <v>787</v>
      </c>
      <c r="C509" s="31" t="s">
        <v>788</v>
      </c>
      <c r="D509" s="34">
        <v>0</v>
      </c>
      <c r="E509" s="34"/>
      <c r="F509" s="34">
        <v>1720000</v>
      </c>
      <c r="G509" s="34">
        <v>0</v>
      </c>
      <c r="H509" s="34">
        <f t="shared" si="7"/>
        <v>1720000</v>
      </c>
      <c r="I509" s="34"/>
      <c r="K509" t="s">
        <v>38</v>
      </c>
    </row>
    <row r="510" spans="2:11" ht="41.25" x14ac:dyDescent="0.2">
      <c r="B510" s="31" t="s">
        <v>789</v>
      </c>
      <c r="C510" s="31" t="s">
        <v>790</v>
      </c>
      <c r="D510" s="34">
        <v>0</v>
      </c>
      <c r="E510" s="34"/>
      <c r="F510" s="34">
        <v>830000</v>
      </c>
      <c r="G510" s="34">
        <v>0</v>
      </c>
      <c r="H510" s="34">
        <f t="shared" si="7"/>
        <v>830000</v>
      </c>
      <c r="I510" s="34"/>
      <c r="K510" t="s">
        <v>38</v>
      </c>
    </row>
    <row r="511" spans="2:11" ht="16.5" x14ac:dyDescent="0.2">
      <c r="B511" s="33" t="s">
        <v>791</v>
      </c>
      <c r="C511" s="33" t="s">
        <v>792</v>
      </c>
      <c r="D511" s="35">
        <f>SUMIFS(D512:D9015,K512:K9015,"0",B512:B9015,"1 2 3 5 5*")-SUMIFS(E512:E9015,K512:K9015,"0",B512:B9015,"1 2 3 5 5*")</f>
        <v>0</v>
      </c>
      <c r="E511"/>
      <c r="F511" s="35">
        <f>SUMIFS(F512:F9015,K512:K9015,"0",B512:B9015,"1 2 3 5 5*")</f>
        <v>8003685.1800000006</v>
      </c>
      <c r="G511" s="35">
        <f>SUMIFS(G512:G9015,K512:K9015,"0",B512:B9015,"1 2 3 5 5*")</f>
        <v>0</v>
      </c>
      <c r="H511" s="35">
        <f t="shared" si="7"/>
        <v>8003685.1800000006</v>
      </c>
      <c r="I511" s="35"/>
      <c r="K511" t="s">
        <v>15</v>
      </c>
    </row>
    <row r="512" spans="2:11" ht="12.75" x14ac:dyDescent="0.2">
      <c r="B512" s="33" t="s">
        <v>793</v>
      </c>
      <c r="C512" s="33" t="s">
        <v>26</v>
      </c>
      <c r="D512" s="35">
        <f>SUMIFS(D513:D9015,K513:K9015,"0",B513:B9015,"1 2 3 5 5 12*")-SUMIFS(E513:E9015,K513:K9015,"0",B513:B9015,"1 2 3 5 5 12*")</f>
        <v>0</v>
      </c>
      <c r="E512"/>
      <c r="F512" s="35">
        <f>SUMIFS(F513:F9015,K513:K9015,"0",B513:B9015,"1 2 3 5 5 12*")</f>
        <v>8003685.1800000006</v>
      </c>
      <c r="G512" s="35">
        <f>SUMIFS(G513:G9015,K513:K9015,"0",B513:B9015,"1 2 3 5 5 12*")</f>
        <v>0</v>
      </c>
      <c r="H512" s="35">
        <f t="shared" si="7"/>
        <v>8003685.1800000006</v>
      </c>
      <c r="I512" s="35"/>
      <c r="K512" t="s">
        <v>15</v>
      </c>
    </row>
    <row r="513" spans="2:11" ht="16.5" x14ac:dyDescent="0.2">
      <c r="B513" s="33" t="s">
        <v>794</v>
      </c>
      <c r="C513" s="33" t="s">
        <v>28</v>
      </c>
      <c r="D513" s="35">
        <f>SUMIFS(D514:D9015,K514:K9015,"0",B514:B9015,"1 2 3 5 5 12 31111*")-SUMIFS(E514:E9015,K514:K9015,"0",B514:B9015,"1 2 3 5 5 12 31111*")</f>
        <v>0</v>
      </c>
      <c r="E513"/>
      <c r="F513" s="35">
        <f>SUMIFS(F514:F9015,K514:K9015,"0",B514:B9015,"1 2 3 5 5 12 31111*")</f>
        <v>8003685.1800000006</v>
      </c>
      <c r="G513" s="35">
        <f>SUMIFS(G514:G9015,K514:K9015,"0",B514:B9015,"1 2 3 5 5 12 31111*")</f>
        <v>0</v>
      </c>
      <c r="H513" s="35">
        <f t="shared" si="7"/>
        <v>8003685.1800000006</v>
      </c>
      <c r="I513" s="35"/>
      <c r="K513" t="s">
        <v>15</v>
      </c>
    </row>
    <row r="514" spans="2:11" ht="12.75" x14ac:dyDescent="0.2">
      <c r="B514" s="33" t="s">
        <v>795</v>
      </c>
      <c r="C514" s="33" t="s">
        <v>30</v>
      </c>
      <c r="D514" s="35">
        <f>SUMIFS(D515:D9015,K515:K9015,"0",B515:B9015,"1 2 3 5 5 12 31111 6*")-SUMIFS(E515:E9015,K515:K9015,"0",B515:B9015,"1 2 3 5 5 12 31111 6*")</f>
        <v>0</v>
      </c>
      <c r="E514"/>
      <c r="F514" s="35">
        <f>SUMIFS(F515:F9015,K515:K9015,"0",B515:B9015,"1 2 3 5 5 12 31111 6*")</f>
        <v>8003685.1800000006</v>
      </c>
      <c r="G514" s="35">
        <f>SUMIFS(G515:G9015,K515:K9015,"0",B515:B9015,"1 2 3 5 5 12 31111 6*")</f>
        <v>0</v>
      </c>
      <c r="H514" s="35">
        <f t="shared" si="7"/>
        <v>8003685.1800000006</v>
      </c>
      <c r="I514" s="35"/>
      <c r="K514" t="s">
        <v>15</v>
      </c>
    </row>
    <row r="515" spans="2:11" ht="16.5" x14ac:dyDescent="0.2">
      <c r="B515" s="33" t="s">
        <v>796</v>
      </c>
      <c r="C515" s="33" t="s">
        <v>32</v>
      </c>
      <c r="D515" s="35">
        <f>SUMIFS(D516:D9015,K516:K9015,"0",B516:B9015,"1 2 3 5 5 12 31111 6 M59*")-SUMIFS(E516:E9015,K516:K9015,"0",B516:B9015,"1 2 3 5 5 12 31111 6 M59*")</f>
        <v>0</v>
      </c>
      <c r="E515"/>
      <c r="F515" s="35">
        <f>SUMIFS(F516:F9015,K516:K9015,"0",B516:B9015,"1 2 3 5 5 12 31111 6 M59*")</f>
        <v>8003685.1800000006</v>
      </c>
      <c r="G515" s="35">
        <f>SUMIFS(G516:G9015,K516:K9015,"0",B516:B9015,"1 2 3 5 5 12 31111 6 M59*")</f>
        <v>0</v>
      </c>
      <c r="H515" s="35">
        <f t="shared" si="7"/>
        <v>8003685.1800000006</v>
      </c>
      <c r="I515" s="35"/>
      <c r="K515" t="s">
        <v>15</v>
      </c>
    </row>
    <row r="516" spans="2:11" ht="16.5" x14ac:dyDescent="0.2">
      <c r="B516" s="33" t="s">
        <v>797</v>
      </c>
      <c r="C516" s="33" t="s">
        <v>646</v>
      </c>
      <c r="D516" s="35">
        <f>SUMIFS(D517:D9015,K517:K9015,"0",B517:B9015,"1 2 3 5 5 12 31111 6 M59 30100*")-SUMIFS(E517:E9015,K517:K9015,"0",B517:B9015,"1 2 3 5 5 12 31111 6 M59 30100*")</f>
        <v>0</v>
      </c>
      <c r="E516"/>
      <c r="F516" s="35">
        <f>SUMIFS(F517:F9015,K517:K9015,"0",B517:B9015,"1 2 3 5 5 12 31111 6 M59 30100*")</f>
        <v>8003685.1800000006</v>
      </c>
      <c r="G516" s="35">
        <f>SUMIFS(G517:G9015,K517:K9015,"0",B517:B9015,"1 2 3 5 5 12 31111 6 M59 30100*")</f>
        <v>0</v>
      </c>
      <c r="H516" s="35">
        <f t="shared" si="7"/>
        <v>8003685.1800000006</v>
      </c>
      <c r="I516" s="35"/>
      <c r="K516" t="s">
        <v>15</v>
      </c>
    </row>
    <row r="517" spans="2:11" ht="16.5" x14ac:dyDescent="0.2">
      <c r="B517" s="33" t="s">
        <v>798</v>
      </c>
      <c r="C517" s="33" t="s">
        <v>648</v>
      </c>
      <c r="D517" s="35">
        <f>SUMIFS(D518:D9015,K518:K9015,"0",B518:B9015,"1 2 3 5 5 12 31111 6 M59 30100 000132*")-SUMIFS(E518:E9015,K518:K9015,"0",B518:B9015,"1 2 3 5 5 12 31111 6 M59 30100 000132*")</f>
        <v>0</v>
      </c>
      <c r="E517"/>
      <c r="F517" s="35">
        <f>SUMIFS(F518:F9015,K518:K9015,"0",B518:B9015,"1 2 3 5 5 12 31111 6 M59 30100 000132*")</f>
        <v>8003685.1800000006</v>
      </c>
      <c r="G517" s="35">
        <f>SUMIFS(G518:G9015,K518:K9015,"0",B518:B9015,"1 2 3 5 5 12 31111 6 M59 30100 000132*")</f>
        <v>0</v>
      </c>
      <c r="H517" s="35">
        <f t="shared" si="7"/>
        <v>8003685.1800000006</v>
      </c>
      <c r="I517" s="35"/>
      <c r="K517" t="s">
        <v>15</v>
      </c>
    </row>
    <row r="518" spans="2:11" ht="24.75" x14ac:dyDescent="0.2">
      <c r="B518" s="33" t="s">
        <v>799</v>
      </c>
      <c r="C518" s="33" t="s">
        <v>650</v>
      </c>
      <c r="D518" s="35">
        <f>SUMIFS(D519:D9015,K519:K9015,"0",B519:B9015,"1 2 3 5 5 12 31111 6 M59 30100 000132 0000R*")-SUMIFS(E519:E9015,K519:K9015,"0",B519:B9015,"1 2 3 5 5 12 31111 6 M59 30100 000132 0000R*")</f>
        <v>0</v>
      </c>
      <c r="E518"/>
      <c r="F518" s="35">
        <f>SUMIFS(F519:F9015,K519:K9015,"0",B519:B9015,"1 2 3 5 5 12 31111 6 M59 30100 000132 0000R*")</f>
        <v>8003685.1800000006</v>
      </c>
      <c r="G518" s="35">
        <f>SUMIFS(G519:G9015,K519:K9015,"0",B519:B9015,"1 2 3 5 5 12 31111 6 M59 30100 000132 0000R*")</f>
        <v>0</v>
      </c>
      <c r="H518" s="35">
        <f t="shared" si="7"/>
        <v>8003685.1800000006</v>
      </c>
      <c r="I518" s="35"/>
      <c r="K518" t="s">
        <v>15</v>
      </c>
    </row>
    <row r="519" spans="2:11" ht="24.75" x14ac:dyDescent="0.2">
      <c r="B519" s="33" t="s">
        <v>800</v>
      </c>
      <c r="C519" s="33" t="s">
        <v>652</v>
      </c>
      <c r="D519" s="35">
        <f>SUMIFS(D520:D9015,K520:K9015,"0",B520:B9015,"1 2 3 5 5 12 31111 6 M59 30100 000132 0000R 00002*")-SUMIFS(E520:E9015,K520:K9015,"0",B520:B9015,"1 2 3 5 5 12 31111 6 M59 30100 000132 0000R 00002*")</f>
        <v>0</v>
      </c>
      <c r="E519"/>
      <c r="F519" s="35">
        <f>SUMIFS(F520:F9015,K520:K9015,"0",B520:B9015,"1 2 3 5 5 12 31111 6 M59 30100 000132 0000R 00002*")</f>
        <v>8003685.1800000006</v>
      </c>
      <c r="G519" s="35">
        <f>SUMIFS(G520:G9015,K520:K9015,"0",B520:B9015,"1 2 3 5 5 12 31111 6 M59 30100 000132 0000R 00002*")</f>
        <v>0</v>
      </c>
      <c r="H519" s="35">
        <f t="shared" si="7"/>
        <v>8003685.1800000006</v>
      </c>
      <c r="I519" s="35"/>
      <c r="K519" t="s">
        <v>15</v>
      </c>
    </row>
    <row r="520" spans="2:11" ht="24.75" x14ac:dyDescent="0.2">
      <c r="B520" s="33" t="s">
        <v>801</v>
      </c>
      <c r="C520" s="33" t="s">
        <v>802</v>
      </c>
      <c r="D520" s="35">
        <f>SUMIFS(D521:D9015,K521:K9015,"0",B521:B9015,"1 2 3 5 5 12 31111 6 M59 30100 000132 0000R 00002 00615*")-SUMIFS(E521:E9015,K521:K9015,"0",B521:B9015,"1 2 3 5 5 12 31111 6 M59 30100 000132 0000R 00002 00615*")</f>
        <v>0</v>
      </c>
      <c r="E520"/>
      <c r="F520" s="35">
        <f>SUMIFS(F521:F9015,K521:K9015,"0",B521:B9015,"1 2 3 5 5 12 31111 6 M59 30100 000132 0000R 00002 00615*")</f>
        <v>8003685.1800000006</v>
      </c>
      <c r="G520" s="35">
        <f>SUMIFS(G521:G9015,K521:K9015,"0",B521:B9015,"1 2 3 5 5 12 31111 6 M59 30100 000132 0000R 00002 00615*")</f>
        <v>0</v>
      </c>
      <c r="H520" s="35">
        <f t="shared" si="7"/>
        <v>8003685.1800000006</v>
      </c>
      <c r="I520" s="35"/>
      <c r="K520" t="s">
        <v>15</v>
      </c>
    </row>
    <row r="521" spans="2:11" ht="33" x14ac:dyDescent="0.2">
      <c r="B521" s="33" t="s">
        <v>803</v>
      </c>
      <c r="C521" s="33" t="s">
        <v>656</v>
      </c>
      <c r="D521" s="35">
        <f>SUMIFS(D522:D9015,K522:K9015,"0",B522:B9015,"1 2 3 5 5 12 31111 6 M59 30100 000132 0000R 00002 00615 025*")-SUMIFS(E522:E9015,K522:K9015,"0",B522:B9015,"1 2 3 5 5 12 31111 6 M59 30100 000132 0000R 00002 00615 025*")</f>
        <v>0</v>
      </c>
      <c r="E521"/>
      <c r="F521" s="35">
        <f>SUMIFS(F522:F9015,K522:K9015,"0",B522:B9015,"1 2 3 5 5 12 31111 6 M59 30100 000132 0000R 00002 00615 025*")</f>
        <v>8003685.1800000006</v>
      </c>
      <c r="G521" s="35">
        <f>SUMIFS(G522:G9015,K522:K9015,"0",B522:B9015,"1 2 3 5 5 12 31111 6 M59 30100 000132 0000R 00002 00615 025*")</f>
        <v>0</v>
      </c>
      <c r="H521" s="35">
        <f t="shared" si="7"/>
        <v>8003685.1800000006</v>
      </c>
      <c r="I521" s="35"/>
      <c r="K521" t="s">
        <v>15</v>
      </c>
    </row>
    <row r="522" spans="2:11" ht="33" x14ac:dyDescent="0.2">
      <c r="B522" s="33" t="s">
        <v>804</v>
      </c>
      <c r="C522" s="33" t="s">
        <v>658</v>
      </c>
      <c r="D522" s="35">
        <f>SUMIFS(D523:D9015,K523:K9015,"0",B523:B9015,"1 2 3 5 5 12 31111 6 M59 30100 000132 0000R 00002 00615 025 2210000*")-SUMIFS(E523:E9015,K523:K9015,"0",B523:B9015,"1 2 3 5 5 12 31111 6 M59 30100 000132 0000R 00002 00615 025 2210000*")</f>
        <v>0</v>
      </c>
      <c r="E522"/>
      <c r="F522" s="35">
        <f>SUMIFS(F523:F9015,K523:K9015,"0",B523:B9015,"1 2 3 5 5 12 31111 6 M59 30100 000132 0000R 00002 00615 025 2210000*")</f>
        <v>8003685.1800000006</v>
      </c>
      <c r="G522" s="35">
        <f>SUMIFS(G523:G9015,K523:K9015,"0",B523:B9015,"1 2 3 5 5 12 31111 6 M59 30100 000132 0000R 00002 00615 025 2210000*")</f>
        <v>0</v>
      </c>
      <c r="H522" s="35">
        <f t="shared" si="7"/>
        <v>8003685.1800000006</v>
      </c>
      <c r="I522" s="35"/>
      <c r="K522" t="s">
        <v>15</v>
      </c>
    </row>
    <row r="523" spans="2:11" ht="33" x14ac:dyDescent="0.2">
      <c r="B523" s="33" t="s">
        <v>805</v>
      </c>
      <c r="C523" s="33" t="s">
        <v>660</v>
      </c>
      <c r="D523" s="35">
        <f>SUMIFS(D524:D9015,K524:K9015,"0",B524:B9015,"1 2 3 5 5 12 31111 6 M59 30100 000132 0000R 00002 00615 025 2210000 2024*")-SUMIFS(E524:E9015,K524:K9015,"0",B524:B9015,"1 2 3 5 5 12 31111 6 M59 30100 000132 0000R 00002 00615 025 2210000 2024*")</f>
        <v>0</v>
      </c>
      <c r="E523"/>
      <c r="F523" s="35">
        <f>SUMIFS(F524:F9015,K524:K9015,"0",B524:B9015,"1 2 3 5 5 12 31111 6 M59 30100 000132 0000R 00002 00615 025 2210000 2024*")</f>
        <v>8003685.1800000006</v>
      </c>
      <c r="G523" s="35">
        <f>SUMIFS(G524:G9015,K524:K9015,"0",B524:B9015,"1 2 3 5 5 12 31111 6 M59 30100 000132 0000R 00002 00615 025 2210000 2024*")</f>
        <v>0</v>
      </c>
      <c r="H523" s="35">
        <f t="shared" si="7"/>
        <v>8003685.1800000006</v>
      </c>
      <c r="I523" s="35"/>
      <c r="K523" t="s">
        <v>15</v>
      </c>
    </row>
    <row r="524" spans="2:11" ht="41.25" x14ac:dyDescent="0.2">
      <c r="B524" s="33" t="s">
        <v>806</v>
      </c>
      <c r="C524" s="33" t="s">
        <v>662</v>
      </c>
      <c r="D524" s="35">
        <f>SUMIFS(D525:D9015,K525:K9015,"0",B525:B9015,"1 2 3 5 5 12 31111 6 M59 30100 000132 0000R 00002 00615 025 2210000 2024 CP2OP405*")-SUMIFS(E525:E9015,K525:K9015,"0",B525:B9015,"1 2 3 5 5 12 31111 6 M59 30100 000132 0000R 00002 00615 025 2210000 2024 CP2OP405*")</f>
        <v>0</v>
      </c>
      <c r="E524"/>
      <c r="F524" s="35">
        <f>SUMIFS(F525:F9015,K525:K9015,"0",B525:B9015,"1 2 3 5 5 12 31111 6 M59 30100 000132 0000R 00002 00615 025 2210000 2024 CP2OP405*")</f>
        <v>8003685.1800000006</v>
      </c>
      <c r="G524" s="35">
        <f>SUMIFS(G525:G9015,K525:K9015,"0",B525:B9015,"1 2 3 5 5 12 31111 6 M59 30100 000132 0000R 00002 00615 025 2210000 2024 CP2OP405*")</f>
        <v>0</v>
      </c>
      <c r="H524" s="35">
        <f t="shared" ref="H524:H587" si="8">D524 + F524 - G524</f>
        <v>8003685.1800000006</v>
      </c>
      <c r="I524" s="35"/>
      <c r="K524" t="s">
        <v>15</v>
      </c>
    </row>
    <row r="525" spans="2:11" ht="41.25" x14ac:dyDescent="0.2">
      <c r="B525" s="33" t="s">
        <v>807</v>
      </c>
      <c r="C525" s="33" t="s">
        <v>671</v>
      </c>
      <c r="D525" s="35">
        <f>SUMIFS(D526:D9015,K526:K9015,"0",B526:B9015,"1 2 3 5 5 12 31111 6 M59 30100 000132 0000R 00002 00615 025 2210000 2024 CP2OP405 002*")-SUMIFS(E526:E9015,K526:K9015,"0",B526:B9015,"1 2 3 5 5 12 31111 6 M59 30100 000132 0000R 00002 00615 025 2210000 2024 CP2OP405 002*")</f>
        <v>0</v>
      </c>
      <c r="E525"/>
      <c r="F525" s="35">
        <f>SUMIFS(F526:F9015,K526:K9015,"0",B526:B9015,"1 2 3 5 5 12 31111 6 M59 30100 000132 0000R 00002 00615 025 2210000 2024 CP2OP405 002*")</f>
        <v>8003685.1800000006</v>
      </c>
      <c r="G525" s="35">
        <f>SUMIFS(G526:G9015,K526:K9015,"0",B526:B9015,"1 2 3 5 5 12 31111 6 M59 30100 000132 0000R 00002 00615 025 2210000 2024 CP2OP405 002*")</f>
        <v>0</v>
      </c>
      <c r="H525" s="35">
        <f t="shared" si="8"/>
        <v>8003685.1800000006</v>
      </c>
      <c r="I525" s="35"/>
      <c r="K525" t="s">
        <v>15</v>
      </c>
    </row>
    <row r="526" spans="2:11" ht="49.5" x14ac:dyDescent="0.2">
      <c r="B526" s="33" t="s">
        <v>808</v>
      </c>
      <c r="C526" s="33" t="s">
        <v>809</v>
      </c>
      <c r="D526" s="35">
        <f>SUMIFS(D527:D9015,K527:K9015,"0",B527:B9015,"1 2 3 5 5 12 31111 6 M59 30100 000132 0000R 00002 00615 025 2210000 2024 CP2OP405 002 0000001*")-SUMIFS(E527:E9015,K527:K9015,"0",B527:B9015,"1 2 3 5 5 12 31111 6 M59 30100 000132 0000R 00002 00615 025 2210000 2024 CP2OP405 002 0000001*")</f>
        <v>0</v>
      </c>
      <c r="E526"/>
      <c r="F526" s="35">
        <f>SUMIFS(F527:F9015,K527:K9015,"0",B527:B9015,"1 2 3 5 5 12 31111 6 M59 30100 000132 0000R 00002 00615 025 2210000 2024 CP2OP405 002 0000001*")</f>
        <v>5930392.4699999997</v>
      </c>
      <c r="G526" s="35">
        <f>SUMIFS(G527:G9015,K527:K9015,"0",B527:B9015,"1 2 3 5 5 12 31111 6 M59 30100 000132 0000R 00002 00615 025 2210000 2024 CP2OP405 002 0000001*")</f>
        <v>0</v>
      </c>
      <c r="H526" s="35">
        <f t="shared" si="8"/>
        <v>5930392.4699999997</v>
      </c>
      <c r="I526" s="35"/>
      <c r="K526" t="s">
        <v>15</v>
      </c>
    </row>
    <row r="527" spans="2:11" ht="41.25" x14ac:dyDescent="0.2">
      <c r="B527" s="31" t="s">
        <v>810</v>
      </c>
      <c r="C527" s="31" t="s">
        <v>811</v>
      </c>
      <c r="D527" s="34">
        <v>0</v>
      </c>
      <c r="E527" s="34"/>
      <c r="F527" s="34">
        <v>1300985.71</v>
      </c>
      <c r="G527" s="34">
        <v>0</v>
      </c>
      <c r="H527" s="34">
        <f t="shared" si="8"/>
        <v>1300985.71</v>
      </c>
      <c r="I527" s="34"/>
      <c r="K527" t="s">
        <v>38</v>
      </c>
    </row>
    <row r="528" spans="2:11" ht="41.25" x14ac:dyDescent="0.2">
      <c r="B528" s="31" t="s">
        <v>812</v>
      </c>
      <c r="C528" s="31" t="s">
        <v>813</v>
      </c>
      <c r="D528" s="34">
        <v>0</v>
      </c>
      <c r="E528" s="34"/>
      <c r="F528" s="34">
        <v>1507752.6</v>
      </c>
      <c r="G528" s="34">
        <v>0</v>
      </c>
      <c r="H528" s="34">
        <f t="shared" si="8"/>
        <v>1507752.6</v>
      </c>
      <c r="I528" s="34"/>
      <c r="K528" t="s">
        <v>38</v>
      </c>
    </row>
    <row r="529" spans="2:11" ht="41.25" x14ac:dyDescent="0.2">
      <c r="B529" s="31" t="s">
        <v>814</v>
      </c>
      <c r="C529" s="31" t="s">
        <v>815</v>
      </c>
      <c r="D529" s="34">
        <v>0</v>
      </c>
      <c r="E529" s="34"/>
      <c r="F529" s="34">
        <v>1126895.92</v>
      </c>
      <c r="G529" s="34">
        <v>0</v>
      </c>
      <c r="H529" s="34">
        <f t="shared" si="8"/>
        <v>1126895.92</v>
      </c>
      <c r="I529" s="34"/>
      <c r="K529" t="s">
        <v>38</v>
      </c>
    </row>
    <row r="530" spans="2:11" ht="41.25" x14ac:dyDescent="0.2">
      <c r="B530" s="31" t="s">
        <v>816</v>
      </c>
      <c r="C530" s="31" t="s">
        <v>817</v>
      </c>
      <c r="D530" s="34">
        <v>0</v>
      </c>
      <c r="E530" s="34"/>
      <c r="F530" s="34">
        <v>1696758.24</v>
      </c>
      <c r="G530" s="34">
        <v>0</v>
      </c>
      <c r="H530" s="34">
        <f t="shared" si="8"/>
        <v>1696758.24</v>
      </c>
      <c r="I530" s="34"/>
      <c r="K530" t="s">
        <v>38</v>
      </c>
    </row>
    <row r="531" spans="2:11" ht="41.25" x14ac:dyDescent="0.2">
      <c r="B531" s="31" t="s">
        <v>818</v>
      </c>
      <c r="C531" s="31" t="s">
        <v>819</v>
      </c>
      <c r="D531" s="34">
        <v>0</v>
      </c>
      <c r="E531" s="34"/>
      <c r="F531" s="34">
        <v>298000</v>
      </c>
      <c r="G531" s="34">
        <v>0</v>
      </c>
      <c r="H531" s="34">
        <f t="shared" si="8"/>
        <v>298000</v>
      </c>
      <c r="I531" s="34"/>
      <c r="K531" t="s">
        <v>38</v>
      </c>
    </row>
    <row r="532" spans="2:11" ht="49.5" x14ac:dyDescent="0.2">
      <c r="B532" s="33" t="s">
        <v>820</v>
      </c>
      <c r="C532" s="33" t="s">
        <v>821</v>
      </c>
      <c r="D532" s="35">
        <f>SUMIFS(D533:D9015,K533:K9015,"0",B533:B9015,"1 2 3 5 5 12 31111 6 M59 30100 000132 0000R 00002 00615 025 2210000 2024 CP2OP405 002 0000002*")-SUMIFS(E533:E9015,K533:K9015,"0",B533:B9015,"1 2 3 5 5 12 31111 6 M59 30100 000132 0000R 00002 00615 025 2210000 2024 CP2OP405 002 0000002*")</f>
        <v>0</v>
      </c>
      <c r="E532"/>
      <c r="F532" s="35">
        <f>SUMIFS(F533:F9015,K533:K9015,"0",B533:B9015,"1 2 3 5 5 12 31111 6 M59 30100 000132 0000R 00002 00615 025 2210000 2024 CP2OP405 002 0000002*")</f>
        <v>2073292.71</v>
      </c>
      <c r="G532" s="35">
        <f>SUMIFS(G533:G9015,K533:K9015,"0",B533:B9015,"1 2 3 5 5 12 31111 6 M59 30100 000132 0000R 00002 00615 025 2210000 2024 CP2OP405 002 0000002*")</f>
        <v>0</v>
      </c>
      <c r="H532" s="35">
        <f t="shared" si="8"/>
        <v>2073292.71</v>
      </c>
      <c r="I532" s="35"/>
      <c r="K532" t="s">
        <v>15</v>
      </c>
    </row>
    <row r="533" spans="2:11" ht="41.25" x14ac:dyDescent="0.2">
      <c r="B533" s="31" t="s">
        <v>822</v>
      </c>
      <c r="C533" s="31" t="s">
        <v>823</v>
      </c>
      <c r="D533" s="34">
        <v>0</v>
      </c>
      <c r="E533" s="34"/>
      <c r="F533" s="34">
        <v>1309939.6000000001</v>
      </c>
      <c r="G533" s="34">
        <v>0</v>
      </c>
      <c r="H533" s="34">
        <f t="shared" si="8"/>
        <v>1309939.6000000001</v>
      </c>
      <c r="I533" s="34"/>
      <c r="K533" t="s">
        <v>38</v>
      </c>
    </row>
    <row r="534" spans="2:11" ht="41.25" x14ac:dyDescent="0.2">
      <c r="B534" s="31" t="s">
        <v>824</v>
      </c>
      <c r="C534" s="31" t="s">
        <v>825</v>
      </c>
      <c r="D534" s="34">
        <v>0</v>
      </c>
      <c r="E534" s="34"/>
      <c r="F534" s="34">
        <v>763353.11</v>
      </c>
      <c r="G534" s="34">
        <v>0</v>
      </c>
      <c r="H534" s="34">
        <f t="shared" si="8"/>
        <v>763353.11</v>
      </c>
      <c r="I534" s="34"/>
      <c r="K534" t="s">
        <v>38</v>
      </c>
    </row>
    <row r="535" spans="2:11" ht="33" x14ac:dyDescent="0.2">
      <c r="B535" s="33" t="s">
        <v>826</v>
      </c>
      <c r="C535" s="33" t="s">
        <v>827</v>
      </c>
      <c r="D535" s="35">
        <f>SUMIFS(D536:D9015,K536:K9015,"0",B536:B9015,"1 2 3 5 9*")-SUMIFS(E536:E9015,K536:K9015,"0",B536:B9015,"1 2 3 5 9*")</f>
        <v>0</v>
      </c>
      <c r="E535"/>
      <c r="F535" s="35">
        <f>SUMIFS(F536:F9015,K536:K9015,"0",B536:B9015,"1 2 3 5 9*")</f>
        <v>58030394.910000011</v>
      </c>
      <c r="G535" s="35">
        <f>SUMIFS(G536:G9015,K536:K9015,"0",B536:B9015,"1 2 3 5 9*")</f>
        <v>21262154.199999996</v>
      </c>
      <c r="H535" s="35">
        <f t="shared" si="8"/>
        <v>36768240.710000016</v>
      </c>
      <c r="I535" s="35"/>
      <c r="K535" t="s">
        <v>15</v>
      </c>
    </row>
    <row r="536" spans="2:11" ht="12.75" x14ac:dyDescent="0.2">
      <c r="B536" s="33" t="s">
        <v>828</v>
      </c>
      <c r="C536" s="33" t="s">
        <v>26</v>
      </c>
      <c r="D536" s="35">
        <f>SUMIFS(D537:D9015,K537:K9015,"0",B537:B9015,"1 2 3 5 9 12*")-SUMIFS(E537:E9015,K537:K9015,"0",B537:B9015,"1 2 3 5 9 12*")</f>
        <v>0</v>
      </c>
      <c r="E536"/>
      <c r="F536" s="35">
        <f>SUMIFS(F537:F9015,K537:K9015,"0",B537:B9015,"1 2 3 5 9 12*")</f>
        <v>58030394.910000011</v>
      </c>
      <c r="G536" s="35">
        <f>SUMIFS(G537:G9015,K537:K9015,"0",B537:B9015,"1 2 3 5 9 12*")</f>
        <v>21262154.199999996</v>
      </c>
      <c r="H536" s="35">
        <f t="shared" si="8"/>
        <v>36768240.710000016</v>
      </c>
      <c r="I536" s="35"/>
      <c r="K536" t="s">
        <v>15</v>
      </c>
    </row>
    <row r="537" spans="2:11" ht="16.5" x14ac:dyDescent="0.2">
      <c r="B537" s="33" t="s">
        <v>829</v>
      </c>
      <c r="C537" s="33" t="s">
        <v>28</v>
      </c>
      <c r="D537" s="35">
        <f>SUMIFS(D538:D9015,K538:K9015,"0",B538:B9015,"1 2 3 5 9 12 31111*")-SUMIFS(E538:E9015,K538:K9015,"0",B538:B9015,"1 2 3 5 9 12 31111*")</f>
        <v>0</v>
      </c>
      <c r="E537"/>
      <c r="F537" s="35">
        <f>SUMIFS(F538:F9015,K538:K9015,"0",B538:B9015,"1 2 3 5 9 12 31111*")</f>
        <v>58030394.910000011</v>
      </c>
      <c r="G537" s="35">
        <f>SUMIFS(G538:G9015,K538:K9015,"0",B538:B9015,"1 2 3 5 9 12 31111*")</f>
        <v>21262154.199999996</v>
      </c>
      <c r="H537" s="35">
        <f t="shared" si="8"/>
        <v>36768240.710000016</v>
      </c>
      <c r="I537" s="35"/>
      <c r="K537" t="s">
        <v>15</v>
      </c>
    </row>
    <row r="538" spans="2:11" ht="12.75" x14ac:dyDescent="0.2">
      <c r="B538" s="33" t="s">
        <v>830</v>
      </c>
      <c r="C538" s="33" t="s">
        <v>30</v>
      </c>
      <c r="D538" s="35">
        <f>SUMIFS(D539:D9015,K539:K9015,"0",B539:B9015,"1 2 3 5 9 12 31111 6*")-SUMIFS(E539:E9015,K539:K9015,"0",B539:B9015,"1 2 3 5 9 12 31111 6*")</f>
        <v>0</v>
      </c>
      <c r="E538"/>
      <c r="F538" s="35">
        <f>SUMIFS(F539:F9015,K539:K9015,"0",B539:B9015,"1 2 3 5 9 12 31111 6*")</f>
        <v>58030394.910000011</v>
      </c>
      <c r="G538" s="35">
        <f>SUMIFS(G539:G9015,K539:K9015,"0",B539:B9015,"1 2 3 5 9 12 31111 6*")</f>
        <v>21262154.199999996</v>
      </c>
      <c r="H538" s="35">
        <f t="shared" si="8"/>
        <v>36768240.710000016</v>
      </c>
      <c r="I538" s="35"/>
      <c r="K538" t="s">
        <v>15</v>
      </c>
    </row>
    <row r="539" spans="2:11" ht="16.5" x14ac:dyDescent="0.2">
      <c r="B539" s="33" t="s">
        <v>831</v>
      </c>
      <c r="C539" s="33" t="s">
        <v>42</v>
      </c>
      <c r="D539" s="35">
        <f>SUMIFS(D540:D9015,K540:K9015,"0",B540:B9015,"1 2 3 5 9 12 31111 6 M59*")-SUMIFS(E540:E9015,K540:K9015,"0",B540:B9015,"1 2 3 5 9 12 31111 6 M59*")</f>
        <v>0</v>
      </c>
      <c r="E539"/>
      <c r="F539" s="35">
        <f>SUMIFS(F540:F9015,K540:K9015,"0",B540:B9015,"1 2 3 5 9 12 31111 6 M59*")</f>
        <v>58030394.910000011</v>
      </c>
      <c r="G539" s="35">
        <f>SUMIFS(G540:G9015,K540:K9015,"0",B540:B9015,"1 2 3 5 9 12 31111 6 M59*")</f>
        <v>21262154.199999996</v>
      </c>
      <c r="H539" s="35">
        <f t="shared" si="8"/>
        <v>36768240.710000016</v>
      </c>
      <c r="I539" s="35"/>
      <c r="K539" t="s">
        <v>15</v>
      </c>
    </row>
    <row r="540" spans="2:11" ht="16.5" x14ac:dyDescent="0.2">
      <c r="B540" s="33" t="s">
        <v>832</v>
      </c>
      <c r="C540" s="33" t="s">
        <v>646</v>
      </c>
      <c r="D540" s="35">
        <f>SUMIFS(D541:D9015,K541:K9015,"0",B541:B9015,"1 2 3 5 9 12 31111 6 M59 30100*")-SUMIFS(E541:E9015,K541:K9015,"0",B541:B9015,"1 2 3 5 9 12 31111 6 M59 30100*")</f>
        <v>0</v>
      </c>
      <c r="E540"/>
      <c r="F540" s="35">
        <f>SUMIFS(F541:F9015,K541:K9015,"0",B541:B9015,"1 2 3 5 9 12 31111 6 M59 30100*")</f>
        <v>58030394.910000011</v>
      </c>
      <c r="G540" s="35">
        <f>SUMIFS(G541:G9015,K541:K9015,"0",B541:B9015,"1 2 3 5 9 12 31111 6 M59 30100*")</f>
        <v>21262154.199999996</v>
      </c>
      <c r="H540" s="35">
        <f t="shared" si="8"/>
        <v>36768240.710000016</v>
      </c>
      <c r="I540" s="35"/>
      <c r="K540" t="s">
        <v>15</v>
      </c>
    </row>
    <row r="541" spans="2:11" ht="16.5" x14ac:dyDescent="0.2">
      <c r="B541" s="33" t="s">
        <v>833</v>
      </c>
      <c r="C541" s="33" t="s">
        <v>648</v>
      </c>
      <c r="D541" s="35">
        <f>SUMIFS(D542:D9015,K542:K9015,"0",B542:B9015,"1 2 3 5 9 12 31111 6 M59 30100 000132*")-SUMIFS(E542:E9015,K542:K9015,"0",B542:B9015,"1 2 3 5 9 12 31111 6 M59 30100 000132*")</f>
        <v>0</v>
      </c>
      <c r="E541"/>
      <c r="F541" s="35">
        <f>SUMIFS(F542:F9015,K542:K9015,"0",B542:B9015,"1 2 3 5 9 12 31111 6 M59 30100 000132*")</f>
        <v>58030394.910000011</v>
      </c>
      <c r="G541" s="35">
        <f>SUMIFS(G542:G9015,K542:K9015,"0",B542:B9015,"1 2 3 5 9 12 31111 6 M59 30100 000132*")</f>
        <v>21262154.199999996</v>
      </c>
      <c r="H541" s="35">
        <f t="shared" si="8"/>
        <v>36768240.710000016</v>
      </c>
      <c r="I541" s="35"/>
      <c r="K541" t="s">
        <v>15</v>
      </c>
    </row>
    <row r="542" spans="2:11" ht="24.75" x14ac:dyDescent="0.2">
      <c r="B542" s="33" t="s">
        <v>834</v>
      </c>
      <c r="C542" s="33" t="s">
        <v>650</v>
      </c>
      <c r="D542" s="35">
        <f>SUMIFS(D543:D9015,K543:K9015,"0",B543:B9015,"1 2 3 5 9 12 31111 6 M59 30100 000132 0000R*")-SUMIFS(E543:E9015,K543:K9015,"0",B543:B9015,"1 2 3 5 9 12 31111 6 M59 30100 000132 0000R*")</f>
        <v>0</v>
      </c>
      <c r="E542"/>
      <c r="F542" s="35">
        <f>SUMIFS(F543:F9015,K543:K9015,"0",B543:B9015,"1 2 3 5 9 12 31111 6 M59 30100 000132 0000R*")</f>
        <v>58030394.910000011</v>
      </c>
      <c r="G542" s="35">
        <f>SUMIFS(G543:G9015,K543:K9015,"0",B543:B9015,"1 2 3 5 9 12 31111 6 M59 30100 000132 0000R*")</f>
        <v>21262154.199999996</v>
      </c>
      <c r="H542" s="35">
        <f t="shared" si="8"/>
        <v>36768240.710000016</v>
      </c>
      <c r="I542" s="35"/>
      <c r="K542" t="s">
        <v>15</v>
      </c>
    </row>
    <row r="543" spans="2:11" ht="24.75" x14ac:dyDescent="0.2">
      <c r="B543" s="33" t="s">
        <v>835</v>
      </c>
      <c r="C543" s="33" t="s">
        <v>652</v>
      </c>
      <c r="D543" s="35">
        <f>SUMIFS(D544:D9015,K544:K9015,"0",B544:B9015,"1 2 3 5 9 12 31111 6 M59 30100 000132 0000R 00002*")-SUMIFS(E544:E9015,K544:K9015,"0",B544:B9015,"1 2 3 5 9 12 31111 6 M59 30100 000132 0000R 00002*")</f>
        <v>0</v>
      </c>
      <c r="E543"/>
      <c r="F543" s="35">
        <f>SUMIFS(F544:F9015,K544:K9015,"0",B544:B9015,"1 2 3 5 9 12 31111 6 M59 30100 000132 0000R 00002*")</f>
        <v>58030394.910000011</v>
      </c>
      <c r="G543" s="35">
        <f>SUMIFS(G544:G9015,K544:K9015,"0",B544:B9015,"1 2 3 5 9 12 31111 6 M59 30100 000132 0000R 00002*")</f>
        <v>21262154.199999996</v>
      </c>
      <c r="H543" s="35">
        <f t="shared" si="8"/>
        <v>36768240.710000016</v>
      </c>
      <c r="I543" s="35"/>
      <c r="K543" t="s">
        <v>15</v>
      </c>
    </row>
    <row r="544" spans="2:11" ht="24.75" x14ac:dyDescent="0.2">
      <c r="B544" s="33" t="s">
        <v>836</v>
      </c>
      <c r="C544" s="33" t="s">
        <v>837</v>
      </c>
      <c r="D544" s="35">
        <f>SUMIFS(D545:D9015,K545:K9015,"0",B545:B9015,"1 2 3 5 9 12 31111 6 M59 30100 000132 0000R 00002 00619*")-SUMIFS(E545:E9015,K545:K9015,"0",B545:B9015,"1 2 3 5 9 12 31111 6 M59 30100 000132 0000R 00002 00619*")</f>
        <v>0</v>
      </c>
      <c r="E544"/>
      <c r="F544" s="35">
        <f>SUMIFS(F545:F9015,K545:K9015,"0",B545:B9015,"1 2 3 5 9 12 31111 6 M59 30100 000132 0000R 00002 00619*")</f>
        <v>58030394.910000011</v>
      </c>
      <c r="G544" s="35">
        <f>SUMIFS(G545:G9015,K545:K9015,"0",B545:B9015,"1 2 3 5 9 12 31111 6 M59 30100 000132 0000R 00002 00619*")</f>
        <v>21262154.199999996</v>
      </c>
      <c r="H544" s="35">
        <f t="shared" si="8"/>
        <v>36768240.710000016</v>
      </c>
      <c r="I544" s="35"/>
      <c r="K544" t="s">
        <v>15</v>
      </c>
    </row>
    <row r="545" spans="2:11" ht="33" x14ac:dyDescent="0.2">
      <c r="B545" s="33" t="s">
        <v>838</v>
      </c>
      <c r="C545" s="33" t="s">
        <v>656</v>
      </c>
      <c r="D545" s="35">
        <f>SUMIFS(D546:D9015,K546:K9015,"0",B546:B9015,"1 2 3 5 9 12 31111 6 M59 30100 000132 0000R 00002 00619 025*")-SUMIFS(E546:E9015,K546:K9015,"0",B546:B9015,"1 2 3 5 9 12 31111 6 M59 30100 000132 0000R 00002 00619 025*")</f>
        <v>0</v>
      </c>
      <c r="E545"/>
      <c r="F545" s="35">
        <f>SUMIFS(F546:F9015,K546:K9015,"0",B546:B9015,"1 2 3 5 9 12 31111 6 M59 30100 000132 0000R 00002 00619 025*")</f>
        <v>58030394.910000011</v>
      </c>
      <c r="G545" s="35">
        <f>SUMIFS(G546:G9015,K546:K9015,"0",B546:B9015,"1 2 3 5 9 12 31111 6 M59 30100 000132 0000R 00002 00619 025*")</f>
        <v>21262154.199999996</v>
      </c>
      <c r="H545" s="35">
        <f t="shared" si="8"/>
        <v>36768240.710000016</v>
      </c>
      <c r="I545" s="35"/>
      <c r="K545" t="s">
        <v>15</v>
      </c>
    </row>
    <row r="546" spans="2:11" ht="33" x14ac:dyDescent="0.2">
      <c r="B546" s="33" t="s">
        <v>839</v>
      </c>
      <c r="C546" s="33" t="s">
        <v>658</v>
      </c>
      <c r="D546" s="35">
        <f>SUMIFS(D547:D9015,K547:K9015,"0",B547:B9015,"1 2 3 5 9 12 31111 6 M59 30100 000132 0000R 00002 00619 025 2210000*")-SUMIFS(E547:E9015,K547:K9015,"0",B547:B9015,"1 2 3 5 9 12 31111 6 M59 30100 000132 0000R 00002 00619 025 2210000*")</f>
        <v>0</v>
      </c>
      <c r="E546"/>
      <c r="F546" s="35">
        <f>SUMIFS(F547:F9015,K547:K9015,"0",B547:B9015,"1 2 3 5 9 12 31111 6 M59 30100 000132 0000R 00002 00619 025 2210000*")</f>
        <v>58030394.910000011</v>
      </c>
      <c r="G546" s="35">
        <f>SUMIFS(G547:G9015,K547:K9015,"0",B547:B9015,"1 2 3 5 9 12 31111 6 M59 30100 000132 0000R 00002 00619 025 2210000*")</f>
        <v>21262154.199999996</v>
      </c>
      <c r="H546" s="35">
        <f t="shared" si="8"/>
        <v>36768240.710000016</v>
      </c>
      <c r="I546" s="35"/>
      <c r="K546" t="s">
        <v>15</v>
      </c>
    </row>
    <row r="547" spans="2:11" ht="33" x14ac:dyDescent="0.2">
      <c r="B547" s="33" t="s">
        <v>840</v>
      </c>
      <c r="C547" s="33" t="s">
        <v>660</v>
      </c>
      <c r="D547" s="35">
        <f>SUMIFS(D548:D9015,K548:K9015,"0",B548:B9015,"1 2 3 5 9 12 31111 6 M59 30100 000132 0000R 00002 00619 025 2210000 2024*")-SUMIFS(E548:E9015,K548:K9015,"0",B548:B9015,"1 2 3 5 9 12 31111 6 M59 30100 000132 0000R 00002 00619 025 2210000 2024*")</f>
        <v>0</v>
      </c>
      <c r="E547"/>
      <c r="F547" s="35">
        <f>SUMIFS(F548:F9015,K548:K9015,"0",B548:B9015,"1 2 3 5 9 12 31111 6 M59 30100 000132 0000R 00002 00619 025 2210000 2024*")</f>
        <v>58030394.910000011</v>
      </c>
      <c r="G547" s="35">
        <f>SUMIFS(G548:G9015,K548:K9015,"0",B548:B9015,"1 2 3 5 9 12 31111 6 M59 30100 000132 0000R 00002 00619 025 2210000 2024*")</f>
        <v>21262154.199999996</v>
      </c>
      <c r="H547" s="35">
        <f t="shared" si="8"/>
        <v>36768240.710000016</v>
      </c>
      <c r="I547" s="35"/>
      <c r="K547" t="s">
        <v>15</v>
      </c>
    </row>
    <row r="548" spans="2:11" ht="41.25" x14ac:dyDescent="0.2">
      <c r="B548" s="33" t="s">
        <v>841</v>
      </c>
      <c r="C548" s="33" t="s">
        <v>662</v>
      </c>
      <c r="D548" s="35">
        <f>SUMIFS(D549:D9015,K549:K9015,"0",B549:B9015,"1 2 3 5 9 12 31111 6 M59 30100 000132 0000R 00002 00619 025 2210000 2024 CP2OP405*")-SUMIFS(E549:E9015,K549:K9015,"0",B549:B9015,"1 2 3 5 9 12 31111 6 M59 30100 000132 0000R 00002 00619 025 2210000 2024 CP2OP405*")</f>
        <v>0</v>
      </c>
      <c r="E548"/>
      <c r="F548" s="35">
        <f>SUMIFS(F549:F9015,K549:K9015,"0",B549:B9015,"1 2 3 5 9 12 31111 6 M59 30100 000132 0000R 00002 00619 025 2210000 2024 CP2OP405*")</f>
        <v>58030394.910000011</v>
      </c>
      <c r="G548" s="35">
        <f>SUMIFS(G549:G9015,K549:K9015,"0",B549:B9015,"1 2 3 5 9 12 31111 6 M59 30100 000132 0000R 00002 00619 025 2210000 2024 CP2OP405*")</f>
        <v>21262154.199999996</v>
      </c>
      <c r="H548" s="35">
        <f t="shared" si="8"/>
        <v>36768240.710000016</v>
      </c>
      <c r="I548" s="35"/>
      <c r="K548" t="s">
        <v>15</v>
      </c>
    </row>
    <row r="549" spans="2:11" ht="41.25" x14ac:dyDescent="0.2">
      <c r="B549" s="33" t="s">
        <v>842</v>
      </c>
      <c r="C549" s="33" t="s">
        <v>671</v>
      </c>
      <c r="D549" s="35">
        <f>SUMIFS(D550:D9015,K550:K9015,"0",B550:B9015,"1 2 3 5 9 12 31111 6 M59 30100 000132 0000R 00002 00619 025 2210000 2024 CP2OP405 002*")-SUMIFS(E550:E9015,K550:K9015,"0",B550:B9015,"1 2 3 5 9 12 31111 6 M59 30100 000132 0000R 00002 00619 025 2210000 2024 CP2OP405 002*")</f>
        <v>0</v>
      </c>
      <c r="E549"/>
      <c r="F549" s="35">
        <f>SUMIFS(F550:F9015,K550:K9015,"0",B550:B9015,"1 2 3 5 9 12 31111 6 M59 30100 000132 0000R 00002 00619 025 2210000 2024 CP2OP405 002*")</f>
        <v>58030394.910000011</v>
      </c>
      <c r="G549" s="35">
        <f>SUMIFS(G550:G9015,K550:K9015,"0",B550:B9015,"1 2 3 5 9 12 31111 6 M59 30100 000132 0000R 00002 00619 025 2210000 2024 CP2OP405 002*")</f>
        <v>21262154.199999996</v>
      </c>
      <c r="H549" s="35">
        <f t="shared" si="8"/>
        <v>36768240.710000016</v>
      </c>
      <c r="I549" s="35"/>
      <c r="K549" t="s">
        <v>15</v>
      </c>
    </row>
    <row r="550" spans="2:11" ht="49.5" x14ac:dyDescent="0.2">
      <c r="B550" s="33" t="s">
        <v>843</v>
      </c>
      <c r="C550" s="33" t="s">
        <v>844</v>
      </c>
      <c r="D550" s="35">
        <f>SUMIFS(D551:D9015,K551:K9015,"0",B551:B9015,"1 2 3 5 9 12 31111 6 M59 30100 000132 0000R 00002 00619 025 2210000 2024 CP2OP405 002 0000001*")-SUMIFS(E551:E9015,K551:K9015,"0",B551:B9015,"1 2 3 5 9 12 31111 6 M59 30100 000132 0000R 00002 00619 025 2210000 2024 CP2OP405 002 0000001*")</f>
        <v>0</v>
      </c>
      <c r="E550"/>
      <c r="F550" s="35">
        <f>SUMIFS(F551:F9015,K551:K9015,"0",B551:B9015,"1 2 3 5 9 12 31111 6 M59 30100 000132 0000R 00002 00619 025 2210000 2024 CP2OP405 002 0000001*")</f>
        <v>58030394.910000011</v>
      </c>
      <c r="G550" s="35">
        <f>SUMIFS(G551:G9015,K551:K9015,"0",B551:B9015,"1 2 3 5 9 12 31111 6 M59 30100 000132 0000R 00002 00619 025 2210000 2024 CP2OP405 002 0000001*")</f>
        <v>21262154.199999996</v>
      </c>
      <c r="H550" s="35">
        <f t="shared" si="8"/>
        <v>36768240.710000016</v>
      </c>
      <c r="I550" s="35"/>
      <c r="K550" t="s">
        <v>15</v>
      </c>
    </row>
    <row r="551" spans="2:11" ht="41.25" x14ac:dyDescent="0.2">
      <c r="B551" s="31" t="s">
        <v>845</v>
      </c>
      <c r="C551" s="31" t="s">
        <v>846</v>
      </c>
      <c r="D551" s="34">
        <v>0</v>
      </c>
      <c r="E551" s="34"/>
      <c r="F551" s="34">
        <v>1889886.28</v>
      </c>
      <c r="G551" s="34">
        <v>0</v>
      </c>
      <c r="H551" s="34">
        <f t="shared" si="8"/>
        <v>1889886.28</v>
      </c>
      <c r="I551" s="34"/>
      <c r="K551" t="s">
        <v>38</v>
      </c>
    </row>
    <row r="552" spans="2:11" ht="41.25" x14ac:dyDescent="0.2">
      <c r="B552" s="31" t="s">
        <v>847</v>
      </c>
      <c r="C552" s="31" t="s">
        <v>848</v>
      </c>
      <c r="D552" s="34">
        <v>0</v>
      </c>
      <c r="E552" s="34"/>
      <c r="F552" s="34">
        <v>611330.16</v>
      </c>
      <c r="G552" s="34">
        <v>0</v>
      </c>
      <c r="H552" s="34">
        <f t="shared" si="8"/>
        <v>611330.16</v>
      </c>
      <c r="I552" s="34"/>
      <c r="K552" t="s">
        <v>38</v>
      </c>
    </row>
    <row r="553" spans="2:11" ht="41.25" x14ac:dyDescent="0.2">
      <c r="B553" s="31" t="s">
        <v>849</v>
      </c>
      <c r="C553" s="31" t="s">
        <v>850</v>
      </c>
      <c r="D553" s="34">
        <v>0</v>
      </c>
      <c r="E553" s="34"/>
      <c r="F553" s="34">
        <v>1376203.89</v>
      </c>
      <c r="G553" s="34">
        <v>0</v>
      </c>
      <c r="H553" s="34">
        <f t="shared" si="8"/>
        <v>1376203.89</v>
      </c>
      <c r="I553" s="34"/>
      <c r="K553" t="s">
        <v>38</v>
      </c>
    </row>
    <row r="554" spans="2:11" ht="41.25" x14ac:dyDescent="0.2">
      <c r="B554" s="31" t="s">
        <v>851</v>
      </c>
      <c r="C554" s="31" t="s">
        <v>852</v>
      </c>
      <c r="D554" s="34">
        <v>0</v>
      </c>
      <c r="E554" s="34"/>
      <c r="F554" s="34">
        <v>1273502.1100000001</v>
      </c>
      <c r="G554" s="34">
        <v>0</v>
      </c>
      <c r="H554" s="34">
        <f t="shared" si="8"/>
        <v>1273502.1100000001</v>
      </c>
      <c r="I554" s="34"/>
      <c r="K554" t="s">
        <v>38</v>
      </c>
    </row>
    <row r="555" spans="2:11" ht="41.25" x14ac:dyDescent="0.2">
      <c r="B555" s="31" t="s">
        <v>853</v>
      </c>
      <c r="C555" s="31" t="s">
        <v>854</v>
      </c>
      <c r="D555" s="34">
        <v>0</v>
      </c>
      <c r="E555" s="34"/>
      <c r="F555" s="34">
        <v>200199.82</v>
      </c>
      <c r="G555" s="34">
        <v>0</v>
      </c>
      <c r="H555" s="34">
        <f t="shared" si="8"/>
        <v>200199.82</v>
      </c>
      <c r="I555" s="34"/>
      <c r="K555" t="s">
        <v>38</v>
      </c>
    </row>
    <row r="556" spans="2:11" ht="41.25" x14ac:dyDescent="0.2">
      <c r="B556" s="31" t="s">
        <v>855</v>
      </c>
      <c r="C556" s="31" t="s">
        <v>856</v>
      </c>
      <c r="D556" s="34">
        <v>0</v>
      </c>
      <c r="E556" s="34"/>
      <c r="F556" s="34">
        <v>672671.39</v>
      </c>
      <c r="G556" s="34">
        <v>0</v>
      </c>
      <c r="H556" s="34">
        <f t="shared" si="8"/>
        <v>672671.39</v>
      </c>
      <c r="I556" s="34"/>
      <c r="K556" t="s">
        <v>38</v>
      </c>
    </row>
    <row r="557" spans="2:11" ht="41.25" x14ac:dyDescent="0.2">
      <c r="B557" s="31" t="s">
        <v>857</v>
      </c>
      <c r="C557" s="31" t="s">
        <v>858</v>
      </c>
      <c r="D557" s="34">
        <v>0</v>
      </c>
      <c r="E557" s="34"/>
      <c r="F557" s="34">
        <v>1316160.8700000001</v>
      </c>
      <c r="G557" s="34">
        <v>0</v>
      </c>
      <c r="H557" s="34">
        <f t="shared" si="8"/>
        <v>1316160.8700000001</v>
      </c>
      <c r="I557" s="34"/>
      <c r="K557" t="s">
        <v>38</v>
      </c>
    </row>
    <row r="558" spans="2:11" ht="41.25" x14ac:dyDescent="0.2">
      <c r="B558" s="31" t="s">
        <v>859</v>
      </c>
      <c r="C558" s="31" t="s">
        <v>860</v>
      </c>
      <c r="D558" s="34">
        <v>0</v>
      </c>
      <c r="E558" s="34"/>
      <c r="F558" s="34">
        <v>1289162.5</v>
      </c>
      <c r="G558" s="34">
        <v>0</v>
      </c>
      <c r="H558" s="34">
        <f t="shared" si="8"/>
        <v>1289162.5</v>
      </c>
      <c r="I558" s="34"/>
      <c r="K558" t="s">
        <v>38</v>
      </c>
    </row>
    <row r="559" spans="2:11" ht="41.25" x14ac:dyDescent="0.2">
      <c r="B559" s="31" t="s">
        <v>861</v>
      </c>
      <c r="C559" s="31" t="s">
        <v>862</v>
      </c>
      <c r="D559" s="34">
        <v>0</v>
      </c>
      <c r="E559" s="34"/>
      <c r="F559" s="34">
        <v>1096690.26</v>
      </c>
      <c r="G559" s="34">
        <v>0</v>
      </c>
      <c r="H559" s="34">
        <f t="shared" si="8"/>
        <v>1096690.26</v>
      </c>
      <c r="I559" s="34"/>
      <c r="K559" t="s">
        <v>38</v>
      </c>
    </row>
    <row r="560" spans="2:11" ht="41.25" x14ac:dyDescent="0.2">
      <c r="B560" s="31" t="s">
        <v>863</v>
      </c>
      <c r="C560" s="31" t="s">
        <v>864</v>
      </c>
      <c r="D560" s="34">
        <v>0</v>
      </c>
      <c r="E560" s="34"/>
      <c r="F560" s="34">
        <v>1278075.6299999999</v>
      </c>
      <c r="G560" s="34">
        <v>0</v>
      </c>
      <c r="H560" s="34">
        <f t="shared" si="8"/>
        <v>1278075.6299999999</v>
      </c>
      <c r="I560" s="34"/>
      <c r="K560" t="s">
        <v>38</v>
      </c>
    </row>
    <row r="561" spans="2:11" ht="41.25" x14ac:dyDescent="0.2">
      <c r="B561" s="31" t="s">
        <v>865</v>
      </c>
      <c r="C561" s="31" t="s">
        <v>866</v>
      </c>
      <c r="D561" s="34">
        <v>0</v>
      </c>
      <c r="E561" s="34"/>
      <c r="F561" s="34">
        <v>368367.67</v>
      </c>
      <c r="G561" s="34">
        <v>0</v>
      </c>
      <c r="H561" s="34">
        <f t="shared" si="8"/>
        <v>368367.67</v>
      </c>
      <c r="I561" s="34"/>
      <c r="K561" t="s">
        <v>38</v>
      </c>
    </row>
    <row r="562" spans="2:11" ht="41.25" x14ac:dyDescent="0.2">
      <c r="B562" s="31" t="s">
        <v>867</v>
      </c>
      <c r="C562" s="31" t="s">
        <v>868</v>
      </c>
      <c r="D562" s="34">
        <v>0</v>
      </c>
      <c r="E562" s="34"/>
      <c r="F562" s="34">
        <v>635033.81999999995</v>
      </c>
      <c r="G562" s="34">
        <v>0</v>
      </c>
      <c r="H562" s="34">
        <f t="shared" si="8"/>
        <v>635033.81999999995</v>
      </c>
      <c r="I562" s="34"/>
      <c r="K562" t="s">
        <v>38</v>
      </c>
    </row>
    <row r="563" spans="2:11" ht="41.25" x14ac:dyDescent="0.2">
      <c r="B563" s="31" t="s">
        <v>869</v>
      </c>
      <c r="C563" s="31" t="s">
        <v>870</v>
      </c>
      <c r="D563" s="34">
        <v>0</v>
      </c>
      <c r="E563" s="34"/>
      <c r="F563" s="34">
        <v>336335.69</v>
      </c>
      <c r="G563" s="34">
        <v>0</v>
      </c>
      <c r="H563" s="34">
        <f t="shared" si="8"/>
        <v>336335.69</v>
      </c>
      <c r="I563" s="34"/>
      <c r="K563" t="s">
        <v>38</v>
      </c>
    </row>
    <row r="564" spans="2:11" ht="41.25" x14ac:dyDescent="0.2">
      <c r="B564" s="31" t="s">
        <v>871</v>
      </c>
      <c r="C564" s="31" t="s">
        <v>872</v>
      </c>
      <c r="D564" s="34">
        <v>0</v>
      </c>
      <c r="E564" s="34"/>
      <c r="F564" s="34">
        <v>368367.67</v>
      </c>
      <c r="G564" s="34">
        <v>0</v>
      </c>
      <c r="H564" s="34">
        <f t="shared" si="8"/>
        <v>368367.67</v>
      </c>
      <c r="I564" s="34"/>
      <c r="K564" t="s">
        <v>38</v>
      </c>
    </row>
    <row r="565" spans="2:11" ht="41.25" x14ac:dyDescent="0.2">
      <c r="B565" s="31" t="s">
        <v>873</v>
      </c>
      <c r="C565" s="31" t="s">
        <v>874</v>
      </c>
      <c r="D565" s="34">
        <v>0</v>
      </c>
      <c r="E565" s="34"/>
      <c r="F565" s="34">
        <v>3049043.25</v>
      </c>
      <c r="G565" s="34">
        <v>1829425.95</v>
      </c>
      <c r="H565" s="34">
        <f t="shared" si="8"/>
        <v>1219617.3</v>
      </c>
      <c r="I565" s="34"/>
      <c r="K565" t="s">
        <v>38</v>
      </c>
    </row>
    <row r="566" spans="2:11" ht="41.25" x14ac:dyDescent="0.2">
      <c r="B566" s="31" t="s">
        <v>875</v>
      </c>
      <c r="C566" s="31" t="s">
        <v>876</v>
      </c>
      <c r="D566" s="34">
        <v>0</v>
      </c>
      <c r="E566" s="34"/>
      <c r="F566" s="34">
        <v>860538.24</v>
      </c>
      <c r="G566" s="34">
        <v>0</v>
      </c>
      <c r="H566" s="34">
        <f t="shared" si="8"/>
        <v>860538.24</v>
      </c>
      <c r="I566" s="34"/>
      <c r="K566" t="s">
        <v>38</v>
      </c>
    </row>
    <row r="567" spans="2:11" ht="41.25" x14ac:dyDescent="0.2">
      <c r="B567" s="31" t="s">
        <v>877</v>
      </c>
      <c r="C567" s="31" t="s">
        <v>878</v>
      </c>
      <c r="D567" s="34">
        <v>0</v>
      </c>
      <c r="E567" s="34"/>
      <c r="F567" s="34">
        <v>1523180.92</v>
      </c>
      <c r="G567" s="34">
        <v>0</v>
      </c>
      <c r="H567" s="34">
        <f t="shared" si="8"/>
        <v>1523180.92</v>
      </c>
      <c r="I567" s="34"/>
      <c r="K567" t="s">
        <v>38</v>
      </c>
    </row>
    <row r="568" spans="2:11" ht="41.25" x14ac:dyDescent="0.2">
      <c r="B568" s="31" t="s">
        <v>879</v>
      </c>
      <c r="C568" s="31" t="s">
        <v>880</v>
      </c>
      <c r="D568" s="34">
        <v>0</v>
      </c>
      <c r="E568" s="34"/>
      <c r="F568" s="34">
        <v>1265262.8500000001</v>
      </c>
      <c r="G568" s="34">
        <v>0</v>
      </c>
      <c r="H568" s="34">
        <f t="shared" si="8"/>
        <v>1265262.8500000001</v>
      </c>
      <c r="I568" s="34"/>
      <c r="K568" t="s">
        <v>38</v>
      </c>
    </row>
    <row r="569" spans="2:11" ht="41.25" x14ac:dyDescent="0.2">
      <c r="B569" s="31" t="s">
        <v>881</v>
      </c>
      <c r="C569" s="31" t="s">
        <v>882</v>
      </c>
      <c r="D569" s="34">
        <v>0</v>
      </c>
      <c r="E569" s="34"/>
      <c r="F569" s="34">
        <v>1135373.21</v>
      </c>
      <c r="G569" s="34">
        <v>0</v>
      </c>
      <c r="H569" s="34">
        <f t="shared" si="8"/>
        <v>1135373.21</v>
      </c>
      <c r="I569" s="34"/>
      <c r="K569" t="s">
        <v>38</v>
      </c>
    </row>
    <row r="570" spans="2:11" ht="41.25" x14ac:dyDescent="0.2">
      <c r="B570" s="31" t="s">
        <v>883</v>
      </c>
      <c r="C570" s="31" t="s">
        <v>884</v>
      </c>
      <c r="D570" s="34">
        <v>0</v>
      </c>
      <c r="E570" s="34"/>
      <c r="F570" s="34">
        <v>684683.38</v>
      </c>
      <c r="G570" s="34">
        <v>0</v>
      </c>
      <c r="H570" s="34">
        <f t="shared" si="8"/>
        <v>684683.38</v>
      </c>
      <c r="I570" s="34"/>
      <c r="K570" t="s">
        <v>38</v>
      </c>
    </row>
    <row r="571" spans="2:11" ht="41.25" x14ac:dyDescent="0.2">
      <c r="B571" s="31" t="s">
        <v>885</v>
      </c>
      <c r="C571" s="31" t="s">
        <v>886</v>
      </c>
      <c r="D571" s="34">
        <v>0</v>
      </c>
      <c r="E571" s="34"/>
      <c r="F571" s="34">
        <v>344343.69</v>
      </c>
      <c r="G571" s="34">
        <v>0</v>
      </c>
      <c r="H571" s="34">
        <f t="shared" si="8"/>
        <v>344343.69</v>
      </c>
      <c r="I571" s="34"/>
      <c r="K571" t="s">
        <v>38</v>
      </c>
    </row>
    <row r="572" spans="2:11" ht="41.25" x14ac:dyDescent="0.2">
      <c r="B572" s="31" t="s">
        <v>887</v>
      </c>
      <c r="C572" s="31" t="s">
        <v>888</v>
      </c>
      <c r="D572" s="34">
        <v>0</v>
      </c>
      <c r="E572" s="34"/>
      <c r="F572" s="34">
        <v>1135373.21</v>
      </c>
      <c r="G572" s="34">
        <v>0</v>
      </c>
      <c r="H572" s="34">
        <f t="shared" si="8"/>
        <v>1135373.21</v>
      </c>
      <c r="I572" s="34"/>
      <c r="K572" t="s">
        <v>38</v>
      </c>
    </row>
    <row r="573" spans="2:11" ht="41.25" x14ac:dyDescent="0.2">
      <c r="B573" s="31" t="s">
        <v>889</v>
      </c>
      <c r="C573" s="31" t="s">
        <v>890</v>
      </c>
      <c r="D573" s="34">
        <v>0</v>
      </c>
      <c r="E573" s="34"/>
      <c r="F573" s="34">
        <v>296295.73</v>
      </c>
      <c r="G573" s="34">
        <v>0</v>
      </c>
      <c r="H573" s="34">
        <f t="shared" si="8"/>
        <v>296295.73</v>
      </c>
      <c r="I573" s="34"/>
      <c r="K573" t="s">
        <v>38</v>
      </c>
    </row>
    <row r="574" spans="2:11" ht="41.25" x14ac:dyDescent="0.2">
      <c r="B574" s="31" t="s">
        <v>891</v>
      </c>
      <c r="C574" s="31" t="s">
        <v>892</v>
      </c>
      <c r="D574" s="34">
        <v>0</v>
      </c>
      <c r="E574" s="34"/>
      <c r="F574" s="34">
        <v>329128.5</v>
      </c>
      <c r="G574" s="34">
        <v>0</v>
      </c>
      <c r="H574" s="34">
        <f t="shared" si="8"/>
        <v>329128.5</v>
      </c>
      <c r="I574" s="34"/>
      <c r="K574" t="s">
        <v>38</v>
      </c>
    </row>
    <row r="575" spans="2:11" ht="41.25" x14ac:dyDescent="0.2">
      <c r="B575" s="31" t="s">
        <v>893</v>
      </c>
      <c r="C575" s="31" t="s">
        <v>894</v>
      </c>
      <c r="D575" s="34">
        <v>0</v>
      </c>
      <c r="E575" s="34"/>
      <c r="F575" s="34">
        <v>645012.01</v>
      </c>
      <c r="G575" s="34">
        <v>0</v>
      </c>
      <c r="H575" s="34">
        <f t="shared" si="8"/>
        <v>645012.01</v>
      </c>
      <c r="I575" s="34"/>
      <c r="K575" t="s">
        <v>38</v>
      </c>
    </row>
    <row r="576" spans="2:11" ht="41.25" x14ac:dyDescent="0.2">
      <c r="B576" s="31" t="s">
        <v>895</v>
      </c>
      <c r="C576" s="31" t="s">
        <v>896</v>
      </c>
      <c r="D576" s="34">
        <v>0</v>
      </c>
      <c r="E576" s="34"/>
      <c r="F576" s="34">
        <v>696895.39</v>
      </c>
      <c r="G576" s="34">
        <v>0</v>
      </c>
      <c r="H576" s="34">
        <f t="shared" si="8"/>
        <v>696895.39</v>
      </c>
      <c r="I576" s="34"/>
      <c r="K576" t="s">
        <v>38</v>
      </c>
    </row>
    <row r="577" spans="2:11" ht="41.25" x14ac:dyDescent="0.2">
      <c r="B577" s="31" t="s">
        <v>897</v>
      </c>
      <c r="C577" s="31" t="s">
        <v>898</v>
      </c>
      <c r="D577" s="34">
        <v>0</v>
      </c>
      <c r="E577" s="34"/>
      <c r="F577" s="34">
        <v>684683.38</v>
      </c>
      <c r="G577" s="34">
        <v>0</v>
      </c>
      <c r="H577" s="34">
        <f t="shared" si="8"/>
        <v>684683.38</v>
      </c>
      <c r="I577" s="34"/>
      <c r="K577" t="s">
        <v>38</v>
      </c>
    </row>
    <row r="578" spans="2:11" ht="41.25" x14ac:dyDescent="0.2">
      <c r="B578" s="31" t="s">
        <v>899</v>
      </c>
      <c r="C578" s="31" t="s">
        <v>900</v>
      </c>
      <c r="D578" s="34">
        <v>0</v>
      </c>
      <c r="E578" s="34"/>
      <c r="F578" s="34">
        <v>468468.57</v>
      </c>
      <c r="G578" s="34">
        <v>0</v>
      </c>
      <c r="H578" s="34">
        <f t="shared" si="8"/>
        <v>468468.57</v>
      </c>
      <c r="I578" s="34"/>
      <c r="K578" t="s">
        <v>38</v>
      </c>
    </row>
    <row r="579" spans="2:11" ht="41.25" x14ac:dyDescent="0.2">
      <c r="B579" s="31" t="s">
        <v>901</v>
      </c>
      <c r="C579" s="31" t="s">
        <v>902</v>
      </c>
      <c r="D579" s="34">
        <v>0</v>
      </c>
      <c r="E579" s="34"/>
      <c r="F579" s="34">
        <v>468467.57</v>
      </c>
      <c r="G579" s="34">
        <v>0</v>
      </c>
      <c r="H579" s="34">
        <f t="shared" si="8"/>
        <v>468467.57</v>
      </c>
      <c r="I579" s="34"/>
      <c r="K579" t="s">
        <v>38</v>
      </c>
    </row>
    <row r="580" spans="2:11" ht="41.25" x14ac:dyDescent="0.2">
      <c r="B580" s="31" t="s">
        <v>903</v>
      </c>
      <c r="C580" s="31" t="s">
        <v>904</v>
      </c>
      <c r="D580" s="34">
        <v>0</v>
      </c>
      <c r="E580" s="34"/>
      <c r="F580" s="34">
        <v>509351.7</v>
      </c>
      <c r="G580" s="34">
        <v>0</v>
      </c>
      <c r="H580" s="34">
        <f t="shared" si="8"/>
        <v>509351.7</v>
      </c>
      <c r="I580" s="34"/>
      <c r="K580" t="s">
        <v>38</v>
      </c>
    </row>
    <row r="581" spans="2:11" ht="41.25" x14ac:dyDescent="0.2">
      <c r="B581" s="31" t="s">
        <v>905</v>
      </c>
      <c r="C581" s="31" t="s">
        <v>906</v>
      </c>
      <c r="D581" s="34">
        <v>0</v>
      </c>
      <c r="E581" s="34"/>
      <c r="F581" s="34">
        <v>988987.1</v>
      </c>
      <c r="G581" s="34">
        <v>0</v>
      </c>
      <c r="H581" s="34">
        <f t="shared" si="8"/>
        <v>988987.1</v>
      </c>
      <c r="I581" s="34"/>
      <c r="K581" t="s">
        <v>38</v>
      </c>
    </row>
    <row r="582" spans="2:11" ht="41.25" x14ac:dyDescent="0.2">
      <c r="B582" s="31" t="s">
        <v>907</v>
      </c>
      <c r="C582" s="31" t="s">
        <v>908</v>
      </c>
      <c r="D582" s="34">
        <v>0</v>
      </c>
      <c r="E582" s="34"/>
      <c r="F582" s="34">
        <v>883041.36</v>
      </c>
      <c r="G582" s="34">
        <v>0</v>
      </c>
      <c r="H582" s="34">
        <f t="shared" si="8"/>
        <v>883041.36</v>
      </c>
      <c r="I582" s="34"/>
      <c r="K582" t="s">
        <v>38</v>
      </c>
    </row>
    <row r="583" spans="2:11" ht="41.25" x14ac:dyDescent="0.2">
      <c r="B583" s="31" t="s">
        <v>909</v>
      </c>
      <c r="C583" s="31" t="s">
        <v>910</v>
      </c>
      <c r="D583" s="34">
        <v>0</v>
      </c>
      <c r="E583" s="34"/>
      <c r="F583" s="34">
        <v>611330.16</v>
      </c>
      <c r="G583" s="34">
        <v>0</v>
      </c>
      <c r="H583" s="34">
        <f t="shared" si="8"/>
        <v>611330.16</v>
      </c>
      <c r="I583" s="34"/>
      <c r="K583" t="s">
        <v>38</v>
      </c>
    </row>
    <row r="584" spans="2:11" ht="41.25" x14ac:dyDescent="0.2">
      <c r="B584" s="31" t="s">
        <v>911</v>
      </c>
      <c r="C584" s="31" t="s">
        <v>912</v>
      </c>
      <c r="D584" s="34">
        <v>0</v>
      </c>
      <c r="E584" s="34"/>
      <c r="F584" s="34">
        <v>552551.5</v>
      </c>
      <c r="G584" s="34">
        <v>0</v>
      </c>
      <c r="H584" s="34">
        <f t="shared" si="8"/>
        <v>552551.5</v>
      </c>
      <c r="I584" s="34"/>
      <c r="K584" t="s">
        <v>38</v>
      </c>
    </row>
    <row r="585" spans="2:11" ht="41.25" x14ac:dyDescent="0.2">
      <c r="B585" s="31" t="s">
        <v>913</v>
      </c>
      <c r="C585" s="31" t="s">
        <v>914</v>
      </c>
      <c r="D585" s="34">
        <v>0</v>
      </c>
      <c r="E585" s="34"/>
      <c r="F585" s="34">
        <v>1028226.26</v>
      </c>
      <c r="G585" s="34">
        <v>0</v>
      </c>
      <c r="H585" s="34">
        <f t="shared" si="8"/>
        <v>1028226.26</v>
      </c>
      <c r="I585" s="34"/>
      <c r="K585" t="s">
        <v>38</v>
      </c>
    </row>
    <row r="586" spans="2:11" ht="41.25" x14ac:dyDescent="0.2">
      <c r="B586" s="31" t="s">
        <v>915</v>
      </c>
      <c r="C586" s="31" t="s">
        <v>916</v>
      </c>
      <c r="D586" s="34">
        <v>0</v>
      </c>
      <c r="E586" s="34"/>
      <c r="F586" s="34">
        <v>988987.1</v>
      </c>
      <c r="G586" s="34">
        <v>0</v>
      </c>
      <c r="H586" s="34">
        <f t="shared" si="8"/>
        <v>988987.1</v>
      </c>
      <c r="I586" s="34"/>
      <c r="K586" t="s">
        <v>38</v>
      </c>
    </row>
    <row r="587" spans="2:11" ht="41.25" x14ac:dyDescent="0.2">
      <c r="B587" s="31" t="s">
        <v>917</v>
      </c>
      <c r="C587" s="31" t="s">
        <v>918</v>
      </c>
      <c r="D587" s="34">
        <v>0</v>
      </c>
      <c r="E587" s="34"/>
      <c r="F587" s="34">
        <v>877265.47</v>
      </c>
      <c r="G587" s="34">
        <v>0</v>
      </c>
      <c r="H587" s="34">
        <f t="shared" si="8"/>
        <v>877265.47</v>
      </c>
      <c r="I587" s="34"/>
      <c r="K587" t="s">
        <v>38</v>
      </c>
    </row>
    <row r="588" spans="2:11" ht="41.25" x14ac:dyDescent="0.2">
      <c r="B588" s="31" t="s">
        <v>919</v>
      </c>
      <c r="C588" s="31" t="s">
        <v>920</v>
      </c>
      <c r="D588" s="34">
        <v>0</v>
      </c>
      <c r="E588" s="34"/>
      <c r="F588" s="34">
        <v>1340399.21</v>
      </c>
      <c r="G588" s="34">
        <v>0</v>
      </c>
      <c r="H588" s="34">
        <f t="shared" ref="H588:H651" si="9">D588 + F588 - G588</f>
        <v>1340399.21</v>
      </c>
      <c r="I588" s="34"/>
      <c r="K588" t="s">
        <v>38</v>
      </c>
    </row>
    <row r="589" spans="2:11" ht="41.25" x14ac:dyDescent="0.2">
      <c r="B589" s="31" t="s">
        <v>921</v>
      </c>
      <c r="C589" s="31" t="s">
        <v>922</v>
      </c>
      <c r="D589" s="34">
        <v>0</v>
      </c>
      <c r="E589" s="34"/>
      <c r="F589" s="34">
        <v>1089087.01</v>
      </c>
      <c r="G589" s="34">
        <v>0</v>
      </c>
      <c r="H589" s="34">
        <f t="shared" si="9"/>
        <v>1089087.01</v>
      </c>
      <c r="I589" s="34"/>
      <c r="K589" t="s">
        <v>38</v>
      </c>
    </row>
    <row r="590" spans="2:11" ht="41.25" x14ac:dyDescent="0.2">
      <c r="B590" s="31" t="s">
        <v>923</v>
      </c>
      <c r="C590" s="31" t="s">
        <v>924</v>
      </c>
      <c r="D590" s="34">
        <v>0</v>
      </c>
      <c r="E590" s="34"/>
      <c r="F590" s="34">
        <v>1055446.94</v>
      </c>
      <c r="G590" s="34">
        <v>0</v>
      </c>
      <c r="H590" s="34">
        <f t="shared" si="9"/>
        <v>1055446.94</v>
      </c>
      <c r="I590" s="34"/>
      <c r="K590" t="s">
        <v>38</v>
      </c>
    </row>
    <row r="591" spans="2:11" ht="41.25" x14ac:dyDescent="0.2">
      <c r="B591" s="31" t="s">
        <v>925</v>
      </c>
      <c r="C591" s="31" t="s">
        <v>926</v>
      </c>
      <c r="D591" s="34">
        <v>0</v>
      </c>
      <c r="E591" s="34"/>
      <c r="F591" s="34">
        <v>1508809.45</v>
      </c>
      <c r="G591" s="34">
        <v>0</v>
      </c>
      <c r="H591" s="34">
        <f t="shared" si="9"/>
        <v>1508809.45</v>
      </c>
      <c r="I591" s="34"/>
      <c r="K591" t="s">
        <v>38</v>
      </c>
    </row>
    <row r="592" spans="2:11" ht="41.25" x14ac:dyDescent="0.2">
      <c r="B592" s="31" t="s">
        <v>927</v>
      </c>
      <c r="C592" s="31" t="s">
        <v>928</v>
      </c>
      <c r="D592" s="34">
        <v>0</v>
      </c>
      <c r="E592" s="34"/>
      <c r="F592" s="34">
        <v>865445.74</v>
      </c>
      <c r="G592" s="34">
        <v>0</v>
      </c>
      <c r="H592" s="34">
        <f t="shared" si="9"/>
        <v>865445.74</v>
      </c>
      <c r="I592" s="34"/>
      <c r="K592" t="s">
        <v>38</v>
      </c>
    </row>
    <row r="593" spans="2:11" ht="41.25" x14ac:dyDescent="0.2">
      <c r="B593" s="31" t="s">
        <v>929</v>
      </c>
      <c r="C593" s="31" t="s">
        <v>930</v>
      </c>
      <c r="D593" s="34">
        <v>0</v>
      </c>
      <c r="E593" s="34"/>
      <c r="F593" s="34">
        <v>1995495.64</v>
      </c>
      <c r="G593" s="34">
        <v>1995495.64</v>
      </c>
      <c r="H593" s="34">
        <f t="shared" si="9"/>
        <v>0</v>
      </c>
      <c r="I593" s="34"/>
      <c r="K593" t="s">
        <v>38</v>
      </c>
    </row>
    <row r="594" spans="2:11" ht="41.25" x14ac:dyDescent="0.2">
      <c r="B594" s="31" t="s">
        <v>931</v>
      </c>
      <c r="C594" s="31" t="s">
        <v>932</v>
      </c>
      <c r="D594" s="34">
        <v>0</v>
      </c>
      <c r="E594" s="34"/>
      <c r="F594" s="34">
        <v>2132453.29</v>
      </c>
      <c r="G594" s="34">
        <v>2132453.29</v>
      </c>
      <c r="H594" s="34">
        <f t="shared" si="9"/>
        <v>0</v>
      </c>
      <c r="I594" s="34"/>
      <c r="K594" t="s">
        <v>38</v>
      </c>
    </row>
    <row r="595" spans="2:11" ht="41.25" x14ac:dyDescent="0.2">
      <c r="B595" s="31" t="s">
        <v>933</v>
      </c>
      <c r="C595" s="31" t="s">
        <v>934</v>
      </c>
      <c r="D595" s="34">
        <v>0</v>
      </c>
      <c r="E595" s="34"/>
      <c r="F595" s="34">
        <v>1780176.78</v>
      </c>
      <c r="G595" s="34">
        <v>1780176.78</v>
      </c>
      <c r="H595" s="34">
        <f t="shared" si="9"/>
        <v>0</v>
      </c>
      <c r="I595" s="34"/>
      <c r="K595" t="s">
        <v>38</v>
      </c>
    </row>
    <row r="596" spans="2:11" ht="41.25" x14ac:dyDescent="0.2">
      <c r="B596" s="31" t="s">
        <v>935</v>
      </c>
      <c r="C596" s="31" t="s">
        <v>936</v>
      </c>
      <c r="D596" s="34">
        <v>0</v>
      </c>
      <c r="E596" s="34"/>
      <c r="F596" s="34">
        <v>1564863.74</v>
      </c>
      <c r="G596" s="34">
        <v>1564863.74</v>
      </c>
      <c r="H596" s="34">
        <f t="shared" si="9"/>
        <v>0</v>
      </c>
      <c r="I596" s="34"/>
      <c r="K596" t="s">
        <v>38</v>
      </c>
    </row>
    <row r="597" spans="2:11" ht="41.25" x14ac:dyDescent="0.2">
      <c r="B597" s="31" t="s">
        <v>937</v>
      </c>
      <c r="C597" s="31" t="s">
        <v>938</v>
      </c>
      <c r="D597" s="34">
        <v>0</v>
      </c>
      <c r="E597" s="34"/>
      <c r="F597" s="34">
        <v>1905697.5</v>
      </c>
      <c r="G597" s="34">
        <v>1905697.5</v>
      </c>
      <c r="H597" s="34">
        <f t="shared" si="9"/>
        <v>0</v>
      </c>
      <c r="I597" s="34"/>
      <c r="K597" t="s">
        <v>38</v>
      </c>
    </row>
    <row r="598" spans="2:11" ht="41.25" x14ac:dyDescent="0.2">
      <c r="B598" s="31" t="s">
        <v>939</v>
      </c>
      <c r="C598" s="31" t="s">
        <v>940</v>
      </c>
      <c r="D598" s="34">
        <v>0</v>
      </c>
      <c r="E598" s="34"/>
      <c r="F598" s="34">
        <v>1074203.3600000001</v>
      </c>
      <c r="G598" s="34">
        <v>1074203.3600000001</v>
      </c>
      <c r="H598" s="34">
        <f t="shared" si="9"/>
        <v>0</v>
      </c>
      <c r="I598" s="34"/>
      <c r="K598" t="s">
        <v>38</v>
      </c>
    </row>
    <row r="599" spans="2:11" ht="41.25" x14ac:dyDescent="0.2">
      <c r="B599" s="31" t="s">
        <v>941</v>
      </c>
      <c r="C599" s="31" t="s">
        <v>942</v>
      </c>
      <c r="D599" s="34">
        <v>0</v>
      </c>
      <c r="E599" s="34"/>
      <c r="F599" s="34">
        <v>1935808</v>
      </c>
      <c r="G599" s="34">
        <v>1935808</v>
      </c>
      <c r="H599" s="34">
        <f t="shared" si="9"/>
        <v>0</v>
      </c>
      <c r="I599" s="34"/>
      <c r="K599" t="s">
        <v>38</v>
      </c>
    </row>
    <row r="600" spans="2:11" ht="41.25" x14ac:dyDescent="0.2">
      <c r="B600" s="31" t="s">
        <v>943</v>
      </c>
      <c r="C600" s="31" t="s">
        <v>944</v>
      </c>
      <c r="D600" s="34">
        <v>0</v>
      </c>
      <c r="E600" s="34"/>
      <c r="F600" s="34">
        <v>1965697.5</v>
      </c>
      <c r="G600" s="34">
        <v>1965697.5</v>
      </c>
      <c r="H600" s="34">
        <f t="shared" si="9"/>
        <v>0</v>
      </c>
      <c r="I600" s="34"/>
      <c r="K600" t="s">
        <v>38</v>
      </c>
    </row>
    <row r="601" spans="2:11" ht="41.25" x14ac:dyDescent="0.2">
      <c r="B601" s="31" t="s">
        <v>945</v>
      </c>
      <c r="C601" s="31" t="s">
        <v>946</v>
      </c>
      <c r="D601" s="34">
        <v>0</v>
      </c>
      <c r="E601" s="34"/>
      <c r="F601" s="34">
        <v>1804827.5</v>
      </c>
      <c r="G601" s="34">
        <v>1804827.5</v>
      </c>
      <c r="H601" s="34">
        <f t="shared" si="9"/>
        <v>0</v>
      </c>
      <c r="I601" s="34"/>
      <c r="K601" t="s">
        <v>38</v>
      </c>
    </row>
    <row r="602" spans="2:11" ht="41.25" x14ac:dyDescent="0.2">
      <c r="B602" s="31" t="s">
        <v>947</v>
      </c>
      <c r="C602" s="31" t="s">
        <v>948</v>
      </c>
      <c r="D602" s="34">
        <v>0</v>
      </c>
      <c r="E602" s="34"/>
      <c r="F602" s="34">
        <v>1586752.47</v>
      </c>
      <c r="G602" s="34">
        <v>1586752.47</v>
      </c>
      <c r="H602" s="34">
        <f t="shared" si="9"/>
        <v>0</v>
      </c>
      <c r="I602" s="34"/>
      <c r="K602" t="s">
        <v>38</v>
      </c>
    </row>
    <row r="603" spans="2:11" ht="41.25" x14ac:dyDescent="0.2">
      <c r="B603" s="31" t="s">
        <v>949</v>
      </c>
      <c r="C603" s="31" t="s">
        <v>950</v>
      </c>
      <c r="D603" s="34">
        <v>0</v>
      </c>
      <c r="E603" s="34"/>
      <c r="F603" s="34">
        <v>1686752.47</v>
      </c>
      <c r="G603" s="34">
        <v>1686752.47</v>
      </c>
      <c r="H603" s="34">
        <f t="shared" si="9"/>
        <v>0</v>
      </c>
      <c r="I603" s="34"/>
      <c r="K603" t="s">
        <v>38</v>
      </c>
    </row>
    <row r="604" spans="2:11" ht="16.5" x14ac:dyDescent="0.2">
      <c r="B604" s="33" t="s">
        <v>951</v>
      </c>
      <c r="C604" s="33" t="s">
        <v>952</v>
      </c>
      <c r="D604" s="35">
        <f>SUMIFS(D605:D9015,K605:K9015,"0",B605:B9015,"1 2 3 6*")-SUMIFS(E605:E9015,K605:K9015,"0",B605:B9015,"1 2 3 6*")</f>
        <v>0</v>
      </c>
      <c r="E604"/>
      <c r="F604" s="35">
        <f>SUMIFS(F605:F9015,K605:K9015,"0",B605:B9015,"1 2 3 6*")</f>
        <v>87870.38</v>
      </c>
      <c r="G604" s="35">
        <f>SUMIFS(G605:G9015,K605:K9015,"0",B605:B9015,"1 2 3 6*")</f>
        <v>0</v>
      </c>
      <c r="H604" s="35">
        <f t="shared" si="9"/>
        <v>87870.38</v>
      </c>
      <c r="I604" s="35"/>
      <c r="K604" t="s">
        <v>15</v>
      </c>
    </row>
    <row r="605" spans="2:11" ht="33" x14ac:dyDescent="0.2">
      <c r="B605" s="33" t="s">
        <v>953</v>
      </c>
      <c r="C605" s="33" t="s">
        <v>827</v>
      </c>
      <c r="D605" s="35">
        <f>SUMIFS(D606:D9015,K606:K9015,"0",B606:B9015,"1 2 3 6 9*")-SUMIFS(E606:E9015,K606:K9015,"0",B606:B9015,"1 2 3 6 9*")</f>
        <v>0</v>
      </c>
      <c r="E605"/>
      <c r="F605" s="35">
        <f>SUMIFS(F606:F9015,K606:K9015,"0",B606:B9015,"1 2 3 6 9*")</f>
        <v>87870.38</v>
      </c>
      <c r="G605" s="35">
        <f>SUMIFS(G606:G9015,K606:K9015,"0",B606:B9015,"1 2 3 6 9*")</f>
        <v>0</v>
      </c>
      <c r="H605" s="35">
        <f t="shared" si="9"/>
        <v>87870.38</v>
      </c>
      <c r="I605" s="35"/>
      <c r="K605" t="s">
        <v>15</v>
      </c>
    </row>
    <row r="606" spans="2:11" ht="12.75" x14ac:dyDescent="0.2">
      <c r="B606" s="33" t="s">
        <v>954</v>
      </c>
      <c r="C606" s="33" t="s">
        <v>26</v>
      </c>
      <c r="D606" s="35">
        <f>SUMIFS(D607:D9015,K607:K9015,"0",B607:B9015,"1 2 3 6 9 12*")-SUMIFS(E607:E9015,K607:K9015,"0",B607:B9015,"1 2 3 6 9 12*")</f>
        <v>0</v>
      </c>
      <c r="E606"/>
      <c r="F606" s="35">
        <f>SUMIFS(F607:F9015,K607:K9015,"0",B607:B9015,"1 2 3 6 9 12*")</f>
        <v>87870.38</v>
      </c>
      <c r="G606" s="35">
        <f>SUMIFS(G607:G9015,K607:K9015,"0",B607:B9015,"1 2 3 6 9 12*")</f>
        <v>0</v>
      </c>
      <c r="H606" s="35">
        <f t="shared" si="9"/>
        <v>87870.38</v>
      </c>
      <c r="I606" s="35"/>
      <c r="K606" t="s">
        <v>15</v>
      </c>
    </row>
    <row r="607" spans="2:11" ht="16.5" x14ac:dyDescent="0.2">
      <c r="B607" s="33" t="s">
        <v>955</v>
      </c>
      <c r="C607" s="33" t="s">
        <v>28</v>
      </c>
      <c r="D607" s="35">
        <f>SUMIFS(D608:D9015,K608:K9015,"0",B608:B9015,"1 2 3 6 9 12 31111*")-SUMIFS(E608:E9015,K608:K9015,"0",B608:B9015,"1 2 3 6 9 12 31111*")</f>
        <v>0</v>
      </c>
      <c r="E607"/>
      <c r="F607" s="35">
        <f>SUMIFS(F608:F9015,K608:K9015,"0",B608:B9015,"1 2 3 6 9 12 31111*")</f>
        <v>87870.38</v>
      </c>
      <c r="G607" s="35">
        <f>SUMIFS(G608:G9015,K608:K9015,"0",B608:B9015,"1 2 3 6 9 12 31111*")</f>
        <v>0</v>
      </c>
      <c r="H607" s="35">
        <f t="shared" si="9"/>
        <v>87870.38</v>
      </c>
      <c r="I607" s="35"/>
      <c r="K607" t="s">
        <v>15</v>
      </c>
    </row>
    <row r="608" spans="2:11" ht="12.75" x14ac:dyDescent="0.2">
      <c r="B608" s="33" t="s">
        <v>956</v>
      </c>
      <c r="C608" s="33" t="s">
        <v>30</v>
      </c>
      <c r="D608" s="35">
        <f>SUMIFS(D609:D9015,K609:K9015,"0",B609:B9015,"1 2 3 6 9 12 31111 6*")-SUMIFS(E609:E9015,K609:K9015,"0",B609:B9015,"1 2 3 6 9 12 31111 6*")</f>
        <v>0</v>
      </c>
      <c r="E608"/>
      <c r="F608" s="35">
        <f>SUMIFS(F609:F9015,K609:K9015,"0",B609:B9015,"1 2 3 6 9 12 31111 6*")</f>
        <v>87870.38</v>
      </c>
      <c r="G608" s="35">
        <f>SUMIFS(G609:G9015,K609:K9015,"0",B609:B9015,"1 2 3 6 9 12 31111 6*")</f>
        <v>0</v>
      </c>
      <c r="H608" s="35">
        <f t="shared" si="9"/>
        <v>87870.38</v>
      </c>
      <c r="I608" s="35"/>
      <c r="K608" t="s">
        <v>15</v>
      </c>
    </row>
    <row r="609" spans="2:11" ht="16.5" x14ac:dyDescent="0.2">
      <c r="B609" s="33" t="s">
        <v>957</v>
      </c>
      <c r="C609" s="33" t="s">
        <v>42</v>
      </c>
      <c r="D609" s="35">
        <f>SUMIFS(D610:D9015,K610:K9015,"0",B610:B9015,"1 2 3 6 9 12 31111 6 M59*")-SUMIFS(E610:E9015,K610:K9015,"0",B610:B9015,"1 2 3 6 9 12 31111 6 M59*")</f>
        <v>0</v>
      </c>
      <c r="E609"/>
      <c r="F609" s="35">
        <f>SUMIFS(F610:F9015,K610:K9015,"0",B610:B9015,"1 2 3 6 9 12 31111 6 M59*")</f>
        <v>87870.38</v>
      </c>
      <c r="G609" s="35">
        <f>SUMIFS(G610:G9015,K610:K9015,"0",B610:B9015,"1 2 3 6 9 12 31111 6 M59*")</f>
        <v>0</v>
      </c>
      <c r="H609" s="35">
        <f t="shared" si="9"/>
        <v>87870.38</v>
      </c>
      <c r="I609" s="35"/>
      <c r="K609" t="s">
        <v>15</v>
      </c>
    </row>
    <row r="610" spans="2:11" ht="16.5" x14ac:dyDescent="0.2">
      <c r="B610" s="33" t="s">
        <v>958</v>
      </c>
      <c r="C610" s="33" t="s">
        <v>646</v>
      </c>
      <c r="D610" s="35">
        <f>SUMIFS(D611:D9015,K611:K9015,"0",B611:B9015,"1 2 3 6 9 12 31111 6 M59 30100*")-SUMIFS(E611:E9015,K611:K9015,"0",B611:B9015,"1 2 3 6 9 12 31111 6 M59 30100*")</f>
        <v>0</v>
      </c>
      <c r="E610"/>
      <c r="F610" s="35">
        <f>SUMIFS(F611:F9015,K611:K9015,"0",B611:B9015,"1 2 3 6 9 12 31111 6 M59 30100*")</f>
        <v>87870.38</v>
      </c>
      <c r="G610" s="35">
        <f>SUMIFS(G611:G9015,K611:K9015,"0",B611:B9015,"1 2 3 6 9 12 31111 6 M59 30100*")</f>
        <v>0</v>
      </c>
      <c r="H610" s="35">
        <f t="shared" si="9"/>
        <v>87870.38</v>
      </c>
      <c r="I610" s="35"/>
      <c r="K610" t="s">
        <v>15</v>
      </c>
    </row>
    <row r="611" spans="2:11" ht="16.5" x14ac:dyDescent="0.2">
      <c r="B611" s="33" t="s">
        <v>959</v>
      </c>
      <c r="C611" s="33" t="s">
        <v>648</v>
      </c>
      <c r="D611" s="35">
        <f>SUMIFS(D612:D9015,K612:K9015,"0",B612:B9015,"1 2 3 6 9 12 31111 6 M59 30100 000132*")-SUMIFS(E612:E9015,K612:K9015,"0",B612:B9015,"1 2 3 6 9 12 31111 6 M59 30100 000132*")</f>
        <v>0</v>
      </c>
      <c r="E611"/>
      <c r="F611" s="35">
        <f>SUMIFS(F612:F9015,K612:K9015,"0",B612:B9015,"1 2 3 6 9 12 31111 6 M59 30100 000132*")</f>
        <v>87870.38</v>
      </c>
      <c r="G611" s="35">
        <f>SUMIFS(G612:G9015,K612:K9015,"0",B612:B9015,"1 2 3 6 9 12 31111 6 M59 30100 000132*")</f>
        <v>0</v>
      </c>
      <c r="H611" s="35">
        <f t="shared" si="9"/>
        <v>87870.38</v>
      </c>
      <c r="I611" s="35"/>
      <c r="K611" t="s">
        <v>15</v>
      </c>
    </row>
    <row r="612" spans="2:11" ht="24.75" x14ac:dyDescent="0.2">
      <c r="B612" s="33" t="s">
        <v>960</v>
      </c>
      <c r="C612" s="33" t="s">
        <v>650</v>
      </c>
      <c r="D612" s="35">
        <f>SUMIFS(D613:D9015,K613:K9015,"0",B613:B9015,"1 2 3 6 9 12 31111 6 M59 30100 000132 0000R*")-SUMIFS(E613:E9015,K613:K9015,"0",B613:B9015,"1 2 3 6 9 12 31111 6 M59 30100 000132 0000R*")</f>
        <v>0</v>
      </c>
      <c r="E612"/>
      <c r="F612" s="35">
        <f>SUMIFS(F613:F9015,K613:K9015,"0",B613:B9015,"1 2 3 6 9 12 31111 6 M59 30100 000132 0000R*")</f>
        <v>87870.38</v>
      </c>
      <c r="G612" s="35">
        <f>SUMIFS(G613:G9015,K613:K9015,"0",B613:B9015,"1 2 3 6 9 12 31111 6 M59 30100 000132 0000R*")</f>
        <v>0</v>
      </c>
      <c r="H612" s="35">
        <f t="shared" si="9"/>
        <v>87870.38</v>
      </c>
      <c r="I612" s="35"/>
      <c r="K612" t="s">
        <v>15</v>
      </c>
    </row>
    <row r="613" spans="2:11" ht="24.75" x14ac:dyDescent="0.2">
      <c r="B613" s="33" t="s">
        <v>961</v>
      </c>
      <c r="C613" s="33" t="s">
        <v>652</v>
      </c>
      <c r="D613" s="35">
        <f>SUMIFS(D614:D9015,K614:K9015,"0",B614:B9015,"1 2 3 6 9 12 31111 6 M59 30100 000132 0000R 00002*")-SUMIFS(E614:E9015,K614:K9015,"0",B614:B9015,"1 2 3 6 9 12 31111 6 M59 30100 000132 0000R 00002*")</f>
        <v>0</v>
      </c>
      <c r="E613"/>
      <c r="F613" s="35">
        <f>SUMIFS(F614:F9015,K614:K9015,"0",B614:B9015,"1 2 3 6 9 12 31111 6 M59 30100 000132 0000R 00002*")</f>
        <v>87870.38</v>
      </c>
      <c r="G613" s="35">
        <f>SUMIFS(G614:G9015,K614:K9015,"0",B614:B9015,"1 2 3 6 9 12 31111 6 M59 30100 000132 0000R 00002*")</f>
        <v>0</v>
      </c>
      <c r="H613" s="35">
        <f t="shared" si="9"/>
        <v>87870.38</v>
      </c>
      <c r="I613" s="35"/>
      <c r="K613" t="s">
        <v>15</v>
      </c>
    </row>
    <row r="614" spans="2:11" ht="24.75" x14ac:dyDescent="0.2">
      <c r="B614" s="33" t="s">
        <v>962</v>
      </c>
      <c r="C614" s="33" t="s">
        <v>837</v>
      </c>
      <c r="D614" s="35">
        <f>SUMIFS(D615:D9015,K615:K9015,"0",B615:B9015,"1 2 3 6 9 12 31111 6 M59 30100 000132 0000R 00002 00629*")-SUMIFS(E615:E9015,K615:K9015,"0",B615:B9015,"1 2 3 6 9 12 31111 6 M59 30100 000132 0000R 00002 00629*")</f>
        <v>0</v>
      </c>
      <c r="E614"/>
      <c r="F614" s="35">
        <f>SUMIFS(F615:F9015,K615:K9015,"0",B615:B9015,"1 2 3 6 9 12 31111 6 M59 30100 000132 0000R 00002 00629*")</f>
        <v>87870.38</v>
      </c>
      <c r="G614" s="35">
        <f>SUMIFS(G615:G9015,K615:K9015,"0",B615:B9015,"1 2 3 6 9 12 31111 6 M59 30100 000132 0000R 00002 00629*")</f>
        <v>0</v>
      </c>
      <c r="H614" s="35">
        <f t="shared" si="9"/>
        <v>87870.38</v>
      </c>
      <c r="I614" s="35"/>
      <c r="K614" t="s">
        <v>15</v>
      </c>
    </row>
    <row r="615" spans="2:11" ht="33" x14ac:dyDescent="0.2">
      <c r="B615" s="33" t="s">
        <v>963</v>
      </c>
      <c r="C615" s="33" t="s">
        <v>656</v>
      </c>
      <c r="D615" s="35">
        <f>SUMIFS(D616:D9015,K616:K9015,"0",B616:B9015,"1 2 3 6 9 12 31111 6 M59 30100 000132 0000R 00002 00629 025*")-SUMIFS(E616:E9015,K616:K9015,"0",B616:B9015,"1 2 3 6 9 12 31111 6 M59 30100 000132 0000R 00002 00629 025*")</f>
        <v>0</v>
      </c>
      <c r="E615"/>
      <c r="F615" s="35">
        <f>SUMIFS(F616:F9015,K616:K9015,"0",B616:B9015,"1 2 3 6 9 12 31111 6 M59 30100 000132 0000R 00002 00629 025*")</f>
        <v>87870.38</v>
      </c>
      <c r="G615" s="35">
        <f>SUMIFS(G616:G9015,K616:K9015,"0",B616:B9015,"1 2 3 6 9 12 31111 6 M59 30100 000132 0000R 00002 00629 025*")</f>
        <v>0</v>
      </c>
      <c r="H615" s="35">
        <f t="shared" si="9"/>
        <v>87870.38</v>
      </c>
      <c r="I615" s="35"/>
      <c r="K615" t="s">
        <v>15</v>
      </c>
    </row>
    <row r="616" spans="2:11" ht="33" x14ac:dyDescent="0.2">
      <c r="B616" s="33" t="s">
        <v>964</v>
      </c>
      <c r="C616" s="33" t="s">
        <v>658</v>
      </c>
      <c r="D616" s="35">
        <f>SUMIFS(D617:D9015,K617:K9015,"0",B617:B9015,"1 2 3 6 9 12 31111 6 M59 30100 000132 0000R 00002 00629 025 2210000*")-SUMIFS(E617:E9015,K617:K9015,"0",B617:B9015,"1 2 3 6 9 12 31111 6 M59 30100 000132 0000R 00002 00629 025 2210000*")</f>
        <v>0</v>
      </c>
      <c r="E616"/>
      <c r="F616" s="35">
        <f>SUMIFS(F617:F9015,K617:K9015,"0",B617:B9015,"1 2 3 6 9 12 31111 6 M59 30100 000132 0000R 00002 00629 025 2210000*")</f>
        <v>87870.38</v>
      </c>
      <c r="G616" s="35">
        <f>SUMIFS(G617:G9015,K617:K9015,"0",B617:B9015,"1 2 3 6 9 12 31111 6 M59 30100 000132 0000R 00002 00629 025 2210000*")</f>
        <v>0</v>
      </c>
      <c r="H616" s="35">
        <f t="shared" si="9"/>
        <v>87870.38</v>
      </c>
      <c r="I616" s="35"/>
      <c r="K616" t="s">
        <v>15</v>
      </c>
    </row>
    <row r="617" spans="2:11" ht="33" x14ac:dyDescent="0.2">
      <c r="B617" s="33" t="s">
        <v>965</v>
      </c>
      <c r="C617" s="33" t="s">
        <v>660</v>
      </c>
      <c r="D617" s="35">
        <f>SUMIFS(D618:D9015,K618:K9015,"0",B618:B9015,"1 2 3 6 9 12 31111 6 M59 30100 000132 0000R 00002 00629 025 2210000 2024*")-SUMIFS(E618:E9015,K618:K9015,"0",B618:B9015,"1 2 3 6 9 12 31111 6 M59 30100 000132 0000R 00002 00629 025 2210000 2024*")</f>
        <v>0</v>
      </c>
      <c r="E617"/>
      <c r="F617" s="35">
        <f>SUMIFS(F618:F9015,K618:K9015,"0",B618:B9015,"1 2 3 6 9 12 31111 6 M59 30100 000132 0000R 00002 00629 025 2210000 2024*")</f>
        <v>87870.38</v>
      </c>
      <c r="G617" s="35">
        <f>SUMIFS(G618:G9015,K618:K9015,"0",B618:B9015,"1 2 3 6 9 12 31111 6 M59 30100 000132 0000R 00002 00629 025 2210000 2024*")</f>
        <v>0</v>
      </c>
      <c r="H617" s="35">
        <f t="shared" si="9"/>
        <v>87870.38</v>
      </c>
      <c r="I617" s="35"/>
      <c r="K617" t="s">
        <v>15</v>
      </c>
    </row>
    <row r="618" spans="2:11" ht="41.25" x14ac:dyDescent="0.2">
      <c r="B618" s="33" t="s">
        <v>966</v>
      </c>
      <c r="C618" s="33" t="s">
        <v>662</v>
      </c>
      <c r="D618" s="35">
        <f>SUMIFS(D619:D9015,K619:K9015,"0",B619:B9015,"1 2 3 6 9 12 31111 6 M59 30100 000132 0000R 00002 00629 025 2210000 2024 CP2OP405*")-SUMIFS(E619:E9015,K619:K9015,"0",B619:B9015,"1 2 3 6 9 12 31111 6 M59 30100 000132 0000R 00002 00629 025 2210000 2024 CP2OP405*")</f>
        <v>0</v>
      </c>
      <c r="E618"/>
      <c r="F618" s="35">
        <f>SUMIFS(F619:F9015,K619:K9015,"0",B619:B9015,"1 2 3 6 9 12 31111 6 M59 30100 000132 0000R 00002 00629 025 2210000 2024 CP2OP405*")</f>
        <v>87870.38</v>
      </c>
      <c r="G618" s="35">
        <f>SUMIFS(G619:G9015,K619:K9015,"0",B619:B9015,"1 2 3 6 9 12 31111 6 M59 30100 000132 0000R 00002 00629 025 2210000 2024 CP2OP405*")</f>
        <v>0</v>
      </c>
      <c r="H618" s="35">
        <f t="shared" si="9"/>
        <v>87870.38</v>
      </c>
      <c r="I618" s="35"/>
      <c r="K618" t="s">
        <v>15</v>
      </c>
    </row>
    <row r="619" spans="2:11" ht="41.25" x14ac:dyDescent="0.2">
      <c r="B619" s="33" t="s">
        <v>967</v>
      </c>
      <c r="C619" s="33" t="s">
        <v>671</v>
      </c>
      <c r="D619" s="35">
        <f>SUMIFS(D620:D9015,K620:K9015,"0",B620:B9015,"1 2 3 6 9 12 31111 6 M59 30100 000132 0000R 00002 00629 025 2210000 2024 CP2OP405 002*")-SUMIFS(E620:E9015,K620:K9015,"0",B620:B9015,"1 2 3 6 9 12 31111 6 M59 30100 000132 0000R 00002 00629 025 2210000 2024 CP2OP405 002*")</f>
        <v>0</v>
      </c>
      <c r="E619"/>
      <c r="F619" s="35">
        <f>SUMIFS(F620:F9015,K620:K9015,"0",B620:B9015,"1 2 3 6 9 12 31111 6 M59 30100 000132 0000R 00002 00629 025 2210000 2024 CP2OP405 002*")</f>
        <v>87870.38</v>
      </c>
      <c r="G619" s="35">
        <f>SUMIFS(G620:G9015,K620:K9015,"0",B620:B9015,"1 2 3 6 9 12 31111 6 M59 30100 000132 0000R 00002 00629 025 2210000 2024 CP2OP405 002*")</f>
        <v>0</v>
      </c>
      <c r="H619" s="35">
        <f t="shared" si="9"/>
        <v>87870.38</v>
      </c>
      <c r="I619" s="35"/>
      <c r="K619" t="s">
        <v>15</v>
      </c>
    </row>
    <row r="620" spans="2:11" ht="49.5" x14ac:dyDescent="0.2">
      <c r="B620" s="33" t="s">
        <v>968</v>
      </c>
      <c r="C620" s="33" t="s">
        <v>837</v>
      </c>
      <c r="D620" s="35">
        <f>SUMIFS(D621:D9015,K621:K9015,"0",B621:B9015,"1 2 3 6 9 12 31111 6 M59 30100 000132 0000R 00002 00629 025 2210000 2024 CP2OP405 002 0000001*")-SUMIFS(E621:E9015,K621:K9015,"0",B621:B9015,"1 2 3 6 9 12 31111 6 M59 30100 000132 0000R 00002 00629 025 2210000 2024 CP2OP405 002 0000001*")</f>
        <v>0</v>
      </c>
      <c r="E620"/>
      <c r="F620" s="35">
        <f>SUMIFS(F621:F9015,K621:K9015,"0",B621:B9015,"1 2 3 6 9 12 31111 6 M59 30100 000132 0000R 00002 00629 025 2210000 2024 CP2OP405 002 0000001*")</f>
        <v>87870.38</v>
      </c>
      <c r="G620" s="35">
        <f>SUMIFS(G621:G9015,K621:K9015,"0",B621:B9015,"1 2 3 6 9 12 31111 6 M59 30100 000132 0000R 00002 00629 025 2210000 2024 CP2OP405 002 0000001*")</f>
        <v>0</v>
      </c>
      <c r="H620" s="35">
        <f t="shared" si="9"/>
        <v>87870.38</v>
      </c>
      <c r="I620" s="35"/>
      <c r="K620" t="s">
        <v>15</v>
      </c>
    </row>
    <row r="621" spans="2:11" ht="41.25" x14ac:dyDescent="0.2">
      <c r="B621" s="31" t="s">
        <v>969</v>
      </c>
      <c r="C621" s="31" t="s">
        <v>970</v>
      </c>
      <c r="D621" s="34">
        <v>0</v>
      </c>
      <c r="E621" s="34"/>
      <c r="F621" s="34">
        <v>87870.38</v>
      </c>
      <c r="G621" s="34">
        <v>0</v>
      </c>
      <c r="H621" s="34">
        <f t="shared" si="9"/>
        <v>87870.38</v>
      </c>
      <c r="I621" s="34"/>
      <c r="K621" t="s">
        <v>38</v>
      </c>
    </row>
    <row r="622" spans="2:11" ht="12.75" x14ac:dyDescent="0.2">
      <c r="B622" s="33" t="s">
        <v>971</v>
      </c>
      <c r="C622" s="33" t="s">
        <v>972</v>
      </c>
      <c r="D622" s="35">
        <f>SUMIFS(D623:D9015,K623:K9015,"0",B623:B9015,"1 2 4*")-SUMIFS(E623:E9015,K623:K9015,"0",B623:B9015,"1 2 4*")</f>
        <v>23581799.290000007</v>
      </c>
      <c r="E622"/>
      <c r="F622" s="35">
        <f>SUMIFS(F623:F9015,K623:K9015,"0",B623:B9015,"1 2 4*")</f>
        <v>9784807.6799999997</v>
      </c>
      <c r="G622" s="35">
        <f>SUMIFS(G623:G9015,K623:K9015,"0",B623:B9015,"1 2 4*")</f>
        <v>6616312.3500000006</v>
      </c>
      <c r="H622" s="35">
        <f t="shared" si="9"/>
        <v>26750294.620000005</v>
      </c>
      <c r="I622" s="35"/>
      <c r="K622" t="s">
        <v>15</v>
      </c>
    </row>
    <row r="623" spans="2:11" ht="16.5" x14ac:dyDescent="0.2">
      <c r="B623" s="33" t="s">
        <v>973</v>
      </c>
      <c r="C623" s="33" t="s">
        <v>974</v>
      </c>
      <c r="D623" s="35">
        <f>SUMIFS(D624:D9015,K624:K9015,"0",B624:B9015,"1 2 4 1*")-SUMIFS(E624:E9015,K624:K9015,"0",B624:B9015,"1 2 4 1*")</f>
        <v>3804839.1199999996</v>
      </c>
      <c r="E623"/>
      <c r="F623" s="35">
        <f>SUMIFS(F624:F9015,K624:K9015,"0",B624:B9015,"1 2 4 1*")</f>
        <v>587770.96</v>
      </c>
      <c r="G623" s="35">
        <f>SUMIFS(G624:G9015,K624:K9015,"0",B624:B9015,"1 2 4 1*")</f>
        <v>1068372.96</v>
      </c>
      <c r="H623" s="35">
        <f t="shared" si="9"/>
        <v>3324237.12</v>
      </c>
      <c r="I623" s="35"/>
      <c r="K623" t="s">
        <v>15</v>
      </c>
    </row>
    <row r="624" spans="2:11" ht="16.5" x14ac:dyDescent="0.2">
      <c r="B624" s="33" t="s">
        <v>975</v>
      </c>
      <c r="C624" s="33" t="s">
        <v>976</v>
      </c>
      <c r="D624" s="35">
        <f>SUMIFS(D625:D9015,K625:K9015,"0",B625:B9015,"1 2 4 1 1*")-SUMIFS(E625:E9015,K625:K9015,"0",B625:B9015,"1 2 4 1 1*")</f>
        <v>1893752.96</v>
      </c>
      <c r="E624"/>
      <c r="F624" s="35">
        <f>SUMIFS(F625:F9015,K625:K9015,"0",B625:B9015,"1 2 4 1 1*")</f>
        <v>1000</v>
      </c>
      <c r="G624" s="35">
        <f>SUMIFS(G625:G9015,K625:K9015,"0",B625:B9015,"1 2 4 1 1*")</f>
        <v>303079.44</v>
      </c>
      <c r="H624" s="35">
        <f t="shared" si="9"/>
        <v>1591673.52</v>
      </c>
      <c r="I624" s="35"/>
      <c r="K624" t="s">
        <v>15</v>
      </c>
    </row>
    <row r="625" spans="2:11" ht="12.75" x14ac:dyDescent="0.2">
      <c r="B625" s="33" t="s">
        <v>977</v>
      </c>
      <c r="C625" s="33" t="s">
        <v>26</v>
      </c>
      <c r="D625" s="35">
        <f>SUMIFS(D626:D9015,K626:K9015,"0",B626:B9015,"1 2 4 1 1 12*")-SUMIFS(E626:E9015,K626:K9015,"0",B626:B9015,"1 2 4 1 1 12*")</f>
        <v>1893752.96</v>
      </c>
      <c r="E625"/>
      <c r="F625" s="35">
        <f>SUMIFS(F626:F9015,K626:K9015,"0",B626:B9015,"1 2 4 1 1 12*")</f>
        <v>1000</v>
      </c>
      <c r="G625" s="35">
        <f>SUMIFS(G626:G9015,K626:K9015,"0",B626:B9015,"1 2 4 1 1 12*")</f>
        <v>303079.44</v>
      </c>
      <c r="H625" s="35">
        <f t="shared" si="9"/>
        <v>1591673.52</v>
      </c>
      <c r="I625" s="35"/>
      <c r="K625" t="s">
        <v>15</v>
      </c>
    </row>
    <row r="626" spans="2:11" ht="16.5" x14ac:dyDescent="0.2">
      <c r="B626" s="33" t="s">
        <v>978</v>
      </c>
      <c r="C626" s="33" t="s">
        <v>28</v>
      </c>
      <c r="D626" s="35">
        <f>SUMIFS(D627:D9015,K627:K9015,"0",B627:B9015,"1 2 4 1 1 12 31111*")-SUMIFS(E627:E9015,K627:K9015,"0",B627:B9015,"1 2 4 1 1 12 31111*")</f>
        <v>1893752.96</v>
      </c>
      <c r="E626"/>
      <c r="F626" s="35">
        <f>SUMIFS(F627:F9015,K627:K9015,"0",B627:B9015,"1 2 4 1 1 12 31111*")</f>
        <v>1000</v>
      </c>
      <c r="G626" s="35">
        <f>SUMIFS(G627:G9015,K627:K9015,"0",B627:B9015,"1 2 4 1 1 12 31111*")</f>
        <v>303079.44</v>
      </c>
      <c r="H626" s="35">
        <f t="shared" si="9"/>
        <v>1591673.52</v>
      </c>
      <c r="I626" s="35"/>
      <c r="K626" t="s">
        <v>15</v>
      </c>
    </row>
    <row r="627" spans="2:11" ht="12.75" x14ac:dyDescent="0.2">
      <c r="B627" s="33" t="s">
        <v>979</v>
      </c>
      <c r="C627" s="33" t="s">
        <v>30</v>
      </c>
      <c r="D627" s="35">
        <f>SUMIFS(D628:D9015,K628:K9015,"0",B628:B9015,"1 2 4 1 1 12 31111 6*")-SUMIFS(E628:E9015,K628:K9015,"0",B628:B9015,"1 2 4 1 1 12 31111 6*")</f>
        <v>1893752.96</v>
      </c>
      <c r="E627"/>
      <c r="F627" s="35">
        <f>SUMIFS(F628:F9015,K628:K9015,"0",B628:B9015,"1 2 4 1 1 12 31111 6*")</f>
        <v>1000</v>
      </c>
      <c r="G627" s="35">
        <f>SUMIFS(G628:G9015,K628:K9015,"0",B628:B9015,"1 2 4 1 1 12 31111 6*")</f>
        <v>303079.44</v>
      </c>
      <c r="H627" s="35">
        <f t="shared" si="9"/>
        <v>1591673.52</v>
      </c>
      <c r="I627" s="35"/>
      <c r="K627" t="s">
        <v>15</v>
      </c>
    </row>
    <row r="628" spans="2:11" ht="12.75" x14ac:dyDescent="0.2">
      <c r="B628" s="33" t="s">
        <v>980</v>
      </c>
      <c r="C628" s="33" t="s">
        <v>32</v>
      </c>
      <c r="D628" s="35">
        <f>SUMIFS(D629:D9015,K629:K9015,"0",B629:B9015,"1 2 4 1 1 12 31111 6 M59*")-SUMIFS(E629:E9015,K629:K9015,"0",B629:B9015,"1 2 4 1 1 12 31111 6 M59*")</f>
        <v>1893752.96</v>
      </c>
      <c r="E628"/>
      <c r="F628" s="35">
        <f>SUMIFS(F629:F9015,K629:K9015,"0",B629:B9015,"1 2 4 1 1 12 31111 6 M59*")</f>
        <v>1000</v>
      </c>
      <c r="G628" s="35">
        <f>SUMIFS(G629:G9015,K629:K9015,"0",B629:B9015,"1 2 4 1 1 12 31111 6 M59*")</f>
        <v>303079.44</v>
      </c>
      <c r="H628" s="35">
        <f t="shared" si="9"/>
        <v>1591673.52</v>
      </c>
      <c r="I628" s="35"/>
      <c r="K628" t="s">
        <v>15</v>
      </c>
    </row>
    <row r="629" spans="2:11" ht="16.5" x14ac:dyDescent="0.2">
      <c r="B629" s="33" t="s">
        <v>981</v>
      </c>
      <c r="C629" s="33" t="s">
        <v>34</v>
      </c>
      <c r="D629" s="35">
        <f>SUMIFS(D630:D9015,K630:K9015,"0",B630:B9015,"1 2 4 1 1 12 31111 6 M59 00001*")-SUMIFS(E630:E9015,K630:K9015,"0",B630:B9015,"1 2 4 1 1 12 31111 6 M59 00001*")</f>
        <v>839802.69</v>
      </c>
      <c r="E629"/>
      <c r="F629" s="35">
        <f>SUMIFS(F630:F9015,K630:K9015,"0",B630:B9015,"1 2 4 1 1 12 31111 6 M59 00001*")</f>
        <v>1000</v>
      </c>
      <c r="G629" s="35">
        <f>SUMIFS(G630:G9015,K630:K9015,"0",B630:B9015,"1 2 4 1 1 12 31111 6 M59 00001*")</f>
        <v>303079.44</v>
      </c>
      <c r="H629" s="35">
        <f t="shared" si="9"/>
        <v>537723.25</v>
      </c>
      <c r="I629" s="35"/>
      <c r="K629" t="s">
        <v>15</v>
      </c>
    </row>
    <row r="630" spans="2:11" ht="16.5" x14ac:dyDescent="0.2">
      <c r="B630" s="31" t="s">
        <v>982</v>
      </c>
      <c r="C630" s="31" t="s">
        <v>203</v>
      </c>
      <c r="D630" s="34">
        <v>833244.69</v>
      </c>
      <c r="E630" s="34"/>
      <c r="F630" s="34">
        <v>1000</v>
      </c>
      <c r="G630" s="34">
        <v>303079.44</v>
      </c>
      <c r="H630" s="34">
        <f t="shared" si="9"/>
        <v>531165.25</v>
      </c>
      <c r="I630" s="34"/>
      <c r="K630" t="s">
        <v>38</v>
      </c>
    </row>
    <row r="631" spans="2:11" ht="33" x14ac:dyDescent="0.2">
      <c r="B631" s="31" t="s">
        <v>983</v>
      </c>
      <c r="C631" s="31" t="s">
        <v>984</v>
      </c>
      <c r="D631" s="34">
        <v>6558</v>
      </c>
      <c r="E631" s="34"/>
      <c r="F631" s="34">
        <v>0</v>
      </c>
      <c r="G631" s="34">
        <v>0</v>
      </c>
      <c r="H631" s="34">
        <f t="shared" si="9"/>
        <v>6558</v>
      </c>
      <c r="I631" s="34"/>
      <c r="K631" t="s">
        <v>38</v>
      </c>
    </row>
    <row r="632" spans="2:11" ht="24.75" x14ac:dyDescent="0.2">
      <c r="B632" s="33" t="s">
        <v>985</v>
      </c>
      <c r="C632" s="33" t="s">
        <v>986</v>
      </c>
      <c r="D632" s="35">
        <f>SUMIFS(D633:D9015,K633:K9015,"0",B633:B9015,"1 2 4 1 1 12 31111 6 M59 00002*")-SUMIFS(E633:E9015,K633:K9015,"0",B633:B9015,"1 2 4 1 1 12 31111 6 M59 00002*")</f>
        <v>67512.210000000006</v>
      </c>
      <c r="E632"/>
      <c r="F632" s="35">
        <f>SUMIFS(F633:F9015,K633:K9015,"0",B633:B9015,"1 2 4 1 1 12 31111 6 M59 00002*")</f>
        <v>0</v>
      </c>
      <c r="G632" s="35">
        <f>SUMIFS(G633:G9015,K633:K9015,"0",B633:B9015,"1 2 4 1 1 12 31111 6 M59 00002*")</f>
        <v>0</v>
      </c>
      <c r="H632" s="35">
        <f t="shared" si="9"/>
        <v>67512.210000000006</v>
      </c>
      <c r="I632" s="35"/>
      <c r="K632" t="s">
        <v>15</v>
      </c>
    </row>
    <row r="633" spans="2:11" ht="16.5" x14ac:dyDescent="0.2">
      <c r="B633" s="33" t="s">
        <v>987</v>
      </c>
      <c r="C633" s="33" t="s">
        <v>42</v>
      </c>
      <c r="D633" s="35">
        <f>SUMIFS(D634:D9015,K634:K9015,"0",B634:B9015,"1 2 4 1 1 12 31111 6 M59 00002 000001*")-SUMIFS(E634:E9015,K634:K9015,"0",B634:B9015,"1 2 4 1 1 12 31111 6 M59 00002 000001*")</f>
        <v>67512.210000000006</v>
      </c>
      <c r="E633"/>
      <c r="F633" s="35">
        <f>SUMIFS(F634:F9015,K634:K9015,"0",B634:B9015,"1 2 4 1 1 12 31111 6 M59 00002 000001*")</f>
        <v>0</v>
      </c>
      <c r="G633" s="35">
        <f>SUMIFS(G634:G9015,K634:K9015,"0",B634:B9015,"1 2 4 1 1 12 31111 6 M59 00002 000001*")</f>
        <v>0</v>
      </c>
      <c r="H633" s="35">
        <f t="shared" si="9"/>
        <v>67512.210000000006</v>
      </c>
      <c r="I633" s="35"/>
      <c r="K633" t="s">
        <v>15</v>
      </c>
    </row>
    <row r="634" spans="2:11" ht="16.5" x14ac:dyDescent="0.2">
      <c r="B634" s="31" t="s">
        <v>988</v>
      </c>
      <c r="C634" s="31" t="s">
        <v>274</v>
      </c>
      <c r="D634" s="34">
        <v>67512.210000000006</v>
      </c>
      <c r="E634" s="34"/>
      <c r="F634" s="34">
        <v>0</v>
      </c>
      <c r="G634" s="34">
        <v>0</v>
      </c>
      <c r="H634" s="34">
        <f t="shared" si="9"/>
        <v>67512.210000000006</v>
      </c>
      <c r="I634" s="34"/>
      <c r="K634" t="s">
        <v>38</v>
      </c>
    </row>
    <row r="635" spans="2:11" ht="16.5" x14ac:dyDescent="0.2">
      <c r="B635" s="33" t="s">
        <v>989</v>
      </c>
      <c r="C635" s="33" t="s">
        <v>83</v>
      </c>
      <c r="D635" s="35">
        <f>SUMIFS(D636:D9015,K636:K9015,"0",B636:B9015,"1 2 4 1 1 12 31111 6 M59 00003*")-SUMIFS(E636:E9015,K636:K9015,"0",B636:B9015,"1 2 4 1 1 12 31111 6 M59 00003*")</f>
        <v>986178.06</v>
      </c>
      <c r="E635"/>
      <c r="F635" s="35">
        <f>SUMIFS(F636:F9015,K636:K9015,"0",B636:B9015,"1 2 4 1 1 12 31111 6 M59 00003*")</f>
        <v>0</v>
      </c>
      <c r="G635" s="35">
        <f>SUMIFS(G636:G9015,K636:K9015,"0",B636:B9015,"1 2 4 1 1 12 31111 6 M59 00003*")</f>
        <v>0</v>
      </c>
      <c r="H635" s="35">
        <f t="shared" si="9"/>
        <v>986178.06</v>
      </c>
      <c r="I635" s="35"/>
      <c r="K635" t="s">
        <v>15</v>
      </c>
    </row>
    <row r="636" spans="2:11" ht="16.5" x14ac:dyDescent="0.2">
      <c r="B636" s="33" t="s">
        <v>990</v>
      </c>
      <c r="C636" s="33" t="s">
        <v>203</v>
      </c>
      <c r="D636" s="35">
        <f>SUMIFS(D637:D9015,K637:K9015,"0",B637:B9015,"1 2 4 1 1 12 31111 6 M59 00003 000001*")-SUMIFS(E637:E9015,K637:K9015,"0",B637:B9015,"1 2 4 1 1 12 31111 6 M59 00003 000001*")</f>
        <v>986178.06</v>
      </c>
      <c r="E636"/>
      <c r="F636" s="35">
        <f>SUMIFS(F637:F9015,K637:K9015,"0",B637:B9015,"1 2 4 1 1 12 31111 6 M59 00003 000001*")</f>
        <v>0</v>
      </c>
      <c r="G636" s="35">
        <f>SUMIFS(G637:G9015,K637:K9015,"0",B637:B9015,"1 2 4 1 1 12 31111 6 M59 00003 000001*")</f>
        <v>0</v>
      </c>
      <c r="H636" s="35">
        <f t="shared" si="9"/>
        <v>986178.06</v>
      </c>
      <c r="I636" s="35"/>
      <c r="K636" t="s">
        <v>15</v>
      </c>
    </row>
    <row r="637" spans="2:11" ht="16.5" x14ac:dyDescent="0.2">
      <c r="B637" s="31" t="s">
        <v>991</v>
      </c>
      <c r="C637" s="31" t="s">
        <v>274</v>
      </c>
      <c r="D637" s="34">
        <v>986178.06</v>
      </c>
      <c r="E637" s="34"/>
      <c r="F637" s="34">
        <v>0</v>
      </c>
      <c r="G637" s="34">
        <v>0</v>
      </c>
      <c r="H637" s="34">
        <f t="shared" si="9"/>
        <v>986178.06</v>
      </c>
      <c r="I637" s="34"/>
      <c r="K637" t="s">
        <v>38</v>
      </c>
    </row>
    <row r="638" spans="2:11" ht="24.75" x14ac:dyDescent="0.2">
      <c r="B638" s="33" t="s">
        <v>992</v>
      </c>
      <c r="C638" s="33" t="s">
        <v>91</v>
      </c>
      <c r="D638" s="35">
        <f>SUMIFS(D639:D9015,K639:K9015,"0",B639:B9015,"1 2 4 1 1 12 31111 6 M59 00004*")-SUMIFS(E639:E9015,K639:K9015,"0",B639:B9015,"1 2 4 1 1 12 31111 6 M59 00004*")</f>
        <v>260</v>
      </c>
      <c r="E638"/>
      <c r="F638" s="35">
        <f>SUMIFS(F639:F9015,K639:K9015,"0",B639:B9015,"1 2 4 1 1 12 31111 6 M59 00004*")</f>
        <v>0</v>
      </c>
      <c r="G638" s="35">
        <f>SUMIFS(G639:G9015,K639:K9015,"0",B639:B9015,"1 2 4 1 1 12 31111 6 M59 00004*")</f>
        <v>0</v>
      </c>
      <c r="H638" s="35">
        <f t="shared" si="9"/>
        <v>260</v>
      </c>
      <c r="I638" s="35"/>
      <c r="K638" t="s">
        <v>15</v>
      </c>
    </row>
    <row r="639" spans="2:11" ht="16.5" x14ac:dyDescent="0.2">
      <c r="B639" s="33" t="s">
        <v>993</v>
      </c>
      <c r="C639" s="33" t="s">
        <v>203</v>
      </c>
      <c r="D639" s="35">
        <f>SUMIFS(D640:D9015,K640:K9015,"0",B640:B9015,"1 2 4 1 1 12 31111 6 M59 00004 000001*")-SUMIFS(E640:E9015,K640:K9015,"0",B640:B9015,"1 2 4 1 1 12 31111 6 M59 00004 000001*")</f>
        <v>260</v>
      </c>
      <c r="E639"/>
      <c r="F639" s="35">
        <f>SUMIFS(F640:F9015,K640:K9015,"0",B640:B9015,"1 2 4 1 1 12 31111 6 M59 00004 000001*")</f>
        <v>0</v>
      </c>
      <c r="G639" s="35">
        <f>SUMIFS(G640:G9015,K640:K9015,"0",B640:B9015,"1 2 4 1 1 12 31111 6 M59 00004 000001*")</f>
        <v>0</v>
      </c>
      <c r="H639" s="35">
        <f t="shared" si="9"/>
        <v>260</v>
      </c>
      <c r="I639" s="35"/>
      <c r="K639" t="s">
        <v>15</v>
      </c>
    </row>
    <row r="640" spans="2:11" ht="16.5" x14ac:dyDescent="0.2">
      <c r="B640" s="31" t="s">
        <v>994</v>
      </c>
      <c r="C640" s="31" t="s">
        <v>274</v>
      </c>
      <c r="D640" s="34">
        <v>260</v>
      </c>
      <c r="E640" s="34"/>
      <c r="F640" s="34">
        <v>0</v>
      </c>
      <c r="G640" s="34">
        <v>0</v>
      </c>
      <c r="H640" s="34">
        <f t="shared" si="9"/>
        <v>260</v>
      </c>
      <c r="I640" s="34"/>
      <c r="K640" t="s">
        <v>38</v>
      </c>
    </row>
    <row r="641" spans="2:11" ht="16.5" x14ac:dyDescent="0.2">
      <c r="B641" s="33" t="s">
        <v>995</v>
      </c>
      <c r="C641" s="33" t="s">
        <v>996</v>
      </c>
      <c r="D641" s="35">
        <f>SUMIFS(D642:D9015,K642:K9015,"0",B642:B9015,"1 2 4 1 2*")-SUMIFS(E642:E9015,K642:K9015,"0",B642:B9015,"1 2 4 1 2*")</f>
        <v>82816.38</v>
      </c>
      <c r="E641"/>
      <c r="F641" s="35">
        <f>SUMIFS(F642:F9015,K642:K9015,"0",B642:B9015,"1 2 4 1 2*")</f>
        <v>0</v>
      </c>
      <c r="G641" s="35">
        <f>SUMIFS(G642:G9015,K642:K9015,"0",B642:B9015,"1 2 4 1 2*")</f>
        <v>15934.21</v>
      </c>
      <c r="H641" s="35">
        <f t="shared" si="9"/>
        <v>66882.170000000013</v>
      </c>
      <c r="I641" s="35"/>
      <c r="K641" t="s">
        <v>15</v>
      </c>
    </row>
    <row r="642" spans="2:11" ht="12.75" x14ac:dyDescent="0.2">
      <c r="B642" s="33" t="s">
        <v>997</v>
      </c>
      <c r="C642" s="33" t="s">
        <v>26</v>
      </c>
      <c r="D642" s="35">
        <f>SUMIFS(D643:D9015,K643:K9015,"0",B643:B9015,"1 2 4 1 2 12*")-SUMIFS(E643:E9015,K643:K9015,"0",B643:B9015,"1 2 4 1 2 12*")</f>
        <v>82816.38</v>
      </c>
      <c r="E642"/>
      <c r="F642" s="35">
        <f>SUMIFS(F643:F9015,K643:K9015,"0",B643:B9015,"1 2 4 1 2 12*")</f>
        <v>0</v>
      </c>
      <c r="G642" s="35">
        <f>SUMIFS(G643:G9015,K643:K9015,"0",B643:B9015,"1 2 4 1 2 12*")</f>
        <v>15934.21</v>
      </c>
      <c r="H642" s="35">
        <f t="shared" si="9"/>
        <v>66882.170000000013</v>
      </c>
      <c r="I642" s="35"/>
      <c r="K642" t="s">
        <v>15</v>
      </c>
    </row>
    <row r="643" spans="2:11" ht="16.5" x14ac:dyDescent="0.2">
      <c r="B643" s="33" t="s">
        <v>998</v>
      </c>
      <c r="C643" s="33" t="s">
        <v>28</v>
      </c>
      <c r="D643" s="35">
        <f>SUMIFS(D644:D9015,K644:K9015,"0",B644:B9015,"1 2 4 1 2 12 31111*")-SUMIFS(E644:E9015,K644:K9015,"0",B644:B9015,"1 2 4 1 2 12 31111*")</f>
        <v>82816.38</v>
      </c>
      <c r="E643"/>
      <c r="F643" s="35">
        <f>SUMIFS(F644:F9015,K644:K9015,"0",B644:B9015,"1 2 4 1 2 12 31111*")</f>
        <v>0</v>
      </c>
      <c r="G643" s="35">
        <f>SUMIFS(G644:G9015,K644:K9015,"0",B644:B9015,"1 2 4 1 2 12 31111*")</f>
        <v>15934.21</v>
      </c>
      <c r="H643" s="35">
        <f t="shared" si="9"/>
        <v>66882.170000000013</v>
      </c>
      <c r="I643" s="35"/>
      <c r="K643" t="s">
        <v>15</v>
      </c>
    </row>
    <row r="644" spans="2:11" ht="12.75" x14ac:dyDescent="0.2">
      <c r="B644" s="33" t="s">
        <v>999</v>
      </c>
      <c r="C644" s="33" t="s">
        <v>30</v>
      </c>
      <c r="D644" s="35">
        <f>SUMIFS(D645:D9015,K645:K9015,"0",B645:B9015,"1 2 4 1 2 12 31111 6*")-SUMIFS(E645:E9015,K645:K9015,"0",B645:B9015,"1 2 4 1 2 12 31111 6*")</f>
        <v>82816.38</v>
      </c>
      <c r="E644"/>
      <c r="F644" s="35">
        <f>SUMIFS(F645:F9015,K645:K9015,"0",B645:B9015,"1 2 4 1 2 12 31111 6*")</f>
        <v>0</v>
      </c>
      <c r="G644" s="35">
        <f>SUMIFS(G645:G9015,K645:K9015,"0",B645:B9015,"1 2 4 1 2 12 31111 6*")</f>
        <v>15934.21</v>
      </c>
      <c r="H644" s="35">
        <f t="shared" si="9"/>
        <v>66882.170000000013</v>
      </c>
      <c r="I644" s="35"/>
      <c r="K644" t="s">
        <v>15</v>
      </c>
    </row>
    <row r="645" spans="2:11" ht="16.5" x14ac:dyDescent="0.2">
      <c r="B645" s="33" t="s">
        <v>1000</v>
      </c>
      <c r="C645" s="33" t="s">
        <v>32</v>
      </c>
      <c r="D645" s="35">
        <f>SUMIFS(D646:D9015,K646:K9015,"0",B646:B9015,"1 2 4 1 2 12 31111 6 M59*")-SUMIFS(E646:E9015,K646:K9015,"0",B646:B9015,"1 2 4 1 2 12 31111 6 M59*")</f>
        <v>82816.38</v>
      </c>
      <c r="E645"/>
      <c r="F645" s="35">
        <f>SUMIFS(F646:F9015,K646:K9015,"0",B646:B9015,"1 2 4 1 2 12 31111 6 M59*")</f>
        <v>0</v>
      </c>
      <c r="G645" s="35">
        <f>SUMIFS(G646:G9015,K646:K9015,"0",B646:B9015,"1 2 4 1 2 12 31111 6 M59*")</f>
        <v>15934.21</v>
      </c>
      <c r="H645" s="35">
        <f t="shared" si="9"/>
        <v>66882.170000000013</v>
      </c>
      <c r="I645" s="35"/>
      <c r="K645" t="s">
        <v>15</v>
      </c>
    </row>
    <row r="646" spans="2:11" ht="16.5" x14ac:dyDescent="0.2">
      <c r="B646" s="33" t="s">
        <v>1001</v>
      </c>
      <c r="C646" s="33" t="s">
        <v>34</v>
      </c>
      <c r="D646" s="35">
        <f>SUMIFS(D647:D9015,K647:K9015,"0",B647:B9015,"1 2 4 1 2 12 31111 6 M59 00001*")-SUMIFS(E647:E9015,K647:K9015,"0",B647:B9015,"1 2 4 1 2 12 31111 6 M59 00001*")</f>
        <v>11117.66</v>
      </c>
      <c r="E646"/>
      <c r="F646" s="35">
        <f>SUMIFS(F647:F9015,K647:K9015,"0",B647:B9015,"1 2 4 1 2 12 31111 6 M59 00001*")</f>
        <v>0</v>
      </c>
      <c r="G646" s="35">
        <f>SUMIFS(G647:G9015,K647:K9015,"0",B647:B9015,"1 2 4 1 2 12 31111 6 M59 00001*")</f>
        <v>15934.21</v>
      </c>
      <c r="H646" s="35">
        <f t="shared" si="9"/>
        <v>-4816.5499999999993</v>
      </c>
      <c r="I646" s="35"/>
      <c r="K646" t="s">
        <v>15</v>
      </c>
    </row>
    <row r="647" spans="2:11" ht="16.5" x14ac:dyDescent="0.2">
      <c r="B647" s="31" t="s">
        <v>1002</v>
      </c>
      <c r="C647" s="31" t="s">
        <v>203</v>
      </c>
      <c r="D647" s="34">
        <v>6675.38</v>
      </c>
      <c r="E647" s="34"/>
      <c r="F647" s="34">
        <v>0</v>
      </c>
      <c r="G647" s="34">
        <v>15934.21</v>
      </c>
      <c r="H647" s="34">
        <f t="shared" si="9"/>
        <v>-9258.8299999999981</v>
      </c>
      <c r="I647" s="34"/>
      <c r="K647" t="s">
        <v>38</v>
      </c>
    </row>
    <row r="648" spans="2:11" ht="16.5" x14ac:dyDescent="0.2">
      <c r="B648" s="31" t="s">
        <v>1003</v>
      </c>
      <c r="C648" s="31" t="s">
        <v>1004</v>
      </c>
      <c r="D648" s="34">
        <v>4442.28</v>
      </c>
      <c r="E648" s="34"/>
      <c r="F648" s="34">
        <v>0</v>
      </c>
      <c r="G648" s="34">
        <v>0</v>
      </c>
      <c r="H648" s="34">
        <f t="shared" si="9"/>
        <v>4442.28</v>
      </c>
      <c r="I648" s="34"/>
      <c r="K648" t="s">
        <v>38</v>
      </c>
    </row>
    <row r="649" spans="2:11" ht="16.5" x14ac:dyDescent="0.2">
      <c r="B649" s="33" t="s">
        <v>1005</v>
      </c>
      <c r="C649" s="33" t="s">
        <v>83</v>
      </c>
      <c r="D649" s="35">
        <f>SUMIFS(D650:D9015,K650:K9015,"0",B650:B9015,"1 2 4 1 2 12 31111 6 M59 00003*")-SUMIFS(E650:E9015,K650:K9015,"0",B650:B9015,"1 2 4 1 2 12 31111 6 M59 00003*")</f>
        <v>65944.72</v>
      </c>
      <c r="E649"/>
      <c r="F649" s="35">
        <f>SUMIFS(F650:F9015,K650:K9015,"0",B650:B9015,"1 2 4 1 2 12 31111 6 M59 00003*")</f>
        <v>0</v>
      </c>
      <c r="G649" s="35">
        <f>SUMIFS(G650:G9015,K650:K9015,"0",B650:B9015,"1 2 4 1 2 12 31111 6 M59 00003*")</f>
        <v>0</v>
      </c>
      <c r="H649" s="35">
        <f t="shared" si="9"/>
        <v>65944.72</v>
      </c>
      <c r="I649" s="35"/>
      <c r="K649" t="s">
        <v>15</v>
      </c>
    </row>
    <row r="650" spans="2:11" ht="16.5" x14ac:dyDescent="0.2">
      <c r="B650" s="33" t="s">
        <v>1006</v>
      </c>
      <c r="C650" s="33" t="s">
        <v>42</v>
      </c>
      <c r="D650" s="35">
        <f>SUMIFS(D651:D9015,K651:K9015,"0",B651:B9015,"1 2 4 1 2 12 31111 6 M59 00003 000001*")-SUMIFS(E651:E9015,K651:K9015,"0",B651:B9015,"1 2 4 1 2 12 31111 6 M59 00003 000001*")</f>
        <v>65944.72</v>
      </c>
      <c r="E650"/>
      <c r="F650" s="35">
        <f>SUMIFS(F651:F9015,K651:K9015,"0",B651:B9015,"1 2 4 1 2 12 31111 6 M59 00003 000001*")</f>
        <v>0</v>
      </c>
      <c r="G650" s="35">
        <f>SUMIFS(G651:G9015,K651:K9015,"0",B651:B9015,"1 2 4 1 2 12 31111 6 M59 00003 000001*")</f>
        <v>0</v>
      </c>
      <c r="H650" s="35">
        <f t="shared" si="9"/>
        <v>65944.72</v>
      </c>
      <c r="I650" s="35"/>
      <c r="K650" t="s">
        <v>15</v>
      </c>
    </row>
    <row r="651" spans="2:11" ht="33" x14ac:dyDescent="0.2">
      <c r="B651" s="31" t="s">
        <v>1007</v>
      </c>
      <c r="C651" s="31" t="s">
        <v>984</v>
      </c>
      <c r="D651" s="34">
        <v>47944.76</v>
      </c>
      <c r="E651" s="34"/>
      <c r="F651" s="34">
        <v>0</v>
      </c>
      <c r="G651" s="34">
        <v>0</v>
      </c>
      <c r="H651" s="34">
        <f t="shared" si="9"/>
        <v>47944.76</v>
      </c>
      <c r="I651" s="34"/>
      <c r="K651" t="s">
        <v>38</v>
      </c>
    </row>
    <row r="652" spans="2:11" ht="16.5" x14ac:dyDescent="0.2">
      <c r="B652" s="31" t="s">
        <v>1008</v>
      </c>
      <c r="C652" s="31" t="s">
        <v>274</v>
      </c>
      <c r="D652" s="34">
        <v>17999.96</v>
      </c>
      <c r="E652" s="34"/>
      <c r="F652" s="34">
        <v>0</v>
      </c>
      <c r="G652" s="34">
        <v>0</v>
      </c>
      <c r="H652" s="34">
        <f t="shared" ref="H652:H715" si="10">D652 + F652 - G652</f>
        <v>17999.96</v>
      </c>
      <c r="I652" s="34"/>
      <c r="K652" t="s">
        <v>38</v>
      </c>
    </row>
    <row r="653" spans="2:11" ht="24.75" x14ac:dyDescent="0.2">
      <c r="B653" s="33" t="s">
        <v>1009</v>
      </c>
      <c r="C653" s="33" t="s">
        <v>91</v>
      </c>
      <c r="D653" s="35">
        <f>SUMIFS(D654:D9015,K654:K9015,"0",B654:B9015,"1 2 4 1 2 12 31111 6 M59 00004*")-SUMIFS(E654:E9015,K654:K9015,"0",B654:B9015,"1 2 4 1 2 12 31111 6 M59 00004*")</f>
        <v>5754</v>
      </c>
      <c r="E653"/>
      <c r="F653" s="35">
        <f>SUMIFS(F654:F9015,K654:K9015,"0",B654:B9015,"1 2 4 1 2 12 31111 6 M59 00004*")</f>
        <v>0</v>
      </c>
      <c r="G653" s="35">
        <f>SUMIFS(G654:G9015,K654:K9015,"0",B654:B9015,"1 2 4 1 2 12 31111 6 M59 00004*")</f>
        <v>0</v>
      </c>
      <c r="H653" s="35">
        <f t="shared" si="10"/>
        <v>5754</v>
      </c>
      <c r="I653" s="35"/>
      <c r="K653" t="s">
        <v>15</v>
      </c>
    </row>
    <row r="654" spans="2:11" ht="16.5" x14ac:dyDescent="0.2">
      <c r="B654" s="33" t="s">
        <v>1010</v>
      </c>
      <c r="C654" s="33" t="s">
        <v>203</v>
      </c>
      <c r="D654" s="35">
        <f>SUMIFS(D655:D9015,K655:K9015,"0",B655:B9015,"1 2 4 1 2 12 31111 6 M59 00004 000001*")-SUMIFS(E655:E9015,K655:K9015,"0",B655:B9015,"1 2 4 1 2 12 31111 6 M59 00004 000001*")</f>
        <v>5754</v>
      </c>
      <c r="E654"/>
      <c r="F654" s="35">
        <f>SUMIFS(F655:F9015,K655:K9015,"0",B655:B9015,"1 2 4 1 2 12 31111 6 M59 00004 000001*")</f>
        <v>0</v>
      </c>
      <c r="G654" s="35">
        <f>SUMIFS(G655:G9015,K655:K9015,"0",B655:B9015,"1 2 4 1 2 12 31111 6 M59 00004 000001*")</f>
        <v>0</v>
      </c>
      <c r="H654" s="35">
        <f t="shared" si="10"/>
        <v>5754</v>
      </c>
      <c r="I654" s="35"/>
      <c r="K654" t="s">
        <v>15</v>
      </c>
    </row>
    <row r="655" spans="2:11" ht="16.5" x14ac:dyDescent="0.2">
      <c r="B655" s="31" t="s">
        <v>1011</v>
      </c>
      <c r="C655" s="31" t="s">
        <v>1012</v>
      </c>
      <c r="D655" s="34">
        <v>5754</v>
      </c>
      <c r="E655" s="34"/>
      <c r="F655" s="34">
        <v>0</v>
      </c>
      <c r="G655" s="34">
        <v>0</v>
      </c>
      <c r="H655" s="34">
        <f t="shared" si="10"/>
        <v>5754</v>
      </c>
      <c r="I655" s="34"/>
      <c r="K655" t="s">
        <v>38</v>
      </c>
    </row>
    <row r="656" spans="2:11" ht="24.75" x14ac:dyDescent="0.2">
      <c r="B656" s="33" t="s">
        <v>1013</v>
      </c>
      <c r="C656" s="33" t="s">
        <v>1014</v>
      </c>
      <c r="D656" s="35">
        <f>SUMIFS(D657:D9015,K657:K9015,"0",B657:B9015,"1 2 4 1 3*")-SUMIFS(E657:E9015,K657:K9015,"0",B657:B9015,"1 2 4 1 3*")</f>
        <v>1713762.8</v>
      </c>
      <c r="E656"/>
      <c r="F656" s="35">
        <f>SUMIFS(F657:F9015,K657:K9015,"0",B657:B9015,"1 2 4 1 3*")</f>
        <v>586270.96</v>
      </c>
      <c r="G656" s="35">
        <f>SUMIFS(G657:G9015,K657:K9015,"0",B657:B9015,"1 2 4 1 3*")</f>
        <v>728431.88</v>
      </c>
      <c r="H656" s="35">
        <f t="shared" si="10"/>
        <v>1571601.88</v>
      </c>
      <c r="I656" s="35"/>
      <c r="K656" t="s">
        <v>15</v>
      </c>
    </row>
    <row r="657" spans="2:11" ht="12.75" x14ac:dyDescent="0.2">
      <c r="B657" s="33" t="s">
        <v>1015</v>
      </c>
      <c r="C657" s="33" t="s">
        <v>26</v>
      </c>
      <c r="D657" s="35">
        <f>SUMIFS(D658:D9015,K658:K9015,"0",B658:B9015,"1 2 4 1 3 12*")-SUMIFS(E658:E9015,K658:K9015,"0",B658:B9015,"1 2 4 1 3 12*")</f>
        <v>1713762.8</v>
      </c>
      <c r="E657"/>
      <c r="F657" s="35">
        <f>SUMIFS(F658:F9015,K658:K9015,"0",B658:B9015,"1 2 4 1 3 12*")</f>
        <v>586270.96</v>
      </c>
      <c r="G657" s="35">
        <f>SUMIFS(G658:G9015,K658:K9015,"0",B658:B9015,"1 2 4 1 3 12*")</f>
        <v>728431.88</v>
      </c>
      <c r="H657" s="35">
        <f t="shared" si="10"/>
        <v>1571601.88</v>
      </c>
      <c r="I657" s="35"/>
      <c r="K657" t="s">
        <v>15</v>
      </c>
    </row>
    <row r="658" spans="2:11" ht="16.5" x14ac:dyDescent="0.2">
      <c r="B658" s="33" t="s">
        <v>1016</v>
      </c>
      <c r="C658" s="33" t="s">
        <v>28</v>
      </c>
      <c r="D658" s="35">
        <f>SUMIFS(D659:D9015,K659:K9015,"0",B659:B9015,"1 2 4 1 3 12 31111*")-SUMIFS(E659:E9015,K659:K9015,"0",B659:B9015,"1 2 4 1 3 12 31111*")</f>
        <v>1713762.8</v>
      </c>
      <c r="E658"/>
      <c r="F658" s="35">
        <f>SUMIFS(F659:F9015,K659:K9015,"0",B659:B9015,"1 2 4 1 3 12 31111*")</f>
        <v>586270.96</v>
      </c>
      <c r="G658" s="35">
        <f>SUMIFS(G659:G9015,K659:K9015,"0",B659:B9015,"1 2 4 1 3 12 31111*")</f>
        <v>728431.88</v>
      </c>
      <c r="H658" s="35">
        <f t="shared" si="10"/>
        <v>1571601.88</v>
      </c>
      <c r="I658" s="35"/>
      <c r="K658" t="s">
        <v>15</v>
      </c>
    </row>
    <row r="659" spans="2:11" ht="12.75" x14ac:dyDescent="0.2">
      <c r="B659" s="33" t="s">
        <v>1017</v>
      </c>
      <c r="C659" s="33" t="s">
        <v>30</v>
      </c>
      <c r="D659" s="35">
        <f>SUMIFS(D660:D9015,K660:K9015,"0",B660:B9015,"1 2 4 1 3 12 31111 6*")-SUMIFS(E660:E9015,K660:K9015,"0",B660:B9015,"1 2 4 1 3 12 31111 6*")</f>
        <v>1713762.8</v>
      </c>
      <c r="E659"/>
      <c r="F659" s="35">
        <f>SUMIFS(F660:F9015,K660:K9015,"0",B660:B9015,"1 2 4 1 3 12 31111 6*")</f>
        <v>586270.96</v>
      </c>
      <c r="G659" s="35">
        <f>SUMIFS(G660:G9015,K660:K9015,"0",B660:B9015,"1 2 4 1 3 12 31111 6*")</f>
        <v>728431.88</v>
      </c>
      <c r="H659" s="35">
        <f t="shared" si="10"/>
        <v>1571601.88</v>
      </c>
      <c r="I659" s="35"/>
      <c r="K659" t="s">
        <v>15</v>
      </c>
    </row>
    <row r="660" spans="2:11" ht="16.5" x14ac:dyDescent="0.2">
      <c r="B660" s="33" t="s">
        <v>1018</v>
      </c>
      <c r="C660" s="33" t="s">
        <v>32</v>
      </c>
      <c r="D660" s="35">
        <f>SUMIFS(D661:D9015,K661:K9015,"0",B661:B9015,"1 2 4 1 3 12 31111 6 M59*")-SUMIFS(E661:E9015,K661:K9015,"0",B661:B9015,"1 2 4 1 3 12 31111 6 M59*")</f>
        <v>1713762.8</v>
      </c>
      <c r="E660"/>
      <c r="F660" s="35">
        <f>SUMIFS(F661:F9015,K661:K9015,"0",B661:B9015,"1 2 4 1 3 12 31111 6 M59*")</f>
        <v>586270.96</v>
      </c>
      <c r="G660" s="35">
        <f>SUMIFS(G661:G9015,K661:K9015,"0",B661:B9015,"1 2 4 1 3 12 31111 6 M59*")</f>
        <v>728431.88</v>
      </c>
      <c r="H660" s="35">
        <f t="shared" si="10"/>
        <v>1571601.88</v>
      </c>
      <c r="I660" s="35"/>
      <c r="K660" t="s">
        <v>15</v>
      </c>
    </row>
    <row r="661" spans="2:11" ht="16.5" x14ac:dyDescent="0.2">
      <c r="B661" s="33" t="s">
        <v>1019</v>
      </c>
      <c r="C661" s="33" t="s">
        <v>282</v>
      </c>
      <c r="D661" s="35">
        <f>SUMIFS(D662:D9015,K662:K9015,"0",B662:B9015,"1 2 4 1 3 12 31111 6 M59 00001*")-SUMIFS(E662:E9015,K662:K9015,"0",B662:B9015,"1 2 4 1 3 12 31111 6 M59 00001*")</f>
        <v>793306.78</v>
      </c>
      <c r="E661"/>
      <c r="F661" s="35">
        <f>SUMIFS(F662:F9015,K662:K9015,"0",B662:B9015,"1 2 4 1 3 12 31111 6 M59 00001*")</f>
        <v>33000</v>
      </c>
      <c r="G661" s="35">
        <f>SUMIFS(G662:G9015,K662:K9015,"0",B662:B9015,"1 2 4 1 3 12 31111 6 M59 00001*")</f>
        <v>728431.88</v>
      </c>
      <c r="H661" s="35">
        <f t="shared" si="10"/>
        <v>97874.900000000023</v>
      </c>
      <c r="I661" s="35"/>
      <c r="K661" t="s">
        <v>15</v>
      </c>
    </row>
    <row r="662" spans="2:11" ht="16.5" x14ac:dyDescent="0.2">
      <c r="B662" s="31" t="s">
        <v>1020</v>
      </c>
      <c r="C662" s="31" t="s">
        <v>203</v>
      </c>
      <c r="D662" s="34">
        <v>577694.62</v>
      </c>
      <c r="E662" s="34"/>
      <c r="F662" s="34">
        <v>33000</v>
      </c>
      <c r="G662" s="34">
        <v>728431.88</v>
      </c>
      <c r="H662" s="34">
        <f t="shared" si="10"/>
        <v>-117737.26000000001</v>
      </c>
      <c r="I662" s="34"/>
      <c r="K662" t="s">
        <v>38</v>
      </c>
    </row>
    <row r="663" spans="2:11" ht="16.5" x14ac:dyDescent="0.2">
      <c r="B663" s="31" t="s">
        <v>1021</v>
      </c>
      <c r="C663" s="31" t="s">
        <v>1022</v>
      </c>
      <c r="D663" s="34">
        <v>113700.04</v>
      </c>
      <c r="E663" s="34"/>
      <c r="F663" s="34">
        <v>0</v>
      </c>
      <c r="G663" s="34">
        <v>0</v>
      </c>
      <c r="H663" s="34">
        <f t="shared" si="10"/>
        <v>113700.04</v>
      </c>
      <c r="I663" s="34"/>
      <c r="K663" t="s">
        <v>38</v>
      </c>
    </row>
    <row r="664" spans="2:11" ht="16.5" x14ac:dyDescent="0.2">
      <c r="B664" s="31" t="s">
        <v>1023</v>
      </c>
      <c r="C664" s="31" t="s">
        <v>457</v>
      </c>
      <c r="D664" s="34">
        <v>31494.78</v>
      </c>
      <c r="E664" s="34"/>
      <c r="F664" s="34">
        <v>0</v>
      </c>
      <c r="G664" s="34">
        <v>0</v>
      </c>
      <c r="H664" s="34">
        <f t="shared" si="10"/>
        <v>31494.78</v>
      </c>
      <c r="I664" s="34"/>
      <c r="K664" t="s">
        <v>38</v>
      </c>
    </row>
    <row r="665" spans="2:11" ht="16.5" x14ac:dyDescent="0.2">
      <c r="B665" s="31" t="s">
        <v>1024</v>
      </c>
      <c r="C665" s="31" t="s">
        <v>1025</v>
      </c>
      <c r="D665" s="34">
        <v>18999</v>
      </c>
      <c r="E665" s="34"/>
      <c r="F665" s="34">
        <v>0</v>
      </c>
      <c r="G665" s="34">
        <v>0</v>
      </c>
      <c r="H665" s="34">
        <f t="shared" si="10"/>
        <v>18999</v>
      </c>
      <c r="I665" s="34"/>
      <c r="K665" t="s">
        <v>38</v>
      </c>
    </row>
    <row r="666" spans="2:11" ht="33" x14ac:dyDescent="0.2">
      <c r="B666" s="31" t="s">
        <v>1026</v>
      </c>
      <c r="C666" s="31" t="s">
        <v>984</v>
      </c>
      <c r="D666" s="34">
        <v>36932</v>
      </c>
      <c r="E666" s="34"/>
      <c r="F666" s="34">
        <v>0</v>
      </c>
      <c r="G666" s="34">
        <v>0</v>
      </c>
      <c r="H666" s="34">
        <f t="shared" si="10"/>
        <v>36932</v>
      </c>
      <c r="I666" s="34"/>
      <c r="K666" t="s">
        <v>38</v>
      </c>
    </row>
    <row r="667" spans="2:11" ht="16.5" x14ac:dyDescent="0.2">
      <c r="B667" s="31" t="s">
        <v>1027</v>
      </c>
      <c r="C667" s="31" t="s">
        <v>1028</v>
      </c>
      <c r="D667" s="34">
        <v>14486.34</v>
      </c>
      <c r="E667" s="34"/>
      <c r="F667" s="34">
        <v>0</v>
      </c>
      <c r="G667" s="34">
        <v>0</v>
      </c>
      <c r="H667" s="34">
        <f t="shared" si="10"/>
        <v>14486.34</v>
      </c>
      <c r="I667" s="34"/>
      <c r="K667" t="s">
        <v>38</v>
      </c>
    </row>
    <row r="668" spans="2:11" ht="24.75" x14ac:dyDescent="0.2">
      <c r="B668" s="33" t="s">
        <v>1029</v>
      </c>
      <c r="C668" s="33" t="s">
        <v>986</v>
      </c>
      <c r="D668" s="35">
        <f>SUMIFS(D669:D9015,K669:K9015,"0",B669:B9015,"1 2 4 1 3 12 31111 6 M59 00002*")-SUMIFS(E669:E9015,K669:K9015,"0",B669:B9015,"1 2 4 1 3 12 31111 6 M59 00002*")</f>
        <v>214283.51999999999</v>
      </c>
      <c r="E668"/>
      <c r="F668" s="35">
        <f>SUMIFS(F669:F9015,K669:K9015,"0",B669:B9015,"1 2 4 1 3 12 31111 6 M59 00002*")</f>
        <v>0</v>
      </c>
      <c r="G668" s="35">
        <f>SUMIFS(G669:G9015,K669:K9015,"0",B669:B9015,"1 2 4 1 3 12 31111 6 M59 00002*")</f>
        <v>0</v>
      </c>
      <c r="H668" s="35">
        <f t="shared" si="10"/>
        <v>214283.51999999999</v>
      </c>
      <c r="I668" s="35"/>
      <c r="K668" t="s">
        <v>15</v>
      </c>
    </row>
    <row r="669" spans="2:11" ht="16.5" x14ac:dyDescent="0.2">
      <c r="B669" s="33" t="s">
        <v>1030</v>
      </c>
      <c r="C669" s="33" t="s">
        <v>42</v>
      </c>
      <c r="D669" s="35">
        <f>SUMIFS(D670:D9015,K670:K9015,"0",B670:B9015,"1 2 4 1 3 12 31111 6 M59 00002 000001*")-SUMIFS(E670:E9015,K670:K9015,"0",B670:B9015,"1 2 4 1 3 12 31111 6 M59 00002 000001*")</f>
        <v>214283.51999999999</v>
      </c>
      <c r="E669"/>
      <c r="F669" s="35">
        <f>SUMIFS(F670:F9015,K670:K9015,"0",B670:B9015,"1 2 4 1 3 12 31111 6 M59 00002 000001*")</f>
        <v>0</v>
      </c>
      <c r="G669" s="35">
        <f>SUMIFS(G670:G9015,K670:K9015,"0",B670:B9015,"1 2 4 1 3 12 31111 6 M59 00002 000001*")</f>
        <v>0</v>
      </c>
      <c r="H669" s="35">
        <f t="shared" si="10"/>
        <v>214283.51999999999</v>
      </c>
      <c r="I669" s="35"/>
      <c r="K669" t="s">
        <v>15</v>
      </c>
    </row>
    <row r="670" spans="2:11" ht="16.5" x14ac:dyDescent="0.2">
      <c r="B670" s="31" t="s">
        <v>1031</v>
      </c>
      <c r="C670" s="31" t="s">
        <v>274</v>
      </c>
      <c r="D670" s="34">
        <v>214283.51999999999</v>
      </c>
      <c r="E670" s="34"/>
      <c r="F670" s="34">
        <v>0</v>
      </c>
      <c r="G670" s="34">
        <v>0</v>
      </c>
      <c r="H670" s="34">
        <f t="shared" si="10"/>
        <v>214283.51999999999</v>
      </c>
      <c r="I670" s="34"/>
      <c r="K670" t="s">
        <v>38</v>
      </c>
    </row>
    <row r="671" spans="2:11" ht="16.5" x14ac:dyDescent="0.2">
      <c r="B671" s="33" t="s">
        <v>1032</v>
      </c>
      <c r="C671" s="33" t="s">
        <v>83</v>
      </c>
      <c r="D671" s="35">
        <f>SUMIFS(D672:D9015,K672:K9015,"0",B672:B9015,"1 2 4 1 3 12 31111 6 M59 00003*")-SUMIFS(E672:E9015,K672:K9015,"0",B672:B9015,"1 2 4 1 3 12 31111 6 M59 00003*")</f>
        <v>697352.5</v>
      </c>
      <c r="E671"/>
      <c r="F671" s="35">
        <f>SUMIFS(F672:F9015,K672:K9015,"0",B672:B9015,"1 2 4 1 3 12 31111 6 M59 00003*")</f>
        <v>0</v>
      </c>
      <c r="G671" s="35">
        <f>SUMIFS(G672:G9015,K672:K9015,"0",B672:B9015,"1 2 4 1 3 12 31111 6 M59 00003*")</f>
        <v>0</v>
      </c>
      <c r="H671" s="35">
        <f t="shared" si="10"/>
        <v>697352.5</v>
      </c>
      <c r="I671" s="35"/>
      <c r="K671" t="s">
        <v>15</v>
      </c>
    </row>
    <row r="672" spans="2:11" ht="16.5" x14ac:dyDescent="0.2">
      <c r="B672" s="33" t="s">
        <v>1033</v>
      </c>
      <c r="C672" s="33" t="s">
        <v>203</v>
      </c>
      <c r="D672" s="35">
        <f>SUMIFS(D673:D9015,K673:K9015,"0",B673:B9015,"1 2 4 1 3 12 31111 6 M59 00003 000001*")-SUMIFS(E673:E9015,K673:K9015,"0",B673:B9015,"1 2 4 1 3 12 31111 6 M59 00003 000001*")</f>
        <v>697352.5</v>
      </c>
      <c r="E672"/>
      <c r="F672" s="35">
        <f>SUMIFS(F673:F9015,K673:K9015,"0",B673:B9015,"1 2 4 1 3 12 31111 6 M59 00003 000001*")</f>
        <v>0</v>
      </c>
      <c r="G672" s="35">
        <f>SUMIFS(G673:G9015,K673:K9015,"0",B673:B9015,"1 2 4 1 3 12 31111 6 M59 00003 000001*")</f>
        <v>0</v>
      </c>
      <c r="H672" s="35">
        <f t="shared" si="10"/>
        <v>697352.5</v>
      </c>
      <c r="I672" s="35"/>
      <c r="K672" t="s">
        <v>15</v>
      </c>
    </row>
    <row r="673" spans="2:11" ht="16.5" x14ac:dyDescent="0.2">
      <c r="B673" s="31" t="s">
        <v>1034</v>
      </c>
      <c r="C673" s="31" t="s">
        <v>1035</v>
      </c>
      <c r="D673" s="34">
        <v>4500.01</v>
      </c>
      <c r="E673" s="34"/>
      <c r="F673" s="34">
        <v>0</v>
      </c>
      <c r="G673" s="34">
        <v>0</v>
      </c>
      <c r="H673" s="34">
        <f t="shared" si="10"/>
        <v>4500.01</v>
      </c>
      <c r="I673" s="34"/>
      <c r="K673" t="s">
        <v>38</v>
      </c>
    </row>
    <row r="674" spans="2:11" ht="16.5" x14ac:dyDescent="0.2">
      <c r="B674" s="31" t="s">
        <v>1036</v>
      </c>
      <c r="C674" s="31" t="s">
        <v>1037</v>
      </c>
      <c r="D674" s="34">
        <v>18142</v>
      </c>
      <c r="E674" s="34"/>
      <c r="F674" s="34">
        <v>0</v>
      </c>
      <c r="G674" s="34">
        <v>0</v>
      </c>
      <c r="H674" s="34">
        <f t="shared" si="10"/>
        <v>18142</v>
      </c>
      <c r="I674" s="34"/>
      <c r="K674" t="s">
        <v>38</v>
      </c>
    </row>
    <row r="675" spans="2:11" ht="16.5" x14ac:dyDescent="0.2">
      <c r="B675" s="31" t="s">
        <v>1038</v>
      </c>
      <c r="C675" s="31" t="s">
        <v>274</v>
      </c>
      <c r="D675" s="34">
        <v>674710.49</v>
      </c>
      <c r="E675" s="34"/>
      <c r="F675" s="34">
        <v>0</v>
      </c>
      <c r="G675" s="34">
        <v>0</v>
      </c>
      <c r="H675" s="34">
        <f t="shared" si="10"/>
        <v>674710.49</v>
      </c>
      <c r="I675" s="34"/>
      <c r="K675" t="s">
        <v>38</v>
      </c>
    </row>
    <row r="676" spans="2:11" ht="24.75" x14ac:dyDescent="0.2">
      <c r="B676" s="33" t="s">
        <v>1039</v>
      </c>
      <c r="C676" s="33" t="s">
        <v>91</v>
      </c>
      <c r="D676" s="35">
        <f>SUMIFS(D677:D9015,K677:K9015,"0",B677:B9015,"1 2 4 1 3 12 31111 6 M59 00004*")-SUMIFS(E677:E9015,K677:K9015,"0",B677:B9015,"1 2 4 1 3 12 31111 6 M59 00004*")</f>
        <v>8820</v>
      </c>
      <c r="E676"/>
      <c r="F676" s="35">
        <f>SUMIFS(F677:F9015,K677:K9015,"0",B677:B9015,"1 2 4 1 3 12 31111 6 M59 00004*")</f>
        <v>0</v>
      </c>
      <c r="G676" s="35">
        <f>SUMIFS(G677:G9015,K677:K9015,"0",B677:B9015,"1 2 4 1 3 12 31111 6 M59 00004*")</f>
        <v>0</v>
      </c>
      <c r="H676" s="35">
        <f t="shared" si="10"/>
        <v>8820</v>
      </c>
      <c r="I676" s="35"/>
      <c r="K676" t="s">
        <v>15</v>
      </c>
    </row>
    <row r="677" spans="2:11" ht="16.5" x14ac:dyDescent="0.2">
      <c r="B677" s="33" t="s">
        <v>1040</v>
      </c>
      <c r="C677" s="33" t="s">
        <v>203</v>
      </c>
      <c r="D677" s="35">
        <f>SUMIFS(D678:D9015,K678:K9015,"0",B678:B9015,"1 2 4 1 3 12 31111 6 M59 00004 000001*")-SUMIFS(E678:E9015,K678:K9015,"0",B678:B9015,"1 2 4 1 3 12 31111 6 M59 00004 000001*")</f>
        <v>8820</v>
      </c>
      <c r="E677"/>
      <c r="F677" s="35">
        <f>SUMIFS(F678:F9015,K678:K9015,"0",B678:B9015,"1 2 4 1 3 12 31111 6 M59 00004 000001*")</f>
        <v>0</v>
      </c>
      <c r="G677" s="35">
        <f>SUMIFS(G678:G9015,K678:K9015,"0",B678:B9015,"1 2 4 1 3 12 31111 6 M59 00004 000001*")</f>
        <v>0</v>
      </c>
      <c r="H677" s="35">
        <f t="shared" si="10"/>
        <v>8820</v>
      </c>
      <c r="I677" s="35"/>
      <c r="K677" t="s">
        <v>15</v>
      </c>
    </row>
    <row r="678" spans="2:11" ht="16.5" x14ac:dyDescent="0.2">
      <c r="B678" s="31" t="s">
        <v>1041</v>
      </c>
      <c r="C678" s="31" t="s">
        <v>1037</v>
      </c>
      <c r="D678" s="34">
        <v>5742</v>
      </c>
      <c r="E678" s="34"/>
      <c r="F678" s="34">
        <v>0</v>
      </c>
      <c r="G678" s="34">
        <v>0</v>
      </c>
      <c r="H678" s="34">
        <f t="shared" si="10"/>
        <v>5742</v>
      </c>
      <c r="I678" s="34"/>
      <c r="K678" t="s">
        <v>38</v>
      </c>
    </row>
    <row r="679" spans="2:11" ht="16.5" x14ac:dyDescent="0.2">
      <c r="B679" s="31" t="s">
        <v>1042</v>
      </c>
      <c r="C679" s="31" t="s">
        <v>274</v>
      </c>
      <c r="D679" s="34">
        <v>3078</v>
      </c>
      <c r="E679" s="34"/>
      <c r="F679" s="34">
        <v>0</v>
      </c>
      <c r="G679" s="34">
        <v>0</v>
      </c>
      <c r="H679" s="34">
        <f t="shared" si="10"/>
        <v>3078</v>
      </c>
      <c r="I679" s="34"/>
      <c r="K679" t="s">
        <v>38</v>
      </c>
    </row>
    <row r="680" spans="2:11" ht="16.5" x14ac:dyDescent="0.2">
      <c r="B680" s="33" t="s">
        <v>1043</v>
      </c>
      <c r="C680" s="33" t="s">
        <v>1044</v>
      </c>
      <c r="D680" s="35">
        <f>SUMIFS(D681:D9015,K681:K9015,"0",B681:B9015,"1 2 4 1 3 12 31111 6 M59 20000*")-SUMIFS(E681:E9015,K681:K9015,"0",B681:B9015,"1 2 4 1 3 12 31111 6 M59 20000*")</f>
        <v>0</v>
      </c>
      <c r="E680"/>
      <c r="F680" s="35">
        <f>SUMIFS(F681:F9015,K681:K9015,"0",B681:B9015,"1 2 4 1 3 12 31111 6 M59 20000*")</f>
        <v>322800.06</v>
      </c>
      <c r="G680" s="35">
        <f>SUMIFS(G681:G9015,K681:K9015,"0",B681:B9015,"1 2 4 1 3 12 31111 6 M59 20000*")</f>
        <v>0</v>
      </c>
      <c r="H680" s="35">
        <f t="shared" si="10"/>
        <v>322800.06</v>
      </c>
      <c r="I680" s="35"/>
      <c r="K680" t="s">
        <v>15</v>
      </c>
    </row>
    <row r="681" spans="2:11" ht="16.5" x14ac:dyDescent="0.2">
      <c r="B681" s="33" t="s">
        <v>1045</v>
      </c>
      <c r="C681" s="33" t="s">
        <v>648</v>
      </c>
      <c r="D681" s="35">
        <f>SUMIFS(D682:D9015,K682:K9015,"0",B682:B9015,"1 2 4 1 3 12 31111 6 M59 20000 000132*")-SUMIFS(E682:E9015,K682:K9015,"0",B682:B9015,"1 2 4 1 3 12 31111 6 M59 20000 000132*")</f>
        <v>0</v>
      </c>
      <c r="E681"/>
      <c r="F681" s="35">
        <f>SUMIFS(F682:F9015,K682:K9015,"0",B682:B9015,"1 2 4 1 3 12 31111 6 M59 20000 000132*")</f>
        <v>322800.06</v>
      </c>
      <c r="G681" s="35">
        <f>SUMIFS(G682:G9015,K682:K9015,"0",B682:B9015,"1 2 4 1 3 12 31111 6 M59 20000 000132*")</f>
        <v>0</v>
      </c>
      <c r="H681" s="35">
        <f t="shared" si="10"/>
        <v>322800.06</v>
      </c>
      <c r="I681" s="35"/>
      <c r="K681" t="s">
        <v>15</v>
      </c>
    </row>
    <row r="682" spans="2:11" ht="24.75" x14ac:dyDescent="0.2">
      <c r="B682" s="33" t="s">
        <v>1046</v>
      </c>
      <c r="C682" s="33" t="s">
        <v>650</v>
      </c>
      <c r="D682" s="35">
        <f>SUMIFS(D683:D9015,K683:K9015,"0",B683:B9015,"1 2 4 1 3 12 31111 6 M59 20000 000132 0000R*")-SUMIFS(E683:E9015,K683:K9015,"0",B683:B9015,"1 2 4 1 3 12 31111 6 M59 20000 000132 0000R*")</f>
        <v>0</v>
      </c>
      <c r="E682"/>
      <c r="F682" s="35">
        <f>SUMIFS(F683:F9015,K683:K9015,"0",B683:B9015,"1 2 4 1 3 12 31111 6 M59 20000 000132 0000R*")</f>
        <v>322800.06</v>
      </c>
      <c r="G682" s="35">
        <f>SUMIFS(G683:G9015,K683:K9015,"0",B683:B9015,"1 2 4 1 3 12 31111 6 M59 20000 000132 0000R*")</f>
        <v>0</v>
      </c>
      <c r="H682" s="35">
        <f t="shared" si="10"/>
        <v>322800.06</v>
      </c>
      <c r="I682" s="35"/>
      <c r="K682" t="s">
        <v>15</v>
      </c>
    </row>
    <row r="683" spans="2:11" ht="24.75" x14ac:dyDescent="0.2">
      <c r="B683" s="33" t="s">
        <v>1047</v>
      </c>
      <c r="C683" s="33" t="s">
        <v>652</v>
      </c>
      <c r="D683" s="35">
        <f>SUMIFS(D684:D9015,K684:K9015,"0",B684:B9015,"1 2 4 1 3 12 31111 6 M59 20000 000132 0000R 00002*")-SUMIFS(E684:E9015,K684:K9015,"0",B684:B9015,"1 2 4 1 3 12 31111 6 M59 20000 000132 0000R 00002*")</f>
        <v>0</v>
      </c>
      <c r="E683"/>
      <c r="F683" s="35">
        <f>SUMIFS(F684:F9015,K684:K9015,"0",B684:B9015,"1 2 4 1 3 12 31111 6 M59 20000 000132 0000R 00002*")</f>
        <v>322800.06</v>
      </c>
      <c r="G683" s="35">
        <f>SUMIFS(G684:G9015,K684:K9015,"0",B684:B9015,"1 2 4 1 3 12 31111 6 M59 20000 000132 0000R 00002*")</f>
        <v>0</v>
      </c>
      <c r="H683" s="35">
        <f t="shared" si="10"/>
        <v>322800.06</v>
      </c>
      <c r="I683" s="35"/>
      <c r="K683" t="s">
        <v>15</v>
      </c>
    </row>
    <row r="684" spans="2:11" ht="24.75" x14ac:dyDescent="0.2">
      <c r="B684" s="33" t="s">
        <v>1048</v>
      </c>
      <c r="C684" s="33" t="s">
        <v>1049</v>
      </c>
      <c r="D684" s="35">
        <f>SUMIFS(D685:D9015,K685:K9015,"0",B685:B9015,"1 2 4 1 3 12 31111 6 M59 20000 000132 0000R 00002 00515*")-SUMIFS(E685:E9015,K685:K9015,"0",B685:B9015,"1 2 4 1 3 12 31111 6 M59 20000 000132 0000R 00002 00515*")</f>
        <v>0</v>
      </c>
      <c r="E684"/>
      <c r="F684" s="35">
        <f>SUMIFS(F685:F9015,K685:K9015,"0",B685:B9015,"1 2 4 1 3 12 31111 6 M59 20000 000132 0000R 00002 00515*")</f>
        <v>322800.06</v>
      </c>
      <c r="G684" s="35">
        <f>SUMIFS(G685:G9015,K685:K9015,"0",B685:B9015,"1 2 4 1 3 12 31111 6 M59 20000 000132 0000R 00002 00515*")</f>
        <v>0</v>
      </c>
      <c r="H684" s="35">
        <f t="shared" si="10"/>
        <v>322800.06</v>
      </c>
      <c r="I684" s="35"/>
      <c r="K684" t="s">
        <v>15</v>
      </c>
    </row>
    <row r="685" spans="2:11" ht="33" x14ac:dyDescent="0.2">
      <c r="B685" s="33" t="s">
        <v>1050</v>
      </c>
      <c r="C685" s="33" t="s">
        <v>1051</v>
      </c>
      <c r="D685" s="35">
        <f>SUMIFS(D686:D9015,K686:K9015,"0",B686:B9015,"1 2 4 1 3 12 31111 6 M59 20000 000132 0000R 00002 00515 015*")-SUMIFS(E686:E9015,K686:K9015,"0",B686:B9015,"1 2 4 1 3 12 31111 6 M59 20000 000132 0000R 00002 00515 015*")</f>
        <v>0</v>
      </c>
      <c r="E685"/>
      <c r="F685" s="35">
        <f>SUMIFS(F686:F9015,K686:K9015,"0",B686:B9015,"1 2 4 1 3 12 31111 6 M59 20000 000132 0000R 00002 00515 015*")</f>
        <v>322800.06</v>
      </c>
      <c r="G685" s="35">
        <f>SUMIFS(G686:G9015,K686:K9015,"0",B686:B9015,"1 2 4 1 3 12 31111 6 M59 20000 000132 0000R 00002 00515 015*")</f>
        <v>0</v>
      </c>
      <c r="H685" s="35">
        <f t="shared" si="10"/>
        <v>322800.06</v>
      </c>
      <c r="I685" s="35"/>
      <c r="K685" t="s">
        <v>15</v>
      </c>
    </row>
    <row r="686" spans="2:11" ht="33" x14ac:dyDescent="0.2">
      <c r="B686" s="33" t="s">
        <v>1052</v>
      </c>
      <c r="C686" s="33" t="s">
        <v>1053</v>
      </c>
      <c r="D686" s="35">
        <f>SUMIFS(D687:D9015,K687:K9015,"0",B687:B9015,"1 2 4 1 3 12 31111 6 M59 20000 000132 0000R 00002 00515 015 2222200*")-SUMIFS(E687:E9015,K687:K9015,"0",B687:B9015,"1 2 4 1 3 12 31111 6 M59 20000 000132 0000R 00002 00515 015 2222200*")</f>
        <v>0</v>
      </c>
      <c r="E686"/>
      <c r="F686" s="35">
        <f>SUMIFS(F687:F9015,K687:K9015,"0",B687:B9015,"1 2 4 1 3 12 31111 6 M59 20000 000132 0000R 00002 00515 015 2222200*")</f>
        <v>322800.06</v>
      </c>
      <c r="G686" s="35">
        <f>SUMIFS(G687:G9015,K687:K9015,"0",B687:B9015,"1 2 4 1 3 12 31111 6 M59 20000 000132 0000R 00002 00515 015 2222200*")</f>
        <v>0</v>
      </c>
      <c r="H686" s="35">
        <f t="shared" si="10"/>
        <v>322800.06</v>
      </c>
      <c r="I686" s="35"/>
      <c r="K686" t="s">
        <v>15</v>
      </c>
    </row>
    <row r="687" spans="2:11" ht="33" x14ac:dyDescent="0.2">
      <c r="B687" s="33" t="s">
        <v>1054</v>
      </c>
      <c r="C687" s="33" t="s">
        <v>660</v>
      </c>
      <c r="D687" s="35">
        <f>SUMIFS(D688:D9015,K688:K9015,"0",B688:B9015,"1 2 4 1 3 12 31111 6 M59 20000 000132 0000R 00002 00515 015 2222200 2024*")-SUMIFS(E688:E9015,K688:K9015,"0",B688:B9015,"1 2 4 1 3 12 31111 6 M59 20000 000132 0000R 00002 00515 015 2222200 2024*")</f>
        <v>0</v>
      </c>
      <c r="E687"/>
      <c r="F687" s="35">
        <f>SUMIFS(F688:F9015,K688:K9015,"0",B688:B9015,"1 2 4 1 3 12 31111 6 M59 20000 000132 0000R 00002 00515 015 2222200 2024*")</f>
        <v>322800.06</v>
      </c>
      <c r="G687" s="35">
        <f>SUMIFS(G688:G9015,K688:K9015,"0",B688:B9015,"1 2 4 1 3 12 31111 6 M59 20000 000132 0000R 00002 00515 015 2222200 2024*")</f>
        <v>0</v>
      </c>
      <c r="H687" s="35">
        <f t="shared" si="10"/>
        <v>322800.06</v>
      </c>
      <c r="I687" s="35"/>
      <c r="K687" t="s">
        <v>15</v>
      </c>
    </row>
    <row r="688" spans="2:11" ht="41.25" x14ac:dyDescent="0.2">
      <c r="B688" s="33" t="s">
        <v>1055</v>
      </c>
      <c r="C688" s="33" t="s">
        <v>1056</v>
      </c>
      <c r="D688" s="35">
        <f>SUMIFS(D689:D9015,K689:K9015,"0",B689:B9015,"1 2 4 1 3 12 31111 6 M59 20000 000132 0000R 00002 00515 015 2222200 2024 CP1AF389*")-SUMIFS(E689:E9015,K689:K9015,"0",B689:B9015,"1 2 4 1 3 12 31111 6 M59 20000 000132 0000R 00002 00515 015 2222200 2024 CP1AF389*")</f>
        <v>0</v>
      </c>
      <c r="E688"/>
      <c r="F688" s="35">
        <f>SUMIFS(F689:F9015,K689:K9015,"0",B689:B9015,"1 2 4 1 3 12 31111 6 M59 20000 000132 0000R 00002 00515 015 2222200 2024 CP1AF389*")</f>
        <v>322800.06</v>
      </c>
      <c r="G688" s="35">
        <f>SUMIFS(G689:G9015,K689:K9015,"0",B689:B9015,"1 2 4 1 3 12 31111 6 M59 20000 000132 0000R 00002 00515 015 2222200 2024 CP1AF389*")</f>
        <v>0</v>
      </c>
      <c r="H688" s="35">
        <f t="shared" si="10"/>
        <v>322800.06</v>
      </c>
      <c r="I688" s="35"/>
      <c r="K688" t="s">
        <v>15</v>
      </c>
    </row>
    <row r="689" spans="2:11" ht="41.25" x14ac:dyDescent="0.2">
      <c r="B689" s="33" t="s">
        <v>1057</v>
      </c>
      <c r="C689" s="33" t="s">
        <v>282</v>
      </c>
      <c r="D689" s="35">
        <f>SUMIFS(D690:D9015,K690:K9015,"0",B690:B9015,"1 2 4 1 3 12 31111 6 M59 20000 000132 0000R 00002 00515 015 2222200 2024 CP1AF389 001*")-SUMIFS(E690:E9015,K690:K9015,"0",B690:B9015,"1 2 4 1 3 12 31111 6 M59 20000 000132 0000R 00002 00515 015 2222200 2024 CP1AF389 001*")</f>
        <v>0</v>
      </c>
      <c r="E689"/>
      <c r="F689" s="35">
        <f>SUMIFS(F690:F9015,K690:K9015,"0",B690:B9015,"1 2 4 1 3 12 31111 6 M59 20000 000132 0000R 00002 00515 015 2222200 2024 CP1AF389 001*")</f>
        <v>322800.06</v>
      </c>
      <c r="G689" s="35">
        <f>SUMIFS(G690:G9015,K690:K9015,"0",B690:B9015,"1 2 4 1 3 12 31111 6 M59 20000 000132 0000R 00002 00515 015 2222200 2024 CP1AF389 001*")</f>
        <v>0</v>
      </c>
      <c r="H689" s="35">
        <f t="shared" si="10"/>
        <v>322800.06</v>
      </c>
      <c r="I689" s="35"/>
      <c r="K689" t="s">
        <v>15</v>
      </c>
    </row>
    <row r="690" spans="2:11" ht="41.25" x14ac:dyDescent="0.2">
      <c r="B690" s="31" t="s">
        <v>1058</v>
      </c>
      <c r="C690" s="31" t="s">
        <v>1059</v>
      </c>
      <c r="D690" s="34">
        <v>0</v>
      </c>
      <c r="E690" s="34"/>
      <c r="F690" s="34">
        <v>322800.06</v>
      </c>
      <c r="G690" s="34">
        <v>0</v>
      </c>
      <c r="H690" s="34">
        <f t="shared" si="10"/>
        <v>322800.06</v>
      </c>
      <c r="I690" s="34"/>
      <c r="K690" t="s">
        <v>38</v>
      </c>
    </row>
    <row r="691" spans="2:11" ht="16.5" x14ac:dyDescent="0.2">
      <c r="B691" s="33" t="s">
        <v>1060</v>
      </c>
      <c r="C691" s="33" t="s">
        <v>1061</v>
      </c>
      <c r="D691" s="35">
        <f>SUMIFS(D692:D9015,K692:K9015,"0",B692:B9015,"1 2 4 1 3 12 31111 6 M59 20300*")-SUMIFS(E692:E9015,K692:K9015,"0",B692:B9015,"1 2 4 1 3 12 31111 6 M59 20300*")</f>
        <v>0</v>
      </c>
      <c r="E691"/>
      <c r="F691" s="35">
        <f>SUMIFS(F692:F9015,K692:K9015,"0",B692:B9015,"1 2 4 1 3 12 31111 6 M59 20300*")</f>
        <v>146249.99</v>
      </c>
      <c r="G691" s="35">
        <f>SUMIFS(G692:G9015,K692:K9015,"0",B692:B9015,"1 2 4 1 3 12 31111 6 M59 20300*")</f>
        <v>0</v>
      </c>
      <c r="H691" s="35">
        <f t="shared" si="10"/>
        <v>146249.99</v>
      </c>
      <c r="I691" s="35"/>
      <c r="K691" t="s">
        <v>15</v>
      </c>
    </row>
    <row r="692" spans="2:11" ht="16.5" x14ac:dyDescent="0.2">
      <c r="B692" s="33" t="s">
        <v>1062</v>
      </c>
      <c r="C692" s="33" t="s">
        <v>1063</v>
      </c>
      <c r="D692" s="35">
        <f>SUMIFS(D693:D9015,K693:K9015,"0",B693:B9015,"1 2 4 1 3 12 31111 6 M59 20300 000139*")-SUMIFS(E693:E9015,K693:K9015,"0",B693:B9015,"1 2 4 1 3 12 31111 6 M59 20300 000139*")</f>
        <v>0</v>
      </c>
      <c r="E692"/>
      <c r="F692" s="35">
        <f>SUMIFS(F693:F9015,K693:K9015,"0",B693:B9015,"1 2 4 1 3 12 31111 6 M59 20300 000139*")</f>
        <v>146249.99</v>
      </c>
      <c r="G692" s="35">
        <f>SUMIFS(G693:G9015,K693:K9015,"0",B693:B9015,"1 2 4 1 3 12 31111 6 M59 20300 000139*")</f>
        <v>0</v>
      </c>
      <c r="H692" s="35">
        <f t="shared" si="10"/>
        <v>146249.99</v>
      </c>
      <c r="I692" s="35"/>
      <c r="K692" t="s">
        <v>15</v>
      </c>
    </row>
    <row r="693" spans="2:11" ht="24.75" x14ac:dyDescent="0.2">
      <c r="B693" s="33" t="s">
        <v>1064</v>
      </c>
      <c r="C693" s="33" t="s">
        <v>1065</v>
      </c>
      <c r="D693" s="35">
        <f>SUMIFS(D694:D9015,K694:K9015,"0",B694:B9015,"1 2 4 1 3 12 31111 6 M59 20300 000139 0000E*")-SUMIFS(E694:E9015,K694:K9015,"0",B694:B9015,"1 2 4 1 3 12 31111 6 M59 20300 000139 0000E*")</f>
        <v>0</v>
      </c>
      <c r="E693"/>
      <c r="F693" s="35">
        <f>SUMIFS(F694:F9015,K694:K9015,"0",B694:B9015,"1 2 4 1 3 12 31111 6 M59 20300 000139 0000E*")</f>
        <v>146249.99</v>
      </c>
      <c r="G693" s="35">
        <f>SUMIFS(G694:G9015,K694:K9015,"0",B694:B9015,"1 2 4 1 3 12 31111 6 M59 20300 000139 0000E*")</f>
        <v>0</v>
      </c>
      <c r="H693" s="35">
        <f t="shared" si="10"/>
        <v>146249.99</v>
      </c>
      <c r="I693" s="35"/>
      <c r="K693" t="s">
        <v>15</v>
      </c>
    </row>
    <row r="694" spans="2:11" ht="24.75" x14ac:dyDescent="0.2">
      <c r="B694" s="33" t="s">
        <v>1066</v>
      </c>
      <c r="C694" s="33" t="s">
        <v>652</v>
      </c>
      <c r="D694" s="35">
        <f>SUMIFS(D695:D9015,K695:K9015,"0",B695:B9015,"1 2 4 1 3 12 31111 6 M59 20300 000139 0000E 00002*")-SUMIFS(E695:E9015,K695:K9015,"0",B695:B9015,"1 2 4 1 3 12 31111 6 M59 20300 000139 0000E 00002*")</f>
        <v>0</v>
      </c>
      <c r="E694"/>
      <c r="F694" s="35">
        <f>SUMIFS(F695:F9015,K695:K9015,"0",B695:B9015,"1 2 4 1 3 12 31111 6 M59 20300 000139 0000E 00002*")</f>
        <v>146249.99</v>
      </c>
      <c r="G694" s="35">
        <f>SUMIFS(G695:G9015,K695:K9015,"0",B695:B9015,"1 2 4 1 3 12 31111 6 M59 20300 000139 0000E 00002*")</f>
        <v>0</v>
      </c>
      <c r="H694" s="35">
        <f t="shared" si="10"/>
        <v>146249.99</v>
      </c>
      <c r="I694" s="35"/>
      <c r="K694" t="s">
        <v>15</v>
      </c>
    </row>
    <row r="695" spans="2:11" ht="24.75" x14ac:dyDescent="0.2">
      <c r="B695" s="33" t="s">
        <v>1067</v>
      </c>
      <c r="C695" s="33" t="s">
        <v>1049</v>
      </c>
      <c r="D695" s="35">
        <f>SUMIFS(D696:D9015,K696:K9015,"0",B696:B9015,"1 2 4 1 3 12 31111 6 M59 20300 000139 0000E 00002 00515*")-SUMIFS(E696:E9015,K696:K9015,"0",B696:B9015,"1 2 4 1 3 12 31111 6 M59 20300 000139 0000E 00002 00515*")</f>
        <v>0</v>
      </c>
      <c r="E695"/>
      <c r="F695" s="35">
        <f>SUMIFS(F696:F9015,K696:K9015,"0",B696:B9015,"1 2 4 1 3 12 31111 6 M59 20300 000139 0000E 00002 00515*")</f>
        <v>146249.99</v>
      </c>
      <c r="G695" s="35">
        <f>SUMIFS(G696:G9015,K696:K9015,"0",B696:B9015,"1 2 4 1 3 12 31111 6 M59 20300 000139 0000E 00002 00515*")</f>
        <v>0</v>
      </c>
      <c r="H695" s="35">
        <f t="shared" si="10"/>
        <v>146249.99</v>
      </c>
      <c r="I695" s="35"/>
      <c r="K695" t="s">
        <v>15</v>
      </c>
    </row>
    <row r="696" spans="2:11" ht="33" x14ac:dyDescent="0.2">
      <c r="B696" s="33" t="s">
        <v>1068</v>
      </c>
      <c r="C696" s="33" t="s">
        <v>1051</v>
      </c>
      <c r="D696" s="35">
        <f>SUMIFS(D697:D9015,K697:K9015,"0",B697:B9015,"1 2 4 1 3 12 31111 6 M59 20300 000139 0000E 00002 00515 015*")-SUMIFS(E697:E9015,K697:K9015,"0",B697:B9015,"1 2 4 1 3 12 31111 6 M59 20300 000139 0000E 00002 00515 015*")</f>
        <v>0</v>
      </c>
      <c r="E696"/>
      <c r="F696" s="35">
        <f>SUMIFS(F697:F9015,K697:K9015,"0",B697:B9015,"1 2 4 1 3 12 31111 6 M59 20300 000139 0000E 00002 00515 015*")</f>
        <v>146249.99</v>
      </c>
      <c r="G696" s="35">
        <f>SUMIFS(G697:G9015,K697:K9015,"0",B697:B9015,"1 2 4 1 3 12 31111 6 M59 20300 000139 0000E 00002 00515 015*")</f>
        <v>0</v>
      </c>
      <c r="H696" s="35">
        <f t="shared" si="10"/>
        <v>146249.99</v>
      </c>
      <c r="I696" s="35"/>
      <c r="K696" t="s">
        <v>15</v>
      </c>
    </row>
    <row r="697" spans="2:11" ht="33" x14ac:dyDescent="0.2">
      <c r="B697" s="33" t="s">
        <v>1069</v>
      </c>
      <c r="C697" s="33" t="s">
        <v>1070</v>
      </c>
      <c r="D697" s="35">
        <f>SUMIFS(D698:D9015,K698:K9015,"0",B698:B9015,"1 2 4 1 3 12 31111 6 M59 20300 000139 0000E 00002 00515 015 2222200*")-SUMIFS(E698:E9015,K698:K9015,"0",B698:B9015,"1 2 4 1 3 12 31111 6 M59 20300 000139 0000E 00002 00515 015 2222200*")</f>
        <v>0</v>
      </c>
      <c r="E697"/>
      <c r="F697" s="35">
        <f>SUMIFS(F698:F9015,K698:K9015,"0",B698:B9015,"1 2 4 1 3 12 31111 6 M59 20300 000139 0000E 00002 00515 015 2222200*")</f>
        <v>146249.99</v>
      </c>
      <c r="G697" s="35">
        <f>SUMIFS(G698:G9015,K698:K9015,"0",B698:B9015,"1 2 4 1 3 12 31111 6 M59 20300 000139 0000E 00002 00515 015 2222200*")</f>
        <v>0</v>
      </c>
      <c r="H697" s="35">
        <f t="shared" si="10"/>
        <v>146249.99</v>
      </c>
      <c r="I697" s="35"/>
      <c r="K697" t="s">
        <v>15</v>
      </c>
    </row>
    <row r="698" spans="2:11" ht="33" x14ac:dyDescent="0.2">
      <c r="B698" s="33" t="s">
        <v>1071</v>
      </c>
      <c r="C698" s="33" t="s">
        <v>660</v>
      </c>
      <c r="D698" s="35">
        <f>SUMIFS(D699:D9015,K699:K9015,"0",B699:B9015,"1 2 4 1 3 12 31111 6 M59 20300 000139 0000E 00002 00515 015 2222200 2024*")-SUMIFS(E699:E9015,K699:K9015,"0",B699:B9015,"1 2 4 1 3 12 31111 6 M59 20300 000139 0000E 00002 00515 015 2222200 2024*")</f>
        <v>0</v>
      </c>
      <c r="E698"/>
      <c r="F698" s="35">
        <f>SUMIFS(F699:F9015,K699:K9015,"0",B699:B9015,"1 2 4 1 3 12 31111 6 M59 20300 000139 0000E 00002 00515 015 2222200 2024*")</f>
        <v>146249.99</v>
      </c>
      <c r="G698" s="35">
        <f>SUMIFS(G699:G9015,K699:K9015,"0",B699:B9015,"1 2 4 1 3 12 31111 6 M59 20300 000139 0000E 00002 00515 015 2222200 2024*")</f>
        <v>0</v>
      </c>
      <c r="H698" s="35">
        <f t="shared" si="10"/>
        <v>146249.99</v>
      </c>
      <c r="I698" s="35"/>
      <c r="K698" t="s">
        <v>15</v>
      </c>
    </row>
    <row r="699" spans="2:11" ht="41.25" x14ac:dyDescent="0.2">
      <c r="B699" s="33" t="s">
        <v>1072</v>
      </c>
      <c r="C699" s="33" t="s">
        <v>1073</v>
      </c>
      <c r="D699" s="35">
        <f>SUMIFS(D700:D9015,K700:K9015,"0",B700:B9015,"1 2 4 1 3 12 31111 6 M59 20300 000139 0000E 00002 00515 015 2222200 2024 CP2DE533*")-SUMIFS(E700:E9015,K700:K9015,"0",B700:B9015,"1 2 4 1 3 12 31111 6 M59 20300 000139 0000E 00002 00515 015 2222200 2024 CP2DE533*")</f>
        <v>0</v>
      </c>
      <c r="E699"/>
      <c r="F699" s="35">
        <f>SUMIFS(F700:F9015,K700:K9015,"0",B700:B9015,"1 2 4 1 3 12 31111 6 M59 20300 000139 0000E 00002 00515 015 2222200 2024 CP2DE533*")</f>
        <v>146249.99</v>
      </c>
      <c r="G699" s="35">
        <f>SUMIFS(G700:G9015,K700:K9015,"0",B700:B9015,"1 2 4 1 3 12 31111 6 M59 20300 000139 0000E 00002 00515 015 2222200 2024 CP2DE533*")</f>
        <v>0</v>
      </c>
      <c r="H699" s="35">
        <f t="shared" si="10"/>
        <v>146249.99</v>
      </c>
      <c r="I699" s="35"/>
      <c r="K699" t="s">
        <v>15</v>
      </c>
    </row>
    <row r="700" spans="2:11" ht="41.25" x14ac:dyDescent="0.2">
      <c r="B700" s="33" t="s">
        <v>1074</v>
      </c>
      <c r="C700" s="33" t="s">
        <v>1075</v>
      </c>
      <c r="D700" s="35">
        <f>SUMIFS(D701:D9015,K701:K9015,"0",B701:B9015,"1 2 4 1 3 12 31111 6 M59 20300 000139 0000E 00002 00515 015 2222200 2024 CP2DE533 005*")-SUMIFS(E701:E9015,K701:K9015,"0",B701:B9015,"1 2 4 1 3 12 31111 6 M59 20300 000139 0000E 00002 00515 015 2222200 2024 CP2DE533 005*")</f>
        <v>0</v>
      </c>
      <c r="E700"/>
      <c r="F700" s="35">
        <f>SUMIFS(F701:F9015,K701:K9015,"0",B701:B9015,"1 2 4 1 3 12 31111 6 M59 20300 000139 0000E 00002 00515 015 2222200 2024 CP2DE533 005*")</f>
        <v>146249.99</v>
      </c>
      <c r="G700" s="35">
        <f>SUMIFS(G701:G9015,K701:K9015,"0",B701:B9015,"1 2 4 1 3 12 31111 6 M59 20300 000139 0000E 00002 00515 015 2222200 2024 CP2DE533 005*")</f>
        <v>0</v>
      </c>
      <c r="H700" s="35">
        <f t="shared" si="10"/>
        <v>146249.99</v>
      </c>
      <c r="I700" s="35"/>
      <c r="K700" t="s">
        <v>15</v>
      </c>
    </row>
    <row r="701" spans="2:11" ht="41.25" x14ac:dyDescent="0.2">
      <c r="B701" s="31" t="s">
        <v>1076</v>
      </c>
      <c r="C701" s="31" t="s">
        <v>1077</v>
      </c>
      <c r="D701" s="34">
        <v>0</v>
      </c>
      <c r="E701" s="34"/>
      <c r="F701" s="34">
        <v>146249.99</v>
      </c>
      <c r="G701" s="34">
        <v>0</v>
      </c>
      <c r="H701" s="34">
        <f t="shared" si="10"/>
        <v>146249.99</v>
      </c>
      <c r="I701" s="34"/>
      <c r="K701" t="s">
        <v>38</v>
      </c>
    </row>
    <row r="702" spans="2:11" ht="16.5" x14ac:dyDescent="0.2">
      <c r="B702" s="33" t="s">
        <v>1078</v>
      </c>
      <c r="C702" s="33" t="s">
        <v>1079</v>
      </c>
      <c r="D702" s="35">
        <f>SUMIFS(D703:D9015,K703:K9015,"0",B703:B9015,"1 2 4 1 3 12 31111 6 M59 20500*")-SUMIFS(E703:E9015,K703:K9015,"0",B703:B9015,"1 2 4 1 3 12 31111 6 M59 20500*")</f>
        <v>0</v>
      </c>
      <c r="E702"/>
      <c r="F702" s="35">
        <f>SUMIFS(F703:F9015,K703:K9015,"0",B703:B9015,"1 2 4 1 3 12 31111 6 M59 20500*")</f>
        <v>15022.92</v>
      </c>
      <c r="G702" s="35">
        <f>SUMIFS(G703:G9015,K703:K9015,"0",B703:B9015,"1 2 4 1 3 12 31111 6 M59 20500*")</f>
        <v>0</v>
      </c>
      <c r="H702" s="35">
        <f t="shared" si="10"/>
        <v>15022.92</v>
      </c>
      <c r="I702" s="35"/>
      <c r="K702" t="s">
        <v>15</v>
      </c>
    </row>
    <row r="703" spans="2:11" ht="16.5" x14ac:dyDescent="0.2">
      <c r="B703" s="33" t="s">
        <v>1080</v>
      </c>
      <c r="C703" s="33" t="s">
        <v>648</v>
      </c>
      <c r="D703" s="35">
        <f>SUMIFS(D704:D9015,K704:K9015,"0",B704:B9015,"1 2 4 1 3 12 31111 6 M59 20500 000132*")-SUMIFS(E704:E9015,K704:K9015,"0",B704:B9015,"1 2 4 1 3 12 31111 6 M59 20500 000132*")</f>
        <v>0</v>
      </c>
      <c r="E703"/>
      <c r="F703" s="35">
        <f>SUMIFS(F704:F9015,K704:K9015,"0",B704:B9015,"1 2 4 1 3 12 31111 6 M59 20500 000132*")</f>
        <v>15022.92</v>
      </c>
      <c r="G703" s="35">
        <f>SUMIFS(G704:G9015,K704:K9015,"0",B704:B9015,"1 2 4 1 3 12 31111 6 M59 20500 000132*")</f>
        <v>0</v>
      </c>
      <c r="H703" s="35">
        <f t="shared" si="10"/>
        <v>15022.92</v>
      </c>
      <c r="I703" s="35"/>
      <c r="K703" t="s">
        <v>15</v>
      </c>
    </row>
    <row r="704" spans="2:11" ht="24.75" x14ac:dyDescent="0.2">
      <c r="B704" s="33" t="s">
        <v>1081</v>
      </c>
      <c r="C704" s="33" t="s">
        <v>650</v>
      </c>
      <c r="D704" s="35">
        <f>SUMIFS(D705:D9015,K705:K9015,"0",B705:B9015,"1 2 4 1 3 12 31111 6 M59 20500 000132 0000R*")-SUMIFS(E705:E9015,K705:K9015,"0",B705:B9015,"1 2 4 1 3 12 31111 6 M59 20500 000132 0000R*")</f>
        <v>0</v>
      </c>
      <c r="E704"/>
      <c r="F704" s="35">
        <f>SUMIFS(F705:F9015,K705:K9015,"0",B705:B9015,"1 2 4 1 3 12 31111 6 M59 20500 000132 0000R*")</f>
        <v>15022.92</v>
      </c>
      <c r="G704" s="35">
        <f>SUMIFS(G705:G9015,K705:K9015,"0",B705:B9015,"1 2 4 1 3 12 31111 6 M59 20500 000132 0000R*")</f>
        <v>0</v>
      </c>
      <c r="H704" s="35">
        <f t="shared" si="10"/>
        <v>15022.92</v>
      </c>
      <c r="I704" s="35"/>
      <c r="K704" t="s">
        <v>15</v>
      </c>
    </row>
    <row r="705" spans="2:11" ht="24.75" x14ac:dyDescent="0.2">
      <c r="B705" s="33" t="s">
        <v>1082</v>
      </c>
      <c r="C705" s="33" t="s">
        <v>652</v>
      </c>
      <c r="D705" s="35">
        <f>SUMIFS(D706:D9015,K706:K9015,"0",B706:B9015,"1 2 4 1 3 12 31111 6 M59 20500 000132 0000R 00002*")-SUMIFS(E706:E9015,K706:K9015,"0",B706:B9015,"1 2 4 1 3 12 31111 6 M59 20500 000132 0000R 00002*")</f>
        <v>0</v>
      </c>
      <c r="E705"/>
      <c r="F705" s="35">
        <f>SUMIFS(F706:F9015,K706:K9015,"0",B706:B9015,"1 2 4 1 3 12 31111 6 M59 20500 000132 0000R 00002*")</f>
        <v>15022.92</v>
      </c>
      <c r="G705" s="35">
        <f>SUMIFS(G706:G9015,K706:K9015,"0",B706:B9015,"1 2 4 1 3 12 31111 6 M59 20500 000132 0000R 00002*")</f>
        <v>0</v>
      </c>
      <c r="H705" s="35">
        <f t="shared" si="10"/>
        <v>15022.92</v>
      </c>
      <c r="I705" s="35"/>
      <c r="K705" t="s">
        <v>15</v>
      </c>
    </row>
    <row r="706" spans="2:11" ht="24.75" x14ac:dyDescent="0.2">
      <c r="B706" s="33" t="s">
        <v>1083</v>
      </c>
      <c r="C706" s="33" t="s">
        <v>1049</v>
      </c>
      <c r="D706" s="35">
        <f>SUMIFS(D707:D9015,K707:K9015,"0",B707:B9015,"1 2 4 1 3 12 31111 6 M59 20500 000132 0000R 00002 00515*")-SUMIFS(E707:E9015,K707:K9015,"0",B707:B9015,"1 2 4 1 3 12 31111 6 M59 20500 000132 0000R 00002 00515*")</f>
        <v>0</v>
      </c>
      <c r="E706"/>
      <c r="F706" s="35">
        <f>SUMIFS(F707:F9015,K707:K9015,"0",B707:B9015,"1 2 4 1 3 12 31111 6 M59 20500 000132 0000R 00002 00515*")</f>
        <v>15022.92</v>
      </c>
      <c r="G706" s="35">
        <f>SUMIFS(G707:G9015,K707:K9015,"0",B707:B9015,"1 2 4 1 3 12 31111 6 M59 20500 000132 0000R 00002 00515*")</f>
        <v>0</v>
      </c>
      <c r="H706" s="35">
        <f t="shared" si="10"/>
        <v>15022.92</v>
      </c>
      <c r="I706" s="35"/>
      <c r="K706" t="s">
        <v>15</v>
      </c>
    </row>
    <row r="707" spans="2:11" ht="33" x14ac:dyDescent="0.2">
      <c r="B707" s="33" t="s">
        <v>1084</v>
      </c>
      <c r="C707" s="33" t="s">
        <v>1051</v>
      </c>
      <c r="D707" s="35">
        <f>SUMIFS(D708:D9015,K708:K9015,"0",B708:B9015,"1 2 4 1 3 12 31111 6 M59 20500 000132 0000R 00002 00515 015*")-SUMIFS(E708:E9015,K708:K9015,"0",B708:B9015,"1 2 4 1 3 12 31111 6 M59 20500 000132 0000R 00002 00515 015*")</f>
        <v>0</v>
      </c>
      <c r="E707"/>
      <c r="F707" s="35">
        <f>SUMIFS(F708:F9015,K708:K9015,"0",B708:B9015,"1 2 4 1 3 12 31111 6 M59 20500 000132 0000R 00002 00515 015*")</f>
        <v>15022.92</v>
      </c>
      <c r="G707" s="35">
        <f>SUMIFS(G708:G9015,K708:K9015,"0",B708:B9015,"1 2 4 1 3 12 31111 6 M59 20500 000132 0000R 00002 00515 015*")</f>
        <v>0</v>
      </c>
      <c r="H707" s="35">
        <f t="shared" si="10"/>
        <v>15022.92</v>
      </c>
      <c r="I707" s="35"/>
      <c r="K707" t="s">
        <v>15</v>
      </c>
    </row>
    <row r="708" spans="2:11" ht="33" x14ac:dyDescent="0.2">
      <c r="B708" s="33" t="s">
        <v>1085</v>
      </c>
      <c r="C708" s="33" t="s">
        <v>1053</v>
      </c>
      <c r="D708" s="35">
        <f>SUMIFS(D709:D9015,K709:K9015,"0",B709:B9015,"1 2 4 1 3 12 31111 6 M59 20500 000132 0000R 00002 00515 015 2222200*")-SUMIFS(E709:E9015,K709:K9015,"0",B709:B9015,"1 2 4 1 3 12 31111 6 M59 20500 000132 0000R 00002 00515 015 2222200*")</f>
        <v>0</v>
      </c>
      <c r="E708"/>
      <c r="F708" s="35">
        <f>SUMIFS(F709:F9015,K709:K9015,"0",B709:B9015,"1 2 4 1 3 12 31111 6 M59 20500 000132 0000R 00002 00515 015 2222200*")</f>
        <v>15022.92</v>
      </c>
      <c r="G708" s="35">
        <f>SUMIFS(G709:G9015,K709:K9015,"0",B709:B9015,"1 2 4 1 3 12 31111 6 M59 20500 000132 0000R 00002 00515 015 2222200*")</f>
        <v>0</v>
      </c>
      <c r="H708" s="35">
        <f t="shared" si="10"/>
        <v>15022.92</v>
      </c>
      <c r="I708" s="35"/>
      <c r="K708" t="s">
        <v>15</v>
      </c>
    </row>
    <row r="709" spans="2:11" ht="33" x14ac:dyDescent="0.2">
      <c r="B709" s="33" t="s">
        <v>1086</v>
      </c>
      <c r="C709" s="33" t="s">
        <v>660</v>
      </c>
      <c r="D709" s="35">
        <f>SUMIFS(D710:D9015,K710:K9015,"0",B710:B9015,"1 2 4 1 3 12 31111 6 M59 20500 000132 0000R 00002 00515 015 2222200 2024*")-SUMIFS(E710:E9015,K710:K9015,"0",B710:B9015,"1 2 4 1 3 12 31111 6 M59 20500 000132 0000R 00002 00515 015 2222200 2024*")</f>
        <v>0</v>
      </c>
      <c r="E709"/>
      <c r="F709" s="35">
        <f>SUMIFS(F710:F9015,K710:K9015,"0",B710:B9015,"1 2 4 1 3 12 31111 6 M59 20500 000132 0000R 00002 00515 015 2222200 2024*")</f>
        <v>15022.92</v>
      </c>
      <c r="G709" s="35">
        <f>SUMIFS(G710:G9015,K710:K9015,"0",B710:B9015,"1 2 4 1 3 12 31111 6 M59 20500 000132 0000R 00002 00515 015 2222200 2024*")</f>
        <v>0</v>
      </c>
      <c r="H709" s="35">
        <f t="shared" si="10"/>
        <v>15022.92</v>
      </c>
      <c r="I709" s="35"/>
      <c r="K709" t="s">
        <v>15</v>
      </c>
    </row>
    <row r="710" spans="2:11" ht="41.25" x14ac:dyDescent="0.2">
      <c r="B710" s="33" t="s">
        <v>1087</v>
      </c>
      <c r="C710" s="33" t="s">
        <v>1056</v>
      </c>
      <c r="D710" s="35">
        <f>SUMIFS(D711:D9015,K711:K9015,"0",B711:B9015,"1 2 4 1 3 12 31111 6 M59 20500 000132 0000R 00002 00515 015 2222200 2024 CP1CP420*")-SUMIFS(E711:E9015,K711:K9015,"0",B711:B9015,"1 2 4 1 3 12 31111 6 M59 20500 000132 0000R 00002 00515 015 2222200 2024 CP1CP420*")</f>
        <v>0</v>
      </c>
      <c r="E710"/>
      <c r="F710" s="35">
        <f>SUMIFS(F711:F9015,K711:K9015,"0",B711:B9015,"1 2 4 1 3 12 31111 6 M59 20500 000132 0000R 00002 00515 015 2222200 2024 CP1CP420*")</f>
        <v>15022.92</v>
      </c>
      <c r="G710" s="35">
        <f>SUMIFS(G711:G9015,K711:K9015,"0",B711:B9015,"1 2 4 1 3 12 31111 6 M59 20500 000132 0000R 00002 00515 015 2222200 2024 CP1CP420*")</f>
        <v>0</v>
      </c>
      <c r="H710" s="35">
        <f t="shared" si="10"/>
        <v>15022.92</v>
      </c>
      <c r="I710" s="35"/>
      <c r="K710" t="s">
        <v>15</v>
      </c>
    </row>
    <row r="711" spans="2:11" ht="41.25" x14ac:dyDescent="0.2">
      <c r="B711" s="33" t="s">
        <v>1088</v>
      </c>
      <c r="C711" s="33" t="s">
        <v>282</v>
      </c>
      <c r="D711" s="35">
        <f>SUMIFS(D712:D9015,K712:K9015,"0",B712:B9015,"1 2 4 1 3 12 31111 6 M59 20500 000132 0000R 00002 00515 015 2222200 2024 CP1CP420 001*")-SUMIFS(E712:E9015,K712:K9015,"0",B712:B9015,"1 2 4 1 3 12 31111 6 M59 20500 000132 0000R 00002 00515 015 2222200 2024 CP1CP420 001*")</f>
        <v>0</v>
      </c>
      <c r="E711"/>
      <c r="F711" s="35">
        <f>SUMIFS(F712:F9015,K712:K9015,"0",B712:B9015,"1 2 4 1 3 12 31111 6 M59 20500 000132 0000R 00002 00515 015 2222200 2024 CP1CP420 001*")</f>
        <v>15022.92</v>
      </c>
      <c r="G711" s="35">
        <f>SUMIFS(G712:G9015,K712:K9015,"0",B712:B9015,"1 2 4 1 3 12 31111 6 M59 20500 000132 0000R 00002 00515 015 2222200 2024 CP1CP420 001*")</f>
        <v>0</v>
      </c>
      <c r="H711" s="35">
        <f t="shared" si="10"/>
        <v>15022.92</v>
      </c>
      <c r="I711" s="35"/>
      <c r="K711" t="s">
        <v>15</v>
      </c>
    </row>
    <row r="712" spans="2:11" ht="41.25" x14ac:dyDescent="0.2">
      <c r="B712" s="31" t="s">
        <v>1089</v>
      </c>
      <c r="C712" s="31" t="s">
        <v>1090</v>
      </c>
      <c r="D712" s="34">
        <v>0</v>
      </c>
      <c r="E712" s="34"/>
      <c r="F712" s="34">
        <v>15022.92</v>
      </c>
      <c r="G712" s="34">
        <v>0</v>
      </c>
      <c r="H712" s="34">
        <f t="shared" si="10"/>
        <v>15022.92</v>
      </c>
      <c r="I712" s="34"/>
      <c r="K712" t="s">
        <v>38</v>
      </c>
    </row>
    <row r="713" spans="2:11" ht="16.5" x14ac:dyDescent="0.2">
      <c r="B713" s="33" t="s">
        <v>1091</v>
      </c>
      <c r="C713" s="33" t="s">
        <v>1092</v>
      </c>
      <c r="D713" s="35">
        <f>SUMIFS(D714:D9015,K714:K9015,"0",B714:B9015,"1 2 4 1 3 12 31111 6 M59 40000*")-SUMIFS(E714:E9015,K714:K9015,"0",B714:B9015,"1 2 4 1 3 12 31111 6 M59 40000*")</f>
        <v>0</v>
      </c>
      <c r="E713"/>
      <c r="F713" s="35">
        <f>SUMIFS(F714:F9015,K714:K9015,"0",B714:B9015,"1 2 4 1 3 12 31111 6 M59 40000*")</f>
        <v>58973.99</v>
      </c>
      <c r="G713" s="35">
        <f>SUMIFS(G714:G9015,K714:K9015,"0",B714:B9015,"1 2 4 1 3 12 31111 6 M59 40000*")</f>
        <v>0</v>
      </c>
      <c r="H713" s="35">
        <f t="shared" si="10"/>
        <v>58973.99</v>
      </c>
      <c r="I713" s="35"/>
      <c r="K713" t="s">
        <v>15</v>
      </c>
    </row>
    <row r="714" spans="2:11" ht="16.5" x14ac:dyDescent="0.2">
      <c r="B714" s="33" t="s">
        <v>1093</v>
      </c>
      <c r="C714" s="33" t="s">
        <v>1094</v>
      </c>
      <c r="D714" s="35">
        <f>SUMIFS(D715:D9015,K715:K9015,"0",B715:B9015,"1 2 4 1 3 12 31111 6 M59 40000 000161*")-SUMIFS(E715:E9015,K715:K9015,"0",B715:B9015,"1 2 4 1 3 12 31111 6 M59 40000 000161*")</f>
        <v>0</v>
      </c>
      <c r="E714"/>
      <c r="F714" s="35">
        <f>SUMIFS(F715:F9015,K715:K9015,"0",B715:B9015,"1 2 4 1 3 12 31111 6 M59 40000 000161*")</f>
        <v>58973.99</v>
      </c>
      <c r="G714" s="35">
        <f>SUMIFS(G715:G9015,K715:K9015,"0",B715:B9015,"1 2 4 1 3 12 31111 6 M59 40000 000161*")</f>
        <v>0</v>
      </c>
      <c r="H714" s="35">
        <f t="shared" si="10"/>
        <v>58973.99</v>
      </c>
      <c r="I714" s="35"/>
      <c r="K714" t="s">
        <v>15</v>
      </c>
    </row>
    <row r="715" spans="2:11" ht="24.75" x14ac:dyDescent="0.2">
      <c r="B715" s="33" t="s">
        <v>1095</v>
      </c>
      <c r="C715" s="33" t="s">
        <v>1065</v>
      </c>
      <c r="D715" s="35">
        <f>SUMIFS(D716:D9015,K716:K9015,"0",B716:B9015,"1 2 4 1 3 12 31111 6 M59 40000 000161 0000E*")-SUMIFS(E716:E9015,K716:K9015,"0",B716:B9015,"1 2 4 1 3 12 31111 6 M59 40000 000161 0000E*")</f>
        <v>0</v>
      </c>
      <c r="E715"/>
      <c r="F715" s="35">
        <f>SUMIFS(F716:F9015,K716:K9015,"0",B716:B9015,"1 2 4 1 3 12 31111 6 M59 40000 000161 0000E*")</f>
        <v>58973.99</v>
      </c>
      <c r="G715" s="35">
        <f>SUMIFS(G716:G9015,K716:K9015,"0",B716:B9015,"1 2 4 1 3 12 31111 6 M59 40000 000161 0000E*")</f>
        <v>0</v>
      </c>
      <c r="H715" s="35">
        <f t="shared" si="10"/>
        <v>58973.99</v>
      </c>
      <c r="I715" s="35"/>
      <c r="K715" t="s">
        <v>15</v>
      </c>
    </row>
    <row r="716" spans="2:11" ht="24.75" x14ac:dyDescent="0.2">
      <c r="B716" s="33" t="s">
        <v>1096</v>
      </c>
      <c r="C716" s="33" t="s">
        <v>652</v>
      </c>
      <c r="D716" s="35">
        <f>SUMIFS(D717:D9015,K717:K9015,"0",B717:B9015,"1 2 4 1 3 12 31111 6 M59 40000 000161 0000E 00002*")-SUMIFS(E717:E9015,K717:K9015,"0",B717:B9015,"1 2 4 1 3 12 31111 6 M59 40000 000161 0000E 00002*")</f>
        <v>0</v>
      </c>
      <c r="E716"/>
      <c r="F716" s="35">
        <f>SUMIFS(F717:F9015,K717:K9015,"0",B717:B9015,"1 2 4 1 3 12 31111 6 M59 40000 000161 0000E 00002*")</f>
        <v>58973.99</v>
      </c>
      <c r="G716" s="35">
        <f>SUMIFS(G717:G9015,K717:K9015,"0",B717:B9015,"1 2 4 1 3 12 31111 6 M59 40000 000161 0000E 00002*")</f>
        <v>0</v>
      </c>
      <c r="H716" s="35">
        <f t="shared" ref="H716:H779" si="11">D716 + F716 - G716</f>
        <v>58973.99</v>
      </c>
      <c r="I716" s="35"/>
      <c r="K716" t="s">
        <v>15</v>
      </c>
    </row>
    <row r="717" spans="2:11" ht="24.75" x14ac:dyDescent="0.2">
      <c r="B717" s="33" t="s">
        <v>1097</v>
      </c>
      <c r="C717" s="33" t="s">
        <v>1049</v>
      </c>
      <c r="D717" s="35">
        <f>SUMIFS(D718:D9015,K718:K9015,"0",B718:B9015,"1 2 4 1 3 12 31111 6 M59 40000 000161 0000E 00002 00515*")-SUMIFS(E718:E9015,K718:K9015,"0",B718:B9015,"1 2 4 1 3 12 31111 6 M59 40000 000161 0000E 00002 00515*")</f>
        <v>0</v>
      </c>
      <c r="E717"/>
      <c r="F717" s="35">
        <f>SUMIFS(F718:F9015,K718:K9015,"0",B718:B9015,"1 2 4 1 3 12 31111 6 M59 40000 000161 0000E 00002 00515*")</f>
        <v>58973.99</v>
      </c>
      <c r="G717" s="35">
        <f>SUMIFS(G718:G9015,K718:K9015,"0",B718:B9015,"1 2 4 1 3 12 31111 6 M59 40000 000161 0000E 00002 00515*")</f>
        <v>0</v>
      </c>
      <c r="H717" s="35">
        <f t="shared" si="11"/>
        <v>58973.99</v>
      </c>
      <c r="I717" s="35"/>
      <c r="K717" t="s">
        <v>15</v>
      </c>
    </row>
    <row r="718" spans="2:11" ht="33" x14ac:dyDescent="0.2">
      <c r="B718" s="33" t="s">
        <v>1098</v>
      </c>
      <c r="C718" s="33" t="s">
        <v>656</v>
      </c>
      <c r="D718" s="35">
        <f>SUMIFS(D719:D9015,K719:K9015,"0",B719:B9015,"1 2 4 1 3 12 31111 6 M59 40000 000161 0000E 00002 00515 025*")-SUMIFS(E719:E9015,K719:K9015,"0",B719:B9015,"1 2 4 1 3 12 31111 6 M59 40000 000161 0000E 00002 00515 025*")</f>
        <v>0</v>
      </c>
      <c r="E718"/>
      <c r="F718" s="35">
        <f>SUMIFS(F719:F9015,K719:K9015,"0",B719:B9015,"1 2 4 1 3 12 31111 6 M59 40000 000161 0000E 00002 00515 025*")</f>
        <v>58973.99</v>
      </c>
      <c r="G718" s="35">
        <f>SUMIFS(G719:G9015,K719:K9015,"0",B719:B9015,"1 2 4 1 3 12 31111 6 M59 40000 000161 0000E 00002 00515 025*")</f>
        <v>0</v>
      </c>
      <c r="H718" s="35">
        <f t="shared" si="11"/>
        <v>58973.99</v>
      </c>
      <c r="I718" s="35"/>
      <c r="K718" t="s">
        <v>15</v>
      </c>
    </row>
    <row r="719" spans="2:11" ht="33" x14ac:dyDescent="0.2">
      <c r="B719" s="33" t="s">
        <v>1099</v>
      </c>
      <c r="C719" s="33" t="s">
        <v>1070</v>
      </c>
      <c r="D719" s="35">
        <f>SUMIFS(D720:D9015,K720:K9015,"0",B720:B9015,"1 2 4 1 3 12 31111 6 M59 40000 000161 0000E 00002 00515 025 2222200*")-SUMIFS(E720:E9015,K720:K9015,"0",B720:B9015,"1 2 4 1 3 12 31111 6 M59 40000 000161 0000E 00002 00515 025 2222200*")</f>
        <v>0</v>
      </c>
      <c r="E719"/>
      <c r="F719" s="35">
        <f>SUMIFS(F720:F9015,K720:K9015,"0",B720:B9015,"1 2 4 1 3 12 31111 6 M59 40000 000161 0000E 00002 00515 025 2222200*")</f>
        <v>58973.99</v>
      </c>
      <c r="G719" s="35">
        <f>SUMIFS(G720:G9015,K720:K9015,"0",B720:B9015,"1 2 4 1 3 12 31111 6 M59 40000 000161 0000E 00002 00515 025 2222200*")</f>
        <v>0</v>
      </c>
      <c r="H719" s="35">
        <f t="shared" si="11"/>
        <v>58973.99</v>
      </c>
      <c r="I719" s="35"/>
      <c r="K719" t="s">
        <v>15</v>
      </c>
    </row>
    <row r="720" spans="2:11" ht="33" x14ac:dyDescent="0.2">
      <c r="B720" s="33" t="s">
        <v>1100</v>
      </c>
      <c r="C720" s="33" t="s">
        <v>660</v>
      </c>
      <c r="D720" s="35">
        <f>SUMIFS(D721:D9015,K721:K9015,"0",B721:B9015,"1 2 4 1 3 12 31111 6 M59 40000 000161 0000E 00002 00515 025 2222200 2024*")-SUMIFS(E721:E9015,K721:K9015,"0",B721:B9015,"1 2 4 1 3 12 31111 6 M59 40000 000161 0000E 00002 00515 025 2222200 2024*")</f>
        <v>0</v>
      </c>
      <c r="E720"/>
      <c r="F720" s="35">
        <f>SUMIFS(F721:F9015,K721:K9015,"0",B721:B9015,"1 2 4 1 3 12 31111 6 M59 40000 000161 0000E 00002 00515 025 2222200 2024*")</f>
        <v>58973.99</v>
      </c>
      <c r="G720" s="35">
        <f>SUMIFS(G721:G9015,K721:K9015,"0",B721:B9015,"1 2 4 1 3 12 31111 6 M59 40000 000161 0000E 00002 00515 025 2222200 2024*")</f>
        <v>0</v>
      </c>
      <c r="H720" s="35">
        <f t="shared" si="11"/>
        <v>58973.99</v>
      </c>
      <c r="I720" s="35"/>
      <c r="K720" t="s">
        <v>15</v>
      </c>
    </row>
    <row r="721" spans="2:11" ht="41.25" x14ac:dyDescent="0.2">
      <c r="B721" s="33" t="s">
        <v>1101</v>
      </c>
      <c r="C721" s="33" t="s">
        <v>662</v>
      </c>
      <c r="D721" s="35">
        <f>SUMIFS(D722:D9015,K722:K9015,"0",B722:B9015,"1 2 4 1 3 12 31111 6 M59 40000 000161 0000E 00002 00515 025 2222200 2024 CP4SP372*")-SUMIFS(E722:E9015,K722:K9015,"0",B722:B9015,"1 2 4 1 3 12 31111 6 M59 40000 000161 0000E 00002 00515 025 2222200 2024 CP4SP372*")</f>
        <v>0</v>
      </c>
      <c r="E721"/>
      <c r="F721" s="35">
        <f>SUMIFS(F722:F9015,K722:K9015,"0",B722:B9015,"1 2 4 1 3 12 31111 6 M59 40000 000161 0000E 00002 00515 025 2222200 2024 CP4SP372*")</f>
        <v>58973.99</v>
      </c>
      <c r="G721" s="35">
        <f>SUMIFS(G722:G9015,K722:K9015,"0",B722:B9015,"1 2 4 1 3 12 31111 6 M59 40000 000161 0000E 00002 00515 025 2222200 2024 CP4SP372*")</f>
        <v>0</v>
      </c>
      <c r="H721" s="35">
        <f t="shared" si="11"/>
        <v>58973.99</v>
      </c>
      <c r="I721" s="35"/>
      <c r="K721" t="s">
        <v>15</v>
      </c>
    </row>
    <row r="722" spans="2:11" ht="41.25" x14ac:dyDescent="0.2">
      <c r="B722" s="33" t="s">
        <v>1102</v>
      </c>
      <c r="C722" s="33" t="s">
        <v>664</v>
      </c>
      <c r="D722" s="35">
        <f>SUMIFS(D723:D9015,K723:K9015,"0",B723:B9015,"1 2 4 1 3 12 31111 6 M59 40000 000161 0000E 00002 00515 025 2222200 2024 CP4SP372 003*")-SUMIFS(E723:E9015,K723:K9015,"0",B723:B9015,"1 2 4 1 3 12 31111 6 M59 40000 000161 0000E 00002 00515 025 2222200 2024 CP4SP372 003*")</f>
        <v>0</v>
      </c>
      <c r="E722"/>
      <c r="F722" s="35">
        <f>SUMIFS(F723:F9015,K723:K9015,"0",B723:B9015,"1 2 4 1 3 12 31111 6 M59 40000 000161 0000E 00002 00515 025 2222200 2024 CP4SP372 003*")</f>
        <v>58973.99</v>
      </c>
      <c r="G722" s="35">
        <f>SUMIFS(G723:G9015,K723:K9015,"0",B723:B9015,"1 2 4 1 3 12 31111 6 M59 40000 000161 0000E 00002 00515 025 2222200 2024 CP4SP372 003*")</f>
        <v>0</v>
      </c>
      <c r="H722" s="35">
        <f t="shared" si="11"/>
        <v>58973.99</v>
      </c>
      <c r="I722" s="35"/>
      <c r="K722" t="s">
        <v>15</v>
      </c>
    </row>
    <row r="723" spans="2:11" ht="33" x14ac:dyDescent="0.2">
      <c r="B723" s="31" t="s">
        <v>1103</v>
      </c>
      <c r="C723" s="31" t="s">
        <v>1049</v>
      </c>
      <c r="D723" s="34">
        <v>0</v>
      </c>
      <c r="E723" s="34"/>
      <c r="F723" s="34">
        <v>58973.99</v>
      </c>
      <c r="G723" s="34">
        <v>0</v>
      </c>
      <c r="H723" s="34">
        <f t="shared" si="11"/>
        <v>58973.99</v>
      </c>
      <c r="I723" s="34"/>
      <c r="K723" t="s">
        <v>38</v>
      </c>
    </row>
    <row r="724" spans="2:11" ht="16.5" x14ac:dyDescent="0.2">
      <c r="B724" s="33" t="s">
        <v>1104</v>
      </c>
      <c r="C724" s="33" t="s">
        <v>1105</v>
      </c>
      <c r="D724" s="35">
        <f>SUMIFS(D725:D9015,K725:K9015,"0",B725:B9015,"1 2 4 1 3 12 31111 6 M59 40200*")-SUMIFS(E725:E9015,K725:K9015,"0",B725:B9015,"1 2 4 1 3 12 31111 6 M59 40200*")</f>
        <v>0</v>
      </c>
      <c r="E724"/>
      <c r="F724" s="35">
        <f>SUMIFS(F725:F9015,K725:K9015,"0",B725:B9015,"1 2 4 1 3 12 31111 6 M59 40200*")</f>
        <v>10224</v>
      </c>
      <c r="G724" s="35">
        <f>SUMIFS(G725:G9015,K725:K9015,"0",B725:B9015,"1 2 4 1 3 12 31111 6 M59 40200*")</f>
        <v>0</v>
      </c>
      <c r="H724" s="35">
        <f t="shared" si="11"/>
        <v>10224</v>
      </c>
      <c r="I724" s="35"/>
      <c r="K724" t="s">
        <v>15</v>
      </c>
    </row>
    <row r="725" spans="2:11" ht="16.5" x14ac:dyDescent="0.2">
      <c r="B725" s="33" t="s">
        <v>1106</v>
      </c>
      <c r="C725" s="33" t="s">
        <v>1107</v>
      </c>
      <c r="D725" s="35">
        <f>SUMIFS(D726:D9015,K726:K9015,"0",B726:B9015,"1 2 4 1 3 12 31111 6 M59 40200 000172*")-SUMIFS(E726:E9015,K726:K9015,"0",B726:B9015,"1 2 4 1 3 12 31111 6 M59 40200 000172*")</f>
        <v>0</v>
      </c>
      <c r="E725"/>
      <c r="F725" s="35">
        <f>SUMIFS(F726:F9015,K726:K9015,"0",B726:B9015,"1 2 4 1 3 12 31111 6 M59 40200 000172*")</f>
        <v>10224</v>
      </c>
      <c r="G725" s="35">
        <f>SUMIFS(G726:G9015,K726:K9015,"0",B726:B9015,"1 2 4 1 3 12 31111 6 M59 40200 000172*")</f>
        <v>0</v>
      </c>
      <c r="H725" s="35">
        <f t="shared" si="11"/>
        <v>10224</v>
      </c>
      <c r="I725" s="35"/>
      <c r="K725" t="s">
        <v>15</v>
      </c>
    </row>
    <row r="726" spans="2:11" ht="24.75" x14ac:dyDescent="0.2">
      <c r="B726" s="33" t="s">
        <v>1108</v>
      </c>
      <c r="C726" s="33" t="s">
        <v>650</v>
      </c>
      <c r="D726" s="35">
        <f>SUMIFS(D727:D9015,K727:K9015,"0",B727:B9015,"1 2 4 1 3 12 31111 6 M59 40200 000172 0000R*")-SUMIFS(E727:E9015,K727:K9015,"0",B727:B9015,"1 2 4 1 3 12 31111 6 M59 40200 000172 0000R*")</f>
        <v>0</v>
      </c>
      <c r="E726"/>
      <c r="F726" s="35">
        <f>SUMIFS(F727:F9015,K727:K9015,"0",B727:B9015,"1 2 4 1 3 12 31111 6 M59 40200 000172 0000R*")</f>
        <v>10224</v>
      </c>
      <c r="G726" s="35">
        <f>SUMIFS(G727:G9015,K727:K9015,"0",B727:B9015,"1 2 4 1 3 12 31111 6 M59 40200 000172 0000R*")</f>
        <v>0</v>
      </c>
      <c r="H726" s="35">
        <f t="shared" si="11"/>
        <v>10224</v>
      </c>
      <c r="I726" s="35"/>
      <c r="K726" t="s">
        <v>15</v>
      </c>
    </row>
    <row r="727" spans="2:11" ht="24.75" x14ac:dyDescent="0.2">
      <c r="B727" s="33" t="s">
        <v>1109</v>
      </c>
      <c r="C727" s="33" t="s">
        <v>652</v>
      </c>
      <c r="D727" s="35">
        <f>SUMIFS(D728:D9015,K728:K9015,"0",B728:B9015,"1 2 4 1 3 12 31111 6 M59 40200 000172 0000R 00002*")-SUMIFS(E728:E9015,K728:K9015,"0",B728:B9015,"1 2 4 1 3 12 31111 6 M59 40200 000172 0000R 00002*")</f>
        <v>0</v>
      </c>
      <c r="E727"/>
      <c r="F727" s="35">
        <f>SUMIFS(F728:F9015,K728:K9015,"0",B728:B9015,"1 2 4 1 3 12 31111 6 M59 40200 000172 0000R 00002*")</f>
        <v>10224</v>
      </c>
      <c r="G727" s="35">
        <f>SUMIFS(G728:G9015,K728:K9015,"0",B728:B9015,"1 2 4 1 3 12 31111 6 M59 40200 000172 0000R 00002*")</f>
        <v>0</v>
      </c>
      <c r="H727" s="35">
        <f t="shared" si="11"/>
        <v>10224</v>
      </c>
      <c r="I727" s="35"/>
      <c r="K727" t="s">
        <v>15</v>
      </c>
    </row>
    <row r="728" spans="2:11" ht="24.75" x14ac:dyDescent="0.2">
      <c r="B728" s="33" t="s">
        <v>1110</v>
      </c>
      <c r="C728" s="33" t="s">
        <v>1049</v>
      </c>
      <c r="D728" s="35">
        <f>SUMIFS(D729:D9015,K729:K9015,"0",B729:B9015,"1 2 4 1 3 12 31111 6 M59 40200 000172 0000R 00002 00515*")-SUMIFS(E729:E9015,K729:K9015,"0",B729:B9015,"1 2 4 1 3 12 31111 6 M59 40200 000172 0000R 00002 00515*")</f>
        <v>0</v>
      </c>
      <c r="E728"/>
      <c r="F728" s="35">
        <f>SUMIFS(F729:F9015,K729:K9015,"0",B729:B9015,"1 2 4 1 3 12 31111 6 M59 40200 000172 0000R 00002 00515*")</f>
        <v>10224</v>
      </c>
      <c r="G728" s="35">
        <f>SUMIFS(G729:G9015,K729:K9015,"0",B729:B9015,"1 2 4 1 3 12 31111 6 M59 40200 000172 0000R 00002 00515*")</f>
        <v>0</v>
      </c>
      <c r="H728" s="35">
        <f t="shared" si="11"/>
        <v>10224</v>
      </c>
      <c r="I728" s="35"/>
      <c r="K728" t="s">
        <v>15</v>
      </c>
    </row>
    <row r="729" spans="2:11" ht="33" x14ac:dyDescent="0.2">
      <c r="B729" s="33" t="s">
        <v>1111</v>
      </c>
      <c r="C729" s="33" t="s">
        <v>656</v>
      </c>
      <c r="D729" s="35">
        <f>SUMIFS(D730:D9015,K730:K9015,"0",B730:B9015,"1 2 4 1 3 12 31111 6 M59 40200 000172 0000R 00002 00515 025*")-SUMIFS(E730:E9015,K730:K9015,"0",B730:B9015,"1 2 4 1 3 12 31111 6 M59 40200 000172 0000R 00002 00515 025*")</f>
        <v>0</v>
      </c>
      <c r="E729"/>
      <c r="F729" s="35">
        <f>SUMIFS(F730:F9015,K730:K9015,"0",B730:B9015,"1 2 4 1 3 12 31111 6 M59 40200 000172 0000R 00002 00515 025*")</f>
        <v>10224</v>
      </c>
      <c r="G729" s="35">
        <f>SUMIFS(G730:G9015,K730:K9015,"0",B730:B9015,"1 2 4 1 3 12 31111 6 M59 40200 000172 0000R 00002 00515 025*")</f>
        <v>0</v>
      </c>
      <c r="H729" s="35">
        <f t="shared" si="11"/>
        <v>10224</v>
      </c>
      <c r="I729" s="35"/>
      <c r="K729" t="s">
        <v>15</v>
      </c>
    </row>
    <row r="730" spans="2:11" ht="33" x14ac:dyDescent="0.2">
      <c r="B730" s="33" t="s">
        <v>1112</v>
      </c>
      <c r="C730" s="33" t="s">
        <v>1070</v>
      </c>
      <c r="D730" s="35">
        <f>SUMIFS(D731:D9015,K731:K9015,"0",B731:B9015,"1 2 4 1 3 12 31111 6 M59 40200 000172 0000R 00002 00515 025 2222200*")-SUMIFS(E731:E9015,K731:K9015,"0",B731:B9015,"1 2 4 1 3 12 31111 6 M59 40200 000172 0000R 00002 00515 025 2222200*")</f>
        <v>0</v>
      </c>
      <c r="E730"/>
      <c r="F730" s="35">
        <f>SUMIFS(F731:F9015,K731:K9015,"0",B731:B9015,"1 2 4 1 3 12 31111 6 M59 40200 000172 0000R 00002 00515 025 2222200*")</f>
        <v>10224</v>
      </c>
      <c r="G730" s="35">
        <f>SUMIFS(G731:G9015,K731:K9015,"0",B731:B9015,"1 2 4 1 3 12 31111 6 M59 40200 000172 0000R 00002 00515 025 2222200*")</f>
        <v>0</v>
      </c>
      <c r="H730" s="35">
        <f t="shared" si="11"/>
        <v>10224</v>
      </c>
      <c r="I730" s="35"/>
      <c r="K730" t="s">
        <v>15</v>
      </c>
    </row>
    <row r="731" spans="2:11" ht="33" x14ac:dyDescent="0.2">
      <c r="B731" s="33" t="s">
        <v>1113</v>
      </c>
      <c r="C731" s="33" t="s">
        <v>660</v>
      </c>
      <c r="D731" s="35">
        <f>SUMIFS(D732:D9015,K732:K9015,"0",B732:B9015,"1 2 4 1 3 12 31111 6 M59 40200 000172 0000R 00002 00515 025 2222200 2024*")-SUMIFS(E732:E9015,K732:K9015,"0",B732:B9015,"1 2 4 1 3 12 31111 6 M59 40200 000172 0000R 00002 00515 025 2222200 2024*")</f>
        <v>0</v>
      </c>
      <c r="E731"/>
      <c r="F731" s="35">
        <f>SUMIFS(F732:F9015,K732:K9015,"0",B732:B9015,"1 2 4 1 3 12 31111 6 M59 40200 000172 0000R 00002 00515 025 2222200 2024*")</f>
        <v>10224</v>
      </c>
      <c r="G731" s="35">
        <f>SUMIFS(G732:G9015,K732:K9015,"0",B732:B9015,"1 2 4 1 3 12 31111 6 M59 40200 000172 0000R 00002 00515 025 2222200 2024*")</f>
        <v>0</v>
      </c>
      <c r="H731" s="35">
        <f t="shared" si="11"/>
        <v>10224</v>
      </c>
      <c r="I731" s="35"/>
      <c r="K731" t="s">
        <v>15</v>
      </c>
    </row>
    <row r="732" spans="2:11" ht="41.25" x14ac:dyDescent="0.2">
      <c r="B732" s="33" t="s">
        <v>1114</v>
      </c>
      <c r="C732" s="33" t="s">
        <v>1056</v>
      </c>
      <c r="D732" s="35">
        <f>SUMIFS(D733:D9015,K733:K9015,"0",B733:B9015,"1 2 4 1 3 12 31111 6 M59 40200 000172 0000R 00002 00515 025 2222200 2024 CP4PC370*")-SUMIFS(E733:E9015,K733:K9015,"0",B733:B9015,"1 2 4 1 3 12 31111 6 M59 40200 000172 0000R 00002 00515 025 2222200 2024 CP4PC370*")</f>
        <v>0</v>
      </c>
      <c r="E732"/>
      <c r="F732" s="35">
        <f>SUMIFS(F733:F9015,K733:K9015,"0",B733:B9015,"1 2 4 1 3 12 31111 6 M59 40200 000172 0000R 00002 00515 025 2222200 2024 CP4PC370*")</f>
        <v>10224</v>
      </c>
      <c r="G732" s="35">
        <f>SUMIFS(G733:G9015,K733:K9015,"0",B733:B9015,"1 2 4 1 3 12 31111 6 M59 40200 000172 0000R 00002 00515 025 2222200 2024 CP4PC370*")</f>
        <v>0</v>
      </c>
      <c r="H732" s="35">
        <f t="shared" si="11"/>
        <v>10224</v>
      </c>
      <c r="I732" s="35"/>
      <c r="K732" t="s">
        <v>15</v>
      </c>
    </row>
    <row r="733" spans="2:11" ht="41.25" x14ac:dyDescent="0.2">
      <c r="B733" s="33" t="s">
        <v>1115</v>
      </c>
      <c r="C733" s="33" t="s">
        <v>664</v>
      </c>
      <c r="D733" s="35">
        <f>SUMIFS(D734:D9015,K734:K9015,"0",B734:B9015,"1 2 4 1 3 12 31111 6 M59 40200 000172 0000R 00002 00515 025 2222200 2024 CP4PC370 003*")-SUMIFS(E734:E9015,K734:K9015,"0",B734:B9015,"1 2 4 1 3 12 31111 6 M59 40200 000172 0000R 00002 00515 025 2222200 2024 CP4PC370 003*")</f>
        <v>0</v>
      </c>
      <c r="E733"/>
      <c r="F733" s="35">
        <f>SUMIFS(F734:F9015,K734:K9015,"0",B734:B9015,"1 2 4 1 3 12 31111 6 M59 40200 000172 0000R 00002 00515 025 2222200 2024 CP4PC370 003*")</f>
        <v>10224</v>
      </c>
      <c r="G733" s="35">
        <f>SUMIFS(G734:G9015,K734:K9015,"0",B734:B9015,"1 2 4 1 3 12 31111 6 M59 40200 000172 0000R 00002 00515 025 2222200 2024 CP4PC370 003*")</f>
        <v>0</v>
      </c>
      <c r="H733" s="35">
        <f t="shared" si="11"/>
        <v>10224</v>
      </c>
      <c r="I733" s="35"/>
      <c r="K733" t="s">
        <v>15</v>
      </c>
    </row>
    <row r="734" spans="2:11" ht="41.25" x14ac:dyDescent="0.2">
      <c r="B734" s="31" t="s">
        <v>1116</v>
      </c>
      <c r="C734" s="31" t="s">
        <v>1049</v>
      </c>
      <c r="D734" s="34">
        <v>0</v>
      </c>
      <c r="E734" s="34"/>
      <c r="F734" s="34">
        <v>10224</v>
      </c>
      <c r="G734" s="34">
        <v>0</v>
      </c>
      <c r="H734" s="34">
        <f t="shared" si="11"/>
        <v>10224</v>
      </c>
      <c r="I734" s="34"/>
      <c r="K734" t="s">
        <v>38</v>
      </c>
    </row>
    <row r="735" spans="2:11" ht="16.5" x14ac:dyDescent="0.2">
      <c r="B735" s="33" t="s">
        <v>1117</v>
      </c>
      <c r="C735" s="33" t="s">
        <v>1118</v>
      </c>
      <c r="D735" s="35">
        <f>SUMIFS(D736:D9015,K736:K9015,"0",B736:B9015,"1 2 4 1 9*")-SUMIFS(E736:E9015,K736:K9015,"0",B736:B9015,"1 2 4 1 9*")</f>
        <v>114506.98000000001</v>
      </c>
      <c r="E735"/>
      <c r="F735" s="35">
        <f>SUMIFS(F736:F9015,K736:K9015,"0",B736:B9015,"1 2 4 1 9*")</f>
        <v>500</v>
      </c>
      <c r="G735" s="35">
        <f>SUMIFS(G736:G9015,K736:K9015,"0",B736:B9015,"1 2 4 1 9*")</f>
        <v>20927.43</v>
      </c>
      <c r="H735" s="35">
        <f t="shared" si="11"/>
        <v>94079.550000000017</v>
      </c>
      <c r="I735" s="35"/>
      <c r="K735" t="s">
        <v>15</v>
      </c>
    </row>
    <row r="736" spans="2:11" ht="12.75" x14ac:dyDescent="0.2">
      <c r="B736" s="33" t="s">
        <v>1119</v>
      </c>
      <c r="C736" s="33" t="s">
        <v>26</v>
      </c>
      <c r="D736" s="35">
        <f>SUMIFS(D737:D9015,K737:K9015,"0",B737:B9015,"1 2 4 1 9 12*")-SUMIFS(E737:E9015,K737:K9015,"0",B737:B9015,"1 2 4 1 9 12*")</f>
        <v>114506.98000000001</v>
      </c>
      <c r="E736"/>
      <c r="F736" s="35">
        <f>SUMIFS(F737:F9015,K737:K9015,"0",B737:B9015,"1 2 4 1 9 12*")</f>
        <v>500</v>
      </c>
      <c r="G736" s="35">
        <f>SUMIFS(G737:G9015,K737:K9015,"0",B737:B9015,"1 2 4 1 9 12*")</f>
        <v>20927.43</v>
      </c>
      <c r="H736" s="35">
        <f t="shared" si="11"/>
        <v>94079.550000000017</v>
      </c>
      <c r="I736" s="35"/>
      <c r="K736" t="s">
        <v>15</v>
      </c>
    </row>
    <row r="737" spans="2:11" ht="16.5" x14ac:dyDescent="0.2">
      <c r="B737" s="33" t="s">
        <v>1120</v>
      </c>
      <c r="C737" s="33" t="s">
        <v>28</v>
      </c>
      <c r="D737" s="35">
        <f>SUMIFS(D738:D9015,K738:K9015,"0",B738:B9015,"1 2 4 1 9 12 31111*")-SUMIFS(E738:E9015,K738:K9015,"0",B738:B9015,"1 2 4 1 9 12 31111*")</f>
        <v>114506.98000000001</v>
      </c>
      <c r="E737"/>
      <c r="F737" s="35">
        <f>SUMIFS(F738:F9015,K738:K9015,"0",B738:B9015,"1 2 4 1 9 12 31111*")</f>
        <v>500</v>
      </c>
      <c r="G737" s="35">
        <f>SUMIFS(G738:G9015,K738:K9015,"0",B738:B9015,"1 2 4 1 9 12 31111*")</f>
        <v>20927.43</v>
      </c>
      <c r="H737" s="35">
        <f t="shared" si="11"/>
        <v>94079.550000000017</v>
      </c>
      <c r="I737" s="35"/>
      <c r="K737" t="s">
        <v>15</v>
      </c>
    </row>
    <row r="738" spans="2:11" ht="12.75" x14ac:dyDescent="0.2">
      <c r="B738" s="33" t="s">
        <v>1121</v>
      </c>
      <c r="C738" s="33" t="s">
        <v>30</v>
      </c>
      <c r="D738" s="35">
        <f>SUMIFS(D739:D9015,K739:K9015,"0",B739:B9015,"1 2 4 1 9 12 31111 6*")-SUMIFS(E739:E9015,K739:K9015,"0",B739:B9015,"1 2 4 1 9 12 31111 6*")</f>
        <v>114506.98000000001</v>
      </c>
      <c r="E738"/>
      <c r="F738" s="35">
        <f>SUMIFS(F739:F9015,K739:K9015,"0",B739:B9015,"1 2 4 1 9 12 31111 6*")</f>
        <v>500</v>
      </c>
      <c r="G738" s="35">
        <f>SUMIFS(G739:G9015,K739:K9015,"0",B739:B9015,"1 2 4 1 9 12 31111 6*")</f>
        <v>20927.43</v>
      </c>
      <c r="H738" s="35">
        <f t="shared" si="11"/>
        <v>94079.550000000017</v>
      </c>
      <c r="I738" s="35"/>
      <c r="K738" t="s">
        <v>15</v>
      </c>
    </row>
    <row r="739" spans="2:11" ht="16.5" x14ac:dyDescent="0.2">
      <c r="B739" s="33" t="s">
        <v>1122</v>
      </c>
      <c r="C739" s="33" t="s">
        <v>32</v>
      </c>
      <c r="D739" s="35">
        <f>SUMIFS(D740:D9015,K740:K9015,"0",B740:B9015,"1 2 4 1 9 12 31111 6 M59*")-SUMIFS(E740:E9015,K740:K9015,"0",B740:B9015,"1 2 4 1 9 12 31111 6 M59*")</f>
        <v>114506.98000000001</v>
      </c>
      <c r="E739"/>
      <c r="F739" s="35">
        <f>SUMIFS(F740:F9015,K740:K9015,"0",B740:B9015,"1 2 4 1 9 12 31111 6 M59*")</f>
        <v>500</v>
      </c>
      <c r="G739" s="35">
        <f>SUMIFS(G740:G9015,K740:K9015,"0",B740:B9015,"1 2 4 1 9 12 31111 6 M59*")</f>
        <v>20927.43</v>
      </c>
      <c r="H739" s="35">
        <f t="shared" si="11"/>
        <v>94079.550000000017</v>
      </c>
      <c r="I739" s="35"/>
      <c r="K739" t="s">
        <v>15</v>
      </c>
    </row>
    <row r="740" spans="2:11" ht="16.5" x14ac:dyDescent="0.2">
      <c r="B740" s="33" t="s">
        <v>1123</v>
      </c>
      <c r="C740" s="33" t="s">
        <v>34</v>
      </c>
      <c r="D740" s="35">
        <f>SUMIFS(D741:D9015,K741:K9015,"0",B741:B9015,"1 2 4 1 9 12 31111 6 M59 00001*")-SUMIFS(E741:E9015,K741:K9015,"0",B741:B9015,"1 2 4 1 9 12 31111 6 M59 00001*")</f>
        <v>77418.77</v>
      </c>
      <c r="E740"/>
      <c r="F740" s="35">
        <f>SUMIFS(F741:F9015,K741:K9015,"0",B741:B9015,"1 2 4 1 9 12 31111 6 M59 00001*")</f>
        <v>500</v>
      </c>
      <c r="G740" s="35">
        <f>SUMIFS(G741:G9015,K741:K9015,"0",B741:B9015,"1 2 4 1 9 12 31111 6 M59 00001*")</f>
        <v>20927.43</v>
      </c>
      <c r="H740" s="35">
        <f t="shared" si="11"/>
        <v>56991.340000000004</v>
      </c>
      <c r="I740" s="35"/>
      <c r="K740" t="s">
        <v>15</v>
      </c>
    </row>
    <row r="741" spans="2:11" ht="16.5" x14ac:dyDescent="0.2">
      <c r="B741" s="31" t="s">
        <v>1124</v>
      </c>
      <c r="C741" s="31" t="s">
        <v>203</v>
      </c>
      <c r="D741" s="34">
        <v>68204.11</v>
      </c>
      <c r="E741" s="34"/>
      <c r="F741" s="34">
        <v>500</v>
      </c>
      <c r="G741" s="34">
        <v>20927.43</v>
      </c>
      <c r="H741" s="34">
        <f t="shared" si="11"/>
        <v>47776.68</v>
      </c>
      <c r="I741" s="34"/>
      <c r="K741" t="s">
        <v>38</v>
      </c>
    </row>
    <row r="742" spans="2:11" ht="16.5" x14ac:dyDescent="0.2">
      <c r="B742" s="31" t="s">
        <v>1125</v>
      </c>
      <c r="C742" s="31" t="s">
        <v>1126</v>
      </c>
      <c r="D742" s="34">
        <v>947.41</v>
      </c>
      <c r="E742" s="34"/>
      <c r="F742" s="34">
        <v>0</v>
      </c>
      <c r="G742" s="34">
        <v>0</v>
      </c>
      <c r="H742" s="34">
        <f t="shared" si="11"/>
        <v>947.41</v>
      </c>
      <c r="I742" s="34"/>
      <c r="K742" t="s">
        <v>38</v>
      </c>
    </row>
    <row r="743" spans="2:11" ht="16.5" x14ac:dyDescent="0.2">
      <c r="B743" s="31" t="s">
        <v>1127</v>
      </c>
      <c r="C743" s="31" t="s">
        <v>1128</v>
      </c>
      <c r="D743" s="34">
        <v>5000</v>
      </c>
      <c r="E743" s="34"/>
      <c r="F743" s="34">
        <v>0</v>
      </c>
      <c r="G743" s="34">
        <v>0</v>
      </c>
      <c r="H743" s="34">
        <f t="shared" si="11"/>
        <v>5000</v>
      </c>
      <c r="I743" s="34"/>
      <c r="K743" t="s">
        <v>38</v>
      </c>
    </row>
    <row r="744" spans="2:11" ht="24.75" x14ac:dyDescent="0.2">
      <c r="B744" s="31" t="s">
        <v>1129</v>
      </c>
      <c r="C744" s="31" t="s">
        <v>1130</v>
      </c>
      <c r="D744" s="34">
        <v>3267.25</v>
      </c>
      <c r="E744" s="34"/>
      <c r="F744" s="34">
        <v>0</v>
      </c>
      <c r="G744" s="34">
        <v>0</v>
      </c>
      <c r="H744" s="34">
        <f t="shared" si="11"/>
        <v>3267.25</v>
      </c>
      <c r="I744" s="34"/>
      <c r="K744" t="s">
        <v>38</v>
      </c>
    </row>
    <row r="745" spans="2:11" ht="16.5" x14ac:dyDescent="0.2">
      <c r="B745" s="33" t="s">
        <v>1131</v>
      </c>
      <c r="C745" s="33" t="s">
        <v>83</v>
      </c>
      <c r="D745" s="35">
        <f>SUMIFS(D746:D9015,K746:K9015,"0",B746:B9015,"1 2 4 1 9 12 31111 6 M59 00003*")-SUMIFS(E746:E9015,K746:K9015,"0",B746:B9015,"1 2 4 1 9 12 31111 6 M59 00003*")</f>
        <v>33006.25</v>
      </c>
      <c r="E745"/>
      <c r="F745" s="35">
        <f>SUMIFS(F746:F9015,K746:K9015,"0",B746:B9015,"1 2 4 1 9 12 31111 6 M59 00003*")</f>
        <v>0</v>
      </c>
      <c r="G745" s="35">
        <f>SUMIFS(G746:G9015,K746:K9015,"0",B746:B9015,"1 2 4 1 9 12 31111 6 M59 00003*")</f>
        <v>0</v>
      </c>
      <c r="H745" s="35">
        <f t="shared" si="11"/>
        <v>33006.25</v>
      </c>
      <c r="I745" s="35"/>
      <c r="K745" t="s">
        <v>15</v>
      </c>
    </row>
    <row r="746" spans="2:11" ht="16.5" x14ac:dyDescent="0.2">
      <c r="B746" s="33" t="s">
        <v>1132</v>
      </c>
      <c r="C746" s="33" t="s">
        <v>203</v>
      </c>
      <c r="D746" s="35">
        <f>SUMIFS(D747:D9015,K747:K9015,"0",B747:B9015,"1 2 4 1 9 12 31111 6 M59 00003 000001*")-SUMIFS(E747:E9015,K747:K9015,"0",B747:B9015,"1 2 4 1 9 12 31111 6 M59 00003 000001*")</f>
        <v>33006.25</v>
      </c>
      <c r="E746"/>
      <c r="F746" s="35">
        <f>SUMIFS(F747:F9015,K747:K9015,"0",B747:B9015,"1 2 4 1 9 12 31111 6 M59 00003 000001*")</f>
        <v>0</v>
      </c>
      <c r="G746" s="35">
        <f>SUMIFS(G747:G9015,K747:K9015,"0",B747:B9015,"1 2 4 1 9 12 31111 6 M59 00003 000001*")</f>
        <v>0</v>
      </c>
      <c r="H746" s="35">
        <f t="shared" si="11"/>
        <v>33006.25</v>
      </c>
      <c r="I746" s="35"/>
      <c r="K746" t="s">
        <v>15</v>
      </c>
    </row>
    <row r="747" spans="2:11" ht="16.5" x14ac:dyDescent="0.2">
      <c r="B747" s="31" t="s">
        <v>1133</v>
      </c>
      <c r="C747" s="31" t="s">
        <v>274</v>
      </c>
      <c r="D747" s="34">
        <v>33006.25</v>
      </c>
      <c r="E747" s="34"/>
      <c r="F747" s="34">
        <v>0</v>
      </c>
      <c r="G747" s="34">
        <v>0</v>
      </c>
      <c r="H747" s="34">
        <f t="shared" si="11"/>
        <v>33006.25</v>
      </c>
      <c r="I747" s="34"/>
      <c r="K747" t="s">
        <v>38</v>
      </c>
    </row>
    <row r="748" spans="2:11" ht="24.75" x14ac:dyDescent="0.2">
      <c r="B748" s="33" t="s">
        <v>1134</v>
      </c>
      <c r="C748" s="33" t="s">
        <v>91</v>
      </c>
      <c r="D748" s="35">
        <f>SUMIFS(D749:D9015,K749:K9015,"0",B749:B9015,"1 2 4 1 9 12 31111 6 M59 00004*")-SUMIFS(E749:E9015,K749:K9015,"0",B749:B9015,"1 2 4 1 9 12 31111 6 M59 00004*")</f>
        <v>4081.96</v>
      </c>
      <c r="E748"/>
      <c r="F748" s="35">
        <f>SUMIFS(F749:F9015,K749:K9015,"0",B749:B9015,"1 2 4 1 9 12 31111 6 M59 00004*")</f>
        <v>0</v>
      </c>
      <c r="G748" s="35">
        <f>SUMIFS(G749:G9015,K749:K9015,"0",B749:B9015,"1 2 4 1 9 12 31111 6 M59 00004*")</f>
        <v>0</v>
      </c>
      <c r="H748" s="35">
        <f t="shared" si="11"/>
        <v>4081.96</v>
      </c>
      <c r="I748" s="35"/>
      <c r="K748" t="s">
        <v>15</v>
      </c>
    </row>
    <row r="749" spans="2:11" ht="16.5" x14ac:dyDescent="0.2">
      <c r="B749" s="33" t="s">
        <v>1135</v>
      </c>
      <c r="C749" s="33" t="s">
        <v>203</v>
      </c>
      <c r="D749" s="35">
        <f>SUMIFS(D750:D9015,K750:K9015,"0",B750:B9015,"1 2 4 1 9 12 31111 6 M59 00004 000001*")-SUMIFS(E750:E9015,K750:K9015,"0",B750:B9015,"1 2 4 1 9 12 31111 6 M59 00004 000001*")</f>
        <v>4081.96</v>
      </c>
      <c r="E749"/>
      <c r="F749" s="35">
        <f>SUMIFS(F750:F9015,K750:K9015,"0",B750:B9015,"1 2 4 1 9 12 31111 6 M59 00004 000001*")</f>
        <v>0</v>
      </c>
      <c r="G749" s="35">
        <f>SUMIFS(G750:G9015,K750:K9015,"0",B750:B9015,"1 2 4 1 9 12 31111 6 M59 00004 000001*")</f>
        <v>0</v>
      </c>
      <c r="H749" s="35">
        <f t="shared" si="11"/>
        <v>4081.96</v>
      </c>
      <c r="I749" s="35"/>
      <c r="K749" t="s">
        <v>15</v>
      </c>
    </row>
    <row r="750" spans="2:11" ht="16.5" x14ac:dyDescent="0.2">
      <c r="B750" s="31" t="s">
        <v>1136</v>
      </c>
      <c r="C750" s="31" t="s">
        <v>1012</v>
      </c>
      <c r="D750" s="34">
        <v>1128.96</v>
      </c>
      <c r="E750" s="34"/>
      <c r="F750" s="34">
        <v>0</v>
      </c>
      <c r="G750" s="34">
        <v>0</v>
      </c>
      <c r="H750" s="34">
        <f t="shared" si="11"/>
        <v>1128.96</v>
      </c>
      <c r="I750" s="34"/>
      <c r="K750" t="s">
        <v>38</v>
      </c>
    </row>
    <row r="751" spans="2:11" ht="16.5" x14ac:dyDescent="0.2">
      <c r="B751" s="31" t="s">
        <v>1137</v>
      </c>
      <c r="C751" s="31" t="s">
        <v>1138</v>
      </c>
      <c r="D751" s="34">
        <v>1245</v>
      </c>
      <c r="E751" s="34"/>
      <c r="F751" s="34">
        <v>0</v>
      </c>
      <c r="G751" s="34">
        <v>0</v>
      </c>
      <c r="H751" s="34">
        <f t="shared" si="11"/>
        <v>1245</v>
      </c>
      <c r="I751" s="34"/>
      <c r="K751" t="s">
        <v>38</v>
      </c>
    </row>
    <row r="752" spans="2:11" ht="16.5" x14ac:dyDescent="0.2">
      <c r="B752" s="31" t="s">
        <v>1139</v>
      </c>
      <c r="C752" s="31" t="s">
        <v>274</v>
      </c>
      <c r="D752" s="34">
        <v>1708</v>
      </c>
      <c r="E752" s="34"/>
      <c r="F752" s="34">
        <v>0</v>
      </c>
      <c r="G752" s="34">
        <v>0</v>
      </c>
      <c r="H752" s="34">
        <f t="shared" si="11"/>
        <v>1708</v>
      </c>
      <c r="I752" s="34"/>
      <c r="K752" t="s">
        <v>38</v>
      </c>
    </row>
    <row r="753" spans="2:11" ht="16.5" x14ac:dyDescent="0.2">
      <c r="B753" s="33" t="s">
        <v>1140</v>
      </c>
      <c r="C753" s="33" t="s">
        <v>1141</v>
      </c>
      <c r="D753" s="35">
        <f>SUMIFS(D754:D9015,K754:K9015,"0",B754:B9015,"1 2 4 2*")-SUMIFS(E754:E9015,K754:K9015,"0",B754:B9015,"1 2 4 2*")</f>
        <v>763036.44</v>
      </c>
      <c r="E753"/>
      <c r="F753" s="35">
        <f>SUMIFS(F754:F9015,K754:K9015,"0",B754:B9015,"1 2 4 2*")</f>
        <v>0</v>
      </c>
      <c r="G753" s="35">
        <f>SUMIFS(G754:G9015,K754:K9015,"0",B754:B9015,"1 2 4 2*")</f>
        <v>50223.100000000006</v>
      </c>
      <c r="H753" s="35">
        <f t="shared" si="11"/>
        <v>712813.34</v>
      </c>
      <c r="I753" s="35"/>
      <c r="K753" t="s">
        <v>15</v>
      </c>
    </row>
    <row r="754" spans="2:11" ht="16.5" x14ac:dyDescent="0.2">
      <c r="B754" s="33" t="s">
        <v>1142</v>
      </c>
      <c r="C754" s="33" t="s">
        <v>1143</v>
      </c>
      <c r="D754" s="35">
        <f>SUMIFS(D755:D9015,K755:K9015,"0",B755:B9015,"1 2 4 2 1*")-SUMIFS(E755:E9015,K755:K9015,"0",B755:B9015,"1 2 4 2 1*")</f>
        <v>31809.919999999998</v>
      </c>
      <c r="E754"/>
      <c r="F754" s="35">
        <f>SUMIFS(F755:F9015,K755:K9015,"0",B755:B9015,"1 2 4 2 1*")</f>
        <v>0</v>
      </c>
      <c r="G754" s="35">
        <f>SUMIFS(G755:G9015,K755:K9015,"0",B755:B9015,"1 2 4 2 1*")</f>
        <v>26205.06</v>
      </c>
      <c r="H754" s="35">
        <f t="shared" si="11"/>
        <v>5604.8599999999969</v>
      </c>
      <c r="I754" s="35"/>
      <c r="K754" t="s">
        <v>15</v>
      </c>
    </row>
    <row r="755" spans="2:11" ht="12.75" x14ac:dyDescent="0.2">
      <c r="B755" s="33" t="s">
        <v>1144</v>
      </c>
      <c r="C755" s="33" t="s">
        <v>26</v>
      </c>
      <c r="D755" s="35">
        <f>SUMIFS(D756:D9015,K756:K9015,"0",B756:B9015,"1 2 4 2 1 12*")-SUMIFS(E756:E9015,K756:K9015,"0",B756:B9015,"1 2 4 2 1 12*")</f>
        <v>31809.919999999998</v>
      </c>
      <c r="E755"/>
      <c r="F755" s="35">
        <f>SUMIFS(F756:F9015,K756:K9015,"0",B756:B9015,"1 2 4 2 1 12*")</f>
        <v>0</v>
      </c>
      <c r="G755" s="35">
        <f>SUMIFS(G756:G9015,K756:K9015,"0",B756:B9015,"1 2 4 2 1 12*")</f>
        <v>26205.06</v>
      </c>
      <c r="H755" s="35">
        <f t="shared" si="11"/>
        <v>5604.8599999999969</v>
      </c>
      <c r="I755" s="35"/>
      <c r="K755" t="s">
        <v>15</v>
      </c>
    </row>
    <row r="756" spans="2:11" ht="16.5" x14ac:dyDescent="0.2">
      <c r="B756" s="33" t="s">
        <v>1145</v>
      </c>
      <c r="C756" s="33" t="s">
        <v>28</v>
      </c>
      <c r="D756" s="35">
        <f>SUMIFS(D757:D9015,K757:K9015,"0",B757:B9015,"1 2 4 2 1 12 31111*")-SUMIFS(E757:E9015,K757:K9015,"0",B757:B9015,"1 2 4 2 1 12 31111*")</f>
        <v>31809.919999999998</v>
      </c>
      <c r="E756"/>
      <c r="F756" s="35">
        <f>SUMIFS(F757:F9015,K757:K9015,"0",B757:B9015,"1 2 4 2 1 12 31111*")</f>
        <v>0</v>
      </c>
      <c r="G756" s="35">
        <f>SUMIFS(G757:G9015,K757:K9015,"0",B757:B9015,"1 2 4 2 1 12 31111*")</f>
        <v>26205.06</v>
      </c>
      <c r="H756" s="35">
        <f t="shared" si="11"/>
        <v>5604.8599999999969</v>
      </c>
      <c r="I756" s="35"/>
      <c r="K756" t="s">
        <v>15</v>
      </c>
    </row>
    <row r="757" spans="2:11" ht="12.75" x14ac:dyDescent="0.2">
      <c r="B757" s="33" t="s">
        <v>1146</v>
      </c>
      <c r="C757" s="33" t="s">
        <v>30</v>
      </c>
      <c r="D757" s="35">
        <f>SUMIFS(D758:D9015,K758:K9015,"0",B758:B9015,"1 2 4 2 1 12 31111 6*")-SUMIFS(E758:E9015,K758:K9015,"0",B758:B9015,"1 2 4 2 1 12 31111 6*")</f>
        <v>31809.919999999998</v>
      </c>
      <c r="E757"/>
      <c r="F757" s="35">
        <f>SUMIFS(F758:F9015,K758:K9015,"0",B758:B9015,"1 2 4 2 1 12 31111 6*")</f>
        <v>0</v>
      </c>
      <c r="G757" s="35">
        <f>SUMIFS(G758:G9015,K758:K9015,"0",B758:B9015,"1 2 4 2 1 12 31111 6*")</f>
        <v>26205.06</v>
      </c>
      <c r="H757" s="35">
        <f t="shared" si="11"/>
        <v>5604.8599999999969</v>
      </c>
      <c r="I757" s="35"/>
      <c r="K757" t="s">
        <v>15</v>
      </c>
    </row>
    <row r="758" spans="2:11" ht="16.5" x14ac:dyDescent="0.2">
      <c r="B758" s="33" t="s">
        <v>1147</v>
      </c>
      <c r="C758" s="33" t="s">
        <v>32</v>
      </c>
      <c r="D758" s="35">
        <f>SUMIFS(D759:D9015,K759:K9015,"0",B759:B9015,"1 2 4 2 1 12 31111 6 M59*")-SUMIFS(E759:E9015,K759:K9015,"0",B759:B9015,"1 2 4 2 1 12 31111 6 M59*")</f>
        <v>31809.919999999998</v>
      </c>
      <c r="E758"/>
      <c r="F758" s="35">
        <f>SUMIFS(F759:F9015,K759:K9015,"0",B759:B9015,"1 2 4 2 1 12 31111 6 M59*")</f>
        <v>0</v>
      </c>
      <c r="G758" s="35">
        <f>SUMIFS(G759:G9015,K759:K9015,"0",B759:B9015,"1 2 4 2 1 12 31111 6 M59*")</f>
        <v>26205.06</v>
      </c>
      <c r="H758" s="35">
        <f t="shared" si="11"/>
        <v>5604.8599999999969</v>
      </c>
      <c r="I758" s="35"/>
      <c r="K758" t="s">
        <v>15</v>
      </c>
    </row>
    <row r="759" spans="2:11" ht="16.5" x14ac:dyDescent="0.2">
      <c r="B759" s="33" t="s">
        <v>1148</v>
      </c>
      <c r="C759" s="33" t="s">
        <v>34</v>
      </c>
      <c r="D759" s="35">
        <f>SUMIFS(D760:D9015,K760:K9015,"0",B760:B9015,"1 2 4 2 1 12 31111 6 M59 00001*")-SUMIFS(E760:E9015,K760:K9015,"0",B760:B9015,"1 2 4 2 1 12 31111 6 M59 00001*")</f>
        <v>11718.06</v>
      </c>
      <c r="E759"/>
      <c r="F759" s="35">
        <f>SUMIFS(F760:F9015,K760:K9015,"0",B760:B9015,"1 2 4 2 1 12 31111 6 M59 00001*")</f>
        <v>0</v>
      </c>
      <c r="G759" s="35">
        <f>SUMIFS(G760:G9015,K760:K9015,"0",B760:B9015,"1 2 4 2 1 12 31111 6 M59 00001*")</f>
        <v>26205.06</v>
      </c>
      <c r="H759" s="35">
        <f t="shared" si="11"/>
        <v>-14487.000000000002</v>
      </c>
      <c r="I759" s="35"/>
      <c r="K759" t="s">
        <v>15</v>
      </c>
    </row>
    <row r="760" spans="2:11" ht="16.5" x14ac:dyDescent="0.2">
      <c r="B760" s="31" t="s">
        <v>1149</v>
      </c>
      <c r="C760" s="31" t="s">
        <v>203</v>
      </c>
      <c r="D760" s="34">
        <v>7857</v>
      </c>
      <c r="E760" s="34"/>
      <c r="F760" s="34">
        <v>0</v>
      </c>
      <c r="G760" s="34">
        <v>26205.06</v>
      </c>
      <c r="H760" s="34">
        <f t="shared" si="11"/>
        <v>-18348.060000000001</v>
      </c>
      <c r="I760" s="34"/>
      <c r="K760" t="s">
        <v>38</v>
      </c>
    </row>
    <row r="761" spans="2:11" ht="16.5" x14ac:dyDescent="0.2">
      <c r="B761" s="31" t="s">
        <v>1150</v>
      </c>
      <c r="C761" s="31" t="s">
        <v>1151</v>
      </c>
      <c r="D761" s="34">
        <v>3861.06</v>
      </c>
      <c r="E761" s="34"/>
      <c r="F761" s="34">
        <v>0</v>
      </c>
      <c r="G761" s="34">
        <v>0</v>
      </c>
      <c r="H761" s="34">
        <f t="shared" si="11"/>
        <v>3861.06</v>
      </c>
      <c r="I761" s="34"/>
      <c r="K761" t="s">
        <v>38</v>
      </c>
    </row>
    <row r="762" spans="2:11" ht="24.75" x14ac:dyDescent="0.2">
      <c r="B762" s="33" t="s">
        <v>1152</v>
      </c>
      <c r="C762" s="33" t="s">
        <v>40</v>
      </c>
      <c r="D762" s="35">
        <f>SUMIFS(D763:D9015,K763:K9015,"0",B763:B9015,"1 2 4 2 1 12 31111 6 M59 00002*")-SUMIFS(E763:E9015,K763:K9015,"0",B763:B9015,"1 2 4 2 1 12 31111 6 M59 00002*")</f>
        <v>5604.86</v>
      </c>
      <c r="E762"/>
      <c r="F762" s="35">
        <f>SUMIFS(F763:F9015,K763:K9015,"0",B763:B9015,"1 2 4 2 1 12 31111 6 M59 00002*")</f>
        <v>0</v>
      </c>
      <c r="G762" s="35">
        <f>SUMIFS(G763:G9015,K763:K9015,"0",B763:B9015,"1 2 4 2 1 12 31111 6 M59 00002*")</f>
        <v>0</v>
      </c>
      <c r="H762" s="35">
        <f t="shared" si="11"/>
        <v>5604.86</v>
      </c>
      <c r="I762" s="35"/>
      <c r="K762" t="s">
        <v>15</v>
      </c>
    </row>
    <row r="763" spans="2:11" ht="16.5" x14ac:dyDescent="0.2">
      <c r="B763" s="33" t="s">
        <v>1153</v>
      </c>
      <c r="C763" s="33" t="s">
        <v>42</v>
      </c>
      <c r="D763" s="35">
        <f>SUMIFS(D764:D9015,K764:K9015,"0",B764:B9015,"1 2 4 2 1 12 31111 6 M59 00002 000001*")-SUMIFS(E764:E9015,K764:K9015,"0",B764:B9015,"1 2 4 2 1 12 31111 6 M59 00002 000001*")</f>
        <v>5604.86</v>
      </c>
      <c r="E763"/>
      <c r="F763" s="35">
        <f>SUMIFS(F764:F9015,K764:K9015,"0",B764:B9015,"1 2 4 2 1 12 31111 6 M59 00002 000001*")</f>
        <v>0</v>
      </c>
      <c r="G763" s="35">
        <f>SUMIFS(G764:G9015,K764:K9015,"0",B764:B9015,"1 2 4 2 1 12 31111 6 M59 00002 000001*")</f>
        <v>0</v>
      </c>
      <c r="H763" s="35">
        <f t="shared" si="11"/>
        <v>5604.86</v>
      </c>
      <c r="I763" s="35"/>
      <c r="K763" t="s">
        <v>15</v>
      </c>
    </row>
    <row r="764" spans="2:11" ht="16.5" x14ac:dyDescent="0.2">
      <c r="B764" s="31" t="s">
        <v>1154</v>
      </c>
      <c r="C764" s="31" t="s">
        <v>274</v>
      </c>
      <c r="D764" s="34">
        <v>5604.86</v>
      </c>
      <c r="E764" s="34"/>
      <c r="F764" s="34">
        <v>0</v>
      </c>
      <c r="G764" s="34">
        <v>0</v>
      </c>
      <c r="H764" s="34">
        <f t="shared" si="11"/>
        <v>5604.86</v>
      </c>
      <c r="I764" s="34"/>
      <c r="K764" t="s">
        <v>38</v>
      </c>
    </row>
    <row r="765" spans="2:11" ht="24.75" x14ac:dyDescent="0.2">
      <c r="B765" s="33" t="s">
        <v>1155</v>
      </c>
      <c r="C765" s="33" t="s">
        <v>40</v>
      </c>
      <c r="D765" s="35">
        <f>SUMIFS(D766:D9015,K766:K9015,"0",B766:B9015,"1 2 4 2 1 12 31111 6 M59 00003*")-SUMIFS(E766:E9015,K766:K9015,"0",B766:B9015,"1 2 4 2 1 12 31111 6 M59 00003*")</f>
        <v>14487</v>
      </c>
      <c r="E765"/>
      <c r="F765" s="35">
        <f>SUMIFS(F766:F9015,K766:K9015,"0",B766:B9015,"1 2 4 2 1 12 31111 6 M59 00003*")</f>
        <v>0</v>
      </c>
      <c r="G765" s="35">
        <f>SUMIFS(G766:G9015,K766:K9015,"0",B766:B9015,"1 2 4 2 1 12 31111 6 M59 00003*")</f>
        <v>0</v>
      </c>
      <c r="H765" s="35">
        <f t="shared" si="11"/>
        <v>14487</v>
      </c>
      <c r="I765" s="35"/>
      <c r="K765" t="s">
        <v>15</v>
      </c>
    </row>
    <row r="766" spans="2:11" ht="16.5" x14ac:dyDescent="0.2">
      <c r="B766" s="33" t="s">
        <v>1156</v>
      </c>
      <c r="C766" s="33" t="s">
        <v>42</v>
      </c>
      <c r="D766" s="35">
        <f>SUMIFS(D767:D9015,K767:K9015,"0",B767:B9015,"1 2 4 2 1 12 31111 6 M59 00003 000001*")-SUMIFS(E767:E9015,K767:K9015,"0",B767:B9015,"1 2 4 2 1 12 31111 6 M59 00003 000001*")</f>
        <v>14487</v>
      </c>
      <c r="E766"/>
      <c r="F766" s="35">
        <f>SUMIFS(F767:F9015,K767:K9015,"0",B767:B9015,"1 2 4 2 1 12 31111 6 M59 00003 000001*")</f>
        <v>0</v>
      </c>
      <c r="G766" s="35">
        <f>SUMIFS(G767:G9015,K767:K9015,"0",B767:B9015,"1 2 4 2 1 12 31111 6 M59 00003 000001*")</f>
        <v>0</v>
      </c>
      <c r="H766" s="35">
        <f t="shared" si="11"/>
        <v>14487</v>
      </c>
      <c r="I766" s="35"/>
      <c r="K766" t="s">
        <v>15</v>
      </c>
    </row>
    <row r="767" spans="2:11" ht="16.5" x14ac:dyDescent="0.2">
      <c r="B767" s="31" t="s">
        <v>1157</v>
      </c>
      <c r="C767" s="31" t="s">
        <v>274</v>
      </c>
      <c r="D767" s="34">
        <v>14487</v>
      </c>
      <c r="E767" s="34"/>
      <c r="F767" s="34">
        <v>0</v>
      </c>
      <c r="G767" s="34">
        <v>0</v>
      </c>
      <c r="H767" s="34">
        <f t="shared" si="11"/>
        <v>14487</v>
      </c>
      <c r="I767" s="34"/>
      <c r="K767" t="s">
        <v>38</v>
      </c>
    </row>
    <row r="768" spans="2:11" ht="16.5" x14ac:dyDescent="0.2">
      <c r="B768" s="33" t="s">
        <v>1158</v>
      </c>
      <c r="C768" s="33" t="s">
        <v>1159</v>
      </c>
      <c r="D768" s="35">
        <f>SUMIFS(D769:D9015,K769:K9015,"0",B769:B9015,"1 2 4 2 3*")-SUMIFS(E769:E9015,K769:K9015,"0",B769:B9015,"1 2 4 2 3*")</f>
        <v>180903.73</v>
      </c>
      <c r="E768"/>
      <c r="F768" s="35">
        <f>SUMIFS(F769:F9015,K769:K9015,"0",B769:B9015,"1 2 4 2 3*")</f>
        <v>0</v>
      </c>
      <c r="G768" s="35">
        <f>SUMIFS(G769:G9015,K769:K9015,"0",B769:B9015,"1 2 4 2 3*")</f>
        <v>0</v>
      </c>
      <c r="H768" s="35">
        <f t="shared" si="11"/>
        <v>180903.73</v>
      </c>
      <c r="I768" s="35"/>
      <c r="K768" t="s">
        <v>15</v>
      </c>
    </row>
    <row r="769" spans="2:11" ht="12.75" x14ac:dyDescent="0.2">
      <c r="B769" s="33" t="s">
        <v>1160</v>
      </c>
      <c r="C769" s="33" t="s">
        <v>26</v>
      </c>
      <c r="D769" s="35">
        <f>SUMIFS(D770:D9015,K770:K9015,"0",B770:B9015,"1 2 4 2 3 12*")-SUMIFS(E770:E9015,K770:K9015,"0",B770:B9015,"1 2 4 2 3 12*")</f>
        <v>180903.73</v>
      </c>
      <c r="E769"/>
      <c r="F769" s="35">
        <f>SUMIFS(F770:F9015,K770:K9015,"0",B770:B9015,"1 2 4 2 3 12*")</f>
        <v>0</v>
      </c>
      <c r="G769" s="35">
        <f>SUMIFS(G770:G9015,K770:K9015,"0",B770:B9015,"1 2 4 2 3 12*")</f>
        <v>0</v>
      </c>
      <c r="H769" s="35">
        <f t="shared" si="11"/>
        <v>180903.73</v>
      </c>
      <c r="I769" s="35"/>
      <c r="K769" t="s">
        <v>15</v>
      </c>
    </row>
    <row r="770" spans="2:11" ht="16.5" x14ac:dyDescent="0.2">
      <c r="B770" s="33" t="s">
        <v>1161</v>
      </c>
      <c r="C770" s="33" t="s">
        <v>28</v>
      </c>
      <c r="D770" s="35">
        <f>SUMIFS(D771:D9015,K771:K9015,"0",B771:B9015,"1 2 4 2 3 12 31111*")-SUMIFS(E771:E9015,K771:K9015,"0",B771:B9015,"1 2 4 2 3 12 31111*")</f>
        <v>180903.73</v>
      </c>
      <c r="E770"/>
      <c r="F770" s="35">
        <f>SUMIFS(F771:F9015,K771:K9015,"0",B771:B9015,"1 2 4 2 3 12 31111*")</f>
        <v>0</v>
      </c>
      <c r="G770" s="35">
        <f>SUMIFS(G771:G9015,K771:K9015,"0",B771:B9015,"1 2 4 2 3 12 31111*")</f>
        <v>0</v>
      </c>
      <c r="H770" s="35">
        <f t="shared" si="11"/>
        <v>180903.73</v>
      </c>
      <c r="I770" s="35"/>
      <c r="K770" t="s">
        <v>15</v>
      </c>
    </row>
    <row r="771" spans="2:11" ht="12.75" x14ac:dyDescent="0.2">
      <c r="B771" s="33" t="s">
        <v>1162</v>
      </c>
      <c r="C771" s="33" t="s">
        <v>30</v>
      </c>
      <c r="D771" s="35">
        <f>SUMIFS(D772:D9015,K772:K9015,"0",B772:B9015,"1 2 4 2 3 12 31111 6*")-SUMIFS(E772:E9015,K772:K9015,"0",B772:B9015,"1 2 4 2 3 12 31111 6*")</f>
        <v>180903.73</v>
      </c>
      <c r="E771"/>
      <c r="F771" s="35">
        <f>SUMIFS(F772:F9015,K772:K9015,"0",B772:B9015,"1 2 4 2 3 12 31111 6*")</f>
        <v>0</v>
      </c>
      <c r="G771" s="35">
        <f>SUMIFS(G772:G9015,K772:K9015,"0",B772:B9015,"1 2 4 2 3 12 31111 6*")</f>
        <v>0</v>
      </c>
      <c r="H771" s="35">
        <f t="shared" si="11"/>
        <v>180903.73</v>
      </c>
      <c r="I771" s="35"/>
      <c r="K771" t="s">
        <v>15</v>
      </c>
    </row>
    <row r="772" spans="2:11" ht="16.5" x14ac:dyDescent="0.2">
      <c r="B772" s="33" t="s">
        <v>1163</v>
      </c>
      <c r="C772" s="33" t="s">
        <v>32</v>
      </c>
      <c r="D772" s="35">
        <f>SUMIFS(D773:D9015,K773:K9015,"0",B773:B9015,"1 2 4 2 3 12 31111 6 M59*")-SUMIFS(E773:E9015,K773:K9015,"0",B773:B9015,"1 2 4 2 3 12 31111 6 M59*")</f>
        <v>180903.73</v>
      </c>
      <c r="E772"/>
      <c r="F772" s="35">
        <f>SUMIFS(F773:F9015,K773:K9015,"0",B773:B9015,"1 2 4 2 3 12 31111 6 M59*")</f>
        <v>0</v>
      </c>
      <c r="G772" s="35">
        <f>SUMIFS(G773:G9015,K773:K9015,"0",B773:B9015,"1 2 4 2 3 12 31111 6 M59*")</f>
        <v>0</v>
      </c>
      <c r="H772" s="35">
        <f t="shared" si="11"/>
        <v>180903.73</v>
      </c>
      <c r="I772" s="35"/>
      <c r="K772" t="s">
        <v>15</v>
      </c>
    </row>
    <row r="773" spans="2:11" ht="16.5" x14ac:dyDescent="0.2">
      <c r="B773" s="33" t="s">
        <v>1164</v>
      </c>
      <c r="C773" s="33" t="s">
        <v>34</v>
      </c>
      <c r="D773" s="35">
        <f>SUMIFS(D774:D9015,K774:K9015,"0",B774:B9015,"1 2 4 2 3 12 31111 6 M59 00001*")-SUMIFS(E774:E9015,K774:K9015,"0",B774:B9015,"1 2 4 2 3 12 31111 6 M59 00001*")</f>
        <v>43036.73</v>
      </c>
      <c r="E773"/>
      <c r="F773" s="35">
        <f>SUMIFS(F774:F9015,K774:K9015,"0",B774:B9015,"1 2 4 2 3 12 31111 6 M59 00001*")</f>
        <v>0</v>
      </c>
      <c r="G773" s="35">
        <f>SUMIFS(G774:G9015,K774:K9015,"0",B774:B9015,"1 2 4 2 3 12 31111 6 M59 00001*")</f>
        <v>0</v>
      </c>
      <c r="H773" s="35">
        <f t="shared" si="11"/>
        <v>43036.73</v>
      </c>
      <c r="I773" s="35"/>
      <c r="K773" t="s">
        <v>15</v>
      </c>
    </row>
    <row r="774" spans="2:11" ht="16.5" x14ac:dyDescent="0.2">
      <c r="B774" s="31" t="s">
        <v>1165</v>
      </c>
      <c r="C774" s="31" t="s">
        <v>203</v>
      </c>
      <c r="D774" s="34">
        <v>43036.73</v>
      </c>
      <c r="E774" s="34"/>
      <c r="F774" s="34">
        <v>0</v>
      </c>
      <c r="G774" s="34">
        <v>0</v>
      </c>
      <c r="H774" s="34">
        <f t="shared" si="11"/>
        <v>43036.73</v>
      </c>
      <c r="I774" s="34"/>
      <c r="K774" t="s">
        <v>38</v>
      </c>
    </row>
    <row r="775" spans="2:11" ht="24.75" x14ac:dyDescent="0.2">
      <c r="B775" s="33" t="s">
        <v>1166</v>
      </c>
      <c r="C775" s="33" t="s">
        <v>986</v>
      </c>
      <c r="D775" s="35">
        <f>SUMIFS(D776:D9015,K776:K9015,"0",B776:B9015,"1 2 4 2 3 12 31111 6 M59 00002*")-SUMIFS(E776:E9015,K776:K9015,"0",B776:B9015,"1 2 4 2 3 12 31111 6 M59 00002*")</f>
        <v>70530</v>
      </c>
      <c r="E775"/>
      <c r="F775" s="35">
        <f>SUMIFS(F776:F9015,K776:K9015,"0",B776:B9015,"1 2 4 2 3 12 31111 6 M59 00002*")</f>
        <v>0</v>
      </c>
      <c r="G775" s="35">
        <f>SUMIFS(G776:G9015,K776:K9015,"0",B776:B9015,"1 2 4 2 3 12 31111 6 M59 00002*")</f>
        <v>0</v>
      </c>
      <c r="H775" s="35">
        <f t="shared" si="11"/>
        <v>70530</v>
      </c>
      <c r="I775" s="35"/>
      <c r="K775" t="s">
        <v>15</v>
      </c>
    </row>
    <row r="776" spans="2:11" ht="16.5" x14ac:dyDescent="0.2">
      <c r="B776" s="33" t="s">
        <v>1167</v>
      </c>
      <c r="C776" s="33" t="s">
        <v>42</v>
      </c>
      <c r="D776" s="35">
        <f>SUMIFS(D777:D9015,K777:K9015,"0",B777:B9015,"1 2 4 2 3 12 31111 6 M59 00002 000001*")-SUMIFS(E777:E9015,K777:K9015,"0",B777:B9015,"1 2 4 2 3 12 31111 6 M59 00002 000001*")</f>
        <v>70530</v>
      </c>
      <c r="E776"/>
      <c r="F776" s="35">
        <f>SUMIFS(F777:F9015,K777:K9015,"0",B777:B9015,"1 2 4 2 3 12 31111 6 M59 00002 000001*")</f>
        <v>0</v>
      </c>
      <c r="G776" s="35">
        <f>SUMIFS(G777:G9015,K777:K9015,"0",B777:B9015,"1 2 4 2 3 12 31111 6 M59 00002 000001*")</f>
        <v>0</v>
      </c>
      <c r="H776" s="35">
        <f t="shared" si="11"/>
        <v>70530</v>
      </c>
      <c r="I776" s="35"/>
      <c r="K776" t="s">
        <v>15</v>
      </c>
    </row>
    <row r="777" spans="2:11" ht="16.5" x14ac:dyDescent="0.2">
      <c r="B777" s="31" t="s">
        <v>1168</v>
      </c>
      <c r="C777" s="31" t="s">
        <v>274</v>
      </c>
      <c r="D777" s="34">
        <v>70530</v>
      </c>
      <c r="E777" s="34"/>
      <c r="F777" s="34">
        <v>0</v>
      </c>
      <c r="G777" s="34">
        <v>0</v>
      </c>
      <c r="H777" s="34">
        <f t="shared" si="11"/>
        <v>70530</v>
      </c>
      <c r="I777" s="34"/>
      <c r="K777" t="s">
        <v>38</v>
      </c>
    </row>
    <row r="778" spans="2:11" ht="24.75" x14ac:dyDescent="0.2">
      <c r="B778" s="33" t="s">
        <v>1169</v>
      </c>
      <c r="C778" s="33" t="s">
        <v>40</v>
      </c>
      <c r="D778" s="35">
        <f>SUMIFS(D779:D9015,K779:K9015,"0",B779:B9015,"1 2 4 2 3 12 31111 6 M59 00003*")-SUMIFS(E779:E9015,K779:K9015,"0",B779:B9015,"1 2 4 2 3 12 31111 6 M59 00003*")</f>
        <v>67337</v>
      </c>
      <c r="E778"/>
      <c r="F778" s="35">
        <f>SUMIFS(F779:F9015,K779:K9015,"0",B779:B9015,"1 2 4 2 3 12 31111 6 M59 00003*")</f>
        <v>0</v>
      </c>
      <c r="G778" s="35">
        <f>SUMIFS(G779:G9015,K779:K9015,"0",B779:B9015,"1 2 4 2 3 12 31111 6 M59 00003*")</f>
        <v>0</v>
      </c>
      <c r="H778" s="35">
        <f t="shared" si="11"/>
        <v>67337</v>
      </c>
      <c r="I778" s="35"/>
      <c r="K778" t="s">
        <v>15</v>
      </c>
    </row>
    <row r="779" spans="2:11" ht="16.5" x14ac:dyDescent="0.2">
      <c r="B779" s="33" t="s">
        <v>1170</v>
      </c>
      <c r="C779" s="33" t="s">
        <v>42</v>
      </c>
      <c r="D779" s="35">
        <f>SUMIFS(D780:D9015,K780:K9015,"0",B780:B9015,"1 2 4 2 3 12 31111 6 M59 00003 000001*")-SUMIFS(E780:E9015,K780:K9015,"0",B780:B9015,"1 2 4 2 3 12 31111 6 M59 00003 000001*")</f>
        <v>67337</v>
      </c>
      <c r="E779"/>
      <c r="F779" s="35">
        <f>SUMIFS(F780:F9015,K780:K9015,"0",B780:B9015,"1 2 4 2 3 12 31111 6 M59 00003 000001*")</f>
        <v>0</v>
      </c>
      <c r="G779" s="35">
        <f>SUMIFS(G780:G9015,K780:K9015,"0",B780:B9015,"1 2 4 2 3 12 31111 6 M59 00003 000001*")</f>
        <v>0</v>
      </c>
      <c r="H779" s="35">
        <f t="shared" si="11"/>
        <v>67337</v>
      </c>
      <c r="I779" s="35"/>
      <c r="K779" t="s">
        <v>15</v>
      </c>
    </row>
    <row r="780" spans="2:11" ht="33" x14ac:dyDescent="0.2">
      <c r="B780" s="31" t="s">
        <v>1171</v>
      </c>
      <c r="C780" s="31" t="s">
        <v>984</v>
      </c>
      <c r="D780" s="34">
        <v>28937</v>
      </c>
      <c r="E780" s="34"/>
      <c r="F780" s="34">
        <v>0</v>
      </c>
      <c r="G780" s="34">
        <v>0</v>
      </c>
      <c r="H780" s="34">
        <f t="shared" ref="H780:H843" si="12">D780 + F780 - G780</f>
        <v>28937</v>
      </c>
      <c r="I780" s="34"/>
      <c r="K780" t="s">
        <v>38</v>
      </c>
    </row>
    <row r="781" spans="2:11" ht="16.5" x14ac:dyDescent="0.2">
      <c r="B781" s="31" t="s">
        <v>1172</v>
      </c>
      <c r="C781" s="31" t="s">
        <v>274</v>
      </c>
      <c r="D781" s="34">
        <v>38400</v>
      </c>
      <c r="E781" s="34"/>
      <c r="F781" s="34">
        <v>0</v>
      </c>
      <c r="G781" s="34">
        <v>0</v>
      </c>
      <c r="H781" s="34">
        <f t="shared" si="12"/>
        <v>38400</v>
      </c>
      <c r="I781" s="34"/>
      <c r="K781" t="s">
        <v>38</v>
      </c>
    </row>
    <row r="782" spans="2:11" ht="16.5" x14ac:dyDescent="0.2">
      <c r="B782" s="33" t="s">
        <v>1173</v>
      </c>
      <c r="C782" s="33" t="s">
        <v>1174</v>
      </c>
      <c r="D782" s="35">
        <f>SUMIFS(D783:D9015,K783:K9015,"0",B783:B9015,"1 2 4 2 9*")-SUMIFS(E783:E9015,K783:K9015,"0",B783:B9015,"1 2 4 2 9*")</f>
        <v>550322.79</v>
      </c>
      <c r="E782"/>
      <c r="F782" s="35">
        <f>SUMIFS(F783:F9015,K783:K9015,"0",B783:B9015,"1 2 4 2 9*")</f>
        <v>0</v>
      </c>
      <c r="G782" s="35">
        <f>SUMIFS(G783:G9015,K783:K9015,"0",B783:B9015,"1 2 4 2 9*")</f>
        <v>24018.04</v>
      </c>
      <c r="H782" s="35">
        <f t="shared" si="12"/>
        <v>526304.75</v>
      </c>
      <c r="I782" s="35"/>
      <c r="K782" t="s">
        <v>15</v>
      </c>
    </row>
    <row r="783" spans="2:11" ht="12.75" x14ac:dyDescent="0.2">
      <c r="B783" s="33" t="s">
        <v>1175</v>
      </c>
      <c r="C783" s="33" t="s">
        <v>26</v>
      </c>
      <c r="D783" s="35">
        <f>SUMIFS(D784:D9015,K784:K9015,"0",B784:B9015,"1 2 4 2 9 12*")-SUMIFS(E784:E9015,K784:K9015,"0",B784:B9015,"1 2 4 2 9 12*")</f>
        <v>550322.79</v>
      </c>
      <c r="E783"/>
      <c r="F783" s="35">
        <f>SUMIFS(F784:F9015,K784:K9015,"0",B784:B9015,"1 2 4 2 9 12*")</f>
        <v>0</v>
      </c>
      <c r="G783" s="35">
        <f>SUMIFS(G784:G9015,K784:K9015,"0",B784:B9015,"1 2 4 2 9 12*")</f>
        <v>24018.04</v>
      </c>
      <c r="H783" s="35">
        <f t="shared" si="12"/>
        <v>526304.75</v>
      </c>
      <c r="I783" s="35"/>
      <c r="K783" t="s">
        <v>15</v>
      </c>
    </row>
    <row r="784" spans="2:11" ht="16.5" x14ac:dyDescent="0.2">
      <c r="B784" s="33" t="s">
        <v>1176</v>
      </c>
      <c r="C784" s="33" t="s">
        <v>28</v>
      </c>
      <c r="D784" s="35">
        <f>SUMIFS(D785:D9015,K785:K9015,"0",B785:B9015,"1 2 4 2 9 12 31111*")-SUMIFS(E785:E9015,K785:K9015,"0",B785:B9015,"1 2 4 2 9 12 31111*")</f>
        <v>550322.79</v>
      </c>
      <c r="E784"/>
      <c r="F784" s="35">
        <f>SUMIFS(F785:F9015,K785:K9015,"0",B785:B9015,"1 2 4 2 9 12 31111*")</f>
        <v>0</v>
      </c>
      <c r="G784" s="35">
        <f>SUMIFS(G785:G9015,K785:K9015,"0",B785:B9015,"1 2 4 2 9 12 31111*")</f>
        <v>24018.04</v>
      </c>
      <c r="H784" s="35">
        <f t="shared" si="12"/>
        <v>526304.75</v>
      </c>
      <c r="I784" s="35"/>
      <c r="K784" t="s">
        <v>15</v>
      </c>
    </row>
    <row r="785" spans="2:11" ht="12.75" x14ac:dyDescent="0.2">
      <c r="B785" s="33" t="s">
        <v>1177</v>
      </c>
      <c r="C785" s="33" t="s">
        <v>30</v>
      </c>
      <c r="D785" s="35">
        <f>SUMIFS(D786:D9015,K786:K9015,"0",B786:B9015,"1 2 4 2 9 12 31111 6*")-SUMIFS(E786:E9015,K786:K9015,"0",B786:B9015,"1 2 4 2 9 12 31111 6*")</f>
        <v>550322.79</v>
      </c>
      <c r="E785"/>
      <c r="F785" s="35">
        <f>SUMIFS(F786:F9015,K786:K9015,"0",B786:B9015,"1 2 4 2 9 12 31111 6*")</f>
        <v>0</v>
      </c>
      <c r="G785" s="35">
        <f>SUMIFS(G786:G9015,K786:K9015,"0",B786:B9015,"1 2 4 2 9 12 31111 6*")</f>
        <v>24018.04</v>
      </c>
      <c r="H785" s="35">
        <f t="shared" si="12"/>
        <v>526304.75</v>
      </c>
      <c r="I785" s="35"/>
      <c r="K785" t="s">
        <v>15</v>
      </c>
    </row>
    <row r="786" spans="2:11" ht="16.5" x14ac:dyDescent="0.2">
      <c r="B786" s="33" t="s">
        <v>1178</v>
      </c>
      <c r="C786" s="33" t="s">
        <v>32</v>
      </c>
      <c r="D786" s="35">
        <f>SUMIFS(D787:D9015,K787:K9015,"0",B787:B9015,"1 2 4 2 9 12 31111 6 M59*")-SUMIFS(E787:E9015,K787:K9015,"0",B787:B9015,"1 2 4 2 9 12 31111 6 M59*")</f>
        <v>550322.79</v>
      </c>
      <c r="E786"/>
      <c r="F786" s="35">
        <f>SUMIFS(F787:F9015,K787:K9015,"0",B787:B9015,"1 2 4 2 9 12 31111 6 M59*")</f>
        <v>0</v>
      </c>
      <c r="G786" s="35">
        <f>SUMIFS(G787:G9015,K787:K9015,"0",B787:B9015,"1 2 4 2 9 12 31111 6 M59*")</f>
        <v>24018.04</v>
      </c>
      <c r="H786" s="35">
        <f t="shared" si="12"/>
        <v>526304.75</v>
      </c>
      <c r="I786" s="35"/>
      <c r="K786" t="s">
        <v>15</v>
      </c>
    </row>
    <row r="787" spans="2:11" ht="16.5" x14ac:dyDescent="0.2">
      <c r="B787" s="33" t="s">
        <v>1179</v>
      </c>
      <c r="C787" s="33" t="s">
        <v>34</v>
      </c>
      <c r="D787" s="35">
        <f>SUMIFS(D788:D9015,K788:K9015,"0",B788:B9015,"1 2 4 2 9 12 31111 6 M59 00001*")-SUMIFS(E788:E9015,K788:K9015,"0",B788:B9015,"1 2 4 2 9 12 31111 6 M59 00001*")</f>
        <v>148441.60000000001</v>
      </c>
      <c r="E787"/>
      <c r="F787" s="35">
        <f>SUMIFS(F788:F9015,K788:K9015,"0",B788:B9015,"1 2 4 2 9 12 31111 6 M59 00001*")</f>
        <v>0</v>
      </c>
      <c r="G787" s="35">
        <f>SUMIFS(G788:G9015,K788:K9015,"0",B788:B9015,"1 2 4 2 9 12 31111 6 M59 00001*")</f>
        <v>24018.04</v>
      </c>
      <c r="H787" s="35">
        <f t="shared" si="12"/>
        <v>124423.56</v>
      </c>
      <c r="I787" s="35"/>
      <c r="K787" t="s">
        <v>15</v>
      </c>
    </row>
    <row r="788" spans="2:11" ht="16.5" x14ac:dyDescent="0.2">
      <c r="B788" s="31" t="s">
        <v>1180</v>
      </c>
      <c r="C788" s="31" t="s">
        <v>203</v>
      </c>
      <c r="D788" s="34">
        <v>148441.60000000001</v>
      </c>
      <c r="E788" s="34"/>
      <c r="F788" s="34">
        <v>0</v>
      </c>
      <c r="G788" s="34">
        <v>24018.04</v>
      </c>
      <c r="H788" s="34">
        <f t="shared" si="12"/>
        <v>124423.56</v>
      </c>
      <c r="I788" s="34"/>
      <c r="K788" t="s">
        <v>38</v>
      </c>
    </row>
    <row r="789" spans="2:11" ht="16.5" x14ac:dyDescent="0.2">
      <c r="B789" s="33" t="s">
        <v>1181</v>
      </c>
      <c r="C789" s="33" t="s">
        <v>83</v>
      </c>
      <c r="D789" s="35">
        <f>SUMIFS(D790:D9015,K790:K9015,"0",B790:B9015,"1 2 4 2 9 12 31111 6 M59 00003*")-SUMIFS(E790:E9015,K790:K9015,"0",B790:B9015,"1 2 4 2 9 12 31111 6 M59 00003*")</f>
        <v>401577.19</v>
      </c>
      <c r="E789"/>
      <c r="F789" s="35">
        <f>SUMIFS(F790:F9015,K790:K9015,"0",B790:B9015,"1 2 4 2 9 12 31111 6 M59 00003*")</f>
        <v>0</v>
      </c>
      <c r="G789" s="35">
        <f>SUMIFS(G790:G9015,K790:K9015,"0",B790:B9015,"1 2 4 2 9 12 31111 6 M59 00003*")</f>
        <v>0</v>
      </c>
      <c r="H789" s="35">
        <f t="shared" si="12"/>
        <v>401577.19</v>
      </c>
      <c r="I789" s="35"/>
      <c r="K789" t="s">
        <v>15</v>
      </c>
    </row>
    <row r="790" spans="2:11" ht="16.5" x14ac:dyDescent="0.2">
      <c r="B790" s="33" t="s">
        <v>1182</v>
      </c>
      <c r="C790" s="33" t="s">
        <v>203</v>
      </c>
      <c r="D790" s="35">
        <f>SUMIFS(D791:D9015,K791:K9015,"0",B791:B9015,"1 2 4 2 9 12 31111 6 M59 00003 000001*")-SUMIFS(E791:E9015,K791:K9015,"0",B791:B9015,"1 2 4 2 9 12 31111 6 M59 00003 000001*")</f>
        <v>401577.19</v>
      </c>
      <c r="E790"/>
      <c r="F790" s="35">
        <f>SUMIFS(F791:F9015,K791:K9015,"0",B791:B9015,"1 2 4 2 9 12 31111 6 M59 00003 000001*")</f>
        <v>0</v>
      </c>
      <c r="G790" s="35">
        <f>SUMIFS(G791:G9015,K791:K9015,"0",B791:B9015,"1 2 4 2 9 12 31111 6 M59 00003 000001*")</f>
        <v>0</v>
      </c>
      <c r="H790" s="35">
        <f t="shared" si="12"/>
        <v>401577.19</v>
      </c>
      <c r="I790" s="35"/>
      <c r="K790" t="s">
        <v>15</v>
      </c>
    </row>
    <row r="791" spans="2:11" ht="16.5" x14ac:dyDescent="0.2">
      <c r="B791" s="31" t="s">
        <v>1183</v>
      </c>
      <c r="C791" s="31" t="s">
        <v>274</v>
      </c>
      <c r="D791" s="34">
        <v>401577.19</v>
      </c>
      <c r="E791" s="34"/>
      <c r="F791" s="34">
        <v>0</v>
      </c>
      <c r="G791" s="34">
        <v>0</v>
      </c>
      <c r="H791" s="34">
        <f t="shared" si="12"/>
        <v>401577.19</v>
      </c>
      <c r="I791" s="34"/>
      <c r="K791" t="s">
        <v>38</v>
      </c>
    </row>
    <row r="792" spans="2:11" ht="24.75" x14ac:dyDescent="0.2">
      <c r="B792" s="33" t="s">
        <v>1184</v>
      </c>
      <c r="C792" s="33" t="s">
        <v>91</v>
      </c>
      <c r="D792" s="35">
        <f>SUMIFS(D793:D9015,K793:K9015,"0",B793:B9015,"1 2 4 2 9 12 31111 6 M59 00004*")-SUMIFS(E793:E9015,K793:K9015,"0",B793:B9015,"1 2 4 2 9 12 31111 6 M59 00004*")</f>
        <v>304</v>
      </c>
      <c r="E792"/>
      <c r="F792" s="35">
        <f>SUMIFS(F793:F9015,K793:K9015,"0",B793:B9015,"1 2 4 2 9 12 31111 6 M59 00004*")</f>
        <v>0</v>
      </c>
      <c r="G792" s="35">
        <f>SUMIFS(G793:G9015,K793:K9015,"0",B793:B9015,"1 2 4 2 9 12 31111 6 M59 00004*")</f>
        <v>0</v>
      </c>
      <c r="H792" s="35">
        <f t="shared" si="12"/>
        <v>304</v>
      </c>
      <c r="I792" s="35"/>
      <c r="K792" t="s">
        <v>15</v>
      </c>
    </row>
    <row r="793" spans="2:11" ht="16.5" x14ac:dyDescent="0.2">
      <c r="B793" s="33" t="s">
        <v>1185</v>
      </c>
      <c r="C793" s="33" t="s">
        <v>203</v>
      </c>
      <c r="D793" s="35">
        <f>SUMIFS(D794:D9015,K794:K9015,"0",B794:B9015,"1 2 4 2 9 12 31111 6 M59 00004 000001*")-SUMIFS(E794:E9015,K794:K9015,"0",B794:B9015,"1 2 4 2 9 12 31111 6 M59 00004 000001*")</f>
        <v>304</v>
      </c>
      <c r="E793"/>
      <c r="F793" s="35">
        <f>SUMIFS(F794:F9015,K794:K9015,"0",B794:B9015,"1 2 4 2 9 12 31111 6 M59 00004 000001*")</f>
        <v>0</v>
      </c>
      <c r="G793" s="35">
        <f>SUMIFS(G794:G9015,K794:K9015,"0",B794:B9015,"1 2 4 2 9 12 31111 6 M59 00004 000001*")</f>
        <v>0</v>
      </c>
      <c r="H793" s="35">
        <f t="shared" si="12"/>
        <v>304</v>
      </c>
      <c r="I793" s="35"/>
      <c r="K793" t="s">
        <v>15</v>
      </c>
    </row>
    <row r="794" spans="2:11" ht="16.5" x14ac:dyDescent="0.2">
      <c r="B794" s="31" t="s">
        <v>1186</v>
      </c>
      <c r="C794" s="31" t="s">
        <v>274</v>
      </c>
      <c r="D794" s="34">
        <v>304</v>
      </c>
      <c r="E794" s="34"/>
      <c r="F794" s="34">
        <v>0</v>
      </c>
      <c r="G794" s="34">
        <v>0</v>
      </c>
      <c r="H794" s="34">
        <f t="shared" si="12"/>
        <v>304</v>
      </c>
      <c r="I794" s="34"/>
      <c r="K794" t="s">
        <v>38</v>
      </c>
    </row>
    <row r="795" spans="2:11" ht="16.5" x14ac:dyDescent="0.2">
      <c r="B795" s="33" t="s">
        <v>1187</v>
      </c>
      <c r="C795" s="33" t="s">
        <v>1188</v>
      </c>
      <c r="D795" s="35">
        <f>SUMIFS(D796:D9015,K796:K9015,"0",B796:B9015,"1 2 4 3*")-SUMIFS(E796:E9015,K796:K9015,"0",B796:B9015,"1 2 4 3*")</f>
        <v>354739.06</v>
      </c>
      <c r="E795"/>
      <c r="F795" s="35">
        <f>SUMIFS(F796:F9015,K796:K9015,"0",B796:B9015,"1 2 4 3*")</f>
        <v>0</v>
      </c>
      <c r="G795" s="35">
        <f>SUMIFS(G796:G9015,K796:K9015,"0",B796:B9015,"1 2 4 3*")</f>
        <v>177252.59</v>
      </c>
      <c r="H795" s="35">
        <f t="shared" si="12"/>
        <v>177486.47</v>
      </c>
      <c r="I795" s="35"/>
      <c r="K795" t="s">
        <v>15</v>
      </c>
    </row>
    <row r="796" spans="2:11" ht="16.5" x14ac:dyDescent="0.2">
      <c r="B796" s="33" t="s">
        <v>1189</v>
      </c>
      <c r="C796" s="33" t="s">
        <v>1190</v>
      </c>
      <c r="D796" s="35">
        <f>SUMIFS(D797:D9015,K797:K9015,"0",B797:B9015,"1 2 4 3 1*")-SUMIFS(E797:E9015,K797:K9015,"0",B797:B9015,"1 2 4 3 1*")</f>
        <v>251932.06</v>
      </c>
      <c r="E796"/>
      <c r="F796" s="35">
        <f>SUMIFS(F797:F9015,K797:K9015,"0",B797:B9015,"1 2 4 3 1*")</f>
        <v>0</v>
      </c>
      <c r="G796" s="35">
        <f>SUMIFS(G797:G9015,K797:K9015,"0",B797:B9015,"1 2 4 3 1*")</f>
        <v>124593.59</v>
      </c>
      <c r="H796" s="35">
        <f t="shared" si="12"/>
        <v>127338.47</v>
      </c>
      <c r="I796" s="35"/>
      <c r="K796" t="s">
        <v>15</v>
      </c>
    </row>
    <row r="797" spans="2:11" ht="12.75" x14ac:dyDescent="0.2">
      <c r="B797" s="33" t="s">
        <v>1191</v>
      </c>
      <c r="C797" s="33" t="s">
        <v>26</v>
      </c>
      <c r="D797" s="35">
        <f>SUMIFS(D798:D9015,K798:K9015,"0",B798:B9015,"1 2 4 3 1 12*")-SUMIFS(E798:E9015,K798:K9015,"0",B798:B9015,"1 2 4 3 1 12*")</f>
        <v>251932.06</v>
      </c>
      <c r="E797"/>
      <c r="F797" s="35">
        <f>SUMIFS(F798:F9015,K798:K9015,"0",B798:B9015,"1 2 4 3 1 12*")</f>
        <v>0</v>
      </c>
      <c r="G797" s="35">
        <f>SUMIFS(G798:G9015,K798:K9015,"0",B798:B9015,"1 2 4 3 1 12*")</f>
        <v>124593.59</v>
      </c>
      <c r="H797" s="35">
        <f t="shared" si="12"/>
        <v>127338.47</v>
      </c>
      <c r="I797" s="35"/>
      <c r="K797" t="s">
        <v>15</v>
      </c>
    </row>
    <row r="798" spans="2:11" ht="16.5" x14ac:dyDescent="0.2">
      <c r="B798" s="33" t="s">
        <v>1192</v>
      </c>
      <c r="C798" s="33" t="s">
        <v>28</v>
      </c>
      <c r="D798" s="35">
        <f>SUMIFS(D799:D9015,K799:K9015,"0",B799:B9015,"1 2 4 3 1 12 31111*")-SUMIFS(E799:E9015,K799:K9015,"0",B799:B9015,"1 2 4 3 1 12 31111*")</f>
        <v>251932.06</v>
      </c>
      <c r="E798"/>
      <c r="F798" s="35">
        <f>SUMIFS(F799:F9015,K799:K9015,"0",B799:B9015,"1 2 4 3 1 12 31111*")</f>
        <v>0</v>
      </c>
      <c r="G798" s="35">
        <f>SUMIFS(G799:G9015,K799:K9015,"0",B799:B9015,"1 2 4 3 1 12 31111*")</f>
        <v>124593.59</v>
      </c>
      <c r="H798" s="35">
        <f t="shared" si="12"/>
        <v>127338.47</v>
      </c>
      <c r="I798" s="35"/>
      <c r="K798" t="s">
        <v>15</v>
      </c>
    </row>
    <row r="799" spans="2:11" ht="12.75" x14ac:dyDescent="0.2">
      <c r="B799" s="33" t="s">
        <v>1193</v>
      </c>
      <c r="C799" s="33" t="s">
        <v>30</v>
      </c>
      <c r="D799" s="35">
        <f>SUMIFS(D800:D9015,K800:K9015,"0",B800:B9015,"1 2 4 3 1 12 31111 6*")-SUMIFS(E800:E9015,K800:K9015,"0",B800:B9015,"1 2 4 3 1 12 31111 6*")</f>
        <v>251932.06</v>
      </c>
      <c r="E799"/>
      <c r="F799" s="35">
        <f>SUMIFS(F800:F9015,K800:K9015,"0",B800:B9015,"1 2 4 3 1 12 31111 6*")</f>
        <v>0</v>
      </c>
      <c r="G799" s="35">
        <f>SUMIFS(G800:G9015,K800:K9015,"0",B800:B9015,"1 2 4 3 1 12 31111 6*")</f>
        <v>124593.59</v>
      </c>
      <c r="H799" s="35">
        <f t="shared" si="12"/>
        <v>127338.47</v>
      </c>
      <c r="I799" s="35"/>
      <c r="K799" t="s">
        <v>15</v>
      </c>
    </row>
    <row r="800" spans="2:11" ht="16.5" x14ac:dyDescent="0.2">
      <c r="B800" s="33" t="s">
        <v>1194</v>
      </c>
      <c r="C800" s="33" t="s">
        <v>1195</v>
      </c>
      <c r="D800" s="35">
        <f>SUMIFS(D801:D9015,K801:K9015,"0",B801:B9015,"1 2 4 3 1 12 31111 6 M59*")-SUMIFS(E801:E9015,K801:K9015,"0",B801:B9015,"1 2 4 3 1 12 31111 6 M59*")</f>
        <v>251932.06</v>
      </c>
      <c r="E800"/>
      <c r="F800" s="35">
        <f>SUMIFS(F801:F9015,K801:K9015,"0",B801:B9015,"1 2 4 3 1 12 31111 6 M59*")</f>
        <v>0</v>
      </c>
      <c r="G800" s="35">
        <f>SUMIFS(G801:G9015,K801:K9015,"0",B801:B9015,"1 2 4 3 1 12 31111 6 M59*")</f>
        <v>124593.59</v>
      </c>
      <c r="H800" s="35">
        <f t="shared" si="12"/>
        <v>127338.47</v>
      </c>
      <c r="I800" s="35"/>
      <c r="K800" t="s">
        <v>15</v>
      </c>
    </row>
    <row r="801" spans="2:11" ht="16.5" x14ac:dyDescent="0.2">
      <c r="B801" s="33" t="s">
        <v>1196</v>
      </c>
      <c r="C801" s="33" t="s">
        <v>34</v>
      </c>
      <c r="D801" s="35">
        <f>SUMIFS(D802:D9015,K802:K9015,"0",B802:B9015,"1 2 4 3 1 12 31111 6 M59 00001*")-SUMIFS(E802:E9015,K802:K9015,"0",B802:B9015,"1 2 4 3 1 12 31111 6 M59 00001*")</f>
        <v>238919.06</v>
      </c>
      <c r="E801"/>
      <c r="F801" s="35">
        <f>SUMIFS(F802:F9015,K802:K9015,"0",B802:B9015,"1 2 4 3 1 12 31111 6 M59 00001*")</f>
        <v>0</v>
      </c>
      <c r="G801" s="35">
        <f>SUMIFS(G802:G9015,K802:K9015,"0",B802:B9015,"1 2 4 3 1 12 31111 6 M59 00001*")</f>
        <v>124593.59</v>
      </c>
      <c r="H801" s="35">
        <f t="shared" si="12"/>
        <v>114325.47</v>
      </c>
      <c r="I801" s="35"/>
      <c r="K801" t="s">
        <v>15</v>
      </c>
    </row>
    <row r="802" spans="2:11" ht="16.5" x14ac:dyDescent="0.2">
      <c r="B802" s="31" t="s">
        <v>1197</v>
      </c>
      <c r="C802" s="31" t="s">
        <v>203</v>
      </c>
      <c r="D802" s="34">
        <v>238919.06</v>
      </c>
      <c r="E802" s="34"/>
      <c r="F802" s="34">
        <v>0</v>
      </c>
      <c r="G802" s="34">
        <v>124593.59</v>
      </c>
      <c r="H802" s="34">
        <f t="shared" si="12"/>
        <v>114325.47</v>
      </c>
      <c r="I802" s="34"/>
      <c r="K802" t="s">
        <v>38</v>
      </c>
    </row>
    <row r="803" spans="2:11" ht="24.75" x14ac:dyDescent="0.2">
      <c r="B803" s="33" t="s">
        <v>1198</v>
      </c>
      <c r="C803" s="33" t="s">
        <v>40</v>
      </c>
      <c r="D803" s="35">
        <f>SUMIFS(D804:D9015,K804:K9015,"0",B804:B9015,"1 2 4 3 1 12 31111 6 M59 00003*")-SUMIFS(E804:E9015,K804:K9015,"0",B804:B9015,"1 2 4 3 1 12 31111 6 M59 00003*")</f>
        <v>13013</v>
      </c>
      <c r="E803"/>
      <c r="F803" s="35">
        <f>SUMIFS(F804:F9015,K804:K9015,"0",B804:B9015,"1 2 4 3 1 12 31111 6 M59 00003*")</f>
        <v>0</v>
      </c>
      <c r="G803" s="35">
        <f>SUMIFS(G804:G9015,K804:K9015,"0",B804:B9015,"1 2 4 3 1 12 31111 6 M59 00003*")</f>
        <v>0</v>
      </c>
      <c r="H803" s="35">
        <f t="shared" si="12"/>
        <v>13013</v>
      </c>
      <c r="I803" s="35"/>
      <c r="K803" t="s">
        <v>15</v>
      </c>
    </row>
    <row r="804" spans="2:11" ht="16.5" x14ac:dyDescent="0.2">
      <c r="B804" s="33" t="s">
        <v>1199</v>
      </c>
      <c r="C804" s="33" t="s">
        <v>42</v>
      </c>
      <c r="D804" s="35">
        <f>SUMIFS(D805:D9015,K805:K9015,"0",B805:B9015,"1 2 4 3 1 12 31111 6 M59 00003 000001*")-SUMIFS(E805:E9015,K805:K9015,"0",B805:B9015,"1 2 4 3 1 12 31111 6 M59 00003 000001*")</f>
        <v>13013</v>
      </c>
      <c r="E804"/>
      <c r="F804" s="35">
        <f>SUMIFS(F805:F9015,K805:K9015,"0",B805:B9015,"1 2 4 3 1 12 31111 6 M59 00003 000001*")</f>
        <v>0</v>
      </c>
      <c r="G804" s="35">
        <f>SUMIFS(G805:G9015,K805:K9015,"0",B805:B9015,"1 2 4 3 1 12 31111 6 M59 00003 000001*")</f>
        <v>0</v>
      </c>
      <c r="H804" s="35">
        <f t="shared" si="12"/>
        <v>13013</v>
      </c>
      <c r="I804" s="35"/>
      <c r="K804" t="s">
        <v>15</v>
      </c>
    </row>
    <row r="805" spans="2:11" ht="16.5" x14ac:dyDescent="0.2">
      <c r="B805" s="31" t="s">
        <v>1200</v>
      </c>
      <c r="C805" s="31" t="s">
        <v>274</v>
      </c>
      <c r="D805" s="34">
        <v>13013</v>
      </c>
      <c r="E805" s="34"/>
      <c r="F805" s="34">
        <v>0</v>
      </c>
      <c r="G805" s="34">
        <v>0</v>
      </c>
      <c r="H805" s="34">
        <f t="shared" si="12"/>
        <v>13013</v>
      </c>
      <c r="I805" s="34"/>
      <c r="K805" t="s">
        <v>38</v>
      </c>
    </row>
    <row r="806" spans="2:11" ht="16.5" x14ac:dyDescent="0.2">
      <c r="B806" s="33" t="s">
        <v>1201</v>
      </c>
      <c r="C806" s="33" t="s">
        <v>1202</v>
      </c>
      <c r="D806" s="35">
        <f>SUMIFS(D807:D9015,K807:K9015,"0",B807:B9015,"1 2 4 3 2*")-SUMIFS(E807:E9015,K807:K9015,"0",B807:B9015,"1 2 4 3 2*")</f>
        <v>102807</v>
      </c>
      <c r="E806"/>
      <c r="F806" s="35">
        <f>SUMIFS(F807:F9015,K807:K9015,"0",B807:B9015,"1 2 4 3 2*")</f>
        <v>0</v>
      </c>
      <c r="G806" s="35">
        <f>SUMIFS(G807:G9015,K807:K9015,"0",B807:B9015,"1 2 4 3 2*")</f>
        <v>52659</v>
      </c>
      <c r="H806" s="35">
        <f t="shared" si="12"/>
        <v>50148</v>
      </c>
      <c r="I806" s="35"/>
      <c r="K806" t="s">
        <v>15</v>
      </c>
    </row>
    <row r="807" spans="2:11" ht="12.75" x14ac:dyDescent="0.2">
      <c r="B807" s="33" t="s">
        <v>1203</v>
      </c>
      <c r="C807" s="33" t="s">
        <v>26</v>
      </c>
      <c r="D807" s="35">
        <f>SUMIFS(D808:D9015,K808:K9015,"0",B808:B9015,"1 2 4 3 2 12*")-SUMIFS(E808:E9015,K808:K9015,"0",B808:B9015,"1 2 4 3 2 12*")</f>
        <v>102807</v>
      </c>
      <c r="E807"/>
      <c r="F807" s="35">
        <f>SUMIFS(F808:F9015,K808:K9015,"0",B808:B9015,"1 2 4 3 2 12*")</f>
        <v>0</v>
      </c>
      <c r="G807" s="35">
        <f>SUMIFS(G808:G9015,K808:K9015,"0",B808:B9015,"1 2 4 3 2 12*")</f>
        <v>52659</v>
      </c>
      <c r="H807" s="35">
        <f t="shared" si="12"/>
        <v>50148</v>
      </c>
      <c r="I807" s="35"/>
      <c r="K807" t="s">
        <v>15</v>
      </c>
    </row>
    <row r="808" spans="2:11" ht="16.5" x14ac:dyDescent="0.2">
      <c r="B808" s="33" t="s">
        <v>1204</v>
      </c>
      <c r="C808" s="33" t="s">
        <v>28</v>
      </c>
      <c r="D808" s="35">
        <f>SUMIFS(D809:D9015,K809:K9015,"0",B809:B9015,"1 2 4 3 2 12 31111*")-SUMIFS(E809:E9015,K809:K9015,"0",B809:B9015,"1 2 4 3 2 12 31111*")</f>
        <v>102807</v>
      </c>
      <c r="E808"/>
      <c r="F808" s="35">
        <f>SUMIFS(F809:F9015,K809:K9015,"0",B809:B9015,"1 2 4 3 2 12 31111*")</f>
        <v>0</v>
      </c>
      <c r="G808" s="35">
        <f>SUMIFS(G809:G9015,K809:K9015,"0",B809:B9015,"1 2 4 3 2 12 31111*")</f>
        <v>52659</v>
      </c>
      <c r="H808" s="35">
        <f t="shared" si="12"/>
        <v>50148</v>
      </c>
      <c r="I808" s="35"/>
      <c r="K808" t="s">
        <v>15</v>
      </c>
    </row>
    <row r="809" spans="2:11" ht="12.75" x14ac:dyDescent="0.2">
      <c r="B809" s="33" t="s">
        <v>1205</v>
      </c>
      <c r="C809" s="33" t="s">
        <v>30</v>
      </c>
      <c r="D809" s="35">
        <f>SUMIFS(D810:D9015,K810:K9015,"0",B810:B9015,"1 2 4 3 2 12 31111 6*")-SUMIFS(E810:E9015,K810:K9015,"0",B810:B9015,"1 2 4 3 2 12 31111 6*")</f>
        <v>102807</v>
      </c>
      <c r="E809"/>
      <c r="F809" s="35">
        <f>SUMIFS(F810:F9015,K810:K9015,"0",B810:B9015,"1 2 4 3 2 12 31111 6*")</f>
        <v>0</v>
      </c>
      <c r="G809" s="35">
        <f>SUMIFS(G810:G9015,K810:K9015,"0",B810:B9015,"1 2 4 3 2 12 31111 6*")</f>
        <v>52659</v>
      </c>
      <c r="H809" s="35">
        <f t="shared" si="12"/>
        <v>50148</v>
      </c>
      <c r="I809" s="35"/>
      <c r="K809" t="s">
        <v>15</v>
      </c>
    </row>
    <row r="810" spans="2:11" ht="16.5" x14ac:dyDescent="0.2">
      <c r="B810" s="33" t="s">
        <v>1206</v>
      </c>
      <c r="C810" s="33" t="s">
        <v>1207</v>
      </c>
      <c r="D810" s="35">
        <f>SUMIFS(D811:D9015,K811:K9015,"0",B811:B9015,"1 2 4 3 2 12 31111 6 M59*")-SUMIFS(E811:E9015,K811:K9015,"0",B811:B9015,"1 2 4 3 2 12 31111 6 M59*")</f>
        <v>102807</v>
      </c>
      <c r="E810"/>
      <c r="F810" s="35">
        <f>SUMIFS(F811:F9015,K811:K9015,"0",B811:B9015,"1 2 4 3 2 12 31111 6 M59*")</f>
        <v>0</v>
      </c>
      <c r="G810" s="35">
        <f>SUMIFS(G811:G9015,K811:K9015,"0",B811:B9015,"1 2 4 3 2 12 31111 6 M59*")</f>
        <v>52659</v>
      </c>
      <c r="H810" s="35">
        <f t="shared" si="12"/>
        <v>50148</v>
      </c>
      <c r="I810" s="35"/>
      <c r="K810" t="s">
        <v>15</v>
      </c>
    </row>
    <row r="811" spans="2:11" ht="16.5" x14ac:dyDescent="0.2">
      <c r="B811" s="33" t="s">
        <v>1208</v>
      </c>
      <c r="C811" s="33" t="s">
        <v>34</v>
      </c>
      <c r="D811" s="35">
        <f>SUMIFS(D812:D9015,K812:K9015,"0",B812:B9015,"1 2 4 3 2 12 31111 6 M59 00001*")-SUMIFS(E812:E9015,K812:K9015,"0",B812:B9015,"1 2 4 3 2 12 31111 6 M59 00001*")</f>
        <v>6569</v>
      </c>
      <c r="E811"/>
      <c r="F811" s="35">
        <f>SUMIFS(F812:F9015,K812:K9015,"0",B812:B9015,"1 2 4 3 2 12 31111 6 M59 00001*")</f>
        <v>0</v>
      </c>
      <c r="G811" s="35">
        <f>SUMIFS(G812:G9015,K812:K9015,"0",B812:B9015,"1 2 4 3 2 12 31111 6 M59 00001*")</f>
        <v>52659</v>
      </c>
      <c r="H811" s="35">
        <f t="shared" si="12"/>
        <v>-46090</v>
      </c>
      <c r="I811" s="35"/>
      <c r="K811" t="s">
        <v>15</v>
      </c>
    </row>
    <row r="812" spans="2:11" ht="16.5" x14ac:dyDescent="0.2">
      <c r="B812" s="31" t="s">
        <v>1209</v>
      </c>
      <c r="C812" s="31" t="s">
        <v>203</v>
      </c>
      <c r="D812" s="34">
        <v>6569</v>
      </c>
      <c r="E812" s="34"/>
      <c r="F812" s="34">
        <v>0</v>
      </c>
      <c r="G812" s="34">
        <v>52659</v>
      </c>
      <c r="H812" s="34">
        <f t="shared" si="12"/>
        <v>-46090</v>
      </c>
      <c r="I812" s="34"/>
      <c r="K812" t="s">
        <v>38</v>
      </c>
    </row>
    <row r="813" spans="2:11" ht="24.75" x14ac:dyDescent="0.2">
      <c r="B813" s="33" t="s">
        <v>1210</v>
      </c>
      <c r="C813" s="33" t="s">
        <v>40</v>
      </c>
      <c r="D813" s="35">
        <f>SUMIFS(D814:D9015,K814:K9015,"0",B814:B9015,"1 2 4 3 2 12 31111 6 M59 00003*")-SUMIFS(E814:E9015,K814:K9015,"0",B814:B9015,"1 2 4 3 2 12 31111 6 M59 00003*")</f>
        <v>96238</v>
      </c>
      <c r="E813"/>
      <c r="F813" s="35">
        <f>SUMIFS(F814:F9015,K814:K9015,"0",B814:B9015,"1 2 4 3 2 12 31111 6 M59 00003*")</f>
        <v>0</v>
      </c>
      <c r="G813" s="35">
        <f>SUMIFS(G814:G9015,K814:K9015,"0",B814:B9015,"1 2 4 3 2 12 31111 6 M59 00003*")</f>
        <v>0</v>
      </c>
      <c r="H813" s="35">
        <f t="shared" si="12"/>
        <v>96238</v>
      </c>
      <c r="I813" s="35"/>
      <c r="K813" t="s">
        <v>15</v>
      </c>
    </row>
    <row r="814" spans="2:11" ht="16.5" x14ac:dyDescent="0.2">
      <c r="B814" s="33" t="s">
        <v>1211</v>
      </c>
      <c r="C814" s="33" t="s">
        <v>42</v>
      </c>
      <c r="D814" s="35">
        <f>SUMIFS(D815:D9015,K815:K9015,"0",B815:B9015,"1 2 4 3 2 12 31111 6 M59 00003 000001*")-SUMIFS(E815:E9015,K815:K9015,"0",B815:B9015,"1 2 4 3 2 12 31111 6 M59 00003 000001*")</f>
        <v>96238</v>
      </c>
      <c r="E814"/>
      <c r="F814" s="35">
        <f>SUMIFS(F815:F9015,K815:K9015,"0",B815:B9015,"1 2 4 3 2 12 31111 6 M59 00003 000001*")</f>
        <v>0</v>
      </c>
      <c r="G814" s="35">
        <f>SUMIFS(G815:G9015,K815:K9015,"0",B815:B9015,"1 2 4 3 2 12 31111 6 M59 00003 000001*")</f>
        <v>0</v>
      </c>
      <c r="H814" s="35">
        <f t="shared" si="12"/>
        <v>96238</v>
      </c>
      <c r="I814" s="35"/>
      <c r="K814" t="s">
        <v>15</v>
      </c>
    </row>
    <row r="815" spans="2:11" ht="16.5" x14ac:dyDescent="0.2">
      <c r="B815" s="31" t="s">
        <v>1212</v>
      </c>
      <c r="C815" s="31" t="s">
        <v>274</v>
      </c>
      <c r="D815" s="34">
        <v>96238</v>
      </c>
      <c r="E815" s="34"/>
      <c r="F815" s="34">
        <v>0</v>
      </c>
      <c r="G815" s="34">
        <v>0</v>
      </c>
      <c r="H815" s="34">
        <f t="shared" si="12"/>
        <v>96238</v>
      </c>
      <c r="I815" s="34"/>
      <c r="K815" t="s">
        <v>38</v>
      </c>
    </row>
    <row r="816" spans="2:11" ht="16.5" x14ac:dyDescent="0.2">
      <c r="B816" s="33" t="s">
        <v>1213</v>
      </c>
      <c r="C816" s="33" t="s">
        <v>1214</v>
      </c>
      <c r="D816" s="35">
        <f>SUMIFS(D817:D9015,K817:K9015,"0",B817:B9015,"1 2 4 4*")-SUMIFS(E817:E9015,K817:K9015,"0",B817:B9015,"1 2 4 4*")</f>
        <v>16545096.289999999</v>
      </c>
      <c r="E816"/>
      <c r="F816" s="35">
        <f>SUMIFS(F817:F9015,K817:K9015,"0",B817:B9015,"1 2 4 4*")</f>
        <v>9187536.7200000007</v>
      </c>
      <c r="G816" s="35">
        <f>SUMIFS(G817:G9015,K817:K9015,"0",B817:B9015,"1 2 4 4*")</f>
        <v>4437292.1900000004</v>
      </c>
      <c r="H816" s="35">
        <f t="shared" si="12"/>
        <v>21295340.819999997</v>
      </c>
      <c r="I816" s="35"/>
      <c r="K816" t="s">
        <v>15</v>
      </c>
    </row>
    <row r="817" spans="2:11" ht="16.5" x14ac:dyDescent="0.2">
      <c r="B817" s="33" t="s">
        <v>1215</v>
      </c>
      <c r="C817" s="33" t="s">
        <v>1216</v>
      </c>
      <c r="D817" s="35">
        <f>SUMIFS(D818:D9015,K818:K9015,"0",B818:B9015,"1 2 4 4 1*")-SUMIFS(E818:E9015,K818:K9015,"0",B818:B9015,"1 2 4 4 1*")</f>
        <v>16545096.289999999</v>
      </c>
      <c r="E817"/>
      <c r="F817" s="35">
        <f>SUMIFS(F818:F9015,K818:K9015,"0",B818:B9015,"1 2 4 4 1*")</f>
        <v>9187536.7200000007</v>
      </c>
      <c r="G817" s="35">
        <f>SUMIFS(G818:G9015,K818:K9015,"0",B818:B9015,"1 2 4 4 1*")</f>
        <v>4437292.1900000004</v>
      </c>
      <c r="H817" s="35">
        <f t="shared" si="12"/>
        <v>21295340.819999997</v>
      </c>
      <c r="I817" s="35"/>
      <c r="K817" t="s">
        <v>15</v>
      </c>
    </row>
    <row r="818" spans="2:11" ht="12.75" x14ac:dyDescent="0.2">
      <c r="B818" s="33" t="s">
        <v>1217</v>
      </c>
      <c r="C818" s="33" t="s">
        <v>26</v>
      </c>
      <c r="D818" s="35">
        <f>SUMIFS(D819:D9015,K819:K9015,"0",B819:B9015,"1 2 4 4 1 12*")-SUMIFS(E819:E9015,K819:K9015,"0",B819:B9015,"1 2 4 4 1 12*")</f>
        <v>16545096.289999999</v>
      </c>
      <c r="E818"/>
      <c r="F818" s="35">
        <f>SUMIFS(F819:F9015,K819:K9015,"0",B819:B9015,"1 2 4 4 1 12*")</f>
        <v>9187536.7200000007</v>
      </c>
      <c r="G818" s="35">
        <f>SUMIFS(G819:G9015,K819:K9015,"0",B819:B9015,"1 2 4 4 1 12*")</f>
        <v>4437292.1900000004</v>
      </c>
      <c r="H818" s="35">
        <f t="shared" si="12"/>
        <v>21295340.819999997</v>
      </c>
      <c r="I818" s="35"/>
      <c r="K818" t="s">
        <v>15</v>
      </c>
    </row>
    <row r="819" spans="2:11" ht="16.5" x14ac:dyDescent="0.2">
      <c r="B819" s="33" t="s">
        <v>1218</v>
      </c>
      <c r="C819" s="33" t="s">
        <v>28</v>
      </c>
      <c r="D819" s="35">
        <f>SUMIFS(D820:D9015,K820:K9015,"0",B820:B9015,"1 2 4 4 1 12 31111*")-SUMIFS(E820:E9015,K820:K9015,"0",B820:B9015,"1 2 4 4 1 12 31111*")</f>
        <v>16545096.289999999</v>
      </c>
      <c r="E819"/>
      <c r="F819" s="35">
        <f>SUMIFS(F820:F9015,K820:K9015,"0",B820:B9015,"1 2 4 4 1 12 31111*")</f>
        <v>9187536.7200000007</v>
      </c>
      <c r="G819" s="35">
        <f>SUMIFS(G820:G9015,K820:K9015,"0",B820:B9015,"1 2 4 4 1 12 31111*")</f>
        <v>4437292.1900000004</v>
      </c>
      <c r="H819" s="35">
        <f t="shared" si="12"/>
        <v>21295340.819999997</v>
      </c>
      <c r="I819" s="35"/>
      <c r="K819" t="s">
        <v>15</v>
      </c>
    </row>
    <row r="820" spans="2:11" ht="12.75" x14ac:dyDescent="0.2">
      <c r="B820" s="33" t="s">
        <v>1219</v>
      </c>
      <c r="C820" s="33" t="s">
        <v>30</v>
      </c>
      <c r="D820" s="35">
        <f>SUMIFS(D821:D9015,K821:K9015,"0",B821:B9015,"1 2 4 4 1 12 31111 6*")-SUMIFS(E821:E9015,K821:K9015,"0",B821:B9015,"1 2 4 4 1 12 31111 6*")</f>
        <v>16545096.289999999</v>
      </c>
      <c r="E820"/>
      <c r="F820" s="35">
        <f>SUMIFS(F821:F9015,K821:K9015,"0",B821:B9015,"1 2 4 4 1 12 31111 6*")</f>
        <v>9187536.7200000007</v>
      </c>
      <c r="G820" s="35">
        <f>SUMIFS(G821:G9015,K821:K9015,"0",B821:B9015,"1 2 4 4 1 12 31111 6*")</f>
        <v>4437292.1900000004</v>
      </c>
      <c r="H820" s="35">
        <f t="shared" si="12"/>
        <v>21295340.819999997</v>
      </c>
      <c r="I820" s="35"/>
      <c r="K820" t="s">
        <v>15</v>
      </c>
    </row>
    <row r="821" spans="2:11" ht="16.5" x14ac:dyDescent="0.2">
      <c r="B821" s="33" t="s">
        <v>1220</v>
      </c>
      <c r="C821" s="33" t="s">
        <v>32</v>
      </c>
      <c r="D821" s="35">
        <f>SUMIFS(D822:D9015,K822:K9015,"0",B822:B9015,"1 2 4 4 1 12 31111 6 M59*")-SUMIFS(E822:E9015,K822:K9015,"0",B822:B9015,"1 2 4 4 1 12 31111 6 M59*")</f>
        <v>16545096.289999999</v>
      </c>
      <c r="E821"/>
      <c r="F821" s="35">
        <f>SUMIFS(F822:F9015,K822:K9015,"0",B822:B9015,"1 2 4 4 1 12 31111 6 M59*")</f>
        <v>9187536.7200000007</v>
      </c>
      <c r="G821" s="35">
        <f>SUMIFS(G822:G9015,K822:K9015,"0",B822:B9015,"1 2 4 4 1 12 31111 6 M59*")</f>
        <v>4437292.1900000004</v>
      </c>
      <c r="H821" s="35">
        <f t="shared" si="12"/>
        <v>21295340.819999997</v>
      </c>
      <c r="I821" s="35"/>
      <c r="K821" t="s">
        <v>15</v>
      </c>
    </row>
    <row r="822" spans="2:11" ht="16.5" x14ac:dyDescent="0.2">
      <c r="B822" s="33" t="s">
        <v>1221</v>
      </c>
      <c r="C822" s="33" t="s">
        <v>34</v>
      </c>
      <c r="D822" s="35">
        <f>SUMIFS(D823:D9015,K823:K9015,"0",B823:B9015,"1 2 4 4 1 12 31111 6 M59 00001*")-SUMIFS(E823:E9015,K823:K9015,"0",B823:B9015,"1 2 4 4 1 12 31111 6 M59 00001*")</f>
        <v>8178012.29</v>
      </c>
      <c r="E822"/>
      <c r="F822" s="35">
        <f>SUMIFS(F823:F9015,K823:K9015,"0",B823:B9015,"1 2 4 4 1 12 31111 6 M59 00001*")</f>
        <v>139076.72</v>
      </c>
      <c r="G822" s="35">
        <f>SUMIFS(G823:G9015,K823:K9015,"0",B823:B9015,"1 2 4 4 1 12 31111 6 M59 00001*")</f>
        <v>4437292.1900000004</v>
      </c>
      <c r="H822" s="35">
        <f t="shared" si="12"/>
        <v>3879796.8199999994</v>
      </c>
      <c r="I822" s="35"/>
      <c r="K822" t="s">
        <v>15</v>
      </c>
    </row>
    <row r="823" spans="2:11" ht="16.5" x14ac:dyDescent="0.2">
      <c r="B823" s="31" t="s">
        <v>1222</v>
      </c>
      <c r="C823" s="31" t="s">
        <v>203</v>
      </c>
      <c r="D823" s="34">
        <v>7503012.29</v>
      </c>
      <c r="E823" s="34"/>
      <c r="F823" s="34">
        <v>139076.72</v>
      </c>
      <c r="G823" s="34">
        <v>4437292.1900000004</v>
      </c>
      <c r="H823" s="34">
        <f t="shared" si="12"/>
        <v>3204796.8199999994</v>
      </c>
      <c r="I823" s="34"/>
      <c r="K823" t="s">
        <v>38</v>
      </c>
    </row>
    <row r="824" spans="2:11" ht="16.5" x14ac:dyDescent="0.2">
      <c r="B824" s="31" t="s">
        <v>1223</v>
      </c>
      <c r="C824" s="31" t="s">
        <v>1224</v>
      </c>
      <c r="D824" s="34">
        <v>555000</v>
      </c>
      <c r="E824" s="34"/>
      <c r="F824" s="34">
        <v>0</v>
      </c>
      <c r="G824" s="34">
        <v>0</v>
      </c>
      <c r="H824" s="34">
        <f t="shared" si="12"/>
        <v>555000</v>
      </c>
      <c r="I824" s="34"/>
      <c r="K824" t="s">
        <v>38</v>
      </c>
    </row>
    <row r="825" spans="2:11" ht="16.5" x14ac:dyDescent="0.2">
      <c r="B825" s="31" t="s">
        <v>1225</v>
      </c>
      <c r="C825" s="31" t="s">
        <v>1226</v>
      </c>
      <c r="D825" s="34">
        <v>120000</v>
      </c>
      <c r="E825" s="34"/>
      <c r="F825" s="34">
        <v>0</v>
      </c>
      <c r="G825" s="34">
        <v>0</v>
      </c>
      <c r="H825" s="34">
        <f t="shared" si="12"/>
        <v>120000</v>
      </c>
      <c r="I825" s="34"/>
      <c r="K825" t="s">
        <v>38</v>
      </c>
    </row>
    <row r="826" spans="2:11" ht="24.75" x14ac:dyDescent="0.2">
      <c r="B826" s="33" t="s">
        <v>1227</v>
      </c>
      <c r="C826" s="33" t="s">
        <v>986</v>
      </c>
      <c r="D826" s="35">
        <f>SUMIFS(D827:D9015,K827:K9015,"0",B827:B9015,"1 2 4 4 1 12 31111 6 M59 00002*")-SUMIFS(E827:E9015,K827:K9015,"0",B827:B9015,"1 2 4 4 1 12 31111 6 M59 00002*")</f>
        <v>120000</v>
      </c>
      <c r="E826"/>
      <c r="F826" s="35">
        <f>SUMIFS(F827:F9015,K827:K9015,"0",B827:B9015,"1 2 4 4 1 12 31111 6 M59 00002*")</f>
        <v>0</v>
      </c>
      <c r="G826" s="35">
        <f>SUMIFS(G827:G9015,K827:K9015,"0",B827:B9015,"1 2 4 4 1 12 31111 6 M59 00002*")</f>
        <v>0</v>
      </c>
      <c r="H826" s="35">
        <f t="shared" si="12"/>
        <v>120000</v>
      </c>
      <c r="I826" s="35"/>
      <c r="K826" t="s">
        <v>15</v>
      </c>
    </row>
    <row r="827" spans="2:11" ht="16.5" x14ac:dyDescent="0.2">
      <c r="B827" s="33" t="s">
        <v>1228</v>
      </c>
      <c r="C827" s="33" t="s">
        <v>42</v>
      </c>
      <c r="D827" s="35">
        <f>SUMIFS(D828:D9015,K828:K9015,"0",B828:B9015,"1 2 4 4 1 12 31111 6 M59 00002 000001*")-SUMIFS(E828:E9015,K828:K9015,"0",B828:B9015,"1 2 4 4 1 12 31111 6 M59 00002 000001*")</f>
        <v>120000</v>
      </c>
      <c r="E827"/>
      <c r="F827" s="35">
        <f>SUMIFS(F828:F9015,K828:K9015,"0",B828:B9015,"1 2 4 4 1 12 31111 6 M59 00002 000001*")</f>
        <v>0</v>
      </c>
      <c r="G827" s="35">
        <f>SUMIFS(G828:G9015,K828:K9015,"0",B828:B9015,"1 2 4 4 1 12 31111 6 M59 00002 000001*")</f>
        <v>0</v>
      </c>
      <c r="H827" s="35">
        <f t="shared" si="12"/>
        <v>120000</v>
      </c>
      <c r="I827" s="35"/>
      <c r="K827" t="s">
        <v>15</v>
      </c>
    </row>
    <row r="828" spans="2:11" ht="16.5" x14ac:dyDescent="0.2">
      <c r="B828" s="31" t="s">
        <v>1229</v>
      </c>
      <c r="C828" s="31" t="s">
        <v>274</v>
      </c>
      <c r="D828" s="34">
        <v>120000</v>
      </c>
      <c r="E828" s="34"/>
      <c r="F828" s="34">
        <v>0</v>
      </c>
      <c r="G828" s="34">
        <v>0</v>
      </c>
      <c r="H828" s="34">
        <f t="shared" si="12"/>
        <v>120000</v>
      </c>
      <c r="I828" s="34"/>
      <c r="K828" t="s">
        <v>38</v>
      </c>
    </row>
    <row r="829" spans="2:11" ht="16.5" x14ac:dyDescent="0.2">
      <c r="B829" s="33" t="s">
        <v>1230</v>
      </c>
      <c r="C829" s="33" t="s">
        <v>83</v>
      </c>
      <c r="D829" s="35">
        <f>SUMIFS(D830:D9015,K830:K9015,"0",B830:B9015,"1 2 4 4 1 12 31111 6 M59 00003*")-SUMIFS(E830:E9015,K830:K9015,"0",B830:B9015,"1 2 4 4 1 12 31111 6 M59 00003*")</f>
        <v>7045034</v>
      </c>
      <c r="E829"/>
      <c r="F829" s="35">
        <f>SUMIFS(F830:F9015,K830:K9015,"0",B830:B9015,"1 2 4 4 1 12 31111 6 M59 00003*")</f>
        <v>0</v>
      </c>
      <c r="G829" s="35">
        <f>SUMIFS(G830:G9015,K830:K9015,"0",B830:B9015,"1 2 4 4 1 12 31111 6 M59 00003*")</f>
        <v>0</v>
      </c>
      <c r="H829" s="35">
        <f t="shared" si="12"/>
        <v>7045034</v>
      </c>
      <c r="I829" s="35"/>
      <c r="K829" t="s">
        <v>15</v>
      </c>
    </row>
    <row r="830" spans="2:11" ht="16.5" x14ac:dyDescent="0.2">
      <c r="B830" s="33" t="s">
        <v>1231</v>
      </c>
      <c r="C830" s="33" t="s">
        <v>42</v>
      </c>
      <c r="D830" s="35">
        <f>SUMIFS(D831:D9015,K831:K9015,"0",B831:B9015,"1 2 4 4 1 12 31111 6 M59 00003 000001*")-SUMIFS(E831:E9015,K831:K9015,"0",B831:B9015,"1 2 4 4 1 12 31111 6 M59 00003 000001*")</f>
        <v>7045034</v>
      </c>
      <c r="E830"/>
      <c r="F830" s="35">
        <f>SUMIFS(F831:F9015,K831:K9015,"0",B831:B9015,"1 2 4 4 1 12 31111 6 M59 00003 000001*")</f>
        <v>0</v>
      </c>
      <c r="G830" s="35">
        <f>SUMIFS(G831:G9015,K831:K9015,"0",B831:B9015,"1 2 4 4 1 12 31111 6 M59 00003 000001*")</f>
        <v>0</v>
      </c>
      <c r="H830" s="35">
        <f t="shared" si="12"/>
        <v>7045034</v>
      </c>
      <c r="I830" s="35"/>
      <c r="K830" t="s">
        <v>15</v>
      </c>
    </row>
    <row r="831" spans="2:11" ht="16.5" x14ac:dyDescent="0.2">
      <c r="B831" s="31" t="s">
        <v>1232</v>
      </c>
      <c r="C831" s="31" t="s">
        <v>434</v>
      </c>
      <c r="D831" s="34">
        <v>4467434</v>
      </c>
      <c r="E831" s="34"/>
      <c r="F831" s="34">
        <v>0</v>
      </c>
      <c r="G831" s="34">
        <v>0</v>
      </c>
      <c r="H831" s="34">
        <f t="shared" si="12"/>
        <v>4467434</v>
      </c>
      <c r="I831" s="34"/>
      <c r="K831" t="s">
        <v>38</v>
      </c>
    </row>
    <row r="832" spans="2:11" ht="16.5" x14ac:dyDescent="0.2">
      <c r="B832" s="31" t="s">
        <v>1233</v>
      </c>
      <c r="C832" s="31" t="s">
        <v>1234</v>
      </c>
      <c r="D832" s="34">
        <v>1765600</v>
      </c>
      <c r="E832" s="34"/>
      <c r="F832" s="34">
        <v>0</v>
      </c>
      <c r="G832" s="34">
        <v>0</v>
      </c>
      <c r="H832" s="34">
        <f t="shared" si="12"/>
        <v>1765600</v>
      </c>
      <c r="I832" s="34"/>
      <c r="K832" t="s">
        <v>38</v>
      </c>
    </row>
    <row r="833" spans="2:11" ht="16.5" x14ac:dyDescent="0.2">
      <c r="B833" s="31" t="s">
        <v>1235</v>
      </c>
      <c r="C833" s="31" t="s">
        <v>1236</v>
      </c>
      <c r="D833" s="34">
        <v>200000</v>
      </c>
      <c r="E833" s="34"/>
      <c r="F833" s="34">
        <v>0</v>
      </c>
      <c r="G833" s="34">
        <v>0</v>
      </c>
      <c r="H833" s="34">
        <f t="shared" si="12"/>
        <v>200000</v>
      </c>
      <c r="I833" s="34"/>
      <c r="K833" t="s">
        <v>38</v>
      </c>
    </row>
    <row r="834" spans="2:11" ht="16.5" x14ac:dyDescent="0.2">
      <c r="B834" s="31" t="s">
        <v>1237</v>
      </c>
      <c r="C834" s="31" t="s">
        <v>274</v>
      </c>
      <c r="D834" s="34">
        <v>612000</v>
      </c>
      <c r="E834" s="34"/>
      <c r="F834" s="34">
        <v>0</v>
      </c>
      <c r="G834" s="34">
        <v>0</v>
      </c>
      <c r="H834" s="34">
        <f t="shared" si="12"/>
        <v>612000</v>
      </c>
      <c r="I834" s="34"/>
      <c r="K834" t="s">
        <v>38</v>
      </c>
    </row>
    <row r="835" spans="2:11" ht="24.75" x14ac:dyDescent="0.2">
      <c r="B835" s="33" t="s">
        <v>1238</v>
      </c>
      <c r="C835" s="33" t="s">
        <v>91</v>
      </c>
      <c r="D835" s="35">
        <f>SUMIFS(D836:D9015,K836:K9015,"0",B836:B9015,"1 2 4 4 1 12 31111 6 M59 00004*")-SUMIFS(E836:E9015,K836:K9015,"0",B836:B9015,"1 2 4 4 1 12 31111 6 M59 00004*")</f>
        <v>1202050</v>
      </c>
      <c r="E835"/>
      <c r="F835" s="35">
        <f>SUMIFS(F836:F9015,K836:K9015,"0",B836:B9015,"1 2 4 4 1 12 31111 6 M59 00004*")</f>
        <v>0</v>
      </c>
      <c r="G835" s="35">
        <f>SUMIFS(G836:G9015,K836:K9015,"0",B836:B9015,"1 2 4 4 1 12 31111 6 M59 00004*")</f>
        <v>0</v>
      </c>
      <c r="H835" s="35">
        <f t="shared" si="12"/>
        <v>1202050</v>
      </c>
      <c r="I835" s="35"/>
      <c r="K835" t="s">
        <v>15</v>
      </c>
    </row>
    <row r="836" spans="2:11" ht="16.5" x14ac:dyDescent="0.2">
      <c r="B836" s="33" t="s">
        <v>1239</v>
      </c>
      <c r="C836" s="33" t="s">
        <v>203</v>
      </c>
      <c r="D836" s="35">
        <f>SUMIFS(D837:D9015,K837:K9015,"0",B837:B9015,"1 2 4 4 1 12 31111 6 M59 00004 000001*")-SUMIFS(E837:E9015,K837:K9015,"0",B837:B9015,"1 2 4 4 1 12 31111 6 M59 00004 000001*")</f>
        <v>1202050</v>
      </c>
      <c r="E836"/>
      <c r="F836" s="35">
        <f>SUMIFS(F837:F9015,K837:K9015,"0",B837:B9015,"1 2 4 4 1 12 31111 6 M59 00004 000001*")</f>
        <v>0</v>
      </c>
      <c r="G836" s="35">
        <f>SUMIFS(G837:G9015,K837:K9015,"0",B837:B9015,"1 2 4 4 1 12 31111 6 M59 00004 000001*")</f>
        <v>0</v>
      </c>
      <c r="H836" s="35">
        <f t="shared" si="12"/>
        <v>1202050</v>
      </c>
      <c r="I836" s="35"/>
      <c r="K836" t="s">
        <v>15</v>
      </c>
    </row>
    <row r="837" spans="2:11" ht="16.5" x14ac:dyDescent="0.2">
      <c r="B837" s="31" t="s">
        <v>1240</v>
      </c>
      <c r="C837" s="31" t="s">
        <v>441</v>
      </c>
      <c r="D837" s="34">
        <v>-807950</v>
      </c>
      <c r="E837" s="34"/>
      <c r="F837" s="34">
        <v>0</v>
      </c>
      <c r="G837" s="34">
        <v>0</v>
      </c>
      <c r="H837" s="34">
        <f t="shared" si="12"/>
        <v>-807950</v>
      </c>
      <c r="I837" s="34"/>
      <c r="K837" t="s">
        <v>38</v>
      </c>
    </row>
    <row r="838" spans="2:11" ht="16.5" x14ac:dyDescent="0.2">
      <c r="B838" s="31" t="s">
        <v>1241</v>
      </c>
      <c r="C838" s="31" t="s">
        <v>1236</v>
      </c>
      <c r="D838" s="34">
        <v>2010000</v>
      </c>
      <c r="E838" s="34"/>
      <c r="F838" s="34">
        <v>0</v>
      </c>
      <c r="G838" s="34">
        <v>0</v>
      </c>
      <c r="H838" s="34">
        <f t="shared" si="12"/>
        <v>2010000</v>
      </c>
      <c r="I838" s="34"/>
      <c r="K838" t="s">
        <v>38</v>
      </c>
    </row>
    <row r="839" spans="2:11" ht="16.5" x14ac:dyDescent="0.2">
      <c r="B839" s="33" t="s">
        <v>1242</v>
      </c>
      <c r="C839" s="33" t="s">
        <v>1243</v>
      </c>
      <c r="D839" s="35">
        <f>SUMIFS(D840:D9015,K840:K9015,"0",B840:B9015,"1 2 4 4 1 12 31111 6 M59 10000*")-SUMIFS(E840:E9015,K840:K9015,"0",B840:B9015,"1 2 4 4 1 12 31111 6 M59 10000*")</f>
        <v>0</v>
      </c>
      <c r="E839"/>
      <c r="F839" s="35">
        <f>SUMIFS(F840:F9015,K840:K9015,"0",B840:B9015,"1 2 4 4 1 12 31111 6 M59 10000*")</f>
        <v>960000</v>
      </c>
      <c r="G839" s="35">
        <f>SUMIFS(G840:G9015,K840:K9015,"0",B840:B9015,"1 2 4 4 1 12 31111 6 M59 10000*")</f>
        <v>0</v>
      </c>
      <c r="H839" s="35">
        <f t="shared" si="12"/>
        <v>960000</v>
      </c>
      <c r="I839" s="35"/>
      <c r="K839" t="s">
        <v>15</v>
      </c>
    </row>
    <row r="840" spans="2:11" ht="16.5" x14ac:dyDescent="0.2">
      <c r="B840" s="33" t="s">
        <v>1244</v>
      </c>
      <c r="C840" s="33" t="s">
        <v>648</v>
      </c>
      <c r="D840" s="35">
        <f>SUMIFS(D841:D9015,K841:K9015,"0",B841:B9015,"1 2 4 4 1 12 31111 6 M59 10000 000132*")-SUMIFS(E841:E9015,K841:K9015,"0",B841:B9015,"1 2 4 4 1 12 31111 6 M59 10000 000132*")</f>
        <v>0</v>
      </c>
      <c r="E840"/>
      <c r="F840" s="35">
        <f>SUMIFS(F841:F9015,K841:K9015,"0",B841:B9015,"1 2 4 4 1 12 31111 6 M59 10000 000132*")</f>
        <v>960000</v>
      </c>
      <c r="G840" s="35">
        <f>SUMIFS(G841:G9015,K841:K9015,"0",B841:B9015,"1 2 4 4 1 12 31111 6 M59 10000 000132*")</f>
        <v>0</v>
      </c>
      <c r="H840" s="35">
        <f t="shared" si="12"/>
        <v>960000</v>
      </c>
      <c r="I840" s="35"/>
      <c r="K840" t="s">
        <v>15</v>
      </c>
    </row>
    <row r="841" spans="2:11" ht="24.75" x14ac:dyDescent="0.2">
      <c r="B841" s="33" t="s">
        <v>1245</v>
      </c>
      <c r="C841" s="33" t="s">
        <v>650</v>
      </c>
      <c r="D841" s="35">
        <f>SUMIFS(D842:D9015,K842:K9015,"0",B842:B9015,"1 2 4 4 1 12 31111 6 M59 10000 000132 0000R*")-SUMIFS(E842:E9015,K842:K9015,"0",B842:B9015,"1 2 4 4 1 12 31111 6 M59 10000 000132 0000R*")</f>
        <v>0</v>
      </c>
      <c r="E841"/>
      <c r="F841" s="35">
        <f>SUMIFS(F842:F9015,K842:K9015,"0",B842:B9015,"1 2 4 4 1 12 31111 6 M59 10000 000132 0000R*")</f>
        <v>960000</v>
      </c>
      <c r="G841" s="35">
        <f>SUMIFS(G842:G9015,K842:K9015,"0",B842:B9015,"1 2 4 4 1 12 31111 6 M59 10000 000132 0000R*")</f>
        <v>0</v>
      </c>
      <c r="H841" s="35">
        <f t="shared" si="12"/>
        <v>960000</v>
      </c>
      <c r="I841" s="35"/>
      <c r="K841" t="s">
        <v>15</v>
      </c>
    </row>
    <row r="842" spans="2:11" ht="24.75" x14ac:dyDescent="0.2">
      <c r="B842" s="33" t="s">
        <v>1246</v>
      </c>
      <c r="C842" s="33" t="s">
        <v>652</v>
      </c>
      <c r="D842" s="35">
        <f>SUMIFS(D843:D9015,K843:K9015,"0",B843:B9015,"1 2 4 4 1 12 31111 6 M59 10000 000132 0000R 00002*")-SUMIFS(E843:E9015,K843:K9015,"0",B843:B9015,"1 2 4 4 1 12 31111 6 M59 10000 000132 0000R 00002*")</f>
        <v>0</v>
      </c>
      <c r="E842"/>
      <c r="F842" s="35">
        <f>SUMIFS(F843:F9015,K843:K9015,"0",B843:B9015,"1 2 4 4 1 12 31111 6 M59 10000 000132 0000R 00002*")</f>
        <v>960000</v>
      </c>
      <c r="G842" s="35">
        <f>SUMIFS(G843:G9015,K843:K9015,"0",B843:B9015,"1 2 4 4 1 12 31111 6 M59 10000 000132 0000R 00002*")</f>
        <v>0</v>
      </c>
      <c r="H842" s="35">
        <f t="shared" si="12"/>
        <v>960000</v>
      </c>
      <c r="I842" s="35"/>
      <c r="K842" t="s">
        <v>15</v>
      </c>
    </row>
    <row r="843" spans="2:11" ht="24.75" x14ac:dyDescent="0.2">
      <c r="B843" s="33" t="s">
        <v>1247</v>
      </c>
      <c r="C843" s="33" t="s">
        <v>1248</v>
      </c>
      <c r="D843" s="35">
        <f>SUMIFS(D844:D9015,K844:K9015,"0",B844:B9015,"1 2 4 4 1 12 31111 6 M59 10000 000132 0000R 00002 00541*")-SUMIFS(E844:E9015,K844:K9015,"0",B844:B9015,"1 2 4 4 1 12 31111 6 M59 10000 000132 0000R 00002 00541*")</f>
        <v>0</v>
      </c>
      <c r="E843"/>
      <c r="F843" s="35">
        <f>SUMIFS(F844:F9015,K844:K9015,"0",B844:B9015,"1 2 4 4 1 12 31111 6 M59 10000 000132 0000R 00002 00541*")</f>
        <v>960000</v>
      </c>
      <c r="G843" s="35">
        <f>SUMIFS(G844:G9015,K844:K9015,"0",B844:B9015,"1 2 4 4 1 12 31111 6 M59 10000 000132 0000R 00002 00541*")</f>
        <v>0</v>
      </c>
      <c r="H843" s="35">
        <f t="shared" si="12"/>
        <v>960000</v>
      </c>
      <c r="I843" s="35"/>
      <c r="K843" t="s">
        <v>15</v>
      </c>
    </row>
    <row r="844" spans="2:11" ht="33" x14ac:dyDescent="0.2">
      <c r="B844" s="33" t="s">
        <v>1249</v>
      </c>
      <c r="C844" s="33" t="s">
        <v>1051</v>
      </c>
      <c r="D844" s="35">
        <f>SUMIFS(D845:D9015,K845:K9015,"0",B845:B9015,"1 2 4 4 1 12 31111 6 M59 10000 000132 0000R 00002 00541 015*")-SUMIFS(E845:E9015,K845:K9015,"0",B845:B9015,"1 2 4 4 1 12 31111 6 M59 10000 000132 0000R 00002 00541 015*")</f>
        <v>0</v>
      </c>
      <c r="E844"/>
      <c r="F844" s="35">
        <f>SUMIFS(F845:F9015,K845:K9015,"0",B845:B9015,"1 2 4 4 1 12 31111 6 M59 10000 000132 0000R 00002 00541 015*")</f>
        <v>960000</v>
      </c>
      <c r="G844" s="35">
        <f>SUMIFS(G845:G9015,K845:K9015,"0",B845:B9015,"1 2 4 4 1 12 31111 6 M59 10000 000132 0000R 00002 00541 015*")</f>
        <v>0</v>
      </c>
      <c r="H844" s="35">
        <f t="shared" ref="H844:H907" si="13">D844 + F844 - G844</f>
        <v>960000</v>
      </c>
      <c r="I844" s="35"/>
      <c r="K844" t="s">
        <v>15</v>
      </c>
    </row>
    <row r="845" spans="2:11" ht="33" x14ac:dyDescent="0.2">
      <c r="B845" s="33" t="s">
        <v>1250</v>
      </c>
      <c r="C845" s="33" t="s">
        <v>1251</v>
      </c>
      <c r="D845" s="35">
        <f>SUMIFS(D846:D9015,K846:K9015,"0",B846:B9015,"1 2 4 4 1 12 31111 6 M59 10000 000132 0000R 00002 00541 015 2222100*")-SUMIFS(E846:E9015,K846:K9015,"0",B846:B9015,"1 2 4 4 1 12 31111 6 M59 10000 000132 0000R 00002 00541 015 2222100*")</f>
        <v>0</v>
      </c>
      <c r="E845"/>
      <c r="F845" s="35">
        <f>SUMIFS(F846:F9015,K846:K9015,"0",B846:B9015,"1 2 4 4 1 12 31111 6 M59 10000 000132 0000R 00002 00541 015 2222100*")</f>
        <v>960000</v>
      </c>
      <c r="G845" s="35">
        <f>SUMIFS(G846:G9015,K846:K9015,"0",B846:B9015,"1 2 4 4 1 12 31111 6 M59 10000 000132 0000R 00002 00541 015 2222100*")</f>
        <v>0</v>
      </c>
      <c r="H845" s="35">
        <f t="shared" si="13"/>
        <v>960000</v>
      </c>
      <c r="I845" s="35"/>
      <c r="K845" t="s">
        <v>15</v>
      </c>
    </row>
    <row r="846" spans="2:11" ht="33" x14ac:dyDescent="0.2">
      <c r="B846" s="33" t="s">
        <v>1252</v>
      </c>
      <c r="C846" s="33" t="s">
        <v>660</v>
      </c>
      <c r="D846" s="35">
        <f>SUMIFS(D847:D9015,K847:K9015,"0",B847:B9015,"1 2 4 4 1 12 31111 6 M59 10000 000132 0000R 00002 00541 015 2222100 2024*")-SUMIFS(E847:E9015,K847:K9015,"0",B847:B9015,"1 2 4 4 1 12 31111 6 M59 10000 000132 0000R 00002 00541 015 2222100 2024*")</f>
        <v>0</v>
      </c>
      <c r="E846"/>
      <c r="F846" s="35">
        <f>SUMIFS(F847:F9015,K847:K9015,"0",B847:B9015,"1 2 4 4 1 12 31111 6 M59 10000 000132 0000R 00002 00541 015 2222100 2024*")</f>
        <v>960000</v>
      </c>
      <c r="G846" s="35">
        <f>SUMIFS(G847:G9015,K847:K9015,"0",B847:B9015,"1 2 4 4 1 12 31111 6 M59 10000 000132 0000R 00002 00541 015 2222100 2024*")</f>
        <v>0</v>
      </c>
      <c r="H846" s="35">
        <f t="shared" si="13"/>
        <v>960000</v>
      </c>
      <c r="I846" s="35"/>
      <c r="K846" t="s">
        <v>15</v>
      </c>
    </row>
    <row r="847" spans="2:11" ht="41.25" x14ac:dyDescent="0.2">
      <c r="B847" s="33" t="s">
        <v>1253</v>
      </c>
      <c r="C847" s="33" t="s">
        <v>662</v>
      </c>
      <c r="D847" s="35">
        <f>SUMIFS(D848:D9015,K848:K9015,"0",B848:B9015,"1 2 4 4 1 12 31111 6 M59 10000 000132 0000R 00002 00541 015 2222100 2024 CP1PM439*")-SUMIFS(E848:E9015,K848:K9015,"0",B848:B9015,"1 2 4 4 1 12 31111 6 M59 10000 000132 0000R 00002 00541 015 2222100 2024 CP1PM439*")</f>
        <v>0</v>
      </c>
      <c r="E847"/>
      <c r="F847" s="35">
        <f>SUMIFS(F848:F9015,K848:K9015,"0",B848:B9015,"1 2 4 4 1 12 31111 6 M59 10000 000132 0000R 00002 00541 015 2222100 2024 CP1PM439*")</f>
        <v>960000</v>
      </c>
      <c r="G847" s="35">
        <f>SUMIFS(G848:G9015,K848:K9015,"0",B848:B9015,"1 2 4 4 1 12 31111 6 M59 10000 000132 0000R 00002 00541 015 2222100 2024 CP1PM439*")</f>
        <v>0</v>
      </c>
      <c r="H847" s="35">
        <f t="shared" si="13"/>
        <v>960000</v>
      </c>
      <c r="I847" s="35"/>
      <c r="K847" t="s">
        <v>15</v>
      </c>
    </row>
    <row r="848" spans="2:11" ht="41.25" x14ac:dyDescent="0.2">
      <c r="B848" s="33" t="s">
        <v>1254</v>
      </c>
      <c r="C848" s="33" t="s">
        <v>282</v>
      </c>
      <c r="D848" s="35">
        <f>SUMIFS(D849:D9015,K849:K9015,"0",B849:B9015,"1 2 4 4 1 12 31111 6 M59 10000 000132 0000R 00002 00541 015 2222100 2024 CP1PM439 001*")-SUMIFS(E849:E9015,K849:K9015,"0",B849:B9015,"1 2 4 4 1 12 31111 6 M59 10000 000132 0000R 00002 00541 015 2222100 2024 CP1PM439 001*")</f>
        <v>0</v>
      </c>
      <c r="E848"/>
      <c r="F848" s="35">
        <f>SUMIFS(F849:F9015,K849:K9015,"0",B849:B9015,"1 2 4 4 1 12 31111 6 M59 10000 000132 0000R 00002 00541 015 2222100 2024 CP1PM439 001*")</f>
        <v>960000</v>
      </c>
      <c r="G848" s="35">
        <f>SUMIFS(G849:G9015,K849:K9015,"0",B849:B9015,"1 2 4 4 1 12 31111 6 M59 10000 000132 0000R 00002 00541 015 2222100 2024 CP1PM439 001*")</f>
        <v>0</v>
      </c>
      <c r="H848" s="35">
        <f t="shared" si="13"/>
        <v>960000</v>
      </c>
      <c r="I848" s="35"/>
      <c r="K848" t="s">
        <v>15</v>
      </c>
    </row>
    <row r="849" spans="2:11" ht="41.25" x14ac:dyDescent="0.2">
      <c r="B849" s="31" t="s">
        <v>1255</v>
      </c>
      <c r="C849" s="31" t="s">
        <v>1248</v>
      </c>
      <c r="D849" s="34">
        <v>0</v>
      </c>
      <c r="E849" s="34"/>
      <c r="F849" s="34">
        <v>960000</v>
      </c>
      <c r="G849" s="34">
        <v>0</v>
      </c>
      <c r="H849" s="34">
        <f t="shared" si="13"/>
        <v>960000</v>
      </c>
      <c r="I849" s="34"/>
      <c r="K849" t="s">
        <v>38</v>
      </c>
    </row>
    <row r="850" spans="2:11" ht="16.5" x14ac:dyDescent="0.2">
      <c r="B850" s="33" t="s">
        <v>1256</v>
      </c>
      <c r="C850" s="33" t="s">
        <v>1092</v>
      </c>
      <c r="D850" s="35">
        <f>SUMIFS(D851:D9015,K851:K9015,"0",B851:B9015,"1 2 4 4 1 12 31111 6 M59 40000*")-SUMIFS(E851:E9015,K851:K9015,"0",B851:B9015,"1 2 4 4 1 12 31111 6 M59 40000*")</f>
        <v>0</v>
      </c>
      <c r="E850"/>
      <c r="F850" s="35">
        <f>SUMIFS(F851:F9015,K851:K9015,"0",B851:B9015,"1 2 4 4 1 12 31111 6 M59 40000*")</f>
        <v>7374960</v>
      </c>
      <c r="G850" s="35">
        <f>SUMIFS(G851:G9015,K851:K9015,"0",B851:B9015,"1 2 4 4 1 12 31111 6 M59 40000*")</f>
        <v>0</v>
      </c>
      <c r="H850" s="35">
        <f t="shared" si="13"/>
        <v>7374960</v>
      </c>
      <c r="I850" s="35"/>
      <c r="K850" t="s">
        <v>15</v>
      </c>
    </row>
    <row r="851" spans="2:11" ht="16.5" x14ac:dyDescent="0.2">
      <c r="B851" s="33" t="s">
        <v>1257</v>
      </c>
      <c r="C851" s="33" t="s">
        <v>1094</v>
      </c>
      <c r="D851" s="35">
        <f>SUMIFS(D852:D9015,K852:K9015,"0",B852:B9015,"1 2 4 4 1 12 31111 6 M59 40000 000161*")-SUMIFS(E852:E9015,K852:K9015,"0",B852:B9015,"1 2 4 4 1 12 31111 6 M59 40000 000161*")</f>
        <v>0</v>
      </c>
      <c r="E851"/>
      <c r="F851" s="35">
        <f>SUMIFS(F852:F9015,K852:K9015,"0",B852:B9015,"1 2 4 4 1 12 31111 6 M59 40000 000161*")</f>
        <v>7374960</v>
      </c>
      <c r="G851" s="35">
        <f>SUMIFS(G852:G9015,K852:K9015,"0",B852:B9015,"1 2 4 4 1 12 31111 6 M59 40000 000161*")</f>
        <v>0</v>
      </c>
      <c r="H851" s="35">
        <f t="shared" si="13"/>
        <v>7374960</v>
      </c>
      <c r="I851" s="35"/>
      <c r="K851" t="s">
        <v>15</v>
      </c>
    </row>
    <row r="852" spans="2:11" ht="24.75" x14ac:dyDescent="0.2">
      <c r="B852" s="33" t="s">
        <v>1258</v>
      </c>
      <c r="C852" s="33" t="s">
        <v>1065</v>
      </c>
      <c r="D852" s="35">
        <f>SUMIFS(D853:D9015,K853:K9015,"0",B853:B9015,"1 2 4 4 1 12 31111 6 M59 40000 000161 0000E*")-SUMIFS(E853:E9015,K853:K9015,"0",B853:B9015,"1 2 4 4 1 12 31111 6 M59 40000 000161 0000E*")</f>
        <v>0</v>
      </c>
      <c r="E852"/>
      <c r="F852" s="35">
        <f>SUMIFS(F853:F9015,K853:K9015,"0",B853:B9015,"1 2 4 4 1 12 31111 6 M59 40000 000161 0000E*")</f>
        <v>7374960</v>
      </c>
      <c r="G852" s="35">
        <f>SUMIFS(G853:G9015,K853:K9015,"0",B853:B9015,"1 2 4 4 1 12 31111 6 M59 40000 000161 0000E*")</f>
        <v>0</v>
      </c>
      <c r="H852" s="35">
        <f t="shared" si="13"/>
        <v>7374960</v>
      </c>
      <c r="I852" s="35"/>
      <c r="K852" t="s">
        <v>15</v>
      </c>
    </row>
    <row r="853" spans="2:11" ht="24.75" x14ac:dyDescent="0.2">
      <c r="B853" s="33" t="s">
        <v>1259</v>
      </c>
      <c r="C853" s="33" t="s">
        <v>652</v>
      </c>
      <c r="D853" s="35">
        <f>SUMIFS(D854:D9015,K854:K9015,"0",B854:B9015,"1 2 4 4 1 12 31111 6 M59 40000 000161 0000E 00002*")-SUMIFS(E854:E9015,K854:K9015,"0",B854:B9015,"1 2 4 4 1 12 31111 6 M59 40000 000161 0000E 00002*")</f>
        <v>0</v>
      </c>
      <c r="E853"/>
      <c r="F853" s="35">
        <f>SUMIFS(F854:F9015,K854:K9015,"0",B854:B9015,"1 2 4 4 1 12 31111 6 M59 40000 000161 0000E 00002*")</f>
        <v>7374960</v>
      </c>
      <c r="G853" s="35">
        <f>SUMIFS(G854:G9015,K854:K9015,"0",B854:B9015,"1 2 4 4 1 12 31111 6 M59 40000 000161 0000E 00002*")</f>
        <v>0</v>
      </c>
      <c r="H853" s="35">
        <f t="shared" si="13"/>
        <v>7374960</v>
      </c>
      <c r="I853" s="35"/>
      <c r="K853" t="s">
        <v>15</v>
      </c>
    </row>
    <row r="854" spans="2:11" ht="24.75" x14ac:dyDescent="0.2">
      <c r="B854" s="33" t="s">
        <v>1260</v>
      </c>
      <c r="C854" s="33" t="s">
        <v>1248</v>
      </c>
      <c r="D854" s="35">
        <f>SUMIFS(D855:D9015,K855:K9015,"0",B855:B9015,"1 2 4 4 1 12 31111 6 M59 40000 000161 0000E 00002 00541*")-SUMIFS(E855:E9015,K855:K9015,"0",B855:B9015,"1 2 4 4 1 12 31111 6 M59 40000 000161 0000E 00002 00541*")</f>
        <v>0</v>
      </c>
      <c r="E854"/>
      <c r="F854" s="35">
        <f>SUMIFS(F855:F9015,K855:K9015,"0",B855:B9015,"1 2 4 4 1 12 31111 6 M59 40000 000161 0000E 00002 00541*")</f>
        <v>7374960</v>
      </c>
      <c r="G854" s="35">
        <f>SUMIFS(G855:G9015,K855:K9015,"0",B855:B9015,"1 2 4 4 1 12 31111 6 M59 40000 000161 0000E 00002 00541*")</f>
        <v>0</v>
      </c>
      <c r="H854" s="35">
        <f t="shared" si="13"/>
        <v>7374960</v>
      </c>
      <c r="I854" s="35"/>
      <c r="K854" t="s">
        <v>15</v>
      </c>
    </row>
    <row r="855" spans="2:11" ht="33" x14ac:dyDescent="0.2">
      <c r="B855" s="33" t="s">
        <v>1261</v>
      </c>
      <c r="C855" s="33" t="s">
        <v>656</v>
      </c>
      <c r="D855" s="35">
        <f>SUMIFS(D856:D9015,K856:K9015,"0",B856:B9015,"1 2 4 4 1 12 31111 6 M59 40000 000161 0000E 00002 00541 025*")-SUMIFS(E856:E9015,K856:K9015,"0",B856:B9015,"1 2 4 4 1 12 31111 6 M59 40000 000161 0000E 00002 00541 025*")</f>
        <v>0</v>
      </c>
      <c r="E855"/>
      <c r="F855" s="35">
        <f>SUMIFS(F856:F9015,K856:K9015,"0",B856:B9015,"1 2 4 4 1 12 31111 6 M59 40000 000161 0000E 00002 00541 025*")</f>
        <v>7374960</v>
      </c>
      <c r="G855" s="35">
        <f>SUMIFS(G856:G9015,K856:K9015,"0",B856:B9015,"1 2 4 4 1 12 31111 6 M59 40000 000161 0000E 00002 00541 025*")</f>
        <v>0</v>
      </c>
      <c r="H855" s="35">
        <f t="shared" si="13"/>
        <v>7374960</v>
      </c>
      <c r="I855" s="35"/>
      <c r="K855" t="s">
        <v>15</v>
      </c>
    </row>
    <row r="856" spans="2:11" ht="33" x14ac:dyDescent="0.2">
      <c r="B856" s="33" t="s">
        <v>1262</v>
      </c>
      <c r="C856" s="33" t="s">
        <v>1251</v>
      </c>
      <c r="D856" s="35">
        <f>SUMIFS(D857:D9015,K857:K9015,"0",B857:B9015,"1 2 4 4 1 12 31111 6 M59 40000 000161 0000E 00002 00541 025 2222100*")-SUMIFS(E857:E9015,K857:K9015,"0",B857:B9015,"1 2 4 4 1 12 31111 6 M59 40000 000161 0000E 00002 00541 025 2222100*")</f>
        <v>0</v>
      </c>
      <c r="E856"/>
      <c r="F856" s="35">
        <f>SUMIFS(F857:F9015,K857:K9015,"0",B857:B9015,"1 2 4 4 1 12 31111 6 M59 40000 000161 0000E 00002 00541 025 2222100*")</f>
        <v>7374960</v>
      </c>
      <c r="G856" s="35">
        <f>SUMIFS(G857:G9015,K857:K9015,"0",B857:B9015,"1 2 4 4 1 12 31111 6 M59 40000 000161 0000E 00002 00541 025 2222100*")</f>
        <v>0</v>
      </c>
      <c r="H856" s="35">
        <f t="shared" si="13"/>
        <v>7374960</v>
      </c>
      <c r="I856" s="35"/>
      <c r="K856" t="s">
        <v>15</v>
      </c>
    </row>
    <row r="857" spans="2:11" ht="33" x14ac:dyDescent="0.2">
      <c r="B857" s="33" t="s">
        <v>1263</v>
      </c>
      <c r="C857" s="33" t="s">
        <v>660</v>
      </c>
      <c r="D857" s="35">
        <f>SUMIFS(D858:D9015,K858:K9015,"0",B858:B9015,"1 2 4 4 1 12 31111 6 M59 40000 000161 0000E 00002 00541 025 2222100 2024*")-SUMIFS(E858:E9015,K858:K9015,"0",B858:B9015,"1 2 4 4 1 12 31111 6 M59 40000 000161 0000E 00002 00541 025 2222100 2024*")</f>
        <v>0</v>
      </c>
      <c r="E857"/>
      <c r="F857" s="35">
        <f>SUMIFS(F858:F9015,K858:K9015,"0",B858:B9015,"1 2 4 4 1 12 31111 6 M59 40000 000161 0000E 00002 00541 025 2222100 2024*")</f>
        <v>7374960</v>
      </c>
      <c r="G857" s="35">
        <f>SUMIFS(G858:G9015,K858:K9015,"0",B858:B9015,"1 2 4 4 1 12 31111 6 M59 40000 000161 0000E 00002 00541 025 2222100 2024*")</f>
        <v>0</v>
      </c>
      <c r="H857" s="35">
        <f t="shared" si="13"/>
        <v>7374960</v>
      </c>
      <c r="I857" s="35"/>
      <c r="K857" t="s">
        <v>15</v>
      </c>
    </row>
    <row r="858" spans="2:11" ht="41.25" x14ac:dyDescent="0.2">
      <c r="B858" s="33" t="s">
        <v>1264</v>
      </c>
      <c r="C858" s="33" t="s">
        <v>662</v>
      </c>
      <c r="D858" s="35">
        <f>SUMIFS(D859:D9015,K859:K9015,"0",B859:B9015,"1 2 4 4 1 12 31111 6 M59 40000 000161 0000E 00002 00541 025 2222100 2024 CP4SP372*")-SUMIFS(E859:E9015,K859:K9015,"0",B859:B9015,"1 2 4 4 1 12 31111 6 M59 40000 000161 0000E 00002 00541 025 2222100 2024 CP4SP372*")</f>
        <v>0</v>
      </c>
      <c r="E858"/>
      <c r="F858" s="35">
        <f>SUMIFS(F859:F9015,K859:K9015,"0",B859:B9015,"1 2 4 4 1 12 31111 6 M59 40000 000161 0000E 00002 00541 025 2222100 2024 CP4SP372*")</f>
        <v>7374960</v>
      </c>
      <c r="G858" s="35">
        <f>SUMIFS(G859:G9015,K859:K9015,"0",B859:B9015,"1 2 4 4 1 12 31111 6 M59 40000 000161 0000E 00002 00541 025 2222100 2024 CP4SP372*")</f>
        <v>0</v>
      </c>
      <c r="H858" s="35">
        <f t="shared" si="13"/>
        <v>7374960</v>
      </c>
      <c r="I858" s="35"/>
      <c r="K858" t="s">
        <v>15</v>
      </c>
    </row>
    <row r="859" spans="2:11" ht="41.25" x14ac:dyDescent="0.2">
      <c r="B859" s="33" t="s">
        <v>1265</v>
      </c>
      <c r="C859" s="33" t="s">
        <v>664</v>
      </c>
      <c r="D859" s="35">
        <f>SUMIFS(D860:D9015,K860:K9015,"0",B860:B9015,"1 2 4 4 1 12 31111 6 M59 40000 000161 0000E 00002 00541 025 2222100 2024 CP4SP372 003*")-SUMIFS(E860:E9015,K860:K9015,"0",B860:B9015,"1 2 4 4 1 12 31111 6 M59 40000 000161 0000E 00002 00541 025 2222100 2024 CP4SP372 003*")</f>
        <v>0</v>
      </c>
      <c r="E859"/>
      <c r="F859" s="35">
        <f>SUMIFS(F860:F9015,K860:K9015,"0",B860:B9015,"1 2 4 4 1 12 31111 6 M59 40000 000161 0000E 00002 00541 025 2222100 2024 CP4SP372 003*")</f>
        <v>7374960</v>
      </c>
      <c r="G859" s="35">
        <f>SUMIFS(G860:G9015,K860:K9015,"0",B860:B9015,"1 2 4 4 1 12 31111 6 M59 40000 000161 0000E 00002 00541 025 2222100 2024 CP4SP372 003*")</f>
        <v>0</v>
      </c>
      <c r="H859" s="35">
        <f t="shared" si="13"/>
        <v>7374960</v>
      </c>
      <c r="I859" s="35"/>
      <c r="K859" t="s">
        <v>15</v>
      </c>
    </row>
    <row r="860" spans="2:11" ht="33" x14ac:dyDescent="0.2">
      <c r="B860" s="31" t="s">
        <v>1266</v>
      </c>
      <c r="C860" s="31" t="s">
        <v>1267</v>
      </c>
      <c r="D860" s="34">
        <v>0</v>
      </c>
      <c r="E860" s="34"/>
      <c r="F860" s="34">
        <v>7374960</v>
      </c>
      <c r="G860" s="34">
        <v>0</v>
      </c>
      <c r="H860" s="34">
        <f t="shared" si="13"/>
        <v>7374960</v>
      </c>
      <c r="I860" s="34"/>
      <c r="K860" t="s">
        <v>38</v>
      </c>
    </row>
    <row r="861" spans="2:11" ht="16.5" x14ac:dyDescent="0.2">
      <c r="B861" s="33" t="s">
        <v>1268</v>
      </c>
      <c r="C861" s="33" t="s">
        <v>1269</v>
      </c>
      <c r="D861" s="35">
        <f>SUMIFS(D862:D9015,K862:K9015,"0",B862:B9015,"1 2 4 4 1 12 31111 6 M59 60100*")-SUMIFS(E862:E9015,K862:K9015,"0",B862:B9015,"1 2 4 4 1 12 31111 6 M59 60100*")</f>
        <v>0</v>
      </c>
      <c r="E861"/>
      <c r="F861" s="35">
        <f>SUMIFS(F862:F9015,K862:K9015,"0",B862:B9015,"1 2 4 4 1 12 31111 6 M59 60100*")</f>
        <v>713500</v>
      </c>
      <c r="G861" s="35">
        <f>SUMIFS(G862:G9015,K862:K9015,"0",B862:B9015,"1 2 4 4 1 12 31111 6 M59 60100*")</f>
        <v>0</v>
      </c>
      <c r="H861" s="35">
        <f t="shared" si="13"/>
        <v>713500</v>
      </c>
      <c r="I861" s="35"/>
      <c r="K861" t="s">
        <v>15</v>
      </c>
    </row>
    <row r="862" spans="2:11" ht="16.5" x14ac:dyDescent="0.2">
      <c r="B862" s="33" t="s">
        <v>1270</v>
      </c>
      <c r="C862" s="33" t="s">
        <v>648</v>
      </c>
      <c r="D862" s="35">
        <f>SUMIFS(D863:D9015,K863:K9015,"0",B863:B9015,"1 2 4 4 1 12 31111 6 M59 60100 000132*")-SUMIFS(E863:E9015,K863:K9015,"0",B863:B9015,"1 2 4 4 1 12 31111 6 M59 60100 000132*")</f>
        <v>0</v>
      </c>
      <c r="E862"/>
      <c r="F862" s="35">
        <f>SUMIFS(F863:F9015,K863:K9015,"0",B863:B9015,"1 2 4 4 1 12 31111 6 M59 60100 000132*")</f>
        <v>713500</v>
      </c>
      <c r="G862" s="35">
        <f>SUMIFS(G863:G9015,K863:K9015,"0",B863:B9015,"1 2 4 4 1 12 31111 6 M59 60100 000132*")</f>
        <v>0</v>
      </c>
      <c r="H862" s="35">
        <f t="shared" si="13"/>
        <v>713500</v>
      </c>
      <c r="I862" s="35"/>
      <c r="K862" t="s">
        <v>15</v>
      </c>
    </row>
    <row r="863" spans="2:11" ht="24.75" x14ac:dyDescent="0.2">
      <c r="B863" s="33" t="s">
        <v>1271</v>
      </c>
      <c r="C863" s="33" t="s">
        <v>650</v>
      </c>
      <c r="D863" s="35">
        <f>SUMIFS(D864:D9015,K864:K9015,"0",B864:B9015,"1 2 4 4 1 12 31111 6 M59 60100 000132 0000R*")-SUMIFS(E864:E9015,K864:K9015,"0",B864:B9015,"1 2 4 4 1 12 31111 6 M59 60100 000132 0000R*")</f>
        <v>0</v>
      </c>
      <c r="E863"/>
      <c r="F863" s="35">
        <f>SUMIFS(F864:F9015,K864:K9015,"0",B864:B9015,"1 2 4 4 1 12 31111 6 M59 60100 000132 0000R*")</f>
        <v>713500</v>
      </c>
      <c r="G863" s="35">
        <f>SUMIFS(G864:G9015,K864:K9015,"0",B864:B9015,"1 2 4 4 1 12 31111 6 M59 60100 000132 0000R*")</f>
        <v>0</v>
      </c>
      <c r="H863" s="35">
        <f t="shared" si="13"/>
        <v>713500</v>
      </c>
      <c r="I863" s="35"/>
      <c r="K863" t="s">
        <v>15</v>
      </c>
    </row>
    <row r="864" spans="2:11" ht="24.75" x14ac:dyDescent="0.2">
      <c r="B864" s="33" t="s">
        <v>1272</v>
      </c>
      <c r="C864" s="33" t="s">
        <v>652</v>
      </c>
      <c r="D864" s="35">
        <f>SUMIFS(D865:D9015,K865:K9015,"0",B865:B9015,"1 2 4 4 1 12 31111 6 M59 60100 000132 0000R 00002*")-SUMIFS(E865:E9015,K865:K9015,"0",B865:B9015,"1 2 4 4 1 12 31111 6 M59 60100 000132 0000R 00002*")</f>
        <v>0</v>
      </c>
      <c r="E864"/>
      <c r="F864" s="35">
        <f>SUMIFS(F865:F9015,K865:K9015,"0",B865:B9015,"1 2 4 4 1 12 31111 6 M59 60100 000132 0000R 00002*")</f>
        <v>713500</v>
      </c>
      <c r="G864" s="35">
        <f>SUMIFS(G865:G9015,K865:K9015,"0",B865:B9015,"1 2 4 4 1 12 31111 6 M59 60100 000132 0000R 00002*")</f>
        <v>0</v>
      </c>
      <c r="H864" s="35">
        <f t="shared" si="13"/>
        <v>713500</v>
      </c>
      <c r="I864" s="35"/>
      <c r="K864" t="s">
        <v>15</v>
      </c>
    </row>
    <row r="865" spans="2:11" ht="24.75" x14ac:dyDescent="0.2">
      <c r="B865" s="33" t="s">
        <v>1273</v>
      </c>
      <c r="C865" s="33" t="s">
        <v>1248</v>
      </c>
      <c r="D865" s="35">
        <f>SUMIFS(D866:D9015,K866:K9015,"0",B866:B9015,"1 2 4 4 1 12 31111 6 M59 60100 000132 0000R 00002 00541*")-SUMIFS(E866:E9015,K866:K9015,"0",B866:B9015,"1 2 4 4 1 12 31111 6 M59 60100 000132 0000R 00002 00541*")</f>
        <v>0</v>
      </c>
      <c r="E865"/>
      <c r="F865" s="35">
        <f>SUMIFS(F866:F9015,K866:K9015,"0",B866:B9015,"1 2 4 4 1 12 31111 6 M59 60100 000132 0000R 00002 00541*")</f>
        <v>713500</v>
      </c>
      <c r="G865" s="35">
        <f>SUMIFS(G866:G9015,K866:K9015,"0",B866:B9015,"1 2 4 4 1 12 31111 6 M59 60100 000132 0000R 00002 00541*")</f>
        <v>0</v>
      </c>
      <c r="H865" s="35">
        <f t="shared" si="13"/>
        <v>713500</v>
      </c>
      <c r="I865" s="35"/>
      <c r="K865" t="s">
        <v>15</v>
      </c>
    </row>
    <row r="866" spans="2:11" ht="33" x14ac:dyDescent="0.2">
      <c r="B866" s="33" t="s">
        <v>1274</v>
      </c>
      <c r="C866" s="33" t="s">
        <v>1051</v>
      </c>
      <c r="D866" s="35">
        <f>SUMIFS(D867:D9015,K867:K9015,"0",B867:B9015,"1 2 4 4 1 12 31111 6 M59 60100 000132 0000R 00002 00541 015*")-SUMIFS(E867:E9015,K867:K9015,"0",B867:B9015,"1 2 4 4 1 12 31111 6 M59 60100 000132 0000R 00002 00541 015*")</f>
        <v>0</v>
      </c>
      <c r="E866"/>
      <c r="F866" s="35">
        <f>SUMIFS(F867:F9015,K867:K9015,"0",B867:B9015,"1 2 4 4 1 12 31111 6 M59 60100 000132 0000R 00002 00541 015*")</f>
        <v>713500</v>
      </c>
      <c r="G866" s="35">
        <f>SUMIFS(G867:G9015,K867:K9015,"0",B867:B9015,"1 2 4 4 1 12 31111 6 M59 60100 000132 0000R 00002 00541 015*")</f>
        <v>0</v>
      </c>
      <c r="H866" s="35">
        <f t="shared" si="13"/>
        <v>713500</v>
      </c>
      <c r="I866" s="35"/>
      <c r="K866" t="s">
        <v>15</v>
      </c>
    </row>
    <row r="867" spans="2:11" ht="33" x14ac:dyDescent="0.2">
      <c r="B867" s="33" t="s">
        <v>1275</v>
      </c>
      <c r="C867" s="33" t="s">
        <v>1251</v>
      </c>
      <c r="D867" s="35">
        <f>SUMIFS(D868:D9015,K868:K9015,"0",B868:B9015,"1 2 4 4 1 12 31111 6 M59 60100 000132 0000R 00002 00541 015 2222100*")-SUMIFS(E868:E9015,K868:K9015,"0",B868:B9015,"1 2 4 4 1 12 31111 6 M59 60100 000132 0000R 00002 00541 015 2222100*")</f>
        <v>0</v>
      </c>
      <c r="E867"/>
      <c r="F867" s="35">
        <f>SUMIFS(F868:F9015,K868:K9015,"0",B868:B9015,"1 2 4 4 1 12 31111 6 M59 60100 000132 0000R 00002 00541 015 2222100*")</f>
        <v>713500</v>
      </c>
      <c r="G867" s="35">
        <f>SUMIFS(G868:G9015,K868:K9015,"0",B868:B9015,"1 2 4 4 1 12 31111 6 M59 60100 000132 0000R 00002 00541 015 2222100*")</f>
        <v>0</v>
      </c>
      <c r="H867" s="35">
        <f t="shared" si="13"/>
        <v>713500</v>
      </c>
      <c r="I867" s="35"/>
      <c r="K867" t="s">
        <v>15</v>
      </c>
    </row>
    <row r="868" spans="2:11" ht="33" x14ac:dyDescent="0.2">
      <c r="B868" s="33" t="s">
        <v>1276</v>
      </c>
      <c r="C868" s="33" t="s">
        <v>660</v>
      </c>
      <c r="D868" s="35">
        <f>SUMIFS(D869:D9015,K869:K9015,"0",B869:B9015,"1 2 4 4 1 12 31111 6 M59 60100 000132 0000R 00002 00541 015 2222100 2024*")-SUMIFS(E869:E9015,K869:K9015,"0",B869:B9015,"1 2 4 4 1 12 31111 6 M59 60100 000132 0000R 00002 00541 015 2222100 2024*")</f>
        <v>0</v>
      </c>
      <c r="E868"/>
      <c r="F868" s="35">
        <f>SUMIFS(F869:F9015,K869:K9015,"0",B869:B9015,"1 2 4 4 1 12 31111 6 M59 60100 000132 0000R 00002 00541 015 2222100 2024*")</f>
        <v>713500</v>
      </c>
      <c r="G868" s="35">
        <f>SUMIFS(G869:G9015,K869:K9015,"0",B869:B9015,"1 2 4 4 1 12 31111 6 M59 60100 000132 0000R 00002 00541 015 2222100 2024*")</f>
        <v>0</v>
      </c>
      <c r="H868" s="35">
        <f t="shared" si="13"/>
        <v>713500</v>
      </c>
      <c r="I868" s="35"/>
      <c r="K868" t="s">
        <v>15</v>
      </c>
    </row>
    <row r="869" spans="2:11" ht="41.25" x14ac:dyDescent="0.2">
      <c r="B869" s="33" t="s">
        <v>1277</v>
      </c>
      <c r="C869" s="33" t="s">
        <v>1056</v>
      </c>
      <c r="D869" s="35">
        <f>SUMIFS(D870:D9015,K870:K9015,"0",B870:B9015,"1 2 4 4 1 12 31111 6 M59 60100 000132 0000R 00002 00541 015 2222100 2024 CP1DM394*")-SUMIFS(E870:E9015,K870:K9015,"0",B870:B9015,"1 2 4 4 1 12 31111 6 M59 60100 000132 0000R 00002 00541 015 2222100 2024 CP1DM394*")</f>
        <v>0</v>
      </c>
      <c r="E869"/>
      <c r="F869" s="35">
        <f>SUMIFS(F870:F9015,K870:K9015,"0",B870:B9015,"1 2 4 4 1 12 31111 6 M59 60100 000132 0000R 00002 00541 015 2222100 2024 CP1DM394*")</f>
        <v>713500</v>
      </c>
      <c r="G869" s="35">
        <f>SUMIFS(G870:G9015,K870:K9015,"0",B870:B9015,"1 2 4 4 1 12 31111 6 M59 60100 000132 0000R 00002 00541 015 2222100 2024 CP1DM394*")</f>
        <v>0</v>
      </c>
      <c r="H869" s="35">
        <f t="shared" si="13"/>
        <v>713500</v>
      </c>
      <c r="I869" s="35"/>
      <c r="K869" t="s">
        <v>15</v>
      </c>
    </row>
    <row r="870" spans="2:11" ht="41.25" x14ac:dyDescent="0.2">
      <c r="B870" s="33" t="s">
        <v>1278</v>
      </c>
      <c r="C870" s="33" t="s">
        <v>282</v>
      </c>
      <c r="D870" s="35">
        <f>SUMIFS(D871:D9015,K871:K9015,"0",B871:B9015,"1 2 4 4 1 12 31111 6 M59 60100 000132 0000R 00002 00541 015 2222100 2024 CP1DM394 001*")-SUMIFS(E871:E9015,K871:K9015,"0",B871:B9015,"1 2 4 4 1 12 31111 6 M59 60100 000132 0000R 00002 00541 015 2222100 2024 CP1DM394 001*")</f>
        <v>0</v>
      </c>
      <c r="E870"/>
      <c r="F870" s="35">
        <f>SUMIFS(F871:F9015,K871:K9015,"0",B871:B9015,"1 2 4 4 1 12 31111 6 M59 60100 000132 0000R 00002 00541 015 2222100 2024 CP1DM394 001*")</f>
        <v>713500</v>
      </c>
      <c r="G870" s="35">
        <f>SUMIFS(G871:G9015,K871:K9015,"0",B871:B9015,"1 2 4 4 1 12 31111 6 M59 60100 000132 0000R 00002 00541 015 2222100 2024 CP1DM394 001*")</f>
        <v>0</v>
      </c>
      <c r="H870" s="35">
        <f t="shared" si="13"/>
        <v>713500</v>
      </c>
      <c r="I870" s="35"/>
      <c r="K870" t="s">
        <v>15</v>
      </c>
    </row>
    <row r="871" spans="2:11" ht="41.25" x14ac:dyDescent="0.2">
      <c r="B871" s="31" t="s">
        <v>1279</v>
      </c>
      <c r="C871" s="31" t="s">
        <v>1251</v>
      </c>
      <c r="D871" s="34">
        <v>0</v>
      </c>
      <c r="E871" s="34"/>
      <c r="F871" s="34">
        <v>713500</v>
      </c>
      <c r="G871" s="34">
        <v>0</v>
      </c>
      <c r="H871" s="34">
        <f t="shared" si="13"/>
        <v>713500</v>
      </c>
      <c r="I871" s="34"/>
      <c r="K871" t="s">
        <v>38</v>
      </c>
    </row>
    <row r="872" spans="2:11" ht="16.5" x14ac:dyDescent="0.2">
      <c r="B872" s="33" t="s">
        <v>1280</v>
      </c>
      <c r="C872" s="33" t="s">
        <v>1281</v>
      </c>
      <c r="D872" s="35">
        <f>SUMIFS(D873:D9015,K873:K9015,"0",B873:B9015,"1 2 4 5*")-SUMIFS(E873:E9015,K873:K9015,"0",B873:B9015,"1 2 4 5*")</f>
        <v>42624.959999999999</v>
      </c>
      <c r="E872"/>
      <c r="F872" s="35">
        <f>SUMIFS(F873:F9015,K873:K9015,"0",B873:B9015,"1 2 4 5*")</f>
        <v>0</v>
      </c>
      <c r="G872" s="35">
        <f>SUMIFS(G873:G9015,K873:K9015,"0",B873:B9015,"1 2 4 5*")</f>
        <v>42624.959999999999</v>
      </c>
      <c r="H872" s="35">
        <f t="shared" si="13"/>
        <v>0</v>
      </c>
      <c r="I872" s="35"/>
      <c r="K872" t="s">
        <v>15</v>
      </c>
    </row>
    <row r="873" spans="2:11" ht="16.5" x14ac:dyDescent="0.2">
      <c r="B873" s="33" t="s">
        <v>1282</v>
      </c>
      <c r="C873" s="33" t="s">
        <v>1281</v>
      </c>
      <c r="D873" s="35">
        <f>SUMIFS(D874:D9015,K874:K9015,"0",B874:B9015,"1 2 4 5 1*")-SUMIFS(E874:E9015,K874:K9015,"0",B874:B9015,"1 2 4 5 1*")</f>
        <v>42624.959999999999</v>
      </c>
      <c r="E873"/>
      <c r="F873" s="35">
        <f>SUMIFS(F874:F9015,K874:K9015,"0",B874:B9015,"1 2 4 5 1*")</f>
        <v>0</v>
      </c>
      <c r="G873" s="35">
        <f>SUMIFS(G874:G9015,K874:K9015,"0",B874:B9015,"1 2 4 5 1*")</f>
        <v>42624.959999999999</v>
      </c>
      <c r="H873" s="35">
        <f t="shared" si="13"/>
        <v>0</v>
      </c>
      <c r="I873" s="35"/>
      <c r="K873" t="s">
        <v>15</v>
      </c>
    </row>
    <row r="874" spans="2:11" ht="12.75" x14ac:dyDescent="0.2">
      <c r="B874" s="33" t="s">
        <v>1283</v>
      </c>
      <c r="C874" s="33" t="s">
        <v>26</v>
      </c>
      <c r="D874" s="35">
        <f>SUMIFS(D875:D9015,K875:K9015,"0",B875:B9015,"1 2 4 5 1 12*")-SUMIFS(E875:E9015,K875:K9015,"0",B875:B9015,"1 2 4 5 1 12*")</f>
        <v>42624.959999999999</v>
      </c>
      <c r="E874"/>
      <c r="F874" s="35">
        <f>SUMIFS(F875:F9015,K875:K9015,"0",B875:B9015,"1 2 4 5 1 12*")</f>
        <v>0</v>
      </c>
      <c r="G874" s="35">
        <f>SUMIFS(G875:G9015,K875:K9015,"0",B875:B9015,"1 2 4 5 1 12*")</f>
        <v>42624.959999999999</v>
      </c>
      <c r="H874" s="35">
        <f t="shared" si="13"/>
        <v>0</v>
      </c>
      <c r="I874" s="35"/>
      <c r="K874" t="s">
        <v>15</v>
      </c>
    </row>
    <row r="875" spans="2:11" ht="16.5" x14ac:dyDescent="0.2">
      <c r="B875" s="33" t="s">
        <v>1284</v>
      </c>
      <c r="C875" s="33" t="s">
        <v>28</v>
      </c>
      <c r="D875" s="35">
        <f>SUMIFS(D876:D9015,K876:K9015,"0",B876:B9015,"1 2 4 5 1 12 31111*")-SUMIFS(E876:E9015,K876:K9015,"0",B876:B9015,"1 2 4 5 1 12 31111*")</f>
        <v>42624.959999999999</v>
      </c>
      <c r="E875"/>
      <c r="F875" s="35">
        <f>SUMIFS(F876:F9015,K876:K9015,"0",B876:B9015,"1 2 4 5 1 12 31111*")</f>
        <v>0</v>
      </c>
      <c r="G875" s="35">
        <f>SUMIFS(G876:G9015,K876:K9015,"0",B876:B9015,"1 2 4 5 1 12 31111*")</f>
        <v>42624.959999999999</v>
      </c>
      <c r="H875" s="35">
        <f t="shared" si="13"/>
        <v>0</v>
      </c>
      <c r="I875" s="35"/>
      <c r="K875" t="s">
        <v>15</v>
      </c>
    </row>
    <row r="876" spans="2:11" ht="12.75" x14ac:dyDescent="0.2">
      <c r="B876" s="33" t="s">
        <v>1285</v>
      </c>
      <c r="C876" s="33" t="s">
        <v>30</v>
      </c>
      <c r="D876" s="35">
        <f>SUMIFS(D877:D9015,K877:K9015,"0",B877:B9015,"1 2 4 5 1 12 31111 6*")-SUMIFS(E877:E9015,K877:K9015,"0",B877:B9015,"1 2 4 5 1 12 31111 6*")</f>
        <v>42624.959999999999</v>
      </c>
      <c r="E876"/>
      <c r="F876" s="35">
        <f>SUMIFS(F877:F9015,K877:K9015,"0",B877:B9015,"1 2 4 5 1 12 31111 6*")</f>
        <v>0</v>
      </c>
      <c r="G876" s="35">
        <f>SUMIFS(G877:G9015,K877:K9015,"0",B877:B9015,"1 2 4 5 1 12 31111 6*")</f>
        <v>42624.959999999999</v>
      </c>
      <c r="H876" s="35">
        <f t="shared" si="13"/>
        <v>0</v>
      </c>
      <c r="I876" s="35"/>
      <c r="K876" t="s">
        <v>15</v>
      </c>
    </row>
    <row r="877" spans="2:11" ht="16.5" x14ac:dyDescent="0.2">
      <c r="B877" s="33" t="s">
        <v>1286</v>
      </c>
      <c r="C877" s="33" t="s">
        <v>32</v>
      </c>
      <c r="D877" s="35">
        <f>SUMIFS(D878:D9015,K878:K9015,"0",B878:B9015,"1 2 4 5 1 12 31111 6 M59*")-SUMIFS(E878:E9015,K878:K9015,"0",B878:B9015,"1 2 4 5 1 12 31111 6 M59*")</f>
        <v>42624.959999999999</v>
      </c>
      <c r="E877"/>
      <c r="F877" s="35">
        <f>SUMIFS(F878:F9015,K878:K9015,"0",B878:B9015,"1 2 4 5 1 12 31111 6 M59*")</f>
        <v>0</v>
      </c>
      <c r="G877" s="35">
        <f>SUMIFS(G878:G9015,K878:K9015,"0",B878:B9015,"1 2 4 5 1 12 31111 6 M59*")</f>
        <v>42624.959999999999</v>
      </c>
      <c r="H877" s="35">
        <f t="shared" si="13"/>
        <v>0</v>
      </c>
      <c r="I877" s="35"/>
      <c r="K877" t="s">
        <v>15</v>
      </c>
    </row>
    <row r="878" spans="2:11" ht="16.5" x14ac:dyDescent="0.2">
      <c r="B878" s="33" t="s">
        <v>1287</v>
      </c>
      <c r="C878" s="33" t="s">
        <v>34</v>
      </c>
      <c r="D878" s="35">
        <f>SUMIFS(D879:D9015,K879:K9015,"0",B879:B9015,"1 2 4 5 1 12 31111 6 M59 00001*")-SUMIFS(E879:E9015,K879:K9015,"0",B879:B9015,"1 2 4 5 1 12 31111 6 M59 00001*")</f>
        <v>18778.96</v>
      </c>
      <c r="E878"/>
      <c r="F878" s="35">
        <f>SUMIFS(F879:F9015,K879:K9015,"0",B879:B9015,"1 2 4 5 1 12 31111 6 M59 00001*")</f>
        <v>0</v>
      </c>
      <c r="G878" s="35">
        <f>SUMIFS(G879:G9015,K879:K9015,"0",B879:B9015,"1 2 4 5 1 12 31111 6 M59 00001*")</f>
        <v>42624.959999999999</v>
      </c>
      <c r="H878" s="35">
        <f t="shared" si="13"/>
        <v>-23846</v>
      </c>
      <c r="I878" s="35"/>
      <c r="K878" t="s">
        <v>15</v>
      </c>
    </row>
    <row r="879" spans="2:11" ht="16.5" x14ac:dyDescent="0.2">
      <c r="B879" s="31" t="s">
        <v>1288</v>
      </c>
      <c r="C879" s="31" t="s">
        <v>203</v>
      </c>
      <c r="D879" s="34">
        <v>18778.96</v>
      </c>
      <c r="E879" s="34"/>
      <c r="F879" s="34">
        <v>0</v>
      </c>
      <c r="G879" s="34">
        <v>42624.959999999999</v>
      </c>
      <c r="H879" s="34">
        <f t="shared" si="13"/>
        <v>-23846</v>
      </c>
      <c r="I879" s="34"/>
      <c r="K879" t="s">
        <v>38</v>
      </c>
    </row>
    <row r="880" spans="2:11" ht="24.75" x14ac:dyDescent="0.2">
      <c r="B880" s="33" t="s">
        <v>1289</v>
      </c>
      <c r="C880" s="33" t="s">
        <v>40</v>
      </c>
      <c r="D880" s="35">
        <f>SUMIFS(D881:D9015,K881:K9015,"0",B881:B9015,"1 2 4 5 1 12 31111 6 M59 00003*")-SUMIFS(E881:E9015,K881:K9015,"0",B881:B9015,"1 2 4 5 1 12 31111 6 M59 00003*")</f>
        <v>23846</v>
      </c>
      <c r="E880"/>
      <c r="F880" s="35">
        <f>SUMIFS(F881:F9015,K881:K9015,"0",B881:B9015,"1 2 4 5 1 12 31111 6 M59 00003*")</f>
        <v>0</v>
      </c>
      <c r="G880" s="35">
        <f>SUMIFS(G881:G9015,K881:K9015,"0",B881:B9015,"1 2 4 5 1 12 31111 6 M59 00003*")</f>
        <v>0</v>
      </c>
      <c r="H880" s="35">
        <f t="shared" si="13"/>
        <v>23846</v>
      </c>
      <c r="I880" s="35"/>
      <c r="K880" t="s">
        <v>15</v>
      </c>
    </row>
    <row r="881" spans="2:11" ht="16.5" x14ac:dyDescent="0.2">
      <c r="B881" s="33" t="s">
        <v>1290</v>
      </c>
      <c r="C881" s="33" t="s">
        <v>42</v>
      </c>
      <c r="D881" s="35">
        <f>SUMIFS(D882:D9015,K882:K9015,"0",B882:B9015,"1 2 4 5 1 12 31111 6 M59 00003 000001*")-SUMIFS(E882:E9015,K882:K9015,"0",B882:B9015,"1 2 4 5 1 12 31111 6 M59 00003 000001*")</f>
        <v>23846</v>
      </c>
      <c r="E881"/>
      <c r="F881" s="35">
        <f>SUMIFS(F882:F9015,K882:K9015,"0",B882:B9015,"1 2 4 5 1 12 31111 6 M59 00003 000001*")</f>
        <v>0</v>
      </c>
      <c r="G881" s="35">
        <f>SUMIFS(G882:G9015,K882:K9015,"0",B882:B9015,"1 2 4 5 1 12 31111 6 M59 00003 000001*")</f>
        <v>0</v>
      </c>
      <c r="H881" s="35">
        <f t="shared" si="13"/>
        <v>23846</v>
      </c>
      <c r="I881" s="35"/>
      <c r="K881" t="s">
        <v>15</v>
      </c>
    </row>
    <row r="882" spans="2:11" ht="16.5" x14ac:dyDescent="0.2">
      <c r="B882" s="31" t="s">
        <v>1291</v>
      </c>
      <c r="C882" s="31" t="s">
        <v>274</v>
      </c>
      <c r="D882" s="34">
        <v>23846</v>
      </c>
      <c r="E882" s="34"/>
      <c r="F882" s="34">
        <v>0</v>
      </c>
      <c r="G882" s="34">
        <v>0</v>
      </c>
      <c r="H882" s="34">
        <f t="shared" si="13"/>
        <v>23846</v>
      </c>
      <c r="I882" s="34"/>
      <c r="K882" t="s">
        <v>38</v>
      </c>
    </row>
    <row r="883" spans="2:11" ht="16.5" x14ac:dyDescent="0.2">
      <c r="B883" s="33" t="s">
        <v>1292</v>
      </c>
      <c r="C883" s="33" t="s">
        <v>1293</v>
      </c>
      <c r="D883" s="35">
        <f>SUMIFS(D884:D9015,K884:K9015,"0",B884:B9015,"1 2 4 6*")-SUMIFS(E884:E9015,K884:K9015,"0",B884:B9015,"1 2 4 6*")</f>
        <v>2011463.42</v>
      </c>
      <c r="E883"/>
      <c r="F883" s="35">
        <f>SUMIFS(F884:F9015,K884:K9015,"0",B884:B9015,"1 2 4 6*")</f>
        <v>9500</v>
      </c>
      <c r="G883" s="35">
        <f>SUMIFS(G884:G9015,K884:K9015,"0",B884:B9015,"1 2 4 6*")</f>
        <v>840546.55</v>
      </c>
      <c r="H883" s="35">
        <f t="shared" si="13"/>
        <v>1180416.8699999999</v>
      </c>
      <c r="I883" s="35"/>
      <c r="K883" t="s">
        <v>15</v>
      </c>
    </row>
    <row r="884" spans="2:11" ht="16.5" x14ac:dyDescent="0.2">
      <c r="B884" s="33" t="s">
        <v>1294</v>
      </c>
      <c r="C884" s="33" t="s">
        <v>1295</v>
      </c>
      <c r="D884" s="35">
        <f>SUMIFS(D885:D9015,K885:K9015,"0",B885:B9015,"1 2 4 6 1*")-SUMIFS(E885:E9015,K885:K9015,"0",B885:B9015,"1 2 4 6 1*")</f>
        <v>167184.94</v>
      </c>
      <c r="E884"/>
      <c r="F884" s="35">
        <f>SUMIFS(F885:F9015,K885:K9015,"0",B885:B9015,"1 2 4 6 1*")</f>
        <v>9500</v>
      </c>
      <c r="G884" s="35">
        <f>SUMIFS(G885:G9015,K885:K9015,"0",B885:B9015,"1 2 4 6 1*")</f>
        <v>0</v>
      </c>
      <c r="H884" s="35">
        <f t="shared" si="13"/>
        <v>176684.94</v>
      </c>
      <c r="I884" s="35"/>
      <c r="K884" t="s">
        <v>15</v>
      </c>
    </row>
    <row r="885" spans="2:11" ht="12.75" x14ac:dyDescent="0.2">
      <c r="B885" s="33" t="s">
        <v>1296</v>
      </c>
      <c r="C885" s="33" t="s">
        <v>26</v>
      </c>
      <c r="D885" s="35">
        <f>SUMIFS(D886:D9015,K886:K9015,"0",B886:B9015,"1 2 4 6 1 12*")-SUMIFS(E886:E9015,K886:K9015,"0",B886:B9015,"1 2 4 6 1 12*")</f>
        <v>167184.94</v>
      </c>
      <c r="E885"/>
      <c r="F885" s="35">
        <f>SUMIFS(F886:F9015,K886:K9015,"0",B886:B9015,"1 2 4 6 1 12*")</f>
        <v>9500</v>
      </c>
      <c r="G885" s="35">
        <f>SUMIFS(G886:G9015,K886:K9015,"0",B886:B9015,"1 2 4 6 1 12*")</f>
        <v>0</v>
      </c>
      <c r="H885" s="35">
        <f t="shared" si="13"/>
        <v>176684.94</v>
      </c>
      <c r="I885" s="35"/>
      <c r="K885" t="s">
        <v>15</v>
      </c>
    </row>
    <row r="886" spans="2:11" ht="16.5" x14ac:dyDescent="0.2">
      <c r="B886" s="33" t="s">
        <v>1297</v>
      </c>
      <c r="C886" s="33" t="s">
        <v>28</v>
      </c>
      <c r="D886" s="35">
        <f>SUMIFS(D887:D9015,K887:K9015,"0",B887:B9015,"1 2 4 6 1 12 31111*")-SUMIFS(E887:E9015,K887:K9015,"0",B887:B9015,"1 2 4 6 1 12 31111*")</f>
        <v>167184.94</v>
      </c>
      <c r="E886"/>
      <c r="F886" s="35">
        <f>SUMIFS(F887:F9015,K887:K9015,"0",B887:B9015,"1 2 4 6 1 12 31111*")</f>
        <v>9500</v>
      </c>
      <c r="G886" s="35">
        <f>SUMIFS(G887:G9015,K887:K9015,"0",B887:B9015,"1 2 4 6 1 12 31111*")</f>
        <v>0</v>
      </c>
      <c r="H886" s="35">
        <f t="shared" si="13"/>
        <v>176684.94</v>
      </c>
      <c r="I886" s="35"/>
      <c r="K886" t="s">
        <v>15</v>
      </c>
    </row>
    <row r="887" spans="2:11" ht="12.75" x14ac:dyDescent="0.2">
      <c r="B887" s="33" t="s">
        <v>1298</v>
      </c>
      <c r="C887" s="33" t="s">
        <v>30</v>
      </c>
      <c r="D887" s="35">
        <f>SUMIFS(D888:D9015,K888:K9015,"0",B888:B9015,"1 2 4 6 1 12 31111 6*")-SUMIFS(E888:E9015,K888:K9015,"0",B888:B9015,"1 2 4 6 1 12 31111 6*")</f>
        <v>167184.94</v>
      </c>
      <c r="E887"/>
      <c r="F887" s="35">
        <f>SUMIFS(F888:F9015,K888:K9015,"0",B888:B9015,"1 2 4 6 1 12 31111 6*")</f>
        <v>9500</v>
      </c>
      <c r="G887" s="35">
        <f>SUMIFS(G888:G9015,K888:K9015,"0",B888:B9015,"1 2 4 6 1 12 31111 6*")</f>
        <v>0</v>
      </c>
      <c r="H887" s="35">
        <f t="shared" si="13"/>
        <v>176684.94</v>
      </c>
      <c r="I887" s="35"/>
      <c r="K887" t="s">
        <v>15</v>
      </c>
    </row>
    <row r="888" spans="2:11" ht="16.5" x14ac:dyDescent="0.2">
      <c r="B888" s="33" t="s">
        <v>1299</v>
      </c>
      <c r="C888" s="33" t="s">
        <v>32</v>
      </c>
      <c r="D888" s="35">
        <f>SUMIFS(D889:D9015,K889:K9015,"0",B889:B9015,"1 2 4 6 1 12 31111 6 M59*")-SUMIFS(E889:E9015,K889:K9015,"0",B889:B9015,"1 2 4 6 1 12 31111 6 M59*")</f>
        <v>167184.94</v>
      </c>
      <c r="E888"/>
      <c r="F888" s="35">
        <f>SUMIFS(F889:F9015,K889:K9015,"0",B889:B9015,"1 2 4 6 1 12 31111 6 M59*")</f>
        <v>9500</v>
      </c>
      <c r="G888" s="35">
        <f>SUMIFS(G889:G9015,K889:K9015,"0",B889:B9015,"1 2 4 6 1 12 31111 6 M59*")</f>
        <v>0</v>
      </c>
      <c r="H888" s="35">
        <f t="shared" si="13"/>
        <v>176684.94</v>
      </c>
      <c r="I888" s="35"/>
      <c r="K888" t="s">
        <v>15</v>
      </c>
    </row>
    <row r="889" spans="2:11" ht="16.5" x14ac:dyDescent="0.2">
      <c r="B889" s="33" t="s">
        <v>1300</v>
      </c>
      <c r="C889" s="33" t="s">
        <v>282</v>
      </c>
      <c r="D889" s="35">
        <f>SUMIFS(D890:D9015,K890:K9015,"0",B890:B9015,"1 2 4 6 1 12 31111 6 M59 00001*")-SUMIFS(E890:E9015,K890:K9015,"0",B890:B9015,"1 2 4 6 1 12 31111 6 M59 00001*")</f>
        <v>165253.79999999999</v>
      </c>
      <c r="E889"/>
      <c r="F889" s="35">
        <f>SUMIFS(F890:F9015,K890:K9015,"0",B890:B9015,"1 2 4 6 1 12 31111 6 M59 00001*")</f>
        <v>0</v>
      </c>
      <c r="G889" s="35">
        <f>SUMIFS(G890:G9015,K890:K9015,"0",B890:B9015,"1 2 4 6 1 12 31111 6 M59 00001*")</f>
        <v>0</v>
      </c>
      <c r="H889" s="35">
        <f t="shared" si="13"/>
        <v>165253.79999999999</v>
      </c>
      <c r="I889" s="35"/>
      <c r="K889" t="s">
        <v>15</v>
      </c>
    </row>
    <row r="890" spans="2:11" ht="16.5" x14ac:dyDescent="0.2">
      <c r="B890" s="31" t="s">
        <v>1301</v>
      </c>
      <c r="C890" s="31" t="s">
        <v>203</v>
      </c>
      <c r="D890" s="34">
        <v>10243</v>
      </c>
      <c r="E890" s="34"/>
      <c r="F890" s="34">
        <v>0</v>
      </c>
      <c r="G890" s="34">
        <v>0</v>
      </c>
      <c r="H890" s="34">
        <f t="shared" si="13"/>
        <v>10243</v>
      </c>
      <c r="I890" s="34"/>
      <c r="K890" t="s">
        <v>38</v>
      </c>
    </row>
    <row r="891" spans="2:11" ht="16.5" x14ac:dyDescent="0.2">
      <c r="B891" s="31" t="s">
        <v>1302</v>
      </c>
      <c r="C891" s="31" t="s">
        <v>1303</v>
      </c>
      <c r="D891" s="34">
        <v>155010.79999999999</v>
      </c>
      <c r="E891" s="34"/>
      <c r="F891" s="34">
        <v>0</v>
      </c>
      <c r="G891" s="34">
        <v>0</v>
      </c>
      <c r="H891" s="34">
        <f t="shared" si="13"/>
        <v>155010.79999999999</v>
      </c>
      <c r="I891" s="34"/>
      <c r="K891" t="s">
        <v>38</v>
      </c>
    </row>
    <row r="892" spans="2:11" ht="24.75" x14ac:dyDescent="0.2">
      <c r="B892" s="33" t="s">
        <v>1304</v>
      </c>
      <c r="C892" s="33" t="s">
        <v>40</v>
      </c>
      <c r="D892" s="35">
        <f>SUMIFS(D893:D9015,K893:K9015,"0",B893:B9015,"1 2 4 6 1 12 31111 6 M59 00003*")-SUMIFS(E893:E9015,K893:K9015,"0",B893:B9015,"1 2 4 6 1 12 31111 6 M59 00003*")</f>
        <v>1931.14</v>
      </c>
      <c r="E892"/>
      <c r="F892" s="35">
        <f>SUMIFS(F893:F9015,K893:K9015,"0",B893:B9015,"1 2 4 6 1 12 31111 6 M59 00003*")</f>
        <v>0</v>
      </c>
      <c r="G892" s="35">
        <f>SUMIFS(G893:G9015,K893:K9015,"0",B893:B9015,"1 2 4 6 1 12 31111 6 M59 00003*")</f>
        <v>0</v>
      </c>
      <c r="H892" s="35">
        <f t="shared" si="13"/>
        <v>1931.14</v>
      </c>
      <c r="I892" s="35"/>
      <c r="K892" t="s">
        <v>15</v>
      </c>
    </row>
    <row r="893" spans="2:11" ht="16.5" x14ac:dyDescent="0.2">
      <c r="B893" s="33" t="s">
        <v>1305</v>
      </c>
      <c r="C893" s="33" t="s">
        <v>42</v>
      </c>
      <c r="D893" s="35">
        <f>SUMIFS(D894:D9015,K894:K9015,"0",B894:B9015,"1 2 4 6 1 12 31111 6 M59 00003 000001*")-SUMIFS(E894:E9015,K894:K9015,"0",B894:B9015,"1 2 4 6 1 12 31111 6 M59 00003 000001*")</f>
        <v>1931.14</v>
      </c>
      <c r="E893"/>
      <c r="F893" s="35">
        <f>SUMIFS(F894:F9015,K894:K9015,"0",B894:B9015,"1 2 4 6 1 12 31111 6 M59 00003 000001*")</f>
        <v>0</v>
      </c>
      <c r="G893" s="35">
        <f>SUMIFS(G894:G9015,K894:K9015,"0",B894:B9015,"1 2 4 6 1 12 31111 6 M59 00003 000001*")</f>
        <v>0</v>
      </c>
      <c r="H893" s="35">
        <f t="shared" si="13"/>
        <v>1931.14</v>
      </c>
      <c r="I893" s="35"/>
      <c r="K893" t="s">
        <v>15</v>
      </c>
    </row>
    <row r="894" spans="2:11" ht="16.5" x14ac:dyDescent="0.2">
      <c r="B894" s="31" t="s">
        <v>1306</v>
      </c>
      <c r="C894" s="31" t="s">
        <v>274</v>
      </c>
      <c r="D894" s="34">
        <v>1931.14</v>
      </c>
      <c r="E894" s="34"/>
      <c r="F894" s="34">
        <v>0</v>
      </c>
      <c r="G894" s="34">
        <v>0</v>
      </c>
      <c r="H894" s="34">
        <f t="shared" si="13"/>
        <v>1931.14</v>
      </c>
      <c r="I894" s="34"/>
      <c r="K894" t="s">
        <v>38</v>
      </c>
    </row>
    <row r="895" spans="2:11" ht="16.5" x14ac:dyDescent="0.2">
      <c r="B895" s="33" t="s">
        <v>1307</v>
      </c>
      <c r="C895" s="33" t="s">
        <v>1308</v>
      </c>
      <c r="D895" s="35">
        <f>SUMIFS(D896:D9015,K896:K9015,"0",B896:B9015,"1 2 4 6 1 12 31111 6 M59 96300*")-SUMIFS(E896:E9015,K896:K9015,"0",B896:B9015,"1 2 4 6 1 12 31111 6 M59 96300*")</f>
        <v>0</v>
      </c>
      <c r="E895"/>
      <c r="F895" s="35">
        <f>SUMIFS(F896:F9015,K896:K9015,"0",B896:B9015,"1 2 4 6 1 12 31111 6 M59 96300*")</f>
        <v>9500</v>
      </c>
      <c r="G895" s="35">
        <f>SUMIFS(G896:G9015,K896:K9015,"0",B896:B9015,"1 2 4 6 1 12 31111 6 M59 96300*")</f>
        <v>0</v>
      </c>
      <c r="H895" s="35">
        <f t="shared" si="13"/>
        <v>9500</v>
      </c>
      <c r="I895" s="35"/>
      <c r="K895" t="s">
        <v>15</v>
      </c>
    </row>
    <row r="896" spans="2:11" ht="16.5" x14ac:dyDescent="0.2">
      <c r="B896" s="33" t="s">
        <v>1309</v>
      </c>
      <c r="C896" s="33" t="s">
        <v>1310</v>
      </c>
      <c r="D896" s="35">
        <f>SUMIFS(D897:D9015,K897:K9015,"0",B897:B9015,"1 2 4 6 1 12 31111 6 M59 96300 000211*")-SUMIFS(E897:E9015,K897:K9015,"0",B897:B9015,"1 2 4 6 1 12 31111 6 M59 96300 000211*")</f>
        <v>0</v>
      </c>
      <c r="E896"/>
      <c r="F896" s="35">
        <f>SUMIFS(F897:F9015,K897:K9015,"0",B897:B9015,"1 2 4 6 1 12 31111 6 M59 96300 000211*")</f>
        <v>9500</v>
      </c>
      <c r="G896" s="35">
        <f>SUMIFS(G897:G9015,K897:K9015,"0",B897:B9015,"1 2 4 6 1 12 31111 6 M59 96300 000211*")</f>
        <v>0</v>
      </c>
      <c r="H896" s="35">
        <f t="shared" si="13"/>
        <v>9500</v>
      </c>
      <c r="I896" s="35"/>
      <c r="K896" t="s">
        <v>15</v>
      </c>
    </row>
    <row r="897" spans="2:11" ht="24.75" x14ac:dyDescent="0.2">
      <c r="B897" s="33" t="s">
        <v>1311</v>
      </c>
      <c r="C897" s="33" t="s">
        <v>1065</v>
      </c>
      <c r="D897" s="35">
        <f>SUMIFS(D898:D9015,K898:K9015,"0",B898:B9015,"1 2 4 6 1 12 31111 6 M59 96300 000211 0000E*")-SUMIFS(E898:E9015,K898:K9015,"0",B898:B9015,"1 2 4 6 1 12 31111 6 M59 96300 000211 0000E*")</f>
        <v>0</v>
      </c>
      <c r="E897"/>
      <c r="F897" s="35">
        <f>SUMIFS(F898:F9015,K898:K9015,"0",B898:B9015,"1 2 4 6 1 12 31111 6 M59 96300 000211 0000E*")</f>
        <v>9500</v>
      </c>
      <c r="G897" s="35">
        <f>SUMIFS(G898:G9015,K898:K9015,"0",B898:B9015,"1 2 4 6 1 12 31111 6 M59 96300 000211 0000E*")</f>
        <v>0</v>
      </c>
      <c r="H897" s="35">
        <f t="shared" si="13"/>
        <v>9500</v>
      </c>
      <c r="I897" s="35"/>
      <c r="K897" t="s">
        <v>15</v>
      </c>
    </row>
    <row r="898" spans="2:11" ht="24.75" x14ac:dyDescent="0.2">
      <c r="B898" s="33" t="s">
        <v>1312</v>
      </c>
      <c r="C898" s="33" t="s">
        <v>652</v>
      </c>
      <c r="D898" s="35">
        <f>SUMIFS(D899:D9015,K899:K9015,"0",B899:B9015,"1 2 4 6 1 12 31111 6 M59 96300 000211 0000E 00002*")-SUMIFS(E899:E9015,K899:K9015,"0",B899:B9015,"1 2 4 6 1 12 31111 6 M59 96300 000211 0000E 00002*")</f>
        <v>0</v>
      </c>
      <c r="E898"/>
      <c r="F898" s="35">
        <f>SUMIFS(F899:F9015,K899:K9015,"0",B899:B9015,"1 2 4 6 1 12 31111 6 M59 96300 000211 0000E 00002*")</f>
        <v>9500</v>
      </c>
      <c r="G898" s="35">
        <f>SUMIFS(G899:G9015,K899:K9015,"0",B899:B9015,"1 2 4 6 1 12 31111 6 M59 96300 000211 0000E 00002*")</f>
        <v>0</v>
      </c>
      <c r="H898" s="35">
        <f t="shared" si="13"/>
        <v>9500</v>
      </c>
      <c r="I898" s="35"/>
      <c r="K898" t="s">
        <v>15</v>
      </c>
    </row>
    <row r="899" spans="2:11" ht="24.75" x14ac:dyDescent="0.2">
      <c r="B899" s="33" t="s">
        <v>1313</v>
      </c>
      <c r="C899" s="33" t="s">
        <v>1314</v>
      </c>
      <c r="D899" s="35">
        <f>SUMIFS(D900:D9015,K900:K9015,"0",B900:B9015,"1 2 4 6 1 12 31111 6 M59 96300 000211 0000E 00002 00561*")-SUMIFS(E900:E9015,K900:K9015,"0",B900:B9015,"1 2 4 6 1 12 31111 6 M59 96300 000211 0000E 00002 00561*")</f>
        <v>0</v>
      </c>
      <c r="E899"/>
      <c r="F899" s="35">
        <f>SUMIFS(F900:F9015,K900:K9015,"0",B900:B9015,"1 2 4 6 1 12 31111 6 M59 96300 000211 0000E 00002 00561*")</f>
        <v>9500</v>
      </c>
      <c r="G899" s="35">
        <f>SUMIFS(G900:G9015,K900:K9015,"0",B900:B9015,"1 2 4 6 1 12 31111 6 M59 96300 000211 0000E 00002 00561*")</f>
        <v>0</v>
      </c>
      <c r="H899" s="35">
        <f t="shared" si="13"/>
        <v>9500</v>
      </c>
      <c r="I899" s="35"/>
      <c r="K899" t="s">
        <v>15</v>
      </c>
    </row>
    <row r="900" spans="2:11" ht="33" x14ac:dyDescent="0.2">
      <c r="B900" s="33" t="s">
        <v>1315</v>
      </c>
      <c r="C900" s="33" t="s">
        <v>1051</v>
      </c>
      <c r="D900" s="35">
        <f>SUMIFS(D901:D9015,K901:K9015,"0",B901:B9015,"1 2 4 6 1 12 31111 6 M59 96300 000211 0000E 00002 00561 015*")-SUMIFS(E901:E9015,K901:K9015,"0",B901:B9015,"1 2 4 6 1 12 31111 6 M59 96300 000211 0000E 00002 00561 015*")</f>
        <v>0</v>
      </c>
      <c r="E900"/>
      <c r="F900" s="35">
        <f>SUMIFS(F901:F9015,K901:K9015,"0",B901:B9015,"1 2 4 6 1 12 31111 6 M59 96300 000211 0000E 00002 00561 015*")</f>
        <v>9500</v>
      </c>
      <c r="G900" s="35">
        <f>SUMIFS(G901:G9015,K901:K9015,"0",B901:B9015,"1 2 4 6 1 12 31111 6 M59 96300 000211 0000E 00002 00561 015*")</f>
        <v>0</v>
      </c>
      <c r="H900" s="35">
        <f t="shared" si="13"/>
        <v>9500</v>
      </c>
      <c r="I900" s="35"/>
      <c r="K900" t="s">
        <v>15</v>
      </c>
    </row>
    <row r="901" spans="2:11" ht="33" x14ac:dyDescent="0.2">
      <c r="B901" s="33" t="s">
        <v>1316</v>
      </c>
      <c r="C901" s="33" t="s">
        <v>1317</v>
      </c>
      <c r="D901" s="35">
        <f>SUMIFS(D902:D9015,K902:K9015,"0",B902:B9015,"1 2 4 6 1 12 31111 6 M59 96300 000211 0000E 00002 00561 015 2222300*")-SUMIFS(E902:E9015,K902:K9015,"0",B902:B9015,"1 2 4 6 1 12 31111 6 M59 96300 000211 0000E 00002 00561 015 2222300*")</f>
        <v>0</v>
      </c>
      <c r="E901"/>
      <c r="F901" s="35">
        <f>SUMIFS(F902:F9015,K902:K9015,"0",B902:B9015,"1 2 4 6 1 12 31111 6 M59 96300 000211 0000E 00002 00561 015 2222300*")</f>
        <v>9500</v>
      </c>
      <c r="G901" s="35">
        <f>SUMIFS(G902:G9015,K902:K9015,"0",B902:B9015,"1 2 4 6 1 12 31111 6 M59 96300 000211 0000E 00002 00561 015 2222300*")</f>
        <v>0</v>
      </c>
      <c r="H901" s="35">
        <f t="shared" si="13"/>
        <v>9500</v>
      </c>
      <c r="I901" s="35"/>
      <c r="K901" t="s">
        <v>15</v>
      </c>
    </row>
    <row r="902" spans="2:11" ht="33" x14ac:dyDescent="0.2">
      <c r="B902" s="33" t="s">
        <v>1318</v>
      </c>
      <c r="C902" s="33" t="s">
        <v>660</v>
      </c>
      <c r="D902" s="35">
        <f>SUMIFS(D903:D9015,K903:K9015,"0",B903:B9015,"1 2 4 6 1 12 31111 6 M59 96300 000211 0000E 00002 00561 015 2222300 2024*")-SUMIFS(E903:E9015,K903:K9015,"0",B903:B9015,"1 2 4 6 1 12 31111 6 M59 96300 000211 0000E 00002 00561 015 2222300 2024*")</f>
        <v>0</v>
      </c>
      <c r="E902"/>
      <c r="F902" s="35">
        <f>SUMIFS(F903:F9015,K903:K9015,"0",B903:B9015,"1 2 4 6 1 12 31111 6 M59 96300 000211 0000E 00002 00561 015 2222300 2024*")</f>
        <v>9500</v>
      </c>
      <c r="G902" s="35">
        <f>SUMIFS(G903:G9015,K903:K9015,"0",B903:B9015,"1 2 4 6 1 12 31111 6 M59 96300 000211 0000E 00002 00561 015 2222300 2024*")</f>
        <v>0</v>
      </c>
      <c r="H902" s="35">
        <f t="shared" si="13"/>
        <v>9500</v>
      </c>
      <c r="I902" s="35"/>
      <c r="K902" t="s">
        <v>15</v>
      </c>
    </row>
    <row r="903" spans="2:11" ht="41.25" x14ac:dyDescent="0.2">
      <c r="B903" s="33" t="s">
        <v>1319</v>
      </c>
      <c r="C903" s="33" t="s">
        <v>1056</v>
      </c>
      <c r="D903" s="35">
        <f>SUMIFS(D904:D9015,K904:K9015,"0",B904:B9015,"1 2 4 6 1 12 31111 6 M59 96300 000211 0000E 00002 00561 015 2222300 2024 CP1SB396*")-SUMIFS(E904:E9015,K904:K9015,"0",B904:B9015,"1 2 4 6 1 12 31111 6 M59 96300 000211 0000E 00002 00561 015 2222300 2024 CP1SB396*")</f>
        <v>0</v>
      </c>
      <c r="E903"/>
      <c r="F903" s="35">
        <f>SUMIFS(F904:F9015,K904:K9015,"0",B904:B9015,"1 2 4 6 1 12 31111 6 M59 96300 000211 0000E 00002 00561 015 2222300 2024 CP1SB396*")</f>
        <v>9500</v>
      </c>
      <c r="G903" s="35">
        <f>SUMIFS(G904:G9015,K904:K9015,"0",B904:B9015,"1 2 4 6 1 12 31111 6 M59 96300 000211 0000E 00002 00561 015 2222300 2024 CP1SB396*")</f>
        <v>0</v>
      </c>
      <c r="H903" s="35">
        <f t="shared" si="13"/>
        <v>9500</v>
      </c>
      <c r="I903" s="35"/>
      <c r="K903" t="s">
        <v>15</v>
      </c>
    </row>
    <row r="904" spans="2:11" ht="41.25" x14ac:dyDescent="0.2">
      <c r="B904" s="33" t="s">
        <v>1320</v>
      </c>
      <c r="C904" s="33" t="s">
        <v>282</v>
      </c>
      <c r="D904" s="35">
        <f>SUMIFS(D905:D9015,K905:K9015,"0",B905:B9015,"1 2 4 6 1 12 31111 6 M59 96300 000211 0000E 00002 00561 015 2222300 2024 CP1SB396 001*")-SUMIFS(E905:E9015,K905:K9015,"0",B905:B9015,"1 2 4 6 1 12 31111 6 M59 96300 000211 0000E 00002 00561 015 2222300 2024 CP1SB396 001*")</f>
        <v>0</v>
      </c>
      <c r="E904"/>
      <c r="F904" s="35">
        <f>SUMIFS(F905:F9015,K905:K9015,"0",B905:B9015,"1 2 4 6 1 12 31111 6 M59 96300 000211 0000E 00002 00561 015 2222300 2024 CP1SB396 001*")</f>
        <v>9500</v>
      </c>
      <c r="G904" s="35">
        <f>SUMIFS(G905:G9015,K905:K9015,"0",B905:B9015,"1 2 4 6 1 12 31111 6 M59 96300 000211 0000E 00002 00561 015 2222300 2024 CP1SB396 001*")</f>
        <v>0</v>
      </c>
      <c r="H904" s="35">
        <f t="shared" si="13"/>
        <v>9500</v>
      </c>
      <c r="I904" s="35"/>
      <c r="K904" t="s">
        <v>15</v>
      </c>
    </row>
    <row r="905" spans="2:11" ht="33" x14ac:dyDescent="0.2">
      <c r="B905" s="31" t="s">
        <v>1321</v>
      </c>
      <c r="C905" s="31" t="s">
        <v>1314</v>
      </c>
      <c r="D905" s="34">
        <v>0</v>
      </c>
      <c r="E905" s="34"/>
      <c r="F905" s="34">
        <v>9500</v>
      </c>
      <c r="G905" s="34">
        <v>0</v>
      </c>
      <c r="H905" s="34">
        <f t="shared" si="13"/>
        <v>9500</v>
      </c>
      <c r="I905" s="34"/>
      <c r="K905" t="s">
        <v>38</v>
      </c>
    </row>
    <row r="906" spans="2:11" ht="16.5" x14ac:dyDescent="0.2">
      <c r="B906" s="33" t="s">
        <v>1322</v>
      </c>
      <c r="C906" s="33" t="s">
        <v>1323</v>
      </c>
      <c r="D906" s="35">
        <f>SUMIFS(D907:D9015,K907:K9015,"0",B907:B9015,"1 2 4 6 2*")-SUMIFS(E907:E9015,K907:K9015,"0",B907:B9015,"1 2 4 6 2*")</f>
        <v>130643.41</v>
      </c>
      <c r="E906"/>
      <c r="F906" s="35">
        <f>SUMIFS(F907:F9015,K907:K9015,"0",B907:B9015,"1 2 4 6 2*")</f>
        <v>0</v>
      </c>
      <c r="G906" s="35">
        <f>SUMIFS(G907:G9015,K907:K9015,"0",B907:B9015,"1 2 4 6 2*")</f>
        <v>44792.41</v>
      </c>
      <c r="H906" s="35">
        <f t="shared" si="13"/>
        <v>85851</v>
      </c>
      <c r="I906" s="35"/>
      <c r="K906" t="s">
        <v>15</v>
      </c>
    </row>
    <row r="907" spans="2:11" ht="12.75" x14ac:dyDescent="0.2">
      <c r="B907" s="33" t="s">
        <v>1324</v>
      </c>
      <c r="C907" s="33" t="s">
        <v>26</v>
      </c>
      <c r="D907" s="35">
        <f>SUMIFS(D908:D9015,K908:K9015,"0",B908:B9015,"1 2 4 6 2 12*")-SUMIFS(E908:E9015,K908:K9015,"0",B908:B9015,"1 2 4 6 2 12*")</f>
        <v>130643.41</v>
      </c>
      <c r="E907"/>
      <c r="F907" s="35">
        <f>SUMIFS(F908:F9015,K908:K9015,"0",B908:B9015,"1 2 4 6 2 12*")</f>
        <v>0</v>
      </c>
      <c r="G907" s="35">
        <f>SUMIFS(G908:G9015,K908:K9015,"0",B908:B9015,"1 2 4 6 2 12*")</f>
        <v>44792.41</v>
      </c>
      <c r="H907" s="35">
        <f t="shared" si="13"/>
        <v>85851</v>
      </c>
      <c r="I907" s="35"/>
      <c r="K907" t="s">
        <v>15</v>
      </c>
    </row>
    <row r="908" spans="2:11" ht="16.5" x14ac:dyDescent="0.2">
      <c r="B908" s="33" t="s">
        <v>1325</v>
      </c>
      <c r="C908" s="33" t="s">
        <v>28</v>
      </c>
      <c r="D908" s="35">
        <f>SUMIFS(D909:D9015,K909:K9015,"0",B909:B9015,"1 2 4 6 2 12 31111*")-SUMIFS(E909:E9015,K909:K9015,"0",B909:B9015,"1 2 4 6 2 12 31111*")</f>
        <v>130643.41</v>
      </c>
      <c r="E908"/>
      <c r="F908" s="35">
        <f>SUMIFS(F909:F9015,K909:K9015,"0",B909:B9015,"1 2 4 6 2 12 31111*")</f>
        <v>0</v>
      </c>
      <c r="G908" s="35">
        <f>SUMIFS(G909:G9015,K909:K9015,"0",B909:B9015,"1 2 4 6 2 12 31111*")</f>
        <v>44792.41</v>
      </c>
      <c r="H908" s="35">
        <f t="shared" ref="H908:H971" si="14">D908 + F908 - G908</f>
        <v>85851</v>
      </c>
      <c r="I908" s="35"/>
      <c r="K908" t="s">
        <v>15</v>
      </c>
    </row>
    <row r="909" spans="2:11" ht="12.75" x14ac:dyDescent="0.2">
      <c r="B909" s="33" t="s">
        <v>1326</v>
      </c>
      <c r="C909" s="33" t="s">
        <v>30</v>
      </c>
      <c r="D909" s="35">
        <f>SUMIFS(D910:D9015,K910:K9015,"0",B910:B9015,"1 2 4 6 2 12 31111 6*")-SUMIFS(E910:E9015,K910:K9015,"0",B910:B9015,"1 2 4 6 2 12 31111 6*")</f>
        <v>130643.41</v>
      </c>
      <c r="E909"/>
      <c r="F909" s="35">
        <f>SUMIFS(F910:F9015,K910:K9015,"0",B910:B9015,"1 2 4 6 2 12 31111 6*")</f>
        <v>0</v>
      </c>
      <c r="G909" s="35">
        <f>SUMIFS(G910:G9015,K910:K9015,"0",B910:B9015,"1 2 4 6 2 12 31111 6*")</f>
        <v>44792.41</v>
      </c>
      <c r="H909" s="35">
        <f t="shared" si="14"/>
        <v>85851</v>
      </c>
      <c r="I909" s="35"/>
      <c r="K909" t="s">
        <v>15</v>
      </c>
    </row>
    <row r="910" spans="2:11" ht="16.5" x14ac:dyDescent="0.2">
      <c r="B910" s="33" t="s">
        <v>1327</v>
      </c>
      <c r="C910" s="33" t="s">
        <v>32</v>
      </c>
      <c r="D910" s="35">
        <f>SUMIFS(D911:D9015,K911:K9015,"0",B911:B9015,"1 2 4 6 2 12 31111 6 M59*")-SUMIFS(E911:E9015,K911:K9015,"0",B911:B9015,"1 2 4 6 2 12 31111 6 M59*")</f>
        <v>130643.41</v>
      </c>
      <c r="E910"/>
      <c r="F910" s="35">
        <f>SUMIFS(F911:F9015,K911:K9015,"0",B911:B9015,"1 2 4 6 2 12 31111 6 M59*")</f>
        <v>0</v>
      </c>
      <c r="G910" s="35">
        <f>SUMIFS(G911:G9015,K911:K9015,"0",B911:B9015,"1 2 4 6 2 12 31111 6 M59*")</f>
        <v>44792.41</v>
      </c>
      <c r="H910" s="35">
        <f t="shared" si="14"/>
        <v>85851</v>
      </c>
      <c r="I910" s="35"/>
      <c r="K910" t="s">
        <v>15</v>
      </c>
    </row>
    <row r="911" spans="2:11" ht="16.5" x14ac:dyDescent="0.2">
      <c r="B911" s="33" t="s">
        <v>1328</v>
      </c>
      <c r="C911" s="33" t="s">
        <v>282</v>
      </c>
      <c r="D911" s="35">
        <f>SUMIFS(D912:D9015,K912:K9015,"0",B912:B9015,"1 2 4 6 2 12 31111 6 M59 00001*")-SUMIFS(E912:E9015,K912:K9015,"0",B912:B9015,"1 2 4 6 2 12 31111 6 M59 00001*")</f>
        <v>102792.41</v>
      </c>
      <c r="E911"/>
      <c r="F911" s="35">
        <f>SUMIFS(F912:F9015,K912:K9015,"0",B912:B9015,"1 2 4 6 2 12 31111 6 M59 00001*")</f>
        <v>0</v>
      </c>
      <c r="G911" s="35">
        <f>SUMIFS(G912:G9015,K912:K9015,"0",B912:B9015,"1 2 4 6 2 12 31111 6 M59 00001*")</f>
        <v>44792.41</v>
      </c>
      <c r="H911" s="35">
        <f t="shared" si="14"/>
        <v>58000</v>
      </c>
      <c r="I911" s="35"/>
      <c r="K911" t="s">
        <v>15</v>
      </c>
    </row>
    <row r="912" spans="2:11" ht="16.5" x14ac:dyDescent="0.2">
      <c r="B912" s="31" t="s">
        <v>1329</v>
      </c>
      <c r="C912" s="31" t="s">
        <v>1128</v>
      </c>
      <c r="D912" s="34">
        <v>7672.41</v>
      </c>
      <c r="E912" s="34"/>
      <c r="F912" s="34">
        <v>0</v>
      </c>
      <c r="G912" s="34">
        <v>0</v>
      </c>
      <c r="H912" s="34">
        <f t="shared" si="14"/>
        <v>7672.41</v>
      </c>
      <c r="I912" s="34"/>
      <c r="K912" t="s">
        <v>38</v>
      </c>
    </row>
    <row r="913" spans="2:11" ht="16.5" x14ac:dyDescent="0.2">
      <c r="B913" s="31" t="s">
        <v>1330</v>
      </c>
      <c r="C913" s="31" t="s">
        <v>1331</v>
      </c>
      <c r="D913" s="34">
        <v>58000</v>
      </c>
      <c r="E913" s="34"/>
      <c r="F913" s="34">
        <v>0</v>
      </c>
      <c r="G913" s="34">
        <v>44792.41</v>
      </c>
      <c r="H913" s="34">
        <f t="shared" si="14"/>
        <v>13207.589999999997</v>
      </c>
      <c r="I913" s="34"/>
      <c r="K913" t="s">
        <v>38</v>
      </c>
    </row>
    <row r="914" spans="2:11" ht="16.5" x14ac:dyDescent="0.2">
      <c r="B914" s="31" t="s">
        <v>1332</v>
      </c>
      <c r="C914" s="31" t="s">
        <v>1333</v>
      </c>
      <c r="D914" s="34">
        <v>37120</v>
      </c>
      <c r="E914" s="34"/>
      <c r="F914" s="34">
        <v>0</v>
      </c>
      <c r="G914" s="34">
        <v>0</v>
      </c>
      <c r="H914" s="34">
        <f t="shared" si="14"/>
        <v>37120</v>
      </c>
      <c r="I914" s="34"/>
      <c r="K914" t="s">
        <v>38</v>
      </c>
    </row>
    <row r="915" spans="2:11" ht="24.75" x14ac:dyDescent="0.2">
      <c r="B915" s="33" t="s">
        <v>1334</v>
      </c>
      <c r="C915" s="33" t="s">
        <v>40</v>
      </c>
      <c r="D915" s="35">
        <f>SUMIFS(D916:D9015,K916:K9015,"0",B916:B9015,"1 2 4 6 2 12 31111 6 M59 00003*")-SUMIFS(E916:E9015,K916:K9015,"0",B916:B9015,"1 2 4 6 2 12 31111 6 M59 00003*")</f>
        <v>27851</v>
      </c>
      <c r="E915"/>
      <c r="F915" s="35">
        <f>SUMIFS(F916:F9015,K916:K9015,"0",B916:B9015,"1 2 4 6 2 12 31111 6 M59 00003*")</f>
        <v>0</v>
      </c>
      <c r="G915" s="35">
        <f>SUMIFS(G916:G9015,K916:K9015,"0",B916:B9015,"1 2 4 6 2 12 31111 6 M59 00003*")</f>
        <v>0</v>
      </c>
      <c r="H915" s="35">
        <f t="shared" si="14"/>
        <v>27851</v>
      </c>
      <c r="I915" s="35"/>
      <c r="K915" t="s">
        <v>15</v>
      </c>
    </row>
    <row r="916" spans="2:11" ht="16.5" x14ac:dyDescent="0.2">
      <c r="B916" s="33" t="s">
        <v>1335</v>
      </c>
      <c r="C916" s="33" t="s">
        <v>42</v>
      </c>
      <c r="D916" s="35">
        <f>SUMIFS(D917:D9015,K917:K9015,"0",B917:B9015,"1 2 4 6 2 12 31111 6 M59 00003 000001*")-SUMIFS(E917:E9015,K917:K9015,"0",B917:B9015,"1 2 4 6 2 12 31111 6 M59 00003 000001*")</f>
        <v>27851</v>
      </c>
      <c r="E916"/>
      <c r="F916" s="35">
        <f>SUMIFS(F917:F9015,K917:K9015,"0",B917:B9015,"1 2 4 6 2 12 31111 6 M59 00003 000001*")</f>
        <v>0</v>
      </c>
      <c r="G916" s="35">
        <f>SUMIFS(G917:G9015,K917:K9015,"0",B917:B9015,"1 2 4 6 2 12 31111 6 M59 00003 000001*")</f>
        <v>0</v>
      </c>
      <c r="H916" s="35">
        <f t="shared" si="14"/>
        <v>27851</v>
      </c>
      <c r="I916" s="35"/>
      <c r="K916" t="s">
        <v>15</v>
      </c>
    </row>
    <row r="917" spans="2:11" ht="16.5" x14ac:dyDescent="0.2">
      <c r="B917" s="31" t="s">
        <v>1336</v>
      </c>
      <c r="C917" s="31" t="s">
        <v>274</v>
      </c>
      <c r="D917" s="34">
        <v>27851</v>
      </c>
      <c r="E917" s="34"/>
      <c r="F917" s="34">
        <v>0</v>
      </c>
      <c r="G917" s="34">
        <v>0</v>
      </c>
      <c r="H917" s="34">
        <f t="shared" si="14"/>
        <v>27851</v>
      </c>
      <c r="I917" s="34"/>
      <c r="K917" t="s">
        <v>38</v>
      </c>
    </row>
    <row r="918" spans="2:11" ht="16.5" x14ac:dyDescent="0.2">
      <c r="B918" s="33" t="s">
        <v>1337</v>
      </c>
      <c r="C918" s="33" t="s">
        <v>1338</v>
      </c>
      <c r="D918" s="35">
        <f>SUMIFS(D919:D9015,K919:K9015,"0",B919:B9015,"1 2 4 6 3*")-SUMIFS(E919:E9015,K919:K9015,"0",B919:B9015,"1 2 4 6 3*")</f>
        <v>625897.6</v>
      </c>
      <c r="E918"/>
      <c r="F918" s="35">
        <f>SUMIFS(F919:F9015,K919:K9015,"0",B919:B9015,"1 2 4 6 3*")</f>
        <v>0</v>
      </c>
      <c r="G918" s="35">
        <f>SUMIFS(G919:G9015,K919:K9015,"0",B919:B9015,"1 2 4 6 3*")</f>
        <v>625897.6</v>
      </c>
      <c r="H918" s="35">
        <f t="shared" si="14"/>
        <v>0</v>
      </c>
      <c r="I918" s="35"/>
      <c r="K918" t="s">
        <v>15</v>
      </c>
    </row>
    <row r="919" spans="2:11" ht="12.75" x14ac:dyDescent="0.2">
      <c r="B919" s="33" t="s">
        <v>1339</v>
      </c>
      <c r="C919" s="33" t="s">
        <v>26</v>
      </c>
      <c r="D919" s="35">
        <f>SUMIFS(D920:D9015,K920:K9015,"0",B920:B9015,"1 2 4 6 3 12*")-SUMIFS(E920:E9015,K920:K9015,"0",B920:B9015,"1 2 4 6 3 12*")</f>
        <v>625897.6</v>
      </c>
      <c r="E919"/>
      <c r="F919" s="35">
        <f>SUMIFS(F920:F9015,K920:K9015,"0",B920:B9015,"1 2 4 6 3 12*")</f>
        <v>0</v>
      </c>
      <c r="G919" s="35">
        <f>SUMIFS(G920:G9015,K920:K9015,"0",B920:B9015,"1 2 4 6 3 12*")</f>
        <v>625897.6</v>
      </c>
      <c r="H919" s="35">
        <f t="shared" si="14"/>
        <v>0</v>
      </c>
      <c r="I919" s="35"/>
      <c r="K919" t="s">
        <v>15</v>
      </c>
    </row>
    <row r="920" spans="2:11" ht="16.5" x14ac:dyDescent="0.2">
      <c r="B920" s="33" t="s">
        <v>1340</v>
      </c>
      <c r="C920" s="33" t="s">
        <v>28</v>
      </c>
      <c r="D920" s="35">
        <f>SUMIFS(D921:D9015,K921:K9015,"0",B921:B9015,"1 2 4 6 3 12 31111*")-SUMIFS(E921:E9015,K921:K9015,"0",B921:B9015,"1 2 4 6 3 12 31111*")</f>
        <v>625897.6</v>
      </c>
      <c r="E920"/>
      <c r="F920" s="35">
        <f>SUMIFS(F921:F9015,K921:K9015,"0",B921:B9015,"1 2 4 6 3 12 31111*")</f>
        <v>0</v>
      </c>
      <c r="G920" s="35">
        <f>SUMIFS(G921:G9015,K921:K9015,"0",B921:B9015,"1 2 4 6 3 12 31111*")</f>
        <v>625897.6</v>
      </c>
      <c r="H920" s="35">
        <f t="shared" si="14"/>
        <v>0</v>
      </c>
      <c r="I920" s="35"/>
      <c r="K920" t="s">
        <v>15</v>
      </c>
    </row>
    <row r="921" spans="2:11" ht="12.75" x14ac:dyDescent="0.2">
      <c r="B921" s="33" t="s">
        <v>1341</v>
      </c>
      <c r="C921" s="33" t="s">
        <v>30</v>
      </c>
      <c r="D921" s="35">
        <f>SUMIFS(D922:D9015,K922:K9015,"0",B922:B9015,"1 2 4 6 3 12 31111 6*")-SUMIFS(E922:E9015,K922:K9015,"0",B922:B9015,"1 2 4 6 3 12 31111 6*")</f>
        <v>625897.6</v>
      </c>
      <c r="E921"/>
      <c r="F921" s="35">
        <f>SUMIFS(F922:F9015,K922:K9015,"0",B922:B9015,"1 2 4 6 3 12 31111 6*")</f>
        <v>0</v>
      </c>
      <c r="G921" s="35">
        <f>SUMIFS(G922:G9015,K922:K9015,"0",B922:B9015,"1 2 4 6 3 12 31111 6*")</f>
        <v>625897.6</v>
      </c>
      <c r="H921" s="35">
        <f t="shared" si="14"/>
        <v>0</v>
      </c>
      <c r="I921" s="35"/>
      <c r="K921" t="s">
        <v>15</v>
      </c>
    </row>
    <row r="922" spans="2:11" ht="16.5" x14ac:dyDescent="0.2">
      <c r="B922" s="33" t="s">
        <v>1342</v>
      </c>
      <c r="C922" s="33" t="s">
        <v>140</v>
      </c>
      <c r="D922" s="35">
        <f>SUMIFS(D923:D9015,K923:K9015,"0",B923:B9015,"1 2 4 6 3 12 31111 6 M59*")-SUMIFS(E923:E9015,K923:K9015,"0",B923:B9015,"1 2 4 6 3 12 31111 6 M59*")</f>
        <v>625897.6</v>
      </c>
      <c r="E922"/>
      <c r="F922" s="35">
        <f>SUMIFS(F923:F9015,K923:K9015,"0",B923:B9015,"1 2 4 6 3 12 31111 6 M59*")</f>
        <v>0</v>
      </c>
      <c r="G922" s="35">
        <f>SUMIFS(G923:G9015,K923:K9015,"0",B923:B9015,"1 2 4 6 3 12 31111 6 M59*")</f>
        <v>625897.6</v>
      </c>
      <c r="H922" s="35">
        <f t="shared" si="14"/>
        <v>0</v>
      </c>
      <c r="I922" s="35"/>
      <c r="K922" t="s">
        <v>15</v>
      </c>
    </row>
    <row r="923" spans="2:11" ht="16.5" x14ac:dyDescent="0.2">
      <c r="B923" s="33" t="s">
        <v>1343</v>
      </c>
      <c r="C923" s="33" t="s">
        <v>34</v>
      </c>
      <c r="D923" s="35">
        <f>SUMIFS(D924:D9015,K924:K9015,"0",B924:B9015,"1 2 4 6 3 12 31111 6 M59 00001*")-SUMIFS(E924:E9015,K924:K9015,"0",B924:B9015,"1 2 4 6 3 12 31111 6 M59 00001*")</f>
        <v>625897.6</v>
      </c>
      <c r="E923"/>
      <c r="F923" s="35">
        <f>SUMIFS(F924:F9015,K924:K9015,"0",B924:B9015,"1 2 4 6 3 12 31111 6 M59 00001*")</f>
        <v>0</v>
      </c>
      <c r="G923" s="35">
        <f>SUMIFS(G924:G9015,K924:K9015,"0",B924:B9015,"1 2 4 6 3 12 31111 6 M59 00001*")</f>
        <v>625897.6</v>
      </c>
      <c r="H923" s="35">
        <f t="shared" si="14"/>
        <v>0</v>
      </c>
      <c r="I923" s="35"/>
      <c r="K923" t="s">
        <v>15</v>
      </c>
    </row>
    <row r="924" spans="2:11" ht="16.5" x14ac:dyDescent="0.2">
      <c r="B924" s="31" t="s">
        <v>1344</v>
      </c>
      <c r="C924" s="31" t="s">
        <v>203</v>
      </c>
      <c r="D924" s="34">
        <v>1659</v>
      </c>
      <c r="E924" s="34"/>
      <c r="F924" s="34">
        <v>0</v>
      </c>
      <c r="G924" s="34">
        <v>625897.6</v>
      </c>
      <c r="H924" s="34">
        <f t="shared" si="14"/>
        <v>-624238.6</v>
      </c>
      <c r="I924" s="34"/>
      <c r="K924" t="s">
        <v>38</v>
      </c>
    </row>
    <row r="925" spans="2:11" ht="16.5" x14ac:dyDescent="0.2">
      <c r="B925" s="31" t="s">
        <v>1345</v>
      </c>
      <c r="C925" s="31" t="s">
        <v>1346</v>
      </c>
      <c r="D925" s="34">
        <v>618000</v>
      </c>
      <c r="E925" s="34"/>
      <c r="F925" s="34">
        <v>0</v>
      </c>
      <c r="G925" s="34">
        <v>0</v>
      </c>
      <c r="H925" s="34">
        <f t="shared" si="14"/>
        <v>618000</v>
      </c>
      <c r="I925" s="34"/>
      <c r="K925" t="s">
        <v>38</v>
      </c>
    </row>
    <row r="926" spans="2:11" ht="16.5" x14ac:dyDescent="0.2">
      <c r="B926" s="31" t="s">
        <v>1347</v>
      </c>
      <c r="C926" s="31" t="s">
        <v>1348</v>
      </c>
      <c r="D926" s="34">
        <v>6238.6</v>
      </c>
      <c r="E926" s="34"/>
      <c r="F926" s="34">
        <v>0</v>
      </c>
      <c r="G926" s="34">
        <v>0</v>
      </c>
      <c r="H926" s="34">
        <f t="shared" si="14"/>
        <v>6238.6</v>
      </c>
      <c r="I926" s="34"/>
      <c r="K926" t="s">
        <v>38</v>
      </c>
    </row>
    <row r="927" spans="2:11" ht="41.25" x14ac:dyDescent="0.2">
      <c r="B927" s="33" t="s">
        <v>1349</v>
      </c>
      <c r="C927" s="33" t="s">
        <v>1350</v>
      </c>
      <c r="D927" s="35">
        <f>SUMIFS(D928:D9015,K928:K9015,"0",B928:B9015,"1 2 4 6 4*")-SUMIFS(E928:E9015,K928:K9015,"0",B928:B9015,"1 2 4 6 4*")</f>
        <v>591340.85</v>
      </c>
      <c r="E927"/>
      <c r="F927" s="35">
        <f>SUMIFS(F928:F9015,K928:K9015,"0",B928:B9015,"1 2 4 6 4*")</f>
        <v>0</v>
      </c>
      <c r="G927" s="35">
        <f>SUMIFS(G928:G9015,K928:K9015,"0",B928:B9015,"1 2 4 6 4*")</f>
        <v>69862.759999999995</v>
      </c>
      <c r="H927" s="35">
        <f t="shared" si="14"/>
        <v>521478.08999999997</v>
      </c>
      <c r="I927" s="35"/>
      <c r="K927" t="s">
        <v>15</v>
      </c>
    </row>
    <row r="928" spans="2:11" ht="12.75" x14ac:dyDescent="0.2">
      <c r="B928" s="33" t="s">
        <v>1351</v>
      </c>
      <c r="C928" s="33" t="s">
        <v>26</v>
      </c>
      <c r="D928" s="35">
        <f>SUMIFS(D929:D9015,K929:K9015,"0",B929:B9015,"1 2 4 6 4 12*")-SUMIFS(E929:E9015,K929:K9015,"0",B929:B9015,"1 2 4 6 4 12*")</f>
        <v>591340.85</v>
      </c>
      <c r="E928"/>
      <c r="F928" s="35">
        <f>SUMIFS(F929:F9015,K929:K9015,"0",B929:B9015,"1 2 4 6 4 12*")</f>
        <v>0</v>
      </c>
      <c r="G928" s="35">
        <f>SUMIFS(G929:G9015,K929:K9015,"0",B929:B9015,"1 2 4 6 4 12*")</f>
        <v>69862.759999999995</v>
      </c>
      <c r="H928" s="35">
        <f t="shared" si="14"/>
        <v>521478.08999999997</v>
      </c>
      <c r="I928" s="35"/>
      <c r="K928" t="s">
        <v>15</v>
      </c>
    </row>
    <row r="929" spans="2:11" ht="16.5" x14ac:dyDescent="0.2">
      <c r="B929" s="33" t="s">
        <v>1352</v>
      </c>
      <c r="C929" s="33" t="s">
        <v>28</v>
      </c>
      <c r="D929" s="35">
        <f>SUMIFS(D930:D9015,K930:K9015,"0",B930:B9015,"1 2 4 6 4 12 31111*")-SUMIFS(E930:E9015,K930:K9015,"0",B930:B9015,"1 2 4 6 4 12 31111*")</f>
        <v>591340.85</v>
      </c>
      <c r="E929"/>
      <c r="F929" s="35">
        <f>SUMIFS(F930:F9015,K930:K9015,"0",B930:B9015,"1 2 4 6 4 12 31111*")</f>
        <v>0</v>
      </c>
      <c r="G929" s="35">
        <f>SUMIFS(G930:G9015,K930:K9015,"0",B930:B9015,"1 2 4 6 4 12 31111*")</f>
        <v>69862.759999999995</v>
      </c>
      <c r="H929" s="35">
        <f t="shared" si="14"/>
        <v>521478.08999999997</v>
      </c>
      <c r="I929" s="35"/>
      <c r="K929" t="s">
        <v>15</v>
      </c>
    </row>
    <row r="930" spans="2:11" ht="12.75" x14ac:dyDescent="0.2">
      <c r="B930" s="33" t="s">
        <v>1353</v>
      </c>
      <c r="C930" s="33" t="s">
        <v>30</v>
      </c>
      <c r="D930" s="35">
        <f>SUMIFS(D931:D9015,K931:K9015,"0",B931:B9015,"1 2 4 6 4 12 31111 6*")-SUMIFS(E931:E9015,K931:K9015,"0",B931:B9015,"1 2 4 6 4 12 31111 6*")</f>
        <v>591340.85</v>
      </c>
      <c r="E930"/>
      <c r="F930" s="35">
        <f>SUMIFS(F931:F9015,K931:K9015,"0",B931:B9015,"1 2 4 6 4 12 31111 6*")</f>
        <v>0</v>
      </c>
      <c r="G930" s="35">
        <f>SUMIFS(G931:G9015,K931:K9015,"0",B931:B9015,"1 2 4 6 4 12 31111 6*")</f>
        <v>69862.759999999995</v>
      </c>
      <c r="H930" s="35">
        <f t="shared" si="14"/>
        <v>521478.08999999997</v>
      </c>
      <c r="I930" s="35"/>
      <c r="K930" t="s">
        <v>15</v>
      </c>
    </row>
    <row r="931" spans="2:11" ht="16.5" x14ac:dyDescent="0.2">
      <c r="B931" s="33" t="s">
        <v>1354</v>
      </c>
      <c r="C931" s="33" t="s">
        <v>32</v>
      </c>
      <c r="D931" s="35">
        <f>SUMIFS(D932:D9015,K932:K9015,"0",B932:B9015,"1 2 4 6 4 12 31111 6 M59*")-SUMIFS(E932:E9015,K932:K9015,"0",B932:B9015,"1 2 4 6 4 12 31111 6 M59*")</f>
        <v>591340.85</v>
      </c>
      <c r="E931"/>
      <c r="F931" s="35">
        <f>SUMIFS(F932:F9015,K932:K9015,"0",B932:B9015,"1 2 4 6 4 12 31111 6 M59*")</f>
        <v>0</v>
      </c>
      <c r="G931" s="35">
        <f>SUMIFS(G932:G9015,K932:K9015,"0",B932:B9015,"1 2 4 6 4 12 31111 6 M59*")</f>
        <v>69862.759999999995</v>
      </c>
      <c r="H931" s="35">
        <f t="shared" si="14"/>
        <v>521478.08999999997</v>
      </c>
      <c r="I931" s="35"/>
      <c r="K931" t="s">
        <v>15</v>
      </c>
    </row>
    <row r="932" spans="2:11" ht="16.5" x14ac:dyDescent="0.2">
      <c r="B932" s="33" t="s">
        <v>1355</v>
      </c>
      <c r="C932" s="33" t="s">
        <v>42</v>
      </c>
      <c r="D932" s="35">
        <f>SUMIFS(D933:D9015,K933:K9015,"0",B933:B9015,"1 2 4 6 4 12 31111 6 M59 00001*")-SUMIFS(E933:E9015,K933:K9015,"0",B933:B9015,"1 2 4 6 4 12 31111 6 M59 00001*")</f>
        <v>268175.68</v>
      </c>
      <c r="E932"/>
      <c r="F932" s="35">
        <f>SUMIFS(F933:F9015,K933:K9015,"0",B933:B9015,"1 2 4 6 4 12 31111 6 M59 00001*")</f>
        <v>0</v>
      </c>
      <c r="G932" s="35">
        <f>SUMIFS(G933:G9015,K933:K9015,"0",B933:B9015,"1 2 4 6 4 12 31111 6 M59 00001*")</f>
        <v>69862.759999999995</v>
      </c>
      <c r="H932" s="35">
        <f t="shared" si="14"/>
        <v>198312.91999999998</v>
      </c>
      <c r="I932" s="35"/>
      <c r="K932" t="s">
        <v>15</v>
      </c>
    </row>
    <row r="933" spans="2:11" ht="16.5" x14ac:dyDescent="0.2">
      <c r="B933" s="31" t="s">
        <v>1356</v>
      </c>
      <c r="C933" s="31" t="s">
        <v>203</v>
      </c>
      <c r="D933" s="34">
        <v>220667.68</v>
      </c>
      <c r="E933" s="34"/>
      <c r="F933" s="34">
        <v>0</v>
      </c>
      <c r="G933" s="34">
        <v>69862.759999999995</v>
      </c>
      <c r="H933" s="34">
        <f t="shared" si="14"/>
        <v>150804.91999999998</v>
      </c>
      <c r="I933" s="34"/>
      <c r="K933" t="s">
        <v>38</v>
      </c>
    </row>
    <row r="934" spans="2:11" ht="33" x14ac:dyDescent="0.2">
      <c r="B934" s="31" t="s">
        <v>1357</v>
      </c>
      <c r="C934" s="31" t="s">
        <v>984</v>
      </c>
      <c r="D934" s="34">
        <v>40790</v>
      </c>
      <c r="E934" s="34"/>
      <c r="F934" s="34">
        <v>0</v>
      </c>
      <c r="G934" s="34">
        <v>0</v>
      </c>
      <c r="H934" s="34">
        <f t="shared" si="14"/>
        <v>40790</v>
      </c>
      <c r="I934" s="34"/>
      <c r="K934" t="s">
        <v>38</v>
      </c>
    </row>
    <row r="935" spans="2:11" ht="16.5" x14ac:dyDescent="0.2">
      <c r="B935" s="31" t="s">
        <v>1358</v>
      </c>
      <c r="C935" s="31" t="s">
        <v>1359</v>
      </c>
      <c r="D935" s="34">
        <v>6718</v>
      </c>
      <c r="E935" s="34"/>
      <c r="F935" s="34">
        <v>0</v>
      </c>
      <c r="G935" s="34">
        <v>0</v>
      </c>
      <c r="H935" s="34">
        <f t="shared" si="14"/>
        <v>6718</v>
      </c>
      <c r="I935" s="34"/>
      <c r="K935" t="s">
        <v>38</v>
      </c>
    </row>
    <row r="936" spans="2:11" ht="16.5" x14ac:dyDescent="0.2">
      <c r="B936" s="33" t="s">
        <v>1360</v>
      </c>
      <c r="C936" s="33" t="s">
        <v>42</v>
      </c>
      <c r="D936" s="35">
        <f>SUMIFS(D937:D9015,K937:K9015,"0",B937:B9015,"1 2 4 6 4 12 31111 6 M59 00003*")-SUMIFS(E937:E9015,K937:K9015,"0",B937:B9015,"1 2 4 6 4 12 31111 6 M59 00003*")</f>
        <v>279865.15999999997</v>
      </c>
      <c r="E936"/>
      <c r="F936" s="35">
        <f>SUMIFS(F937:F9015,K937:K9015,"0",B937:B9015,"1 2 4 6 4 12 31111 6 M59 00003*")</f>
        <v>0</v>
      </c>
      <c r="G936" s="35">
        <f>SUMIFS(G937:G9015,K937:K9015,"0",B937:B9015,"1 2 4 6 4 12 31111 6 M59 00003*")</f>
        <v>0</v>
      </c>
      <c r="H936" s="35">
        <f t="shared" si="14"/>
        <v>279865.15999999997</v>
      </c>
      <c r="I936" s="35"/>
      <c r="K936" t="s">
        <v>15</v>
      </c>
    </row>
    <row r="937" spans="2:11" ht="16.5" x14ac:dyDescent="0.2">
      <c r="B937" s="33" t="s">
        <v>1361</v>
      </c>
      <c r="C937" s="33" t="s">
        <v>203</v>
      </c>
      <c r="D937" s="35">
        <f>SUMIFS(D938:D9015,K938:K9015,"0",B938:B9015,"1 2 4 6 4 12 31111 6 M59 00003 000001*")-SUMIFS(E938:E9015,K938:K9015,"0",B938:B9015,"1 2 4 6 4 12 31111 6 M59 00003 000001*")</f>
        <v>279865.15999999997</v>
      </c>
      <c r="E937"/>
      <c r="F937" s="35">
        <f>SUMIFS(F938:F9015,K938:K9015,"0",B938:B9015,"1 2 4 6 4 12 31111 6 M59 00003 000001*")</f>
        <v>0</v>
      </c>
      <c r="G937" s="35">
        <f>SUMIFS(G938:G9015,K938:K9015,"0",B938:B9015,"1 2 4 6 4 12 31111 6 M59 00003 000001*")</f>
        <v>0</v>
      </c>
      <c r="H937" s="35">
        <f t="shared" si="14"/>
        <v>279865.15999999997</v>
      </c>
      <c r="I937" s="35"/>
      <c r="K937" t="s">
        <v>15</v>
      </c>
    </row>
    <row r="938" spans="2:11" ht="16.5" x14ac:dyDescent="0.2">
      <c r="B938" s="31" t="s">
        <v>1362</v>
      </c>
      <c r="C938" s="31" t="s">
        <v>274</v>
      </c>
      <c r="D938" s="34">
        <v>279865.15999999997</v>
      </c>
      <c r="E938" s="34"/>
      <c r="F938" s="34">
        <v>0</v>
      </c>
      <c r="G938" s="34">
        <v>0</v>
      </c>
      <c r="H938" s="34">
        <f t="shared" si="14"/>
        <v>279865.15999999997</v>
      </c>
      <c r="I938" s="34"/>
      <c r="K938" t="s">
        <v>38</v>
      </c>
    </row>
    <row r="939" spans="2:11" ht="16.5" x14ac:dyDescent="0.2">
      <c r="B939" s="33" t="s">
        <v>1363</v>
      </c>
      <c r="C939" s="33" t="s">
        <v>1364</v>
      </c>
      <c r="D939" s="35">
        <f>SUMIFS(D940:D9015,K940:K9015,"0",B940:B9015,"1 2 4 6 4 12 31111 6 M59 00004*")-SUMIFS(E940:E9015,K940:K9015,"0",B940:B9015,"1 2 4 6 4 12 31111 6 M59 00004*")</f>
        <v>43300.009999999995</v>
      </c>
      <c r="E939"/>
      <c r="F939" s="35">
        <f>SUMIFS(F940:F9015,K940:K9015,"0",B940:B9015,"1 2 4 6 4 12 31111 6 M59 00004*")</f>
        <v>0</v>
      </c>
      <c r="G939" s="35">
        <f>SUMIFS(G940:G9015,K940:K9015,"0",B940:B9015,"1 2 4 6 4 12 31111 6 M59 00004*")</f>
        <v>0</v>
      </c>
      <c r="H939" s="35">
        <f t="shared" si="14"/>
        <v>43300.009999999995</v>
      </c>
      <c r="I939" s="35"/>
      <c r="K939" t="s">
        <v>15</v>
      </c>
    </row>
    <row r="940" spans="2:11" ht="16.5" x14ac:dyDescent="0.2">
      <c r="B940" s="33" t="s">
        <v>1365</v>
      </c>
      <c r="C940" s="33" t="s">
        <v>42</v>
      </c>
      <c r="D940" s="35">
        <f>SUMIFS(D941:D9015,K941:K9015,"0",B941:B9015,"1 2 4 6 4 12 31111 6 M59 00004 000001*")-SUMIFS(E941:E9015,K941:K9015,"0",B941:B9015,"1 2 4 6 4 12 31111 6 M59 00004 000001*")</f>
        <v>43300.009999999995</v>
      </c>
      <c r="E940"/>
      <c r="F940" s="35">
        <f>SUMIFS(F941:F9015,K941:K9015,"0",B941:B9015,"1 2 4 6 4 12 31111 6 M59 00004 000001*")</f>
        <v>0</v>
      </c>
      <c r="G940" s="35">
        <f>SUMIFS(G941:G9015,K941:K9015,"0",B941:B9015,"1 2 4 6 4 12 31111 6 M59 00004 000001*")</f>
        <v>0</v>
      </c>
      <c r="H940" s="35">
        <f t="shared" si="14"/>
        <v>43300.009999999995</v>
      </c>
      <c r="I940" s="35"/>
      <c r="K940" t="s">
        <v>15</v>
      </c>
    </row>
    <row r="941" spans="2:11" ht="16.5" x14ac:dyDescent="0.2">
      <c r="B941" s="31" t="s">
        <v>1366</v>
      </c>
      <c r="C941" s="31" t="s">
        <v>1359</v>
      </c>
      <c r="D941" s="34">
        <v>17900.009999999998</v>
      </c>
      <c r="E941" s="34"/>
      <c r="F941" s="34">
        <v>0</v>
      </c>
      <c r="G941" s="34">
        <v>0</v>
      </c>
      <c r="H941" s="34">
        <f t="shared" si="14"/>
        <v>17900.009999999998</v>
      </c>
      <c r="I941" s="34"/>
      <c r="K941" t="s">
        <v>38</v>
      </c>
    </row>
    <row r="942" spans="2:11" ht="16.5" x14ac:dyDescent="0.2">
      <c r="B942" s="31" t="s">
        <v>1367</v>
      </c>
      <c r="C942" s="31" t="s">
        <v>274</v>
      </c>
      <c r="D942" s="34">
        <v>25400</v>
      </c>
      <c r="E942" s="34"/>
      <c r="F942" s="34">
        <v>0</v>
      </c>
      <c r="G942" s="34">
        <v>0</v>
      </c>
      <c r="H942" s="34">
        <f t="shared" si="14"/>
        <v>25400</v>
      </c>
      <c r="I942" s="34"/>
      <c r="K942" t="s">
        <v>38</v>
      </c>
    </row>
    <row r="943" spans="2:11" ht="16.5" x14ac:dyDescent="0.2">
      <c r="B943" s="33" t="s">
        <v>1368</v>
      </c>
      <c r="C943" s="33" t="s">
        <v>1369</v>
      </c>
      <c r="D943" s="35">
        <f>SUMIFS(D944:D9015,K944:K9015,"0",B944:B9015,"1 2 4 6 5*")-SUMIFS(E944:E9015,K944:K9015,"0",B944:B9015,"1 2 4 6 5*")</f>
        <v>419636.83999999997</v>
      </c>
      <c r="E943"/>
      <c r="F943" s="35">
        <f>SUMIFS(F944:F9015,K944:K9015,"0",B944:B9015,"1 2 4 6 5*")</f>
        <v>0</v>
      </c>
      <c r="G943" s="35">
        <f>SUMIFS(G944:G9015,K944:K9015,"0",B944:B9015,"1 2 4 6 5*")</f>
        <v>68841</v>
      </c>
      <c r="H943" s="35">
        <f t="shared" si="14"/>
        <v>350795.83999999997</v>
      </c>
      <c r="I943" s="35"/>
      <c r="K943" t="s">
        <v>15</v>
      </c>
    </row>
    <row r="944" spans="2:11" ht="12.75" x14ac:dyDescent="0.2">
      <c r="B944" s="33" t="s">
        <v>1370</v>
      </c>
      <c r="C944" s="33" t="s">
        <v>26</v>
      </c>
      <c r="D944" s="35">
        <f>SUMIFS(D945:D9015,K945:K9015,"0",B945:B9015,"1 2 4 6 5 12*")-SUMIFS(E945:E9015,K945:K9015,"0",B945:B9015,"1 2 4 6 5 12*")</f>
        <v>419636.83999999997</v>
      </c>
      <c r="E944"/>
      <c r="F944" s="35">
        <f>SUMIFS(F945:F9015,K945:K9015,"0",B945:B9015,"1 2 4 6 5 12*")</f>
        <v>0</v>
      </c>
      <c r="G944" s="35">
        <f>SUMIFS(G945:G9015,K945:K9015,"0",B945:B9015,"1 2 4 6 5 12*")</f>
        <v>68841</v>
      </c>
      <c r="H944" s="35">
        <f t="shared" si="14"/>
        <v>350795.83999999997</v>
      </c>
      <c r="I944" s="35"/>
      <c r="K944" t="s">
        <v>15</v>
      </c>
    </row>
    <row r="945" spans="2:11" ht="16.5" x14ac:dyDescent="0.2">
      <c r="B945" s="33" t="s">
        <v>1371</v>
      </c>
      <c r="C945" s="33" t="s">
        <v>28</v>
      </c>
      <c r="D945" s="35">
        <f>SUMIFS(D946:D9015,K946:K9015,"0",B946:B9015,"1 2 4 6 5 12 31111*")-SUMIFS(E946:E9015,K946:K9015,"0",B946:B9015,"1 2 4 6 5 12 31111*")</f>
        <v>419636.83999999997</v>
      </c>
      <c r="E945"/>
      <c r="F945" s="35">
        <f>SUMIFS(F946:F9015,K946:K9015,"0",B946:B9015,"1 2 4 6 5 12 31111*")</f>
        <v>0</v>
      </c>
      <c r="G945" s="35">
        <f>SUMIFS(G946:G9015,K946:K9015,"0",B946:B9015,"1 2 4 6 5 12 31111*")</f>
        <v>68841</v>
      </c>
      <c r="H945" s="35">
        <f t="shared" si="14"/>
        <v>350795.83999999997</v>
      </c>
      <c r="I945" s="35"/>
      <c r="K945" t="s">
        <v>15</v>
      </c>
    </row>
    <row r="946" spans="2:11" ht="12.75" x14ac:dyDescent="0.2">
      <c r="B946" s="33" t="s">
        <v>1372</v>
      </c>
      <c r="C946" s="33" t="s">
        <v>30</v>
      </c>
      <c r="D946" s="35">
        <f>SUMIFS(D947:D9015,K947:K9015,"0",B947:B9015,"1 2 4 6 5 12 31111 6*")-SUMIFS(E947:E9015,K947:K9015,"0",B947:B9015,"1 2 4 6 5 12 31111 6*")</f>
        <v>419636.83999999997</v>
      </c>
      <c r="E946"/>
      <c r="F946" s="35">
        <f>SUMIFS(F947:F9015,K947:K9015,"0",B947:B9015,"1 2 4 6 5 12 31111 6*")</f>
        <v>0</v>
      </c>
      <c r="G946" s="35">
        <f>SUMIFS(G947:G9015,K947:K9015,"0",B947:B9015,"1 2 4 6 5 12 31111 6*")</f>
        <v>68841</v>
      </c>
      <c r="H946" s="35">
        <f t="shared" si="14"/>
        <v>350795.83999999997</v>
      </c>
      <c r="I946" s="35"/>
      <c r="K946" t="s">
        <v>15</v>
      </c>
    </row>
    <row r="947" spans="2:11" ht="16.5" x14ac:dyDescent="0.2">
      <c r="B947" s="33" t="s">
        <v>1373</v>
      </c>
      <c r="C947" s="33" t="s">
        <v>32</v>
      </c>
      <c r="D947" s="35">
        <f>SUMIFS(D948:D9015,K948:K9015,"0",B948:B9015,"1 2 4 6 5 12 31111 6 M59*")-SUMIFS(E948:E9015,K948:K9015,"0",B948:B9015,"1 2 4 6 5 12 31111 6 M59*")</f>
        <v>419636.83999999997</v>
      </c>
      <c r="E947"/>
      <c r="F947" s="35">
        <f>SUMIFS(F948:F9015,K948:K9015,"0",B948:B9015,"1 2 4 6 5 12 31111 6 M59*")</f>
        <v>0</v>
      </c>
      <c r="G947" s="35">
        <f>SUMIFS(G948:G9015,K948:K9015,"0",B948:B9015,"1 2 4 6 5 12 31111 6 M59*")</f>
        <v>68841</v>
      </c>
      <c r="H947" s="35">
        <f t="shared" si="14"/>
        <v>350795.83999999997</v>
      </c>
      <c r="I947" s="35"/>
      <c r="K947" t="s">
        <v>15</v>
      </c>
    </row>
    <row r="948" spans="2:11" ht="16.5" x14ac:dyDescent="0.2">
      <c r="B948" s="33" t="s">
        <v>1374</v>
      </c>
      <c r="C948" s="33" t="s">
        <v>34</v>
      </c>
      <c r="D948" s="35">
        <f>SUMIFS(D949:D9015,K949:K9015,"0",B949:B9015,"1 2 4 6 5 12 31111 6 M59 00001*")-SUMIFS(E949:E9015,K949:K9015,"0",B949:B9015,"1 2 4 6 5 12 31111 6 M59 00001*")</f>
        <v>59133</v>
      </c>
      <c r="E948"/>
      <c r="F948" s="35">
        <f>SUMIFS(F949:F9015,K949:K9015,"0",B949:B9015,"1 2 4 6 5 12 31111 6 M59 00001*")</f>
        <v>0</v>
      </c>
      <c r="G948" s="35">
        <f>SUMIFS(G949:G9015,K949:K9015,"0",B949:B9015,"1 2 4 6 5 12 31111 6 M59 00001*")</f>
        <v>68841</v>
      </c>
      <c r="H948" s="35">
        <f t="shared" si="14"/>
        <v>-9708</v>
      </c>
      <c r="I948" s="35"/>
      <c r="K948" t="s">
        <v>15</v>
      </c>
    </row>
    <row r="949" spans="2:11" ht="16.5" x14ac:dyDescent="0.2">
      <c r="B949" s="31" t="s">
        <v>1375</v>
      </c>
      <c r="C949" s="31" t="s">
        <v>203</v>
      </c>
      <c r="D949" s="34">
        <v>42603</v>
      </c>
      <c r="E949" s="34"/>
      <c r="F949" s="34">
        <v>0</v>
      </c>
      <c r="G949" s="34">
        <v>68841</v>
      </c>
      <c r="H949" s="34">
        <f t="shared" si="14"/>
        <v>-26238</v>
      </c>
      <c r="I949" s="34"/>
      <c r="K949" t="s">
        <v>38</v>
      </c>
    </row>
    <row r="950" spans="2:11" ht="16.5" x14ac:dyDescent="0.2">
      <c r="B950" s="31" t="s">
        <v>1376</v>
      </c>
      <c r="C950" s="31" t="s">
        <v>1377</v>
      </c>
      <c r="D950" s="34">
        <v>16530</v>
      </c>
      <c r="E950" s="34"/>
      <c r="F950" s="34">
        <v>0</v>
      </c>
      <c r="G950" s="34">
        <v>0</v>
      </c>
      <c r="H950" s="34">
        <f t="shared" si="14"/>
        <v>16530</v>
      </c>
      <c r="I950" s="34"/>
      <c r="K950" t="s">
        <v>38</v>
      </c>
    </row>
    <row r="951" spans="2:11" ht="24.75" x14ac:dyDescent="0.2">
      <c r="B951" s="33" t="s">
        <v>1378</v>
      </c>
      <c r="C951" s="33" t="s">
        <v>986</v>
      </c>
      <c r="D951" s="35">
        <f>SUMIFS(D952:D9015,K952:K9015,"0",B952:B9015,"1 2 4 6 5 12 31111 6 M59 00002*")-SUMIFS(E952:E9015,K952:K9015,"0",B952:B9015,"1 2 4 6 5 12 31111 6 M59 00002*")</f>
        <v>91200</v>
      </c>
      <c r="E951"/>
      <c r="F951" s="35">
        <f>SUMIFS(F952:F9015,K952:K9015,"0",B952:B9015,"1 2 4 6 5 12 31111 6 M59 00002*")</f>
        <v>0</v>
      </c>
      <c r="G951" s="35">
        <f>SUMIFS(G952:G9015,K952:K9015,"0",B952:B9015,"1 2 4 6 5 12 31111 6 M59 00002*")</f>
        <v>0</v>
      </c>
      <c r="H951" s="35">
        <f t="shared" si="14"/>
        <v>91200</v>
      </c>
      <c r="I951" s="35"/>
      <c r="K951" t="s">
        <v>15</v>
      </c>
    </row>
    <row r="952" spans="2:11" ht="16.5" x14ac:dyDescent="0.2">
      <c r="B952" s="33" t="s">
        <v>1379</v>
      </c>
      <c r="C952" s="33" t="s">
        <v>42</v>
      </c>
      <c r="D952" s="35">
        <f>SUMIFS(D953:D9015,K953:K9015,"0",B953:B9015,"1 2 4 6 5 12 31111 6 M59 00002 000001*")-SUMIFS(E953:E9015,K953:K9015,"0",B953:B9015,"1 2 4 6 5 12 31111 6 M59 00002 000001*")</f>
        <v>91200</v>
      </c>
      <c r="E952"/>
      <c r="F952" s="35">
        <f>SUMIFS(F953:F9015,K953:K9015,"0",B953:B9015,"1 2 4 6 5 12 31111 6 M59 00002 000001*")</f>
        <v>0</v>
      </c>
      <c r="G952" s="35">
        <f>SUMIFS(G953:G9015,K953:K9015,"0",B953:B9015,"1 2 4 6 5 12 31111 6 M59 00002 000001*")</f>
        <v>0</v>
      </c>
      <c r="H952" s="35">
        <f t="shared" si="14"/>
        <v>91200</v>
      </c>
      <c r="I952" s="35"/>
      <c r="K952" t="s">
        <v>15</v>
      </c>
    </row>
    <row r="953" spans="2:11" ht="16.5" x14ac:dyDescent="0.2">
      <c r="B953" s="31" t="s">
        <v>1380</v>
      </c>
      <c r="C953" s="31" t="s">
        <v>274</v>
      </c>
      <c r="D953" s="34">
        <v>91200</v>
      </c>
      <c r="E953" s="34"/>
      <c r="F953" s="34">
        <v>0</v>
      </c>
      <c r="G953" s="34">
        <v>0</v>
      </c>
      <c r="H953" s="34">
        <f t="shared" si="14"/>
        <v>91200</v>
      </c>
      <c r="I953" s="34"/>
      <c r="K953" t="s">
        <v>38</v>
      </c>
    </row>
    <row r="954" spans="2:11" ht="24.75" x14ac:dyDescent="0.2">
      <c r="B954" s="33" t="s">
        <v>1381</v>
      </c>
      <c r="C954" s="33" t="s">
        <v>40</v>
      </c>
      <c r="D954" s="35">
        <f>SUMIFS(D955:D9015,K955:K9015,"0",B955:B9015,"1 2 4 6 5 12 31111 6 M59 00003*")-SUMIFS(E955:E9015,K955:K9015,"0",B955:B9015,"1 2 4 6 5 12 31111 6 M59 00003*")</f>
        <v>269303.83999999997</v>
      </c>
      <c r="E954"/>
      <c r="F954" s="35">
        <f>SUMIFS(F955:F9015,K955:K9015,"0",B955:B9015,"1 2 4 6 5 12 31111 6 M59 00003*")</f>
        <v>0</v>
      </c>
      <c r="G954" s="35">
        <f>SUMIFS(G955:G9015,K955:K9015,"0",B955:B9015,"1 2 4 6 5 12 31111 6 M59 00003*")</f>
        <v>0</v>
      </c>
      <c r="H954" s="35">
        <f t="shared" si="14"/>
        <v>269303.83999999997</v>
      </c>
      <c r="I954" s="35"/>
      <c r="K954" t="s">
        <v>15</v>
      </c>
    </row>
    <row r="955" spans="2:11" ht="16.5" x14ac:dyDescent="0.2">
      <c r="B955" s="33" t="s">
        <v>1382</v>
      </c>
      <c r="C955" s="33" t="s">
        <v>42</v>
      </c>
      <c r="D955" s="35">
        <f>SUMIFS(D956:D9015,K956:K9015,"0",B956:B9015,"1 2 4 6 5 12 31111 6 M59 00003 000001*")-SUMIFS(E956:E9015,K956:K9015,"0",B956:B9015,"1 2 4 6 5 12 31111 6 M59 00003 000001*")</f>
        <v>269303.83999999997</v>
      </c>
      <c r="E955"/>
      <c r="F955" s="35">
        <f>SUMIFS(F956:F9015,K956:K9015,"0",B956:B9015,"1 2 4 6 5 12 31111 6 M59 00003 000001*")</f>
        <v>0</v>
      </c>
      <c r="G955" s="35">
        <f>SUMIFS(G956:G9015,K956:K9015,"0",B956:B9015,"1 2 4 6 5 12 31111 6 M59 00003 000001*")</f>
        <v>0</v>
      </c>
      <c r="H955" s="35">
        <f t="shared" si="14"/>
        <v>269303.83999999997</v>
      </c>
      <c r="I955" s="35"/>
      <c r="K955" t="s">
        <v>15</v>
      </c>
    </row>
    <row r="956" spans="2:11" ht="16.5" x14ac:dyDescent="0.2">
      <c r="B956" s="31" t="s">
        <v>1383</v>
      </c>
      <c r="C956" s="31" t="s">
        <v>1384</v>
      </c>
      <c r="D956" s="34">
        <v>189421</v>
      </c>
      <c r="E956" s="34"/>
      <c r="F956" s="34">
        <v>0</v>
      </c>
      <c r="G956" s="34">
        <v>0</v>
      </c>
      <c r="H956" s="34">
        <f t="shared" si="14"/>
        <v>189421</v>
      </c>
      <c r="I956" s="34"/>
      <c r="K956" t="s">
        <v>38</v>
      </c>
    </row>
    <row r="957" spans="2:11" ht="16.5" x14ac:dyDescent="0.2">
      <c r="B957" s="31" t="s">
        <v>1385</v>
      </c>
      <c r="C957" s="31" t="s">
        <v>1386</v>
      </c>
      <c r="D957" s="34">
        <v>22000</v>
      </c>
      <c r="E957" s="34"/>
      <c r="F957" s="34">
        <v>0</v>
      </c>
      <c r="G957" s="34">
        <v>0</v>
      </c>
      <c r="H957" s="34">
        <f t="shared" si="14"/>
        <v>22000</v>
      </c>
      <c r="I957" s="34"/>
      <c r="K957" t="s">
        <v>38</v>
      </c>
    </row>
    <row r="958" spans="2:11" ht="16.5" x14ac:dyDescent="0.2">
      <c r="B958" s="31" t="s">
        <v>1387</v>
      </c>
      <c r="C958" s="31" t="s">
        <v>274</v>
      </c>
      <c r="D958" s="34">
        <v>57882.84</v>
      </c>
      <c r="E958" s="34"/>
      <c r="F958" s="34">
        <v>0</v>
      </c>
      <c r="G958" s="34">
        <v>0</v>
      </c>
      <c r="H958" s="34">
        <f t="shared" si="14"/>
        <v>57882.84</v>
      </c>
      <c r="I958" s="34"/>
      <c r="K958" t="s">
        <v>38</v>
      </c>
    </row>
    <row r="959" spans="2:11" ht="24.75" x14ac:dyDescent="0.2">
      <c r="B959" s="33" t="s">
        <v>1388</v>
      </c>
      <c r="C959" s="33" t="s">
        <v>1389</v>
      </c>
      <c r="D959" s="35">
        <f>SUMIFS(D960:D9015,K960:K9015,"0",B960:B9015,"1 2 4 6 6*")-SUMIFS(E960:E9015,K960:K9015,"0",B960:B9015,"1 2 4 6 6*")</f>
        <v>9400</v>
      </c>
      <c r="E959"/>
      <c r="F959" s="35">
        <f>SUMIFS(F960:F9015,K960:K9015,"0",B960:B9015,"1 2 4 6 6*")</f>
        <v>0</v>
      </c>
      <c r="G959" s="35">
        <f>SUMIFS(G960:G9015,K960:K9015,"0",B960:B9015,"1 2 4 6 6*")</f>
        <v>2000</v>
      </c>
      <c r="H959" s="35">
        <f t="shared" si="14"/>
        <v>7400</v>
      </c>
      <c r="I959" s="35"/>
      <c r="K959" t="s">
        <v>15</v>
      </c>
    </row>
    <row r="960" spans="2:11" ht="12.75" x14ac:dyDescent="0.2">
      <c r="B960" s="33" t="s">
        <v>1390</v>
      </c>
      <c r="C960" s="33" t="s">
        <v>26</v>
      </c>
      <c r="D960" s="35">
        <f>SUMIFS(D961:D9015,K961:K9015,"0",B961:B9015,"1 2 4 6 6 12*")-SUMIFS(E961:E9015,K961:K9015,"0",B961:B9015,"1 2 4 6 6 12*")</f>
        <v>9400</v>
      </c>
      <c r="E960"/>
      <c r="F960" s="35">
        <f>SUMIFS(F961:F9015,K961:K9015,"0",B961:B9015,"1 2 4 6 6 12*")</f>
        <v>0</v>
      </c>
      <c r="G960" s="35">
        <f>SUMIFS(G961:G9015,K961:K9015,"0",B961:B9015,"1 2 4 6 6 12*")</f>
        <v>2000</v>
      </c>
      <c r="H960" s="35">
        <f t="shared" si="14"/>
        <v>7400</v>
      </c>
      <c r="I960" s="35"/>
      <c r="K960" t="s">
        <v>15</v>
      </c>
    </row>
    <row r="961" spans="2:11" ht="16.5" x14ac:dyDescent="0.2">
      <c r="B961" s="33" t="s">
        <v>1391</v>
      </c>
      <c r="C961" s="33" t="s">
        <v>28</v>
      </c>
      <c r="D961" s="35">
        <f>SUMIFS(D962:D9015,K962:K9015,"0",B962:B9015,"1 2 4 6 6 12 31111*")-SUMIFS(E962:E9015,K962:K9015,"0",B962:B9015,"1 2 4 6 6 12 31111*")</f>
        <v>9400</v>
      </c>
      <c r="E961"/>
      <c r="F961" s="35">
        <f>SUMIFS(F962:F9015,K962:K9015,"0",B962:B9015,"1 2 4 6 6 12 31111*")</f>
        <v>0</v>
      </c>
      <c r="G961" s="35">
        <f>SUMIFS(G962:G9015,K962:K9015,"0",B962:B9015,"1 2 4 6 6 12 31111*")</f>
        <v>2000</v>
      </c>
      <c r="H961" s="35">
        <f t="shared" si="14"/>
        <v>7400</v>
      </c>
      <c r="I961" s="35"/>
      <c r="K961" t="s">
        <v>15</v>
      </c>
    </row>
    <row r="962" spans="2:11" ht="12.75" x14ac:dyDescent="0.2">
      <c r="B962" s="33" t="s">
        <v>1392</v>
      </c>
      <c r="C962" s="33" t="s">
        <v>30</v>
      </c>
      <c r="D962" s="35">
        <f>SUMIFS(D963:D9015,K963:K9015,"0",B963:B9015,"1 2 4 6 6 12 31111 6*")-SUMIFS(E963:E9015,K963:K9015,"0",B963:B9015,"1 2 4 6 6 12 31111 6*")</f>
        <v>9400</v>
      </c>
      <c r="E962"/>
      <c r="F962" s="35">
        <f>SUMIFS(F963:F9015,K963:K9015,"0",B963:B9015,"1 2 4 6 6 12 31111 6*")</f>
        <v>0</v>
      </c>
      <c r="G962" s="35">
        <f>SUMIFS(G963:G9015,K963:K9015,"0",B963:B9015,"1 2 4 6 6 12 31111 6*")</f>
        <v>2000</v>
      </c>
      <c r="H962" s="35">
        <f t="shared" si="14"/>
        <v>7400</v>
      </c>
      <c r="I962" s="35"/>
      <c r="K962" t="s">
        <v>15</v>
      </c>
    </row>
    <row r="963" spans="2:11" ht="24.75" x14ac:dyDescent="0.2">
      <c r="B963" s="33" t="s">
        <v>1393</v>
      </c>
      <c r="C963" s="33" t="s">
        <v>1394</v>
      </c>
      <c r="D963" s="35">
        <f>SUMIFS(D964:D9015,K964:K9015,"0",B964:B9015,"1 2 4 6 6 12 31111 6 M59*")-SUMIFS(E964:E9015,K964:K9015,"0",B964:B9015,"1 2 4 6 6 12 31111 6 M59*")</f>
        <v>9400</v>
      </c>
      <c r="E963"/>
      <c r="F963" s="35">
        <f>SUMIFS(F964:F9015,K964:K9015,"0",B964:B9015,"1 2 4 6 6 12 31111 6 M59*")</f>
        <v>0</v>
      </c>
      <c r="G963" s="35">
        <f>SUMIFS(G964:G9015,K964:K9015,"0",B964:B9015,"1 2 4 6 6 12 31111 6 M59*")</f>
        <v>2000</v>
      </c>
      <c r="H963" s="35">
        <f t="shared" si="14"/>
        <v>7400</v>
      </c>
      <c r="I963" s="35"/>
      <c r="K963" t="s">
        <v>15</v>
      </c>
    </row>
    <row r="964" spans="2:11" ht="24.75" x14ac:dyDescent="0.2">
      <c r="B964" s="33" t="s">
        <v>1395</v>
      </c>
      <c r="C964" s="33" t="s">
        <v>40</v>
      </c>
      <c r="D964" s="35">
        <f>SUMIFS(D965:D9015,K965:K9015,"0",B965:B9015,"1 2 4 6 6 12 31111 6 M59 00003*")-SUMIFS(E965:E9015,K965:K9015,"0",B965:B9015,"1 2 4 6 6 12 31111 6 M59 00003*")</f>
        <v>9400</v>
      </c>
      <c r="E964"/>
      <c r="F964" s="35">
        <f>SUMIFS(F965:F9015,K965:K9015,"0",B965:B9015,"1 2 4 6 6 12 31111 6 M59 00003*")</f>
        <v>0</v>
      </c>
      <c r="G964" s="35">
        <f>SUMIFS(G965:G9015,K965:K9015,"0",B965:B9015,"1 2 4 6 6 12 31111 6 M59 00003*")</f>
        <v>0</v>
      </c>
      <c r="H964" s="35">
        <f t="shared" si="14"/>
        <v>9400</v>
      </c>
      <c r="I964" s="35"/>
      <c r="K964" t="s">
        <v>15</v>
      </c>
    </row>
    <row r="965" spans="2:11" ht="16.5" x14ac:dyDescent="0.2">
      <c r="B965" s="33" t="s">
        <v>1396</v>
      </c>
      <c r="C965" s="33" t="s">
        <v>42</v>
      </c>
      <c r="D965" s="35">
        <f>SUMIFS(D966:D9015,K966:K9015,"0",B966:B9015,"1 2 4 6 6 12 31111 6 M59 00003 000001*")-SUMIFS(E966:E9015,K966:K9015,"0",B966:B9015,"1 2 4 6 6 12 31111 6 M59 00003 000001*")</f>
        <v>9400</v>
      </c>
      <c r="E965"/>
      <c r="F965" s="35">
        <f>SUMIFS(F966:F9015,K966:K9015,"0",B966:B9015,"1 2 4 6 6 12 31111 6 M59 00003 000001*")</f>
        <v>0</v>
      </c>
      <c r="G965" s="35">
        <f>SUMIFS(G966:G9015,K966:K9015,"0",B966:B9015,"1 2 4 6 6 12 31111 6 M59 00003 000001*")</f>
        <v>0</v>
      </c>
      <c r="H965" s="35">
        <f t="shared" si="14"/>
        <v>9400</v>
      </c>
      <c r="I965" s="35"/>
      <c r="K965" t="s">
        <v>15</v>
      </c>
    </row>
    <row r="966" spans="2:11" ht="16.5" x14ac:dyDescent="0.2">
      <c r="B966" s="31" t="s">
        <v>1397</v>
      </c>
      <c r="C966" s="31" t="s">
        <v>1035</v>
      </c>
      <c r="D966" s="34">
        <v>1400</v>
      </c>
      <c r="E966" s="34"/>
      <c r="F966" s="34">
        <v>0</v>
      </c>
      <c r="G966" s="34">
        <v>0</v>
      </c>
      <c r="H966" s="34">
        <f t="shared" si="14"/>
        <v>1400</v>
      </c>
      <c r="I966" s="34"/>
      <c r="K966" t="s">
        <v>38</v>
      </c>
    </row>
    <row r="967" spans="2:11" ht="33" x14ac:dyDescent="0.2">
      <c r="B967" s="31" t="s">
        <v>1398</v>
      </c>
      <c r="C967" s="31" t="s">
        <v>984</v>
      </c>
      <c r="D967" s="34">
        <v>8000</v>
      </c>
      <c r="E967" s="34"/>
      <c r="F967" s="34">
        <v>0</v>
      </c>
      <c r="G967" s="34">
        <v>0</v>
      </c>
      <c r="H967" s="34">
        <f t="shared" si="14"/>
        <v>8000</v>
      </c>
      <c r="I967" s="34"/>
      <c r="K967" t="s">
        <v>38</v>
      </c>
    </row>
    <row r="968" spans="2:11" ht="24.75" x14ac:dyDescent="0.2">
      <c r="B968" s="33" t="s">
        <v>1399</v>
      </c>
      <c r="C968" s="33" t="s">
        <v>91</v>
      </c>
      <c r="D968" s="35">
        <f>SUMIFS(D969:D9015,K969:K9015,"0",B969:B9015,"1 2 4 6 6 12 31111 6 M59 00004*")-SUMIFS(E969:E9015,K969:K9015,"0",B969:B9015,"1 2 4 6 6 12 31111 6 M59 00004*")</f>
        <v>0</v>
      </c>
      <c r="E968"/>
      <c r="F968" s="35">
        <f>SUMIFS(F969:F9015,K969:K9015,"0",B969:B9015,"1 2 4 6 6 12 31111 6 M59 00004*")</f>
        <v>0</v>
      </c>
      <c r="G968" s="35">
        <f>SUMIFS(G969:G9015,K969:K9015,"0",B969:B9015,"1 2 4 6 6 12 31111 6 M59 00004*")</f>
        <v>2000</v>
      </c>
      <c r="H968" s="35">
        <f t="shared" si="14"/>
        <v>-2000</v>
      </c>
      <c r="I968" s="35"/>
      <c r="K968" t="s">
        <v>15</v>
      </c>
    </row>
    <row r="969" spans="2:11" ht="16.5" x14ac:dyDescent="0.2">
      <c r="B969" s="31" t="s">
        <v>1400</v>
      </c>
      <c r="C969" s="31" t="s">
        <v>1022</v>
      </c>
      <c r="D969" s="34">
        <v>0</v>
      </c>
      <c r="E969" s="34"/>
      <c r="F969" s="34">
        <v>0</v>
      </c>
      <c r="G969" s="34">
        <v>2000</v>
      </c>
      <c r="H969" s="34">
        <f t="shared" si="14"/>
        <v>-2000</v>
      </c>
      <c r="I969" s="34"/>
      <c r="K969" t="s">
        <v>38</v>
      </c>
    </row>
    <row r="970" spans="2:11" ht="16.5" x14ac:dyDescent="0.2">
      <c r="B970" s="33" t="s">
        <v>1401</v>
      </c>
      <c r="C970" s="33" t="s">
        <v>1402</v>
      </c>
      <c r="D970" s="35">
        <f>SUMIFS(D971:D9015,K971:K9015,"0",B971:B9015,"1 2 4 6 7*")-SUMIFS(E971:E9015,K971:K9015,"0",B971:B9015,"1 2 4 6 7*")</f>
        <v>38377</v>
      </c>
      <c r="E970"/>
      <c r="F970" s="35">
        <f>SUMIFS(F971:F9015,K971:K9015,"0",B971:B9015,"1 2 4 6 7*")</f>
        <v>0</v>
      </c>
      <c r="G970" s="35">
        <f>SUMIFS(G971:G9015,K971:K9015,"0",B971:B9015,"1 2 4 6 7*")</f>
        <v>23015</v>
      </c>
      <c r="H970" s="35">
        <f t="shared" si="14"/>
        <v>15362</v>
      </c>
      <c r="I970" s="35"/>
      <c r="K970" t="s">
        <v>15</v>
      </c>
    </row>
    <row r="971" spans="2:11" ht="12.75" x14ac:dyDescent="0.2">
      <c r="B971" s="33" t="s">
        <v>1403</v>
      </c>
      <c r="C971" s="33" t="s">
        <v>26</v>
      </c>
      <c r="D971" s="35">
        <f>SUMIFS(D972:D9015,K972:K9015,"0",B972:B9015,"1 2 4 6 7 12*")-SUMIFS(E972:E9015,K972:K9015,"0",B972:B9015,"1 2 4 6 7 12*")</f>
        <v>38377</v>
      </c>
      <c r="E971"/>
      <c r="F971" s="35">
        <f>SUMIFS(F972:F9015,K972:K9015,"0",B972:B9015,"1 2 4 6 7 12*")</f>
        <v>0</v>
      </c>
      <c r="G971" s="35">
        <f>SUMIFS(G972:G9015,K972:K9015,"0",B972:B9015,"1 2 4 6 7 12*")</f>
        <v>23015</v>
      </c>
      <c r="H971" s="35">
        <f t="shared" si="14"/>
        <v>15362</v>
      </c>
      <c r="I971" s="35"/>
      <c r="K971" t="s">
        <v>15</v>
      </c>
    </row>
    <row r="972" spans="2:11" ht="16.5" x14ac:dyDescent="0.2">
      <c r="B972" s="33" t="s">
        <v>1404</v>
      </c>
      <c r="C972" s="33" t="s">
        <v>28</v>
      </c>
      <c r="D972" s="35">
        <f>SUMIFS(D973:D9015,K973:K9015,"0",B973:B9015,"1 2 4 6 7 12 31111*")-SUMIFS(E973:E9015,K973:K9015,"0",B973:B9015,"1 2 4 6 7 12 31111*")</f>
        <v>38377</v>
      </c>
      <c r="E972"/>
      <c r="F972" s="35">
        <f>SUMIFS(F973:F9015,K973:K9015,"0",B973:B9015,"1 2 4 6 7 12 31111*")</f>
        <v>0</v>
      </c>
      <c r="G972" s="35">
        <f>SUMIFS(G973:G9015,K973:K9015,"0",B973:B9015,"1 2 4 6 7 12 31111*")</f>
        <v>23015</v>
      </c>
      <c r="H972" s="35">
        <f t="shared" ref="H972:H1035" si="15">D972 + F972 - G972</f>
        <v>15362</v>
      </c>
      <c r="I972" s="35"/>
      <c r="K972" t="s">
        <v>15</v>
      </c>
    </row>
    <row r="973" spans="2:11" ht="12.75" x14ac:dyDescent="0.2">
      <c r="B973" s="33" t="s">
        <v>1405</v>
      </c>
      <c r="C973" s="33" t="s">
        <v>30</v>
      </c>
      <c r="D973" s="35">
        <f>SUMIFS(D974:D9015,K974:K9015,"0",B974:B9015,"1 2 4 6 7 12 31111 6*")-SUMIFS(E974:E9015,K974:K9015,"0",B974:B9015,"1 2 4 6 7 12 31111 6*")</f>
        <v>38377</v>
      </c>
      <c r="E973"/>
      <c r="F973" s="35">
        <f>SUMIFS(F974:F9015,K974:K9015,"0",B974:B9015,"1 2 4 6 7 12 31111 6*")</f>
        <v>0</v>
      </c>
      <c r="G973" s="35">
        <f>SUMIFS(G974:G9015,K974:K9015,"0",B974:B9015,"1 2 4 6 7 12 31111 6*")</f>
        <v>23015</v>
      </c>
      <c r="H973" s="35">
        <f t="shared" si="15"/>
        <v>15362</v>
      </c>
      <c r="I973" s="35"/>
      <c r="K973" t="s">
        <v>15</v>
      </c>
    </row>
    <row r="974" spans="2:11" ht="16.5" x14ac:dyDescent="0.2">
      <c r="B974" s="33" t="s">
        <v>1406</v>
      </c>
      <c r="C974" s="33" t="s">
        <v>32</v>
      </c>
      <c r="D974" s="35">
        <f>SUMIFS(D975:D9015,K975:K9015,"0",B975:B9015,"1 2 4 6 7 12 31111 6 M59*")-SUMIFS(E975:E9015,K975:K9015,"0",B975:B9015,"1 2 4 6 7 12 31111 6 M59*")</f>
        <v>38377</v>
      </c>
      <c r="E974"/>
      <c r="F974" s="35">
        <f>SUMIFS(F975:F9015,K975:K9015,"0",B975:B9015,"1 2 4 6 7 12 31111 6 M59*")</f>
        <v>0</v>
      </c>
      <c r="G974" s="35">
        <f>SUMIFS(G975:G9015,K975:K9015,"0",B975:B9015,"1 2 4 6 7 12 31111 6 M59*")</f>
        <v>23015</v>
      </c>
      <c r="H974" s="35">
        <f t="shared" si="15"/>
        <v>15362</v>
      </c>
      <c r="I974" s="35"/>
      <c r="K974" t="s">
        <v>15</v>
      </c>
    </row>
    <row r="975" spans="2:11" ht="24.75" x14ac:dyDescent="0.2">
      <c r="B975" s="33" t="s">
        <v>1407</v>
      </c>
      <c r="C975" s="33" t="s">
        <v>40</v>
      </c>
      <c r="D975" s="35">
        <f>SUMIFS(D976:D9015,K976:K9015,"0",B976:B9015,"1 2 4 6 7 12 31111 6 M59 00003*")-SUMIFS(E976:E9015,K976:K9015,"0",B976:B9015,"1 2 4 6 7 12 31111 6 M59 00003*")</f>
        <v>38377</v>
      </c>
      <c r="E975"/>
      <c r="F975" s="35">
        <f>SUMIFS(F976:F9015,K976:K9015,"0",B976:B9015,"1 2 4 6 7 12 31111 6 M59 00003*")</f>
        <v>0</v>
      </c>
      <c r="G975" s="35">
        <f>SUMIFS(G976:G9015,K976:K9015,"0",B976:B9015,"1 2 4 6 7 12 31111 6 M59 00003*")</f>
        <v>0</v>
      </c>
      <c r="H975" s="35">
        <f t="shared" si="15"/>
        <v>38377</v>
      </c>
      <c r="I975" s="35"/>
      <c r="K975" t="s">
        <v>15</v>
      </c>
    </row>
    <row r="976" spans="2:11" ht="16.5" x14ac:dyDescent="0.2">
      <c r="B976" s="33" t="s">
        <v>1408</v>
      </c>
      <c r="C976" s="33" t="s">
        <v>42</v>
      </c>
      <c r="D976" s="35">
        <f>SUMIFS(D977:D9015,K977:K9015,"0",B977:B9015,"1 2 4 6 7 12 31111 6 M59 00003 000001*")-SUMIFS(E977:E9015,K977:K9015,"0",B977:B9015,"1 2 4 6 7 12 31111 6 M59 00003 000001*")</f>
        <v>38377</v>
      </c>
      <c r="E976"/>
      <c r="F976" s="35">
        <f>SUMIFS(F977:F9015,K977:K9015,"0",B977:B9015,"1 2 4 6 7 12 31111 6 M59 00003 000001*")</f>
        <v>0</v>
      </c>
      <c r="G976" s="35">
        <f>SUMIFS(G977:G9015,K977:K9015,"0",B977:B9015,"1 2 4 6 7 12 31111 6 M59 00003 000001*")</f>
        <v>0</v>
      </c>
      <c r="H976" s="35">
        <f t="shared" si="15"/>
        <v>38377</v>
      </c>
      <c r="I976" s="35"/>
      <c r="K976" t="s">
        <v>15</v>
      </c>
    </row>
    <row r="977" spans="2:11" ht="16.5" x14ac:dyDescent="0.2">
      <c r="B977" s="31" t="s">
        <v>1409</v>
      </c>
      <c r="C977" s="31" t="s">
        <v>274</v>
      </c>
      <c r="D977" s="34">
        <v>38377</v>
      </c>
      <c r="E977" s="34"/>
      <c r="F977" s="34">
        <v>0</v>
      </c>
      <c r="G977" s="34">
        <v>0</v>
      </c>
      <c r="H977" s="34">
        <f t="shared" si="15"/>
        <v>38377</v>
      </c>
      <c r="I977" s="34"/>
      <c r="K977" t="s">
        <v>38</v>
      </c>
    </row>
    <row r="978" spans="2:11" ht="24.75" x14ac:dyDescent="0.2">
      <c r="B978" s="33" t="s">
        <v>1410</v>
      </c>
      <c r="C978" s="33" t="s">
        <v>91</v>
      </c>
      <c r="D978" s="35">
        <f>SUMIFS(D979:D9015,K979:K9015,"0",B979:B9015,"1 2 4 6 7 12 31111 6 M59 00004*")-SUMIFS(E979:E9015,K979:K9015,"0",B979:B9015,"1 2 4 6 7 12 31111 6 M59 00004*")</f>
        <v>0</v>
      </c>
      <c r="E978"/>
      <c r="F978" s="35">
        <f>SUMIFS(F979:F9015,K979:K9015,"0",B979:B9015,"1 2 4 6 7 12 31111 6 M59 00004*")</f>
        <v>0</v>
      </c>
      <c r="G978" s="35">
        <f>SUMIFS(G979:G9015,K979:K9015,"0",B979:B9015,"1 2 4 6 7 12 31111 6 M59 00004*")</f>
        <v>23015</v>
      </c>
      <c r="H978" s="35">
        <f t="shared" si="15"/>
        <v>-23015</v>
      </c>
      <c r="I978" s="35"/>
      <c r="K978" t="s">
        <v>15</v>
      </c>
    </row>
    <row r="979" spans="2:11" ht="16.5" x14ac:dyDescent="0.2">
      <c r="B979" s="31" t="s">
        <v>1411</v>
      </c>
      <c r="C979" s="31" t="s">
        <v>203</v>
      </c>
      <c r="D979" s="34">
        <v>0</v>
      </c>
      <c r="E979" s="34"/>
      <c r="F979" s="34">
        <v>0</v>
      </c>
      <c r="G979" s="34">
        <v>23015</v>
      </c>
      <c r="H979" s="34">
        <f t="shared" si="15"/>
        <v>-23015</v>
      </c>
      <c r="I979" s="34"/>
      <c r="K979" t="s">
        <v>38</v>
      </c>
    </row>
    <row r="980" spans="2:11" ht="12.75" x14ac:dyDescent="0.2">
      <c r="B980" s="33" t="s">
        <v>1412</v>
      </c>
      <c r="C980" s="33" t="s">
        <v>1413</v>
      </c>
      <c r="D980" s="35">
        <f>SUMIFS(D981:D9015,K981:K9015,"0",B981:B9015,"1 2 4 6 9*")-SUMIFS(E981:E9015,K981:K9015,"0",B981:B9015,"1 2 4 6 9*")</f>
        <v>28982.78</v>
      </c>
      <c r="E980"/>
      <c r="F980" s="35">
        <f>SUMIFS(F981:F9015,K981:K9015,"0",B981:B9015,"1 2 4 6 9*")</f>
        <v>0</v>
      </c>
      <c r="G980" s="35">
        <f>SUMIFS(G981:G9015,K981:K9015,"0",B981:B9015,"1 2 4 6 9*")</f>
        <v>6137.78</v>
      </c>
      <c r="H980" s="35">
        <f t="shared" si="15"/>
        <v>22845</v>
      </c>
      <c r="I980" s="35"/>
      <c r="K980" t="s">
        <v>15</v>
      </c>
    </row>
    <row r="981" spans="2:11" ht="12.75" x14ac:dyDescent="0.2">
      <c r="B981" s="33" t="s">
        <v>1414</v>
      </c>
      <c r="C981" s="33" t="s">
        <v>26</v>
      </c>
      <c r="D981" s="35">
        <f>SUMIFS(D982:D9015,K982:K9015,"0",B982:B9015,"1 2 4 6 9 12*")-SUMIFS(E982:E9015,K982:K9015,"0",B982:B9015,"1 2 4 6 9 12*")</f>
        <v>28982.78</v>
      </c>
      <c r="E981"/>
      <c r="F981" s="35">
        <f>SUMIFS(F982:F9015,K982:K9015,"0",B982:B9015,"1 2 4 6 9 12*")</f>
        <v>0</v>
      </c>
      <c r="G981" s="35">
        <f>SUMIFS(G982:G9015,K982:K9015,"0",B982:B9015,"1 2 4 6 9 12*")</f>
        <v>6137.78</v>
      </c>
      <c r="H981" s="35">
        <f t="shared" si="15"/>
        <v>22845</v>
      </c>
      <c r="I981" s="35"/>
      <c r="K981" t="s">
        <v>15</v>
      </c>
    </row>
    <row r="982" spans="2:11" ht="16.5" x14ac:dyDescent="0.2">
      <c r="B982" s="33" t="s">
        <v>1415</v>
      </c>
      <c r="C982" s="33" t="s">
        <v>28</v>
      </c>
      <c r="D982" s="35">
        <f>SUMIFS(D983:D9015,K983:K9015,"0",B983:B9015,"1 2 4 6 9 12 31111*")-SUMIFS(E983:E9015,K983:K9015,"0",B983:B9015,"1 2 4 6 9 12 31111*")</f>
        <v>28982.78</v>
      </c>
      <c r="E982"/>
      <c r="F982" s="35">
        <f>SUMIFS(F983:F9015,K983:K9015,"0",B983:B9015,"1 2 4 6 9 12 31111*")</f>
        <v>0</v>
      </c>
      <c r="G982" s="35">
        <f>SUMIFS(G983:G9015,K983:K9015,"0",B983:B9015,"1 2 4 6 9 12 31111*")</f>
        <v>6137.78</v>
      </c>
      <c r="H982" s="35">
        <f t="shared" si="15"/>
        <v>22845</v>
      </c>
      <c r="I982" s="35"/>
      <c r="K982" t="s">
        <v>15</v>
      </c>
    </row>
    <row r="983" spans="2:11" ht="12.75" x14ac:dyDescent="0.2">
      <c r="B983" s="33" t="s">
        <v>1416</v>
      </c>
      <c r="C983" s="33" t="s">
        <v>30</v>
      </c>
      <c r="D983" s="35">
        <f>SUMIFS(D984:D9015,K984:K9015,"0",B984:B9015,"1 2 4 6 9 12 31111 6*")-SUMIFS(E984:E9015,K984:K9015,"0",B984:B9015,"1 2 4 6 9 12 31111 6*")</f>
        <v>28982.78</v>
      </c>
      <c r="E983"/>
      <c r="F983" s="35">
        <f>SUMIFS(F984:F9015,K984:K9015,"0",B984:B9015,"1 2 4 6 9 12 31111 6*")</f>
        <v>0</v>
      </c>
      <c r="G983" s="35">
        <f>SUMIFS(G984:G9015,K984:K9015,"0",B984:B9015,"1 2 4 6 9 12 31111 6*")</f>
        <v>6137.78</v>
      </c>
      <c r="H983" s="35">
        <f t="shared" si="15"/>
        <v>22845</v>
      </c>
      <c r="I983" s="35"/>
      <c r="K983" t="s">
        <v>15</v>
      </c>
    </row>
    <row r="984" spans="2:11" ht="16.5" x14ac:dyDescent="0.2">
      <c r="B984" s="33" t="s">
        <v>1417</v>
      </c>
      <c r="C984" s="33" t="s">
        <v>32</v>
      </c>
      <c r="D984" s="35">
        <f>SUMIFS(D985:D9015,K985:K9015,"0",B985:B9015,"1 2 4 6 9 12 31111 6 M59*")-SUMIFS(E985:E9015,K985:K9015,"0",B985:B9015,"1 2 4 6 9 12 31111 6 M59*")</f>
        <v>28982.78</v>
      </c>
      <c r="E984"/>
      <c r="F984" s="35">
        <f>SUMIFS(F985:F9015,K985:K9015,"0",B985:B9015,"1 2 4 6 9 12 31111 6 M59*")</f>
        <v>0</v>
      </c>
      <c r="G984" s="35">
        <f>SUMIFS(G985:G9015,K985:K9015,"0",B985:B9015,"1 2 4 6 9 12 31111 6 M59*")</f>
        <v>6137.78</v>
      </c>
      <c r="H984" s="35">
        <f t="shared" si="15"/>
        <v>22845</v>
      </c>
      <c r="I984" s="35"/>
      <c r="K984" t="s">
        <v>15</v>
      </c>
    </row>
    <row r="985" spans="2:11" ht="16.5" x14ac:dyDescent="0.2">
      <c r="B985" s="33" t="s">
        <v>1418</v>
      </c>
      <c r="C985" s="33" t="s">
        <v>34</v>
      </c>
      <c r="D985" s="35">
        <f>SUMIFS(D986:D9015,K986:K9015,"0",B986:B9015,"1 2 4 6 9 12 31111 6 M59 00001*")-SUMIFS(E986:E9015,K986:K9015,"0",B986:B9015,"1 2 4 6 9 12 31111 6 M59 00001*")</f>
        <v>28982.78</v>
      </c>
      <c r="E985"/>
      <c r="F985" s="35">
        <f>SUMIFS(F986:F9015,K986:K9015,"0",B986:B9015,"1 2 4 6 9 12 31111 6 M59 00001*")</f>
        <v>0</v>
      </c>
      <c r="G985" s="35">
        <f>SUMIFS(G986:G9015,K986:K9015,"0",B986:B9015,"1 2 4 6 9 12 31111 6 M59 00001*")</f>
        <v>6137.78</v>
      </c>
      <c r="H985" s="35">
        <f t="shared" si="15"/>
        <v>22845</v>
      </c>
      <c r="I985" s="35"/>
      <c r="K985" t="s">
        <v>15</v>
      </c>
    </row>
    <row r="986" spans="2:11" ht="16.5" x14ac:dyDescent="0.2">
      <c r="B986" s="31" t="s">
        <v>1419</v>
      </c>
      <c r="C986" s="31" t="s">
        <v>203</v>
      </c>
      <c r="D986" s="34">
        <v>28982.78</v>
      </c>
      <c r="E986" s="34"/>
      <c r="F986" s="34">
        <v>0</v>
      </c>
      <c r="G986" s="34">
        <v>6137.78</v>
      </c>
      <c r="H986" s="34">
        <f t="shared" si="15"/>
        <v>22845</v>
      </c>
      <c r="I986" s="34"/>
      <c r="K986" t="s">
        <v>38</v>
      </c>
    </row>
    <row r="987" spans="2:11" ht="16.5" x14ac:dyDescent="0.2">
      <c r="B987" s="33" t="s">
        <v>1420</v>
      </c>
      <c r="C987" s="33" t="s">
        <v>1421</v>
      </c>
      <c r="D987" s="35">
        <f>SUMIFS(D988:D9015,K988:K9015,"0",B988:B9015,"1 2 4 7*")-SUMIFS(E988:E9015,K988:K9015,"0",B988:B9015,"1 2 4 7*")</f>
        <v>60000</v>
      </c>
      <c r="E987"/>
      <c r="F987" s="35">
        <f>SUMIFS(F988:F9015,K988:K9015,"0",B988:B9015,"1 2 4 7*")</f>
        <v>0</v>
      </c>
      <c r="G987" s="35">
        <f>SUMIFS(G988:G9015,K988:K9015,"0",B988:B9015,"1 2 4 7*")</f>
        <v>0</v>
      </c>
      <c r="H987" s="35">
        <f t="shared" si="15"/>
        <v>60000</v>
      </c>
      <c r="I987" s="35"/>
      <c r="K987" t="s">
        <v>15</v>
      </c>
    </row>
    <row r="988" spans="2:11" ht="16.5" x14ac:dyDescent="0.2">
      <c r="B988" s="33" t="s">
        <v>1422</v>
      </c>
      <c r="C988" s="33" t="s">
        <v>1423</v>
      </c>
      <c r="D988" s="35">
        <f>SUMIFS(D989:D9015,K989:K9015,"0",B989:B9015,"1 2 4 7 1*")-SUMIFS(E989:E9015,K989:K9015,"0",B989:B9015,"1 2 4 7 1*")</f>
        <v>60000</v>
      </c>
      <c r="E988"/>
      <c r="F988" s="35">
        <f>SUMIFS(F989:F9015,K989:K9015,"0",B989:B9015,"1 2 4 7 1*")</f>
        <v>0</v>
      </c>
      <c r="G988" s="35">
        <f>SUMIFS(G989:G9015,K989:K9015,"0",B989:B9015,"1 2 4 7 1*")</f>
        <v>0</v>
      </c>
      <c r="H988" s="35">
        <f t="shared" si="15"/>
        <v>60000</v>
      </c>
      <c r="I988" s="35"/>
      <c r="K988" t="s">
        <v>15</v>
      </c>
    </row>
    <row r="989" spans="2:11" ht="12.75" x14ac:dyDescent="0.2">
      <c r="B989" s="33" t="s">
        <v>1424</v>
      </c>
      <c r="C989" s="33" t="s">
        <v>26</v>
      </c>
      <c r="D989" s="35">
        <f>SUMIFS(D990:D9015,K990:K9015,"0",B990:B9015,"1 2 4 7 1 12*")-SUMIFS(E990:E9015,K990:K9015,"0",B990:B9015,"1 2 4 7 1 12*")</f>
        <v>60000</v>
      </c>
      <c r="E989"/>
      <c r="F989" s="35">
        <f>SUMIFS(F990:F9015,K990:K9015,"0",B990:B9015,"1 2 4 7 1 12*")</f>
        <v>0</v>
      </c>
      <c r="G989" s="35">
        <f>SUMIFS(G990:G9015,K990:K9015,"0",B990:B9015,"1 2 4 7 1 12*")</f>
        <v>0</v>
      </c>
      <c r="H989" s="35">
        <f t="shared" si="15"/>
        <v>60000</v>
      </c>
      <c r="I989" s="35"/>
      <c r="K989" t="s">
        <v>15</v>
      </c>
    </row>
    <row r="990" spans="2:11" ht="16.5" x14ac:dyDescent="0.2">
      <c r="B990" s="33" t="s">
        <v>1425</v>
      </c>
      <c r="C990" s="33" t="s">
        <v>28</v>
      </c>
      <c r="D990" s="35">
        <f>SUMIFS(D991:D9015,K991:K9015,"0",B991:B9015,"1 2 4 7 1 12 31111*")-SUMIFS(E991:E9015,K991:K9015,"0",B991:B9015,"1 2 4 7 1 12 31111*")</f>
        <v>60000</v>
      </c>
      <c r="E990"/>
      <c r="F990" s="35">
        <f>SUMIFS(F991:F9015,K991:K9015,"0",B991:B9015,"1 2 4 7 1 12 31111*")</f>
        <v>0</v>
      </c>
      <c r="G990" s="35">
        <f>SUMIFS(G991:G9015,K991:K9015,"0",B991:B9015,"1 2 4 7 1 12 31111*")</f>
        <v>0</v>
      </c>
      <c r="H990" s="35">
        <f t="shared" si="15"/>
        <v>60000</v>
      </c>
      <c r="I990" s="35"/>
      <c r="K990" t="s">
        <v>15</v>
      </c>
    </row>
    <row r="991" spans="2:11" ht="12.75" x14ac:dyDescent="0.2">
      <c r="B991" s="33" t="s">
        <v>1426</v>
      </c>
      <c r="C991" s="33" t="s">
        <v>30</v>
      </c>
      <c r="D991" s="35">
        <f>SUMIFS(D992:D9015,K992:K9015,"0",B992:B9015,"1 2 4 7 1 12 31111 6*")-SUMIFS(E992:E9015,K992:K9015,"0",B992:B9015,"1 2 4 7 1 12 31111 6*")</f>
        <v>60000</v>
      </c>
      <c r="E991"/>
      <c r="F991" s="35">
        <f>SUMIFS(F992:F9015,K992:K9015,"0",B992:B9015,"1 2 4 7 1 12 31111 6*")</f>
        <v>0</v>
      </c>
      <c r="G991" s="35">
        <f>SUMIFS(G992:G9015,K992:K9015,"0",B992:B9015,"1 2 4 7 1 12 31111 6*")</f>
        <v>0</v>
      </c>
      <c r="H991" s="35">
        <f t="shared" si="15"/>
        <v>60000</v>
      </c>
      <c r="I991" s="35"/>
      <c r="K991" t="s">
        <v>15</v>
      </c>
    </row>
    <row r="992" spans="2:11" ht="16.5" x14ac:dyDescent="0.2">
      <c r="B992" s="33" t="s">
        <v>1427</v>
      </c>
      <c r="C992" s="33" t="s">
        <v>1428</v>
      </c>
      <c r="D992" s="35">
        <f>SUMIFS(D993:D9015,K993:K9015,"0",B993:B9015,"1 2 4 7 1 12 31111 6 M59*")-SUMIFS(E993:E9015,K993:K9015,"0",B993:B9015,"1 2 4 7 1 12 31111 6 M59*")</f>
        <v>60000</v>
      </c>
      <c r="E992"/>
      <c r="F992" s="35">
        <f>SUMIFS(F993:F9015,K993:K9015,"0",B993:B9015,"1 2 4 7 1 12 31111 6 M59*")</f>
        <v>0</v>
      </c>
      <c r="G992" s="35">
        <f>SUMIFS(G993:G9015,K993:K9015,"0",B993:B9015,"1 2 4 7 1 12 31111 6 M59*")</f>
        <v>0</v>
      </c>
      <c r="H992" s="35">
        <f t="shared" si="15"/>
        <v>60000</v>
      </c>
      <c r="I992" s="35"/>
      <c r="K992" t="s">
        <v>15</v>
      </c>
    </row>
    <row r="993" spans="2:11" ht="16.5" x14ac:dyDescent="0.2">
      <c r="B993" s="33" t="s">
        <v>1429</v>
      </c>
      <c r="C993" s="33" t="s">
        <v>34</v>
      </c>
      <c r="D993" s="35">
        <f>SUMIFS(D994:D9015,K994:K9015,"0",B994:B9015,"1 2 4 7 1 12 31111 6 M59 00001*")-SUMIFS(E994:E9015,K994:K9015,"0",B994:B9015,"1 2 4 7 1 12 31111 6 M59 00001*")</f>
        <v>60000</v>
      </c>
      <c r="E993"/>
      <c r="F993" s="35">
        <f>SUMIFS(F994:F9015,K994:K9015,"0",B994:B9015,"1 2 4 7 1 12 31111 6 M59 00001*")</f>
        <v>0</v>
      </c>
      <c r="G993" s="35">
        <f>SUMIFS(G994:G9015,K994:K9015,"0",B994:B9015,"1 2 4 7 1 12 31111 6 M59 00001*")</f>
        <v>0</v>
      </c>
      <c r="H993" s="35">
        <f t="shared" si="15"/>
        <v>60000</v>
      </c>
      <c r="I993" s="35"/>
      <c r="K993" t="s">
        <v>15</v>
      </c>
    </row>
    <row r="994" spans="2:11" ht="16.5" x14ac:dyDescent="0.2">
      <c r="B994" s="31" t="s">
        <v>1430</v>
      </c>
      <c r="C994" s="31" t="s">
        <v>1431</v>
      </c>
      <c r="D994" s="34">
        <v>60000</v>
      </c>
      <c r="E994" s="34"/>
      <c r="F994" s="34">
        <v>0</v>
      </c>
      <c r="G994" s="34">
        <v>0</v>
      </c>
      <c r="H994" s="34">
        <f t="shared" si="15"/>
        <v>60000</v>
      </c>
      <c r="I994" s="34"/>
      <c r="K994" t="s">
        <v>38</v>
      </c>
    </row>
    <row r="995" spans="2:11" ht="12.75" x14ac:dyDescent="0.2">
      <c r="B995" s="33" t="s">
        <v>1432</v>
      </c>
      <c r="C995" s="33" t="s">
        <v>1433</v>
      </c>
      <c r="D995" s="35">
        <f>SUMIFS(D996:D9015,K996:K9015,"0",B996:B9015,"1 2 5*")-SUMIFS(E996:E9015,K996:K9015,"0",B996:B9015,"1 2 5*")</f>
        <v>28160.86</v>
      </c>
      <c r="E995"/>
      <c r="F995" s="35">
        <f>SUMIFS(F996:F9015,K996:K9015,"0",B996:B9015,"1 2 5*")</f>
        <v>0</v>
      </c>
      <c r="G995" s="35">
        <f>SUMIFS(G996:G9015,K996:K9015,"0",B996:B9015,"1 2 5*")</f>
        <v>0</v>
      </c>
      <c r="H995" s="35">
        <f t="shared" si="15"/>
        <v>28160.86</v>
      </c>
      <c r="I995" s="35"/>
      <c r="K995" t="s">
        <v>15</v>
      </c>
    </row>
    <row r="996" spans="2:11" ht="12.75" x14ac:dyDescent="0.2">
      <c r="B996" s="33" t="s">
        <v>1434</v>
      </c>
      <c r="C996" s="33" t="s">
        <v>1435</v>
      </c>
      <c r="D996" s="35">
        <f>SUMIFS(D997:D9015,K997:K9015,"0",B997:B9015,"1 2 5 1*")-SUMIFS(E997:E9015,K997:K9015,"0",B997:B9015,"1 2 5 1*")</f>
        <v>28160.86</v>
      </c>
      <c r="E996"/>
      <c r="F996" s="35">
        <f>SUMIFS(F997:F9015,K997:K9015,"0",B997:B9015,"1 2 5 1*")</f>
        <v>0</v>
      </c>
      <c r="G996" s="35">
        <f>SUMIFS(G997:G9015,K997:K9015,"0",B997:B9015,"1 2 5 1*")</f>
        <v>0</v>
      </c>
      <c r="H996" s="35">
        <f t="shared" si="15"/>
        <v>28160.86</v>
      </c>
      <c r="I996" s="35"/>
      <c r="K996" t="s">
        <v>15</v>
      </c>
    </row>
    <row r="997" spans="2:11" ht="12.75" x14ac:dyDescent="0.2">
      <c r="B997" s="33" t="s">
        <v>1436</v>
      </c>
      <c r="C997" s="33" t="s">
        <v>1435</v>
      </c>
      <c r="D997" s="35">
        <f>SUMIFS(D998:D9015,K998:K9015,"0",B998:B9015,"1 2 5 1 1*")-SUMIFS(E998:E9015,K998:K9015,"0",B998:B9015,"1 2 5 1 1*")</f>
        <v>28160.86</v>
      </c>
      <c r="E997"/>
      <c r="F997" s="35">
        <f>SUMIFS(F998:F9015,K998:K9015,"0",B998:B9015,"1 2 5 1 1*")</f>
        <v>0</v>
      </c>
      <c r="G997" s="35">
        <f>SUMIFS(G998:G9015,K998:K9015,"0",B998:B9015,"1 2 5 1 1*")</f>
        <v>0</v>
      </c>
      <c r="H997" s="35">
        <f t="shared" si="15"/>
        <v>28160.86</v>
      </c>
      <c r="I997" s="35"/>
      <c r="K997" t="s">
        <v>15</v>
      </c>
    </row>
    <row r="998" spans="2:11" ht="12.75" x14ac:dyDescent="0.2">
      <c r="B998" s="33" t="s">
        <v>1437</v>
      </c>
      <c r="C998" s="33" t="s">
        <v>26</v>
      </c>
      <c r="D998" s="35">
        <f>SUMIFS(D999:D9015,K999:K9015,"0",B999:B9015,"1 2 5 1 1 12*")-SUMIFS(E999:E9015,K999:K9015,"0",B999:B9015,"1 2 5 1 1 12*")</f>
        <v>28160.86</v>
      </c>
      <c r="E998"/>
      <c r="F998" s="35">
        <f>SUMIFS(F999:F9015,K999:K9015,"0",B999:B9015,"1 2 5 1 1 12*")</f>
        <v>0</v>
      </c>
      <c r="G998" s="35">
        <f>SUMIFS(G999:G9015,K999:K9015,"0",B999:B9015,"1 2 5 1 1 12*")</f>
        <v>0</v>
      </c>
      <c r="H998" s="35">
        <f t="shared" si="15"/>
        <v>28160.86</v>
      </c>
      <c r="I998" s="35"/>
      <c r="K998" t="s">
        <v>15</v>
      </c>
    </row>
    <row r="999" spans="2:11" ht="16.5" x14ac:dyDescent="0.2">
      <c r="B999" s="33" t="s">
        <v>1438</v>
      </c>
      <c r="C999" s="33" t="s">
        <v>28</v>
      </c>
      <c r="D999" s="35">
        <f>SUMIFS(D1000:D9015,K1000:K9015,"0",B1000:B9015,"1 2 5 1 1 12 31111*")-SUMIFS(E1000:E9015,K1000:K9015,"0",B1000:B9015,"1 2 5 1 1 12 31111*")</f>
        <v>28160.86</v>
      </c>
      <c r="E999"/>
      <c r="F999" s="35">
        <f>SUMIFS(F1000:F9015,K1000:K9015,"0",B1000:B9015,"1 2 5 1 1 12 31111*")</f>
        <v>0</v>
      </c>
      <c r="G999" s="35">
        <f>SUMIFS(G1000:G9015,K1000:K9015,"0",B1000:B9015,"1 2 5 1 1 12 31111*")</f>
        <v>0</v>
      </c>
      <c r="H999" s="35">
        <f t="shared" si="15"/>
        <v>28160.86</v>
      </c>
      <c r="I999" s="35"/>
      <c r="K999" t="s">
        <v>15</v>
      </c>
    </row>
    <row r="1000" spans="2:11" ht="12.75" x14ac:dyDescent="0.2">
      <c r="B1000" s="33" t="s">
        <v>1439</v>
      </c>
      <c r="C1000" s="33" t="s">
        <v>30</v>
      </c>
      <c r="D1000" s="35">
        <f>SUMIFS(D1001:D9015,K1001:K9015,"0",B1001:B9015,"1 2 5 1 1 12 31111 6*")-SUMIFS(E1001:E9015,K1001:K9015,"0",B1001:B9015,"1 2 5 1 1 12 31111 6*")</f>
        <v>28160.86</v>
      </c>
      <c r="E1000"/>
      <c r="F1000" s="35">
        <f>SUMIFS(F1001:F9015,K1001:K9015,"0",B1001:B9015,"1 2 5 1 1 12 31111 6*")</f>
        <v>0</v>
      </c>
      <c r="G1000" s="35">
        <f>SUMIFS(G1001:G9015,K1001:K9015,"0",B1001:B9015,"1 2 5 1 1 12 31111 6*")</f>
        <v>0</v>
      </c>
      <c r="H1000" s="35">
        <f t="shared" si="15"/>
        <v>28160.86</v>
      </c>
      <c r="I1000" s="35"/>
      <c r="K1000" t="s">
        <v>15</v>
      </c>
    </row>
    <row r="1001" spans="2:11" ht="12.75" x14ac:dyDescent="0.2">
      <c r="B1001" s="33" t="s">
        <v>1440</v>
      </c>
      <c r="C1001" s="33" t="s">
        <v>32</v>
      </c>
      <c r="D1001" s="35">
        <f>SUMIFS(D1002:D9015,K1002:K9015,"0",B1002:B9015,"1 2 5 1 1 12 31111 6 M59*")-SUMIFS(E1002:E9015,K1002:K9015,"0",B1002:B9015,"1 2 5 1 1 12 31111 6 M59*")</f>
        <v>28160.86</v>
      </c>
      <c r="E1001"/>
      <c r="F1001" s="35">
        <f>SUMIFS(F1002:F9015,K1002:K9015,"0",B1002:B9015,"1 2 5 1 1 12 31111 6 M59*")</f>
        <v>0</v>
      </c>
      <c r="G1001" s="35">
        <f>SUMIFS(G1002:G9015,K1002:K9015,"0",B1002:B9015,"1 2 5 1 1 12 31111 6 M59*")</f>
        <v>0</v>
      </c>
      <c r="H1001" s="35">
        <f t="shared" si="15"/>
        <v>28160.86</v>
      </c>
      <c r="I1001" s="35"/>
      <c r="K1001" t="s">
        <v>15</v>
      </c>
    </row>
    <row r="1002" spans="2:11" ht="16.5" x14ac:dyDescent="0.2">
      <c r="B1002" s="33" t="s">
        <v>1441</v>
      </c>
      <c r="C1002" s="33" t="s">
        <v>34</v>
      </c>
      <c r="D1002" s="35">
        <f>SUMIFS(D1003:D9015,K1003:K9015,"0",B1003:B9015,"1 2 5 1 1 12 31111 6 M59 00001*")-SUMIFS(E1003:E9015,K1003:K9015,"0",B1003:B9015,"1 2 5 1 1 12 31111 6 M59 00001*")</f>
        <v>4860.3999999999996</v>
      </c>
      <c r="E1002"/>
      <c r="F1002" s="35">
        <f>SUMIFS(F1003:F9015,K1003:K9015,"0",B1003:B9015,"1 2 5 1 1 12 31111 6 M59 00001*")</f>
        <v>0</v>
      </c>
      <c r="G1002" s="35">
        <f>SUMIFS(G1003:G9015,K1003:K9015,"0",B1003:B9015,"1 2 5 1 1 12 31111 6 M59 00001*")</f>
        <v>0</v>
      </c>
      <c r="H1002" s="35">
        <f t="shared" si="15"/>
        <v>4860.3999999999996</v>
      </c>
      <c r="I1002" s="35"/>
      <c r="K1002" t="s">
        <v>15</v>
      </c>
    </row>
    <row r="1003" spans="2:11" ht="16.5" x14ac:dyDescent="0.2">
      <c r="B1003" s="31" t="s">
        <v>1442</v>
      </c>
      <c r="C1003" s="31" t="s">
        <v>203</v>
      </c>
      <c r="D1003" s="34">
        <v>4860.3999999999996</v>
      </c>
      <c r="E1003" s="34"/>
      <c r="F1003" s="34">
        <v>0</v>
      </c>
      <c r="G1003" s="34">
        <v>0</v>
      </c>
      <c r="H1003" s="34">
        <f t="shared" si="15"/>
        <v>4860.3999999999996</v>
      </c>
      <c r="I1003" s="34"/>
      <c r="K1003" t="s">
        <v>38</v>
      </c>
    </row>
    <row r="1004" spans="2:11" ht="24.75" x14ac:dyDescent="0.2">
      <c r="B1004" s="33" t="s">
        <v>1443</v>
      </c>
      <c r="C1004" s="33" t="s">
        <v>40</v>
      </c>
      <c r="D1004" s="35">
        <f>SUMIFS(D1005:D9015,K1005:K9015,"0",B1005:B9015,"1 2 5 1 1 12 31111 6 M59 00003*")-SUMIFS(E1005:E9015,K1005:K9015,"0",B1005:B9015,"1 2 5 1 1 12 31111 6 M59 00003*")</f>
        <v>23300.46</v>
      </c>
      <c r="E1004"/>
      <c r="F1004" s="35">
        <f>SUMIFS(F1005:F9015,K1005:K9015,"0",B1005:B9015,"1 2 5 1 1 12 31111 6 M59 00003*")</f>
        <v>0</v>
      </c>
      <c r="G1004" s="35">
        <f>SUMIFS(G1005:G9015,K1005:K9015,"0",B1005:B9015,"1 2 5 1 1 12 31111 6 M59 00003*")</f>
        <v>0</v>
      </c>
      <c r="H1004" s="35">
        <f t="shared" si="15"/>
        <v>23300.46</v>
      </c>
      <c r="I1004" s="35"/>
      <c r="K1004" t="s">
        <v>15</v>
      </c>
    </row>
    <row r="1005" spans="2:11" ht="16.5" x14ac:dyDescent="0.2">
      <c r="B1005" s="33" t="s">
        <v>1444</v>
      </c>
      <c r="C1005" s="33" t="s">
        <v>42</v>
      </c>
      <c r="D1005" s="35">
        <f>SUMIFS(D1006:D9015,K1006:K9015,"0",B1006:B9015,"1 2 5 1 1 12 31111 6 M59 00003 000001*")-SUMIFS(E1006:E9015,K1006:K9015,"0",B1006:B9015,"1 2 5 1 1 12 31111 6 M59 00003 000001*")</f>
        <v>23300.46</v>
      </c>
      <c r="E1005"/>
      <c r="F1005" s="35">
        <f>SUMIFS(F1006:F9015,K1006:K9015,"0",B1006:B9015,"1 2 5 1 1 12 31111 6 M59 00003 000001*")</f>
        <v>0</v>
      </c>
      <c r="G1005" s="35">
        <f>SUMIFS(G1006:G9015,K1006:K9015,"0",B1006:B9015,"1 2 5 1 1 12 31111 6 M59 00003 000001*")</f>
        <v>0</v>
      </c>
      <c r="H1005" s="35">
        <f t="shared" si="15"/>
        <v>23300.46</v>
      </c>
      <c r="I1005" s="35"/>
      <c r="K1005" t="s">
        <v>15</v>
      </c>
    </row>
    <row r="1006" spans="2:11" ht="16.5" x14ac:dyDescent="0.2">
      <c r="B1006" s="31" t="s">
        <v>1445</v>
      </c>
      <c r="C1006" s="31" t="s">
        <v>274</v>
      </c>
      <c r="D1006" s="34">
        <v>23300.46</v>
      </c>
      <c r="E1006" s="34"/>
      <c r="F1006" s="34">
        <v>0</v>
      </c>
      <c r="G1006" s="34">
        <v>0</v>
      </c>
      <c r="H1006" s="34">
        <f t="shared" si="15"/>
        <v>23300.46</v>
      </c>
      <c r="I1006" s="34"/>
      <c r="K1006" t="s">
        <v>38</v>
      </c>
    </row>
    <row r="1007" spans="2:11" ht="24.75" x14ac:dyDescent="0.2">
      <c r="B1007" s="33" t="s">
        <v>1446</v>
      </c>
      <c r="C1007" s="33" t="s">
        <v>1447</v>
      </c>
      <c r="D1007"/>
      <c r="E1007" s="35">
        <f>SUMIFS(E1008:E9015,K1008:K9015,"0",B1008:B9015,"1 2 6*")-SUMIFS(D1008:D9015,K1008:K9015,"0",B1008:B9015,"1 2 6*")</f>
        <v>23071356.379999999</v>
      </c>
      <c r="F1007" s="35">
        <f>SUMIFS(F1008:F9015,K1008:K9015,"0",B1008:B9015,"1 2 6*")</f>
        <v>0</v>
      </c>
      <c r="G1007" s="35">
        <f>SUMIFS(G1008:G9015,K1008:K9015,"0",B1008:B9015,"1 2 6*")</f>
        <v>297011.96999999997</v>
      </c>
      <c r="H1007" s="35"/>
      <c r="I1007" s="35">
        <f t="shared" ref="I1007:I1070" si="16">E1007 - F1007 + G1007</f>
        <v>23368368.349999998</v>
      </c>
      <c r="K1007" t="s">
        <v>15</v>
      </c>
    </row>
    <row r="1008" spans="2:11" ht="16.5" x14ac:dyDescent="0.2">
      <c r="B1008" s="33" t="s">
        <v>1448</v>
      </c>
      <c r="C1008" s="33" t="s">
        <v>1449</v>
      </c>
      <c r="D1008"/>
      <c r="E1008" s="35">
        <f>SUMIFS(E1009:E9015,K1009:K9015,"0",B1009:B9015,"1 2 6 3*")-SUMIFS(D1009:D9015,K1009:K9015,"0",B1009:B9015,"1 2 6 3*")</f>
        <v>23071356.379999999</v>
      </c>
      <c r="F1008" s="35">
        <f>SUMIFS(F1009:F9015,K1009:K9015,"0",B1009:B9015,"1 2 6 3*")</f>
        <v>0</v>
      </c>
      <c r="G1008" s="35">
        <f>SUMIFS(G1009:G9015,K1009:K9015,"0",B1009:B9015,"1 2 6 3*")</f>
        <v>297011.96999999997</v>
      </c>
      <c r="H1008" s="35"/>
      <c r="I1008" s="35">
        <f t="shared" si="16"/>
        <v>23368368.349999998</v>
      </c>
      <c r="K1008" t="s">
        <v>15</v>
      </c>
    </row>
    <row r="1009" spans="2:11" ht="24.75" x14ac:dyDescent="0.2">
      <c r="B1009" s="33" t="s">
        <v>1450</v>
      </c>
      <c r="C1009" s="33" t="s">
        <v>1451</v>
      </c>
      <c r="D1009"/>
      <c r="E1009" s="35">
        <f>SUMIFS(E1010:E9015,K1010:K9015,"0",B1010:B9015,"1 2 6 3 1*")-SUMIFS(D1010:D9015,K1010:K9015,"0",B1010:B9015,"1 2 6 3 1*")</f>
        <v>23071356.379999999</v>
      </c>
      <c r="F1009" s="35">
        <f>SUMIFS(F1010:F9015,K1010:K9015,"0",B1010:B9015,"1 2 6 3 1*")</f>
        <v>0</v>
      </c>
      <c r="G1009" s="35">
        <f>SUMIFS(G1010:G9015,K1010:K9015,"0",B1010:B9015,"1 2 6 3 1*")</f>
        <v>297011.96999999997</v>
      </c>
      <c r="H1009" s="35"/>
      <c r="I1009" s="35">
        <f t="shared" si="16"/>
        <v>23368368.349999998</v>
      </c>
      <c r="K1009" t="s">
        <v>15</v>
      </c>
    </row>
    <row r="1010" spans="2:11" ht="12.75" x14ac:dyDescent="0.2">
      <c r="B1010" s="33" t="s">
        <v>1452</v>
      </c>
      <c r="C1010" s="33" t="s">
        <v>26</v>
      </c>
      <c r="D1010"/>
      <c r="E1010" s="35">
        <f>SUMIFS(E1011:E9015,K1011:K9015,"0",B1011:B9015,"1 2 6 3 1 12*")-SUMIFS(D1011:D9015,K1011:K9015,"0",B1011:B9015,"1 2 6 3 1 12*")</f>
        <v>23071356.379999999</v>
      </c>
      <c r="F1010" s="35">
        <f>SUMIFS(F1011:F9015,K1011:K9015,"0",B1011:B9015,"1 2 6 3 1 12*")</f>
        <v>0</v>
      </c>
      <c r="G1010" s="35">
        <f>SUMIFS(G1011:G9015,K1011:K9015,"0",B1011:B9015,"1 2 6 3 1 12*")</f>
        <v>297011.96999999997</v>
      </c>
      <c r="H1010" s="35"/>
      <c r="I1010" s="35">
        <f t="shared" si="16"/>
        <v>23368368.349999998</v>
      </c>
      <c r="K1010" t="s">
        <v>15</v>
      </c>
    </row>
    <row r="1011" spans="2:11" ht="16.5" x14ac:dyDescent="0.2">
      <c r="B1011" s="33" t="s">
        <v>1453</v>
      </c>
      <c r="C1011" s="33" t="s">
        <v>28</v>
      </c>
      <c r="D1011"/>
      <c r="E1011" s="35">
        <f>SUMIFS(E1012:E9015,K1012:K9015,"0",B1012:B9015,"1 2 6 3 1 12 31111*")-SUMIFS(D1012:D9015,K1012:K9015,"0",B1012:B9015,"1 2 6 3 1 12 31111*")</f>
        <v>23071356.379999999</v>
      </c>
      <c r="F1011" s="35">
        <f>SUMIFS(F1012:F9015,K1012:K9015,"0",B1012:B9015,"1 2 6 3 1 12 31111*")</f>
        <v>0</v>
      </c>
      <c r="G1011" s="35">
        <f>SUMIFS(G1012:G9015,K1012:K9015,"0",B1012:B9015,"1 2 6 3 1 12 31111*")</f>
        <v>297011.96999999997</v>
      </c>
      <c r="H1011" s="35"/>
      <c r="I1011" s="35">
        <f t="shared" si="16"/>
        <v>23368368.349999998</v>
      </c>
      <c r="K1011" t="s">
        <v>15</v>
      </c>
    </row>
    <row r="1012" spans="2:11" ht="12.75" x14ac:dyDescent="0.2">
      <c r="B1012" s="33" t="s">
        <v>1454</v>
      </c>
      <c r="C1012" s="33" t="s">
        <v>30</v>
      </c>
      <c r="D1012"/>
      <c r="E1012" s="35">
        <f>SUMIFS(E1013:E9015,K1013:K9015,"0",B1013:B9015,"1 2 6 3 1 12 31111 6*")-SUMIFS(D1013:D9015,K1013:K9015,"0",B1013:B9015,"1 2 6 3 1 12 31111 6*")</f>
        <v>23071356.379999999</v>
      </c>
      <c r="F1012" s="35">
        <f>SUMIFS(F1013:F9015,K1013:K9015,"0",B1013:B9015,"1 2 6 3 1 12 31111 6*")</f>
        <v>0</v>
      </c>
      <c r="G1012" s="35">
        <f>SUMIFS(G1013:G9015,K1013:K9015,"0",B1013:B9015,"1 2 6 3 1 12 31111 6*")</f>
        <v>297011.96999999997</v>
      </c>
      <c r="H1012" s="35"/>
      <c r="I1012" s="35">
        <f t="shared" si="16"/>
        <v>23368368.349999998</v>
      </c>
      <c r="K1012" t="s">
        <v>15</v>
      </c>
    </row>
    <row r="1013" spans="2:11" ht="16.5" x14ac:dyDescent="0.2">
      <c r="B1013" s="33" t="s">
        <v>1455</v>
      </c>
      <c r="C1013" s="33" t="s">
        <v>32</v>
      </c>
      <c r="D1013"/>
      <c r="E1013" s="35">
        <f>SUMIFS(E1014:E9015,K1014:K9015,"0",B1014:B9015,"1 2 6 3 1 12 31111 6 M59*")-SUMIFS(D1014:D9015,K1014:K9015,"0",B1014:B9015,"1 2 6 3 1 12 31111 6 M59*")</f>
        <v>23071356.379999999</v>
      </c>
      <c r="F1013" s="35">
        <f>SUMIFS(F1014:F9015,K1014:K9015,"0",B1014:B9015,"1 2 6 3 1 12 31111 6 M59*")</f>
        <v>0</v>
      </c>
      <c r="G1013" s="35">
        <f>SUMIFS(G1014:G9015,K1014:K9015,"0",B1014:B9015,"1 2 6 3 1 12 31111 6 M59*")</f>
        <v>297011.96999999997</v>
      </c>
      <c r="H1013" s="35"/>
      <c r="I1013" s="35">
        <f t="shared" si="16"/>
        <v>23368368.349999998</v>
      </c>
      <c r="K1013" t="s">
        <v>15</v>
      </c>
    </row>
    <row r="1014" spans="2:11" ht="16.5" x14ac:dyDescent="0.2">
      <c r="B1014" s="33" t="s">
        <v>1456</v>
      </c>
      <c r="C1014" s="33" t="s">
        <v>34</v>
      </c>
      <c r="D1014"/>
      <c r="E1014" s="35">
        <f>SUMIFS(E1015:E9015,K1015:K9015,"0",B1015:B9015,"1 2 6 3 1 12 31111 6 M59 00001*")-SUMIFS(D1015:D9015,K1015:K9015,"0",B1015:B9015,"1 2 6 3 1 12 31111 6 M59 00001*")</f>
        <v>13599036.42</v>
      </c>
      <c r="F1014" s="35">
        <f>SUMIFS(F1015:F9015,K1015:K9015,"0",B1015:B9015,"1 2 6 3 1 12 31111 6 M59 00001*")</f>
        <v>0</v>
      </c>
      <c r="G1014" s="35">
        <f>SUMIFS(G1015:G9015,K1015:K9015,"0",B1015:B9015,"1 2 6 3 1 12 31111 6 M59 00001*")</f>
        <v>297011.96999999997</v>
      </c>
      <c r="H1014" s="35"/>
      <c r="I1014" s="35">
        <f t="shared" si="16"/>
        <v>13896048.390000001</v>
      </c>
      <c r="K1014" t="s">
        <v>15</v>
      </c>
    </row>
    <row r="1015" spans="2:11" ht="16.5" x14ac:dyDescent="0.2">
      <c r="B1015" s="31" t="s">
        <v>1457</v>
      </c>
      <c r="C1015" s="31" t="s">
        <v>203</v>
      </c>
      <c r="D1015" s="34"/>
      <c r="E1015" s="34">
        <v>13200022.23</v>
      </c>
      <c r="F1015" s="34">
        <v>0</v>
      </c>
      <c r="G1015" s="34">
        <v>297011.96999999997</v>
      </c>
      <c r="H1015" s="34"/>
      <c r="I1015" s="34">
        <f t="shared" si="16"/>
        <v>13497034.200000001</v>
      </c>
      <c r="K1015" t="s">
        <v>38</v>
      </c>
    </row>
    <row r="1016" spans="2:11" ht="16.5" x14ac:dyDescent="0.2">
      <c r="B1016" s="31" t="s">
        <v>1458</v>
      </c>
      <c r="C1016" s="31" t="s">
        <v>1004</v>
      </c>
      <c r="D1016" s="34"/>
      <c r="E1016" s="34">
        <v>1843.14</v>
      </c>
      <c r="F1016" s="34">
        <v>0</v>
      </c>
      <c r="G1016" s="34">
        <v>0</v>
      </c>
      <c r="H1016" s="34"/>
      <c r="I1016" s="34">
        <f t="shared" si="16"/>
        <v>1843.14</v>
      </c>
      <c r="K1016" t="s">
        <v>38</v>
      </c>
    </row>
    <row r="1017" spans="2:11" ht="16.5" x14ac:dyDescent="0.2">
      <c r="B1017" s="31" t="s">
        <v>1459</v>
      </c>
      <c r="C1017" s="31" t="s">
        <v>1022</v>
      </c>
      <c r="D1017" s="34"/>
      <c r="E1017" s="34">
        <v>48540</v>
      </c>
      <c r="F1017" s="34">
        <v>0</v>
      </c>
      <c r="G1017" s="34">
        <v>0</v>
      </c>
      <c r="H1017" s="34"/>
      <c r="I1017" s="34">
        <f t="shared" si="16"/>
        <v>48540</v>
      </c>
      <c r="K1017" t="s">
        <v>38</v>
      </c>
    </row>
    <row r="1018" spans="2:11" ht="16.5" x14ac:dyDescent="0.2">
      <c r="B1018" s="31" t="s">
        <v>1460</v>
      </c>
      <c r="C1018" s="31" t="s">
        <v>457</v>
      </c>
      <c r="D1018" s="34"/>
      <c r="E1018" s="34">
        <v>27734.5</v>
      </c>
      <c r="F1018" s="34">
        <v>0</v>
      </c>
      <c r="G1018" s="34">
        <v>0</v>
      </c>
      <c r="H1018" s="34"/>
      <c r="I1018" s="34">
        <f t="shared" si="16"/>
        <v>27734.5</v>
      </c>
      <c r="K1018" t="s">
        <v>38</v>
      </c>
    </row>
    <row r="1019" spans="2:11" ht="16.5" x14ac:dyDescent="0.2">
      <c r="B1019" s="31" t="s">
        <v>1461</v>
      </c>
      <c r="C1019" s="31" t="s">
        <v>1462</v>
      </c>
      <c r="D1019" s="34"/>
      <c r="E1019" s="34">
        <v>1660.86</v>
      </c>
      <c r="F1019" s="34">
        <v>0</v>
      </c>
      <c r="G1019" s="34">
        <v>0</v>
      </c>
      <c r="H1019" s="34"/>
      <c r="I1019" s="34">
        <f t="shared" si="16"/>
        <v>1660.86</v>
      </c>
      <c r="K1019" t="s">
        <v>38</v>
      </c>
    </row>
    <row r="1020" spans="2:11" ht="16.5" x14ac:dyDescent="0.2">
      <c r="B1020" s="31" t="s">
        <v>1463</v>
      </c>
      <c r="C1020" s="31" t="s">
        <v>1126</v>
      </c>
      <c r="D1020" s="34"/>
      <c r="E1020" s="34">
        <v>284.22000000000003</v>
      </c>
      <c r="F1020" s="34">
        <v>0</v>
      </c>
      <c r="G1020" s="34">
        <v>0</v>
      </c>
      <c r="H1020" s="34"/>
      <c r="I1020" s="34">
        <f t="shared" si="16"/>
        <v>284.22000000000003</v>
      </c>
      <c r="K1020" t="s">
        <v>38</v>
      </c>
    </row>
    <row r="1021" spans="2:11" ht="16.5" x14ac:dyDescent="0.2">
      <c r="B1021" s="31" t="s">
        <v>1464</v>
      </c>
      <c r="C1021" s="31" t="s">
        <v>1465</v>
      </c>
      <c r="D1021" s="34"/>
      <c r="E1021" s="34">
        <v>2099.6999999999998</v>
      </c>
      <c r="F1021" s="34">
        <v>0</v>
      </c>
      <c r="G1021" s="34">
        <v>0</v>
      </c>
      <c r="H1021" s="34"/>
      <c r="I1021" s="34">
        <f t="shared" si="16"/>
        <v>2099.6999999999998</v>
      </c>
      <c r="K1021" t="s">
        <v>38</v>
      </c>
    </row>
    <row r="1022" spans="2:11" ht="16.5" x14ac:dyDescent="0.2">
      <c r="B1022" s="31" t="s">
        <v>1466</v>
      </c>
      <c r="C1022" s="31" t="s">
        <v>1128</v>
      </c>
      <c r="D1022" s="34"/>
      <c r="E1022" s="34">
        <v>2801.72</v>
      </c>
      <c r="F1022" s="34">
        <v>0</v>
      </c>
      <c r="G1022" s="34">
        <v>0</v>
      </c>
      <c r="H1022" s="34"/>
      <c r="I1022" s="34">
        <f t="shared" si="16"/>
        <v>2801.72</v>
      </c>
      <c r="K1022" t="s">
        <v>38</v>
      </c>
    </row>
    <row r="1023" spans="2:11" ht="16.5" x14ac:dyDescent="0.2">
      <c r="B1023" s="31" t="s">
        <v>1467</v>
      </c>
      <c r="C1023" s="31" t="s">
        <v>1151</v>
      </c>
      <c r="D1023" s="34"/>
      <c r="E1023" s="34">
        <v>3474.96</v>
      </c>
      <c r="F1023" s="34">
        <v>0</v>
      </c>
      <c r="G1023" s="34">
        <v>0</v>
      </c>
      <c r="H1023" s="34"/>
      <c r="I1023" s="34">
        <f t="shared" si="16"/>
        <v>3474.96</v>
      </c>
      <c r="K1023" t="s">
        <v>38</v>
      </c>
    </row>
    <row r="1024" spans="2:11" ht="24.75" x14ac:dyDescent="0.2">
      <c r="B1024" s="31" t="s">
        <v>1468</v>
      </c>
      <c r="C1024" s="31" t="s">
        <v>1130</v>
      </c>
      <c r="D1024" s="34"/>
      <c r="E1024" s="34">
        <v>980.19</v>
      </c>
      <c r="F1024" s="34">
        <v>0</v>
      </c>
      <c r="G1024" s="34">
        <v>0</v>
      </c>
      <c r="H1024" s="34"/>
      <c r="I1024" s="34">
        <f t="shared" si="16"/>
        <v>980.19</v>
      </c>
      <c r="K1024" t="s">
        <v>38</v>
      </c>
    </row>
    <row r="1025" spans="2:11" ht="16.5" x14ac:dyDescent="0.2">
      <c r="B1025" s="31" t="s">
        <v>1469</v>
      </c>
      <c r="C1025" s="31" t="s">
        <v>1331</v>
      </c>
      <c r="D1025" s="34"/>
      <c r="E1025" s="34">
        <v>17400</v>
      </c>
      <c r="F1025" s="34">
        <v>0</v>
      </c>
      <c r="G1025" s="34">
        <v>0</v>
      </c>
      <c r="H1025" s="34"/>
      <c r="I1025" s="34">
        <f t="shared" si="16"/>
        <v>17400</v>
      </c>
      <c r="K1025" t="s">
        <v>38</v>
      </c>
    </row>
    <row r="1026" spans="2:11" ht="16.5" x14ac:dyDescent="0.2">
      <c r="B1026" s="31" t="s">
        <v>1470</v>
      </c>
      <c r="C1026" s="31" t="s">
        <v>1025</v>
      </c>
      <c r="D1026" s="34"/>
      <c r="E1026" s="34">
        <v>5699.7</v>
      </c>
      <c r="F1026" s="34">
        <v>0</v>
      </c>
      <c r="G1026" s="34">
        <v>0</v>
      </c>
      <c r="H1026" s="34"/>
      <c r="I1026" s="34">
        <f t="shared" si="16"/>
        <v>5699.7</v>
      </c>
      <c r="K1026" t="s">
        <v>38</v>
      </c>
    </row>
    <row r="1027" spans="2:11" ht="33" x14ac:dyDescent="0.2">
      <c r="B1027" s="31" t="s">
        <v>1471</v>
      </c>
      <c r="C1027" s="31" t="s">
        <v>984</v>
      </c>
      <c r="D1027" s="34"/>
      <c r="E1027" s="34">
        <v>20839.2</v>
      </c>
      <c r="F1027" s="34">
        <v>0</v>
      </c>
      <c r="G1027" s="34">
        <v>0</v>
      </c>
      <c r="H1027" s="34"/>
      <c r="I1027" s="34">
        <f t="shared" si="16"/>
        <v>20839.2</v>
      </c>
      <c r="K1027" t="s">
        <v>38</v>
      </c>
    </row>
    <row r="1028" spans="2:11" ht="16.5" x14ac:dyDescent="0.2">
      <c r="B1028" s="31" t="s">
        <v>1472</v>
      </c>
      <c r="C1028" s="31" t="s">
        <v>1377</v>
      </c>
      <c r="D1028" s="34"/>
      <c r="E1028" s="34">
        <v>3306</v>
      </c>
      <c r="F1028" s="34">
        <v>0</v>
      </c>
      <c r="G1028" s="34">
        <v>0</v>
      </c>
      <c r="H1028" s="34"/>
      <c r="I1028" s="34">
        <f t="shared" si="16"/>
        <v>3306</v>
      </c>
      <c r="K1028" t="s">
        <v>38</v>
      </c>
    </row>
    <row r="1029" spans="2:11" ht="16.5" x14ac:dyDescent="0.2">
      <c r="B1029" s="31" t="s">
        <v>1473</v>
      </c>
      <c r="C1029" s="31" t="s">
        <v>1346</v>
      </c>
      <c r="D1029" s="34"/>
      <c r="E1029" s="34">
        <v>123600</v>
      </c>
      <c r="F1029" s="34">
        <v>0</v>
      </c>
      <c r="G1029" s="34">
        <v>0</v>
      </c>
      <c r="H1029" s="34"/>
      <c r="I1029" s="34">
        <f t="shared" si="16"/>
        <v>123600</v>
      </c>
      <c r="K1029" t="s">
        <v>38</v>
      </c>
    </row>
    <row r="1030" spans="2:11" ht="16.5" x14ac:dyDescent="0.2">
      <c r="B1030" s="31" t="s">
        <v>1474</v>
      </c>
      <c r="C1030" s="31" t="s">
        <v>1224</v>
      </c>
      <c r="D1030" s="34"/>
      <c r="E1030" s="34">
        <v>138750</v>
      </c>
      <c r="F1030" s="34">
        <v>0</v>
      </c>
      <c r="G1030" s="34">
        <v>0</v>
      </c>
      <c r="H1030" s="34"/>
      <c r="I1030" s="34">
        <f t="shared" si="16"/>
        <v>138750</v>
      </c>
      <c r="K1030" t="s">
        <v>38</v>
      </c>
    </row>
    <row r="1031" spans="2:11" ht="24.75" x14ac:dyDescent="0.2">
      <c r="B1031" s="33" t="s">
        <v>1475</v>
      </c>
      <c r="C1031" s="33" t="s">
        <v>1476</v>
      </c>
      <c r="D1031"/>
      <c r="E1031" s="35">
        <f>SUMIFS(E1032:E9015,K1032:K9015,"0",B1032:B9015,"1 2 6 3 1 12 31111 6 M59 00002*")-SUMIFS(D1032:D9015,K1032:K9015,"0",B1032:B9015,"1 2 6 3 1 12 31111 6 M59 00002*")</f>
        <v>598619.69999999995</v>
      </c>
      <c r="F1031" s="35">
        <f>SUMIFS(F1032:F9015,K1032:K9015,"0",B1032:B9015,"1 2 6 3 1 12 31111 6 M59 00002*")</f>
        <v>0</v>
      </c>
      <c r="G1031" s="35">
        <f>SUMIFS(G1032:G9015,K1032:K9015,"0",B1032:B9015,"1 2 6 3 1 12 31111 6 M59 00002*")</f>
        <v>0</v>
      </c>
      <c r="H1031" s="35"/>
      <c r="I1031" s="35">
        <f t="shared" si="16"/>
        <v>598619.69999999995</v>
      </c>
      <c r="K1031" t="s">
        <v>15</v>
      </c>
    </row>
    <row r="1032" spans="2:11" ht="16.5" x14ac:dyDescent="0.2">
      <c r="B1032" s="33" t="s">
        <v>1477</v>
      </c>
      <c r="C1032" s="33" t="s">
        <v>42</v>
      </c>
      <c r="D1032"/>
      <c r="E1032" s="35">
        <f>SUMIFS(E1033:E9015,K1033:K9015,"0",B1033:B9015,"1 2 6 3 1 12 31111 6 M59 00002 000003*")-SUMIFS(D1033:D9015,K1033:K9015,"0",B1033:B9015,"1 2 6 3 1 12 31111 6 M59 00002 000003*")</f>
        <v>598619.69999999995</v>
      </c>
      <c r="F1032" s="35">
        <f>SUMIFS(F1033:F9015,K1033:K9015,"0",B1033:B9015,"1 2 6 3 1 12 31111 6 M59 00002 000003*")</f>
        <v>0</v>
      </c>
      <c r="G1032" s="35">
        <f>SUMIFS(G1033:G9015,K1033:K9015,"0",B1033:B9015,"1 2 6 3 1 12 31111 6 M59 00002 000003*")</f>
        <v>0</v>
      </c>
      <c r="H1032" s="35"/>
      <c r="I1032" s="35">
        <f t="shared" si="16"/>
        <v>598619.69999999995</v>
      </c>
      <c r="K1032" t="s">
        <v>15</v>
      </c>
    </row>
    <row r="1033" spans="2:11" ht="16.5" x14ac:dyDescent="0.2">
      <c r="B1033" s="31" t="s">
        <v>1478</v>
      </c>
      <c r="C1033" s="31" t="s">
        <v>274</v>
      </c>
      <c r="D1033" s="34"/>
      <c r="E1033" s="34">
        <v>598619.69999999995</v>
      </c>
      <c r="F1033" s="34">
        <v>0</v>
      </c>
      <c r="G1033" s="34">
        <v>0</v>
      </c>
      <c r="H1033" s="34"/>
      <c r="I1033" s="34">
        <f t="shared" si="16"/>
        <v>598619.69999999995</v>
      </c>
      <c r="K1033" t="s">
        <v>38</v>
      </c>
    </row>
    <row r="1034" spans="2:11" ht="16.5" x14ac:dyDescent="0.2">
      <c r="B1034" s="33" t="s">
        <v>1479</v>
      </c>
      <c r="C1034" s="33" t="s">
        <v>83</v>
      </c>
      <c r="D1034"/>
      <c r="E1034" s="35">
        <f>SUMIFS(E1035:E9015,K1035:K9015,"0",B1035:B9015,"1 2 6 3 1 12 31111 6 M59 00003*")-SUMIFS(D1035:D9015,K1035:K9015,"0",B1035:B9015,"1 2 6 3 1 12 31111 6 M59 00003*")</f>
        <v>8209683.96</v>
      </c>
      <c r="F1034" s="35">
        <f>SUMIFS(F1035:F9015,K1035:K9015,"0",B1035:B9015,"1 2 6 3 1 12 31111 6 M59 00003*")</f>
        <v>0</v>
      </c>
      <c r="G1034" s="35">
        <f>SUMIFS(G1035:G9015,K1035:K9015,"0",B1035:B9015,"1 2 6 3 1 12 31111 6 M59 00003*")</f>
        <v>0</v>
      </c>
      <c r="H1034" s="35"/>
      <c r="I1034" s="35">
        <f t="shared" si="16"/>
        <v>8209683.96</v>
      </c>
      <c r="K1034" t="s">
        <v>15</v>
      </c>
    </row>
    <row r="1035" spans="2:11" ht="16.5" x14ac:dyDescent="0.2">
      <c r="B1035" s="33" t="s">
        <v>1480</v>
      </c>
      <c r="C1035" s="33" t="s">
        <v>42</v>
      </c>
      <c r="D1035"/>
      <c r="E1035" s="35">
        <f>SUMIFS(E1036:E9015,K1036:K9015,"0",B1036:B9015,"1 2 6 3 1 12 31111 6 M59 00003 000003*")-SUMIFS(D1036:D9015,K1036:K9015,"0",B1036:B9015,"1 2 6 3 1 12 31111 6 M59 00003 000003*")</f>
        <v>8209683.96</v>
      </c>
      <c r="F1035" s="35">
        <f>SUMIFS(F1036:F9015,K1036:K9015,"0",B1036:B9015,"1 2 6 3 1 12 31111 6 M59 00003 000003*")</f>
        <v>0</v>
      </c>
      <c r="G1035" s="35">
        <f>SUMIFS(G1036:G9015,K1036:K9015,"0",B1036:B9015,"1 2 6 3 1 12 31111 6 M59 00003 000003*")</f>
        <v>0</v>
      </c>
      <c r="H1035" s="35"/>
      <c r="I1035" s="35">
        <f t="shared" si="16"/>
        <v>8209683.96</v>
      </c>
      <c r="K1035" t="s">
        <v>15</v>
      </c>
    </row>
    <row r="1036" spans="2:11" ht="16.5" x14ac:dyDescent="0.2">
      <c r="B1036" s="31" t="s">
        <v>1481</v>
      </c>
      <c r="C1036" s="31" t="s">
        <v>434</v>
      </c>
      <c r="D1036" s="34"/>
      <c r="E1036" s="34">
        <v>6827729.8499999996</v>
      </c>
      <c r="F1036" s="34">
        <v>0</v>
      </c>
      <c r="G1036" s="34">
        <v>0</v>
      </c>
      <c r="H1036" s="34"/>
      <c r="I1036" s="34">
        <f t="shared" si="16"/>
        <v>6827729.8499999996</v>
      </c>
      <c r="K1036" t="s">
        <v>38</v>
      </c>
    </row>
    <row r="1037" spans="2:11" ht="16.5" x14ac:dyDescent="0.2">
      <c r="B1037" s="31" t="s">
        <v>1482</v>
      </c>
      <c r="C1037" s="31" t="s">
        <v>1035</v>
      </c>
      <c r="D1037" s="34"/>
      <c r="E1037" s="34">
        <v>1078604.31</v>
      </c>
      <c r="F1037" s="34">
        <v>0</v>
      </c>
      <c r="G1037" s="34">
        <v>0</v>
      </c>
      <c r="H1037" s="34"/>
      <c r="I1037" s="34">
        <f t="shared" si="16"/>
        <v>1078604.31</v>
      </c>
      <c r="K1037" t="s">
        <v>38</v>
      </c>
    </row>
    <row r="1038" spans="2:11" ht="16.5" x14ac:dyDescent="0.2">
      <c r="B1038" s="31" t="s">
        <v>1483</v>
      </c>
      <c r="C1038" s="31" t="s">
        <v>1037</v>
      </c>
      <c r="D1038" s="34"/>
      <c r="E1038" s="34">
        <v>16327.8</v>
      </c>
      <c r="F1038" s="34">
        <v>0</v>
      </c>
      <c r="G1038" s="34">
        <v>0</v>
      </c>
      <c r="H1038" s="34"/>
      <c r="I1038" s="34">
        <f t="shared" si="16"/>
        <v>16327.8</v>
      </c>
      <c r="K1038" t="s">
        <v>38</v>
      </c>
    </row>
    <row r="1039" spans="2:11" ht="33" x14ac:dyDescent="0.2">
      <c r="B1039" s="31" t="s">
        <v>1484</v>
      </c>
      <c r="C1039" s="31" t="s">
        <v>984</v>
      </c>
      <c r="D1039" s="34"/>
      <c r="E1039" s="34">
        <v>26440</v>
      </c>
      <c r="F1039" s="34">
        <v>0</v>
      </c>
      <c r="G1039" s="34">
        <v>0</v>
      </c>
      <c r="H1039" s="34"/>
      <c r="I1039" s="34">
        <f t="shared" si="16"/>
        <v>26440</v>
      </c>
      <c r="K1039" t="s">
        <v>38</v>
      </c>
    </row>
    <row r="1040" spans="2:11" ht="16.5" x14ac:dyDescent="0.2">
      <c r="B1040" s="31" t="s">
        <v>1485</v>
      </c>
      <c r="C1040" s="31" t="s">
        <v>1384</v>
      </c>
      <c r="D1040" s="34"/>
      <c r="E1040" s="34">
        <v>3182</v>
      </c>
      <c r="F1040" s="34">
        <v>0</v>
      </c>
      <c r="G1040" s="34">
        <v>0</v>
      </c>
      <c r="H1040" s="34"/>
      <c r="I1040" s="34">
        <f t="shared" si="16"/>
        <v>3182</v>
      </c>
      <c r="K1040" t="s">
        <v>38</v>
      </c>
    </row>
    <row r="1041" spans="2:11" ht="16.5" x14ac:dyDescent="0.2">
      <c r="B1041" s="31" t="s">
        <v>1486</v>
      </c>
      <c r="C1041" s="31" t="s">
        <v>1234</v>
      </c>
      <c r="D1041" s="34"/>
      <c r="E1041" s="34">
        <v>4400</v>
      </c>
      <c r="F1041" s="34">
        <v>0</v>
      </c>
      <c r="G1041" s="34">
        <v>0</v>
      </c>
      <c r="H1041" s="34"/>
      <c r="I1041" s="34">
        <f t="shared" si="16"/>
        <v>4400</v>
      </c>
      <c r="K1041" t="s">
        <v>38</v>
      </c>
    </row>
    <row r="1042" spans="2:11" ht="16.5" x14ac:dyDescent="0.2">
      <c r="B1042" s="31" t="s">
        <v>1487</v>
      </c>
      <c r="C1042" s="31" t="s">
        <v>1236</v>
      </c>
      <c r="D1042" s="34"/>
      <c r="E1042" s="34">
        <v>100000</v>
      </c>
      <c r="F1042" s="34">
        <v>0</v>
      </c>
      <c r="G1042" s="34">
        <v>0</v>
      </c>
      <c r="H1042" s="34"/>
      <c r="I1042" s="34">
        <f t="shared" si="16"/>
        <v>100000</v>
      </c>
      <c r="K1042" t="s">
        <v>38</v>
      </c>
    </row>
    <row r="1043" spans="2:11" ht="16.5" x14ac:dyDescent="0.2">
      <c r="B1043" s="31" t="s">
        <v>1488</v>
      </c>
      <c r="C1043" s="31" t="s">
        <v>274</v>
      </c>
      <c r="D1043" s="34"/>
      <c r="E1043" s="34">
        <v>153000</v>
      </c>
      <c r="F1043" s="34">
        <v>0</v>
      </c>
      <c r="G1043" s="34">
        <v>0</v>
      </c>
      <c r="H1043" s="34"/>
      <c r="I1043" s="34">
        <f t="shared" si="16"/>
        <v>153000</v>
      </c>
      <c r="K1043" t="s">
        <v>38</v>
      </c>
    </row>
    <row r="1044" spans="2:11" ht="24.75" x14ac:dyDescent="0.2">
      <c r="B1044" s="33" t="s">
        <v>1489</v>
      </c>
      <c r="C1044" s="33" t="s">
        <v>91</v>
      </c>
      <c r="D1044"/>
      <c r="E1044" s="35">
        <f>SUMIFS(E1045:E9015,K1045:K9015,"0",B1045:B9015,"1 2 6 3 1 12 31111 6 M59 00004*")-SUMIFS(D1045:D9015,K1045:K9015,"0",B1045:B9015,"1 2 6 3 1 12 31111 6 M59 00004*")</f>
        <v>664016.30000000005</v>
      </c>
      <c r="F1044" s="35">
        <f>SUMIFS(F1045:F9015,K1045:K9015,"0",B1045:B9015,"1 2 6 3 1 12 31111 6 M59 00004*")</f>
        <v>0</v>
      </c>
      <c r="G1044" s="35">
        <f>SUMIFS(G1045:G9015,K1045:K9015,"0",B1045:B9015,"1 2 6 3 1 12 31111 6 M59 00004*")</f>
        <v>0</v>
      </c>
      <c r="H1044" s="35"/>
      <c r="I1044" s="35">
        <f t="shared" si="16"/>
        <v>664016.30000000005</v>
      </c>
      <c r="K1044" t="s">
        <v>15</v>
      </c>
    </row>
    <row r="1045" spans="2:11" ht="16.5" x14ac:dyDescent="0.2">
      <c r="B1045" s="33" t="s">
        <v>1490</v>
      </c>
      <c r="C1045" s="33" t="s">
        <v>203</v>
      </c>
      <c r="D1045"/>
      <c r="E1045" s="35">
        <f>SUMIFS(E1046:E9015,K1046:K9015,"0",B1046:B9015,"1 2 6 3 1 12 31111 6 M59 00004 000001*")-SUMIFS(D1046:D9015,K1046:K9015,"0",B1046:B9015,"1 2 6 3 1 12 31111 6 M59 00004 000001*")</f>
        <v>664016.30000000005</v>
      </c>
      <c r="F1045" s="35">
        <f>SUMIFS(F1046:F9015,K1046:K9015,"0",B1046:B9015,"1 2 6 3 1 12 31111 6 M59 00004 000001*")</f>
        <v>0</v>
      </c>
      <c r="G1045" s="35">
        <f>SUMIFS(G1046:G9015,K1046:K9015,"0",B1046:B9015,"1 2 6 3 1 12 31111 6 M59 00004 000001*")</f>
        <v>0</v>
      </c>
      <c r="H1045" s="35"/>
      <c r="I1045" s="35">
        <f t="shared" si="16"/>
        <v>664016.30000000005</v>
      </c>
      <c r="K1045" t="s">
        <v>15</v>
      </c>
    </row>
    <row r="1046" spans="2:11" ht="16.5" x14ac:dyDescent="0.2">
      <c r="B1046" s="31" t="s">
        <v>1491</v>
      </c>
      <c r="C1046" s="31" t="s">
        <v>441</v>
      </c>
      <c r="D1046" s="34"/>
      <c r="E1046" s="34">
        <v>-357950</v>
      </c>
      <c r="F1046" s="34">
        <v>0</v>
      </c>
      <c r="G1046" s="34">
        <v>0</v>
      </c>
      <c r="H1046" s="34"/>
      <c r="I1046" s="34">
        <f t="shared" si="16"/>
        <v>-357950</v>
      </c>
      <c r="K1046" t="s">
        <v>38</v>
      </c>
    </row>
    <row r="1047" spans="2:11" ht="16.5" x14ac:dyDescent="0.2">
      <c r="B1047" s="31" t="s">
        <v>1492</v>
      </c>
      <c r="C1047" s="31" t="s">
        <v>1012</v>
      </c>
      <c r="D1047" s="34"/>
      <c r="E1047" s="34">
        <v>2828.2</v>
      </c>
      <c r="F1047" s="34">
        <v>0</v>
      </c>
      <c r="G1047" s="34">
        <v>0</v>
      </c>
      <c r="H1047" s="34"/>
      <c r="I1047" s="34">
        <f t="shared" si="16"/>
        <v>2828.2</v>
      </c>
      <c r="K1047" t="s">
        <v>38</v>
      </c>
    </row>
    <row r="1048" spans="2:11" ht="16.5" x14ac:dyDescent="0.2">
      <c r="B1048" s="31" t="s">
        <v>1493</v>
      </c>
      <c r="C1048" s="31" t="s">
        <v>1037</v>
      </c>
      <c r="D1048" s="34"/>
      <c r="E1048" s="34">
        <v>5167.8</v>
      </c>
      <c r="F1048" s="34">
        <v>0</v>
      </c>
      <c r="G1048" s="34">
        <v>0</v>
      </c>
      <c r="H1048" s="34"/>
      <c r="I1048" s="34">
        <f t="shared" si="16"/>
        <v>5167.8</v>
      </c>
      <c r="K1048" t="s">
        <v>38</v>
      </c>
    </row>
    <row r="1049" spans="2:11" ht="16.5" x14ac:dyDescent="0.2">
      <c r="B1049" s="31" t="s">
        <v>1494</v>
      </c>
      <c r="C1049" s="31" t="s">
        <v>1236</v>
      </c>
      <c r="D1049" s="34"/>
      <c r="E1049" s="34">
        <v>502500</v>
      </c>
      <c r="F1049" s="34">
        <v>0</v>
      </c>
      <c r="G1049" s="34">
        <v>0</v>
      </c>
      <c r="H1049" s="34"/>
      <c r="I1049" s="34">
        <f t="shared" si="16"/>
        <v>502500</v>
      </c>
      <c r="K1049" t="s">
        <v>38</v>
      </c>
    </row>
    <row r="1050" spans="2:11" ht="16.5" x14ac:dyDescent="0.2">
      <c r="B1050" s="31" t="s">
        <v>1495</v>
      </c>
      <c r="C1050" s="31" t="s">
        <v>274</v>
      </c>
      <c r="D1050" s="34"/>
      <c r="E1050" s="34">
        <v>511470.3</v>
      </c>
      <c r="F1050" s="34">
        <v>0</v>
      </c>
      <c r="G1050" s="34">
        <v>0</v>
      </c>
      <c r="H1050" s="34"/>
      <c r="I1050" s="34">
        <f t="shared" si="16"/>
        <v>511470.3</v>
      </c>
      <c r="K1050" t="s">
        <v>38</v>
      </c>
    </row>
    <row r="1051" spans="2:11" ht="12.75" x14ac:dyDescent="0.2">
      <c r="B1051" s="33" t="s">
        <v>1496</v>
      </c>
      <c r="C1051" s="33" t="s">
        <v>1497</v>
      </c>
      <c r="D1051"/>
      <c r="E1051" s="35">
        <f>SUMIFS(E1052:E9015,K1052:K9015,"0",B1052:B9015,"2*")-SUMIFS(D1052:D9015,K1052:K9015,"0",B1052:B9015,"2*")</f>
        <v>16306890.039999994</v>
      </c>
      <c r="F1051" s="35">
        <f>SUMIFS(F1052:F9015,K1052:K9015,"0",B1052:B9015,"2*")</f>
        <v>312265836.17000014</v>
      </c>
      <c r="G1051" s="35">
        <f>SUMIFS(G1052:G9015,K1052:K9015,"0",B1052:B9015,"2*")</f>
        <v>314827955.79000014</v>
      </c>
      <c r="H1051" s="35"/>
      <c r="I1051" s="35">
        <f t="shared" si="16"/>
        <v>18869009.660000026</v>
      </c>
      <c r="K1051" t="s">
        <v>15</v>
      </c>
    </row>
    <row r="1052" spans="2:11" ht="12.75" x14ac:dyDescent="0.2">
      <c r="B1052" s="33" t="s">
        <v>1498</v>
      </c>
      <c r="C1052" s="33" t="s">
        <v>1499</v>
      </c>
      <c r="D1052"/>
      <c r="E1052" s="35">
        <f>SUMIFS(E1053:E9015,K1053:K9015,"0",B1053:B9015,"2 1*")-SUMIFS(D1053:D9015,K1053:K9015,"0",B1053:B9015,"2 1*")</f>
        <v>16306890.039999994</v>
      </c>
      <c r="F1052" s="35">
        <f>SUMIFS(F1053:F9015,K1053:K9015,"0",B1053:B9015,"2 1*")</f>
        <v>312265836.17000014</v>
      </c>
      <c r="G1052" s="35">
        <f>SUMIFS(G1053:G9015,K1053:K9015,"0",B1053:B9015,"2 1*")</f>
        <v>314827955.79000014</v>
      </c>
      <c r="H1052" s="35"/>
      <c r="I1052" s="35">
        <f t="shared" si="16"/>
        <v>18869009.660000026</v>
      </c>
      <c r="K1052" t="s">
        <v>15</v>
      </c>
    </row>
    <row r="1053" spans="2:11" ht="16.5" x14ac:dyDescent="0.2">
      <c r="B1053" s="33" t="s">
        <v>1500</v>
      </c>
      <c r="C1053" s="33" t="s">
        <v>1501</v>
      </c>
      <c r="D1053"/>
      <c r="E1053" s="35">
        <f>SUMIFS(E1054:E9015,K1054:K9015,"0",B1054:B9015,"2 1 1*")-SUMIFS(D1054:D9015,K1054:K9015,"0",B1054:B9015,"2 1 1*")</f>
        <v>15517427.709999993</v>
      </c>
      <c r="F1053" s="35">
        <f>SUMIFS(F1054:F9015,K1054:K9015,"0",B1054:B9015,"2 1 1*")</f>
        <v>309988204.45000017</v>
      </c>
      <c r="G1053" s="35">
        <f>SUMIFS(G1054:G9015,K1054:K9015,"0",B1054:B9015,"2 1 1*")</f>
        <v>312536223.65000015</v>
      </c>
      <c r="H1053" s="35"/>
      <c r="I1053" s="35">
        <f t="shared" si="16"/>
        <v>18065446.909999967</v>
      </c>
      <c r="K1053" t="s">
        <v>15</v>
      </c>
    </row>
    <row r="1054" spans="2:11" ht="16.5" x14ac:dyDescent="0.2">
      <c r="B1054" s="33" t="s">
        <v>1502</v>
      </c>
      <c r="C1054" s="33" t="s">
        <v>1503</v>
      </c>
      <c r="D1054"/>
      <c r="E1054" s="35">
        <f>SUMIFS(E1055:E9015,K1055:K9015,"0",B1055:B9015,"2 1 1 1*")-SUMIFS(D1055:D9015,K1055:K9015,"0",B1055:B9015,"2 1 1 1*")</f>
        <v>376354.79</v>
      </c>
      <c r="F1054" s="35">
        <f>SUMIFS(F1055:F9015,K1055:K9015,"0",B1055:B9015,"2 1 1 1*")</f>
        <v>75070392.25999999</v>
      </c>
      <c r="G1054" s="35">
        <f>SUMIFS(G1055:G9015,K1055:K9015,"0",B1055:B9015,"2 1 1 1*")</f>
        <v>74868596.419999987</v>
      </c>
      <c r="H1054" s="35"/>
      <c r="I1054" s="35">
        <f t="shared" si="16"/>
        <v>174558.95000000298</v>
      </c>
      <c r="K1054" t="s">
        <v>15</v>
      </c>
    </row>
    <row r="1055" spans="2:11" ht="24.75" x14ac:dyDescent="0.2">
      <c r="B1055" s="33" t="s">
        <v>1504</v>
      </c>
      <c r="C1055" s="33" t="s">
        <v>1505</v>
      </c>
      <c r="D1055"/>
      <c r="E1055" s="35">
        <f>SUMIFS(E1056:E9015,K1056:K9015,"0",B1056:B9015,"2 1 1 1 1*")-SUMIFS(D1056:D9015,K1056:K9015,"0",B1056:B9015,"2 1 1 1 1*")</f>
        <v>376354.79</v>
      </c>
      <c r="F1055" s="35">
        <f>SUMIFS(F1056:F9015,K1056:K9015,"0",B1056:B9015,"2 1 1 1 1*")</f>
        <v>73977722.659999996</v>
      </c>
      <c r="G1055" s="35">
        <f>SUMIFS(G1056:G9015,K1056:K9015,"0",B1056:B9015,"2 1 1 1 1*")</f>
        <v>73775926.819999993</v>
      </c>
      <c r="H1055" s="35"/>
      <c r="I1055" s="35">
        <f t="shared" si="16"/>
        <v>174558.95000000298</v>
      </c>
      <c r="K1055" t="s">
        <v>15</v>
      </c>
    </row>
    <row r="1056" spans="2:11" ht="12.75" x14ac:dyDescent="0.2">
      <c r="B1056" s="33" t="s">
        <v>1506</v>
      </c>
      <c r="C1056" s="33" t="s">
        <v>26</v>
      </c>
      <c r="D1056"/>
      <c r="E1056" s="35">
        <f>SUMIFS(E1057:E9015,K1057:K9015,"0",B1057:B9015,"2 1 1 1 1 12*")-SUMIFS(D1057:D9015,K1057:K9015,"0",B1057:B9015,"2 1 1 1 1 12*")</f>
        <v>376354.79</v>
      </c>
      <c r="F1056" s="35">
        <f>SUMIFS(F1057:F9015,K1057:K9015,"0",B1057:B9015,"2 1 1 1 1 12*")</f>
        <v>73977722.659999996</v>
      </c>
      <c r="G1056" s="35">
        <f>SUMIFS(G1057:G9015,K1057:K9015,"0",B1057:B9015,"2 1 1 1 1 12*")</f>
        <v>73775926.819999993</v>
      </c>
      <c r="H1056" s="35"/>
      <c r="I1056" s="35">
        <f t="shared" si="16"/>
        <v>174558.95000000298</v>
      </c>
      <c r="K1056" t="s">
        <v>15</v>
      </c>
    </row>
    <row r="1057" spans="2:11" ht="16.5" x14ac:dyDescent="0.2">
      <c r="B1057" s="33" t="s">
        <v>1507</v>
      </c>
      <c r="C1057" s="33" t="s">
        <v>28</v>
      </c>
      <c r="D1057"/>
      <c r="E1057" s="35">
        <f>SUMIFS(E1058:E9015,K1058:K9015,"0",B1058:B9015,"2 1 1 1 1 12 31111*")-SUMIFS(D1058:D9015,K1058:K9015,"0",B1058:B9015,"2 1 1 1 1 12 31111*")</f>
        <v>376354.79</v>
      </c>
      <c r="F1057" s="35">
        <f>SUMIFS(F1058:F9015,K1058:K9015,"0",B1058:B9015,"2 1 1 1 1 12 31111*")</f>
        <v>73977722.659999996</v>
      </c>
      <c r="G1057" s="35">
        <f>SUMIFS(G1058:G9015,K1058:K9015,"0",B1058:B9015,"2 1 1 1 1 12 31111*")</f>
        <v>73775926.819999993</v>
      </c>
      <c r="H1057" s="35"/>
      <c r="I1057" s="35">
        <f t="shared" si="16"/>
        <v>174558.95000000298</v>
      </c>
      <c r="K1057" t="s">
        <v>15</v>
      </c>
    </row>
    <row r="1058" spans="2:11" ht="12.75" x14ac:dyDescent="0.2">
      <c r="B1058" s="33" t="s">
        <v>1508</v>
      </c>
      <c r="C1058" s="33" t="s">
        <v>30</v>
      </c>
      <c r="D1058"/>
      <c r="E1058" s="35">
        <f>SUMIFS(E1059:E9015,K1059:K9015,"0",B1059:B9015,"2 1 1 1 1 12 31111 6*")-SUMIFS(D1059:D9015,K1059:K9015,"0",B1059:B9015,"2 1 1 1 1 12 31111 6*")</f>
        <v>376354.79</v>
      </c>
      <c r="F1058" s="35">
        <f>SUMIFS(F1059:F9015,K1059:K9015,"0",B1059:B9015,"2 1 1 1 1 12 31111 6*")</f>
        <v>73977722.659999996</v>
      </c>
      <c r="G1058" s="35">
        <f>SUMIFS(G1059:G9015,K1059:K9015,"0",B1059:B9015,"2 1 1 1 1 12 31111 6*")</f>
        <v>73775926.819999993</v>
      </c>
      <c r="H1058" s="35"/>
      <c r="I1058" s="35">
        <f t="shared" si="16"/>
        <v>174558.95000000298</v>
      </c>
      <c r="K1058" t="s">
        <v>15</v>
      </c>
    </row>
    <row r="1059" spans="2:11" ht="12.75" x14ac:dyDescent="0.2">
      <c r="B1059" s="33" t="s">
        <v>1509</v>
      </c>
      <c r="C1059" s="33" t="s">
        <v>32</v>
      </c>
      <c r="D1059"/>
      <c r="E1059" s="35">
        <f>SUMIFS(E1060:E9015,K1060:K9015,"0",B1060:B9015,"2 1 1 1 1 12 31111 6 M59*")-SUMIFS(D1060:D9015,K1060:K9015,"0",B1060:B9015,"2 1 1 1 1 12 31111 6 M59*")</f>
        <v>376354.79</v>
      </c>
      <c r="F1059" s="35">
        <f>SUMIFS(F1060:F9015,K1060:K9015,"0",B1060:B9015,"2 1 1 1 1 12 31111 6 M59*")</f>
        <v>73977722.659999996</v>
      </c>
      <c r="G1059" s="35">
        <f>SUMIFS(G1060:G9015,K1060:K9015,"0",B1060:B9015,"2 1 1 1 1 12 31111 6 M59*")</f>
        <v>73775926.819999993</v>
      </c>
      <c r="H1059" s="35"/>
      <c r="I1059" s="35">
        <f t="shared" si="16"/>
        <v>174558.95000000298</v>
      </c>
      <c r="K1059" t="s">
        <v>15</v>
      </c>
    </row>
    <row r="1060" spans="2:11" ht="16.5" x14ac:dyDescent="0.2">
      <c r="B1060" s="33" t="s">
        <v>1510</v>
      </c>
      <c r="C1060" s="33" t="s">
        <v>34</v>
      </c>
      <c r="D1060"/>
      <c r="E1060" s="35">
        <f>SUMIFS(E1061:E9015,K1061:K9015,"0",B1061:B9015,"2 1 1 1 1 12 31111 6 M59 00001*")-SUMIFS(D1061:D9015,K1061:K9015,"0",B1061:B9015,"2 1 1 1 1 12 31111 6 M59 00001*")</f>
        <v>355954.79</v>
      </c>
      <c r="F1060" s="35">
        <f>SUMIFS(F1061:F9015,K1061:K9015,"0",B1061:B9015,"2 1 1 1 1 12 31111 6 M59 00001*")</f>
        <v>47177702.009999998</v>
      </c>
      <c r="G1060" s="35">
        <f>SUMIFS(G1061:G9015,K1061:K9015,"0",B1061:B9015,"2 1 1 1 1 12 31111 6 M59 00001*")</f>
        <v>46568718.170000002</v>
      </c>
      <c r="H1060" s="35"/>
      <c r="I1060" s="35">
        <f t="shared" si="16"/>
        <v>-253029.04999999702</v>
      </c>
      <c r="K1060" t="s">
        <v>15</v>
      </c>
    </row>
    <row r="1061" spans="2:11" ht="16.5" x14ac:dyDescent="0.2">
      <c r="B1061" s="31" t="s">
        <v>1511</v>
      </c>
      <c r="C1061" s="31" t="s">
        <v>1512</v>
      </c>
      <c r="D1061" s="34"/>
      <c r="E1061" s="34">
        <v>355954.79</v>
      </c>
      <c r="F1061" s="34">
        <v>47177702.009999998</v>
      </c>
      <c r="G1061" s="34">
        <v>46568718.170000002</v>
      </c>
      <c r="H1061" s="34"/>
      <c r="I1061" s="34">
        <f t="shared" si="16"/>
        <v>-253029.04999999702</v>
      </c>
      <c r="K1061" t="s">
        <v>38</v>
      </c>
    </row>
    <row r="1062" spans="2:11" ht="24.75" x14ac:dyDescent="0.2">
      <c r="B1062" s="33" t="s">
        <v>1513</v>
      </c>
      <c r="C1062" s="33" t="s">
        <v>1514</v>
      </c>
      <c r="D1062"/>
      <c r="E1062" s="35">
        <f>SUMIFS(E1063:E9015,K1063:K9015,"0",B1063:B9015,"2 1 1 1 1 12 31111 6 M59 00003*")-SUMIFS(D1063:D9015,K1063:K9015,"0",B1063:B9015,"2 1 1 1 1 12 31111 6 M59 00003*")</f>
        <v>20400</v>
      </c>
      <c r="F1062" s="35">
        <f>SUMIFS(F1063:F9015,K1063:K9015,"0",B1063:B9015,"2 1 1 1 1 12 31111 6 M59 00003*")</f>
        <v>26800020.649999999</v>
      </c>
      <c r="G1062" s="35">
        <f>SUMIFS(G1063:G9015,K1063:K9015,"0",B1063:B9015,"2 1 1 1 1 12 31111 6 M59 00003*")</f>
        <v>27207208.649999999</v>
      </c>
      <c r="H1062" s="35"/>
      <c r="I1062" s="35">
        <f t="shared" si="16"/>
        <v>427588</v>
      </c>
      <c r="K1062" t="s">
        <v>15</v>
      </c>
    </row>
    <row r="1063" spans="2:11" ht="16.5" x14ac:dyDescent="0.2">
      <c r="B1063" s="33" t="s">
        <v>1515</v>
      </c>
      <c r="C1063" s="33" t="s">
        <v>1516</v>
      </c>
      <c r="D1063"/>
      <c r="E1063" s="35">
        <f>SUMIFS(E1064:E9015,K1064:K9015,"0",B1064:B9015,"2 1 1 1 1 12 31111 6 M59 00003 000001*")-SUMIFS(D1064:D9015,K1064:K9015,"0",B1064:B9015,"2 1 1 1 1 12 31111 6 M59 00003 000001*")</f>
        <v>20400</v>
      </c>
      <c r="F1063" s="35">
        <f>SUMIFS(F1064:F9015,K1064:K9015,"0",B1064:B9015,"2 1 1 1 1 12 31111 6 M59 00003 000001*")</f>
        <v>26800020.649999999</v>
      </c>
      <c r="G1063" s="35">
        <f>SUMIFS(G1064:G9015,K1064:K9015,"0",B1064:B9015,"2 1 1 1 1 12 31111 6 M59 00003 000001*")</f>
        <v>27207208.649999999</v>
      </c>
      <c r="H1063" s="35"/>
      <c r="I1063" s="35">
        <f t="shared" si="16"/>
        <v>427588</v>
      </c>
      <c r="K1063" t="s">
        <v>15</v>
      </c>
    </row>
    <row r="1064" spans="2:11" ht="16.5" x14ac:dyDescent="0.2">
      <c r="B1064" s="31" t="s">
        <v>1517</v>
      </c>
      <c r="C1064" s="31" t="s">
        <v>1512</v>
      </c>
      <c r="D1064" s="34"/>
      <c r="E1064" s="34">
        <v>20400</v>
      </c>
      <c r="F1064" s="34">
        <v>26282487.649999999</v>
      </c>
      <c r="G1064" s="34">
        <v>26689675.649999999</v>
      </c>
      <c r="H1064" s="34"/>
      <c r="I1064" s="34">
        <f t="shared" si="16"/>
        <v>427588</v>
      </c>
      <c r="K1064" t="s">
        <v>38</v>
      </c>
    </row>
    <row r="1065" spans="2:11" ht="16.5" x14ac:dyDescent="0.2">
      <c r="B1065" s="31" t="s">
        <v>1518</v>
      </c>
      <c r="C1065" s="31" t="s">
        <v>1519</v>
      </c>
      <c r="D1065" s="34"/>
      <c r="E1065" s="34">
        <v>0</v>
      </c>
      <c r="F1065" s="34">
        <v>517533</v>
      </c>
      <c r="G1065" s="34">
        <v>517533</v>
      </c>
      <c r="H1065" s="34"/>
      <c r="I1065" s="34">
        <f t="shared" si="16"/>
        <v>0</v>
      </c>
      <c r="K1065" t="s">
        <v>38</v>
      </c>
    </row>
    <row r="1066" spans="2:11" ht="16.5" x14ac:dyDescent="0.2">
      <c r="B1066" s="31" t="s">
        <v>1520</v>
      </c>
      <c r="C1066" s="31" t="s">
        <v>1521</v>
      </c>
      <c r="D1066" s="34"/>
      <c r="E1066" s="34">
        <v>0</v>
      </c>
      <c r="F1066" s="34">
        <v>1092669.6000000001</v>
      </c>
      <c r="G1066" s="34">
        <v>1092669.6000000001</v>
      </c>
      <c r="H1066" s="34"/>
      <c r="I1066" s="34">
        <f t="shared" si="16"/>
        <v>0</v>
      </c>
      <c r="K1066" t="s">
        <v>38</v>
      </c>
    </row>
    <row r="1067" spans="2:11" ht="16.5" x14ac:dyDescent="0.2">
      <c r="B1067" s="33" t="s">
        <v>1522</v>
      </c>
      <c r="C1067" s="33" t="s">
        <v>1523</v>
      </c>
      <c r="D1067"/>
      <c r="E1067" s="35">
        <f>SUMIFS(E1068:E9015,K1068:K9015,"0",B1068:B9015,"2 1 1 2*")-SUMIFS(D1068:D9015,K1068:K9015,"0",B1068:B9015,"2 1 1 2*")</f>
        <v>1320246.48</v>
      </c>
      <c r="F1067" s="35">
        <f>SUMIFS(F1068:F9015,K1068:K9015,"0",B1068:B9015,"2 1 1 2*")</f>
        <v>97186482.869999975</v>
      </c>
      <c r="G1067" s="35">
        <f>SUMIFS(G1068:G9015,K1068:K9015,"0",B1068:B9015,"2 1 1 2*")</f>
        <v>97186482.689999968</v>
      </c>
      <c r="H1067" s="35"/>
      <c r="I1067" s="35">
        <f t="shared" si="16"/>
        <v>1320246.299999997</v>
      </c>
      <c r="K1067" t="s">
        <v>15</v>
      </c>
    </row>
    <row r="1068" spans="2:11" ht="24.75" x14ac:dyDescent="0.2">
      <c r="B1068" s="33" t="s">
        <v>1524</v>
      </c>
      <c r="C1068" s="33" t="s">
        <v>1525</v>
      </c>
      <c r="D1068"/>
      <c r="E1068" s="35">
        <f>SUMIFS(E1069:E9015,K1069:K9015,"0",B1069:B9015,"2 1 1 2 1*")-SUMIFS(D1069:D9015,K1069:K9015,"0",B1069:B9015,"2 1 1 2 1*")</f>
        <v>1320246.48</v>
      </c>
      <c r="F1068" s="35">
        <f>SUMIFS(F1069:F9015,K1069:K9015,"0",B1069:B9015,"2 1 1 2 1*")</f>
        <v>95851051.819999978</v>
      </c>
      <c r="G1068" s="35">
        <f>SUMIFS(G1069:G9015,K1069:K9015,"0",B1069:B9015,"2 1 1 2 1*")</f>
        <v>95851051.639999971</v>
      </c>
      <c r="H1068" s="35"/>
      <c r="I1068" s="35">
        <f t="shared" si="16"/>
        <v>1320246.299999997</v>
      </c>
      <c r="K1068" t="s">
        <v>15</v>
      </c>
    </row>
    <row r="1069" spans="2:11" ht="12.75" x14ac:dyDescent="0.2">
      <c r="B1069" s="33" t="s">
        <v>1526</v>
      </c>
      <c r="C1069" s="33" t="s">
        <v>26</v>
      </c>
      <c r="D1069"/>
      <c r="E1069" s="35">
        <f>SUMIFS(E1070:E9015,K1070:K9015,"0",B1070:B9015,"2 1 1 2 1 12*")-SUMIFS(D1070:D9015,K1070:K9015,"0",B1070:B9015,"2 1 1 2 1 12*")</f>
        <v>1320246.48</v>
      </c>
      <c r="F1069" s="35">
        <f>SUMIFS(F1070:F9015,K1070:K9015,"0",B1070:B9015,"2 1 1 2 1 12*")</f>
        <v>95851051.819999978</v>
      </c>
      <c r="G1069" s="35">
        <f>SUMIFS(G1070:G9015,K1070:K9015,"0",B1070:B9015,"2 1 1 2 1 12*")</f>
        <v>95851051.639999971</v>
      </c>
      <c r="H1069" s="35"/>
      <c r="I1069" s="35">
        <f t="shared" si="16"/>
        <v>1320246.299999997</v>
      </c>
      <c r="K1069" t="s">
        <v>15</v>
      </c>
    </row>
    <row r="1070" spans="2:11" ht="16.5" x14ac:dyDescent="0.2">
      <c r="B1070" s="33" t="s">
        <v>1527</v>
      </c>
      <c r="C1070" s="33" t="s">
        <v>28</v>
      </c>
      <c r="D1070"/>
      <c r="E1070" s="35">
        <f>SUMIFS(E1071:E9015,K1071:K9015,"0",B1071:B9015,"2 1 1 2 1 12 31111*")-SUMIFS(D1071:D9015,K1071:K9015,"0",B1071:B9015,"2 1 1 2 1 12 31111*")</f>
        <v>1320246.48</v>
      </c>
      <c r="F1070" s="35">
        <f>SUMIFS(F1071:F9015,K1071:K9015,"0",B1071:B9015,"2 1 1 2 1 12 31111*")</f>
        <v>95851051.819999978</v>
      </c>
      <c r="G1070" s="35">
        <f>SUMIFS(G1071:G9015,K1071:K9015,"0",B1071:B9015,"2 1 1 2 1 12 31111*")</f>
        <v>95851051.639999971</v>
      </c>
      <c r="H1070" s="35"/>
      <c r="I1070" s="35">
        <f t="shared" si="16"/>
        <v>1320246.299999997</v>
      </c>
      <c r="K1070" t="s">
        <v>15</v>
      </c>
    </row>
    <row r="1071" spans="2:11" ht="12.75" x14ac:dyDescent="0.2">
      <c r="B1071" s="33" t="s">
        <v>1528</v>
      </c>
      <c r="C1071" s="33" t="s">
        <v>30</v>
      </c>
      <c r="D1071"/>
      <c r="E1071" s="35">
        <f>SUMIFS(E1072:E9015,K1072:K9015,"0",B1072:B9015,"2 1 1 2 1 12 31111 6*")-SUMIFS(D1072:D9015,K1072:K9015,"0",B1072:B9015,"2 1 1 2 1 12 31111 6*")</f>
        <v>1320246.48</v>
      </c>
      <c r="F1071" s="35">
        <f>SUMIFS(F1072:F9015,K1072:K9015,"0",B1072:B9015,"2 1 1 2 1 12 31111 6*")</f>
        <v>95851051.819999978</v>
      </c>
      <c r="G1071" s="35">
        <f>SUMIFS(G1072:G9015,K1072:K9015,"0",B1072:B9015,"2 1 1 2 1 12 31111 6*")</f>
        <v>95851051.639999971</v>
      </c>
      <c r="H1071" s="35"/>
      <c r="I1071" s="35">
        <f t="shared" ref="I1071:I1134" si="17">E1071 - F1071 + G1071</f>
        <v>1320246.299999997</v>
      </c>
      <c r="K1071" t="s">
        <v>15</v>
      </c>
    </row>
    <row r="1072" spans="2:11" ht="12.75" x14ac:dyDescent="0.2">
      <c r="B1072" s="33" t="s">
        <v>1529</v>
      </c>
      <c r="C1072" s="33" t="s">
        <v>32</v>
      </c>
      <c r="D1072"/>
      <c r="E1072" s="35">
        <f>SUMIFS(E1073:E9015,K1073:K9015,"0",B1073:B9015,"2 1 1 2 1 12 31111 6 M59*")-SUMIFS(D1073:D9015,K1073:K9015,"0",B1073:B9015,"2 1 1 2 1 12 31111 6 M59*")</f>
        <v>1320246.48</v>
      </c>
      <c r="F1072" s="35">
        <f>SUMIFS(F1073:F9015,K1073:K9015,"0",B1073:B9015,"2 1 1 2 1 12 31111 6 M59*")</f>
        <v>95851051.819999978</v>
      </c>
      <c r="G1072" s="35">
        <f>SUMIFS(G1073:G9015,K1073:K9015,"0",B1073:B9015,"2 1 1 2 1 12 31111 6 M59*")</f>
        <v>95851051.639999971</v>
      </c>
      <c r="H1072" s="35"/>
      <c r="I1072" s="35">
        <f t="shared" si="17"/>
        <v>1320246.299999997</v>
      </c>
      <c r="K1072" t="s">
        <v>15</v>
      </c>
    </row>
    <row r="1073" spans="2:11" ht="16.5" x14ac:dyDescent="0.2">
      <c r="B1073" s="33" t="s">
        <v>1530</v>
      </c>
      <c r="C1073" s="33" t="s">
        <v>34</v>
      </c>
      <c r="D1073"/>
      <c r="E1073" s="35">
        <f>SUMIFS(E1074:E9015,K1074:K9015,"0",B1074:B9015,"2 1 1 2 1 12 31111 6 M59 00001*")-SUMIFS(D1074:D9015,K1074:K9015,"0",B1074:B9015,"2 1 1 2 1 12 31111 6 M59 00001*")</f>
        <v>38459.53</v>
      </c>
      <c r="F1073" s="35">
        <f>SUMIFS(F1074:F9015,K1074:K9015,"0",B1074:B9015,"2 1 1 2 1 12 31111 6 M59 00001*")</f>
        <v>44670576.600000009</v>
      </c>
      <c r="G1073" s="35">
        <f>SUMIFS(G1074:G9015,K1074:K9015,"0",B1074:B9015,"2 1 1 2 1 12 31111 6 M59 00001*")</f>
        <v>44670576.420000009</v>
      </c>
      <c r="H1073" s="35"/>
      <c r="I1073" s="35">
        <f t="shared" si="17"/>
        <v>38459.35000000149</v>
      </c>
      <c r="K1073" t="s">
        <v>15</v>
      </c>
    </row>
    <row r="1074" spans="2:11" ht="16.5" x14ac:dyDescent="0.2">
      <c r="B1074" s="33" t="s">
        <v>1531</v>
      </c>
      <c r="C1074" s="33" t="s">
        <v>1532</v>
      </c>
      <c r="D1074"/>
      <c r="E1074" s="35">
        <f>SUMIFS(E1075:E9015,K1075:K9015,"0",B1075:B9015,"2 1 1 2 1 12 31111 6 M59 00001 000001*")-SUMIFS(D1075:D9015,K1075:K9015,"0",B1075:B9015,"2 1 1 2 1 12 31111 6 M59 00001 000001*")</f>
        <v>0</v>
      </c>
      <c r="F1074" s="35">
        <f>SUMIFS(F1075:F9015,K1075:K9015,"0",B1075:B9015,"2 1 1 2 1 12 31111 6 M59 00001 000001*")</f>
        <v>43267346.180000007</v>
      </c>
      <c r="G1074" s="35">
        <f>SUMIFS(G1075:G9015,K1075:K9015,"0",B1075:B9015,"2 1 1 2 1 12 31111 6 M59 00001 000001*")</f>
        <v>43267346.000000007</v>
      </c>
      <c r="H1074" s="35"/>
      <c r="I1074" s="35">
        <f t="shared" si="17"/>
        <v>-0.17999999970197678</v>
      </c>
      <c r="K1074" t="s">
        <v>15</v>
      </c>
    </row>
    <row r="1075" spans="2:11" ht="16.5" x14ac:dyDescent="0.2">
      <c r="B1075" s="31" t="s">
        <v>1533</v>
      </c>
      <c r="C1075" s="31" t="s">
        <v>1532</v>
      </c>
      <c r="D1075" s="34"/>
      <c r="E1075" s="34">
        <v>0</v>
      </c>
      <c r="F1075" s="34">
        <v>37434325.670000002</v>
      </c>
      <c r="G1075" s="34">
        <v>37434325.670000002</v>
      </c>
      <c r="H1075" s="34"/>
      <c r="I1075" s="34">
        <f t="shared" si="17"/>
        <v>0</v>
      </c>
      <c r="K1075" t="s">
        <v>38</v>
      </c>
    </row>
    <row r="1076" spans="2:11" ht="16.5" x14ac:dyDescent="0.2">
      <c r="B1076" s="31" t="s">
        <v>1534</v>
      </c>
      <c r="C1076" s="31" t="s">
        <v>1535</v>
      </c>
      <c r="D1076" s="34"/>
      <c r="E1076" s="34">
        <v>0</v>
      </c>
      <c r="F1076" s="34">
        <v>322800.06</v>
      </c>
      <c r="G1076" s="34">
        <v>322800.06</v>
      </c>
      <c r="H1076" s="34"/>
      <c r="I1076" s="34">
        <f t="shared" si="17"/>
        <v>0</v>
      </c>
      <c r="K1076" t="s">
        <v>38</v>
      </c>
    </row>
    <row r="1077" spans="2:11" ht="16.5" x14ac:dyDescent="0.2">
      <c r="B1077" s="31" t="s">
        <v>1536</v>
      </c>
      <c r="C1077" s="31" t="s">
        <v>1537</v>
      </c>
      <c r="D1077" s="34"/>
      <c r="E1077" s="34">
        <v>0</v>
      </c>
      <c r="F1077" s="34">
        <v>12150</v>
      </c>
      <c r="G1077" s="34">
        <v>12150</v>
      </c>
      <c r="H1077" s="34"/>
      <c r="I1077" s="34">
        <f t="shared" si="17"/>
        <v>0</v>
      </c>
      <c r="K1077" t="s">
        <v>38</v>
      </c>
    </row>
    <row r="1078" spans="2:11" ht="16.5" x14ac:dyDescent="0.2">
      <c r="B1078" s="31" t="s">
        <v>1538</v>
      </c>
      <c r="C1078" s="31" t="s">
        <v>1539</v>
      </c>
      <c r="D1078" s="34"/>
      <c r="E1078" s="34">
        <v>0</v>
      </c>
      <c r="F1078" s="34">
        <v>12200.8</v>
      </c>
      <c r="G1078" s="34">
        <v>12200.8</v>
      </c>
      <c r="H1078" s="34"/>
      <c r="I1078" s="34">
        <f t="shared" si="17"/>
        <v>0</v>
      </c>
      <c r="K1078" t="s">
        <v>38</v>
      </c>
    </row>
    <row r="1079" spans="2:11" ht="16.5" x14ac:dyDescent="0.2">
      <c r="B1079" s="31" t="s">
        <v>1540</v>
      </c>
      <c r="C1079" s="31" t="s">
        <v>1541</v>
      </c>
      <c r="D1079" s="34"/>
      <c r="E1079" s="34">
        <v>0</v>
      </c>
      <c r="F1079" s="34">
        <v>219616.59</v>
      </c>
      <c r="G1079" s="34">
        <v>219616.59</v>
      </c>
      <c r="H1079" s="34"/>
      <c r="I1079" s="34">
        <f t="shared" si="17"/>
        <v>0</v>
      </c>
      <c r="K1079" t="s">
        <v>38</v>
      </c>
    </row>
    <row r="1080" spans="2:11" ht="16.5" x14ac:dyDescent="0.2">
      <c r="B1080" s="31" t="s">
        <v>1542</v>
      </c>
      <c r="C1080" s="31" t="s">
        <v>1543</v>
      </c>
      <c r="D1080" s="34"/>
      <c r="E1080" s="34">
        <v>0</v>
      </c>
      <c r="F1080" s="34">
        <v>141109.57</v>
      </c>
      <c r="G1080" s="34">
        <v>141109.39000000001</v>
      </c>
      <c r="H1080" s="34"/>
      <c r="I1080" s="34">
        <f t="shared" si="17"/>
        <v>-0.17999999999301508</v>
      </c>
      <c r="K1080" t="s">
        <v>38</v>
      </c>
    </row>
    <row r="1081" spans="2:11" ht="16.5" x14ac:dyDescent="0.2">
      <c r="B1081" s="31" t="s">
        <v>1544</v>
      </c>
      <c r="C1081" s="31" t="s">
        <v>1545</v>
      </c>
      <c r="D1081" s="34"/>
      <c r="E1081" s="34">
        <v>0</v>
      </c>
      <c r="F1081" s="34">
        <v>4566</v>
      </c>
      <c r="G1081" s="34">
        <v>4566</v>
      </c>
      <c r="H1081" s="34"/>
      <c r="I1081" s="34">
        <f t="shared" si="17"/>
        <v>0</v>
      </c>
      <c r="K1081" t="s">
        <v>38</v>
      </c>
    </row>
    <row r="1082" spans="2:11" ht="16.5" x14ac:dyDescent="0.2">
      <c r="B1082" s="31" t="s">
        <v>1546</v>
      </c>
      <c r="C1082" s="31" t="s">
        <v>1547</v>
      </c>
      <c r="D1082" s="34"/>
      <c r="E1082" s="34">
        <v>0</v>
      </c>
      <c r="F1082" s="34">
        <v>5614.93</v>
      </c>
      <c r="G1082" s="34">
        <v>5614.93</v>
      </c>
      <c r="H1082" s="34"/>
      <c r="I1082" s="34">
        <f t="shared" si="17"/>
        <v>0</v>
      </c>
      <c r="K1082" t="s">
        <v>38</v>
      </c>
    </row>
    <row r="1083" spans="2:11" ht="16.5" x14ac:dyDescent="0.2">
      <c r="B1083" s="31" t="s">
        <v>1548</v>
      </c>
      <c r="C1083" s="31" t="s">
        <v>1549</v>
      </c>
      <c r="D1083" s="34"/>
      <c r="E1083" s="34">
        <v>0</v>
      </c>
      <c r="F1083" s="34">
        <v>367.01</v>
      </c>
      <c r="G1083" s="34">
        <v>367.01</v>
      </c>
      <c r="H1083" s="34"/>
      <c r="I1083" s="34">
        <f t="shared" si="17"/>
        <v>0</v>
      </c>
      <c r="K1083" t="s">
        <v>38</v>
      </c>
    </row>
    <row r="1084" spans="2:11" ht="16.5" x14ac:dyDescent="0.2">
      <c r="B1084" s="31" t="s">
        <v>1550</v>
      </c>
      <c r="C1084" s="31" t="s">
        <v>1551</v>
      </c>
      <c r="D1084" s="34"/>
      <c r="E1084" s="34">
        <v>0</v>
      </c>
      <c r="F1084" s="34">
        <v>270280</v>
      </c>
      <c r="G1084" s="34">
        <v>270280</v>
      </c>
      <c r="H1084" s="34"/>
      <c r="I1084" s="34">
        <f t="shared" si="17"/>
        <v>0</v>
      </c>
      <c r="K1084" t="s">
        <v>38</v>
      </c>
    </row>
    <row r="1085" spans="2:11" ht="16.5" x14ac:dyDescent="0.2">
      <c r="B1085" s="31" t="s">
        <v>1552</v>
      </c>
      <c r="C1085" s="31" t="s">
        <v>1553</v>
      </c>
      <c r="D1085" s="34"/>
      <c r="E1085" s="34">
        <v>0</v>
      </c>
      <c r="F1085" s="34">
        <v>945000</v>
      </c>
      <c r="G1085" s="34">
        <v>945000</v>
      </c>
      <c r="H1085" s="34"/>
      <c r="I1085" s="34">
        <f t="shared" si="17"/>
        <v>0</v>
      </c>
      <c r="K1085" t="s">
        <v>38</v>
      </c>
    </row>
    <row r="1086" spans="2:11" ht="16.5" x14ac:dyDescent="0.2">
      <c r="B1086" s="31" t="s">
        <v>1554</v>
      </c>
      <c r="C1086" s="31" t="s">
        <v>1555</v>
      </c>
      <c r="D1086" s="34"/>
      <c r="E1086" s="34">
        <v>0</v>
      </c>
      <c r="F1086" s="34">
        <v>900000</v>
      </c>
      <c r="G1086" s="34">
        <v>900000</v>
      </c>
      <c r="H1086" s="34"/>
      <c r="I1086" s="34">
        <f t="shared" si="17"/>
        <v>0</v>
      </c>
      <c r="K1086" t="s">
        <v>38</v>
      </c>
    </row>
    <row r="1087" spans="2:11" ht="16.5" x14ac:dyDescent="0.2">
      <c r="B1087" s="31" t="s">
        <v>1556</v>
      </c>
      <c r="C1087" s="31" t="s">
        <v>188</v>
      </c>
      <c r="D1087" s="34"/>
      <c r="E1087" s="34">
        <v>0</v>
      </c>
      <c r="F1087" s="34">
        <v>810000</v>
      </c>
      <c r="G1087" s="34">
        <v>810000</v>
      </c>
      <c r="H1087" s="34"/>
      <c r="I1087" s="34">
        <f t="shared" si="17"/>
        <v>0</v>
      </c>
      <c r="K1087" t="s">
        <v>38</v>
      </c>
    </row>
    <row r="1088" spans="2:11" ht="16.5" x14ac:dyDescent="0.2">
      <c r="B1088" s="31" t="s">
        <v>1557</v>
      </c>
      <c r="C1088" s="31" t="s">
        <v>1558</v>
      </c>
      <c r="D1088" s="34"/>
      <c r="E1088" s="34">
        <v>0</v>
      </c>
      <c r="F1088" s="34">
        <v>97240</v>
      </c>
      <c r="G1088" s="34">
        <v>97240</v>
      </c>
      <c r="H1088" s="34"/>
      <c r="I1088" s="34">
        <f t="shared" si="17"/>
        <v>0</v>
      </c>
      <c r="K1088" t="s">
        <v>38</v>
      </c>
    </row>
    <row r="1089" spans="2:11" ht="16.5" x14ac:dyDescent="0.2">
      <c r="B1089" s="31" t="s">
        <v>1559</v>
      </c>
      <c r="C1089" s="31" t="s">
        <v>1560</v>
      </c>
      <c r="D1089" s="34"/>
      <c r="E1089" s="34">
        <v>0</v>
      </c>
      <c r="F1089" s="34">
        <v>54360.99</v>
      </c>
      <c r="G1089" s="34">
        <v>54360.99</v>
      </c>
      <c r="H1089" s="34"/>
      <c r="I1089" s="34">
        <f t="shared" si="17"/>
        <v>0</v>
      </c>
      <c r="K1089" t="s">
        <v>38</v>
      </c>
    </row>
    <row r="1090" spans="2:11" ht="16.5" x14ac:dyDescent="0.2">
      <c r="B1090" s="31" t="s">
        <v>1561</v>
      </c>
      <c r="C1090" s="31" t="s">
        <v>1562</v>
      </c>
      <c r="D1090" s="34"/>
      <c r="E1090" s="34">
        <v>0</v>
      </c>
      <c r="F1090" s="34">
        <v>128864.4</v>
      </c>
      <c r="G1090" s="34">
        <v>128864.4</v>
      </c>
      <c r="H1090" s="34"/>
      <c r="I1090" s="34">
        <f t="shared" si="17"/>
        <v>0</v>
      </c>
      <c r="K1090" t="s">
        <v>38</v>
      </c>
    </row>
    <row r="1091" spans="2:11" ht="16.5" x14ac:dyDescent="0.2">
      <c r="B1091" s="31" t="s">
        <v>1563</v>
      </c>
      <c r="C1091" s="31" t="s">
        <v>1564</v>
      </c>
      <c r="D1091" s="34"/>
      <c r="E1091" s="34">
        <v>0</v>
      </c>
      <c r="F1091" s="34">
        <v>1673500</v>
      </c>
      <c r="G1091" s="34">
        <v>1673500</v>
      </c>
      <c r="H1091" s="34"/>
      <c r="I1091" s="34">
        <f t="shared" si="17"/>
        <v>0</v>
      </c>
      <c r="K1091" t="s">
        <v>38</v>
      </c>
    </row>
    <row r="1092" spans="2:11" ht="16.5" x14ac:dyDescent="0.2">
      <c r="B1092" s="31" t="s">
        <v>1565</v>
      </c>
      <c r="C1092" s="31" t="s">
        <v>1566</v>
      </c>
      <c r="D1092" s="34"/>
      <c r="E1092" s="34">
        <v>0</v>
      </c>
      <c r="F1092" s="34">
        <v>40550</v>
      </c>
      <c r="G1092" s="34">
        <v>40550</v>
      </c>
      <c r="H1092" s="34"/>
      <c r="I1092" s="34">
        <f t="shared" si="17"/>
        <v>0</v>
      </c>
      <c r="K1092" t="s">
        <v>38</v>
      </c>
    </row>
    <row r="1093" spans="2:11" ht="16.5" x14ac:dyDescent="0.2">
      <c r="B1093" s="31" t="s">
        <v>1567</v>
      </c>
      <c r="C1093" s="31" t="s">
        <v>1568</v>
      </c>
      <c r="D1093" s="34"/>
      <c r="E1093" s="34">
        <v>0</v>
      </c>
      <c r="F1093" s="34">
        <v>78185.95</v>
      </c>
      <c r="G1093" s="34">
        <v>78185.95</v>
      </c>
      <c r="H1093" s="34"/>
      <c r="I1093" s="34">
        <f t="shared" si="17"/>
        <v>0</v>
      </c>
      <c r="K1093" t="s">
        <v>38</v>
      </c>
    </row>
    <row r="1094" spans="2:11" ht="16.5" x14ac:dyDescent="0.2">
      <c r="B1094" s="31" t="s">
        <v>1569</v>
      </c>
      <c r="C1094" s="31" t="s">
        <v>1570</v>
      </c>
      <c r="D1094" s="34"/>
      <c r="E1094" s="34">
        <v>0</v>
      </c>
      <c r="F1094" s="34">
        <v>18380.72</v>
      </c>
      <c r="G1094" s="34">
        <v>18380.72</v>
      </c>
      <c r="H1094" s="34"/>
      <c r="I1094" s="34">
        <f t="shared" si="17"/>
        <v>0</v>
      </c>
      <c r="K1094" t="s">
        <v>38</v>
      </c>
    </row>
    <row r="1095" spans="2:11" ht="16.5" x14ac:dyDescent="0.2">
      <c r="B1095" s="31" t="s">
        <v>1571</v>
      </c>
      <c r="C1095" s="31" t="s">
        <v>1572</v>
      </c>
      <c r="D1095" s="34"/>
      <c r="E1095" s="34">
        <v>0</v>
      </c>
      <c r="F1095" s="34">
        <v>7772</v>
      </c>
      <c r="G1095" s="34">
        <v>7772</v>
      </c>
      <c r="H1095" s="34"/>
      <c r="I1095" s="34">
        <f t="shared" si="17"/>
        <v>0</v>
      </c>
      <c r="K1095" t="s">
        <v>38</v>
      </c>
    </row>
    <row r="1096" spans="2:11" ht="16.5" x14ac:dyDescent="0.2">
      <c r="B1096" s="31" t="s">
        <v>1573</v>
      </c>
      <c r="C1096" s="31" t="s">
        <v>1574</v>
      </c>
      <c r="D1096" s="34"/>
      <c r="E1096" s="34">
        <v>0</v>
      </c>
      <c r="F1096" s="34">
        <v>50000</v>
      </c>
      <c r="G1096" s="34">
        <v>50000</v>
      </c>
      <c r="H1096" s="34"/>
      <c r="I1096" s="34">
        <f t="shared" si="17"/>
        <v>0</v>
      </c>
      <c r="K1096" t="s">
        <v>38</v>
      </c>
    </row>
    <row r="1097" spans="2:11" ht="16.5" x14ac:dyDescent="0.2">
      <c r="B1097" s="31" t="s">
        <v>1575</v>
      </c>
      <c r="C1097" s="31" t="s">
        <v>1576</v>
      </c>
      <c r="D1097" s="34"/>
      <c r="E1097" s="34">
        <v>0</v>
      </c>
      <c r="F1097" s="34">
        <v>40461.49</v>
      </c>
      <c r="G1097" s="34">
        <v>40461.49</v>
      </c>
      <c r="H1097" s="34"/>
      <c r="I1097" s="34">
        <f t="shared" si="17"/>
        <v>0</v>
      </c>
      <c r="K1097" t="s">
        <v>38</v>
      </c>
    </row>
    <row r="1098" spans="2:11" ht="24.75" x14ac:dyDescent="0.2">
      <c r="B1098" s="31" t="s">
        <v>1577</v>
      </c>
      <c r="C1098" s="31" t="s">
        <v>375</v>
      </c>
      <c r="D1098" s="34"/>
      <c r="E1098" s="34">
        <v>0</v>
      </c>
      <c r="F1098" s="34">
        <v>144990</v>
      </c>
      <c r="G1098" s="34">
        <v>144990</v>
      </c>
      <c r="H1098" s="34"/>
      <c r="I1098" s="34">
        <f t="shared" si="17"/>
        <v>0</v>
      </c>
      <c r="K1098" t="s">
        <v>38</v>
      </c>
    </row>
    <row r="1099" spans="2:11" ht="16.5" x14ac:dyDescent="0.2">
      <c r="B1099" s="31" t="s">
        <v>1578</v>
      </c>
      <c r="C1099" s="31" t="s">
        <v>390</v>
      </c>
      <c r="D1099" s="34"/>
      <c r="E1099" s="34">
        <v>0</v>
      </c>
      <c r="F1099" s="34">
        <v>200432.35</v>
      </c>
      <c r="G1099" s="34">
        <v>200432.35</v>
      </c>
      <c r="H1099" s="34"/>
      <c r="I1099" s="34">
        <f t="shared" si="17"/>
        <v>0</v>
      </c>
      <c r="K1099" t="s">
        <v>38</v>
      </c>
    </row>
    <row r="1100" spans="2:11" ht="16.5" x14ac:dyDescent="0.2">
      <c r="B1100" s="31" t="s">
        <v>1579</v>
      </c>
      <c r="C1100" s="31" t="s">
        <v>392</v>
      </c>
      <c r="D1100" s="34"/>
      <c r="E1100" s="34">
        <v>12716</v>
      </c>
      <c r="F1100" s="34">
        <v>93281</v>
      </c>
      <c r="G1100" s="34">
        <v>93281</v>
      </c>
      <c r="H1100" s="34"/>
      <c r="I1100" s="34">
        <f t="shared" si="17"/>
        <v>12716</v>
      </c>
      <c r="K1100" t="s">
        <v>38</v>
      </c>
    </row>
    <row r="1101" spans="2:11" ht="16.5" x14ac:dyDescent="0.2">
      <c r="B1101" s="31" t="s">
        <v>1580</v>
      </c>
      <c r="C1101" s="31" t="s">
        <v>1581</v>
      </c>
      <c r="D1101" s="34"/>
      <c r="E1101" s="34">
        <v>0</v>
      </c>
      <c r="F1101" s="34">
        <v>169580.57</v>
      </c>
      <c r="G1101" s="34">
        <v>169580.57</v>
      </c>
      <c r="H1101" s="34"/>
      <c r="I1101" s="34">
        <f t="shared" si="17"/>
        <v>0</v>
      </c>
      <c r="K1101" t="s">
        <v>38</v>
      </c>
    </row>
    <row r="1102" spans="2:11" ht="16.5" x14ac:dyDescent="0.2">
      <c r="B1102" s="31" t="s">
        <v>1582</v>
      </c>
      <c r="C1102" s="31" t="s">
        <v>1583</v>
      </c>
      <c r="D1102" s="34"/>
      <c r="E1102" s="34">
        <v>111.11</v>
      </c>
      <c r="F1102" s="34">
        <v>0</v>
      </c>
      <c r="G1102" s="34">
        <v>0</v>
      </c>
      <c r="H1102" s="34"/>
      <c r="I1102" s="34">
        <f t="shared" si="17"/>
        <v>111.11</v>
      </c>
      <c r="K1102" t="s">
        <v>38</v>
      </c>
    </row>
    <row r="1103" spans="2:11" ht="16.5" x14ac:dyDescent="0.2">
      <c r="B1103" s="31" t="s">
        <v>1584</v>
      </c>
      <c r="C1103" s="31" t="s">
        <v>1585</v>
      </c>
      <c r="D1103" s="34"/>
      <c r="E1103" s="34">
        <v>4214.8500000000004</v>
      </c>
      <c r="F1103" s="34">
        <v>6137.72</v>
      </c>
      <c r="G1103" s="34">
        <v>6137.72</v>
      </c>
      <c r="H1103" s="34"/>
      <c r="I1103" s="34">
        <f t="shared" si="17"/>
        <v>4214.8500000000004</v>
      </c>
      <c r="K1103" t="s">
        <v>38</v>
      </c>
    </row>
    <row r="1104" spans="2:11" ht="16.5" x14ac:dyDescent="0.2">
      <c r="B1104" s="31" t="s">
        <v>1586</v>
      </c>
      <c r="C1104" s="31" t="s">
        <v>1587</v>
      </c>
      <c r="D1104" s="34"/>
      <c r="E1104" s="34">
        <v>0</v>
      </c>
      <c r="F1104" s="34">
        <v>584125.39</v>
      </c>
      <c r="G1104" s="34">
        <v>584125.39</v>
      </c>
      <c r="H1104" s="34"/>
      <c r="I1104" s="34">
        <f t="shared" si="17"/>
        <v>0</v>
      </c>
      <c r="K1104" t="s">
        <v>38</v>
      </c>
    </row>
    <row r="1105" spans="2:11" ht="16.5" x14ac:dyDescent="0.2">
      <c r="B1105" s="31" t="s">
        <v>1588</v>
      </c>
      <c r="C1105" s="31" t="s">
        <v>468</v>
      </c>
      <c r="D1105" s="34"/>
      <c r="E1105" s="34">
        <v>19800</v>
      </c>
      <c r="F1105" s="34">
        <v>0</v>
      </c>
      <c r="G1105" s="34">
        <v>0</v>
      </c>
      <c r="H1105" s="34"/>
      <c r="I1105" s="34">
        <f t="shared" si="17"/>
        <v>19800</v>
      </c>
      <c r="K1105" t="s">
        <v>38</v>
      </c>
    </row>
    <row r="1106" spans="2:11" ht="24.75" x14ac:dyDescent="0.2">
      <c r="B1106" s="31" t="s">
        <v>1589</v>
      </c>
      <c r="C1106" s="31" t="s">
        <v>1590</v>
      </c>
      <c r="D1106" s="34"/>
      <c r="E1106" s="34">
        <v>0</v>
      </c>
      <c r="F1106" s="34">
        <v>13500</v>
      </c>
      <c r="G1106" s="34">
        <v>13500</v>
      </c>
      <c r="H1106" s="34"/>
      <c r="I1106" s="34">
        <f t="shared" si="17"/>
        <v>0</v>
      </c>
      <c r="K1106" t="s">
        <v>38</v>
      </c>
    </row>
    <row r="1107" spans="2:11" ht="16.5" x14ac:dyDescent="0.2">
      <c r="B1107" s="31" t="s">
        <v>1591</v>
      </c>
      <c r="C1107" s="31" t="s">
        <v>1592</v>
      </c>
      <c r="D1107" s="34"/>
      <c r="E1107" s="34">
        <v>0</v>
      </c>
      <c r="F1107" s="34">
        <v>9500</v>
      </c>
      <c r="G1107" s="34">
        <v>9500</v>
      </c>
      <c r="H1107" s="34"/>
      <c r="I1107" s="34">
        <f t="shared" si="17"/>
        <v>0</v>
      </c>
      <c r="K1107" t="s">
        <v>38</v>
      </c>
    </row>
    <row r="1108" spans="2:11" ht="16.5" x14ac:dyDescent="0.2">
      <c r="B1108" s="31" t="s">
        <v>1593</v>
      </c>
      <c r="C1108" s="31" t="s">
        <v>1594</v>
      </c>
      <c r="D1108" s="34"/>
      <c r="E1108" s="34">
        <v>0</v>
      </c>
      <c r="F1108" s="34">
        <v>35850</v>
      </c>
      <c r="G1108" s="34">
        <v>35850</v>
      </c>
      <c r="H1108" s="34"/>
      <c r="I1108" s="34">
        <f t="shared" si="17"/>
        <v>0</v>
      </c>
      <c r="K1108" t="s">
        <v>38</v>
      </c>
    </row>
    <row r="1109" spans="2:11" ht="16.5" x14ac:dyDescent="0.2">
      <c r="B1109" s="31" t="s">
        <v>1595</v>
      </c>
      <c r="C1109" s="31" t="s">
        <v>1596</v>
      </c>
      <c r="D1109" s="34"/>
      <c r="E1109" s="34">
        <v>1617.57</v>
      </c>
      <c r="F1109" s="34">
        <v>0</v>
      </c>
      <c r="G1109" s="34">
        <v>0</v>
      </c>
      <c r="H1109" s="34"/>
      <c r="I1109" s="34">
        <f t="shared" si="17"/>
        <v>1617.57</v>
      </c>
      <c r="K1109" t="s">
        <v>38</v>
      </c>
    </row>
    <row r="1110" spans="2:11" ht="16.5" x14ac:dyDescent="0.2">
      <c r="B1110" s="31" t="s">
        <v>1597</v>
      </c>
      <c r="C1110" s="31" t="s">
        <v>1598</v>
      </c>
      <c r="D1110" s="34"/>
      <c r="E1110" s="34">
        <v>0</v>
      </c>
      <c r="F1110" s="34">
        <v>145833.39000000001</v>
      </c>
      <c r="G1110" s="34">
        <v>145833.39000000001</v>
      </c>
      <c r="H1110" s="34"/>
      <c r="I1110" s="34">
        <f t="shared" si="17"/>
        <v>0</v>
      </c>
      <c r="K1110" t="s">
        <v>38</v>
      </c>
    </row>
    <row r="1111" spans="2:11" ht="16.5" x14ac:dyDescent="0.2">
      <c r="B1111" s="31" t="s">
        <v>1599</v>
      </c>
      <c r="C1111" s="31" t="s">
        <v>73</v>
      </c>
      <c r="D1111" s="34"/>
      <c r="E1111" s="34">
        <v>0</v>
      </c>
      <c r="F1111" s="34">
        <v>8090.89</v>
      </c>
      <c r="G1111" s="34">
        <v>8090.89</v>
      </c>
      <c r="H1111" s="34"/>
      <c r="I1111" s="34">
        <f t="shared" si="17"/>
        <v>0</v>
      </c>
      <c r="K1111" t="s">
        <v>38</v>
      </c>
    </row>
    <row r="1112" spans="2:11" ht="16.5" x14ac:dyDescent="0.2">
      <c r="B1112" s="33" t="s">
        <v>1600</v>
      </c>
      <c r="C1112" s="33" t="s">
        <v>83</v>
      </c>
      <c r="D1112"/>
      <c r="E1112" s="35">
        <f>SUMIFS(E1113:E9015,K1113:K9015,"0",B1113:B9015,"2 1 1 2 1 12 31111 6 M59 00003*")-SUMIFS(D1113:D9015,K1113:K9015,"0",B1113:B9015,"2 1 1 2 1 12 31111 6 M59 00003*")</f>
        <v>187385.25</v>
      </c>
      <c r="F1112" s="35">
        <f>SUMIFS(F1113:F9015,K1113:K9015,"0",B1113:B9015,"2 1 1 2 1 12 31111 6 M59 00003*")</f>
        <v>30150513.310000002</v>
      </c>
      <c r="G1112" s="35">
        <f>SUMIFS(G1113:G9015,K1113:K9015,"0",B1113:B9015,"2 1 1 2 1 12 31111 6 M59 00003*")</f>
        <v>30150513.310000002</v>
      </c>
      <c r="H1112" s="35"/>
      <c r="I1112" s="35">
        <f t="shared" si="17"/>
        <v>187385.25</v>
      </c>
      <c r="K1112" t="s">
        <v>15</v>
      </c>
    </row>
    <row r="1113" spans="2:11" ht="16.5" x14ac:dyDescent="0.2">
      <c r="B1113" s="33" t="s">
        <v>1601</v>
      </c>
      <c r="C1113" s="33" t="s">
        <v>1602</v>
      </c>
      <c r="D1113"/>
      <c r="E1113" s="35">
        <f>SUMIFS(E1114:E9015,K1114:K9015,"0",B1114:B9015,"2 1 1 2 1 12 31111 6 M59 00003 000001*")-SUMIFS(D1114:D9015,K1114:K9015,"0",B1114:B9015,"2 1 1 2 1 12 31111 6 M59 00003 000001*")</f>
        <v>0</v>
      </c>
      <c r="F1113" s="35">
        <f>SUMIFS(F1114:F9015,K1114:K9015,"0",B1114:B9015,"2 1 1 2 1 12 31111 6 M59 00003 000001*")</f>
        <v>8715858.7599999998</v>
      </c>
      <c r="G1113" s="35">
        <f>SUMIFS(G1114:G9015,K1114:K9015,"0",B1114:B9015,"2 1 1 2 1 12 31111 6 M59 00003 000001*")</f>
        <v>8715858.7599999998</v>
      </c>
      <c r="H1113" s="35"/>
      <c r="I1113" s="35">
        <f t="shared" si="17"/>
        <v>0</v>
      </c>
      <c r="K1113" t="s">
        <v>15</v>
      </c>
    </row>
    <row r="1114" spans="2:11" ht="16.5" x14ac:dyDescent="0.2">
      <c r="B1114" s="31" t="s">
        <v>1603</v>
      </c>
      <c r="C1114" s="31" t="s">
        <v>1604</v>
      </c>
      <c r="D1114" s="34"/>
      <c r="E1114" s="34">
        <v>0</v>
      </c>
      <c r="F1114" s="34">
        <v>904805.13</v>
      </c>
      <c r="G1114" s="34">
        <v>904805.13</v>
      </c>
      <c r="H1114" s="34"/>
      <c r="I1114" s="34">
        <f t="shared" si="17"/>
        <v>0</v>
      </c>
      <c r="K1114" t="s">
        <v>38</v>
      </c>
    </row>
    <row r="1115" spans="2:11" ht="16.5" x14ac:dyDescent="0.2">
      <c r="B1115" s="31" t="s">
        <v>1605</v>
      </c>
      <c r="C1115" s="31" t="s">
        <v>1606</v>
      </c>
      <c r="D1115" s="34"/>
      <c r="E1115" s="34">
        <v>0</v>
      </c>
      <c r="F1115" s="34">
        <v>66352.160000000003</v>
      </c>
      <c r="G1115" s="34">
        <v>66352.160000000003</v>
      </c>
      <c r="H1115" s="34"/>
      <c r="I1115" s="34">
        <f t="shared" si="17"/>
        <v>0</v>
      </c>
      <c r="K1115" t="s">
        <v>38</v>
      </c>
    </row>
    <row r="1116" spans="2:11" ht="16.5" x14ac:dyDescent="0.2">
      <c r="B1116" s="31" t="s">
        <v>1607</v>
      </c>
      <c r="C1116" s="31" t="s">
        <v>1608</v>
      </c>
      <c r="D1116" s="34"/>
      <c r="E1116" s="34">
        <v>0</v>
      </c>
      <c r="F1116" s="34">
        <v>214932.49</v>
      </c>
      <c r="G1116" s="34">
        <v>214932.49</v>
      </c>
      <c r="H1116" s="34"/>
      <c r="I1116" s="34">
        <f t="shared" si="17"/>
        <v>0</v>
      </c>
      <c r="K1116" t="s">
        <v>38</v>
      </c>
    </row>
    <row r="1117" spans="2:11" ht="16.5" x14ac:dyDescent="0.2">
      <c r="B1117" s="31" t="s">
        <v>1609</v>
      </c>
      <c r="C1117" s="31" t="s">
        <v>1610</v>
      </c>
      <c r="D1117" s="34"/>
      <c r="E1117" s="34">
        <v>0</v>
      </c>
      <c r="F1117" s="34">
        <v>455010</v>
      </c>
      <c r="G1117" s="34">
        <v>455010</v>
      </c>
      <c r="H1117" s="34"/>
      <c r="I1117" s="34">
        <f t="shared" si="17"/>
        <v>0</v>
      </c>
      <c r="K1117" t="s">
        <v>38</v>
      </c>
    </row>
    <row r="1118" spans="2:11" ht="16.5" x14ac:dyDescent="0.2">
      <c r="B1118" s="31" t="s">
        <v>1611</v>
      </c>
      <c r="C1118" s="31" t="s">
        <v>1558</v>
      </c>
      <c r="D1118" s="34"/>
      <c r="E1118" s="34">
        <v>0</v>
      </c>
      <c r="F1118" s="34">
        <v>32575</v>
      </c>
      <c r="G1118" s="34">
        <v>32575</v>
      </c>
      <c r="H1118" s="34"/>
      <c r="I1118" s="34">
        <f t="shared" si="17"/>
        <v>0</v>
      </c>
      <c r="K1118" t="s">
        <v>38</v>
      </c>
    </row>
    <row r="1119" spans="2:11" ht="16.5" x14ac:dyDescent="0.2">
      <c r="B1119" s="31" t="s">
        <v>1612</v>
      </c>
      <c r="C1119" s="31" t="s">
        <v>1613</v>
      </c>
      <c r="D1119" s="34"/>
      <c r="E1119" s="34">
        <v>0</v>
      </c>
      <c r="F1119" s="34">
        <v>3669</v>
      </c>
      <c r="G1119" s="34">
        <v>3669</v>
      </c>
      <c r="H1119" s="34"/>
      <c r="I1119" s="34">
        <f t="shared" si="17"/>
        <v>0</v>
      </c>
      <c r="K1119" t="s">
        <v>38</v>
      </c>
    </row>
    <row r="1120" spans="2:11" ht="16.5" x14ac:dyDescent="0.2">
      <c r="B1120" s="31" t="s">
        <v>1614</v>
      </c>
      <c r="C1120" s="31" t="s">
        <v>1615</v>
      </c>
      <c r="D1120" s="34"/>
      <c r="E1120" s="34">
        <v>0</v>
      </c>
      <c r="F1120" s="34">
        <v>2331</v>
      </c>
      <c r="G1120" s="34">
        <v>2331</v>
      </c>
      <c r="H1120" s="34"/>
      <c r="I1120" s="34">
        <f t="shared" si="17"/>
        <v>0</v>
      </c>
      <c r="K1120" t="s">
        <v>38</v>
      </c>
    </row>
    <row r="1121" spans="2:11" ht="16.5" x14ac:dyDescent="0.2">
      <c r="B1121" s="31" t="s">
        <v>1616</v>
      </c>
      <c r="C1121" s="31" t="s">
        <v>1617</v>
      </c>
      <c r="D1121" s="34"/>
      <c r="E1121" s="34">
        <v>0</v>
      </c>
      <c r="F1121" s="34">
        <v>92940</v>
      </c>
      <c r="G1121" s="34">
        <v>92940</v>
      </c>
      <c r="H1121" s="34"/>
      <c r="I1121" s="34">
        <f t="shared" si="17"/>
        <v>0</v>
      </c>
      <c r="K1121" t="s">
        <v>38</v>
      </c>
    </row>
    <row r="1122" spans="2:11" ht="16.5" x14ac:dyDescent="0.2">
      <c r="B1122" s="31" t="s">
        <v>1618</v>
      </c>
      <c r="C1122" s="31" t="s">
        <v>1619</v>
      </c>
      <c r="D1122" s="34"/>
      <c r="E1122" s="34">
        <v>0</v>
      </c>
      <c r="F1122" s="34">
        <v>928</v>
      </c>
      <c r="G1122" s="34">
        <v>928</v>
      </c>
      <c r="H1122" s="34"/>
      <c r="I1122" s="34">
        <f t="shared" si="17"/>
        <v>0</v>
      </c>
      <c r="K1122" t="s">
        <v>38</v>
      </c>
    </row>
    <row r="1123" spans="2:11" ht="16.5" x14ac:dyDescent="0.2">
      <c r="B1123" s="31" t="s">
        <v>1620</v>
      </c>
      <c r="C1123" s="31" t="s">
        <v>1621</v>
      </c>
      <c r="D1123" s="34"/>
      <c r="E1123" s="34">
        <v>0</v>
      </c>
      <c r="F1123" s="34">
        <v>1044</v>
      </c>
      <c r="G1123" s="34">
        <v>1044</v>
      </c>
      <c r="H1123" s="34"/>
      <c r="I1123" s="34">
        <f t="shared" si="17"/>
        <v>0</v>
      </c>
      <c r="K1123" t="s">
        <v>38</v>
      </c>
    </row>
    <row r="1124" spans="2:11" ht="16.5" x14ac:dyDescent="0.2">
      <c r="B1124" s="31" t="s">
        <v>1622</v>
      </c>
      <c r="C1124" s="31" t="s">
        <v>1623</v>
      </c>
      <c r="D1124" s="34"/>
      <c r="E1124" s="34">
        <v>0</v>
      </c>
      <c r="F1124" s="34">
        <v>2327</v>
      </c>
      <c r="G1124" s="34">
        <v>2327</v>
      </c>
      <c r="H1124" s="34"/>
      <c r="I1124" s="34">
        <f t="shared" si="17"/>
        <v>0</v>
      </c>
      <c r="K1124" t="s">
        <v>38</v>
      </c>
    </row>
    <row r="1125" spans="2:11" ht="16.5" x14ac:dyDescent="0.2">
      <c r="B1125" s="31" t="s">
        <v>1624</v>
      </c>
      <c r="C1125" s="31" t="s">
        <v>1625</v>
      </c>
      <c r="D1125" s="34"/>
      <c r="E1125" s="34">
        <v>0</v>
      </c>
      <c r="F1125" s="34">
        <v>1127</v>
      </c>
      <c r="G1125" s="34">
        <v>1127</v>
      </c>
      <c r="H1125" s="34"/>
      <c r="I1125" s="34">
        <f t="shared" si="17"/>
        <v>0</v>
      </c>
      <c r="K1125" t="s">
        <v>38</v>
      </c>
    </row>
    <row r="1126" spans="2:11" ht="16.5" x14ac:dyDescent="0.2">
      <c r="B1126" s="31" t="s">
        <v>1626</v>
      </c>
      <c r="C1126" s="31" t="s">
        <v>1627</v>
      </c>
      <c r="D1126" s="34"/>
      <c r="E1126" s="34">
        <v>0</v>
      </c>
      <c r="F1126" s="34">
        <v>2020</v>
      </c>
      <c r="G1126" s="34">
        <v>2020</v>
      </c>
      <c r="H1126" s="34"/>
      <c r="I1126" s="34">
        <f t="shared" si="17"/>
        <v>0</v>
      </c>
      <c r="K1126" t="s">
        <v>38</v>
      </c>
    </row>
    <row r="1127" spans="2:11" ht="16.5" x14ac:dyDescent="0.2">
      <c r="B1127" s="31" t="s">
        <v>1628</v>
      </c>
      <c r="C1127" s="31" t="s">
        <v>1629</v>
      </c>
      <c r="D1127" s="34"/>
      <c r="E1127" s="34">
        <v>0</v>
      </c>
      <c r="F1127" s="34">
        <v>1199</v>
      </c>
      <c r="G1127" s="34">
        <v>1199</v>
      </c>
      <c r="H1127" s="34"/>
      <c r="I1127" s="34">
        <f t="shared" si="17"/>
        <v>0</v>
      </c>
      <c r="K1127" t="s">
        <v>38</v>
      </c>
    </row>
    <row r="1128" spans="2:11" ht="16.5" x14ac:dyDescent="0.2">
      <c r="B1128" s="31" t="s">
        <v>1630</v>
      </c>
      <c r="C1128" s="31" t="s">
        <v>1631</v>
      </c>
      <c r="D1128" s="34"/>
      <c r="E1128" s="34">
        <v>0</v>
      </c>
      <c r="F1128" s="34">
        <v>271889</v>
      </c>
      <c r="G1128" s="34">
        <v>271889</v>
      </c>
      <c r="H1128" s="34"/>
      <c r="I1128" s="34">
        <f t="shared" si="17"/>
        <v>0</v>
      </c>
      <c r="K1128" t="s">
        <v>38</v>
      </c>
    </row>
    <row r="1129" spans="2:11" ht="16.5" x14ac:dyDescent="0.2">
      <c r="B1129" s="31" t="s">
        <v>1632</v>
      </c>
      <c r="C1129" s="31" t="s">
        <v>1633</v>
      </c>
      <c r="D1129" s="34"/>
      <c r="E1129" s="34">
        <v>0</v>
      </c>
      <c r="F1129" s="34">
        <v>6603.99</v>
      </c>
      <c r="G1129" s="34">
        <v>6603.99</v>
      </c>
      <c r="H1129" s="34"/>
      <c r="I1129" s="34">
        <f t="shared" si="17"/>
        <v>0</v>
      </c>
      <c r="K1129" t="s">
        <v>38</v>
      </c>
    </row>
    <row r="1130" spans="2:11" ht="16.5" x14ac:dyDescent="0.2">
      <c r="B1130" s="31" t="s">
        <v>1634</v>
      </c>
      <c r="C1130" s="31" t="s">
        <v>1635</v>
      </c>
      <c r="D1130" s="34"/>
      <c r="E1130" s="34">
        <v>0</v>
      </c>
      <c r="F1130" s="34">
        <v>962400</v>
      </c>
      <c r="G1130" s="34">
        <v>962400</v>
      </c>
      <c r="H1130" s="34"/>
      <c r="I1130" s="34">
        <f t="shared" si="17"/>
        <v>0</v>
      </c>
      <c r="K1130" t="s">
        <v>38</v>
      </c>
    </row>
    <row r="1131" spans="2:11" ht="16.5" x14ac:dyDescent="0.2">
      <c r="B1131" s="31" t="s">
        <v>1636</v>
      </c>
      <c r="C1131" s="31" t="s">
        <v>1562</v>
      </c>
      <c r="D1131" s="34"/>
      <c r="E1131" s="34">
        <v>0</v>
      </c>
      <c r="F1131" s="34">
        <v>105218</v>
      </c>
      <c r="G1131" s="34">
        <v>105218</v>
      </c>
      <c r="H1131" s="34"/>
      <c r="I1131" s="34">
        <f t="shared" si="17"/>
        <v>0</v>
      </c>
      <c r="K1131" t="s">
        <v>38</v>
      </c>
    </row>
    <row r="1132" spans="2:11" ht="16.5" x14ac:dyDescent="0.2">
      <c r="B1132" s="31" t="s">
        <v>1637</v>
      </c>
      <c r="C1132" s="31" t="s">
        <v>1638</v>
      </c>
      <c r="D1132" s="34"/>
      <c r="E1132" s="34">
        <v>0</v>
      </c>
      <c r="F1132" s="34">
        <v>478699.04</v>
      </c>
      <c r="G1132" s="34">
        <v>478699.04</v>
      </c>
      <c r="H1132" s="34"/>
      <c r="I1132" s="34">
        <f t="shared" si="17"/>
        <v>0</v>
      </c>
      <c r="K1132" t="s">
        <v>38</v>
      </c>
    </row>
    <row r="1133" spans="2:11" ht="16.5" x14ac:dyDescent="0.2">
      <c r="B1133" s="31" t="s">
        <v>1639</v>
      </c>
      <c r="C1133" s="31" t="s">
        <v>1640</v>
      </c>
      <c r="D1133" s="34"/>
      <c r="E1133" s="34">
        <v>0</v>
      </c>
      <c r="F1133" s="34">
        <v>800.01</v>
      </c>
      <c r="G1133" s="34">
        <v>800.01</v>
      </c>
      <c r="H1133" s="34"/>
      <c r="I1133" s="34">
        <f t="shared" si="17"/>
        <v>0</v>
      </c>
      <c r="K1133" t="s">
        <v>38</v>
      </c>
    </row>
    <row r="1134" spans="2:11" ht="16.5" x14ac:dyDescent="0.2">
      <c r="B1134" s="31" t="s">
        <v>1641</v>
      </c>
      <c r="C1134" s="31" t="s">
        <v>1642</v>
      </c>
      <c r="D1134" s="34"/>
      <c r="E1134" s="34">
        <v>0</v>
      </c>
      <c r="F1134" s="34">
        <v>248</v>
      </c>
      <c r="G1134" s="34">
        <v>248</v>
      </c>
      <c r="H1134" s="34"/>
      <c r="I1134" s="34">
        <f t="shared" si="17"/>
        <v>0</v>
      </c>
      <c r="K1134" t="s">
        <v>38</v>
      </c>
    </row>
    <row r="1135" spans="2:11" ht="16.5" x14ac:dyDescent="0.2">
      <c r="B1135" s="31" t="s">
        <v>1643</v>
      </c>
      <c r="C1135" s="31" t="s">
        <v>1644</v>
      </c>
      <c r="D1135" s="34"/>
      <c r="E1135" s="34">
        <v>0</v>
      </c>
      <c r="F1135" s="34">
        <v>1422.46</v>
      </c>
      <c r="G1135" s="34">
        <v>1422.46</v>
      </c>
      <c r="H1135" s="34"/>
      <c r="I1135" s="34">
        <f t="shared" ref="I1135:I1198" si="18">E1135 - F1135 + G1135</f>
        <v>0</v>
      </c>
      <c r="K1135" t="s">
        <v>38</v>
      </c>
    </row>
    <row r="1136" spans="2:11" ht="16.5" x14ac:dyDescent="0.2">
      <c r="B1136" s="31" t="s">
        <v>1645</v>
      </c>
      <c r="C1136" s="31" t="s">
        <v>1564</v>
      </c>
      <c r="D1136" s="34"/>
      <c r="E1136" s="34">
        <v>0</v>
      </c>
      <c r="F1136" s="34">
        <v>2010000</v>
      </c>
      <c r="G1136" s="34">
        <v>2010000</v>
      </c>
      <c r="H1136" s="34"/>
      <c r="I1136" s="34">
        <f t="shared" si="18"/>
        <v>0</v>
      </c>
      <c r="K1136" t="s">
        <v>38</v>
      </c>
    </row>
    <row r="1137" spans="2:11" ht="16.5" x14ac:dyDescent="0.2">
      <c r="B1137" s="31" t="s">
        <v>1646</v>
      </c>
      <c r="C1137" s="31" t="s">
        <v>1647</v>
      </c>
      <c r="D1137" s="34"/>
      <c r="E1137" s="34">
        <v>0</v>
      </c>
      <c r="F1137" s="34">
        <v>157389</v>
      </c>
      <c r="G1137" s="34">
        <v>157389</v>
      </c>
      <c r="H1137" s="34"/>
      <c r="I1137" s="34">
        <f t="shared" si="18"/>
        <v>0</v>
      </c>
      <c r="K1137" t="s">
        <v>38</v>
      </c>
    </row>
    <row r="1138" spans="2:11" ht="16.5" x14ac:dyDescent="0.2">
      <c r="B1138" s="31" t="s">
        <v>1648</v>
      </c>
      <c r="C1138" s="31" t="s">
        <v>1576</v>
      </c>
      <c r="D1138" s="34"/>
      <c r="E1138" s="34">
        <v>0</v>
      </c>
      <c r="F1138" s="34">
        <v>56169.48</v>
      </c>
      <c r="G1138" s="34">
        <v>56169.48</v>
      </c>
      <c r="H1138" s="34"/>
      <c r="I1138" s="34">
        <f t="shared" si="18"/>
        <v>0</v>
      </c>
      <c r="K1138" t="s">
        <v>38</v>
      </c>
    </row>
    <row r="1139" spans="2:11" ht="16.5" x14ac:dyDescent="0.2">
      <c r="B1139" s="31" t="s">
        <v>1649</v>
      </c>
      <c r="C1139" s="31" t="s">
        <v>1650</v>
      </c>
      <c r="D1139" s="34"/>
      <c r="E1139" s="34">
        <v>0</v>
      </c>
      <c r="F1139" s="34">
        <v>2883760</v>
      </c>
      <c r="G1139" s="34">
        <v>2883760</v>
      </c>
      <c r="H1139" s="34"/>
      <c r="I1139" s="34">
        <f t="shared" si="18"/>
        <v>0</v>
      </c>
      <c r="K1139" t="s">
        <v>38</v>
      </c>
    </row>
    <row r="1140" spans="2:11" ht="16.5" x14ac:dyDescent="0.2">
      <c r="B1140" s="33" t="s">
        <v>1651</v>
      </c>
      <c r="C1140" s="33" t="s">
        <v>1602</v>
      </c>
      <c r="D1140"/>
      <c r="E1140" s="35">
        <f>SUMIFS(E1141:E9015,K1141:K9015,"0",B1141:B9015,"2 1 1 2 1 12 31111 6 M59 00003 000002*")-SUMIFS(D1141:D9015,K1141:K9015,"0",B1141:B9015,"2 1 1 2 1 12 31111 6 M59 00003 000002*")</f>
        <v>187385.25</v>
      </c>
      <c r="F1140" s="35">
        <f>SUMIFS(F1141:F9015,K1141:K9015,"0",B1141:B9015,"2 1 1 2 1 12 31111 6 M59 00003 000002*")</f>
        <v>0</v>
      </c>
      <c r="G1140" s="35">
        <f>SUMIFS(G1141:G9015,K1141:K9015,"0",B1141:B9015,"2 1 1 2 1 12 31111 6 M59 00003 000002*")</f>
        <v>0</v>
      </c>
      <c r="H1140" s="35"/>
      <c r="I1140" s="35">
        <f t="shared" si="18"/>
        <v>187385.25</v>
      </c>
      <c r="K1140" t="s">
        <v>15</v>
      </c>
    </row>
    <row r="1141" spans="2:11" ht="16.5" x14ac:dyDescent="0.2">
      <c r="B1141" s="31" t="s">
        <v>1652</v>
      </c>
      <c r="C1141" s="31" t="s">
        <v>1653</v>
      </c>
      <c r="D1141" s="34"/>
      <c r="E1141" s="34">
        <v>20000</v>
      </c>
      <c r="F1141" s="34">
        <v>0</v>
      </c>
      <c r="G1141" s="34">
        <v>0</v>
      </c>
      <c r="H1141" s="34"/>
      <c r="I1141" s="34">
        <f t="shared" si="18"/>
        <v>20000</v>
      </c>
      <c r="K1141" t="s">
        <v>38</v>
      </c>
    </row>
    <row r="1142" spans="2:11" ht="24.75" x14ac:dyDescent="0.2">
      <c r="B1142" s="31" t="s">
        <v>1654</v>
      </c>
      <c r="C1142" s="31" t="s">
        <v>426</v>
      </c>
      <c r="D1142" s="34"/>
      <c r="E1142" s="34">
        <v>62979.839999999997</v>
      </c>
      <c r="F1142" s="34">
        <v>0</v>
      </c>
      <c r="G1142" s="34">
        <v>0</v>
      </c>
      <c r="H1142" s="34"/>
      <c r="I1142" s="34">
        <f t="shared" si="18"/>
        <v>62979.839999999997</v>
      </c>
      <c r="K1142" t="s">
        <v>38</v>
      </c>
    </row>
    <row r="1143" spans="2:11" ht="16.5" x14ac:dyDescent="0.2">
      <c r="B1143" s="31" t="s">
        <v>1655</v>
      </c>
      <c r="C1143" s="31" t="s">
        <v>428</v>
      </c>
      <c r="D1143" s="34"/>
      <c r="E1143" s="34">
        <v>-86.02</v>
      </c>
      <c r="F1143" s="34">
        <v>0</v>
      </c>
      <c r="G1143" s="34">
        <v>0</v>
      </c>
      <c r="H1143" s="34"/>
      <c r="I1143" s="34">
        <f t="shared" si="18"/>
        <v>-86.02</v>
      </c>
      <c r="K1143" t="s">
        <v>38</v>
      </c>
    </row>
    <row r="1144" spans="2:11" ht="16.5" x14ac:dyDescent="0.2">
      <c r="B1144" s="31" t="s">
        <v>1656</v>
      </c>
      <c r="C1144" s="31" t="s">
        <v>1657</v>
      </c>
      <c r="D1144" s="34"/>
      <c r="E1144" s="34">
        <v>30179.55</v>
      </c>
      <c r="F1144" s="34">
        <v>0</v>
      </c>
      <c r="G1144" s="34">
        <v>0</v>
      </c>
      <c r="H1144" s="34"/>
      <c r="I1144" s="34">
        <f t="shared" si="18"/>
        <v>30179.55</v>
      </c>
      <c r="K1144" t="s">
        <v>38</v>
      </c>
    </row>
    <row r="1145" spans="2:11" ht="16.5" x14ac:dyDescent="0.2">
      <c r="B1145" s="31" t="s">
        <v>1658</v>
      </c>
      <c r="C1145" s="31" t="s">
        <v>1659</v>
      </c>
      <c r="D1145" s="34"/>
      <c r="E1145" s="34">
        <v>32.380000000000003</v>
      </c>
      <c r="F1145" s="34">
        <v>0</v>
      </c>
      <c r="G1145" s="34">
        <v>0</v>
      </c>
      <c r="H1145" s="34"/>
      <c r="I1145" s="34">
        <f t="shared" si="18"/>
        <v>32.380000000000003</v>
      </c>
      <c r="K1145" t="s">
        <v>38</v>
      </c>
    </row>
    <row r="1146" spans="2:11" ht="16.5" x14ac:dyDescent="0.2">
      <c r="B1146" s="31" t="s">
        <v>1660</v>
      </c>
      <c r="C1146" s="31" t="s">
        <v>450</v>
      </c>
      <c r="D1146" s="34"/>
      <c r="E1146" s="34">
        <v>74225.86</v>
      </c>
      <c r="F1146" s="34">
        <v>0</v>
      </c>
      <c r="G1146" s="34">
        <v>0</v>
      </c>
      <c r="H1146" s="34"/>
      <c r="I1146" s="34">
        <f t="shared" si="18"/>
        <v>74225.86</v>
      </c>
      <c r="K1146" t="s">
        <v>38</v>
      </c>
    </row>
    <row r="1147" spans="2:11" ht="16.5" x14ac:dyDescent="0.2">
      <c r="B1147" s="31" t="s">
        <v>1661</v>
      </c>
      <c r="C1147" s="31" t="s">
        <v>1662</v>
      </c>
      <c r="D1147" s="34"/>
      <c r="E1147" s="34">
        <v>44.6</v>
      </c>
      <c r="F1147" s="34">
        <v>0</v>
      </c>
      <c r="G1147" s="34">
        <v>0</v>
      </c>
      <c r="H1147" s="34"/>
      <c r="I1147" s="34">
        <f t="shared" si="18"/>
        <v>44.6</v>
      </c>
      <c r="K1147" t="s">
        <v>38</v>
      </c>
    </row>
    <row r="1148" spans="2:11" ht="16.5" x14ac:dyDescent="0.2">
      <c r="B1148" s="31" t="s">
        <v>1663</v>
      </c>
      <c r="C1148" s="31" t="s">
        <v>1664</v>
      </c>
      <c r="D1148" s="34"/>
      <c r="E1148" s="34">
        <v>9.0399999999999991</v>
      </c>
      <c r="F1148" s="34">
        <v>0</v>
      </c>
      <c r="G1148" s="34">
        <v>0</v>
      </c>
      <c r="H1148" s="34"/>
      <c r="I1148" s="34">
        <f t="shared" si="18"/>
        <v>9.0399999999999991</v>
      </c>
      <c r="K1148" t="s">
        <v>38</v>
      </c>
    </row>
    <row r="1149" spans="2:11" ht="16.5" x14ac:dyDescent="0.2">
      <c r="B1149" s="33" t="s">
        <v>1665</v>
      </c>
      <c r="C1149" s="33" t="s">
        <v>42</v>
      </c>
      <c r="D1149"/>
      <c r="E1149" s="35">
        <f>SUMIFS(E1150:E9015,K1150:K9015,"0",B1150:B9015,"2 1 1 2 1 12 31111 6 M59 00003 000053*")-SUMIFS(D1150:D9015,K1150:K9015,"0",B1150:B9015,"2 1 1 2 1 12 31111 6 M59 00003 000053*")</f>
        <v>0</v>
      </c>
      <c r="F1149" s="35">
        <f>SUMIFS(F1150:F9015,K1150:K9015,"0",B1150:B9015,"2 1 1 2 1 12 31111 6 M59 00003 000053*")</f>
        <v>21394588.27</v>
      </c>
      <c r="G1149" s="35">
        <f>SUMIFS(G1150:G9015,K1150:K9015,"0",B1150:B9015,"2 1 1 2 1 12 31111 6 M59 00003 000053*")</f>
        <v>21394588.27</v>
      </c>
      <c r="H1149" s="35"/>
      <c r="I1149" s="35">
        <f t="shared" si="18"/>
        <v>0</v>
      </c>
      <c r="K1149" t="s">
        <v>15</v>
      </c>
    </row>
    <row r="1150" spans="2:11" ht="16.5" x14ac:dyDescent="0.2">
      <c r="B1150" s="31" t="s">
        <v>1666</v>
      </c>
      <c r="C1150" s="31" t="s">
        <v>1667</v>
      </c>
      <c r="D1150" s="34"/>
      <c r="E1150" s="34">
        <v>0</v>
      </c>
      <c r="F1150" s="34">
        <v>21394588.27</v>
      </c>
      <c r="G1150" s="34">
        <v>21394588.27</v>
      </c>
      <c r="H1150" s="34"/>
      <c r="I1150" s="34">
        <f t="shared" si="18"/>
        <v>0</v>
      </c>
      <c r="K1150" t="s">
        <v>38</v>
      </c>
    </row>
    <row r="1151" spans="2:11" ht="16.5" x14ac:dyDescent="0.2">
      <c r="B1151" s="31" t="s">
        <v>1668</v>
      </c>
      <c r="C1151" s="31" t="s">
        <v>1594</v>
      </c>
      <c r="D1151" s="34"/>
      <c r="E1151" s="34">
        <v>0</v>
      </c>
      <c r="F1151" s="34">
        <v>40066.28</v>
      </c>
      <c r="G1151" s="34">
        <v>40066.28</v>
      </c>
      <c r="H1151" s="34"/>
      <c r="I1151" s="34">
        <f t="shared" si="18"/>
        <v>0</v>
      </c>
      <c r="K1151" t="s">
        <v>38</v>
      </c>
    </row>
    <row r="1152" spans="2:11" ht="24.75" x14ac:dyDescent="0.2">
      <c r="B1152" s="33" t="s">
        <v>1669</v>
      </c>
      <c r="C1152" s="33" t="s">
        <v>91</v>
      </c>
      <c r="D1152"/>
      <c r="E1152" s="35">
        <f>SUMIFS(E1153:E9015,K1153:K9015,"0",B1153:B9015,"2 1 1 2 1 12 31111 6 M59 00004*")-SUMIFS(D1153:D9015,K1153:K9015,"0",B1153:B9015,"2 1 1 2 1 12 31111 6 M59 00004*")</f>
        <v>1094401.6999999997</v>
      </c>
      <c r="F1152" s="35">
        <f>SUMIFS(F1153:F9015,K1153:K9015,"0",B1153:B9015,"2 1 1 2 1 12 31111 6 M59 00004*")</f>
        <v>15763344.359999999</v>
      </c>
      <c r="G1152" s="35">
        <f>SUMIFS(G1153:G9015,K1153:K9015,"0",B1153:B9015,"2 1 1 2 1 12 31111 6 M59 00004*")</f>
        <v>15763344.359999999</v>
      </c>
      <c r="H1152" s="35"/>
      <c r="I1152" s="35">
        <f t="shared" si="18"/>
        <v>1094401.6999999993</v>
      </c>
      <c r="K1152" t="s">
        <v>15</v>
      </c>
    </row>
    <row r="1153" spans="2:11" ht="16.5" x14ac:dyDescent="0.2">
      <c r="B1153" s="33" t="s">
        <v>1670</v>
      </c>
      <c r="C1153" s="33" t="s">
        <v>42</v>
      </c>
      <c r="D1153"/>
      <c r="E1153" s="35">
        <f>SUMIFS(E1154:E9015,K1154:K9015,"0",B1154:B9015,"2 1 1 2 1 12 31111 6 M59 00004 000001*")-SUMIFS(D1154:D9015,K1154:K9015,"0",B1154:B9015,"2 1 1 2 1 12 31111 6 M59 00004 000001*")</f>
        <v>1094401.6999999997</v>
      </c>
      <c r="F1153" s="35">
        <f>SUMIFS(F1154:F9015,K1154:K9015,"0",B1154:B9015,"2 1 1 2 1 12 31111 6 M59 00004 000001*")</f>
        <v>15763344.359999999</v>
      </c>
      <c r="G1153" s="35">
        <f>SUMIFS(G1154:G9015,K1154:K9015,"0",B1154:B9015,"2 1 1 2 1 12 31111 6 M59 00004 000001*")</f>
        <v>15763344.359999999</v>
      </c>
      <c r="H1153" s="35"/>
      <c r="I1153" s="35">
        <f t="shared" si="18"/>
        <v>1094401.6999999993</v>
      </c>
      <c r="K1153" t="s">
        <v>15</v>
      </c>
    </row>
    <row r="1154" spans="2:11" ht="16.5" x14ac:dyDescent="0.2">
      <c r="B1154" s="33" t="s">
        <v>1671</v>
      </c>
      <c r="C1154" s="33" t="s">
        <v>42</v>
      </c>
      <c r="D1154"/>
      <c r="E1154" s="35">
        <f>SUMIFS(E1155:E9015,K1155:K9015,"0",B1155:B9015,"2 1 1 2 1 12 31111 6 M59 00004 000001 00001*")-SUMIFS(D1155:D9015,K1155:K9015,"0",B1155:B9015,"2 1 1 2 1 12 31111 6 M59 00004 000001 00001*")</f>
        <v>1094401.6999999997</v>
      </c>
      <c r="F1154" s="35">
        <f>SUMIFS(F1155:F9015,K1155:K9015,"0",B1155:B9015,"2 1 1 2 1 12 31111 6 M59 00004 000001 00001*")</f>
        <v>15763344.359999999</v>
      </c>
      <c r="G1154" s="35">
        <f>SUMIFS(G1155:G9015,K1155:K9015,"0",B1155:B9015,"2 1 1 2 1 12 31111 6 M59 00004 000001 00001*")</f>
        <v>15763344.359999999</v>
      </c>
      <c r="H1154" s="35"/>
      <c r="I1154" s="35">
        <f t="shared" si="18"/>
        <v>1094401.6999999993</v>
      </c>
      <c r="K1154" t="s">
        <v>15</v>
      </c>
    </row>
    <row r="1155" spans="2:11" ht="16.5" x14ac:dyDescent="0.2">
      <c r="B1155" s="31" t="s">
        <v>1672</v>
      </c>
      <c r="C1155" s="31" t="s">
        <v>1532</v>
      </c>
      <c r="D1155" s="34"/>
      <c r="E1155" s="34">
        <v>0</v>
      </c>
      <c r="F1155" s="34">
        <v>14837419.279999999</v>
      </c>
      <c r="G1155" s="34">
        <v>14837419.279999999</v>
      </c>
      <c r="H1155" s="34"/>
      <c r="I1155" s="34">
        <f t="shared" si="18"/>
        <v>0</v>
      </c>
      <c r="K1155" t="s">
        <v>38</v>
      </c>
    </row>
    <row r="1156" spans="2:11" ht="16.5" x14ac:dyDescent="0.2">
      <c r="B1156" s="31" t="s">
        <v>1673</v>
      </c>
      <c r="C1156" s="31" t="s">
        <v>1653</v>
      </c>
      <c r="D1156" s="34"/>
      <c r="E1156" s="34">
        <v>153.88999999999999</v>
      </c>
      <c r="F1156" s="34">
        <v>0</v>
      </c>
      <c r="G1156" s="34">
        <v>0</v>
      </c>
      <c r="H1156" s="34"/>
      <c r="I1156" s="34">
        <f t="shared" si="18"/>
        <v>153.88999999999999</v>
      </c>
      <c r="K1156" t="s">
        <v>38</v>
      </c>
    </row>
    <row r="1157" spans="2:11" ht="24.75" x14ac:dyDescent="0.2">
      <c r="B1157" s="31" t="s">
        <v>1674</v>
      </c>
      <c r="C1157" s="31" t="s">
        <v>1675</v>
      </c>
      <c r="D1157" s="34"/>
      <c r="E1157" s="34">
        <v>1078971.26</v>
      </c>
      <c r="F1157" s="34">
        <v>0</v>
      </c>
      <c r="G1157" s="34">
        <v>0</v>
      </c>
      <c r="H1157" s="34"/>
      <c r="I1157" s="34">
        <f t="shared" si="18"/>
        <v>1078971.26</v>
      </c>
      <c r="K1157" t="s">
        <v>38</v>
      </c>
    </row>
    <row r="1158" spans="2:11" ht="16.5" x14ac:dyDescent="0.2">
      <c r="B1158" s="31" t="s">
        <v>1676</v>
      </c>
      <c r="C1158" s="31" t="s">
        <v>1677</v>
      </c>
      <c r="D1158" s="34"/>
      <c r="E1158" s="34">
        <v>693</v>
      </c>
      <c r="F1158" s="34">
        <v>0</v>
      </c>
      <c r="G1158" s="34">
        <v>0</v>
      </c>
      <c r="H1158" s="34"/>
      <c r="I1158" s="34">
        <f t="shared" si="18"/>
        <v>693</v>
      </c>
      <c r="K1158" t="s">
        <v>38</v>
      </c>
    </row>
    <row r="1159" spans="2:11" ht="16.5" x14ac:dyDescent="0.2">
      <c r="B1159" s="31" t="s">
        <v>1678</v>
      </c>
      <c r="C1159" s="31" t="s">
        <v>1679</v>
      </c>
      <c r="D1159" s="34"/>
      <c r="E1159" s="34">
        <v>318.95999999999998</v>
      </c>
      <c r="F1159" s="34">
        <v>0</v>
      </c>
      <c r="G1159" s="34">
        <v>0</v>
      </c>
      <c r="H1159" s="34"/>
      <c r="I1159" s="34">
        <f t="shared" si="18"/>
        <v>318.95999999999998</v>
      </c>
      <c r="K1159" t="s">
        <v>38</v>
      </c>
    </row>
    <row r="1160" spans="2:11" ht="16.5" x14ac:dyDescent="0.2">
      <c r="B1160" s="31" t="s">
        <v>1680</v>
      </c>
      <c r="C1160" s="31" t="s">
        <v>1681</v>
      </c>
      <c r="D1160" s="34"/>
      <c r="E1160" s="34">
        <v>173.01</v>
      </c>
      <c r="F1160" s="34">
        <v>0</v>
      </c>
      <c r="G1160" s="34">
        <v>0</v>
      </c>
      <c r="H1160" s="34"/>
      <c r="I1160" s="34">
        <f t="shared" si="18"/>
        <v>173.01</v>
      </c>
      <c r="K1160" t="s">
        <v>38</v>
      </c>
    </row>
    <row r="1161" spans="2:11" ht="16.5" x14ac:dyDescent="0.2">
      <c r="B1161" s="31" t="s">
        <v>1682</v>
      </c>
      <c r="C1161" s="31" t="s">
        <v>1683</v>
      </c>
      <c r="D1161" s="34"/>
      <c r="E1161" s="34">
        <v>337.48</v>
      </c>
      <c r="F1161" s="34">
        <v>0</v>
      </c>
      <c r="G1161" s="34">
        <v>0</v>
      </c>
      <c r="H1161" s="34"/>
      <c r="I1161" s="34">
        <f t="shared" si="18"/>
        <v>337.48</v>
      </c>
      <c r="K1161" t="s">
        <v>38</v>
      </c>
    </row>
    <row r="1162" spans="2:11" ht="16.5" x14ac:dyDescent="0.2">
      <c r="B1162" s="31" t="s">
        <v>1684</v>
      </c>
      <c r="C1162" s="31" t="s">
        <v>1685</v>
      </c>
      <c r="D1162" s="34"/>
      <c r="E1162" s="34">
        <v>64.66</v>
      </c>
      <c r="F1162" s="34">
        <v>0</v>
      </c>
      <c r="G1162" s="34">
        <v>0</v>
      </c>
      <c r="H1162" s="34"/>
      <c r="I1162" s="34">
        <f t="shared" si="18"/>
        <v>64.66</v>
      </c>
      <c r="K1162" t="s">
        <v>38</v>
      </c>
    </row>
    <row r="1163" spans="2:11" ht="16.5" x14ac:dyDescent="0.2">
      <c r="B1163" s="31" t="s">
        <v>1686</v>
      </c>
      <c r="C1163" s="31" t="s">
        <v>1687</v>
      </c>
      <c r="D1163" s="34"/>
      <c r="E1163" s="34">
        <v>560.34</v>
      </c>
      <c r="F1163" s="34">
        <v>0</v>
      </c>
      <c r="G1163" s="34">
        <v>0</v>
      </c>
      <c r="H1163" s="34"/>
      <c r="I1163" s="34">
        <f t="shared" si="18"/>
        <v>560.34</v>
      </c>
      <c r="K1163" t="s">
        <v>38</v>
      </c>
    </row>
    <row r="1164" spans="2:11" ht="16.5" x14ac:dyDescent="0.2">
      <c r="B1164" s="31" t="s">
        <v>1688</v>
      </c>
      <c r="C1164" s="31" t="s">
        <v>1689</v>
      </c>
      <c r="D1164" s="34"/>
      <c r="E1164" s="34">
        <v>4000</v>
      </c>
      <c r="F1164" s="34">
        <v>0</v>
      </c>
      <c r="G1164" s="34">
        <v>0</v>
      </c>
      <c r="H1164" s="34"/>
      <c r="I1164" s="34">
        <f t="shared" si="18"/>
        <v>4000</v>
      </c>
      <c r="K1164" t="s">
        <v>38</v>
      </c>
    </row>
    <row r="1165" spans="2:11" ht="16.5" x14ac:dyDescent="0.2">
      <c r="B1165" s="31" t="s">
        <v>1690</v>
      </c>
      <c r="C1165" s="31" t="s">
        <v>1691</v>
      </c>
      <c r="D1165" s="34"/>
      <c r="E1165" s="34">
        <v>8652.3799999999992</v>
      </c>
      <c r="F1165" s="34">
        <v>0</v>
      </c>
      <c r="G1165" s="34">
        <v>0</v>
      </c>
      <c r="H1165" s="34"/>
      <c r="I1165" s="34">
        <f t="shared" si="18"/>
        <v>8652.3799999999992</v>
      </c>
      <c r="K1165" t="s">
        <v>38</v>
      </c>
    </row>
    <row r="1166" spans="2:11" ht="16.5" x14ac:dyDescent="0.2">
      <c r="B1166" s="31" t="s">
        <v>1692</v>
      </c>
      <c r="C1166" s="31" t="s">
        <v>1693</v>
      </c>
      <c r="D1166" s="34"/>
      <c r="E1166" s="34">
        <v>476.72</v>
      </c>
      <c r="F1166" s="34">
        <v>0</v>
      </c>
      <c r="G1166" s="34">
        <v>0</v>
      </c>
      <c r="H1166" s="34"/>
      <c r="I1166" s="34">
        <f t="shared" si="18"/>
        <v>476.72</v>
      </c>
      <c r="K1166" t="s">
        <v>38</v>
      </c>
    </row>
    <row r="1167" spans="2:11" ht="24.75" x14ac:dyDescent="0.2">
      <c r="B1167" s="31" t="s">
        <v>1694</v>
      </c>
      <c r="C1167" s="31" t="s">
        <v>1695</v>
      </c>
      <c r="D1167" s="34"/>
      <c r="E1167" s="34">
        <v>0</v>
      </c>
      <c r="F1167" s="34">
        <v>512.72</v>
      </c>
      <c r="G1167" s="34">
        <v>512.72</v>
      </c>
      <c r="H1167" s="34"/>
      <c r="I1167" s="34">
        <f t="shared" si="18"/>
        <v>0</v>
      </c>
      <c r="K1167" t="s">
        <v>38</v>
      </c>
    </row>
    <row r="1168" spans="2:11" ht="24.75" x14ac:dyDescent="0.2">
      <c r="B1168" s="31" t="s">
        <v>1696</v>
      </c>
      <c r="C1168" s="31" t="s">
        <v>375</v>
      </c>
      <c r="D1168" s="34"/>
      <c r="E1168" s="34">
        <v>0</v>
      </c>
      <c r="F1168" s="34">
        <v>39200</v>
      </c>
      <c r="G1168" s="34">
        <v>39200</v>
      </c>
      <c r="H1168" s="34"/>
      <c r="I1168" s="34">
        <f t="shared" si="18"/>
        <v>0</v>
      </c>
      <c r="K1168" t="s">
        <v>38</v>
      </c>
    </row>
    <row r="1169" spans="2:11" ht="16.5" x14ac:dyDescent="0.2">
      <c r="B1169" s="31" t="s">
        <v>1697</v>
      </c>
      <c r="C1169" s="31" t="s">
        <v>1698</v>
      </c>
      <c r="D1169" s="34"/>
      <c r="E1169" s="34">
        <v>0</v>
      </c>
      <c r="F1169" s="34">
        <v>86608.99</v>
      </c>
      <c r="G1169" s="34">
        <v>86608.99</v>
      </c>
      <c r="H1169" s="34"/>
      <c r="I1169" s="34">
        <f t="shared" si="18"/>
        <v>0</v>
      </c>
      <c r="K1169" t="s">
        <v>38</v>
      </c>
    </row>
    <row r="1170" spans="2:11" ht="16.5" x14ac:dyDescent="0.2">
      <c r="B1170" s="31" t="s">
        <v>1699</v>
      </c>
      <c r="C1170" s="31" t="s">
        <v>1700</v>
      </c>
      <c r="D1170" s="34"/>
      <c r="E1170" s="34">
        <v>0</v>
      </c>
      <c r="F1170" s="34">
        <v>33000</v>
      </c>
      <c r="G1170" s="34">
        <v>33000</v>
      </c>
      <c r="H1170" s="34"/>
      <c r="I1170" s="34">
        <f t="shared" si="18"/>
        <v>0</v>
      </c>
      <c r="K1170" t="s">
        <v>38</v>
      </c>
    </row>
    <row r="1171" spans="2:11" ht="16.5" x14ac:dyDescent="0.2">
      <c r="B1171" s="31" t="s">
        <v>1701</v>
      </c>
      <c r="C1171" s="31" t="s">
        <v>1702</v>
      </c>
      <c r="D1171" s="34"/>
      <c r="E1171" s="34">
        <v>0</v>
      </c>
      <c r="F1171" s="34">
        <v>17189.990000000002</v>
      </c>
      <c r="G1171" s="34">
        <v>17189.990000000002</v>
      </c>
      <c r="H1171" s="34"/>
      <c r="I1171" s="34">
        <f t="shared" si="18"/>
        <v>0</v>
      </c>
      <c r="K1171" t="s">
        <v>38</v>
      </c>
    </row>
    <row r="1172" spans="2:11" ht="16.5" x14ac:dyDescent="0.2">
      <c r="B1172" s="31" t="s">
        <v>1703</v>
      </c>
      <c r="C1172" s="31" t="s">
        <v>1576</v>
      </c>
      <c r="D1172" s="34"/>
      <c r="E1172" s="34">
        <v>0</v>
      </c>
      <c r="F1172" s="34">
        <v>37056.370000000003</v>
      </c>
      <c r="G1172" s="34">
        <v>37056.370000000003</v>
      </c>
      <c r="H1172" s="34"/>
      <c r="I1172" s="34">
        <f t="shared" si="18"/>
        <v>0</v>
      </c>
      <c r="K1172" t="s">
        <v>38</v>
      </c>
    </row>
    <row r="1173" spans="2:11" ht="16.5" x14ac:dyDescent="0.2">
      <c r="B1173" s="31" t="s">
        <v>1704</v>
      </c>
      <c r="C1173" s="31" t="s">
        <v>1705</v>
      </c>
      <c r="D1173" s="34"/>
      <c r="E1173" s="34">
        <v>0</v>
      </c>
      <c r="F1173" s="34">
        <v>62996.32</v>
      </c>
      <c r="G1173" s="34">
        <v>62996.32</v>
      </c>
      <c r="H1173" s="34"/>
      <c r="I1173" s="34">
        <f t="shared" si="18"/>
        <v>0</v>
      </c>
      <c r="K1173" t="s">
        <v>38</v>
      </c>
    </row>
    <row r="1174" spans="2:11" ht="16.5" x14ac:dyDescent="0.2">
      <c r="B1174" s="31" t="s">
        <v>1706</v>
      </c>
      <c r="C1174" s="31" t="s">
        <v>1543</v>
      </c>
      <c r="D1174" s="34"/>
      <c r="E1174" s="34">
        <v>0</v>
      </c>
      <c r="F1174" s="34">
        <v>48898.32</v>
      </c>
      <c r="G1174" s="34">
        <v>48898.32</v>
      </c>
      <c r="H1174" s="34"/>
      <c r="I1174" s="34">
        <f t="shared" si="18"/>
        <v>0</v>
      </c>
      <c r="K1174" t="s">
        <v>38</v>
      </c>
    </row>
    <row r="1175" spans="2:11" ht="16.5" x14ac:dyDescent="0.2">
      <c r="B1175" s="31" t="s">
        <v>1707</v>
      </c>
      <c r="C1175" s="31" t="s">
        <v>1708</v>
      </c>
      <c r="D1175" s="34"/>
      <c r="E1175" s="34">
        <v>0</v>
      </c>
      <c r="F1175" s="34">
        <v>15000</v>
      </c>
      <c r="G1175" s="34">
        <v>15000</v>
      </c>
      <c r="H1175" s="34"/>
      <c r="I1175" s="34">
        <f t="shared" si="18"/>
        <v>0</v>
      </c>
      <c r="K1175" t="s">
        <v>38</v>
      </c>
    </row>
    <row r="1176" spans="2:11" ht="16.5" x14ac:dyDescent="0.2">
      <c r="B1176" s="31" t="s">
        <v>1709</v>
      </c>
      <c r="C1176" s="31" t="s">
        <v>1710</v>
      </c>
      <c r="D1176" s="34"/>
      <c r="E1176" s="34">
        <v>0</v>
      </c>
      <c r="F1176" s="34">
        <v>15200</v>
      </c>
      <c r="G1176" s="34">
        <v>15200</v>
      </c>
      <c r="H1176" s="34"/>
      <c r="I1176" s="34">
        <f t="shared" si="18"/>
        <v>0</v>
      </c>
      <c r="K1176" t="s">
        <v>38</v>
      </c>
    </row>
    <row r="1177" spans="2:11" ht="16.5" x14ac:dyDescent="0.2">
      <c r="B1177" s="31" t="s">
        <v>1711</v>
      </c>
      <c r="C1177" s="31" t="s">
        <v>1638</v>
      </c>
      <c r="D1177" s="34"/>
      <c r="E1177" s="34">
        <v>0</v>
      </c>
      <c r="F1177" s="34">
        <v>204097.01</v>
      </c>
      <c r="G1177" s="34">
        <v>204097.01</v>
      </c>
      <c r="H1177" s="34"/>
      <c r="I1177" s="34">
        <f t="shared" si="18"/>
        <v>0</v>
      </c>
      <c r="K1177" t="s">
        <v>38</v>
      </c>
    </row>
    <row r="1178" spans="2:11" ht="16.5" x14ac:dyDescent="0.2">
      <c r="B1178" s="31" t="s">
        <v>1712</v>
      </c>
      <c r="C1178" s="31" t="s">
        <v>1713</v>
      </c>
      <c r="D1178" s="34"/>
      <c r="E1178" s="34">
        <v>0</v>
      </c>
      <c r="F1178" s="34">
        <v>263088</v>
      </c>
      <c r="G1178" s="34">
        <v>263088</v>
      </c>
      <c r="H1178" s="34"/>
      <c r="I1178" s="34">
        <f t="shared" si="18"/>
        <v>0</v>
      </c>
      <c r="K1178" t="s">
        <v>38</v>
      </c>
    </row>
    <row r="1179" spans="2:11" ht="16.5" x14ac:dyDescent="0.2">
      <c r="B1179" s="31" t="s">
        <v>1714</v>
      </c>
      <c r="C1179" s="31" t="s">
        <v>1715</v>
      </c>
      <c r="D1179" s="34"/>
      <c r="E1179" s="34">
        <v>0</v>
      </c>
      <c r="F1179" s="34">
        <v>55404.36</v>
      </c>
      <c r="G1179" s="34">
        <v>55404.36</v>
      </c>
      <c r="H1179" s="34"/>
      <c r="I1179" s="34">
        <f t="shared" si="18"/>
        <v>0</v>
      </c>
      <c r="K1179" t="s">
        <v>38</v>
      </c>
    </row>
    <row r="1180" spans="2:11" ht="16.5" x14ac:dyDescent="0.2">
      <c r="B1180" s="31" t="s">
        <v>1716</v>
      </c>
      <c r="C1180" s="31" t="s">
        <v>1717</v>
      </c>
      <c r="D1180" s="34"/>
      <c r="E1180" s="34">
        <v>0</v>
      </c>
      <c r="F1180" s="34">
        <v>24644</v>
      </c>
      <c r="G1180" s="34">
        <v>24644</v>
      </c>
      <c r="H1180" s="34"/>
      <c r="I1180" s="34">
        <f t="shared" si="18"/>
        <v>0</v>
      </c>
      <c r="K1180" t="s">
        <v>38</v>
      </c>
    </row>
    <row r="1181" spans="2:11" ht="16.5" x14ac:dyDescent="0.2">
      <c r="B1181" s="31" t="s">
        <v>1718</v>
      </c>
      <c r="C1181" s="31" t="s">
        <v>1719</v>
      </c>
      <c r="D1181" s="34"/>
      <c r="E1181" s="34">
        <v>0</v>
      </c>
      <c r="F1181" s="34">
        <v>17864</v>
      </c>
      <c r="G1181" s="34">
        <v>17864</v>
      </c>
      <c r="H1181" s="34"/>
      <c r="I1181" s="34">
        <f t="shared" si="18"/>
        <v>0</v>
      </c>
      <c r="K1181" t="s">
        <v>38</v>
      </c>
    </row>
    <row r="1182" spans="2:11" ht="16.5" x14ac:dyDescent="0.2">
      <c r="B1182" s="31" t="s">
        <v>1720</v>
      </c>
      <c r="C1182" s="31" t="s">
        <v>1558</v>
      </c>
      <c r="D1182" s="34"/>
      <c r="E1182" s="34">
        <v>0</v>
      </c>
      <c r="F1182" s="34">
        <v>5165</v>
      </c>
      <c r="G1182" s="34">
        <v>5165</v>
      </c>
      <c r="H1182" s="34"/>
      <c r="I1182" s="34">
        <f t="shared" si="18"/>
        <v>0</v>
      </c>
      <c r="K1182" t="s">
        <v>38</v>
      </c>
    </row>
    <row r="1183" spans="2:11" ht="41.25" x14ac:dyDescent="0.2">
      <c r="B1183" s="33" t="s">
        <v>1721</v>
      </c>
      <c r="C1183" s="33" t="s">
        <v>109</v>
      </c>
      <c r="D1183"/>
      <c r="E1183" s="35">
        <f>SUMIFS(E1184:E9015,K1184:K9015,"0",B1184:B9015,"2 1 1 2 1 12 31111 6 M59 00005*")-SUMIFS(D1184:D9015,K1184:K9015,"0",B1184:B9015,"2 1 1 2 1 12 31111 6 M59 00005*")</f>
        <v>0</v>
      </c>
      <c r="F1183" s="35">
        <f>SUMIFS(F1184:F9015,K1184:K9015,"0",B1184:B9015,"2 1 1 2 1 12 31111 6 M59 00005*")</f>
        <v>5258526.6600000011</v>
      </c>
      <c r="G1183" s="35">
        <f>SUMIFS(G1184:G9015,K1184:K9015,"0",B1184:B9015,"2 1 1 2 1 12 31111 6 M59 00005*")</f>
        <v>5258526.6600000011</v>
      </c>
      <c r="H1183" s="35"/>
      <c r="I1183" s="35">
        <f t="shared" si="18"/>
        <v>0</v>
      </c>
      <c r="K1183" t="s">
        <v>15</v>
      </c>
    </row>
    <row r="1184" spans="2:11" ht="16.5" x14ac:dyDescent="0.2">
      <c r="B1184" s="31" t="s">
        <v>1722</v>
      </c>
      <c r="C1184" s="31" t="s">
        <v>1532</v>
      </c>
      <c r="D1184" s="34"/>
      <c r="E1184" s="34">
        <v>0</v>
      </c>
      <c r="F1184" s="34">
        <v>3657218.08</v>
      </c>
      <c r="G1184" s="34">
        <v>3657218.08</v>
      </c>
      <c r="H1184" s="34"/>
      <c r="I1184" s="34">
        <f t="shared" si="18"/>
        <v>0</v>
      </c>
      <c r="K1184" t="s">
        <v>38</v>
      </c>
    </row>
    <row r="1185" spans="2:11" ht="16.5" x14ac:dyDescent="0.2">
      <c r="B1185" s="31" t="s">
        <v>1723</v>
      </c>
      <c r="C1185" s="31" t="s">
        <v>75</v>
      </c>
      <c r="D1185" s="34"/>
      <c r="E1185" s="34">
        <v>0</v>
      </c>
      <c r="F1185" s="34">
        <v>98.6</v>
      </c>
      <c r="G1185" s="34">
        <v>98.6</v>
      </c>
      <c r="H1185" s="34"/>
      <c r="I1185" s="34">
        <f t="shared" si="18"/>
        <v>0</v>
      </c>
      <c r="K1185" t="s">
        <v>38</v>
      </c>
    </row>
    <row r="1186" spans="2:11" ht="16.5" x14ac:dyDescent="0.2">
      <c r="B1186" s="31" t="s">
        <v>1724</v>
      </c>
      <c r="C1186" s="31" t="s">
        <v>1604</v>
      </c>
      <c r="D1186" s="34"/>
      <c r="E1186" s="34">
        <v>0</v>
      </c>
      <c r="F1186" s="34">
        <v>874914.71</v>
      </c>
      <c r="G1186" s="34">
        <v>874914.71</v>
      </c>
      <c r="H1186" s="34"/>
      <c r="I1186" s="34">
        <f t="shared" si="18"/>
        <v>0</v>
      </c>
      <c r="K1186" t="s">
        <v>38</v>
      </c>
    </row>
    <row r="1187" spans="2:11" ht="16.5" x14ac:dyDescent="0.2">
      <c r="B1187" s="31" t="s">
        <v>1725</v>
      </c>
      <c r="C1187" s="31" t="s">
        <v>1647</v>
      </c>
      <c r="D1187" s="34"/>
      <c r="E1187" s="34">
        <v>0</v>
      </c>
      <c r="F1187" s="34">
        <v>255718.03</v>
      </c>
      <c r="G1187" s="34">
        <v>255718.03</v>
      </c>
      <c r="H1187" s="34"/>
      <c r="I1187" s="34">
        <f t="shared" si="18"/>
        <v>0</v>
      </c>
      <c r="K1187" t="s">
        <v>38</v>
      </c>
    </row>
    <row r="1188" spans="2:11" ht="16.5" x14ac:dyDescent="0.2">
      <c r="B1188" s="31" t="s">
        <v>1726</v>
      </c>
      <c r="C1188" s="31" t="s">
        <v>1727</v>
      </c>
      <c r="D1188" s="34"/>
      <c r="E1188" s="34">
        <v>0</v>
      </c>
      <c r="F1188" s="34">
        <v>470577.24</v>
      </c>
      <c r="G1188" s="34">
        <v>470577.24</v>
      </c>
      <c r="H1188" s="34"/>
      <c r="I1188" s="34">
        <f t="shared" si="18"/>
        <v>0</v>
      </c>
      <c r="K1188" t="s">
        <v>38</v>
      </c>
    </row>
    <row r="1189" spans="2:11" ht="33" x14ac:dyDescent="0.2">
      <c r="B1189" s="33" t="s">
        <v>1728</v>
      </c>
      <c r="C1189" s="33" t="s">
        <v>1729</v>
      </c>
      <c r="D1189"/>
      <c r="E1189" s="35">
        <f>SUMIFS(E1190:E9015,K1190:K9015,"0",B1190:B9015,"2 1 1 2 2*")-SUMIFS(D1190:D9015,K1190:K9015,"0",B1190:B9015,"2 1 1 2 2*")</f>
        <v>0</v>
      </c>
      <c r="F1189" s="35">
        <f>SUMIFS(F1190:F9015,K1190:K9015,"0",B1190:B9015,"2 1 1 2 2*")</f>
        <v>1335431.05</v>
      </c>
      <c r="G1189" s="35">
        <f>SUMIFS(G1190:G9015,K1190:K9015,"0",B1190:B9015,"2 1 1 2 2*")</f>
        <v>1335431.05</v>
      </c>
      <c r="H1189" s="35"/>
      <c r="I1189" s="35">
        <f t="shared" si="18"/>
        <v>0</v>
      </c>
      <c r="K1189" t="s">
        <v>15</v>
      </c>
    </row>
    <row r="1190" spans="2:11" ht="12.75" x14ac:dyDescent="0.2">
      <c r="B1190" s="33" t="s">
        <v>1730</v>
      </c>
      <c r="C1190" s="33" t="s">
        <v>26</v>
      </c>
      <c r="D1190"/>
      <c r="E1190" s="35">
        <f>SUMIFS(E1191:E9015,K1191:K9015,"0",B1191:B9015,"2 1 1 2 2 12*")-SUMIFS(D1191:D9015,K1191:K9015,"0",B1191:B9015,"2 1 1 2 2 12*")</f>
        <v>0</v>
      </c>
      <c r="F1190" s="35">
        <f>SUMIFS(F1191:F9015,K1191:K9015,"0",B1191:B9015,"2 1 1 2 2 12*")</f>
        <v>1335431.05</v>
      </c>
      <c r="G1190" s="35">
        <f>SUMIFS(G1191:G9015,K1191:K9015,"0",B1191:B9015,"2 1 1 2 2 12*")</f>
        <v>1335431.05</v>
      </c>
      <c r="H1190" s="35"/>
      <c r="I1190" s="35">
        <f t="shared" si="18"/>
        <v>0</v>
      </c>
      <c r="K1190" t="s">
        <v>15</v>
      </c>
    </row>
    <row r="1191" spans="2:11" ht="16.5" x14ac:dyDescent="0.2">
      <c r="B1191" s="33" t="s">
        <v>1731</v>
      </c>
      <c r="C1191" s="33" t="s">
        <v>28</v>
      </c>
      <c r="D1191"/>
      <c r="E1191" s="35">
        <f>SUMIFS(E1192:E9015,K1192:K9015,"0",B1192:B9015,"2 1 1 2 2 12 31111*")-SUMIFS(D1192:D9015,K1192:K9015,"0",B1192:B9015,"2 1 1 2 2 12 31111*")</f>
        <v>0</v>
      </c>
      <c r="F1191" s="35">
        <f>SUMIFS(F1192:F9015,K1192:K9015,"0",B1192:B9015,"2 1 1 2 2 12 31111*")</f>
        <v>1335431.05</v>
      </c>
      <c r="G1191" s="35">
        <f>SUMIFS(G1192:G9015,K1192:K9015,"0",B1192:B9015,"2 1 1 2 2 12 31111*")</f>
        <v>1335431.05</v>
      </c>
      <c r="H1191" s="35"/>
      <c r="I1191" s="35">
        <f t="shared" si="18"/>
        <v>0</v>
      </c>
      <c r="K1191" t="s">
        <v>15</v>
      </c>
    </row>
    <row r="1192" spans="2:11" ht="12.75" x14ac:dyDescent="0.2">
      <c r="B1192" s="33" t="s">
        <v>1732</v>
      </c>
      <c r="C1192" s="33" t="s">
        <v>30</v>
      </c>
      <c r="D1192"/>
      <c r="E1192" s="35">
        <f>SUMIFS(E1193:E9015,K1193:K9015,"0",B1193:B9015,"2 1 1 2 2 12 31111 6*")-SUMIFS(D1193:D9015,K1193:K9015,"0",B1193:B9015,"2 1 1 2 2 12 31111 6*")</f>
        <v>0</v>
      </c>
      <c r="F1192" s="35">
        <f>SUMIFS(F1193:F9015,K1193:K9015,"0",B1193:B9015,"2 1 1 2 2 12 31111 6*")</f>
        <v>1335431.05</v>
      </c>
      <c r="G1192" s="35">
        <f>SUMIFS(G1193:G9015,K1193:K9015,"0",B1193:B9015,"2 1 1 2 2 12 31111 6*")</f>
        <v>1335431.05</v>
      </c>
      <c r="H1192" s="35"/>
      <c r="I1192" s="35">
        <f t="shared" si="18"/>
        <v>0</v>
      </c>
      <c r="K1192" t="s">
        <v>15</v>
      </c>
    </row>
    <row r="1193" spans="2:11" ht="33" x14ac:dyDescent="0.2">
      <c r="B1193" s="33" t="s">
        <v>1733</v>
      </c>
      <c r="C1193" s="33" t="s">
        <v>1734</v>
      </c>
      <c r="D1193"/>
      <c r="E1193" s="35">
        <f>SUMIFS(E1194:E9015,K1194:K9015,"0",B1194:B9015,"2 1 1 2 2 12 31111 6 M59*")-SUMIFS(D1194:D9015,K1194:K9015,"0",B1194:B9015,"2 1 1 2 2 12 31111 6 M59*")</f>
        <v>0</v>
      </c>
      <c r="F1193" s="35">
        <f>SUMIFS(F1194:F9015,K1194:K9015,"0",B1194:B9015,"2 1 1 2 2 12 31111 6 M59*")</f>
        <v>1335431.05</v>
      </c>
      <c r="G1193" s="35">
        <f>SUMIFS(G1194:G9015,K1194:K9015,"0",B1194:B9015,"2 1 1 2 2 12 31111 6 M59*")</f>
        <v>1335431.05</v>
      </c>
      <c r="H1193" s="35"/>
      <c r="I1193" s="35">
        <f t="shared" si="18"/>
        <v>0</v>
      </c>
      <c r="K1193" t="s">
        <v>15</v>
      </c>
    </row>
    <row r="1194" spans="2:11" ht="16.5" x14ac:dyDescent="0.2">
      <c r="B1194" s="33" t="s">
        <v>1735</v>
      </c>
      <c r="C1194" s="33" t="s">
        <v>34</v>
      </c>
      <c r="D1194"/>
      <c r="E1194" s="35">
        <f>SUMIFS(E1195:E9015,K1195:K9015,"0",B1195:B9015,"2 1 1 2 2 12 31111 6 M59 00001*")-SUMIFS(D1195:D9015,K1195:K9015,"0",B1195:B9015,"2 1 1 2 2 12 31111 6 M59 00001*")</f>
        <v>0</v>
      </c>
      <c r="F1194" s="35">
        <f>SUMIFS(F1195:F9015,K1195:K9015,"0",B1195:B9015,"2 1 1 2 2 12 31111 6 M59 00001*")</f>
        <v>1335431.05</v>
      </c>
      <c r="G1194" s="35">
        <f>SUMIFS(G1195:G9015,K1195:K9015,"0",B1195:B9015,"2 1 1 2 2 12 31111 6 M59 00001*")</f>
        <v>1335431.05</v>
      </c>
      <c r="H1194" s="35"/>
      <c r="I1194" s="35">
        <f t="shared" si="18"/>
        <v>0</v>
      </c>
      <c r="K1194" t="s">
        <v>15</v>
      </c>
    </row>
    <row r="1195" spans="2:11" ht="16.5" x14ac:dyDescent="0.2">
      <c r="B1195" s="31" t="s">
        <v>1736</v>
      </c>
      <c r="C1195" s="31" t="s">
        <v>1737</v>
      </c>
      <c r="D1195" s="34"/>
      <c r="E1195" s="34">
        <v>0</v>
      </c>
      <c r="F1195" s="34">
        <v>1335431.05</v>
      </c>
      <c r="G1195" s="34">
        <v>1335431.05</v>
      </c>
      <c r="H1195" s="34"/>
      <c r="I1195" s="34">
        <f t="shared" si="18"/>
        <v>0</v>
      </c>
      <c r="K1195" t="s">
        <v>38</v>
      </c>
    </row>
    <row r="1196" spans="2:11" ht="24.75" x14ac:dyDescent="0.2">
      <c r="B1196" s="33" t="s">
        <v>1738</v>
      </c>
      <c r="C1196" s="33" t="s">
        <v>1739</v>
      </c>
      <c r="D1196"/>
      <c r="E1196" s="35">
        <f>SUMIFS(E1197:E9015,K1197:K9015,"0",B1197:B9015,"2 1 1 3*")-SUMIFS(D1197:D9015,K1197:K9015,"0",B1197:B9015,"2 1 1 3*")</f>
        <v>16123.179999999998</v>
      </c>
      <c r="F1196" s="35">
        <f>SUMIFS(F1197:F9015,K1197:K9015,"0",B1197:B9015,"2 1 1 3*")</f>
        <v>96366656.460000008</v>
      </c>
      <c r="G1196" s="35">
        <f>SUMIFS(G1197:G9015,K1197:K9015,"0",B1197:B9015,"2 1 1 3*")</f>
        <v>96416222.969999999</v>
      </c>
      <c r="H1196" s="35"/>
      <c r="I1196" s="35">
        <f t="shared" si="18"/>
        <v>65689.689999997616</v>
      </c>
      <c r="K1196" t="s">
        <v>15</v>
      </c>
    </row>
    <row r="1197" spans="2:11" ht="33" x14ac:dyDescent="0.2">
      <c r="B1197" s="33" t="s">
        <v>1740</v>
      </c>
      <c r="C1197" s="33" t="s">
        <v>1741</v>
      </c>
      <c r="D1197"/>
      <c r="E1197" s="35">
        <f>SUMIFS(E1198:E9015,K1198:K9015,"0",B1198:B9015,"2 1 1 3 1*")-SUMIFS(D1198:D9015,K1198:K9015,"0",B1198:B9015,"2 1 1 3 1*")</f>
        <v>16123.179999999998</v>
      </c>
      <c r="F1197" s="35">
        <f>SUMIFS(F1198:F9015,K1198:K9015,"0",B1198:B9015,"2 1 1 3 1*")</f>
        <v>95910923.790000007</v>
      </c>
      <c r="G1197" s="35">
        <f>SUMIFS(G1198:G9015,K1198:K9015,"0",B1198:B9015,"2 1 1 3 1*")</f>
        <v>95960490.299999997</v>
      </c>
      <c r="H1197" s="35"/>
      <c r="I1197" s="35">
        <f t="shared" si="18"/>
        <v>65689.689999997616</v>
      </c>
      <c r="K1197" t="s">
        <v>15</v>
      </c>
    </row>
    <row r="1198" spans="2:11" ht="12.75" x14ac:dyDescent="0.2">
      <c r="B1198" s="33" t="s">
        <v>1742</v>
      </c>
      <c r="C1198" s="33" t="s">
        <v>26</v>
      </c>
      <c r="D1198"/>
      <c r="E1198" s="35">
        <f>SUMIFS(E1199:E9015,K1199:K9015,"0",B1199:B9015,"2 1 1 3 1 12*")-SUMIFS(D1199:D9015,K1199:K9015,"0",B1199:B9015,"2 1 1 3 1 12*")</f>
        <v>16123.179999999998</v>
      </c>
      <c r="F1198" s="35">
        <f>SUMIFS(F1199:F9015,K1199:K9015,"0",B1199:B9015,"2 1 1 3 1 12*")</f>
        <v>95910923.790000007</v>
      </c>
      <c r="G1198" s="35">
        <f>SUMIFS(G1199:G9015,K1199:K9015,"0",B1199:B9015,"2 1 1 3 1 12*")</f>
        <v>95960490.299999997</v>
      </c>
      <c r="H1198" s="35"/>
      <c r="I1198" s="35">
        <f t="shared" si="18"/>
        <v>65689.689999997616</v>
      </c>
      <c r="K1198" t="s">
        <v>15</v>
      </c>
    </row>
    <row r="1199" spans="2:11" ht="16.5" x14ac:dyDescent="0.2">
      <c r="B1199" s="33" t="s">
        <v>1743</v>
      </c>
      <c r="C1199" s="33" t="s">
        <v>28</v>
      </c>
      <c r="D1199"/>
      <c r="E1199" s="35">
        <f>SUMIFS(E1200:E9015,K1200:K9015,"0",B1200:B9015,"2 1 1 3 1 12 31111*")-SUMIFS(D1200:D9015,K1200:K9015,"0",B1200:B9015,"2 1 1 3 1 12 31111*")</f>
        <v>16123.179999999998</v>
      </c>
      <c r="F1199" s="35">
        <f>SUMIFS(F1200:F9015,K1200:K9015,"0",B1200:B9015,"2 1 1 3 1 12 31111*")</f>
        <v>95910923.790000007</v>
      </c>
      <c r="G1199" s="35">
        <f>SUMIFS(G1200:G9015,K1200:K9015,"0",B1200:B9015,"2 1 1 3 1 12 31111*")</f>
        <v>95960490.299999997</v>
      </c>
      <c r="H1199" s="35"/>
      <c r="I1199" s="35">
        <f t="shared" ref="I1199:I1262" si="19">E1199 - F1199 + G1199</f>
        <v>65689.689999997616</v>
      </c>
      <c r="K1199" t="s">
        <v>15</v>
      </c>
    </row>
    <row r="1200" spans="2:11" ht="12.75" x14ac:dyDescent="0.2">
      <c r="B1200" s="33" t="s">
        <v>1744</v>
      </c>
      <c r="C1200" s="33" t="s">
        <v>30</v>
      </c>
      <c r="D1200"/>
      <c r="E1200" s="35">
        <f>SUMIFS(E1201:E9015,K1201:K9015,"0",B1201:B9015,"2 1 1 3 1 12 31111 6*")-SUMIFS(D1201:D9015,K1201:K9015,"0",B1201:B9015,"2 1 1 3 1 12 31111 6*")</f>
        <v>16123.179999999998</v>
      </c>
      <c r="F1200" s="35">
        <f>SUMIFS(F1201:F9015,K1201:K9015,"0",B1201:B9015,"2 1 1 3 1 12 31111 6*")</f>
        <v>95910923.790000007</v>
      </c>
      <c r="G1200" s="35">
        <f>SUMIFS(G1201:G9015,K1201:K9015,"0",B1201:B9015,"2 1 1 3 1 12 31111 6*")</f>
        <v>95960490.299999997</v>
      </c>
      <c r="H1200" s="35"/>
      <c r="I1200" s="35">
        <f t="shared" si="19"/>
        <v>65689.689999997616</v>
      </c>
      <c r="K1200" t="s">
        <v>15</v>
      </c>
    </row>
    <row r="1201" spans="2:11" ht="12.75" x14ac:dyDescent="0.2">
      <c r="B1201" s="33" t="s">
        <v>1745</v>
      </c>
      <c r="C1201" s="33" t="s">
        <v>32</v>
      </c>
      <c r="D1201"/>
      <c r="E1201" s="35">
        <f>SUMIFS(E1202:E9015,K1202:K9015,"0",B1202:B9015,"2 1 1 3 1 12 31111 6 M59*")-SUMIFS(D1202:D9015,K1202:K9015,"0",B1202:B9015,"2 1 1 3 1 12 31111 6 M59*")</f>
        <v>16123.179999999998</v>
      </c>
      <c r="F1201" s="35">
        <f>SUMIFS(F1202:F9015,K1202:K9015,"0",B1202:B9015,"2 1 1 3 1 12 31111 6 M59*")</f>
        <v>95910923.790000007</v>
      </c>
      <c r="G1201" s="35">
        <f>SUMIFS(G1202:G9015,K1202:K9015,"0",B1202:B9015,"2 1 1 3 1 12 31111 6 M59*")</f>
        <v>95960490.299999997</v>
      </c>
      <c r="H1201" s="35"/>
      <c r="I1201" s="35">
        <f t="shared" si="19"/>
        <v>65689.689999997616</v>
      </c>
      <c r="K1201" t="s">
        <v>15</v>
      </c>
    </row>
    <row r="1202" spans="2:11" ht="24.75" x14ac:dyDescent="0.2">
      <c r="B1202" s="33" t="s">
        <v>1746</v>
      </c>
      <c r="C1202" s="33" t="s">
        <v>986</v>
      </c>
      <c r="D1202"/>
      <c r="E1202" s="35">
        <f>SUMIFS(E1203:E9015,K1203:K9015,"0",B1203:B9015,"2 1 1 3 1 12 31111 6 M59 00002*")-SUMIFS(D1203:D9015,K1203:K9015,"0",B1203:B9015,"2 1 1 3 1 12 31111 6 M59 00002*")</f>
        <v>16123.179999999998</v>
      </c>
      <c r="F1202" s="35">
        <f>SUMIFS(F1203:F9015,K1203:K9015,"0",B1203:B9015,"2 1 1 3 1 12 31111 6 M59 00002*")</f>
        <v>94530360.790000007</v>
      </c>
      <c r="G1202" s="35">
        <f>SUMIFS(G1203:G9015,K1203:K9015,"0",B1203:B9015,"2 1 1 3 1 12 31111 6 M59 00002*")</f>
        <v>94579927.299999997</v>
      </c>
      <c r="H1202" s="35"/>
      <c r="I1202" s="35">
        <f t="shared" si="19"/>
        <v>65689.689999997616</v>
      </c>
      <c r="K1202" t="s">
        <v>15</v>
      </c>
    </row>
    <row r="1203" spans="2:11" ht="16.5" x14ac:dyDescent="0.2">
      <c r="B1203" s="33" t="s">
        <v>1747</v>
      </c>
      <c r="C1203" s="33" t="s">
        <v>42</v>
      </c>
      <c r="D1203"/>
      <c r="E1203" s="35">
        <f>SUMIFS(E1204:E9015,K1204:K9015,"0",B1204:B9015,"2 1 1 3 1 12 31111 6 M59 00002 000001*")-SUMIFS(D1204:D9015,K1204:K9015,"0",B1204:B9015,"2 1 1 3 1 12 31111 6 M59 00002 000001*")</f>
        <v>16123.179999999998</v>
      </c>
      <c r="F1203" s="35">
        <f>SUMIFS(F1204:F9015,K1204:K9015,"0",B1204:B9015,"2 1 1 3 1 12 31111 6 M59 00002 000001*")</f>
        <v>0</v>
      </c>
      <c r="G1203" s="35">
        <f>SUMIFS(G1204:G9015,K1204:K9015,"0",B1204:B9015,"2 1 1 3 1 12 31111 6 M59 00002 000001*")</f>
        <v>0</v>
      </c>
      <c r="H1203" s="35"/>
      <c r="I1203" s="35">
        <f t="shared" si="19"/>
        <v>16123.179999999998</v>
      </c>
      <c r="K1203" t="s">
        <v>15</v>
      </c>
    </row>
    <row r="1204" spans="2:11" ht="16.5" x14ac:dyDescent="0.2">
      <c r="B1204" s="31" t="s">
        <v>1748</v>
      </c>
      <c r="C1204" s="31" t="s">
        <v>1749</v>
      </c>
      <c r="D1204" s="34"/>
      <c r="E1204" s="34">
        <v>16121.46</v>
      </c>
      <c r="F1204" s="34">
        <v>0</v>
      </c>
      <c r="G1204" s="34">
        <v>0</v>
      </c>
      <c r="H1204" s="34"/>
      <c r="I1204" s="34">
        <f t="shared" si="19"/>
        <v>16121.46</v>
      </c>
      <c r="K1204" t="s">
        <v>38</v>
      </c>
    </row>
    <row r="1205" spans="2:11" ht="16.5" x14ac:dyDescent="0.2">
      <c r="B1205" s="31" t="s">
        <v>1750</v>
      </c>
      <c r="C1205" s="31" t="s">
        <v>1751</v>
      </c>
      <c r="D1205" s="34"/>
      <c r="E1205" s="34">
        <v>1.72</v>
      </c>
      <c r="F1205" s="34">
        <v>0</v>
      </c>
      <c r="G1205" s="34">
        <v>0</v>
      </c>
      <c r="H1205" s="34"/>
      <c r="I1205" s="34">
        <f t="shared" si="19"/>
        <v>1.72</v>
      </c>
      <c r="K1205" t="s">
        <v>38</v>
      </c>
    </row>
    <row r="1206" spans="2:11" ht="16.5" x14ac:dyDescent="0.2">
      <c r="B1206" s="33" t="s">
        <v>1752</v>
      </c>
      <c r="C1206" s="33" t="s">
        <v>42</v>
      </c>
      <c r="D1206"/>
      <c r="E1206" s="35">
        <f>SUMIFS(E1207:E9015,K1207:K9015,"0",B1207:B9015,"2 1 1 3 1 12 31111 6 M59 00002 000007*")-SUMIFS(D1207:D9015,K1207:K9015,"0",B1207:B9015,"2 1 1 3 1 12 31111 6 M59 00002 000007*")</f>
        <v>0</v>
      </c>
      <c r="F1206" s="35">
        <f>SUMIFS(F1207:F9015,K1207:K9015,"0",B1207:B9015,"2 1 1 3 1 12 31111 6 M59 00002 000007*")</f>
        <v>94530360.790000007</v>
      </c>
      <c r="G1206" s="35">
        <f>SUMIFS(G1207:G9015,K1207:K9015,"0",B1207:B9015,"2 1 1 3 1 12 31111 6 M59 00002 000007*")</f>
        <v>94579927.299999997</v>
      </c>
      <c r="H1206" s="35"/>
      <c r="I1206" s="35">
        <f t="shared" si="19"/>
        <v>49566.509999990463</v>
      </c>
      <c r="K1206" t="s">
        <v>15</v>
      </c>
    </row>
    <row r="1207" spans="2:11" ht="24.75" x14ac:dyDescent="0.2">
      <c r="B1207" s="31" t="s">
        <v>1753</v>
      </c>
      <c r="C1207" s="31" t="s">
        <v>1754</v>
      </c>
      <c r="D1207" s="34"/>
      <c r="E1207" s="34">
        <v>0</v>
      </c>
      <c r="F1207" s="34">
        <v>94530360.790000007</v>
      </c>
      <c r="G1207" s="34">
        <v>94579927.299999997</v>
      </c>
      <c r="H1207" s="34"/>
      <c r="I1207" s="34">
        <f t="shared" si="19"/>
        <v>49566.509999990463</v>
      </c>
      <c r="K1207" t="s">
        <v>38</v>
      </c>
    </row>
    <row r="1208" spans="2:11" ht="16.5" x14ac:dyDescent="0.2">
      <c r="B1208" s="31" t="s">
        <v>1755</v>
      </c>
      <c r="C1208" s="31" t="s">
        <v>1756</v>
      </c>
      <c r="D1208" s="34"/>
      <c r="E1208" s="34">
        <v>0</v>
      </c>
      <c r="F1208" s="34">
        <v>1380563</v>
      </c>
      <c r="G1208" s="34">
        <v>1380563</v>
      </c>
      <c r="H1208" s="34"/>
      <c r="I1208" s="34">
        <f t="shared" si="19"/>
        <v>0</v>
      </c>
      <c r="K1208" t="s">
        <v>38</v>
      </c>
    </row>
    <row r="1209" spans="2:11" ht="24.75" x14ac:dyDescent="0.2">
      <c r="B1209" s="33" t="s">
        <v>1757</v>
      </c>
      <c r="C1209" s="33" t="s">
        <v>1758</v>
      </c>
      <c r="D1209"/>
      <c r="E1209" s="35">
        <f>SUMIFS(E1210:E9015,K1210:K9015,"0",B1210:B9015,"2 1 1 3 2*")-SUMIFS(D1210:D9015,K1210:K9015,"0",B1210:B9015,"2 1 1 3 2*")</f>
        <v>0</v>
      </c>
      <c r="F1209" s="35">
        <f>SUMIFS(F1210:F9015,K1210:K9015,"0",B1210:B9015,"2 1 1 3 2*")</f>
        <v>380000</v>
      </c>
      <c r="G1209" s="35">
        <f>SUMIFS(G1210:G9015,K1210:K9015,"0",B1210:B9015,"2 1 1 3 2*")</f>
        <v>380000</v>
      </c>
      <c r="H1209" s="35"/>
      <c r="I1209" s="35">
        <f t="shared" si="19"/>
        <v>0</v>
      </c>
      <c r="K1209" t="s">
        <v>15</v>
      </c>
    </row>
    <row r="1210" spans="2:11" ht="12.75" x14ac:dyDescent="0.2">
      <c r="B1210" s="33" t="s">
        <v>1759</v>
      </c>
      <c r="C1210" s="33" t="s">
        <v>26</v>
      </c>
      <c r="D1210"/>
      <c r="E1210" s="35">
        <f>SUMIFS(E1211:E9015,K1211:K9015,"0",B1211:B9015,"2 1 1 3 2 12*")-SUMIFS(D1211:D9015,K1211:K9015,"0",B1211:B9015,"2 1 1 3 2 12*")</f>
        <v>0</v>
      </c>
      <c r="F1210" s="35">
        <f>SUMIFS(F1211:F9015,K1211:K9015,"0",B1211:B9015,"2 1 1 3 2 12*")</f>
        <v>380000</v>
      </c>
      <c r="G1210" s="35">
        <f>SUMIFS(G1211:G9015,K1211:K9015,"0",B1211:B9015,"2 1 1 3 2 12*")</f>
        <v>380000</v>
      </c>
      <c r="H1210" s="35"/>
      <c r="I1210" s="35">
        <f t="shared" si="19"/>
        <v>0</v>
      </c>
      <c r="K1210" t="s">
        <v>15</v>
      </c>
    </row>
    <row r="1211" spans="2:11" ht="16.5" x14ac:dyDescent="0.2">
      <c r="B1211" s="33" t="s">
        <v>1760</v>
      </c>
      <c r="C1211" s="33" t="s">
        <v>28</v>
      </c>
      <c r="D1211"/>
      <c r="E1211" s="35">
        <f>SUMIFS(E1212:E9015,K1212:K9015,"0",B1212:B9015,"2 1 1 3 2 12 31111*")-SUMIFS(D1212:D9015,K1212:K9015,"0",B1212:B9015,"2 1 1 3 2 12 31111*")</f>
        <v>0</v>
      </c>
      <c r="F1211" s="35">
        <f>SUMIFS(F1212:F9015,K1212:K9015,"0",B1212:B9015,"2 1 1 3 2 12 31111*")</f>
        <v>380000</v>
      </c>
      <c r="G1211" s="35">
        <f>SUMIFS(G1212:G9015,K1212:K9015,"0",B1212:B9015,"2 1 1 3 2 12 31111*")</f>
        <v>380000</v>
      </c>
      <c r="H1211" s="35"/>
      <c r="I1211" s="35">
        <f t="shared" si="19"/>
        <v>0</v>
      </c>
      <c r="K1211" t="s">
        <v>15</v>
      </c>
    </row>
    <row r="1212" spans="2:11" ht="12.75" x14ac:dyDescent="0.2">
      <c r="B1212" s="33" t="s">
        <v>1761</v>
      </c>
      <c r="C1212" s="33" t="s">
        <v>30</v>
      </c>
      <c r="D1212"/>
      <c r="E1212" s="35">
        <f>SUMIFS(E1213:E9015,K1213:K9015,"0",B1213:B9015,"2 1 1 3 2 12 31111 6*")-SUMIFS(D1213:D9015,K1213:K9015,"0",B1213:B9015,"2 1 1 3 2 12 31111 6*")</f>
        <v>0</v>
      </c>
      <c r="F1212" s="35">
        <f>SUMIFS(F1213:F9015,K1213:K9015,"0",B1213:B9015,"2 1 1 3 2 12 31111 6*")</f>
        <v>380000</v>
      </c>
      <c r="G1212" s="35">
        <f>SUMIFS(G1213:G9015,K1213:K9015,"0",B1213:B9015,"2 1 1 3 2 12 31111 6*")</f>
        <v>380000</v>
      </c>
      <c r="H1212" s="35"/>
      <c r="I1212" s="35">
        <f t="shared" si="19"/>
        <v>0</v>
      </c>
      <c r="K1212" t="s">
        <v>15</v>
      </c>
    </row>
    <row r="1213" spans="2:11" ht="16.5" x14ac:dyDescent="0.2">
      <c r="B1213" s="33" t="s">
        <v>1762</v>
      </c>
      <c r="C1213" s="33" t="s">
        <v>42</v>
      </c>
      <c r="D1213"/>
      <c r="E1213" s="35">
        <f>SUMIFS(E1214:E9015,K1214:K9015,"0",B1214:B9015,"2 1 1 3 2 12 31111 6 M59*")-SUMIFS(D1214:D9015,K1214:K9015,"0",B1214:B9015,"2 1 1 3 2 12 31111 6 M59*")</f>
        <v>0</v>
      </c>
      <c r="F1213" s="35">
        <f>SUMIFS(F1214:F9015,K1214:K9015,"0",B1214:B9015,"2 1 1 3 2 12 31111 6 M59*")</f>
        <v>380000</v>
      </c>
      <c r="G1213" s="35">
        <f>SUMIFS(G1214:G9015,K1214:K9015,"0",B1214:B9015,"2 1 1 3 2 12 31111 6 M59*")</f>
        <v>380000</v>
      </c>
      <c r="H1213" s="35"/>
      <c r="I1213" s="35">
        <f t="shared" si="19"/>
        <v>0</v>
      </c>
      <c r="K1213" t="s">
        <v>15</v>
      </c>
    </row>
    <row r="1214" spans="2:11" ht="24.75" x14ac:dyDescent="0.2">
      <c r="B1214" s="33" t="s">
        <v>1763</v>
      </c>
      <c r="C1214" s="33" t="s">
        <v>1764</v>
      </c>
      <c r="D1214"/>
      <c r="E1214" s="35">
        <f>SUMIFS(E1215:E9015,K1215:K9015,"0",B1215:B9015,"2 1 1 3 2 12 31111 6 M59 00003*")-SUMIFS(D1215:D9015,K1215:K9015,"0",B1215:B9015,"2 1 1 3 2 12 31111 6 M59 00003*")</f>
        <v>0</v>
      </c>
      <c r="F1214" s="35">
        <f>SUMIFS(F1215:F9015,K1215:K9015,"0",B1215:B9015,"2 1 1 3 2 12 31111 6 M59 00003*")</f>
        <v>380000</v>
      </c>
      <c r="G1214" s="35">
        <f>SUMIFS(G1215:G9015,K1215:K9015,"0",B1215:B9015,"2 1 1 3 2 12 31111 6 M59 00003*")</f>
        <v>380000</v>
      </c>
      <c r="H1214" s="35"/>
      <c r="I1214" s="35">
        <f t="shared" si="19"/>
        <v>0</v>
      </c>
      <c r="K1214" t="s">
        <v>15</v>
      </c>
    </row>
    <row r="1215" spans="2:11" ht="16.5" x14ac:dyDescent="0.2">
      <c r="B1215" s="33" t="s">
        <v>1765</v>
      </c>
      <c r="C1215" s="33" t="s">
        <v>1766</v>
      </c>
      <c r="D1215"/>
      <c r="E1215" s="35">
        <f>SUMIFS(E1216:E9015,K1216:K9015,"0",B1216:B9015,"2 1 1 3 2 12 31111 6 M59 00003 000001*")-SUMIFS(D1216:D9015,K1216:K9015,"0",B1216:B9015,"2 1 1 3 2 12 31111 6 M59 00003 000001*")</f>
        <v>0</v>
      </c>
      <c r="F1215" s="35">
        <f>SUMIFS(F1216:F9015,K1216:K9015,"0",B1216:B9015,"2 1 1 3 2 12 31111 6 M59 00003 000001*")</f>
        <v>380000</v>
      </c>
      <c r="G1215" s="35">
        <f>SUMIFS(G1216:G9015,K1216:K9015,"0",B1216:B9015,"2 1 1 3 2 12 31111 6 M59 00003 000001*")</f>
        <v>380000</v>
      </c>
      <c r="H1215" s="35"/>
      <c r="I1215" s="35">
        <f t="shared" si="19"/>
        <v>0</v>
      </c>
      <c r="K1215" t="s">
        <v>15</v>
      </c>
    </row>
    <row r="1216" spans="2:11" ht="16.5" x14ac:dyDescent="0.2">
      <c r="B1216" s="31" t="s">
        <v>1767</v>
      </c>
      <c r="C1216" s="31" t="s">
        <v>1768</v>
      </c>
      <c r="D1216" s="34"/>
      <c r="E1216" s="34">
        <v>0</v>
      </c>
      <c r="F1216" s="34">
        <v>190000</v>
      </c>
      <c r="G1216" s="34">
        <v>190000</v>
      </c>
      <c r="H1216" s="34"/>
      <c r="I1216" s="34">
        <f t="shared" si="19"/>
        <v>0</v>
      </c>
      <c r="K1216" t="s">
        <v>38</v>
      </c>
    </row>
    <row r="1217" spans="2:11" ht="16.5" x14ac:dyDescent="0.2">
      <c r="B1217" s="31" t="s">
        <v>1769</v>
      </c>
      <c r="C1217" s="31" t="s">
        <v>1770</v>
      </c>
      <c r="D1217" s="34"/>
      <c r="E1217" s="34">
        <v>0</v>
      </c>
      <c r="F1217" s="34">
        <v>190000</v>
      </c>
      <c r="G1217" s="34">
        <v>190000</v>
      </c>
      <c r="H1217" s="34"/>
      <c r="I1217" s="34">
        <f t="shared" si="19"/>
        <v>0</v>
      </c>
      <c r="K1217" t="s">
        <v>38</v>
      </c>
    </row>
    <row r="1218" spans="2:11" ht="16.5" x14ac:dyDescent="0.2">
      <c r="B1218" s="33" t="s">
        <v>1771</v>
      </c>
      <c r="C1218" s="33" t="s">
        <v>276</v>
      </c>
      <c r="D1218"/>
      <c r="E1218" s="35">
        <f>SUMIFS(E1219:E9015,K1219:K9015,"0",B1219:B9015,"2 1 1 3 3*")-SUMIFS(D1219:D9015,K1219:K9015,"0",B1219:B9015,"2 1 1 3 3*")</f>
        <v>0</v>
      </c>
      <c r="F1218" s="35">
        <f>SUMIFS(F1219:F9015,K1219:K9015,"0",B1219:B9015,"2 1 1 3 3*")</f>
        <v>75732.67</v>
      </c>
      <c r="G1218" s="35">
        <f>SUMIFS(G1219:G9015,K1219:K9015,"0",B1219:B9015,"2 1 1 3 3*")</f>
        <v>75732.67</v>
      </c>
      <c r="H1218" s="35"/>
      <c r="I1218" s="35">
        <f t="shared" si="19"/>
        <v>0</v>
      </c>
      <c r="K1218" t="s">
        <v>15</v>
      </c>
    </row>
    <row r="1219" spans="2:11" ht="12.75" x14ac:dyDescent="0.2">
      <c r="B1219" s="33" t="s">
        <v>1772</v>
      </c>
      <c r="C1219" s="33" t="s">
        <v>26</v>
      </c>
      <c r="D1219"/>
      <c r="E1219" s="35">
        <f>SUMIFS(E1220:E9015,K1220:K9015,"0",B1220:B9015,"2 1 1 3 3 12*")-SUMIFS(D1220:D9015,K1220:K9015,"0",B1220:B9015,"2 1 1 3 3 12*")</f>
        <v>0</v>
      </c>
      <c r="F1219" s="35">
        <f>SUMIFS(F1220:F9015,K1220:K9015,"0",B1220:B9015,"2 1 1 3 3 12*")</f>
        <v>75732.67</v>
      </c>
      <c r="G1219" s="35">
        <f>SUMIFS(G1220:G9015,K1220:K9015,"0",B1220:B9015,"2 1 1 3 3 12*")</f>
        <v>75732.67</v>
      </c>
      <c r="H1219" s="35"/>
      <c r="I1219" s="35">
        <f t="shared" si="19"/>
        <v>0</v>
      </c>
      <c r="K1219" t="s">
        <v>15</v>
      </c>
    </row>
    <row r="1220" spans="2:11" ht="16.5" x14ac:dyDescent="0.2">
      <c r="B1220" s="33" t="s">
        <v>1773</v>
      </c>
      <c r="C1220" s="33" t="s">
        <v>28</v>
      </c>
      <c r="D1220"/>
      <c r="E1220" s="35">
        <f>SUMIFS(E1221:E9015,K1221:K9015,"0",B1221:B9015,"2 1 1 3 3 12 31111*")-SUMIFS(D1221:D9015,K1221:K9015,"0",B1221:B9015,"2 1 1 3 3 12 31111*")</f>
        <v>0</v>
      </c>
      <c r="F1220" s="35">
        <f>SUMIFS(F1221:F9015,K1221:K9015,"0",B1221:B9015,"2 1 1 3 3 12 31111*")</f>
        <v>75732.67</v>
      </c>
      <c r="G1220" s="35">
        <f>SUMIFS(G1221:G9015,K1221:K9015,"0",B1221:B9015,"2 1 1 3 3 12 31111*")</f>
        <v>75732.67</v>
      </c>
      <c r="H1220" s="35"/>
      <c r="I1220" s="35">
        <f t="shared" si="19"/>
        <v>0</v>
      </c>
      <c r="K1220" t="s">
        <v>15</v>
      </c>
    </row>
    <row r="1221" spans="2:11" ht="12.75" x14ac:dyDescent="0.2">
      <c r="B1221" s="33" t="s">
        <v>1774</v>
      </c>
      <c r="C1221" s="33" t="s">
        <v>30</v>
      </c>
      <c r="D1221"/>
      <c r="E1221" s="35">
        <f>SUMIFS(E1222:E9015,K1222:K9015,"0",B1222:B9015,"2 1 1 3 3 12 31111 6*")-SUMIFS(D1222:D9015,K1222:K9015,"0",B1222:B9015,"2 1 1 3 3 12 31111 6*")</f>
        <v>0</v>
      </c>
      <c r="F1221" s="35">
        <f>SUMIFS(F1222:F9015,K1222:K9015,"0",B1222:B9015,"2 1 1 3 3 12 31111 6*")</f>
        <v>75732.67</v>
      </c>
      <c r="G1221" s="35">
        <f>SUMIFS(G1222:G9015,K1222:K9015,"0",B1222:B9015,"2 1 1 3 3 12 31111 6*")</f>
        <v>75732.67</v>
      </c>
      <c r="H1221" s="35"/>
      <c r="I1221" s="35">
        <f t="shared" si="19"/>
        <v>0</v>
      </c>
      <c r="K1221" t="s">
        <v>15</v>
      </c>
    </row>
    <row r="1222" spans="2:11" ht="16.5" x14ac:dyDescent="0.2">
      <c r="B1222" s="33" t="s">
        <v>1775</v>
      </c>
      <c r="C1222" s="33" t="s">
        <v>140</v>
      </c>
      <c r="D1222"/>
      <c r="E1222" s="35">
        <f>SUMIFS(E1223:E9015,K1223:K9015,"0",B1223:B9015,"2 1 1 3 3 12 31111 6 M59*")-SUMIFS(D1223:D9015,K1223:K9015,"0",B1223:B9015,"2 1 1 3 3 12 31111 6 M59*")</f>
        <v>0</v>
      </c>
      <c r="F1222" s="35">
        <f>SUMIFS(F1223:F9015,K1223:K9015,"0",B1223:B9015,"2 1 1 3 3 12 31111 6 M59*")</f>
        <v>75732.67</v>
      </c>
      <c r="G1222" s="35">
        <f>SUMIFS(G1223:G9015,K1223:K9015,"0",B1223:B9015,"2 1 1 3 3 12 31111 6 M59*")</f>
        <v>75732.67</v>
      </c>
      <c r="H1222" s="35"/>
      <c r="I1222" s="35">
        <f t="shared" si="19"/>
        <v>0</v>
      </c>
      <c r="K1222" t="s">
        <v>15</v>
      </c>
    </row>
    <row r="1223" spans="2:11" ht="24.75" x14ac:dyDescent="0.2">
      <c r="B1223" s="33" t="s">
        <v>1776</v>
      </c>
      <c r="C1223" s="33" t="s">
        <v>986</v>
      </c>
      <c r="D1223"/>
      <c r="E1223" s="35">
        <f>SUMIFS(E1224:E9015,K1224:K9015,"0",B1224:B9015,"2 1 1 3 3 12 31111 6 M59 00002*")-SUMIFS(D1224:D9015,K1224:K9015,"0",B1224:B9015,"2 1 1 3 3 12 31111 6 M59 00002*")</f>
        <v>0</v>
      </c>
      <c r="F1223" s="35">
        <f>SUMIFS(F1224:F9015,K1224:K9015,"0",B1224:B9015,"2 1 1 3 3 12 31111 6 M59 00002*")</f>
        <v>75732.67</v>
      </c>
      <c r="G1223" s="35">
        <f>SUMIFS(G1224:G9015,K1224:K9015,"0",B1224:B9015,"2 1 1 3 3 12 31111 6 M59 00002*")</f>
        <v>75732.67</v>
      </c>
      <c r="H1223" s="35"/>
      <c r="I1223" s="35">
        <f t="shared" si="19"/>
        <v>0</v>
      </c>
      <c r="K1223" t="s">
        <v>15</v>
      </c>
    </row>
    <row r="1224" spans="2:11" ht="33" x14ac:dyDescent="0.2">
      <c r="B1224" s="33" t="s">
        <v>1777</v>
      </c>
      <c r="C1224" s="33" t="s">
        <v>1778</v>
      </c>
      <c r="D1224"/>
      <c r="E1224" s="35">
        <f>SUMIFS(E1225:E9015,K1225:K9015,"0",B1225:B9015,"2 1 1 3 3 12 31111 6 M59 00002 000001*")-SUMIFS(D1225:D9015,K1225:K9015,"0",B1225:B9015,"2 1 1 3 3 12 31111 6 M59 00002 000001*")</f>
        <v>0</v>
      </c>
      <c r="F1224" s="35">
        <f>SUMIFS(F1225:F9015,K1225:K9015,"0",B1225:B9015,"2 1 1 3 3 12 31111 6 M59 00002 000001*")</f>
        <v>75732.67</v>
      </c>
      <c r="G1224" s="35">
        <f>SUMIFS(G1225:G9015,K1225:K9015,"0",B1225:B9015,"2 1 1 3 3 12 31111 6 M59 00002 000001*")</f>
        <v>75732.67</v>
      </c>
      <c r="H1224" s="35"/>
      <c r="I1224" s="35">
        <f t="shared" si="19"/>
        <v>0</v>
      </c>
      <c r="K1224" t="s">
        <v>15</v>
      </c>
    </row>
    <row r="1225" spans="2:11" ht="16.5" x14ac:dyDescent="0.2">
      <c r="B1225" s="31" t="s">
        <v>1779</v>
      </c>
      <c r="C1225" s="31" t="s">
        <v>1780</v>
      </c>
      <c r="D1225" s="34"/>
      <c r="E1225" s="34">
        <v>0</v>
      </c>
      <c r="F1225" s="34">
        <v>75732.67</v>
      </c>
      <c r="G1225" s="34">
        <v>75732.67</v>
      </c>
      <c r="H1225" s="34"/>
      <c r="I1225" s="34">
        <f t="shared" si="19"/>
        <v>0</v>
      </c>
      <c r="K1225" t="s">
        <v>38</v>
      </c>
    </row>
    <row r="1226" spans="2:11" ht="24.75" x14ac:dyDescent="0.2">
      <c r="B1226" s="33" t="s">
        <v>1781</v>
      </c>
      <c r="C1226" s="33" t="s">
        <v>1782</v>
      </c>
      <c r="D1226"/>
      <c r="E1226" s="35">
        <f>SUMIFS(E1227:E9015,K1227:K9015,"0",B1227:B9015,"2 1 1 5*")-SUMIFS(D1227:D9015,K1227:K9015,"0",B1227:B9015,"2 1 1 5*")</f>
        <v>10750</v>
      </c>
      <c r="F1226" s="35">
        <f>SUMIFS(F1227:F9015,K1227:K9015,"0",B1227:B9015,"2 1 1 5*")</f>
        <v>3606642.75</v>
      </c>
      <c r="G1226" s="35">
        <f>SUMIFS(G1227:G9015,K1227:K9015,"0",B1227:B9015,"2 1 1 5*")</f>
        <v>3606642.75</v>
      </c>
      <c r="H1226" s="35"/>
      <c r="I1226" s="35">
        <f t="shared" si="19"/>
        <v>10750</v>
      </c>
      <c r="K1226" t="s">
        <v>15</v>
      </c>
    </row>
    <row r="1227" spans="2:11" ht="24.75" x14ac:dyDescent="0.2">
      <c r="B1227" s="33" t="s">
        <v>1783</v>
      </c>
      <c r="C1227" s="33" t="s">
        <v>1784</v>
      </c>
      <c r="D1227"/>
      <c r="E1227" s="35">
        <f>SUMIFS(E1228:E9015,K1228:K9015,"0",B1228:B9015,"2 1 1 5 1*")-SUMIFS(D1228:D9015,K1228:K9015,"0",B1228:B9015,"2 1 1 5 1*")</f>
        <v>10750</v>
      </c>
      <c r="F1227" s="35">
        <f>SUMIFS(F1228:F9015,K1228:K9015,"0",B1228:B9015,"2 1 1 5 1*")</f>
        <v>3577007.77</v>
      </c>
      <c r="G1227" s="35">
        <f>SUMIFS(G1228:G9015,K1228:K9015,"0",B1228:B9015,"2 1 1 5 1*")</f>
        <v>3577007.77</v>
      </c>
      <c r="H1227" s="35"/>
      <c r="I1227" s="35">
        <f t="shared" si="19"/>
        <v>10750</v>
      </c>
      <c r="K1227" t="s">
        <v>15</v>
      </c>
    </row>
    <row r="1228" spans="2:11" ht="12.75" x14ac:dyDescent="0.2">
      <c r="B1228" s="33" t="s">
        <v>1785</v>
      </c>
      <c r="C1228" s="33" t="s">
        <v>26</v>
      </c>
      <c r="D1228"/>
      <c r="E1228" s="35">
        <f>SUMIFS(E1229:E9015,K1229:K9015,"0",B1229:B9015,"2 1 1 5 1 12*")-SUMIFS(D1229:D9015,K1229:K9015,"0",B1229:B9015,"2 1 1 5 1 12*")</f>
        <v>10750</v>
      </c>
      <c r="F1228" s="35">
        <f>SUMIFS(F1229:F9015,K1229:K9015,"0",B1229:B9015,"2 1 1 5 1 12*")</f>
        <v>3577007.77</v>
      </c>
      <c r="G1228" s="35">
        <f>SUMIFS(G1229:G9015,K1229:K9015,"0",B1229:B9015,"2 1 1 5 1 12*")</f>
        <v>3577007.77</v>
      </c>
      <c r="H1228" s="35"/>
      <c r="I1228" s="35">
        <f t="shared" si="19"/>
        <v>10750</v>
      </c>
      <c r="K1228" t="s">
        <v>15</v>
      </c>
    </row>
    <row r="1229" spans="2:11" ht="16.5" x14ac:dyDescent="0.2">
      <c r="B1229" s="33" t="s">
        <v>1786</v>
      </c>
      <c r="C1229" s="33" t="s">
        <v>28</v>
      </c>
      <c r="D1229"/>
      <c r="E1229" s="35">
        <f>SUMIFS(E1230:E9015,K1230:K9015,"0",B1230:B9015,"2 1 1 5 1 12 31111*")-SUMIFS(D1230:D9015,K1230:K9015,"0",B1230:B9015,"2 1 1 5 1 12 31111*")</f>
        <v>10750</v>
      </c>
      <c r="F1229" s="35">
        <f>SUMIFS(F1230:F9015,K1230:K9015,"0",B1230:B9015,"2 1 1 5 1 12 31111*")</f>
        <v>3577007.77</v>
      </c>
      <c r="G1229" s="35">
        <f>SUMIFS(G1230:G9015,K1230:K9015,"0",B1230:B9015,"2 1 1 5 1 12 31111*")</f>
        <v>3577007.77</v>
      </c>
      <c r="H1229" s="35"/>
      <c r="I1229" s="35">
        <f t="shared" si="19"/>
        <v>10750</v>
      </c>
      <c r="K1229" t="s">
        <v>15</v>
      </c>
    </row>
    <row r="1230" spans="2:11" ht="12.75" x14ac:dyDescent="0.2">
      <c r="B1230" s="33" t="s">
        <v>1787</v>
      </c>
      <c r="C1230" s="33" t="s">
        <v>30</v>
      </c>
      <c r="D1230"/>
      <c r="E1230" s="35">
        <f>SUMIFS(E1231:E9015,K1231:K9015,"0",B1231:B9015,"2 1 1 5 1 12 31111 6*")-SUMIFS(D1231:D9015,K1231:K9015,"0",B1231:B9015,"2 1 1 5 1 12 31111 6*")</f>
        <v>10750</v>
      </c>
      <c r="F1230" s="35">
        <f>SUMIFS(F1231:F9015,K1231:K9015,"0",B1231:B9015,"2 1 1 5 1 12 31111 6*")</f>
        <v>3577007.77</v>
      </c>
      <c r="G1230" s="35">
        <f>SUMIFS(G1231:G9015,K1231:K9015,"0",B1231:B9015,"2 1 1 5 1 12 31111 6*")</f>
        <v>3577007.77</v>
      </c>
      <c r="H1230" s="35"/>
      <c r="I1230" s="35">
        <f t="shared" si="19"/>
        <v>10750</v>
      </c>
      <c r="K1230" t="s">
        <v>15</v>
      </c>
    </row>
    <row r="1231" spans="2:11" ht="12.75" x14ac:dyDescent="0.2">
      <c r="B1231" s="33" t="s">
        <v>1788</v>
      </c>
      <c r="C1231" s="33" t="s">
        <v>32</v>
      </c>
      <c r="D1231"/>
      <c r="E1231" s="35">
        <f>SUMIFS(E1232:E9015,K1232:K9015,"0",B1232:B9015,"2 1 1 5 1 12 31111 6 M59*")-SUMIFS(D1232:D9015,K1232:K9015,"0",B1232:B9015,"2 1 1 5 1 12 31111 6 M59*")</f>
        <v>10750</v>
      </c>
      <c r="F1231" s="35">
        <f>SUMIFS(F1232:F9015,K1232:K9015,"0",B1232:B9015,"2 1 1 5 1 12 31111 6 M59*")</f>
        <v>3577007.77</v>
      </c>
      <c r="G1231" s="35">
        <f>SUMIFS(G1232:G9015,K1232:K9015,"0",B1232:B9015,"2 1 1 5 1 12 31111 6 M59*")</f>
        <v>3577007.77</v>
      </c>
      <c r="H1231" s="35"/>
      <c r="I1231" s="35">
        <f t="shared" si="19"/>
        <v>10750</v>
      </c>
      <c r="K1231" t="s">
        <v>15</v>
      </c>
    </row>
    <row r="1232" spans="2:11" ht="16.5" x14ac:dyDescent="0.2">
      <c r="B1232" s="31" t="s">
        <v>1789</v>
      </c>
      <c r="C1232" s="31" t="s">
        <v>1790</v>
      </c>
      <c r="D1232" s="34"/>
      <c r="E1232" s="34">
        <v>0</v>
      </c>
      <c r="F1232" s="34">
        <v>1225773.05</v>
      </c>
      <c r="G1232" s="34">
        <v>1225773.05</v>
      </c>
      <c r="H1232" s="34"/>
      <c r="I1232" s="34">
        <f t="shared" si="19"/>
        <v>0</v>
      </c>
      <c r="K1232" t="s">
        <v>38</v>
      </c>
    </row>
    <row r="1233" spans="2:11" ht="16.5" x14ac:dyDescent="0.2">
      <c r="B1233" s="33" t="s">
        <v>1791</v>
      </c>
      <c r="C1233" s="33" t="s">
        <v>1792</v>
      </c>
      <c r="D1233"/>
      <c r="E1233" s="35">
        <f>SUMIFS(E1234:E9015,K1234:K9015,"0",B1234:B9015,"2 1 1 5 1 12 31111 6 M59 00003*")-SUMIFS(D1234:D9015,K1234:K9015,"0",B1234:B9015,"2 1 1 5 1 12 31111 6 M59 00003*")</f>
        <v>0</v>
      </c>
      <c r="F1233" s="35">
        <f>SUMIFS(F1234:F9015,K1234:K9015,"0",B1234:B9015,"2 1 1 5 1 12 31111 6 M59 00003*")</f>
        <v>574425</v>
      </c>
      <c r="G1233" s="35">
        <f>SUMIFS(G1234:G9015,K1234:K9015,"0",B1234:B9015,"2 1 1 5 1 12 31111 6 M59 00003*")</f>
        <v>574425</v>
      </c>
      <c r="H1233" s="35"/>
      <c r="I1233" s="35">
        <f t="shared" si="19"/>
        <v>0</v>
      </c>
      <c r="K1233" t="s">
        <v>15</v>
      </c>
    </row>
    <row r="1234" spans="2:11" ht="16.5" x14ac:dyDescent="0.2">
      <c r="B1234" s="31" t="s">
        <v>1793</v>
      </c>
      <c r="C1234" s="31" t="s">
        <v>1794</v>
      </c>
      <c r="D1234" s="34"/>
      <c r="E1234" s="34">
        <v>0</v>
      </c>
      <c r="F1234" s="34">
        <v>514425</v>
      </c>
      <c r="G1234" s="34">
        <v>514425</v>
      </c>
      <c r="H1234" s="34"/>
      <c r="I1234" s="34">
        <f t="shared" si="19"/>
        <v>0</v>
      </c>
      <c r="K1234" t="s">
        <v>38</v>
      </c>
    </row>
    <row r="1235" spans="2:11" ht="16.5" x14ac:dyDescent="0.2">
      <c r="B1235" s="31" t="s">
        <v>1795</v>
      </c>
      <c r="C1235" s="31" t="s">
        <v>1796</v>
      </c>
      <c r="D1235" s="34"/>
      <c r="E1235" s="34">
        <v>0</v>
      </c>
      <c r="F1235" s="34">
        <v>30000</v>
      </c>
      <c r="G1235" s="34">
        <v>30000</v>
      </c>
      <c r="H1235" s="34"/>
      <c r="I1235" s="34">
        <f t="shared" si="19"/>
        <v>0</v>
      </c>
      <c r="K1235" t="s">
        <v>38</v>
      </c>
    </row>
    <row r="1236" spans="2:11" ht="16.5" x14ac:dyDescent="0.2">
      <c r="B1236" s="31" t="s">
        <v>1797</v>
      </c>
      <c r="C1236" s="31" t="s">
        <v>1798</v>
      </c>
      <c r="D1236" s="34"/>
      <c r="E1236" s="34">
        <v>0</v>
      </c>
      <c r="F1236" s="34">
        <v>30000</v>
      </c>
      <c r="G1236" s="34">
        <v>30000</v>
      </c>
      <c r="H1236" s="34"/>
      <c r="I1236" s="34">
        <f t="shared" si="19"/>
        <v>0</v>
      </c>
      <c r="K1236" t="s">
        <v>38</v>
      </c>
    </row>
    <row r="1237" spans="2:11" ht="16.5" x14ac:dyDescent="0.2">
      <c r="B1237" s="33" t="s">
        <v>1799</v>
      </c>
      <c r="C1237" s="33" t="s">
        <v>1596</v>
      </c>
      <c r="D1237"/>
      <c r="E1237" s="35">
        <f>SUMIFS(E1238:E9015,K1238:K9015,"0",B1238:B9015,"2 1 1 5 1 12 31111 6 M59 00004*")-SUMIFS(D1238:D9015,K1238:K9015,"0",B1238:B9015,"2 1 1 5 1 12 31111 6 M59 00004*")</f>
        <v>10750</v>
      </c>
      <c r="F1237" s="35">
        <f>SUMIFS(F1238:F9015,K1238:K9015,"0",B1238:B9015,"2 1 1 5 1 12 31111 6 M59 00004*")</f>
        <v>1776809.72</v>
      </c>
      <c r="G1237" s="35">
        <f>SUMIFS(G1238:G9015,K1238:K9015,"0",B1238:B9015,"2 1 1 5 1 12 31111 6 M59 00004*")</f>
        <v>1776809.72</v>
      </c>
      <c r="H1237" s="35"/>
      <c r="I1237" s="35">
        <f t="shared" si="19"/>
        <v>10750</v>
      </c>
      <c r="K1237" t="s">
        <v>15</v>
      </c>
    </row>
    <row r="1238" spans="2:11" ht="16.5" x14ac:dyDescent="0.2">
      <c r="B1238" s="33" t="s">
        <v>1800</v>
      </c>
      <c r="C1238" s="33" t="s">
        <v>42</v>
      </c>
      <c r="D1238"/>
      <c r="E1238" s="35">
        <f>SUMIFS(E1239:E9015,K1239:K9015,"0",B1239:B9015,"2 1 1 5 1 12 31111 6 M59 00004 000001*")-SUMIFS(D1239:D9015,K1239:K9015,"0",B1239:B9015,"2 1 1 5 1 12 31111 6 M59 00004 000001*")</f>
        <v>10750</v>
      </c>
      <c r="F1238" s="35">
        <f>SUMIFS(F1239:F9015,K1239:K9015,"0",B1239:B9015,"2 1 1 5 1 12 31111 6 M59 00004 000001*")</f>
        <v>1776809.72</v>
      </c>
      <c r="G1238" s="35">
        <f>SUMIFS(G1239:G9015,K1239:K9015,"0",B1239:B9015,"2 1 1 5 1 12 31111 6 M59 00004 000001*")</f>
        <v>1776809.72</v>
      </c>
      <c r="H1238" s="35"/>
      <c r="I1238" s="35">
        <f t="shared" si="19"/>
        <v>10750</v>
      </c>
      <c r="K1238" t="s">
        <v>15</v>
      </c>
    </row>
    <row r="1239" spans="2:11" ht="16.5" x14ac:dyDescent="0.2">
      <c r="B1239" s="31" t="s">
        <v>1801</v>
      </c>
      <c r="C1239" s="31" t="s">
        <v>1802</v>
      </c>
      <c r="D1239" s="34"/>
      <c r="E1239" s="34">
        <v>10750</v>
      </c>
      <c r="F1239" s="34">
        <v>1776809.72</v>
      </c>
      <c r="G1239" s="34">
        <v>1776809.72</v>
      </c>
      <c r="H1239" s="34"/>
      <c r="I1239" s="34">
        <f t="shared" si="19"/>
        <v>10750</v>
      </c>
      <c r="K1239" t="s">
        <v>38</v>
      </c>
    </row>
    <row r="1240" spans="2:11" ht="12.75" x14ac:dyDescent="0.2">
      <c r="B1240" s="33" t="s">
        <v>1803</v>
      </c>
      <c r="C1240" s="33" t="s">
        <v>1804</v>
      </c>
      <c r="D1240"/>
      <c r="E1240" s="35">
        <f>SUMIFS(E1241:E9015,K1241:K9015,"0",B1241:B9015,"2 1 1 5 6*")-SUMIFS(D1241:D9015,K1241:K9015,"0",B1241:B9015,"2 1 1 5 6*")</f>
        <v>0</v>
      </c>
      <c r="F1240" s="35">
        <f>SUMIFS(F1241:F9015,K1241:K9015,"0",B1241:B9015,"2 1 1 5 6*")</f>
        <v>29634.98</v>
      </c>
      <c r="G1240" s="35">
        <f>SUMIFS(G1241:G9015,K1241:K9015,"0",B1241:B9015,"2 1 1 5 6*")</f>
        <v>29634.98</v>
      </c>
      <c r="H1240" s="35"/>
      <c r="I1240" s="35">
        <f t="shared" si="19"/>
        <v>0</v>
      </c>
      <c r="K1240" t="s">
        <v>15</v>
      </c>
    </row>
    <row r="1241" spans="2:11" ht="12.75" x14ac:dyDescent="0.2">
      <c r="B1241" s="33" t="s">
        <v>1805</v>
      </c>
      <c r="C1241" s="33" t="s">
        <v>26</v>
      </c>
      <c r="D1241"/>
      <c r="E1241" s="35">
        <f>SUMIFS(E1242:E9015,K1242:K9015,"0",B1242:B9015,"2 1 1 5 6 12*")-SUMIFS(D1242:D9015,K1242:K9015,"0",B1242:B9015,"2 1 1 5 6 12*")</f>
        <v>0</v>
      </c>
      <c r="F1241" s="35">
        <f>SUMIFS(F1242:F9015,K1242:K9015,"0",B1242:B9015,"2 1 1 5 6 12*")</f>
        <v>29634.98</v>
      </c>
      <c r="G1241" s="35">
        <f>SUMIFS(G1242:G9015,K1242:K9015,"0",B1242:B9015,"2 1 1 5 6 12*")</f>
        <v>29634.98</v>
      </c>
      <c r="H1241" s="35"/>
      <c r="I1241" s="35">
        <f t="shared" si="19"/>
        <v>0</v>
      </c>
      <c r="K1241" t="s">
        <v>15</v>
      </c>
    </row>
    <row r="1242" spans="2:11" ht="16.5" x14ac:dyDescent="0.2">
      <c r="B1242" s="33" t="s">
        <v>1806</v>
      </c>
      <c r="C1242" s="33" t="s">
        <v>28</v>
      </c>
      <c r="D1242"/>
      <c r="E1242" s="35">
        <f>SUMIFS(E1243:E9015,K1243:K9015,"0",B1243:B9015,"2 1 1 5 6 12 31111*")-SUMIFS(D1243:D9015,K1243:K9015,"0",B1243:B9015,"2 1 1 5 6 12 31111*")</f>
        <v>0</v>
      </c>
      <c r="F1242" s="35">
        <f>SUMIFS(F1243:F9015,K1243:K9015,"0",B1243:B9015,"2 1 1 5 6 12 31111*")</f>
        <v>29634.98</v>
      </c>
      <c r="G1242" s="35">
        <f>SUMIFS(G1243:G9015,K1243:K9015,"0",B1243:B9015,"2 1 1 5 6 12 31111*")</f>
        <v>29634.98</v>
      </c>
      <c r="H1242" s="35"/>
      <c r="I1242" s="35">
        <f t="shared" si="19"/>
        <v>0</v>
      </c>
      <c r="K1242" t="s">
        <v>15</v>
      </c>
    </row>
    <row r="1243" spans="2:11" ht="12.75" x14ac:dyDescent="0.2">
      <c r="B1243" s="33" t="s">
        <v>1807</v>
      </c>
      <c r="C1243" s="33" t="s">
        <v>30</v>
      </c>
      <c r="D1243"/>
      <c r="E1243" s="35">
        <f>SUMIFS(E1244:E9015,K1244:K9015,"0",B1244:B9015,"2 1 1 5 6 12 31111 6*")-SUMIFS(D1244:D9015,K1244:K9015,"0",B1244:B9015,"2 1 1 5 6 12 31111 6*")</f>
        <v>0</v>
      </c>
      <c r="F1243" s="35">
        <f>SUMIFS(F1244:F9015,K1244:K9015,"0",B1244:B9015,"2 1 1 5 6 12 31111 6*")</f>
        <v>29634.98</v>
      </c>
      <c r="G1243" s="35">
        <f>SUMIFS(G1244:G9015,K1244:K9015,"0",B1244:B9015,"2 1 1 5 6 12 31111 6*")</f>
        <v>29634.98</v>
      </c>
      <c r="H1243" s="35"/>
      <c r="I1243" s="35">
        <f t="shared" si="19"/>
        <v>0</v>
      </c>
      <c r="K1243" t="s">
        <v>15</v>
      </c>
    </row>
    <row r="1244" spans="2:11" ht="16.5" x14ac:dyDescent="0.2">
      <c r="B1244" s="33" t="s">
        <v>1808</v>
      </c>
      <c r="C1244" s="33" t="s">
        <v>32</v>
      </c>
      <c r="D1244"/>
      <c r="E1244" s="35">
        <f>SUMIFS(E1245:E9015,K1245:K9015,"0",B1245:B9015,"2 1 1 5 6 12 31111 6 M59*")-SUMIFS(D1245:D9015,K1245:K9015,"0",B1245:B9015,"2 1 1 5 6 12 31111 6 M59*")</f>
        <v>0</v>
      </c>
      <c r="F1244" s="35">
        <f>SUMIFS(F1245:F9015,K1245:K9015,"0",B1245:B9015,"2 1 1 5 6 12 31111 6 M59*")</f>
        <v>29634.98</v>
      </c>
      <c r="G1244" s="35">
        <f>SUMIFS(G1245:G9015,K1245:K9015,"0",B1245:B9015,"2 1 1 5 6 12 31111 6 M59*")</f>
        <v>29634.98</v>
      </c>
      <c r="H1244" s="35"/>
      <c r="I1244" s="35">
        <f t="shared" si="19"/>
        <v>0</v>
      </c>
      <c r="K1244" t="s">
        <v>15</v>
      </c>
    </row>
    <row r="1245" spans="2:11" ht="24.75" x14ac:dyDescent="0.2">
      <c r="B1245" s="33" t="s">
        <v>1809</v>
      </c>
      <c r="C1245" s="33" t="s">
        <v>40</v>
      </c>
      <c r="D1245"/>
      <c r="E1245" s="35">
        <f>SUMIFS(E1246:E9015,K1246:K9015,"0",B1246:B9015,"2 1 1 5 6 12 31111 6 M59 00003*")-SUMIFS(D1246:D9015,K1246:K9015,"0",B1246:B9015,"2 1 1 5 6 12 31111 6 M59 00003*")</f>
        <v>0</v>
      </c>
      <c r="F1245" s="35">
        <f>SUMIFS(F1246:F9015,K1246:K9015,"0",B1246:B9015,"2 1 1 5 6 12 31111 6 M59 00003*")</f>
        <v>14634.98</v>
      </c>
      <c r="G1245" s="35">
        <f>SUMIFS(G1246:G9015,K1246:K9015,"0",B1246:B9015,"2 1 1 5 6 12 31111 6 M59 00003*")</f>
        <v>14634.98</v>
      </c>
      <c r="H1245" s="35"/>
      <c r="I1245" s="35">
        <f t="shared" si="19"/>
        <v>0</v>
      </c>
      <c r="K1245" t="s">
        <v>15</v>
      </c>
    </row>
    <row r="1246" spans="2:11" ht="16.5" x14ac:dyDescent="0.2">
      <c r="B1246" s="31" t="s">
        <v>1810</v>
      </c>
      <c r="C1246" s="31" t="s">
        <v>1811</v>
      </c>
      <c r="D1246" s="34"/>
      <c r="E1246" s="34">
        <v>0</v>
      </c>
      <c r="F1246" s="34">
        <v>14634.98</v>
      </c>
      <c r="G1246" s="34">
        <v>14634.98</v>
      </c>
      <c r="H1246" s="34"/>
      <c r="I1246" s="34">
        <f t="shared" si="19"/>
        <v>0</v>
      </c>
      <c r="K1246" t="s">
        <v>38</v>
      </c>
    </row>
    <row r="1247" spans="2:11" ht="16.5" x14ac:dyDescent="0.2">
      <c r="B1247" s="33" t="s">
        <v>1812</v>
      </c>
      <c r="C1247" s="33" t="s">
        <v>1364</v>
      </c>
      <c r="D1247"/>
      <c r="E1247" s="35">
        <f>SUMIFS(E1248:E9015,K1248:K9015,"0",B1248:B9015,"2 1 1 5 6 12 31111 6 M59 00004*")-SUMIFS(D1248:D9015,K1248:K9015,"0",B1248:B9015,"2 1 1 5 6 12 31111 6 M59 00004*")</f>
        <v>0</v>
      </c>
      <c r="F1247" s="35">
        <f>SUMIFS(F1248:F9015,K1248:K9015,"0",B1248:B9015,"2 1 1 5 6 12 31111 6 M59 00004*")</f>
        <v>15000</v>
      </c>
      <c r="G1247" s="35">
        <f>SUMIFS(G1248:G9015,K1248:K9015,"0",B1248:B9015,"2 1 1 5 6 12 31111 6 M59 00004*")</f>
        <v>15000</v>
      </c>
      <c r="H1247" s="35"/>
      <c r="I1247" s="35">
        <f t="shared" si="19"/>
        <v>0</v>
      </c>
      <c r="K1247" t="s">
        <v>15</v>
      </c>
    </row>
    <row r="1248" spans="2:11" ht="16.5" x14ac:dyDescent="0.2">
      <c r="B1248" s="31" t="s">
        <v>1813</v>
      </c>
      <c r="C1248" s="31" t="s">
        <v>1804</v>
      </c>
      <c r="D1248" s="34"/>
      <c r="E1248" s="34">
        <v>0</v>
      </c>
      <c r="F1248" s="34">
        <v>15000</v>
      </c>
      <c r="G1248" s="34">
        <v>15000</v>
      </c>
      <c r="H1248" s="34"/>
      <c r="I1248" s="34">
        <f t="shared" si="19"/>
        <v>0</v>
      </c>
      <c r="K1248" t="s">
        <v>38</v>
      </c>
    </row>
    <row r="1249" spans="2:11" ht="24.75" x14ac:dyDescent="0.2">
      <c r="B1249" s="33" t="s">
        <v>1814</v>
      </c>
      <c r="C1249" s="33" t="s">
        <v>1815</v>
      </c>
      <c r="D1249"/>
      <c r="E1249" s="35">
        <f>SUMIFS(E1250:E9015,K1250:K9015,"0",B1250:B9015,"2 1 1 7*")-SUMIFS(D1250:D9015,K1250:K9015,"0",B1250:B9015,"2 1 1 7*")</f>
        <v>13791853.259999998</v>
      </c>
      <c r="F1249" s="35">
        <f>SUMIFS(F1250:F9015,K1250:K9015,"0",B1250:B9015,"2 1 1 7*")</f>
        <v>31962330.109999996</v>
      </c>
      <c r="G1249" s="35">
        <f>SUMIFS(G1250:G9015,K1250:K9015,"0",B1250:B9015,"2 1 1 7*")</f>
        <v>34059554.899999999</v>
      </c>
      <c r="H1249" s="35"/>
      <c r="I1249" s="35">
        <f t="shared" si="19"/>
        <v>15889078.050000001</v>
      </c>
      <c r="K1249" t="s">
        <v>15</v>
      </c>
    </row>
    <row r="1250" spans="2:11" ht="16.5" x14ac:dyDescent="0.2">
      <c r="B1250" s="33" t="s">
        <v>1816</v>
      </c>
      <c r="C1250" s="33" t="s">
        <v>1817</v>
      </c>
      <c r="D1250"/>
      <c r="E1250" s="35">
        <f>SUMIFS(E1251:E9015,K1251:K9015,"0",B1251:B9015,"2 1 1 7 1*")-SUMIFS(D1251:D9015,K1251:K9015,"0",B1251:B9015,"2 1 1 7 1*")</f>
        <v>3062771.5199999996</v>
      </c>
      <c r="F1250" s="35">
        <f>SUMIFS(F1251:F9015,K1251:K9015,"0",B1251:B9015,"2 1 1 7 1*")</f>
        <v>25683019.899999999</v>
      </c>
      <c r="G1250" s="35">
        <f>SUMIFS(G1251:G9015,K1251:K9015,"0",B1251:B9015,"2 1 1 7 1*")</f>
        <v>26720433.780000001</v>
      </c>
      <c r="H1250" s="35"/>
      <c r="I1250" s="35">
        <f t="shared" si="19"/>
        <v>4100185.4000000022</v>
      </c>
      <c r="K1250" t="s">
        <v>15</v>
      </c>
    </row>
    <row r="1251" spans="2:11" ht="12.75" x14ac:dyDescent="0.2">
      <c r="B1251" s="33" t="s">
        <v>1818</v>
      </c>
      <c r="C1251" s="33" t="s">
        <v>26</v>
      </c>
      <c r="D1251"/>
      <c r="E1251" s="35">
        <f>SUMIFS(E1252:E9015,K1252:K9015,"0",B1252:B9015,"2 1 1 7 1 12*")-SUMIFS(D1252:D9015,K1252:K9015,"0",B1252:B9015,"2 1 1 7 1 12*")</f>
        <v>3062771.5199999996</v>
      </c>
      <c r="F1251" s="35">
        <f>SUMIFS(F1252:F9015,K1252:K9015,"0",B1252:B9015,"2 1 1 7 1 12*")</f>
        <v>25683019.899999999</v>
      </c>
      <c r="G1251" s="35">
        <f>SUMIFS(G1252:G9015,K1252:K9015,"0",B1252:B9015,"2 1 1 7 1 12*")</f>
        <v>26720433.780000001</v>
      </c>
      <c r="H1251" s="35"/>
      <c r="I1251" s="35">
        <f t="shared" si="19"/>
        <v>4100185.4000000022</v>
      </c>
      <c r="K1251" t="s">
        <v>15</v>
      </c>
    </row>
    <row r="1252" spans="2:11" ht="16.5" x14ac:dyDescent="0.2">
      <c r="B1252" s="33" t="s">
        <v>1819</v>
      </c>
      <c r="C1252" s="33" t="s">
        <v>28</v>
      </c>
      <c r="D1252"/>
      <c r="E1252" s="35">
        <f>SUMIFS(E1253:E9015,K1253:K9015,"0",B1253:B9015,"2 1 1 7 1 12 31111*")-SUMIFS(D1253:D9015,K1253:K9015,"0",B1253:B9015,"2 1 1 7 1 12 31111*")</f>
        <v>3062771.5199999996</v>
      </c>
      <c r="F1252" s="35">
        <f>SUMIFS(F1253:F9015,K1253:K9015,"0",B1253:B9015,"2 1 1 7 1 12 31111*")</f>
        <v>25683019.899999999</v>
      </c>
      <c r="G1252" s="35">
        <f>SUMIFS(G1253:G9015,K1253:K9015,"0",B1253:B9015,"2 1 1 7 1 12 31111*")</f>
        <v>26720433.780000001</v>
      </c>
      <c r="H1252" s="35"/>
      <c r="I1252" s="35">
        <f t="shared" si="19"/>
        <v>4100185.4000000022</v>
      </c>
      <c r="K1252" t="s">
        <v>15</v>
      </c>
    </row>
    <row r="1253" spans="2:11" ht="12.75" x14ac:dyDescent="0.2">
      <c r="B1253" s="33" t="s">
        <v>1820</v>
      </c>
      <c r="C1253" s="33" t="s">
        <v>30</v>
      </c>
      <c r="D1253"/>
      <c r="E1253" s="35">
        <f>SUMIFS(E1254:E9015,K1254:K9015,"0",B1254:B9015,"2 1 1 7 1 12 31111 6*")-SUMIFS(D1254:D9015,K1254:K9015,"0",B1254:B9015,"2 1 1 7 1 12 31111 6*")</f>
        <v>3062771.5199999996</v>
      </c>
      <c r="F1253" s="35">
        <f>SUMIFS(F1254:F9015,K1254:K9015,"0",B1254:B9015,"2 1 1 7 1 12 31111 6*")</f>
        <v>25683019.899999999</v>
      </c>
      <c r="G1253" s="35">
        <f>SUMIFS(G1254:G9015,K1254:K9015,"0",B1254:B9015,"2 1 1 7 1 12 31111 6*")</f>
        <v>26720433.780000001</v>
      </c>
      <c r="H1253" s="35"/>
      <c r="I1253" s="35">
        <f t="shared" si="19"/>
        <v>4100185.4000000022</v>
      </c>
      <c r="K1253" t="s">
        <v>15</v>
      </c>
    </row>
    <row r="1254" spans="2:11" ht="12.75" x14ac:dyDescent="0.2">
      <c r="B1254" s="33" t="s">
        <v>1821</v>
      </c>
      <c r="C1254" s="33" t="s">
        <v>32</v>
      </c>
      <c r="D1254"/>
      <c r="E1254" s="35">
        <f>SUMIFS(E1255:E9015,K1255:K9015,"0",B1255:B9015,"2 1 1 7 1 12 31111 6 M59*")-SUMIFS(D1255:D9015,K1255:K9015,"0",B1255:B9015,"2 1 1 7 1 12 31111 6 M59*")</f>
        <v>3062771.5199999996</v>
      </c>
      <c r="F1254" s="35">
        <f>SUMIFS(F1255:F9015,K1255:K9015,"0",B1255:B9015,"2 1 1 7 1 12 31111 6 M59*")</f>
        <v>25683019.899999999</v>
      </c>
      <c r="G1254" s="35">
        <f>SUMIFS(G1255:G9015,K1255:K9015,"0",B1255:B9015,"2 1 1 7 1 12 31111 6 M59*")</f>
        <v>26720433.780000001</v>
      </c>
      <c r="H1254" s="35"/>
      <c r="I1254" s="35">
        <f t="shared" si="19"/>
        <v>4100185.4000000022</v>
      </c>
      <c r="K1254" t="s">
        <v>15</v>
      </c>
    </row>
    <row r="1255" spans="2:11" ht="16.5" x14ac:dyDescent="0.2">
      <c r="B1255" s="33" t="s">
        <v>1822</v>
      </c>
      <c r="C1255" s="33" t="s">
        <v>34</v>
      </c>
      <c r="D1255"/>
      <c r="E1255" s="35">
        <f>SUMIFS(E1256:E9015,K1256:K9015,"0",B1256:B9015,"2 1 1 7 1 12 31111 6 M59 00001*")-SUMIFS(D1256:D9015,K1256:K9015,"0",B1256:B9015,"2 1 1 7 1 12 31111 6 M59 00001*")</f>
        <v>498407.52</v>
      </c>
      <c r="F1255" s="35">
        <f>SUMIFS(F1256:F9015,K1256:K9015,"0",B1256:B9015,"2 1 1 7 1 12 31111 6 M59 00001*")</f>
        <v>25683019.899999999</v>
      </c>
      <c r="G1255" s="35">
        <f>SUMIFS(G1256:G9015,K1256:K9015,"0",B1256:B9015,"2 1 1 7 1 12 31111 6 M59 00001*")</f>
        <v>26640832.66</v>
      </c>
      <c r="H1255" s="35"/>
      <c r="I1255" s="35">
        <f t="shared" si="19"/>
        <v>1456220.2800000012</v>
      </c>
      <c r="K1255" t="s">
        <v>15</v>
      </c>
    </row>
    <row r="1256" spans="2:11" ht="16.5" x14ac:dyDescent="0.2">
      <c r="B1256" s="33" t="s">
        <v>1823</v>
      </c>
      <c r="C1256" s="33" t="s">
        <v>1824</v>
      </c>
      <c r="D1256"/>
      <c r="E1256" s="35">
        <f>SUMIFS(E1257:E9015,K1257:K9015,"0",B1257:B9015,"2 1 1 7 1 12 31111 6 M59 00001 000002*")-SUMIFS(D1257:D9015,K1257:K9015,"0",B1257:B9015,"2 1 1 7 1 12 31111 6 M59 00001 000002*")</f>
        <v>498407.52</v>
      </c>
      <c r="F1256" s="35">
        <f>SUMIFS(F1257:F9015,K1257:K9015,"0",B1257:B9015,"2 1 1 7 1 12 31111 6 M59 00001 000002*")</f>
        <v>25683019.899999999</v>
      </c>
      <c r="G1256" s="35">
        <f>SUMIFS(G1257:G9015,K1257:K9015,"0",B1257:B9015,"2 1 1 7 1 12 31111 6 M59 00001 000002*")</f>
        <v>26640832.66</v>
      </c>
      <c r="H1256" s="35"/>
      <c r="I1256" s="35">
        <f t="shared" si="19"/>
        <v>1456220.2800000012</v>
      </c>
      <c r="K1256" t="s">
        <v>15</v>
      </c>
    </row>
    <row r="1257" spans="2:11" ht="16.5" x14ac:dyDescent="0.2">
      <c r="B1257" s="33" t="s">
        <v>1825</v>
      </c>
      <c r="C1257" s="33" t="s">
        <v>1826</v>
      </c>
      <c r="D1257"/>
      <c r="E1257" s="35">
        <f>SUMIFS(E1258:E9015,K1258:K9015,"0",B1258:B9015,"2 1 1 7 1 12 31111 6 M59 00001 000002 00001*")-SUMIFS(D1258:D9015,K1258:K9015,"0",B1258:B9015,"2 1 1 7 1 12 31111 6 M59 00001 000002 00001*")</f>
        <v>479972.10000000003</v>
      </c>
      <c r="F1257" s="35">
        <f>SUMIFS(F1258:F9015,K1258:K9015,"0",B1258:B9015,"2 1 1 7 1 12 31111 6 M59 00001 000002 00001*")</f>
        <v>1771720.42</v>
      </c>
      <c r="G1257" s="35">
        <f>SUMIFS(G1258:G9015,K1258:K9015,"0",B1258:B9015,"2 1 1 7 1 12 31111 6 M59 00001 000002 00001*")</f>
        <v>2762245.7199999997</v>
      </c>
      <c r="H1257" s="35"/>
      <c r="I1257" s="35">
        <f t="shared" si="19"/>
        <v>1470497.4</v>
      </c>
      <c r="K1257" t="s">
        <v>15</v>
      </c>
    </row>
    <row r="1258" spans="2:11" ht="24.75" x14ac:dyDescent="0.2">
      <c r="B1258" s="33" t="s">
        <v>1827</v>
      </c>
      <c r="C1258" s="33" t="s">
        <v>1828</v>
      </c>
      <c r="D1258"/>
      <c r="E1258" s="35">
        <f>SUMIFS(E1259:E9015,K1259:K9015,"0",B1259:B9015,"2 1 1 7 1 12 31111 6 M59 00001 000002 00001 00001*")-SUMIFS(D1259:D9015,K1259:K9015,"0",B1259:B9015,"2 1 1 7 1 12 31111 6 M59 00001 000002 00001 00001*")</f>
        <v>467655.14</v>
      </c>
      <c r="F1258" s="35">
        <f>SUMIFS(F1259:F9015,K1259:K9015,"0",B1259:B9015,"2 1 1 7 1 12 31111 6 M59 00001 000002 00001 00001*")</f>
        <v>1771720.42</v>
      </c>
      <c r="G1258" s="35">
        <f>SUMIFS(G1259:G9015,K1259:K9015,"0",B1259:B9015,"2 1 1 7 1 12 31111 6 M59 00001 000002 00001 00001*")</f>
        <v>2752850.93</v>
      </c>
      <c r="H1258" s="35"/>
      <c r="I1258" s="35">
        <f t="shared" si="19"/>
        <v>1448785.6500000004</v>
      </c>
      <c r="K1258" t="s">
        <v>15</v>
      </c>
    </row>
    <row r="1259" spans="2:11" ht="16.5" x14ac:dyDescent="0.2">
      <c r="B1259" s="31" t="s">
        <v>1829</v>
      </c>
      <c r="C1259" s="31" t="s">
        <v>392</v>
      </c>
      <c r="D1259" s="34"/>
      <c r="E1259" s="34">
        <v>467655.14</v>
      </c>
      <c r="F1259" s="34">
        <v>1771720.42</v>
      </c>
      <c r="G1259" s="34">
        <v>2752850.93</v>
      </c>
      <c r="H1259" s="34"/>
      <c r="I1259" s="34">
        <f t="shared" si="19"/>
        <v>1448785.6500000004</v>
      </c>
      <c r="K1259" t="s">
        <v>38</v>
      </c>
    </row>
    <row r="1260" spans="2:11" ht="24.75" x14ac:dyDescent="0.2">
      <c r="B1260" s="33" t="s">
        <v>1830</v>
      </c>
      <c r="C1260" s="33" t="s">
        <v>1831</v>
      </c>
      <c r="D1260"/>
      <c r="E1260" s="35">
        <f>SUMIFS(E1261:E9015,K1261:K9015,"0",B1261:B9015,"2 1 1 7 1 12 31111 6 M59 00001 000002 00001 00003*")-SUMIFS(D1261:D9015,K1261:K9015,"0",B1261:B9015,"2 1 1 7 1 12 31111 6 M59 00001 000002 00001 00003*")</f>
        <v>3146.63</v>
      </c>
      <c r="F1260" s="35">
        <f>SUMIFS(F1261:F9015,K1261:K9015,"0",B1261:B9015,"2 1 1 7 1 12 31111 6 M59 00001 000002 00001 00003*")</f>
        <v>0</v>
      </c>
      <c r="G1260" s="35">
        <f>SUMIFS(G1261:G9015,K1261:K9015,"0",B1261:B9015,"2 1 1 7 1 12 31111 6 M59 00001 000002 00001 00003*")</f>
        <v>0</v>
      </c>
      <c r="H1260" s="35"/>
      <c r="I1260" s="35">
        <f t="shared" si="19"/>
        <v>3146.63</v>
      </c>
      <c r="K1260" t="s">
        <v>15</v>
      </c>
    </row>
    <row r="1261" spans="2:11" ht="16.5" x14ac:dyDescent="0.2">
      <c r="B1261" s="31" t="s">
        <v>1832</v>
      </c>
      <c r="C1261" s="31" t="s">
        <v>392</v>
      </c>
      <c r="D1261" s="34"/>
      <c r="E1261" s="34">
        <v>3146.63</v>
      </c>
      <c r="F1261" s="34">
        <v>0</v>
      </c>
      <c r="G1261" s="34">
        <v>0</v>
      </c>
      <c r="H1261" s="34"/>
      <c r="I1261" s="34">
        <f t="shared" si="19"/>
        <v>3146.63</v>
      </c>
      <c r="K1261" t="s">
        <v>38</v>
      </c>
    </row>
    <row r="1262" spans="2:11" ht="24.75" x14ac:dyDescent="0.2">
      <c r="B1262" s="33" t="s">
        <v>1833</v>
      </c>
      <c r="C1262" s="33" t="s">
        <v>1834</v>
      </c>
      <c r="D1262"/>
      <c r="E1262" s="35">
        <f>SUMIFS(E1263:E9015,K1263:K9015,"0",B1263:B9015,"2 1 1 7 1 12 31111 6 M59 00001 000002 00001 00004*")-SUMIFS(D1263:D9015,K1263:K9015,"0",B1263:B9015,"2 1 1 7 1 12 31111 6 M59 00001 000002 00001 00004*")</f>
        <v>6610.74</v>
      </c>
      <c r="F1262" s="35">
        <f>SUMIFS(F1263:F9015,K1263:K9015,"0",B1263:B9015,"2 1 1 7 1 12 31111 6 M59 00001 000002 00001 00004*")</f>
        <v>0</v>
      </c>
      <c r="G1262" s="35">
        <f>SUMIFS(G1263:G9015,K1263:K9015,"0",B1263:B9015,"2 1 1 7 1 12 31111 6 M59 00001 000002 00001 00004*")</f>
        <v>6037.76</v>
      </c>
      <c r="H1262" s="35"/>
      <c r="I1262" s="35">
        <f t="shared" si="19"/>
        <v>12648.5</v>
      </c>
      <c r="K1262" t="s">
        <v>15</v>
      </c>
    </row>
    <row r="1263" spans="2:11" ht="16.5" x14ac:dyDescent="0.2">
      <c r="B1263" s="31" t="s">
        <v>1835</v>
      </c>
      <c r="C1263" s="31" t="s">
        <v>274</v>
      </c>
      <c r="D1263" s="34"/>
      <c r="E1263" s="34">
        <v>31.99</v>
      </c>
      <c r="F1263" s="34">
        <v>0</v>
      </c>
      <c r="G1263" s="34">
        <v>6037.76</v>
      </c>
      <c r="H1263" s="34"/>
      <c r="I1263" s="34">
        <f t="shared" ref="I1263:I1326" si="20">E1263 - F1263 + G1263</f>
        <v>6069.75</v>
      </c>
      <c r="K1263" t="s">
        <v>38</v>
      </c>
    </row>
    <row r="1264" spans="2:11" ht="24.75" x14ac:dyDescent="0.2">
      <c r="B1264" s="31" t="s">
        <v>1836</v>
      </c>
      <c r="C1264" s="31" t="s">
        <v>1837</v>
      </c>
      <c r="D1264" s="34"/>
      <c r="E1264" s="34">
        <v>754.72</v>
      </c>
      <c r="F1264" s="34">
        <v>0</v>
      </c>
      <c r="G1264" s="34">
        <v>0</v>
      </c>
      <c r="H1264" s="34"/>
      <c r="I1264" s="34">
        <f t="shared" si="20"/>
        <v>754.72</v>
      </c>
      <c r="K1264" t="s">
        <v>38</v>
      </c>
    </row>
    <row r="1265" spans="2:11" ht="16.5" x14ac:dyDescent="0.2">
      <c r="B1265" s="31" t="s">
        <v>1838</v>
      </c>
      <c r="C1265" s="31" t="s">
        <v>392</v>
      </c>
      <c r="D1265" s="34"/>
      <c r="E1265" s="34">
        <v>5824.03</v>
      </c>
      <c r="F1265" s="34">
        <v>0</v>
      </c>
      <c r="G1265" s="34">
        <v>0</v>
      </c>
      <c r="H1265" s="34"/>
      <c r="I1265" s="34">
        <f t="shared" si="20"/>
        <v>5824.03</v>
      </c>
      <c r="K1265" t="s">
        <v>38</v>
      </c>
    </row>
    <row r="1266" spans="2:11" ht="24.75" x14ac:dyDescent="0.2">
      <c r="B1266" s="33" t="s">
        <v>1839</v>
      </c>
      <c r="C1266" s="33" t="s">
        <v>1840</v>
      </c>
      <c r="D1266"/>
      <c r="E1266" s="35">
        <f>SUMIFS(E1267:E9015,K1267:K9015,"0",B1267:B9015,"2 1 1 7 1 12 31111 6 M59 00001 000002 00001 00005*")-SUMIFS(D1267:D9015,K1267:K9015,"0",B1267:B9015,"2 1 1 7 1 12 31111 6 M59 00001 000002 00001 00005*")</f>
        <v>2559.59</v>
      </c>
      <c r="F1266" s="35">
        <f>SUMIFS(F1267:F9015,K1267:K9015,"0",B1267:B9015,"2 1 1 7 1 12 31111 6 M59 00001 000002 00001 00005*")</f>
        <v>0</v>
      </c>
      <c r="G1266" s="35">
        <f>SUMIFS(G1267:G9015,K1267:K9015,"0",B1267:B9015,"2 1 1 7 1 12 31111 6 M59 00001 000002 00001 00005*")</f>
        <v>3357.03</v>
      </c>
      <c r="H1266" s="35"/>
      <c r="I1266" s="35">
        <f t="shared" si="20"/>
        <v>5916.6200000000008</v>
      </c>
      <c r="K1266" t="s">
        <v>15</v>
      </c>
    </row>
    <row r="1267" spans="2:11" ht="24.75" x14ac:dyDescent="0.2">
      <c r="B1267" s="33" t="s">
        <v>1841</v>
      </c>
      <c r="C1267" s="33" t="s">
        <v>1842</v>
      </c>
      <c r="D1267"/>
      <c r="E1267" s="35">
        <f>SUMIFS(E1268:E9015,K1268:K9015,"0",B1268:B9015,"2 1 1 7 1 12 31111 6 M59 00001 000002 00001 00005 00107*")-SUMIFS(D1268:D9015,K1268:K9015,"0",B1268:B9015,"2 1 1 7 1 12 31111 6 M59 00001 000002 00001 00005 00107*")</f>
        <v>125</v>
      </c>
      <c r="F1267" s="35">
        <f>SUMIFS(F1268:F9015,K1268:K9015,"0",B1268:B9015,"2 1 1 7 1 12 31111 6 M59 00001 000002 00001 00005 00107*")</f>
        <v>0</v>
      </c>
      <c r="G1267" s="35">
        <f>SUMIFS(G1268:G9015,K1268:K9015,"0",B1268:B9015,"2 1 1 7 1 12 31111 6 M59 00001 000002 00001 00005 00107*")</f>
        <v>0</v>
      </c>
      <c r="H1267" s="35"/>
      <c r="I1267" s="35">
        <f t="shared" si="20"/>
        <v>125</v>
      </c>
      <c r="K1267" t="s">
        <v>15</v>
      </c>
    </row>
    <row r="1268" spans="2:11" ht="24.75" x14ac:dyDescent="0.2">
      <c r="B1268" s="31" t="s">
        <v>1843</v>
      </c>
      <c r="C1268" s="31" t="s">
        <v>428</v>
      </c>
      <c r="D1268" s="34"/>
      <c r="E1268" s="34">
        <v>125</v>
      </c>
      <c r="F1268" s="34">
        <v>0</v>
      </c>
      <c r="G1268" s="34">
        <v>0</v>
      </c>
      <c r="H1268" s="34"/>
      <c r="I1268" s="34">
        <f t="shared" si="20"/>
        <v>125</v>
      </c>
      <c r="K1268" t="s">
        <v>38</v>
      </c>
    </row>
    <row r="1269" spans="2:11" ht="16.5" x14ac:dyDescent="0.2">
      <c r="B1269" s="31" t="s">
        <v>1844</v>
      </c>
      <c r="C1269" s="31" t="s">
        <v>392</v>
      </c>
      <c r="D1269" s="34"/>
      <c r="E1269" s="34">
        <v>2434.59</v>
      </c>
      <c r="F1269" s="34">
        <v>0</v>
      </c>
      <c r="G1269" s="34">
        <v>3357.03</v>
      </c>
      <c r="H1269" s="34"/>
      <c r="I1269" s="34">
        <f t="shared" si="20"/>
        <v>5791.6200000000008</v>
      </c>
      <c r="K1269" t="s">
        <v>38</v>
      </c>
    </row>
    <row r="1270" spans="2:11" ht="16.5" x14ac:dyDescent="0.2">
      <c r="B1270" s="33" t="s">
        <v>1845</v>
      </c>
      <c r="C1270" s="33" t="s">
        <v>1846</v>
      </c>
      <c r="D1270"/>
      <c r="E1270" s="35">
        <f>SUMIFS(E1271:E9015,K1271:K9015,"0",B1271:B9015,"2 1 1 7 1 12 31111 6 M59 00001 000002 00002*")-SUMIFS(D1271:D9015,K1271:K9015,"0",B1271:B9015,"2 1 1 7 1 12 31111 6 M59 00001 000002 00002*")</f>
        <v>7082.0400000000009</v>
      </c>
      <c r="F1270" s="35">
        <f>SUMIFS(F1271:F9015,K1271:K9015,"0",B1271:B9015,"2 1 1 7 1 12 31111 6 M59 00001 000002 00002*")</f>
        <v>23911299.48</v>
      </c>
      <c r="G1270" s="35">
        <f>SUMIFS(G1271:G9015,K1271:K9015,"0",B1271:B9015,"2 1 1 7 1 12 31111 6 M59 00001 000002 00002*")</f>
        <v>23873208.240000002</v>
      </c>
      <c r="H1270" s="35"/>
      <c r="I1270" s="35">
        <f t="shared" si="20"/>
        <v>-31009.199999999255</v>
      </c>
      <c r="K1270" t="s">
        <v>15</v>
      </c>
    </row>
    <row r="1271" spans="2:11" ht="16.5" x14ac:dyDescent="0.2">
      <c r="B1271" s="31" t="s">
        <v>1847</v>
      </c>
      <c r="C1271" s="31" t="s">
        <v>1848</v>
      </c>
      <c r="D1271" s="34"/>
      <c r="E1271" s="34">
        <v>674.37</v>
      </c>
      <c r="F1271" s="34">
        <v>23911299.48</v>
      </c>
      <c r="G1271" s="34">
        <v>23868887.170000002</v>
      </c>
      <c r="H1271" s="34"/>
      <c r="I1271" s="34">
        <f t="shared" si="20"/>
        <v>-41737.939999997616</v>
      </c>
      <c r="K1271" t="s">
        <v>38</v>
      </c>
    </row>
    <row r="1272" spans="2:11" ht="24.75" x14ac:dyDescent="0.2">
      <c r="B1272" s="33" t="s">
        <v>1849</v>
      </c>
      <c r="C1272" s="33" t="s">
        <v>1850</v>
      </c>
      <c r="D1272"/>
      <c r="E1272" s="35">
        <f>SUMIFS(E1273:E9015,K1273:K9015,"0",B1273:B9015,"2 1 1 7 1 12 31111 6 M59 00001 000002 00002 00003*")-SUMIFS(D1273:D9015,K1273:K9015,"0",B1273:B9015,"2 1 1 7 1 12 31111 6 M59 00001 000002 00002 00003*")</f>
        <v>3354.3100000000004</v>
      </c>
      <c r="F1272" s="35">
        <f>SUMIFS(F1273:F9015,K1273:K9015,"0",B1273:B9015,"2 1 1 7 1 12 31111 6 M59 00001 000002 00002 00003*")</f>
        <v>0</v>
      </c>
      <c r="G1272" s="35">
        <f>SUMIFS(G1273:G9015,K1273:K9015,"0",B1273:B9015,"2 1 1 7 1 12 31111 6 M59 00001 000002 00002 00003*")</f>
        <v>0</v>
      </c>
      <c r="H1272" s="35"/>
      <c r="I1272" s="35">
        <f t="shared" si="20"/>
        <v>3354.3100000000004</v>
      </c>
      <c r="K1272" t="s">
        <v>15</v>
      </c>
    </row>
    <row r="1273" spans="2:11" ht="24.75" x14ac:dyDescent="0.2">
      <c r="B1273" s="31" t="s">
        <v>1851</v>
      </c>
      <c r="C1273" s="31" t="s">
        <v>428</v>
      </c>
      <c r="D1273" s="34"/>
      <c r="E1273" s="34">
        <v>183.26</v>
      </c>
      <c r="F1273" s="34">
        <v>0</v>
      </c>
      <c r="G1273" s="34">
        <v>0</v>
      </c>
      <c r="H1273" s="34"/>
      <c r="I1273" s="34">
        <f t="shared" si="20"/>
        <v>183.26</v>
      </c>
      <c r="K1273" t="s">
        <v>38</v>
      </c>
    </row>
    <row r="1274" spans="2:11" ht="24.75" x14ac:dyDescent="0.2">
      <c r="B1274" s="31" t="s">
        <v>1852</v>
      </c>
      <c r="C1274" s="31" t="s">
        <v>392</v>
      </c>
      <c r="D1274" s="34"/>
      <c r="E1274" s="34">
        <v>3171.05</v>
      </c>
      <c r="F1274" s="34">
        <v>0</v>
      </c>
      <c r="G1274" s="34">
        <v>0</v>
      </c>
      <c r="H1274" s="34"/>
      <c r="I1274" s="34">
        <f t="shared" si="20"/>
        <v>3171.05</v>
      </c>
      <c r="K1274" t="s">
        <v>38</v>
      </c>
    </row>
    <row r="1275" spans="2:11" ht="24.75" x14ac:dyDescent="0.2">
      <c r="B1275" s="33" t="s">
        <v>1853</v>
      </c>
      <c r="C1275" s="33" t="s">
        <v>1854</v>
      </c>
      <c r="D1275"/>
      <c r="E1275" s="35">
        <f>SUMIFS(E1276:E9015,K1276:K9015,"0",B1276:B9015,"2 1 1 7 1 12 31111 6 M59 00001 000002 00002 00004*")-SUMIFS(D1276:D9015,K1276:K9015,"0",B1276:B9015,"2 1 1 7 1 12 31111 6 M59 00001 000002 00002 00004*")</f>
        <v>3053.36</v>
      </c>
      <c r="F1275" s="35">
        <f>SUMIFS(F1276:F9015,K1276:K9015,"0",B1276:B9015,"2 1 1 7 1 12 31111 6 M59 00001 000002 00002 00004*")</f>
        <v>0</v>
      </c>
      <c r="G1275" s="35">
        <f>SUMIFS(G1276:G9015,K1276:K9015,"0",B1276:B9015,"2 1 1 7 1 12 31111 6 M59 00001 000002 00002 00004*")</f>
        <v>4321.07</v>
      </c>
      <c r="H1275" s="35"/>
      <c r="I1275" s="35">
        <f t="shared" si="20"/>
        <v>7374.43</v>
      </c>
      <c r="K1275" t="s">
        <v>15</v>
      </c>
    </row>
    <row r="1276" spans="2:11" ht="24.75" x14ac:dyDescent="0.2">
      <c r="B1276" s="31" t="s">
        <v>1855</v>
      </c>
      <c r="C1276" s="31" t="s">
        <v>392</v>
      </c>
      <c r="D1276" s="34"/>
      <c r="E1276" s="34">
        <v>3053.36</v>
      </c>
      <c r="F1276" s="34">
        <v>0</v>
      </c>
      <c r="G1276" s="34">
        <v>4321.07</v>
      </c>
      <c r="H1276" s="34"/>
      <c r="I1276" s="34">
        <f t="shared" si="20"/>
        <v>7374.43</v>
      </c>
      <c r="K1276" t="s">
        <v>38</v>
      </c>
    </row>
    <row r="1277" spans="2:11" ht="33" x14ac:dyDescent="0.2">
      <c r="B1277" s="33" t="s">
        <v>1856</v>
      </c>
      <c r="C1277" s="33" t="s">
        <v>1857</v>
      </c>
      <c r="D1277"/>
      <c r="E1277" s="35">
        <f>SUMIFS(E1278:E9015,K1278:K9015,"0",B1278:B9015,"2 1 1 7 1 12 31111 6 M59 00001 000002 00003*")-SUMIFS(D1278:D9015,K1278:K9015,"0",B1278:B9015,"2 1 1 7 1 12 31111 6 M59 00001 000002 00003*")</f>
        <v>11353.38</v>
      </c>
      <c r="F1277" s="35">
        <f>SUMIFS(F1278:F9015,K1278:K9015,"0",B1278:B9015,"2 1 1 7 1 12 31111 6 M59 00001 000002 00003*")</f>
        <v>0</v>
      </c>
      <c r="G1277" s="35">
        <f>SUMIFS(G1278:G9015,K1278:K9015,"0",B1278:B9015,"2 1 1 7 1 12 31111 6 M59 00001 000002 00003*")</f>
        <v>5378.7</v>
      </c>
      <c r="H1277" s="35"/>
      <c r="I1277" s="35">
        <f t="shared" si="20"/>
        <v>16732.079999999998</v>
      </c>
      <c r="K1277" t="s">
        <v>15</v>
      </c>
    </row>
    <row r="1278" spans="2:11" ht="24.75" x14ac:dyDescent="0.2">
      <c r="B1278" s="33" t="s">
        <v>1858</v>
      </c>
      <c r="C1278" s="33" t="s">
        <v>36</v>
      </c>
      <c r="D1278"/>
      <c r="E1278" s="35">
        <f>SUMIFS(E1279:E9015,K1279:K9015,"0",B1279:B9015,"2 1 1 7 1 12 31111 6 M59 00001 000002 00003 00045*")-SUMIFS(D1279:D9015,K1279:K9015,"0",B1279:B9015,"2 1 1 7 1 12 31111 6 M59 00001 000002 00003 00045*")</f>
        <v>11353.38</v>
      </c>
      <c r="F1278" s="35">
        <f>SUMIFS(F1279:F9015,K1279:K9015,"0",B1279:B9015,"2 1 1 7 1 12 31111 6 M59 00001 000002 00003 00045*")</f>
        <v>0</v>
      </c>
      <c r="G1278" s="35">
        <f>SUMIFS(G1279:G9015,K1279:K9015,"0",B1279:B9015,"2 1 1 7 1 12 31111 6 M59 00001 000002 00003 00045*")</f>
        <v>5378.7</v>
      </c>
      <c r="H1278" s="35"/>
      <c r="I1278" s="35">
        <f t="shared" si="20"/>
        <v>16732.079999999998</v>
      </c>
      <c r="K1278" t="s">
        <v>15</v>
      </c>
    </row>
    <row r="1279" spans="2:11" ht="24.75" x14ac:dyDescent="0.2">
      <c r="B1279" s="31" t="s">
        <v>1859</v>
      </c>
      <c r="C1279" s="31" t="s">
        <v>274</v>
      </c>
      <c r="D1279" s="34"/>
      <c r="E1279" s="34">
        <v>11353.38</v>
      </c>
      <c r="F1279" s="34">
        <v>0</v>
      </c>
      <c r="G1279" s="34">
        <v>5378.7</v>
      </c>
      <c r="H1279" s="34"/>
      <c r="I1279" s="34">
        <f t="shared" si="20"/>
        <v>16732.079999999998</v>
      </c>
      <c r="K1279" t="s">
        <v>38</v>
      </c>
    </row>
    <row r="1280" spans="2:11" ht="24.75" x14ac:dyDescent="0.2">
      <c r="B1280" s="33" t="s">
        <v>1860</v>
      </c>
      <c r="C1280" s="33" t="s">
        <v>73</v>
      </c>
      <c r="D1280"/>
      <c r="E1280" s="35">
        <f>SUMIFS(E1281:E9015,K1281:K9015,"0",B1281:B9015,"2 1 1 7 1 12 31111 6 M59 00002*")-SUMIFS(D1281:D9015,K1281:K9015,"0",B1281:B9015,"2 1 1 7 1 12 31111 6 M59 00002*")</f>
        <v>313359.62</v>
      </c>
      <c r="F1280" s="35">
        <f>SUMIFS(F1281:F9015,K1281:K9015,"0",B1281:B9015,"2 1 1 7 1 12 31111 6 M59 00002*")</f>
        <v>0</v>
      </c>
      <c r="G1280" s="35">
        <f>SUMIFS(G1281:G9015,K1281:K9015,"0",B1281:B9015,"2 1 1 7 1 12 31111 6 M59 00002*")</f>
        <v>0</v>
      </c>
      <c r="H1280" s="35"/>
      <c r="I1280" s="35">
        <f t="shared" si="20"/>
        <v>313359.62</v>
      </c>
      <c r="K1280" t="s">
        <v>15</v>
      </c>
    </row>
    <row r="1281" spans="2:11" ht="16.5" x14ac:dyDescent="0.2">
      <c r="B1281" s="33" t="s">
        <v>1861</v>
      </c>
      <c r="C1281" s="33" t="s">
        <v>42</v>
      </c>
      <c r="D1281"/>
      <c r="E1281" s="35">
        <f>SUMIFS(E1282:E9015,K1282:K9015,"0",B1282:B9015,"2 1 1 7 1 12 31111 6 M59 00002 000001*")-SUMIFS(D1282:D9015,K1282:K9015,"0",B1282:B9015,"2 1 1 7 1 12 31111 6 M59 00002 000001*")</f>
        <v>310766.96000000002</v>
      </c>
      <c r="F1281" s="35">
        <f>SUMIFS(F1282:F9015,K1282:K9015,"0",B1282:B9015,"2 1 1 7 1 12 31111 6 M59 00002 000001*")</f>
        <v>0</v>
      </c>
      <c r="G1281" s="35">
        <f>SUMIFS(G1282:G9015,K1282:K9015,"0",B1282:B9015,"2 1 1 7 1 12 31111 6 M59 00002 000001*")</f>
        <v>0</v>
      </c>
      <c r="H1281" s="35"/>
      <c r="I1281" s="35">
        <f t="shared" si="20"/>
        <v>310766.96000000002</v>
      </c>
      <c r="K1281" t="s">
        <v>15</v>
      </c>
    </row>
    <row r="1282" spans="2:11" ht="24.75" x14ac:dyDescent="0.2">
      <c r="B1282" s="31" t="s">
        <v>1862</v>
      </c>
      <c r="C1282" s="31" t="s">
        <v>375</v>
      </c>
      <c r="D1282" s="34"/>
      <c r="E1282" s="34">
        <v>310766.96000000002</v>
      </c>
      <c r="F1282" s="34">
        <v>0</v>
      </c>
      <c r="G1282" s="34">
        <v>0</v>
      </c>
      <c r="H1282" s="34"/>
      <c r="I1282" s="34">
        <f t="shared" si="20"/>
        <v>310766.96000000002</v>
      </c>
      <c r="K1282" t="s">
        <v>38</v>
      </c>
    </row>
    <row r="1283" spans="2:11" ht="16.5" x14ac:dyDescent="0.2">
      <c r="B1283" s="33" t="s">
        <v>1863</v>
      </c>
      <c r="C1283" s="33" t="s">
        <v>1824</v>
      </c>
      <c r="D1283"/>
      <c r="E1283" s="35">
        <f>SUMIFS(E1284:E9015,K1284:K9015,"0",B1284:B9015,"2 1 1 7 1 12 31111 6 M59 00002 000002*")-SUMIFS(D1284:D9015,K1284:K9015,"0",B1284:B9015,"2 1 1 7 1 12 31111 6 M59 00002 000002*")</f>
        <v>2592.66</v>
      </c>
      <c r="F1283" s="35">
        <f>SUMIFS(F1284:F9015,K1284:K9015,"0",B1284:B9015,"2 1 1 7 1 12 31111 6 M59 00002 000002*")</f>
        <v>0</v>
      </c>
      <c r="G1283" s="35">
        <f>SUMIFS(G1284:G9015,K1284:K9015,"0",B1284:B9015,"2 1 1 7 1 12 31111 6 M59 00002 000002*")</f>
        <v>0</v>
      </c>
      <c r="H1283" s="35"/>
      <c r="I1283" s="35">
        <f t="shared" si="20"/>
        <v>2592.66</v>
      </c>
      <c r="K1283" t="s">
        <v>15</v>
      </c>
    </row>
    <row r="1284" spans="2:11" ht="16.5" x14ac:dyDescent="0.2">
      <c r="B1284" s="31" t="s">
        <v>1864</v>
      </c>
      <c r="C1284" s="31" t="s">
        <v>1826</v>
      </c>
      <c r="D1284" s="34"/>
      <c r="E1284" s="34">
        <v>2592.66</v>
      </c>
      <c r="F1284" s="34">
        <v>0</v>
      </c>
      <c r="G1284" s="34">
        <v>0</v>
      </c>
      <c r="H1284" s="34"/>
      <c r="I1284" s="34">
        <f t="shared" si="20"/>
        <v>2592.66</v>
      </c>
      <c r="K1284" t="s">
        <v>38</v>
      </c>
    </row>
    <row r="1285" spans="2:11" ht="16.5" x14ac:dyDescent="0.2">
      <c r="B1285" s="33" t="s">
        <v>1865</v>
      </c>
      <c r="C1285" s="33" t="s">
        <v>83</v>
      </c>
      <c r="D1285"/>
      <c r="E1285" s="35">
        <f>SUMIFS(E1286:E9015,K1286:K9015,"0",B1286:B9015,"2 1 1 7 1 12 31111 6 M59 00003*")-SUMIFS(D1286:D9015,K1286:K9015,"0",B1286:B9015,"2 1 1 7 1 12 31111 6 M59 00003*")</f>
        <v>463747.12</v>
      </c>
      <c r="F1285" s="35">
        <f>SUMIFS(F1286:F9015,K1286:K9015,"0",B1286:B9015,"2 1 1 7 1 12 31111 6 M59 00003*")</f>
        <v>0</v>
      </c>
      <c r="G1285" s="35">
        <f>SUMIFS(G1286:G9015,K1286:K9015,"0",B1286:B9015,"2 1 1 7 1 12 31111 6 M59 00003*")</f>
        <v>76233</v>
      </c>
      <c r="H1285" s="35"/>
      <c r="I1285" s="35">
        <f t="shared" si="20"/>
        <v>539980.12</v>
      </c>
      <c r="K1285" t="s">
        <v>15</v>
      </c>
    </row>
    <row r="1286" spans="2:11" ht="16.5" x14ac:dyDescent="0.2">
      <c r="B1286" s="33" t="s">
        <v>1866</v>
      </c>
      <c r="C1286" s="33" t="s">
        <v>1867</v>
      </c>
      <c r="D1286"/>
      <c r="E1286" s="35">
        <f>SUMIFS(E1287:E9015,K1287:K9015,"0",B1287:B9015,"2 1 1 7 1 12 31111 6 M59 00003 000001*")-SUMIFS(D1287:D9015,K1287:K9015,"0",B1287:B9015,"2 1 1 7 1 12 31111 6 M59 00003 000001*")</f>
        <v>463747.12</v>
      </c>
      <c r="F1286" s="35">
        <f>SUMIFS(F1287:F9015,K1287:K9015,"0",B1287:B9015,"2 1 1 7 1 12 31111 6 M59 00003 000001*")</f>
        <v>0</v>
      </c>
      <c r="G1286" s="35">
        <f>SUMIFS(G1287:G9015,K1287:K9015,"0",B1287:B9015,"2 1 1 7 1 12 31111 6 M59 00003 000001*")</f>
        <v>76233</v>
      </c>
      <c r="H1286" s="35"/>
      <c r="I1286" s="35">
        <f t="shared" si="20"/>
        <v>539980.12</v>
      </c>
      <c r="K1286" t="s">
        <v>15</v>
      </c>
    </row>
    <row r="1287" spans="2:11" ht="16.5" x14ac:dyDescent="0.2">
      <c r="B1287" s="31" t="s">
        <v>1868</v>
      </c>
      <c r="C1287" s="31" t="s">
        <v>1869</v>
      </c>
      <c r="D1287" s="34"/>
      <c r="E1287" s="34">
        <v>5172</v>
      </c>
      <c r="F1287" s="34">
        <v>0</v>
      </c>
      <c r="G1287" s="34">
        <v>0</v>
      </c>
      <c r="H1287" s="34"/>
      <c r="I1287" s="34">
        <f t="shared" si="20"/>
        <v>5172</v>
      </c>
      <c r="K1287" t="s">
        <v>38</v>
      </c>
    </row>
    <row r="1288" spans="2:11" ht="16.5" x14ac:dyDescent="0.2">
      <c r="B1288" s="31" t="s">
        <v>1870</v>
      </c>
      <c r="C1288" s="31" t="s">
        <v>1871</v>
      </c>
      <c r="D1288" s="34"/>
      <c r="E1288" s="34">
        <v>431399.13</v>
      </c>
      <c r="F1288" s="34">
        <v>0</v>
      </c>
      <c r="G1288" s="34">
        <v>0</v>
      </c>
      <c r="H1288" s="34"/>
      <c r="I1288" s="34">
        <f t="shared" si="20"/>
        <v>431399.13</v>
      </c>
      <c r="K1288" t="s">
        <v>38</v>
      </c>
    </row>
    <row r="1289" spans="2:11" ht="16.5" x14ac:dyDescent="0.2">
      <c r="B1289" s="31" t="s">
        <v>1872</v>
      </c>
      <c r="C1289" s="31" t="s">
        <v>205</v>
      </c>
      <c r="D1289" s="34"/>
      <c r="E1289" s="34">
        <v>322.02999999999997</v>
      </c>
      <c r="F1289" s="34">
        <v>0</v>
      </c>
      <c r="G1289" s="34">
        <v>0</v>
      </c>
      <c r="H1289" s="34"/>
      <c r="I1289" s="34">
        <f t="shared" si="20"/>
        <v>322.02999999999997</v>
      </c>
      <c r="K1289" t="s">
        <v>38</v>
      </c>
    </row>
    <row r="1290" spans="2:11" ht="16.5" x14ac:dyDescent="0.2">
      <c r="B1290" s="31" t="s">
        <v>1873</v>
      </c>
      <c r="C1290" s="31" t="s">
        <v>428</v>
      </c>
      <c r="D1290" s="34"/>
      <c r="E1290" s="34">
        <v>72.22</v>
      </c>
      <c r="F1290" s="34">
        <v>0</v>
      </c>
      <c r="G1290" s="34">
        <v>0</v>
      </c>
      <c r="H1290" s="34"/>
      <c r="I1290" s="34">
        <f t="shared" si="20"/>
        <v>72.22</v>
      </c>
      <c r="K1290" t="s">
        <v>38</v>
      </c>
    </row>
    <row r="1291" spans="2:11" ht="16.5" x14ac:dyDescent="0.2">
      <c r="B1291" s="31" t="s">
        <v>1874</v>
      </c>
      <c r="C1291" s="31" t="s">
        <v>1875</v>
      </c>
      <c r="D1291" s="34"/>
      <c r="E1291" s="34">
        <v>26781.74</v>
      </c>
      <c r="F1291" s="34">
        <v>0</v>
      </c>
      <c r="G1291" s="34">
        <v>0</v>
      </c>
      <c r="H1291" s="34"/>
      <c r="I1291" s="34">
        <f t="shared" si="20"/>
        <v>26781.74</v>
      </c>
      <c r="K1291" t="s">
        <v>38</v>
      </c>
    </row>
    <row r="1292" spans="2:11" ht="16.5" x14ac:dyDescent="0.2">
      <c r="B1292" s="31" t="s">
        <v>1876</v>
      </c>
      <c r="C1292" s="31" t="s">
        <v>1877</v>
      </c>
      <c r="D1292" s="34"/>
      <c r="E1292" s="34">
        <v>0</v>
      </c>
      <c r="F1292" s="34">
        <v>0</v>
      </c>
      <c r="G1292" s="34">
        <v>76233</v>
      </c>
      <c r="H1292" s="34"/>
      <c r="I1292" s="34">
        <f t="shared" si="20"/>
        <v>76233</v>
      </c>
      <c r="K1292" t="s">
        <v>38</v>
      </c>
    </row>
    <row r="1293" spans="2:11" ht="24.75" x14ac:dyDescent="0.2">
      <c r="B1293" s="33" t="s">
        <v>1878</v>
      </c>
      <c r="C1293" s="33" t="s">
        <v>91</v>
      </c>
      <c r="D1293"/>
      <c r="E1293" s="35">
        <f>SUMIFS(E1294:E9015,K1294:K9015,"0",B1294:B9015,"2 1 1 7 1 12 31111 6 M59 00004*")-SUMIFS(D1294:D9015,K1294:K9015,"0",B1294:B9015,"2 1 1 7 1 12 31111 6 M59 00004*")</f>
        <v>1784583.06</v>
      </c>
      <c r="F1293" s="35">
        <f>SUMIFS(F1294:F9015,K1294:K9015,"0",B1294:B9015,"2 1 1 7 1 12 31111 6 M59 00004*")</f>
        <v>0</v>
      </c>
      <c r="G1293" s="35">
        <f>SUMIFS(G1294:G9015,K1294:K9015,"0",B1294:B9015,"2 1 1 7 1 12 31111 6 M59 00004*")</f>
        <v>3368.12</v>
      </c>
      <c r="H1293" s="35"/>
      <c r="I1293" s="35">
        <f t="shared" si="20"/>
        <v>1787951.1800000002</v>
      </c>
      <c r="K1293" t="s">
        <v>15</v>
      </c>
    </row>
    <row r="1294" spans="2:11" ht="16.5" x14ac:dyDescent="0.2">
      <c r="B1294" s="33" t="s">
        <v>1879</v>
      </c>
      <c r="C1294" s="33" t="s">
        <v>1867</v>
      </c>
      <c r="D1294"/>
      <c r="E1294" s="35">
        <f>SUMIFS(E1295:E9015,K1295:K9015,"0",B1295:B9015,"2 1 1 7 1 12 31111 6 M59 00004 000001*")-SUMIFS(D1295:D9015,K1295:K9015,"0",B1295:B9015,"2 1 1 7 1 12 31111 6 M59 00004 000001*")</f>
        <v>1470569.7400000002</v>
      </c>
      <c r="F1294" s="35">
        <f>SUMIFS(F1295:F9015,K1295:K9015,"0",B1295:B9015,"2 1 1 7 1 12 31111 6 M59 00004 000001*")</f>
        <v>0</v>
      </c>
      <c r="G1294" s="35">
        <f>SUMIFS(G1295:G9015,K1295:K9015,"0",B1295:B9015,"2 1 1 7 1 12 31111 6 M59 00004 000001*")</f>
        <v>2319.16</v>
      </c>
      <c r="H1294" s="35"/>
      <c r="I1294" s="35">
        <f t="shared" si="20"/>
        <v>1472888.9000000001</v>
      </c>
      <c r="K1294" t="s">
        <v>15</v>
      </c>
    </row>
    <row r="1295" spans="2:11" ht="16.5" x14ac:dyDescent="0.2">
      <c r="B1295" s="31" t="s">
        <v>1880</v>
      </c>
      <c r="C1295" s="31" t="s">
        <v>1881</v>
      </c>
      <c r="D1295" s="34"/>
      <c r="E1295" s="34">
        <v>862578.75</v>
      </c>
      <c r="F1295" s="34">
        <v>0</v>
      </c>
      <c r="G1295" s="34">
        <v>2319.16</v>
      </c>
      <c r="H1295" s="34"/>
      <c r="I1295" s="34">
        <f t="shared" si="20"/>
        <v>864897.91</v>
      </c>
      <c r="K1295" t="s">
        <v>38</v>
      </c>
    </row>
    <row r="1296" spans="2:11" ht="16.5" x14ac:dyDescent="0.2">
      <c r="B1296" s="33" t="s">
        <v>1882</v>
      </c>
      <c r="C1296" s="33" t="s">
        <v>42</v>
      </c>
      <c r="D1296"/>
      <c r="E1296" s="35">
        <f>SUMIFS(E1297:E9015,K1297:K9015,"0",B1297:B9015,"2 1 1 7 1 12 31111 6 M59 00004 000001 00002*")-SUMIFS(D1297:D9015,K1297:K9015,"0",B1297:B9015,"2 1 1 7 1 12 31111 6 M59 00004 000001 00002*")</f>
        <v>606797.32999999996</v>
      </c>
      <c r="F1296" s="35">
        <f>SUMIFS(F1297:F9015,K1297:K9015,"0",B1297:B9015,"2 1 1 7 1 12 31111 6 M59 00004 000001 00002*")</f>
        <v>0</v>
      </c>
      <c r="G1296" s="35">
        <f>SUMIFS(G1297:G9015,K1297:K9015,"0",B1297:B9015,"2 1 1 7 1 12 31111 6 M59 00004 000001 00002*")</f>
        <v>0</v>
      </c>
      <c r="H1296" s="35"/>
      <c r="I1296" s="35">
        <f t="shared" si="20"/>
        <v>606797.32999999996</v>
      </c>
      <c r="K1296" t="s">
        <v>15</v>
      </c>
    </row>
    <row r="1297" spans="2:11" ht="16.5" x14ac:dyDescent="0.2">
      <c r="B1297" s="31" t="s">
        <v>1883</v>
      </c>
      <c r="C1297" s="31" t="s">
        <v>1884</v>
      </c>
      <c r="D1297" s="34"/>
      <c r="E1297" s="34">
        <v>148093.97</v>
      </c>
      <c r="F1297" s="34">
        <v>0</v>
      </c>
      <c r="G1297" s="34">
        <v>0</v>
      </c>
      <c r="H1297" s="34"/>
      <c r="I1297" s="34">
        <f t="shared" si="20"/>
        <v>148093.97</v>
      </c>
      <c r="K1297" t="s">
        <v>38</v>
      </c>
    </row>
    <row r="1298" spans="2:11" ht="24.75" x14ac:dyDescent="0.2">
      <c r="B1298" s="31" t="s">
        <v>1885</v>
      </c>
      <c r="C1298" s="31" t="s">
        <v>1886</v>
      </c>
      <c r="D1298" s="34"/>
      <c r="E1298" s="34">
        <v>114675.84</v>
      </c>
      <c r="F1298" s="34">
        <v>0</v>
      </c>
      <c r="G1298" s="34">
        <v>0</v>
      </c>
      <c r="H1298" s="34"/>
      <c r="I1298" s="34">
        <f t="shared" si="20"/>
        <v>114675.84</v>
      </c>
      <c r="K1298" t="s">
        <v>38</v>
      </c>
    </row>
    <row r="1299" spans="2:11" ht="24.75" x14ac:dyDescent="0.2">
      <c r="B1299" s="31" t="s">
        <v>1887</v>
      </c>
      <c r="C1299" s="31" t="s">
        <v>1888</v>
      </c>
      <c r="D1299" s="34"/>
      <c r="E1299" s="34">
        <v>114675.84</v>
      </c>
      <c r="F1299" s="34">
        <v>0</v>
      </c>
      <c r="G1299" s="34">
        <v>0</v>
      </c>
      <c r="H1299" s="34"/>
      <c r="I1299" s="34">
        <f t="shared" si="20"/>
        <v>114675.84</v>
      </c>
      <c r="K1299" t="s">
        <v>38</v>
      </c>
    </row>
    <row r="1300" spans="2:11" ht="24.75" x14ac:dyDescent="0.2">
      <c r="B1300" s="31" t="s">
        <v>1889</v>
      </c>
      <c r="C1300" s="31" t="s">
        <v>1890</v>
      </c>
      <c r="D1300" s="34"/>
      <c r="E1300" s="34">
        <v>114675.84</v>
      </c>
      <c r="F1300" s="34">
        <v>0</v>
      </c>
      <c r="G1300" s="34">
        <v>0</v>
      </c>
      <c r="H1300" s="34"/>
      <c r="I1300" s="34">
        <f t="shared" si="20"/>
        <v>114675.84</v>
      </c>
      <c r="K1300" t="s">
        <v>38</v>
      </c>
    </row>
    <row r="1301" spans="2:11" ht="24.75" x14ac:dyDescent="0.2">
      <c r="B1301" s="31" t="s">
        <v>1891</v>
      </c>
      <c r="C1301" s="31" t="s">
        <v>1892</v>
      </c>
      <c r="D1301" s="34"/>
      <c r="E1301" s="34">
        <v>114675.84</v>
      </c>
      <c r="F1301" s="34">
        <v>0</v>
      </c>
      <c r="G1301" s="34">
        <v>0</v>
      </c>
      <c r="H1301" s="34"/>
      <c r="I1301" s="34">
        <f t="shared" si="20"/>
        <v>114675.84</v>
      </c>
      <c r="K1301" t="s">
        <v>38</v>
      </c>
    </row>
    <row r="1302" spans="2:11" ht="16.5" x14ac:dyDescent="0.2">
      <c r="B1302" s="33" t="s">
        <v>1893</v>
      </c>
      <c r="C1302" s="33" t="s">
        <v>1871</v>
      </c>
      <c r="D1302"/>
      <c r="E1302" s="35">
        <f>SUMIFS(E1303:E9015,K1303:K9015,"0",B1303:B9015,"2 1 1 7 1 12 31111 6 M59 00004 000001 00003*")-SUMIFS(D1303:D9015,K1303:K9015,"0",B1303:B9015,"2 1 1 7 1 12 31111 6 M59 00004 000001 00003*")</f>
        <v>1193.6600000000001</v>
      </c>
      <c r="F1302" s="35">
        <f>SUMIFS(F1303:F9015,K1303:K9015,"0",B1303:B9015,"2 1 1 7 1 12 31111 6 M59 00004 000001 00003*")</f>
        <v>0</v>
      </c>
      <c r="G1302" s="35">
        <f>SUMIFS(G1303:G9015,K1303:K9015,"0",B1303:B9015,"2 1 1 7 1 12 31111 6 M59 00004 000001 00003*")</f>
        <v>0</v>
      </c>
      <c r="H1302" s="35"/>
      <c r="I1302" s="35">
        <f t="shared" si="20"/>
        <v>1193.6600000000001</v>
      </c>
      <c r="K1302" t="s">
        <v>15</v>
      </c>
    </row>
    <row r="1303" spans="2:11" ht="24.75" x14ac:dyDescent="0.2">
      <c r="B1303" s="31" t="s">
        <v>1894</v>
      </c>
      <c r="C1303" s="31" t="s">
        <v>375</v>
      </c>
      <c r="D1303" s="34"/>
      <c r="E1303" s="34">
        <v>1193.6600000000001</v>
      </c>
      <c r="F1303" s="34">
        <v>0</v>
      </c>
      <c r="G1303" s="34">
        <v>0</v>
      </c>
      <c r="H1303" s="34"/>
      <c r="I1303" s="34">
        <f t="shared" si="20"/>
        <v>1193.6600000000001</v>
      </c>
      <c r="K1303" t="s">
        <v>38</v>
      </c>
    </row>
    <row r="1304" spans="2:11" ht="16.5" x14ac:dyDescent="0.2">
      <c r="B1304" s="33" t="s">
        <v>1895</v>
      </c>
      <c r="C1304" s="33" t="s">
        <v>1824</v>
      </c>
      <c r="D1304"/>
      <c r="E1304" s="35">
        <f>SUMIFS(E1305:E9015,K1305:K9015,"0",B1305:B9015,"2 1 1 7 1 12 31111 6 M59 00004 000002*")-SUMIFS(D1305:D9015,K1305:K9015,"0",B1305:B9015,"2 1 1 7 1 12 31111 6 M59 00004 000002*")</f>
        <v>314013.32</v>
      </c>
      <c r="F1304" s="35">
        <f>SUMIFS(F1305:F9015,K1305:K9015,"0",B1305:B9015,"2 1 1 7 1 12 31111 6 M59 00004 000002*")</f>
        <v>0</v>
      </c>
      <c r="G1304" s="35">
        <f>SUMIFS(G1305:G9015,K1305:K9015,"0",B1305:B9015,"2 1 1 7 1 12 31111 6 M59 00004 000002*")</f>
        <v>1048.96</v>
      </c>
      <c r="H1304" s="35"/>
      <c r="I1304" s="35">
        <f t="shared" si="20"/>
        <v>315062.28000000003</v>
      </c>
      <c r="K1304" t="s">
        <v>15</v>
      </c>
    </row>
    <row r="1305" spans="2:11" ht="16.5" x14ac:dyDescent="0.2">
      <c r="B1305" s="33" t="s">
        <v>1896</v>
      </c>
      <c r="C1305" s="33" t="s">
        <v>1826</v>
      </c>
      <c r="D1305"/>
      <c r="E1305" s="35">
        <f>SUMIFS(E1306:E9015,K1306:K9015,"0",B1306:B9015,"2 1 1 7 1 12 31111 6 M59 00004 000002 00001*")-SUMIFS(D1306:D9015,K1306:K9015,"0",B1306:B9015,"2 1 1 7 1 12 31111 6 M59 00004 000002 00001*")</f>
        <v>15383.609999999999</v>
      </c>
      <c r="F1305" s="35">
        <f>SUMIFS(F1306:F9015,K1306:K9015,"0",B1306:B9015,"2 1 1 7 1 12 31111 6 M59 00004 000002 00001*")</f>
        <v>0</v>
      </c>
      <c r="G1305" s="35">
        <f>SUMIFS(G1306:G9015,K1306:K9015,"0",B1306:B9015,"2 1 1 7 1 12 31111 6 M59 00004 000002 00001*")</f>
        <v>1048.96</v>
      </c>
      <c r="H1305" s="35"/>
      <c r="I1305" s="35">
        <f t="shared" si="20"/>
        <v>16432.57</v>
      </c>
      <c r="K1305" t="s">
        <v>15</v>
      </c>
    </row>
    <row r="1306" spans="2:11" ht="16.5" x14ac:dyDescent="0.2">
      <c r="B1306" s="31" t="s">
        <v>1897</v>
      </c>
      <c r="C1306" s="31" t="s">
        <v>1828</v>
      </c>
      <c r="D1306" s="34"/>
      <c r="E1306" s="34">
        <v>660.38</v>
      </c>
      <c r="F1306" s="34">
        <v>0</v>
      </c>
      <c r="G1306" s="34">
        <v>0</v>
      </c>
      <c r="H1306" s="34"/>
      <c r="I1306" s="34">
        <f t="shared" si="20"/>
        <v>660.38</v>
      </c>
      <c r="K1306" t="s">
        <v>38</v>
      </c>
    </row>
    <row r="1307" spans="2:11" ht="24.75" x14ac:dyDescent="0.2">
      <c r="B1307" s="31" t="s">
        <v>1898</v>
      </c>
      <c r="C1307" s="31" t="s">
        <v>1899</v>
      </c>
      <c r="D1307" s="34"/>
      <c r="E1307" s="34">
        <v>13899.97</v>
      </c>
      <c r="F1307" s="34">
        <v>0</v>
      </c>
      <c r="G1307" s="34">
        <v>0</v>
      </c>
      <c r="H1307" s="34"/>
      <c r="I1307" s="34">
        <f t="shared" si="20"/>
        <v>13899.97</v>
      </c>
      <c r="K1307" t="s">
        <v>38</v>
      </c>
    </row>
    <row r="1308" spans="2:11" ht="24.75" x14ac:dyDescent="0.2">
      <c r="B1308" s="31" t="s">
        <v>1900</v>
      </c>
      <c r="C1308" s="31" t="s">
        <v>1901</v>
      </c>
      <c r="D1308" s="34"/>
      <c r="E1308" s="34">
        <v>823.26</v>
      </c>
      <c r="F1308" s="34">
        <v>0</v>
      </c>
      <c r="G1308" s="34">
        <v>1048.96</v>
      </c>
      <c r="H1308" s="34"/>
      <c r="I1308" s="34">
        <f t="shared" si="20"/>
        <v>1872.22</v>
      </c>
      <c r="K1308" t="s">
        <v>38</v>
      </c>
    </row>
    <row r="1309" spans="2:11" ht="16.5" x14ac:dyDescent="0.2">
      <c r="B1309" s="33" t="s">
        <v>1902</v>
      </c>
      <c r="C1309" s="33" t="s">
        <v>1846</v>
      </c>
      <c r="D1309"/>
      <c r="E1309" s="35">
        <f>SUMIFS(E1310:E9015,K1310:K9015,"0",B1310:B9015,"2 1 1 7 1 12 31111 6 M59 00004 000002 00002*")-SUMIFS(D1310:D9015,K1310:K9015,"0",B1310:B9015,"2 1 1 7 1 12 31111 6 M59 00004 000002 00002*")</f>
        <v>278511.19</v>
      </c>
      <c r="F1309" s="35">
        <f>SUMIFS(F1310:F9015,K1310:K9015,"0",B1310:B9015,"2 1 1 7 1 12 31111 6 M59 00004 000002 00002*")</f>
        <v>0</v>
      </c>
      <c r="G1309" s="35">
        <f>SUMIFS(G1310:G9015,K1310:K9015,"0",B1310:B9015,"2 1 1 7 1 12 31111 6 M59 00004 000002 00002*")</f>
        <v>0</v>
      </c>
      <c r="H1309" s="35"/>
      <c r="I1309" s="35">
        <f t="shared" si="20"/>
        <v>278511.19</v>
      </c>
      <c r="K1309" t="s">
        <v>15</v>
      </c>
    </row>
    <row r="1310" spans="2:11" ht="24.75" x14ac:dyDescent="0.2">
      <c r="B1310" s="31" t="s">
        <v>1903</v>
      </c>
      <c r="C1310" s="31" t="s">
        <v>1848</v>
      </c>
      <c r="D1310" s="34"/>
      <c r="E1310" s="34">
        <v>275258.21000000002</v>
      </c>
      <c r="F1310" s="34">
        <v>0</v>
      </c>
      <c r="G1310" s="34">
        <v>0</v>
      </c>
      <c r="H1310" s="34"/>
      <c r="I1310" s="34">
        <f t="shared" si="20"/>
        <v>275258.21000000002</v>
      </c>
      <c r="K1310" t="s">
        <v>38</v>
      </c>
    </row>
    <row r="1311" spans="2:11" ht="24.75" x14ac:dyDescent="0.2">
      <c r="B1311" s="31" t="s">
        <v>1904</v>
      </c>
      <c r="C1311" s="31" t="s">
        <v>1905</v>
      </c>
      <c r="D1311" s="34"/>
      <c r="E1311" s="34">
        <v>660.38</v>
      </c>
      <c r="F1311" s="34">
        <v>0</v>
      </c>
      <c r="G1311" s="34">
        <v>0</v>
      </c>
      <c r="H1311" s="34"/>
      <c r="I1311" s="34">
        <f t="shared" si="20"/>
        <v>660.38</v>
      </c>
      <c r="K1311" t="s">
        <v>38</v>
      </c>
    </row>
    <row r="1312" spans="2:11" ht="24.75" x14ac:dyDescent="0.2">
      <c r="B1312" s="31" t="s">
        <v>1906</v>
      </c>
      <c r="C1312" s="31" t="s">
        <v>1907</v>
      </c>
      <c r="D1312" s="34"/>
      <c r="E1312" s="34">
        <v>2592.6</v>
      </c>
      <c r="F1312" s="34">
        <v>0</v>
      </c>
      <c r="G1312" s="34">
        <v>0</v>
      </c>
      <c r="H1312" s="34"/>
      <c r="I1312" s="34">
        <f t="shared" si="20"/>
        <v>2592.6</v>
      </c>
      <c r="K1312" t="s">
        <v>38</v>
      </c>
    </row>
    <row r="1313" spans="2:11" ht="24.75" x14ac:dyDescent="0.2">
      <c r="B1313" s="31" t="s">
        <v>1908</v>
      </c>
      <c r="C1313" s="31" t="s">
        <v>1909</v>
      </c>
      <c r="D1313" s="34"/>
      <c r="E1313" s="34">
        <v>20118.52</v>
      </c>
      <c r="F1313" s="34">
        <v>0</v>
      </c>
      <c r="G1313" s="34">
        <v>0</v>
      </c>
      <c r="H1313" s="34"/>
      <c r="I1313" s="34">
        <f t="shared" si="20"/>
        <v>20118.52</v>
      </c>
      <c r="K1313" t="s">
        <v>38</v>
      </c>
    </row>
    <row r="1314" spans="2:11" ht="41.25" x14ac:dyDescent="0.2">
      <c r="B1314" s="33" t="s">
        <v>1910</v>
      </c>
      <c r="C1314" s="33" t="s">
        <v>109</v>
      </c>
      <c r="D1314"/>
      <c r="E1314" s="35">
        <f>SUMIFS(E1315:E9015,K1315:K9015,"0",B1315:B9015,"2 1 1 7 1 12 31111 6 M59 00005*")-SUMIFS(D1315:D9015,K1315:K9015,"0",B1315:B9015,"2 1 1 7 1 12 31111 6 M59 00005*")</f>
        <v>2674.2</v>
      </c>
      <c r="F1314" s="35">
        <f>SUMIFS(F1315:F9015,K1315:K9015,"0",B1315:B9015,"2 1 1 7 1 12 31111 6 M59 00005*")</f>
        <v>0</v>
      </c>
      <c r="G1314" s="35">
        <f>SUMIFS(G1315:G9015,K1315:K9015,"0",B1315:B9015,"2 1 1 7 1 12 31111 6 M59 00005*")</f>
        <v>0</v>
      </c>
      <c r="H1314" s="35"/>
      <c r="I1314" s="35">
        <f t="shared" si="20"/>
        <v>2674.2</v>
      </c>
      <c r="K1314" t="s">
        <v>15</v>
      </c>
    </row>
    <row r="1315" spans="2:11" ht="16.5" x14ac:dyDescent="0.2">
      <c r="B1315" s="33" t="s">
        <v>1911</v>
      </c>
      <c r="C1315" s="33" t="s">
        <v>1824</v>
      </c>
      <c r="D1315"/>
      <c r="E1315" s="35">
        <f>SUMIFS(E1316:E9015,K1316:K9015,"0",B1316:B9015,"2 1 1 7 1 12 31111 6 M59 00005 000002*")-SUMIFS(D1316:D9015,K1316:K9015,"0",B1316:B9015,"2 1 1 7 1 12 31111 6 M59 00005 000002*")</f>
        <v>2674.2</v>
      </c>
      <c r="F1315" s="35">
        <f>SUMIFS(F1316:F9015,K1316:K9015,"0",B1316:B9015,"2 1 1 7 1 12 31111 6 M59 00005 000002*")</f>
        <v>0</v>
      </c>
      <c r="G1315" s="35">
        <f>SUMIFS(G1316:G9015,K1316:K9015,"0",B1316:B9015,"2 1 1 7 1 12 31111 6 M59 00005 000002*")</f>
        <v>0</v>
      </c>
      <c r="H1315" s="35"/>
      <c r="I1315" s="35">
        <f t="shared" si="20"/>
        <v>2674.2</v>
      </c>
      <c r="K1315" t="s">
        <v>15</v>
      </c>
    </row>
    <row r="1316" spans="2:11" ht="16.5" x14ac:dyDescent="0.2">
      <c r="B1316" s="33" t="s">
        <v>1912</v>
      </c>
      <c r="C1316" s="33" t="s">
        <v>1913</v>
      </c>
      <c r="D1316"/>
      <c r="E1316" s="35">
        <f>SUMIFS(E1317:E9015,K1317:K9015,"0",B1317:B9015,"2 1 1 7 1 12 31111 6 M59 00005 000002 00001*")-SUMIFS(D1317:D9015,K1317:K9015,"0",B1317:B9015,"2 1 1 7 1 12 31111 6 M59 00005 000002 00001*")</f>
        <v>2674.2</v>
      </c>
      <c r="F1316" s="35">
        <f>SUMIFS(F1317:F9015,K1317:K9015,"0",B1317:B9015,"2 1 1 7 1 12 31111 6 M59 00005 000002 00001*")</f>
        <v>0</v>
      </c>
      <c r="G1316" s="35">
        <f>SUMIFS(G1317:G9015,K1317:K9015,"0",B1317:B9015,"2 1 1 7 1 12 31111 6 M59 00005 000002 00001*")</f>
        <v>0</v>
      </c>
      <c r="H1316" s="35"/>
      <c r="I1316" s="35">
        <f t="shared" si="20"/>
        <v>2674.2</v>
      </c>
      <c r="K1316" t="s">
        <v>15</v>
      </c>
    </row>
    <row r="1317" spans="2:11" ht="24.75" x14ac:dyDescent="0.2">
      <c r="B1317" s="33" t="s">
        <v>1914</v>
      </c>
      <c r="C1317" s="33" t="s">
        <v>1915</v>
      </c>
      <c r="D1317"/>
      <c r="E1317" s="35">
        <f>SUMIFS(E1318:E9015,K1318:K9015,"0",B1318:B9015,"2 1 1 7 1 12 31111 6 M59 00005 000002 00001 00004*")-SUMIFS(D1318:D9015,K1318:K9015,"0",B1318:B9015,"2 1 1 7 1 12 31111 6 M59 00005 000002 00001 00004*")</f>
        <v>2641.52</v>
      </c>
      <c r="F1317" s="35">
        <f>SUMIFS(F1318:F9015,K1318:K9015,"0",B1318:B9015,"2 1 1 7 1 12 31111 6 M59 00005 000002 00001 00004*")</f>
        <v>0</v>
      </c>
      <c r="G1317" s="35">
        <f>SUMIFS(G1318:G9015,K1318:K9015,"0",B1318:B9015,"2 1 1 7 1 12 31111 6 M59 00005 000002 00001 00004*")</f>
        <v>0</v>
      </c>
      <c r="H1317" s="35"/>
      <c r="I1317" s="35">
        <f t="shared" si="20"/>
        <v>2641.52</v>
      </c>
      <c r="K1317" t="s">
        <v>15</v>
      </c>
    </row>
    <row r="1318" spans="2:11" ht="16.5" x14ac:dyDescent="0.2">
      <c r="B1318" s="31" t="s">
        <v>1916</v>
      </c>
      <c r="C1318" s="31" t="s">
        <v>392</v>
      </c>
      <c r="D1318" s="34"/>
      <c r="E1318" s="34">
        <v>2641.52</v>
      </c>
      <c r="F1318" s="34">
        <v>0</v>
      </c>
      <c r="G1318" s="34">
        <v>0</v>
      </c>
      <c r="H1318" s="34"/>
      <c r="I1318" s="34">
        <f t="shared" si="20"/>
        <v>2641.52</v>
      </c>
      <c r="K1318" t="s">
        <v>38</v>
      </c>
    </row>
    <row r="1319" spans="2:11" ht="24.75" x14ac:dyDescent="0.2">
      <c r="B1319" s="33" t="s">
        <v>1917</v>
      </c>
      <c r="C1319" s="33" t="s">
        <v>1918</v>
      </c>
      <c r="D1319"/>
      <c r="E1319" s="35">
        <f>SUMIFS(E1320:E9015,K1320:K9015,"0",B1320:B9015,"2 1 1 7 1 12 31111 6 M59 00005 000002 00001 00005*")-SUMIFS(D1320:D9015,K1320:K9015,"0",B1320:B9015,"2 1 1 7 1 12 31111 6 M59 00005 000002 00001 00005*")</f>
        <v>32.68</v>
      </c>
      <c r="F1319" s="35">
        <f>SUMIFS(F1320:F9015,K1320:K9015,"0",B1320:B9015,"2 1 1 7 1 12 31111 6 M59 00005 000002 00001 00005*")</f>
        <v>0</v>
      </c>
      <c r="G1319" s="35">
        <f>SUMIFS(G1320:G9015,K1320:K9015,"0",B1320:B9015,"2 1 1 7 1 12 31111 6 M59 00005 000002 00001 00005*")</f>
        <v>0</v>
      </c>
      <c r="H1319" s="35"/>
      <c r="I1319" s="35">
        <f t="shared" si="20"/>
        <v>32.68</v>
      </c>
      <c r="K1319" t="s">
        <v>15</v>
      </c>
    </row>
    <row r="1320" spans="2:11" ht="16.5" x14ac:dyDescent="0.2">
      <c r="B1320" s="31" t="s">
        <v>1919</v>
      </c>
      <c r="C1320" s="31" t="s">
        <v>392</v>
      </c>
      <c r="D1320" s="34"/>
      <c r="E1320" s="34">
        <v>32.68</v>
      </c>
      <c r="F1320" s="34">
        <v>0</v>
      </c>
      <c r="G1320" s="34">
        <v>0</v>
      </c>
      <c r="H1320" s="34"/>
      <c r="I1320" s="34">
        <f t="shared" si="20"/>
        <v>32.68</v>
      </c>
      <c r="K1320" t="s">
        <v>38</v>
      </c>
    </row>
    <row r="1321" spans="2:11" ht="24.75" x14ac:dyDescent="0.2">
      <c r="B1321" s="33" t="s">
        <v>1920</v>
      </c>
      <c r="C1321" s="33" t="s">
        <v>1921</v>
      </c>
      <c r="D1321"/>
      <c r="E1321" s="35">
        <f>SUMIFS(E1322:E9015,K1322:K9015,"0",B1322:B9015,"2 1 1 7 2*")-SUMIFS(D1322:D9015,K1322:K9015,"0",B1322:B9015,"2 1 1 7 2*")</f>
        <v>2371011.4899999998</v>
      </c>
      <c r="F1321" s="35">
        <f>SUMIFS(F1322:F9015,K1322:K9015,"0",B1322:B9015,"2 1 1 7 2*")</f>
        <v>0</v>
      </c>
      <c r="G1321" s="35">
        <f>SUMIFS(G1322:G9015,K1322:K9015,"0",B1322:B9015,"2 1 1 7 2*")</f>
        <v>816941.98</v>
      </c>
      <c r="H1321" s="35"/>
      <c r="I1321" s="35">
        <f t="shared" si="20"/>
        <v>3187953.4699999997</v>
      </c>
      <c r="K1321" t="s">
        <v>15</v>
      </c>
    </row>
    <row r="1322" spans="2:11" ht="12.75" x14ac:dyDescent="0.2">
      <c r="B1322" s="33" t="s">
        <v>1922</v>
      </c>
      <c r="C1322" s="33" t="s">
        <v>26</v>
      </c>
      <c r="D1322"/>
      <c r="E1322" s="35">
        <f>SUMIFS(E1323:E9015,K1323:K9015,"0",B1323:B9015,"2 1 1 7 2 12*")-SUMIFS(D1323:D9015,K1323:K9015,"0",B1323:B9015,"2 1 1 7 2 12*")</f>
        <v>2371011.4899999998</v>
      </c>
      <c r="F1322" s="35">
        <f>SUMIFS(F1323:F9015,K1323:K9015,"0",B1323:B9015,"2 1 1 7 2 12*")</f>
        <v>0</v>
      </c>
      <c r="G1322" s="35">
        <f>SUMIFS(G1323:G9015,K1323:K9015,"0",B1323:B9015,"2 1 1 7 2 12*")</f>
        <v>816941.98</v>
      </c>
      <c r="H1322" s="35"/>
      <c r="I1322" s="35">
        <f t="shared" si="20"/>
        <v>3187953.4699999997</v>
      </c>
      <c r="K1322" t="s">
        <v>15</v>
      </c>
    </row>
    <row r="1323" spans="2:11" ht="16.5" x14ac:dyDescent="0.2">
      <c r="B1323" s="33" t="s">
        <v>1923</v>
      </c>
      <c r="C1323" s="33" t="s">
        <v>28</v>
      </c>
      <c r="D1323"/>
      <c r="E1323" s="35">
        <f>SUMIFS(E1324:E9015,K1324:K9015,"0",B1324:B9015,"2 1 1 7 2 12 31111*")-SUMIFS(D1324:D9015,K1324:K9015,"0",B1324:B9015,"2 1 1 7 2 12 31111*")</f>
        <v>2371011.4899999998</v>
      </c>
      <c r="F1323" s="35">
        <f>SUMIFS(F1324:F9015,K1324:K9015,"0",B1324:B9015,"2 1 1 7 2 12 31111*")</f>
        <v>0</v>
      </c>
      <c r="G1323" s="35">
        <f>SUMIFS(G1324:G9015,K1324:K9015,"0",B1324:B9015,"2 1 1 7 2 12 31111*")</f>
        <v>816941.98</v>
      </c>
      <c r="H1323" s="35"/>
      <c r="I1323" s="35">
        <f t="shared" si="20"/>
        <v>3187953.4699999997</v>
      </c>
      <c r="K1323" t="s">
        <v>15</v>
      </c>
    </row>
    <row r="1324" spans="2:11" ht="12.75" x14ac:dyDescent="0.2">
      <c r="B1324" s="33" t="s">
        <v>1924</v>
      </c>
      <c r="C1324" s="33" t="s">
        <v>30</v>
      </c>
      <c r="D1324"/>
      <c r="E1324" s="35">
        <f>SUMIFS(E1325:E9015,K1325:K9015,"0",B1325:B9015,"2 1 1 7 2 12 31111 6*")-SUMIFS(D1325:D9015,K1325:K9015,"0",B1325:B9015,"2 1 1 7 2 12 31111 6*")</f>
        <v>2371011.4899999998</v>
      </c>
      <c r="F1324" s="35">
        <f>SUMIFS(F1325:F9015,K1325:K9015,"0",B1325:B9015,"2 1 1 7 2 12 31111 6*")</f>
        <v>0</v>
      </c>
      <c r="G1324" s="35">
        <f>SUMIFS(G1325:G9015,K1325:K9015,"0",B1325:B9015,"2 1 1 7 2 12 31111 6*")</f>
        <v>816941.98</v>
      </c>
      <c r="H1324" s="35"/>
      <c r="I1324" s="35">
        <f t="shared" si="20"/>
        <v>3187953.4699999997</v>
      </c>
      <c r="K1324" t="s">
        <v>15</v>
      </c>
    </row>
    <row r="1325" spans="2:11" ht="33" x14ac:dyDescent="0.2">
      <c r="B1325" s="33" t="s">
        <v>1925</v>
      </c>
      <c r="C1325" s="33" t="s">
        <v>1926</v>
      </c>
      <c r="D1325"/>
      <c r="E1325" s="35">
        <f>SUMIFS(E1326:E9015,K1326:K9015,"0",B1326:B9015,"2 1 1 7 2 12 31111 6 M59*")-SUMIFS(D1326:D9015,K1326:K9015,"0",B1326:B9015,"2 1 1 7 2 12 31111 6 M59*")</f>
        <v>2371011.4899999998</v>
      </c>
      <c r="F1325" s="35">
        <f>SUMIFS(F1326:F9015,K1326:K9015,"0",B1326:B9015,"2 1 1 7 2 12 31111 6 M59*")</f>
        <v>0</v>
      </c>
      <c r="G1325" s="35">
        <f>SUMIFS(G1326:G9015,K1326:K9015,"0",B1326:B9015,"2 1 1 7 2 12 31111 6 M59*")</f>
        <v>816941.98</v>
      </c>
      <c r="H1325" s="35"/>
      <c r="I1325" s="35">
        <f t="shared" si="20"/>
        <v>3187953.4699999997</v>
      </c>
      <c r="K1325" t="s">
        <v>15</v>
      </c>
    </row>
    <row r="1326" spans="2:11" ht="16.5" x14ac:dyDescent="0.2">
      <c r="B1326" s="33" t="s">
        <v>1927</v>
      </c>
      <c r="C1326" s="33" t="s">
        <v>34</v>
      </c>
      <c r="D1326"/>
      <c r="E1326" s="35">
        <f>SUMIFS(E1327:E9015,K1327:K9015,"0",B1327:B9015,"2 1 1 7 2 12 31111 6 M59 00001*")-SUMIFS(D1327:D9015,K1327:K9015,"0",B1327:B9015,"2 1 1 7 2 12 31111 6 M59 00001*")</f>
        <v>2353319.7399999998</v>
      </c>
      <c r="F1326" s="35">
        <f>SUMIFS(F1327:F9015,K1327:K9015,"0",B1327:B9015,"2 1 1 7 2 12 31111 6 M59 00001*")</f>
        <v>0</v>
      </c>
      <c r="G1326" s="35">
        <f>SUMIFS(G1327:G9015,K1327:K9015,"0",B1327:B9015,"2 1 1 7 2 12 31111 6 M59 00001*")</f>
        <v>490584.24</v>
      </c>
      <c r="H1326" s="35"/>
      <c r="I1326" s="35">
        <f t="shared" si="20"/>
        <v>2843903.9799999995</v>
      </c>
      <c r="K1326" t="s">
        <v>15</v>
      </c>
    </row>
    <row r="1327" spans="2:11" ht="16.5" x14ac:dyDescent="0.2">
      <c r="B1327" s="33" t="s">
        <v>1928</v>
      </c>
      <c r="C1327" s="33" t="s">
        <v>1929</v>
      </c>
      <c r="D1327"/>
      <c r="E1327" s="35">
        <f>SUMIFS(E1328:E9015,K1328:K9015,"0",B1328:B9015,"2 1 1 7 2 12 31111 6 M59 00001 000003*")-SUMIFS(D1328:D9015,K1328:K9015,"0",B1328:B9015,"2 1 1 7 2 12 31111 6 M59 00001 000003*")</f>
        <v>2353319.7399999998</v>
      </c>
      <c r="F1327" s="35">
        <f>SUMIFS(F1328:F9015,K1328:K9015,"0",B1328:B9015,"2 1 1 7 2 12 31111 6 M59 00001 000003*")</f>
        <v>0</v>
      </c>
      <c r="G1327" s="35">
        <f>SUMIFS(G1328:G9015,K1328:K9015,"0",B1328:B9015,"2 1 1 7 2 12 31111 6 M59 00001 000003*")</f>
        <v>490584.24</v>
      </c>
      <c r="H1327" s="35"/>
      <c r="I1327" s="35">
        <f t="shared" ref="I1327:I1390" si="21">E1327 - F1327 + G1327</f>
        <v>2843903.9799999995</v>
      </c>
      <c r="K1327" t="s">
        <v>15</v>
      </c>
    </row>
    <row r="1328" spans="2:11" ht="24.75" x14ac:dyDescent="0.2">
      <c r="B1328" s="33" t="s">
        <v>1930</v>
      </c>
      <c r="C1328" s="33" t="s">
        <v>1931</v>
      </c>
      <c r="D1328"/>
      <c r="E1328" s="35">
        <f>SUMIFS(E1329:E9015,K1329:K9015,"0",B1329:B9015,"2 1 1 7 2 12 31111 6 M59 00001 000003 00001*")-SUMIFS(D1329:D9015,K1329:K9015,"0",B1329:B9015,"2 1 1 7 2 12 31111 6 M59 00001 000003 00001*")</f>
        <v>1379491.05</v>
      </c>
      <c r="F1328" s="35">
        <f>SUMIFS(F1329:F9015,K1329:K9015,"0",B1329:B9015,"2 1 1 7 2 12 31111 6 M59 00001 000003 00001*")</f>
        <v>0</v>
      </c>
      <c r="G1328" s="35">
        <f>SUMIFS(G1329:G9015,K1329:K9015,"0",B1329:B9015,"2 1 1 7 2 12 31111 6 M59 00001 000003 00001*")</f>
        <v>2757.43</v>
      </c>
      <c r="H1328" s="35"/>
      <c r="I1328" s="35">
        <f t="shared" si="21"/>
        <v>1382248.48</v>
      </c>
      <c r="K1328" t="s">
        <v>15</v>
      </c>
    </row>
    <row r="1329" spans="2:11" ht="24.75" x14ac:dyDescent="0.2">
      <c r="B1329" s="31" t="s">
        <v>1932</v>
      </c>
      <c r="C1329" s="31" t="s">
        <v>394</v>
      </c>
      <c r="D1329" s="34"/>
      <c r="E1329" s="34">
        <v>1379491.05</v>
      </c>
      <c r="F1329" s="34">
        <v>0</v>
      </c>
      <c r="G1329" s="34">
        <v>2757.43</v>
      </c>
      <c r="H1329" s="34"/>
      <c r="I1329" s="34">
        <f t="shared" si="21"/>
        <v>1382248.48</v>
      </c>
      <c r="K1329" t="s">
        <v>38</v>
      </c>
    </row>
    <row r="1330" spans="2:11" ht="24.75" x14ac:dyDescent="0.2">
      <c r="B1330" s="33" t="s">
        <v>1933</v>
      </c>
      <c r="C1330" s="33" t="s">
        <v>1934</v>
      </c>
      <c r="D1330"/>
      <c r="E1330" s="35">
        <f>SUMIFS(E1331:E9015,K1331:K9015,"0",B1331:B9015,"2 1 1 7 2 12 31111 6 M59 00001 000003 00002*")-SUMIFS(D1331:D9015,K1331:K9015,"0",B1331:B9015,"2 1 1 7 2 12 31111 6 M59 00001 000003 00002*")</f>
        <v>826710.25</v>
      </c>
      <c r="F1330" s="35">
        <f>SUMIFS(F1331:F9015,K1331:K9015,"0",B1331:B9015,"2 1 1 7 2 12 31111 6 M59 00001 000003 00002*")</f>
        <v>0</v>
      </c>
      <c r="G1330" s="35">
        <f>SUMIFS(G1331:G9015,K1331:K9015,"0",B1331:B9015,"2 1 1 7 2 12 31111 6 M59 00001 000003 00002*")</f>
        <v>487826.81</v>
      </c>
      <c r="H1330" s="35"/>
      <c r="I1330" s="35">
        <f t="shared" si="21"/>
        <v>1314537.06</v>
      </c>
      <c r="K1330" t="s">
        <v>15</v>
      </c>
    </row>
    <row r="1331" spans="2:11" ht="24.75" x14ac:dyDescent="0.2">
      <c r="B1331" s="31" t="s">
        <v>1935</v>
      </c>
      <c r="C1331" s="31" t="s">
        <v>394</v>
      </c>
      <c r="D1331" s="34"/>
      <c r="E1331" s="34">
        <v>826710.25</v>
      </c>
      <c r="F1331" s="34">
        <v>0</v>
      </c>
      <c r="G1331" s="34">
        <v>487826.81</v>
      </c>
      <c r="H1331" s="34"/>
      <c r="I1331" s="34">
        <f t="shared" si="21"/>
        <v>1314537.06</v>
      </c>
      <c r="K1331" t="s">
        <v>38</v>
      </c>
    </row>
    <row r="1332" spans="2:11" ht="24.75" x14ac:dyDescent="0.2">
      <c r="B1332" s="33" t="s">
        <v>1936</v>
      </c>
      <c r="C1332" s="33" t="s">
        <v>1937</v>
      </c>
      <c r="D1332"/>
      <c r="E1332" s="35">
        <f>SUMIFS(E1333:E9015,K1333:K9015,"0",B1333:B9015,"2 1 1 7 2 12 31111 6 M59 00001 000003 00003*")-SUMIFS(D1333:D9015,K1333:K9015,"0",B1333:B9015,"2 1 1 7 2 12 31111 6 M59 00001 000003 00003*")</f>
        <v>147118.44</v>
      </c>
      <c r="F1332" s="35">
        <f>SUMIFS(F1333:F9015,K1333:K9015,"0",B1333:B9015,"2 1 1 7 2 12 31111 6 M59 00001 000003 00003*")</f>
        <v>0</v>
      </c>
      <c r="G1332" s="35">
        <f>SUMIFS(G1333:G9015,K1333:K9015,"0",B1333:B9015,"2 1 1 7 2 12 31111 6 M59 00001 000003 00003*")</f>
        <v>0</v>
      </c>
      <c r="H1332" s="35"/>
      <c r="I1332" s="35">
        <f t="shared" si="21"/>
        <v>147118.44</v>
      </c>
      <c r="K1332" t="s">
        <v>15</v>
      </c>
    </row>
    <row r="1333" spans="2:11" ht="24.75" x14ac:dyDescent="0.2">
      <c r="B1333" s="31" t="s">
        <v>1938</v>
      </c>
      <c r="C1333" s="31" t="s">
        <v>394</v>
      </c>
      <c r="D1333" s="34"/>
      <c r="E1333" s="34">
        <v>147118.44</v>
      </c>
      <c r="F1333" s="34">
        <v>0</v>
      </c>
      <c r="G1333" s="34">
        <v>0</v>
      </c>
      <c r="H1333" s="34"/>
      <c r="I1333" s="34">
        <f t="shared" si="21"/>
        <v>147118.44</v>
      </c>
      <c r="K1333" t="s">
        <v>38</v>
      </c>
    </row>
    <row r="1334" spans="2:11" ht="24.75" x14ac:dyDescent="0.2">
      <c r="B1334" s="33" t="s">
        <v>1939</v>
      </c>
      <c r="C1334" s="33" t="s">
        <v>40</v>
      </c>
      <c r="D1334"/>
      <c r="E1334" s="35">
        <f>SUMIFS(E1335:E9015,K1335:K9015,"0",B1335:B9015,"2 1 1 7 2 12 31111 6 M59 00003*")-SUMIFS(D1335:D9015,K1335:K9015,"0",B1335:B9015,"2 1 1 7 2 12 31111 6 M59 00003*")</f>
        <v>17691.75</v>
      </c>
      <c r="F1334" s="35">
        <f>SUMIFS(F1335:F9015,K1335:K9015,"0",B1335:B9015,"2 1 1 7 2 12 31111 6 M59 00003*")</f>
        <v>0</v>
      </c>
      <c r="G1334" s="35">
        <f>SUMIFS(G1335:G9015,K1335:K9015,"0",B1335:B9015,"2 1 1 7 2 12 31111 6 M59 00003*")</f>
        <v>0</v>
      </c>
      <c r="H1334" s="35"/>
      <c r="I1334" s="35">
        <f t="shared" si="21"/>
        <v>17691.75</v>
      </c>
      <c r="K1334" t="s">
        <v>15</v>
      </c>
    </row>
    <row r="1335" spans="2:11" ht="16.5" x14ac:dyDescent="0.2">
      <c r="B1335" s="33" t="s">
        <v>1940</v>
      </c>
      <c r="C1335" s="33" t="s">
        <v>42</v>
      </c>
      <c r="D1335"/>
      <c r="E1335" s="35">
        <f>SUMIFS(E1336:E9015,K1336:K9015,"0",B1336:B9015,"2 1 1 7 2 12 31111 6 M59 00003 000001*")-SUMIFS(D1336:D9015,K1336:K9015,"0",B1336:B9015,"2 1 1 7 2 12 31111 6 M59 00003 000001*")</f>
        <v>10981.05</v>
      </c>
      <c r="F1335" s="35">
        <f>SUMIFS(F1336:F9015,K1336:K9015,"0",B1336:B9015,"2 1 1 7 2 12 31111 6 M59 00003 000001*")</f>
        <v>0</v>
      </c>
      <c r="G1335" s="35">
        <f>SUMIFS(G1336:G9015,K1336:K9015,"0",B1336:B9015,"2 1 1 7 2 12 31111 6 M59 00003 000001*")</f>
        <v>0</v>
      </c>
      <c r="H1335" s="35"/>
      <c r="I1335" s="35">
        <f t="shared" si="21"/>
        <v>10981.05</v>
      </c>
      <c r="K1335" t="s">
        <v>15</v>
      </c>
    </row>
    <row r="1336" spans="2:11" ht="33" x14ac:dyDescent="0.2">
      <c r="B1336" s="31" t="s">
        <v>1941</v>
      </c>
      <c r="C1336" s="31" t="s">
        <v>1942</v>
      </c>
      <c r="D1336" s="34"/>
      <c r="E1336" s="34">
        <v>10981.05</v>
      </c>
      <c r="F1336" s="34">
        <v>0</v>
      </c>
      <c r="G1336" s="34">
        <v>0</v>
      </c>
      <c r="H1336" s="34"/>
      <c r="I1336" s="34">
        <f t="shared" si="21"/>
        <v>10981.05</v>
      </c>
      <c r="K1336" t="s">
        <v>38</v>
      </c>
    </row>
    <row r="1337" spans="2:11" ht="16.5" x14ac:dyDescent="0.2">
      <c r="B1337" s="33" t="s">
        <v>1943</v>
      </c>
      <c r="C1337" s="33" t="s">
        <v>42</v>
      </c>
      <c r="D1337"/>
      <c r="E1337" s="35">
        <f>SUMIFS(E1338:E9015,K1338:K9015,"0",B1338:B9015,"2 1 1 7 2 12 31111 6 M59 00003 000002*")-SUMIFS(D1338:D9015,K1338:K9015,"0",B1338:B9015,"2 1 1 7 2 12 31111 6 M59 00003 000002*")</f>
        <v>6710.7</v>
      </c>
      <c r="F1337" s="35">
        <f>SUMIFS(F1338:F9015,K1338:K9015,"0",B1338:B9015,"2 1 1 7 2 12 31111 6 M59 00003 000002*")</f>
        <v>0</v>
      </c>
      <c r="G1337" s="35">
        <f>SUMIFS(G1338:G9015,K1338:K9015,"0",B1338:B9015,"2 1 1 7 2 12 31111 6 M59 00003 000002*")</f>
        <v>0</v>
      </c>
      <c r="H1337" s="35"/>
      <c r="I1337" s="35">
        <f t="shared" si="21"/>
        <v>6710.7</v>
      </c>
      <c r="K1337" t="s">
        <v>15</v>
      </c>
    </row>
    <row r="1338" spans="2:11" ht="33" x14ac:dyDescent="0.2">
      <c r="B1338" s="31" t="s">
        <v>1944</v>
      </c>
      <c r="C1338" s="31" t="s">
        <v>1942</v>
      </c>
      <c r="D1338" s="34"/>
      <c r="E1338" s="34">
        <v>6710.7</v>
      </c>
      <c r="F1338" s="34">
        <v>0</v>
      </c>
      <c r="G1338" s="34">
        <v>0</v>
      </c>
      <c r="H1338" s="34"/>
      <c r="I1338" s="34">
        <f t="shared" si="21"/>
        <v>6710.7</v>
      </c>
      <c r="K1338" t="s">
        <v>38</v>
      </c>
    </row>
    <row r="1339" spans="2:11" ht="24.75" x14ac:dyDescent="0.2">
      <c r="B1339" s="33" t="s">
        <v>1945</v>
      </c>
      <c r="C1339" s="33" t="s">
        <v>91</v>
      </c>
      <c r="D1339"/>
      <c r="E1339" s="35">
        <f>SUMIFS(E1340:E9015,K1340:K9015,"0",B1340:B9015,"2 1 1 7 2 12 31111 6 M59 00004*")-SUMIFS(D1340:D9015,K1340:K9015,"0",B1340:B9015,"2 1 1 7 2 12 31111 6 M59 00004*")</f>
        <v>0</v>
      </c>
      <c r="F1339" s="35">
        <f>SUMIFS(F1340:F9015,K1340:K9015,"0",B1340:B9015,"2 1 1 7 2 12 31111 6 M59 00004*")</f>
        <v>0</v>
      </c>
      <c r="G1339" s="35">
        <f>SUMIFS(G1340:G9015,K1340:K9015,"0",B1340:B9015,"2 1 1 7 2 12 31111 6 M59 00004*")</f>
        <v>326357.74</v>
      </c>
      <c r="H1339" s="35"/>
      <c r="I1339" s="35">
        <f t="shared" si="21"/>
        <v>326357.74</v>
      </c>
      <c r="K1339" t="s">
        <v>15</v>
      </c>
    </row>
    <row r="1340" spans="2:11" ht="16.5" x14ac:dyDescent="0.2">
      <c r="B1340" s="33" t="s">
        <v>1946</v>
      </c>
      <c r="C1340" s="33" t="s">
        <v>1929</v>
      </c>
      <c r="D1340"/>
      <c r="E1340" s="35">
        <f>SUMIFS(E1341:E9015,K1341:K9015,"0",B1341:B9015,"2 1 1 7 2 12 31111 6 M59 00004 000003*")-SUMIFS(D1341:D9015,K1341:K9015,"0",B1341:B9015,"2 1 1 7 2 12 31111 6 M59 00004 000003*")</f>
        <v>0</v>
      </c>
      <c r="F1340" s="35">
        <f>SUMIFS(F1341:F9015,K1341:K9015,"0",B1341:B9015,"2 1 1 7 2 12 31111 6 M59 00004 000003*")</f>
        <v>0</v>
      </c>
      <c r="G1340" s="35">
        <f>SUMIFS(G1341:G9015,K1341:K9015,"0",B1341:B9015,"2 1 1 7 2 12 31111 6 M59 00004 000003*")</f>
        <v>326357.74</v>
      </c>
      <c r="H1340" s="35"/>
      <c r="I1340" s="35">
        <f t="shared" si="21"/>
        <v>326357.74</v>
      </c>
      <c r="K1340" t="s">
        <v>15</v>
      </c>
    </row>
    <row r="1341" spans="2:11" ht="24.75" x14ac:dyDescent="0.2">
      <c r="B1341" s="33" t="s">
        <v>1947</v>
      </c>
      <c r="C1341" s="33" t="s">
        <v>1931</v>
      </c>
      <c r="D1341"/>
      <c r="E1341" s="35">
        <f>SUMIFS(E1342:E9015,K1342:K9015,"0",B1342:B9015,"2 1 1 7 2 12 31111 6 M59 00004 000003 00001*")-SUMIFS(D1342:D9015,K1342:K9015,"0",B1342:B9015,"2 1 1 7 2 12 31111 6 M59 00004 000003 00001*")</f>
        <v>0</v>
      </c>
      <c r="F1341" s="35">
        <f>SUMIFS(F1342:F9015,K1342:K9015,"0",B1342:B9015,"2 1 1 7 2 12 31111 6 M59 00004 000003 00001*")</f>
        <v>0</v>
      </c>
      <c r="G1341" s="35">
        <f>SUMIFS(G1342:G9015,K1342:K9015,"0",B1342:B9015,"2 1 1 7 2 12 31111 6 M59 00004 000003 00001*")</f>
        <v>326357.74</v>
      </c>
      <c r="H1341" s="35"/>
      <c r="I1341" s="35">
        <f t="shared" si="21"/>
        <v>326357.74</v>
      </c>
      <c r="K1341" t="s">
        <v>15</v>
      </c>
    </row>
    <row r="1342" spans="2:11" ht="24.75" x14ac:dyDescent="0.2">
      <c r="B1342" s="31" t="s">
        <v>1948</v>
      </c>
      <c r="C1342" s="31" t="s">
        <v>394</v>
      </c>
      <c r="D1342" s="34"/>
      <c r="E1342" s="34">
        <v>0</v>
      </c>
      <c r="F1342" s="34">
        <v>0</v>
      </c>
      <c r="G1342" s="34">
        <v>326357.74</v>
      </c>
      <c r="H1342" s="34"/>
      <c r="I1342" s="34">
        <f t="shared" si="21"/>
        <v>326357.74</v>
      </c>
      <c r="K1342" t="s">
        <v>38</v>
      </c>
    </row>
    <row r="1343" spans="2:11" ht="16.5" x14ac:dyDescent="0.2">
      <c r="B1343" s="33" t="s">
        <v>1949</v>
      </c>
      <c r="C1343" s="33" t="s">
        <v>1950</v>
      </c>
      <c r="D1343"/>
      <c r="E1343" s="35">
        <f>SUMIFS(E1344:E9015,K1344:K9015,"0",B1344:B9015,"2 1 1 7 3*")-SUMIFS(D1344:D9015,K1344:K9015,"0",B1344:B9015,"2 1 1 7 3*")</f>
        <v>0</v>
      </c>
      <c r="F1343" s="35">
        <f>SUMIFS(F1344:F9015,K1344:K9015,"0",B1344:B9015,"2 1 1 7 3*")</f>
        <v>2179890</v>
      </c>
      <c r="G1343" s="35">
        <f>SUMIFS(G1344:G9015,K1344:K9015,"0",B1344:B9015,"2 1 1 7 3*")</f>
        <v>2179890</v>
      </c>
      <c r="H1343" s="35"/>
      <c r="I1343" s="35">
        <f t="shared" si="21"/>
        <v>0</v>
      </c>
      <c r="K1343" t="s">
        <v>15</v>
      </c>
    </row>
    <row r="1344" spans="2:11" ht="12.75" x14ac:dyDescent="0.2">
      <c r="B1344" s="33" t="s">
        <v>1951</v>
      </c>
      <c r="C1344" s="33" t="s">
        <v>26</v>
      </c>
      <c r="D1344"/>
      <c r="E1344" s="35">
        <f>SUMIFS(E1345:E9015,K1345:K9015,"0",B1345:B9015,"2 1 1 7 3 12*")-SUMIFS(D1345:D9015,K1345:K9015,"0",B1345:B9015,"2 1 1 7 3 12*")</f>
        <v>0</v>
      </c>
      <c r="F1344" s="35">
        <f>SUMIFS(F1345:F9015,K1345:K9015,"0",B1345:B9015,"2 1 1 7 3 12*")</f>
        <v>2179890</v>
      </c>
      <c r="G1344" s="35">
        <f>SUMIFS(G1345:G9015,K1345:K9015,"0",B1345:B9015,"2 1 1 7 3 12*")</f>
        <v>2179890</v>
      </c>
      <c r="H1344" s="35"/>
      <c r="I1344" s="35">
        <f t="shared" si="21"/>
        <v>0</v>
      </c>
      <c r="K1344" t="s">
        <v>15</v>
      </c>
    </row>
    <row r="1345" spans="2:11" ht="16.5" x14ac:dyDescent="0.2">
      <c r="B1345" s="33" t="s">
        <v>1952</v>
      </c>
      <c r="C1345" s="33" t="s">
        <v>28</v>
      </c>
      <c r="D1345"/>
      <c r="E1345" s="35">
        <f>SUMIFS(E1346:E9015,K1346:K9015,"0",B1346:B9015,"2 1 1 7 3 12 31111*")-SUMIFS(D1346:D9015,K1346:K9015,"0",B1346:B9015,"2 1 1 7 3 12 31111*")</f>
        <v>0</v>
      </c>
      <c r="F1345" s="35">
        <f>SUMIFS(F1346:F9015,K1346:K9015,"0",B1346:B9015,"2 1 1 7 3 12 31111*")</f>
        <v>2179890</v>
      </c>
      <c r="G1345" s="35">
        <f>SUMIFS(G1346:G9015,K1346:K9015,"0",B1346:B9015,"2 1 1 7 3 12 31111*")</f>
        <v>2179890</v>
      </c>
      <c r="H1345" s="35"/>
      <c r="I1345" s="35">
        <f t="shared" si="21"/>
        <v>0</v>
      </c>
      <c r="K1345" t="s">
        <v>15</v>
      </c>
    </row>
    <row r="1346" spans="2:11" ht="12.75" x14ac:dyDescent="0.2">
      <c r="B1346" s="33" t="s">
        <v>1953</v>
      </c>
      <c r="C1346" s="33" t="s">
        <v>30</v>
      </c>
      <c r="D1346"/>
      <c r="E1346" s="35">
        <f>SUMIFS(E1347:E9015,K1347:K9015,"0",B1347:B9015,"2 1 1 7 3 12 31111 6*")-SUMIFS(D1347:D9015,K1347:K9015,"0",B1347:B9015,"2 1 1 7 3 12 31111 6*")</f>
        <v>0</v>
      </c>
      <c r="F1346" s="35">
        <f>SUMIFS(F1347:F9015,K1347:K9015,"0",B1347:B9015,"2 1 1 7 3 12 31111 6*")</f>
        <v>2179890</v>
      </c>
      <c r="G1346" s="35">
        <f>SUMIFS(G1347:G9015,K1347:K9015,"0",B1347:B9015,"2 1 1 7 3 12 31111 6*")</f>
        <v>2179890</v>
      </c>
      <c r="H1346" s="35"/>
      <c r="I1346" s="35">
        <f t="shared" si="21"/>
        <v>0</v>
      </c>
      <c r="K1346" t="s">
        <v>15</v>
      </c>
    </row>
    <row r="1347" spans="2:11" ht="16.5" x14ac:dyDescent="0.2">
      <c r="B1347" s="33" t="s">
        <v>1954</v>
      </c>
      <c r="C1347" s="33" t="s">
        <v>32</v>
      </c>
      <c r="D1347"/>
      <c r="E1347" s="35">
        <f>SUMIFS(E1348:E9015,K1348:K9015,"0",B1348:B9015,"2 1 1 7 3 12 31111 6 M59*")-SUMIFS(D1348:D9015,K1348:K9015,"0",B1348:B9015,"2 1 1 7 3 12 31111 6 M59*")</f>
        <v>0</v>
      </c>
      <c r="F1347" s="35">
        <f>SUMIFS(F1348:F9015,K1348:K9015,"0",B1348:B9015,"2 1 1 7 3 12 31111 6 M59*")</f>
        <v>2179890</v>
      </c>
      <c r="G1347" s="35">
        <f>SUMIFS(G1348:G9015,K1348:K9015,"0",B1348:B9015,"2 1 1 7 3 12 31111 6 M59*")</f>
        <v>2179890</v>
      </c>
      <c r="H1347" s="35"/>
      <c r="I1347" s="35">
        <f t="shared" si="21"/>
        <v>0</v>
      </c>
      <c r="K1347" t="s">
        <v>15</v>
      </c>
    </row>
    <row r="1348" spans="2:11" ht="24.75" x14ac:dyDescent="0.2">
      <c r="B1348" s="33" t="s">
        <v>1955</v>
      </c>
      <c r="C1348" s="33" t="s">
        <v>91</v>
      </c>
      <c r="D1348"/>
      <c r="E1348" s="35">
        <f>SUMIFS(E1349:E9015,K1349:K9015,"0",B1349:B9015,"2 1 1 7 3 12 31111 6 M59 00004*")-SUMIFS(D1349:D9015,K1349:K9015,"0",B1349:B9015,"2 1 1 7 3 12 31111 6 M59 00004*")</f>
        <v>0</v>
      </c>
      <c r="F1348" s="35">
        <f>SUMIFS(F1349:F9015,K1349:K9015,"0",B1349:B9015,"2 1 1 7 3 12 31111 6 M59 00004*")</f>
        <v>2179890</v>
      </c>
      <c r="G1348" s="35">
        <f>SUMIFS(G1349:G9015,K1349:K9015,"0",B1349:B9015,"2 1 1 7 3 12 31111 6 M59 00004*")</f>
        <v>2179890</v>
      </c>
      <c r="H1348" s="35"/>
      <c r="I1348" s="35">
        <f t="shared" si="21"/>
        <v>0</v>
      </c>
      <c r="K1348" t="s">
        <v>15</v>
      </c>
    </row>
    <row r="1349" spans="2:11" ht="16.5" x14ac:dyDescent="0.2">
      <c r="B1349" s="33" t="s">
        <v>1956</v>
      </c>
      <c r="C1349" s="33" t="s">
        <v>1957</v>
      </c>
      <c r="D1349"/>
      <c r="E1349" s="35">
        <f>SUMIFS(E1350:E9015,K1350:K9015,"0",B1350:B9015,"2 1 1 7 3 12 31111 6 M59 00004 000001*")-SUMIFS(D1350:D9015,K1350:K9015,"0",B1350:B9015,"2 1 1 7 3 12 31111 6 M59 00004 000001*")</f>
        <v>0</v>
      </c>
      <c r="F1349" s="35">
        <f>SUMIFS(F1350:F9015,K1350:K9015,"0",B1350:B9015,"2 1 1 7 3 12 31111 6 M59 00004 000001*")</f>
        <v>1118149</v>
      </c>
      <c r="G1349" s="35">
        <f>SUMIFS(G1350:G9015,K1350:K9015,"0",B1350:B9015,"2 1 1 7 3 12 31111 6 M59 00004 000001*")</f>
        <v>1118149</v>
      </c>
      <c r="H1349" s="35"/>
      <c r="I1349" s="35">
        <f t="shared" si="21"/>
        <v>0</v>
      </c>
      <c r="K1349" t="s">
        <v>15</v>
      </c>
    </row>
    <row r="1350" spans="2:11" ht="16.5" x14ac:dyDescent="0.2">
      <c r="B1350" s="31" t="s">
        <v>1958</v>
      </c>
      <c r="C1350" s="31" t="s">
        <v>1959</v>
      </c>
      <c r="D1350" s="34"/>
      <c r="E1350" s="34">
        <v>0</v>
      </c>
      <c r="F1350" s="34">
        <v>1118149</v>
      </c>
      <c r="G1350" s="34">
        <v>1118149</v>
      </c>
      <c r="H1350" s="34"/>
      <c r="I1350" s="34">
        <f t="shared" si="21"/>
        <v>0</v>
      </c>
      <c r="K1350" t="s">
        <v>38</v>
      </c>
    </row>
    <row r="1351" spans="2:11" ht="16.5" x14ac:dyDescent="0.2">
      <c r="B1351" s="33" t="s">
        <v>1960</v>
      </c>
      <c r="C1351" s="33" t="s">
        <v>1961</v>
      </c>
      <c r="D1351"/>
      <c r="E1351" s="35">
        <f>SUMIFS(E1352:E9015,K1352:K9015,"0",B1352:B9015,"2 1 1 7 3 12 31111 6 M59 00004 000002*")-SUMIFS(D1352:D9015,K1352:K9015,"0",B1352:B9015,"2 1 1 7 3 12 31111 6 M59 00004 000002*")</f>
        <v>0</v>
      </c>
      <c r="F1351" s="35">
        <f>SUMIFS(F1352:F9015,K1352:K9015,"0",B1352:B9015,"2 1 1 7 3 12 31111 6 M59 00004 000002*")</f>
        <v>1061741</v>
      </c>
      <c r="G1351" s="35">
        <f>SUMIFS(G1352:G9015,K1352:K9015,"0",B1352:B9015,"2 1 1 7 3 12 31111 6 M59 00004 000002*")</f>
        <v>1061741</v>
      </c>
      <c r="H1351" s="35"/>
      <c r="I1351" s="35">
        <f t="shared" si="21"/>
        <v>0</v>
      </c>
      <c r="K1351" t="s">
        <v>15</v>
      </c>
    </row>
    <row r="1352" spans="2:11" ht="16.5" x14ac:dyDescent="0.2">
      <c r="B1352" s="31" t="s">
        <v>1962</v>
      </c>
      <c r="C1352" s="31" t="s">
        <v>1959</v>
      </c>
      <c r="D1352" s="34"/>
      <c r="E1352" s="34">
        <v>0</v>
      </c>
      <c r="F1352" s="34">
        <v>1061741</v>
      </c>
      <c r="G1352" s="34">
        <v>1061741</v>
      </c>
      <c r="H1352" s="34"/>
      <c r="I1352" s="34">
        <f t="shared" si="21"/>
        <v>0</v>
      </c>
      <c r="K1352" t="s">
        <v>38</v>
      </c>
    </row>
    <row r="1353" spans="2:11" ht="33" x14ac:dyDescent="0.2">
      <c r="B1353" s="33" t="s">
        <v>1963</v>
      </c>
      <c r="C1353" s="33" t="s">
        <v>1964</v>
      </c>
      <c r="D1353"/>
      <c r="E1353" s="35">
        <f>SUMIFS(E1354:E9015,K1354:K9015,"0",B1354:B9015,"2 1 1 7 5*")-SUMIFS(D1354:D9015,K1354:K9015,"0",B1354:B9015,"2 1 1 7 5*")</f>
        <v>7267768.209999999</v>
      </c>
      <c r="F1353" s="35">
        <f>SUMIFS(F1354:F9015,K1354:K9015,"0",B1354:B9015,"2 1 1 7 5*")</f>
        <v>1844051.58</v>
      </c>
      <c r="G1353" s="35">
        <f>SUMIFS(G1354:G9015,K1354:K9015,"0",B1354:B9015,"2 1 1 7 5*")</f>
        <v>3082515.66</v>
      </c>
      <c r="H1353" s="35"/>
      <c r="I1353" s="35">
        <f t="shared" si="21"/>
        <v>8506232.2899999991</v>
      </c>
      <c r="K1353" t="s">
        <v>15</v>
      </c>
    </row>
    <row r="1354" spans="2:11" ht="12.75" x14ac:dyDescent="0.2">
      <c r="B1354" s="33" t="s">
        <v>1965</v>
      </c>
      <c r="C1354" s="33" t="s">
        <v>26</v>
      </c>
      <c r="D1354"/>
      <c r="E1354" s="35">
        <f>SUMIFS(E1355:E9015,K1355:K9015,"0",B1355:B9015,"2 1 1 7 5 12*")-SUMIFS(D1355:D9015,K1355:K9015,"0",B1355:B9015,"2 1 1 7 5 12*")</f>
        <v>7267768.209999999</v>
      </c>
      <c r="F1354" s="35">
        <f>SUMIFS(F1355:F9015,K1355:K9015,"0",B1355:B9015,"2 1 1 7 5 12*")</f>
        <v>1844051.58</v>
      </c>
      <c r="G1354" s="35">
        <f>SUMIFS(G1355:G9015,K1355:K9015,"0",B1355:B9015,"2 1 1 7 5 12*")</f>
        <v>3082515.66</v>
      </c>
      <c r="H1354" s="35"/>
      <c r="I1354" s="35">
        <f t="shared" si="21"/>
        <v>8506232.2899999991</v>
      </c>
      <c r="K1354" t="s">
        <v>15</v>
      </c>
    </row>
    <row r="1355" spans="2:11" ht="16.5" x14ac:dyDescent="0.2">
      <c r="B1355" s="33" t="s">
        <v>1966</v>
      </c>
      <c r="C1355" s="33" t="s">
        <v>28</v>
      </c>
      <c r="D1355"/>
      <c r="E1355" s="35">
        <f>SUMIFS(E1356:E9015,K1356:K9015,"0",B1356:B9015,"2 1 1 7 5 12 31111*")-SUMIFS(D1356:D9015,K1356:K9015,"0",B1356:B9015,"2 1 1 7 5 12 31111*")</f>
        <v>7267768.209999999</v>
      </c>
      <c r="F1355" s="35">
        <f>SUMIFS(F1356:F9015,K1356:K9015,"0",B1356:B9015,"2 1 1 7 5 12 31111*")</f>
        <v>1844051.58</v>
      </c>
      <c r="G1355" s="35">
        <f>SUMIFS(G1356:G9015,K1356:K9015,"0",B1356:B9015,"2 1 1 7 5 12 31111*")</f>
        <v>3082515.66</v>
      </c>
      <c r="H1355" s="35"/>
      <c r="I1355" s="35">
        <f t="shared" si="21"/>
        <v>8506232.2899999991</v>
      </c>
      <c r="K1355" t="s">
        <v>15</v>
      </c>
    </row>
    <row r="1356" spans="2:11" ht="12.75" x14ac:dyDescent="0.2">
      <c r="B1356" s="33" t="s">
        <v>1967</v>
      </c>
      <c r="C1356" s="33" t="s">
        <v>30</v>
      </c>
      <c r="D1356"/>
      <c r="E1356" s="35">
        <f>SUMIFS(E1357:E9015,K1357:K9015,"0",B1357:B9015,"2 1 1 7 5 12 31111 6*")-SUMIFS(D1357:D9015,K1357:K9015,"0",B1357:B9015,"2 1 1 7 5 12 31111 6*")</f>
        <v>7267768.209999999</v>
      </c>
      <c r="F1356" s="35">
        <f>SUMIFS(F1357:F9015,K1357:K9015,"0",B1357:B9015,"2 1 1 7 5 12 31111 6*")</f>
        <v>1844051.58</v>
      </c>
      <c r="G1356" s="35">
        <f>SUMIFS(G1357:G9015,K1357:K9015,"0",B1357:B9015,"2 1 1 7 5 12 31111 6*")</f>
        <v>3082515.66</v>
      </c>
      <c r="H1356" s="35"/>
      <c r="I1356" s="35">
        <f t="shared" si="21"/>
        <v>8506232.2899999991</v>
      </c>
      <c r="K1356" t="s">
        <v>15</v>
      </c>
    </row>
    <row r="1357" spans="2:11" ht="12.75" x14ac:dyDescent="0.2">
      <c r="B1357" s="33" t="s">
        <v>1968</v>
      </c>
      <c r="C1357" s="33" t="s">
        <v>32</v>
      </c>
      <c r="D1357"/>
      <c r="E1357" s="35">
        <f>SUMIFS(E1358:E9015,K1358:K9015,"0",B1358:B9015,"2 1 1 7 5 12 31111 6 M59*")-SUMIFS(D1358:D9015,K1358:K9015,"0",B1358:B9015,"2 1 1 7 5 12 31111 6 M59*")</f>
        <v>7267768.209999999</v>
      </c>
      <c r="F1357" s="35">
        <f>SUMIFS(F1358:F9015,K1358:K9015,"0",B1358:B9015,"2 1 1 7 5 12 31111 6 M59*")</f>
        <v>1844051.58</v>
      </c>
      <c r="G1357" s="35">
        <f>SUMIFS(G1358:G9015,K1358:K9015,"0",B1358:B9015,"2 1 1 7 5 12 31111 6 M59*")</f>
        <v>3082515.66</v>
      </c>
      <c r="H1357" s="35"/>
      <c r="I1357" s="35">
        <f t="shared" si="21"/>
        <v>8506232.2899999991</v>
      </c>
      <c r="K1357" t="s">
        <v>15</v>
      </c>
    </row>
    <row r="1358" spans="2:11" ht="16.5" x14ac:dyDescent="0.2">
      <c r="B1358" s="33" t="s">
        <v>1969</v>
      </c>
      <c r="C1358" s="33" t="s">
        <v>34</v>
      </c>
      <c r="D1358"/>
      <c r="E1358" s="35">
        <f>SUMIFS(E1359:E9015,K1359:K9015,"0",B1359:B9015,"2 1 1 7 5 12 31111 6 M59 00001*")-SUMIFS(D1359:D9015,K1359:K9015,"0",B1359:B9015,"2 1 1 7 5 12 31111 6 M59 00001*")</f>
        <v>4447935.5599999996</v>
      </c>
      <c r="F1358" s="35">
        <f>SUMIFS(F1359:F9015,K1359:K9015,"0",B1359:B9015,"2 1 1 7 5 12 31111 6 M59 00001*")</f>
        <v>1844051.58</v>
      </c>
      <c r="G1358" s="35">
        <f>SUMIFS(G1359:G9015,K1359:K9015,"0",B1359:B9015,"2 1 1 7 5 12 31111 6 M59 00001*")</f>
        <v>2669467.62</v>
      </c>
      <c r="H1358" s="35"/>
      <c r="I1358" s="35">
        <f t="shared" si="21"/>
        <v>5273351.5999999996</v>
      </c>
      <c r="K1358" t="s">
        <v>15</v>
      </c>
    </row>
    <row r="1359" spans="2:11" ht="24.75" x14ac:dyDescent="0.2">
      <c r="B1359" s="33" t="s">
        <v>1970</v>
      </c>
      <c r="C1359" s="33" t="s">
        <v>1971</v>
      </c>
      <c r="D1359"/>
      <c r="E1359" s="35">
        <f>SUMIFS(E1360:E9015,K1360:K9015,"0",B1360:B9015,"2 1 1 7 5 12 31111 6 M59 00001 000001*")-SUMIFS(D1360:D9015,K1360:K9015,"0",B1360:B9015,"2 1 1 7 5 12 31111 6 M59 00001 000001*")</f>
        <v>4447935.5599999996</v>
      </c>
      <c r="F1359" s="35">
        <f>SUMIFS(F1360:F9015,K1360:K9015,"0",B1360:B9015,"2 1 1 7 5 12 31111 6 M59 00001 000001*")</f>
        <v>1844051.58</v>
      </c>
      <c r="G1359" s="35">
        <f>SUMIFS(G1360:G9015,K1360:K9015,"0",B1360:B9015,"2 1 1 7 5 12 31111 6 M59 00001 000001*")</f>
        <v>2669467.62</v>
      </c>
      <c r="H1359" s="35"/>
      <c r="I1359" s="35">
        <f t="shared" si="21"/>
        <v>5273351.5999999996</v>
      </c>
      <c r="K1359" t="s">
        <v>15</v>
      </c>
    </row>
    <row r="1360" spans="2:11" ht="16.5" x14ac:dyDescent="0.2">
      <c r="B1360" s="31" t="s">
        <v>1972</v>
      </c>
      <c r="C1360" s="31" t="s">
        <v>1973</v>
      </c>
      <c r="D1360" s="34"/>
      <c r="E1360" s="34">
        <v>0</v>
      </c>
      <c r="F1360" s="34">
        <v>1835410</v>
      </c>
      <c r="G1360" s="34">
        <v>965862.36</v>
      </c>
      <c r="H1360" s="34"/>
      <c r="I1360" s="34">
        <f t="shared" si="21"/>
        <v>-869547.64</v>
      </c>
      <c r="K1360" t="s">
        <v>38</v>
      </c>
    </row>
    <row r="1361" spans="2:11" ht="16.5" x14ac:dyDescent="0.2">
      <c r="B1361" s="31" t="s">
        <v>1974</v>
      </c>
      <c r="C1361" s="31" t="s">
        <v>1975</v>
      </c>
      <c r="D1361" s="34"/>
      <c r="E1361" s="34">
        <v>0</v>
      </c>
      <c r="F1361" s="34">
        <v>0</v>
      </c>
      <c r="G1361" s="34">
        <v>96725.68</v>
      </c>
      <c r="H1361" s="34"/>
      <c r="I1361" s="34">
        <f t="shared" si="21"/>
        <v>96725.68</v>
      </c>
      <c r="K1361" t="s">
        <v>38</v>
      </c>
    </row>
    <row r="1362" spans="2:11" ht="16.5" x14ac:dyDescent="0.2">
      <c r="B1362" s="31" t="s">
        <v>1976</v>
      </c>
      <c r="C1362" s="31" t="s">
        <v>1977</v>
      </c>
      <c r="D1362" s="34"/>
      <c r="E1362" s="34">
        <v>0</v>
      </c>
      <c r="F1362" s="34">
        <v>8641.58</v>
      </c>
      <c r="G1362" s="34">
        <v>17586.509999999998</v>
      </c>
      <c r="H1362" s="34"/>
      <c r="I1362" s="34">
        <f t="shared" si="21"/>
        <v>8944.9299999999985</v>
      </c>
      <c r="K1362" t="s">
        <v>38</v>
      </c>
    </row>
    <row r="1363" spans="2:11" ht="24.75" x14ac:dyDescent="0.2">
      <c r="B1363" s="31" t="s">
        <v>1978</v>
      </c>
      <c r="C1363" s="31" t="s">
        <v>375</v>
      </c>
      <c r="D1363" s="34"/>
      <c r="E1363" s="34">
        <v>4447935.5599999996</v>
      </c>
      <c r="F1363" s="34">
        <v>0</v>
      </c>
      <c r="G1363" s="34">
        <v>1589293.07</v>
      </c>
      <c r="H1363" s="34"/>
      <c r="I1363" s="34">
        <f t="shared" si="21"/>
        <v>6037228.6299999999</v>
      </c>
      <c r="K1363" t="s">
        <v>38</v>
      </c>
    </row>
    <row r="1364" spans="2:11" ht="24.75" x14ac:dyDescent="0.2">
      <c r="B1364" s="33" t="s">
        <v>1979</v>
      </c>
      <c r="C1364" s="33" t="s">
        <v>1764</v>
      </c>
      <c r="D1364"/>
      <c r="E1364" s="35">
        <f>SUMIFS(E1365:E9015,K1365:K9015,"0",B1365:B9015,"2 1 1 7 5 12 31111 6 M59 00003*")-SUMIFS(D1365:D9015,K1365:K9015,"0",B1365:B9015,"2 1 1 7 5 12 31111 6 M59 00003*")</f>
        <v>2819832.65</v>
      </c>
      <c r="F1364" s="35">
        <f>SUMIFS(F1365:F9015,K1365:K9015,"0",B1365:B9015,"2 1 1 7 5 12 31111 6 M59 00003*")</f>
        <v>0</v>
      </c>
      <c r="G1364" s="35">
        <f>SUMIFS(G1365:G9015,K1365:K9015,"0",B1365:B9015,"2 1 1 7 5 12 31111 6 M59 00003*")</f>
        <v>413048.04</v>
      </c>
      <c r="H1364" s="35"/>
      <c r="I1364" s="35">
        <f t="shared" si="21"/>
        <v>3232880.69</v>
      </c>
      <c r="K1364" t="s">
        <v>15</v>
      </c>
    </row>
    <row r="1365" spans="2:11" ht="16.5" x14ac:dyDescent="0.2">
      <c r="B1365" s="33" t="s">
        <v>1980</v>
      </c>
      <c r="C1365" s="33" t="s">
        <v>1981</v>
      </c>
      <c r="D1365"/>
      <c r="E1365" s="35">
        <f>SUMIFS(E1366:E9015,K1366:K9015,"0",B1366:B9015,"2 1 1 7 5 12 31111 6 M59 00003 000003*")-SUMIFS(D1366:D9015,K1366:K9015,"0",B1366:B9015,"2 1 1 7 5 12 31111 6 M59 00003 000003*")</f>
        <v>2819832.65</v>
      </c>
      <c r="F1365" s="35">
        <f>SUMIFS(F1366:F9015,K1366:K9015,"0",B1366:B9015,"2 1 1 7 5 12 31111 6 M59 00003 000003*")</f>
        <v>0</v>
      </c>
      <c r="G1365" s="35">
        <f>SUMIFS(G1366:G9015,K1366:K9015,"0",B1366:B9015,"2 1 1 7 5 12 31111 6 M59 00003 000003*")</f>
        <v>413048.04</v>
      </c>
      <c r="H1365" s="35"/>
      <c r="I1365" s="35">
        <f t="shared" si="21"/>
        <v>3232880.69</v>
      </c>
      <c r="K1365" t="s">
        <v>15</v>
      </c>
    </row>
    <row r="1366" spans="2:11" ht="24.75" x14ac:dyDescent="0.2">
      <c r="B1366" s="31" t="s">
        <v>1982</v>
      </c>
      <c r="C1366" s="31" t="s">
        <v>375</v>
      </c>
      <c r="D1366" s="34"/>
      <c r="E1366" s="34">
        <v>2819832.65</v>
      </c>
      <c r="F1366" s="34">
        <v>0</v>
      </c>
      <c r="G1366" s="34">
        <v>0</v>
      </c>
      <c r="H1366" s="34"/>
      <c r="I1366" s="34">
        <f t="shared" si="21"/>
        <v>2819832.65</v>
      </c>
      <c r="K1366" t="s">
        <v>38</v>
      </c>
    </row>
    <row r="1367" spans="2:11" ht="16.5" x14ac:dyDescent="0.2">
      <c r="B1367" s="31" t="s">
        <v>1983</v>
      </c>
      <c r="C1367" s="31" t="s">
        <v>1984</v>
      </c>
      <c r="D1367" s="34"/>
      <c r="E1367" s="34">
        <v>0</v>
      </c>
      <c r="F1367" s="34">
        <v>0</v>
      </c>
      <c r="G1367" s="34">
        <v>413048.04</v>
      </c>
      <c r="H1367" s="34"/>
      <c r="I1367" s="34">
        <f t="shared" si="21"/>
        <v>413048.04</v>
      </c>
      <c r="K1367" t="s">
        <v>38</v>
      </c>
    </row>
    <row r="1368" spans="2:11" ht="16.5" x14ac:dyDescent="0.2">
      <c r="B1368" s="33" t="s">
        <v>1985</v>
      </c>
      <c r="C1368" s="33" t="s">
        <v>276</v>
      </c>
      <c r="D1368"/>
      <c r="E1368" s="35">
        <f>SUMIFS(E1369:E9015,K1369:K9015,"0",B1369:B9015,"2 1 1 7 6*")-SUMIFS(D1369:D9015,K1369:K9015,"0",B1369:B9015,"2 1 1 7 6*")</f>
        <v>472809.9</v>
      </c>
      <c r="F1368" s="35">
        <f>SUMIFS(F1369:F9015,K1369:K9015,"0",B1369:B9015,"2 1 1 7 6*")</f>
        <v>2241258.7000000002</v>
      </c>
      <c r="G1368" s="35">
        <f>SUMIFS(G1369:G9015,K1369:K9015,"0",B1369:B9015,"2 1 1 7 6*")</f>
        <v>1240363.55</v>
      </c>
      <c r="H1368" s="35"/>
      <c r="I1368" s="35">
        <f t="shared" si="21"/>
        <v>-528085.25000000023</v>
      </c>
      <c r="K1368" t="s">
        <v>15</v>
      </c>
    </row>
    <row r="1369" spans="2:11" ht="12.75" x14ac:dyDescent="0.2">
      <c r="B1369" s="33" t="s">
        <v>1986</v>
      </c>
      <c r="C1369" s="33" t="s">
        <v>26</v>
      </c>
      <c r="D1369"/>
      <c r="E1369" s="35">
        <f>SUMIFS(E1370:E9015,K1370:K9015,"0",B1370:B9015,"2 1 1 7 6 12*")-SUMIFS(D1370:D9015,K1370:K9015,"0",B1370:B9015,"2 1 1 7 6 12*")</f>
        <v>472809.9</v>
      </c>
      <c r="F1369" s="35">
        <f>SUMIFS(F1370:F9015,K1370:K9015,"0",B1370:B9015,"2 1 1 7 6 12*")</f>
        <v>2241258.7000000002</v>
      </c>
      <c r="G1369" s="35">
        <f>SUMIFS(G1370:G9015,K1370:K9015,"0",B1370:B9015,"2 1 1 7 6 12*")</f>
        <v>1240363.55</v>
      </c>
      <c r="H1369" s="35"/>
      <c r="I1369" s="35">
        <f t="shared" si="21"/>
        <v>-528085.25000000023</v>
      </c>
      <c r="K1369" t="s">
        <v>15</v>
      </c>
    </row>
    <row r="1370" spans="2:11" ht="16.5" x14ac:dyDescent="0.2">
      <c r="B1370" s="33" t="s">
        <v>1987</v>
      </c>
      <c r="C1370" s="33" t="s">
        <v>28</v>
      </c>
      <c r="D1370"/>
      <c r="E1370" s="35">
        <f>SUMIFS(E1371:E9015,K1371:K9015,"0",B1371:B9015,"2 1 1 7 6 12 31111*")-SUMIFS(D1371:D9015,K1371:K9015,"0",B1371:B9015,"2 1 1 7 6 12 31111*")</f>
        <v>472809.9</v>
      </c>
      <c r="F1370" s="35">
        <f>SUMIFS(F1371:F9015,K1371:K9015,"0",B1371:B9015,"2 1 1 7 6 12 31111*")</f>
        <v>2241258.7000000002</v>
      </c>
      <c r="G1370" s="35">
        <f>SUMIFS(G1371:G9015,K1371:K9015,"0",B1371:B9015,"2 1 1 7 6 12 31111*")</f>
        <v>1240363.55</v>
      </c>
      <c r="H1370" s="35"/>
      <c r="I1370" s="35">
        <f t="shared" si="21"/>
        <v>-528085.25000000023</v>
      </c>
      <c r="K1370" t="s">
        <v>15</v>
      </c>
    </row>
    <row r="1371" spans="2:11" ht="12.75" x14ac:dyDescent="0.2">
      <c r="B1371" s="33" t="s">
        <v>1988</v>
      </c>
      <c r="C1371" s="33" t="s">
        <v>30</v>
      </c>
      <c r="D1371"/>
      <c r="E1371" s="35">
        <f>SUMIFS(E1372:E9015,K1372:K9015,"0",B1372:B9015,"2 1 1 7 6 12 31111 6*")-SUMIFS(D1372:D9015,K1372:K9015,"0",B1372:B9015,"2 1 1 7 6 12 31111 6*")</f>
        <v>472809.9</v>
      </c>
      <c r="F1371" s="35">
        <f>SUMIFS(F1372:F9015,K1372:K9015,"0",B1372:B9015,"2 1 1 7 6 12 31111 6*")</f>
        <v>2241258.7000000002</v>
      </c>
      <c r="G1371" s="35">
        <f>SUMIFS(G1372:G9015,K1372:K9015,"0",B1372:B9015,"2 1 1 7 6 12 31111 6*")</f>
        <v>1240363.55</v>
      </c>
      <c r="H1371" s="35"/>
      <c r="I1371" s="35">
        <f t="shared" si="21"/>
        <v>-528085.25000000023</v>
      </c>
      <c r="K1371" t="s">
        <v>15</v>
      </c>
    </row>
    <row r="1372" spans="2:11" ht="16.5" x14ac:dyDescent="0.2">
      <c r="B1372" s="33" t="s">
        <v>1989</v>
      </c>
      <c r="C1372" s="33" t="s">
        <v>1990</v>
      </c>
      <c r="D1372"/>
      <c r="E1372" s="35">
        <f>SUMIFS(E1373:E9015,K1373:K9015,"0",B1373:B9015,"2 1 1 7 6 12 31111 6 M59*")-SUMIFS(D1373:D9015,K1373:K9015,"0",B1373:B9015,"2 1 1 7 6 12 31111 6 M59*")</f>
        <v>472809.9</v>
      </c>
      <c r="F1372" s="35">
        <f>SUMIFS(F1373:F9015,K1373:K9015,"0",B1373:B9015,"2 1 1 7 6 12 31111 6 M59*")</f>
        <v>2241258.7000000002</v>
      </c>
      <c r="G1372" s="35">
        <f>SUMIFS(G1373:G9015,K1373:K9015,"0",B1373:B9015,"2 1 1 7 6 12 31111 6 M59*")</f>
        <v>1240363.55</v>
      </c>
      <c r="H1372" s="35"/>
      <c r="I1372" s="35">
        <f t="shared" si="21"/>
        <v>-528085.25000000023</v>
      </c>
      <c r="K1372" t="s">
        <v>15</v>
      </c>
    </row>
    <row r="1373" spans="2:11" ht="24.75" x14ac:dyDescent="0.2">
      <c r="B1373" s="33" t="s">
        <v>1991</v>
      </c>
      <c r="C1373" s="33" t="s">
        <v>40</v>
      </c>
      <c r="D1373"/>
      <c r="E1373" s="35">
        <f>SUMIFS(E1374:E9015,K1374:K9015,"0",B1374:B9015,"2 1 1 7 6 12 31111 6 M59 00003*")-SUMIFS(D1374:D9015,K1374:K9015,"0",B1374:B9015,"2 1 1 7 6 12 31111 6 M59 00003*")</f>
        <v>472809.9</v>
      </c>
      <c r="F1373" s="35">
        <f>SUMIFS(F1374:F9015,K1374:K9015,"0",B1374:B9015,"2 1 1 7 6 12 31111 6 M59 00003*")</f>
        <v>2241258.7000000002</v>
      </c>
      <c r="G1373" s="35">
        <f>SUMIFS(G1374:G9015,K1374:K9015,"0",B1374:B9015,"2 1 1 7 6 12 31111 6 M59 00003*")</f>
        <v>1240363.55</v>
      </c>
      <c r="H1373" s="35"/>
      <c r="I1373" s="35">
        <f t="shared" si="21"/>
        <v>-528085.25000000023</v>
      </c>
      <c r="K1373" t="s">
        <v>15</v>
      </c>
    </row>
    <row r="1374" spans="2:11" ht="16.5" x14ac:dyDescent="0.2">
      <c r="B1374" s="33" t="s">
        <v>1992</v>
      </c>
      <c r="C1374" s="33" t="s">
        <v>42</v>
      </c>
      <c r="D1374"/>
      <c r="E1374" s="35">
        <f>SUMIFS(E1375:E9015,K1375:K9015,"0",B1375:B9015,"2 1 1 7 6 12 31111 6 M59 00003 000001*")-SUMIFS(D1375:D9015,K1375:K9015,"0",B1375:B9015,"2 1 1 7 6 12 31111 6 M59 00003 000001*")</f>
        <v>11504.85</v>
      </c>
      <c r="F1374" s="35">
        <f>SUMIFS(F1375:F9015,K1375:K9015,"0",B1375:B9015,"2 1 1 7 6 12 31111 6 M59 00003 000001*")</f>
        <v>133219.31</v>
      </c>
      <c r="G1374" s="35">
        <f>SUMIFS(G1375:G9015,K1375:K9015,"0",B1375:B9015,"2 1 1 7 6 12 31111 6 M59 00003 000001*")</f>
        <v>143363.14000000001</v>
      </c>
      <c r="H1374" s="35"/>
      <c r="I1374" s="35">
        <f t="shared" si="21"/>
        <v>21648.680000000022</v>
      </c>
      <c r="K1374" t="s">
        <v>15</v>
      </c>
    </row>
    <row r="1375" spans="2:11" ht="16.5" x14ac:dyDescent="0.2">
      <c r="B1375" s="31" t="s">
        <v>1993</v>
      </c>
      <c r="C1375" s="31" t="s">
        <v>1994</v>
      </c>
      <c r="D1375" s="34"/>
      <c r="E1375" s="34">
        <v>5040</v>
      </c>
      <c r="F1375" s="34">
        <v>133219.31</v>
      </c>
      <c r="G1375" s="34">
        <v>143363.14000000001</v>
      </c>
      <c r="H1375" s="34"/>
      <c r="I1375" s="34">
        <f t="shared" si="21"/>
        <v>15183.830000000016</v>
      </c>
      <c r="K1375" t="s">
        <v>38</v>
      </c>
    </row>
    <row r="1376" spans="2:11" ht="16.5" x14ac:dyDescent="0.2">
      <c r="B1376" s="31" t="s">
        <v>1995</v>
      </c>
      <c r="C1376" s="31" t="s">
        <v>430</v>
      </c>
      <c r="D1376" s="34"/>
      <c r="E1376" s="34">
        <v>1600</v>
      </c>
      <c r="F1376" s="34">
        <v>0</v>
      </c>
      <c r="G1376" s="34">
        <v>0</v>
      </c>
      <c r="H1376" s="34"/>
      <c r="I1376" s="34">
        <f t="shared" si="21"/>
        <v>1600</v>
      </c>
      <c r="K1376" t="s">
        <v>38</v>
      </c>
    </row>
    <row r="1377" spans="2:11" ht="16.5" x14ac:dyDescent="0.2">
      <c r="B1377" s="31" t="s">
        <v>1996</v>
      </c>
      <c r="C1377" s="31" t="s">
        <v>432</v>
      </c>
      <c r="D1377" s="34"/>
      <c r="E1377" s="34">
        <v>120</v>
      </c>
      <c r="F1377" s="34">
        <v>0</v>
      </c>
      <c r="G1377" s="34">
        <v>0</v>
      </c>
      <c r="H1377" s="34"/>
      <c r="I1377" s="34">
        <f t="shared" si="21"/>
        <v>120</v>
      </c>
      <c r="K1377" t="s">
        <v>38</v>
      </c>
    </row>
    <row r="1378" spans="2:11" ht="16.5" x14ac:dyDescent="0.2">
      <c r="B1378" s="31" t="s">
        <v>1997</v>
      </c>
      <c r="C1378" s="31" t="s">
        <v>1998</v>
      </c>
      <c r="D1378" s="34"/>
      <c r="E1378" s="34">
        <v>669.85</v>
      </c>
      <c r="F1378" s="34">
        <v>0</v>
      </c>
      <c r="G1378" s="34">
        <v>0</v>
      </c>
      <c r="H1378" s="34"/>
      <c r="I1378" s="34">
        <f t="shared" si="21"/>
        <v>669.85</v>
      </c>
      <c r="K1378" t="s">
        <v>38</v>
      </c>
    </row>
    <row r="1379" spans="2:11" ht="16.5" x14ac:dyDescent="0.2">
      <c r="B1379" s="31" t="s">
        <v>1999</v>
      </c>
      <c r="C1379" s="31" t="s">
        <v>2000</v>
      </c>
      <c r="D1379" s="34"/>
      <c r="E1379" s="34">
        <v>3200</v>
      </c>
      <c r="F1379" s="34">
        <v>0</v>
      </c>
      <c r="G1379" s="34">
        <v>0</v>
      </c>
      <c r="H1379" s="34"/>
      <c r="I1379" s="34">
        <f t="shared" si="21"/>
        <v>3200</v>
      </c>
      <c r="K1379" t="s">
        <v>38</v>
      </c>
    </row>
    <row r="1380" spans="2:11" ht="16.5" x14ac:dyDescent="0.2">
      <c r="B1380" s="31" t="s">
        <v>2001</v>
      </c>
      <c r="C1380" s="31" t="s">
        <v>2002</v>
      </c>
      <c r="D1380" s="34"/>
      <c r="E1380" s="34">
        <v>875</v>
      </c>
      <c r="F1380" s="34">
        <v>0</v>
      </c>
      <c r="G1380" s="34">
        <v>0</v>
      </c>
      <c r="H1380" s="34"/>
      <c r="I1380" s="34">
        <f t="shared" si="21"/>
        <v>875</v>
      </c>
      <c r="K1380" t="s">
        <v>38</v>
      </c>
    </row>
    <row r="1381" spans="2:11" ht="16.5" x14ac:dyDescent="0.2">
      <c r="B1381" s="33" t="s">
        <v>2003</v>
      </c>
      <c r="C1381" s="33" t="s">
        <v>42</v>
      </c>
      <c r="D1381"/>
      <c r="E1381" s="35">
        <f>SUMIFS(E1382:E9015,K1382:K9015,"0",B1382:B9015,"2 1 1 7 6 12 31111 6 M59 00003 000002*")-SUMIFS(D1382:D9015,K1382:K9015,"0",B1382:B9015,"2 1 1 7 6 12 31111 6 M59 00003 000002*")</f>
        <v>454726.9</v>
      </c>
      <c r="F1381" s="35">
        <f>SUMIFS(F1382:F9015,K1382:K9015,"0",B1382:B9015,"2 1 1 7 6 12 31111 6 M59 00003 000002*")</f>
        <v>2035369.79</v>
      </c>
      <c r="G1381" s="35">
        <f>SUMIFS(G1382:G9015,K1382:K9015,"0",B1382:B9015,"2 1 1 7 6 12 31111 6 M59 00003 000002*")</f>
        <v>1030189.92</v>
      </c>
      <c r="H1381" s="35"/>
      <c r="I1381" s="35">
        <f t="shared" si="21"/>
        <v>-550452.97000000009</v>
      </c>
      <c r="K1381" t="s">
        <v>15</v>
      </c>
    </row>
    <row r="1382" spans="2:11" ht="16.5" x14ac:dyDescent="0.2">
      <c r="B1382" s="31" t="s">
        <v>2004</v>
      </c>
      <c r="C1382" s="31" t="s">
        <v>406</v>
      </c>
      <c r="D1382" s="34"/>
      <c r="E1382" s="34">
        <v>454726.9</v>
      </c>
      <c r="F1382" s="34">
        <v>2035369.79</v>
      </c>
      <c r="G1382" s="34">
        <v>1030189.92</v>
      </c>
      <c r="H1382" s="34"/>
      <c r="I1382" s="34">
        <f t="shared" si="21"/>
        <v>-550452.97000000009</v>
      </c>
      <c r="K1382" t="s">
        <v>38</v>
      </c>
    </row>
    <row r="1383" spans="2:11" ht="16.5" x14ac:dyDescent="0.2">
      <c r="B1383" s="33" t="s">
        <v>2005</v>
      </c>
      <c r="C1383" s="33" t="s">
        <v>42</v>
      </c>
      <c r="D1383"/>
      <c r="E1383" s="35">
        <f>SUMIFS(E1384:E9015,K1384:K9015,"0",B1384:B9015,"2 1 1 7 6 12 31111 6 M59 00003 000003*")-SUMIFS(D1384:D9015,K1384:K9015,"0",B1384:B9015,"2 1 1 7 6 12 31111 6 M59 00003 000003*")</f>
        <v>1128.1500000000001</v>
      </c>
      <c r="F1383" s="35">
        <f>SUMIFS(F1384:F9015,K1384:K9015,"0",B1384:B9015,"2 1 1 7 6 12 31111 6 M59 00003 000003*")</f>
        <v>65409.599999999999</v>
      </c>
      <c r="G1383" s="35">
        <f>SUMIFS(G1384:G9015,K1384:K9015,"0",B1384:B9015,"2 1 1 7 6 12 31111 6 M59 00003 000003*")</f>
        <v>59550.49</v>
      </c>
      <c r="H1383" s="35"/>
      <c r="I1383" s="35">
        <f t="shared" si="21"/>
        <v>-4730.9599999999991</v>
      </c>
      <c r="K1383" t="s">
        <v>15</v>
      </c>
    </row>
    <row r="1384" spans="2:11" ht="24.75" x14ac:dyDescent="0.2">
      <c r="B1384" s="31" t="s">
        <v>2006</v>
      </c>
      <c r="C1384" s="31" t="s">
        <v>2007</v>
      </c>
      <c r="D1384" s="34"/>
      <c r="E1384" s="34">
        <v>1128.1500000000001</v>
      </c>
      <c r="F1384" s="34">
        <v>65409.599999999999</v>
      </c>
      <c r="G1384" s="34">
        <v>59550.49</v>
      </c>
      <c r="H1384" s="34"/>
      <c r="I1384" s="34">
        <f t="shared" si="21"/>
        <v>-4730.9599999999991</v>
      </c>
      <c r="K1384" t="s">
        <v>38</v>
      </c>
    </row>
    <row r="1385" spans="2:11" ht="16.5" x14ac:dyDescent="0.2">
      <c r="B1385" s="33" t="s">
        <v>2008</v>
      </c>
      <c r="C1385" s="33" t="s">
        <v>42</v>
      </c>
      <c r="D1385"/>
      <c r="E1385" s="35">
        <f>SUMIFS(E1386:E9015,K1386:K9015,"0",B1386:B9015,"2 1 1 7 6 12 31111 6 M59 00003 000004*")-SUMIFS(D1386:D9015,K1386:K9015,"0",B1386:B9015,"2 1 1 7 6 12 31111 6 M59 00003 000004*")</f>
        <v>5450</v>
      </c>
      <c r="F1385" s="35">
        <f>SUMIFS(F1386:F9015,K1386:K9015,"0",B1386:B9015,"2 1 1 7 6 12 31111 6 M59 00003 000004*")</f>
        <v>7260</v>
      </c>
      <c r="G1385" s="35">
        <f>SUMIFS(G1386:G9015,K1386:K9015,"0",B1386:B9015,"2 1 1 7 6 12 31111 6 M59 00003 000004*")</f>
        <v>7260</v>
      </c>
      <c r="H1385" s="35"/>
      <c r="I1385" s="35">
        <f t="shared" si="21"/>
        <v>5450</v>
      </c>
      <c r="K1385" t="s">
        <v>15</v>
      </c>
    </row>
    <row r="1386" spans="2:11" ht="16.5" x14ac:dyDescent="0.2">
      <c r="B1386" s="31" t="s">
        <v>2009</v>
      </c>
      <c r="C1386" s="31" t="s">
        <v>2010</v>
      </c>
      <c r="D1386" s="34"/>
      <c r="E1386" s="34">
        <v>890</v>
      </c>
      <c r="F1386" s="34">
        <v>0</v>
      </c>
      <c r="G1386" s="34">
        <v>0</v>
      </c>
      <c r="H1386" s="34"/>
      <c r="I1386" s="34">
        <f t="shared" si="21"/>
        <v>890</v>
      </c>
      <c r="K1386" t="s">
        <v>38</v>
      </c>
    </row>
    <row r="1387" spans="2:11" ht="16.5" x14ac:dyDescent="0.2">
      <c r="B1387" s="31" t="s">
        <v>2011</v>
      </c>
      <c r="C1387" s="31" t="s">
        <v>2012</v>
      </c>
      <c r="D1387" s="34"/>
      <c r="E1387" s="34">
        <v>360</v>
      </c>
      <c r="F1387" s="34">
        <v>5760</v>
      </c>
      <c r="G1387" s="34">
        <v>5760</v>
      </c>
      <c r="H1387" s="34"/>
      <c r="I1387" s="34">
        <f t="shared" si="21"/>
        <v>360</v>
      </c>
      <c r="K1387" t="s">
        <v>38</v>
      </c>
    </row>
    <row r="1388" spans="2:11" ht="24.75" x14ac:dyDescent="0.2">
      <c r="B1388" s="31" t="s">
        <v>2013</v>
      </c>
      <c r="C1388" s="31" t="s">
        <v>2014</v>
      </c>
      <c r="D1388" s="34"/>
      <c r="E1388" s="34">
        <v>4200</v>
      </c>
      <c r="F1388" s="34">
        <v>1500</v>
      </c>
      <c r="G1388" s="34">
        <v>1500</v>
      </c>
      <c r="H1388" s="34"/>
      <c r="I1388" s="34">
        <f t="shared" si="21"/>
        <v>4200</v>
      </c>
      <c r="K1388" t="s">
        <v>38</v>
      </c>
    </row>
    <row r="1389" spans="2:11" ht="24.75" x14ac:dyDescent="0.2">
      <c r="B1389" s="33" t="s">
        <v>2015</v>
      </c>
      <c r="C1389" s="33" t="s">
        <v>2016</v>
      </c>
      <c r="D1389"/>
      <c r="E1389" s="35">
        <f>SUMIFS(E1390:E9015,K1390:K9015,"0",B1390:B9015,"2 1 1 7 9*")-SUMIFS(D1390:D9015,K1390:K9015,"0",B1390:B9015,"2 1 1 7 9*")</f>
        <v>617492.1399999999</v>
      </c>
      <c r="F1389" s="35">
        <f>SUMIFS(F1390:F9015,K1390:K9015,"0",B1390:B9015,"2 1 1 7 9*")</f>
        <v>14109.93</v>
      </c>
      <c r="G1389" s="35">
        <f>SUMIFS(G1390:G9015,K1390:K9015,"0",B1390:B9015,"2 1 1 7 9*")</f>
        <v>19409.93</v>
      </c>
      <c r="H1389" s="35"/>
      <c r="I1389" s="35">
        <f t="shared" si="21"/>
        <v>622792.1399999999</v>
      </c>
      <c r="K1389" t="s">
        <v>15</v>
      </c>
    </row>
    <row r="1390" spans="2:11" ht="12.75" x14ac:dyDescent="0.2">
      <c r="B1390" s="33" t="s">
        <v>2017</v>
      </c>
      <c r="C1390" s="33" t="s">
        <v>26</v>
      </c>
      <c r="D1390"/>
      <c r="E1390" s="35">
        <f>SUMIFS(E1391:E9015,K1391:K9015,"0",B1391:B9015,"2 1 1 7 9 12*")-SUMIFS(D1391:D9015,K1391:K9015,"0",B1391:B9015,"2 1 1 7 9 12*")</f>
        <v>617492.1399999999</v>
      </c>
      <c r="F1390" s="35">
        <f>SUMIFS(F1391:F9015,K1391:K9015,"0",B1391:B9015,"2 1 1 7 9 12*")</f>
        <v>14109.93</v>
      </c>
      <c r="G1390" s="35">
        <f>SUMIFS(G1391:G9015,K1391:K9015,"0",B1391:B9015,"2 1 1 7 9 12*")</f>
        <v>19409.93</v>
      </c>
      <c r="H1390" s="35"/>
      <c r="I1390" s="35">
        <f t="shared" si="21"/>
        <v>622792.1399999999</v>
      </c>
      <c r="K1390" t="s">
        <v>15</v>
      </c>
    </row>
    <row r="1391" spans="2:11" ht="16.5" x14ac:dyDescent="0.2">
      <c r="B1391" s="33" t="s">
        <v>2018</v>
      </c>
      <c r="C1391" s="33" t="s">
        <v>28</v>
      </c>
      <c r="D1391"/>
      <c r="E1391" s="35">
        <f>SUMIFS(E1392:E9015,K1392:K9015,"0",B1392:B9015,"2 1 1 7 9 12 31111*")-SUMIFS(D1392:D9015,K1392:K9015,"0",B1392:B9015,"2 1 1 7 9 12 31111*")</f>
        <v>617492.1399999999</v>
      </c>
      <c r="F1391" s="35">
        <f>SUMIFS(F1392:F9015,K1392:K9015,"0",B1392:B9015,"2 1 1 7 9 12 31111*")</f>
        <v>14109.93</v>
      </c>
      <c r="G1391" s="35">
        <f>SUMIFS(G1392:G9015,K1392:K9015,"0",B1392:B9015,"2 1 1 7 9 12 31111*")</f>
        <v>19409.93</v>
      </c>
      <c r="H1391" s="35"/>
      <c r="I1391" s="35">
        <f t="shared" ref="I1391:I1454" si="22">E1391 - F1391 + G1391</f>
        <v>622792.1399999999</v>
      </c>
      <c r="K1391" t="s">
        <v>15</v>
      </c>
    </row>
    <row r="1392" spans="2:11" ht="12.75" x14ac:dyDescent="0.2">
      <c r="B1392" s="33" t="s">
        <v>2019</v>
      </c>
      <c r="C1392" s="33" t="s">
        <v>30</v>
      </c>
      <c r="D1392"/>
      <c r="E1392" s="35">
        <f>SUMIFS(E1393:E9015,K1393:K9015,"0",B1393:B9015,"2 1 1 7 9 12 31111 6*")-SUMIFS(D1393:D9015,K1393:K9015,"0",B1393:B9015,"2 1 1 7 9 12 31111 6*")</f>
        <v>617492.1399999999</v>
      </c>
      <c r="F1392" s="35">
        <f>SUMIFS(F1393:F9015,K1393:K9015,"0",B1393:B9015,"2 1 1 7 9 12 31111 6*")</f>
        <v>14109.93</v>
      </c>
      <c r="G1392" s="35">
        <f>SUMIFS(G1393:G9015,K1393:K9015,"0",B1393:B9015,"2 1 1 7 9 12 31111 6*")</f>
        <v>19409.93</v>
      </c>
      <c r="H1392" s="35"/>
      <c r="I1392" s="35">
        <f t="shared" si="22"/>
        <v>622792.1399999999</v>
      </c>
      <c r="K1392" t="s">
        <v>15</v>
      </c>
    </row>
    <row r="1393" spans="2:11" ht="16.5" x14ac:dyDescent="0.2">
      <c r="B1393" s="33" t="s">
        <v>2020</v>
      </c>
      <c r="C1393" s="33" t="s">
        <v>32</v>
      </c>
      <c r="D1393"/>
      <c r="E1393" s="35">
        <f>SUMIFS(E1394:E9015,K1394:K9015,"0",B1394:B9015,"2 1 1 7 9 12 31111 6 M59*")-SUMIFS(D1394:D9015,K1394:K9015,"0",B1394:B9015,"2 1 1 7 9 12 31111 6 M59*")</f>
        <v>617492.1399999999</v>
      </c>
      <c r="F1393" s="35">
        <f>SUMIFS(F1394:F9015,K1394:K9015,"0",B1394:B9015,"2 1 1 7 9 12 31111 6 M59*")</f>
        <v>14109.93</v>
      </c>
      <c r="G1393" s="35">
        <f>SUMIFS(G1394:G9015,K1394:K9015,"0",B1394:B9015,"2 1 1 7 9 12 31111 6 M59*")</f>
        <v>19409.93</v>
      </c>
      <c r="H1393" s="35"/>
      <c r="I1393" s="35">
        <f t="shared" si="22"/>
        <v>622792.1399999999</v>
      </c>
      <c r="K1393" t="s">
        <v>15</v>
      </c>
    </row>
    <row r="1394" spans="2:11" ht="16.5" x14ac:dyDescent="0.2">
      <c r="B1394" s="33" t="s">
        <v>2021</v>
      </c>
      <c r="C1394" s="33" t="s">
        <v>282</v>
      </c>
      <c r="D1394"/>
      <c r="E1394" s="35">
        <f>SUMIFS(E1395:E9015,K1395:K9015,"0",B1395:B9015,"2 1 1 7 9 12 31111 6 M59 00001*")-SUMIFS(D1395:D9015,K1395:K9015,"0",B1395:B9015,"2 1 1 7 9 12 31111 6 M59 00001*")</f>
        <v>617492.1399999999</v>
      </c>
      <c r="F1394" s="35">
        <f>SUMIFS(F1395:F9015,K1395:K9015,"0",B1395:B9015,"2 1 1 7 9 12 31111 6 M59 00001*")</f>
        <v>0</v>
      </c>
      <c r="G1394" s="35">
        <f>SUMIFS(G1395:G9015,K1395:K9015,"0",B1395:B9015,"2 1 1 7 9 12 31111 6 M59 00001*")</f>
        <v>0</v>
      </c>
      <c r="H1394" s="35"/>
      <c r="I1394" s="35">
        <f t="shared" si="22"/>
        <v>617492.1399999999</v>
      </c>
      <c r="K1394" t="s">
        <v>15</v>
      </c>
    </row>
    <row r="1395" spans="2:11" ht="16.5" x14ac:dyDescent="0.2">
      <c r="B1395" s="33" t="s">
        <v>2022</v>
      </c>
      <c r="C1395" s="33" t="s">
        <v>2023</v>
      </c>
      <c r="D1395"/>
      <c r="E1395" s="35">
        <f>SUMIFS(E1396:E9015,K1396:K9015,"0",B1396:B9015,"2 1 1 7 9 12 31111 6 M59 00001 000001*")-SUMIFS(D1396:D9015,K1396:K9015,"0",B1396:B9015,"2 1 1 7 9 12 31111 6 M59 00001 000001*")</f>
        <v>5001.18</v>
      </c>
      <c r="F1395" s="35">
        <f>SUMIFS(F1396:F9015,K1396:K9015,"0",B1396:B9015,"2 1 1 7 9 12 31111 6 M59 00001 000001*")</f>
        <v>0</v>
      </c>
      <c r="G1395" s="35">
        <f>SUMIFS(G1396:G9015,K1396:K9015,"0",B1396:B9015,"2 1 1 7 9 12 31111 6 M59 00001 000001*")</f>
        <v>0</v>
      </c>
      <c r="H1395" s="35"/>
      <c r="I1395" s="35">
        <f t="shared" si="22"/>
        <v>5001.18</v>
      </c>
      <c r="K1395" t="s">
        <v>15</v>
      </c>
    </row>
    <row r="1396" spans="2:11" ht="16.5" x14ac:dyDescent="0.2">
      <c r="B1396" s="31" t="s">
        <v>2024</v>
      </c>
      <c r="C1396" s="31" t="s">
        <v>2025</v>
      </c>
      <c r="D1396" s="34"/>
      <c r="E1396" s="34">
        <v>3031.54</v>
      </c>
      <c r="F1396" s="34">
        <v>0</v>
      </c>
      <c r="G1396" s="34">
        <v>0</v>
      </c>
      <c r="H1396" s="34"/>
      <c r="I1396" s="34">
        <f t="shared" si="22"/>
        <v>3031.54</v>
      </c>
      <c r="K1396" t="s">
        <v>38</v>
      </c>
    </row>
    <row r="1397" spans="2:11" ht="16.5" x14ac:dyDescent="0.2">
      <c r="B1397" s="31" t="s">
        <v>2026</v>
      </c>
      <c r="C1397" s="31" t="s">
        <v>2027</v>
      </c>
      <c r="D1397" s="34"/>
      <c r="E1397" s="34">
        <v>2000</v>
      </c>
      <c r="F1397" s="34">
        <v>0</v>
      </c>
      <c r="G1397" s="34">
        <v>0</v>
      </c>
      <c r="H1397" s="34"/>
      <c r="I1397" s="34">
        <f t="shared" si="22"/>
        <v>2000</v>
      </c>
      <c r="K1397" t="s">
        <v>38</v>
      </c>
    </row>
    <row r="1398" spans="2:11" ht="16.5" x14ac:dyDescent="0.2">
      <c r="B1398" s="31" t="s">
        <v>2028</v>
      </c>
      <c r="C1398" s="31" t="s">
        <v>2029</v>
      </c>
      <c r="D1398" s="34"/>
      <c r="E1398" s="34">
        <v>1054.04</v>
      </c>
      <c r="F1398" s="34">
        <v>0</v>
      </c>
      <c r="G1398" s="34">
        <v>0</v>
      </c>
      <c r="H1398" s="34"/>
      <c r="I1398" s="34">
        <f t="shared" si="22"/>
        <v>1054.04</v>
      </c>
      <c r="K1398" t="s">
        <v>38</v>
      </c>
    </row>
    <row r="1399" spans="2:11" ht="16.5" x14ac:dyDescent="0.2">
      <c r="B1399" s="31" t="s">
        <v>2030</v>
      </c>
      <c r="C1399" s="31" t="s">
        <v>1596</v>
      </c>
      <c r="D1399" s="34"/>
      <c r="E1399" s="34">
        <v>-1084.4000000000001</v>
      </c>
      <c r="F1399" s="34">
        <v>0</v>
      </c>
      <c r="G1399" s="34">
        <v>0</v>
      </c>
      <c r="H1399" s="34"/>
      <c r="I1399" s="34">
        <f t="shared" si="22"/>
        <v>-1084.4000000000001</v>
      </c>
      <c r="K1399" t="s">
        <v>38</v>
      </c>
    </row>
    <row r="1400" spans="2:11" ht="24.75" x14ac:dyDescent="0.2">
      <c r="B1400" s="33" t="s">
        <v>2031</v>
      </c>
      <c r="C1400" s="33" t="s">
        <v>2032</v>
      </c>
      <c r="D1400"/>
      <c r="E1400" s="35">
        <f>SUMIFS(E1401:E9015,K1401:K9015,"0",B1401:B9015,"2 1 1 7 9 12 31111 6 M59 00001 000002*")-SUMIFS(D1401:D9015,K1401:K9015,"0",B1401:B9015,"2 1 1 7 9 12 31111 6 M59 00001 000002*")</f>
        <v>599719.63</v>
      </c>
      <c r="F1400" s="35">
        <f>SUMIFS(F1401:F9015,K1401:K9015,"0",B1401:B9015,"2 1 1 7 9 12 31111 6 M59 00001 000002*")</f>
        <v>0</v>
      </c>
      <c r="G1400" s="35">
        <f>SUMIFS(G1401:G9015,K1401:K9015,"0",B1401:B9015,"2 1 1 7 9 12 31111 6 M59 00001 000002*")</f>
        <v>0</v>
      </c>
      <c r="H1400" s="35"/>
      <c r="I1400" s="35">
        <f t="shared" si="22"/>
        <v>599719.63</v>
      </c>
      <c r="K1400" t="s">
        <v>15</v>
      </c>
    </row>
    <row r="1401" spans="2:11" ht="24.75" x14ac:dyDescent="0.2">
      <c r="B1401" s="31" t="s">
        <v>2033</v>
      </c>
      <c r="C1401" s="31" t="s">
        <v>394</v>
      </c>
      <c r="D1401" s="34"/>
      <c r="E1401" s="34">
        <v>13193.53</v>
      </c>
      <c r="F1401" s="34">
        <v>0</v>
      </c>
      <c r="G1401" s="34">
        <v>0</v>
      </c>
      <c r="H1401" s="34"/>
      <c r="I1401" s="34">
        <f t="shared" si="22"/>
        <v>13193.53</v>
      </c>
      <c r="K1401" t="s">
        <v>38</v>
      </c>
    </row>
    <row r="1402" spans="2:11" ht="16.5" x14ac:dyDescent="0.2">
      <c r="B1402" s="31" t="s">
        <v>2034</v>
      </c>
      <c r="C1402" s="31" t="s">
        <v>406</v>
      </c>
      <c r="D1402" s="34"/>
      <c r="E1402" s="34">
        <v>586526.1</v>
      </c>
      <c r="F1402" s="34">
        <v>0</v>
      </c>
      <c r="G1402" s="34">
        <v>0</v>
      </c>
      <c r="H1402" s="34"/>
      <c r="I1402" s="34">
        <f t="shared" si="22"/>
        <v>586526.1</v>
      </c>
      <c r="K1402" t="s">
        <v>38</v>
      </c>
    </row>
    <row r="1403" spans="2:11" ht="16.5" x14ac:dyDescent="0.2">
      <c r="B1403" s="33" t="s">
        <v>2035</v>
      </c>
      <c r="C1403" s="33" t="s">
        <v>2036</v>
      </c>
      <c r="D1403"/>
      <c r="E1403" s="35">
        <f>SUMIFS(E1404:E9015,K1404:K9015,"0",B1404:B9015,"2 1 1 7 9 12 31111 6 M59 00001 000003*")-SUMIFS(D1404:D9015,K1404:K9015,"0",B1404:B9015,"2 1 1 7 9 12 31111 6 M59 00001 000003*")</f>
        <v>10021.33</v>
      </c>
      <c r="F1403" s="35">
        <f>SUMIFS(F1404:F9015,K1404:K9015,"0",B1404:B9015,"2 1 1 7 9 12 31111 6 M59 00001 000003*")</f>
        <v>0</v>
      </c>
      <c r="G1403" s="35">
        <f>SUMIFS(G1404:G9015,K1404:K9015,"0",B1404:B9015,"2 1 1 7 9 12 31111 6 M59 00001 000003*")</f>
        <v>0</v>
      </c>
      <c r="H1403" s="35"/>
      <c r="I1403" s="35">
        <f t="shared" si="22"/>
        <v>10021.33</v>
      </c>
      <c r="K1403" t="s">
        <v>15</v>
      </c>
    </row>
    <row r="1404" spans="2:11" ht="24.75" x14ac:dyDescent="0.2">
      <c r="B1404" s="31" t="s">
        <v>2037</v>
      </c>
      <c r="C1404" s="31" t="s">
        <v>2038</v>
      </c>
      <c r="D1404" s="34"/>
      <c r="E1404" s="34">
        <v>10021.33</v>
      </c>
      <c r="F1404" s="34">
        <v>0</v>
      </c>
      <c r="G1404" s="34">
        <v>0</v>
      </c>
      <c r="H1404" s="34"/>
      <c r="I1404" s="34">
        <f t="shared" si="22"/>
        <v>10021.33</v>
      </c>
      <c r="K1404" t="s">
        <v>38</v>
      </c>
    </row>
    <row r="1405" spans="2:11" ht="24.75" x14ac:dyDescent="0.2">
      <c r="B1405" s="33" t="s">
        <v>2039</v>
      </c>
      <c r="C1405" s="33" t="s">
        <v>2040</v>
      </c>
      <c r="D1405"/>
      <c r="E1405" s="35">
        <f>SUMIFS(E1406:E9015,K1406:K9015,"0",B1406:B9015,"2 1 1 7 9 12 31111 6 M59 00001 000004*")-SUMIFS(D1406:D9015,K1406:K9015,"0",B1406:B9015,"2 1 1 7 9 12 31111 6 M59 00001 000004*")</f>
        <v>2750</v>
      </c>
      <c r="F1405" s="35">
        <f>SUMIFS(F1406:F9015,K1406:K9015,"0",B1406:B9015,"2 1 1 7 9 12 31111 6 M59 00001 000004*")</f>
        <v>0</v>
      </c>
      <c r="G1405" s="35">
        <f>SUMIFS(G1406:G9015,K1406:K9015,"0",B1406:B9015,"2 1 1 7 9 12 31111 6 M59 00001 000004*")</f>
        <v>0</v>
      </c>
      <c r="H1405" s="35"/>
      <c r="I1405" s="35">
        <f t="shared" si="22"/>
        <v>2750</v>
      </c>
      <c r="K1405" t="s">
        <v>15</v>
      </c>
    </row>
    <row r="1406" spans="2:11" ht="24.75" x14ac:dyDescent="0.2">
      <c r="B1406" s="33" t="s">
        <v>2041</v>
      </c>
      <c r="C1406" s="33" t="s">
        <v>2042</v>
      </c>
      <c r="D1406"/>
      <c r="E1406" s="35">
        <f>SUMIFS(E1407:E9015,K1407:K9015,"0",B1407:B9015,"2 1 1 7 9 12 31111 6 M59 00001 000004 00009*")-SUMIFS(D1407:D9015,K1407:K9015,"0",B1407:B9015,"2 1 1 7 9 12 31111 6 M59 00001 000004 00009*")</f>
        <v>2750</v>
      </c>
      <c r="F1406" s="35">
        <f>SUMIFS(F1407:F9015,K1407:K9015,"0",B1407:B9015,"2 1 1 7 9 12 31111 6 M59 00001 000004 00009*")</f>
        <v>0</v>
      </c>
      <c r="G1406" s="35">
        <f>SUMIFS(G1407:G9015,K1407:K9015,"0",B1407:B9015,"2 1 1 7 9 12 31111 6 M59 00001 000004 00009*")</f>
        <v>0</v>
      </c>
      <c r="H1406" s="35"/>
      <c r="I1406" s="35">
        <f t="shared" si="22"/>
        <v>2750</v>
      </c>
      <c r="K1406" t="s">
        <v>15</v>
      </c>
    </row>
    <row r="1407" spans="2:11" ht="24.75" x14ac:dyDescent="0.2">
      <c r="B1407" s="31" t="s">
        <v>2043</v>
      </c>
      <c r="C1407" s="31" t="s">
        <v>2044</v>
      </c>
      <c r="D1407" s="34"/>
      <c r="E1407" s="34">
        <v>2750</v>
      </c>
      <c r="F1407" s="34">
        <v>0</v>
      </c>
      <c r="G1407" s="34">
        <v>0</v>
      </c>
      <c r="H1407" s="34"/>
      <c r="I1407" s="34">
        <f t="shared" si="22"/>
        <v>2750</v>
      </c>
      <c r="K1407" t="s">
        <v>38</v>
      </c>
    </row>
    <row r="1408" spans="2:11" ht="24.75" x14ac:dyDescent="0.2">
      <c r="B1408" s="33" t="s">
        <v>2045</v>
      </c>
      <c r="C1408" s="33" t="s">
        <v>1764</v>
      </c>
      <c r="D1408"/>
      <c r="E1408" s="35">
        <f>SUMIFS(E1409:E9015,K1409:K9015,"0",B1409:B9015,"2 1 1 7 9 12 31111 6 M59 00003*")-SUMIFS(D1409:D9015,K1409:K9015,"0",B1409:B9015,"2 1 1 7 9 12 31111 6 M59 00003*")</f>
        <v>0</v>
      </c>
      <c r="F1408" s="35">
        <f>SUMIFS(F1409:F9015,K1409:K9015,"0",B1409:B9015,"2 1 1 7 9 12 31111 6 M59 00003*")</f>
        <v>14109.93</v>
      </c>
      <c r="G1408" s="35">
        <f>SUMIFS(G1409:G9015,K1409:K9015,"0",B1409:B9015,"2 1 1 7 9 12 31111 6 M59 00003*")</f>
        <v>19409.93</v>
      </c>
      <c r="H1408" s="35"/>
      <c r="I1408" s="35">
        <f t="shared" si="22"/>
        <v>5300</v>
      </c>
      <c r="K1408" t="s">
        <v>15</v>
      </c>
    </row>
    <row r="1409" spans="2:11" ht="16.5" x14ac:dyDescent="0.2">
      <c r="B1409" s="33" t="s">
        <v>2046</v>
      </c>
      <c r="C1409" s="33" t="s">
        <v>2047</v>
      </c>
      <c r="D1409"/>
      <c r="E1409" s="35">
        <f>SUMIFS(E1410:E9015,K1410:K9015,"0",B1410:B9015,"2 1 1 7 9 12 31111 6 M59 00003 000001*")-SUMIFS(D1410:D9015,K1410:K9015,"0",B1410:B9015,"2 1 1 7 9 12 31111 6 M59 00003 000001*")</f>
        <v>0</v>
      </c>
      <c r="F1409" s="35">
        <f>SUMIFS(F1410:F9015,K1410:K9015,"0",B1410:B9015,"2 1 1 7 9 12 31111 6 M59 00003 000001*")</f>
        <v>14109.93</v>
      </c>
      <c r="G1409" s="35">
        <f>SUMIFS(G1410:G9015,K1410:K9015,"0",B1410:B9015,"2 1 1 7 9 12 31111 6 M59 00003 000001*")</f>
        <v>19409.93</v>
      </c>
      <c r="H1409" s="35"/>
      <c r="I1409" s="35">
        <f t="shared" si="22"/>
        <v>5300</v>
      </c>
      <c r="K1409" t="s">
        <v>15</v>
      </c>
    </row>
    <row r="1410" spans="2:11" ht="16.5" x14ac:dyDescent="0.2">
      <c r="B1410" s="31" t="s">
        <v>2048</v>
      </c>
      <c r="C1410" s="31" t="s">
        <v>2049</v>
      </c>
      <c r="D1410" s="34"/>
      <c r="E1410" s="34">
        <v>0</v>
      </c>
      <c r="F1410" s="34">
        <v>0</v>
      </c>
      <c r="G1410" s="34">
        <v>5300</v>
      </c>
      <c r="H1410" s="34"/>
      <c r="I1410" s="34">
        <f t="shared" si="22"/>
        <v>5300</v>
      </c>
      <c r="K1410" t="s">
        <v>38</v>
      </c>
    </row>
    <row r="1411" spans="2:11" ht="16.5" x14ac:dyDescent="0.2">
      <c r="B1411" s="31" t="s">
        <v>2050</v>
      </c>
      <c r="C1411" s="31" t="s">
        <v>2051</v>
      </c>
      <c r="D1411" s="34"/>
      <c r="E1411" s="34">
        <v>0</v>
      </c>
      <c r="F1411" s="34">
        <v>5582.57</v>
      </c>
      <c r="G1411" s="34">
        <v>5582.57</v>
      </c>
      <c r="H1411" s="34"/>
      <c r="I1411" s="34">
        <f t="shared" si="22"/>
        <v>0</v>
      </c>
      <c r="K1411" t="s">
        <v>38</v>
      </c>
    </row>
    <row r="1412" spans="2:11" ht="16.5" x14ac:dyDescent="0.2">
      <c r="B1412" s="31" t="s">
        <v>2052</v>
      </c>
      <c r="C1412" s="31" t="s">
        <v>2053</v>
      </c>
      <c r="D1412" s="34"/>
      <c r="E1412" s="34">
        <v>0</v>
      </c>
      <c r="F1412" s="34">
        <v>8527.36</v>
      </c>
      <c r="G1412" s="34">
        <v>8527.36</v>
      </c>
      <c r="H1412" s="34"/>
      <c r="I1412" s="34">
        <f t="shared" si="22"/>
        <v>0</v>
      </c>
      <c r="K1412" t="s">
        <v>38</v>
      </c>
    </row>
    <row r="1413" spans="2:11" ht="16.5" x14ac:dyDescent="0.2">
      <c r="B1413" s="33" t="s">
        <v>2054</v>
      </c>
      <c r="C1413" s="33" t="s">
        <v>2055</v>
      </c>
      <c r="D1413"/>
      <c r="E1413" s="35">
        <f>SUMIFS(E1414:E9015,K1414:K9015,"0",B1414:B9015,"2 1 1 9*")-SUMIFS(D1414:D9015,K1414:K9015,"0",B1414:B9015,"2 1 1 9*")</f>
        <v>2100</v>
      </c>
      <c r="F1413" s="35">
        <f>SUMIFS(F1414:F9015,K1414:K9015,"0",B1414:B9015,"2 1 1 9*")</f>
        <v>5795700</v>
      </c>
      <c r="G1413" s="35">
        <f>SUMIFS(G1414:G9015,K1414:K9015,"0",B1414:B9015,"2 1 1 9*")</f>
        <v>6398723.9199999999</v>
      </c>
      <c r="H1413" s="35"/>
      <c r="I1413" s="35">
        <f t="shared" si="22"/>
        <v>605123.91999999993</v>
      </c>
      <c r="K1413" t="s">
        <v>15</v>
      </c>
    </row>
    <row r="1414" spans="2:11" ht="12.75" x14ac:dyDescent="0.2">
      <c r="B1414" s="33" t="s">
        <v>2056</v>
      </c>
      <c r="C1414" s="33" t="s">
        <v>2057</v>
      </c>
      <c r="D1414"/>
      <c r="E1414" s="35">
        <f>SUMIFS(E1415:E9015,K1415:K9015,"0",B1415:B9015,"2 1 1 9 5*")-SUMIFS(D1415:D9015,K1415:K9015,"0",B1415:B9015,"2 1 1 9 5*")</f>
        <v>2100</v>
      </c>
      <c r="F1414" s="35">
        <f>SUMIFS(F1415:F9015,K1415:K9015,"0",B1415:B9015,"2 1 1 9 5*")</f>
        <v>5795700</v>
      </c>
      <c r="G1414" s="35">
        <f>SUMIFS(G1415:G9015,K1415:K9015,"0",B1415:B9015,"2 1 1 9 5*")</f>
        <v>6394673.9199999999</v>
      </c>
      <c r="H1414" s="35"/>
      <c r="I1414" s="35">
        <f t="shared" si="22"/>
        <v>601073.91999999993</v>
      </c>
      <c r="K1414" t="s">
        <v>15</v>
      </c>
    </row>
    <row r="1415" spans="2:11" ht="12.75" x14ac:dyDescent="0.2">
      <c r="B1415" s="33" t="s">
        <v>2058</v>
      </c>
      <c r="C1415" s="33" t="s">
        <v>26</v>
      </c>
      <c r="D1415"/>
      <c r="E1415" s="35">
        <f>SUMIFS(E1416:E9015,K1416:K9015,"0",B1416:B9015,"2 1 1 9 5 12*")-SUMIFS(D1416:D9015,K1416:K9015,"0",B1416:B9015,"2 1 1 9 5 12*")</f>
        <v>2100</v>
      </c>
      <c r="F1415" s="35">
        <f>SUMIFS(F1416:F9015,K1416:K9015,"0",B1416:B9015,"2 1 1 9 5 12*")</f>
        <v>5795700</v>
      </c>
      <c r="G1415" s="35">
        <f>SUMIFS(G1416:G9015,K1416:K9015,"0",B1416:B9015,"2 1 1 9 5 12*")</f>
        <v>6394673.9199999999</v>
      </c>
      <c r="H1415" s="35"/>
      <c r="I1415" s="35">
        <f t="shared" si="22"/>
        <v>601073.91999999993</v>
      </c>
      <c r="K1415" t="s">
        <v>15</v>
      </c>
    </row>
    <row r="1416" spans="2:11" ht="16.5" x14ac:dyDescent="0.2">
      <c r="B1416" s="33" t="s">
        <v>2059</v>
      </c>
      <c r="C1416" s="33" t="s">
        <v>28</v>
      </c>
      <c r="D1416"/>
      <c r="E1416" s="35">
        <f>SUMIFS(E1417:E9015,K1417:K9015,"0",B1417:B9015,"2 1 1 9 5 12 31111*")-SUMIFS(D1417:D9015,K1417:K9015,"0",B1417:B9015,"2 1 1 9 5 12 31111*")</f>
        <v>2100</v>
      </c>
      <c r="F1416" s="35">
        <f>SUMIFS(F1417:F9015,K1417:K9015,"0",B1417:B9015,"2 1 1 9 5 12 31111*")</f>
        <v>5795700</v>
      </c>
      <c r="G1416" s="35">
        <f>SUMIFS(G1417:G9015,K1417:K9015,"0",B1417:B9015,"2 1 1 9 5 12 31111*")</f>
        <v>6394673.9199999999</v>
      </c>
      <c r="H1416" s="35"/>
      <c r="I1416" s="35">
        <f t="shared" si="22"/>
        <v>601073.91999999993</v>
      </c>
      <c r="K1416" t="s">
        <v>15</v>
      </c>
    </row>
    <row r="1417" spans="2:11" ht="12.75" x14ac:dyDescent="0.2">
      <c r="B1417" s="33" t="s">
        <v>2060</v>
      </c>
      <c r="C1417" s="33" t="s">
        <v>30</v>
      </c>
      <c r="D1417"/>
      <c r="E1417" s="35">
        <f>SUMIFS(E1418:E9015,K1418:K9015,"0",B1418:B9015,"2 1 1 9 5 12 31111 6*")-SUMIFS(D1418:D9015,K1418:K9015,"0",B1418:B9015,"2 1 1 9 5 12 31111 6*")</f>
        <v>2100</v>
      </c>
      <c r="F1417" s="35">
        <f>SUMIFS(F1418:F9015,K1418:K9015,"0",B1418:B9015,"2 1 1 9 5 12 31111 6*")</f>
        <v>5795700</v>
      </c>
      <c r="G1417" s="35">
        <f>SUMIFS(G1418:G9015,K1418:K9015,"0",B1418:B9015,"2 1 1 9 5 12 31111 6*")</f>
        <v>6394673.9199999999</v>
      </c>
      <c r="H1417" s="35"/>
      <c r="I1417" s="35">
        <f t="shared" si="22"/>
        <v>601073.91999999993</v>
      </c>
      <c r="K1417" t="s">
        <v>15</v>
      </c>
    </row>
    <row r="1418" spans="2:11" ht="16.5" x14ac:dyDescent="0.2">
      <c r="B1418" s="33" t="s">
        <v>2061</v>
      </c>
      <c r="C1418" s="33" t="s">
        <v>32</v>
      </c>
      <c r="D1418"/>
      <c r="E1418" s="35">
        <f>SUMIFS(E1419:E9015,K1419:K9015,"0",B1419:B9015,"2 1 1 9 5 12 31111 6 M59*")-SUMIFS(D1419:D9015,K1419:K9015,"0",B1419:B9015,"2 1 1 9 5 12 31111 6 M59*")</f>
        <v>2100</v>
      </c>
      <c r="F1418" s="35">
        <f>SUMIFS(F1419:F9015,K1419:K9015,"0",B1419:B9015,"2 1 1 9 5 12 31111 6 M59*")</f>
        <v>5795700</v>
      </c>
      <c r="G1418" s="35">
        <f>SUMIFS(G1419:G9015,K1419:K9015,"0",B1419:B9015,"2 1 1 9 5 12 31111 6 M59*")</f>
        <v>6394673.9199999999</v>
      </c>
      <c r="H1418" s="35"/>
      <c r="I1418" s="35">
        <f t="shared" si="22"/>
        <v>601073.91999999993</v>
      </c>
      <c r="K1418" t="s">
        <v>15</v>
      </c>
    </row>
    <row r="1419" spans="2:11" ht="16.5" x14ac:dyDescent="0.2">
      <c r="B1419" s="33" t="s">
        <v>2062</v>
      </c>
      <c r="C1419" s="33" t="s">
        <v>34</v>
      </c>
      <c r="D1419"/>
      <c r="E1419" s="35">
        <f>SUMIFS(E1420:E9015,K1420:K9015,"0",B1420:B9015,"2 1 1 9 5 12 31111 6 M59 00001*")-SUMIFS(D1420:D9015,K1420:K9015,"0",B1420:B9015,"2 1 1 9 5 12 31111 6 M59 00001*")</f>
        <v>0</v>
      </c>
      <c r="F1419" s="35">
        <f>SUMIFS(F1420:F9015,K1420:K9015,"0",B1420:B9015,"2 1 1 9 5 12 31111 6 M59 00001*")</f>
        <v>28000</v>
      </c>
      <c r="G1419" s="35">
        <f>SUMIFS(G1420:G9015,K1420:K9015,"0",B1420:B9015,"2 1 1 9 5 12 31111 6 M59 00001*")</f>
        <v>470973.92</v>
      </c>
      <c r="H1419" s="35"/>
      <c r="I1419" s="35">
        <f t="shared" si="22"/>
        <v>442973.92</v>
      </c>
      <c r="K1419" t="s">
        <v>15</v>
      </c>
    </row>
    <row r="1420" spans="2:11" ht="16.5" x14ac:dyDescent="0.2">
      <c r="B1420" s="31" t="s">
        <v>2063</v>
      </c>
      <c r="C1420" s="31" t="s">
        <v>142</v>
      </c>
      <c r="D1420" s="34"/>
      <c r="E1420" s="34">
        <v>0</v>
      </c>
      <c r="F1420" s="34">
        <v>28000</v>
      </c>
      <c r="G1420" s="34">
        <v>100637.2</v>
      </c>
      <c r="H1420" s="34"/>
      <c r="I1420" s="34">
        <f t="shared" si="22"/>
        <v>72637.2</v>
      </c>
      <c r="K1420" t="s">
        <v>38</v>
      </c>
    </row>
    <row r="1421" spans="2:11" ht="16.5" x14ac:dyDescent="0.2">
      <c r="B1421" s="31" t="s">
        <v>2064</v>
      </c>
      <c r="C1421" s="31" t="s">
        <v>2065</v>
      </c>
      <c r="D1421" s="34"/>
      <c r="E1421" s="34">
        <v>0</v>
      </c>
      <c r="F1421" s="34">
        <v>0</v>
      </c>
      <c r="G1421" s="34">
        <v>370336.72</v>
      </c>
      <c r="H1421" s="34"/>
      <c r="I1421" s="34">
        <f t="shared" si="22"/>
        <v>370336.72</v>
      </c>
      <c r="K1421" t="s">
        <v>38</v>
      </c>
    </row>
    <row r="1422" spans="2:11" ht="24.75" x14ac:dyDescent="0.2">
      <c r="B1422" s="33" t="s">
        <v>2066</v>
      </c>
      <c r="C1422" s="33" t="s">
        <v>1764</v>
      </c>
      <c r="D1422"/>
      <c r="E1422" s="35">
        <f>SUMIFS(E1423:E9015,K1423:K9015,"0",B1423:B9015,"2 1 1 9 5 12 31111 6 M59 00003*")-SUMIFS(D1423:D9015,K1423:K9015,"0",B1423:B9015,"2 1 1 9 5 12 31111 6 M59 00003*")</f>
        <v>2100</v>
      </c>
      <c r="F1422" s="35">
        <f>SUMIFS(F1423:F9015,K1423:K9015,"0",B1423:B9015,"2 1 1 9 5 12 31111 6 M59 00003*")</f>
        <v>5767700</v>
      </c>
      <c r="G1422" s="35">
        <f>SUMIFS(G1423:G9015,K1423:K9015,"0",B1423:B9015,"2 1 1 9 5 12 31111 6 M59 00003*")</f>
        <v>5923700</v>
      </c>
      <c r="H1422" s="35"/>
      <c r="I1422" s="35">
        <f t="shared" si="22"/>
        <v>158100</v>
      </c>
      <c r="K1422" t="s">
        <v>15</v>
      </c>
    </row>
    <row r="1423" spans="2:11" ht="16.5" x14ac:dyDescent="0.2">
      <c r="B1423" s="33" t="s">
        <v>2067</v>
      </c>
      <c r="C1423" s="33" t="s">
        <v>2068</v>
      </c>
      <c r="D1423"/>
      <c r="E1423" s="35">
        <f>SUMIFS(E1424:E9015,K1424:K9015,"0",B1424:B9015,"2 1 1 9 5 12 31111 6 M59 00003 000001*")-SUMIFS(D1424:D9015,K1424:K9015,"0",B1424:B9015,"2 1 1 9 5 12 31111 6 M59 00003 000001*")</f>
        <v>2100</v>
      </c>
      <c r="F1423" s="35">
        <f>SUMIFS(F1424:F9015,K1424:K9015,"0",B1424:B9015,"2 1 1 9 5 12 31111 6 M59 00003 000001*")</f>
        <v>5767700</v>
      </c>
      <c r="G1423" s="35">
        <f>SUMIFS(G1424:G9015,K1424:K9015,"0",B1424:B9015,"2 1 1 9 5 12 31111 6 M59 00003 000001*")</f>
        <v>5923700</v>
      </c>
      <c r="H1423" s="35"/>
      <c r="I1423" s="35">
        <f t="shared" si="22"/>
        <v>158100</v>
      </c>
      <c r="K1423" t="s">
        <v>15</v>
      </c>
    </row>
    <row r="1424" spans="2:11" ht="16.5" x14ac:dyDescent="0.2">
      <c r="B1424" s="31" t="s">
        <v>2069</v>
      </c>
      <c r="C1424" s="31" t="s">
        <v>274</v>
      </c>
      <c r="D1424" s="34"/>
      <c r="E1424" s="34">
        <v>2100</v>
      </c>
      <c r="F1424" s="34">
        <v>5767700</v>
      </c>
      <c r="G1424" s="34">
        <v>5895700</v>
      </c>
      <c r="H1424" s="34"/>
      <c r="I1424" s="34">
        <f t="shared" si="22"/>
        <v>130100</v>
      </c>
      <c r="K1424" t="s">
        <v>38</v>
      </c>
    </row>
    <row r="1425" spans="2:11" ht="16.5" x14ac:dyDescent="0.2">
      <c r="B1425" s="31" t="s">
        <v>2070</v>
      </c>
      <c r="C1425" s="31" t="s">
        <v>2071</v>
      </c>
      <c r="D1425" s="34"/>
      <c r="E1425" s="34">
        <v>0</v>
      </c>
      <c r="F1425" s="34">
        <v>0</v>
      </c>
      <c r="G1425" s="34">
        <v>28000</v>
      </c>
      <c r="H1425" s="34"/>
      <c r="I1425" s="34">
        <f t="shared" si="22"/>
        <v>28000</v>
      </c>
      <c r="K1425" t="s">
        <v>38</v>
      </c>
    </row>
    <row r="1426" spans="2:11" ht="16.5" x14ac:dyDescent="0.2">
      <c r="B1426" s="33" t="s">
        <v>2072</v>
      </c>
      <c r="C1426" s="33" t="s">
        <v>2073</v>
      </c>
      <c r="D1426"/>
      <c r="E1426" s="35">
        <f>SUMIFS(E1427:E9015,K1427:K9015,"0",B1427:B9015,"2 1 1 9 9*")-SUMIFS(D1427:D9015,K1427:K9015,"0",B1427:B9015,"2 1 1 9 9*")</f>
        <v>0</v>
      </c>
      <c r="F1426" s="35">
        <f>SUMIFS(F1427:F9015,K1427:K9015,"0",B1427:B9015,"2 1 1 9 9*")</f>
        <v>0</v>
      </c>
      <c r="G1426" s="35">
        <f>SUMIFS(G1427:G9015,K1427:K9015,"0",B1427:B9015,"2 1 1 9 9*")</f>
        <v>4050</v>
      </c>
      <c r="H1426" s="35"/>
      <c r="I1426" s="35">
        <f t="shared" si="22"/>
        <v>4050</v>
      </c>
      <c r="K1426" t="s">
        <v>15</v>
      </c>
    </row>
    <row r="1427" spans="2:11" ht="12.75" x14ac:dyDescent="0.2">
      <c r="B1427" s="33" t="s">
        <v>2074</v>
      </c>
      <c r="C1427" s="33" t="s">
        <v>26</v>
      </c>
      <c r="D1427"/>
      <c r="E1427" s="35">
        <f>SUMIFS(E1428:E9015,K1428:K9015,"0",B1428:B9015,"2 1 1 9 9 12*")-SUMIFS(D1428:D9015,K1428:K9015,"0",B1428:B9015,"2 1 1 9 9 12*")</f>
        <v>0</v>
      </c>
      <c r="F1427" s="35">
        <f>SUMIFS(F1428:F9015,K1428:K9015,"0",B1428:B9015,"2 1 1 9 9 12*")</f>
        <v>0</v>
      </c>
      <c r="G1427" s="35">
        <f>SUMIFS(G1428:G9015,K1428:K9015,"0",B1428:B9015,"2 1 1 9 9 12*")</f>
        <v>4050</v>
      </c>
      <c r="H1427" s="35"/>
      <c r="I1427" s="35">
        <f t="shared" si="22"/>
        <v>4050</v>
      </c>
      <c r="K1427" t="s">
        <v>15</v>
      </c>
    </row>
    <row r="1428" spans="2:11" ht="16.5" x14ac:dyDescent="0.2">
      <c r="B1428" s="33" t="s">
        <v>2075</v>
      </c>
      <c r="C1428" s="33" t="s">
        <v>28</v>
      </c>
      <c r="D1428"/>
      <c r="E1428" s="35">
        <f>SUMIFS(E1429:E9015,K1429:K9015,"0",B1429:B9015,"2 1 1 9 9 12 31111*")-SUMIFS(D1429:D9015,K1429:K9015,"0",B1429:B9015,"2 1 1 9 9 12 31111*")</f>
        <v>0</v>
      </c>
      <c r="F1428" s="35">
        <f>SUMIFS(F1429:F9015,K1429:K9015,"0",B1429:B9015,"2 1 1 9 9 12 31111*")</f>
        <v>0</v>
      </c>
      <c r="G1428" s="35">
        <f>SUMIFS(G1429:G9015,K1429:K9015,"0",B1429:B9015,"2 1 1 9 9 12 31111*")</f>
        <v>4050</v>
      </c>
      <c r="H1428" s="35"/>
      <c r="I1428" s="35">
        <f t="shared" si="22"/>
        <v>4050</v>
      </c>
      <c r="K1428" t="s">
        <v>15</v>
      </c>
    </row>
    <row r="1429" spans="2:11" ht="12.75" x14ac:dyDescent="0.2">
      <c r="B1429" s="33" t="s">
        <v>2076</v>
      </c>
      <c r="C1429" s="33" t="s">
        <v>30</v>
      </c>
      <c r="D1429"/>
      <c r="E1429" s="35">
        <f>SUMIFS(E1430:E9015,K1430:K9015,"0",B1430:B9015,"2 1 1 9 9 12 31111 6*")-SUMIFS(D1430:D9015,K1430:K9015,"0",B1430:B9015,"2 1 1 9 9 12 31111 6*")</f>
        <v>0</v>
      </c>
      <c r="F1429" s="35">
        <f>SUMIFS(F1430:F9015,K1430:K9015,"0",B1430:B9015,"2 1 1 9 9 12 31111 6*")</f>
        <v>0</v>
      </c>
      <c r="G1429" s="35">
        <f>SUMIFS(G1430:G9015,K1430:K9015,"0",B1430:B9015,"2 1 1 9 9 12 31111 6*")</f>
        <v>4050</v>
      </c>
      <c r="H1429" s="35"/>
      <c r="I1429" s="35">
        <f t="shared" si="22"/>
        <v>4050</v>
      </c>
      <c r="K1429" t="s">
        <v>15</v>
      </c>
    </row>
    <row r="1430" spans="2:11" ht="16.5" x14ac:dyDescent="0.2">
      <c r="B1430" s="33" t="s">
        <v>2077</v>
      </c>
      <c r="C1430" s="33" t="s">
        <v>32</v>
      </c>
      <c r="D1430"/>
      <c r="E1430" s="35">
        <f>SUMIFS(E1431:E9015,K1431:K9015,"0",B1431:B9015,"2 1 1 9 9 12 31111 6 M59*")-SUMIFS(D1431:D9015,K1431:K9015,"0",B1431:B9015,"2 1 1 9 9 12 31111 6 M59*")</f>
        <v>0</v>
      </c>
      <c r="F1430" s="35">
        <f>SUMIFS(F1431:F9015,K1431:K9015,"0",B1431:B9015,"2 1 1 9 9 12 31111 6 M59*")</f>
        <v>0</v>
      </c>
      <c r="G1430" s="35">
        <f>SUMIFS(G1431:G9015,K1431:K9015,"0",B1431:B9015,"2 1 1 9 9 12 31111 6 M59*")</f>
        <v>4050</v>
      </c>
      <c r="H1430" s="35"/>
      <c r="I1430" s="35">
        <f t="shared" si="22"/>
        <v>4050</v>
      </c>
      <c r="K1430" t="s">
        <v>15</v>
      </c>
    </row>
    <row r="1431" spans="2:11" ht="24.75" x14ac:dyDescent="0.2">
      <c r="B1431" s="33" t="s">
        <v>2078</v>
      </c>
      <c r="C1431" s="33" t="s">
        <v>2079</v>
      </c>
      <c r="D1431"/>
      <c r="E1431" s="35">
        <f>SUMIFS(E1432:E9015,K1432:K9015,"0",B1432:B9015,"2 1 1 9 9 12 31111 6 M59 00002*")-SUMIFS(D1432:D9015,K1432:K9015,"0",B1432:B9015,"2 1 1 9 9 12 31111 6 M59 00002*")</f>
        <v>-1500</v>
      </c>
      <c r="F1431" s="35">
        <f>SUMIFS(F1432:F9015,K1432:K9015,"0",B1432:B9015,"2 1 1 9 9 12 31111 6 M59 00002*")</f>
        <v>0</v>
      </c>
      <c r="G1431" s="35">
        <f>SUMIFS(G1432:G9015,K1432:K9015,"0",B1432:B9015,"2 1 1 9 9 12 31111 6 M59 00002*")</f>
        <v>0</v>
      </c>
      <c r="H1431" s="35"/>
      <c r="I1431" s="35">
        <f t="shared" si="22"/>
        <v>-1500</v>
      </c>
      <c r="K1431" t="s">
        <v>15</v>
      </c>
    </row>
    <row r="1432" spans="2:11" ht="16.5" x14ac:dyDescent="0.2">
      <c r="B1432" s="33" t="s">
        <v>2080</v>
      </c>
      <c r="C1432" s="33" t="s">
        <v>42</v>
      </c>
      <c r="D1432"/>
      <c r="E1432" s="35">
        <f>SUMIFS(E1433:E9015,K1433:K9015,"0",B1433:B9015,"2 1 1 9 9 12 31111 6 M59 00002 000001*")-SUMIFS(D1433:D9015,K1433:K9015,"0",B1433:B9015,"2 1 1 9 9 12 31111 6 M59 00002 000001*")</f>
        <v>-1500</v>
      </c>
      <c r="F1432" s="35">
        <f>SUMIFS(F1433:F9015,K1433:K9015,"0",B1433:B9015,"2 1 1 9 9 12 31111 6 M59 00002 000001*")</f>
        <v>0</v>
      </c>
      <c r="G1432" s="35">
        <f>SUMIFS(G1433:G9015,K1433:K9015,"0",B1433:B9015,"2 1 1 9 9 12 31111 6 M59 00002 000001*")</f>
        <v>0</v>
      </c>
      <c r="H1432" s="35"/>
      <c r="I1432" s="35">
        <f t="shared" si="22"/>
        <v>-1500</v>
      </c>
      <c r="K1432" t="s">
        <v>15</v>
      </c>
    </row>
    <row r="1433" spans="2:11" ht="16.5" x14ac:dyDescent="0.2">
      <c r="B1433" s="31" t="s">
        <v>2081</v>
      </c>
      <c r="C1433" s="31" t="s">
        <v>2055</v>
      </c>
      <c r="D1433" s="34"/>
      <c r="E1433" s="34">
        <v>-1500</v>
      </c>
      <c r="F1433" s="34">
        <v>0</v>
      </c>
      <c r="G1433" s="34">
        <v>0</v>
      </c>
      <c r="H1433" s="34"/>
      <c r="I1433" s="34">
        <f t="shared" si="22"/>
        <v>-1500</v>
      </c>
      <c r="K1433" t="s">
        <v>38</v>
      </c>
    </row>
    <row r="1434" spans="2:11" ht="24.75" x14ac:dyDescent="0.2">
      <c r="B1434" s="33" t="s">
        <v>2082</v>
      </c>
      <c r="C1434" s="33" t="s">
        <v>1764</v>
      </c>
      <c r="D1434"/>
      <c r="E1434" s="35">
        <f>SUMIFS(E1435:E9015,K1435:K9015,"0",B1435:B9015,"2 1 1 9 9 12 31111 6 M59 00003*")-SUMIFS(D1435:D9015,K1435:K9015,"0",B1435:B9015,"2 1 1 9 9 12 31111 6 M59 00003*")</f>
        <v>1500</v>
      </c>
      <c r="F1434" s="35">
        <f>SUMIFS(F1435:F9015,K1435:K9015,"0",B1435:B9015,"2 1 1 9 9 12 31111 6 M59 00003*")</f>
        <v>0</v>
      </c>
      <c r="G1434" s="35">
        <f>SUMIFS(G1435:G9015,K1435:K9015,"0",B1435:B9015,"2 1 1 9 9 12 31111 6 M59 00003*")</f>
        <v>4050</v>
      </c>
      <c r="H1434" s="35"/>
      <c r="I1434" s="35">
        <f t="shared" si="22"/>
        <v>5550</v>
      </c>
      <c r="K1434" t="s">
        <v>15</v>
      </c>
    </row>
    <row r="1435" spans="2:11" ht="16.5" x14ac:dyDescent="0.2">
      <c r="B1435" s="33" t="s">
        <v>2083</v>
      </c>
      <c r="C1435" s="33" t="s">
        <v>42</v>
      </c>
      <c r="D1435"/>
      <c r="E1435" s="35">
        <f>SUMIFS(E1436:E9015,K1436:K9015,"0",B1436:B9015,"2 1 1 9 9 12 31111 6 M59 00003 000001*")-SUMIFS(D1436:D9015,K1436:K9015,"0",B1436:B9015,"2 1 1 9 9 12 31111 6 M59 00003 000001*")</f>
        <v>1500</v>
      </c>
      <c r="F1435" s="35">
        <f>SUMIFS(F1436:F9015,K1436:K9015,"0",B1436:B9015,"2 1 1 9 9 12 31111 6 M59 00003 000001*")</f>
        <v>0</v>
      </c>
      <c r="G1435" s="35">
        <f>SUMIFS(G1436:G9015,K1436:K9015,"0",B1436:B9015,"2 1 1 9 9 12 31111 6 M59 00003 000001*")</f>
        <v>0</v>
      </c>
      <c r="H1435" s="35"/>
      <c r="I1435" s="35">
        <f t="shared" si="22"/>
        <v>1500</v>
      </c>
      <c r="K1435" t="s">
        <v>15</v>
      </c>
    </row>
    <row r="1436" spans="2:11" ht="16.5" x14ac:dyDescent="0.2">
      <c r="B1436" s="31" t="s">
        <v>2084</v>
      </c>
      <c r="C1436" s="31" t="s">
        <v>2085</v>
      </c>
      <c r="D1436" s="34"/>
      <c r="E1436" s="34">
        <v>1500</v>
      </c>
      <c r="F1436" s="34">
        <v>0</v>
      </c>
      <c r="G1436" s="34">
        <v>0</v>
      </c>
      <c r="H1436" s="34"/>
      <c r="I1436" s="34">
        <f t="shared" si="22"/>
        <v>1500</v>
      </c>
      <c r="K1436" t="s">
        <v>38</v>
      </c>
    </row>
    <row r="1437" spans="2:11" ht="16.5" x14ac:dyDescent="0.2">
      <c r="B1437" s="33" t="s">
        <v>2086</v>
      </c>
      <c r="C1437" s="33" t="s">
        <v>2087</v>
      </c>
      <c r="D1437"/>
      <c r="E1437" s="35">
        <f>SUMIFS(E1438:E9015,K1438:K9015,"0",B1438:B9015,"2 1 1 9 9 12 31111 6 M59 00003 000002*")-SUMIFS(D1438:D9015,K1438:K9015,"0",B1438:B9015,"2 1 1 9 9 12 31111 6 M59 00003 000002*")</f>
        <v>0</v>
      </c>
      <c r="F1437" s="35">
        <f>SUMIFS(F1438:F9015,K1438:K9015,"0",B1438:B9015,"2 1 1 9 9 12 31111 6 M59 00003 000002*")</f>
        <v>0</v>
      </c>
      <c r="G1437" s="35">
        <f>SUMIFS(G1438:G9015,K1438:K9015,"0",B1438:B9015,"2 1 1 9 9 12 31111 6 M59 00003 000002*")</f>
        <v>4050</v>
      </c>
      <c r="H1437" s="35"/>
      <c r="I1437" s="35">
        <f t="shared" si="22"/>
        <v>4050</v>
      </c>
      <c r="K1437" t="s">
        <v>15</v>
      </c>
    </row>
    <row r="1438" spans="2:11" ht="16.5" x14ac:dyDescent="0.2">
      <c r="B1438" s="31" t="s">
        <v>2088</v>
      </c>
      <c r="C1438" s="31" t="s">
        <v>2089</v>
      </c>
      <c r="D1438" s="34"/>
      <c r="E1438" s="34">
        <v>0</v>
      </c>
      <c r="F1438" s="34">
        <v>0</v>
      </c>
      <c r="G1438" s="34">
        <v>4050</v>
      </c>
      <c r="H1438" s="34"/>
      <c r="I1438" s="34">
        <f t="shared" si="22"/>
        <v>4050</v>
      </c>
      <c r="K1438" t="s">
        <v>38</v>
      </c>
    </row>
    <row r="1439" spans="2:11" ht="16.5" x14ac:dyDescent="0.2">
      <c r="B1439" s="33" t="s">
        <v>2090</v>
      </c>
      <c r="C1439" s="33" t="s">
        <v>2091</v>
      </c>
      <c r="D1439"/>
      <c r="E1439" s="35">
        <f>SUMIFS(E1440:E9015,K1440:K9015,"0",B1440:B9015,"2 1 5*")-SUMIFS(D1440:D9015,K1440:K9015,"0",B1440:B9015,"2 1 5*")</f>
        <v>37840.92</v>
      </c>
      <c r="F1439" s="35">
        <f>SUMIFS(F1440:F9015,K1440:K9015,"0",B1440:B9015,"2 1 5*")</f>
        <v>1104.77</v>
      </c>
      <c r="G1439" s="35">
        <f>SUMIFS(G1440:G9015,K1440:K9015,"0",B1440:B9015,"2 1 5*")</f>
        <v>0</v>
      </c>
      <c r="H1439" s="35"/>
      <c r="I1439" s="35">
        <f t="shared" si="22"/>
        <v>36736.15</v>
      </c>
      <c r="K1439" t="s">
        <v>15</v>
      </c>
    </row>
    <row r="1440" spans="2:11" ht="16.5" x14ac:dyDescent="0.2">
      <c r="B1440" s="33" t="s">
        <v>2092</v>
      </c>
      <c r="C1440" s="33" t="s">
        <v>2093</v>
      </c>
      <c r="D1440"/>
      <c r="E1440" s="35">
        <f>SUMIFS(E1441:E9015,K1441:K9015,"0",B1441:B9015,"2 1 5 1*")-SUMIFS(D1441:D9015,K1441:K9015,"0",B1441:B9015,"2 1 5 1*")</f>
        <v>37840.92</v>
      </c>
      <c r="F1440" s="35">
        <f>SUMIFS(F1441:F9015,K1441:K9015,"0",B1441:B9015,"2 1 5 1*")</f>
        <v>1104.77</v>
      </c>
      <c r="G1440" s="35">
        <f>SUMIFS(G1441:G9015,K1441:K9015,"0",B1441:B9015,"2 1 5 1*")</f>
        <v>0</v>
      </c>
      <c r="H1440" s="35"/>
      <c r="I1440" s="35">
        <f t="shared" si="22"/>
        <v>36736.15</v>
      </c>
      <c r="K1440" t="s">
        <v>15</v>
      </c>
    </row>
    <row r="1441" spans="2:11" ht="16.5" x14ac:dyDescent="0.2">
      <c r="B1441" s="33" t="s">
        <v>2094</v>
      </c>
      <c r="C1441" s="33" t="s">
        <v>2093</v>
      </c>
      <c r="D1441"/>
      <c r="E1441" s="35">
        <f>SUMIFS(E1442:E9015,K1442:K9015,"0",B1442:B9015,"2 1 5 1 1*")-SUMIFS(D1442:D9015,K1442:K9015,"0",B1442:B9015,"2 1 5 1 1*")</f>
        <v>37840.92</v>
      </c>
      <c r="F1441" s="35">
        <f>SUMIFS(F1442:F9015,K1442:K9015,"0",B1442:B9015,"2 1 5 1 1*")</f>
        <v>1104.77</v>
      </c>
      <c r="G1441" s="35">
        <f>SUMIFS(G1442:G9015,K1442:K9015,"0",B1442:B9015,"2 1 5 1 1*")</f>
        <v>0</v>
      </c>
      <c r="H1441" s="35"/>
      <c r="I1441" s="35">
        <f t="shared" si="22"/>
        <v>36736.15</v>
      </c>
      <c r="K1441" t="s">
        <v>15</v>
      </c>
    </row>
    <row r="1442" spans="2:11" ht="12.75" x14ac:dyDescent="0.2">
      <c r="B1442" s="33" t="s">
        <v>2095</v>
      </c>
      <c r="C1442" s="33" t="s">
        <v>26</v>
      </c>
      <c r="D1442"/>
      <c r="E1442" s="35">
        <f>SUMIFS(E1443:E9015,K1443:K9015,"0",B1443:B9015,"2 1 5 1 1 12*")-SUMIFS(D1443:D9015,K1443:K9015,"0",B1443:B9015,"2 1 5 1 1 12*")</f>
        <v>37840.92</v>
      </c>
      <c r="F1442" s="35">
        <f>SUMIFS(F1443:F9015,K1443:K9015,"0",B1443:B9015,"2 1 5 1 1 12*")</f>
        <v>1104.77</v>
      </c>
      <c r="G1442" s="35">
        <f>SUMIFS(G1443:G9015,K1443:K9015,"0",B1443:B9015,"2 1 5 1 1 12*")</f>
        <v>0</v>
      </c>
      <c r="H1442" s="35"/>
      <c r="I1442" s="35">
        <f t="shared" si="22"/>
        <v>36736.15</v>
      </c>
      <c r="K1442" t="s">
        <v>15</v>
      </c>
    </row>
    <row r="1443" spans="2:11" ht="16.5" x14ac:dyDescent="0.2">
      <c r="B1443" s="33" t="s">
        <v>2096</v>
      </c>
      <c r="C1443" s="33" t="s">
        <v>28</v>
      </c>
      <c r="D1443"/>
      <c r="E1443" s="35">
        <f>SUMIFS(E1444:E9015,K1444:K9015,"0",B1444:B9015,"2 1 5 1 1 12 31111*")-SUMIFS(D1444:D9015,K1444:K9015,"0",B1444:B9015,"2 1 5 1 1 12 31111*")</f>
        <v>37840.92</v>
      </c>
      <c r="F1443" s="35">
        <f>SUMIFS(F1444:F9015,K1444:K9015,"0",B1444:B9015,"2 1 5 1 1 12 31111*")</f>
        <v>1104.77</v>
      </c>
      <c r="G1443" s="35">
        <f>SUMIFS(G1444:G9015,K1444:K9015,"0",B1444:B9015,"2 1 5 1 1 12 31111*")</f>
        <v>0</v>
      </c>
      <c r="H1443" s="35"/>
      <c r="I1443" s="35">
        <f t="shared" si="22"/>
        <v>36736.15</v>
      </c>
      <c r="K1443" t="s">
        <v>15</v>
      </c>
    </row>
    <row r="1444" spans="2:11" ht="12.75" x14ac:dyDescent="0.2">
      <c r="B1444" s="33" t="s">
        <v>2097</v>
      </c>
      <c r="C1444" s="33" t="s">
        <v>30</v>
      </c>
      <c r="D1444"/>
      <c r="E1444" s="35">
        <f>SUMIFS(E1445:E9015,K1445:K9015,"0",B1445:B9015,"2 1 5 1 1 12 31111 6*")-SUMIFS(D1445:D9015,K1445:K9015,"0",B1445:B9015,"2 1 5 1 1 12 31111 6*")</f>
        <v>37840.92</v>
      </c>
      <c r="F1444" s="35">
        <f>SUMIFS(F1445:F9015,K1445:K9015,"0",B1445:B9015,"2 1 5 1 1 12 31111 6*")</f>
        <v>1104.77</v>
      </c>
      <c r="G1444" s="35">
        <f>SUMIFS(G1445:G9015,K1445:K9015,"0",B1445:B9015,"2 1 5 1 1 12 31111 6*")</f>
        <v>0</v>
      </c>
      <c r="H1444" s="35"/>
      <c r="I1444" s="35">
        <f t="shared" si="22"/>
        <v>36736.15</v>
      </c>
      <c r="K1444" t="s">
        <v>15</v>
      </c>
    </row>
    <row r="1445" spans="2:11" ht="16.5" x14ac:dyDescent="0.2">
      <c r="B1445" s="33" t="s">
        <v>2098</v>
      </c>
      <c r="C1445" s="33" t="s">
        <v>2099</v>
      </c>
      <c r="D1445"/>
      <c r="E1445" s="35">
        <f>SUMIFS(E1446:E9015,K1446:K9015,"0",B1446:B9015,"2 1 5 1 1 12 31111 6 M59*")-SUMIFS(D1446:D9015,K1446:K9015,"0",B1446:B9015,"2 1 5 1 1 12 31111 6 M59*")</f>
        <v>37840.92</v>
      </c>
      <c r="F1445" s="35">
        <f>SUMIFS(F1446:F9015,K1446:K9015,"0",B1446:B9015,"2 1 5 1 1 12 31111 6 M59*")</f>
        <v>1104.77</v>
      </c>
      <c r="G1445" s="35">
        <f>SUMIFS(G1446:G9015,K1446:K9015,"0",B1446:B9015,"2 1 5 1 1 12 31111 6 M59*")</f>
        <v>0</v>
      </c>
      <c r="H1445" s="35"/>
      <c r="I1445" s="35">
        <f t="shared" si="22"/>
        <v>36736.15</v>
      </c>
      <c r="K1445" t="s">
        <v>15</v>
      </c>
    </row>
    <row r="1446" spans="2:11" ht="16.5" x14ac:dyDescent="0.2">
      <c r="B1446" s="33" t="s">
        <v>2100</v>
      </c>
      <c r="C1446" s="33" t="s">
        <v>46</v>
      </c>
      <c r="D1446"/>
      <c r="E1446" s="35">
        <f>SUMIFS(E1447:E9015,K1447:K9015,"0",B1447:B9015,"2 1 5 1 1 12 31111 6 M59 00004*")-SUMIFS(D1447:D9015,K1447:K9015,"0",B1447:B9015,"2 1 5 1 1 12 31111 6 M59 00004*")</f>
        <v>37840.92</v>
      </c>
      <c r="F1446" s="35">
        <f>SUMIFS(F1447:F9015,K1447:K9015,"0",B1447:B9015,"2 1 5 1 1 12 31111 6 M59 00004*")</f>
        <v>1104.77</v>
      </c>
      <c r="G1446" s="35">
        <f>SUMIFS(G1447:G9015,K1447:K9015,"0",B1447:B9015,"2 1 5 1 1 12 31111 6 M59 00004*")</f>
        <v>0</v>
      </c>
      <c r="H1446" s="35"/>
      <c r="I1446" s="35">
        <f t="shared" si="22"/>
        <v>36736.15</v>
      </c>
      <c r="K1446" t="s">
        <v>15</v>
      </c>
    </row>
    <row r="1447" spans="2:11" ht="16.5" x14ac:dyDescent="0.2">
      <c r="B1447" s="33" t="s">
        <v>2101</v>
      </c>
      <c r="C1447" s="33" t="s">
        <v>42</v>
      </c>
      <c r="D1447"/>
      <c r="E1447" s="35">
        <f>SUMIFS(E1448:E9015,K1448:K9015,"0",B1448:B9015,"2 1 5 1 1 12 31111 6 M59 00004 000001*")-SUMIFS(D1448:D9015,K1448:K9015,"0",B1448:B9015,"2 1 5 1 1 12 31111 6 M59 00004 000001*")</f>
        <v>37840.92</v>
      </c>
      <c r="F1447" s="35">
        <f>SUMIFS(F1448:F9015,K1448:K9015,"0",B1448:B9015,"2 1 5 1 1 12 31111 6 M59 00004 000001*")</f>
        <v>1104.77</v>
      </c>
      <c r="G1447" s="35">
        <f>SUMIFS(G1448:G9015,K1448:K9015,"0",B1448:B9015,"2 1 5 1 1 12 31111 6 M59 00004 000001*")</f>
        <v>0</v>
      </c>
      <c r="H1447" s="35"/>
      <c r="I1447" s="35">
        <f t="shared" si="22"/>
        <v>36736.15</v>
      </c>
      <c r="K1447" t="s">
        <v>15</v>
      </c>
    </row>
    <row r="1448" spans="2:11" ht="16.5" x14ac:dyDescent="0.2">
      <c r="B1448" s="31" t="s">
        <v>2102</v>
      </c>
      <c r="C1448" s="31" t="s">
        <v>2103</v>
      </c>
      <c r="D1448" s="34"/>
      <c r="E1448" s="34">
        <v>37840.92</v>
      </c>
      <c r="F1448" s="34">
        <v>1104.77</v>
      </c>
      <c r="G1448" s="34">
        <v>0</v>
      </c>
      <c r="H1448" s="34"/>
      <c r="I1448" s="34">
        <f t="shared" si="22"/>
        <v>36736.15</v>
      </c>
      <c r="K1448" t="s">
        <v>38</v>
      </c>
    </row>
    <row r="1449" spans="2:11" ht="16.5" x14ac:dyDescent="0.2">
      <c r="B1449" s="33" t="s">
        <v>2104</v>
      </c>
      <c r="C1449" s="33" t="s">
        <v>2105</v>
      </c>
      <c r="D1449"/>
      <c r="E1449" s="35">
        <f>SUMIFS(E1450:E9015,K1450:K9015,"0",B1450:B9015,"2 1 9*")-SUMIFS(D1450:D9015,K1450:K9015,"0",B1450:B9015,"2 1 9*")</f>
        <v>751621.41</v>
      </c>
      <c r="F1449" s="35">
        <f>SUMIFS(F1450:F9015,K1450:K9015,"0",B1450:B9015,"2 1 9*")</f>
        <v>2276526.9500000002</v>
      </c>
      <c r="G1449" s="35">
        <f>SUMIFS(G1450:G9015,K1450:K9015,"0",B1450:B9015,"2 1 9*")</f>
        <v>2291732.14</v>
      </c>
      <c r="H1449" s="35"/>
      <c r="I1449" s="35">
        <f t="shared" si="22"/>
        <v>766826.60000000009</v>
      </c>
      <c r="K1449" t="s">
        <v>15</v>
      </c>
    </row>
    <row r="1450" spans="2:11" ht="12.75" x14ac:dyDescent="0.2">
      <c r="B1450" s="33" t="s">
        <v>2106</v>
      </c>
      <c r="C1450" s="33" t="s">
        <v>2107</v>
      </c>
      <c r="D1450"/>
      <c r="E1450" s="35">
        <f>SUMIFS(E1451:E9015,K1451:K9015,"0",B1451:B9015,"2 1 9 1*")-SUMIFS(D1451:D9015,K1451:K9015,"0",B1451:B9015,"2 1 9 1*")</f>
        <v>751621.41</v>
      </c>
      <c r="F1450" s="35">
        <f>SUMIFS(F1451:F9015,K1451:K9015,"0",B1451:B9015,"2 1 9 1*")</f>
        <v>2276526.9500000002</v>
      </c>
      <c r="G1450" s="35">
        <f>SUMIFS(G1451:G9015,K1451:K9015,"0",B1451:B9015,"2 1 9 1*")</f>
        <v>2291732.14</v>
      </c>
      <c r="H1450" s="35"/>
      <c r="I1450" s="35">
        <f t="shared" si="22"/>
        <v>766826.60000000009</v>
      </c>
      <c r="K1450" t="s">
        <v>15</v>
      </c>
    </row>
    <row r="1451" spans="2:11" ht="12.75" x14ac:dyDescent="0.2">
      <c r="B1451" s="33" t="s">
        <v>2108</v>
      </c>
      <c r="C1451" s="33" t="s">
        <v>2107</v>
      </c>
      <c r="D1451"/>
      <c r="E1451" s="35">
        <f>SUMIFS(E1452:E9015,K1452:K9015,"0",B1452:B9015,"2 1 9 1 1*")-SUMIFS(D1452:D9015,K1452:K9015,"0",B1452:B9015,"2 1 9 1 1*")</f>
        <v>751621.41</v>
      </c>
      <c r="F1451" s="35">
        <f>SUMIFS(F1452:F9015,K1452:K9015,"0",B1452:B9015,"2 1 9 1 1*")</f>
        <v>2276526.9500000002</v>
      </c>
      <c r="G1451" s="35">
        <f>SUMIFS(G1452:G9015,K1452:K9015,"0",B1452:B9015,"2 1 9 1 1*")</f>
        <v>2291732.14</v>
      </c>
      <c r="H1451" s="35"/>
      <c r="I1451" s="35">
        <f t="shared" si="22"/>
        <v>766826.60000000009</v>
      </c>
      <c r="K1451" t="s">
        <v>15</v>
      </c>
    </row>
    <row r="1452" spans="2:11" ht="12.75" x14ac:dyDescent="0.2">
      <c r="B1452" s="33" t="s">
        <v>2109</v>
      </c>
      <c r="C1452" s="33" t="s">
        <v>26</v>
      </c>
      <c r="D1452"/>
      <c r="E1452" s="35">
        <f>SUMIFS(E1453:E9015,K1453:K9015,"0",B1453:B9015,"2 1 9 1 1 12*")-SUMIFS(D1453:D9015,K1453:K9015,"0",B1453:B9015,"2 1 9 1 1 12*")</f>
        <v>751621.41</v>
      </c>
      <c r="F1452" s="35">
        <f>SUMIFS(F1453:F9015,K1453:K9015,"0",B1453:B9015,"2 1 9 1 1 12*")</f>
        <v>2276526.9500000002</v>
      </c>
      <c r="G1452" s="35">
        <f>SUMIFS(G1453:G9015,K1453:K9015,"0",B1453:B9015,"2 1 9 1 1 12*")</f>
        <v>2291732.14</v>
      </c>
      <c r="H1452" s="35"/>
      <c r="I1452" s="35">
        <f t="shared" si="22"/>
        <v>766826.60000000009</v>
      </c>
      <c r="K1452" t="s">
        <v>15</v>
      </c>
    </row>
    <row r="1453" spans="2:11" ht="16.5" x14ac:dyDescent="0.2">
      <c r="B1453" s="33" t="s">
        <v>2110</v>
      </c>
      <c r="C1453" s="33" t="s">
        <v>28</v>
      </c>
      <c r="D1453"/>
      <c r="E1453" s="35">
        <f>SUMIFS(E1454:E9015,K1454:K9015,"0",B1454:B9015,"2 1 9 1 1 12 31111*")-SUMIFS(D1454:D9015,K1454:K9015,"0",B1454:B9015,"2 1 9 1 1 12 31111*")</f>
        <v>751621.41</v>
      </c>
      <c r="F1453" s="35">
        <f>SUMIFS(F1454:F9015,K1454:K9015,"0",B1454:B9015,"2 1 9 1 1 12 31111*")</f>
        <v>2276526.9500000002</v>
      </c>
      <c r="G1453" s="35">
        <f>SUMIFS(G1454:G9015,K1454:K9015,"0",B1454:B9015,"2 1 9 1 1 12 31111*")</f>
        <v>2291732.14</v>
      </c>
      <c r="H1453" s="35"/>
      <c r="I1453" s="35">
        <f t="shared" si="22"/>
        <v>766826.60000000009</v>
      </c>
      <c r="K1453" t="s">
        <v>15</v>
      </c>
    </row>
    <row r="1454" spans="2:11" ht="12.75" x14ac:dyDescent="0.2">
      <c r="B1454" s="33" t="s">
        <v>2111</v>
      </c>
      <c r="C1454" s="33" t="s">
        <v>30</v>
      </c>
      <c r="D1454"/>
      <c r="E1454" s="35">
        <f>SUMIFS(E1455:E9015,K1455:K9015,"0",B1455:B9015,"2 1 9 1 1 12 31111 6*")-SUMIFS(D1455:D9015,K1455:K9015,"0",B1455:B9015,"2 1 9 1 1 12 31111 6*")</f>
        <v>751621.41</v>
      </c>
      <c r="F1454" s="35">
        <f>SUMIFS(F1455:F9015,K1455:K9015,"0",B1455:B9015,"2 1 9 1 1 12 31111 6*")</f>
        <v>2276526.9500000002</v>
      </c>
      <c r="G1454" s="35">
        <f>SUMIFS(G1455:G9015,K1455:K9015,"0",B1455:B9015,"2 1 9 1 1 12 31111 6*")</f>
        <v>2291732.14</v>
      </c>
      <c r="H1454" s="35"/>
      <c r="I1454" s="35">
        <f t="shared" si="22"/>
        <v>766826.60000000009</v>
      </c>
      <c r="K1454" t="s">
        <v>15</v>
      </c>
    </row>
    <row r="1455" spans="2:11" ht="12.75" x14ac:dyDescent="0.2">
      <c r="B1455" s="33" t="s">
        <v>2112</v>
      </c>
      <c r="C1455" s="33" t="s">
        <v>32</v>
      </c>
      <c r="D1455"/>
      <c r="E1455" s="35">
        <f>SUMIFS(E1456:E9015,K1456:K9015,"0",B1456:B9015,"2 1 9 1 1 12 31111 6 M59*")-SUMIFS(D1456:D9015,K1456:K9015,"0",B1456:B9015,"2 1 9 1 1 12 31111 6 M59*")</f>
        <v>751621.41</v>
      </c>
      <c r="F1455" s="35">
        <f>SUMIFS(F1456:F9015,K1456:K9015,"0",B1456:B9015,"2 1 9 1 1 12 31111 6 M59*")</f>
        <v>2276526.9500000002</v>
      </c>
      <c r="G1455" s="35">
        <f>SUMIFS(G1456:G9015,K1456:K9015,"0",B1456:B9015,"2 1 9 1 1 12 31111 6 M59*")</f>
        <v>2291732.14</v>
      </c>
      <c r="H1455" s="35"/>
      <c r="I1455" s="35">
        <f t="shared" ref="I1455:I1518" si="23">E1455 - F1455 + G1455</f>
        <v>766826.60000000009</v>
      </c>
      <c r="K1455" t="s">
        <v>15</v>
      </c>
    </row>
    <row r="1456" spans="2:11" ht="16.5" x14ac:dyDescent="0.2">
      <c r="B1456" s="33" t="s">
        <v>2113</v>
      </c>
      <c r="C1456" s="33" t="s">
        <v>83</v>
      </c>
      <c r="D1456"/>
      <c r="E1456" s="35">
        <f>SUMIFS(E1457:E9015,K1457:K9015,"0",B1457:B9015,"2 1 9 1 1 12 31111 6 M59 00003*")-SUMIFS(D1457:D9015,K1457:K9015,"0",B1457:B9015,"2 1 9 1 1 12 31111 6 M59 00003*")</f>
        <v>7000</v>
      </c>
      <c r="F1456" s="35">
        <f>SUMIFS(F1457:F9015,K1457:K9015,"0",B1457:B9015,"2 1 9 1 1 12 31111 6 M59 00003*")</f>
        <v>2276526.9500000002</v>
      </c>
      <c r="G1456" s="35">
        <f>SUMIFS(G1457:G9015,K1457:K9015,"0",B1457:B9015,"2 1 9 1 1 12 31111 6 M59 00003*")</f>
        <v>2291732.14</v>
      </c>
      <c r="H1456" s="35"/>
      <c r="I1456" s="35">
        <f t="shared" si="23"/>
        <v>22205.189999999944</v>
      </c>
      <c r="K1456" t="s">
        <v>15</v>
      </c>
    </row>
    <row r="1457" spans="2:11" ht="16.5" x14ac:dyDescent="0.2">
      <c r="B1457" s="33" t="s">
        <v>2114</v>
      </c>
      <c r="C1457" s="33" t="s">
        <v>42</v>
      </c>
      <c r="D1457"/>
      <c r="E1457" s="35">
        <f>SUMIFS(E1458:E9015,K1458:K9015,"0",B1458:B9015,"2 1 9 1 1 12 31111 6 M59 00003 000001*")-SUMIFS(D1458:D9015,K1458:K9015,"0",B1458:B9015,"2 1 9 1 1 12 31111 6 M59 00003 000001*")</f>
        <v>7000</v>
      </c>
      <c r="F1457" s="35">
        <f>SUMIFS(F1458:F9015,K1458:K9015,"0",B1458:B9015,"2 1 9 1 1 12 31111 6 M59 00003 000001*")</f>
        <v>2276526.9500000002</v>
      </c>
      <c r="G1457" s="35">
        <f>SUMIFS(G1458:G9015,K1458:K9015,"0",B1458:B9015,"2 1 9 1 1 12 31111 6 M59 00003 000001*")</f>
        <v>2291732.14</v>
      </c>
      <c r="H1457" s="35"/>
      <c r="I1457" s="35">
        <f t="shared" si="23"/>
        <v>22205.189999999944</v>
      </c>
      <c r="K1457" t="s">
        <v>15</v>
      </c>
    </row>
    <row r="1458" spans="2:11" ht="24.75" x14ac:dyDescent="0.2">
      <c r="B1458" s="31" t="s">
        <v>2115</v>
      </c>
      <c r="C1458" s="31" t="s">
        <v>2116</v>
      </c>
      <c r="D1458" s="34"/>
      <c r="E1458" s="34">
        <v>4000</v>
      </c>
      <c r="F1458" s="34">
        <v>0</v>
      </c>
      <c r="G1458" s="34">
        <v>0</v>
      </c>
      <c r="H1458" s="34"/>
      <c r="I1458" s="34">
        <f t="shared" si="23"/>
        <v>4000</v>
      </c>
      <c r="K1458" t="s">
        <v>38</v>
      </c>
    </row>
    <row r="1459" spans="2:11" ht="16.5" x14ac:dyDescent="0.2">
      <c r="B1459" s="31" t="s">
        <v>2117</v>
      </c>
      <c r="C1459" s="31" t="s">
        <v>2118</v>
      </c>
      <c r="D1459" s="34"/>
      <c r="E1459" s="34">
        <v>2829.25</v>
      </c>
      <c r="F1459" s="34">
        <v>0</v>
      </c>
      <c r="G1459" s="34">
        <v>0</v>
      </c>
      <c r="H1459" s="34"/>
      <c r="I1459" s="34">
        <f t="shared" si="23"/>
        <v>2829.25</v>
      </c>
      <c r="K1459" t="s">
        <v>38</v>
      </c>
    </row>
    <row r="1460" spans="2:11" ht="16.5" x14ac:dyDescent="0.2">
      <c r="B1460" s="31" t="s">
        <v>2119</v>
      </c>
      <c r="C1460" s="31" t="s">
        <v>274</v>
      </c>
      <c r="D1460" s="34"/>
      <c r="E1460" s="34">
        <v>170.75</v>
      </c>
      <c r="F1460" s="34">
        <v>2276526.9500000002</v>
      </c>
      <c r="G1460" s="34">
        <v>2291732.14</v>
      </c>
      <c r="H1460" s="34"/>
      <c r="I1460" s="34">
        <f t="shared" si="23"/>
        <v>15375.939999999944</v>
      </c>
      <c r="K1460" t="s">
        <v>38</v>
      </c>
    </row>
    <row r="1461" spans="2:11" ht="24.75" x14ac:dyDescent="0.2">
      <c r="B1461" s="33" t="s">
        <v>2120</v>
      </c>
      <c r="C1461" s="33" t="s">
        <v>91</v>
      </c>
      <c r="D1461"/>
      <c r="E1461" s="35">
        <f>SUMIFS(E1462:E9015,K1462:K9015,"0",B1462:B9015,"2 1 9 1 1 12 31111 6 M59 00004*")-SUMIFS(D1462:D9015,K1462:K9015,"0",B1462:B9015,"2 1 9 1 1 12 31111 6 M59 00004*")</f>
        <v>743056.41</v>
      </c>
      <c r="F1461" s="35">
        <f>SUMIFS(F1462:F9015,K1462:K9015,"0",B1462:B9015,"2 1 9 1 1 12 31111 6 M59 00004*")</f>
        <v>0</v>
      </c>
      <c r="G1461" s="35">
        <f>SUMIFS(G1462:G9015,K1462:K9015,"0",B1462:B9015,"2 1 9 1 1 12 31111 6 M59 00004*")</f>
        <v>0</v>
      </c>
      <c r="H1461" s="35"/>
      <c r="I1461" s="35">
        <f t="shared" si="23"/>
        <v>743056.41</v>
      </c>
      <c r="K1461" t="s">
        <v>15</v>
      </c>
    </row>
    <row r="1462" spans="2:11" ht="16.5" x14ac:dyDescent="0.2">
      <c r="B1462" s="33" t="s">
        <v>2121</v>
      </c>
      <c r="C1462" s="33" t="s">
        <v>203</v>
      </c>
      <c r="D1462"/>
      <c r="E1462" s="35">
        <f>SUMIFS(E1463:E9015,K1463:K9015,"0",B1463:B9015,"2 1 9 1 1 12 31111 6 M59 00004 000001*")-SUMIFS(D1463:D9015,K1463:K9015,"0",B1463:B9015,"2 1 9 1 1 12 31111 6 M59 00004 000001*")</f>
        <v>743056.41</v>
      </c>
      <c r="F1462" s="35">
        <f>SUMIFS(F1463:F9015,K1463:K9015,"0",B1463:B9015,"2 1 9 1 1 12 31111 6 M59 00004 000001*")</f>
        <v>0</v>
      </c>
      <c r="G1462" s="35">
        <f>SUMIFS(G1463:G9015,K1463:K9015,"0",B1463:B9015,"2 1 9 1 1 12 31111 6 M59 00004 000001*")</f>
        <v>0</v>
      </c>
      <c r="H1462" s="35"/>
      <c r="I1462" s="35">
        <f t="shared" si="23"/>
        <v>743056.41</v>
      </c>
      <c r="K1462" t="s">
        <v>15</v>
      </c>
    </row>
    <row r="1463" spans="2:11" ht="16.5" x14ac:dyDescent="0.2">
      <c r="B1463" s="31" t="s">
        <v>2122</v>
      </c>
      <c r="C1463" s="31" t="s">
        <v>2107</v>
      </c>
      <c r="D1463" s="34"/>
      <c r="E1463" s="34">
        <v>743056.41</v>
      </c>
      <c r="F1463" s="34">
        <v>0</v>
      </c>
      <c r="G1463" s="34">
        <v>0</v>
      </c>
      <c r="H1463" s="34"/>
      <c r="I1463" s="34">
        <f t="shared" si="23"/>
        <v>743056.41</v>
      </c>
      <c r="K1463" t="s">
        <v>38</v>
      </c>
    </row>
    <row r="1464" spans="2:11" ht="16.5" x14ac:dyDescent="0.2">
      <c r="B1464" s="33" t="s">
        <v>2123</v>
      </c>
      <c r="C1464" s="33" t="s">
        <v>470</v>
      </c>
      <c r="D1464"/>
      <c r="E1464" s="35">
        <f>SUMIFS(E1465:E9015,K1465:K9015,"0",B1465:B9015,"2 1 9 1 1 12 31111 6 M59 00045*")-SUMIFS(D1465:D9015,K1465:K9015,"0",B1465:B9015,"2 1 9 1 1 12 31111 6 M59 00045*")</f>
        <v>1565</v>
      </c>
      <c r="F1464" s="35">
        <f>SUMIFS(F1465:F9015,K1465:K9015,"0",B1465:B9015,"2 1 9 1 1 12 31111 6 M59 00045*")</f>
        <v>0</v>
      </c>
      <c r="G1464" s="35">
        <f>SUMIFS(G1465:G9015,K1465:K9015,"0",B1465:B9015,"2 1 9 1 1 12 31111 6 M59 00045*")</f>
        <v>0</v>
      </c>
      <c r="H1464" s="35"/>
      <c r="I1464" s="35">
        <f t="shared" si="23"/>
        <v>1565</v>
      </c>
      <c r="K1464" t="s">
        <v>15</v>
      </c>
    </row>
    <row r="1465" spans="2:11" ht="16.5" x14ac:dyDescent="0.2">
      <c r="B1465" s="33" t="s">
        <v>2124</v>
      </c>
      <c r="C1465" s="33" t="s">
        <v>2107</v>
      </c>
      <c r="D1465"/>
      <c r="E1465" s="35">
        <f>SUMIFS(E1466:E9015,K1466:K9015,"0",B1466:B9015,"2 1 9 1 1 12 31111 6 M59 00045 000001*")-SUMIFS(D1466:D9015,K1466:K9015,"0",B1466:B9015,"2 1 9 1 1 12 31111 6 M59 00045 000001*")</f>
        <v>1565</v>
      </c>
      <c r="F1465" s="35">
        <f>SUMIFS(F1466:F9015,K1466:K9015,"0",B1466:B9015,"2 1 9 1 1 12 31111 6 M59 00045 000001*")</f>
        <v>0</v>
      </c>
      <c r="G1465" s="35">
        <f>SUMIFS(G1466:G9015,K1466:K9015,"0",B1466:B9015,"2 1 9 1 1 12 31111 6 M59 00045 000001*")</f>
        <v>0</v>
      </c>
      <c r="H1465" s="35"/>
      <c r="I1465" s="35">
        <f t="shared" si="23"/>
        <v>1565</v>
      </c>
      <c r="K1465" t="s">
        <v>15</v>
      </c>
    </row>
    <row r="1466" spans="2:11" ht="16.5" x14ac:dyDescent="0.2">
      <c r="B1466" s="31" t="s">
        <v>2125</v>
      </c>
      <c r="C1466" s="31" t="s">
        <v>274</v>
      </c>
      <c r="D1466" s="34"/>
      <c r="E1466" s="34">
        <v>1565</v>
      </c>
      <c r="F1466" s="34">
        <v>0</v>
      </c>
      <c r="G1466" s="34">
        <v>0</v>
      </c>
      <c r="H1466" s="34"/>
      <c r="I1466" s="34">
        <f t="shared" si="23"/>
        <v>1565</v>
      </c>
      <c r="K1466" t="s">
        <v>38</v>
      </c>
    </row>
    <row r="1467" spans="2:11" ht="16.5" x14ac:dyDescent="0.2">
      <c r="B1467" s="33" t="s">
        <v>2126</v>
      </c>
      <c r="C1467" s="33" t="s">
        <v>2127</v>
      </c>
      <c r="D1467"/>
      <c r="E1467" s="35">
        <f>SUMIFS(E1468:E9015,K1468:K9015,"0",B1468:B9015,"3*")-SUMIFS(D1468:D9015,K1468:K9015,"0",B1468:B9015,"3*")</f>
        <v>49446321.140000001</v>
      </c>
      <c r="F1467" s="35">
        <f>SUMIFS(F1468:F9015,K1468:K9015,"0",B1468:B9015,"3*")</f>
        <v>26144826.009999998</v>
      </c>
      <c r="G1467" s="35">
        <f>SUMIFS(G1468:G9015,K1468:K9015,"0",B1468:B9015,"3*")</f>
        <v>26914093.59</v>
      </c>
      <c r="H1467" s="35"/>
      <c r="I1467" s="35">
        <f t="shared" si="23"/>
        <v>50215588.719999999</v>
      </c>
      <c r="K1467" t="s">
        <v>15</v>
      </c>
    </row>
    <row r="1468" spans="2:11" ht="24.75" x14ac:dyDescent="0.2">
      <c r="B1468" s="33" t="s">
        <v>2128</v>
      </c>
      <c r="C1468" s="33" t="s">
        <v>2129</v>
      </c>
      <c r="D1468"/>
      <c r="E1468" s="35">
        <f>SUMIFS(E1469:E9015,K1469:K9015,"0",B1469:B9015,"3 1*")-SUMIFS(D1469:D9015,K1469:K9015,"0",B1469:B9015,"3 1*")</f>
        <v>6688008.8899999997</v>
      </c>
      <c r="F1468" s="35">
        <f>SUMIFS(F1469:F9015,K1469:K9015,"0",B1469:B9015,"3 1*")</f>
        <v>0</v>
      </c>
      <c r="G1468" s="35">
        <f>SUMIFS(G1469:G9015,K1469:K9015,"0",B1469:B9015,"3 1*")</f>
        <v>0</v>
      </c>
      <c r="H1468" s="35"/>
      <c r="I1468" s="35">
        <f t="shared" si="23"/>
        <v>6688008.8899999997</v>
      </c>
      <c r="K1468" t="s">
        <v>15</v>
      </c>
    </row>
    <row r="1469" spans="2:11" ht="12.75" x14ac:dyDescent="0.2">
      <c r="B1469" s="33" t="s">
        <v>2130</v>
      </c>
      <c r="C1469" s="33" t="s">
        <v>2131</v>
      </c>
      <c r="D1469"/>
      <c r="E1469" s="35">
        <f>SUMIFS(E1470:E9015,K1470:K9015,"0",B1470:B9015,"3 1 1*")-SUMIFS(D1470:D9015,K1470:K9015,"0",B1470:B9015,"3 1 1*")</f>
        <v>6688008.8899999997</v>
      </c>
      <c r="F1469" s="35">
        <f>SUMIFS(F1470:F9015,K1470:K9015,"0",B1470:B9015,"3 1 1*")</f>
        <v>0</v>
      </c>
      <c r="G1469" s="35">
        <f>SUMIFS(G1470:G9015,K1470:K9015,"0",B1470:B9015,"3 1 1*")</f>
        <v>0</v>
      </c>
      <c r="H1469" s="35"/>
      <c r="I1469" s="35">
        <f t="shared" si="23"/>
        <v>6688008.8899999997</v>
      </c>
      <c r="K1469" t="s">
        <v>15</v>
      </c>
    </row>
    <row r="1470" spans="2:11" ht="12.75" x14ac:dyDescent="0.2">
      <c r="B1470" s="33" t="s">
        <v>2132</v>
      </c>
      <c r="C1470" s="33" t="s">
        <v>2131</v>
      </c>
      <c r="D1470"/>
      <c r="E1470" s="35">
        <f>SUMIFS(E1471:E9015,K1471:K9015,"0",B1471:B9015,"3 1 1 1*")-SUMIFS(D1471:D9015,K1471:K9015,"0",B1471:B9015,"3 1 1 1*")</f>
        <v>6688008.8899999997</v>
      </c>
      <c r="F1470" s="35">
        <f>SUMIFS(F1471:F9015,K1471:K9015,"0",B1471:B9015,"3 1 1 1*")</f>
        <v>0</v>
      </c>
      <c r="G1470" s="35">
        <f>SUMIFS(G1471:G9015,K1471:K9015,"0",B1471:B9015,"3 1 1 1*")</f>
        <v>0</v>
      </c>
      <c r="H1470" s="35"/>
      <c r="I1470" s="35">
        <f t="shared" si="23"/>
        <v>6688008.8899999997</v>
      </c>
      <c r="K1470" t="s">
        <v>15</v>
      </c>
    </row>
    <row r="1471" spans="2:11" ht="12.75" x14ac:dyDescent="0.2">
      <c r="B1471" s="33" t="s">
        <v>2133</v>
      </c>
      <c r="C1471" s="33" t="s">
        <v>2131</v>
      </c>
      <c r="D1471"/>
      <c r="E1471" s="35">
        <f>SUMIFS(E1472:E9015,K1472:K9015,"0",B1472:B9015,"3 1 1 1 1*")-SUMIFS(D1472:D9015,K1472:K9015,"0",B1472:B9015,"3 1 1 1 1*")</f>
        <v>6688008.8899999997</v>
      </c>
      <c r="F1471" s="35">
        <f>SUMIFS(F1472:F9015,K1472:K9015,"0",B1472:B9015,"3 1 1 1 1*")</f>
        <v>0</v>
      </c>
      <c r="G1471" s="35">
        <f>SUMIFS(G1472:G9015,K1472:K9015,"0",B1472:B9015,"3 1 1 1 1*")</f>
        <v>0</v>
      </c>
      <c r="H1471" s="35"/>
      <c r="I1471" s="35">
        <f t="shared" si="23"/>
        <v>6688008.8899999997</v>
      </c>
      <c r="K1471" t="s">
        <v>15</v>
      </c>
    </row>
    <row r="1472" spans="2:11" ht="12.75" x14ac:dyDescent="0.2">
      <c r="B1472" s="33" t="s">
        <v>2134</v>
      </c>
      <c r="C1472" s="33" t="s">
        <v>26</v>
      </c>
      <c r="D1472"/>
      <c r="E1472" s="35">
        <f>SUMIFS(E1473:E9015,K1473:K9015,"0",B1473:B9015,"3 1 1 1 1 12*")-SUMIFS(D1473:D9015,K1473:K9015,"0",B1473:B9015,"3 1 1 1 1 12*")</f>
        <v>6688008.8899999997</v>
      </c>
      <c r="F1472" s="35">
        <f>SUMIFS(F1473:F9015,K1473:K9015,"0",B1473:B9015,"3 1 1 1 1 12*")</f>
        <v>0</v>
      </c>
      <c r="G1472" s="35">
        <f>SUMIFS(G1473:G9015,K1473:K9015,"0",B1473:B9015,"3 1 1 1 1 12*")</f>
        <v>0</v>
      </c>
      <c r="H1472" s="35"/>
      <c r="I1472" s="35">
        <f t="shared" si="23"/>
        <v>6688008.8899999997</v>
      </c>
      <c r="K1472" t="s">
        <v>15</v>
      </c>
    </row>
    <row r="1473" spans="2:11" ht="16.5" x14ac:dyDescent="0.2">
      <c r="B1473" s="33" t="s">
        <v>2135</v>
      </c>
      <c r="C1473" s="33" t="s">
        <v>28</v>
      </c>
      <c r="D1473"/>
      <c r="E1473" s="35">
        <f>SUMIFS(E1474:E9015,K1474:K9015,"0",B1474:B9015,"3 1 1 1 1 12 31111*")-SUMIFS(D1474:D9015,K1474:K9015,"0",B1474:B9015,"3 1 1 1 1 12 31111*")</f>
        <v>6688008.8899999997</v>
      </c>
      <c r="F1473" s="35">
        <f>SUMIFS(F1474:F9015,K1474:K9015,"0",B1474:B9015,"3 1 1 1 1 12 31111*")</f>
        <v>0</v>
      </c>
      <c r="G1473" s="35">
        <f>SUMIFS(G1474:G9015,K1474:K9015,"0",B1474:B9015,"3 1 1 1 1 12 31111*")</f>
        <v>0</v>
      </c>
      <c r="H1473" s="35"/>
      <c r="I1473" s="35">
        <f t="shared" si="23"/>
        <v>6688008.8899999997</v>
      </c>
      <c r="K1473" t="s">
        <v>15</v>
      </c>
    </row>
    <row r="1474" spans="2:11" ht="12.75" x14ac:dyDescent="0.2">
      <c r="B1474" s="33" t="s">
        <v>2136</v>
      </c>
      <c r="C1474" s="33" t="s">
        <v>30</v>
      </c>
      <c r="D1474"/>
      <c r="E1474" s="35">
        <f>SUMIFS(E1475:E9015,K1475:K9015,"0",B1475:B9015,"3 1 1 1 1 12 31111 6*")-SUMIFS(D1475:D9015,K1475:K9015,"0",B1475:B9015,"3 1 1 1 1 12 31111 6*")</f>
        <v>6688008.8899999997</v>
      </c>
      <c r="F1474" s="35">
        <f>SUMIFS(F1475:F9015,K1475:K9015,"0",B1475:B9015,"3 1 1 1 1 12 31111 6*")</f>
        <v>0</v>
      </c>
      <c r="G1474" s="35">
        <f>SUMIFS(G1475:G9015,K1475:K9015,"0",B1475:B9015,"3 1 1 1 1 12 31111 6*")</f>
        <v>0</v>
      </c>
      <c r="H1474" s="35"/>
      <c r="I1474" s="35">
        <f t="shared" si="23"/>
        <v>6688008.8899999997</v>
      </c>
      <c r="K1474" t="s">
        <v>15</v>
      </c>
    </row>
    <row r="1475" spans="2:11" ht="12.75" x14ac:dyDescent="0.2">
      <c r="B1475" s="33" t="s">
        <v>2137</v>
      </c>
      <c r="C1475" s="33" t="s">
        <v>32</v>
      </c>
      <c r="D1475"/>
      <c r="E1475" s="35">
        <f>SUMIFS(E1476:E9015,K1476:K9015,"0",B1476:B9015,"3 1 1 1 1 12 31111 6 M59*")-SUMIFS(D1476:D9015,K1476:K9015,"0",B1476:B9015,"3 1 1 1 1 12 31111 6 M59*")</f>
        <v>6688008.8899999997</v>
      </c>
      <c r="F1475" s="35">
        <f>SUMIFS(F1476:F9015,K1476:K9015,"0",B1476:B9015,"3 1 1 1 1 12 31111 6 M59*")</f>
        <v>0</v>
      </c>
      <c r="G1475" s="35">
        <f>SUMIFS(G1476:G9015,K1476:K9015,"0",B1476:B9015,"3 1 1 1 1 12 31111 6 M59*")</f>
        <v>0</v>
      </c>
      <c r="H1475" s="35"/>
      <c r="I1475" s="35">
        <f t="shared" si="23"/>
        <v>6688008.8899999997</v>
      </c>
      <c r="K1475" t="s">
        <v>15</v>
      </c>
    </row>
    <row r="1476" spans="2:11" ht="16.5" x14ac:dyDescent="0.2">
      <c r="B1476" s="33" t="s">
        <v>2138</v>
      </c>
      <c r="C1476" s="33" t="s">
        <v>34</v>
      </c>
      <c r="D1476"/>
      <c r="E1476" s="35">
        <f>SUMIFS(E1477:E9015,K1477:K9015,"0",B1477:B9015,"3 1 1 1 1 12 31111 6 M59 00001*")-SUMIFS(D1477:D9015,K1477:K9015,"0",B1477:B9015,"3 1 1 1 1 12 31111 6 M59 00001*")</f>
        <v>6158000</v>
      </c>
      <c r="F1476" s="35">
        <f>SUMIFS(F1477:F9015,K1477:K9015,"0",B1477:B9015,"3 1 1 1 1 12 31111 6 M59 00001*")</f>
        <v>0</v>
      </c>
      <c r="G1476" s="35">
        <f>SUMIFS(G1477:G9015,K1477:K9015,"0",B1477:B9015,"3 1 1 1 1 12 31111 6 M59 00001*")</f>
        <v>0</v>
      </c>
      <c r="H1476" s="35"/>
      <c r="I1476" s="35">
        <f t="shared" si="23"/>
        <v>6158000</v>
      </c>
      <c r="K1476" t="s">
        <v>15</v>
      </c>
    </row>
    <row r="1477" spans="2:11" ht="16.5" x14ac:dyDescent="0.2">
      <c r="B1477" s="31" t="s">
        <v>2139</v>
      </c>
      <c r="C1477" s="31" t="s">
        <v>203</v>
      </c>
      <c r="D1477" s="34"/>
      <c r="E1477" s="34">
        <v>6158000</v>
      </c>
      <c r="F1477" s="34">
        <v>0</v>
      </c>
      <c r="G1477" s="34">
        <v>0</v>
      </c>
      <c r="H1477" s="34"/>
      <c r="I1477" s="34">
        <f t="shared" si="23"/>
        <v>6158000</v>
      </c>
      <c r="K1477" t="s">
        <v>38</v>
      </c>
    </row>
    <row r="1478" spans="2:11" ht="24.75" x14ac:dyDescent="0.2">
      <c r="B1478" s="33" t="s">
        <v>2140</v>
      </c>
      <c r="C1478" s="33" t="s">
        <v>986</v>
      </c>
      <c r="D1478"/>
      <c r="E1478" s="35">
        <f>SUMIFS(E1479:E9015,K1479:K9015,"0",B1479:B9015,"3 1 1 1 1 12 31111 6 M59 00002*")-SUMIFS(D1479:D9015,K1479:K9015,"0",B1479:B9015,"3 1 1 1 1 12 31111 6 M59 00002*")</f>
        <v>274258.89</v>
      </c>
      <c r="F1478" s="35">
        <f>SUMIFS(F1479:F9015,K1479:K9015,"0",B1479:B9015,"3 1 1 1 1 12 31111 6 M59 00002*")</f>
        <v>0</v>
      </c>
      <c r="G1478" s="35">
        <f>SUMIFS(G1479:G9015,K1479:K9015,"0",B1479:B9015,"3 1 1 1 1 12 31111 6 M59 00002*")</f>
        <v>0</v>
      </c>
      <c r="H1478" s="35"/>
      <c r="I1478" s="35">
        <f t="shared" si="23"/>
        <v>274258.89</v>
      </c>
      <c r="K1478" t="s">
        <v>15</v>
      </c>
    </row>
    <row r="1479" spans="2:11" ht="16.5" x14ac:dyDescent="0.2">
      <c r="B1479" s="33" t="s">
        <v>2141</v>
      </c>
      <c r="C1479" s="33" t="s">
        <v>42</v>
      </c>
      <c r="D1479"/>
      <c r="E1479" s="35">
        <f>SUMIFS(E1480:E9015,K1480:K9015,"0",B1480:B9015,"3 1 1 1 1 12 31111 6 M59 00002 000001*")-SUMIFS(D1480:D9015,K1480:K9015,"0",B1480:B9015,"3 1 1 1 1 12 31111 6 M59 00002 000001*")</f>
        <v>274258.89</v>
      </c>
      <c r="F1479" s="35">
        <f>SUMIFS(F1480:F9015,K1480:K9015,"0",B1480:B9015,"3 1 1 1 1 12 31111 6 M59 00002 000001*")</f>
        <v>0</v>
      </c>
      <c r="G1479" s="35">
        <f>SUMIFS(G1480:G9015,K1480:K9015,"0",B1480:B9015,"3 1 1 1 1 12 31111 6 M59 00002 000001*")</f>
        <v>0</v>
      </c>
      <c r="H1479" s="35"/>
      <c r="I1479" s="35">
        <f t="shared" si="23"/>
        <v>274258.89</v>
      </c>
      <c r="K1479" t="s">
        <v>15</v>
      </c>
    </row>
    <row r="1480" spans="2:11" ht="16.5" x14ac:dyDescent="0.2">
      <c r="B1480" s="31" t="s">
        <v>2142</v>
      </c>
      <c r="C1480" s="31" t="s">
        <v>274</v>
      </c>
      <c r="D1480" s="34"/>
      <c r="E1480" s="34">
        <v>274258.89</v>
      </c>
      <c r="F1480" s="34">
        <v>0</v>
      </c>
      <c r="G1480" s="34">
        <v>0</v>
      </c>
      <c r="H1480" s="34"/>
      <c r="I1480" s="34">
        <f t="shared" si="23"/>
        <v>274258.89</v>
      </c>
      <c r="K1480" t="s">
        <v>38</v>
      </c>
    </row>
    <row r="1481" spans="2:11" ht="16.5" x14ac:dyDescent="0.2">
      <c r="B1481" s="33" t="s">
        <v>2143</v>
      </c>
      <c r="C1481" s="33" t="s">
        <v>1364</v>
      </c>
      <c r="D1481"/>
      <c r="E1481" s="35">
        <f>SUMIFS(E1482:E9015,K1482:K9015,"0",B1482:B9015,"3 1 1 1 1 12 31111 6 M59 00004*")-SUMIFS(D1482:D9015,K1482:K9015,"0",B1482:B9015,"3 1 1 1 1 12 31111 6 M59 00004*")</f>
        <v>255750</v>
      </c>
      <c r="F1481" s="35">
        <f>SUMIFS(F1482:F9015,K1482:K9015,"0",B1482:B9015,"3 1 1 1 1 12 31111 6 M59 00004*")</f>
        <v>0</v>
      </c>
      <c r="G1481" s="35">
        <f>SUMIFS(G1482:G9015,K1482:K9015,"0",B1482:B9015,"3 1 1 1 1 12 31111 6 M59 00004*")</f>
        <v>0</v>
      </c>
      <c r="H1481" s="35"/>
      <c r="I1481" s="35">
        <f t="shared" si="23"/>
        <v>255750</v>
      </c>
      <c r="K1481" t="s">
        <v>15</v>
      </c>
    </row>
    <row r="1482" spans="2:11" ht="16.5" x14ac:dyDescent="0.2">
      <c r="B1482" s="33" t="s">
        <v>2144</v>
      </c>
      <c r="C1482" s="33" t="s">
        <v>2131</v>
      </c>
      <c r="D1482"/>
      <c r="E1482" s="35">
        <f>SUMIFS(E1483:E9015,K1483:K9015,"0",B1483:B9015,"3 1 1 1 1 12 31111 6 M59 00004 000001*")-SUMIFS(D1483:D9015,K1483:K9015,"0",B1483:B9015,"3 1 1 1 1 12 31111 6 M59 00004 000001*")</f>
        <v>255750</v>
      </c>
      <c r="F1482" s="35">
        <f>SUMIFS(F1483:F9015,K1483:K9015,"0",B1483:B9015,"3 1 1 1 1 12 31111 6 M59 00004 000001*")</f>
        <v>0</v>
      </c>
      <c r="G1482" s="35">
        <f>SUMIFS(G1483:G9015,K1483:K9015,"0",B1483:B9015,"3 1 1 1 1 12 31111 6 M59 00004 000001*")</f>
        <v>0</v>
      </c>
      <c r="H1482" s="35"/>
      <c r="I1482" s="35">
        <f t="shared" si="23"/>
        <v>255750</v>
      </c>
      <c r="K1482" t="s">
        <v>15</v>
      </c>
    </row>
    <row r="1483" spans="2:11" ht="16.5" x14ac:dyDescent="0.2">
      <c r="B1483" s="31" t="s">
        <v>2145</v>
      </c>
      <c r="C1483" s="31" t="s">
        <v>274</v>
      </c>
      <c r="D1483" s="34"/>
      <c r="E1483" s="34">
        <v>255750</v>
      </c>
      <c r="F1483" s="34">
        <v>0</v>
      </c>
      <c r="G1483" s="34">
        <v>0</v>
      </c>
      <c r="H1483" s="34"/>
      <c r="I1483" s="34">
        <f t="shared" si="23"/>
        <v>255750</v>
      </c>
      <c r="K1483" t="s">
        <v>38</v>
      </c>
    </row>
    <row r="1484" spans="2:11" ht="16.5" x14ac:dyDescent="0.2">
      <c r="B1484" s="33" t="s">
        <v>2146</v>
      </c>
      <c r="C1484" s="33" t="s">
        <v>2147</v>
      </c>
      <c r="D1484"/>
      <c r="E1484" s="35">
        <f>SUMIFS(E1485:E9015,K1485:K9015,"0",B1485:B9015,"3 2*")-SUMIFS(D1485:D9015,K1485:K9015,"0",B1485:B9015,"3 2*")</f>
        <v>42758312.25</v>
      </c>
      <c r="F1484" s="35">
        <f>SUMIFS(F1485:F9015,K1485:K9015,"0",B1485:B9015,"3 2*")</f>
        <v>26144826.009999998</v>
      </c>
      <c r="G1484" s="35">
        <f>SUMIFS(G1485:G9015,K1485:K9015,"0",B1485:B9015,"3 2*")</f>
        <v>26914093.59</v>
      </c>
      <c r="H1484" s="35"/>
      <c r="I1484" s="35">
        <f t="shared" si="23"/>
        <v>43527579.829999998</v>
      </c>
      <c r="K1484" t="s">
        <v>15</v>
      </c>
    </row>
    <row r="1485" spans="2:11" ht="16.5" x14ac:dyDescent="0.2">
      <c r="B1485" s="33" t="s">
        <v>2148</v>
      </c>
      <c r="C1485" s="33" t="s">
        <v>2149</v>
      </c>
      <c r="D1485"/>
      <c r="E1485" s="35">
        <f>SUMIFS(E1486:E9015,K1486:K9015,"0",B1486:B9015,"3 2 1*")-SUMIFS(D1486:D9015,K1486:K9015,"0",B1486:B9015,"3 2 1*")</f>
        <v>1037586.5499999999</v>
      </c>
      <c r="F1485" s="35">
        <f>SUMIFS(F1486:F9015,K1486:K9015,"0",B1486:B9015,"3 2 1*")</f>
        <v>26144826.009999998</v>
      </c>
      <c r="G1485" s="35">
        <f>SUMIFS(G1486:G9015,K1486:K9015,"0",B1486:B9015,"3 2 1*")</f>
        <v>25086038.640000001</v>
      </c>
      <c r="H1485" s="35"/>
      <c r="I1485" s="35">
        <f t="shared" si="23"/>
        <v>-21200.819999996573</v>
      </c>
      <c r="K1485" t="s">
        <v>15</v>
      </c>
    </row>
    <row r="1486" spans="2:11" ht="16.5" x14ac:dyDescent="0.2">
      <c r="B1486" s="33" t="s">
        <v>2150</v>
      </c>
      <c r="C1486" s="33" t="s">
        <v>2149</v>
      </c>
      <c r="D1486"/>
      <c r="E1486" s="35">
        <f>SUMIFS(E1487:E9015,K1487:K9015,"0",B1487:B9015,"3 2 1 1*")-SUMIFS(D1487:D9015,K1487:K9015,"0",B1487:B9015,"3 2 1 1*")</f>
        <v>1037586.5499999999</v>
      </c>
      <c r="F1486" s="35">
        <f>SUMIFS(F1487:F9015,K1487:K9015,"0",B1487:B9015,"3 2 1 1*")</f>
        <v>26144826.009999998</v>
      </c>
      <c r="G1486" s="35">
        <f>SUMIFS(G1487:G9015,K1487:K9015,"0",B1487:B9015,"3 2 1 1*")</f>
        <v>25086038.640000001</v>
      </c>
      <c r="H1486" s="35"/>
      <c r="I1486" s="35">
        <f t="shared" si="23"/>
        <v>-21200.819999996573</v>
      </c>
      <c r="K1486" t="s">
        <v>15</v>
      </c>
    </row>
    <row r="1487" spans="2:11" ht="16.5" x14ac:dyDescent="0.2">
      <c r="B1487" s="33" t="s">
        <v>2151</v>
      </c>
      <c r="C1487" s="33" t="s">
        <v>2149</v>
      </c>
      <c r="D1487"/>
      <c r="E1487" s="35">
        <f>SUMIFS(E1488:E9015,K1488:K9015,"0",B1488:B9015,"3 2 1 1 1*")-SUMIFS(D1488:D9015,K1488:K9015,"0",B1488:B9015,"3 2 1 1 1*")</f>
        <v>1037586.5499999999</v>
      </c>
      <c r="F1487" s="35">
        <f>SUMIFS(F1488:F9015,K1488:K9015,"0",B1488:B9015,"3 2 1 1 1*")</f>
        <v>26144826.009999998</v>
      </c>
      <c r="G1487" s="35">
        <f>SUMIFS(G1488:G9015,K1488:K9015,"0",B1488:B9015,"3 2 1 1 1*")</f>
        <v>25086038.640000001</v>
      </c>
      <c r="H1487" s="35"/>
      <c r="I1487" s="35">
        <f t="shared" si="23"/>
        <v>-21200.819999996573</v>
      </c>
      <c r="K1487" t="s">
        <v>15</v>
      </c>
    </row>
    <row r="1488" spans="2:11" ht="12.75" x14ac:dyDescent="0.2">
      <c r="B1488" s="33" t="s">
        <v>2152</v>
      </c>
      <c r="C1488" s="33" t="s">
        <v>26</v>
      </c>
      <c r="D1488"/>
      <c r="E1488" s="35">
        <f>SUMIFS(E1489:E9015,K1489:K9015,"0",B1489:B9015,"3 2 1 1 1 12*")-SUMIFS(D1489:D9015,K1489:K9015,"0",B1489:B9015,"3 2 1 1 1 12*")</f>
        <v>1037586.5499999999</v>
      </c>
      <c r="F1488" s="35">
        <f>SUMIFS(F1489:F9015,K1489:K9015,"0",B1489:B9015,"3 2 1 1 1 12*")</f>
        <v>26144826.009999998</v>
      </c>
      <c r="G1488" s="35">
        <f>SUMIFS(G1489:G9015,K1489:K9015,"0",B1489:B9015,"3 2 1 1 1 12*")</f>
        <v>25086038.640000001</v>
      </c>
      <c r="H1488" s="35"/>
      <c r="I1488" s="35">
        <f t="shared" si="23"/>
        <v>-21200.819999996573</v>
      </c>
      <c r="K1488" t="s">
        <v>15</v>
      </c>
    </row>
    <row r="1489" spans="2:11" ht="16.5" x14ac:dyDescent="0.2">
      <c r="B1489" s="33" t="s">
        <v>2153</v>
      </c>
      <c r="C1489" s="33" t="s">
        <v>28</v>
      </c>
      <c r="D1489"/>
      <c r="E1489" s="35">
        <f>SUMIFS(E1490:E9015,K1490:K9015,"0",B1490:B9015,"3 2 1 1 1 12 31111*")-SUMIFS(D1490:D9015,K1490:K9015,"0",B1490:B9015,"3 2 1 1 1 12 31111*")</f>
        <v>1037586.5499999999</v>
      </c>
      <c r="F1489" s="35">
        <f>SUMIFS(F1490:F9015,K1490:K9015,"0",B1490:B9015,"3 2 1 1 1 12 31111*")</f>
        <v>26144826.009999998</v>
      </c>
      <c r="G1489" s="35">
        <f>SUMIFS(G1490:G9015,K1490:K9015,"0",B1490:B9015,"3 2 1 1 1 12 31111*")</f>
        <v>25086038.640000001</v>
      </c>
      <c r="H1489" s="35"/>
      <c r="I1489" s="35">
        <f t="shared" si="23"/>
        <v>-21200.819999996573</v>
      </c>
      <c r="K1489" t="s">
        <v>15</v>
      </c>
    </row>
    <row r="1490" spans="2:11" ht="12.75" x14ac:dyDescent="0.2">
      <c r="B1490" s="33" t="s">
        <v>2154</v>
      </c>
      <c r="C1490" s="33" t="s">
        <v>30</v>
      </c>
      <c r="D1490"/>
      <c r="E1490" s="35">
        <f>SUMIFS(E1491:E9015,K1491:K9015,"0",B1491:B9015,"3 2 1 1 1 12 31111 6*")-SUMIFS(D1491:D9015,K1491:K9015,"0",B1491:B9015,"3 2 1 1 1 12 31111 6*")</f>
        <v>1037586.5499999999</v>
      </c>
      <c r="F1490" s="35">
        <f>SUMIFS(F1491:F9015,K1491:K9015,"0",B1491:B9015,"3 2 1 1 1 12 31111 6*")</f>
        <v>26144826.009999998</v>
      </c>
      <c r="G1490" s="35">
        <f>SUMIFS(G1491:G9015,K1491:K9015,"0",B1491:B9015,"3 2 1 1 1 12 31111 6*")</f>
        <v>25086038.640000001</v>
      </c>
      <c r="H1490" s="35"/>
      <c r="I1490" s="35">
        <f t="shared" si="23"/>
        <v>-21200.819999996573</v>
      </c>
      <c r="K1490" t="s">
        <v>15</v>
      </c>
    </row>
    <row r="1491" spans="2:11" ht="12.75" x14ac:dyDescent="0.2">
      <c r="B1491" s="33" t="s">
        <v>2155</v>
      </c>
      <c r="C1491" s="33" t="s">
        <v>32</v>
      </c>
      <c r="D1491"/>
      <c r="E1491" s="35">
        <f>SUMIFS(E1492:E9015,K1492:K9015,"0",B1492:B9015,"3 2 1 1 1 12 31111 6 M59*")-SUMIFS(D1492:D9015,K1492:K9015,"0",B1492:B9015,"3 2 1 1 1 12 31111 6 M59*")</f>
        <v>1037586.5499999999</v>
      </c>
      <c r="F1491" s="35">
        <f>SUMIFS(F1492:F9015,K1492:K9015,"0",B1492:B9015,"3 2 1 1 1 12 31111 6 M59*")</f>
        <v>26144826.009999998</v>
      </c>
      <c r="G1491" s="35">
        <f>SUMIFS(G1492:G9015,K1492:K9015,"0",B1492:B9015,"3 2 1 1 1 12 31111 6 M59*")</f>
        <v>25086038.640000001</v>
      </c>
      <c r="H1491" s="35"/>
      <c r="I1491" s="35">
        <f t="shared" si="23"/>
        <v>-21200.819999996573</v>
      </c>
      <c r="K1491" t="s">
        <v>15</v>
      </c>
    </row>
    <row r="1492" spans="2:11" ht="16.5" x14ac:dyDescent="0.2">
      <c r="B1492" s="33" t="s">
        <v>2156</v>
      </c>
      <c r="C1492" s="33" t="s">
        <v>34</v>
      </c>
      <c r="D1492"/>
      <c r="E1492" s="35">
        <f>SUMIFS(E1493:E9015,K1493:K9015,"0",B1493:B9015,"3 2 1 1 1 12 31111 6 M59 00001*")-SUMIFS(D1493:D9015,K1493:K9015,"0",B1493:B9015,"3 2 1 1 1 12 31111 6 M59 00001*")</f>
        <v>-151872.10999999999</v>
      </c>
      <c r="F1492" s="35">
        <f>SUMIFS(F1493:F9015,K1493:K9015,"0",B1493:B9015,"3 2 1 1 1 12 31111 6 M59 00001*")</f>
        <v>2610633.11</v>
      </c>
      <c r="G1492" s="35">
        <f>SUMIFS(G1493:G9015,K1493:K9015,"0",B1493:B9015,"3 2 1 1 1 12 31111 6 M59 00001*")</f>
        <v>279665.15000000002</v>
      </c>
      <c r="H1492" s="35"/>
      <c r="I1492" s="35">
        <f t="shared" si="23"/>
        <v>-2482840.0699999998</v>
      </c>
      <c r="K1492" t="s">
        <v>15</v>
      </c>
    </row>
    <row r="1493" spans="2:11" ht="16.5" x14ac:dyDescent="0.2">
      <c r="B1493" s="33" t="s">
        <v>2157</v>
      </c>
      <c r="C1493" s="33" t="s">
        <v>203</v>
      </c>
      <c r="D1493"/>
      <c r="E1493" s="35">
        <f>SUMIFS(E1494:E9015,K1494:K9015,"0",B1494:B9015,"3 2 1 1 1 12 31111 6 M59 00001 000001*")-SUMIFS(D1494:D9015,K1494:K9015,"0",B1494:B9015,"3 2 1 1 1 12 31111 6 M59 00001 000001*")</f>
        <v>-153493.10999999999</v>
      </c>
      <c r="F1493" s="35">
        <f>SUMIFS(F1494:F9015,K1494:K9015,"0",B1494:B9015,"3 2 1 1 1 12 31111 6 M59 00001 000001*")</f>
        <v>2610633.11</v>
      </c>
      <c r="G1493" s="35">
        <f>SUMIFS(G1494:G9015,K1494:K9015,"0",B1494:B9015,"3 2 1 1 1 12 31111 6 M59 00001 000001*")</f>
        <v>279665.15000000002</v>
      </c>
      <c r="H1493" s="35"/>
      <c r="I1493" s="35">
        <f t="shared" si="23"/>
        <v>-2484461.0699999998</v>
      </c>
      <c r="K1493" t="s">
        <v>15</v>
      </c>
    </row>
    <row r="1494" spans="2:11" ht="16.5" x14ac:dyDescent="0.2">
      <c r="B1494" s="31" t="s">
        <v>2158</v>
      </c>
      <c r="C1494" s="31" t="s">
        <v>274</v>
      </c>
      <c r="D1494" s="34"/>
      <c r="E1494" s="34">
        <v>-153493.10999999999</v>
      </c>
      <c r="F1494" s="34">
        <v>2610633.11</v>
      </c>
      <c r="G1494" s="34">
        <v>279665.15000000002</v>
      </c>
      <c r="H1494" s="34"/>
      <c r="I1494" s="34">
        <f t="shared" si="23"/>
        <v>-2484461.0699999998</v>
      </c>
      <c r="K1494" t="s">
        <v>38</v>
      </c>
    </row>
    <row r="1495" spans="2:11" ht="16.5" x14ac:dyDescent="0.2">
      <c r="B1495" s="33" t="s">
        <v>2159</v>
      </c>
      <c r="C1495" s="33" t="s">
        <v>2160</v>
      </c>
      <c r="D1495"/>
      <c r="E1495" s="35">
        <f>SUMIFS(E1496:E9015,K1496:K9015,"0",B1496:B9015,"3 2 1 1 1 12 31111 6 M59 00001 000045*")-SUMIFS(D1496:D9015,K1496:K9015,"0",B1496:B9015,"3 2 1 1 1 12 31111 6 M59 00001 000045*")</f>
        <v>1621</v>
      </c>
      <c r="F1495" s="35">
        <f>SUMIFS(F1496:F9015,K1496:K9015,"0",B1496:B9015,"3 2 1 1 1 12 31111 6 M59 00001 000045*")</f>
        <v>0</v>
      </c>
      <c r="G1495" s="35">
        <f>SUMIFS(G1496:G9015,K1496:K9015,"0",B1496:B9015,"3 2 1 1 1 12 31111 6 M59 00001 000045*")</f>
        <v>0</v>
      </c>
      <c r="H1495" s="35"/>
      <c r="I1495" s="35">
        <f t="shared" si="23"/>
        <v>1621</v>
      </c>
      <c r="K1495" t="s">
        <v>15</v>
      </c>
    </row>
    <row r="1496" spans="2:11" ht="16.5" x14ac:dyDescent="0.2">
      <c r="B1496" s="31" t="s">
        <v>2161</v>
      </c>
      <c r="C1496" s="31" t="s">
        <v>274</v>
      </c>
      <c r="D1496" s="34"/>
      <c r="E1496" s="34">
        <v>1621</v>
      </c>
      <c r="F1496" s="34">
        <v>0</v>
      </c>
      <c r="G1496" s="34">
        <v>0</v>
      </c>
      <c r="H1496" s="34"/>
      <c r="I1496" s="34">
        <f t="shared" si="23"/>
        <v>1621</v>
      </c>
      <c r="K1496" t="s">
        <v>38</v>
      </c>
    </row>
    <row r="1497" spans="2:11" ht="24.75" x14ac:dyDescent="0.2">
      <c r="B1497" s="33" t="s">
        <v>2162</v>
      </c>
      <c r="C1497" s="33" t="s">
        <v>73</v>
      </c>
      <c r="D1497"/>
      <c r="E1497" s="35">
        <f>SUMIFS(E1498:E9015,K1498:K9015,"0",B1498:B9015,"3 2 1 1 1 12 31111 6 M59 00002*")-SUMIFS(D1498:D9015,K1498:K9015,"0",B1498:B9015,"3 2 1 1 1 12 31111 6 M59 00002*")</f>
        <v>768836.66</v>
      </c>
      <c r="F1497" s="35">
        <f>SUMIFS(F1498:F9015,K1498:K9015,"0",B1498:B9015,"3 2 1 1 1 12 31111 6 M59 00002*")</f>
        <v>0</v>
      </c>
      <c r="G1497" s="35">
        <f>SUMIFS(G1498:G9015,K1498:K9015,"0",B1498:B9015,"3 2 1 1 1 12 31111 6 M59 00002*")</f>
        <v>38304.019999999997</v>
      </c>
      <c r="H1497" s="35"/>
      <c r="I1497" s="35">
        <f t="shared" si="23"/>
        <v>807140.68</v>
      </c>
      <c r="K1497" t="s">
        <v>15</v>
      </c>
    </row>
    <row r="1498" spans="2:11" ht="16.5" x14ac:dyDescent="0.2">
      <c r="B1498" s="33" t="s">
        <v>2163</v>
      </c>
      <c r="C1498" s="33" t="s">
        <v>203</v>
      </c>
      <c r="D1498"/>
      <c r="E1498" s="35">
        <f>SUMIFS(E1499:E9015,K1499:K9015,"0",B1499:B9015,"3 2 1 1 1 12 31111 6 M59 00002 000001*")-SUMIFS(D1499:D9015,K1499:K9015,"0",B1499:B9015,"3 2 1 1 1 12 31111 6 M59 00002 000001*")</f>
        <v>768836.66</v>
      </c>
      <c r="F1498" s="35">
        <f>SUMIFS(F1499:F9015,K1499:K9015,"0",B1499:B9015,"3 2 1 1 1 12 31111 6 M59 00002 000001*")</f>
        <v>0</v>
      </c>
      <c r="G1498" s="35">
        <f>SUMIFS(G1499:G9015,K1499:K9015,"0",B1499:B9015,"3 2 1 1 1 12 31111 6 M59 00002 000001*")</f>
        <v>38304.019999999997</v>
      </c>
      <c r="H1498" s="35"/>
      <c r="I1498" s="35">
        <f t="shared" si="23"/>
        <v>807140.68</v>
      </c>
      <c r="K1498" t="s">
        <v>15</v>
      </c>
    </row>
    <row r="1499" spans="2:11" ht="16.5" x14ac:dyDescent="0.2">
      <c r="B1499" s="31" t="s">
        <v>2164</v>
      </c>
      <c r="C1499" s="31" t="s">
        <v>2165</v>
      </c>
      <c r="D1499" s="34"/>
      <c r="E1499" s="34">
        <v>768836.66</v>
      </c>
      <c r="F1499" s="34">
        <v>0</v>
      </c>
      <c r="G1499" s="34">
        <v>38304.019999999997</v>
      </c>
      <c r="H1499" s="34"/>
      <c r="I1499" s="34">
        <f t="shared" si="23"/>
        <v>807140.68</v>
      </c>
      <c r="K1499" t="s">
        <v>38</v>
      </c>
    </row>
    <row r="1500" spans="2:11" ht="16.5" x14ac:dyDescent="0.2">
      <c r="B1500" s="33" t="s">
        <v>2166</v>
      </c>
      <c r="C1500" s="33" t="s">
        <v>83</v>
      </c>
      <c r="D1500"/>
      <c r="E1500" s="35">
        <f>SUMIFS(E1501:E9015,K1501:K9015,"0",B1501:B9015,"3 2 1 1 1 12 31111 6 M59 00003*")-SUMIFS(D1501:D9015,K1501:K9015,"0",B1501:B9015,"3 2 1 1 1 12 31111 6 M59 00003*")</f>
        <v>-315303.28999999998</v>
      </c>
      <c r="F1500" s="35">
        <f>SUMIFS(F1501:F9015,K1501:K9015,"0",B1501:B9015,"3 2 1 1 1 12 31111 6 M59 00003*")</f>
        <v>0</v>
      </c>
      <c r="G1500" s="35">
        <f>SUMIFS(G1501:G9015,K1501:K9015,"0",B1501:B9015,"3 2 1 1 1 12 31111 6 M59 00003*")</f>
        <v>903554.81</v>
      </c>
      <c r="H1500" s="35"/>
      <c r="I1500" s="35">
        <f t="shared" si="23"/>
        <v>588251.52</v>
      </c>
      <c r="K1500" t="s">
        <v>15</v>
      </c>
    </row>
    <row r="1501" spans="2:11" ht="16.5" x14ac:dyDescent="0.2">
      <c r="B1501" s="33" t="s">
        <v>2167</v>
      </c>
      <c r="C1501" s="33" t="s">
        <v>203</v>
      </c>
      <c r="D1501"/>
      <c r="E1501" s="35">
        <f>SUMIFS(E1502:E9015,K1502:K9015,"0",B1502:B9015,"3 2 1 1 1 12 31111 6 M59 00003 000001*")-SUMIFS(D1502:D9015,K1502:K9015,"0",B1502:B9015,"3 2 1 1 1 12 31111 6 M59 00003 000001*")</f>
        <v>-315303.28999999998</v>
      </c>
      <c r="F1501" s="35">
        <f>SUMIFS(F1502:F9015,K1502:K9015,"0",B1502:B9015,"3 2 1 1 1 12 31111 6 M59 00003 000001*")</f>
        <v>0</v>
      </c>
      <c r="G1501" s="35">
        <f>SUMIFS(G1502:G9015,K1502:K9015,"0",B1502:B9015,"3 2 1 1 1 12 31111 6 M59 00003 000001*")</f>
        <v>903554.81</v>
      </c>
      <c r="H1501" s="35"/>
      <c r="I1501" s="35">
        <f t="shared" si="23"/>
        <v>588251.52</v>
      </c>
      <c r="K1501" t="s">
        <v>15</v>
      </c>
    </row>
    <row r="1502" spans="2:11" ht="16.5" x14ac:dyDescent="0.2">
      <c r="B1502" s="33" t="s">
        <v>2168</v>
      </c>
      <c r="C1502" s="33" t="s">
        <v>42</v>
      </c>
      <c r="D1502"/>
      <c r="E1502" s="35">
        <f>SUMIFS(E1503:E9015,K1503:K9015,"0",B1503:B9015,"3 2 1 1 1 12 31111 6 M59 00003 000001 00001*")-SUMIFS(D1503:D9015,K1503:K9015,"0",B1503:B9015,"3 2 1 1 1 12 31111 6 M59 00003 000001 00001*")</f>
        <v>-315303.28999999998</v>
      </c>
      <c r="F1502" s="35">
        <f>SUMIFS(F1503:F9015,K1503:K9015,"0",B1503:B9015,"3 2 1 1 1 12 31111 6 M59 00003 000001 00001*")</f>
        <v>0</v>
      </c>
      <c r="G1502" s="35">
        <f>SUMIFS(G1503:G9015,K1503:K9015,"0",B1503:B9015,"3 2 1 1 1 12 31111 6 M59 00003 000001 00001*")</f>
        <v>903554.81</v>
      </c>
      <c r="H1502" s="35"/>
      <c r="I1502" s="35">
        <f t="shared" si="23"/>
        <v>588251.52</v>
      </c>
      <c r="K1502" t="s">
        <v>15</v>
      </c>
    </row>
    <row r="1503" spans="2:11" ht="16.5" x14ac:dyDescent="0.2">
      <c r="B1503" s="31" t="s">
        <v>2169</v>
      </c>
      <c r="C1503" s="31" t="s">
        <v>2170</v>
      </c>
      <c r="D1503" s="34"/>
      <c r="E1503" s="34">
        <v>-315303.28999999998</v>
      </c>
      <c r="F1503" s="34">
        <v>0</v>
      </c>
      <c r="G1503" s="34">
        <v>903554.81</v>
      </c>
      <c r="H1503" s="34"/>
      <c r="I1503" s="34">
        <f t="shared" si="23"/>
        <v>588251.52</v>
      </c>
      <c r="K1503" t="s">
        <v>38</v>
      </c>
    </row>
    <row r="1504" spans="2:11" ht="24.75" x14ac:dyDescent="0.2">
      <c r="B1504" s="33" t="s">
        <v>2171</v>
      </c>
      <c r="C1504" s="33" t="s">
        <v>91</v>
      </c>
      <c r="D1504"/>
      <c r="E1504" s="35">
        <f>SUMIFS(E1505:E9015,K1505:K9015,"0",B1505:B9015,"3 2 1 1 1 12 31111 6 M59 00004*")-SUMIFS(D1505:D9015,K1505:K9015,"0",B1505:B9015,"3 2 1 1 1 12 31111 6 M59 00004*")</f>
        <v>710093.97</v>
      </c>
      <c r="F1504" s="35">
        <f>SUMIFS(F1505:F9015,K1505:K9015,"0",B1505:B9015,"3 2 1 1 1 12 31111 6 M59 00004*")</f>
        <v>23534192.899999999</v>
      </c>
      <c r="G1504" s="35">
        <f>SUMIFS(G1505:G9015,K1505:K9015,"0",B1505:B9015,"3 2 1 1 1 12 31111 6 M59 00004*")</f>
        <v>20266670.010000002</v>
      </c>
      <c r="H1504" s="35"/>
      <c r="I1504" s="35">
        <f t="shared" si="23"/>
        <v>-2557428.9199999981</v>
      </c>
      <c r="K1504" t="s">
        <v>15</v>
      </c>
    </row>
    <row r="1505" spans="2:11" ht="16.5" x14ac:dyDescent="0.2">
      <c r="B1505" s="33" t="s">
        <v>2172</v>
      </c>
      <c r="C1505" s="33" t="s">
        <v>203</v>
      </c>
      <c r="D1505"/>
      <c r="E1505" s="35">
        <f>SUMIFS(E1506:E9015,K1506:K9015,"0",B1506:B9015,"3 2 1 1 1 12 31111 6 M59 00004 000001*")-SUMIFS(D1506:D9015,K1506:K9015,"0",B1506:B9015,"3 2 1 1 1 12 31111 6 M59 00004 000001*")</f>
        <v>710093.97</v>
      </c>
      <c r="F1505" s="35">
        <f>SUMIFS(F1506:F9015,K1506:K9015,"0",B1506:B9015,"3 2 1 1 1 12 31111 6 M59 00004 000001*")</f>
        <v>23534192.899999999</v>
      </c>
      <c r="G1505" s="35">
        <f>SUMIFS(G1506:G9015,K1506:K9015,"0",B1506:B9015,"3 2 1 1 1 12 31111 6 M59 00004 000001*")</f>
        <v>20266670.010000002</v>
      </c>
      <c r="H1505" s="35"/>
      <c r="I1505" s="35">
        <f t="shared" si="23"/>
        <v>-2557428.9199999981</v>
      </c>
      <c r="K1505" t="s">
        <v>15</v>
      </c>
    </row>
    <row r="1506" spans="2:11" ht="16.5" x14ac:dyDescent="0.2">
      <c r="B1506" s="31" t="s">
        <v>2173</v>
      </c>
      <c r="C1506" s="31" t="s">
        <v>274</v>
      </c>
      <c r="D1506" s="34"/>
      <c r="E1506" s="34">
        <v>710093.97</v>
      </c>
      <c r="F1506" s="34">
        <v>23534192.899999999</v>
      </c>
      <c r="G1506" s="34">
        <v>20266670.010000002</v>
      </c>
      <c r="H1506" s="34"/>
      <c r="I1506" s="34">
        <f t="shared" si="23"/>
        <v>-2557428.9199999981</v>
      </c>
      <c r="K1506" t="s">
        <v>38</v>
      </c>
    </row>
    <row r="1507" spans="2:11" ht="41.25" x14ac:dyDescent="0.2">
      <c r="B1507" s="33" t="s">
        <v>2174</v>
      </c>
      <c r="C1507" s="33" t="s">
        <v>109</v>
      </c>
      <c r="D1507"/>
      <c r="E1507" s="35">
        <f>SUMIFS(E1508:E9015,K1508:K9015,"0",B1508:B9015,"3 2 1 1 1 12 31111 6 M59 00005*")-SUMIFS(D1508:D9015,K1508:K9015,"0",B1508:B9015,"3 2 1 1 1 12 31111 6 M59 00005*")</f>
        <v>25831.32</v>
      </c>
      <c r="F1507" s="35">
        <f>SUMIFS(F1508:F9015,K1508:K9015,"0",B1508:B9015,"3 2 1 1 1 12 31111 6 M59 00005*")</f>
        <v>0</v>
      </c>
      <c r="G1507" s="35">
        <f>SUMIFS(G1508:G9015,K1508:K9015,"0",B1508:B9015,"3 2 1 1 1 12 31111 6 M59 00005*")</f>
        <v>3597844.65</v>
      </c>
      <c r="H1507" s="35"/>
      <c r="I1507" s="35">
        <f t="shared" si="23"/>
        <v>3623675.9699999997</v>
      </c>
      <c r="K1507" t="s">
        <v>15</v>
      </c>
    </row>
    <row r="1508" spans="2:11" ht="16.5" x14ac:dyDescent="0.2">
      <c r="B1508" s="33" t="s">
        <v>2175</v>
      </c>
      <c r="C1508" s="33" t="s">
        <v>203</v>
      </c>
      <c r="D1508"/>
      <c r="E1508" s="35">
        <f>SUMIFS(E1509:E9015,K1509:K9015,"0",B1509:B9015,"3 2 1 1 1 12 31111 6 M59 00005 000001*")-SUMIFS(D1509:D9015,K1509:K9015,"0",B1509:B9015,"3 2 1 1 1 12 31111 6 M59 00005 000001*")</f>
        <v>25831.32</v>
      </c>
      <c r="F1508" s="35">
        <f>SUMIFS(F1509:F9015,K1509:K9015,"0",B1509:B9015,"3 2 1 1 1 12 31111 6 M59 00005 000001*")</f>
        <v>0</v>
      </c>
      <c r="G1508" s="35">
        <f>SUMIFS(G1509:G9015,K1509:K9015,"0",B1509:B9015,"3 2 1 1 1 12 31111 6 M59 00005 000001*")</f>
        <v>3597844.65</v>
      </c>
      <c r="H1508" s="35"/>
      <c r="I1508" s="35">
        <f t="shared" si="23"/>
        <v>3623675.9699999997</v>
      </c>
      <c r="K1508" t="s">
        <v>15</v>
      </c>
    </row>
    <row r="1509" spans="2:11" ht="16.5" x14ac:dyDescent="0.2">
      <c r="B1509" s="31" t="s">
        <v>2176</v>
      </c>
      <c r="C1509" s="31" t="s">
        <v>274</v>
      </c>
      <c r="D1509" s="34"/>
      <c r="E1509" s="34">
        <v>25831.32</v>
      </c>
      <c r="F1509" s="34">
        <v>0</v>
      </c>
      <c r="G1509" s="34">
        <v>3597844.65</v>
      </c>
      <c r="H1509" s="34"/>
      <c r="I1509" s="34">
        <f t="shared" si="23"/>
        <v>3623675.9699999997</v>
      </c>
      <c r="K1509" t="s">
        <v>38</v>
      </c>
    </row>
    <row r="1510" spans="2:11" ht="16.5" x14ac:dyDescent="0.2">
      <c r="B1510" s="33" t="s">
        <v>2177</v>
      </c>
      <c r="C1510" s="33" t="s">
        <v>2178</v>
      </c>
      <c r="D1510"/>
      <c r="E1510" s="35">
        <f>SUMIFS(E1511:E9015,K1511:K9015,"0",B1511:B9015,"3 2 2*")-SUMIFS(D1511:D9015,K1511:K9015,"0",B1511:B9015,"3 2 2*")</f>
        <v>45752927.230000012</v>
      </c>
      <c r="F1510" s="35">
        <f>SUMIFS(F1511:F9015,K1511:K9015,"0",B1511:B9015,"3 2 2*")</f>
        <v>0</v>
      </c>
      <c r="G1510" s="35">
        <f>SUMIFS(G1511:G9015,K1511:K9015,"0",B1511:B9015,"3 2 2*")</f>
        <v>0</v>
      </c>
      <c r="H1510" s="35"/>
      <c r="I1510" s="35">
        <f t="shared" si="23"/>
        <v>45752927.230000012</v>
      </c>
      <c r="K1510" t="s">
        <v>15</v>
      </c>
    </row>
    <row r="1511" spans="2:11" ht="16.5" x14ac:dyDescent="0.2">
      <c r="B1511" s="33" t="s">
        <v>2179</v>
      </c>
      <c r="C1511" s="33" t="s">
        <v>2178</v>
      </c>
      <c r="D1511"/>
      <c r="E1511" s="35">
        <f>SUMIFS(E1512:E9015,K1512:K9015,"0",B1512:B9015,"3 2 2 1*")-SUMIFS(D1512:D9015,K1512:K9015,"0",B1512:B9015,"3 2 2 1*")</f>
        <v>45620412.460000008</v>
      </c>
      <c r="F1511" s="35">
        <f>SUMIFS(F1512:F9015,K1512:K9015,"0",B1512:B9015,"3 2 2 1*")</f>
        <v>0</v>
      </c>
      <c r="G1511" s="35">
        <f>SUMIFS(G1512:G9015,K1512:K9015,"0",B1512:B9015,"3 2 2 1*")</f>
        <v>0</v>
      </c>
      <c r="H1511" s="35"/>
      <c r="I1511" s="35">
        <f t="shared" si="23"/>
        <v>45620412.460000008</v>
      </c>
      <c r="K1511" t="s">
        <v>15</v>
      </c>
    </row>
    <row r="1512" spans="2:11" ht="16.5" x14ac:dyDescent="0.2">
      <c r="B1512" s="33" t="s">
        <v>2180</v>
      </c>
      <c r="C1512" s="33" t="s">
        <v>2181</v>
      </c>
      <c r="D1512"/>
      <c r="E1512" s="35">
        <f>SUMIFS(E1513:E9015,K1513:K9015,"0",B1513:B9015,"3 2 2 1 1*")-SUMIFS(D1513:D9015,K1513:K9015,"0",B1513:B9015,"3 2 2 1 1*")</f>
        <v>49757110.400000006</v>
      </c>
      <c r="F1512" s="35">
        <f>SUMIFS(F1513:F9015,K1513:K9015,"0",B1513:B9015,"3 2 2 1 1*")</f>
        <v>0</v>
      </c>
      <c r="G1512" s="35">
        <f>SUMIFS(G1513:G9015,K1513:K9015,"0",B1513:B9015,"3 2 2 1 1*")</f>
        <v>0</v>
      </c>
      <c r="H1512" s="35"/>
      <c r="I1512" s="35">
        <f t="shared" si="23"/>
        <v>49757110.400000006</v>
      </c>
      <c r="K1512" t="s">
        <v>15</v>
      </c>
    </row>
    <row r="1513" spans="2:11" ht="12.75" x14ac:dyDescent="0.2">
      <c r="B1513" s="33" t="s">
        <v>2182</v>
      </c>
      <c r="C1513" s="33" t="s">
        <v>26</v>
      </c>
      <c r="D1513"/>
      <c r="E1513" s="35">
        <f>SUMIFS(E1514:E9015,K1514:K9015,"0",B1514:B9015,"3 2 2 1 1 12*")-SUMIFS(D1514:D9015,K1514:K9015,"0",B1514:B9015,"3 2 2 1 1 12*")</f>
        <v>49757110.400000006</v>
      </c>
      <c r="F1513" s="35">
        <f>SUMIFS(F1514:F9015,K1514:K9015,"0",B1514:B9015,"3 2 2 1 1 12*")</f>
        <v>0</v>
      </c>
      <c r="G1513" s="35">
        <f>SUMIFS(G1514:G9015,K1514:K9015,"0",B1514:B9015,"3 2 2 1 1 12*")</f>
        <v>0</v>
      </c>
      <c r="H1513" s="35"/>
      <c r="I1513" s="35">
        <f t="shared" si="23"/>
        <v>49757110.400000006</v>
      </c>
      <c r="K1513" t="s">
        <v>15</v>
      </c>
    </row>
    <row r="1514" spans="2:11" ht="16.5" x14ac:dyDescent="0.2">
      <c r="B1514" s="33" t="s">
        <v>2183</v>
      </c>
      <c r="C1514" s="33" t="s">
        <v>28</v>
      </c>
      <c r="D1514"/>
      <c r="E1514" s="35">
        <f>SUMIFS(E1515:E9015,K1515:K9015,"0",B1515:B9015,"3 2 2 1 1 12 31111*")-SUMIFS(D1515:D9015,K1515:K9015,"0",B1515:B9015,"3 2 2 1 1 12 31111*")</f>
        <v>49757110.400000006</v>
      </c>
      <c r="F1514" s="35">
        <f>SUMIFS(F1515:F9015,K1515:K9015,"0",B1515:B9015,"3 2 2 1 1 12 31111*")</f>
        <v>0</v>
      </c>
      <c r="G1514" s="35">
        <f>SUMIFS(G1515:G9015,K1515:K9015,"0",B1515:B9015,"3 2 2 1 1 12 31111*")</f>
        <v>0</v>
      </c>
      <c r="H1514" s="35"/>
      <c r="I1514" s="35">
        <f t="shared" si="23"/>
        <v>49757110.400000006</v>
      </c>
      <c r="K1514" t="s">
        <v>15</v>
      </c>
    </row>
    <row r="1515" spans="2:11" ht="12.75" x14ac:dyDescent="0.2">
      <c r="B1515" s="33" t="s">
        <v>2184</v>
      </c>
      <c r="C1515" s="33" t="s">
        <v>30</v>
      </c>
      <c r="D1515"/>
      <c r="E1515" s="35">
        <f>SUMIFS(E1516:E9015,K1516:K9015,"0",B1516:B9015,"3 2 2 1 1 12 31111 6*")-SUMIFS(D1516:D9015,K1516:K9015,"0",B1516:B9015,"3 2 2 1 1 12 31111 6*")</f>
        <v>49757110.400000006</v>
      </c>
      <c r="F1515" s="35">
        <f>SUMIFS(F1516:F9015,K1516:K9015,"0",B1516:B9015,"3 2 2 1 1 12 31111 6*")</f>
        <v>0</v>
      </c>
      <c r="G1515" s="35">
        <f>SUMIFS(G1516:G9015,K1516:K9015,"0",B1516:B9015,"3 2 2 1 1 12 31111 6*")</f>
        <v>0</v>
      </c>
      <c r="H1515" s="35"/>
      <c r="I1515" s="35">
        <f t="shared" si="23"/>
        <v>49757110.400000006</v>
      </c>
      <c r="K1515" t="s">
        <v>15</v>
      </c>
    </row>
    <row r="1516" spans="2:11" ht="16.5" x14ac:dyDescent="0.2">
      <c r="B1516" s="33" t="s">
        <v>2185</v>
      </c>
      <c r="C1516" s="33" t="s">
        <v>32</v>
      </c>
      <c r="D1516"/>
      <c r="E1516" s="35">
        <f>SUMIFS(E1517:E9015,K1517:K9015,"0",B1517:B9015,"3 2 2 1 1 12 31111 6 M59*")-SUMIFS(D1517:D9015,K1517:K9015,"0",B1517:B9015,"3 2 2 1 1 12 31111 6 M59*")</f>
        <v>49757110.400000006</v>
      </c>
      <c r="F1516" s="35">
        <f>SUMIFS(F1517:F9015,K1517:K9015,"0",B1517:B9015,"3 2 2 1 1 12 31111 6 M59*")</f>
        <v>0</v>
      </c>
      <c r="G1516" s="35">
        <f>SUMIFS(G1517:G9015,K1517:K9015,"0",B1517:B9015,"3 2 2 1 1 12 31111 6 M59*")</f>
        <v>0</v>
      </c>
      <c r="H1516" s="35"/>
      <c r="I1516" s="35">
        <f t="shared" si="23"/>
        <v>49757110.400000006</v>
      </c>
      <c r="K1516" t="s">
        <v>15</v>
      </c>
    </row>
    <row r="1517" spans="2:11" ht="16.5" x14ac:dyDescent="0.2">
      <c r="B1517" s="33" t="s">
        <v>2186</v>
      </c>
      <c r="C1517" s="33" t="s">
        <v>34</v>
      </c>
      <c r="D1517"/>
      <c r="E1517" s="35">
        <f>SUMIFS(E1518:E9015,K1518:K9015,"0",B1518:B9015,"3 2 2 1 1 12 31111 6 M59 00001*")-SUMIFS(D1518:D9015,K1518:K9015,"0",B1518:B9015,"3 2 2 1 1 12 31111 6 M59 00001*")</f>
        <v>-466568.14999999997</v>
      </c>
      <c r="F1517" s="35">
        <f>SUMIFS(F1518:F9015,K1518:K9015,"0",B1518:B9015,"3 2 2 1 1 12 31111 6 M59 00001*")</f>
        <v>0</v>
      </c>
      <c r="G1517" s="35">
        <f>SUMIFS(G1518:G9015,K1518:K9015,"0",B1518:B9015,"3 2 2 1 1 12 31111 6 M59 00001*")</f>
        <v>0</v>
      </c>
      <c r="H1517" s="35"/>
      <c r="I1517" s="35">
        <f t="shared" si="23"/>
        <v>-466568.14999999997</v>
      </c>
      <c r="K1517" t="s">
        <v>15</v>
      </c>
    </row>
    <row r="1518" spans="2:11" ht="16.5" x14ac:dyDescent="0.2">
      <c r="B1518" s="33" t="s">
        <v>2187</v>
      </c>
      <c r="C1518" s="33" t="s">
        <v>2188</v>
      </c>
      <c r="D1518"/>
      <c r="E1518" s="35">
        <f>SUMIFS(E1519:E9015,K1519:K9015,"0",B1519:B9015,"3 2 2 1 1 12 31111 6 M59 00001 000001*")-SUMIFS(D1519:D9015,K1519:K9015,"0",B1519:B9015,"3 2 2 1 1 12 31111 6 M59 00001 000001*")</f>
        <v>-482390.16</v>
      </c>
      <c r="F1518" s="35">
        <f>SUMIFS(F1519:F9015,K1519:K9015,"0",B1519:B9015,"3 2 2 1 1 12 31111 6 M59 00001 000001*")</f>
        <v>0</v>
      </c>
      <c r="G1518" s="35">
        <f>SUMIFS(G1519:G9015,K1519:K9015,"0",B1519:B9015,"3 2 2 1 1 12 31111 6 M59 00001 000001*")</f>
        <v>0</v>
      </c>
      <c r="H1518" s="35"/>
      <c r="I1518" s="35">
        <f t="shared" si="23"/>
        <v>-482390.16</v>
      </c>
      <c r="K1518" t="s">
        <v>15</v>
      </c>
    </row>
    <row r="1519" spans="2:11" ht="16.5" x14ac:dyDescent="0.2">
      <c r="B1519" s="31" t="s">
        <v>2189</v>
      </c>
      <c r="C1519" s="31" t="s">
        <v>274</v>
      </c>
      <c r="D1519" s="34"/>
      <c r="E1519" s="34">
        <v>-482390.16</v>
      </c>
      <c r="F1519" s="34">
        <v>0</v>
      </c>
      <c r="G1519" s="34">
        <v>0</v>
      </c>
      <c r="H1519" s="34"/>
      <c r="I1519" s="34">
        <f t="shared" ref="I1519:I1582" si="24">E1519 - F1519 + G1519</f>
        <v>-482390.16</v>
      </c>
      <c r="K1519" t="s">
        <v>38</v>
      </c>
    </row>
    <row r="1520" spans="2:11" ht="24.75" x14ac:dyDescent="0.2">
      <c r="B1520" s="33" t="s">
        <v>2190</v>
      </c>
      <c r="C1520" s="33" t="s">
        <v>2191</v>
      </c>
      <c r="D1520"/>
      <c r="E1520" s="35">
        <f>SUMIFS(E1521:E9015,K1521:K9015,"0",B1521:B9015,"3 2 2 1 1 12 31111 6 M59 00001 000045*")-SUMIFS(D1521:D9015,K1521:K9015,"0",B1521:B9015,"3 2 2 1 1 12 31111 6 M59 00001 000045*")</f>
        <v>15820.36</v>
      </c>
      <c r="F1520" s="35">
        <f>SUMIFS(F1521:F9015,K1521:K9015,"0",B1521:B9015,"3 2 2 1 1 12 31111 6 M59 00001 000045*")</f>
        <v>0</v>
      </c>
      <c r="G1520" s="35">
        <f>SUMIFS(G1521:G9015,K1521:K9015,"0",B1521:B9015,"3 2 2 1 1 12 31111 6 M59 00001 000045*")</f>
        <v>0</v>
      </c>
      <c r="H1520" s="35"/>
      <c r="I1520" s="35">
        <f t="shared" si="24"/>
        <v>15820.36</v>
      </c>
      <c r="K1520" t="s">
        <v>15</v>
      </c>
    </row>
    <row r="1521" spans="2:11" ht="16.5" x14ac:dyDescent="0.2">
      <c r="B1521" s="31" t="s">
        <v>2192</v>
      </c>
      <c r="C1521" s="31" t="s">
        <v>2170</v>
      </c>
      <c r="D1521" s="34"/>
      <c r="E1521" s="34">
        <v>15820.36</v>
      </c>
      <c r="F1521" s="34">
        <v>0</v>
      </c>
      <c r="G1521" s="34">
        <v>0</v>
      </c>
      <c r="H1521" s="34"/>
      <c r="I1521" s="34">
        <f t="shared" si="24"/>
        <v>15820.36</v>
      </c>
      <c r="K1521" t="s">
        <v>38</v>
      </c>
    </row>
    <row r="1522" spans="2:11" ht="16.5" x14ac:dyDescent="0.2">
      <c r="B1522" s="33" t="s">
        <v>2193</v>
      </c>
      <c r="C1522" s="33" t="s">
        <v>1842</v>
      </c>
      <c r="D1522"/>
      <c r="E1522" s="35">
        <f>SUMIFS(E1523:E9015,K1523:K9015,"0",B1523:B9015,"3 2 2 1 1 12 31111 6 M59 00001 000091*")-SUMIFS(D1523:D9015,K1523:K9015,"0",B1523:B9015,"3 2 2 1 1 12 31111 6 M59 00001 000091*")</f>
        <v>1.65</v>
      </c>
      <c r="F1522" s="35">
        <f>SUMIFS(F1523:F9015,K1523:K9015,"0",B1523:B9015,"3 2 2 1 1 12 31111 6 M59 00001 000091*")</f>
        <v>0</v>
      </c>
      <c r="G1522" s="35">
        <f>SUMIFS(G1523:G9015,K1523:K9015,"0",B1523:B9015,"3 2 2 1 1 12 31111 6 M59 00001 000091*")</f>
        <v>0</v>
      </c>
      <c r="H1522" s="35"/>
      <c r="I1522" s="35">
        <f t="shared" si="24"/>
        <v>1.65</v>
      </c>
      <c r="K1522" t="s">
        <v>15</v>
      </c>
    </row>
    <row r="1523" spans="2:11" ht="16.5" x14ac:dyDescent="0.2">
      <c r="B1523" s="31" t="s">
        <v>2194</v>
      </c>
      <c r="C1523" s="31" t="s">
        <v>2170</v>
      </c>
      <c r="D1523" s="34"/>
      <c r="E1523" s="34">
        <v>1.65</v>
      </c>
      <c r="F1523" s="34">
        <v>0</v>
      </c>
      <c r="G1523" s="34">
        <v>0</v>
      </c>
      <c r="H1523" s="34"/>
      <c r="I1523" s="34">
        <f t="shared" si="24"/>
        <v>1.65</v>
      </c>
      <c r="K1523" t="s">
        <v>38</v>
      </c>
    </row>
    <row r="1524" spans="2:11" ht="24.75" x14ac:dyDescent="0.2">
      <c r="B1524" s="33" t="s">
        <v>2195</v>
      </c>
      <c r="C1524" s="33" t="s">
        <v>73</v>
      </c>
      <c r="D1524"/>
      <c r="E1524" s="35">
        <f>SUMIFS(E1525:E9015,K1525:K9015,"0",B1525:B9015,"3 2 2 1 1 12 31111 6 M59 00002*")-SUMIFS(D1525:D9015,K1525:K9015,"0",B1525:B9015,"3 2 2 1 1 12 31111 6 M59 00002*")</f>
        <v>42181178.43</v>
      </c>
      <c r="F1524" s="35">
        <f>SUMIFS(F1525:F9015,K1525:K9015,"0",B1525:B9015,"3 2 2 1 1 12 31111 6 M59 00002*")</f>
        <v>0</v>
      </c>
      <c r="G1524" s="35">
        <f>SUMIFS(G1525:G9015,K1525:K9015,"0",B1525:B9015,"3 2 2 1 1 12 31111 6 M59 00002*")</f>
        <v>0</v>
      </c>
      <c r="H1524" s="35"/>
      <c r="I1524" s="35">
        <f t="shared" si="24"/>
        <v>42181178.43</v>
      </c>
      <c r="K1524" t="s">
        <v>15</v>
      </c>
    </row>
    <row r="1525" spans="2:11" ht="16.5" x14ac:dyDescent="0.2">
      <c r="B1525" s="31" t="s">
        <v>2196</v>
      </c>
      <c r="C1525" s="31" t="s">
        <v>2197</v>
      </c>
      <c r="D1525" s="34"/>
      <c r="E1525" s="34">
        <v>35988044.420000002</v>
      </c>
      <c r="F1525" s="34">
        <v>0</v>
      </c>
      <c r="G1525" s="34">
        <v>0</v>
      </c>
      <c r="H1525" s="34"/>
      <c r="I1525" s="34">
        <f t="shared" si="24"/>
        <v>35988044.420000002</v>
      </c>
      <c r="K1525" t="s">
        <v>38</v>
      </c>
    </row>
    <row r="1526" spans="2:11" ht="16.5" x14ac:dyDescent="0.2">
      <c r="B1526" s="31" t="s">
        <v>2198</v>
      </c>
      <c r="C1526" s="31" t="s">
        <v>2199</v>
      </c>
      <c r="D1526" s="34"/>
      <c r="E1526" s="34">
        <v>6193134.0099999998</v>
      </c>
      <c r="F1526" s="34">
        <v>0</v>
      </c>
      <c r="G1526" s="34">
        <v>0</v>
      </c>
      <c r="H1526" s="34"/>
      <c r="I1526" s="34">
        <f t="shared" si="24"/>
        <v>6193134.0099999998</v>
      </c>
      <c r="K1526" t="s">
        <v>38</v>
      </c>
    </row>
    <row r="1527" spans="2:11" ht="16.5" x14ac:dyDescent="0.2">
      <c r="B1527" s="33" t="s">
        <v>2200</v>
      </c>
      <c r="C1527" s="33" t="s">
        <v>83</v>
      </c>
      <c r="D1527"/>
      <c r="E1527" s="35">
        <f>SUMIFS(E1528:E9015,K1528:K9015,"0",B1528:B9015,"3 2 2 1 1 12 31111 6 M59 00003*")-SUMIFS(D1528:D9015,K1528:K9015,"0",B1528:B9015,"3 2 2 1 1 12 31111 6 M59 00003*")</f>
        <v>-921145.83</v>
      </c>
      <c r="F1527" s="35">
        <f>SUMIFS(F1528:F9015,K1528:K9015,"0",B1528:B9015,"3 2 2 1 1 12 31111 6 M59 00003*")</f>
        <v>0</v>
      </c>
      <c r="G1527" s="35">
        <f>SUMIFS(G1528:G9015,K1528:K9015,"0",B1528:B9015,"3 2 2 1 1 12 31111 6 M59 00003*")</f>
        <v>0</v>
      </c>
      <c r="H1527" s="35"/>
      <c r="I1527" s="35">
        <f t="shared" si="24"/>
        <v>-921145.83</v>
      </c>
      <c r="K1527" t="s">
        <v>15</v>
      </c>
    </row>
    <row r="1528" spans="2:11" ht="16.5" x14ac:dyDescent="0.2">
      <c r="B1528" s="31" t="s">
        <v>2201</v>
      </c>
      <c r="C1528" s="31" t="s">
        <v>2199</v>
      </c>
      <c r="D1528" s="34"/>
      <c r="E1528" s="34">
        <v>-921145.83</v>
      </c>
      <c r="F1528" s="34">
        <v>0</v>
      </c>
      <c r="G1528" s="34">
        <v>0</v>
      </c>
      <c r="H1528" s="34"/>
      <c r="I1528" s="34">
        <f t="shared" si="24"/>
        <v>-921145.83</v>
      </c>
      <c r="K1528" t="s">
        <v>38</v>
      </c>
    </row>
    <row r="1529" spans="2:11" ht="24.75" x14ac:dyDescent="0.2">
      <c r="B1529" s="33" t="s">
        <v>2202</v>
      </c>
      <c r="C1529" s="33" t="s">
        <v>91</v>
      </c>
      <c r="D1529"/>
      <c r="E1529" s="35">
        <f>SUMIFS(E1530:E9015,K1530:K9015,"0",B1530:B9015,"3 2 2 1 1 12 31111 6 M59 00004*")-SUMIFS(D1530:D9015,K1530:K9015,"0",B1530:B9015,"3 2 2 1 1 12 31111 6 M59 00004*")</f>
        <v>8880410.5700000003</v>
      </c>
      <c r="F1529" s="35">
        <f>SUMIFS(F1530:F9015,K1530:K9015,"0",B1530:B9015,"3 2 2 1 1 12 31111 6 M59 00004*")</f>
        <v>0</v>
      </c>
      <c r="G1529" s="35">
        <f>SUMIFS(G1530:G9015,K1530:K9015,"0",B1530:B9015,"3 2 2 1 1 12 31111 6 M59 00004*")</f>
        <v>0</v>
      </c>
      <c r="H1529" s="35"/>
      <c r="I1529" s="35">
        <f t="shared" si="24"/>
        <v>8880410.5700000003</v>
      </c>
      <c r="K1529" t="s">
        <v>15</v>
      </c>
    </row>
    <row r="1530" spans="2:11" ht="16.5" x14ac:dyDescent="0.2">
      <c r="B1530" s="31" t="s">
        <v>2203</v>
      </c>
      <c r="C1530" s="31" t="s">
        <v>203</v>
      </c>
      <c r="D1530" s="34"/>
      <c r="E1530" s="34">
        <v>944780.2</v>
      </c>
      <c r="F1530" s="34">
        <v>0</v>
      </c>
      <c r="G1530" s="34">
        <v>0</v>
      </c>
      <c r="H1530" s="34"/>
      <c r="I1530" s="34">
        <f t="shared" si="24"/>
        <v>944780.2</v>
      </c>
      <c r="K1530" t="s">
        <v>38</v>
      </c>
    </row>
    <row r="1531" spans="2:11" ht="16.5" x14ac:dyDescent="0.2">
      <c r="B1531" s="31" t="s">
        <v>2204</v>
      </c>
      <c r="C1531" s="31" t="s">
        <v>2165</v>
      </c>
      <c r="D1531" s="34"/>
      <c r="E1531" s="34">
        <v>7935630.3700000001</v>
      </c>
      <c r="F1531" s="34">
        <v>0</v>
      </c>
      <c r="G1531" s="34">
        <v>0</v>
      </c>
      <c r="H1531" s="34"/>
      <c r="I1531" s="34">
        <f t="shared" si="24"/>
        <v>7935630.3700000001</v>
      </c>
      <c r="K1531" t="s">
        <v>38</v>
      </c>
    </row>
    <row r="1532" spans="2:11" ht="41.25" x14ac:dyDescent="0.2">
      <c r="B1532" s="33" t="s">
        <v>2205</v>
      </c>
      <c r="C1532" s="33" t="s">
        <v>109</v>
      </c>
      <c r="D1532"/>
      <c r="E1532" s="35">
        <f>SUMIFS(E1533:E9015,K1533:K9015,"0",B1533:B9015,"3 2 2 1 1 12 31111 6 M59 00005*")-SUMIFS(D1533:D9015,K1533:K9015,"0",B1533:B9015,"3 2 2 1 1 12 31111 6 M59 00005*")</f>
        <v>83235.38</v>
      </c>
      <c r="F1532" s="35">
        <f>SUMIFS(F1533:F9015,K1533:K9015,"0",B1533:B9015,"3 2 2 1 1 12 31111 6 M59 00005*")</f>
        <v>0</v>
      </c>
      <c r="G1532" s="35">
        <f>SUMIFS(G1533:G9015,K1533:K9015,"0",B1533:B9015,"3 2 2 1 1 12 31111 6 M59 00005*")</f>
        <v>0</v>
      </c>
      <c r="H1532" s="35"/>
      <c r="I1532" s="35">
        <f t="shared" si="24"/>
        <v>83235.38</v>
      </c>
      <c r="K1532" t="s">
        <v>15</v>
      </c>
    </row>
    <row r="1533" spans="2:11" ht="16.5" x14ac:dyDescent="0.2">
      <c r="B1533" s="33" t="s">
        <v>2206</v>
      </c>
      <c r="C1533" s="33" t="s">
        <v>203</v>
      </c>
      <c r="D1533"/>
      <c r="E1533" s="35">
        <f>SUMIFS(E1534:E9015,K1534:K9015,"0",B1534:B9015,"3 2 2 1 1 12 31111 6 M59 00005 000001*")-SUMIFS(D1534:D9015,K1534:K9015,"0",B1534:B9015,"3 2 2 1 1 12 31111 6 M59 00005 000001*")</f>
        <v>83235.38</v>
      </c>
      <c r="F1533" s="35">
        <f>SUMIFS(F1534:F9015,K1534:K9015,"0",B1534:B9015,"3 2 2 1 1 12 31111 6 M59 00005 000001*")</f>
        <v>0</v>
      </c>
      <c r="G1533" s="35">
        <f>SUMIFS(G1534:G9015,K1534:K9015,"0",B1534:B9015,"3 2 2 1 1 12 31111 6 M59 00005 000001*")</f>
        <v>0</v>
      </c>
      <c r="H1533" s="35"/>
      <c r="I1533" s="35">
        <f t="shared" si="24"/>
        <v>83235.38</v>
      </c>
      <c r="K1533" t="s">
        <v>15</v>
      </c>
    </row>
    <row r="1534" spans="2:11" ht="16.5" x14ac:dyDescent="0.2">
      <c r="B1534" s="31" t="s">
        <v>2207</v>
      </c>
      <c r="C1534" s="31" t="s">
        <v>274</v>
      </c>
      <c r="D1534" s="34"/>
      <c r="E1534" s="34">
        <v>83235.38</v>
      </c>
      <c r="F1534" s="34">
        <v>0</v>
      </c>
      <c r="G1534" s="34">
        <v>0</v>
      </c>
      <c r="H1534" s="34"/>
      <c r="I1534" s="34">
        <f t="shared" si="24"/>
        <v>83235.38</v>
      </c>
      <c r="K1534" t="s">
        <v>38</v>
      </c>
    </row>
    <row r="1535" spans="2:11" ht="16.5" x14ac:dyDescent="0.2">
      <c r="B1535" s="33" t="s">
        <v>2208</v>
      </c>
      <c r="C1535" s="33" t="s">
        <v>2209</v>
      </c>
      <c r="D1535"/>
      <c r="E1535" s="35">
        <f>SUMIFS(E1536:E9015,K1536:K9015,"0",B1536:B9015,"3 2 2 1 2*")-SUMIFS(D1536:D9015,K1536:K9015,"0",B1536:B9015,"3 2 2 1 2*")</f>
        <v>-4136697.9400000004</v>
      </c>
      <c r="F1535" s="35">
        <f>SUMIFS(F1536:F9015,K1536:K9015,"0",B1536:B9015,"3 2 2 1 2*")</f>
        <v>0</v>
      </c>
      <c r="G1535" s="35">
        <f>SUMIFS(G1536:G9015,K1536:K9015,"0",B1536:B9015,"3 2 2 1 2*")</f>
        <v>0</v>
      </c>
      <c r="H1535" s="35"/>
      <c r="I1535" s="35">
        <f t="shared" si="24"/>
        <v>-4136697.9400000004</v>
      </c>
      <c r="K1535" t="s">
        <v>15</v>
      </c>
    </row>
    <row r="1536" spans="2:11" ht="12.75" x14ac:dyDescent="0.2">
      <c r="B1536" s="33" t="s">
        <v>2210</v>
      </c>
      <c r="C1536" s="33" t="s">
        <v>26</v>
      </c>
      <c r="D1536"/>
      <c r="E1536" s="35">
        <f>SUMIFS(E1537:E9015,K1537:K9015,"0",B1537:B9015,"3 2 2 1 2 12*")-SUMIFS(D1537:D9015,K1537:K9015,"0",B1537:B9015,"3 2 2 1 2 12*")</f>
        <v>-4136697.9400000004</v>
      </c>
      <c r="F1536" s="35">
        <f>SUMIFS(F1537:F9015,K1537:K9015,"0",B1537:B9015,"3 2 2 1 2 12*")</f>
        <v>0</v>
      </c>
      <c r="G1536" s="35">
        <f>SUMIFS(G1537:G9015,K1537:K9015,"0",B1537:B9015,"3 2 2 1 2 12*")</f>
        <v>0</v>
      </c>
      <c r="H1536" s="35"/>
      <c r="I1536" s="35">
        <f t="shared" si="24"/>
        <v>-4136697.9400000004</v>
      </c>
      <c r="K1536" t="s">
        <v>15</v>
      </c>
    </row>
    <row r="1537" spans="2:11" ht="16.5" x14ac:dyDescent="0.2">
      <c r="B1537" s="33" t="s">
        <v>2211</v>
      </c>
      <c r="C1537" s="33" t="s">
        <v>28</v>
      </c>
      <c r="D1537"/>
      <c r="E1537" s="35">
        <f>SUMIFS(E1538:E9015,K1538:K9015,"0",B1538:B9015,"3 2 2 1 2 12 31111*")-SUMIFS(D1538:D9015,K1538:K9015,"0",B1538:B9015,"3 2 2 1 2 12 31111*")</f>
        <v>-4136697.9400000004</v>
      </c>
      <c r="F1537" s="35">
        <f>SUMIFS(F1538:F9015,K1538:K9015,"0",B1538:B9015,"3 2 2 1 2 12 31111*")</f>
        <v>0</v>
      </c>
      <c r="G1537" s="35">
        <f>SUMIFS(G1538:G9015,K1538:K9015,"0",B1538:B9015,"3 2 2 1 2 12 31111*")</f>
        <v>0</v>
      </c>
      <c r="H1537" s="35"/>
      <c r="I1537" s="35">
        <f t="shared" si="24"/>
        <v>-4136697.9400000004</v>
      </c>
      <c r="K1537" t="s">
        <v>15</v>
      </c>
    </row>
    <row r="1538" spans="2:11" ht="12.75" x14ac:dyDescent="0.2">
      <c r="B1538" s="33" t="s">
        <v>2212</v>
      </c>
      <c r="C1538" s="33" t="s">
        <v>30</v>
      </c>
      <c r="D1538"/>
      <c r="E1538" s="35">
        <f>SUMIFS(E1539:E9015,K1539:K9015,"0",B1539:B9015,"3 2 2 1 2 12 31111 6*")-SUMIFS(D1539:D9015,K1539:K9015,"0",B1539:B9015,"3 2 2 1 2 12 31111 6*")</f>
        <v>-4136697.9400000004</v>
      </c>
      <c r="F1538" s="35">
        <f>SUMIFS(F1539:F9015,K1539:K9015,"0",B1539:B9015,"3 2 2 1 2 12 31111 6*")</f>
        <v>0</v>
      </c>
      <c r="G1538" s="35">
        <f>SUMIFS(G1539:G9015,K1539:K9015,"0",B1539:B9015,"3 2 2 1 2 12 31111 6*")</f>
        <v>0</v>
      </c>
      <c r="H1538" s="35"/>
      <c r="I1538" s="35">
        <f t="shared" si="24"/>
        <v>-4136697.9400000004</v>
      </c>
      <c r="K1538" t="s">
        <v>15</v>
      </c>
    </row>
    <row r="1539" spans="2:11" ht="16.5" x14ac:dyDescent="0.2">
      <c r="B1539" s="33" t="s">
        <v>2213</v>
      </c>
      <c r="C1539" s="33" t="s">
        <v>140</v>
      </c>
      <c r="D1539"/>
      <c r="E1539" s="35">
        <f>SUMIFS(E1540:E9015,K1540:K9015,"0",B1540:B9015,"3 2 2 1 2 12 31111 6 M59*")-SUMIFS(D1540:D9015,K1540:K9015,"0",B1540:B9015,"3 2 2 1 2 12 31111 6 M59*")</f>
        <v>-4136697.9400000004</v>
      </c>
      <c r="F1539" s="35">
        <f>SUMIFS(F1540:F9015,K1540:K9015,"0",B1540:B9015,"3 2 2 1 2 12 31111 6 M59*")</f>
        <v>0</v>
      </c>
      <c r="G1539" s="35">
        <f>SUMIFS(G1540:G9015,K1540:K9015,"0",B1540:B9015,"3 2 2 1 2 12 31111 6 M59*")</f>
        <v>0</v>
      </c>
      <c r="H1539" s="35"/>
      <c r="I1539" s="35">
        <f t="shared" si="24"/>
        <v>-4136697.9400000004</v>
      </c>
      <c r="K1539" t="s">
        <v>15</v>
      </c>
    </row>
    <row r="1540" spans="2:11" ht="16.5" x14ac:dyDescent="0.2">
      <c r="B1540" s="33" t="s">
        <v>2214</v>
      </c>
      <c r="C1540" s="33" t="s">
        <v>282</v>
      </c>
      <c r="D1540"/>
      <c r="E1540" s="35">
        <f>SUMIFS(E1541:E9015,K1541:K9015,"0",B1541:B9015,"3 2 2 1 2 12 31111 6 M59 00001*")-SUMIFS(D1541:D9015,K1541:K9015,"0",B1541:B9015,"3 2 2 1 2 12 31111 6 M59 00001*")</f>
        <v>-3580750.43</v>
      </c>
      <c r="F1540" s="35">
        <f>SUMIFS(F1541:F9015,K1541:K9015,"0",B1541:B9015,"3 2 2 1 2 12 31111 6 M59 00001*")</f>
        <v>0</v>
      </c>
      <c r="G1540" s="35">
        <f>SUMIFS(G1541:G9015,K1541:K9015,"0",B1541:B9015,"3 2 2 1 2 12 31111 6 M59 00001*")</f>
        <v>0</v>
      </c>
      <c r="H1540" s="35"/>
      <c r="I1540" s="35">
        <f t="shared" si="24"/>
        <v>-3580750.43</v>
      </c>
      <c r="K1540" t="s">
        <v>15</v>
      </c>
    </row>
    <row r="1541" spans="2:11" ht="16.5" x14ac:dyDescent="0.2">
      <c r="B1541" s="33" t="s">
        <v>2215</v>
      </c>
      <c r="C1541" s="33" t="s">
        <v>203</v>
      </c>
      <c r="D1541"/>
      <c r="E1541" s="35">
        <f>SUMIFS(E1542:E9015,K1542:K9015,"0",B1542:B9015,"3 2 2 1 2 12 31111 6 M59 00001 000001*")-SUMIFS(D1542:D9015,K1542:K9015,"0",B1542:B9015,"3 2 2 1 2 12 31111 6 M59 00001 000001*")</f>
        <v>-3593875.04</v>
      </c>
      <c r="F1541" s="35">
        <f>SUMIFS(F1542:F9015,K1542:K9015,"0",B1542:B9015,"3 2 2 1 2 12 31111 6 M59 00001 000001*")</f>
        <v>0</v>
      </c>
      <c r="G1541" s="35">
        <f>SUMIFS(G1542:G9015,K1542:K9015,"0",B1542:B9015,"3 2 2 1 2 12 31111 6 M59 00001 000001*")</f>
        <v>0</v>
      </c>
      <c r="H1541" s="35"/>
      <c r="I1541" s="35">
        <f t="shared" si="24"/>
        <v>-3593875.04</v>
      </c>
      <c r="K1541" t="s">
        <v>15</v>
      </c>
    </row>
    <row r="1542" spans="2:11" ht="16.5" x14ac:dyDescent="0.2">
      <c r="B1542" s="31" t="s">
        <v>2216</v>
      </c>
      <c r="C1542" s="31" t="s">
        <v>274</v>
      </c>
      <c r="D1542" s="34"/>
      <c r="E1542" s="34">
        <v>-3593875.04</v>
      </c>
      <c r="F1542" s="34">
        <v>0</v>
      </c>
      <c r="G1542" s="34">
        <v>0</v>
      </c>
      <c r="H1542" s="34"/>
      <c r="I1542" s="34">
        <f t="shared" si="24"/>
        <v>-3593875.04</v>
      </c>
      <c r="K1542" t="s">
        <v>38</v>
      </c>
    </row>
    <row r="1543" spans="2:11" ht="16.5" x14ac:dyDescent="0.2">
      <c r="B1543" s="33" t="s">
        <v>2217</v>
      </c>
      <c r="C1543" s="33" t="s">
        <v>2218</v>
      </c>
      <c r="D1543"/>
      <c r="E1543" s="35">
        <f>SUMIFS(E1544:E9015,K1544:K9015,"0",B1544:B9015,"3 2 2 1 2 12 31111 6 M59 00001 000045*")-SUMIFS(D1544:D9015,K1544:K9015,"0",B1544:B9015,"3 2 2 1 2 12 31111 6 M59 00001 000045*")</f>
        <v>13124.61</v>
      </c>
      <c r="F1543" s="35">
        <f>SUMIFS(F1544:F9015,K1544:K9015,"0",B1544:B9015,"3 2 2 1 2 12 31111 6 M59 00001 000045*")</f>
        <v>0</v>
      </c>
      <c r="G1543" s="35">
        <f>SUMIFS(G1544:G9015,K1544:K9015,"0",B1544:B9015,"3 2 2 1 2 12 31111 6 M59 00001 000045*")</f>
        <v>0</v>
      </c>
      <c r="H1543" s="35"/>
      <c r="I1543" s="35">
        <f t="shared" si="24"/>
        <v>13124.61</v>
      </c>
      <c r="K1543" t="s">
        <v>15</v>
      </c>
    </row>
    <row r="1544" spans="2:11" ht="16.5" x14ac:dyDescent="0.2">
      <c r="B1544" s="31" t="s">
        <v>2219</v>
      </c>
      <c r="C1544" s="31" t="s">
        <v>2165</v>
      </c>
      <c r="D1544" s="34"/>
      <c r="E1544" s="34">
        <v>13124.61</v>
      </c>
      <c r="F1544" s="34">
        <v>0</v>
      </c>
      <c r="G1544" s="34">
        <v>0</v>
      </c>
      <c r="H1544" s="34"/>
      <c r="I1544" s="34">
        <f t="shared" si="24"/>
        <v>13124.61</v>
      </c>
      <c r="K1544" t="s">
        <v>38</v>
      </c>
    </row>
    <row r="1545" spans="2:11" ht="16.5" x14ac:dyDescent="0.2">
      <c r="B1545" s="33" t="s">
        <v>2220</v>
      </c>
      <c r="C1545" s="33" t="s">
        <v>42</v>
      </c>
      <c r="D1545"/>
      <c r="E1545" s="35">
        <f>SUMIFS(E1546:E9015,K1546:K9015,"0",B1546:B9015,"3 2 2 1 2 12 31111 6 M59 00003*")-SUMIFS(D1546:D9015,K1546:K9015,"0",B1546:B9015,"3 2 2 1 2 12 31111 6 M59 00003*")</f>
        <v>-555947.51</v>
      </c>
      <c r="F1545" s="35">
        <f>SUMIFS(F1546:F9015,K1546:K9015,"0",B1546:B9015,"3 2 2 1 2 12 31111 6 M59 00003*")</f>
        <v>0</v>
      </c>
      <c r="G1545" s="35">
        <f>SUMIFS(G1546:G9015,K1546:K9015,"0",B1546:B9015,"3 2 2 1 2 12 31111 6 M59 00003*")</f>
        <v>0</v>
      </c>
      <c r="H1545" s="35"/>
      <c r="I1545" s="35">
        <f t="shared" si="24"/>
        <v>-555947.51</v>
      </c>
      <c r="K1545" t="s">
        <v>15</v>
      </c>
    </row>
    <row r="1546" spans="2:11" ht="16.5" x14ac:dyDescent="0.2">
      <c r="B1546" s="31" t="s">
        <v>2221</v>
      </c>
      <c r="C1546" s="31" t="s">
        <v>2165</v>
      </c>
      <c r="D1546" s="34"/>
      <c r="E1546" s="34">
        <v>-555947.51</v>
      </c>
      <c r="F1546" s="34">
        <v>0</v>
      </c>
      <c r="G1546" s="34">
        <v>0</v>
      </c>
      <c r="H1546" s="34"/>
      <c r="I1546" s="34">
        <f t="shared" si="24"/>
        <v>-555947.51</v>
      </c>
      <c r="K1546" t="s">
        <v>38</v>
      </c>
    </row>
    <row r="1547" spans="2:11" ht="16.5" x14ac:dyDescent="0.2">
      <c r="B1547" s="33" t="s">
        <v>2222</v>
      </c>
      <c r="C1547" s="33" t="s">
        <v>276</v>
      </c>
      <c r="D1547"/>
      <c r="E1547" s="35">
        <f>SUMIFS(E1548:E9015,K1548:K9015,"0",B1548:B9015,"3 2 2 2*")-SUMIFS(D1548:D9015,K1548:K9015,"0",B1548:B9015,"3 2 2 2*")</f>
        <v>132514.76999999999</v>
      </c>
      <c r="F1547" s="35">
        <f>SUMIFS(F1548:F9015,K1548:K9015,"0",B1548:B9015,"3 2 2 2*")</f>
        <v>0</v>
      </c>
      <c r="G1547" s="35">
        <f>SUMIFS(G1548:G9015,K1548:K9015,"0",B1548:B9015,"3 2 2 2*")</f>
        <v>0</v>
      </c>
      <c r="H1547" s="35"/>
      <c r="I1547" s="35">
        <f t="shared" si="24"/>
        <v>132514.76999999999</v>
      </c>
      <c r="K1547" t="s">
        <v>15</v>
      </c>
    </row>
    <row r="1548" spans="2:11" ht="16.5" x14ac:dyDescent="0.2">
      <c r="B1548" s="33" t="s">
        <v>2223</v>
      </c>
      <c r="C1548" s="33" t="s">
        <v>276</v>
      </c>
      <c r="D1548"/>
      <c r="E1548" s="35">
        <f>SUMIFS(E1549:E9015,K1549:K9015,"0",B1549:B9015,"3 2 2 2 1*")-SUMIFS(D1549:D9015,K1549:K9015,"0",B1549:B9015,"3 2 2 2 1*")</f>
        <v>132514.76999999999</v>
      </c>
      <c r="F1548" s="35">
        <f>SUMIFS(F1549:F9015,K1549:K9015,"0",B1549:B9015,"3 2 2 2 1*")</f>
        <v>0</v>
      </c>
      <c r="G1548" s="35">
        <f>SUMIFS(G1549:G9015,K1549:K9015,"0",B1549:B9015,"3 2 2 2 1*")</f>
        <v>0</v>
      </c>
      <c r="H1548" s="35"/>
      <c r="I1548" s="35">
        <f t="shared" si="24"/>
        <v>132514.76999999999</v>
      </c>
      <c r="K1548" t="s">
        <v>15</v>
      </c>
    </row>
    <row r="1549" spans="2:11" ht="12.75" x14ac:dyDescent="0.2">
      <c r="B1549" s="33" t="s">
        <v>2224</v>
      </c>
      <c r="C1549" s="33" t="s">
        <v>26</v>
      </c>
      <c r="D1549"/>
      <c r="E1549" s="35">
        <f>SUMIFS(E1550:E9015,K1550:K9015,"0",B1550:B9015,"3 2 2 2 1 12*")-SUMIFS(D1550:D9015,K1550:K9015,"0",B1550:B9015,"3 2 2 2 1 12*")</f>
        <v>132514.76999999999</v>
      </c>
      <c r="F1549" s="35">
        <f>SUMIFS(F1550:F9015,K1550:K9015,"0",B1550:B9015,"3 2 2 2 1 12*")</f>
        <v>0</v>
      </c>
      <c r="G1549" s="35">
        <f>SUMIFS(G1550:G9015,K1550:K9015,"0",B1550:B9015,"3 2 2 2 1 12*")</f>
        <v>0</v>
      </c>
      <c r="H1549" s="35"/>
      <c r="I1549" s="35">
        <f t="shared" si="24"/>
        <v>132514.76999999999</v>
      </c>
      <c r="K1549" t="s">
        <v>15</v>
      </c>
    </row>
    <row r="1550" spans="2:11" ht="16.5" x14ac:dyDescent="0.2">
      <c r="B1550" s="33" t="s">
        <v>2225</v>
      </c>
      <c r="C1550" s="33" t="s">
        <v>28</v>
      </c>
      <c r="D1550"/>
      <c r="E1550" s="35">
        <f>SUMIFS(E1551:E9015,K1551:K9015,"0",B1551:B9015,"3 2 2 2 1 12 31111*")-SUMIFS(D1551:D9015,K1551:K9015,"0",B1551:B9015,"3 2 2 2 1 12 31111*")</f>
        <v>132514.76999999999</v>
      </c>
      <c r="F1550" s="35">
        <f>SUMIFS(F1551:F9015,K1551:K9015,"0",B1551:B9015,"3 2 2 2 1 12 31111*")</f>
        <v>0</v>
      </c>
      <c r="G1550" s="35">
        <f>SUMIFS(G1551:G9015,K1551:K9015,"0",B1551:B9015,"3 2 2 2 1 12 31111*")</f>
        <v>0</v>
      </c>
      <c r="H1550" s="35"/>
      <c r="I1550" s="35">
        <f t="shared" si="24"/>
        <v>132514.76999999999</v>
      </c>
      <c r="K1550" t="s">
        <v>15</v>
      </c>
    </row>
    <row r="1551" spans="2:11" ht="12.75" x14ac:dyDescent="0.2">
      <c r="B1551" s="33" t="s">
        <v>2226</v>
      </c>
      <c r="C1551" s="33" t="s">
        <v>30</v>
      </c>
      <c r="D1551"/>
      <c r="E1551" s="35">
        <f>SUMIFS(E1552:E9015,K1552:K9015,"0",B1552:B9015,"3 2 2 2 1 12 31111 6*")-SUMIFS(D1552:D9015,K1552:K9015,"0",B1552:B9015,"3 2 2 2 1 12 31111 6*")</f>
        <v>132514.76999999999</v>
      </c>
      <c r="F1551" s="35">
        <f>SUMIFS(F1552:F9015,K1552:K9015,"0",B1552:B9015,"3 2 2 2 1 12 31111 6*")</f>
        <v>0</v>
      </c>
      <c r="G1551" s="35">
        <f>SUMIFS(G1552:G9015,K1552:K9015,"0",B1552:B9015,"3 2 2 2 1 12 31111 6*")</f>
        <v>0</v>
      </c>
      <c r="H1551" s="35"/>
      <c r="I1551" s="35">
        <f t="shared" si="24"/>
        <v>132514.76999999999</v>
      </c>
      <c r="K1551" t="s">
        <v>15</v>
      </c>
    </row>
    <row r="1552" spans="2:11" ht="16.5" x14ac:dyDescent="0.2">
      <c r="B1552" s="33" t="s">
        <v>2227</v>
      </c>
      <c r="C1552" s="33" t="s">
        <v>140</v>
      </c>
      <c r="D1552"/>
      <c r="E1552" s="35">
        <f>SUMIFS(E1553:E9015,K1553:K9015,"0",B1553:B9015,"3 2 2 2 1 12 31111 6 M59*")-SUMIFS(D1553:D9015,K1553:K9015,"0",B1553:B9015,"3 2 2 2 1 12 31111 6 M59*")</f>
        <v>132514.76999999999</v>
      </c>
      <c r="F1552" s="35">
        <f>SUMIFS(F1553:F9015,K1553:K9015,"0",B1553:B9015,"3 2 2 2 1 12 31111 6 M59*")</f>
        <v>0</v>
      </c>
      <c r="G1552" s="35">
        <f>SUMIFS(G1553:G9015,K1553:K9015,"0",B1553:B9015,"3 2 2 2 1 12 31111 6 M59*")</f>
        <v>0</v>
      </c>
      <c r="H1552" s="35"/>
      <c r="I1552" s="35">
        <f t="shared" si="24"/>
        <v>132514.76999999999</v>
      </c>
      <c r="K1552" t="s">
        <v>15</v>
      </c>
    </row>
    <row r="1553" spans="2:11" ht="16.5" x14ac:dyDescent="0.2">
      <c r="B1553" s="33" t="s">
        <v>2228</v>
      </c>
      <c r="C1553" s="33" t="s">
        <v>1075</v>
      </c>
      <c r="D1553"/>
      <c r="E1553" s="35">
        <f>SUMIFS(E1554:E9015,K1554:K9015,"0",B1554:B9015,"3 2 2 2 1 12 31111 6 M59 00005*")-SUMIFS(D1554:D9015,K1554:K9015,"0",B1554:B9015,"3 2 2 2 1 12 31111 6 M59 00005*")</f>
        <v>132514.76999999999</v>
      </c>
      <c r="F1553" s="35">
        <f>SUMIFS(F1554:F9015,K1554:K9015,"0",B1554:B9015,"3 2 2 2 1 12 31111 6 M59 00005*")</f>
        <v>0</v>
      </c>
      <c r="G1553" s="35">
        <f>SUMIFS(G1554:G9015,K1554:K9015,"0",B1554:B9015,"3 2 2 2 1 12 31111 6 M59 00005*")</f>
        <v>0</v>
      </c>
      <c r="H1553" s="35"/>
      <c r="I1553" s="35">
        <f t="shared" si="24"/>
        <v>132514.76999999999</v>
      </c>
      <c r="K1553" t="s">
        <v>15</v>
      </c>
    </row>
    <row r="1554" spans="2:11" ht="16.5" x14ac:dyDescent="0.2">
      <c r="B1554" s="33" t="s">
        <v>2229</v>
      </c>
      <c r="C1554" s="33" t="s">
        <v>2230</v>
      </c>
      <c r="D1554"/>
      <c r="E1554" s="35">
        <f>SUMIFS(E1555:E9015,K1555:K9015,"0",B1555:B9015,"3 2 2 2 1 12 31111 6 M59 00005 000001*")-SUMIFS(D1555:D9015,K1555:K9015,"0",B1555:B9015,"3 2 2 2 1 12 31111 6 M59 00005 000001*")</f>
        <v>132514.76999999999</v>
      </c>
      <c r="F1554" s="35">
        <f>SUMIFS(F1555:F9015,K1555:K9015,"0",B1555:B9015,"3 2 2 2 1 12 31111 6 M59 00005 000001*")</f>
        <v>0</v>
      </c>
      <c r="G1554" s="35">
        <f>SUMIFS(G1555:G9015,K1555:K9015,"0",B1555:B9015,"3 2 2 2 1 12 31111 6 M59 00005 000001*")</f>
        <v>0</v>
      </c>
      <c r="H1554" s="35"/>
      <c r="I1554" s="35">
        <f t="shared" si="24"/>
        <v>132514.76999999999</v>
      </c>
      <c r="K1554" t="s">
        <v>15</v>
      </c>
    </row>
    <row r="1555" spans="2:11" ht="16.5" x14ac:dyDescent="0.2">
      <c r="B1555" s="31" t="s">
        <v>2231</v>
      </c>
      <c r="C1555" s="31" t="s">
        <v>2232</v>
      </c>
      <c r="D1555" s="34"/>
      <c r="E1555" s="34">
        <v>132514.76999999999</v>
      </c>
      <c r="F1555" s="34">
        <v>0</v>
      </c>
      <c r="G1555" s="34">
        <v>0</v>
      </c>
      <c r="H1555" s="34"/>
      <c r="I1555" s="34">
        <f t="shared" si="24"/>
        <v>132514.76999999999</v>
      </c>
      <c r="K1555" t="s">
        <v>38</v>
      </c>
    </row>
    <row r="1556" spans="2:11" ht="12.75" x14ac:dyDescent="0.2">
      <c r="B1556" s="33" t="s">
        <v>2233</v>
      </c>
      <c r="C1556" s="33" t="s">
        <v>2234</v>
      </c>
      <c r="D1556"/>
      <c r="E1556" s="35">
        <f>SUMIFS(E1557:E9015,K1557:K9015,"0",B1557:B9015,"3 2 3*")-SUMIFS(D1557:D9015,K1557:K9015,"0",B1557:B9015,"3 2 3*")</f>
        <v>-691847.07000000007</v>
      </c>
      <c r="F1556" s="35">
        <f>SUMIFS(F1557:F9015,K1557:K9015,"0",B1557:B9015,"3 2 3*")</f>
        <v>0</v>
      </c>
      <c r="G1556" s="35">
        <f>SUMIFS(G1557:G9015,K1557:K9015,"0",B1557:B9015,"3 2 3*")</f>
        <v>0</v>
      </c>
      <c r="H1556" s="35"/>
      <c r="I1556" s="35">
        <f t="shared" si="24"/>
        <v>-691847.07000000007</v>
      </c>
      <c r="K1556" t="s">
        <v>15</v>
      </c>
    </row>
    <row r="1557" spans="2:11" ht="12.75" x14ac:dyDescent="0.2">
      <c r="B1557" s="33" t="s">
        <v>2235</v>
      </c>
      <c r="C1557" s="33" t="s">
        <v>2236</v>
      </c>
      <c r="D1557"/>
      <c r="E1557" s="35">
        <f>SUMIFS(E1558:E9015,K1558:K9015,"0",B1558:B9015,"3 2 3 2*")-SUMIFS(D1558:D9015,K1558:K9015,"0",B1558:B9015,"3 2 3 2*")</f>
        <v>-691847.07000000007</v>
      </c>
      <c r="F1557" s="35">
        <f>SUMIFS(F1558:F9015,K1558:K9015,"0",B1558:B9015,"3 2 3 2*")</f>
        <v>0</v>
      </c>
      <c r="G1557" s="35">
        <f>SUMIFS(G1558:G9015,K1558:K9015,"0",B1558:B9015,"3 2 3 2*")</f>
        <v>0</v>
      </c>
      <c r="H1557" s="35"/>
      <c r="I1557" s="35">
        <f t="shared" si="24"/>
        <v>-691847.07000000007</v>
      </c>
      <c r="K1557" t="s">
        <v>15</v>
      </c>
    </row>
    <row r="1558" spans="2:11" ht="12.75" x14ac:dyDescent="0.2">
      <c r="B1558" s="33" t="s">
        <v>2237</v>
      </c>
      <c r="C1558" s="33" t="s">
        <v>2236</v>
      </c>
      <c r="D1558"/>
      <c r="E1558" s="35">
        <f>SUMIFS(E1559:E9015,K1559:K9015,"0",B1559:B9015,"3 2 3 2 1*")-SUMIFS(D1559:D9015,K1559:K9015,"0",B1559:B9015,"3 2 3 2 1*")</f>
        <v>-691847.07000000007</v>
      </c>
      <c r="F1558" s="35">
        <f>SUMIFS(F1559:F9015,K1559:K9015,"0",B1559:B9015,"3 2 3 2 1*")</f>
        <v>0</v>
      </c>
      <c r="G1558" s="35">
        <f>SUMIFS(G1559:G9015,K1559:K9015,"0",B1559:B9015,"3 2 3 2 1*")</f>
        <v>0</v>
      </c>
      <c r="H1558" s="35"/>
      <c r="I1558" s="35">
        <f t="shared" si="24"/>
        <v>-691847.07000000007</v>
      </c>
      <c r="K1558" t="s">
        <v>15</v>
      </c>
    </row>
    <row r="1559" spans="2:11" ht="12.75" x14ac:dyDescent="0.2">
      <c r="B1559" s="33" t="s">
        <v>2238</v>
      </c>
      <c r="C1559" s="33" t="s">
        <v>26</v>
      </c>
      <c r="D1559"/>
      <c r="E1559" s="35">
        <f>SUMIFS(E1560:E9015,K1560:K9015,"0",B1560:B9015,"3 2 3 2 1 12*")-SUMIFS(D1560:D9015,K1560:K9015,"0",B1560:B9015,"3 2 3 2 1 12*")</f>
        <v>-691847.07000000007</v>
      </c>
      <c r="F1559" s="35">
        <f>SUMIFS(F1560:F9015,K1560:K9015,"0",B1560:B9015,"3 2 3 2 1 12*")</f>
        <v>0</v>
      </c>
      <c r="G1559" s="35">
        <f>SUMIFS(G1560:G9015,K1560:K9015,"0",B1560:B9015,"3 2 3 2 1 12*")</f>
        <v>0</v>
      </c>
      <c r="H1559" s="35"/>
      <c r="I1559" s="35">
        <f t="shared" si="24"/>
        <v>-691847.07000000007</v>
      </c>
      <c r="K1559" t="s">
        <v>15</v>
      </c>
    </row>
    <row r="1560" spans="2:11" ht="16.5" x14ac:dyDescent="0.2">
      <c r="B1560" s="33" t="s">
        <v>2239</v>
      </c>
      <c r="C1560" s="33" t="s">
        <v>28</v>
      </c>
      <c r="D1560"/>
      <c r="E1560" s="35">
        <f>SUMIFS(E1561:E9015,K1561:K9015,"0",B1561:B9015,"3 2 3 2 1 12 31111*")-SUMIFS(D1561:D9015,K1561:K9015,"0",B1561:B9015,"3 2 3 2 1 12 31111*")</f>
        <v>-691847.07000000007</v>
      </c>
      <c r="F1560" s="35">
        <f>SUMIFS(F1561:F9015,K1561:K9015,"0",B1561:B9015,"3 2 3 2 1 12 31111*")</f>
        <v>0</v>
      </c>
      <c r="G1560" s="35">
        <f>SUMIFS(G1561:G9015,K1561:K9015,"0",B1561:B9015,"3 2 3 2 1 12 31111*")</f>
        <v>0</v>
      </c>
      <c r="H1560" s="35"/>
      <c r="I1560" s="35">
        <f t="shared" si="24"/>
        <v>-691847.07000000007</v>
      </c>
      <c r="K1560" t="s">
        <v>15</v>
      </c>
    </row>
    <row r="1561" spans="2:11" ht="12.75" x14ac:dyDescent="0.2">
      <c r="B1561" s="33" t="s">
        <v>2240</v>
      </c>
      <c r="C1561" s="33" t="s">
        <v>30</v>
      </c>
      <c r="D1561"/>
      <c r="E1561" s="35">
        <f>SUMIFS(E1562:E9015,K1562:K9015,"0",B1562:B9015,"3 2 3 2 1 12 31111 6*")-SUMIFS(D1562:D9015,K1562:K9015,"0",B1562:B9015,"3 2 3 2 1 12 31111 6*")</f>
        <v>-691847.07000000007</v>
      </c>
      <c r="F1561" s="35">
        <f>SUMIFS(F1562:F9015,K1562:K9015,"0",B1562:B9015,"3 2 3 2 1 12 31111 6*")</f>
        <v>0</v>
      </c>
      <c r="G1561" s="35">
        <f>SUMIFS(G1562:G9015,K1562:K9015,"0",B1562:B9015,"3 2 3 2 1 12 31111 6*")</f>
        <v>0</v>
      </c>
      <c r="H1561" s="35"/>
      <c r="I1561" s="35">
        <f t="shared" si="24"/>
        <v>-691847.07000000007</v>
      </c>
      <c r="K1561" t="s">
        <v>15</v>
      </c>
    </row>
    <row r="1562" spans="2:11" ht="16.5" x14ac:dyDescent="0.2">
      <c r="B1562" s="33" t="s">
        <v>2241</v>
      </c>
      <c r="C1562" s="33" t="s">
        <v>2242</v>
      </c>
      <c r="D1562"/>
      <c r="E1562" s="35">
        <f>SUMIFS(E1563:E9015,K1563:K9015,"0",B1563:B9015,"3 2 3 2 1 12 31111 6 M59*")-SUMIFS(D1563:D9015,K1563:K9015,"0",B1563:B9015,"3 2 3 2 1 12 31111 6 M59*")</f>
        <v>-691847.07000000007</v>
      </c>
      <c r="F1562" s="35">
        <f>SUMIFS(F1563:F9015,K1563:K9015,"0",B1563:B9015,"3 2 3 2 1 12 31111 6 M59*")</f>
        <v>0</v>
      </c>
      <c r="G1562" s="35">
        <f>SUMIFS(G1563:G9015,K1563:K9015,"0",B1563:B9015,"3 2 3 2 1 12 31111 6 M59*")</f>
        <v>0</v>
      </c>
      <c r="H1562" s="35"/>
      <c r="I1562" s="35">
        <f t="shared" si="24"/>
        <v>-691847.07000000007</v>
      </c>
      <c r="K1562" t="s">
        <v>15</v>
      </c>
    </row>
    <row r="1563" spans="2:11" ht="16.5" x14ac:dyDescent="0.2">
      <c r="B1563" s="33" t="s">
        <v>2243</v>
      </c>
      <c r="C1563" s="33" t="s">
        <v>34</v>
      </c>
      <c r="D1563"/>
      <c r="E1563" s="35">
        <f>SUMIFS(E1564:E9015,K1564:K9015,"0",B1564:B9015,"3 2 3 2 1 12 31111 6 M59 00001*")-SUMIFS(D1564:D9015,K1564:K9015,"0",B1564:B9015,"3 2 3 2 1 12 31111 6 M59 00001*")</f>
        <v>-66635.28</v>
      </c>
      <c r="F1563" s="35">
        <f>SUMIFS(F1564:F9015,K1564:K9015,"0",B1564:B9015,"3 2 3 2 1 12 31111 6 M59 00001*")</f>
        <v>0</v>
      </c>
      <c r="G1563" s="35">
        <f>SUMIFS(G1564:G9015,K1564:K9015,"0",B1564:B9015,"3 2 3 2 1 12 31111 6 M59 00001*")</f>
        <v>0</v>
      </c>
      <c r="H1563" s="35"/>
      <c r="I1563" s="35">
        <f t="shared" si="24"/>
        <v>-66635.28</v>
      </c>
      <c r="K1563" t="s">
        <v>15</v>
      </c>
    </row>
    <row r="1564" spans="2:11" ht="16.5" x14ac:dyDescent="0.2">
      <c r="B1564" s="31" t="s">
        <v>2244</v>
      </c>
      <c r="C1564" s="31" t="s">
        <v>203</v>
      </c>
      <c r="D1564" s="34"/>
      <c r="E1564" s="34">
        <v>-66635.28</v>
      </c>
      <c r="F1564" s="34">
        <v>0</v>
      </c>
      <c r="G1564" s="34">
        <v>0</v>
      </c>
      <c r="H1564" s="34"/>
      <c r="I1564" s="34">
        <f t="shared" si="24"/>
        <v>-66635.28</v>
      </c>
      <c r="K1564" t="s">
        <v>38</v>
      </c>
    </row>
    <row r="1565" spans="2:11" ht="24.75" x14ac:dyDescent="0.2">
      <c r="B1565" s="33" t="s">
        <v>2245</v>
      </c>
      <c r="C1565" s="33" t="s">
        <v>986</v>
      </c>
      <c r="D1565"/>
      <c r="E1565" s="35">
        <f>SUMIFS(E1566:E9015,K1566:K9015,"0",B1566:B9015,"3 2 3 2 1 12 31111 6 M59 00002*")-SUMIFS(D1566:D9015,K1566:K9015,"0",B1566:B9015,"3 2 3 2 1 12 31111 6 M59 00002*")</f>
        <v>-1804643.56</v>
      </c>
      <c r="F1565" s="35">
        <f>SUMIFS(F1566:F9015,K1566:K9015,"0",B1566:B9015,"3 2 3 2 1 12 31111 6 M59 00002*")</f>
        <v>0</v>
      </c>
      <c r="G1565" s="35">
        <f>SUMIFS(G1566:G9015,K1566:K9015,"0",B1566:B9015,"3 2 3 2 1 12 31111 6 M59 00002*")</f>
        <v>0</v>
      </c>
      <c r="H1565" s="35"/>
      <c r="I1565" s="35">
        <f t="shared" si="24"/>
        <v>-1804643.56</v>
      </c>
      <c r="K1565" t="s">
        <v>15</v>
      </c>
    </row>
    <row r="1566" spans="2:11" ht="16.5" x14ac:dyDescent="0.2">
      <c r="B1566" s="33" t="s">
        <v>2246</v>
      </c>
      <c r="C1566" s="33" t="s">
        <v>42</v>
      </c>
      <c r="D1566"/>
      <c r="E1566" s="35">
        <f>SUMIFS(E1567:E9015,K1567:K9015,"0",B1567:B9015,"3 2 3 2 1 12 31111 6 M59 00002 000001*")-SUMIFS(D1567:D9015,K1567:K9015,"0",B1567:B9015,"3 2 3 2 1 12 31111 6 M59 00002 000001*")</f>
        <v>-1804643.56</v>
      </c>
      <c r="F1566" s="35">
        <f>SUMIFS(F1567:F9015,K1567:K9015,"0",B1567:B9015,"3 2 3 2 1 12 31111 6 M59 00002 000001*")</f>
        <v>0</v>
      </c>
      <c r="G1566" s="35">
        <f>SUMIFS(G1567:G9015,K1567:K9015,"0",B1567:B9015,"3 2 3 2 1 12 31111 6 M59 00002 000001*")</f>
        <v>0</v>
      </c>
      <c r="H1566" s="35"/>
      <c r="I1566" s="35">
        <f t="shared" si="24"/>
        <v>-1804643.56</v>
      </c>
      <c r="K1566" t="s">
        <v>15</v>
      </c>
    </row>
    <row r="1567" spans="2:11" ht="16.5" x14ac:dyDescent="0.2">
      <c r="B1567" s="31" t="s">
        <v>2247</v>
      </c>
      <c r="C1567" s="31" t="s">
        <v>274</v>
      </c>
      <c r="D1567" s="34"/>
      <c r="E1567" s="34">
        <v>-1804643.56</v>
      </c>
      <c r="F1567" s="34">
        <v>0</v>
      </c>
      <c r="G1567" s="34">
        <v>0</v>
      </c>
      <c r="H1567" s="34"/>
      <c r="I1567" s="34">
        <f t="shared" si="24"/>
        <v>-1804643.56</v>
      </c>
      <c r="K1567" t="s">
        <v>38</v>
      </c>
    </row>
    <row r="1568" spans="2:11" ht="24.75" x14ac:dyDescent="0.2">
      <c r="B1568" s="33" t="s">
        <v>2248</v>
      </c>
      <c r="C1568" s="33" t="s">
        <v>40</v>
      </c>
      <c r="D1568"/>
      <c r="E1568" s="35">
        <f>SUMIFS(E1569:E9015,K1569:K9015,"0",B1569:B9015,"3 2 3 2 1 12 31111 6 M59 00003*")-SUMIFS(D1569:D9015,K1569:K9015,"0",B1569:B9015,"3 2 3 2 1 12 31111 6 M59 00003*")</f>
        <v>1179431.77</v>
      </c>
      <c r="F1568" s="35">
        <f>SUMIFS(F1569:F9015,K1569:K9015,"0",B1569:B9015,"3 2 3 2 1 12 31111 6 M59 00003*")</f>
        <v>0</v>
      </c>
      <c r="G1568" s="35">
        <f>SUMIFS(G1569:G9015,K1569:K9015,"0",B1569:B9015,"3 2 3 2 1 12 31111 6 M59 00003*")</f>
        <v>0</v>
      </c>
      <c r="H1568" s="35"/>
      <c r="I1568" s="35">
        <f t="shared" si="24"/>
        <v>1179431.77</v>
      </c>
      <c r="K1568" t="s">
        <v>15</v>
      </c>
    </row>
    <row r="1569" spans="2:11" ht="16.5" x14ac:dyDescent="0.2">
      <c r="B1569" s="31" t="s">
        <v>2249</v>
      </c>
      <c r="C1569" s="31" t="s">
        <v>2236</v>
      </c>
      <c r="D1569" s="34"/>
      <c r="E1569" s="34">
        <v>1179431.77</v>
      </c>
      <c r="F1569" s="34">
        <v>0</v>
      </c>
      <c r="G1569" s="34">
        <v>0</v>
      </c>
      <c r="H1569" s="34"/>
      <c r="I1569" s="34">
        <f t="shared" si="24"/>
        <v>1179431.77</v>
      </c>
      <c r="K1569" t="s">
        <v>38</v>
      </c>
    </row>
    <row r="1570" spans="2:11" ht="24.75" x14ac:dyDescent="0.2">
      <c r="B1570" s="33" t="s">
        <v>2250</v>
      </c>
      <c r="C1570" s="33" t="s">
        <v>2251</v>
      </c>
      <c r="D1570"/>
      <c r="E1570" s="35">
        <f>SUMIFS(E1571:E9015,K1571:K9015,"0",B1571:B9015,"3 2 5*")-SUMIFS(D1571:D9015,K1571:K9015,"0",B1571:B9015,"3 2 5*")</f>
        <v>-3340354.46</v>
      </c>
      <c r="F1570" s="35">
        <f>SUMIFS(F1571:F9015,K1571:K9015,"0",B1571:B9015,"3 2 5*")</f>
        <v>0</v>
      </c>
      <c r="G1570" s="35">
        <f>SUMIFS(G1571:G9015,K1571:K9015,"0",B1571:B9015,"3 2 5*")</f>
        <v>1828054.95</v>
      </c>
      <c r="H1570" s="35"/>
      <c r="I1570" s="35">
        <f t="shared" si="24"/>
        <v>-1512299.51</v>
      </c>
      <c r="K1570" t="s">
        <v>15</v>
      </c>
    </row>
    <row r="1571" spans="2:11" ht="16.5" x14ac:dyDescent="0.2">
      <c r="B1571" s="33" t="s">
        <v>2252</v>
      </c>
      <c r="C1571" s="33" t="s">
        <v>2253</v>
      </c>
      <c r="D1571"/>
      <c r="E1571" s="35">
        <f>SUMIFS(E1572:E9015,K1572:K9015,"0",B1572:B9015,"3 2 5 2*")-SUMIFS(D1572:D9015,K1572:K9015,"0",B1572:B9015,"3 2 5 2*")</f>
        <v>-3340354.46</v>
      </c>
      <c r="F1571" s="35">
        <f>SUMIFS(F1572:F9015,K1572:K9015,"0",B1572:B9015,"3 2 5 2*")</f>
        <v>0</v>
      </c>
      <c r="G1571" s="35">
        <f>SUMIFS(G1572:G9015,K1572:K9015,"0",B1572:B9015,"3 2 5 2*")</f>
        <v>1828054.95</v>
      </c>
      <c r="H1571" s="35"/>
      <c r="I1571" s="35">
        <f t="shared" si="24"/>
        <v>-1512299.51</v>
      </c>
      <c r="K1571" t="s">
        <v>15</v>
      </c>
    </row>
    <row r="1572" spans="2:11" ht="16.5" x14ac:dyDescent="0.2">
      <c r="B1572" s="33" t="s">
        <v>2254</v>
      </c>
      <c r="C1572" s="33" t="s">
        <v>2253</v>
      </c>
      <c r="D1572"/>
      <c r="E1572" s="35">
        <f>SUMIFS(E1573:E9015,K1573:K9015,"0",B1573:B9015,"3 2 5 2 1*")-SUMIFS(D1573:D9015,K1573:K9015,"0",B1573:B9015,"3 2 5 2 1*")</f>
        <v>-3340354.46</v>
      </c>
      <c r="F1572" s="35">
        <f>SUMIFS(F1573:F9015,K1573:K9015,"0",B1573:B9015,"3 2 5 2 1*")</f>
        <v>0</v>
      </c>
      <c r="G1572" s="35">
        <f>SUMIFS(G1573:G9015,K1573:K9015,"0",B1573:B9015,"3 2 5 2 1*")</f>
        <v>1828054.95</v>
      </c>
      <c r="H1572" s="35"/>
      <c r="I1572" s="35">
        <f t="shared" si="24"/>
        <v>-1512299.51</v>
      </c>
      <c r="K1572" t="s">
        <v>15</v>
      </c>
    </row>
    <row r="1573" spans="2:11" ht="12.75" x14ac:dyDescent="0.2">
      <c r="B1573" s="33" t="s">
        <v>2255</v>
      </c>
      <c r="C1573" s="33" t="s">
        <v>26</v>
      </c>
      <c r="D1573"/>
      <c r="E1573" s="35">
        <f>SUMIFS(E1574:E9015,K1574:K9015,"0",B1574:B9015,"3 2 5 2 1 12*")-SUMIFS(D1574:D9015,K1574:K9015,"0",B1574:B9015,"3 2 5 2 1 12*")</f>
        <v>-3340354.46</v>
      </c>
      <c r="F1573" s="35">
        <f>SUMIFS(F1574:F9015,K1574:K9015,"0",B1574:B9015,"3 2 5 2 1 12*")</f>
        <v>0</v>
      </c>
      <c r="G1573" s="35">
        <f>SUMIFS(G1574:G9015,K1574:K9015,"0",B1574:B9015,"3 2 5 2 1 12*")</f>
        <v>1828054.95</v>
      </c>
      <c r="H1573" s="35"/>
      <c r="I1573" s="35">
        <f t="shared" si="24"/>
        <v>-1512299.51</v>
      </c>
      <c r="K1573" t="s">
        <v>15</v>
      </c>
    </row>
    <row r="1574" spans="2:11" ht="16.5" x14ac:dyDescent="0.2">
      <c r="B1574" s="33" t="s">
        <v>2256</v>
      </c>
      <c r="C1574" s="33" t="s">
        <v>28</v>
      </c>
      <c r="D1574"/>
      <c r="E1574" s="35">
        <f>SUMIFS(E1575:E9015,K1575:K9015,"0",B1575:B9015,"3 2 5 2 1 12 31111*")-SUMIFS(D1575:D9015,K1575:K9015,"0",B1575:B9015,"3 2 5 2 1 12 31111*")</f>
        <v>-3340354.46</v>
      </c>
      <c r="F1574" s="35">
        <f>SUMIFS(F1575:F9015,K1575:K9015,"0",B1575:B9015,"3 2 5 2 1 12 31111*")</f>
        <v>0</v>
      </c>
      <c r="G1574" s="35">
        <f>SUMIFS(G1575:G9015,K1575:K9015,"0",B1575:B9015,"3 2 5 2 1 12 31111*")</f>
        <v>1828054.95</v>
      </c>
      <c r="H1574" s="35"/>
      <c r="I1574" s="35">
        <f t="shared" si="24"/>
        <v>-1512299.51</v>
      </c>
      <c r="K1574" t="s">
        <v>15</v>
      </c>
    </row>
    <row r="1575" spans="2:11" ht="12.75" x14ac:dyDescent="0.2">
      <c r="B1575" s="33" t="s">
        <v>2257</v>
      </c>
      <c r="C1575" s="33" t="s">
        <v>30</v>
      </c>
      <c r="D1575"/>
      <c r="E1575" s="35">
        <f>SUMIFS(E1576:E9015,K1576:K9015,"0",B1576:B9015,"3 2 5 2 1 12 31111 6*")-SUMIFS(D1576:D9015,K1576:K9015,"0",B1576:B9015,"3 2 5 2 1 12 31111 6*")</f>
        <v>-3340354.46</v>
      </c>
      <c r="F1575" s="35">
        <f>SUMIFS(F1576:F9015,K1576:K9015,"0",B1576:B9015,"3 2 5 2 1 12 31111 6*")</f>
        <v>0</v>
      </c>
      <c r="G1575" s="35">
        <f>SUMIFS(G1576:G9015,K1576:K9015,"0",B1576:B9015,"3 2 5 2 1 12 31111 6*")</f>
        <v>1828054.95</v>
      </c>
      <c r="H1575" s="35"/>
      <c r="I1575" s="35">
        <f t="shared" si="24"/>
        <v>-1512299.51</v>
      </c>
      <c r="K1575" t="s">
        <v>15</v>
      </c>
    </row>
    <row r="1576" spans="2:11" ht="16.5" x14ac:dyDescent="0.2">
      <c r="B1576" s="33" t="s">
        <v>2258</v>
      </c>
      <c r="C1576" s="33" t="s">
        <v>32</v>
      </c>
      <c r="D1576"/>
      <c r="E1576" s="35">
        <f>SUMIFS(E1577:E9015,K1577:K9015,"0",B1577:B9015,"3 2 5 2 1 12 31111 6 M59*")-SUMIFS(D1577:D9015,K1577:K9015,"0",B1577:B9015,"3 2 5 2 1 12 31111 6 M59*")</f>
        <v>-3340354.46</v>
      </c>
      <c r="F1576" s="35">
        <f>SUMIFS(F1577:F9015,K1577:K9015,"0",B1577:B9015,"3 2 5 2 1 12 31111 6 M59*")</f>
        <v>0</v>
      </c>
      <c r="G1576" s="35">
        <f>SUMIFS(G1577:G9015,K1577:K9015,"0",B1577:B9015,"3 2 5 2 1 12 31111 6 M59*")</f>
        <v>1828054.95</v>
      </c>
      <c r="H1576" s="35"/>
      <c r="I1576" s="35">
        <f t="shared" si="24"/>
        <v>-1512299.51</v>
      </c>
      <c r="K1576" t="s">
        <v>15</v>
      </c>
    </row>
    <row r="1577" spans="2:11" ht="16.5" x14ac:dyDescent="0.2">
      <c r="B1577" s="31" t="s">
        <v>2259</v>
      </c>
      <c r="C1577" s="31" t="s">
        <v>34</v>
      </c>
      <c r="D1577" s="34"/>
      <c r="E1577" s="34">
        <v>-1732105.83</v>
      </c>
      <c r="F1577" s="34">
        <v>0</v>
      </c>
      <c r="G1577" s="34">
        <v>0</v>
      </c>
      <c r="H1577" s="34"/>
      <c r="I1577" s="34">
        <f t="shared" si="24"/>
        <v>-1732105.83</v>
      </c>
      <c r="K1577" t="s">
        <v>38</v>
      </c>
    </row>
    <row r="1578" spans="2:11" ht="24.75" x14ac:dyDescent="0.2">
      <c r="B1578" s="33" t="s">
        <v>2260</v>
      </c>
      <c r="C1578" s="33" t="s">
        <v>73</v>
      </c>
      <c r="D1578"/>
      <c r="E1578" s="35">
        <f>SUMIFS(E1579:E9015,K1579:K9015,"0",B1579:B9015,"3 2 5 2 1 12 31111 6 M59 00002*")-SUMIFS(D1579:D9015,K1579:K9015,"0",B1579:B9015,"3 2 5 2 1 12 31111 6 M59 00002*")</f>
        <v>42.12</v>
      </c>
      <c r="F1578" s="35">
        <f>SUMIFS(F1579:F9015,K1579:K9015,"0",B1579:B9015,"3 2 5 2 1 12 31111 6 M59 00002*")</f>
        <v>0</v>
      </c>
      <c r="G1578" s="35">
        <f>SUMIFS(G1579:G9015,K1579:K9015,"0",B1579:B9015,"3 2 5 2 1 12 31111 6 M59 00002*")</f>
        <v>0</v>
      </c>
      <c r="H1578" s="35"/>
      <c r="I1578" s="35">
        <f t="shared" si="24"/>
        <v>42.12</v>
      </c>
      <c r="K1578" t="s">
        <v>15</v>
      </c>
    </row>
    <row r="1579" spans="2:11" ht="16.5" x14ac:dyDescent="0.2">
      <c r="B1579" s="31" t="s">
        <v>2261</v>
      </c>
      <c r="C1579" s="31" t="s">
        <v>2253</v>
      </c>
      <c r="D1579" s="34"/>
      <c r="E1579" s="34">
        <v>42.12</v>
      </c>
      <c r="F1579" s="34">
        <v>0</v>
      </c>
      <c r="G1579" s="34">
        <v>0</v>
      </c>
      <c r="H1579" s="34"/>
      <c r="I1579" s="34">
        <f t="shared" si="24"/>
        <v>42.12</v>
      </c>
      <c r="K1579" t="s">
        <v>38</v>
      </c>
    </row>
    <row r="1580" spans="2:11" ht="16.5" x14ac:dyDescent="0.2">
      <c r="B1580" s="33" t="s">
        <v>2262</v>
      </c>
      <c r="C1580" s="33" t="s">
        <v>83</v>
      </c>
      <c r="D1580"/>
      <c r="E1580" s="35">
        <f>SUMIFS(E1581:E9015,K1581:K9015,"0",B1581:B9015,"3 2 5 2 1 12 31111 6 M59 00003*")-SUMIFS(D1581:D9015,K1581:K9015,"0",B1581:B9015,"3 2 5 2 1 12 31111 6 M59 00003*")</f>
        <v>-924888.09</v>
      </c>
      <c r="F1580" s="35">
        <f>SUMIFS(F1581:F9015,K1581:K9015,"0",B1581:B9015,"3 2 5 2 1 12 31111 6 M59 00003*")</f>
        <v>0</v>
      </c>
      <c r="G1580" s="35">
        <f>SUMIFS(G1581:G9015,K1581:K9015,"0",B1581:B9015,"3 2 5 2 1 12 31111 6 M59 00003*")</f>
        <v>1821492.16</v>
      </c>
      <c r="H1580" s="35"/>
      <c r="I1580" s="35">
        <f t="shared" si="24"/>
        <v>896604.07</v>
      </c>
      <c r="K1580" t="s">
        <v>15</v>
      </c>
    </row>
    <row r="1581" spans="2:11" ht="16.5" x14ac:dyDescent="0.2">
      <c r="B1581" s="31" t="s">
        <v>2263</v>
      </c>
      <c r="C1581" s="31" t="s">
        <v>2264</v>
      </c>
      <c r="D1581" s="34"/>
      <c r="E1581" s="34">
        <v>-924888.09</v>
      </c>
      <c r="F1581" s="34">
        <v>0</v>
      </c>
      <c r="G1581" s="34">
        <v>1821492.16</v>
      </c>
      <c r="H1581" s="34"/>
      <c r="I1581" s="34">
        <f t="shared" si="24"/>
        <v>896604.07</v>
      </c>
      <c r="K1581" t="s">
        <v>38</v>
      </c>
    </row>
    <row r="1582" spans="2:11" ht="24.75" x14ac:dyDescent="0.2">
      <c r="B1582" s="33" t="s">
        <v>2265</v>
      </c>
      <c r="C1582" s="33" t="s">
        <v>91</v>
      </c>
      <c r="D1582"/>
      <c r="E1582" s="35">
        <f>SUMIFS(E1583:E9015,K1583:K9015,"0",B1583:B9015,"3 2 5 2 1 12 31111 6 M59 00004*")-SUMIFS(D1583:D9015,K1583:K9015,"0",B1583:B9015,"3 2 5 2 1 12 31111 6 M59 00004*")</f>
        <v>-599481.19999999995</v>
      </c>
      <c r="F1582" s="35">
        <f>SUMIFS(F1583:F9015,K1583:K9015,"0",B1583:B9015,"3 2 5 2 1 12 31111 6 M59 00004*")</f>
        <v>0</v>
      </c>
      <c r="G1582" s="35">
        <f>SUMIFS(G1583:G9015,K1583:K9015,"0",B1583:B9015,"3 2 5 2 1 12 31111 6 M59 00004*")</f>
        <v>6562.79</v>
      </c>
      <c r="H1582" s="35"/>
      <c r="I1582" s="35">
        <f t="shared" si="24"/>
        <v>-592918.40999999992</v>
      </c>
      <c r="K1582" t="s">
        <v>15</v>
      </c>
    </row>
    <row r="1583" spans="2:11" ht="16.5" x14ac:dyDescent="0.2">
      <c r="B1583" s="33" t="s">
        <v>2266</v>
      </c>
      <c r="C1583" s="33" t="s">
        <v>42</v>
      </c>
      <c r="D1583"/>
      <c r="E1583" s="35">
        <f>SUMIFS(E1584:E9015,K1584:K9015,"0",B1584:B9015,"3 2 5 2 1 12 31111 6 M59 00004 000001*")-SUMIFS(D1584:D9015,K1584:K9015,"0",B1584:B9015,"3 2 5 2 1 12 31111 6 M59 00004 000001*")</f>
        <v>-599481.19999999995</v>
      </c>
      <c r="F1583" s="35">
        <f>SUMIFS(F1584:F9015,K1584:K9015,"0",B1584:B9015,"3 2 5 2 1 12 31111 6 M59 00004 000001*")</f>
        <v>0</v>
      </c>
      <c r="G1583" s="35">
        <f>SUMIFS(G1584:G9015,K1584:K9015,"0",B1584:B9015,"3 2 5 2 1 12 31111 6 M59 00004 000001*")</f>
        <v>6562.79</v>
      </c>
      <c r="H1583" s="35"/>
      <c r="I1583" s="35">
        <f t="shared" ref="I1583:I1646" si="25">E1583 - F1583 + G1583</f>
        <v>-592918.40999999992</v>
      </c>
      <c r="K1583" t="s">
        <v>15</v>
      </c>
    </row>
    <row r="1584" spans="2:11" ht="16.5" x14ac:dyDescent="0.2">
      <c r="B1584" s="31" t="s">
        <v>2267</v>
      </c>
      <c r="C1584" s="31" t="s">
        <v>2268</v>
      </c>
      <c r="D1584" s="34"/>
      <c r="E1584" s="34">
        <v>-599481.19999999995</v>
      </c>
      <c r="F1584" s="34">
        <v>0</v>
      </c>
      <c r="G1584" s="34">
        <v>6562.79</v>
      </c>
      <c r="H1584" s="34"/>
      <c r="I1584" s="34">
        <f t="shared" si="25"/>
        <v>-592918.40999999992</v>
      </c>
      <c r="K1584" t="s">
        <v>38</v>
      </c>
    </row>
    <row r="1585" spans="2:11" ht="41.25" x14ac:dyDescent="0.2">
      <c r="B1585" s="33" t="s">
        <v>2269</v>
      </c>
      <c r="C1585" s="33" t="s">
        <v>109</v>
      </c>
      <c r="D1585"/>
      <c r="E1585" s="35">
        <f>SUMIFS(E1586:E9015,K1586:K9015,"0",B1586:B9015,"3 2 5 2 1 12 31111 6 M59 00005*")-SUMIFS(D1586:D9015,K1586:K9015,"0",B1586:B9015,"3 2 5 2 1 12 31111 6 M59 00005*")</f>
        <v>-83921.46</v>
      </c>
      <c r="F1585" s="35">
        <f>SUMIFS(F1586:F9015,K1586:K9015,"0",B1586:B9015,"3 2 5 2 1 12 31111 6 M59 00005*")</f>
        <v>0</v>
      </c>
      <c r="G1585" s="35">
        <f>SUMIFS(G1586:G9015,K1586:K9015,"0",B1586:B9015,"3 2 5 2 1 12 31111 6 M59 00005*")</f>
        <v>0</v>
      </c>
      <c r="H1585" s="35"/>
      <c r="I1585" s="35">
        <f t="shared" si="25"/>
        <v>-83921.46</v>
      </c>
      <c r="K1585" t="s">
        <v>15</v>
      </c>
    </row>
    <row r="1586" spans="2:11" ht="16.5" x14ac:dyDescent="0.2">
      <c r="B1586" s="31" t="s">
        <v>2270</v>
      </c>
      <c r="C1586" s="31" t="s">
        <v>2253</v>
      </c>
      <c r="D1586" s="34"/>
      <c r="E1586" s="34">
        <v>-83921.46</v>
      </c>
      <c r="F1586" s="34">
        <v>0</v>
      </c>
      <c r="G1586" s="34">
        <v>0</v>
      </c>
      <c r="H1586" s="34"/>
      <c r="I1586" s="34">
        <f t="shared" si="25"/>
        <v>-83921.46</v>
      </c>
      <c r="K1586" t="s">
        <v>38</v>
      </c>
    </row>
    <row r="1587" spans="2:11" ht="16.5" x14ac:dyDescent="0.2">
      <c r="B1587" s="33" t="s">
        <v>2271</v>
      </c>
      <c r="C1587" s="33" t="s">
        <v>2272</v>
      </c>
      <c r="D1587"/>
      <c r="E1587" s="35">
        <f>SUMIFS(E1588:E9015,K1588:K9015,"0",B1588:B9015,"4*")-SUMIFS(D1588:D9015,K1588:K9015,"0",B1588:B9015,"4*")</f>
        <v>0</v>
      </c>
      <c r="F1587" s="35">
        <f>SUMIFS(F1588:F9015,K1588:K9015,"0",B1588:B9015,"4*")</f>
        <v>3607.5</v>
      </c>
      <c r="G1587" s="35">
        <f>SUMIFS(G1588:G9015,K1588:K9015,"0",B1588:B9015,"4*")</f>
        <v>300282994.10000002</v>
      </c>
      <c r="H1587" s="35"/>
      <c r="I1587" s="35">
        <f t="shared" si="25"/>
        <v>300279386.60000002</v>
      </c>
      <c r="K1587" t="s">
        <v>15</v>
      </c>
    </row>
    <row r="1588" spans="2:11" ht="12.75" x14ac:dyDescent="0.2">
      <c r="B1588" s="33" t="s">
        <v>2273</v>
      </c>
      <c r="C1588" s="33" t="s">
        <v>2274</v>
      </c>
      <c r="D1588"/>
      <c r="E1588" s="35">
        <f>SUMIFS(E1589:E9015,K1589:K9015,"0",B1589:B9015,"4 1*")-SUMIFS(D1589:D9015,K1589:K9015,"0",B1589:B9015,"4 1*")</f>
        <v>0</v>
      </c>
      <c r="F1588" s="35">
        <f>SUMIFS(F1589:F9015,K1589:K9015,"0",B1589:B9015,"4 1*")</f>
        <v>3607.5</v>
      </c>
      <c r="G1588" s="35">
        <f>SUMIFS(G1589:G9015,K1589:K9015,"0",B1589:B9015,"4 1*")</f>
        <v>21825001.490000002</v>
      </c>
      <c r="H1588" s="35"/>
      <c r="I1588" s="35">
        <f t="shared" si="25"/>
        <v>21821393.990000002</v>
      </c>
      <c r="K1588" t="s">
        <v>15</v>
      </c>
    </row>
    <row r="1589" spans="2:11" ht="12.75" x14ac:dyDescent="0.2">
      <c r="B1589" s="33" t="s">
        <v>2275</v>
      </c>
      <c r="C1589" s="33" t="s">
        <v>2276</v>
      </c>
      <c r="D1589"/>
      <c r="E1589" s="35">
        <f>SUMIFS(E1590:E9015,K1590:K9015,"0",B1590:B9015,"4 1 1*")-SUMIFS(D1590:D9015,K1590:K9015,"0",B1590:B9015,"4 1 1*")</f>
        <v>0</v>
      </c>
      <c r="F1589" s="35">
        <f>SUMIFS(F1590:F9015,K1590:K9015,"0",B1590:B9015,"4 1 1*")</f>
        <v>0</v>
      </c>
      <c r="G1589" s="35">
        <f>SUMIFS(G1590:G9015,K1590:K9015,"0",B1590:B9015,"4 1 1*")</f>
        <v>608750.51</v>
      </c>
      <c r="H1589" s="35"/>
      <c r="I1589" s="35">
        <f t="shared" si="25"/>
        <v>608750.51</v>
      </c>
      <c r="K1589" t="s">
        <v>15</v>
      </c>
    </row>
    <row r="1590" spans="2:11" ht="16.5" x14ac:dyDescent="0.2">
      <c r="B1590" s="33" t="s">
        <v>2277</v>
      </c>
      <c r="C1590" s="33" t="s">
        <v>2278</v>
      </c>
      <c r="D1590"/>
      <c r="E1590" s="35">
        <f>SUMIFS(E1591:E9015,K1591:K9015,"0",B1591:B9015,"4 1 1 1*")-SUMIFS(D1591:D9015,K1591:K9015,"0",B1591:B9015,"4 1 1 1*")</f>
        <v>0</v>
      </c>
      <c r="F1590" s="35">
        <f>SUMIFS(F1591:F9015,K1591:K9015,"0",B1591:B9015,"4 1 1 1*")</f>
        <v>0</v>
      </c>
      <c r="G1590" s="35">
        <f>SUMIFS(G1591:G9015,K1591:K9015,"0",B1591:B9015,"4 1 1 1*")</f>
        <v>300</v>
      </c>
      <c r="H1590" s="35"/>
      <c r="I1590" s="35">
        <f t="shared" si="25"/>
        <v>300</v>
      </c>
      <c r="K1590" t="s">
        <v>15</v>
      </c>
    </row>
    <row r="1591" spans="2:11" ht="16.5" x14ac:dyDescent="0.2">
      <c r="B1591" s="33" t="s">
        <v>2279</v>
      </c>
      <c r="C1591" s="33" t="s">
        <v>2278</v>
      </c>
      <c r="D1591"/>
      <c r="E1591" s="35">
        <f>SUMIFS(E1592:E9015,K1592:K9015,"0",B1592:B9015,"4 1 1 1 1*")-SUMIFS(D1592:D9015,K1592:K9015,"0",B1592:B9015,"4 1 1 1 1*")</f>
        <v>0</v>
      </c>
      <c r="F1591" s="35">
        <f>SUMIFS(F1592:F9015,K1592:K9015,"0",B1592:B9015,"4 1 1 1 1*")</f>
        <v>0</v>
      </c>
      <c r="G1591" s="35">
        <f>SUMIFS(G1592:G9015,K1592:K9015,"0",B1592:B9015,"4 1 1 1 1*")</f>
        <v>300</v>
      </c>
      <c r="H1591" s="35"/>
      <c r="I1591" s="35">
        <f t="shared" si="25"/>
        <v>300</v>
      </c>
      <c r="K1591" t="s">
        <v>15</v>
      </c>
    </row>
    <row r="1592" spans="2:11" ht="12.75" x14ac:dyDescent="0.2">
      <c r="B1592" s="33" t="s">
        <v>2280</v>
      </c>
      <c r="C1592" s="33" t="s">
        <v>26</v>
      </c>
      <c r="D1592"/>
      <c r="E1592" s="35">
        <f>SUMIFS(E1593:E9015,K1593:K9015,"0",B1593:B9015,"4 1 1 1 1 12*")-SUMIFS(D1593:D9015,K1593:K9015,"0",B1593:B9015,"4 1 1 1 1 12*")</f>
        <v>0</v>
      </c>
      <c r="F1592" s="35">
        <f>SUMIFS(F1593:F9015,K1593:K9015,"0",B1593:B9015,"4 1 1 1 1 12*")</f>
        <v>0</v>
      </c>
      <c r="G1592" s="35">
        <f>SUMIFS(G1593:G9015,K1593:K9015,"0",B1593:B9015,"4 1 1 1 1 12*")</f>
        <v>300</v>
      </c>
      <c r="H1592" s="35"/>
      <c r="I1592" s="35">
        <f t="shared" si="25"/>
        <v>300</v>
      </c>
      <c r="K1592" t="s">
        <v>15</v>
      </c>
    </row>
    <row r="1593" spans="2:11" ht="16.5" x14ac:dyDescent="0.2">
      <c r="B1593" s="33" t="s">
        <v>2281</v>
      </c>
      <c r="C1593" s="33" t="s">
        <v>28</v>
      </c>
      <c r="D1593"/>
      <c r="E1593" s="35">
        <f>SUMIFS(E1594:E9015,K1594:K9015,"0",B1594:B9015,"4 1 1 1 1 12 31111*")-SUMIFS(D1594:D9015,K1594:K9015,"0",B1594:B9015,"4 1 1 1 1 12 31111*")</f>
        <v>0</v>
      </c>
      <c r="F1593" s="35">
        <f>SUMIFS(F1594:F9015,K1594:K9015,"0",B1594:B9015,"4 1 1 1 1 12 31111*")</f>
        <v>0</v>
      </c>
      <c r="G1593" s="35">
        <f>SUMIFS(G1594:G9015,K1594:K9015,"0",B1594:B9015,"4 1 1 1 1 12 31111*")</f>
        <v>300</v>
      </c>
      <c r="H1593" s="35"/>
      <c r="I1593" s="35">
        <f t="shared" si="25"/>
        <v>300</v>
      </c>
      <c r="K1593" t="s">
        <v>15</v>
      </c>
    </row>
    <row r="1594" spans="2:11" ht="12.75" x14ac:dyDescent="0.2">
      <c r="B1594" s="33" t="s">
        <v>2282</v>
      </c>
      <c r="C1594" s="33" t="s">
        <v>30</v>
      </c>
      <c r="D1594"/>
      <c r="E1594" s="35">
        <f>SUMIFS(E1595:E9015,K1595:K9015,"0",B1595:B9015,"4 1 1 1 1 12 31111 6*")-SUMIFS(D1595:D9015,K1595:K9015,"0",B1595:B9015,"4 1 1 1 1 12 31111 6*")</f>
        <v>0</v>
      </c>
      <c r="F1594" s="35">
        <f>SUMIFS(F1595:F9015,K1595:K9015,"0",B1595:B9015,"4 1 1 1 1 12 31111 6*")</f>
        <v>0</v>
      </c>
      <c r="G1594" s="35">
        <f>SUMIFS(G1595:G9015,K1595:K9015,"0",B1595:B9015,"4 1 1 1 1 12 31111 6*")</f>
        <v>300</v>
      </c>
      <c r="H1594" s="35"/>
      <c r="I1594" s="35">
        <f t="shared" si="25"/>
        <v>300</v>
      </c>
      <c r="K1594" t="s">
        <v>15</v>
      </c>
    </row>
    <row r="1595" spans="2:11" ht="16.5" x14ac:dyDescent="0.2">
      <c r="B1595" s="33" t="s">
        <v>2283</v>
      </c>
      <c r="C1595" s="33" t="s">
        <v>2284</v>
      </c>
      <c r="D1595"/>
      <c r="E1595" s="35">
        <f>SUMIFS(E1596:E9015,K1596:K9015,"0",B1596:B9015,"4 1 1 1 1 12 31111 6 M59*")-SUMIFS(D1596:D9015,K1596:K9015,"0",B1596:B9015,"4 1 1 1 1 12 31111 6 M59*")</f>
        <v>0</v>
      </c>
      <c r="F1595" s="35">
        <f>SUMIFS(F1596:F9015,K1596:K9015,"0",B1596:B9015,"4 1 1 1 1 12 31111 6 M59*")</f>
        <v>0</v>
      </c>
      <c r="G1595" s="35">
        <f>SUMIFS(G1596:G9015,K1596:K9015,"0",B1596:B9015,"4 1 1 1 1 12 31111 6 M59*")</f>
        <v>300</v>
      </c>
      <c r="H1595" s="35"/>
      <c r="I1595" s="35">
        <f t="shared" si="25"/>
        <v>300</v>
      </c>
      <c r="K1595" t="s">
        <v>15</v>
      </c>
    </row>
    <row r="1596" spans="2:11" ht="16.5" x14ac:dyDescent="0.2">
      <c r="B1596" s="33" t="s">
        <v>2285</v>
      </c>
      <c r="C1596" s="33" t="s">
        <v>1044</v>
      </c>
      <c r="D1596"/>
      <c r="E1596" s="35">
        <f>SUMIFS(E1597:E9015,K1597:K9015,"0",B1597:B9015,"4 1 1 1 1 12 31111 6 M59 19000*")-SUMIFS(D1597:D9015,K1597:K9015,"0",B1597:B9015,"4 1 1 1 1 12 31111 6 M59 19000*")</f>
        <v>0</v>
      </c>
      <c r="F1596" s="35">
        <f>SUMIFS(F1597:F9015,K1597:K9015,"0",B1597:B9015,"4 1 1 1 1 12 31111 6 M59 19000*")</f>
        <v>0</v>
      </c>
      <c r="G1596" s="35">
        <f>SUMIFS(G1597:G9015,K1597:K9015,"0",B1597:B9015,"4 1 1 1 1 12 31111 6 M59 19000*")</f>
        <v>300</v>
      </c>
      <c r="H1596" s="35"/>
      <c r="I1596" s="35">
        <f t="shared" si="25"/>
        <v>300</v>
      </c>
      <c r="K1596" t="s">
        <v>15</v>
      </c>
    </row>
    <row r="1597" spans="2:11" ht="16.5" x14ac:dyDescent="0.2">
      <c r="B1597" s="33" t="s">
        <v>2286</v>
      </c>
      <c r="C1597" s="33" t="s">
        <v>2287</v>
      </c>
      <c r="D1597"/>
      <c r="E1597" s="35">
        <f>SUMIFS(E1598:E9015,K1598:K9015,"0",B1598:B9015,"4 1 1 1 1 12 31111 6 M59 19000 000000*")-SUMIFS(D1598:D9015,K1598:K9015,"0",B1598:B9015,"4 1 1 1 1 12 31111 6 M59 19000 000000*")</f>
        <v>0</v>
      </c>
      <c r="F1597" s="35">
        <f>SUMIFS(F1598:F9015,K1598:K9015,"0",B1598:B9015,"4 1 1 1 1 12 31111 6 M59 19000 000000*")</f>
        <v>0</v>
      </c>
      <c r="G1597" s="35">
        <f>SUMIFS(G1598:G9015,K1598:K9015,"0",B1598:B9015,"4 1 1 1 1 12 31111 6 M59 19000 000000*")</f>
        <v>300</v>
      </c>
      <c r="H1597" s="35"/>
      <c r="I1597" s="35">
        <f t="shared" si="25"/>
        <v>300</v>
      </c>
      <c r="K1597" t="s">
        <v>15</v>
      </c>
    </row>
    <row r="1598" spans="2:11" ht="16.5" x14ac:dyDescent="0.2">
      <c r="B1598" s="33" t="s">
        <v>2288</v>
      </c>
      <c r="C1598" s="33" t="s">
        <v>2289</v>
      </c>
      <c r="D1598"/>
      <c r="E1598" s="35">
        <f>SUMIFS(E1599:E9015,K1599:K9015,"0",B1599:B9015,"4 1 1 1 1 12 31111 6 M59 19000 000000 00000*")-SUMIFS(D1599:D9015,K1599:K9015,"0",B1599:B9015,"4 1 1 1 1 12 31111 6 M59 19000 000000 00000*")</f>
        <v>0</v>
      </c>
      <c r="F1598" s="35">
        <f>SUMIFS(F1599:F9015,K1599:K9015,"0",B1599:B9015,"4 1 1 1 1 12 31111 6 M59 19000 000000 00000*")</f>
        <v>0</v>
      </c>
      <c r="G1598" s="35">
        <f>SUMIFS(G1599:G9015,K1599:K9015,"0",B1599:B9015,"4 1 1 1 1 12 31111 6 M59 19000 000000 00000*")</f>
        <v>300</v>
      </c>
      <c r="H1598" s="35"/>
      <c r="I1598" s="35">
        <f t="shared" si="25"/>
        <v>300</v>
      </c>
      <c r="K1598" t="s">
        <v>15</v>
      </c>
    </row>
    <row r="1599" spans="2:11" ht="24.75" x14ac:dyDescent="0.2">
      <c r="B1599" s="33" t="s">
        <v>2290</v>
      </c>
      <c r="C1599" s="33" t="s">
        <v>2291</v>
      </c>
      <c r="D1599"/>
      <c r="E1599" s="35">
        <f>SUMIFS(E1600:E9015,K1600:K9015,"0",B1600:B9015,"4 1 1 1 1 12 31111 6 M59 19000 000000 00000 00000*")-SUMIFS(D1600:D9015,K1600:K9015,"0",B1600:B9015,"4 1 1 1 1 12 31111 6 M59 19000 000000 00000 00000*")</f>
        <v>0</v>
      </c>
      <c r="F1599" s="35">
        <f>SUMIFS(F1600:F9015,K1600:K9015,"0",B1600:B9015,"4 1 1 1 1 12 31111 6 M59 19000 000000 00000 00000*")</f>
        <v>0</v>
      </c>
      <c r="G1599" s="35">
        <f>SUMIFS(G1600:G9015,K1600:K9015,"0",B1600:B9015,"4 1 1 1 1 12 31111 6 M59 19000 000000 00000 00000*")</f>
        <v>300</v>
      </c>
      <c r="H1599" s="35"/>
      <c r="I1599" s="35">
        <f t="shared" si="25"/>
        <v>300</v>
      </c>
      <c r="K1599" t="s">
        <v>15</v>
      </c>
    </row>
    <row r="1600" spans="2:11" ht="24.75" x14ac:dyDescent="0.2">
      <c r="B1600" s="33" t="s">
        <v>2292</v>
      </c>
      <c r="C1600" s="33" t="s">
        <v>2278</v>
      </c>
      <c r="D1600"/>
      <c r="E1600" s="35">
        <f>SUMIFS(E1601:E9015,K1601:K9015,"0",B1601:B9015,"4 1 1 1 1 12 31111 6 M59 19000 000000 00000 00000 00011*")-SUMIFS(D1601:D9015,K1601:K9015,"0",B1601:B9015,"4 1 1 1 1 12 31111 6 M59 19000 000000 00000 00000 00011*")</f>
        <v>0</v>
      </c>
      <c r="F1600" s="35">
        <f>SUMIFS(F1601:F9015,K1601:K9015,"0",B1601:B9015,"4 1 1 1 1 12 31111 6 M59 19000 000000 00000 00000 00011*")</f>
        <v>0</v>
      </c>
      <c r="G1600" s="35">
        <f>SUMIFS(G1601:G9015,K1601:K9015,"0",B1601:B9015,"4 1 1 1 1 12 31111 6 M59 19000 000000 00000 00000 00011*")</f>
        <v>300</v>
      </c>
      <c r="H1600" s="35"/>
      <c r="I1600" s="35">
        <f t="shared" si="25"/>
        <v>300</v>
      </c>
      <c r="K1600" t="s">
        <v>15</v>
      </c>
    </row>
    <row r="1601" spans="2:11" ht="24.75" x14ac:dyDescent="0.2">
      <c r="B1601" s="33" t="s">
        <v>2293</v>
      </c>
      <c r="C1601" s="33" t="s">
        <v>699</v>
      </c>
      <c r="D1601"/>
      <c r="E1601" s="35">
        <f>SUMIFS(E1602:E9015,K1602:K9015,"0",B1602:B9015,"4 1 1 1 1 12 31111 6 M59 19000 000000 00000 00000 00011 011*")-SUMIFS(D1602:D9015,K1602:K9015,"0",B1602:B9015,"4 1 1 1 1 12 31111 6 M59 19000 000000 00000 00000 00011 011*")</f>
        <v>0</v>
      </c>
      <c r="F1601" s="35">
        <f>SUMIFS(F1602:F9015,K1602:K9015,"0",B1602:B9015,"4 1 1 1 1 12 31111 6 M59 19000 000000 00000 00000 00011 011*")</f>
        <v>0</v>
      </c>
      <c r="G1601" s="35">
        <f>SUMIFS(G1602:G9015,K1602:K9015,"0",B1602:B9015,"4 1 1 1 1 12 31111 6 M59 19000 000000 00000 00000 00011 011*")</f>
        <v>300</v>
      </c>
      <c r="H1601" s="35"/>
      <c r="I1601" s="35">
        <f t="shared" si="25"/>
        <v>300</v>
      </c>
      <c r="K1601" t="s">
        <v>15</v>
      </c>
    </row>
    <row r="1602" spans="2:11" ht="33" x14ac:dyDescent="0.2">
      <c r="B1602" s="33" t="s">
        <v>2294</v>
      </c>
      <c r="C1602" s="33" t="s">
        <v>2295</v>
      </c>
      <c r="D1602"/>
      <c r="E1602" s="35">
        <f>SUMIFS(E1603:E9015,K1603:K9015,"0",B1603:B9015,"4 1 1 1 1 12 31111 6 M59 19000 000000 00000 00000 00011 011 1111110*")-SUMIFS(D1603:D9015,K1603:K9015,"0",B1603:B9015,"4 1 1 1 1 12 31111 6 M59 19000 000000 00000 00000 00011 011 1111110*")</f>
        <v>0</v>
      </c>
      <c r="F1602" s="35">
        <f>SUMIFS(F1603:F9015,K1603:K9015,"0",B1603:B9015,"4 1 1 1 1 12 31111 6 M59 19000 000000 00000 00000 00011 011 1111110*")</f>
        <v>0</v>
      </c>
      <c r="G1602" s="35">
        <f>SUMIFS(G1603:G9015,K1603:K9015,"0",B1603:B9015,"4 1 1 1 1 12 31111 6 M59 19000 000000 00000 00000 00011 011 1111110*")</f>
        <v>300</v>
      </c>
      <c r="H1602" s="35"/>
      <c r="I1602" s="35">
        <f t="shared" si="25"/>
        <v>300</v>
      </c>
      <c r="K1602" t="s">
        <v>15</v>
      </c>
    </row>
    <row r="1603" spans="2:11" ht="33" x14ac:dyDescent="0.2">
      <c r="B1603" s="33" t="s">
        <v>2296</v>
      </c>
      <c r="C1603" s="33" t="s">
        <v>660</v>
      </c>
      <c r="D1603"/>
      <c r="E1603" s="35">
        <f>SUMIFS(E1604:E9015,K1604:K9015,"0",B1604:B9015,"4 1 1 1 1 12 31111 6 M59 19000 000000 00000 00000 00011 011 1111110 2024*")-SUMIFS(D1604:D9015,K1604:K9015,"0",B1604:B9015,"4 1 1 1 1 12 31111 6 M59 19000 000000 00000 00000 00011 011 1111110 2024*")</f>
        <v>0</v>
      </c>
      <c r="F1603" s="35">
        <f>SUMIFS(F1604:F9015,K1604:K9015,"0",B1604:B9015,"4 1 1 1 1 12 31111 6 M59 19000 000000 00000 00000 00011 011 1111110 2024*")</f>
        <v>0</v>
      </c>
      <c r="G1603" s="35">
        <f>SUMIFS(G1604:G9015,K1604:K9015,"0",B1604:B9015,"4 1 1 1 1 12 31111 6 M59 19000 000000 00000 00000 00011 011 1111110 2024*")</f>
        <v>300</v>
      </c>
      <c r="H1603" s="35"/>
      <c r="I1603" s="35">
        <f t="shared" si="25"/>
        <v>300</v>
      </c>
      <c r="K1603" t="s">
        <v>15</v>
      </c>
    </row>
    <row r="1604" spans="2:11" ht="41.25" x14ac:dyDescent="0.2">
      <c r="B1604" s="33" t="s">
        <v>2297</v>
      </c>
      <c r="C1604" s="33" t="s">
        <v>2298</v>
      </c>
      <c r="D1604"/>
      <c r="E1604" s="35">
        <f>SUMIFS(E1605:E9015,K1605:K9015,"0",B1605:B9015,"4 1 1 1 1 12 31111 6 M59 19000 000000 00000 00000 00011 011 1111110 2024 00000000*")-SUMIFS(D1605:D9015,K1605:K9015,"0",B1605:B9015,"4 1 1 1 1 12 31111 6 M59 19000 000000 00000 00000 00011 011 1111110 2024 00000000*")</f>
        <v>0</v>
      </c>
      <c r="F1604" s="35">
        <f>SUMIFS(F1605:F9015,K1605:K9015,"0",B1605:B9015,"4 1 1 1 1 12 31111 6 M59 19000 000000 00000 00000 00011 011 1111110 2024 00000000*")</f>
        <v>0</v>
      </c>
      <c r="G1604" s="35">
        <f>SUMIFS(G1605:G9015,K1605:K9015,"0",B1605:B9015,"4 1 1 1 1 12 31111 6 M59 19000 000000 00000 00000 00011 011 1111110 2024 00000000*")</f>
        <v>300</v>
      </c>
      <c r="H1604" s="35"/>
      <c r="I1604" s="35">
        <f t="shared" si="25"/>
        <v>300</v>
      </c>
      <c r="K1604" t="s">
        <v>15</v>
      </c>
    </row>
    <row r="1605" spans="2:11" ht="41.25" x14ac:dyDescent="0.2">
      <c r="B1605" s="33" t="s">
        <v>2299</v>
      </c>
      <c r="C1605" s="33" t="s">
        <v>2300</v>
      </c>
      <c r="D1605"/>
      <c r="E1605" s="35">
        <f>SUMIFS(E1606:E9015,K1606:K9015,"0",B1606:B9015,"4 1 1 1 1 12 31111 6 M59 19000 000000 00000 00000 00011 011 1111110 2024 00000000 004*")-SUMIFS(D1606:D9015,K1606:K9015,"0",B1606:B9015,"4 1 1 1 1 12 31111 6 M59 19000 000000 00000 00000 00011 011 1111110 2024 00000000 004*")</f>
        <v>0</v>
      </c>
      <c r="F1605" s="35">
        <f>SUMIFS(F1606:F9015,K1606:K9015,"0",B1606:B9015,"4 1 1 1 1 12 31111 6 M59 19000 000000 00000 00000 00011 011 1111110 2024 00000000 004*")</f>
        <v>0</v>
      </c>
      <c r="G1605" s="35">
        <f>SUMIFS(G1606:G9015,K1606:K9015,"0",B1606:B9015,"4 1 1 1 1 12 31111 6 M59 19000 000000 00000 00000 00011 011 1111110 2024 00000000 004*")</f>
        <v>300</v>
      </c>
      <c r="H1605" s="35"/>
      <c r="I1605" s="35">
        <f t="shared" si="25"/>
        <v>300</v>
      </c>
      <c r="K1605" t="s">
        <v>15</v>
      </c>
    </row>
    <row r="1606" spans="2:11" ht="49.5" x14ac:dyDescent="0.2">
      <c r="B1606" s="33" t="s">
        <v>2301</v>
      </c>
      <c r="C1606" s="33" t="s">
        <v>2278</v>
      </c>
      <c r="D1606"/>
      <c r="E1606" s="35">
        <f>SUMIFS(E1607:E9015,K1607:K9015,"0",B1607:B9015,"4 1 1 1 1 12 31111 6 M59 19000 000000 00000 00000 00011 011 1111110 2024 00000000 004 0000001*")-SUMIFS(D1607:D9015,K1607:K9015,"0",B1607:B9015,"4 1 1 1 1 12 31111 6 M59 19000 000000 00000 00000 00011 011 1111110 2024 00000000 004 0000001*")</f>
        <v>0</v>
      </c>
      <c r="F1606" s="35">
        <f>SUMIFS(F1607:F9015,K1607:K9015,"0",B1607:B9015,"4 1 1 1 1 12 31111 6 M59 19000 000000 00000 00000 00011 011 1111110 2024 00000000 004 0000001*")</f>
        <v>0</v>
      </c>
      <c r="G1606" s="35">
        <f>SUMIFS(G1607:G9015,K1607:K9015,"0",B1607:B9015,"4 1 1 1 1 12 31111 6 M59 19000 000000 00000 00000 00011 011 1111110 2024 00000000 004 0000001*")</f>
        <v>300</v>
      </c>
      <c r="H1606" s="35"/>
      <c r="I1606" s="35">
        <f t="shared" si="25"/>
        <v>300</v>
      </c>
      <c r="K1606" t="s">
        <v>15</v>
      </c>
    </row>
    <row r="1607" spans="2:11" ht="49.5" x14ac:dyDescent="0.2">
      <c r="B1607" s="33" t="s">
        <v>2302</v>
      </c>
      <c r="C1607" s="33" t="s">
        <v>2303</v>
      </c>
      <c r="D1607"/>
      <c r="E1607" s="35">
        <f>SUMIFS(E1608:E9015,K1608:K9015,"0",B1608:B9015,"4 1 1 1 1 12 31111 6 M59 19000 000000 00000 00000 00011 011 1111110 2024 00000000 004 0000001 00001*")-SUMIFS(D1608:D9015,K1608:K9015,"0",B1608:B9015,"4 1 1 1 1 12 31111 6 M59 19000 000000 00000 00000 00011 011 1111110 2024 00000000 004 0000001 00001*")</f>
        <v>0</v>
      </c>
      <c r="F1607" s="35">
        <f>SUMIFS(F1608:F9015,K1608:K9015,"0",B1608:B9015,"4 1 1 1 1 12 31111 6 M59 19000 000000 00000 00000 00011 011 1111110 2024 00000000 004 0000001 00001*")</f>
        <v>0</v>
      </c>
      <c r="G1607" s="35">
        <f>SUMIFS(G1608:G9015,K1608:K9015,"0",B1608:B9015,"4 1 1 1 1 12 31111 6 M59 19000 000000 00000 00000 00011 011 1111110 2024 00000000 004 0000001 00001*")</f>
        <v>300</v>
      </c>
      <c r="H1607" s="35"/>
      <c r="I1607" s="35">
        <f t="shared" si="25"/>
        <v>300</v>
      </c>
      <c r="K1607" t="s">
        <v>15</v>
      </c>
    </row>
    <row r="1608" spans="2:11" ht="33" x14ac:dyDescent="0.2">
      <c r="B1608" s="31" t="s">
        <v>2304</v>
      </c>
      <c r="C1608" s="31" t="s">
        <v>2305</v>
      </c>
      <c r="D1608" s="34"/>
      <c r="E1608" s="34">
        <v>0</v>
      </c>
      <c r="F1608" s="34">
        <v>0</v>
      </c>
      <c r="G1608" s="34">
        <v>300</v>
      </c>
      <c r="H1608" s="34"/>
      <c r="I1608" s="34">
        <f t="shared" si="25"/>
        <v>300</v>
      </c>
      <c r="K1608" t="s">
        <v>38</v>
      </c>
    </row>
    <row r="1609" spans="2:11" ht="16.5" x14ac:dyDescent="0.2">
      <c r="B1609" s="33" t="s">
        <v>2306</v>
      </c>
      <c r="C1609" s="33" t="s">
        <v>2307</v>
      </c>
      <c r="D1609"/>
      <c r="E1609" s="35">
        <f>SUMIFS(E1610:E9015,K1610:K9015,"0",B1610:B9015,"4 1 1 2*")-SUMIFS(D1610:D9015,K1610:K9015,"0",B1610:B9015,"4 1 1 2*")</f>
        <v>0</v>
      </c>
      <c r="F1609" s="35">
        <f>SUMIFS(F1610:F9015,K1610:K9015,"0",B1610:B9015,"4 1 1 2*")</f>
        <v>0</v>
      </c>
      <c r="G1609" s="35">
        <f>SUMIFS(G1610:G9015,K1610:K9015,"0",B1610:B9015,"4 1 1 2*")</f>
        <v>2096662.02</v>
      </c>
      <c r="H1609" s="35"/>
      <c r="I1609" s="35">
        <f t="shared" si="25"/>
        <v>2096662.02</v>
      </c>
      <c r="K1609" t="s">
        <v>15</v>
      </c>
    </row>
    <row r="1610" spans="2:11" ht="16.5" x14ac:dyDescent="0.2">
      <c r="B1610" s="33" t="s">
        <v>2308</v>
      </c>
      <c r="C1610" s="33" t="s">
        <v>2307</v>
      </c>
      <c r="D1610"/>
      <c r="E1610" s="35">
        <f>SUMIFS(E1611:E9015,K1611:K9015,"0",B1611:B9015,"4 1 1 2 1*")-SUMIFS(D1611:D9015,K1611:K9015,"0",B1611:B9015,"4 1 1 2 1*")</f>
        <v>0</v>
      </c>
      <c r="F1610" s="35">
        <f>SUMIFS(F1611:F9015,K1611:K9015,"0",B1611:B9015,"4 1 1 2 1*")</f>
        <v>0</v>
      </c>
      <c r="G1610" s="35">
        <f>SUMIFS(G1611:G9015,K1611:K9015,"0",B1611:B9015,"4 1 1 2 1*")</f>
        <v>2096662.02</v>
      </c>
      <c r="H1610" s="35"/>
      <c r="I1610" s="35">
        <f t="shared" si="25"/>
        <v>2096662.02</v>
      </c>
      <c r="K1610" t="s">
        <v>15</v>
      </c>
    </row>
    <row r="1611" spans="2:11" ht="12.75" x14ac:dyDescent="0.2">
      <c r="B1611" s="33" t="s">
        <v>2309</v>
      </c>
      <c r="C1611" s="33" t="s">
        <v>26</v>
      </c>
      <c r="D1611"/>
      <c r="E1611" s="35">
        <f>SUMIFS(E1612:E9015,K1612:K9015,"0",B1612:B9015,"4 1 1 2 1 12*")-SUMIFS(D1612:D9015,K1612:K9015,"0",B1612:B9015,"4 1 1 2 1 12*")</f>
        <v>0</v>
      </c>
      <c r="F1611" s="35">
        <f>SUMIFS(F1612:F9015,K1612:K9015,"0",B1612:B9015,"4 1 1 2 1 12*")</f>
        <v>0</v>
      </c>
      <c r="G1611" s="35">
        <f>SUMIFS(G1612:G9015,K1612:K9015,"0",B1612:B9015,"4 1 1 2 1 12*")</f>
        <v>2096662.02</v>
      </c>
      <c r="H1611" s="35"/>
      <c r="I1611" s="35">
        <f t="shared" si="25"/>
        <v>2096662.02</v>
      </c>
      <c r="K1611" t="s">
        <v>15</v>
      </c>
    </row>
    <row r="1612" spans="2:11" ht="16.5" x14ac:dyDescent="0.2">
      <c r="B1612" s="33" t="s">
        <v>2310</v>
      </c>
      <c r="C1612" s="33" t="s">
        <v>28</v>
      </c>
      <c r="D1612"/>
      <c r="E1612" s="35">
        <f>SUMIFS(E1613:E9015,K1613:K9015,"0",B1613:B9015,"4 1 1 2 1 12 31111*")-SUMIFS(D1613:D9015,K1613:K9015,"0",B1613:B9015,"4 1 1 2 1 12 31111*")</f>
        <v>0</v>
      </c>
      <c r="F1612" s="35">
        <f>SUMIFS(F1613:F9015,K1613:K9015,"0",B1613:B9015,"4 1 1 2 1 12 31111*")</f>
        <v>0</v>
      </c>
      <c r="G1612" s="35">
        <f>SUMIFS(G1613:G9015,K1613:K9015,"0",B1613:B9015,"4 1 1 2 1 12 31111*")</f>
        <v>2096662.02</v>
      </c>
      <c r="H1612" s="35"/>
      <c r="I1612" s="35">
        <f t="shared" si="25"/>
        <v>2096662.02</v>
      </c>
      <c r="K1612" t="s">
        <v>15</v>
      </c>
    </row>
    <row r="1613" spans="2:11" ht="12.75" x14ac:dyDescent="0.2">
      <c r="B1613" s="33" t="s">
        <v>2311</v>
      </c>
      <c r="C1613" s="33" t="s">
        <v>30</v>
      </c>
      <c r="D1613"/>
      <c r="E1613" s="35">
        <f>SUMIFS(E1614:E9015,K1614:K9015,"0",B1614:B9015,"4 1 1 2 1 12 31111 6*")-SUMIFS(D1614:D9015,K1614:K9015,"0",B1614:B9015,"4 1 1 2 1 12 31111 6*")</f>
        <v>0</v>
      </c>
      <c r="F1613" s="35">
        <f>SUMIFS(F1614:F9015,K1614:K9015,"0",B1614:B9015,"4 1 1 2 1 12 31111 6*")</f>
        <v>0</v>
      </c>
      <c r="G1613" s="35">
        <f>SUMIFS(G1614:G9015,K1614:K9015,"0",B1614:B9015,"4 1 1 2 1 12 31111 6*")</f>
        <v>2096662.02</v>
      </c>
      <c r="H1613" s="35"/>
      <c r="I1613" s="35">
        <f t="shared" si="25"/>
        <v>2096662.02</v>
      </c>
      <c r="K1613" t="s">
        <v>15</v>
      </c>
    </row>
    <row r="1614" spans="2:11" ht="16.5" x14ac:dyDescent="0.2">
      <c r="B1614" s="33" t="s">
        <v>2312</v>
      </c>
      <c r="C1614" s="33" t="s">
        <v>2284</v>
      </c>
      <c r="D1614"/>
      <c r="E1614" s="35">
        <f>SUMIFS(E1615:E9015,K1615:K9015,"0",B1615:B9015,"4 1 1 2 1 12 31111 6 M59*")-SUMIFS(D1615:D9015,K1615:K9015,"0",B1615:B9015,"4 1 1 2 1 12 31111 6 M59*")</f>
        <v>0</v>
      </c>
      <c r="F1614" s="35">
        <f>SUMIFS(F1615:F9015,K1615:K9015,"0",B1615:B9015,"4 1 1 2 1 12 31111 6 M59*")</f>
        <v>0</v>
      </c>
      <c r="G1614" s="35">
        <f>SUMIFS(G1615:G9015,K1615:K9015,"0",B1615:B9015,"4 1 1 2 1 12 31111 6 M59*")</f>
        <v>2096662.02</v>
      </c>
      <c r="H1614" s="35"/>
      <c r="I1614" s="35">
        <f t="shared" si="25"/>
        <v>2096662.02</v>
      </c>
      <c r="K1614" t="s">
        <v>15</v>
      </c>
    </row>
    <row r="1615" spans="2:11" ht="16.5" x14ac:dyDescent="0.2">
      <c r="B1615" s="33" t="s">
        <v>2313</v>
      </c>
      <c r="C1615" s="33" t="s">
        <v>1044</v>
      </c>
      <c r="D1615"/>
      <c r="E1615" s="35">
        <f>SUMIFS(E1616:E9015,K1616:K9015,"0",B1616:B9015,"4 1 1 2 1 12 31111 6 M59 19000*")-SUMIFS(D1616:D9015,K1616:K9015,"0",B1616:B9015,"4 1 1 2 1 12 31111 6 M59 19000*")</f>
        <v>0</v>
      </c>
      <c r="F1615" s="35">
        <f>SUMIFS(F1616:F9015,K1616:K9015,"0",B1616:B9015,"4 1 1 2 1 12 31111 6 M59 19000*")</f>
        <v>0</v>
      </c>
      <c r="G1615" s="35">
        <f>SUMIFS(G1616:G9015,K1616:K9015,"0",B1616:B9015,"4 1 1 2 1 12 31111 6 M59 19000*")</f>
        <v>2096662.02</v>
      </c>
      <c r="H1615" s="35"/>
      <c r="I1615" s="35">
        <f t="shared" si="25"/>
        <v>2096662.02</v>
      </c>
      <c r="K1615" t="s">
        <v>15</v>
      </c>
    </row>
    <row r="1616" spans="2:11" ht="16.5" x14ac:dyDescent="0.2">
      <c r="B1616" s="33" t="s">
        <v>2314</v>
      </c>
      <c r="C1616" s="33" t="s">
        <v>2287</v>
      </c>
      <c r="D1616"/>
      <c r="E1616" s="35">
        <f>SUMIFS(E1617:E9015,K1617:K9015,"0",B1617:B9015,"4 1 1 2 1 12 31111 6 M59 19000 000000*")-SUMIFS(D1617:D9015,K1617:K9015,"0",B1617:B9015,"4 1 1 2 1 12 31111 6 M59 19000 000000*")</f>
        <v>0</v>
      </c>
      <c r="F1616" s="35">
        <f>SUMIFS(F1617:F9015,K1617:K9015,"0",B1617:B9015,"4 1 1 2 1 12 31111 6 M59 19000 000000*")</f>
        <v>0</v>
      </c>
      <c r="G1616" s="35">
        <f>SUMIFS(G1617:G9015,K1617:K9015,"0",B1617:B9015,"4 1 1 2 1 12 31111 6 M59 19000 000000*")</f>
        <v>2096662.02</v>
      </c>
      <c r="H1616" s="35"/>
      <c r="I1616" s="35">
        <f t="shared" si="25"/>
        <v>2096662.02</v>
      </c>
      <c r="K1616" t="s">
        <v>15</v>
      </c>
    </row>
    <row r="1617" spans="2:11" ht="16.5" x14ac:dyDescent="0.2">
      <c r="B1617" s="33" t="s">
        <v>2315</v>
      </c>
      <c r="C1617" s="33" t="s">
        <v>2289</v>
      </c>
      <c r="D1617"/>
      <c r="E1617" s="35">
        <f>SUMIFS(E1618:E9015,K1618:K9015,"0",B1618:B9015,"4 1 1 2 1 12 31111 6 M59 19000 000000 00000*")-SUMIFS(D1618:D9015,K1618:K9015,"0",B1618:B9015,"4 1 1 2 1 12 31111 6 M59 19000 000000 00000*")</f>
        <v>0</v>
      </c>
      <c r="F1617" s="35">
        <f>SUMIFS(F1618:F9015,K1618:K9015,"0",B1618:B9015,"4 1 1 2 1 12 31111 6 M59 19000 000000 00000*")</f>
        <v>0</v>
      </c>
      <c r="G1617" s="35">
        <f>SUMIFS(G1618:G9015,K1618:K9015,"0",B1618:B9015,"4 1 1 2 1 12 31111 6 M59 19000 000000 00000*")</f>
        <v>2096662.02</v>
      </c>
      <c r="H1617" s="35"/>
      <c r="I1617" s="35">
        <f t="shared" si="25"/>
        <v>2096662.02</v>
      </c>
      <c r="K1617" t="s">
        <v>15</v>
      </c>
    </row>
    <row r="1618" spans="2:11" ht="24.75" x14ac:dyDescent="0.2">
      <c r="B1618" s="33" t="s">
        <v>2316</v>
      </c>
      <c r="C1618" s="33" t="s">
        <v>2291</v>
      </c>
      <c r="D1618"/>
      <c r="E1618" s="35">
        <f>SUMIFS(E1619:E9015,K1619:K9015,"0",B1619:B9015,"4 1 1 2 1 12 31111 6 M59 19000 000000 00000 00000*")-SUMIFS(D1619:D9015,K1619:K9015,"0",B1619:B9015,"4 1 1 2 1 12 31111 6 M59 19000 000000 00000 00000*")</f>
        <v>0</v>
      </c>
      <c r="F1618" s="35">
        <f>SUMIFS(F1619:F9015,K1619:K9015,"0",B1619:B9015,"4 1 1 2 1 12 31111 6 M59 19000 000000 00000 00000*")</f>
        <v>0</v>
      </c>
      <c r="G1618" s="35">
        <f>SUMIFS(G1619:G9015,K1619:K9015,"0",B1619:B9015,"4 1 1 2 1 12 31111 6 M59 19000 000000 00000 00000*")</f>
        <v>2096662.02</v>
      </c>
      <c r="H1618" s="35"/>
      <c r="I1618" s="35">
        <f t="shared" si="25"/>
        <v>2096662.02</v>
      </c>
      <c r="K1618" t="s">
        <v>15</v>
      </c>
    </row>
    <row r="1619" spans="2:11" ht="24.75" x14ac:dyDescent="0.2">
      <c r="B1619" s="33" t="s">
        <v>2317</v>
      </c>
      <c r="C1619" s="33" t="s">
        <v>2307</v>
      </c>
      <c r="D1619"/>
      <c r="E1619" s="35">
        <f>SUMIFS(E1620:E9015,K1620:K9015,"0",B1620:B9015,"4 1 1 2 1 12 31111 6 M59 19000 000000 00000 00000 00012*")-SUMIFS(D1620:D9015,K1620:K9015,"0",B1620:B9015,"4 1 1 2 1 12 31111 6 M59 19000 000000 00000 00000 00012*")</f>
        <v>0</v>
      </c>
      <c r="F1619" s="35">
        <f>SUMIFS(F1620:F9015,K1620:K9015,"0",B1620:B9015,"4 1 1 2 1 12 31111 6 M59 19000 000000 00000 00000 00012*")</f>
        <v>0</v>
      </c>
      <c r="G1619" s="35">
        <f>SUMIFS(G1620:G9015,K1620:K9015,"0",B1620:B9015,"4 1 1 2 1 12 31111 6 M59 19000 000000 00000 00000 00012*")</f>
        <v>2096662.02</v>
      </c>
      <c r="H1619" s="35"/>
      <c r="I1619" s="35">
        <f t="shared" si="25"/>
        <v>2096662.02</v>
      </c>
      <c r="K1619" t="s">
        <v>15</v>
      </c>
    </row>
    <row r="1620" spans="2:11" ht="24.75" x14ac:dyDescent="0.2">
      <c r="B1620" s="33" t="s">
        <v>2318</v>
      </c>
      <c r="C1620" s="33" t="s">
        <v>699</v>
      </c>
      <c r="D1620"/>
      <c r="E1620" s="35">
        <f>SUMIFS(E1621:E9015,K1621:K9015,"0",B1621:B9015,"4 1 1 2 1 12 31111 6 M59 19000 000000 00000 00000 00012 011*")-SUMIFS(D1621:D9015,K1621:K9015,"0",B1621:B9015,"4 1 1 2 1 12 31111 6 M59 19000 000000 00000 00000 00012 011*")</f>
        <v>0</v>
      </c>
      <c r="F1620" s="35">
        <f>SUMIFS(F1621:F9015,K1621:K9015,"0",B1621:B9015,"4 1 1 2 1 12 31111 6 M59 19000 000000 00000 00000 00012 011*")</f>
        <v>0</v>
      </c>
      <c r="G1620" s="35">
        <f>SUMIFS(G1621:G9015,K1621:K9015,"0",B1621:B9015,"4 1 1 2 1 12 31111 6 M59 19000 000000 00000 00000 00012 011*")</f>
        <v>2096662.02</v>
      </c>
      <c r="H1620" s="35"/>
      <c r="I1620" s="35">
        <f t="shared" si="25"/>
        <v>2096662.02</v>
      </c>
      <c r="K1620" t="s">
        <v>15</v>
      </c>
    </row>
    <row r="1621" spans="2:11" ht="33" x14ac:dyDescent="0.2">
      <c r="B1621" s="33" t="s">
        <v>2319</v>
      </c>
      <c r="C1621" s="33" t="s">
        <v>2320</v>
      </c>
      <c r="D1621"/>
      <c r="E1621" s="35">
        <f>SUMIFS(E1622:E9015,K1622:K9015,"0",B1622:B9015,"4 1 1 2 1 12 31111 6 M59 19000 000000 00000 00000 00012 011 1113000*")-SUMIFS(D1622:D9015,K1622:K9015,"0",B1622:B9015,"4 1 1 2 1 12 31111 6 M59 19000 000000 00000 00000 00012 011 1113000*")</f>
        <v>0</v>
      </c>
      <c r="F1621" s="35">
        <f>SUMIFS(F1622:F9015,K1622:K9015,"0",B1622:B9015,"4 1 1 2 1 12 31111 6 M59 19000 000000 00000 00000 00012 011 1113000*")</f>
        <v>0</v>
      </c>
      <c r="G1621" s="35">
        <f>SUMIFS(G1622:G9015,K1622:K9015,"0",B1622:B9015,"4 1 1 2 1 12 31111 6 M59 19000 000000 00000 00000 00012 011 1113000*")</f>
        <v>2096662.02</v>
      </c>
      <c r="H1621" s="35"/>
      <c r="I1621" s="35">
        <f t="shared" si="25"/>
        <v>2096662.02</v>
      </c>
      <c r="K1621" t="s">
        <v>15</v>
      </c>
    </row>
    <row r="1622" spans="2:11" ht="33" x14ac:dyDescent="0.2">
      <c r="B1622" s="33" t="s">
        <v>2321</v>
      </c>
      <c r="C1622" s="33" t="s">
        <v>660</v>
      </c>
      <c r="D1622"/>
      <c r="E1622" s="35">
        <f>SUMIFS(E1623:E9015,K1623:K9015,"0",B1623:B9015,"4 1 1 2 1 12 31111 6 M59 19000 000000 00000 00000 00012 011 1113000 2024*")-SUMIFS(D1623:D9015,K1623:K9015,"0",B1623:B9015,"4 1 1 2 1 12 31111 6 M59 19000 000000 00000 00000 00012 011 1113000 2024*")</f>
        <v>0</v>
      </c>
      <c r="F1622" s="35">
        <f>SUMIFS(F1623:F9015,K1623:K9015,"0",B1623:B9015,"4 1 1 2 1 12 31111 6 M59 19000 000000 00000 00000 00012 011 1113000 2024*")</f>
        <v>0</v>
      </c>
      <c r="G1622" s="35">
        <f>SUMIFS(G1623:G9015,K1623:K9015,"0",B1623:B9015,"4 1 1 2 1 12 31111 6 M59 19000 000000 00000 00000 00012 011 1113000 2024*")</f>
        <v>2096662.02</v>
      </c>
      <c r="H1622" s="35"/>
      <c r="I1622" s="35">
        <f t="shared" si="25"/>
        <v>2096662.02</v>
      </c>
      <c r="K1622" t="s">
        <v>15</v>
      </c>
    </row>
    <row r="1623" spans="2:11" ht="41.25" x14ac:dyDescent="0.2">
      <c r="B1623" s="33" t="s">
        <v>2322</v>
      </c>
      <c r="C1623" s="33" t="s">
        <v>2298</v>
      </c>
      <c r="D1623"/>
      <c r="E1623" s="35">
        <f>SUMIFS(E1624:E9015,K1624:K9015,"0",B1624:B9015,"4 1 1 2 1 12 31111 6 M59 19000 000000 00000 00000 00012 011 1113000 2024 00000000*")-SUMIFS(D1624:D9015,K1624:K9015,"0",B1624:B9015,"4 1 1 2 1 12 31111 6 M59 19000 000000 00000 00000 00012 011 1113000 2024 00000000*")</f>
        <v>0</v>
      </c>
      <c r="F1623" s="35">
        <f>SUMIFS(F1624:F9015,K1624:K9015,"0",B1624:B9015,"4 1 1 2 1 12 31111 6 M59 19000 000000 00000 00000 00012 011 1113000 2024 00000000*")</f>
        <v>0</v>
      </c>
      <c r="G1623" s="35">
        <f>SUMIFS(G1624:G9015,K1624:K9015,"0",B1624:B9015,"4 1 1 2 1 12 31111 6 M59 19000 000000 00000 00000 00012 011 1113000 2024 00000000*")</f>
        <v>2096662.02</v>
      </c>
      <c r="H1623" s="35"/>
      <c r="I1623" s="35">
        <f t="shared" si="25"/>
        <v>2096662.02</v>
      </c>
      <c r="K1623" t="s">
        <v>15</v>
      </c>
    </row>
    <row r="1624" spans="2:11" ht="41.25" x14ac:dyDescent="0.2">
      <c r="B1624" s="33" t="s">
        <v>2323</v>
      </c>
      <c r="C1624" s="33" t="s">
        <v>2300</v>
      </c>
      <c r="D1624"/>
      <c r="E1624" s="35">
        <f>SUMIFS(E1625:E9015,K1625:K9015,"0",B1625:B9015,"4 1 1 2 1 12 31111 6 M59 19000 000000 00000 00000 00012 011 1113000 2024 00000000 004*")-SUMIFS(D1625:D9015,K1625:K9015,"0",B1625:B9015,"4 1 1 2 1 12 31111 6 M59 19000 000000 00000 00000 00012 011 1113000 2024 00000000 004*")</f>
        <v>0</v>
      </c>
      <c r="F1624" s="35">
        <f>SUMIFS(F1625:F9015,K1625:K9015,"0",B1625:B9015,"4 1 1 2 1 12 31111 6 M59 19000 000000 00000 00000 00012 011 1113000 2024 00000000 004*")</f>
        <v>0</v>
      </c>
      <c r="G1624" s="35">
        <f>SUMIFS(G1625:G9015,K1625:K9015,"0",B1625:B9015,"4 1 1 2 1 12 31111 6 M59 19000 000000 00000 00000 00012 011 1113000 2024 00000000 004*")</f>
        <v>2096662.02</v>
      </c>
      <c r="H1624" s="35"/>
      <c r="I1624" s="35">
        <f t="shared" si="25"/>
        <v>2096662.02</v>
      </c>
      <c r="K1624" t="s">
        <v>15</v>
      </c>
    </row>
    <row r="1625" spans="2:11" ht="49.5" x14ac:dyDescent="0.2">
      <c r="B1625" s="33" t="s">
        <v>2324</v>
      </c>
      <c r="C1625" s="33" t="s">
        <v>2307</v>
      </c>
      <c r="D1625"/>
      <c r="E1625" s="35">
        <f>SUMIFS(E1626:E9015,K1626:K9015,"0",B1626:B9015,"4 1 1 2 1 12 31111 6 M59 19000 000000 00000 00000 00012 011 1113000 2024 00000000 004 0000001*")-SUMIFS(D1626:D9015,K1626:K9015,"0",B1626:B9015,"4 1 1 2 1 12 31111 6 M59 19000 000000 00000 00000 00012 011 1113000 2024 00000000 004 0000001*")</f>
        <v>0</v>
      </c>
      <c r="F1625" s="35">
        <f>SUMIFS(F1626:F9015,K1626:K9015,"0",B1626:B9015,"4 1 1 2 1 12 31111 6 M59 19000 000000 00000 00000 00012 011 1113000 2024 00000000 004 0000001*")</f>
        <v>0</v>
      </c>
      <c r="G1625" s="35">
        <f>SUMIFS(G1626:G9015,K1626:K9015,"0",B1626:B9015,"4 1 1 2 1 12 31111 6 M59 19000 000000 00000 00000 00012 011 1113000 2024 00000000 004 0000001*")</f>
        <v>2096662.02</v>
      </c>
      <c r="H1625" s="35"/>
      <c r="I1625" s="35">
        <f t="shared" si="25"/>
        <v>2096662.02</v>
      </c>
      <c r="K1625" t="s">
        <v>15</v>
      </c>
    </row>
    <row r="1626" spans="2:11" ht="49.5" x14ac:dyDescent="0.2">
      <c r="B1626" s="33" t="s">
        <v>2325</v>
      </c>
      <c r="C1626" s="33" t="s">
        <v>2326</v>
      </c>
      <c r="D1626"/>
      <c r="E1626" s="35">
        <f>SUMIFS(E1627:E9015,K1627:K9015,"0",B1627:B9015,"4 1 1 2 1 12 31111 6 M59 19000 000000 00000 00000 00012 011 1113000 2024 00000000 004 0000001 00001*")-SUMIFS(D1627:D9015,K1627:K9015,"0",B1627:B9015,"4 1 1 2 1 12 31111 6 M59 19000 000000 00000 00000 00012 011 1113000 2024 00000000 004 0000001 00001*")</f>
        <v>0</v>
      </c>
      <c r="F1626" s="35">
        <f>SUMIFS(F1627:F9015,K1627:K9015,"0",B1627:B9015,"4 1 1 2 1 12 31111 6 M59 19000 000000 00000 00000 00012 011 1113000 2024 00000000 004 0000001 00001*")</f>
        <v>0</v>
      </c>
      <c r="G1626" s="35">
        <f>SUMIFS(G1627:G9015,K1627:K9015,"0",B1627:B9015,"4 1 1 2 1 12 31111 6 M59 19000 000000 00000 00000 00012 011 1113000 2024 00000000 004 0000001 00001*")</f>
        <v>2096662.02</v>
      </c>
      <c r="H1626" s="35"/>
      <c r="I1626" s="35">
        <f t="shared" si="25"/>
        <v>2096662.02</v>
      </c>
      <c r="K1626" t="s">
        <v>15</v>
      </c>
    </row>
    <row r="1627" spans="2:11" ht="41.25" x14ac:dyDescent="0.2">
      <c r="B1627" s="31" t="s">
        <v>2327</v>
      </c>
      <c r="C1627" s="31" t="s">
        <v>2328</v>
      </c>
      <c r="D1627" s="34"/>
      <c r="E1627" s="34">
        <v>0</v>
      </c>
      <c r="F1627" s="34">
        <v>0</v>
      </c>
      <c r="G1627" s="34">
        <v>2059776.02</v>
      </c>
      <c r="H1627" s="34"/>
      <c r="I1627" s="34">
        <f t="shared" si="25"/>
        <v>2059776.02</v>
      </c>
      <c r="K1627" t="s">
        <v>38</v>
      </c>
    </row>
    <row r="1628" spans="2:11" ht="41.25" x14ac:dyDescent="0.2">
      <c r="B1628" s="31" t="s">
        <v>2329</v>
      </c>
      <c r="C1628" s="31" t="s">
        <v>2330</v>
      </c>
      <c r="D1628" s="34"/>
      <c r="E1628" s="34">
        <v>0</v>
      </c>
      <c r="F1628" s="34">
        <v>0</v>
      </c>
      <c r="G1628" s="34">
        <v>12636</v>
      </c>
      <c r="H1628" s="34"/>
      <c r="I1628" s="34">
        <f t="shared" si="25"/>
        <v>12636</v>
      </c>
      <c r="K1628" t="s">
        <v>38</v>
      </c>
    </row>
    <row r="1629" spans="2:11" ht="41.25" x14ac:dyDescent="0.2">
      <c r="B1629" s="31" t="s">
        <v>2331</v>
      </c>
      <c r="C1629" s="31" t="s">
        <v>2332</v>
      </c>
      <c r="D1629" s="34"/>
      <c r="E1629" s="34">
        <v>0</v>
      </c>
      <c r="F1629" s="34">
        <v>0</v>
      </c>
      <c r="G1629" s="34">
        <v>20995</v>
      </c>
      <c r="H1629" s="34"/>
      <c r="I1629" s="34">
        <f t="shared" si="25"/>
        <v>20995</v>
      </c>
      <c r="K1629" t="s">
        <v>38</v>
      </c>
    </row>
    <row r="1630" spans="2:11" ht="41.25" x14ac:dyDescent="0.2">
      <c r="B1630" s="31" t="s">
        <v>2333</v>
      </c>
      <c r="C1630" s="31" t="s">
        <v>2334</v>
      </c>
      <c r="D1630" s="34"/>
      <c r="E1630" s="34">
        <v>0</v>
      </c>
      <c r="F1630" s="34">
        <v>0</v>
      </c>
      <c r="G1630" s="34">
        <v>3255</v>
      </c>
      <c r="H1630" s="34"/>
      <c r="I1630" s="34">
        <f t="shared" si="25"/>
        <v>3255</v>
      </c>
      <c r="K1630" t="s">
        <v>38</v>
      </c>
    </row>
    <row r="1631" spans="2:11" ht="24.75" x14ac:dyDescent="0.2">
      <c r="B1631" s="33" t="s">
        <v>2335</v>
      </c>
      <c r="C1631" s="33" t="s">
        <v>2336</v>
      </c>
      <c r="D1631"/>
      <c r="E1631" s="35">
        <f>SUMIFS(E1632:E9015,K1632:K9015,"0",B1632:B9015,"4 1 1 3*")-SUMIFS(D1632:D9015,K1632:K9015,"0",B1632:B9015,"4 1 1 3*")</f>
        <v>0</v>
      </c>
      <c r="F1631" s="35">
        <f>SUMIFS(F1632:F9015,K1632:K9015,"0",B1632:B9015,"4 1 1 3*")</f>
        <v>0</v>
      </c>
      <c r="G1631" s="35">
        <f>SUMIFS(G1632:G9015,K1632:K9015,"0",B1632:B9015,"4 1 1 3*")</f>
        <v>140434.94</v>
      </c>
      <c r="H1631" s="35"/>
      <c r="I1631" s="35">
        <f t="shared" si="25"/>
        <v>140434.94</v>
      </c>
      <c r="K1631" t="s">
        <v>15</v>
      </c>
    </row>
    <row r="1632" spans="2:11" ht="24.75" x14ac:dyDescent="0.2">
      <c r="B1632" s="33" t="s">
        <v>2337</v>
      </c>
      <c r="C1632" s="33" t="s">
        <v>2338</v>
      </c>
      <c r="D1632"/>
      <c r="E1632" s="35">
        <f>SUMIFS(E1633:E9015,K1633:K9015,"0",B1633:B9015,"4 1 1 3 1*")-SUMIFS(D1633:D9015,K1633:K9015,"0",B1633:B9015,"4 1 1 3 1*")</f>
        <v>0</v>
      </c>
      <c r="F1632" s="35">
        <f>SUMIFS(F1633:F9015,K1633:K9015,"0",B1633:B9015,"4 1 1 3 1*")</f>
        <v>0</v>
      </c>
      <c r="G1632" s="35">
        <f>SUMIFS(G1633:G9015,K1633:K9015,"0",B1633:B9015,"4 1 1 3 1*")</f>
        <v>140434.94</v>
      </c>
      <c r="H1632" s="35"/>
      <c r="I1632" s="35">
        <f t="shared" si="25"/>
        <v>140434.94</v>
      </c>
      <c r="K1632" t="s">
        <v>15</v>
      </c>
    </row>
    <row r="1633" spans="2:11" ht="12.75" x14ac:dyDescent="0.2">
      <c r="B1633" s="33" t="s">
        <v>2339</v>
      </c>
      <c r="C1633" s="33" t="s">
        <v>26</v>
      </c>
      <c r="D1633"/>
      <c r="E1633" s="35">
        <f>SUMIFS(E1634:E9015,K1634:K9015,"0",B1634:B9015,"4 1 1 3 1 12*")-SUMIFS(D1634:D9015,K1634:K9015,"0",B1634:B9015,"4 1 1 3 1 12*")</f>
        <v>0</v>
      </c>
      <c r="F1633" s="35">
        <f>SUMIFS(F1634:F9015,K1634:K9015,"0",B1634:B9015,"4 1 1 3 1 12*")</f>
        <v>0</v>
      </c>
      <c r="G1633" s="35">
        <f>SUMIFS(G1634:G9015,K1634:K9015,"0",B1634:B9015,"4 1 1 3 1 12*")</f>
        <v>140434.94</v>
      </c>
      <c r="H1633" s="35"/>
      <c r="I1633" s="35">
        <f t="shared" si="25"/>
        <v>140434.94</v>
      </c>
      <c r="K1633" t="s">
        <v>15</v>
      </c>
    </row>
    <row r="1634" spans="2:11" ht="16.5" x14ac:dyDescent="0.2">
      <c r="B1634" s="33" t="s">
        <v>2340</v>
      </c>
      <c r="C1634" s="33" t="s">
        <v>28</v>
      </c>
      <c r="D1634"/>
      <c r="E1634" s="35">
        <f>SUMIFS(E1635:E9015,K1635:K9015,"0",B1635:B9015,"4 1 1 3 1 12 31111*")-SUMIFS(D1635:D9015,K1635:K9015,"0",B1635:B9015,"4 1 1 3 1 12 31111*")</f>
        <v>0</v>
      </c>
      <c r="F1634" s="35">
        <f>SUMIFS(F1635:F9015,K1635:K9015,"0",B1635:B9015,"4 1 1 3 1 12 31111*")</f>
        <v>0</v>
      </c>
      <c r="G1634" s="35">
        <f>SUMIFS(G1635:G9015,K1635:K9015,"0",B1635:B9015,"4 1 1 3 1 12 31111*")</f>
        <v>140434.94</v>
      </c>
      <c r="H1634" s="35"/>
      <c r="I1634" s="35">
        <f t="shared" si="25"/>
        <v>140434.94</v>
      </c>
      <c r="K1634" t="s">
        <v>15</v>
      </c>
    </row>
    <row r="1635" spans="2:11" ht="12.75" x14ac:dyDescent="0.2">
      <c r="B1635" s="33" t="s">
        <v>2341</v>
      </c>
      <c r="C1635" s="33" t="s">
        <v>30</v>
      </c>
      <c r="D1635"/>
      <c r="E1635" s="35">
        <f>SUMIFS(E1636:E9015,K1636:K9015,"0",B1636:B9015,"4 1 1 3 1 12 31111 6*")-SUMIFS(D1636:D9015,K1636:K9015,"0",B1636:B9015,"4 1 1 3 1 12 31111 6*")</f>
        <v>0</v>
      </c>
      <c r="F1635" s="35">
        <f>SUMIFS(F1636:F9015,K1636:K9015,"0",B1636:B9015,"4 1 1 3 1 12 31111 6*")</f>
        <v>0</v>
      </c>
      <c r="G1635" s="35">
        <f>SUMIFS(G1636:G9015,K1636:K9015,"0",B1636:B9015,"4 1 1 3 1 12 31111 6*")</f>
        <v>140434.94</v>
      </c>
      <c r="H1635" s="35"/>
      <c r="I1635" s="35">
        <f t="shared" si="25"/>
        <v>140434.94</v>
      </c>
      <c r="K1635" t="s">
        <v>15</v>
      </c>
    </row>
    <row r="1636" spans="2:11" ht="16.5" x14ac:dyDescent="0.2">
      <c r="B1636" s="33" t="s">
        <v>2342</v>
      </c>
      <c r="C1636" s="33" t="s">
        <v>2284</v>
      </c>
      <c r="D1636"/>
      <c r="E1636" s="35">
        <f>SUMIFS(E1637:E9015,K1637:K9015,"0",B1637:B9015,"4 1 1 3 1 12 31111 6 M59*")-SUMIFS(D1637:D9015,K1637:K9015,"0",B1637:B9015,"4 1 1 3 1 12 31111 6 M59*")</f>
        <v>0</v>
      </c>
      <c r="F1636" s="35">
        <f>SUMIFS(F1637:F9015,K1637:K9015,"0",B1637:B9015,"4 1 1 3 1 12 31111 6 M59*")</f>
        <v>0</v>
      </c>
      <c r="G1636" s="35">
        <f>SUMIFS(G1637:G9015,K1637:K9015,"0",B1637:B9015,"4 1 1 3 1 12 31111 6 M59*")</f>
        <v>140434.94</v>
      </c>
      <c r="H1636" s="35"/>
      <c r="I1636" s="35">
        <f t="shared" si="25"/>
        <v>140434.94</v>
      </c>
      <c r="K1636" t="s">
        <v>15</v>
      </c>
    </row>
    <row r="1637" spans="2:11" ht="16.5" x14ac:dyDescent="0.2">
      <c r="B1637" s="33" t="s">
        <v>2343</v>
      </c>
      <c r="C1637" s="33" t="s">
        <v>1044</v>
      </c>
      <c r="D1637"/>
      <c r="E1637" s="35">
        <f>SUMIFS(E1638:E9015,K1638:K9015,"0",B1638:B9015,"4 1 1 3 1 12 31111 6 M59 19000*")-SUMIFS(D1638:D9015,K1638:K9015,"0",B1638:B9015,"4 1 1 3 1 12 31111 6 M59 19000*")</f>
        <v>0</v>
      </c>
      <c r="F1637" s="35">
        <f>SUMIFS(F1638:F9015,K1638:K9015,"0",B1638:B9015,"4 1 1 3 1 12 31111 6 M59 19000*")</f>
        <v>0</v>
      </c>
      <c r="G1637" s="35">
        <f>SUMIFS(G1638:G9015,K1638:K9015,"0",B1638:B9015,"4 1 1 3 1 12 31111 6 M59 19000*")</f>
        <v>140434.94</v>
      </c>
      <c r="H1637" s="35"/>
      <c r="I1637" s="35">
        <f t="shared" si="25"/>
        <v>140434.94</v>
      </c>
      <c r="K1637" t="s">
        <v>15</v>
      </c>
    </row>
    <row r="1638" spans="2:11" ht="16.5" x14ac:dyDescent="0.2">
      <c r="B1638" s="33" t="s">
        <v>2344</v>
      </c>
      <c r="C1638" s="33" t="s">
        <v>2287</v>
      </c>
      <c r="D1638"/>
      <c r="E1638" s="35">
        <f>SUMIFS(E1639:E9015,K1639:K9015,"0",B1639:B9015,"4 1 1 3 1 12 31111 6 M59 19000 000000*")-SUMIFS(D1639:D9015,K1639:K9015,"0",B1639:B9015,"4 1 1 3 1 12 31111 6 M59 19000 000000*")</f>
        <v>0</v>
      </c>
      <c r="F1638" s="35">
        <f>SUMIFS(F1639:F9015,K1639:K9015,"0",B1639:B9015,"4 1 1 3 1 12 31111 6 M59 19000 000000*")</f>
        <v>0</v>
      </c>
      <c r="G1638" s="35">
        <f>SUMIFS(G1639:G9015,K1639:K9015,"0",B1639:B9015,"4 1 1 3 1 12 31111 6 M59 19000 000000*")</f>
        <v>140434.94</v>
      </c>
      <c r="H1638" s="35"/>
      <c r="I1638" s="35">
        <f t="shared" si="25"/>
        <v>140434.94</v>
      </c>
      <c r="K1638" t="s">
        <v>15</v>
      </c>
    </row>
    <row r="1639" spans="2:11" ht="16.5" x14ac:dyDescent="0.2">
      <c r="B1639" s="33" t="s">
        <v>2345</v>
      </c>
      <c r="C1639" s="33" t="s">
        <v>2289</v>
      </c>
      <c r="D1639"/>
      <c r="E1639" s="35">
        <f>SUMIFS(E1640:E9015,K1640:K9015,"0",B1640:B9015,"4 1 1 3 1 12 31111 6 M59 19000 000000 00000*")-SUMIFS(D1640:D9015,K1640:K9015,"0",B1640:B9015,"4 1 1 3 1 12 31111 6 M59 19000 000000 00000*")</f>
        <v>0</v>
      </c>
      <c r="F1639" s="35">
        <f>SUMIFS(F1640:F9015,K1640:K9015,"0",B1640:B9015,"4 1 1 3 1 12 31111 6 M59 19000 000000 00000*")</f>
        <v>0</v>
      </c>
      <c r="G1639" s="35">
        <f>SUMIFS(G1640:G9015,K1640:K9015,"0",B1640:B9015,"4 1 1 3 1 12 31111 6 M59 19000 000000 00000*")</f>
        <v>140434.94</v>
      </c>
      <c r="H1639" s="35"/>
      <c r="I1639" s="35">
        <f t="shared" si="25"/>
        <v>140434.94</v>
      </c>
      <c r="K1639" t="s">
        <v>15</v>
      </c>
    </row>
    <row r="1640" spans="2:11" ht="24.75" x14ac:dyDescent="0.2">
      <c r="B1640" s="33" t="s">
        <v>2346</v>
      </c>
      <c r="C1640" s="33" t="s">
        <v>2291</v>
      </c>
      <c r="D1640"/>
      <c r="E1640" s="35">
        <f>SUMIFS(E1641:E9015,K1641:K9015,"0",B1641:B9015,"4 1 1 3 1 12 31111 6 M59 19000 000000 00000 00000*")-SUMIFS(D1641:D9015,K1641:K9015,"0",B1641:B9015,"4 1 1 3 1 12 31111 6 M59 19000 000000 00000 00000*")</f>
        <v>0</v>
      </c>
      <c r="F1640" s="35">
        <f>SUMIFS(F1641:F9015,K1641:K9015,"0",B1641:B9015,"4 1 1 3 1 12 31111 6 M59 19000 000000 00000 00000*")</f>
        <v>0</v>
      </c>
      <c r="G1640" s="35">
        <f>SUMIFS(G1641:G9015,K1641:K9015,"0",B1641:B9015,"4 1 1 3 1 12 31111 6 M59 19000 000000 00000 00000*")</f>
        <v>140434.94</v>
      </c>
      <c r="H1640" s="35"/>
      <c r="I1640" s="35">
        <f t="shared" si="25"/>
        <v>140434.94</v>
      </c>
      <c r="K1640" t="s">
        <v>15</v>
      </c>
    </row>
    <row r="1641" spans="2:11" ht="24.75" x14ac:dyDescent="0.2">
      <c r="B1641" s="33" t="s">
        <v>2347</v>
      </c>
      <c r="C1641" s="33" t="s">
        <v>2336</v>
      </c>
      <c r="D1641"/>
      <c r="E1641" s="35">
        <f>SUMIFS(E1642:E9015,K1642:K9015,"0",B1642:B9015,"4 1 1 3 1 12 31111 6 M59 19000 000000 00000 00000 00013*")-SUMIFS(D1642:D9015,K1642:K9015,"0",B1642:B9015,"4 1 1 3 1 12 31111 6 M59 19000 000000 00000 00000 00013*")</f>
        <v>0</v>
      </c>
      <c r="F1641" s="35">
        <f>SUMIFS(F1642:F9015,K1642:K9015,"0",B1642:B9015,"4 1 1 3 1 12 31111 6 M59 19000 000000 00000 00000 00013*")</f>
        <v>0</v>
      </c>
      <c r="G1641" s="35">
        <f>SUMIFS(G1642:G9015,K1642:K9015,"0",B1642:B9015,"4 1 1 3 1 12 31111 6 M59 19000 000000 00000 00000 00013*")</f>
        <v>140434.94</v>
      </c>
      <c r="H1641" s="35"/>
      <c r="I1641" s="35">
        <f t="shared" si="25"/>
        <v>140434.94</v>
      </c>
      <c r="K1641" t="s">
        <v>15</v>
      </c>
    </row>
    <row r="1642" spans="2:11" ht="24.75" x14ac:dyDescent="0.2">
      <c r="B1642" s="33" t="s">
        <v>2348</v>
      </c>
      <c r="C1642" s="33" t="s">
        <v>699</v>
      </c>
      <c r="D1642"/>
      <c r="E1642" s="35">
        <f>SUMIFS(E1643:E9015,K1643:K9015,"0",B1643:B9015,"4 1 1 3 1 12 31111 6 M59 19000 000000 00000 00000 00013 011*")-SUMIFS(D1643:D9015,K1643:K9015,"0",B1643:B9015,"4 1 1 3 1 12 31111 6 M59 19000 000000 00000 00000 00013 011*")</f>
        <v>0</v>
      </c>
      <c r="F1642" s="35">
        <f>SUMIFS(F1643:F9015,K1643:K9015,"0",B1643:B9015,"4 1 1 3 1 12 31111 6 M59 19000 000000 00000 00000 00013 011*")</f>
        <v>0</v>
      </c>
      <c r="G1642" s="35">
        <f>SUMIFS(G1643:G9015,K1643:K9015,"0",B1643:B9015,"4 1 1 3 1 12 31111 6 M59 19000 000000 00000 00000 00013 011*")</f>
        <v>140434.94</v>
      </c>
      <c r="H1642" s="35"/>
      <c r="I1642" s="35">
        <f t="shared" si="25"/>
        <v>140434.94</v>
      </c>
      <c r="K1642" t="s">
        <v>15</v>
      </c>
    </row>
    <row r="1643" spans="2:11" ht="33" x14ac:dyDescent="0.2">
      <c r="B1643" s="33" t="s">
        <v>2349</v>
      </c>
      <c r="C1643" s="33" t="s">
        <v>2320</v>
      </c>
      <c r="D1643"/>
      <c r="E1643" s="35">
        <f>SUMIFS(E1644:E9015,K1644:K9015,"0",B1644:B9015,"4 1 1 3 1 12 31111 6 M59 19000 000000 00000 00000 00013 011 1113000*")-SUMIFS(D1644:D9015,K1644:K9015,"0",B1644:B9015,"4 1 1 3 1 12 31111 6 M59 19000 000000 00000 00000 00013 011 1113000*")</f>
        <v>0</v>
      </c>
      <c r="F1643" s="35">
        <f>SUMIFS(F1644:F9015,K1644:K9015,"0",B1644:B9015,"4 1 1 3 1 12 31111 6 M59 19000 000000 00000 00000 00013 011 1113000*")</f>
        <v>0</v>
      </c>
      <c r="G1643" s="35">
        <f>SUMIFS(G1644:G9015,K1644:K9015,"0",B1644:B9015,"4 1 1 3 1 12 31111 6 M59 19000 000000 00000 00000 00013 011 1113000*")</f>
        <v>140434.94</v>
      </c>
      <c r="H1643" s="35"/>
      <c r="I1643" s="35">
        <f t="shared" si="25"/>
        <v>140434.94</v>
      </c>
      <c r="K1643" t="s">
        <v>15</v>
      </c>
    </row>
    <row r="1644" spans="2:11" ht="33" x14ac:dyDescent="0.2">
      <c r="B1644" s="33" t="s">
        <v>2350</v>
      </c>
      <c r="C1644" s="33" t="s">
        <v>660</v>
      </c>
      <c r="D1644"/>
      <c r="E1644" s="35">
        <f>SUMIFS(E1645:E9015,K1645:K9015,"0",B1645:B9015,"4 1 1 3 1 12 31111 6 M59 19000 000000 00000 00000 00013 011 1113000 2024*")-SUMIFS(D1645:D9015,K1645:K9015,"0",B1645:B9015,"4 1 1 3 1 12 31111 6 M59 19000 000000 00000 00000 00013 011 1113000 2024*")</f>
        <v>0</v>
      </c>
      <c r="F1644" s="35">
        <f>SUMIFS(F1645:F9015,K1645:K9015,"0",B1645:B9015,"4 1 1 3 1 12 31111 6 M59 19000 000000 00000 00000 00013 011 1113000 2024*")</f>
        <v>0</v>
      </c>
      <c r="G1644" s="35">
        <f>SUMIFS(G1645:G9015,K1645:K9015,"0",B1645:B9015,"4 1 1 3 1 12 31111 6 M59 19000 000000 00000 00000 00013 011 1113000 2024*")</f>
        <v>140434.94</v>
      </c>
      <c r="H1644" s="35"/>
      <c r="I1644" s="35">
        <f t="shared" si="25"/>
        <v>140434.94</v>
      </c>
      <c r="K1644" t="s">
        <v>15</v>
      </c>
    </row>
    <row r="1645" spans="2:11" ht="41.25" x14ac:dyDescent="0.2">
      <c r="B1645" s="33" t="s">
        <v>2351</v>
      </c>
      <c r="C1645" s="33" t="s">
        <v>2298</v>
      </c>
      <c r="D1645"/>
      <c r="E1645" s="35">
        <f>SUMIFS(E1646:E9015,K1646:K9015,"0",B1646:B9015,"4 1 1 3 1 12 31111 6 M59 19000 000000 00000 00000 00013 011 1113000 2024 00000000*")-SUMIFS(D1646:D9015,K1646:K9015,"0",B1646:B9015,"4 1 1 3 1 12 31111 6 M59 19000 000000 00000 00000 00013 011 1113000 2024 00000000*")</f>
        <v>0</v>
      </c>
      <c r="F1645" s="35">
        <f>SUMIFS(F1646:F9015,K1646:K9015,"0",B1646:B9015,"4 1 1 3 1 12 31111 6 M59 19000 000000 00000 00000 00013 011 1113000 2024 00000000*")</f>
        <v>0</v>
      </c>
      <c r="G1645" s="35">
        <f>SUMIFS(G1646:G9015,K1646:K9015,"0",B1646:B9015,"4 1 1 3 1 12 31111 6 M59 19000 000000 00000 00000 00013 011 1113000 2024 00000000*")</f>
        <v>140434.94</v>
      </c>
      <c r="H1645" s="35"/>
      <c r="I1645" s="35">
        <f t="shared" si="25"/>
        <v>140434.94</v>
      </c>
      <c r="K1645" t="s">
        <v>15</v>
      </c>
    </row>
    <row r="1646" spans="2:11" ht="41.25" x14ac:dyDescent="0.2">
      <c r="B1646" s="33" t="s">
        <v>2352</v>
      </c>
      <c r="C1646" s="33" t="s">
        <v>2300</v>
      </c>
      <c r="D1646"/>
      <c r="E1646" s="35">
        <f>SUMIFS(E1647:E9015,K1647:K9015,"0",B1647:B9015,"4 1 1 3 1 12 31111 6 M59 19000 000000 00000 00000 00013 011 1113000 2024 00000000 004*")-SUMIFS(D1647:D9015,K1647:K9015,"0",B1647:B9015,"4 1 1 3 1 12 31111 6 M59 19000 000000 00000 00000 00013 011 1113000 2024 00000000 004*")</f>
        <v>0</v>
      </c>
      <c r="F1646" s="35">
        <f>SUMIFS(F1647:F9015,K1647:K9015,"0",B1647:B9015,"4 1 1 3 1 12 31111 6 M59 19000 000000 00000 00000 00013 011 1113000 2024 00000000 004*")</f>
        <v>0</v>
      </c>
      <c r="G1646" s="35">
        <f>SUMIFS(G1647:G9015,K1647:K9015,"0",B1647:B9015,"4 1 1 3 1 12 31111 6 M59 19000 000000 00000 00000 00013 011 1113000 2024 00000000 004*")</f>
        <v>140434.94</v>
      </c>
      <c r="H1646" s="35"/>
      <c r="I1646" s="35">
        <f t="shared" si="25"/>
        <v>140434.94</v>
      </c>
      <c r="K1646" t="s">
        <v>15</v>
      </c>
    </row>
    <row r="1647" spans="2:11" ht="49.5" x14ac:dyDescent="0.2">
      <c r="B1647" s="33" t="s">
        <v>2353</v>
      </c>
      <c r="C1647" s="33" t="s">
        <v>2336</v>
      </c>
      <c r="D1647"/>
      <c r="E1647" s="35">
        <f>SUMIFS(E1648:E9015,K1648:K9015,"0",B1648:B9015,"4 1 1 3 1 12 31111 6 M59 19000 000000 00000 00000 00013 011 1113000 2024 00000000 004 0000001*")-SUMIFS(D1648:D9015,K1648:K9015,"0",B1648:B9015,"4 1 1 3 1 12 31111 6 M59 19000 000000 00000 00000 00013 011 1113000 2024 00000000 004 0000001*")</f>
        <v>0</v>
      </c>
      <c r="F1647" s="35">
        <f>SUMIFS(F1648:F9015,K1648:K9015,"0",B1648:B9015,"4 1 1 3 1 12 31111 6 M59 19000 000000 00000 00000 00013 011 1113000 2024 00000000 004 0000001*")</f>
        <v>0</v>
      </c>
      <c r="G1647" s="35">
        <f>SUMIFS(G1648:G9015,K1648:K9015,"0",B1648:B9015,"4 1 1 3 1 12 31111 6 M59 19000 000000 00000 00000 00013 011 1113000 2024 00000000 004 0000001*")</f>
        <v>138588</v>
      </c>
      <c r="H1647" s="35"/>
      <c r="I1647" s="35">
        <f t="shared" ref="I1647:I1710" si="26">E1647 - F1647 + G1647</f>
        <v>138588</v>
      </c>
      <c r="K1647" t="s">
        <v>15</v>
      </c>
    </row>
    <row r="1648" spans="2:11" ht="49.5" x14ac:dyDescent="0.2">
      <c r="B1648" s="33" t="s">
        <v>2354</v>
      </c>
      <c r="C1648" s="33" t="s">
        <v>2355</v>
      </c>
      <c r="D1648"/>
      <c r="E1648" s="35">
        <f>SUMIFS(E1649:E9015,K1649:K9015,"0",B1649:B9015,"4 1 1 3 1 12 31111 6 M59 19000 000000 00000 00000 00013 011 1113000 2024 00000000 004 0000001 00001*")-SUMIFS(D1649:D9015,K1649:K9015,"0",B1649:B9015,"4 1 1 3 1 12 31111 6 M59 19000 000000 00000 00000 00013 011 1113000 2024 00000000 004 0000001 00001*")</f>
        <v>0</v>
      </c>
      <c r="F1648" s="35">
        <f>SUMIFS(F1649:F9015,K1649:K9015,"0",B1649:B9015,"4 1 1 3 1 12 31111 6 M59 19000 000000 00000 00000 00013 011 1113000 2024 00000000 004 0000001 00001*")</f>
        <v>0</v>
      </c>
      <c r="G1648" s="35">
        <f>SUMIFS(G1649:G9015,K1649:K9015,"0",B1649:B9015,"4 1 1 3 1 12 31111 6 M59 19000 000000 00000 00000 00013 011 1113000 2024 00000000 004 0000001 00001*")</f>
        <v>138588</v>
      </c>
      <c r="H1648" s="35"/>
      <c r="I1648" s="35">
        <f t="shared" si="26"/>
        <v>138588</v>
      </c>
      <c r="K1648" t="s">
        <v>15</v>
      </c>
    </row>
    <row r="1649" spans="2:11" ht="41.25" x14ac:dyDescent="0.2">
      <c r="B1649" s="31" t="s">
        <v>2356</v>
      </c>
      <c r="C1649" s="31" t="s">
        <v>2357</v>
      </c>
      <c r="D1649" s="34"/>
      <c r="E1649" s="34">
        <v>0</v>
      </c>
      <c r="F1649" s="34">
        <v>0</v>
      </c>
      <c r="G1649" s="34">
        <v>138588</v>
      </c>
      <c r="H1649" s="34"/>
      <c r="I1649" s="34">
        <f t="shared" si="26"/>
        <v>138588</v>
      </c>
      <c r="K1649" t="s">
        <v>38</v>
      </c>
    </row>
    <row r="1650" spans="2:11" ht="49.5" x14ac:dyDescent="0.2">
      <c r="B1650" s="33" t="s">
        <v>2358</v>
      </c>
      <c r="C1650" s="33" t="s">
        <v>2359</v>
      </c>
      <c r="D1650"/>
      <c r="E1650" s="35">
        <f>SUMIFS(E1651:E9015,K1651:K9015,"0",B1651:B9015,"4 1 1 3 1 12 31111 6 M59 19000 000000 00000 00000 00013 011 1113000 2024 00000000 004 0000013*")-SUMIFS(D1651:D9015,K1651:K9015,"0",B1651:B9015,"4 1 1 3 1 12 31111 6 M59 19000 000000 00000 00000 00013 011 1113000 2024 00000000 004 0000013*")</f>
        <v>0</v>
      </c>
      <c r="F1650" s="35">
        <f>SUMIFS(F1651:F9015,K1651:K9015,"0",B1651:B9015,"4 1 1 3 1 12 31111 6 M59 19000 000000 00000 00000 00013 011 1113000 2024 00000000 004 0000013*")</f>
        <v>0</v>
      </c>
      <c r="G1650" s="35">
        <f>SUMIFS(G1651:G9015,K1651:K9015,"0",B1651:B9015,"4 1 1 3 1 12 31111 6 M59 19000 000000 00000 00000 00013 011 1113000 2024 00000000 004 0000013*")</f>
        <v>1846.94</v>
      </c>
      <c r="H1650" s="35"/>
      <c r="I1650" s="35">
        <f t="shared" si="26"/>
        <v>1846.94</v>
      </c>
      <c r="K1650" t="s">
        <v>15</v>
      </c>
    </row>
    <row r="1651" spans="2:11" ht="49.5" x14ac:dyDescent="0.2">
      <c r="B1651" s="33" t="s">
        <v>2360</v>
      </c>
      <c r="C1651" s="33" t="s">
        <v>2361</v>
      </c>
      <c r="D1651"/>
      <c r="E1651" s="35">
        <f>SUMIFS(E1652:E9015,K1652:K9015,"0",B1652:B9015,"4 1 1 3 1 12 31111 6 M59 19000 000000 00000 00000 00013 011 1113000 2024 00000000 004 0000013 00001*")-SUMIFS(D1652:D9015,K1652:K9015,"0",B1652:B9015,"4 1 1 3 1 12 31111 6 M59 19000 000000 00000 00000 00013 011 1113000 2024 00000000 004 0000013 00001*")</f>
        <v>0</v>
      </c>
      <c r="F1651" s="35">
        <f>SUMIFS(F1652:F9015,K1652:K9015,"0",B1652:B9015,"4 1 1 3 1 12 31111 6 M59 19000 000000 00000 00000 00013 011 1113000 2024 00000000 004 0000013 00001*")</f>
        <v>0</v>
      </c>
      <c r="G1651" s="35">
        <f>SUMIFS(G1652:G9015,K1652:K9015,"0",B1652:B9015,"4 1 1 3 1 12 31111 6 M59 19000 000000 00000 00000 00013 011 1113000 2024 00000000 004 0000013 00001*")</f>
        <v>1846.94</v>
      </c>
      <c r="H1651" s="35"/>
      <c r="I1651" s="35">
        <f t="shared" si="26"/>
        <v>1846.94</v>
      </c>
      <c r="K1651" t="s">
        <v>15</v>
      </c>
    </row>
    <row r="1652" spans="2:11" ht="41.25" x14ac:dyDescent="0.2">
      <c r="B1652" s="31" t="s">
        <v>2362</v>
      </c>
      <c r="C1652" s="31" t="s">
        <v>2363</v>
      </c>
      <c r="D1652" s="34"/>
      <c r="E1652" s="34">
        <v>0</v>
      </c>
      <c r="F1652" s="34">
        <v>0</v>
      </c>
      <c r="G1652" s="34">
        <v>1846.94</v>
      </c>
      <c r="H1652" s="34"/>
      <c r="I1652" s="34">
        <f t="shared" si="26"/>
        <v>1846.94</v>
      </c>
      <c r="K1652" t="s">
        <v>38</v>
      </c>
    </row>
    <row r="1653" spans="2:11" ht="12.75" x14ac:dyDescent="0.2">
      <c r="B1653" s="33" t="s">
        <v>2364</v>
      </c>
      <c r="C1653" s="33" t="s">
        <v>2365</v>
      </c>
      <c r="D1653"/>
      <c r="E1653" s="35">
        <f>SUMIFS(E1654:E9015,K1654:K9015,"0",B1654:B9015,"4 1 1 6*")-SUMIFS(D1654:D9015,K1654:K9015,"0",B1654:B9015,"4 1 1 6*")</f>
        <v>0</v>
      </c>
      <c r="F1653" s="35">
        <f>SUMIFS(F1654:F9015,K1654:K9015,"0",B1654:B9015,"4 1 1 6*")</f>
        <v>0</v>
      </c>
      <c r="G1653" s="35">
        <f>SUMIFS(G1654:G9015,K1654:K9015,"0",B1654:B9015,"4 1 1 6*")</f>
        <v>-2113602.0699999998</v>
      </c>
      <c r="H1653" s="35"/>
      <c r="I1653" s="35">
        <f t="shared" si="26"/>
        <v>-2113602.0699999998</v>
      </c>
      <c r="K1653" t="s">
        <v>15</v>
      </c>
    </row>
    <row r="1654" spans="2:11" ht="12.75" x14ac:dyDescent="0.2">
      <c r="B1654" s="33" t="s">
        <v>2366</v>
      </c>
      <c r="C1654" s="33" t="s">
        <v>2367</v>
      </c>
      <c r="D1654"/>
      <c r="E1654" s="35">
        <f>SUMIFS(E1655:E9015,K1655:K9015,"0",B1655:B9015,"4 1 1 6 1*")-SUMIFS(D1655:D9015,K1655:K9015,"0",B1655:B9015,"4 1 1 6 1*")</f>
        <v>0</v>
      </c>
      <c r="F1654" s="35">
        <f>SUMIFS(F1655:F9015,K1655:K9015,"0",B1655:B9015,"4 1 1 6 1*")</f>
        <v>0</v>
      </c>
      <c r="G1654" s="35">
        <f>SUMIFS(G1655:G9015,K1655:K9015,"0",B1655:B9015,"4 1 1 6 1*")</f>
        <v>-2113602.0699999998</v>
      </c>
      <c r="H1654" s="35"/>
      <c r="I1654" s="35">
        <f t="shared" si="26"/>
        <v>-2113602.0699999998</v>
      </c>
      <c r="K1654" t="s">
        <v>15</v>
      </c>
    </row>
    <row r="1655" spans="2:11" ht="12.75" x14ac:dyDescent="0.2">
      <c r="B1655" s="33" t="s">
        <v>2368</v>
      </c>
      <c r="C1655" s="33" t="s">
        <v>26</v>
      </c>
      <c r="D1655"/>
      <c r="E1655" s="35">
        <f>SUMIFS(E1656:E9015,K1656:K9015,"0",B1656:B9015,"4 1 1 6 1 12*")-SUMIFS(D1656:D9015,K1656:K9015,"0",B1656:B9015,"4 1 1 6 1 12*")</f>
        <v>0</v>
      </c>
      <c r="F1655" s="35">
        <f>SUMIFS(F1656:F9015,K1656:K9015,"0",B1656:B9015,"4 1 1 6 1 12*")</f>
        <v>0</v>
      </c>
      <c r="G1655" s="35">
        <f>SUMIFS(G1656:G9015,K1656:K9015,"0",B1656:B9015,"4 1 1 6 1 12*")</f>
        <v>-2113602.0699999998</v>
      </c>
      <c r="H1655" s="35"/>
      <c r="I1655" s="35">
        <f t="shared" si="26"/>
        <v>-2113602.0699999998</v>
      </c>
      <c r="K1655" t="s">
        <v>15</v>
      </c>
    </row>
    <row r="1656" spans="2:11" ht="16.5" x14ac:dyDescent="0.2">
      <c r="B1656" s="33" t="s">
        <v>2369</v>
      </c>
      <c r="C1656" s="33" t="s">
        <v>28</v>
      </c>
      <c r="D1656"/>
      <c r="E1656" s="35">
        <f>SUMIFS(E1657:E9015,K1657:K9015,"0",B1657:B9015,"4 1 1 6 1 12 31111*")-SUMIFS(D1657:D9015,K1657:K9015,"0",B1657:B9015,"4 1 1 6 1 12 31111*")</f>
        <v>0</v>
      </c>
      <c r="F1656" s="35">
        <f>SUMIFS(F1657:F9015,K1657:K9015,"0",B1657:B9015,"4 1 1 6 1 12 31111*")</f>
        <v>0</v>
      </c>
      <c r="G1656" s="35">
        <f>SUMIFS(G1657:G9015,K1657:K9015,"0",B1657:B9015,"4 1 1 6 1 12 31111*")</f>
        <v>-2113602.0699999998</v>
      </c>
      <c r="H1656" s="35"/>
      <c r="I1656" s="35">
        <f t="shared" si="26"/>
        <v>-2113602.0699999998</v>
      </c>
      <c r="K1656" t="s">
        <v>15</v>
      </c>
    </row>
    <row r="1657" spans="2:11" ht="12.75" x14ac:dyDescent="0.2">
      <c r="B1657" s="33" t="s">
        <v>2370</v>
      </c>
      <c r="C1657" s="33" t="s">
        <v>30</v>
      </c>
      <c r="D1657"/>
      <c r="E1657" s="35">
        <f>SUMIFS(E1658:E9015,K1658:K9015,"0",B1658:B9015,"4 1 1 6 1 12 31111 6*")-SUMIFS(D1658:D9015,K1658:K9015,"0",B1658:B9015,"4 1 1 6 1 12 31111 6*")</f>
        <v>0</v>
      </c>
      <c r="F1657" s="35">
        <f>SUMIFS(F1658:F9015,K1658:K9015,"0",B1658:B9015,"4 1 1 6 1 12 31111 6*")</f>
        <v>0</v>
      </c>
      <c r="G1657" s="35">
        <f>SUMIFS(G1658:G9015,K1658:K9015,"0",B1658:B9015,"4 1 1 6 1 12 31111 6*")</f>
        <v>-2113602.0699999998</v>
      </c>
      <c r="H1657" s="35"/>
      <c r="I1657" s="35">
        <f t="shared" si="26"/>
        <v>-2113602.0699999998</v>
      </c>
      <c r="K1657" t="s">
        <v>15</v>
      </c>
    </row>
    <row r="1658" spans="2:11" ht="16.5" x14ac:dyDescent="0.2">
      <c r="B1658" s="33" t="s">
        <v>2371</v>
      </c>
      <c r="C1658" s="33" t="s">
        <v>2284</v>
      </c>
      <c r="D1658"/>
      <c r="E1658" s="35">
        <f>SUMIFS(E1659:E9015,K1659:K9015,"0",B1659:B9015,"4 1 1 6 1 12 31111 6 M59*")-SUMIFS(D1659:D9015,K1659:K9015,"0",B1659:B9015,"4 1 1 6 1 12 31111 6 M59*")</f>
        <v>0</v>
      </c>
      <c r="F1658" s="35">
        <f>SUMIFS(F1659:F9015,K1659:K9015,"0",B1659:B9015,"4 1 1 6 1 12 31111 6 M59*")</f>
        <v>0</v>
      </c>
      <c r="G1658" s="35">
        <f>SUMIFS(G1659:G9015,K1659:K9015,"0",B1659:B9015,"4 1 1 6 1 12 31111 6 M59*")</f>
        <v>-2113602.0699999998</v>
      </c>
      <c r="H1658" s="35"/>
      <c r="I1658" s="35">
        <f t="shared" si="26"/>
        <v>-2113602.0699999998</v>
      </c>
      <c r="K1658" t="s">
        <v>15</v>
      </c>
    </row>
    <row r="1659" spans="2:11" ht="16.5" x14ac:dyDescent="0.2">
      <c r="B1659" s="33" t="s">
        <v>2372</v>
      </c>
      <c r="C1659" s="33" t="s">
        <v>1044</v>
      </c>
      <c r="D1659"/>
      <c r="E1659" s="35">
        <f>SUMIFS(E1660:E9015,K1660:K9015,"0",B1660:B9015,"4 1 1 6 1 12 31111 6 M59 19000*")-SUMIFS(D1660:D9015,K1660:K9015,"0",B1660:B9015,"4 1 1 6 1 12 31111 6 M59 19000*")</f>
        <v>0</v>
      </c>
      <c r="F1659" s="35">
        <f>SUMIFS(F1660:F9015,K1660:K9015,"0",B1660:B9015,"4 1 1 6 1 12 31111 6 M59 19000*")</f>
        <v>0</v>
      </c>
      <c r="G1659" s="35">
        <f>SUMIFS(G1660:G9015,K1660:K9015,"0",B1660:B9015,"4 1 1 6 1 12 31111 6 M59 19000*")</f>
        <v>-2113602.0699999998</v>
      </c>
      <c r="H1659" s="35"/>
      <c r="I1659" s="35">
        <f t="shared" si="26"/>
        <v>-2113602.0699999998</v>
      </c>
      <c r="K1659" t="s">
        <v>15</v>
      </c>
    </row>
    <row r="1660" spans="2:11" ht="16.5" x14ac:dyDescent="0.2">
      <c r="B1660" s="33" t="s">
        <v>2373</v>
      </c>
      <c r="C1660" s="33" t="s">
        <v>2287</v>
      </c>
      <c r="D1660"/>
      <c r="E1660" s="35">
        <f>SUMIFS(E1661:E9015,K1661:K9015,"0",B1661:B9015,"4 1 1 6 1 12 31111 6 M59 19000 000000*")-SUMIFS(D1661:D9015,K1661:K9015,"0",B1661:B9015,"4 1 1 6 1 12 31111 6 M59 19000 000000*")</f>
        <v>0</v>
      </c>
      <c r="F1660" s="35">
        <f>SUMIFS(F1661:F9015,K1661:K9015,"0",B1661:B9015,"4 1 1 6 1 12 31111 6 M59 19000 000000*")</f>
        <v>0</v>
      </c>
      <c r="G1660" s="35">
        <f>SUMIFS(G1661:G9015,K1661:K9015,"0",B1661:B9015,"4 1 1 6 1 12 31111 6 M59 19000 000000*")</f>
        <v>-2113602.0699999998</v>
      </c>
      <c r="H1660" s="35"/>
      <c r="I1660" s="35">
        <f t="shared" si="26"/>
        <v>-2113602.0699999998</v>
      </c>
      <c r="K1660" t="s">
        <v>15</v>
      </c>
    </row>
    <row r="1661" spans="2:11" ht="16.5" x14ac:dyDescent="0.2">
      <c r="B1661" s="33" t="s">
        <v>2374</v>
      </c>
      <c r="C1661" s="33" t="s">
        <v>2289</v>
      </c>
      <c r="D1661"/>
      <c r="E1661" s="35">
        <f>SUMIFS(E1662:E9015,K1662:K9015,"0",B1662:B9015,"4 1 1 6 1 12 31111 6 M59 19000 000000 00000*")-SUMIFS(D1662:D9015,K1662:K9015,"0",B1662:B9015,"4 1 1 6 1 12 31111 6 M59 19000 000000 00000*")</f>
        <v>0</v>
      </c>
      <c r="F1661" s="35">
        <f>SUMIFS(F1662:F9015,K1662:K9015,"0",B1662:B9015,"4 1 1 6 1 12 31111 6 M59 19000 000000 00000*")</f>
        <v>0</v>
      </c>
      <c r="G1661" s="35">
        <f>SUMIFS(G1662:G9015,K1662:K9015,"0",B1662:B9015,"4 1 1 6 1 12 31111 6 M59 19000 000000 00000*")</f>
        <v>-2113602.0699999998</v>
      </c>
      <c r="H1661" s="35"/>
      <c r="I1661" s="35">
        <f t="shared" si="26"/>
        <v>-2113602.0699999998</v>
      </c>
      <c r="K1661" t="s">
        <v>15</v>
      </c>
    </row>
    <row r="1662" spans="2:11" ht="24.75" x14ac:dyDescent="0.2">
      <c r="B1662" s="33" t="s">
        <v>2375</v>
      </c>
      <c r="C1662" s="33" t="s">
        <v>2291</v>
      </c>
      <c r="D1662"/>
      <c r="E1662" s="35">
        <f>SUMIFS(E1663:E9015,K1663:K9015,"0",B1663:B9015,"4 1 1 6 1 12 31111 6 M59 19000 000000 00000 00000*")-SUMIFS(D1663:D9015,K1663:K9015,"0",B1663:B9015,"4 1 1 6 1 12 31111 6 M59 19000 000000 00000 00000*")</f>
        <v>0</v>
      </c>
      <c r="F1662" s="35">
        <f>SUMIFS(F1663:F9015,K1663:K9015,"0",B1663:B9015,"4 1 1 6 1 12 31111 6 M59 19000 000000 00000 00000*")</f>
        <v>0</v>
      </c>
      <c r="G1662" s="35">
        <f>SUMIFS(G1663:G9015,K1663:K9015,"0",B1663:B9015,"4 1 1 6 1 12 31111 6 M59 19000 000000 00000 00000*")</f>
        <v>-2113602.0699999998</v>
      </c>
      <c r="H1662" s="35"/>
      <c r="I1662" s="35">
        <f t="shared" si="26"/>
        <v>-2113602.0699999998</v>
      </c>
      <c r="K1662" t="s">
        <v>15</v>
      </c>
    </row>
    <row r="1663" spans="2:11" ht="24.75" x14ac:dyDescent="0.2">
      <c r="B1663" s="33" t="s">
        <v>2376</v>
      </c>
      <c r="C1663" s="33" t="s">
        <v>2365</v>
      </c>
      <c r="D1663"/>
      <c r="E1663" s="35">
        <f>SUMIFS(E1664:E9015,K1664:K9015,"0",B1664:B9015,"4 1 1 6 1 12 31111 6 M59 19000 000000 00000 00000 00016*")-SUMIFS(D1664:D9015,K1664:K9015,"0",B1664:B9015,"4 1 1 6 1 12 31111 6 M59 19000 000000 00000 00000 00016*")</f>
        <v>0</v>
      </c>
      <c r="F1663" s="35">
        <f>SUMIFS(F1664:F9015,K1664:K9015,"0",B1664:B9015,"4 1 1 6 1 12 31111 6 M59 19000 000000 00000 00000 00016*")</f>
        <v>0</v>
      </c>
      <c r="G1663" s="35">
        <f>SUMIFS(G1664:G9015,K1664:K9015,"0",B1664:B9015,"4 1 1 6 1 12 31111 6 M59 19000 000000 00000 00000 00016*")</f>
        <v>-2113602.0699999998</v>
      </c>
      <c r="H1663" s="35"/>
      <c r="I1663" s="35">
        <f t="shared" si="26"/>
        <v>-2113602.0699999998</v>
      </c>
      <c r="K1663" t="s">
        <v>15</v>
      </c>
    </row>
    <row r="1664" spans="2:11" ht="24.75" x14ac:dyDescent="0.2">
      <c r="B1664" s="33" t="s">
        <v>2377</v>
      </c>
      <c r="C1664" s="33" t="s">
        <v>699</v>
      </c>
      <c r="D1664"/>
      <c r="E1664" s="35">
        <f>SUMIFS(E1665:E9015,K1665:K9015,"0",B1665:B9015,"4 1 1 6 1 12 31111 6 M59 19000 000000 00000 00000 00016 011*")-SUMIFS(D1665:D9015,K1665:K9015,"0",B1665:B9015,"4 1 1 6 1 12 31111 6 M59 19000 000000 00000 00000 00016 011*")</f>
        <v>0</v>
      </c>
      <c r="F1664" s="35">
        <f>SUMIFS(F1665:F9015,K1665:K9015,"0",B1665:B9015,"4 1 1 6 1 12 31111 6 M59 19000 000000 00000 00000 00016 011*")</f>
        <v>0</v>
      </c>
      <c r="G1664" s="35">
        <f>SUMIFS(G1665:G9015,K1665:K9015,"0",B1665:B9015,"4 1 1 6 1 12 31111 6 M59 19000 000000 00000 00000 00016 011*")</f>
        <v>-2113602.0699999998</v>
      </c>
      <c r="H1664" s="35"/>
      <c r="I1664" s="35">
        <f t="shared" si="26"/>
        <v>-2113602.0699999998</v>
      </c>
      <c r="K1664" t="s">
        <v>15</v>
      </c>
    </row>
    <row r="1665" spans="2:11" ht="33" x14ac:dyDescent="0.2">
      <c r="B1665" s="33" t="s">
        <v>2378</v>
      </c>
      <c r="C1665" s="33" t="s">
        <v>2365</v>
      </c>
      <c r="D1665"/>
      <c r="E1665" s="35">
        <f>SUMIFS(E1666:E9015,K1666:K9015,"0",B1666:B9015,"4 1 1 6 1 12 31111 6 M59 19000 000000 00000 00000 00016 011 1116000*")-SUMIFS(D1666:D9015,K1666:K9015,"0",B1666:B9015,"4 1 1 6 1 12 31111 6 M59 19000 000000 00000 00000 00016 011 1116000*")</f>
        <v>0</v>
      </c>
      <c r="F1665" s="35">
        <f>SUMIFS(F1666:F9015,K1666:K9015,"0",B1666:B9015,"4 1 1 6 1 12 31111 6 M59 19000 000000 00000 00000 00016 011 1116000*")</f>
        <v>0</v>
      </c>
      <c r="G1665" s="35">
        <f>SUMIFS(G1666:G9015,K1666:K9015,"0",B1666:B9015,"4 1 1 6 1 12 31111 6 M59 19000 000000 00000 00000 00016 011 1116000*")</f>
        <v>-2113602.0699999998</v>
      </c>
      <c r="H1665" s="35"/>
      <c r="I1665" s="35">
        <f t="shared" si="26"/>
        <v>-2113602.0699999998</v>
      </c>
      <c r="K1665" t="s">
        <v>15</v>
      </c>
    </row>
    <row r="1666" spans="2:11" ht="33" x14ac:dyDescent="0.2">
      <c r="B1666" s="33" t="s">
        <v>2379</v>
      </c>
      <c r="C1666" s="33" t="s">
        <v>660</v>
      </c>
      <c r="D1666"/>
      <c r="E1666" s="35">
        <f>SUMIFS(E1667:E9015,K1667:K9015,"0",B1667:B9015,"4 1 1 6 1 12 31111 6 M59 19000 000000 00000 00000 00016 011 1116000 2024*")-SUMIFS(D1667:D9015,K1667:K9015,"0",B1667:B9015,"4 1 1 6 1 12 31111 6 M59 19000 000000 00000 00000 00016 011 1116000 2024*")</f>
        <v>0</v>
      </c>
      <c r="F1666" s="35">
        <f>SUMIFS(F1667:F9015,K1667:K9015,"0",B1667:B9015,"4 1 1 6 1 12 31111 6 M59 19000 000000 00000 00000 00016 011 1116000 2024*")</f>
        <v>0</v>
      </c>
      <c r="G1666" s="35">
        <f>SUMIFS(G1667:G9015,K1667:K9015,"0",B1667:B9015,"4 1 1 6 1 12 31111 6 M59 19000 000000 00000 00000 00016 011 1116000 2024*")</f>
        <v>-2113602.0699999998</v>
      </c>
      <c r="H1666" s="35"/>
      <c r="I1666" s="35">
        <f t="shared" si="26"/>
        <v>-2113602.0699999998</v>
      </c>
      <c r="K1666" t="s">
        <v>15</v>
      </c>
    </row>
    <row r="1667" spans="2:11" ht="41.25" x14ac:dyDescent="0.2">
      <c r="B1667" s="33" t="s">
        <v>2380</v>
      </c>
      <c r="C1667" s="33" t="s">
        <v>2298</v>
      </c>
      <c r="D1667"/>
      <c r="E1667" s="35">
        <f>SUMIFS(E1668:E9015,K1668:K9015,"0",B1668:B9015,"4 1 1 6 1 12 31111 6 M59 19000 000000 00000 00000 00016 011 1116000 2024 00000000*")-SUMIFS(D1668:D9015,K1668:K9015,"0",B1668:B9015,"4 1 1 6 1 12 31111 6 M59 19000 000000 00000 00000 00016 011 1116000 2024 00000000*")</f>
        <v>0</v>
      </c>
      <c r="F1667" s="35">
        <f>SUMIFS(F1668:F9015,K1668:K9015,"0",B1668:B9015,"4 1 1 6 1 12 31111 6 M59 19000 000000 00000 00000 00016 011 1116000 2024 00000000*")</f>
        <v>0</v>
      </c>
      <c r="G1667" s="35">
        <f>SUMIFS(G1668:G9015,K1668:K9015,"0",B1668:B9015,"4 1 1 6 1 12 31111 6 M59 19000 000000 00000 00000 00016 011 1116000 2024 00000000*")</f>
        <v>-2113602.0699999998</v>
      </c>
      <c r="H1667" s="35"/>
      <c r="I1667" s="35">
        <f t="shared" si="26"/>
        <v>-2113602.0699999998</v>
      </c>
      <c r="K1667" t="s">
        <v>15</v>
      </c>
    </row>
    <row r="1668" spans="2:11" ht="41.25" x14ac:dyDescent="0.2">
      <c r="B1668" s="33" t="s">
        <v>2381</v>
      </c>
      <c r="C1668" s="33" t="s">
        <v>2300</v>
      </c>
      <c r="D1668"/>
      <c r="E1668" s="35">
        <f>SUMIFS(E1669:E9015,K1669:K9015,"0",B1669:B9015,"4 1 1 6 1 12 31111 6 M59 19000 000000 00000 00000 00016 011 1116000 2024 00000000 004*")-SUMIFS(D1669:D9015,K1669:K9015,"0",B1669:B9015,"4 1 1 6 1 12 31111 6 M59 19000 000000 00000 00000 00016 011 1116000 2024 00000000 004*")</f>
        <v>0</v>
      </c>
      <c r="F1668" s="35">
        <f>SUMIFS(F1669:F9015,K1669:K9015,"0",B1669:B9015,"4 1 1 6 1 12 31111 6 M59 19000 000000 00000 00000 00016 011 1116000 2024 00000000 004*")</f>
        <v>0</v>
      </c>
      <c r="G1668" s="35">
        <f>SUMIFS(G1669:G9015,K1669:K9015,"0",B1669:B9015,"4 1 1 6 1 12 31111 6 M59 19000 000000 00000 00000 00016 011 1116000 2024 00000000 004*")</f>
        <v>-2113602.0699999998</v>
      </c>
      <c r="H1668" s="35"/>
      <c r="I1668" s="35">
        <f t="shared" si="26"/>
        <v>-2113602.0699999998</v>
      </c>
      <c r="K1668" t="s">
        <v>15</v>
      </c>
    </row>
    <row r="1669" spans="2:11" ht="49.5" x14ac:dyDescent="0.2">
      <c r="B1669" s="33" t="s">
        <v>2382</v>
      </c>
      <c r="C1669" s="33" t="s">
        <v>2367</v>
      </c>
      <c r="D1669"/>
      <c r="E1669" s="35">
        <f>SUMIFS(E1670:E9015,K1670:K9015,"0",B1670:B9015,"4 1 1 6 1 12 31111 6 M59 19000 000000 00000 00000 00016 011 1116000 2024 00000000 004 0000001*")-SUMIFS(D1670:D9015,K1670:K9015,"0",B1670:B9015,"4 1 1 6 1 12 31111 6 M59 19000 000000 00000 00000 00016 011 1116000 2024 00000000 004 0000001*")</f>
        <v>0</v>
      </c>
      <c r="F1669" s="35">
        <f>SUMIFS(F1670:F9015,K1670:K9015,"0",B1670:B9015,"4 1 1 6 1 12 31111 6 M59 19000 000000 00000 00000 00016 011 1116000 2024 00000000 004 0000001*")</f>
        <v>0</v>
      </c>
      <c r="G1669" s="35">
        <f>SUMIFS(G1670:G9015,K1670:K9015,"0",B1670:B9015,"4 1 1 6 1 12 31111 6 M59 19000 000000 00000 00000 00016 011 1116000 2024 00000000 004 0000001*")</f>
        <v>-2113723.67</v>
      </c>
      <c r="H1669" s="35"/>
      <c r="I1669" s="35">
        <f t="shared" si="26"/>
        <v>-2113723.67</v>
      </c>
      <c r="K1669" t="s">
        <v>15</v>
      </c>
    </row>
    <row r="1670" spans="2:11" ht="49.5" x14ac:dyDescent="0.2">
      <c r="B1670" s="33" t="s">
        <v>2383</v>
      </c>
      <c r="C1670" s="33" t="s">
        <v>2384</v>
      </c>
      <c r="D1670"/>
      <c r="E1670" s="35">
        <f>SUMIFS(E1671:E9015,K1671:K9015,"0",B1671:B9015,"4 1 1 6 1 12 31111 6 M59 19000 000000 00000 00000 00016 011 1116000 2024 00000000 004 0000001 00001*")-SUMIFS(D1671:D9015,K1671:K9015,"0",B1671:B9015,"4 1 1 6 1 12 31111 6 M59 19000 000000 00000 00000 00016 011 1116000 2024 00000000 004 0000001 00001*")</f>
        <v>0</v>
      </c>
      <c r="F1670" s="35">
        <f>SUMIFS(F1671:F9015,K1671:K9015,"0",B1671:B9015,"4 1 1 6 1 12 31111 6 M59 19000 000000 00000 00000 00016 011 1116000 2024 00000000 004 0000001 00001*")</f>
        <v>0</v>
      </c>
      <c r="G1670" s="35">
        <f>SUMIFS(G1671:G9015,K1671:K9015,"0",B1671:B9015,"4 1 1 6 1 12 31111 6 M59 19000 000000 00000 00000 00016 011 1116000 2024 00000000 004 0000001 00001*")</f>
        <v>14531.08</v>
      </c>
      <c r="H1670" s="35"/>
      <c r="I1670" s="35">
        <f t="shared" si="26"/>
        <v>14531.08</v>
      </c>
      <c r="K1670" t="s">
        <v>15</v>
      </c>
    </row>
    <row r="1671" spans="2:11" ht="41.25" x14ac:dyDescent="0.2">
      <c r="B1671" s="31" t="s">
        <v>2385</v>
      </c>
      <c r="C1671" s="31" t="s">
        <v>2386</v>
      </c>
      <c r="D1671" s="34"/>
      <c r="E1671" s="34">
        <v>0</v>
      </c>
      <c r="F1671" s="34">
        <v>0</v>
      </c>
      <c r="G1671" s="34">
        <v>9090.6</v>
      </c>
      <c r="H1671" s="34"/>
      <c r="I1671" s="34">
        <f t="shared" si="26"/>
        <v>9090.6</v>
      </c>
      <c r="K1671" t="s">
        <v>38</v>
      </c>
    </row>
    <row r="1672" spans="2:11" ht="41.25" x14ac:dyDescent="0.2">
      <c r="B1672" s="31" t="s">
        <v>2387</v>
      </c>
      <c r="C1672" s="31" t="s">
        <v>2388</v>
      </c>
      <c r="D1672" s="34"/>
      <c r="E1672" s="34">
        <v>0</v>
      </c>
      <c r="F1672" s="34">
        <v>0</v>
      </c>
      <c r="G1672" s="34">
        <v>5440.48</v>
      </c>
      <c r="H1672" s="34"/>
      <c r="I1672" s="34">
        <f t="shared" si="26"/>
        <v>5440.48</v>
      </c>
      <c r="K1672" t="s">
        <v>38</v>
      </c>
    </row>
    <row r="1673" spans="2:11" ht="41.25" x14ac:dyDescent="0.2">
      <c r="B1673" s="31" t="s">
        <v>2389</v>
      </c>
      <c r="C1673" s="31" t="s">
        <v>2284</v>
      </c>
      <c r="D1673" s="34"/>
      <c r="E1673" s="34">
        <v>0</v>
      </c>
      <c r="F1673" s="34">
        <v>0</v>
      </c>
      <c r="G1673" s="34">
        <v>-2128254.75</v>
      </c>
      <c r="H1673" s="34"/>
      <c r="I1673" s="34">
        <f t="shared" si="26"/>
        <v>-2128254.75</v>
      </c>
      <c r="K1673" t="s">
        <v>38</v>
      </c>
    </row>
    <row r="1674" spans="2:11" ht="49.5" x14ac:dyDescent="0.2">
      <c r="B1674" s="33" t="s">
        <v>2390</v>
      </c>
      <c r="C1674" s="33" t="s">
        <v>2391</v>
      </c>
      <c r="D1674"/>
      <c r="E1674" s="35">
        <f>SUMIFS(E1675:E9015,K1675:K9015,"0",B1675:B9015,"4 1 1 6 1 12 31111 6 M59 19000 000000 00000 00000 00016 011 1116000 2024 00000000 004 0000002*")-SUMIFS(D1675:D9015,K1675:K9015,"0",B1675:B9015,"4 1 1 6 1 12 31111 6 M59 19000 000000 00000 00000 00016 011 1116000 2024 00000000 004 0000002*")</f>
        <v>0</v>
      </c>
      <c r="F1674" s="35">
        <f>SUMIFS(F1675:F9015,K1675:K9015,"0",B1675:B9015,"4 1 1 6 1 12 31111 6 M59 19000 000000 00000 00000 00016 011 1116000 2024 00000000 004 0000002*")</f>
        <v>0</v>
      </c>
      <c r="G1674" s="35">
        <f>SUMIFS(G1675:G9015,K1675:K9015,"0",B1675:B9015,"4 1 1 6 1 12 31111 6 M59 19000 000000 00000 00000 00016 011 1116000 2024 00000000 004 0000002*")</f>
        <v>121.6</v>
      </c>
      <c r="H1674" s="35"/>
      <c r="I1674" s="35">
        <f t="shared" si="26"/>
        <v>121.6</v>
      </c>
      <c r="K1674" t="s">
        <v>15</v>
      </c>
    </row>
    <row r="1675" spans="2:11" ht="49.5" x14ac:dyDescent="0.2">
      <c r="B1675" s="33" t="s">
        <v>2392</v>
      </c>
      <c r="C1675" s="33" t="s">
        <v>2391</v>
      </c>
      <c r="D1675"/>
      <c r="E1675" s="35">
        <f>SUMIFS(E1676:E9015,K1676:K9015,"0",B1676:B9015,"4 1 1 6 1 12 31111 6 M59 19000 000000 00000 00000 00016 011 1116000 2024 00000000 004 0000002 00001*")-SUMIFS(D1676:D9015,K1676:K9015,"0",B1676:B9015,"4 1 1 6 1 12 31111 6 M59 19000 000000 00000 00000 00016 011 1116000 2024 00000000 004 0000002 00001*")</f>
        <v>0</v>
      </c>
      <c r="F1675" s="35">
        <f>SUMIFS(F1676:F9015,K1676:K9015,"0",B1676:B9015,"4 1 1 6 1 12 31111 6 M59 19000 000000 00000 00000 00016 011 1116000 2024 00000000 004 0000002 00001*")</f>
        <v>0</v>
      </c>
      <c r="G1675" s="35">
        <f>SUMIFS(G1676:G9015,K1676:K9015,"0",B1676:B9015,"4 1 1 6 1 12 31111 6 M59 19000 000000 00000 00000 00016 011 1116000 2024 00000000 004 0000002 00001*")</f>
        <v>121.6</v>
      </c>
      <c r="H1675" s="35"/>
      <c r="I1675" s="35">
        <f t="shared" si="26"/>
        <v>121.6</v>
      </c>
      <c r="K1675" t="s">
        <v>15</v>
      </c>
    </row>
    <row r="1676" spans="2:11" ht="41.25" x14ac:dyDescent="0.2">
      <c r="B1676" s="31" t="s">
        <v>2393</v>
      </c>
      <c r="C1676" s="31" t="s">
        <v>2394</v>
      </c>
      <c r="D1676" s="34"/>
      <c r="E1676" s="34">
        <v>0</v>
      </c>
      <c r="F1676" s="34">
        <v>0</v>
      </c>
      <c r="G1676" s="34">
        <v>121.6</v>
      </c>
      <c r="H1676" s="34"/>
      <c r="I1676" s="34">
        <f t="shared" si="26"/>
        <v>121.6</v>
      </c>
      <c r="K1676" t="s">
        <v>38</v>
      </c>
    </row>
    <row r="1677" spans="2:11" ht="12.75" x14ac:dyDescent="0.2">
      <c r="B1677" s="33" t="s">
        <v>2395</v>
      </c>
      <c r="C1677" s="33" t="s">
        <v>2396</v>
      </c>
      <c r="D1677"/>
      <c r="E1677" s="35">
        <f>SUMIFS(E1678:E9015,K1678:K9015,"0",B1678:B9015,"4 1 1 7*")-SUMIFS(D1678:D9015,K1678:K9015,"0",B1678:B9015,"4 1 1 7*")</f>
        <v>0</v>
      </c>
      <c r="F1677" s="35">
        <f>SUMIFS(F1678:F9015,K1678:K9015,"0",B1678:B9015,"4 1 1 7*")</f>
        <v>0</v>
      </c>
      <c r="G1677" s="35">
        <f>SUMIFS(G1678:G9015,K1678:K9015,"0",B1678:B9015,"4 1 1 7*")</f>
        <v>305543.76</v>
      </c>
      <c r="H1677" s="35"/>
      <c r="I1677" s="35">
        <f t="shared" si="26"/>
        <v>305543.76</v>
      </c>
      <c r="K1677" t="s">
        <v>15</v>
      </c>
    </row>
    <row r="1678" spans="2:11" ht="12.75" x14ac:dyDescent="0.2">
      <c r="B1678" s="33" t="s">
        <v>2397</v>
      </c>
      <c r="C1678" s="33" t="s">
        <v>2396</v>
      </c>
      <c r="D1678"/>
      <c r="E1678" s="35">
        <f>SUMIFS(E1679:E9015,K1679:K9015,"0",B1679:B9015,"4 1 1 7 1*")-SUMIFS(D1679:D9015,K1679:K9015,"0",B1679:B9015,"4 1 1 7 1*")</f>
        <v>0</v>
      </c>
      <c r="F1678" s="35">
        <f>SUMIFS(F1679:F9015,K1679:K9015,"0",B1679:B9015,"4 1 1 7 1*")</f>
        <v>0</v>
      </c>
      <c r="G1678" s="35">
        <f>SUMIFS(G1679:G9015,K1679:K9015,"0",B1679:B9015,"4 1 1 7 1*")</f>
        <v>305543.76</v>
      </c>
      <c r="H1678" s="35"/>
      <c r="I1678" s="35">
        <f t="shared" si="26"/>
        <v>305543.76</v>
      </c>
      <c r="K1678" t="s">
        <v>15</v>
      </c>
    </row>
    <row r="1679" spans="2:11" ht="12.75" x14ac:dyDescent="0.2">
      <c r="B1679" s="33" t="s">
        <v>2398</v>
      </c>
      <c r="C1679" s="33" t="s">
        <v>26</v>
      </c>
      <c r="D1679"/>
      <c r="E1679" s="35">
        <f>SUMIFS(E1680:E9015,K1680:K9015,"0",B1680:B9015,"4 1 1 7 1 12*")-SUMIFS(D1680:D9015,K1680:K9015,"0",B1680:B9015,"4 1 1 7 1 12*")</f>
        <v>0</v>
      </c>
      <c r="F1679" s="35">
        <f>SUMIFS(F1680:F9015,K1680:K9015,"0",B1680:B9015,"4 1 1 7 1 12*")</f>
        <v>0</v>
      </c>
      <c r="G1679" s="35">
        <f>SUMIFS(G1680:G9015,K1680:K9015,"0",B1680:B9015,"4 1 1 7 1 12*")</f>
        <v>305543.76</v>
      </c>
      <c r="H1679" s="35"/>
      <c r="I1679" s="35">
        <f t="shared" si="26"/>
        <v>305543.76</v>
      </c>
      <c r="K1679" t="s">
        <v>15</v>
      </c>
    </row>
    <row r="1680" spans="2:11" ht="16.5" x14ac:dyDescent="0.2">
      <c r="B1680" s="33" t="s">
        <v>2399</v>
      </c>
      <c r="C1680" s="33" t="s">
        <v>28</v>
      </c>
      <c r="D1680"/>
      <c r="E1680" s="35">
        <f>SUMIFS(E1681:E9015,K1681:K9015,"0",B1681:B9015,"4 1 1 7 1 12 31111*")-SUMIFS(D1681:D9015,K1681:K9015,"0",B1681:B9015,"4 1 1 7 1 12 31111*")</f>
        <v>0</v>
      </c>
      <c r="F1680" s="35">
        <f>SUMIFS(F1681:F9015,K1681:K9015,"0",B1681:B9015,"4 1 1 7 1 12 31111*")</f>
        <v>0</v>
      </c>
      <c r="G1680" s="35">
        <f>SUMIFS(G1681:G9015,K1681:K9015,"0",B1681:B9015,"4 1 1 7 1 12 31111*")</f>
        <v>305543.76</v>
      </c>
      <c r="H1680" s="35"/>
      <c r="I1680" s="35">
        <f t="shared" si="26"/>
        <v>305543.76</v>
      </c>
      <c r="K1680" t="s">
        <v>15</v>
      </c>
    </row>
    <row r="1681" spans="2:11" ht="12.75" x14ac:dyDescent="0.2">
      <c r="B1681" s="33" t="s">
        <v>2400</v>
      </c>
      <c r="C1681" s="33" t="s">
        <v>30</v>
      </c>
      <c r="D1681"/>
      <c r="E1681" s="35">
        <f>SUMIFS(E1682:E9015,K1682:K9015,"0",B1682:B9015,"4 1 1 7 1 12 31111 6*")-SUMIFS(D1682:D9015,K1682:K9015,"0",B1682:B9015,"4 1 1 7 1 12 31111 6*")</f>
        <v>0</v>
      </c>
      <c r="F1681" s="35">
        <f>SUMIFS(F1682:F9015,K1682:K9015,"0",B1682:B9015,"4 1 1 7 1 12 31111 6*")</f>
        <v>0</v>
      </c>
      <c r="G1681" s="35">
        <f>SUMIFS(G1682:G9015,K1682:K9015,"0",B1682:B9015,"4 1 1 7 1 12 31111 6*")</f>
        <v>305543.76</v>
      </c>
      <c r="H1681" s="35"/>
      <c r="I1681" s="35">
        <f t="shared" si="26"/>
        <v>305543.76</v>
      </c>
      <c r="K1681" t="s">
        <v>15</v>
      </c>
    </row>
    <row r="1682" spans="2:11" ht="16.5" x14ac:dyDescent="0.2">
      <c r="B1682" s="33" t="s">
        <v>2401</v>
      </c>
      <c r="C1682" s="33" t="s">
        <v>2284</v>
      </c>
      <c r="D1682"/>
      <c r="E1682" s="35">
        <f>SUMIFS(E1683:E9015,K1683:K9015,"0",B1683:B9015,"4 1 1 7 1 12 31111 6 M59*")-SUMIFS(D1683:D9015,K1683:K9015,"0",B1683:B9015,"4 1 1 7 1 12 31111 6 M59*")</f>
        <v>0</v>
      </c>
      <c r="F1682" s="35">
        <f>SUMIFS(F1683:F9015,K1683:K9015,"0",B1683:B9015,"4 1 1 7 1 12 31111 6 M59*")</f>
        <v>0</v>
      </c>
      <c r="G1682" s="35">
        <f>SUMIFS(G1683:G9015,K1683:K9015,"0",B1683:B9015,"4 1 1 7 1 12 31111 6 M59*")</f>
        <v>305543.76</v>
      </c>
      <c r="H1682" s="35"/>
      <c r="I1682" s="35">
        <f t="shared" si="26"/>
        <v>305543.76</v>
      </c>
      <c r="K1682" t="s">
        <v>15</v>
      </c>
    </row>
    <row r="1683" spans="2:11" ht="16.5" x14ac:dyDescent="0.2">
      <c r="B1683" s="33" t="s">
        <v>2402</v>
      </c>
      <c r="C1683" s="33" t="s">
        <v>1044</v>
      </c>
      <c r="D1683"/>
      <c r="E1683" s="35">
        <f>SUMIFS(E1684:E9015,K1684:K9015,"0",B1684:B9015,"4 1 1 7 1 12 31111 6 M59 19000*")-SUMIFS(D1684:D9015,K1684:K9015,"0",B1684:B9015,"4 1 1 7 1 12 31111 6 M59 19000*")</f>
        <v>0</v>
      </c>
      <c r="F1683" s="35">
        <f>SUMIFS(F1684:F9015,K1684:K9015,"0",B1684:B9015,"4 1 1 7 1 12 31111 6 M59 19000*")</f>
        <v>0</v>
      </c>
      <c r="G1683" s="35">
        <f>SUMIFS(G1684:G9015,K1684:K9015,"0",B1684:B9015,"4 1 1 7 1 12 31111 6 M59 19000*")</f>
        <v>305543.76</v>
      </c>
      <c r="H1683" s="35"/>
      <c r="I1683" s="35">
        <f t="shared" si="26"/>
        <v>305543.76</v>
      </c>
      <c r="K1683" t="s">
        <v>15</v>
      </c>
    </row>
    <row r="1684" spans="2:11" ht="16.5" x14ac:dyDescent="0.2">
      <c r="B1684" s="33" t="s">
        <v>2403</v>
      </c>
      <c r="C1684" s="33" t="s">
        <v>2287</v>
      </c>
      <c r="D1684"/>
      <c r="E1684" s="35">
        <f>SUMIFS(E1685:E9015,K1685:K9015,"0",B1685:B9015,"4 1 1 7 1 12 31111 6 M59 19000 000000*")-SUMIFS(D1685:D9015,K1685:K9015,"0",B1685:B9015,"4 1 1 7 1 12 31111 6 M59 19000 000000*")</f>
        <v>0</v>
      </c>
      <c r="F1684" s="35">
        <f>SUMIFS(F1685:F9015,K1685:K9015,"0",B1685:B9015,"4 1 1 7 1 12 31111 6 M59 19000 000000*")</f>
        <v>0</v>
      </c>
      <c r="G1684" s="35">
        <f>SUMIFS(G1685:G9015,K1685:K9015,"0",B1685:B9015,"4 1 1 7 1 12 31111 6 M59 19000 000000*")</f>
        <v>305543.76</v>
      </c>
      <c r="H1684" s="35"/>
      <c r="I1684" s="35">
        <f t="shared" si="26"/>
        <v>305543.76</v>
      </c>
      <c r="K1684" t="s">
        <v>15</v>
      </c>
    </row>
    <row r="1685" spans="2:11" ht="16.5" x14ac:dyDescent="0.2">
      <c r="B1685" s="33" t="s">
        <v>2404</v>
      </c>
      <c r="C1685" s="33" t="s">
        <v>2289</v>
      </c>
      <c r="D1685"/>
      <c r="E1685" s="35">
        <f>SUMIFS(E1686:E9015,K1686:K9015,"0",B1686:B9015,"4 1 1 7 1 12 31111 6 M59 19000 000000 00000*")-SUMIFS(D1686:D9015,K1686:K9015,"0",B1686:B9015,"4 1 1 7 1 12 31111 6 M59 19000 000000 00000*")</f>
        <v>0</v>
      </c>
      <c r="F1685" s="35">
        <f>SUMIFS(F1686:F9015,K1686:K9015,"0",B1686:B9015,"4 1 1 7 1 12 31111 6 M59 19000 000000 00000*")</f>
        <v>0</v>
      </c>
      <c r="G1685" s="35">
        <f>SUMIFS(G1686:G9015,K1686:K9015,"0",B1686:B9015,"4 1 1 7 1 12 31111 6 M59 19000 000000 00000*")</f>
        <v>305543.76</v>
      </c>
      <c r="H1685" s="35"/>
      <c r="I1685" s="35">
        <f t="shared" si="26"/>
        <v>305543.76</v>
      </c>
      <c r="K1685" t="s">
        <v>15</v>
      </c>
    </row>
    <row r="1686" spans="2:11" ht="24.75" x14ac:dyDescent="0.2">
      <c r="B1686" s="33" t="s">
        <v>2405</v>
      </c>
      <c r="C1686" s="33" t="s">
        <v>2291</v>
      </c>
      <c r="D1686"/>
      <c r="E1686" s="35">
        <f>SUMIFS(E1687:E9015,K1687:K9015,"0",B1687:B9015,"4 1 1 7 1 12 31111 6 M59 19000 000000 00000 00000*")-SUMIFS(D1687:D9015,K1687:K9015,"0",B1687:B9015,"4 1 1 7 1 12 31111 6 M59 19000 000000 00000 00000*")</f>
        <v>0</v>
      </c>
      <c r="F1686" s="35">
        <f>SUMIFS(F1687:F9015,K1687:K9015,"0",B1687:B9015,"4 1 1 7 1 12 31111 6 M59 19000 000000 00000 00000*")</f>
        <v>0</v>
      </c>
      <c r="G1686" s="35">
        <f>SUMIFS(G1687:G9015,K1687:K9015,"0",B1687:B9015,"4 1 1 7 1 12 31111 6 M59 19000 000000 00000 00000*")</f>
        <v>305543.76</v>
      </c>
      <c r="H1686" s="35"/>
      <c r="I1686" s="35">
        <f t="shared" si="26"/>
        <v>305543.76</v>
      </c>
      <c r="K1686" t="s">
        <v>15</v>
      </c>
    </row>
    <row r="1687" spans="2:11" ht="24.75" x14ac:dyDescent="0.2">
      <c r="B1687" s="33" t="s">
        <v>2406</v>
      </c>
      <c r="C1687" s="33" t="s">
        <v>2407</v>
      </c>
      <c r="D1687"/>
      <c r="E1687" s="35">
        <f>SUMIFS(E1688:E9015,K1688:K9015,"0",B1688:B9015,"4 1 1 7 1 12 31111 6 M59 19000 000000 00000 00000 00017*")-SUMIFS(D1688:D9015,K1688:K9015,"0",B1688:B9015,"4 1 1 7 1 12 31111 6 M59 19000 000000 00000 00000 00017*")</f>
        <v>0</v>
      </c>
      <c r="F1687" s="35">
        <f>SUMIFS(F1688:F9015,K1688:K9015,"0",B1688:B9015,"4 1 1 7 1 12 31111 6 M59 19000 000000 00000 00000 00017*")</f>
        <v>0</v>
      </c>
      <c r="G1687" s="35">
        <f>SUMIFS(G1688:G9015,K1688:K9015,"0",B1688:B9015,"4 1 1 7 1 12 31111 6 M59 19000 000000 00000 00000 00017*")</f>
        <v>305543.76</v>
      </c>
      <c r="H1687" s="35"/>
      <c r="I1687" s="35">
        <f t="shared" si="26"/>
        <v>305543.76</v>
      </c>
      <c r="K1687" t="s">
        <v>15</v>
      </c>
    </row>
    <row r="1688" spans="2:11" ht="24.75" x14ac:dyDescent="0.2">
      <c r="B1688" s="33" t="s">
        <v>2408</v>
      </c>
      <c r="C1688" s="33" t="s">
        <v>699</v>
      </c>
      <c r="D1688"/>
      <c r="E1688" s="35">
        <f>SUMIFS(E1689:E9015,K1689:K9015,"0",B1689:B9015,"4 1 1 7 1 12 31111 6 M59 19000 000000 00000 00000 00017 011*")-SUMIFS(D1689:D9015,K1689:K9015,"0",B1689:B9015,"4 1 1 7 1 12 31111 6 M59 19000 000000 00000 00000 00017 011*")</f>
        <v>0</v>
      </c>
      <c r="F1688" s="35">
        <f>SUMIFS(F1689:F9015,K1689:K9015,"0",B1689:B9015,"4 1 1 7 1 12 31111 6 M59 19000 000000 00000 00000 00017 011*")</f>
        <v>0</v>
      </c>
      <c r="G1688" s="35">
        <f>SUMIFS(G1689:G9015,K1689:K9015,"0",B1689:B9015,"4 1 1 7 1 12 31111 6 M59 19000 000000 00000 00000 00017 011*")</f>
        <v>305543.76</v>
      </c>
      <c r="H1688" s="35"/>
      <c r="I1688" s="35">
        <f t="shared" si="26"/>
        <v>305543.76</v>
      </c>
      <c r="K1688" t="s">
        <v>15</v>
      </c>
    </row>
    <row r="1689" spans="2:11" ht="33" x14ac:dyDescent="0.2">
      <c r="B1689" s="33" t="s">
        <v>2409</v>
      </c>
      <c r="C1689" s="33" t="s">
        <v>2320</v>
      </c>
      <c r="D1689"/>
      <c r="E1689" s="35">
        <f>SUMIFS(E1690:E9015,K1690:K9015,"0",B1690:B9015,"4 1 1 7 1 12 31111 6 M59 19000 000000 00000 00000 00017 011 1113000*")-SUMIFS(D1690:D9015,K1690:K9015,"0",B1690:B9015,"4 1 1 7 1 12 31111 6 M59 19000 000000 00000 00000 00017 011 1113000*")</f>
        <v>0</v>
      </c>
      <c r="F1689" s="35">
        <f>SUMIFS(F1690:F9015,K1690:K9015,"0",B1690:B9015,"4 1 1 7 1 12 31111 6 M59 19000 000000 00000 00000 00017 011 1113000*")</f>
        <v>0</v>
      </c>
      <c r="G1689" s="35">
        <f>SUMIFS(G1690:G9015,K1690:K9015,"0",B1690:B9015,"4 1 1 7 1 12 31111 6 M59 19000 000000 00000 00000 00017 011 1113000*")</f>
        <v>305543.76</v>
      </c>
      <c r="H1689" s="35"/>
      <c r="I1689" s="35">
        <f t="shared" si="26"/>
        <v>305543.76</v>
      </c>
      <c r="K1689" t="s">
        <v>15</v>
      </c>
    </row>
    <row r="1690" spans="2:11" ht="33" x14ac:dyDescent="0.2">
      <c r="B1690" s="33" t="s">
        <v>2410</v>
      </c>
      <c r="C1690" s="33" t="s">
        <v>660</v>
      </c>
      <c r="D1690"/>
      <c r="E1690" s="35">
        <f>SUMIFS(E1691:E9015,K1691:K9015,"0",B1691:B9015,"4 1 1 7 1 12 31111 6 M59 19000 000000 00000 00000 00017 011 1113000 2024*")-SUMIFS(D1691:D9015,K1691:K9015,"0",B1691:B9015,"4 1 1 7 1 12 31111 6 M59 19000 000000 00000 00000 00017 011 1113000 2024*")</f>
        <v>0</v>
      </c>
      <c r="F1690" s="35">
        <f>SUMIFS(F1691:F9015,K1691:K9015,"0",B1691:B9015,"4 1 1 7 1 12 31111 6 M59 19000 000000 00000 00000 00017 011 1113000 2024*")</f>
        <v>0</v>
      </c>
      <c r="G1690" s="35">
        <f>SUMIFS(G1691:G9015,K1691:K9015,"0",B1691:B9015,"4 1 1 7 1 12 31111 6 M59 19000 000000 00000 00000 00017 011 1113000 2024*")</f>
        <v>305543.76</v>
      </c>
      <c r="H1690" s="35"/>
      <c r="I1690" s="35">
        <f t="shared" si="26"/>
        <v>305543.76</v>
      </c>
      <c r="K1690" t="s">
        <v>15</v>
      </c>
    </row>
    <row r="1691" spans="2:11" ht="41.25" x14ac:dyDescent="0.2">
      <c r="B1691" s="33" t="s">
        <v>2411</v>
      </c>
      <c r="C1691" s="33" t="s">
        <v>2298</v>
      </c>
      <c r="D1691"/>
      <c r="E1691" s="35">
        <f>SUMIFS(E1692:E9015,K1692:K9015,"0",B1692:B9015,"4 1 1 7 1 12 31111 6 M59 19000 000000 00000 00000 00017 011 1113000 2024 00000000*")-SUMIFS(D1692:D9015,K1692:K9015,"0",B1692:B9015,"4 1 1 7 1 12 31111 6 M59 19000 000000 00000 00000 00017 011 1113000 2024 00000000*")</f>
        <v>0</v>
      </c>
      <c r="F1691" s="35">
        <f>SUMIFS(F1692:F9015,K1692:K9015,"0",B1692:B9015,"4 1 1 7 1 12 31111 6 M59 19000 000000 00000 00000 00017 011 1113000 2024 00000000*")</f>
        <v>0</v>
      </c>
      <c r="G1691" s="35">
        <f>SUMIFS(G1692:G9015,K1692:K9015,"0",B1692:B9015,"4 1 1 7 1 12 31111 6 M59 19000 000000 00000 00000 00017 011 1113000 2024 00000000*")</f>
        <v>305543.76</v>
      </c>
      <c r="H1691" s="35"/>
      <c r="I1691" s="35">
        <f t="shared" si="26"/>
        <v>305543.76</v>
      </c>
      <c r="K1691" t="s">
        <v>15</v>
      </c>
    </row>
    <row r="1692" spans="2:11" ht="41.25" x14ac:dyDescent="0.2">
      <c r="B1692" s="33" t="s">
        <v>2412</v>
      </c>
      <c r="C1692" s="33" t="s">
        <v>2300</v>
      </c>
      <c r="D1692"/>
      <c r="E1692" s="35">
        <f>SUMIFS(E1693:E9015,K1693:K9015,"0",B1693:B9015,"4 1 1 7 1 12 31111 6 M59 19000 000000 00000 00000 00017 011 1113000 2024 00000000 004*")-SUMIFS(D1693:D9015,K1693:K9015,"0",B1693:B9015,"4 1 1 7 1 12 31111 6 M59 19000 000000 00000 00000 00017 011 1113000 2024 00000000 004*")</f>
        <v>0</v>
      </c>
      <c r="F1692" s="35">
        <f>SUMIFS(F1693:F9015,K1693:K9015,"0",B1693:B9015,"4 1 1 7 1 12 31111 6 M59 19000 000000 00000 00000 00017 011 1113000 2024 00000000 004*")</f>
        <v>0</v>
      </c>
      <c r="G1692" s="35">
        <f>SUMIFS(G1693:G9015,K1693:K9015,"0",B1693:B9015,"4 1 1 7 1 12 31111 6 M59 19000 000000 00000 00000 00017 011 1113000 2024 00000000 004*")</f>
        <v>305543.76</v>
      </c>
      <c r="H1692" s="35"/>
      <c r="I1692" s="35">
        <f t="shared" si="26"/>
        <v>305543.76</v>
      </c>
      <c r="K1692" t="s">
        <v>15</v>
      </c>
    </row>
    <row r="1693" spans="2:11" ht="49.5" x14ac:dyDescent="0.2">
      <c r="B1693" s="33" t="s">
        <v>2413</v>
      </c>
      <c r="C1693" s="33" t="s">
        <v>2396</v>
      </c>
      <c r="D1693"/>
      <c r="E1693" s="35">
        <f>SUMIFS(E1694:E9015,K1694:K9015,"0",B1694:B9015,"4 1 1 7 1 12 31111 6 M59 19000 000000 00000 00000 00017 011 1113000 2024 00000000 004 0000001*")-SUMIFS(D1694:D9015,K1694:K9015,"0",B1694:B9015,"4 1 1 7 1 12 31111 6 M59 19000 000000 00000 00000 00017 011 1113000 2024 00000000 004 0000001*")</f>
        <v>0</v>
      </c>
      <c r="F1693" s="35">
        <f>SUMIFS(F1694:F9015,K1694:K9015,"0",B1694:B9015,"4 1 1 7 1 12 31111 6 M59 19000 000000 00000 00000 00017 011 1113000 2024 00000000 004 0000001*")</f>
        <v>0</v>
      </c>
      <c r="G1693" s="35">
        <f>SUMIFS(G1694:G9015,K1694:K9015,"0",B1694:B9015,"4 1 1 7 1 12 31111 6 M59 19000 000000 00000 00000 00017 011 1113000 2024 00000000 004 0000001*")</f>
        <v>305543.76</v>
      </c>
      <c r="H1693" s="35"/>
      <c r="I1693" s="35">
        <f t="shared" si="26"/>
        <v>305543.76</v>
      </c>
      <c r="K1693" t="s">
        <v>15</v>
      </c>
    </row>
    <row r="1694" spans="2:11" ht="49.5" x14ac:dyDescent="0.2">
      <c r="B1694" s="33" t="s">
        <v>2414</v>
      </c>
      <c r="C1694" s="33" t="s">
        <v>2415</v>
      </c>
      <c r="D1694"/>
      <c r="E1694" s="35">
        <f>SUMIFS(E1695:E9015,K1695:K9015,"0",B1695:B9015,"4 1 1 7 1 12 31111 6 M59 19000 000000 00000 00000 00017 011 1113000 2024 00000000 004 0000001 00001*")-SUMIFS(D1695:D9015,K1695:K9015,"0",B1695:B9015,"4 1 1 7 1 12 31111 6 M59 19000 000000 00000 00000 00017 011 1113000 2024 00000000 004 0000001 00001*")</f>
        <v>0</v>
      </c>
      <c r="F1694" s="35">
        <f>SUMIFS(F1695:F9015,K1695:K9015,"0",B1695:B9015,"4 1 1 7 1 12 31111 6 M59 19000 000000 00000 00000 00017 011 1113000 2024 00000000 004 0000001 00001*")</f>
        <v>0</v>
      </c>
      <c r="G1694" s="35">
        <f>SUMIFS(G1695:G9015,K1695:K9015,"0",B1695:B9015,"4 1 1 7 1 12 31111 6 M59 19000 000000 00000 00000 00017 011 1113000 2024 00000000 004 0000001 00001*")</f>
        <v>305543.76</v>
      </c>
      <c r="H1694" s="35"/>
      <c r="I1694" s="35">
        <f t="shared" si="26"/>
        <v>305543.76</v>
      </c>
      <c r="K1694" t="s">
        <v>15</v>
      </c>
    </row>
    <row r="1695" spans="2:11" ht="41.25" x14ac:dyDescent="0.2">
      <c r="B1695" s="31" t="s">
        <v>2416</v>
      </c>
      <c r="C1695" s="31" t="s">
        <v>2417</v>
      </c>
      <c r="D1695" s="34"/>
      <c r="E1695" s="34">
        <v>0</v>
      </c>
      <c r="F1695" s="34">
        <v>0</v>
      </c>
      <c r="G1695" s="34">
        <v>302984.76</v>
      </c>
      <c r="H1695" s="34"/>
      <c r="I1695" s="34">
        <f t="shared" si="26"/>
        <v>302984.76</v>
      </c>
      <c r="K1695" t="s">
        <v>38</v>
      </c>
    </row>
    <row r="1696" spans="2:11" ht="41.25" x14ac:dyDescent="0.2">
      <c r="B1696" s="31" t="s">
        <v>2418</v>
      </c>
      <c r="C1696" s="31" t="s">
        <v>2419</v>
      </c>
      <c r="D1696" s="34"/>
      <c r="E1696" s="34">
        <v>0</v>
      </c>
      <c r="F1696" s="34">
        <v>0</v>
      </c>
      <c r="G1696" s="34">
        <v>2559</v>
      </c>
      <c r="H1696" s="34"/>
      <c r="I1696" s="34">
        <f t="shared" si="26"/>
        <v>2559</v>
      </c>
      <c r="K1696" t="s">
        <v>38</v>
      </c>
    </row>
    <row r="1697" spans="2:11" ht="57.75" x14ac:dyDescent="0.2">
      <c r="B1697" s="33" t="s">
        <v>2420</v>
      </c>
      <c r="C1697" s="33" t="s">
        <v>2421</v>
      </c>
      <c r="D1697"/>
      <c r="E1697" s="35">
        <f>SUMIFS(E1698:E9015,K1698:K9015,"0",B1698:B9015,"4 1 1 8*")-SUMIFS(D1698:D9015,K1698:K9015,"0",B1698:B9015,"4 1 1 8*")</f>
        <v>0</v>
      </c>
      <c r="F1697" s="35">
        <f>SUMIFS(F1698:F9015,K1698:K9015,"0",B1698:B9015,"4 1 1 8*")</f>
        <v>0</v>
      </c>
      <c r="G1697" s="35">
        <f>SUMIFS(G1698:G9015,K1698:K9015,"0",B1698:B9015,"4 1 1 8*")</f>
        <v>117142.39999999999</v>
      </c>
      <c r="H1697" s="35"/>
      <c r="I1697" s="35">
        <f t="shared" si="26"/>
        <v>117142.39999999999</v>
      </c>
      <c r="K1697" t="s">
        <v>15</v>
      </c>
    </row>
    <row r="1698" spans="2:11" ht="57.75" x14ac:dyDescent="0.2">
      <c r="B1698" s="33" t="s">
        <v>2422</v>
      </c>
      <c r="C1698" s="33" t="s">
        <v>2423</v>
      </c>
      <c r="D1698"/>
      <c r="E1698" s="35">
        <f>SUMIFS(E1699:E9015,K1699:K9015,"0",B1699:B9015,"4 1 1 8 1*")-SUMIFS(D1699:D9015,K1699:K9015,"0",B1699:B9015,"4 1 1 8 1*")</f>
        <v>0</v>
      </c>
      <c r="F1698" s="35">
        <f>SUMIFS(F1699:F9015,K1699:K9015,"0",B1699:B9015,"4 1 1 8 1*")</f>
        <v>0</v>
      </c>
      <c r="G1698" s="35">
        <f>SUMIFS(G1699:G9015,K1699:K9015,"0",B1699:B9015,"4 1 1 8 1*")</f>
        <v>117142.39999999999</v>
      </c>
      <c r="H1698" s="35"/>
      <c r="I1698" s="35">
        <f t="shared" si="26"/>
        <v>117142.39999999999</v>
      </c>
      <c r="K1698" t="s">
        <v>15</v>
      </c>
    </row>
    <row r="1699" spans="2:11" ht="12.75" x14ac:dyDescent="0.2">
      <c r="B1699" s="33" t="s">
        <v>2424</v>
      </c>
      <c r="C1699" s="33" t="s">
        <v>26</v>
      </c>
      <c r="D1699"/>
      <c r="E1699" s="35">
        <f>SUMIFS(E1700:E9015,K1700:K9015,"0",B1700:B9015,"4 1 1 8 1 12*")-SUMIFS(D1700:D9015,K1700:K9015,"0",B1700:B9015,"4 1 1 8 1 12*")</f>
        <v>0</v>
      </c>
      <c r="F1699" s="35">
        <f>SUMIFS(F1700:F9015,K1700:K9015,"0",B1700:B9015,"4 1 1 8 1 12*")</f>
        <v>0</v>
      </c>
      <c r="G1699" s="35">
        <f>SUMIFS(G1700:G9015,K1700:K9015,"0",B1700:B9015,"4 1 1 8 1 12*")</f>
        <v>117142.39999999999</v>
      </c>
      <c r="H1699" s="35"/>
      <c r="I1699" s="35">
        <f t="shared" si="26"/>
        <v>117142.39999999999</v>
      </c>
      <c r="K1699" t="s">
        <v>15</v>
      </c>
    </row>
    <row r="1700" spans="2:11" ht="16.5" x14ac:dyDescent="0.2">
      <c r="B1700" s="33" t="s">
        <v>2425</v>
      </c>
      <c r="C1700" s="33" t="s">
        <v>28</v>
      </c>
      <c r="D1700"/>
      <c r="E1700" s="35">
        <f>SUMIFS(E1701:E9015,K1701:K9015,"0",B1701:B9015,"4 1 1 8 1 12 31111*")-SUMIFS(D1701:D9015,K1701:K9015,"0",B1701:B9015,"4 1 1 8 1 12 31111*")</f>
        <v>0</v>
      </c>
      <c r="F1700" s="35">
        <f>SUMIFS(F1701:F9015,K1701:K9015,"0",B1701:B9015,"4 1 1 8 1 12 31111*")</f>
        <v>0</v>
      </c>
      <c r="G1700" s="35">
        <f>SUMIFS(G1701:G9015,K1701:K9015,"0",B1701:B9015,"4 1 1 8 1 12 31111*")</f>
        <v>117142.39999999999</v>
      </c>
      <c r="H1700" s="35"/>
      <c r="I1700" s="35">
        <f t="shared" si="26"/>
        <v>117142.39999999999</v>
      </c>
      <c r="K1700" t="s">
        <v>15</v>
      </c>
    </row>
    <row r="1701" spans="2:11" ht="12.75" x14ac:dyDescent="0.2">
      <c r="B1701" s="33" t="s">
        <v>2426</v>
      </c>
      <c r="C1701" s="33" t="s">
        <v>30</v>
      </c>
      <c r="D1701"/>
      <c r="E1701" s="35">
        <f>SUMIFS(E1702:E9015,K1702:K9015,"0",B1702:B9015,"4 1 1 8 1 12 31111 6*")-SUMIFS(D1702:D9015,K1702:K9015,"0",B1702:B9015,"4 1 1 8 1 12 31111 6*")</f>
        <v>0</v>
      </c>
      <c r="F1701" s="35">
        <f>SUMIFS(F1702:F9015,K1702:K9015,"0",B1702:B9015,"4 1 1 8 1 12 31111 6*")</f>
        <v>0</v>
      </c>
      <c r="G1701" s="35">
        <f>SUMIFS(G1702:G9015,K1702:K9015,"0",B1702:B9015,"4 1 1 8 1 12 31111 6*")</f>
        <v>117142.39999999999</v>
      </c>
      <c r="H1701" s="35"/>
      <c r="I1701" s="35">
        <f t="shared" si="26"/>
        <v>117142.39999999999</v>
      </c>
      <c r="K1701" t="s">
        <v>15</v>
      </c>
    </row>
    <row r="1702" spans="2:11" ht="16.5" x14ac:dyDescent="0.2">
      <c r="B1702" s="33" t="s">
        <v>2427</v>
      </c>
      <c r="C1702" s="33" t="s">
        <v>2284</v>
      </c>
      <c r="D1702"/>
      <c r="E1702" s="35">
        <f>SUMIFS(E1703:E9015,K1703:K9015,"0",B1703:B9015,"4 1 1 8 1 12 31111 6 M59*")-SUMIFS(D1703:D9015,K1703:K9015,"0",B1703:B9015,"4 1 1 8 1 12 31111 6 M59*")</f>
        <v>0</v>
      </c>
      <c r="F1702" s="35">
        <f>SUMIFS(F1703:F9015,K1703:K9015,"0",B1703:B9015,"4 1 1 8 1 12 31111 6 M59*")</f>
        <v>0</v>
      </c>
      <c r="G1702" s="35">
        <f>SUMIFS(G1703:G9015,K1703:K9015,"0",B1703:B9015,"4 1 1 8 1 12 31111 6 M59*")</f>
        <v>117142.39999999999</v>
      </c>
      <c r="H1702" s="35"/>
      <c r="I1702" s="35">
        <f t="shared" si="26"/>
        <v>117142.39999999999</v>
      </c>
      <c r="K1702" t="s">
        <v>15</v>
      </c>
    </row>
    <row r="1703" spans="2:11" ht="16.5" x14ac:dyDescent="0.2">
      <c r="B1703" s="33" t="s">
        <v>2428</v>
      </c>
      <c r="C1703" s="33" t="s">
        <v>1044</v>
      </c>
      <c r="D1703"/>
      <c r="E1703" s="35">
        <f>SUMIFS(E1704:E9015,K1704:K9015,"0",B1704:B9015,"4 1 1 8 1 12 31111 6 M59 19000*")-SUMIFS(D1704:D9015,K1704:K9015,"0",B1704:B9015,"4 1 1 8 1 12 31111 6 M59 19000*")</f>
        <v>0</v>
      </c>
      <c r="F1703" s="35">
        <f>SUMIFS(F1704:F9015,K1704:K9015,"0",B1704:B9015,"4 1 1 8 1 12 31111 6 M59 19000*")</f>
        <v>0</v>
      </c>
      <c r="G1703" s="35">
        <f>SUMIFS(G1704:G9015,K1704:K9015,"0",B1704:B9015,"4 1 1 8 1 12 31111 6 M59 19000*")</f>
        <v>117142.39999999999</v>
      </c>
      <c r="H1703" s="35"/>
      <c r="I1703" s="35">
        <f t="shared" si="26"/>
        <v>117142.39999999999</v>
      </c>
      <c r="K1703" t="s">
        <v>15</v>
      </c>
    </row>
    <row r="1704" spans="2:11" ht="16.5" x14ac:dyDescent="0.2">
      <c r="B1704" s="33" t="s">
        <v>2429</v>
      </c>
      <c r="C1704" s="33" t="s">
        <v>2287</v>
      </c>
      <c r="D1704"/>
      <c r="E1704" s="35">
        <f>SUMIFS(E1705:E9015,K1705:K9015,"0",B1705:B9015,"4 1 1 8 1 12 31111 6 M59 19000 000000*")-SUMIFS(D1705:D9015,K1705:K9015,"0",B1705:B9015,"4 1 1 8 1 12 31111 6 M59 19000 000000*")</f>
        <v>0</v>
      </c>
      <c r="F1704" s="35">
        <f>SUMIFS(F1705:F9015,K1705:K9015,"0",B1705:B9015,"4 1 1 8 1 12 31111 6 M59 19000 000000*")</f>
        <v>0</v>
      </c>
      <c r="G1704" s="35">
        <f>SUMIFS(G1705:G9015,K1705:K9015,"0",B1705:B9015,"4 1 1 8 1 12 31111 6 M59 19000 000000*")</f>
        <v>117142.39999999999</v>
      </c>
      <c r="H1704" s="35"/>
      <c r="I1704" s="35">
        <f t="shared" si="26"/>
        <v>117142.39999999999</v>
      </c>
      <c r="K1704" t="s">
        <v>15</v>
      </c>
    </row>
    <row r="1705" spans="2:11" ht="16.5" x14ac:dyDescent="0.2">
      <c r="B1705" s="33" t="s">
        <v>2430</v>
      </c>
      <c r="C1705" s="33" t="s">
        <v>2289</v>
      </c>
      <c r="D1705"/>
      <c r="E1705" s="35">
        <f>SUMIFS(E1706:E9015,K1706:K9015,"0",B1706:B9015,"4 1 1 8 1 12 31111 6 M59 19000 000000 00000*")-SUMIFS(D1706:D9015,K1706:K9015,"0",B1706:B9015,"4 1 1 8 1 12 31111 6 M59 19000 000000 00000*")</f>
        <v>0</v>
      </c>
      <c r="F1705" s="35">
        <f>SUMIFS(F1706:F9015,K1706:K9015,"0",B1706:B9015,"4 1 1 8 1 12 31111 6 M59 19000 000000 00000*")</f>
        <v>0</v>
      </c>
      <c r="G1705" s="35">
        <f>SUMIFS(G1706:G9015,K1706:K9015,"0",B1706:B9015,"4 1 1 8 1 12 31111 6 M59 19000 000000 00000*")</f>
        <v>117142.39999999999</v>
      </c>
      <c r="H1705" s="35"/>
      <c r="I1705" s="35">
        <f t="shared" si="26"/>
        <v>117142.39999999999</v>
      </c>
      <c r="K1705" t="s">
        <v>15</v>
      </c>
    </row>
    <row r="1706" spans="2:11" ht="24.75" x14ac:dyDescent="0.2">
      <c r="B1706" s="33" t="s">
        <v>2431</v>
      </c>
      <c r="C1706" s="33" t="s">
        <v>2291</v>
      </c>
      <c r="D1706"/>
      <c r="E1706" s="35">
        <f>SUMIFS(E1707:E9015,K1707:K9015,"0",B1707:B9015,"4 1 1 8 1 12 31111 6 M59 19000 000000 00000 00000*")-SUMIFS(D1707:D9015,K1707:K9015,"0",B1707:B9015,"4 1 1 8 1 12 31111 6 M59 19000 000000 00000 00000*")</f>
        <v>0</v>
      </c>
      <c r="F1706" s="35">
        <f>SUMIFS(F1707:F9015,K1707:K9015,"0",B1707:B9015,"4 1 1 8 1 12 31111 6 M59 19000 000000 00000 00000*")</f>
        <v>0</v>
      </c>
      <c r="G1706" s="35">
        <f>SUMIFS(G1707:G9015,K1707:K9015,"0",B1707:B9015,"4 1 1 8 1 12 31111 6 M59 19000 000000 00000 00000*")</f>
        <v>117142.39999999999</v>
      </c>
      <c r="H1706" s="35"/>
      <c r="I1706" s="35">
        <f t="shared" si="26"/>
        <v>117142.39999999999</v>
      </c>
      <c r="K1706" t="s">
        <v>15</v>
      </c>
    </row>
    <row r="1707" spans="2:11" ht="57.75" x14ac:dyDescent="0.2">
      <c r="B1707" s="33" t="s">
        <v>2432</v>
      </c>
      <c r="C1707" s="33" t="s">
        <v>2433</v>
      </c>
      <c r="D1707"/>
      <c r="E1707" s="35">
        <f>SUMIFS(E1708:E9015,K1708:K9015,"0",B1708:B9015,"4 1 1 8 1 12 31111 6 M59 19000 000000 00000 00000 00019*")-SUMIFS(D1708:D9015,K1708:K9015,"0",B1708:B9015,"4 1 1 8 1 12 31111 6 M59 19000 000000 00000 00000 00019*")</f>
        <v>0</v>
      </c>
      <c r="F1707" s="35">
        <f>SUMIFS(F1708:F9015,K1708:K9015,"0",B1708:B9015,"4 1 1 8 1 12 31111 6 M59 19000 000000 00000 00000 00019*")</f>
        <v>0</v>
      </c>
      <c r="G1707" s="35">
        <f>SUMIFS(G1708:G9015,K1708:K9015,"0",B1708:B9015,"4 1 1 8 1 12 31111 6 M59 19000 000000 00000 00000 00019*")</f>
        <v>117142.39999999999</v>
      </c>
      <c r="H1707" s="35"/>
      <c r="I1707" s="35">
        <f t="shared" si="26"/>
        <v>117142.39999999999</v>
      </c>
      <c r="K1707" t="s">
        <v>15</v>
      </c>
    </row>
    <row r="1708" spans="2:11" ht="24.75" x14ac:dyDescent="0.2">
      <c r="B1708" s="33" t="s">
        <v>2434</v>
      </c>
      <c r="C1708" s="33" t="s">
        <v>699</v>
      </c>
      <c r="D1708"/>
      <c r="E1708" s="35">
        <f>SUMIFS(E1709:E9015,K1709:K9015,"0",B1709:B9015,"4 1 1 8 1 12 31111 6 M59 19000 000000 00000 00000 00019 011*")-SUMIFS(D1709:D9015,K1709:K9015,"0",B1709:B9015,"4 1 1 8 1 12 31111 6 M59 19000 000000 00000 00000 00019 011*")</f>
        <v>0</v>
      </c>
      <c r="F1708" s="35">
        <f>SUMIFS(F1709:F9015,K1709:K9015,"0",B1709:B9015,"4 1 1 8 1 12 31111 6 M59 19000 000000 00000 00000 00019 011*")</f>
        <v>0</v>
      </c>
      <c r="G1708" s="35">
        <f>SUMIFS(G1709:G9015,K1709:K9015,"0",B1709:B9015,"4 1 1 8 1 12 31111 6 M59 19000 000000 00000 00000 00019 011*")</f>
        <v>117142.39999999999</v>
      </c>
      <c r="H1708" s="35"/>
      <c r="I1708" s="35">
        <f t="shared" si="26"/>
        <v>117142.39999999999</v>
      </c>
      <c r="K1708" t="s">
        <v>15</v>
      </c>
    </row>
    <row r="1709" spans="2:11" ht="33" x14ac:dyDescent="0.2">
      <c r="B1709" s="33" t="s">
        <v>2435</v>
      </c>
      <c r="C1709" s="33" t="s">
        <v>2436</v>
      </c>
      <c r="D1709"/>
      <c r="E1709" s="35">
        <f>SUMIFS(E1710:E9015,K1710:K9015,"0",B1710:B9015,"4 1 1 8 1 12 31111 6 M59 19000 000000 00000 00000 00019 011 0000000*")-SUMIFS(D1710:D9015,K1710:K9015,"0",B1710:B9015,"4 1 1 8 1 12 31111 6 M59 19000 000000 00000 00000 00019 011 0000000*")</f>
        <v>0</v>
      </c>
      <c r="F1709" s="35">
        <f>SUMIFS(F1710:F9015,K1710:K9015,"0",B1710:B9015,"4 1 1 8 1 12 31111 6 M59 19000 000000 00000 00000 00019 011 0000000*")</f>
        <v>0</v>
      </c>
      <c r="G1709" s="35">
        <f>SUMIFS(G1710:G9015,K1710:K9015,"0",B1710:B9015,"4 1 1 8 1 12 31111 6 M59 19000 000000 00000 00000 00019 011 0000000*")</f>
        <v>117142.39999999999</v>
      </c>
      <c r="H1709" s="35"/>
      <c r="I1709" s="35">
        <f t="shared" si="26"/>
        <v>117142.39999999999</v>
      </c>
      <c r="K1709" t="s">
        <v>15</v>
      </c>
    </row>
    <row r="1710" spans="2:11" ht="33" x14ac:dyDescent="0.2">
      <c r="B1710" s="33" t="s">
        <v>2437</v>
      </c>
      <c r="C1710" s="33" t="s">
        <v>660</v>
      </c>
      <c r="D1710"/>
      <c r="E1710" s="35">
        <f>SUMIFS(E1711:E9015,K1711:K9015,"0",B1711:B9015,"4 1 1 8 1 12 31111 6 M59 19000 000000 00000 00000 00019 011 0000000 2024*")-SUMIFS(D1711:D9015,K1711:K9015,"0",B1711:B9015,"4 1 1 8 1 12 31111 6 M59 19000 000000 00000 00000 00019 011 0000000 2024*")</f>
        <v>0</v>
      </c>
      <c r="F1710" s="35">
        <f>SUMIFS(F1711:F9015,K1711:K9015,"0",B1711:B9015,"4 1 1 8 1 12 31111 6 M59 19000 000000 00000 00000 00019 011 0000000 2024*")</f>
        <v>0</v>
      </c>
      <c r="G1710" s="35">
        <f>SUMIFS(G1711:G9015,K1711:K9015,"0",B1711:B9015,"4 1 1 8 1 12 31111 6 M59 19000 000000 00000 00000 00019 011 0000000 2024*")</f>
        <v>117142.39999999999</v>
      </c>
      <c r="H1710" s="35"/>
      <c r="I1710" s="35">
        <f t="shared" si="26"/>
        <v>117142.39999999999</v>
      </c>
      <c r="K1710" t="s">
        <v>15</v>
      </c>
    </row>
    <row r="1711" spans="2:11" ht="41.25" x14ac:dyDescent="0.2">
      <c r="B1711" s="33" t="s">
        <v>2438</v>
      </c>
      <c r="C1711" s="33" t="s">
        <v>2298</v>
      </c>
      <c r="D1711"/>
      <c r="E1711" s="35">
        <f>SUMIFS(E1712:E9015,K1712:K9015,"0",B1712:B9015,"4 1 1 8 1 12 31111 6 M59 19000 000000 00000 00000 00019 011 0000000 2024 00000000*")-SUMIFS(D1712:D9015,K1712:K9015,"0",B1712:B9015,"4 1 1 8 1 12 31111 6 M59 19000 000000 00000 00000 00019 011 0000000 2024 00000000*")</f>
        <v>0</v>
      </c>
      <c r="F1711" s="35">
        <f>SUMIFS(F1712:F9015,K1712:K9015,"0",B1712:B9015,"4 1 1 8 1 12 31111 6 M59 19000 000000 00000 00000 00019 011 0000000 2024 00000000*")</f>
        <v>0</v>
      </c>
      <c r="G1711" s="35">
        <f>SUMIFS(G1712:G9015,K1712:K9015,"0",B1712:B9015,"4 1 1 8 1 12 31111 6 M59 19000 000000 00000 00000 00019 011 0000000 2024 00000000*")</f>
        <v>117142.39999999999</v>
      </c>
      <c r="H1711" s="35"/>
      <c r="I1711" s="35">
        <f t="shared" ref="I1711:I1774" si="27">E1711 - F1711 + G1711</f>
        <v>117142.39999999999</v>
      </c>
      <c r="K1711" t="s">
        <v>15</v>
      </c>
    </row>
    <row r="1712" spans="2:11" ht="41.25" x14ac:dyDescent="0.2">
      <c r="B1712" s="33" t="s">
        <v>2439</v>
      </c>
      <c r="C1712" s="33" t="s">
        <v>46</v>
      </c>
      <c r="D1712"/>
      <c r="E1712" s="35">
        <f>SUMIFS(E1713:E9015,K1713:K9015,"0",B1713:B9015,"4 1 1 8 1 12 31111 6 M59 19000 000000 00000 00000 00019 011 0000000 2024 00000000 004*")-SUMIFS(D1713:D9015,K1713:K9015,"0",B1713:B9015,"4 1 1 8 1 12 31111 6 M59 19000 000000 00000 00000 00019 011 0000000 2024 00000000 004*")</f>
        <v>0</v>
      </c>
      <c r="F1712" s="35">
        <f>SUMIFS(F1713:F9015,K1713:K9015,"0",B1713:B9015,"4 1 1 8 1 12 31111 6 M59 19000 000000 00000 00000 00019 011 0000000 2024 00000000 004*")</f>
        <v>0</v>
      </c>
      <c r="G1712" s="35">
        <f>SUMIFS(G1713:G9015,K1713:K9015,"0",B1713:B9015,"4 1 1 8 1 12 31111 6 M59 19000 000000 00000 00000 00019 011 0000000 2024 00000000 004*")</f>
        <v>117142.39999999999</v>
      </c>
      <c r="H1712" s="35"/>
      <c r="I1712" s="35">
        <f t="shared" si="27"/>
        <v>117142.39999999999</v>
      </c>
      <c r="K1712" t="s">
        <v>15</v>
      </c>
    </row>
    <row r="1713" spans="2:11" ht="49.5" x14ac:dyDescent="0.2">
      <c r="B1713" s="33" t="s">
        <v>2440</v>
      </c>
      <c r="C1713" s="33" t="s">
        <v>2441</v>
      </c>
      <c r="D1713"/>
      <c r="E1713" s="35">
        <f>SUMIFS(E1714:E9015,K1714:K9015,"0",B1714:B9015,"4 1 1 8 1 12 31111 6 M59 19000 000000 00000 00000 00019 011 0000000 2024 00000000 004 0000001*")-SUMIFS(D1714:D9015,K1714:K9015,"0",B1714:B9015,"4 1 1 8 1 12 31111 6 M59 19000 000000 00000 00000 00019 011 0000000 2024 00000000 004 0000001*")</f>
        <v>0</v>
      </c>
      <c r="F1713" s="35">
        <f>SUMIFS(F1714:F9015,K1714:K9015,"0",B1714:B9015,"4 1 1 8 1 12 31111 6 M59 19000 000000 00000 00000 00019 011 0000000 2024 00000000 004 0000001*")</f>
        <v>0</v>
      </c>
      <c r="G1713" s="35">
        <f>SUMIFS(G1714:G9015,K1714:K9015,"0",B1714:B9015,"4 1 1 8 1 12 31111 6 M59 19000 000000 00000 00000 00019 011 0000000 2024 00000000 004 0000001*")</f>
        <v>117142.39999999999</v>
      </c>
      <c r="H1713" s="35"/>
      <c r="I1713" s="35">
        <f t="shared" si="27"/>
        <v>117142.39999999999</v>
      </c>
      <c r="K1713" t="s">
        <v>15</v>
      </c>
    </row>
    <row r="1714" spans="2:11" ht="41.25" x14ac:dyDescent="0.2">
      <c r="B1714" s="31" t="s">
        <v>2442</v>
      </c>
      <c r="C1714" s="31" t="s">
        <v>2441</v>
      </c>
      <c r="D1714" s="34"/>
      <c r="E1714" s="34">
        <v>0</v>
      </c>
      <c r="F1714" s="34">
        <v>0</v>
      </c>
      <c r="G1714" s="34">
        <v>117142.39999999999</v>
      </c>
      <c r="H1714" s="34"/>
      <c r="I1714" s="34">
        <f t="shared" si="27"/>
        <v>117142.39999999999</v>
      </c>
      <c r="K1714" t="s">
        <v>38</v>
      </c>
    </row>
    <row r="1715" spans="2:11" ht="12.75" x14ac:dyDescent="0.2">
      <c r="B1715" s="33" t="s">
        <v>2443</v>
      </c>
      <c r="C1715" s="33" t="s">
        <v>2444</v>
      </c>
      <c r="D1715"/>
      <c r="E1715" s="35">
        <f>SUMIFS(E1716:E9015,K1716:K9015,"0",B1716:B9015,"4 1 1 9*")-SUMIFS(D1716:D9015,K1716:K9015,"0",B1716:B9015,"4 1 1 9*")</f>
        <v>0</v>
      </c>
      <c r="F1715" s="35">
        <f>SUMIFS(F1716:F9015,K1716:K9015,"0",B1716:B9015,"4 1 1 9*")</f>
        <v>0</v>
      </c>
      <c r="G1715" s="35">
        <f>SUMIFS(G1716:G9015,K1716:K9015,"0",B1716:B9015,"4 1 1 9*")</f>
        <v>62269.46</v>
      </c>
      <c r="H1715" s="35"/>
      <c r="I1715" s="35">
        <f t="shared" si="27"/>
        <v>62269.46</v>
      </c>
      <c r="K1715" t="s">
        <v>15</v>
      </c>
    </row>
    <row r="1716" spans="2:11" ht="12.75" x14ac:dyDescent="0.2">
      <c r="B1716" s="33" t="s">
        <v>2445</v>
      </c>
      <c r="C1716" s="33" t="s">
        <v>2444</v>
      </c>
      <c r="D1716"/>
      <c r="E1716" s="35">
        <f>SUMIFS(E1717:E9015,K1717:K9015,"0",B1717:B9015,"4 1 1 9 1*")-SUMIFS(D1717:D9015,K1717:K9015,"0",B1717:B9015,"4 1 1 9 1*")</f>
        <v>0</v>
      </c>
      <c r="F1716" s="35">
        <f>SUMIFS(F1717:F9015,K1717:K9015,"0",B1717:B9015,"4 1 1 9 1*")</f>
        <v>0</v>
      </c>
      <c r="G1716" s="35">
        <f>SUMIFS(G1717:G9015,K1717:K9015,"0",B1717:B9015,"4 1 1 9 1*")</f>
        <v>62269.46</v>
      </c>
      <c r="H1716" s="35"/>
      <c r="I1716" s="35">
        <f t="shared" si="27"/>
        <v>62269.46</v>
      </c>
      <c r="K1716" t="s">
        <v>15</v>
      </c>
    </row>
    <row r="1717" spans="2:11" ht="12.75" x14ac:dyDescent="0.2">
      <c r="B1717" s="33" t="s">
        <v>2446</v>
      </c>
      <c r="C1717" s="33" t="s">
        <v>26</v>
      </c>
      <c r="D1717"/>
      <c r="E1717" s="35">
        <f>SUMIFS(E1718:E9015,K1718:K9015,"0",B1718:B9015,"4 1 1 9 1 12*")-SUMIFS(D1718:D9015,K1718:K9015,"0",B1718:B9015,"4 1 1 9 1 12*")</f>
        <v>0</v>
      </c>
      <c r="F1717" s="35">
        <f>SUMIFS(F1718:F9015,K1718:K9015,"0",B1718:B9015,"4 1 1 9 1 12*")</f>
        <v>0</v>
      </c>
      <c r="G1717" s="35">
        <f>SUMIFS(G1718:G9015,K1718:K9015,"0",B1718:B9015,"4 1 1 9 1 12*")</f>
        <v>62269.46</v>
      </c>
      <c r="H1717" s="35"/>
      <c r="I1717" s="35">
        <f t="shared" si="27"/>
        <v>62269.46</v>
      </c>
      <c r="K1717" t="s">
        <v>15</v>
      </c>
    </row>
    <row r="1718" spans="2:11" ht="16.5" x14ac:dyDescent="0.2">
      <c r="B1718" s="33" t="s">
        <v>2447</v>
      </c>
      <c r="C1718" s="33" t="s">
        <v>28</v>
      </c>
      <c r="D1718"/>
      <c r="E1718" s="35">
        <f>SUMIFS(E1719:E9015,K1719:K9015,"0",B1719:B9015,"4 1 1 9 1 12 31111*")-SUMIFS(D1719:D9015,K1719:K9015,"0",B1719:B9015,"4 1 1 9 1 12 31111*")</f>
        <v>0</v>
      </c>
      <c r="F1718" s="35">
        <f>SUMIFS(F1719:F9015,K1719:K9015,"0",B1719:B9015,"4 1 1 9 1 12 31111*")</f>
        <v>0</v>
      </c>
      <c r="G1718" s="35">
        <f>SUMIFS(G1719:G9015,K1719:K9015,"0",B1719:B9015,"4 1 1 9 1 12 31111*")</f>
        <v>62269.46</v>
      </c>
      <c r="H1718" s="35"/>
      <c r="I1718" s="35">
        <f t="shared" si="27"/>
        <v>62269.46</v>
      </c>
      <c r="K1718" t="s">
        <v>15</v>
      </c>
    </row>
    <row r="1719" spans="2:11" ht="12.75" x14ac:dyDescent="0.2">
      <c r="B1719" s="33" t="s">
        <v>2448</v>
      </c>
      <c r="C1719" s="33" t="s">
        <v>30</v>
      </c>
      <c r="D1719"/>
      <c r="E1719" s="35">
        <f>SUMIFS(E1720:E9015,K1720:K9015,"0",B1720:B9015,"4 1 1 9 1 12 31111 6*")-SUMIFS(D1720:D9015,K1720:K9015,"0",B1720:B9015,"4 1 1 9 1 12 31111 6*")</f>
        <v>0</v>
      </c>
      <c r="F1719" s="35">
        <f>SUMIFS(F1720:F9015,K1720:K9015,"0",B1720:B9015,"4 1 1 9 1 12 31111 6*")</f>
        <v>0</v>
      </c>
      <c r="G1719" s="35">
        <f>SUMIFS(G1720:G9015,K1720:K9015,"0",B1720:B9015,"4 1 1 9 1 12 31111 6*")</f>
        <v>62269.46</v>
      </c>
      <c r="H1719" s="35"/>
      <c r="I1719" s="35">
        <f t="shared" si="27"/>
        <v>62269.46</v>
      </c>
      <c r="K1719" t="s">
        <v>15</v>
      </c>
    </row>
    <row r="1720" spans="2:11" ht="16.5" x14ac:dyDescent="0.2">
      <c r="B1720" s="33" t="s">
        <v>2449</v>
      </c>
      <c r="C1720" s="33" t="s">
        <v>2284</v>
      </c>
      <c r="D1720"/>
      <c r="E1720" s="35">
        <f>SUMIFS(E1721:E9015,K1721:K9015,"0",B1721:B9015,"4 1 1 9 1 12 31111 6 M59*")-SUMIFS(D1721:D9015,K1721:K9015,"0",B1721:B9015,"4 1 1 9 1 12 31111 6 M59*")</f>
        <v>0</v>
      </c>
      <c r="F1720" s="35">
        <f>SUMIFS(F1721:F9015,K1721:K9015,"0",B1721:B9015,"4 1 1 9 1 12 31111 6 M59*")</f>
        <v>0</v>
      </c>
      <c r="G1720" s="35">
        <f>SUMIFS(G1721:G9015,K1721:K9015,"0",B1721:B9015,"4 1 1 9 1 12 31111 6 M59*")</f>
        <v>62269.46</v>
      </c>
      <c r="H1720" s="35"/>
      <c r="I1720" s="35">
        <f t="shared" si="27"/>
        <v>62269.46</v>
      </c>
      <c r="K1720" t="s">
        <v>15</v>
      </c>
    </row>
    <row r="1721" spans="2:11" ht="16.5" x14ac:dyDescent="0.2">
      <c r="B1721" s="33" t="s">
        <v>2450</v>
      </c>
      <c r="C1721" s="33" t="s">
        <v>1044</v>
      </c>
      <c r="D1721"/>
      <c r="E1721" s="35">
        <f>SUMIFS(E1722:E9015,K1722:K9015,"0",B1722:B9015,"4 1 1 9 1 12 31111 6 M59 19000*")-SUMIFS(D1722:D9015,K1722:K9015,"0",B1722:B9015,"4 1 1 9 1 12 31111 6 M59 19000*")</f>
        <v>0</v>
      </c>
      <c r="F1721" s="35">
        <f>SUMIFS(F1722:F9015,K1722:K9015,"0",B1722:B9015,"4 1 1 9 1 12 31111 6 M59 19000*")</f>
        <v>0</v>
      </c>
      <c r="G1721" s="35">
        <f>SUMIFS(G1722:G9015,K1722:K9015,"0",B1722:B9015,"4 1 1 9 1 12 31111 6 M59 19000*")</f>
        <v>62269.46</v>
      </c>
      <c r="H1721" s="35"/>
      <c r="I1721" s="35">
        <f t="shared" si="27"/>
        <v>62269.46</v>
      </c>
      <c r="K1721" t="s">
        <v>15</v>
      </c>
    </row>
    <row r="1722" spans="2:11" ht="16.5" x14ac:dyDescent="0.2">
      <c r="B1722" s="33" t="s">
        <v>2451</v>
      </c>
      <c r="C1722" s="33" t="s">
        <v>2287</v>
      </c>
      <c r="D1722"/>
      <c r="E1722" s="35">
        <f>SUMIFS(E1723:E9015,K1723:K9015,"0",B1723:B9015,"4 1 1 9 1 12 31111 6 M59 19000 000000*")-SUMIFS(D1723:D9015,K1723:K9015,"0",B1723:B9015,"4 1 1 9 1 12 31111 6 M59 19000 000000*")</f>
        <v>0</v>
      </c>
      <c r="F1722" s="35">
        <f>SUMIFS(F1723:F9015,K1723:K9015,"0",B1723:B9015,"4 1 1 9 1 12 31111 6 M59 19000 000000*")</f>
        <v>0</v>
      </c>
      <c r="G1722" s="35">
        <f>SUMIFS(G1723:G9015,K1723:K9015,"0",B1723:B9015,"4 1 1 9 1 12 31111 6 M59 19000 000000*")</f>
        <v>62269.46</v>
      </c>
      <c r="H1722" s="35"/>
      <c r="I1722" s="35">
        <f t="shared" si="27"/>
        <v>62269.46</v>
      </c>
      <c r="K1722" t="s">
        <v>15</v>
      </c>
    </row>
    <row r="1723" spans="2:11" ht="16.5" x14ac:dyDescent="0.2">
      <c r="B1723" s="33" t="s">
        <v>2452</v>
      </c>
      <c r="C1723" s="33" t="s">
        <v>2289</v>
      </c>
      <c r="D1723"/>
      <c r="E1723" s="35">
        <f>SUMIFS(E1724:E9015,K1724:K9015,"0",B1724:B9015,"4 1 1 9 1 12 31111 6 M59 19000 000000 00000*")-SUMIFS(D1724:D9015,K1724:K9015,"0",B1724:B9015,"4 1 1 9 1 12 31111 6 M59 19000 000000 00000*")</f>
        <v>0</v>
      </c>
      <c r="F1723" s="35">
        <f>SUMIFS(F1724:F9015,K1724:K9015,"0",B1724:B9015,"4 1 1 9 1 12 31111 6 M59 19000 000000 00000*")</f>
        <v>0</v>
      </c>
      <c r="G1723" s="35">
        <f>SUMIFS(G1724:G9015,K1724:K9015,"0",B1724:B9015,"4 1 1 9 1 12 31111 6 M59 19000 000000 00000*")</f>
        <v>62269.46</v>
      </c>
      <c r="H1723" s="35"/>
      <c r="I1723" s="35">
        <f t="shared" si="27"/>
        <v>62269.46</v>
      </c>
      <c r="K1723" t="s">
        <v>15</v>
      </c>
    </row>
    <row r="1724" spans="2:11" ht="24.75" x14ac:dyDescent="0.2">
      <c r="B1724" s="33" t="s">
        <v>2453</v>
      </c>
      <c r="C1724" s="33" t="s">
        <v>2291</v>
      </c>
      <c r="D1724"/>
      <c r="E1724" s="35">
        <f>SUMIFS(E1725:E9015,K1725:K9015,"0",B1725:B9015,"4 1 1 9 1 12 31111 6 M59 19000 000000 00000 00000*")-SUMIFS(D1725:D9015,K1725:K9015,"0",B1725:B9015,"4 1 1 9 1 12 31111 6 M59 19000 000000 00000 00000*")</f>
        <v>0</v>
      </c>
      <c r="F1724" s="35">
        <f>SUMIFS(F1725:F9015,K1725:K9015,"0",B1725:B9015,"4 1 1 9 1 12 31111 6 M59 19000 000000 00000 00000*")</f>
        <v>0</v>
      </c>
      <c r="G1724" s="35">
        <f>SUMIFS(G1725:G9015,K1725:K9015,"0",B1725:B9015,"4 1 1 9 1 12 31111 6 M59 19000 000000 00000 00000*")</f>
        <v>62269.46</v>
      </c>
      <c r="H1724" s="35"/>
      <c r="I1724" s="35">
        <f t="shared" si="27"/>
        <v>62269.46</v>
      </c>
      <c r="K1724" t="s">
        <v>15</v>
      </c>
    </row>
    <row r="1725" spans="2:11" ht="24.75" x14ac:dyDescent="0.2">
      <c r="B1725" s="33" t="s">
        <v>2454</v>
      </c>
      <c r="C1725" s="33" t="s">
        <v>2444</v>
      </c>
      <c r="D1725"/>
      <c r="E1725" s="35">
        <f>SUMIFS(E1726:E9015,K1726:K9015,"0",B1726:B9015,"4 1 1 9 1 12 31111 6 M59 19000 000000 00000 00000 00018*")-SUMIFS(D1726:D9015,K1726:K9015,"0",B1726:B9015,"4 1 1 9 1 12 31111 6 M59 19000 000000 00000 00000 00018*")</f>
        <v>0</v>
      </c>
      <c r="F1725" s="35">
        <f>SUMIFS(F1726:F9015,K1726:K9015,"0",B1726:B9015,"4 1 1 9 1 12 31111 6 M59 19000 000000 00000 00000 00018*")</f>
        <v>0</v>
      </c>
      <c r="G1725" s="35">
        <f>SUMIFS(G1726:G9015,K1726:K9015,"0",B1726:B9015,"4 1 1 9 1 12 31111 6 M59 19000 000000 00000 00000 00018*")</f>
        <v>62269.46</v>
      </c>
      <c r="H1725" s="35"/>
      <c r="I1725" s="35">
        <f t="shared" si="27"/>
        <v>62269.46</v>
      </c>
      <c r="K1725" t="s">
        <v>15</v>
      </c>
    </row>
    <row r="1726" spans="2:11" ht="24.75" x14ac:dyDescent="0.2">
      <c r="B1726" s="33" t="s">
        <v>2455</v>
      </c>
      <c r="C1726" s="33" t="s">
        <v>699</v>
      </c>
      <c r="D1726"/>
      <c r="E1726" s="35">
        <f>SUMIFS(E1727:E9015,K1727:K9015,"0",B1727:B9015,"4 1 1 9 1 12 31111 6 M59 19000 000000 00000 00000 00018 011*")-SUMIFS(D1727:D9015,K1727:K9015,"0",B1727:B9015,"4 1 1 9 1 12 31111 6 M59 19000 000000 00000 00000 00018 011*")</f>
        <v>0</v>
      </c>
      <c r="F1726" s="35">
        <f>SUMIFS(F1727:F9015,K1727:K9015,"0",B1727:B9015,"4 1 1 9 1 12 31111 6 M59 19000 000000 00000 00000 00018 011*")</f>
        <v>0</v>
      </c>
      <c r="G1726" s="35">
        <f>SUMIFS(G1727:G9015,K1727:K9015,"0",B1727:B9015,"4 1 1 9 1 12 31111 6 M59 19000 000000 00000 00000 00018 011*")</f>
        <v>62269.46</v>
      </c>
      <c r="H1726" s="35"/>
      <c r="I1726" s="35">
        <f t="shared" si="27"/>
        <v>62269.46</v>
      </c>
      <c r="K1726" t="s">
        <v>15</v>
      </c>
    </row>
    <row r="1727" spans="2:11" ht="33" x14ac:dyDescent="0.2">
      <c r="B1727" s="33" t="s">
        <v>2456</v>
      </c>
      <c r="C1727" s="33" t="s">
        <v>2444</v>
      </c>
      <c r="D1727"/>
      <c r="E1727" s="35">
        <f>SUMIFS(E1728:E9015,K1728:K9015,"0",B1728:B9015,"4 1 1 9 1 12 31111 6 M59 19000 000000 00000 00000 00018 011 1118000*")-SUMIFS(D1728:D9015,K1728:K9015,"0",B1728:B9015,"4 1 1 9 1 12 31111 6 M59 19000 000000 00000 00000 00018 011 1118000*")</f>
        <v>0</v>
      </c>
      <c r="F1727" s="35">
        <f>SUMIFS(F1728:F9015,K1728:K9015,"0",B1728:B9015,"4 1 1 9 1 12 31111 6 M59 19000 000000 00000 00000 00018 011 1118000*")</f>
        <v>0</v>
      </c>
      <c r="G1727" s="35">
        <f>SUMIFS(G1728:G9015,K1728:K9015,"0",B1728:B9015,"4 1 1 9 1 12 31111 6 M59 19000 000000 00000 00000 00018 011 1118000*")</f>
        <v>62269.46</v>
      </c>
      <c r="H1727" s="35"/>
      <c r="I1727" s="35">
        <f t="shared" si="27"/>
        <v>62269.46</v>
      </c>
      <c r="K1727" t="s">
        <v>15</v>
      </c>
    </row>
    <row r="1728" spans="2:11" ht="33" x14ac:dyDescent="0.2">
      <c r="B1728" s="33" t="s">
        <v>2457</v>
      </c>
      <c r="C1728" s="33" t="s">
        <v>660</v>
      </c>
      <c r="D1728"/>
      <c r="E1728" s="35">
        <f>SUMIFS(E1729:E9015,K1729:K9015,"0",B1729:B9015,"4 1 1 9 1 12 31111 6 M59 19000 000000 00000 00000 00018 011 1118000 2024*")-SUMIFS(D1729:D9015,K1729:K9015,"0",B1729:B9015,"4 1 1 9 1 12 31111 6 M59 19000 000000 00000 00000 00018 011 1118000 2024*")</f>
        <v>0</v>
      </c>
      <c r="F1728" s="35">
        <f>SUMIFS(F1729:F9015,K1729:K9015,"0",B1729:B9015,"4 1 1 9 1 12 31111 6 M59 19000 000000 00000 00000 00018 011 1118000 2024*")</f>
        <v>0</v>
      </c>
      <c r="G1728" s="35">
        <f>SUMIFS(G1729:G9015,K1729:K9015,"0",B1729:B9015,"4 1 1 9 1 12 31111 6 M59 19000 000000 00000 00000 00018 011 1118000 2024*")</f>
        <v>62269.46</v>
      </c>
      <c r="H1728" s="35"/>
      <c r="I1728" s="35">
        <f t="shared" si="27"/>
        <v>62269.46</v>
      </c>
      <c r="K1728" t="s">
        <v>15</v>
      </c>
    </row>
    <row r="1729" spans="2:11" ht="41.25" x14ac:dyDescent="0.2">
      <c r="B1729" s="33" t="s">
        <v>2458</v>
      </c>
      <c r="C1729" s="33" t="s">
        <v>2298</v>
      </c>
      <c r="D1729"/>
      <c r="E1729" s="35">
        <f>SUMIFS(E1730:E9015,K1730:K9015,"0",B1730:B9015,"4 1 1 9 1 12 31111 6 M59 19000 000000 00000 00000 00018 011 1118000 2024 00000000*")-SUMIFS(D1730:D9015,K1730:K9015,"0",B1730:B9015,"4 1 1 9 1 12 31111 6 M59 19000 000000 00000 00000 00018 011 1118000 2024 00000000*")</f>
        <v>0</v>
      </c>
      <c r="F1729" s="35">
        <f>SUMIFS(F1730:F9015,K1730:K9015,"0",B1730:B9015,"4 1 1 9 1 12 31111 6 M59 19000 000000 00000 00000 00018 011 1118000 2024 00000000*")</f>
        <v>0</v>
      </c>
      <c r="G1729" s="35">
        <f>SUMIFS(G1730:G9015,K1730:K9015,"0",B1730:B9015,"4 1 1 9 1 12 31111 6 M59 19000 000000 00000 00000 00018 011 1118000 2024 00000000*")</f>
        <v>62269.46</v>
      </c>
      <c r="H1729" s="35"/>
      <c r="I1729" s="35">
        <f t="shared" si="27"/>
        <v>62269.46</v>
      </c>
      <c r="K1729" t="s">
        <v>15</v>
      </c>
    </row>
    <row r="1730" spans="2:11" ht="41.25" x14ac:dyDescent="0.2">
      <c r="B1730" s="33" t="s">
        <v>2459</v>
      </c>
      <c r="C1730" s="33" t="s">
        <v>46</v>
      </c>
      <c r="D1730"/>
      <c r="E1730" s="35">
        <f>SUMIFS(E1731:E9015,K1731:K9015,"0",B1731:B9015,"4 1 1 9 1 12 31111 6 M59 19000 000000 00000 00000 00018 011 1118000 2024 00000000 004*")-SUMIFS(D1731:D9015,K1731:K9015,"0",B1731:B9015,"4 1 1 9 1 12 31111 6 M59 19000 000000 00000 00000 00018 011 1118000 2024 00000000 004*")</f>
        <v>0</v>
      </c>
      <c r="F1730" s="35">
        <f>SUMIFS(F1731:F9015,K1731:K9015,"0",B1731:B9015,"4 1 1 9 1 12 31111 6 M59 19000 000000 00000 00000 00018 011 1118000 2024 00000000 004*")</f>
        <v>0</v>
      </c>
      <c r="G1730" s="35">
        <f>SUMIFS(G1731:G9015,K1731:K9015,"0",B1731:B9015,"4 1 1 9 1 12 31111 6 M59 19000 000000 00000 00000 00018 011 1118000 2024 00000000 004*")</f>
        <v>62269.46</v>
      </c>
      <c r="H1730" s="35"/>
      <c r="I1730" s="35">
        <f t="shared" si="27"/>
        <v>62269.46</v>
      </c>
      <c r="K1730" t="s">
        <v>15</v>
      </c>
    </row>
    <row r="1731" spans="2:11" ht="49.5" x14ac:dyDescent="0.2">
      <c r="B1731" s="33" t="s">
        <v>2460</v>
      </c>
      <c r="C1731" s="33" t="s">
        <v>2444</v>
      </c>
      <c r="D1731"/>
      <c r="E1731" s="35">
        <f>SUMIFS(E1732:E9015,K1732:K9015,"0",B1732:B9015,"4 1 1 9 1 12 31111 6 M59 19000 000000 00000 00000 00018 011 1118000 2024 00000000 004 0000001*")-SUMIFS(D1732:D9015,K1732:K9015,"0",B1732:B9015,"4 1 1 9 1 12 31111 6 M59 19000 000000 00000 00000 00018 011 1118000 2024 00000000 004 0000001*")</f>
        <v>0</v>
      </c>
      <c r="F1731" s="35">
        <f>SUMIFS(F1732:F9015,K1732:K9015,"0",B1732:B9015,"4 1 1 9 1 12 31111 6 M59 19000 000000 00000 00000 00018 011 1118000 2024 00000000 004 0000001*")</f>
        <v>0</v>
      </c>
      <c r="G1731" s="35">
        <f>SUMIFS(G1732:G9015,K1732:K9015,"0",B1732:B9015,"4 1 1 9 1 12 31111 6 M59 19000 000000 00000 00000 00018 011 1118000 2024 00000000 004 0000001*")</f>
        <v>62269.46</v>
      </c>
      <c r="H1731" s="35"/>
      <c r="I1731" s="35">
        <f t="shared" si="27"/>
        <v>62269.46</v>
      </c>
      <c r="K1731" t="s">
        <v>15</v>
      </c>
    </row>
    <row r="1732" spans="2:11" ht="49.5" x14ac:dyDescent="0.2">
      <c r="B1732" s="33" t="s">
        <v>2461</v>
      </c>
      <c r="C1732" s="33" t="s">
        <v>2444</v>
      </c>
      <c r="D1732"/>
      <c r="E1732" s="35">
        <f>SUMIFS(E1733:E9015,K1733:K9015,"0",B1733:B9015,"4 1 1 9 1 12 31111 6 M59 19000 000000 00000 00000 00018 011 1118000 2024 00000000 004 0000001 00001*")-SUMIFS(D1733:D9015,K1733:K9015,"0",B1733:B9015,"4 1 1 9 1 12 31111 6 M59 19000 000000 00000 00000 00018 011 1118000 2024 00000000 004 0000001 00001*")</f>
        <v>0</v>
      </c>
      <c r="F1732" s="35">
        <f>SUMIFS(F1733:F9015,K1733:K9015,"0",B1733:B9015,"4 1 1 9 1 12 31111 6 M59 19000 000000 00000 00000 00018 011 1118000 2024 00000000 004 0000001 00001*")</f>
        <v>0</v>
      </c>
      <c r="G1732" s="35">
        <f>SUMIFS(G1733:G9015,K1733:K9015,"0",B1733:B9015,"4 1 1 9 1 12 31111 6 M59 19000 000000 00000 00000 00018 011 1118000 2024 00000000 004 0000001 00001*")</f>
        <v>62269.46</v>
      </c>
      <c r="H1732" s="35"/>
      <c r="I1732" s="35">
        <f t="shared" si="27"/>
        <v>62269.46</v>
      </c>
      <c r="K1732" t="s">
        <v>15</v>
      </c>
    </row>
    <row r="1733" spans="2:11" ht="41.25" x14ac:dyDescent="0.2">
      <c r="B1733" s="31" t="s">
        <v>2462</v>
      </c>
      <c r="C1733" s="31" t="s">
        <v>2444</v>
      </c>
      <c r="D1733" s="34"/>
      <c r="E1733" s="34">
        <v>0</v>
      </c>
      <c r="F1733" s="34">
        <v>0</v>
      </c>
      <c r="G1733" s="34">
        <v>62269.46</v>
      </c>
      <c r="H1733" s="34"/>
      <c r="I1733" s="34">
        <f t="shared" si="27"/>
        <v>62269.46</v>
      </c>
      <c r="K1733" t="s">
        <v>38</v>
      </c>
    </row>
    <row r="1734" spans="2:11" ht="12.75" x14ac:dyDescent="0.2">
      <c r="B1734" s="33" t="s">
        <v>2463</v>
      </c>
      <c r="C1734" s="33" t="s">
        <v>2464</v>
      </c>
      <c r="D1734"/>
      <c r="E1734" s="35">
        <f>SUMIFS(E1735:E9015,K1735:K9015,"0",B1735:B9015,"4 1 4*")-SUMIFS(D1735:D9015,K1735:K9015,"0",B1735:B9015,"4 1 4*")</f>
        <v>0</v>
      </c>
      <c r="F1734" s="35">
        <f>SUMIFS(F1735:F9015,K1735:K9015,"0",B1735:B9015,"4 1 4*")</f>
        <v>3607.5</v>
      </c>
      <c r="G1734" s="35">
        <f>SUMIFS(G1735:G9015,K1735:K9015,"0",B1735:B9015,"4 1 4*")</f>
        <v>17316061.389999997</v>
      </c>
      <c r="H1734" s="35"/>
      <c r="I1734" s="35">
        <f t="shared" si="27"/>
        <v>17312453.889999997</v>
      </c>
      <c r="K1734" t="s">
        <v>15</v>
      </c>
    </row>
    <row r="1735" spans="2:11" ht="33" x14ac:dyDescent="0.2">
      <c r="B1735" s="33" t="s">
        <v>2465</v>
      </c>
      <c r="C1735" s="33" t="s">
        <v>2466</v>
      </c>
      <c r="D1735"/>
      <c r="E1735" s="35">
        <f>SUMIFS(E1736:E9015,K1736:K9015,"0",B1736:B9015,"4 1 4 1*")-SUMIFS(D1736:D9015,K1736:K9015,"0",B1736:B9015,"4 1 4 1*")</f>
        <v>0</v>
      </c>
      <c r="F1735" s="35">
        <f>SUMIFS(F1736:F9015,K1736:K9015,"0",B1736:B9015,"4 1 4 1*")</f>
        <v>0</v>
      </c>
      <c r="G1735" s="35">
        <f>SUMIFS(G1736:G9015,K1736:K9015,"0",B1736:B9015,"4 1 4 1*")</f>
        <v>60840</v>
      </c>
      <c r="H1735" s="35"/>
      <c r="I1735" s="35">
        <f t="shared" si="27"/>
        <v>60840</v>
      </c>
      <c r="K1735" t="s">
        <v>15</v>
      </c>
    </row>
    <row r="1736" spans="2:11" ht="33" x14ac:dyDescent="0.2">
      <c r="B1736" s="33" t="s">
        <v>2467</v>
      </c>
      <c r="C1736" s="33" t="s">
        <v>2468</v>
      </c>
      <c r="D1736"/>
      <c r="E1736" s="35">
        <f>SUMIFS(E1737:E9015,K1737:K9015,"0",B1737:B9015,"4 1 4 1 1*")-SUMIFS(D1737:D9015,K1737:K9015,"0",B1737:B9015,"4 1 4 1 1*")</f>
        <v>0</v>
      </c>
      <c r="F1736" s="35">
        <f>SUMIFS(F1737:F9015,K1737:K9015,"0",B1737:B9015,"4 1 4 1 1*")</f>
        <v>0</v>
      </c>
      <c r="G1736" s="35">
        <f>SUMIFS(G1737:G9015,K1737:K9015,"0",B1737:B9015,"4 1 4 1 1*")</f>
        <v>60840</v>
      </c>
      <c r="H1736" s="35"/>
      <c r="I1736" s="35">
        <f t="shared" si="27"/>
        <v>60840</v>
      </c>
      <c r="K1736" t="s">
        <v>15</v>
      </c>
    </row>
    <row r="1737" spans="2:11" ht="12.75" x14ac:dyDescent="0.2">
      <c r="B1737" s="33" t="s">
        <v>2469</v>
      </c>
      <c r="C1737" s="33" t="s">
        <v>26</v>
      </c>
      <c r="D1737"/>
      <c r="E1737" s="35">
        <f>SUMIFS(E1738:E9015,K1738:K9015,"0",B1738:B9015,"4 1 4 1 1 12*")-SUMIFS(D1738:D9015,K1738:K9015,"0",B1738:B9015,"4 1 4 1 1 12*")</f>
        <v>0</v>
      </c>
      <c r="F1737" s="35">
        <f>SUMIFS(F1738:F9015,K1738:K9015,"0",B1738:B9015,"4 1 4 1 1 12*")</f>
        <v>0</v>
      </c>
      <c r="G1737" s="35">
        <f>SUMIFS(G1738:G9015,K1738:K9015,"0",B1738:B9015,"4 1 4 1 1 12*")</f>
        <v>60840</v>
      </c>
      <c r="H1737" s="35"/>
      <c r="I1737" s="35">
        <f t="shared" si="27"/>
        <v>60840</v>
      </c>
      <c r="K1737" t="s">
        <v>15</v>
      </c>
    </row>
    <row r="1738" spans="2:11" ht="16.5" x14ac:dyDescent="0.2">
      <c r="B1738" s="33" t="s">
        <v>2470</v>
      </c>
      <c r="C1738" s="33" t="s">
        <v>28</v>
      </c>
      <c r="D1738"/>
      <c r="E1738" s="35">
        <f>SUMIFS(E1739:E9015,K1739:K9015,"0",B1739:B9015,"4 1 4 1 1 12 31111*")-SUMIFS(D1739:D9015,K1739:K9015,"0",B1739:B9015,"4 1 4 1 1 12 31111*")</f>
        <v>0</v>
      </c>
      <c r="F1738" s="35">
        <f>SUMIFS(F1739:F9015,K1739:K9015,"0",B1739:B9015,"4 1 4 1 1 12 31111*")</f>
        <v>0</v>
      </c>
      <c r="G1738" s="35">
        <f>SUMIFS(G1739:G9015,K1739:K9015,"0",B1739:B9015,"4 1 4 1 1 12 31111*")</f>
        <v>60840</v>
      </c>
      <c r="H1738" s="35"/>
      <c r="I1738" s="35">
        <f t="shared" si="27"/>
        <v>60840</v>
      </c>
      <c r="K1738" t="s">
        <v>15</v>
      </c>
    </row>
    <row r="1739" spans="2:11" ht="12.75" x14ac:dyDescent="0.2">
      <c r="B1739" s="33" t="s">
        <v>2471</v>
      </c>
      <c r="C1739" s="33" t="s">
        <v>30</v>
      </c>
      <c r="D1739"/>
      <c r="E1739" s="35">
        <f>SUMIFS(E1740:E9015,K1740:K9015,"0",B1740:B9015,"4 1 4 1 1 12 31111 6*")-SUMIFS(D1740:D9015,K1740:K9015,"0",B1740:B9015,"4 1 4 1 1 12 31111 6*")</f>
        <v>0</v>
      </c>
      <c r="F1739" s="35">
        <f>SUMIFS(F1740:F9015,K1740:K9015,"0",B1740:B9015,"4 1 4 1 1 12 31111 6*")</f>
        <v>0</v>
      </c>
      <c r="G1739" s="35">
        <f>SUMIFS(G1740:G9015,K1740:K9015,"0",B1740:B9015,"4 1 4 1 1 12 31111 6*")</f>
        <v>60840</v>
      </c>
      <c r="H1739" s="35"/>
      <c r="I1739" s="35">
        <f t="shared" si="27"/>
        <v>60840</v>
      </c>
      <c r="K1739" t="s">
        <v>15</v>
      </c>
    </row>
    <row r="1740" spans="2:11" ht="16.5" x14ac:dyDescent="0.2">
      <c r="B1740" s="33" t="s">
        <v>2472</v>
      </c>
      <c r="C1740" s="33" t="s">
        <v>2284</v>
      </c>
      <c r="D1740"/>
      <c r="E1740" s="35">
        <f>SUMIFS(E1741:E9015,K1741:K9015,"0",B1741:B9015,"4 1 4 1 1 12 31111 6 M59*")-SUMIFS(D1741:D9015,K1741:K9015,"0",B1741:B9015,"4 1 4 1 1 12 31111 6 M59*")</f>
        <v>0</v>
      </c>
      <c r="F1740" s="35">
        <f>SUMIFS(F1741:F9015,K1741:K9015,"0",B1741:B9015,"4 1 4 1 1 12 31111 6 M59*")</f>
        <v>0</v>
      </c>
      <c r="G1740" s="35">
        <f>SUMIFS(G1741:G9015,K1741:K9015,"0",B1741:B9015,"4 1 4 1 1 12 31111 6 M59*")</f>
        <v>60840</v>
      </c>
      <c r="H1740" s="35"/>
      <c r="I1740" s="35">
        <f t="shared" si="27"/>
        <v>60840</v>
      </c>
      <c r="K1740" t="s">
        <v>15</v>
      </c>
    </row>
    <row r="1741" spans="2:11" ht="16.5" x14ac:dyDescent="0.2">
      <c r="B1741" s="33" t="s">
        <v>2473</v>
      </c>
      <c r="C1741" s="33" t="s">
        <v>1044</v>
      </c>
      <c r="D1741"/>
      <c r="E1741" s="35">
        <f>SUMIFS(E1742:E9015,K1742:K9015,"0",B1742:B9015,"4 1 4 1 1 12 31111 6 M59 19000*")-SUMIFS(D1742:D9015,K1742:K9015,"0",B1742:B9015,"4 1 4 1 1 12 31111 6 M59 19000*")</f>
        <v>0</v>
      </c>
      <c r="F1741" s="35">
        <f>SUMIFS(F1742:F9015,K1742:K9015,"0",B1742:B9015,"4 1 4 1 1 12 31111 6 M59 19000*")</f>
        <v>0</v>
      </c>
      <c r="G1741" s="35">
        <f>SUMIFS(G1742:G9015,K1742:K9015,"0",B1742:B9015,"4 1 4 1 1 12 31111 6 M59 19000*")</f>
        <v>60840</v>
      </c>
      <c r="H1741" s="35"/>
      <c r="I1741" s="35">
        <f t="shared" si="27"/>
        <v>60840</v>
      </c>
      <c r="K1741" t="s">
        <v>15</v>
      </c>
    </row>
    <row r="1742" spans="2:11" ht="16.5" x14ac:dyDescent="0.2">
      <c r="B1742" s="33" t="s">
        <v>2474</v>
      </c>
      <c r="C1742" s="33" t="s">
        <v>2287</v>
      </c>
      <c r="D1742"/>
      <c r="E1742" s="35">
        <f>SUMIFS(E1743:E9015,K1743:K9015,"0",B1743:B9015,"4 1 4 1 1 12 31111 6 M59 19000 000000*")-SUMIFS(D1743:D9015,K1743:K9015,"0",B1743:B9015,"4 1 4 1 1 12 31111 6 M59 19000 000000*")</f>
        <v>0</v>
      </c>
      <c r="F1742" s="35">
        <f>SUMIFS(F1743:F9015,K1743:K9015,"0",B1743:B9015,"4 1 4 1 1 12 31111 6 M59 19000 000000*")</f>
        <v>0</v>
      </c>
      <c r="G1742" s="35">
        <f>SUMIFS(G1743:G9015,K1743:K9015,"0",B1743:B9015,"4 1 4 1 1 12 31111 6 M59 19000 000000*")</f>
        <v>60840</v>
      </c>
      <c r="H1742" s="35"/>
      <c r="I1742" s="35">
        <f t="shared" si="27"/>
        <v>60840</v>
      </c>
      <c r="K1742" t="s">
        <v>15</v>
      </c>
    </row>
    <row r="1743" spans="2:11" ht="16.5" x14ac:dyDescent="0.2">
      <c r="B1743" s="33" t="s">
        <v>2475</v>
      </c>
      <c r="C1743" s="33" t="s">
        <v>2289</v>
      </c>
      <c r="D1743"/>
      <c r="E1743" s="35">
        <f>SUMIFS(E1744:E9015,K1744:K9015,"0",B1744:B9015,"4 1 4 1 1 12 31111 6 M59 19000 000000 00000*")-SUMIFS(D1744:D9015,K1744:K9015,"0",B1744:B9015,"4 1 4 1 1 12 31111 6 M59 19000 000000 00000*")</f>
        <v>0</v>
      </c>
      <c r="F1743" s="35">
        <f>SUMIFS(F1744:F9015,K1744:K9015,"0",B1744:B9015,"4 1 4 1 1 12 31111 6 M59 19000 000000 00000*")</f>
        <v>0</v>
      </c>
      <c r="G1743" s="35">
        <f>SUMIFS(G1744:G9015,K1744:K9015,"0",B1744:B9015,"4 1 4 1 1 12 31111 6 M59 19000 000000 00000*")</f>
        <v>60840</v>
      </c>
      <c r="H1743" s="35"/>
      <c r="I1743" s="35">
        <f t="shared" si="27"/>
        <v>60840</v>
      </c>
      <c r="K1743" t="s">
        <v>15</v>
      </c>
    </row>
    <row r="1744" spans="2:11" ht="24.75" x14ac:dyDescent="0.2">
      <c r="B1744" s="33" t="s">
        <v>2476</v>
      </c>
      <c r="C1744" s="33" t="s">
        <v>2291</v>
      </c>
      <c r="D1744"/>
      <c r="E1744" s="35">
        <f>SUMIFS(E1745:E9015,K1745:K9015,"0",B1745:B9015,"4 1 4 1 1 12 31111 6 M59 19000 000000 00000 00000*")-SUMIFS(D1745:D9015,K1745:K9015,"0",B1745:B9015,"4 1 4 1 1 12 31111 6 M59 19000 000000 00000 00000*")</f>
        <v>0</v>
      </c>
      <c r="F1744" s="35">
        <f>SUMIFS(F1745:F9015,K1745:K9015,"0",B1745:B9015,"4 1 4 1 1 12 31111 6 M59 19000 000000 00000 00000*")</f>
        <v>0</v>
      </c>
      <c r="G1744" s="35">
        <f>SUMIFS(G1745:G9015,K1745:K9015,"0",B1745:B9015,"4 1 4 1 1 12 31111 6 M59 19000 000000 00000 00000*")</f>
        <v>60840</v>
      </c>
      <c r="H1744" s="35"/>
      <c r="I1744" s="35">
        <f t="shared" si="27"/>
        <v>60840</v>
      </c>
      <c r="K1744" t="s">
        <v>15</v>
      </c>
    </row>
    <row r="1745" spans="2:11" ht="33" x14ac:dyDescent="0.2">
      <c r="B1745" s="33" t="s">
        <v>2477</v>
      </c>
      <c r="C1745" s="33" t="s">
        <v>2466</v>
      </c>
      <c r="D1745"/>
      <c r="E1745" s="35">
        <f>SUMIFS(E1746:E9015,K1746:K9015,"0",B1746:B9015,"4 1 4 1 1 12 31111 6 M59 19000 000000 00000 00000 00041*")-SUMIFS(D1746:D9015,K1746:K9015,"0",B1746:B9015,"4 1 4 1 1 12 31111 6 M59 19000 000000 00000 00000 00041*")</f>
        <v>0</v>
      </c>
      <c r="F1745" s="35">
        <f>SUMIFS(F1746:F9015,K1746:K9015,"0",B1746:B9015,"4 1 4 1 1 12 31111 6 M59 19000 000000 00000 00000 00041*")</f>
        <v>0</v>
      </c>
      <c r="G1745" s="35">
        <f>SUMIFS(G1746:G9015,K1746:K9015,"0",B1746:B9015,"4 1 4 1 1 12 31111 6 M59 19000 000000 00000 00000 00041*")</f>
        <v>60840</v>
      </c>
      <c r="H1745" s="35"/>
      <c r="I1745" s="35">
        <f t="shared" si="27"/>
        <v>60840</v>
      </c>
      <c r="K1745" t="s">
        <v>15</v>
      </c>
    </row>
    <row r="1746" spans="2:11" ht="24.75" x14ac:dyDescent="0.2">
      <c r="B1746" s="33" t="s">
        <v>2478</v>
      </c>
      <c r="C1746" s="33" t="s">
        <v>699</v>
      </c>
      <c r="D1746"/>
      <c r="E1746" s="35">
        <f>SUMIFS(E1747:E9015,K1747:K9015,"0",B1747:B9015,"4 1 4 1 1 12 31111 6 M59 19000 000000 00000 00000 00041 011*")-SUMIFS(D1747:D9015,K1747:K9015,"0",B1747:B9015,"4 1 4 1 1 12 31111 6 M59 19000 000000 00000 00000 00041 011*")</f>
        <v>0</v>
      </c>
      <c r="F1746" s="35">
        <f>SUMIFS(F1747:F9015,K1747:K9015,"0",B1747:B9015,"4 1 4 1 1 12 31111 6 M59 19000 000000 00000 00000 00041 011*")</f>
        <v>0</v>
      </c>
      <c r="G1746" s="35">
        <f>SUMIFS(G1747:G9015,K1747:K9015,"0",B1747:B9015,"4 1 4 1 1 12 31111 6 M59 19000 000000 00000 00000 00041 011*")</f>
        <v>60840</v>
      </c>
      <c r="H1746" s="35"/>
      <c r="I1746" s="35">
        <f t="shared" si="27"/>
        <v>60840</v>
      </c>
      <c r="K1746" t="s">
        <v>15</v>
      </c>
    </row>
    <row r="1747" spans="2:11" ht="33" x14ac:dyDescent="0.2">
      <c r="B1747" s="33" t="s">
        <v>2479</v>
      </c>
      <c r="C1747" s="33" t="s">
        <v>2320</v>
      </c>
      <c r="D1747"/>
      <c r="E1747" s="35">
        <f>SUMIFS(E1748:E9015,K1748:K9015,"0",B1748:B9015,"4 1 4 1 1 12 31111 6 M59 19000 000000 00000 00000 00041 011 1113000*")-SUMIFS(D1748:D9015,K1748:K9015,"0",B1748:B9015,"4 1 4 1 1 12 31111 6 M59 19000 000000 00000 00000 00041 011 1113000*")</f>
        <v>0</v>
      </c>
      <c r="F1747" s="35">
        <f>SUMIFS(F1748:F9015,K1748:K9015,"0",B1748:B9015,"4 1 4 1 1 12 31111 6 M59 19000 000000 00000 00000 00041 011 1113000*")</f>
        <v>0</v>
      </c>
      <c r="G1747" s="35">
        <f>SUMIFS(G1748:G9015,K1748:K9015,"0",B1748:B9015,"4 1 4 1 1 12 31111 6 M59 19000 000000 00000 00000 00041 011 1113000*")</f>
        <v>60840</v>
      </c>
      <c r="H1747" s="35"/>
      <c r="I1747" s="35">
        <f t="shared" si="27"/>
        <v>60840</v>
      </c>
      <c r="K1747" t="s">
        <v>15</v>
      </c>
    </row>
    <row r="1748" spans="2:11" ht="33" x14ac:dyDescent="0.2">
      <c r="B1748" s="33" t="s">
        <v>2480</v>
      </c>
      <c r="C1748" s="33" t="s">
        <v>660</v>
      </c>
      <c r="D1748"/>
      <c r="E1748" s="35">
        <f>SUMIFS(E1749:E9015,K1749:K9015,"0",B1749:B9015,"4 1 4 1 1 12 31111 6 M59 19000 000000 00000 00000 00041 011 1113000 2024*")-SUMIFS(D1749:D9015,K1749:K9015,"0",B1749:B9015,"4 1 4 1 1 12 31111 6 M59 19000 000000 00000 00000 00041 011 1113000 2024*")</f>
        <v>0</v>
      </c>
      <c r="F1748" s="35">
        <f>SUMIFS(F1749:F9015,K1749:K9015,"0",B1749:B9015,"4 1 4 1 1 12 31111 6 M59 19000 000000 00000 00000 00041 011 1113000 2024*")</f>
        <v>0</v>
      </c>
      <c r="G1748" s="35">
        <f>SUMIFS(G1749:G9015,K1749:K9015,"0",B1749:B9015,"4 1 4 1 1 12 31111 6 M59 19000 000000 00000 00000 00041 011 1113000 2024*")</f>
        <v>60840</v>
      </c>
      <c r="H1748" s="35"/>
      <c r="I1748" s="35">
        <f t="shared" si="27"/>
        <v>60840</v>
      </c>
      <c r="K1748" t="s">
        <v>15</v>
      </c>
    </row>
    <row r="1749" spans="2:11" ht="41.25" x14ac:dyDescent="0.2">
      <c r="B1749" s="33" t="s">
        <v>2481</v>
      </c>
      <c r="C1749" s="33" t="s">
        <v>2298</v>
      </c>
      <c r="D1749"/>
      <c r="E1749" s="35">
        <f>SUMIFS(E1750:E9015,K1750:K9015,"0",B1750:B9015,"4 1 4 1 1 12 31111 6 M59 19000 000000 00000 00000 00041 011 1113000 2024 00000000*")-SUMIFS(D1750:D9015,K1750:K9015,"0",B1750:B9015,"4 1 4 1 1 12 31111 6 M59 19000 000000 00000 00000 00041 011 1113000 2024 00000000*")</f>
        <v>0</v>
      </c>
      <c r="F1749" s="35">
        <f>SUMIFS(F1750:F9015,K1750:K9015,"0",B1750:B9015,"4 1 4 1 1 12 31111 6 M59 19000 000000 00000 00000 00041 011 1113000 2024 00000000*")</f>
        <v>0</v>
      </c>
      <c r="G1749" s="35">
        <f>SUMIFS(G1750:G9015,K1750:K9015,"0",B1750:B9015,"4 1 4 1 1 12 31111 6 M59 19000 000000 00000 00000 00041 011 1113000 2024 00000000*")</f>
        <v>60840</v>
      </c>
      <c r="H1749" s="35"/>
      <c r="I1749" s="35">
        <f t="shared" si="27"/>
        <v>60840</v>
      </c>
      <c r="K1749" t="s">
        <v>15</v>
      </c>
    </row>
    <row r="1750" spans="2:11" ht="41.25" x14ac:dyDescent="0.2">
      <c r="B1750" s="33" t="s">
        <v>2482</v>
      </c>
      <c r="C1750" s="33" t="s">
        <v>2300</v>
      </c>
      <c r="D1750"/>
      <c r="E1750" s="35">
        <f>SUMIFS(E1751:E9015,K1751:K9015,"0",B1751:B9015,"4 1 4 1 1 12 31111 6 M59 19000 000000 00000 00000 00041 011 1113000 2024 00000000 004*")-SUMIFS(D1751:D9015,K1751:K9015,"0",B1751:B9015,"4 1 4 1 1 12 31111 6 M59 19000 000000 00000 00000 00041 011 1113000 2024 00000000 004*")</f>
        <v>0</v>
      </c>
      <c r="F1750" s="35">
        <f>SUMIFS(F1751:F9015,K1751:K9015,"0",B1751:B9015,"4 1 4 1 1 12 31111 6 M59 19000 000000 00000 00000 00041 011 1113000 2024 00000000 004*")</f>
        <v>0</v>
      </c>
      <c r="G1750" s="35">
        <f>SUMIFS(G1751:G9015,K1751:K9015,"0",B1751:B9015,"4 1 4 1 1 12 31111 6 M59 19000 000000 00000 00000 00041 011 1113000 2024 00000000 004*")</f>
        <v>60840</v>
      </c>
      <c r="H1750" s="35"/>
      <c r="I1750" s="35">
        <f t="shared" si="27"/>
        <v>60840</v>
      </c>
      <c r="K1750" t="s">
        <v>15</v>
      </c>
    </row>
    <row r="1751" spans="2:11" ht="49.5" x14ac:dyDescent="0.2">
      <c r="B1751" s="33" t="s">
        <v>2483</v>
      </c>
      <c r="C1751" s="33" t="s">
        <v>2466</v>
      </c>
      <c r="D1751"/>
      <c r="E1751" s="35">
        <f>SUMIFS(E1752:E9015,K1752:K9015,"0",B1752:B9015,"4 1 4 1 1 12 31111 6 M59 19000 000000 00000 00000 00041 011 1113000 2024 00000000 004 0000001*")-SUMIFS(D1752:D9015,K1752:K9015,"0",B1752:B9015,"4 1 4 1 1 12 31111 6 M59 19000 000000 00000 00000 00041 011 1113000 2024 00000000 004 0000001*")</f>
        <v>0</v>
      </c>
      <c r="F1751" s="35">
        <f>SUMIFS(F1752:F9015,K1752:K9015,"0",B1752:B9015,"4 1 4 1 1 12 31111 6 M59 19000 000000 00000 00000 00041 011 1113000 2024 00000000 004 0000001*")</f>
        <v>0</v>
      </c>
      <c r="G1751" s="35">
        <f>SUMIFS(G1752:G9015,K1752:K9015,"0",B1752:B9015,"4 1 4 1 1 12 31111 6 M59 19000 000000 00000 00000 00041 011 1113000 2024 00000000 004 0000001*")</f>
        <v>60840</v>
      </c>
      <c r="H1751" s="35"/>
      <c r="I1751" s="35">
        <f t="shared" si="27"/>
        <v>60840</v>
      </c>
      <c r="K1751" t="s">
        <v>15</v>
      </c>
    </row>
    <row r="1752" spans="2:11" ht="49.5" x14ac:dyDescent="0.2">
      <c r="B1752" s="33" t="s">
        <v>2484</v>
      </c>
      <c r="C1752" s="33" t="s">
        <v>2485</v>
      </c>
      <c r="D1752"/>
      <c r="E1752" s="35">
        <f>SUMIFS(E1753:E9015,K1753:K9015,"0",B1753:B9015,"4 1 4 1 1 12 31111 6 M59 19000 000000 00000 00000 00041 011 1113000 2024 00000000 004 0000001 00001*")-SUMIFS(D1753:D9015,K1753:K9015,"0",B1753:B9015,"4 1 4 1 1 12 31111 6 M59 19000 000000 00000 00000 00041 011 1113000 2024 00000000 004 0000001 00001*")</f>
        <v>0</v>
      </c>
      <c r="F1752" s="35">
        <f>SUMIFS(F1753:F9015,K1753:K9015,"0",B1753:B9015,"4 1 4 1 1 12 31111 6 M59 19000 000000 00000 00000 00041 011 1113000 2024 00000000 004 0000001 00001*")</f>
        <v>0</v>
      </c>
      <c r="G1752" s="35">
        <f>SUMIFS(G1753:G9015,K1753:K9015,"0",B1753:B9015,"4 1 4 1 1 12 31111 6 M59 19000 000000 00000 00000 00041 011 1113000 2024 00000000 004 0000001 00001*")</f>
        <v>60840</v>
      </c>
      <c r="H1752" s="35"/>
      <c r="I1752" s="35">
        <f t="shared" si="27"/>
        <v>60840</v>
      </c>
      <c r="K1752" t="s">
        <v>15</v>
      </c>
    </row>
    <row r="1753" spans="2:11" ht="41.25" x14ac:dyDescent="0.2">
      <c r="B1753" s="31" t="s">
        <v>2486</v>
      </c>
      <c r="C1753" s="31" t="s">
        <v>2487</v>
      </c>
      <c r="D1753" s="34"/>
      <c r="E1753" s="34">
        <v>0</v>
      </c>
      <c r="F1753" s="34">
        <v>0</v>
      </c>
      <c r="G1753" s="34">
        <v>60840</v>
      </c>
      <c r="H1753" s="34"/>
      <c r="I1753" s="34">
        <f t="shared" si="27"/>
        <v>60840</v>
      </c>
      <c r="K1753" t="s">
        <v>38</v>
      </c>
    </row>
    <row r="1754" spans="2:11" ht="16.5" x14ac:dyDescent="0.2">
      <c r="B1754" s="33" t="s">
        <v>2488</v>
      </c>
      <c r="C1754" s="33" t="s">
        <v>2489</v>
      </c>
      <c r="D1754"/>
      <c r="E1754" s="35">
        <f>SUMIFS(E1755:E9015,K1755:K9015,"0",B1755:B9015,"4 1 4 3*")-SUMIFS(D1755:D9015,K1755:K9015,"0",B1755:B9015,"4 1 4 3*")</f>
        <v>0</v>
      </c>
      <c r="F1754" s="35">
        <f>SUMIFS(F1755:F9015,K1755:K9015,"0",B1755:B9015,"4 1 4 3*")</f>
        <v>3607.5</v>
      </c>
      <c r="G1754" s="35">
        <f>SUMIFS(G1755:G9015,K1755:K9015,"0",B1755:B9015,"4 1 4 3*")</f>
        <v>15497164.120000001</v>
      </c>
      <c r="H1754" s="35"/>
      <c r="I1754" s="35">
        <f t="shared" si="27"/>
        <v>15493556.620000001</v>
      </c>
      <c r="K1754" t="s">
        <v>15</v>
      </c>
    </row>
    <row r="1755" spans="2:11" ht="16.5" x14ac:dyDescent="0.2">
      <c r="B1755" s="33" t="s">
        <v>2490</v>
      </c>
      <c r="C1755" s="33" t="s">
        <v>2491</v>
      </c>
      <c r="D1755"/>
      <c r="E1755" s="35">
        <f>SUMIFS(E1756:E9015,K1756:K9015,"0",B1756:B9015,"4 1 4 3 1*")-SUMIFS(D1756:D9015,K1756:K9015,"0",B1756:B9015,"4 1 4 3 1*")</f>
        <v>0</v>
      </c>
      <c r="F1755" s="35">
        <f>SUMIFS(F1756:F9015,K1756:K9015,"0",B1756:B9015,"4 1 4 3 1*")</f>
        <v>3607.5</v>
      </c>
      <c r="G1755" s="35">
        <f>SUMIFS(G1756:G9015,K1756:K9015,"0",B1756:B9015,"4 1 4 3 1*")</f>
        <v>15497164.120000001</v>
      </c>
      <c r="H1755" s="35"/>
      <c r="I1755" s="35">
        <f t="shared" si="27"/>
        <v>15493556.620000001</v>
      </c>
      <c r="K1755" t="s">
        <v>15</v>
      </c>
    </row>
    <row r="1756" spans="2:11" ht="12.75" x14ac:dyDescent="0.2">
      <c r="B1756" s="33" t="s">
        <v>2492</v>
      </c>
      <c r="C1756" s="33" t="s">
        <v>26</v>
      </c>
      <c r="D1756"/>
      <c r="E1756" s="35">
        <f>SUMIFS(E1757:E9015,K1757:K9015,"0",B1757:B9015,"4 1 4 3 1 12*")-SUMIFS(D1757:D9015,K1757:K9015,"0",B1757:B9015,"4 1 4 3 1 12*")</f>
        <v>0</v>
      </c>
      <c r="F1756" s="35">
        <f>SUMIFS(F1757:F9015,K1757:K9015,"0",B1757:B9015,"4 1 4 3 1 12*")</f>
        <v>3607.5</v>
      </c>
      <c r="G1756" s="35">
        <f>SUMIFS(G1757:G9015,K1757:K9015,"0",B1757:B9015,"4 1 4 3 1 12*")</f>
        <v>15497164.120000001</v>
      </c>
      <c r="H1756" s="35"/>
      <c r="I1756" s="35">
        <f t="shared" si="27"/>
        <v>15493556.620000001</v>
      </c>
      <c r="K1756" t="s">
        <v>15</v>
      </c>
    </row>
    <row r="1757" spans="2:11" ht="16.5" x14ac:dyDescent="0.2">
      <c r="B1757" s="33" t="s">
        <v>2493</v>
      </c>
      <c r="C1757" s="33" t="s">
        <v>28</v>
      </c>
      <c r="D1757"/>
      <c r="E1757" s="35">
        <f>SUMIFS(E1758:E9015,K1758:K9015,"0",B1758:B9015,"4 1 4 3 1 12 31111*")-SUMIFS(D1758:D9015,K1758:K9015,"0",B1758:B9015,"4 1 4 3 1 12 31111*")</f>
        <v>0</v>
      </c>
      <c r="F1757" s="35">
        <f>SUMIFS(F1758:F9015,K1758:K9015,"0",B1758:B9015,"4 1 4 3 1 12 31111*")</f>
        <v>3607.5</v>
      </c>
      <c r="G1757" s="35">
        <f>SUMIFS(G1758:G9015,K1758:K9015,"0",B1758:B9015,"4 1 4 3 1 12 31111*")</f>
        <v>15497164.120000001</v>
      </c>
      <c r="H1757" s="35"/>
      <c r="I1757" s="35">
        <f t="shared" si="27"/>
        <v>15493556.620000001</v>
      </c>
      <c r="K1757" t="s">
        <v>15</v>
      </c>
    </row>
    <row r="1758" spans="2:11" ht="12.75" x14ac:dyDescent="0.2">
      <c r="B1758" s="33" t="s">
        <v>2494</v>
      </c>
      <c r="C1758" s="33" t="s">
        <v>30</v>
      </c>
      <c r="D1758"/>
      <c r="E1758" s="35">
        <f>SUMIFS(E1759:E9015,K1759:K9015,"0",B1759:B9015,"4 1 4 3 1 12 31111 6*")-SUMIFS(D1759:D9015,K1759:K9015,"0",B1759:B9015,"4 1 4 3 1 12 31111 6*")</f>
        <v>0</v>
      </c>
      <c r="F1758" s="35">
        <f>SUMIFS(F1759:F9015,K1759:K9015,"0",B1759:B9015,"4 1 4 3 1 12 31111 6*")</f>
        <v>3607.5</v>
      </c>
      <c r="G1758" s="35">
        <f>SUMIFS(G1759:G9015,K1759:K9015,"0",B1759:B9015,"4 1 4 3 1 12 31111 6*")</f>
        <v>15497164.120000001</v>
      </c>
      <c r="H1758" s="35"/>
      <c r="I1758" s="35">
        <f t="shared" si="27"/>
        <v>15493556.620000001</v>
      </c>
      <c r="K1758" t="s">
        <v>15</v>
      </c>
    </row>
    <row r="1759" spans="2:11" ht="16.5" x14ac:dyDescent="0.2">
      <c r="B1759" s="33" t="s">
        <v>2495</v>
      </c>
      <c r="C1759" s="33" t="s">
        <v>2284</v>
      </c>
      <c r="D1759"/>
      <c r="E1759" s="35">
        <f>SUMIFS(E1760:E9015,K1760:K9015,"0",B1760:B9015,"4 1 4 3 1 12 31111 6 M59*")-SUMIFS(D1760:D9015,K1760:K9015,"0",B1760:B9015,"4 1 4 3 1 12 31111 6 M59*")</f>
        <v>0</v>
      </c>
      <c r="F1759" s="35">
        <f>SUMIFS(F1760:F9015,K1760:K9015,"0",B1760:B9015,"4 1 4 3 1 12 31111 6 M59*")</f>
        <v>3607.5</v>
      </c>
      <c r="G1759" s="35">
        <f>SUMIFS(G1760:G9015,K1760:K9015,"0",B1760:B9015,"4 1 4 3 1 12 31111 6 M59*")</f>
        <v>15497164.120000001</v>
      </c>
      <c r="H1759" s="35"/>
      <c r="I1759" s="35">
        <f t="shared" si="27"/>
        <v>15493556.620000001</v>
      </c>
      <c r="K1759" t="s">
        <v>15</v>
      </c>
    </row>
    <row r="1760" spans="2:11" ht="16.5" x14ac:dyDescent="0.2">
      <c r="B1760" s="33" t="s">
        <v>2496</v>
      </c>
      <c r="C1760" s="33" t="s">
        <v>1044</v>
      </c>
      <c r="D1760"/>
      <c r="E1760" s="35">
        <f>SUMIFS(E1761:E9015,K1761:K9015,"0",B1761:B9015,"4 1 4 3 1 12 31111 6 M59 19000*")-SUMIFS(D1761:D9015,K1761:K9015,"0",B1761:B9015,"4 1 4 3 1 12 31111 6 M59 19000*")</f>
        <v>0</v>
      </c>
      <c r="F1760" s="35">
        <f>SUMIFS(F1761:F9015,K1761:K9015,"0",B1761:B9015,"4 1 4 3 1 12 31111 6 M59 19000*")</f>
        <v>3607.5</v>
      </c>
      <c r="G1760" s="35">
        <f>SUMIFS(G1761:G9015,K1761:K9015,"0",B1761:B9015,"4 1 4 3 1 12 31111 6 M59 19000*")</f>
        <v>15497164.120000001</v>
      </c>
      <c r="H1760" s="35"/>
      <c r="I1760" s="35">
        <f t="shared" si="27"/>
        <v>15493556.620000001</v>
      </c>
      <c r="K1760" t="s">
        <v>15</v>
      </c>
    </row>
    <row r="1761" spans="2:11" ht="16.5" x14ac:dyDescent="0.2">
      <c r="B1761" s="33" t="s">
        <v>2497</v>
      </c>
      <c r="C1761" s="33" t="s">
        <v>2287</v>
      </c>
      <c r="D1761"/>
      <c r="E1761" s="35">
        <f>SUMIFS(E1762:E9015,K1762:K9015,"0",B1762:B9015,"4 1 4 3 1 12 31111 6 M59 19000 000000*")-SUMIFS(D1762:D9015,K1762:K9015,"0",B1762:B9015,"4 1 4 3 1 12 31111 6 M59 19000 000000*")</f>
        <v>0</v>
      </c>
      <c r="F1761" s="35">
        <f>SUMIFS(F1762:F9015,K1762:K9015,"0",B1762:B9015,"4 1 4 3 1 12 31111 6 M59 19000 000000*")</f>
        <v>3607.5</v>
      </c>
      <c r="G1761" s="35">
        <f>SUMIFS(G1762:G9015,K1762:K9015,"0",B1762:B9015,"4 1 4 3 1 12 31111 6 M59 19000 000000*")</f>
        <v>15497164.120000001</v>
      </c>
      <c r="H1761" s="35"/>
      <c r="I1761" s="35">
        <f t="shared" si="27"/>
        <v>15493556.620000001</v>
      </c>
      <c r="K1761" t="s">
        <v>15</v>
      </c>
    </row>
    <row r="1762" spans="2:11" ht="24.75" x14ac:dyDescent="0.2">
      <c r="B1762" s="33" t="s">
        <v>2498</v>
      </c>
      <c r="C1762" s="33" t="s">
        <v>2289</v>
      </c>
      <c r="D1762"/>
      <c r="E1762" s="35">
        <f>SUMIFS(E1763:E9015,K1763:K9015,"0",B1763:B9015,"4 1 4 3 1 12 31111 6 M59 19000 000000 00000*")-SUMIFS(D1763:D9015,K1763:K9015,"0",B1763:B9015,"4 1 4 3 1 12 31111 6 M59 19000 000000 00000*")</f>
        <v>0</v>
      </c>
      <c r="F1762" s="35">
        <f>SUMIFS(F1763:F9015,K1763:K9015,"0",B1763:B9015,"4 1 4 3 1 12 31111 6 M59 19000 000000 00000*")</f>
        <v>3607.5</v>
      </c>
      <c r="G1762" s="35">
        <f>SUMIFS(G1763:G9015,K1763:K9015,"0",B1763:B9015,"4 1 4 3 1 12 31111 6 M59 19000 000000 00000*")</f>
        <v>15497164.120000001</v>
      </c>
      <c r="H1762" s="35"/>
      <c r="I1762" s="35">
        <f t="shared" si="27"/>
        <v>15493556.620000001</v>
      </c>
      <c r="K1762" t="s">
        <v>15</v>
      </c>
    </row>
    <row r="1763" spans="2:11" ht="24.75" x14ac:dyDescent="0.2">
      <c r="B1763" s="33" t="s">
        <v>2499</v>
      </c>
      <c r="C1763" s="33" t="s">
        <v>2291</v>
      </c>
      <c r="D1763"/>
      <c r="E1763" s="35">
        <f>SUMIFS(E1764:E9015,K1764:K9015,"0",B1764:B9015,"4 1 4 3 1 12 31111 6 M59 19000 000000 00000 00000*")-SUMIFS(D1764:D9015,K1764:K9015,"0",B1764:B9015,"4 1 4 3 1 12 31111 6 M59 19000 000000 00000 00000*")</f>
        <v>0</v>
      </c>
      <c r="F1763" s="35">
        <f>SUMIFS(F1764:F9015,K1764:K9015,"0",B1764:B9015,"4 1 4 3 1 12 31111 6 M59 19000 000000 00000 00000*")</f>
        <v>3607.5</v>
      </c>
      <c r="G1763" s="35">
        <f>SUMIFS(G1764:G9015,K1764:K9015,"0",B1764:B9015,"4 1 4 3 1 12 31111 6 M59 19000 000000 00000 00000*")</f>
        <v>15497164.120000001</v>
      </c>
      <c r="H1763" s="35"/>
      <c r="I1763" s="35">
        <f t="shared" si="27"/>
        <v>15493556.620000001</v>
      </c>
      <c r="K1763" t="s">
        <v>15</v>
      </c>
    </row>
    <row r="1764" spans="2:11" ht="24.75" x14ac:dyDescent="0.2">
      <c r="B1764" s="33" t="s">
        <v>2500</v>
      </c>
      <c r="C1764" s="33" t="s">
        <v>2489</v>
      </c>
      <c r="D1764"/>
      <c r="E1764" s="35">
        <f>SUMIFS(E1765:E9015,K1765:K9015,"0",B1765:B9015,"4 1 4 3 1 12 31111 6 M59 19000 000000 00000 00000 00043*")-SUMIFS(D1765:D9015,K1765:K9015,"0",B1765:B9015,"4 1 4 3 1 12 31111 6 M59 19000 000000 00000 00000 00043*")</f>
        <v>0</v>
      </c>
      <c r="F1764" s="35">
        <f>SUMIFS(F1765:F9015,K1765:K9015,"0",B1765:B9015,"4 1 4 3 1 12 31111 6 M59 19000 000000 00000 00000 00043*")</f>
        <v>3607.5</v>
      </c>
      <c r="G1764" s="35">
        <f>SUMIFS(G1765:G9015,K1765:K9015,"0",B1765:B9015,"4 1 4 3 1 12 31111 6 M59 19000 000000 00000 00000 00043*")</f>
        <v>15497164.120000001</v>
      </c>
      <c r="H1764" s="35"/>
      <c r="I1764" s="35">
        <f t="shared" si="27"/>
        <v>15493556.620000001</v>
      </c>
      <c r="K1764" t="s">
        <v>15</v>
      </c>
    </row>
    <row r="1765" spans="2:11" ht="33" x14ac:dyDescent="0.2">
      <c r="B1765" s="33" t="s">
        <v>2501</v>
      </c>
      <c r="C1765" s="33" t="s">
        <v>699</v>
      </c>
      <c r="D1765"/>
      <c r="E1765" s="35">
        <f>SUMIFS(E1766:E9015,K1766:K9015,"0",B1766:B9015,"4 1 4 3 1 12 31111 6 M59 19000 000000 00000 00000 00043 011*")-SUMIFS(D1766:D9015,K1766:K9015,"0",B1766:B9015,"4 1 4 3 1 12 31111 6 M59 19000 000000 00000 00000 00043 011*")</f>
        <v>0</v>
      </c>
      <c r="F1765" s="35">
        <f>SUMIFS(F1766:F9015,K1766:K9015,"0",B1766:B9015,"4 1 4 3 1 12 31111 6 M59 19000 000000 00000 00000 00043 011*")</f>
        <v>3607.5</v>
      </c>
      <c r="G1765" s="35">
        <f>SUMIFS(G1766:G9015,K1766:K9015,"0",B1766:B9015,"4 1 4 3 1 12 31111 6 M59 19000 000000 00000 00000 00043 011*")</f>
        <v>15497164.120000001</v>
      </c>
      <c r="H1765" s="35"/>
      <c r="I1765" s="35">
        <f t="shared" si="27"/>
        <v>15493556.620000001</v>
      </c>
      <c r="K1765" t="s">
        <v>15</v>
      </c>
    </row>
    <row r="1766" spans="2:11" ht="33" x14ac:dyDescent="0.2">
      <c r="B1766" s="33" t="s">
        <v>2502</v>
      </c>
      <c r="C1766" s="33" t="s">
        <v>2320</v>
      </c>
      <c r="D1766"/>
      <c r="E1766" s="35">
        <f>SUMIFS(E1767:E9015,K1767:K9015,"0",B1767:B9015,"4 1 4 3 1 12 31111 6 M59 19000 000000 00000 00000 00043 011 1113000*")-SUMIFS(D1767:D9015,K1767:K9015,"0",B1767:B9015,"4 1 4 3 1 12 31111 6 M59 19000 000000 00000 00000 00043 011 1113000*")</f>
        <v>0</v>
      </c>
      <c r="F1766" s="35">
        <f>SUMIFS(F1767:F9015,K1767:K9015,"0",B1767:B9015,"4 1 4 3 1 12 31111 6 M59 19000 000000 00000 00000 00043 011 1113000*")</f>
        <v>3607.5</v>
      </c>
      <c r="G1766" s="35">
        <f>SUMIFS(G1767:G9015,K1767:K9015,"0",B1767:B9015,"4 1 4 3 1 12 31111 6 M59 19000 000000 00000 00000 00043 011 1113000*")</f>
        <v>15497164.120000001</v>
      </c>
      <c r="H1766" s="35"/>
      <c r="I1766" s="35">
        <f t="shared" si="27"/>
        <v>15493556.620000001</v>
      </c>
      <c r="K1766" t="s">
        <v>15</v>
      </c>
    </row>
    <row r="1767" spans="2:11" ht="33" x14ac:dyDescent="0.2">
      <c r="B1767" s="33" t="s">
        <v>2503</v>
      </c>
      <c r="C1767" s="33" t="s">
        <v>660</v>
      </c>
      <c r="D1767"/>
      <c r="E1767" s="35">
        <f>SUMIFS(E1768:E9015,K1768:K9015,"0",B1768:B9015,"4 1 4 3 1 12 31111 6 M59 19000 000000 00000 00000 00043 011 1113000 2024*")-SUMIFS(D1768:D9015,K1768:K9015,"0",B1768:B9015,"4 1 4 3 1 12 31111 6 M59 19000 000000 00000 00000 00043 011 1113000 2024*")</f>
        <v>0</v>
      </c>
      <c r="F1767" s="35">
        <f>SUMIFS(F1768:F9015,K1768:K9015,"0",B1768:B9015,"4 1 4 3 1 12 31111 6 M59 19000 000000 00000 00000 00043 011 1113000 2024*")</f>
        <v>3607.5</v>
      </c>
      <c r="G1767" s="35">
        <f>SUMIFS(G1768:G9015,K1768:K9015,"0",B1768:B9015,"4 1 4 3 1 12 31111 6 M59 19000 000000 00000 00000 00043 011 1113000 2024*")</f>
        <v>15497164.120000001</v>
      </c>
      <c r="H1767" s="35"/>
      <c r="I1767" s="35">
        <f t="shared" si="27"/>
        <v>15493556.620000001</v>
      </c>
      <c r="K1767" t="s">
        <v>15</v>
      </c>
    </row>
    <row r="1768" spans="2:11" ht="41.25" x14ac:dyDescent="0.2">
      <c r="B1768" s="33" t="s">
        <v>2504</v>
      </c>
      <c r="C1768" s="33" t="s">
        <v>2298</v>
      </c>
      <c r="D1768"/>
      <c r="E1768" s="35">
        <f>SUMIFS(E1769:E9015,K1769:K9015,"0",B1769:B9015,"4 1 4 3 1 12 31111 6 M59 19000 000000 00000 00000 00043 011 1113000 2024 00000000*")-SUMIFS(D1769:D9015,K1769:K9015,"0",B1769:B9015,"4 1 4 3 1 12 31111 6 M59 19000 000000 00000 00000 00043 011 1113000 2024 00000000*")</f>
        <v>0</v>
      </c>
      <c r="F1768" s="35">
        <f>SUMIFS(F1769:F9015,K1769:K9015,"0",B1769:B9015,"4 1 4 3 1 12 31111 6 M59 19000 000000 00000 00000 00043 011 1113000 2024 00000000*")</f>
        <v>3607.5</v>
      </c>
      <c r="G1768" s="35">
        <f>SUMIFS(G1769:G9015,K1769:K9015,"0",B1769:B9015,"4 1 4 3 1 12 31111 6 M59 19000 000000 00000 00000 00043 011 1113000 2024 00000000*")</f>
        <v>15497164.120000001</v>
      </c>
      <c r="H1768" s="35"/>
      <c r="I1768" s="35">
        <f t="shared" si="27"/>
        <v>15493556.620000001</v>
      </c>
      <c r="K1768" t="s">
        <v>15</v>
      </c>
    </row>
    <row r="1769" spans="2:11" ht="41.25" x14ac:dyDescent="0.2">
      <c r="B1769" s="33" t="s">
        <v>2505</v>
      </c>
      <c r="C1769" s="33" t="s">
        <v>2300</v>
      </c>
      <c r="D1769"/>
      <c r="E1769" s="35">
        <f>SUMIFS(E1770:E9015,K1770:K9015,"0",B1770:B9015,"4 1 4 3 1 12 31111 6 M59 19000 000000 00000 00000 00043 011 1113000 2024 00000000 004*")-SUMIFS(D1770:D9015,K1770:K9015,"0",B1770:B9015,"4 1 4 3 1 12 31111 6 M59 19000 000000 00000 00000 00043 011 1113000 2024 00000000 004*")</f>
        <v>0</v>
      </c>
      <c r="F1769" s="35">
        <f>SUMIFS(F1770:F9015,K1770:K9015,"0",B1770:B9015,"4 1 4 3 1 12 31111 6 M59 19000 000000 00000 00000 00043 011 1113000 2024 00000000 004*")</f>
        <v>3607.5</v>
      </c>
      <c r="G1769" s="35">
        <f>SUMIFS(G1770:G9015,K1770:K9015,"0",B1770:B9015,"4 1 4 3 1 12 31111 6 M59 19000 000000 00000 00000 00043 011 1113000 2024 00000000 004*")</f>
        <v>15497164.120000001</v>
      </c>
      <c r="H1769" s="35"/>
      <c r="I1769" s="35">
        <f t="shared" si="27"/>
        <v>15493556.620000001</v>
      </c>
      <c r="K1769" t="s">
        <v>15</v>
      </c>
    </row>
    <row r="1770" spans="2:11" ht="49.5" x14ac:dyDescent="0.2">
      <c r="B1770" s="33" t="s">
        <v>2506</v>
      </c>
      <c r="C1770" s="33" t="s">
        <v>2489</v>
      </c>
      <c r="D1770"/>
      <c r="E1770" s="35">
        <f>SUMIFS(E1771:E9015,K1771:K9015,"0",B1771:B9015,"4 1 4 3 1 12 31111 6 M59 19000 000000 00000 00000 00043 011 1113000 2024 00000000 004 0000001*")-SUMIFS(D1771:D9015,K1771:K9015,"0",B1771:B9015,"4 1 4 3 1 12 31111 6 M59 19000 000000 00000 00000 00043 011 1113000 2024 00000000 004 0000001*")</f>
        <v>0</v>
      </c>
      <c r="F1770" s="35">
        <f>SUMIFS(F1771:F9015,K1771:K9015,"0",B1771:B9015,"4 1 4 3 1 12 31111 6 M59 19000 000000 00000 00000 00043 011 1113000 2024 00000000 004 0000001*")</f>
        <v>3607.5</v>
      </c>
      <c r="G1770" s="35">
        <f>SUMIFS(G1771:G9015,K1771:K9015,"0",B1771:B9015,"4 1 4 3 1 12 31111 6 M59 19000 000000 00000 00000 00043 011 1113000 2024 00000000 004 0000001*")</f>
        <v>15497164.120000001</v>
      </c>
      <c r="H1770" s="35"/>
      <c r="I1770" s="35">
        <f t="shared" si="27"/>
        <v>15493556.620000001</v>
      </c>
      <c r="K1770" t="s">
        <v>15</v>
      </c>
    </row>
    <row r="1771" spans="2:11" ht="49.5" x14ac:dyDescent="0.2">
      <c r="B1771" s="33" t="s">
        <v>2507</v>
      </c>
      <c r="C1771" s="33" t="s">
        <v>2508</v>
      </c>
      <c r="D1771"/>
      <c r="E1771" s="35">
        <f>SUMIFS(E1772:E9015,K1772:K9015,"0",B1772:B9015,"4 1 4 3 1 12 31111 6 M59 19000 000000 00000 00000 00043 011 1113000 2024 00000000 004 0000001 00001*")-SUMIFS(D1772:D9015,K1772:K9015,"0",B1772:B9015,"4 1 4 3 1 12 31111 6 M59 19000 000000 00000 00000 00043 011 1113000 2024 00000000 004 0000001 00001*")</f>
        <v>0</v>
      </c>
      <c r="F1771" s="35">
        <f>SUMIFS(F1772:F9015,K1772:K9015,"0",B1772:B9015,"4 1 4 3 1 12 31111 6 M59 19000 000000 00000 00000 00043 011 1113000 2024 00000000 004 0000001 00001*")</f>
        <v>0</v>
      </c>
      <c r="G1771" s="35">
        <f>SUMIFS(G1772:G9015,K1772:K9015,"0",B1772:B9015,"4 1 4 3 1 12 31111 6 M59 19000 000000 00000 00000 00043 011 1113000 2024 00000000 004 0000001 00001*")</f>
        <v>149625</v>
      </c>
      <c r="H1771" s="35"/>
      <c r="I1771" s="35">
        <f t="shared" si="27"/>
        <v>149625</v>
      </c>
      <c r="K1771" t="s">
        <v>15</v>
      </c>
    </row>
    <row r="1772" spans="2:11" ht="41.25" x14ac:dyDescent="0.2">
      <c r="B1772" s="31" t="s">
        <v>2509</v>
      </c>
      <c r="C1772" s="31" t="s">
        <v>2510</v>
      </c>
      <c r="D1772" s="34"/>
      <c r="E1772" s="34">
        <v>0</v>
      </c>
      <c r="F1772" s="34">
        <v>0</v>
      </c>
      <c r="G1772" s="34">
        <v>149625</v>
      </c>
      <c r="H1772" s="34"/>
      <c r="I1772" s="34">
        <f t="shared" si="27"/>
        <v>149625</v>
      </c>
      <c r="K1772" t="s">
        <v>38</v>
      </c>
    </row>
    <row r="1773" spans="2:11" ht="49.5" x14ac:dyDescent="0.2">
      <c r="B1773" s="33" t="s">
        <v>2511</v>
      </c>
      <c r="C1773" s="33" t="s">
        <v>2512</v>
      </c>
      <c r="D1773"/>
      <c r="E1773" s="35">
        <f>SUMIFS(E1774:E9015,K1774:K9015,"0",B1774:B9015,"4 1 4 3 1 12 31111 6 M59 19000 000000 00000 00000 00043 011 1113000 2024 00000000 004 0000001 00002*")-SUMIFS(D1774:D9015,K1774:K9015,"0",B1774:B9015,"4 1 4 3 1 12 31111 6 M59 19000 000000 00000 00000 00043 011 1113000 2024 00000000 004 0000001 00002*")</f>
        <v>0</v>
      </c>
      <c r="F1773" s="35">
        <f>SUMIFS(F1774:F9015,K1774:K9015,"0",B1774:B9015,"4 1 4 3 1 12 31111 6 M59 19000 000000 00000 00000 00043 011 1113000 2024 00000000 004 0000001 00002*")</f>
        <v>0</v>
      </c>
      <c r="G1773" s="35">
        <f>SUMIFS(G1774:G9015,K1774:K9015,"0",B1774:B9015,"4 1 4 3 1 12 31111 6 M59 19000 000000 00000 00000 00043 011 1113000 2024 00000000 004 0000001 00002*")</f>
        <v>195161.07</v>
      </c>
      <c r="H1773" s="35"/>
      <c r="I1773" s="35">
        <f t="shared" si="27"/>
        <v>195161.07</v>
      </c>
      <c r="K1773" t="s">
        <v>15</v>
      </c>
    </row>
    <row r="1774" spans="2:11" ht="41.25" x14ac:dyDescent="0.2">
      <c r="B1774" s="31" t="s">
        <v>2513</v>
      </c>
      <c r="C1774" s="31" t="s">
        <v>2514</v>
      </c>
      <c r="D1774" s="34"/>
      <c r="E1774" s="34">
        <v>0</v>
      </c>
      <c r="F1774" s="34">
        <v>0</v>
      </c>
      <c r="G1774" s="34">
        <v>195161.07</v>
      </c>
      <c r="H1774" s="34"/>
      <c r="I1774" s="34">
        <f t="shared" si="27"/>
        <v>195161.07</v>
      </c>
      <c r="K1774" t="s">
        <v>38</v>
      </c>
    </row>
    <row r="1775" spans="2:11" ht="49.5" x14ac:dyDescent="0.2">
      <c r="B1775" s="33" t="s">
        <v>2515</v>
      </c>
      <c r="C1775" s="33" t="s">
        <v>2516</v>
      </c>
      <c r="D1775"/>
      <c r="E1775" s="35">
        <f>SUMIFS(E1776:E9015,K1776:K9015,"0",B1776:B9015,"4 1 4 3 1 12 31111 6 M59 19000 000000 00000 00000 00043 011 1113000 2024 00000000 004 0000001 00003*")-SUMIFS(D1776:D9015,K1776:K9015,"0",B1776:B9015,"4 1 4 3 1 12 31111 6 M59 19000 000000 00000 00000 00043 011 1113000 2024 00000000 004 0000001 00003*")</f>
        <v>0</v>
      </c>
      <c r="F1775" s="35">
        <f>SUMIFS(F1776:F9015,K1776:K9015,"0",B1776:B9015,"4 1 4 3 1 12 31111 6 M59 19000 000000 00000 00000 00043 011 1113000 2024 00000000 004 0000001 00003*")</f>
        <v>3607.5</v>
      </c>
      <c r="G1775" s="35">
        <f>SUMIFS(G1776:G9015,K1776:K9015,"0",B1776:B9015,"4 1 4 3 1 12 31111 6 M59 19000 000000 00000 00000 00043 011 1113000 2024 00000000 004 0000001 00003*")</f>
        <v>1466814</v>
      </c>
      <c r="H1775" s="35"/>
      <c r="I1775" s="35">
        <f t="shared" ref="I1775:I1838" si="28">E1775 - F1775 + G1775</f>
        <v>1463206.5</v>
      </c>
      <c r="K1775" t="s">
        <v>15</v>
      </c>
    </row>
    <row r="1776" spans="2:11" ht="41.25" x14ac:dyDescent="0.2">
      <c r="B1776" s="31" t="s">
        <v>2517</v>
      </c>
      <c r="C1776" s="31" t="s">
        <v>2518</v>
      </c>
      <c r="D1776" s="34"/>
      <c r="E1776" s="34">
        <v>0</v>
      </c>
      <c r="F1776" s="34">
        <v>3607.5</v>
      </c>
      <c r="G1776" s="34">
        <v>1466814</v>
      </c>
      <c r="H1776" s="34"/>
      <c r="I1776" s="34">
        <f t="shared" si="28"/>
        <v>1463206.5</v>
      </c>
      <c r="K1776" t="s">
        <v>38</v>
      </c>
    </row>
    <row r="1777" spans="2:11" ht="49.5" x14ac:dyDescent="0.2">
      <c r="B1777" s="33" t="s">
        <v>2519</v>
      </c>
      <c r="C1777" s="33" t="s">
        <v>2520</v>
      </c>
      <c r="D1777"/>
      <c r="E1777" s="35">
        <f>SUMIFS(E1778:E9015,K1778:K9015,"0",B1778:B9015,"4 1 4 3 1 12 31111 6 M59 19000 000000 00000 00000 00043 011 1113000 2024 00000000 004 0000001 00004*")-SUMIFS(D1778:D9015,K1778:K9015,"0",B1778:B9015,"4 1 4 3 1 12 31111 6 M59 19000 000000 00000 00000 00043 011 1113000 2024 00000000 004 0000001 00004*")</f>
        <v>0</v>
      </c>
      <c r="F1777" s="35">
        <f>SUMIFS(F1778:F9015,K1778:K9015,"0",B1778:B9015,"4 1 4 3 1 12 31111 6 M59 19000 000000 00000 00000 00043 011 1113000 2024 00000000 004 0000001 00004*")</f>
        <v>0</v>
      </c>
      <c r="G1777" s="35">
        <f>SUMIFS(G1778:G9015,K1778:K9015,"0",B1778:B9015,"4 1 4 3 1 12 31111 6 M59 19000 000000 00000 00000 00043 011 1113000 2024 00000000 004 0000001 00004*")</f>
        <v>13231988.550000001</v>
      </c>
      <c r="H1777" s="35"/>
      <c r="I1777" s="35">
        <f t="shared" si="28"/>
        <v>13231988.550000001</v>
      </c>
      <c r="K1777" t="s">
        <v>15</v>
      </c>
    </row>
    <row r="1778" spans="2:11" ht="41.25" x14ac:dyDescent="0.2">
      <c r="B1778" s="31" t="s">
        <v>2521</v>
      </c>
      <c r="C1778" s="31" t="s">
        <v>2522</v>
      </c>
      <c r="D1778" s="34"/>
      <c r="E1778" s="34">
        <v>0</v>
      </c>
      <c r="F1778" s="34">
        <v>0</v>
      </c>
      <c r="G1778" s="34">
        <v>13231988.550000001</v>
      </c>
      <c r="H1778" s="34"/>
      <c r="I1778" s="34">
        <f t="shared" si="28"/>
        <v>13231988.550000001</v>
      </c>
      <c r="K1778" t="s">
        <v>38</v>
      </c>
    </row>
    <row r="1779" spans="2:11" ht="49.5" x14ac:dyDescent="0.2">
      <c r="B1779" s="33" t="s">
        <v>2523</v>
      </c>
      <c r="C1779" s="33" t="s">
        <v>2524</v>
      </c>
      <c r="D1779"/>
      <c r="E1779" s="35">
        <f>SUMIFS(E1780:E9015,K1780:K9015,"0",B1780:B9015,"4 1 4 3 1 12 31111 6 M59 19000 000000 00000 00000 00043 011 1113000 2024 00000000 004 0000001 00005*")-SUMIFS(D1780:D9015,K1780:K9015,"0",B1780:B9015,"4 1 4 3 1 12 31111 6 M59 19000 000000 00000 00000 00043 011 1113000 2024 00000000 004 0000001 00005*")</f>
        <v>0</v>
      </c>
      <c r="F1779" s="35">
        <f>SUMIFS(F1780:F9015,K1780:K9015,"0",B1780:B9015,"4 1 4 3 1 12 31111 6 M59 19000 000000 00000 00000 00043 011 1113000 2024 00000000 004 0000001 00005*")</f>
        <v>0</v>
      </c>
      <c r="G1779" s="35">
        <f>SUMIFS(G1780:G9015,K1780:K9015,"0",B1780:B9015,"4 1 4 3 1 12 31111 6 M59 19000 000000 00000 00000 00043 011 1113000 2024 00000000 004 0000001 00005*")</f>
        <v>132032.6</v>
      </c>
      <c r="H1779" s="35"/>
      <c r="I1779" s="35">
        <f t="shared" si="28"/>
        <v>132032.6</v>
      </c>
      <c r="K1779" t="s">
        <v>15</v>
      </c>
    </row>
    <row r="1780" spans="2:11" ht="49.5" x14ac:dyDescent="0.2">
      <c r="B1780" s="31" t="s">
        <v>2525</v>
      </c>
      <c r="C1780" s="31" t="s">
        <v>2526</v>
      </c>
      <c r="D1780" s="34"/>
      <c r="E1780" s="34">
        <v>0</v>
      </c>
      <c r="F1780" s="34">
        <v>0</v>
      </c>
      <c r="G1780" s="34">
        <v>132032.6</v>
      </c>
      <c r="H1780" s="34"/>
      <c r="I1780" s="34">
        <f t="shared" si="28"/>
        <v>132032.6</v>
      </c>
      <c r="K1780" t="s">
        <v>38</v>
      </c>
    </row>
    <row r="1781" spans="2:11" ht="49.5" x14ac:dyDescent="0.2">
      <c r="B1781" s="33" t="s">
        <v>2527</v>
      </c>
      <c r="C1781" s="33" t="s">
        <v>2528</v>
      </c>
      <c r="D1781"/>
      <c r="E1781" s="35">
        <f>SUMIFS(E1782:E9015,K1782:K9015,"0",B1782:B9015,"4 1 4 3 1 12 31111 6 M59 19000 000000 00000 00000 00043 011 1113000 2024 00000000 004 0000001 00006*")-SUMIFS(D1782:D9015,K1782:K9015,"0",B1782:B9015,"4 1 4 3 1 12 31111 6 M59 19000 000000 00000 00000 00043 011 1113000 2024 00000000 004 0000001 00006*")</f>
        <v>0</v>
      </c>
      <c r="F1781" s="35">
        <f>SUMIFS(F1782:F9015,K1782:K9015,"0",B1782:B9015,"4 1 4 3 1 12 31111 6 M59 19000 000000 00000 00000 00043 011 1113000 2024 00000000 004 0000001 00006*")</f>
        <v>0</v>
      </c>
      <c r="G1781" s="35">
        <f>SUMIFS(G1782:G9015,K1782:K9015,"0",B1782:B9015,"4 1 4 3 1 12 31111 6 M59 19000 000000 00000 00000 00043 011 1113000 2024 00000000 004 0000001 00006*")</f>
        <v>105757.9</v>
      </c>
      <c r="H1781" s="35"/>
      <c r="I1781" s="35">
        <f t="shared" si="28"/>
        <v>105757.9</v>
      </c>
      <c r="K1781" t="s">
        <v>15</v>
      </c>
    </row>
    <row r="1782" spans="2:11" ht="41.25" x14ac:dyDescent="0.2">
      <c r="B1782" s="31" t="s">
        <v>2529</v>
      </c>
      <c r="C1782" s="31" t="s">
        <v>2530</v>
      </c>
      <c r="D1782" s="34"/>
      <c r="E1782" s="34">
        <v>0</v>
      </c>
      <c r="F1782" s="34">
        <v>0</v>
      </c>
      <c r="G1782" s="34">
        <v>105757.9</v>
      </c>
      <c r="H1782" s="34"/>
      <c r="I1782" s="34">
        <f t="shared" si="28"/>
        <v>105757.9</v>
      </c>
      <c r="K1782" t="s">
        <v>38</v>
      </c>
    </row>
    <row r="1783" spans="2:11" ht="49.5" x14ac:dyDescent="0.2">
      <c r="B1783" s="33" t="s">
        <v>2531</v>
      </c>
      <c r="C1783" s="33" t="s">
        <v>2532</v>
      </c>
      <c r="D1783"/>
      <c r="E1783" s="35">
        <f>SUMIFS(E1784:E9015,K1784:K9015,"0",B1784:B9015,"4 1 4 3 1 12 31111 6 M59 19000 000000 00000 00000 00043 011 1113000 2024 00000000 004 0000001 00007*")-SUMIFS(D1784:D9015,K1784:K9015,"0",B1784:B9015,"4 1 4 3 1 12 31111 6 M59 19000 000000 00000 00000 00043 011 1113000 2024 00000000 004 0000001 00007*")</f>
        <v>0</v>
      </c>
      <c r="F1783" s="35">
        <f>SUMIFS(F1784:F9015,K1784:K9015,"0",B1784:B9015,"4 1 4 3 1 12 31111 6 M59 19000 000000 00000 00000 00043 011 1113000 2024 00000000 004 0000001 00007*")</f>
        <v>0</v>
      </c>
      <c r="G1783" s="35">
        <f>SUMIFS(G1784:G9015,K1784:K9015,"0",B1784:B9015,"4 1 4 3 1 12 31111 6 M59 19000 000000 00000 00000 00043 011 1113000 2024 00000000 004 0000001 00007*")</f>
        <v>215785</v>
      </c>
      <c r="H1783" s="35"/>
      <c r="I1783" s="35">
        <f t="shared" si="28"/>
        <v>215785</v>
      </c>
      <c r="K1783" t="s">
        <v>15</v>
      </c>
    </row>
    <row r="1784" spans="2:11" ht="41.25" x14ac:dyDescent="0.2">
      <c r="B1784" s="31" t="s">
        <v>2533</v>
      </c>
      <c r="C1784" s="31" t="s">
        <v>2534</v>
      </c>
      <c r="D1784" s="34"/>
      <c r="E1784" s="34">
        <v>0</v>
      </c>
      <c r="F1784" s="34">
        <v>0</v>
      </c>
      <c r="G1784" s="34">
        <v>215785</v>
      </c>
      <c r="H1784" s="34"/>
      <c r="I1784" s="34">
        <f t="shared" si="28"/>
        <v>215785</v>
      </c>
      <c r="K1784" t="s">
        <v>38</v>
      </c>
    </row>
    <row r="1785" spans="2:11" ht="12.75" x14ac:dyDescent="0.2">
      <c r="B1785" s="33" t="s">
        <v>2535</v>
      </c>
      <c r="C1785" s="33" t="s">
        <v>2536</v>
      </c>
      <c r="D1785"/>
      <c r="E1785" s="35">
        <f>SUMIFS(E1786:E9015,K1786:K9015,"0",B1786:B9015,"4 1 4 4*")-SUMIFS(D1786:D9015,K1786:K9015,"0",B1786:B9015,"4 1 4 4*")</f>
        <v>0</v>
      </c>
      <c r="F1785" s="35">
        <f>SUMIFS(F1786:F9015,K1786:K9015,"0",B1786:B9015,"4 1 4 4*")</f>
        <v>0</v>
      </c>
      <c r="G1785" s="35">
        <f>SUMIFS(G1786:G9015,K1786:K9015,"0",B1786:B9015,"4 1 4 4*")</f>
        <v>991696.88</v>
      </c>
      <c r="H1785" s="35"/>
      <c r="I1785" s="35">
        <f t="shared" si="28"/>
        <v>991696.88</v>
      </c>
      <c r="K1785" t="s">
        <v>15</v>
      </c>
    </row>
    <row r="1786" spans="2:11" ht="12.75" x14ac:dyDescent="0.2">
      <c r="B1786" s="33" t="s">
        <v>2537</v>
      </c>
      <c r="C1786" s="33" t="s">
        <v>2536</v>
      </c>
      <c r="D1786"/>
      <c r="E1786" s="35">
        <f>SUMIFS(E1787:E9015,K1787:K9015,"0",B1787:B9015,"4 1 4 4 1*")-SUMIFS(D1787:D9015,K1787:K9015,"0",B1787:B9015,"4 1 4 4 1*")</f>
        <v>0</v>
      </c>
      <c r="F1786" s="35">
        <f>SUMIFS(F1787:F9015,K1787:K9015,"0",B1787:B9015,"4 1 4 4 1*")</f>
        <v>0</v>
      </c>
      <c r="G1786" s="35">
        <f>SUMIFS(G1787:G9015,K1787:K9015,"0",B1787:B9015,"4 1 4 4 1*")</f>
        <v>991696.88</v>
      </c>
      <c r="H1786" s="35"/>
      <c r="I1786" s="35">
        <f t="shared" si="28"/>
        <v>991696.88</v>
      </c>
      <c r="K1786" t="s">
        <v>15</v>
      </c>
    </row>
    <row r="1787" spans="2:11" ht="12.75" x14ac:dyDescent="0.2">
      <c r="B1787" s="33" t="s">
        <v>2538</v>
      </c>
      <c r="C1787" s="33" t="s">
        <v>26</v>
      </c>
      <c r="D1787"/>
      <c r="E1787" s="35">
        <f>SUMIFS(E1788:E9015,K1788:K9015,"0",B1788:B9015,"4 1 4 4 1 12*")-SUMIFS(D1788:D9015,K1788:K9015,"0",B1788:B9015,"4 1 4 4 1 12*")</f>
        <v>0</v>
      </c>
      <c r="F1787" s="35">
        <f>SUMIFS(F1788:F9015,K1788:K9015,"0",B1788:B9015,"4 1 4 4 1 12*")</f>
        <v>0</v>
      </c>
      <c r="G1787" s="35">
        <f>SUMIFS(G1788:G9015,K1788:K9015,"0",B1788:B9015,"4 1 4 4 1 12*")</f>
        <v>991696.88</v>
      </c>
      <c r="H1787" s="35"/>
      <c r="I1787" s="35">
        <f t="shared" si="28"/>
        <v>991696.88</v>
      </c>
      <c r="K1787" t="s">
        <v>15</v>
      </c>
    </row>
    <row r="1788" spans="2:11" ht="16.5" x14ac:dyDescent="0.2">
      <c r="B1788" s="33" t="s">
        <v>2539</v>
      </c>
      <c r="C1788" s="33" t="s">
        <v>28</v>
      </c>
      <c r="D1788"/>
      <c r="E1788" s="35">
        <f>SUMIFS(E1789:E9015,K1789:K9015,"0",B1789:B9015,"4 1 4 4 1 12 31111*")-SUMIFS(D1789:D9015,K1789:K9015,"0",B1789:B9015,"4 1 4 4 1 12 31111*")</f>
        <v>0</v>
      </c>
      <c r="F1788" s="35">
        <f>SUMIFS(F1789:F9015,K1789:K9015,"0",B1789:B9015,"4 1 4 4 1 12 31111*")</f>
        <v>0</v>
      </c>
      <c r="G1788" s="35">
        <f>SUMIFS(G1789:G9015,K1789:K9015,"0",B1789:B9015,"4 1 4 4 1 12 31111*")</f>
        <v>991696.88</v>
      </c>
      <c r="H1788" s="35"/>
      <c r="I1788" s="35">
        <f t="shared" si="28"/>
        <v>991696.88</v>
      </c>
      <c r="K1788" t="s">
        <v>15</v>
      </c>
    </row>
    <row r="1789" spans="2:11" ht="12.75" x14ac:dyDescent="0.2">
      <c r="B1789" s="33" t="s">
        <v>2540</v>
      </c>
      <c r="C1789" s="33" t="s">
        <v>30</v>
      </c>
      <c r="D1789"/>
      <c r="E1789" s="35">
        <f>SUMIFS(E1790:E9015,K1790:K9015,"0",B1790:B9015,"4 1 4 4 1 12 31111 6*")-SUMIFS(D1790:D9015,K1790:K9015,"0",B1790:B9015,"4 1 4 4 1 12 31111 6*")</f>
        <v>0</v>
      </c>
      <c r="F1789" s="35">
        <f>SUMIFS(F1790:F9015,K1790:K9015,"0",B1790:B9015,"4 1 4 4 1 12 31111 6*")</f>
        <v>0</v>
      </c>
      <c r="G1789" s="35">
        <f>SUMIFS(G1790:G9015,K1790:K9015,"0",B1790:B9015,"4 1 4 4 1 12 31111 6*")</f>
        <v>991696.88</v>
      </c>
      <c r="H1789" s="35"/>
      <c r="I1789" s="35">
        <f t="shared" si="28"/>
        <v>991696.88</v>
      </c>
      <c r="K1789" t="s">
        <v>15</v>
      </c>
    </row>
    <row r="1790" spans="2:11" ht="16.5" x14ac:dyDescent="0.2">
      <c r="B1790" s="33" t="s">
        <v>2541</v>
      </c>
      <c r="C1790" s="33" t="s">
        <v>2284</v>
      </c>
      <c r="D1790"/>
      <c r="E1790" s="35">
        <f>SUMIFS(E1791:E9015,K1791:K9015,"0",B1791:B9015,"4 1 4 4 1 12 31111 6 M59*")-SUMIFS(D1791:D9015,K1791:K9015,"0",B1791:B9015,"4 1 4 4 1 12 31111 6 M59*")</f>
        <v>0</v>
      </c>
      <c r="F1790" s="35">
        <f>SUMIFS(F1791:F9015,K1791:K9015,"0",B1791:B9015,"4 1 4 4 1 12 31111 6 M59*")</f>
        <v>0</v>
      </c>
      <c r="G1790" s="35">
        <f>SUMIFS(G1791:G9015,K1791:K9015,"0",B1791:B9015,"4 1 4 4 1 12 31111 6 M59*")</f>
        <v>991696.88</v>
      </c>
      <c r="H1790" s="35"/>
      <c r="I1790" s="35">
        <f t="shared" si="28"/>
        <v>991696.88</v>
      </c>
      <c r="K1790" t="s">
        <v>15</v>
      </c>
    </row>
    <row r="1791" spans="2:11" ht="16.5" x14ac:dyDescent="0.2">
      <c r="B1791" s="33" t="s">
        <v>2542</v>
      </c>
      <c r="C1791" s="33" t="s">
        <v>1044</v>
      </c>
      <c r="D1791"/>
      <c r="E1791" s="35">
        <f>SUMIFS(E1792:E9015,K1792:K9015,"0",B1792:B9015,"4 1 4 4 1 12 31111 6 M59 19000*")-SUMIFS(D1792:D9015,K1792:K9015,"0",B1792:B9015,"4 1 4 4 1 12 31111 6 M59 19000*")</f>
        <v>0</v>
      </c>
      <c r="F1791" s="35">
        <f>SUMIFS(F1792:F9015,K1792:K9015,"0",B1792:B9015,"4 1 4 4 1 12 31111 6 M59 19000*")</f>
        <v>0</v>
      </c>
      <c r="G1791" s="35">
        <f>SUMIFS(G1792:G9015,K1792:K9015,"0",B1792:B9015,"4 1 4 4 1 12 31111 6 M59 19000*")</f>
        <v>991696.88</v>
      </c>
      <c r="H1791" s="35"/>
      <c r="I1791" s="35">
        <f t="shared" si="28"/>
        <v>991696.88</v>
      </c>
      <c r="K1791" t="s">
        <v>15</v>
      </c>
    </row>
    <row r="1792" spans="2:11" ht="16.5" x14ac:dyDescent="0.2">
      <c r="B1792" s="33" t="s">
        <v>2543</v>
      </c>
      <c r="C1792" s="33" t="s">
        <v>2287</v>
      </c>
      <c r="D1792"/>
      <c r="E1792" s="35">
        <f>SUMIFS(E1793:E9015,K1793:K9015,"0",B1793:B9015,"4 1 4 4 1 12 31111 6 M59 19000 000000*")-SUMIFS(D1793:D9015,K1793:K9015,"0",B1793:B9015,"4 1 4 4 1 12 31111 6 M59 19000 000000*")</f>
        <v>0</v>
      </c>
      <c r="F1792" s="35">
        <f>SUMIFS(F1793:F9015,K1793:K9015,"0",B1793:B9015,"4 1 4 4 1 12 31111 6 M59 19000 000000*")</f>
        <v>0</v>
      </c>
      <c r="G1792" s="35">
        <f>SUMIFS(G1793:G9015,K1793:K9015,"0",B1793:B9015,"4 1 4 4 1 12 31111 6 M59 19000 000000*")</f>
        <v>991696.88</v>
      </c>
      <c r="H1792" s="35"/>
      <c r="I1792" s="35">
        <f t="shared" si="28"/>
        <v>991696.88</v>
      </c>
      <c r="K1792" t="s">
        <v>15</v>
      </c>
    </row>
    <row r="1793" spans="2:11" ht="24.75" x14ac:dyDescent="0.2">
      <c r="B1793" s="33" t="s">
        <v>2544</v>
      </c>
      <c r="C1793" s="33" t="s">
        <v>2289</v>
      </c>
      <c r="D1793"/>
      <c r="E1793" s="35">
        <f>SUMIFS(E1794:E9015,K1794:K9015,"0",B1794:B9015,"4 1 4 4 1 12 31111 6 M59 19000 000000 00000*")-SUMIFS(D1794:D9015,K1794:K9015,"0",B1794:B9015,"4 1 4 4 1 12 31111 6 M59 19000 000000 00000*")</f>
        <v>0</v>
      </c>
      <c r="F1793" s="35">
        <f>SUMIFS(F1794:F9015,K1794:K9015,"0",B1794:B9015,"4 1 4 4 1 12 31111 6 M59 19000 000000 00000*")</f>
        <v>0</v>
      </c>
      <c r="G1793" s="35">
        <f>SUMIFS(G1794:G9015,K1794:K9015,"0",B1794:B9015,"4 1 4 4 1 12 31111 6 M59 19000 000000 00000*")</f>
        <v>991696.88</v>
      </c>
      <c r="H1793" s="35"/>
      <c r="I1793" s="35">
        <f t="shared" si="28"/>
        <v>991696.88</v>
      </c>
      <c r="K1793" t="s">
        <v>15</v>
      </c>
    </row>
    <row r="1794" spans="2:11" ht="24.75" x14ac:dyDescent="0.2">
      <c r="B1794" s="33" t="s">
        <v>2545</v>
      </c>
      <c r="C1794" s="33" t="s">
        <v>2291</v>
      </c>
      <c r="D1794"/>
      <c r="E1794" s="35">
        <f>SUMIFS(E1795:E9015,K1795:K9015,"0",B1795:B9015,"4 1 4 4 1 12 31111 6 M59 19000 000000 00000 00000*")-SUMIFS(D1795:D9015,K1795:K9015,"0",B1795:B9015,"4 1 4 4 1 12 31111 6 M59 19000 000000 00000 00000*")</f>
        <v>0</v>
      </c>
      <c r="F1794" s="35">
        <f>SUMIFS(F1795:F9015,K1795:K9015,"0",B1795:B9015,"4 1 4 4 1 12 31111 6 M59 19000 000000 00000 00000*")</f>
        <v>0</v>
      </c>
      <c r="G1794" s="35">
        <f>SUMIFS(G1795:G9015,K1795:K9015,"0",B1795:B9015,"4 1 4 4 1 12 31111 6 M59 19000 000000 00000 00000*")</f>
        <v>991696.88</v>
      </c>
      <c r="H1794" s="35"/>
      <c r="I1794" s="35">
        <f t="shared" si="28"/>
        <v>991696.88</v>
      </c>
      <c r="K1794" t="s">
        <v>15</v>
      </c>
    </row>
    <row r="1795" spans="2:11" ht="24.75" x14ac:dyDescent="0.2">
      <c r="B1795" s="33" t="s">
        <v>2546</v>
      </c>
      <c r="C1795" s="33" t="s">
        <v>2536</v>
      </c>
      <c r="D1795"/>
      <c r="E1795" s="35">
        <f>SUMIFS(E1796:E9015,K1796:K9015,"0",B1796:B9015,"4 1 4 4 1 12 31111 6 M59 19000 000000 00000 00000 00045*")-SUMIFS(D1796:D9015,K1796:K9015,"0",B1796:B9015,"4 1 4 4 1 12 31111 6 M59 19000 000000 00000 00000 00045*")</f>
        <v>0</v>
      </c>
      <c r="F1795" s="35">
        <f>SUMIFS(F1796:F9015,K1796:K9015,"0",B1796:B9015,"4 1 4 4 1 12 31111 6 M59 19000 000000 00000 00000 00045*")</f>
        <v>0</v>
      </c>
      <c r="G1795" s="35">
        <f>SUMIFS(G1796:G9015,K1796:K9015,"0",B1796:B9015,"4 1 4 4 1 12 31111 6 M59 19000 000000 00000 00000 00045*")</f>
        <v>991696.88</v>
      </c>
      <c r="H1795" s="35"/>
      <c r="I1795" s="35">
        <f t="shared" si="28"/>
        <v>991696.88</v>
      </c>
      <c r="K1795" t="s">
        <v>15</v>
      </c>
    </row>
    <row r="1796" spans="2:11" ht="33" x14ac:dyDescent="0.2">
      <c r="B1796" s="33" t="s">
        <v>2547</v>
      </c>
      <c r="C1796" s="33" t="s">
        <v>699</v>
      </c>
      <c r="D1796"/>
      <c r="E1796" s="35">
        <f>SUMIFS(E1797:E9015,K1797:K9015,"0",B1797:B9015,"4 1 4 4 1 12 31111 6 M59 19000 000000 00000 00000 00045 011*")-SUMIFS(D1797:D9015,K1797:K9015,"0",B1797:B9015,"4 1 4 4 1 12 31111 6 M59 19000 000000 00000 00000 00045 011*")</f>
        <v>0</v>
      </c>
      <c r="F1796" s="35">
        <f>SUMIFS(F1797:F9015,K1797:K9015,"0",B1797:B9015,"4 1 4 4 1 12 31111 6 M59 19000 000000 00000 00000 00045 011*")</f>
        <v>0</v>
      </c>
      <c r="G1796" s="35">
        <f>SUMIFS(G1797:G9015,K1797:K9015,"0",B1797:B9015,"4 1 4 4 1 12 31111 6 M59 19000 000000 00000 00000 00045 011*")</f>
        <v>991696.88</v>
      </c>
      <c r="H1796" s="35"/>
      <c r="I1796" s="35">
        <f t="shared" si="28"/>
        <v>991696.88</v>
      </c>
      <c r="K1796" t="s">
        <v>15</v>
      </c>
    </row>
    <row r="1797" spans="2:11" ht="33" x14ac:dyDescent="0.2">
      <c r="B1797" s="33" t="s">
        <v>2548</v>
      </c>
      <c r="C1797" s="33" t="s">
        <v>2320</v>
      </c>
      <c r="D1797"/>
      <c r="E1797" s="35">
        <f>SUMIFS(E1798:E9015,K1798:K9015,"0",B1798:B9015,"4 1 4 4 1 12 31111 6 M59 19000 000000 00000 00000 00045 011 1113000*")-SUMIFS(D1798:D9015,K1798:K9015,"0",B1798:B9015,"4 1 4 4 1 12 31111 6 M59 19000 000000 00000 00000 00045 011 1113000*")</f>
        <v>0</v>
      </c>
      <c r="F1797" s="35">
        <f>SUMIFS(F1798:F9015,K1798:K9015,"0",B1798:B9015,"4 1 4 4 1 12 31111 6 M59 19000 000000 00000 00000 00045 011 1113000*")</f>
        <v>0</v>
      </c>
      <c r="G1797" s="35">
        <f>SUMIFS(G1798:G9015,K1798:K9015,"0",B1798:B9015,"4 1 4 4 1 12 31111 6 M59 19000 000000 00000 00000 00045 011 1113000*")</f>
        <v>991696.88</v>
      </c>
      <c r="H1797" s="35"/>
      <c r="I1797" s="35">
        <f t="shared" si="28"/>
        <v>991696.88</v>
      </c>
      <c r="K1797" t="s">
        <v>15</v>
      </c>
    </row>
    <row r="1798" spans="2:11" ht="33" x14ac:dyDescent="0.2">
      <c r="B1798" s="33" t="s">
        <v>2549</v>
      </c>
      <c r="C1798" s="33" t="s">
        <v>660</v>
      </c>
      <c r="D1798"/>
      <c r="E1798" s="35">
        <f>SUMIFS(E1799:E9015,K1799:K9015,"0",B1799:B9015,"4 1 4 4 1 12 31111 6 M59 19000 000000 00000 00000 00045 011 1113000 2024*")-SUMIFS(D1799:D9015,K1799:K9015,"0",B1799:B9015,"4 1 4 4 1 12 31111 6 M59 19000 000000 00000 00000 00045 011 1113000 2024*")</f>
        <v>0</v>
      </c>
      <c r="F1798" s="35">
        <f>SUMIFS(F1799:F9015,K1799:K9015,"0",B1799:B9015,"4 1 4 4 1 12 31111 6 M59 19000 000000 00000 00000 00045 011 1113000 2024*")</f>
        <v>0</v>
      </c>
      <c r="G1798" s="35">
        <f>SUMIFS(G1799:G9015,K1799:K9015,"0",B1799:B9015,"4 1 4 4 1 12 31111 6 M59 19000 000000 00000 00000 00045 011 1113000 2024*")</f>
        <v>991696.88</v>
      </c>
      <c r="H1798" s="35"/>
      <c r="I1798" s="35">
        <f t="shared" si="28"/>
        <v>991696.88</v>
      </c>
      <c r="K1798" t="s">
        <v>15</v>
      </c>
    </row>
    <row r="1799" spans="2:11" ht="41.25" x14ac:dyDescent="0.2">
      <c r="B1799" s="33" t="s">
        <v>2550</v>
      </c>
      <c r="C1799" s="33" t="s">
        <v>2298</v>
      </c>
      <c r="D1799"/>
      <c r="E1799" s="35">
        <f>SUMIFS(E1800:E9015,K1800:K9015,"0",B1800:B9015,"4 1 4 4 1 12 31111 6 M59 19000 000000 00000 00000 00045 011 1113000 2024 00000000*")-SUMIFS(D1800:D9015,K1800:K9015,"0",B1800:B9015,"4 1 4 4 1 12 31111 6 M59 19000 000000 00000 00000 00045 011 1113000 2024 00000000*")</f>
        <v>0</v>
      </c>
      <c r="F1799" s="35">
        <f>SUMIFS(F1800:F9015,K1800:K9015,"0",B1800:B9015,"4 1 4 4 1 12 31111 6 M59 19000 000000 00000 00000 00045 011 1113000 2024 00000000*")</f>
        <v>0</v>
      </c>
      <c r="G1799" s="35">
        <f>SUMIFS(G1800:G9015,K1800:K9015,"0",B1800:B9015,"4 1 4 4 1 12 31111 6 M59 19000 000000 00000 00000 00045 011 1113000 2024 00000000*")</f>
        <v>991696.88</v>
      </c>
      <c r="H1799" s="35"/>
      <c r="I1799" s="35">
        <f t="shared" si="28"/>
        <v>991696.88</v>
      </c>
      <c r="K1799" t="s">
        <v>15</v>
      </c>
    </row>
    <row r="1800" spans="2:11" ht="41.25" x14ac:dyDescent="0.2">
      <c r="B1800" s="33" t="s">
        <v>2551</v>
      </c>
      <c r="C1800" s="33" t="s">
        <v>2300</v>
      </c>
      <c r="D1800"/>
      <c r="E1800" s="35">
        <f>SUMIFS(E1801:E9015,K1801:K9015,"0",B1801:B9015,"4 1 4 4 1 12 31111 6 M59 19000 000000 00000 00000 00045 011 1113000 2024 00000000 004*")-SUMIFS(D1801:D9015,K1801:K9015,"0",B1801:B9015,"4 1 4 4 1 12 31111 6 M59 19000 000000 00000 00000 00045 011 1113000 2024 00000000 004*")</f>
        <v>0</v>
      </c>
      <c r="F1800" s="35">
        <f>SUMIFS(F1801:F9015,K1801:K9015,"0",B1801:B9015,"4 1 4 4 1 12 31111 6 M59 19000 000000 00000 00000 00045 011 1113000 2024 00000000 004*")</f>
        <v>0</v>
      </c>
      <c r="G1800" s="35">
        <f>SUMIFS(G1801:G9015,K1801:K9015,"0",B1801:B9015,"4 1 4 4 1 12 31111 6 M59 19000 000000 00000 00000 00045 011 1113000 2024 00000000 004*")</f>
        <v>991696.88</v>
      </c>
      <c r="H1800" s="35"/>
      <c r="I1800" s="35">
        <f t="shared" si="28"/>
        <v>991696.88</v>
      </c>
      <c r="K1800" t="s">
        <v>15</v>
      </c>
    </row>
    <row r="1801" spans="2:11" ht="49.5" x14ac:dyDescent="0.2">
      <c r="B1801" s="33" t="s">
        <v>2552</v>
      </c>
      <c r="C1801" s="33" t="s">
        <v>2536</v>
      </c>
      <c r="D1801"/>
      <c r="E1801" s="35">
        <f>SUMIFS(E1802:E9015,K1802:K9015,"0",B1802:B9015,"4 1 4 4 1 12 31111 6 M59 19000 000000 00000 00000 00045 011 1113000 2024 00000000 004 0000001*")-SUMIFS(D1802:D9015,K1802:K9015,"0",B1802:B9015,"4 1 4 4 1 12 31111 6 M59 19000 000000 00000 00000 00045 011 1113000 2024 00000000 004 0000001*")</f>
        <v>0</v>
      </c>
      <c r="F1801" s="35">
        <f>SUMIFS(F1802:F9015,K1802:K9015,"0",B1802:B9015,"4 1 4 4 1 12 31111 6 M59 19000 000000 00000 00000 00045 011 1113000 2024 00000000 004 0000001*")</f>
        <v>0</v>
      </c>
      <c r="G1801" s="35">
        <f>SUMIFS(G1802:G9015,K1802:K9015,"0",B1802:B9015,"4 1 4 4 1 12 31111 6 M59 19000 000000 00000 00000 00045 011 1113000 2024 00000000 004 0000001*")</f>
        <v>991696.88</v>
      </c>
      <c r="H1801" s="35"/>
      <c r="I1801" s="35">
        <f t="shared" si="28"/>
        <v>991696.88</v>
      </c>
      <c r="K1801" t="s">
        <v>15</v>
      </c>
    </row>
    <row r="1802" spans="2:11" ht="49.5" x14ac:dyDescent="0.2">
      <c r="B1802" s="33" t="s">
        <v>2553</v>
      </c>
      <c r="C1802" s="33" t="s">
        <v>2415</v>
      </c>
      <c r="D1802"/>
      <c r="E1802" s="35">
        <f>SUMIFS(E1803:E9015,K1803:K9015,"0",B1803:B9015,"4 1 4 4 1 12 31111 6 M59 19000 000000 00000 00000 00045 011 1113000 2024 00000000 004 0000001 00001*")-SUMIFS(D1803:D9015,K1803:K9015,"0",B1803:B9015,"4 1 4 4 1 12 31111 6 M59 19000 000000 00000 00000 00045 011 1113000 2024 00000000 004 0000001 00001*")</f>
        <v>0</v>
      </c>
      <c r="F1802" s="35">
        <f>SUMIFS(F1803:F9015,K1803:K9015,"0",B1803:B9015,"4 1 4 4 1 12 31111 6 M59 19000 000000 00000 00000 00045 011 1113000 2024 00000000 004 0000001 00001*")</f>
        <v>0</v>
      </c>
      <c r="G1802" s="35">
        <f>SUMIFS(G1803:G9015,K1803:K9015,"0",B1803:B9015,"4 1 4 4 1 12 31111 6 M59 19000 000000 00000 00000 00045 011 1113000 2024 00000000 004 0000001 00001*")</f>
        <v>991696.88</v>
      </c>
      <c r="H1802" s="35"/>
      <c r="I1802" s="35">
        <f t="shared" si="28"/>
        <v>991696.88</v>
      </c>
      <c r="K1802" t="s">
        <v>15</v>
      </c>
    </row>
    <row r="1803" spans="2:11" ht="41.25" x14ac:dyDescent="0.2">
      <c r="B1803" s="31" t="s">
        <v>2554</v>
      </c>
      <c r="C1803" s="31" t="s">
        <v>2555</v>
      </c>
      <c r="D1803" s="34"/>
      <c r="E1803" s="34">
        <v>0</v>
      </c>
      <c r="F1803" s="34">
        <v>0</v>
      </c>
      <c r="G1803" s="34">
        <v>991696.88</v>
      </c>
      <c r="H1803" s="34"/>
      <c r="I1803" s="34">
        <f t="shared" si="28"/>
        <v>991696.88</v>
      </c>
      <c r="K1803" t="s">
        <v>38</v>
      </c>
    </row>
    <row r="1804" spans="2:11" ht="12.75" x14ac:dyDescent="0.2">
      <c r="B1804" s="33" t="s">
        <v>2556</v>
      </c>
      <c r="C1804" s="33" t="s">
        <v>2557</v>
      </c>
      <c r="D1804"/>
      <c r="E1804" s="35">
        <f>SUMIFS(E1805:E9015,K1805:K9015,"0",B1805:B9015,"4 1 4 9*")-SUMIFS(D1805:D9015,K1805:K9015,"0",B1805:B9015,"4 1 4 9*")</f>
        <v>0</v>
      </c>
      <c r="F1804" s="35">
        <f>SUMIFS(F1805:F9015,K1805:K9015,"0",B1805:B9015,"4 1 4 9*")</f>
        <v>0</v>
      </c>
      <c r="G1804" s="35">
        <f>SUMIFS(G1805:G9015,K1805:K9015,"0",B1805:B9015,"4 1 4 9*")</f>
        <v>766360.39000000013</v>
      </c>
      <c r="H1804" s="35"/>
      <c r="I1804" s="35">
        <f t="shared" si="28"/>
        <v>766360.39000000013</v>
      </c>
      <c r="K1804" t="s">
        <v>15</v>
      </c>
    </row>
    <row r="1805" spans="2:11" ht="12.75" x14ac:dyDescent="0.2">
      <c r="B1805" s="33" t="s">
        <v>2558</v>
      </c>
      <c r="C1805" s="33" t="s">
        <v>2557</v>
      </c>
      <c r="D1805"/>
      <c r="E1805" s="35">
        <f>SUMIFS(E1806:E9015,K1806:K9015,"0",B1806:B9015,"4 1 4 9 1*")-SUMIFS(D1806:D9015,K1806:K9015,"0",B1806:B9015,"4 1 4 9 1*")</f>
        <v>0</v>
      </c>
      <c r="F1805" s="35">
        <f>SUMIFS(F1806:F9015,K1806:K9015,"0",B1806:B9015,"4 1 4 9 1*")</f>
        <v>0</v>
      </c>
      <c r="G1805" s="35">
        <f>SUMIFS(G1806:G9015,K1806:K9015,"0",B1806:B9015,"4 1 4 9 1*")</f>
        <v>766360.39000000013</v>
      </c>
      <c r="H1805" s="35"/>
      <c r="I1805" s="35">
        <f t="shared" si="28"/>
        <v>766360.39000000013</v>
      </c>
      <c r="K1805" t="s">
        <v>15</v>
      </c>
    </row>
    <row r="1806" spans="2:11" ht="12.75" x14ac:dyDescent="0.2">
      <c r="B1806" s="33" t="s">
        <v>2559</v>
      </c>
      <c r="C1806" s="33" t="s">
        <v>26</v>
      </c>
      <c r="D1806"/>
      <c r="E1806" s="35">
        <f>SUMIFS(E1807:E9015,K1807:K9015,"0",B1807:B9015,"4 1 4 9 1 12*")-SUMIFS(D1807:D9015,K1807:K9015,"0",B1807:B9015,"4 1 4 9 1 12*")</f>
        <v>0</v>
      </c>
      <c r="F1806" s="35">
        <f>SUMIFS(F1807:F9015,K1807:K9015,"0",B1807:B9015,"4 1 4 9 1 12*")</f>
        <v>0</v>
      </c>
      <c r="G1806" s="35">
        <f>SUMIFS(G1807:G9015,K1807:K9015,"0",B1807:B9015,"4 1 4 9 1 12*")</f>
        <v>766360.39000000013</v>
      </c>
      <c r="H1806" s="35"/>
      <c r="I1806" s="35">
        <f t="shared" si="28"/>
        <v>766360.39000000013</v>
      </c>
      <c r="K1806" t="s">
        <v>15</v>
      </c>
    </row>
    <row r="1807" spans="2:11" ht="16.5" x14ac:dyDescent="0.2">
      <c r="B1807" s="33" t="s">
        <v>2560</v>
      </c>
      <c r="C1807" s="33" t="s">
        <v>28</v>
      </c>
      <c r="D1807"/>
      <c r="E1807" s="35">
        <f>SUMIFS(E1808:E9015,K1808:K9015,"0",B1808:B9015,"4 1 4 9 1 12 31111*")-SUMIFS(D1808:D9015,K1808:K9015,"0",B1808:B9015,"4 1 4 9 1 12 31111*")</f>
        <v>0</v>
      </c>
      <c r="F1807" s="35">
        <f>SUMIFS(F1808:F9015,K1808:K9015,"0",B1808:B9015,"4 1 4 9 1 12 31111*")</f>
        <v>0</v>
      </c>
      <c r="G1807" s="35">
        <f>SUMIFS(G1808:G9015,K1808:K9015,"0",B1808:B9015,"4 1 4 9 1 12 31111*")</f>
        <v>766360.39000000013</v>
      </c>
      <c r="H1807" s="35"/>
      <c r="I1807" s="35">
        <f t="shared" si="28"/>
        <v>766360.39000000013</v>
      </c>
      <c r="K1807" t="s">
        <v>15</v>
      </c>
    </row>
    <row r="1808" spans="2:11" ht="12.75" x14ac:dyDescent="0.2">
      <c r="B1808" s="33" t="s">
        <v>2561</v>
      </c>
      <c r="C1808" s="33" t="s">
        <v>30</v>
      </c>
      <c r="D1808"/>
      <c r="E1808" s="35">
        <f>SUMIFS(E1809:E9015,K1809:K9015,"0",B1809:B9015,"4 1 4 9 1 12 31111 6*")-SUMIFS(D1809:D9015,K1809:K9015,"0",B1809:B9015,"4 1 4 9 1 12 31111 6*")</f>
        <v>0</v>
      </c>
      <c r="F1808" s="35">
        <f>SUMIFS(F1809:F9015,K1809:K9015,"0",B1809:B9015,"4 1 4 9 1 12 31111 6*")</f>
        <v>0</v>
      </c>
      <c r="G1808" s="35">
        <f>SUMIFS(G1809:G9015,K1809:K9015,"0",B1809:B9015,"4 1 4 9 1 12 31111 6*")</f>
        <v>766360.39000000013</v>
      </c>
      <c r="H1808" s="35"/>
      <c r="I1808" s="35">
        <f t="shared" si="28"/>
        <v>766360.39000000013</v>
      </c>
      <c r="K1808" t="s">
        <v>15</v>
      </c>
    </row>
    <row r="1809" spans="2:11" ht="16.5" x14ac:dyDescent="0.2">
      <c r="B1809" s="33" t="s">
        <v>2562</v>
      </c>
      <c r="C1809" s="33" t="s">
        <v>2284</v>
      </c>
      <c r="D1809"/>
      <c r="E1809" s="35">
        <f>SUMIFS(E1810:E9015,K1810:K9015,"0",B1810:B9015,"4 1 4 9 1 12 31111 6 M59*")-SUMIFS(D1810:D9015,K1810:K9015,"0",B1810:B9015,"4 1 4 9 1 12 31111 6 M59*")</f>
        <v>0</v>
      </c>
      <c r="F1809" s="35">
        <f>SUMIFS(F1810:F9015,K1810:K9015,"0",B1810:B9015,"4 1 4 9 1 12 31111 6 M59*")</f>
        <v>0</v>
      </c>
      <c r="G1809" s="35">
        <f>SUMIFS(G1810:G9015,K1810:K9015,"0",B1810:B9015,"4 1 4 9 1 12 31111 6 M59*")</f>
        <v>766360.39000000013</v>
      </c>
      <c r="H1809" s="35"/>
      <c r="I1809" s="35">
        <f t="shared" si="28"/>
        <v>766360.39000000013</v>
      </c>
      <c r="K1809" t="s">
        <v>15</v>
      </c>
    </row>
    <row r="1810" spans="2:11" ht="16.5" x14ac:dyDescent="0.2">
      <c r="B1810" s="33" t="s">
        <v>2563</v>
      </c>
      <c r="C1810" s="33" t="s">
        <v>1044</v>
      </c>
      <c r="D1810"/>
      <c r="E1810" s="35">
        <f>SUMIFS(E1811:E9015,K1811:K9015,"0",B1811:B9015,"4 1 4 9 1 12 31111 6 M59 19000*")-SUMIFS(D1811:D9015,K1811:K9015,"0",B1811:B9015,"4 1 4 9 1 12 31111 6 M59 19000*")</f>
        <v>0</v>
      </c>
      <c r="F1810" s="35">
        <f>SUMIFS(F1811:F9015,K1811:K9015,"0",B1811:B9015,"4 1 4 9 1 12 31111 6 M59 19000*")</f>
        <v>0</v>
      </c>
      <c r="G1810" s="35">
        <f>SUMIFS(G1811:G9015,K1811:K9015,"0",B1811:B9015,"4 1 4 9 1 12 31111 6 M59 19000*")</f>
        <v>766360.39000000013</v>
      </c>
      <c r="H1810" s="35"/>
      <c r="I1810" s="35">
        <f t="shared" si="28"/>
        <v>766360.39000000013</v>
      </c>
      <c r="K1810" t="s">
        <v>15</v>
      </c>
    </row>
    <row r="1811" spans="2:11" ht="16.5" x14ac:dyDescent="0.2">
      <c r="B1811" s="33" t="s">
        <v>2564</v>
      </c>
      <c r="C1811" s="33" t="s">
        <v>2287</v>
      </c>
      <c r="D1811"/>
      <c r="E1811" s="35">
        <f>SUMIFS(E1812:E9015,K1812:K9015,"0",B1812:B9015,"4 1 4 9 1 12 31111 6 M59 19000 000000*")-SUMIFS(D1812:D9015,K1812:K9015,"0",B1812:B9015,"4 1 4 9 1 12 31111 6 M59 19000 000000*")</f>
        <v>0</v>
      </c>
      <c r="F1811" s="35">
        <f>SUMIFS(F1812:F9015,K1812:K9015,"0",B1812:B9015,"4 1 4 9 1 12 31111 6 M59 19000 000000*")</f>
        <v>0</v>
      </c>
      <c r="G1811" s="35">
        <f>SUMIFS(G1812:G9015,K1812:K9015,"0",B1812:B9015,"4 1 4 9 1 12 31111 6 M59 19000 000000*")</f>
        <v>766360.39000000013</v>
      </c>
      <c r="H1811" s="35"/>
      <c r="I1811" s="35">
        <f t="shared" si="28"/>
        <v>766360.39000000013</v>
      </c>
      <c r="K1811" t="s">
        <v>15</v>
      </c>
    </row>
    <row r="1812" spans="2:11" ht="24.75" x14ac:dyDescent="0.2">
      <c r="B1812" s="33" t="s">
        <v>2565</v>
      </c>
      <c r="C1812" s="33" t="s">
        <v>2289</v>
      </c>
      <c r="D1812"/>
      <c r="E1812" s="35">
        <f>SUMIFS(E1813:E9015,K1813:K9015,"0",B1813:B9015,"4 1 4 9 1 12 31111 6 M59 19000 000000 00000*")-SUMIFS(D1813:D9015,K1813:K9015,"0",B1813:B9015,"4 1 4 9 1 12 31111 6 M59 19000 000000 00000*")</f>
        <v>0</v>
      </c>
      <c r="F1812" s="35">
        <f>SUMIFS(F1813:F9015,K1813:K9015,"0",B1813:B9015,"4 1 4 9 1 12 31111 6 M59 19000 000000 00000*")</f>
        <v>0</v>
      </c>
      <c r="G1812" s="35">
        <f>SUMIFS(G1813:G9015,K1813:K9015,"0",B1813:B9015,"4 1 4 9 1 12 31111 6 M59 19000 000000 00000*")</f>
        <v>766360.39000000013</v>
      </c>
      <c r="H1812" s="35"/>
      <c r="I1812" s="35">
        <f t="shared" si="28"/>
        <v>766360.39000000013</v>
      </c>
      <c r="K1812" t="s">
        <v>15</v>
      </c>
    </row>
    <row r="1813" spans="2:11" ht="24.75" x14ac:dyDescent="0.2">
      <c r="B1813" s="33" t="s">
        <v>2566</v>
      </c>
      <c r="C1813" s="33" t="s">
        <v>2291</v>
      </c>
      <c r="D1813"/>
      <c r="E1813" s="35">
        <f>SUMIFS(E1814:E9015,K1814:K9015,"0",B1814:B9015,"4 1 4 9 1 12 31111 6 M59 19000 000000 00000 00000*")-SUMIFS(D1814:D9015,K1814:K9015,"0",B1814:B9015,"4 1 4 9 1 12 31111 6 M59 19000 000000 00000 00000*")</f>
        <v>0</v>
      </c>
      <c r="F1813" s="35">
        <f>SUMIFS(F1814:F9015,K1814:K9015,"0",B1814:B9015,"4 1 4 9 1 12 31111 6 M59 19000 000000 00000 00000*")</f>
        <v>0</v>
      </c>
      <c r="G1813" s="35">
        <f>SUMIFS(G1814:G9015,K1814:K9015,"0",B1814:B9015,"4 1 4 9 1 12 31111 6 M59 19000 000000 00000 00000*")</f>
        <v>766360.39000000013</v>
      </c>
      <c r="H1813" s="35"/>
      <c r="I1813" s="35">
        <f t="shared" si="28"/>
        <v>766360.39000000013</v>
      </c>
      <c r="K1813" t="s">
        <v>15</v>
      </c>
    </row>
    <row r="1814" spans="2:11" ht="24.75" x14ac:dyDescent="0.2">
      <c r="B1814" s="33" t="s">
        <v>2567</v>
      </c>
      <c r="C1814" s="33" t="s">
        <v>2557</v>
      </c>
      <c r="D1814"/>
      <c r="E1814" s="35">
        <f>SUMIFS(E1815:E9015,K1815:K9015,"0",B1815:B9015,"4 1 4 9 1 12 31111 6 M59 19000 000000 00000 00000 00044*")-SUMIFS(D1815:D9015,K1815:K9015,"0",B1815:B9015,"4 1 4 9 1 12 31111 6 M59 19000 000000 00000 00000 00044*")</f>
        <v>0</v>
      </c>
      <c r="F1814" s="35">
        <f>SUMIFS(F1815:F9015,K1815:K9015,"0",B1815:B9015,"4 1 4 9 1 12 31111 6 M59 19000 000000 00000 00000 00044*")</f>
        <v>0</v>
      </c>
      <c r="G1814" s="35">
        <f>SUMIFS(G1815:G9015,K1815:K9015,"0",B1815:B9015,"4 1 4 9 1 12 31111 6 M59 19000 000000 00000 00000 00044*")</f>
        <v>766360.39000000013</v>
      </c>
      <c r="H1814" s="35"/>
      <c r="I1814" s="35">
        <f t="shared" si="28"/>
        <v>766360.39000000013</v>
      </c>
      <c r="K1814" t="s">
        <v>15</v>
      </c>
    </row>
    <row r="1815" spans="2:11" ht="33" x14ac:dyDescent="0.2">
      <c r="B1815" s="33" t="s">
        <v>2568</v>
      </c>
      <c r="C1815" s="33" t="s">
        <v>699</v>
      </c>
      <c r="D1815"/>
      <c r="E1815" s="35">
        <f>SUMIFS(E1816:E9015,K1816:K9015,"0",B1816:B9015,"4 1 4 9 1 12 31111 6 M59 19000 000000 00000 00000 00044 011*")-SUMIFS(D1816:D9015,K1816:K9015,"0",B1816:B9015,"4 1 4 9 1 12 31111 6 M59 19000 000000 00000 00000 00044 011*")</f>
        <v>0</v>
      </c>
      <c r="F1815" s="35">
        <f>SUMIFS(F1816:F9015,K1816:K9015,"0",B1816:B9015,"4 1 4 9 1 12 31111 6 M59 19000 000000 00000 00000 00044 011*")</f>
        <v>0</v>
      </c>
      <c r="G1815" s="35">
        <f>SUMIFS(G1816:G9015,K1816:K9015,"0",B1816:B9015,"4 1 4 9 1 12 31111 6 M59 19000 000000 00000 00000 00044 011*")</f>
        <v>766360.39000000013</v>
      </c>
      <c r="H1815" s="35"/>
      <c r="I1815" s="35">
        <f t="shared" si="28"/>
        <v>766360.39000000013</v>
      </c>
      <c r="K1815" t="s">
        <v>15</v>
      </c>
    </row>
    <row r="1816" spans="2:11" ht="33" x14ac:dyDescent="0.2">
      <c r="B1816" s="33" t="s">
        <v>2569</v>
      </c>
      <c r="C1816" s="33" t="s">
        <v>2320</v>
      </c>
      <c r="D1816"/>
      <c r="E1816" s="35">
        <f>SUMIFS(E1817:E9015,K1817:K9015,"0",B1817:B9015,"4 1 4 9 1 12 31111 6 M59 19000 000000 00000 00000 00044 011 1113000*")-SUMIFS(D1817:D9015,K1817:K9015,"0",B1817:B9015,"4 1 4 9 1 12 31111 6 M59 19000 000000 00000 00000 00044 011 1113000*")</f>
        <v>0</v>
      </c>
      <c r="F1816" s="35">
        <f>SUMIFS(F1817:F9015,K1817:K9015,"0",B1817:B9015,"4 1 4 9 1 12 31111 6 M59 19000 000000 00000 00000 00044 011 1113000*")</f>
        <v>0</v>
      </c>
      <c r="G1816" s="35">
        <f>SUMIFS(G1817:G9015,K1817:K9015,"0",B1817:B9015,"4 1 4 9 1 12 31111 6 M59 19000 000000 00000 00000 00044 011 1113000*")</f>
        <v>766360.39000000013</v>
      </c>
      <c r="H1816" s="35"/>
      <c r="I1816" s="35">
        <f t="shared" si="28"/>
        <v>766360.39000000013</v>
      </c>
      <c r="K1816" t="s">
        <v>15</v>
      </c>
    </row>
    <row r="1817" spans="2:11" ht="33" x14ac:dyDescent="0.2">
      <c r="B1817" s="33" t="s">
        <v>2570</v>
      </c>
      <c r="C1817" s="33" t="s">
        <v>660</v>
      </c>
      <c r="D1817"/>
      <c r="E1817" s="35">
        <f>SUMIFS(E1818:E9015,K1818:K9015,"0",B1818:B9015,"4 1 4 9 1 12 31111 6 M59 19000 000000 00000 00000 00044 011 1113000 2024*")-SUMIFS(D1818:D9015,K1818:K9015,"0",B1818:B9015,"4 1 4 9 1 12 31111 6 M59 19000 000000 00000 00000 00044 011 1113000 2024*")</f>
        <v>0</v>
      </c>
      <c r="F1817" s="35">
        <f>SUMIFS(F1818:F9015,K1818:K9015,"0",B1818:B9015,"4 1 4 9 1 12 31111 6 M59 19000 000000 00000 00000 00044 011 1113000 2024*")</f>
        <v>0</v>
      </c>
      <c r="G1817" s="35">
        <f>SUMIFS(G1818:G9015,K1818:K9015,"0",B1818:B9015,"4 1 4 9 1 12 31111 6 M59 19000 000000 00000 00000 00044 011 1113000 2024*")</f>
        <v>766360.39000000013</v>
      </c>
      <c r="H1817" s="35"/>
      <c r="I1817" s="35">
        <f t="shared" si="28"/>
        <v>766360.39000000013</v>
      </c>
      <c r="K1817" t="s">
        <v>15</v>
      </c>
    </row>
    <row r="1818" spans="2:11" ht="41.25" x14ac:dyDescent="0.2">
      <c r="B1818" s="33" t="s">
        <v>2571</v>
      </c>
      <c r="C1818" s="33" t="s">
        <v>2298</v>
      </c>
      <c r="D1818"/>
      <c r="E1818" s="35">
        <f>SUMIFS(E1819:E9015,K1819:K9015,"0",B1819:B9015,"4 1 4 9 1 12 31111 6 M59 19000 000000 00000 00000 00044 011 1113000 2024 00000000*")-SUMIFS(D1819:D9015,K1819:K9015,"0",B1819:B9015,"4 1 4 9 1 12 31111 6 M59 19000 000000 00000 00000 00044 011 1113000 2024 00000000*")</f>
        <v>0</v>
      </c>
      <c r="F1818" s="35">
        <f>SUMIFS(F1819:F9015,K1819:K9015,"0",B1819:B9015,"4 1 4 9 1 12 31111 6 M59 19000 000000 00000 00000 00044 011 1113000 2024 00000000*")</f>
        <v>0</v>
      </c>
      <c r="G1818" s="35">
        <f>SUMIFS(G1819:G9015,K1819:K9015,"0",B1819:B9015,"4 1 4 9 1 12 31111 6 M59 19000 000000 00000 00000 00044 011 1113000 2024 00000000*")</f>
        <v>766360.39000000013</v>
      </c>
      <c r="H1818" s="35"/>
      <c r="I1818" s="35">
        <f t="shared" si="28"/>
        <v>766360.39000000013</v>
      </c>
      <c r="K1818" t="s">
        <v>15</v>
      </c>
    </row>
    <row r="1819" spans="2:11" ht="41.25" x14ac:dyDescent="0.2">
      <c r="B1819" s="33" t="s">
        <v>2572</v>
      </c>
      <c r="C1819" s="33" t="s">
        <v>2300</v>
      </c>
      <c r="D1819"/>
      <c r="E1819" s="35">
        <f>SUMIFS(E1820:E9015,K1820:K9015,"0",B1820:B9015,"4 1 4 9 1 12 31111 6 M59 19000 000000 00000 00000 00044 011 1113000 2024 00000000 004*")-SUMIFS(D1820:D9015,K1820:K9015,"0",B1820:B9015,"4 1 4 9 1 12 31111 6 M59 19000 000000 00000 00000 00044 011 1113000 2024 00000000 004*")</f>
        <v>0</v>
      </c>
      <c r="F1819" s="35">
        <f>SUMIFS(F1820:F9015,K1820:K9015,"0",B1820:B9015,"4 1 4 9 1 12 31111 6 M59 19000 000000 00000 00000 00044 011 1113000 2024 00000000 004*")</f>
        <v>0</v>
      </c>
      <c r="G1819" s="35">
        <f>SUMIFS(G1820:G9015,K1820:K9015,"0",B1820:B9015,"4 1 4 9 1 12 31111 6 M59 19000 000000 00000 00000 00044 011 1113000 2024 00000000 004*")</f>
        <v>766360.39000000013</v>
      </c>
      <c r="H1819" s="35"/>
      <c r="I1819" s="35">
        <f t="shared" si="28"/>
        <v>766360.39000000013</v>
      </c>
      <c r="K1819" t="s">
        <v>15</v>
      </c>
    </row>
    <row r="1820" spans="2:11" ht="49.5" x14ac:dyDescent="0.2">
      <c r="B1820" s="33" t="s">
        <v>2573</v>
      </c>
      <c r="C1820" s="33" t="s">
        <v>2557</v>
      </c>
      <c r="D1820"/>
      <c r="E1820" s="35">
        <f>SUMIFS(E1821:E9015,K1821:K9015,"0",B1821:B9015,"4 1 4 9 1 12 31111 6 M59 19000 000000 00000 00000 00044 011 1113000 2024 00000000 004 0000001*")-SUMIFS(D1821:D9015,K1821:K9015,"0",B1821:B9015,"4 1 4 9 1 12 31111 6 M59 19000 000000 00000 00000 00044 011 1113000 2024 00000000 004 0000001*")</f>
        <v>0</v>
      </c>
      <c r="F1820" s="35">
        <f>SUMIFS(F1821:F9015,K1821:K9015,"0",B1821:B9015,"4 1 4 9 1 12 31111 6 M59 19000 000000 00000 00000 00044 011 1113000 2024 00000000 004 0000001*")</f>
        <v>0</v>
      </c>
      <c r="G1820" s="35">
        <f>SUMIFS(G1821:G9015,K1821:K9015,"0",B1821:B9015,"4 1 4 9 1 12 31111 6 M59 19000 000000 00000 00000 00044 011 1113000 2024 00000000 004 0000001*")</f>
        <v>766360.39000000013</v>
      </c>
      <c r="H1820" s="35"/>
      <c r="I1820" s="35">
        <f t="shared" si="28"/>
        <v>766360.39000000013</v>
      </c>
      <c r="K1820" t="s">
        <v>15</v>
      </c>
    </row>
    <row r="1821" spans="2:11" ht="99" x14ac:dyDescent="0.2">
      <c r="B1821" s="33" t="s">
        <v>2574</v>
      </c>
      <c r="C1821" s="33" t="s">
        <v>2575</v>
      </c>
      <c r="D1821"/>
      <c r="E1821" s="35">
        <f>SUMIFS(E1822:E9015,K1822:K9015,"0",B1822:B9015,"4 1 4 9 1 12 31111 6 M59 19000 000000 00000 00000 00044 011 1113000 2024 00000000 004 0000001 00004*")-SUMIFS(D1822:D9015,K1822:K9015,"0",B1822:B9015,"4 1 4 9 1 12 31111 6 M59 19000 000000 00000 00000 00044 011 1113000 2024 00000000 004 0000001 00004*")</f>
        <v>0</v>
      </c>
      <c r="F1821" s="35">
        <f>SUMIFS(F1822:F9015,K1822:K9015,"0",B1822:B9015,"4 1 4 9 1 12 31111 6 M59 19000 000000 00000 00000 00044 011 1113000 2024 00000000 004 0000001 00004*")</f>
        <v>0</v>
      </c>
      <c r="G1821" s="35">
        <f>SUMIFS(G1822:G9015,K1822:K9015,"0",B1822:B9015,"4 1 4 9 1 12 31111 6 M59 19000 000000 00000 00000 00044 011 1113000 2024 00000000 004 0000001 00004*")</f>
        <v>219390</v>
      </c>
      <c r="H1821" s="35"/>
      <c r="I1821" s="35">
        <f t="shared" si="28"/>
        <v>219390</v>
      </c>
      <c r="K1821" t="s">
        <v>15</v>
      </c>
    </row>
    <row r="1822" spans="2:11" ht="41.25" x14ac:dyDescent="0.2">
      <c r="B1822" s="31" t="s">
        <v>2576</v>
      </c>
      <c r="C1822" s="31" t="s">
        <v>2577</v>
      </c>
      <c r="D1822" s="34"/>
      <c r="E1822" s="34">
        <v>0</v>
      </c>
      <c r="F1822" s="34">
        <v>0</v>
      </c>
      <c r="G1822" s="34">
        <v>219390</v>
      </c>
      <c r="H1822" s="34"/>
      <c r="I1822" s="34">
        <f t="shared" si="28"/>
        <v>219390</v>
      </c>
      <c r="K1822" t="s">
        <v>38</v>
      </c>
    </row>
    <row r="1823" spans="2:11" ht="49.5" x14ac:dyDescent="0.2">
      <c r="B1823" s="33" t="s">
        <v>2578</v>
      </c>
      <c r="C1823" s="33" t="s">
        <v>2579</v>
      </c>
      <c r="D1823"/>
      <c r="E1823" s="35">
        <f>SUMIFS(E1824:E9015,K1824:K9015,"0",B1824:B9015,"4 1 4 9 1 12 31111 6 M59 19000 000000 00000 00000 00044 011 1113000 2024 00000000 004 0000001 00005*")-SUMIFS(D1824:D9015,K1824:K9015,"0",B1824:B9015,"4 1 4 9 1 12 31111 6 M59 19000 000000 00000 00000 00044 011 1113000 2024 00000000 004 0000001 00005*")</f>
        <v>0</v>
      </c>
      <c r="F1823" s="35">
        <f>SUMIFS(F1824:F9015,K1824:K9015,"0",B1824:B9015,"4 1 4 9 1 12 31111 6 M59 19000 000000 00000 00000 00044 011 1113000 2024 00000000 004 0000001 00005*")</f>
        <v>0</v>
      </c>
      <c r="G1823" s="35">
        <f>SUMIFS(G1824:G9015,K1824:K9015,"0",B1824:B9015,"4 1 4 9 1 12 31111 6 M59 19000 000000 00000 00000 00044 011 1113000 2024 00000000 004 0000001 00005*")</f>
        <v>6891.04</v>
      </c>
      <c r="H1823" s="35"/>
      <c r="I1823" s="35">
        <f t="shared" si="28"/>
        <v>6891.04</v>
      </c>
      <c r="K1823" t="s">
        <v>15</v>
      </c>
    </row>
    <row r="1824" spans="2:11" ht="41.25" x14ac:dyDescent="0.2">
      <c r="B1824" s="31" t="s">
        <v>2580</v>
      </c>
      <c r="C1824" s="31" t="s">
        <v>2579</v>
      </c>
      <c r="D1824" s="34"/>
      <c r="E1824" s="34">
        <v>0</v>
      </c>
      <c r="F1824" s="34">
        <v>0</v>
      </c>
      <c r="G1824" s="34">
        <v>6891.04</v>
      </c>
      <c r="H1824" s="34"/>
      <c r="I1824" s="34">
        <f t="shared" si="28"/>
        <v>6891.04</v>
      </c>
      <c r="K1824" t="s">
        <v>38</v>
      </c>
    </row>
    <row r="1825" spans="2:11" ht="49.5" x14ac:dyDescent="0.2">
      <c r="B1825" s="33" t="s">
        <v>2581</v>
      </c>
      <c r="C1825" s="33" t="s">
        <v>2582</v>
      </c>
      <c r="D1825"/>
      <c r="E1825" s="35">
        <f>SUMIFS(E1826:E9015,K1826:K9015,"0",B1826:B9015,"4 1 4 9 1 12 31111 6 M59 19000 000000 00000 00000 00044 011 1113000 2024 00000000 004 0000001 00007*")-SUMIFS(D1826:D9015,K1826:K9015,"0",B1826:B9015,"4 1 4 9 1 12 31111 6 M59 19000 000000 00000 00000 00044 011 1113000 2024 00000000 004 0000001 00007*")</f>
        <v>0</v>
      </c>
      <c r="F1825" s="35">
        <f>SUMIFS(F1826:F9015,K1826:K9015,"0",B1826:B9015,"4 1 4 9 1 12 31111 6 M59 19000 000000 00000 00000 00044 011 1113000 2024 00000000 004 0000001 00007*")</f>
        <v>0</v>
      </c>
      <c r="G1825" s="35">
        <f>SUMIFS(G1826:G9015,K1826:K9015,"0",B1826:B9015,"4 1 4 9 1 12 31111 6 M59 19000 000000 00000 00000 00044 011 1113000 2024 00000000 004 0000001 00007*")</f>
        <v>179712.91999999998</v>
      </c>
      <c r="H1825" s="35"/>
      <c r="I1825" s="35">
        <f t="shared" si="28"/>
        <v>179712.91999999998</v>
      </c>
      <c r="K1825" t="s">
        <v>15</v>
      </c>
    </row>
    <row r="1826" spans="2:11" ht="41.25" x14ac:dyDescent="0.2">
      <c r="B1826" s="31" t="s">
        <v>2583</v>
      </c>
      <c r="C1826" s="31" t="s">
        <v>2584</v>
      </c>
      <c r="D1826" s="34"/>
      <c r="E1826" s="34">
        <v>0</v>
      </c>
      <c r="F1826" s="34">
        <v>0</v>
      </c>
      <c r="G1826" s="34">
        <v>11939.32</v>
      </c>
      <c r="H1826" s="34"/>
      <c r="I1826" s="34">
        <f t="shared" si="28"/>
        <v>11939.32</v>
      </c>
      <c r="K1826" t="s">
        <v>38</v>
      </c>
    </row>
    <row r="1827" spans="2:11" ht="41.25" x14ac:dyDescent="0.2">
      <c r="B1827" s="31" t="s">
        <v>2585</v>
      </c>
      <c r="C1827" s="31" t="s">
        <v>2586</v>
      </c>
      <c r="D1827" s="34"/>
      <c r="E1827" s="34">
        <v>0</v>
      </c>
      <c r="F1827" s="34">
        <v>0</v>
      </c>
      <c r="G1827" s="34">
        <v>126743.4</v>
      </c>
      <c r="H1827" s="34"/>
      <c r="I1827" s="34">
        <f t="shared" si="28"/>
        <v>126743.4</v>
      </c>
      <c r="K1827" t="s">
        <v>38</v>
      </c>
    </row>
    <row r="1828" spans="2:11" ht="41.25" x14ac:dyDescent="0.2">
      <c r="B1828" s="31" t="s">
        <v>2587</v>
      </c>
      <c r="C1828" s="31" t="s">
        <v>2588</v>
      </c>
      <c r="D1828" s="34"/>
      <c r="E1828" s="34">
        <v>0</v>
      </c>
      <c r="F1828" s="34">
        <v>0</v>
      </c>
      <c r="G1828" s="34">
        <v>41030.199999999997</v>
      </c>
      <c r="H1828" s="34"/>
      <c r="I1828" s="34">
        <f t="shared" si="28"/>
        <v>41030.199999999997</v>
      </c>
      <c r="K1828" t="s">
        <v>38</v>
      </c>
    </row>
    <row r="1829" spans="2:11" ht="82.5" x14ac:dyDescent="0.2">
      <c r="B1829" s="33" t="s">
        <v>2589</v>
      </c>
      <c r="C1829" s="33" t="s">
        <v>2590</v>
      </c>
      <c r="D1829"/>
      <c r="E1829" s="35">
        <f>SUMIFS(E1830:E9015,K1830:K9015,"0",B1830:B9015,"4 1 4 9 1 12 31111 6 M59 19000 000000 00000 00000 00044 011 1113000 2024 00000000 004 0000001 00008*")-SUMIFS(D1830:D9015,K1830:K9015,"0",B1830:B9015,"4 1 4 9 1 12 31111 6 M59 19000 000000 00000 00000 00044 011 1113000 2024 00000000 004 0000001 00008*")</f>
        <v>0</v>
      </c>
      <c r="F1829" s="35">
        <f>SUMIFS(F1830:F9015,K1830:K9015,"0",B1830:B9015,"4 1 4 9 1 12 31111 6 M59 19000 000000 00000 00000 00044 011 1113000 2024 00000000 004 0000001 00008*")</f>
        <v>0</v>
      </c>
      <c r="G1829" s="35">
        <f>SUMIFS(G1830:G9015,K1830:K9015,"0",B1830:B9015,"4 1 4 9 1 12 31111 6 M59 19000 000000 00000 00000 00044 011 1113000 2024 00000000 004 0000001 00008*")</f>
        <v>32623.42</v>
      </c>
      <c r="H1829" s="35"/>
      <c r="I1829" s="35">
        <f t="shared" si="28"/>
        <v>32623.42</v>
      </c>
      <c r="K1829" t="s">
        <v>15</v>
      </c>
    </row>
    <row r="1830" spans="2:11" ht="41.25" x14ac:dyDescent="0.2">
      <c r="B1830" s="31" t="s">
        <v>2591</v>
      </c>
      <c r="C1830" s="31" t="s">
        <v>2592</v>
      </c>
      <c r="D1830" s="34"/>
      <c r="E1830" s="34">
        <v>0</v>
      </c>
      <c r="F1830" s="34">
        <v>0</v>
      </c>
      <c r="G1830" s="34">
        <v>432</v>
      </c>
      <c r="H1830" s="34"/>
      <c r="I1830" s="34">
        <f t="shared" si="28"/>
        <v>432</v>
      </c>
      <c r="K1830" t="s">
        <v>38</v>
      </c>
    </row>
    <row r="1831" spans="2:11" ht="41.25" x14ac:dyDescent="0.2">
      <c r="B1831" s="31" t="s">
        <v>2593</v>
      </c>
      <c r="C1831" s="31" t="s">
        <v>2594</v>
      </c>
      <c r="D1831" s="34"/>
      <c r="E1831" s="34">
        <v>0</v>
      </c>
      <c r="F1831" s="34">
        <v>0</v>
      </c>
      <c r="G1831" s="34">
        <v>28584.41</v>
      </c>
      <c r="H1831" s="34"/>
      <c r="I1831" s="34">
        <f t="shared" si="28"/>
        <v>28584.41</v>
      </c>
      <c r="K1831" t="s">
        <v>38</v>
      </c>
    </row>
    <row r="1832" spans="2:11" ht="41.25" x14ac:dyDescent="0.2">
      <c r="B1832" s="31" t="s">
        <v>2595</v>
      </c>
      <c r="C1832" s="31" t="s">
        <v>2596</v>
      </c>
      <c r="D1832" s="34"/>
      <c r="E1832" s="34">
        <v>0</v>
      </c>
      <c r="F1832" s="34">
        <v>0</v>
      </c>
      <c r="G1832" s="34">
        <v>3607.01</v>
      </c>
      <c r="H1832" s="34"/>
      <c r="I1832" s="34">
        <f t="shared" si="28"/>
        <v>3607.01</v>
      </c>
      <c r="K1832" t="s">
        <v>38</v>
      </c>
    </row>
    <row r="1833" spans="2:11" ht="49.5" x14ac:dyDescent="0.2">
      <c r="B1833" s="33" t="s">
        <v>2597</v>
      </c>
      <c r="C1833" s="33" t="s">
        <v>2598</v>
      </c>
      <c r="D1833"/>
      <c r="E1833" s="35">
        <f>SUMIFS(E1834:E9015,K1834:K9015,"0",B1834:B9015,"4 1 4 9 1 12 31111 6 M59 19000 000000 00000 00000 00044 011 1113000 2024 00000000 004 0000001 00009*")-SUMIFS(D1834:D9015,K1834:K9015,"0",B1834:B9015,"4 1 4 9 1 12 31111 6 M59 19000 000000 00000 00000 00044 011 1113000 2024 00000000 004 0000001 00009*")</f>
        <v>0</v>
      </c>
      <c r="F1833" s="35">
        <f>SUMIFS(F1834:F9015,K1834:K9015,"0",B1834:B9015,"4 1 4 9 1 12 31111 6 M59 19000 000000 00000 00000 00044 011 1113000 2024 00000000 004 0000001 00009*")</f>
        <v>0</v>
      </c>
      <c r="G1833" s="35">
        <f>SUMIFS(G1834:G9015,K1834:K9015,"0",B1834:B9015,"4 1 4 9 1 12 31111 6 M59 19000 000000 00000 00000 00044 011 1113000 2024 00000000 004 0000001 00009*")</f>
        <v>1372.33</v>
      </c>
      <c r="H1833" s="35"/>
      <c r="I1833" s="35">
        <f t="shared" si="28"/>
        <v>1372.33</v>
      </c>
      <c r="K1833" t="s">
        <v>15</v>
      </c>
    </row>
    <row r="1834" spans="2:11" ht="41.25" x14ac:dyDescent="0.2">
      <c r="B1834" s="31" t="s">
        <v>2599</v>
      </c>
      <c r="C1834" s="31" t="s">
        <v>2600</v>
      </c>
      <c r="D1834" s="34"/>
      <c r="E1834" s="34">
        <v>0</v>
      </c>
      <c r="F1834" s="34">
        <v>0</v>
      </c>
      <c r="G1834" s="34">
        <v>1372.33</v>
      </c>
      <c r="H1834" s="34"/>
      <c r="I1834" s="34">
        <f t="shared" si="28"/>
        <v>1372.33</v>
      </c>
      <c r="K1834" t="s">
        <v>38</v>
      </c>
    </row>
    <row r="1835" spans="2:11" ht="49.5" x14ac:dyDescent="0.2">
      <c r="B1835" s="33" t="s">
        <v>2601</v>
      </c>
      <c r="C1835" s="33" t="s">
        <v>2602</v>
      </c>
      <c r="D1835"/>
      <c r="E1835" s="35">
        <f>SUMIFS(E1836:E9015,K1836:K9015,"0",B1836:B9015,"4 1 4 9 1 12 31111 6 M59 19000 000000 00000 00000 00044 011 1113000 2024 00000000 004 0000001 00011*")-SUMIFS(D1836:D9015,K1836:K9015,"0",B1836:B9015,"4 1 4 9 1 12 31111 6 M59 19000 000000 00000 00000 00044 011 1113000 2024 00000000 004 0000001 00011*")</f>
        <v>0</v>
      </c>
      <c r="F1835" s="35">
        <f>SUMIFS(F1836:F9015,K1836:K9015,"0",B1836:B9015,"4 1 4 9 1 12 31111 6 M59 19000 000000 00000 00000 00044 011 1113000 2024 00000000 004 0000001 00011*")</f>
        <v>0</v>
      </c>
      <c r="G1835" s="35">
        <f>SUMIFS(G1836:G9015,K1836:K9015,"0",B1836:B9015,"4 1 4 9 1 12 31111 6 M59 19000 000000 00000 00000 00044 011 1113000 2024 00000000 004 0000001 00011*")</f>
        <v>53939.01</v>
      </c>
      <c r="H1835" s="35"/>
      <c r="I1835" s="35">
        <f t="shared" si="28"/>
        <v>53939.01</v>
      </c>
      <c r="K1835" t="s">
        <v>15</v>
      </c>
    </row>
    <row r="1836" spans="2:11" ht="41.25" x14ac:dyDescent="0.2">
      <c r="B1836" s="31" t="s">
        <v>2603</v>
      </c>
      <c r="C1836" s="31" t="s">
        <v>2604</v>
      </c>
      <c r="D1836" s="34"/>
      <c r="E1836" s="34">
        <v>0</v>
      </c>
      <c r="F1836" s="34">
        <v>0</v>
      </c>
      <c r="G1836" s="34">
        <v>53939.01</v>
      </c>
      <c r="H1836" s="34"/>
      <c r="I1836" s="34">
        <f t="shared" si="28"/>
        <v>53939.01</v>
      </c>
      <c r="K1836" t="s">
        <v>38</v>
      </c>
    </row>
    <row r="1837" spans="2:11" ht="49.5" x14ac:dyDescent="0.2">
      <c r="B1837" s="33" t="s">
        <v>2605</v>
      </c>
      <c r="C1837" s="33" t="s">
        <v>2606</v>
      </c>
      <c r="D1837"/>
      <c r="E1837" s="35">
        <f>SUMIFS(E1838:E9015,K1838:K9015,"0",B1838:B9015,"4 1 4 9 1 12 31111 6 M59 19000 000000 00000 00000 00044 011 1113000 2024 00000000 004 0000001 00016*")-SUMIFS(D1838:D9015,K1838:K9015,"0",B1838:B9015,"4 1 4 9 1 12 31111 6 M59 19000 000000 00000 00000 00044 011 1113000 2024 00000000 004 0000001 00016*")</f>
        <v>0</v>
      </c>
      <c r="F1837" s="35">
        <f>SUMIFS(F1838:F9015,K1838:K9015,"0",B1838:B9015,"4 1 4 9 1 12 31111 6 M59 19000 000000 00000 00000 00044 011 1113000 2024 00000000 004 0000001 00016*")</f>
        <v>0</v>
      </c>
      <c r="G1837" s="35">
        <f>SUMIFS(G1838:G9015,K1838:K9015,"0",B1838:B9015,"4 1 4 9 1 12 31111 6 M59 19000 000000 00000 00000 00044 011 1113000 2024 00000000 004 0000001 00016*")</f>
        <v>187285.29</v>
      </c>
      <c r="H1837" s="35"/>
      <c r="I1837" s="35">
        <f t="shared" si="28"/>
        <v>187285.29</v>
      </c>
      <c r="K1837" t="s">
        <v>15</v>
      </c>
    </row>
    <row r="1838" spans="2:11" ht="41.25" x14ac:dyDescent="0.2">
      <c r="B1838" s="31" t="s">
        <v>2607</v>
      </c>
      <c r="C1838" s="31" t="s">
        <v>2608</v>
      </c>
      <c r="D1838" s="34"/>
      <c r="E1838" s="34">
        <v>0</v>
      </c>
      <c r="F1838" s="34">
        <v>0</v>
      </c>
      <c r="G1838" s="34">
        <v>172046</v>
      </c>
      <c r="H1838" s="34"/>
      <c r="I1838" s="34">
        <f t="shared" si="28"/>
        <v>172046</v>
      </c>
      <c r="K1838" t="s">
        <v>38</v>
      </c>
    </row>
    <row r="1839" spans="2:11" ht="41.25" x14ac:dyDescent="0.2">
      <c r="B1839" s="31" t="s">
        <v>2609</v>
      </c>
      <c r="C1839" s="31" t="s">
        <v>2610</v>
      </c>
      <c r="D1839" s="34"/>
      <c r="E1839" s="34">
        <v>0</v>
      </c>
      <c r="F1839" s="34">
        <v>0</v>
      </c>
      <c r="G1839" s="34">
        <v>5519.29</v>
      </c>
      <c r="H1839" s="34"/>
      <c r="I1839" s="34">
        <f t="shared" ref="I1839:I1902" si="29">E1839 - F1839 + G1839</f>
        <v>5519.29</v>
      </c>
      <c r="K1839" t="s">
        <v>38</v>
      </c>
    </row>
    <row r="1840" spans="2:11" ht="41.25" x14ac:dyDescent="0.2">
      <c r="B1840" s="31" t="s">
        <v>2611</v>
      </c>
      <c r="C1840" s="31" t="s">
        <v>2612</v>
      </c>
      <c r="D1840" s="34"/>
      <c r="E1840" s="34">
        <v>0</v>
      </c>
      <c r="F1840" s="34">
        <v>0</v>
      </c>
      <c r="G1840" s="34">
        <v>2430</v>
      </c>
      <c r="H1840" s="34"/>
      <c r="I1840" s="34">
        <f t="shared" si="29"/>
        <v>2430</v>
      </c>
      <c r="K1840" t="s">
        <v>38</v>
      </c>
    </row>
    <row r="1841" spans="2:11" ht="41.25" x14ac:dyDescent="0.2">
      <c r="B1841" s="31" t="s">
        <v>2613</v>
      </c>
      <c r="C1841" s="31" t="s">
        <v>2614</v>
      </c>
      <c r="D1841" s="34"/>
      <c r="E1841" s="34">
        <v>0</v>
      </c>
      <c r="F1841" s="34">
        <v>0</v>
      </c>
      <c r="G1841" s="34">
        <v>2430</v>
      </c>
      <c r="H1841" s="34"/>
      <c r="I1841" s="34">
        <f t="shared" si="29"/>
        <v>2430</v>
      </c>
      <c r="K1841" t="s">
        <v>38</v>
      </c>
    </row>
    <row r="1842" spans="2:11" ht="41.25" x14ac:dyDescent="0.2">
      <c r="B1842" s="31" t="s">
        <v>2615</v>
      </c>
      <c r="C1842" s="31" t="s">
        <v>2616</v>
      </c>
      <c r="D1842" s="34"/>
      <c r="E1842" s="34">
        <v>0</v>
      </c>
      <c r="F1842" s="34">
        <v>0</v>
      </c>
      <c r="G1842" s="34">
        <v>2430</v>
      </c>
      <c r="H1842" s="34"/>
      <c r="I1842" s="34">
        <f t="shared" si="29"/>
        <v>2430</v>
      </c>
      <c r="K1842" t="s">
        <v>38</v>
      </c>
    </row>
    <row r="1843" spans="2:11" ht="41.25" x14ac:dyDescent="0.2">
      <c r="B1843" s="31" t="s">
        <v>2617</v>
      </c>
      <c r="C1843" s="31" t="s">
        <v>2618</v>
      </c>
      <c r="D1843" s="34"/>
      <c r="E1843" s="34">
        <v>0</v>
      </c>
      <c r="F1843" s="34">
        <v>0</v>
      </c>
      <c r="G1843" s="34">
        <v>2430</v>
      </c>
      <c r="H1843" s="34"/>
      <c r="I1843" s="34">
        <f t="shared" si="29"/>
        <v>2430</v>
      </c>
      <c r="K1843" t="s">
        <v>38</v>
      </c>
    </row>
    <row r="1844" spans="2:11" ht="49.5" x14ac:dyDescent="0.2">
      <c r="B1844" s="33" t="s">
        <v>2619</v>
      </c>
      <c r="C1844" s="33" t="s">
        <v>2620</v>
      </c>
      <c r="D1844"/>
      <c r="E1844" s="35">
        <f>SUMIFS(E1845:E9015,K1845:K9015,"0",B1845:B9015,"4 1 4 9 1 12 31111 6 M59 19000 000000 00000 00000 00044 011 1113000 2024 00000000 004 0000001 00019*")-SUMIFS(D1845:D9015,K1845:K9015,"0",B1845:B9015,"4 1 4 9 1 12 31111 6 M59 19000 000000 00000 00000 00044 011 1113000 2024 00000000 004 0000001 00019*")</f>
        <v>0</v>
      </c>
      <c r="F1844" s="35">
        <f>SUMIFS(F1845:F9015,K1845:K9015,"0",B1845:B9015,"4 1 4 9 1 12 31111 6 M59 19000 000000 00000 00000 00044 011 1113000 2024 00000000 004 0000001 00019*")</f>
        <v>0</v>
      </c>
      <c r="G1844" s="35">
        <f>SUMIFS(G1845:G9015,K1845:K9015,"0",B1845:B9015,"4 1 4 9 1 12 31111 6 M59 19000 000000 00000 00000 00044 011 1113000 2024 00000000 004 0000001 00019*")</f>
        <v>11745.42</v>
      </c>
      <c r="H1844" s="35"/>
      <c r="I1844" s="35">
        <f t="shared" si="29"/>
        <v>11745.42</v>
      </c>
      <c r="K1844" t="s">
        <v>15</v>
      </c>
    </row>
    <row r="1845" spans="2:11" ht="41.25" x14ac:dyDescent="0.2">
      <c r="B1845" s="31" t="s">
        <v>2621</v>
      </c>
      <c r="C1845" s="31" t="s">
        <v>2622</v>
      </c>
      <c r="D1845" s="34"/>
      <c r="E1845" s="34">
        <v>0</v>
      </c>
      <c r="F1845" s="34">
        <v>0</v>
      </c>
      <c r="G1845" s="34">
        <v>991.26</v>
      </c>
      <c r="H1845" s="34"/>
      <c r="I1845" s="34">
        <f t="shared" si="29"/>
        <v>991.26</v>
      </c>
      <c r="K1845" t="s">
        <v>38</v>
      </c>
    </row>
    <row r="1846" spans="2:11" ht="41.25" x14ac:dyDescent="0.2">
      <c r="B1846" s="31" t="s">
        <v>2623</v>
      </c>
      <c r="C1846" s="31" t="s">
        <v>2624</v>
      </c>
      <c r="D1846" s="34"/>
      <c r="E1846" s="34">
        <v>0</v>
      </c>
      <c r="F1846" s="34">
        <v>0</v>
      </c>
      <c r="G1846" s="34">
        <v>847.16</v>
      </c>
      <c r="H1846" s="34"/>
      <c r="I1846" s="34">
        <f t="shared" si="29"/>
        <v>847.16</v>
      </c>
      <c r="K1846" t="s">
        <v>38</v>
      </c>
    </row>
    <row r="1847" spans="2:11" ht="41.25" x14ac:dyDescent="0.2">
      <c r="B1847" s="31" t="s">
        <v>2625</v>
      </c>
      <c r="C1847" s="31" t="s">
        <v>2626</v>
      </c>
      <c r="D1847" s="34"/>
      <c r="E1847" s="34">
        <v>0</v>
      </c>
      <c r="F1847" s="34">
        <v>0</v>
      </c>
      <c r="G1847" s="34">
        <v>9907</v>
      </c>
      <c r="H1847" s="34"/>
      <c r="I1847" s="34">
        <f t="shared" si="29"/>
        <v>9907</v>
      </c>
      <c r="K1847" t="s">
        <v>38</v>
      </c>
    </row>
    <row r="1848" spans="2:11" ht="49.5" x14ac:dyDescent="0.2">
      <c r="B1848" s="33" t="s">
        <v>2627</v>
      </c>
      <c r="C1848" s="33" t="s">
        <v>2628</v>
      </c>
      <c r="D1848"/>
      <c r="E1848" s="35">
        <f>SUMIFS(E1849:E9015,K1849:K9015,"0",B1849:B9015,"4 1 4 9 1 12 31111 6 M59 19000 000000 00000 00000 00044 011 1113000 2024 00000000 004 0000001 00020*")-SUMIFS(D1849:D9015,K1849:K9015,"0",B1849:B9015,"4 1 4 9 1 12 31111 6 M59 19000 000000 00000 00000 00044 011 1113000 2024 00000000 004 0000001 00020*")</f>
        <v>0</v>
      </c>
      <c r="F1848" s="35">
        <f>SUMIFS(F1849:F9015,K1849:K9015,"0",B1849:B9015,"4 1 4 9 1 12 31111 6 M59 19000 000000 00000 00000 00044 011 1113000 2024 00000000 004 0000001 00020*")</f>
        <v>0</v>
      </c>
      <c r="G1848" s="35">
        <f>SUMIFS(G1849:G9015,K1849:K9015,"0",B1849:B9015,"4 1 4 9 1 12 31111 6 M59 19000 000000 00000 00000 00044 011 1113000 2024 00000000 004 0000001 00020*")</f>
        <v>27366.400000000001</v>
      </c>
      <c r="H1848" s="35"/>
      <c r="I1848" s="35">
        <f t="shared" si="29"/>
        <v>27366.400000000001</v>
      </c>
      <c r="K1848" t="s">
        <v>15</v>
      </c>
    </row>
    <row r="1849" spans="2:11" ht="41.25" x14ac:dyDescent="0.2">
      <c r="B1849" s="31" t="s">
        <v>2629</v>
      </c>
      <c r="C1849" s="31" t="s">
        <v>2630</v>
      </c>
      <c r="D1849" s="34"/>
      <c r="E1849" s="34">
        <v>0</v>
      </c>
      <c r="F1849" s="34">
        <v>0</v>
      </c>
      <c r="G1849" s="34">
        <v>11611.4</v>
      </c>
      <c r="H1849" s="34"/>
      <c r="I1849" s="34">
        <f t="shared" si="29"/>
        <v>11611.4</v>
      </c>
      <c r="K1849" t="s">
        <v>38</v>
      </c>
    </row>
    <row r="1850" spans="2:11" ht="41.25" x14ac:dyDescent="0.2">
      <c r="B1850" s="31" t="s">
        <v>2631</v>
      </c>
      <c r="C1850" s="31" t="s">
        <v>2632</v>
      </c>
      <c r="D1850" s="34"/>
      <c r="E1850" s="34">
        <v>0</v>
      </c>
      <c r="F1850" s="34">
        <v>0</v>
      </c>
      <c r="G1850" s="34">
        <v>15755</v>
      </c>
      <c r="H1850" s="34"/>
      <c r="I1850" s="34">
        <f t="shared" si="29"/>
        <v>15755</v>
      </c>
      <c r="K1850" t="s">
        <v>38</v>
      </c>
    </row>
    <row r="1851" spans="2:11" ht="49.5" x14ac:dyDescent="0.2">
      <c r="B1851" s="33" t="s">
        <v>2633</v>
      </c>
      <c r="C1851" s="33" t="s">
        <v>2359</v>
      </c>
      <c r="D1851"/>
      <c r="E1851" s="35">
        <f>SUMIFS(E1852:E9015,K1852:K9015,"0",B1852:B9015,"4 1 4 9 1 12 31111 6 M59 19000 000000 00000 00000 00044 011 1113000 2024 00000000 004 0000001 00021*")-SUMIFS(D1852:D9015,K1852:K9015,"0",B1852:B9015,"4 1 4 9 1 12 31111 6 M59 19000 000000 00000 00000 00044 011 1113000 2024 00000000 004 0000001 00021*")</f>
        <v>0</v>
      </c>
      <c r="F1851" s="35">
        <f>SUMIFS(F1852:F9015,K1852:K9015,"0",B1852:B9015,"4 1 4 9 1 12 31111 6 M59 19000 000000 00000 00000 00044 011 1113000 2024 00000000 004 0000001 00021*")</f>
        <v>0</v>
      </c>
      <c r="G1851" s="35">
        <f>SUMIFS(G1852:G9015,K1852:K9015,"0",B1852:B9015,"4 1 4 9 1 12 31111 6 M59 19000 000000 00000 00000 00044 011 1113000 2024 00000000 004 0000001 00021*")</f>
        <v>133.56</v>
      </c>
      <c r="H1851" s="35"/>
      <c r="I1851" s="35">
        <f t="shared" si="29"/>
        <v>133.56</v>
      </c>
      <c r="K1851" t="s">
        <v>15</v>
      </c>
    </row>
    <row r="1852" spans="2:11" ht="41.25" x14ac:dyDescent="0.2">
      <c r="B1852" s="31" t="s">
        <v>2634</v>
      </c>
      <c r="C1852" s="31" t="s">
        <v>2635</v>
      </c>
      <c r="D1852" s="34"/>
      <c r="E1852" s="34">
        <v>0</v>
      </c>
      <c r="F1852" s="34">
        <v>0</v>
      </c>
      <c r="G1852" s="34">
        <v>133.56</v>
      </c>
      <c r="H1852" s="34"/>
      <c r="I1852" s="34">
        <f t="shared" si="29"/>
        <v>133.56</v>
      </c>
      <c r="K1852" t="s">
        <v>38</v>
      </c>
    </row>
    <row r="1853" spans="2:11" ht="49.5" x14ac:dyDescent="0.2">
      <c r="B1853" s="33" t="s">
        <v>2636</v>
      </c>
      <c r="C1853" s="33" t="s">
        <v>2637</v>
      </c>
      <c r="D1853"/>
      <c r="E1853" s="35">
        <f>SUMIFS(E1854:E9015,K1854:K9015,"0",B1854:B9015,"4 1 4 9 1 12 31111 6 M59 19000 000000 00000 00000 00044 011 1113000 2024 00000000 004 0000001 00022*")-SUMIFS(D1854:D9015,K1854:K9015,"0",B1854:B9015,"4 1 4 9 1 12 31111 6 M59 19000 000000 00000 00000 00044 011 1113000 2024 00000000 004 0000001 00022*")</f>
        <v>0</v>
      </c>
      <c r="F1853" s="35">
        <f>SUMIFS(F1854:F9015,K1854:K9015,"0",B1854:B9015,"4 1 4 9 1 12 31111 6 M59 19000 000000 00000 00000 00044 011 1113000 2024 00000000 004 0000001 00022*")</f>
        <v>0</v>
      </c>
      <c r="G1853" s="35">
        <f>SUMIFS(G1854:G9015,K1854:K9015,"0",B1854:B9015,"4 1 4 9 1 12 31111 6 M59 19000 000000 00000 00000 00044 011 1113000 2024 00000000 004 0000001 00022*")</f>
        <v>45514</v>
      </c>
      <c r="H1853" s="35"/>
      <c r="I1853" s="35">
        <f t="shared" si="29"/>
        <v>45514</v>
      </c>
      <c r="K1853" t="s">
        <v>15</v>
      </c>
    </row>
    <row r="1854" spans="2:11" ht="41.25" x14ac:dyDescent="0.2">
      <c r="B1854" s="31" t="s">
        <v>2638</v>
      </c>
      <c r="C1854" s="31" t="s">
        <v>2639</v>
      </c>
      <c r="D1854" s="34"/>
      <c r="E1854" s="34">
        <v>0</v>
      </c>
      <c r="F1854" s="34">
        <v>0</v>
      </c>
      <c r="G1854" s="34">
        <v>1653</v>
      </c>
      <c r="H1854" s="34"/>
      <c r="I1854" s="34">
        <f t="shared" si="29"/>
        <v>1653</v>
      </c>
      <c r="K1854" t="s">
        <v>38</v>
      </c>
    </row>
    <row r="1855" spans="2:11" ht="41.25" x14ac:dyDescent="0.2">
      <c r="B1855" s="31" t="s">
        <v>2640</v>
      </c>
      <c r="C1855" s="31" t="s">
        <v>2641</v>
      </c>
      <c r="D1855" s="34"/>
      <c r="E1855" s="34">
        <v>0</v>
      </c>
      <c r="F1855" s="34">
        <v>0</v>
      </c>
      <c r="G1855" s="34">
        <v>488</v>
      </c>
      <c r="H1855" s="34"/>
      <c r="I1855" s="34">
        <f t="shared" si="29"/>
        <v>488</v>
      </c>
      <c r="K1855" t="s">
        <v>38</v>
      </c>
    </row>
    <row r="1856" spans="2:11" ht="41.25" x14ac:dyDescent="0.2">
      <c r="B1856" s="31" t="s">
        <v>2642</v>
      </c>
      <c r="C1856" s="31" t="s">
        <v>2643</v>
      </c>
      <c r="D1856" s="34"/>
      <c r="E1856" s="34">
        <v>0</v>
      </c>
      <c r="F1856" s="34">
        <v>0</v>
      </c>
      <c r="G1856" s="34">
        <v>5488</v>
      </c>
      <c r="H1856" s="34"/>
      <c r="I1856" s="34">
        <f t="shared" si="29"/>
        <v>5488</v>
      </c>
      <c r="K1856" t="s">
        <v>38</v>
      </c>
    </row>
    <row r="1857" spans="2:11" ht="41.25" x14ac:dyDescent="0.2">
      <c r="B1857" s="31" t="s">
        <v>2644</v>
      </c>
      <c r="C1857" s="31" t="s">
        <v>2645</v>
      </c>
      <c r="D1857" s="34"/>
      <c r="E1857" s="34">
        <v>0</v>
      </c>
      <c r="F1857" s="34">
        <v>0</v>
      </c>
      <c r="G1857" s="34">
        <v>7002</v>
      </c>
      <c r="H1857" s="34"/>
      <c r="I1857" s="34">
        <f t="shared" si="29"/>
        <v>7002</v>
      </c>
      <c r="K1857" t="s">
        <v>38</v>
      </c>
    </row>
    <row r="1858" spans="2:11" ht="41.25" x14ac:dyDescent="0.2">
      <c r="B1858" s="31" t="s">
        <v>2646</v>
      </c>
      <c r="C1858" s="31" t="s">
        <v>1063</v>
      </c>
      <c r="D1858" s="34"/>
      <c r="E1858" s="34">
        <v>0</v>
      </c>
      <c r="F1858" s="34">
        <v>0</v>
      </c>
      <c r="G1858" s="34">
        <v>30883</v>
      </c>
      <c r="H1858" s="34"/>
      <c r="I1858" s="34">
        <f t="shared" si="29"/>
        <v>30883</v>
      </c>
      <c r="K1858" t="s">
        <v>38</v>
      </c>
    </row>
    <row r="1859" spans="2:11" ht="49.5" x14ac:dyDescent="0.2">
      <c r="B1859" s="33" t="s">
        <v>2647</v>
      </c>
      <c r="C1859" s="33" t="s">
        <v>2648</v>
      </c>
      <c r="D1859"/>
      <c r="E1859" s="35">
        <f>SUMIFS(E1860:E9015,K1860:K9015,"0",B1860:B9015,"4 1 4 9 1 12 31111 6 M59 19000 000000 00000 00000 00044 011 1113000 2024 00000000 004 0000001 00023*")-SUMIFS(D1860:D9015,K1860:K9015,"0",B1860:B9015,"4 1 4 9 1 12 31111 6 M59 19000 000000 00000 00000 00044 011 1113000 2024 00000000 004 0000001 00023*")</f>
        <v>0</v>
      </c>
      <c r="F1859" s="35">
        <f>SUMIFS(F1860:F9015,K1860:K9015,"0",B1860:B9015,"4 1 4 9 1 12 31111 6 M59 19000 000000 00000 00000 00044 011 1113000 2024 00000000 004 0000001 00023*")</f>
        <v>0</v>
      </c>
      <c r="G1859" s="35">
        <f>SUMIFS(G1860:G9015,K1860:K9015,"0",B1860:B9015,"4 1 4 9 1 12 31111 6 M59 19000 000000 00000 00000 00044 011 1113000 2024 00000000 004 0000001 00023*")</f>
        <v>387</v>
      </c>
      <c r="H1859" s="35"/>
      <c r="I1859" s="35">
        <f t="shared" si="29"/>
        <v>387</v>
      </c>
      <c r="K1859" t="s">
        <v>15</v>
      </c>
    </row>
    <row r="1860" spans="2:11" ht="41.25" x14ac:dyDescent="0.2">
      <c r="B1860" s="31" t="s">
        <v>2649</v>
      </c>
      <c r="C1860" s="31" t="s">
        <v>2650</v>
      </c>
      <c r="D1860" s="34"/>
      <c r="E1860" s="34">
        <v>0</v>
      </c>
      <c r="F1860" s="34">
        <v>0</v>
      </c>
      <c r="G1860" s="34">
        <v>387</v>
      </c>
      <c r="H1860" s="34"/>
      <c r="I1860" s="34">
        <f t="shared" si="29"/>
        <v>387</v>
      </c>
      <c r="K1860" t="s">
        <v>38</v>
      </c>
    </row>
    <row r="1861" spans="2:11" ht="12.75" x14ac:dyDescent="0.2">
      <c r="B1861" s="33" t="s">
        <v>2651</v>
      </c>
      <c r="C1861" s="33" t="s">
        <v>252</v>
      </c>
      <c r="D1861"/>
      <c r="E1861" s="35">
        <f>SUMIFS(E1862:E9015,K1862:K9015,"0",B1862:B9015,"4 1 5*")-SUMIFS(D1862:D9015,K1862:K9015,"0",B1862:B9015,"4 1 5*")</f>
        <v>0</v>
      </c>
      <c r="F1861" s="35">
        <f>SUMIFS(F1862:F9015,K1862:K9015,"0",B1862:B9015,"4 1 5*")</f>
        <v>0</v>
      </c>
      <c r="G1861" s="35">
        <f>SUMIFS(G1862:G9015,K1862:K9015,"0",B1862:B9015,"4 1 5*")</f>
        <v>415989.29000000004</v>
      </c>
      <c r="H1861" s="35"/>
      <c r="I1861" s="35">
        <f t="shared" si="29"/>
        <v>415989.29000000004</v>
      </c>
      <c r="K1861" t="s">
        <v>15</v>
      </c>
    </row>
    <row r="1862" spans="2:11" ht="12.75" x14ac:dyDescent="0.2">
      <c r="B1862" s="33" t="s">
        <v>2652</v>
      </c>
      <c r="C1862" s="33" t="s">
        <v>252</v>
      </c>
      <c r="D1862"/>
      <c r="E1862" s="35">
        <f>SUMIFS(E1863:E9015,K1863:K9015,"0",B1863:B9015,"4 1 5 1*")-SUMIFS(D1863:D9015,K1863:K9015,"0",B1863:B9015,"4 1 5 1*")</f>
        <v>0</v>
      </c>
      <c r="F1862" s="35">
        <f>SUMIFS(F1863:F9015,K1863:K9015,"0",B1863:B9015,"4 1 5 1*")</f>
        <v>0</v>
      </c>
      <c r="G1862" s="35">
        <f>SUMIFS(G1863:G9015,K1863:K9015,"0",B1863:B9015,"4 1 5 1*")</f>
        <v>415985.24000000005</v>
      </c>
      <c r="H1862" s="35"/>
      <c r="I1862" s="35">
        <f t="shared" si="29"/>
        <v>415985.24000000005</v>
      </c>
      <c r="K1862" t="s">
        <v>15</v>
      </c>
    </row>
    <row r="1863" spans="2:11" ht="41.25" x14ac:dyDescent="0.2">
      <c r="B1863" s="33" t="s">
        <v>2653</v>
      </c>
      <c r="C1863" s="33" t="s">
        <v>2654</v>
      </c>
      <c r="D1863"/>
      <c r="E1863" s="35">
        <f>SUMIFS(E1864:E9015,K1864:K9015,"0",B1864:B9015,"4 1 5 1 1*")-SUMIFS(D1864:D9015,K1864:K9015,"0",B1864:B9015,"4 1 5 1 1*")</f>
        <v>0</v>
      </c>
      <c r="F1863" s="35">
        <f>SUMIFS(F1864:F9015,K1864:K9015,"0",B1864:B9015,"4 1 5 1 1*")</f>
        <v>0</v>
      </c>
      <c r="G1863" s="35">
        <f>SUMIFS(G1864:G9015,K1864:K9015,"0",B1864:B9015,"4 1 5 1 1*")</f>
        <v>415985.24000000005</v>
      </c>
      <c r="H1863" s="35"/>
      <c r="I1863" s="35">
        <f t="shared" si="29"/>
        <v>415985.24000000005</v>
      </c>
      <c r="K1863" t="s">
        <v>15</v>
      </c>
    </row>
    <row r="1864" spans="2:11" ht="12.75" x14ac:dyDescent="0.2">
      <c r="B1864" s="33" t="s">
        <v>2655</v>
      </c>
      <c r="C1864" s="33" t="s">
        <v>26</v>
      </c>
      <c r="D1864"/>
      <c r="E1864" s="35">
        <f>SUMIFS(E1865:E9015,K1865:K9015,"0",B1865:B9015,"4 1 5 1 1 12*")-SUMIFS(D1865:D9015,K1865:K9015,"0",B1865:B9015,"4 1 5 1 1 12*")</f>
        <v>0</v>
      </c>
      <c r="F1864" s="35">
        <f>SUMIFS(F1865:F9015,K1865:K9015,"0",B1865:B9015,"4 1 5 1 1 12*")</f>
        <v>0</v>
      </c>
      <c r="G1864" s="35">
        <f>SUMIFS(G1865:G9015,K1865:K9015,"0",B1865:B9015,"4 1 5 1 1 12*")</f>
        <v>415985.24000000005</v>
      </c>
      <c r="H1864" s="35"/>
      <c r="I1864" s="35">
        <f t="shared" si="29"/>
        <v>415985.24000000005</v>
      </c>
      <c r="K1864" t="s">
        <v>15</v>
      </c>
    </row>
    <row r="1865" spans="2:11" ht="16.5" x14ac:dyDescent="0.2">
      <c r="B1865" s="33" t="s">
        <v>2656</v>
      </c>
      <c r="C1865" s="33" t="s">
        <v>28</v>
      </c>
      <c r="D1865"/>
      <c r="E1865" s="35">
        <f>SUMIFS(E1866:E9015,K1866:K9015,"0",B1866:B9015,"4 1 5 1 1 12 31111*")-SUMIFS(D1866:D9015,K1866:K9015,"0",B1866:B9015,"4 1 5 1 1 12 31111*")</f>
        <v>0</v>
      </c>
      <c r="F1865" s="35">
        <f>SUMIFS(F1866:F9015,K1866:K9015,"0",B1866:B9015,"4 1 5 1 1 12 31111*")</f>
        <v>0</v>
      </c>
      <c r="G1865" s="35">
        <f>SUMIFS(G1866:G9015,K1866:K9015,"0",B1866:B9015,"4 1 5 1 1 12 31111*")</f>
        <v>415985.24000000005</v>
      </c>
      <c r="H1865" s="35"/>
      <c r="I1865" s="35">
        <f t="shared" si="29"/>
        <v>415985.24000000005</v>
      </c>
      <c r="K1865" t="s">
        <v>15</v>
      </c>
    </row>
    <row r="1866" spans="2:11" ht="12.75" x14ac:dyDescent="0.2">
      <c r="B1866" s="33" t="s">
        <v>2657</v>
      </c>
      <c r="C1866" s="33" t="s">
        <v>30</v>
      </c>
      <c r="D1866"/>
      <c r="E1866" s="35">
        <f>SUMIFS(E1867:E9015,K1867:K9015,"0",B1867:B9015,"4 1 5 1 1 12 31111 6*")-SUMIFS(D1867:D9015,K1867:K9015,"0",B1867:B9015,"4 1 5 1 1 12 31111 6*")</f>
        <v>0</v>
      </c>
      <c r="F1866" s="35">
        <f>SUMIFS(F1867:F9015,K1867:K9015,"0",B1867:B9015,"4 1 5 1 1 12 31111 6*")</f>
        <v>0</v>
      </c>
      <c r="G1866" s="35">
        <f>SUMIFS(G1867:G9015,K1867:K9015,"0",B1867:B9015,"4 1 5 1 1 12 31111 6*")</f>
        <v>415985.24000000005</v>
      </c>
      <c r="H1866" s="35"/>
      <c r="I1866" s="35">
        <f t="shared" si="29"/>
        <v>415985.24000000005</v>
      </c>
      <c r="K1866" t="s">
        <v>15</v>
      </c>
    </row>
    <row r="1867" spans="2:11" ht="12.75" x14ac:dyDescent="0.2">
      <c r="B1867" s="33" t="s">
        <v>2658</v>
      </c>
      <c r="C1867" s="33" t="s">
        <v>282</v>
      </c>
      <c r="D1867"/>
      <c r="E1867" s="35">
        <f>SUMIFS(E1868:E9015,K1868:K9015,"0",B1868:B9015,"4 1 5 1 1 12 31111 6 M59*")-SUMIFS(D1868:D9015,K1868:K9015,"0",B1868:B9015,"4 1 5 1 1 12 31111 6 M59*")</f>
        <v>0</v>
      </c>
      <c r="F1867" s="35">
        <f>SUMIFS(F1868:F9015,K1868:K9015,"0",B1868:B9015,"4 1 5 1 1 12 31111 6 M59*")</f>
        <v>0</v>
      </c>
      <c r="G1867" s="35">
        <f>SUMIFS(G1868:G9015,K1868:K9015,"0",B1868:B9015,"4 1 5 1 1 12 31111 6 M59*")</f>
        <v>415985.24000000005</v>
      </c>
      <c r="H1867" s="35"/>
      <c r="I1867" s="35">
        <f t="shared" si="29"/>
        <v>415985.24000000005</v>
      </c>
      <c r="K1867" t="s">
        <v>15</v>
      </c>
    </row>
    <row r="1868" spans="2:11" ht="16.5" x14ac:dyDescent="0.2">
      <c r="B1868" s="33" t="s">
        <v>2659</v>
      </c>
      <c r="C1868" s="33" t="s">
        <v>1044</v>
      </c>
      <c r="D1868"/>
      <c r="E1868" s="35">
        <f>SUMIFS(E1869:E9015,K1869:K9015,"0",B1869:B9015,"4 1 5 1 1 12 31111 6 M59 19000*")-SUMIFS(D1869:D9015,K1869:K9015,"0",B1869:B9015,"4 1 5 1 1 12 31111 6 M59 19000*")</f>
        <v>0</v>
      </c>
      <c r="F1868" s="35">
        <f>SUMIFS(F1869:F9015,K1869:K9015,"0",B1869:B9015,"4 1 5 1 1 12 31111 6 M59 19000*")</f>
        <v>0</v>
      </c>
      <c r="G1868" s="35">
        <f>SUMIFS(G1869:G9015,K1869:K9015,"0",B1869:B9015,"4 1 5 1 1 12 31111 6 M59 19000*")</f>
        <v>415985.24000000005</v>
      </c>
      <c r="H1868" s="35"/>
      <c r="I1868" s="35">
        <f t="shared" si="29"/>
        <v>415985.24000000005</v>
      </c>
      <c r="K1868" t="s">
        <v>15</v>
      </c>
    </row>
    <row r="1869" spans="2:11" ht="16.5" x14ac:dyDescent="0.2">
      <c r="B1869" s="33" t="s">
        <v>2660</v>
      </c>
      <c r="C1869" s="33" t="s">
        <v>2287</v>
      </c>
      <c r="D1869"/>
      <c r="E1869" s="35">
        <f>SUMIFS(E1870:E9015,K1870:K9015,"0",B1870:B9015,"4 1 5 1 1 12 31111 6 M59 19000 000000*")-SUMIFS(D1870:D9015,K1870:K9015,"0",B1870:B9015,"4 1 5 1 1 12 31111 6 M59 19000 000000*")</f>
        <v>0</v>
      </c>
      <c r="F1869" s="35">
        <f>SUMIFS(F1870:F9015,K1870:K9015,"0",B1870:B9015,"4 1 5 1 1 12 31111 6 M59 19000 000000*")</f>
        <v>0</v>
      </c>
      <c r="G1869" s="35">
        <f>SUMIFS(G1870:G9015,K1870:K9015,"0",B1870:B9015,"4 1 5 1 1 12 31111 6 M59 19000 000000*")</f>
        <v>415985.24000000005</v>
      </c>
      <c r="H1869" s="35"/>
      <c r="I1869" s="35">
        <f t="shared" si="29"/>
        <v>415985.24000000005</v>
      </c>
      <c r="K1869" t="s">
        <v>15</v>
      </c>
    </row>
    <row r="1870" spans="2:11" ht="16.5" x14ac:dyDescent="0.2">
      <c r="B1870" s="33" t="s">
        <v>2661</v>
      </c>
      <c r="C1870" s="33" t="s">
        <v>2289</v>
      </c>
      <c r="D1870"/>
      <c r="E1870" s="35">
        <f>SUMIFS(E1871:E9015,K1871:K9015,"0",B1871:B9015,"4 1 5 1 1 12 31111 6 M59 19000 000000 00000*")-SUMIFS(D1871:D9015,K1871:K9015,"0",B1871:B9015,"4 1 5 1 1 12 31111 6 M59 19000 000000 00000*")</f>
        <v>0</v>
      </c>
      <c r="F1870" s="35">
        <f>SUMIFS(F1871:F9015,K1871:K9015,"0",B1871:B9015,"4 1 5 1 1 12 31111 6 M59 19000 000000 00000*")</f>
        <v>0</v>
      </c>
      <c r="G1870" s="35">
        <f>SUMIFS(G1871:G9015,K1871:K9015,"0",B1871:B9015,"4 1 5 1 1 12 31111 6 M59 19000 000000 00000*")</f>
        <v>415985.24000000005</v>
      </c>
      <c r="H1870" s="35"/>
      <c r="I1870" s="35">
        <f t="shared" si="29"/>
        <v>415985.24000000005</v>
      </c>
      <c r="K1870" t="s">
        <v>15</v>
      </c>
    </row>
    <row r="1871" spans="2:11" ht="24.75" x14ac:dyDescent="0.2">
      <c r="B1871" s="33" t="s">
        <v>2662</v>
      </c>
      <c r="C1871" s="33" t="s">
        <v>2291</v>
      </c>
      <c r="D1871"/>
      <c r="E1871" s="35">
        <f>SUMIFS(E1872:E9015,K1872:K9015,"0",B1872:B9015,"4 1 5 1 1 12 31111 6 M59 19000 000000 00000 00000*")-SUMIFS(D1872:D9015,K1872:K9015,"0",B1872:B9015,"4 1 5 1 1 12 31111 6 M59 19000 000000 00000 00000*")</f>
        <v>0</v>
      </c>
      <c r="F1871" s="35">
        <f>SUMIFS(F1872:F9015,K1872:K9015,"0",B1872:B9015,"4 1 5 1 1 12 31111 6 M59 19000 000000 00000 00000*")</f>
        <v>0</v>
      </c>
      <c r="G1871" s="35">
        <f>SUMIFS(G1872:G9015,K1872:K9015,"0",B1872:B9015,"4 1 5 1 1 12 31111 6 M59 19000 000000 00000 00000*")</f>
        <v>415985.24000000005</v>
      </c>
      <c r="H1871" s="35"/>
      <c r="I1871" s="35">
        <f t="shared" si="29"/>
        <v>415985.24000000005</v>
      </c>
      <c r="K1871" t="s">
        <v>15</v>
      </c>
    </row>
    <row r="1872" spans="2:11" ht="24.75" x14ac:dyDescent="0.2">
      <c r="B1872" s="33" t="s">
        <v>2663</v>
      </c>
      <c r="C1872" s="33" t="s">
        <v>252</v>
      </c>
      <c r="D1872"/>
      <c r="E1872" s="35">
        <f>SUMIFS(E1873:E9015,K1873:K9015,"0",B1873:B9015,"4 1 5 1 1 12 31111 6 M59 19000 000000 00000 00000 00051*")-SUMIFS(D1873:D9015,K1873:K9015,"0",B1873:B9015,"4 1 5 1 1 12 31111 6 M59 19000 000000 00000 00000 00051*")</f>
        <v>0</v>
      </c>
      <c r="F1872" s="35">
        <f>SUMIFS(F1873:F9015,K1873:K9015,"0",B1873:B9015,"4 1 5 1 1 12 31111 6 M59 19000 000000 00000 00000 00051*")</f>
        <v>0</v>
      </c>
      <c r="G1872" s="35">
        <f>SUMIFS(G1873:G9015,K1873:K9015,"0",B1873:B9015,"4 1 5 1 1 12 31111 6 M59 19000 000000 00000 00000 00051*")</f>
        <v>415985.24000000005</v>
      </c>
      <c r="H1872" s="35"/>
      <c r="I1872" s="35">
        <f t="shared" si="29"/>
        <v>415985.24000000005</v>
      </c>
      <c r="K1872" t="s">
        <v>15</v>
      </c>
    </row>
    <row r="1873" spans="2:11" ht="24.75" x14ac:dyDescent="0.2">
      <c r="B1873" s="33" t="s">
        <v>2664</v>
      </c>
      <c r="C1873" s="33" t="s">
        <v>699</v>
      </c>
      <c r="D1873"/>
      <c r="E1873" s="35">
        <f>SUMIFS(E1874:E9015,K1874:K9015,"0",B1874:B9015,"4 1 5 1 1 12 31111 6 M59 19000 000000 00000 00000 00051 011*")-SUMIFS(D1874:D9015,K1874:K9015,"0",B1874:B9015,"4 1 5 1 1 12 31111 6 M59 19000 000000 00000 00000 00051 011*")</f>
        <v>0</v>
      </c>
      <c r="F1873" s="35">
        <f>SUMIFS(F1874:F9015,K1874:K9015,"0",B1874:B9015,"4 1 5 1 1 12 31111 6 M59 19000 000000 00000 00000 00051 011*")</f>
        <v>0</v>
      </c>
      <c r="G1873" s="35">
        <f>SUMIFS(G1874:G9015,K1874:K9015,"0",B1874:B9015,"4 1 5 1 1 12 31111 6 M59 19000 000000 00000 00000 00051 011*")</f>
        <v>303128.42</v>
      </c>
      <c r="H1873" s="35"/>
      <c r="I1873" s="35">
        <f t="shared" si="29"/>
        <v>303128.42</v>
      </c>
      <c r="K1873" t="s">
        <v>15</v>
      </c>
    </row>
    <row r="1874" spans="2:11" ht="33" x14ac:dyDescent="0.2">
      <c r="B1874" s="33" t="s">
        <v>2665</v>
      </c>
      <c r="C1874" s="33" t="s">
        <v>2320</v>
      </c>
      <c r="D1874"/>
      <c r="E1874" s="35">
        <f>SUMIFS(E1875:E9015,K1875:K9015,"0",B1875:B9015,"4 1 5 1 1 12 31111 6 M59 19000 000000 00000 00000 00051 011 1113000*")-SUMIFS(D1875:D9015,K1875:K9015,"0",B1875:B9015,"4 1 5 1 1 12 31111 6 M59 19000 000000 00000 00000 00051 011 1113000*")</f>
        <v>0</v>
      </c>
      <c r="F1874" s="35">
        <f>SUMIFS(F1875:F9015,K1875:K9015,"0",B1875:B9015,"4 1 5 1 1 12 31111 6 M59 19000 000000 00000 00000 00051 011 1113000*")</f>
        <v>0</v>
      </c>
      <c r="G1874" s="35">
        <f>SUMIFS(G1875:G9015,K1875:K9015,"0",B1875:B9015,"4 1 5 1 1 12 31111 6 M59 19000 000000 00000 00000 00051 011 1113000*")</f>
        <v>303128.42</v>
      </c>
      <c r="H1874" s="35"/>
      <c r="I1874" s="35">
        <f t="shared" si="29"/>
        <v>303128.42</v>
      </c>
      <c r="K1874" t="s">
        <v>15</v>
      </c>
    </row>
    <row r="1875" spans="2:11" ht="33" x14ac:dyDescent="0.2">
      <c r="B1875" s="33" t="s">
        <v>2666</v>
      </c>
      <c r="C1875" s="33" t="s">
        <v>660</v>
      </c>
      <c r="D1875"/>
      <c r="E1875" s="35">
        <f>SUMIFS(E1876:E9015,K1876:K9015,"0",B1876:B9015,"4 1 5 1 1 12 31111 6 M59 19000 000000 00000 00000 00051 011 1113000 2024*")-SUMIFS(D1876:D9015,K1876:K9015,"0",B1876:B9015,"4 1 5 1 1 12 31111 6 M59 19000 000000 00000 00000 00051 011 1113000 2024*")</f>
        <v>0</v>
      </c>
      <c r="F1875" s="35">
        <f>SUMIFS(F1876:F9015,K1876:K9015,"0",B1876:B9015,"4 1 5 1 1 12 31111 6 M59 19000 000000 00000 00000 00051 011 1113000 2024*")</f>
        <v>0</v>
      </c>
      <c r="G1875" s="35">
        <f>SUMIFS(G1876:G9015,K1876:K9015,"0",B1876:B9015,"4 1 5 1 1 12 31111 6 M59 19000 000000 00000 00000 00051 011 1113000 2024*")</f>
        <v>303128.42</v>
      </c>
      <c r="H1875" s="35"/>
      <c r="I1875" s="35">
        <f t="shared" si="29"/>
        <v>303128.42</v>
      </c>
      <c r="K1875" t="s">
        <v>15</v>
      </c>
    </row>
    <row r="1876" spans="2:11" ht="41.25" x14ac:dyDescent="0.2">
      <c r="B1876" s="33" t="s">
        <v>2667</v>
      </c>
      <c r="C1876" s="33" t="s">
        <v>2298</v>
      </c>
      <c r="D1876"/>
      <c r="E1876" s="35">
        <f>SUMIFS(E1877:E9015,K1877:K9015,"0",B1877:B9015,"4 1 5 1 1 12 31111 6 M59 19000 000000 00000 00000 00051 011 1113000 2024 00000000*")-SUMIFS(D1877:D9015,K1877:K9015,"0",B1877:B9015,"4 1 5 1 1 12 31111 6 M59 19000 000000 00000 00000 00051 011 1113000 2024 00000000*")</f>
        <v>0</v>
      </c>
      <c r="F1876" s="35">
        <f>SUMIFS(F1877:F9015,K1877:K9015,"0",B1877:B9015,"4 1 5 1 1 12 31111 6 M59 19000 000000 00000 00000 00051 011 1113000 2024 00000000*")</f>
        <v>0</v>
      </c>
      <c r="G1876" s="35">
        <f>SUMIFS(G1877:G9015,K1877:K9015,"0",B1877:B9015,"4 1 5 1 1 12 31111 6 M59 19000 000000 00000 00000 00051 011 1113000 2024 00000000*")</f>
        <v>303128.42</v>
      </c>
      <c r="H1876" s="35"/>
      <c r="I1876" s="35">
        <f t="shared" si="29"/>
        <v>303128.42</v>
      </c>
      <c r="K1876" t="s">
        <v>15</v>
      </c>
    </row>
    <row r="1877" spans="2:11" ht="41.25" x14ac:dyDescent="0.2">
      <c r="B1877" s="33" t="s">
        <v>2668</v>
      </c>
      <c r="C1877" s="33" t="s">
        <v>2300</v>
      </c>
      <c r="D1877"/>
      <c r="E1877" s="35">
        <f>SUMIFS(E1878:E9015,K1878:K9015,"0",B1878:B9015,"4 1 5 1 1 12 31111 6 M59 19000 000000 00000 00000 00051 011 1113000 2024 00000000 004*")-SUMIFS(D1878:D9015,K1878:K9015,"0",B1878:B9015,"4 1 5 1 1 12 31111 6 M59 19000 000000 00000 00000 00051 011 1113000 2024 00000000 004*")</f>
        <v>0</v>
      </c>
      <c r="F1877" s="35">
        <f>SUMIFS(F1878:F9015,K1878:K9015,"0",B1878:B9015,"4 1 5 1 1 12 31111 6 M59 19000 000000 00000 00000 00051 011 1113000 2024 00000000 004*")</f>
        <v>0</v>
      </c>
      <c r="G1877" s="35">
        <f>SUMIFS(G1878:G9015,K1878:K9015,"0",B1878:B9015,"4 1 5 1 1 12 31111 6 M59 19000 000000 00000 00000 00051 011 1113000 2024 00000000 004*")</f>
        <v>303128.42</v>
      </c>
      <c r="H1877" s="35"/>
      <c r="I1877" s="35">
        <f t="shared" si="29"/>
        <v>303128.42</v>
      </c>
      <c r="K1877" t="s">
        <v>15</v>
      </c>
    </row>
    <row r="1878" spans="2:11" ht="49.5" x14ac:dyDescent="0.2">
      <c r="B1878" s="33" t="s">
        <v>2669</v>
      </c>
      <c r="C1878" s="33" t="s">
        <v>2670</v>
      </c>
      <c r="D1878"/>
      <c r="E1878" s="35">
        <f>SUMIFS(E1879:E9015,K1879:K9015,"0",B1879:B9015,"4 1 5 1 1 12 31111 6 M59 19000 000000 00000 00000 00051 011 1113000 2024 00000000 004 0000001*")-SUMIFS(D1879:D9015,K1879:K9015,"0",B1879:B9015,"4 1 5 1 1 12 31111 6 M59 19000 000000 00000 00000 00051 011 1113000 2024 00000000 004 0000001*")</f>
        <v>0</v>
      </c>
      <c r="F1878" s="35">
        <f>SUMIFS(F1879:F9015,K1879:K9015,"0",B1879:B9015,"4 1 5 1 1 12 31111 6 M59 19000 000000 00000 00000 00051 011 1113000 2024 00000000 004 0000001*")</f>
        <v>0</v>
      </c>
      <c r="G1878" s="35">
        <f>SUMIFS(G1879:G9015,K1879:K9015,"0",B1879:B9015,"4 1 5 1 1 12 31111 6 M59 19000 000000 00000 00000 00051 011 1113000 2024 00000000 004 0000001*")</f>
        <v>303128.42</v>
      </c>
      <c r="H1878" s="35"/>
      <c r="I1878" s="35">
        <f t="shared" si="29"/>
        <v>303128.42</v>
      </c>
      <c r="K1878" t="s">
        <v>15</v>
      </c>
    </row>
    <row r="1879" spans="2:11" ht="49.5" x14ac:dyDescent="0.2">
      <c r="B1879" s="33" t="s">
        <v>2671</v>
      </c>
      <c r="C1879" s="33" t="s">
        <v>2672</v>
      </c>
      <c r="D1879"/>
      <c r="E1879" s="35">
        <f>SUMIFS(E1880:E9015,K1880:K9015,"0",B1880:B9015,"4 1 5 1 1 12 31111 6 M59 19000 000000 00000 00000 00051 011 1113000 2024 00000000 004 0000001 00001*")-SUMIFS(D1880:D9015,K1880:K9015,"0",B1880:B9015,"4 1 5 1 1 12 31111 6 M59 19000 000000 00000 00000 00051 011 1113000 2024 00000000 004 0000001 00001*")</f>
        <v>0</v>
      </c>
      <c r="F1879" s="35">
        <f>SUMIFS(F1880:F9015,K1880:K9015,"0",B1880:B9015,"4 1 5 1 1 12 31111 6 M59 19000 000000 00000 00000 00051 011 1113000 2024 00000000 004 0000001 00001*")</f>
        <v>0</v>
      </c>
      <c r="G1879" s="35">
        <f>SUMIFS(G1880:G9015,K1880:K9015,"0",B1880:B9015,"4 1 5 1 1 12 31111 6 M59 19000 000000 00000 00000 00051 011 1113000 2024 00000000 004 0000001 00001*")</f>
        <v>100914</v>
      </c>
      <c r="H1879" s="35"/>
      <c r="I1879" s="35">
        <f t="shared" si="29"/>
        <v>100914</v>
      </c>
      <c r="K1879" t="s">
        <v>15</v>
      </c>
    </row>
    <row r="1880" spans="2:11" ht="41.25" x14ac:dyDescent="0.2">
      <c r="B1880" s="31" t="s">
        <v>2673</v>
      </c>
      <c r="C1880" s="31" t="s">
        <v>2674</v>
      </c>
      <c r="D1880" s="34"/>
      <c r="E1880" s="34">
        <v>0</v>
      </c>
      <c r="F1880" s="34">
        <v>0</v>
      </c>
      <c r="G1880" s="34">
        <v>100914</v>
      </c>
      <c r="H1880" s="34"/>
      <c r="I1880" s="34">
        <f t="shared" si="29"/>
        <v>100914</v>
      </c>
      <c r="K1880" t="s">
        <v>38</v>
      </c>
    </row>
    <row r="1881" spans="2:11" ht="49.5" x14ac:dyDescent="0.2">
      <c r="B1881" s="33" t="s">
        <v>2675</v>
      </c>
      <c r="C1881" s="33" t="s">
        <v>2676</v>
      </c>
      <c r="D1881"/>
      <c r="E1881" s="35">
        <f>SUMIFS(E1882:E9015,K1882:K9015,"0",B1882:B9015,"4 1 5 1 1 12 31111 6 M59 19000 000000 00000 00000 00051 011 1113000 2024 00000000 004 0000001 00002*")-SUMIFS(D1882:D9015,K1882:K9015,"0",B1882:B9015,"4 1 5 1 1 12 31111 6 M59 19000 000000 00000 00000 00051 011 1113000 2024 00000000 004 0000001 00002*")</f>
        <v>0</v>
      </c>
      <c r="F1881" s="35">
        <f>SUMIFS(F1882:F9015,K1882:K9015,"0",B1882:B9015,"4 1 5 1 1 12 31111 6 M59 19000 000000 00000 00000 00051 011 1113000 2024 00000000 004 0000001 00002*")</f>
        <v>0</v>
      </c>
      <c r="G1881" s="35">
        <f>SUMIFS(G1882:G9015,K1882:K9015,"0",B1882:B9015,"4 1 5 1 1 12 31111 6 M59 19000 000000 00000 00000 00051 011 1113000 2024 00000000 004 0000001 00002*")</f>
        <v>2100</v>
      </c>
      <c r="H1881" s="35"/>
      <c r="I1881" s="35">
        <f t="shared" si="29"/>
        <v>2100</v>
      </c>
      <c r="K1881" t="s">
        <v>15</v>
      </c>
    </row>
    <row r="1882" spans="2:11" ht="49.5" x14ac:dyDescent="0.2">
      <c r="B1882" s="31" t="s">
        <v>2677</v>
      </c>
      <c r="C1882" s="31" t="s">
        <v>2678</v>
      </c>
      <c r="D1882" s="34"/>
      <c r="E1882" s="34">
        <v>0</v>
      </c>
      <c r="F1882" s="34">
        <v>0</v>
      </c>
      <c r="G1882" s="34">
        <v>2100</v>
      </c>
      <c r="H1882" s="34"/>
      <c r="I1882" s="34">
        <f t="shared" si="29"/>
        <v>2100</v>
      </c>
      <c r="K1882" t="s">
        <v>38</v>
      </c>
    </row>
    <row r="1883" spans="2:11" ht="49.5" x14ac:dyDescent="0.2">
      <c r="B1883" s="33" t="s">
        <v>2679</v>
      </c>
      <c r="C1883" s="33" t="s">
        <v>2680</v>
      </c>
      <c r="D1883"/>
      <c r="E1883" s="35">
        <f>SUMIFS(E1884:E9015,K1884:K9015,"0",B1884:B9015,"4 1 5 1 1 12 31111 6 M59 19000 000000 00000 00000 00051 011 1113000 2024 00000000 004 0000001 00009*")-SUMIFS(D1884:D9015,K1884:K9015,"0",B1884:B9015,"4 1 5 1 1 12 31111 6 M59 19000 000000 00000 00000 00051 011 1113000 2024 00000000 004 0000001 00009*")</f>
        <v>0</v>
      </c>
      <c r="F1883" s="35">
        <f>SUMIFS(F1884:F9015,K1884:K9015,"0",B1884:B9015,"4 1 5 1 1 12 31111 6 M59 19000 000000 00000 00000 00051 011 1113000 2024 00000000 004 0000001 00009*")</f>
        <v>0</v>
      </c>
      <c r="G1883" s="35">
        <f>SUMIFS(G1884:G9015,K1884:K9015,"0",B1884:B9015,"4 1 5 1 1 12 31111 6 M59 19000 000000 00000 00000 00051 011 1113000 2024 00000000 004 0000001 00009*")</f>
        <v>94705.46</v>
      </c>
      <c r="H1883" s="35"/>
      <c r="I1883" s="35">
        <f t="shared" si="29"/>
        <v>94705.46</v>
      </c>
      <c r="K1883" t="s">
        <v>15</v>
      </c>
    </row>
    <row r="1884" spans="2:11" ht="41.25" x14ac:dyDescent="0.2">
      <c r="B1884" s="31" t="s">
        <v>2681</v>
      </c>
      <c r="C1884" s="31" t="s">
        <v>2682</v>
      </c>
      <c r="D1884" s="34"/>
      <c r="E1884" s="34">
        <v>0</v>
      </c>
      <c r="F1884" s="34">
        <v>0</v>
      </c>
      <c r="G1884" s="34">
        <v>88944.3</v>
      </c>
      <c r="H1884" s="34"/>
      <c r="I1884" s="34">
        <f t="shared" si="29"/>
        <v>88944.3</v>
      </c>
      <c r="K1884" t="s">
        <v>38</v>
      </c>
    </row>
    <row r="1885" spans="2:11" ht="41.25" x14ac:dyDescent="0.2">
      <c r="B1885" s="31" t="s">
        <v>2683</v>
      </c>
      <c r="C1885" s="31" t="s">
        <v>2684</v>
      </c>
      <c r="D1885" s="34"/>
      <c r="E1885" s="34">
        <v>0</v>
      </c>
      <c r="F1885" s="34">
        <v>0</v>
      </c>
      <c r="G1885" s="34">
        <v>4165.16</v>
      </c>
      <c r="H1885" s="34"/>
      <c r="I1885" s="34">
        <f t="shared" si="29"/>
        <v>4165.16</v>
      </c>
      <c r="K1885" t="s">
        <v>38</v>
      </c>
    </row>
    <row r="1886" spans="2:11" ht="41.25" x14ac:dyDescent="0.2">
      <c r="B1886" s="31" t="s">
        <v>2685</v>
      </c>
      <c r="C1886" s="31" t="s">
        <v>2686</v>
      </c>
      <c r="D1886" s="34"/>
      <c r="E1886" s="34">
        <v>0</v>
      </c>
      <c r="F1886" s="34">
        <v>0</v>
      </c>
      <c r="G1886" s="34">
        <v>1596</v>
      </c>
      <c r="H1886" s="34"/>
      <c r="I1886" s="34">
        <f t="shared" si="29"/>
        <v>1596</v>
      </c>
      <c r="K1886" t="s">
        <v>38</v>
      </c>
    </row>
    <row r="1887" spans="2:11" ht="49.5" x14ac:dyDescent="0.2">
      <c r="B1887" s="33" t="s">
        <v>2687</v>
      </c>
      <c r="C1887" s="33" t="s">
        <v>2688</v>
      </c>
      <c r="D1887"/>
      <c r="E1887" s="35">
        <f>SUMIFS(E1888:E9015,K1888:K9015,"0",B1888:B9015,"4 1 5 1 1 12 31111 6 M59 19000 000000 00000 00000 00051 011 1113000 2024 00000000 004 0000001 00010*")-SUMIFS(D1888:D9015,K1888:K9015,"0",B1888:B9015,"4 1 5 1 1 12 31111 6 M59 19000 000000 00000 00000 00051 011 1113000 2024 00000000 004 0000001 00010*")</f>
        <v>0</v>
      </c>
      <c r="F1887" s="35">
        <f>SUMIFS(F1888:F9015,K1888:K9015,"0",B1888:B9015,"4 1 5 1 1 12 31111 6 M59 19000 000000 00000 00000 00051 011 1113000 2024 00000000 004 0000001 00010*")</f>
        <v>0</v>
      </c>
      <c r="G1887" s="35">
        <f>SUMIFS(G1888:G9015,K1888:K9015,"0",B1888:B9015,"4 1 5 1 1 12 31111 6 M59 19000 000000 00000 00000 00051 011 1113000 2024 00000000 004 0000001 00010*")</f>
        <v>105408.96000000001</v>
      </c>
      <c r="H1887" s="35"/>
      <c r="I1887" s="35">
        <f t="shared" si="29"/>
        <v>105408.96000000001</v>
      </c>
      <c r="K1887" t="s">
        <v>15</v>
      </c>
    </row>
    <row r="1888" spans="2:11" ht="41.25" x14ac:dyDescent="0.2">
      <c r="B1888" s="31" t="s">
        <v>2689</v>
      </c>
      <c r="C1888" s="31" t="s">
        <v>2688</v>
      </c>
      <c r="D1888" s="34"/>
      <c r="E1888" s="34">
        <v>0</v>
      </c>
      <c r="F1888" s="34">
        <v>0</v>
      </c>
      <c r="G1888" s="34">
        <v>105408.96000000001</v>
      </c>
      <c r="H1888" s="34"/>
      <c r="I1888" s="34">
        <f t="shared" si="29"/>
        <v>105408.96000000001</v>
      </c>
      <c r="K1888" t="s">
        <v>38</v>
      </c>
    </row>
    <row r="1889" spans="2:11" ht="24.75" x14ac:dyDescent="0.2">
      <c r="B1889" s="33" t="s">
        <v>2690</v>
      </c>
      <c r="C1889" s="33" t="s">
        <v>1051</v>
      </c>
      <c r="D1889"/>
      <c r="E1889" s="35">
        <f>SUMIFS(E1890:E9015,K1890:K9015,"0",B1890:B9015,"4 1 5 1 1 12 31111 6 M59 19000 000000 00000 00000 00051 015*")-SUMIFS(D1890:D9015,K1890:K9015,"0",B1890:B9015,"4 1 5 1 1 12 31111 6 M59 19000 000000 00000 00000 00051 015*")</f>
        <v>0</v>
      </c>
      <c r="F1889" s="35">
        <f>SUMIFS(F1890:F9015,K1890:K9015,"0",B1890:B9015,"4 1 5 1 1 12 31111 6 M59 19000 000000 00000 00000 00051 015*")</f>
        <v>0</v>
      </c>
      <c r="G1889" s="35">
        <f>SUMIFS(G1890:G9015,K1890:K9015,"0",B1890:B9015,"4 1 5 1 1 12 31111 6 M59 19000 000000 00000 00000 00051 015*")</f>
        <v>117.46</v>
      </c>
      <c r="H1889" s="35"/>
      <c r="I1889" s="35">
        <f t="shared" si="29"/>
        <v>117.46</v>
      </c>
      <c r="K1889" t="s">
        <v>15</v>
      </c>
    </row>
    <row r="1890" spans="2:11" ht="33" x14ac:dyDescent="0.2">
      <c r="B1890" s="33" t="s">
        <v>2691</v>
      </c>
      <c r="C1890" s="33" t="s">
        <v>2692</v>
      </c>
      <c r="D1890"/>
      <c r="E1890" s="35">
        <f>SUMIFS(E1891:E9015,K1891:K9015,"0",B1891:B9015,"4 1 5 1 1 12 31111 6 M59 19000 000000 00000 00000 00051 015 1142000*")-SUMIFS(D1891:D9015,K1891:K9015,"0",B1891:B9015,"4 1 5 1 1 12 31111 6 M59 19000 000000 00000 00000 00051 015 1142000*")</f>
        <v>0</v>
      </c>
      <c r="F1890" s="35">
        <f>SUMIFS(F1891:F9015,K1891:K9015,"0",B1891:B9015,"4 1 5 1 1 12 31111 6 M59 19000 000000 00000 00000 00051 015 1142000*")</f>
        <v>0</v>
      </c>
      <c r="G1890" s="35">
        <f>SUMIFS(G1891:G9015,K1891:K9015,"0",B1891:B9015,"4 1 5 1 1 12 31111 6 M59 19000 000000 00000 00000 00051 015 1142000*")</f>
        <v>117.46</v>
      </c>
      <c r="H1890" s="35"/>
      <c r="I1890" s="35">
        <f t="shared" si="29"/>
        <v>117.46</v>
      </c>
      <c r="K1890" t="s">
        <v>15</v>
      </c>
    </row>
    <row r="1891" spans="2:11" ht="33" x14ac:dyDescent="0.2">
      <c r="B1891" s="33" t="s">
        <v>2693</v>
      </c>
      <c r="C1891" s="33" t="s">
        <v>660</v>
      </c>
      <c r="D1891"/>
      <c r="E1891" s="35">
        <f>SUMIFS(E1892:E9015,K1892:K9015,"0",B1892:B9015,"4 1 5 1 1 12 31111 6 M59 19000 000000 00000 00000 00051 015 1142000 2024*")-SUMIFS(D1892:D9015,K1892:K9015,"0",B1892:B9015,"4 1 5 1 1 12 31111 6 M59 19000 000000 00000 00000 00051 015 1142000 2024*")</f>
        <v>0</v>
      </c>
      <c r="F1891" s="35">
        <f>SUMIFS(F1892:F9015,K1892:K9015,"0",B1892:B9015,"4 1 5 1 1 12 31111 6 M59 19000 000000 00000 00000 00051 015 1142000 2024*")</f>
        <v>0</v>
      </c>
      <c r="G1891" s="35">
        <f>SUMIFS(G1892:G9015,K1892:K9015,"0",B1892:B9015,"4 1 5 1 1 12 31111 6 M59 19000 000000 00000 00000 00051 015 1142000 2024*")</f>
        <v>117.46</v>
      </c>
      <c r="H1891" s="35"/>
      <c r="I1891" s="35">
        <f t="shared" si="29"/>
        <v>117.46</v>
      </c>
      <c r="K1891" t="s">
        <v>15</v>
      </c>
    </row>
    <row r="1892" spans="2:11" ht="41.25" x14ac:dyDescent="0.2">
      <c r="B1892" s="33" t="s">
        <v>2694</v>
      </c>
      <c r="C1892" s="33" t="s">
        <v>2298</v>
      </c>
      <c r="D1892"/>
      <c r="E1892" s="35">
        <f>SUMIFS(E1893:E9015,K1893:K9015,"0",B1893:B9015,"4 1 5 1 1 12 31111 6 M59 19000 000000 00000 00000 00051 015 1142000 2024 00000000*")-SUMIFS(D1893:D9015,K1893:K9015,"0",B1893:B9015,"4 1 5 1 1 12 31111 6 M59 19000 000000 00000 00000 00051 015 1142000 2024 00000000*")</f>
        <v>0</v>
      </c>
      <c r="F1892" s="35">
        <f>SUMIFS(F1893:F9015,K1893:K9015,"0",B1893:B9015,"4 1 5 1 1 12 31111 6 M59 19000 000000 00000 00000 00051 015 1142000 2024 00000000*")</f>
        <v>0</v>
      </c>
      <c r="G1892" s="35">
        <f>SUMIFS(G1893:G9015,K1893:K9015,"0",B1893:B9015,"4 1 5 1 1 12 31111 6 M59 19000 000000 00000 00000 00051 015 1142000 2024 00000000*")</f>
        <v>117.46</v>
      </c>
      <c r="H1892" s="35"/>
      <c r="I1892" s="35">
        <f t="shared" si="29"/>
        <v>117.46</v>
      </c>
      <c r="K1892" t="s">
        <v>15</v>
      </c>
    </row>
    <row r="1893" spans="2:11" ht="41.25" x14ac:dyDescent="0.2">
      <c r="B1893" s="33" t="s">
        <v>2695</v>
      </c>
      <c r="C1893" s="33" t="s">
        <v>282</v>
      </c>
      <c r="D1893"/>
      <c r="E1893" s="35">
        <f>SUMIFS(E1894:E9015,K1894:K9015,"0",B1894:B9015,"4 1 5 1 1 12 31111 6 M59 19000 000000 00000 00000 00051 015 1142000 2024 00000000 001*")-SUMIFS(D1894:D9015,K1894:K9015,"0",B1894:B9015,"4 1 5 1 1 12 31111 6 M59 19000 000000 00000 00000 00051 015 1142000 2024 00000000 001*")</f>
        <v>0</v>
      </c>
      <c r="F1893" s="35">
        <f>SUMIFS(F1894:F9015,K1894:K9015,"0",B1894:B9015,"4 1 5 1 1 12 31111 6 M59 19000 000000 00000 00000 00051 015 1142000 2024 00000000 001*")</f>
        <v>0</v>
      </c>
      <c r="G1893" s="35">
        <f>SUMIFS(G1894:G9015,K1894:K9015,"0",B1894:B9015,"4 1 5 1 1 12 31111 6 M59 19000 000000 00000 00000 00051 015 1142000 2024 00000000 001*")</f>
        <v>117.46</v>
      </c>
      <c r="H1893" s="35"/>
      <c r="I1893" s="35">
        <f t="shared" si="29"/>
        <v>117.46</v>
      </c>
      <c r="K1893" t="s">
        <v>15</v>
      </c>
    </row>
    <row r="1894" spans="2:11" ht="49.5" x14ac:dyDescent="0.2">
      <c r="B1894" s="33" t="s">
        <v>2696</v>
      </c>
      <c r="C1894" s="33" t="s">
        <v>2697</v>
      </c>
      <c r="D1894"/>
      <c r="E1894" s="35">
        <f>SUMIFS(E1895:E9015,K1895:K9015,"0",B1895:B9015,"4 1 5 1 1 12 31111 6 M59 19000 000000 00000 00000 00051 015 1142000 2024 00000000 001 0000001*")-SUMIFS(D1895:D9015,K1895:K9015,"0",B1895:B9015,"4 1 5 1 1 12 31111 6 M59 19000 000000 00000 00000 00051 015 1142000 2024 00000000 001 0000001*")</f>
        <v>0</v>
      </c>
      <c r="F1894" s="35">
        <f>SUMIFS(F1895:F9015,K1895:K9015,"0",B1895:B9015,"4 1 5 1 1 12 31111 6 M59 19000 000000 00000 00000 00051 015 1142000 2024 00000000 001 0000001*")</f>
        <v>0</v>
      </c>
      <c r="G1894" s="35">
        <f>SUMIFS(G1895:G9015,K1895:K9015,"0",B1895:B9015,"4 1 5 1 1 12 31111 6 M59 19000 000000 00000 00000 00051 015 1142000 2024 00000000 001 0000001*")</f>
        <v>117.46</v>
      </c>
      <c r="H1894" s="35"/>
      <c r="I1894" s="35">
        <f t="shared" si="29"/>
        <v>117.46</v>
      </c>
      <c r="K1894" t="s">
        <v>15</v>
      </c>
    </row>
    <row r="1895" spans="2:11" ht="41.25" x14ac:dyDescent="0.2">
      <c r="B1895" s="31" t="s">
        <v>2698</v>
      </c>
      <c r="C1895" s="31" t="s">
        <v>2699</v>
      </c>
      <c r="D1895" s="34"/>
      <c r="E1895" s="34">
        <v>0</v>
      </c>
      <c r="F1895" s="34">
        <v>0</v>
      </c>
      <c r="G1895" s="34">
        <v>117.46</v>
      </c>
      <c r="H1895" s="34"/>
      <c r="I1895" s="34">
        <f t="shared" si="29"/>
        <v>117.46</v>
      </c>
      <c r="K1895" t="s">
        <v>38</v>
      </c>
    </row>
    <row r="1896" spans="2:11" ht="24.75" x14ac:dyDescent="0.2">
      <c r="B1896" s="33" t="s">
        <v>2700</v>
      </c>
      <c r="C1896" s="33" t="s">
        <v>656</v>
      </c>
      <c r="D1896"/>
      <c r="E1896" s="35">
        <f>SUMIFS(E1897:E9015,K1897:K9015,"0",B1897:B9015,"4 1 5 1 1 12 31111 6 M59 19000 000000 00000 00000 00051 025*")-SUMIFS(D1897:D9015,K1897:K9015,"0",B1897:B9015,"4 1 5 1 1 12 31111 6 M59 19000 000000 00000 00000 00051 025*")</f>
        <v>0</v>
      </c>
      <c r="F1896" s="35">
        <f>SUMIFS(F1897:F9015,K1897:K9015,"0",B1897:B9015,"4 1 5 1 1 12 31111 6 M59 19000 000000 00000 00000 00051 025*")</f>
        <v>0</v>
      </c>
      <c r="G1896" s="35">
        <f>SUMIFS(G1897:G9015,K1897:K9015,"0",B1897:B9015,"4 1 5 1 1 12 31111 6 M59 19000 000000 00000 00000 00051 025*")</f>
        <v>112739.36</v>
      </c>
      <c r="H1896" s="35"/>
      <c r="I1896" s="35">
        <f t="shared" si="29"/>
        <v>112739.36</v>
      </c>
      <c r="K1896" t="s">
        <v>15</v>
      </c>
    </row>
    <row r="1897" spans="2:11" ht="33" x14ac:dyDescent="0.2">
      <c r="B1897" s="33" t="s">
        <v>2701</v>
      </c>
      <c r="C1897" s="33" t="s">
        <v>2692</v>
      </c>
      <c r="D1897"/>
      <c r="E1897" s="35">
        <f>SUMIFS(E1898:E9015,K1898:K9015,"0",B1898:B9015,"4 1 5 1 1 12 31111 6 M59 19000 000000 00000 00000 00051 025 1142000*")-SUMIFS(D1898:D9015,K1898:K9015,"0",B1898:B9015,"4 1 5 1 1 12 31111 6 M59 19000 000000 00000 00000 00051 025 1142000*")</f>
        <v>0</v>
      </c>
      <c r="F1897" s="35">
        <f>SUMIFS(F1898:F9015,K1898:K9015,"0",B1898:B9015,"4 1 5 1 1 12 31111 6 M59 19000 000000 00000 00000 00051 025 1142000*")</f>
        <v>0</v>
      </c>
      <c r="G1897" s="35">
        <f>SUMIFS(G1898:G9015,K1898:K9015,"0",B1898:B9015,"4 1 5 1 1 12 31111 6 M59 19000 000000 00000 00000 00051 025 1142000*")</f>
        <v>13610.15</v>
      </c>
      <c r="H1897" s="35"/>
      <c r="I1897" s="35">
        <f t="shared" si="29"/>
        <v>13610.15</v>
      </c>
      <c r="K1897" t="s">
        <v>15</v>
      </c>
    </row>
    <row r="1898" spans="2:11" ht="33" x14ac:dyDescent="0.2">
      <c r="B1898" s="33" t="s">
        <v>2702</v>
      </c>
      <c r="C1898" s="33" t="s">
        <v>660</v>
      </c>
      <c r="D1898"/>
      <c r="E1898" s="35">
        <f>SUMIFS(E1899:E9015,K1899:K9015,"0",B1899:B9015,"4 1 5 1 1 12 31111 6 M59 19000 000000 00000 00000 00051 025 1142000 2024*")-SUMIFS(D1899:D9015,K1899:K9015,"0",B1899:B9015,"4 1 5 1 1 12 31111 6 M59 19000 000000 00000 00000 00051 025 1142000 2024*")</f>
        <v>0</v>
      </c>
      <c r="F1898" s="35">
        <f>SUMIFS(F1899:F9015,K1899:K9015,"0",B1899:B9015,"4 1 5 1 1 12 31111 6 M59 19000 000000 00000 00000 00051 025 1142000 2024*")</f>
        <v>0</v>
      </c>
      <c r="G1898" s="35">
        <f>SUMIFS(G1899:G9015,K1899:K9015,"0",B1899:B9015,"4 1 5 1 1 12 31111 6 M59 19000 000000 00000 00000 00051 025 1142000 2024*")</f>
        <v>13610.15</v>
      </c>
      <c r="H1898" s="35"/>
      <c r="I1898" s="35">
        <f t="shared" si="29"/>
        <v>13610.15</v>
      </c>
      <c r="K1898" t="s">
        <v>15</v>
      </c>
    </row>
    <row r="1899" spans="2:11" ht="41.25" x14ac:dyDescent="0.2">
      <c r="B1899" s="33" t="s">
        <v>2703</v>
      </c>
      <c r="C1899" s="33" t="s">
        <v>2298</v>
      </c>
      <c r="D1899"/>
      <c r="E1899" s="35">
        <f>SUMIFS(E1900:E9015,K1900:K9015,"0",B1900:B9015,"4 1 5 1 1 12 31111 6 M59 19000 000000 00000 00000 00051 025 1142000 2024 00000000*")-SUMIFS(D1900:D9015,K1900:K9015,"0",B1900:B9015,"4 1 5 1 1 12 31111 6 M59 19000 000000 00000 00000 00051 025 1142000 2024 00000000*")</f>
        <v>0</v>
      </c>
      <c r="F1899" s="35">
        <f>SUMIFS(F1900:F9015,K1900:K9015,"0",B1900:B9015,"4 1 5 1 1 12 31111 6 M59 19000 000000 00000 00000 00051 025 1142000 2024 00000000*")</f>
        <v>0</v>
      </c>
      <c r="G1899" s="35">
        <f>SUMIFS(G1900:G9015,K1900:K9015,"0",B1900:B9015,"4 1 5 1 1 12 31111 6 M59 19000 000000 00000 00000 00051 025 1142000 2024 00000000*")</f>
        <v>13610.15</v>
      </c>
      <c r="H1899" s="35"/>
      <c r="I1899" s="35">
        <f t="shared" si="29"/>
        <v>13610.15</v>
      </c>
      <c r="K1899" t="s">
        <v>15</v>
      </c>
    </row>
    <row r="1900" spans="2:11" ht="41.25" x14ac:dyDescent="0.2">
      <c r="B1900" s="33" t="s">
        <v>2704</v>
      </c>
      <c r="C1900" s="33" t="s">
        <v>664</v>
      </c>
      <c r="D1900"/>
      <c r="E1900" s="35">
        <f>SUMIFS(E1901:E9015,K1901:K9015,"0",B1901:B9015,"4 1 5 1 1 12 31111 6 M59 19000 000000 00000 00000 00051 025 1142000 2024 00000000 003*")-SUMIFS(D1901:D9015,K1901:K9015,"0",B1901:B9015,"4 1 5 1 1 12 31111 6 M59 19000 000000 00000 00000 00051 025 1142000 2024 00000000 003*")</f>
        <v>0</v>
      </c>
      <c r="F1900" s="35">
        <f>SUMIFS(F1901:F9015,K1901:K9015,"0",B1901:B9015,"4 1 5 1 1 12 31111 6 M59 19000 000000 00000 00000 00051 025 1142000 2024 00000000 003*")</f>
        <v>0</v>
      </c>
      <c r="G1900" s="35">
        <f>SUMIFS(G1901:G9015,K1901:K9015,"0",B1901:B9015,"4 1 5 1 1 12 31111 6 M59 19000 000000 00000 00000 00051 025 1142000 2024 00000000 003*")</f>
        <v>13610.15</v>
      </c>
      <c r="H1900" s="35"/>
      <c r="I1900" s="35">
        <f t="shared" si="29"/>
        <v>13610.15</v>
      </c>
      <c r="K1900" t="s">
        <v>15</v>
      </c>
    </row>
    <row r="1901" spans="2:11" ht="49.5" x14ac:dyDescent="0.2">
      <c r="B1901" s="33" t="s">
        <v>2705</v>
      </c>
      <c r="C1901" s="33" t="s">
        <v>2697</v>
      </c>
      <c r="D1901"/>
      <c r="E1901" s="35">
        <f>SUMIFS(E1902:E9015,K1902:K9015,"0",B1902:B9015,"4 1 5 1 1 12 31111 6 M59 19000 000000 00000 00000 00051 025 1142000 2024 00000000 003 0000001*")-SUMIFS(D1902:D9015,K1902:K9015,"0",B1902:B9015,"4 1 5 1 1 12 31111 6 M59 19000 000000 00000 00000 00051 025 1142000 2024 00000000 003 0000001*")</f>
        <v>0</v>
      </c>
      <c r="F1901" s="35">
        <f>SUMIFS(F1902:F9015,K1902:K9015,"0",B1902:B9015,"4 1 5 1 1 12 31111 6 M59 19000 000000 00000 00000 00051 025 1142000 2024 00000000 003 0000001*")</f>
        <v>0</v>
      </c>
      <c r="G1901" s="35">
        <f>SUMIFS(G1902:G9015,K1902:K9015,"0",B1902:B9015,"4 1 5 1 1 12 31111 6 M59 19000 000000 00000 00000 00051 025 1142000 2024 00000000 003 0000001*")</f>
        <v>13610.15</v>
      </c>
      <c r="H1901" s="35"/>
      <c r="I1901" s="35">
        <f t="shared" si="29"/>
        <v>13610.15</v>
      </c>
      <c r="K1901" t="s">
        <v>15</v>
      </c>
    </row>
    <row r="1902" spans="2:11" ht="41.25" x14ac:dyDescent="0.2">
      <c r="B1902" s="31" t="s">
        <v>2706</v>
      </c>
      <c r="C1902" s="31" t="s">
        <v>2699</v>
      </c>
      <c r="D1902" s="34"/>
      <c r="E1902" s="34">
        <v>0</v>
      </c>
      <c r="F1902" s="34">
        <v>0</v>
      </c>
      <c r="G1902" s="34">
        <v>13610.15</v>
      </c>
      <c r="H1902" s="34"/>
      <c r="I1902" s="34">
        <f t="shared" si="29"/>
        <v>13610.15</v>
      </c>
      <c r="K1902" t="s">
        <v>38</v>
      </c>
    </row>
    <row r="1903" spans="2:11" ht="33" x14ac:dyDescent="0.2">
      <c r="B1903" s="33" t="s">
        <v>2707</v>
      </c>
      <c r="C1903" s="33" t="s">
        <v>2708</v>
      </c>
      <c r="D1903"/>
      <c r="E1903" s="35">
        <f>SUMIFS(E1904:E9015,K1904:K9015,"0",B1904:B9015,"4 1 5 1 1 12 31111 6 M59 19000 000000 00000 00000 00051 025 1182300*")-SUMIFS(D1904:D9015,K1904:K9015,"0",B1904:B9015,"4 1 5 1 1 12 31111 6 M59 19000 000000 00000 00000 00051 025 1182300*")</f>
        <v>0</v>
      </c>
      <c r="F1903" s="35">
        <f>SUMIFS(F1904:F9015,K1904:K9015,"0",B1904:B9015,"4 1 5 1 1 12 31111 6 M59 19000 000000 00000 00000 00051 025 1182300*")</f>
        <v>0</v>
      </c>
      <c r="G1903" s="35">
        <f>SUMIFS(G1904:G9015,K1904:K9015,"0",B1904:B9015,"4 1 5 1 1 12 31111 6 M59 19000 000000 00000 00000 00051 025 1182300*")</f>
        <v>99129.21</v>
      </c>
      <c r="H1903" s="35"/>
      <c r="I1903" s="35">
        <f t="shared" ref="I1903:I1966" si="30">E1903 - F1903 + G1903</f>
        <v>99129.21</v>
      </c>
      <c r="K1903" t="s">
        <v>15</v>
      </c>
    </row>
    <row r="1904" spans="2:11" ht="33" x14ac:dyDescent="0.2">
      <c r="B1904" s="33" t="s">
        <v>2709</v>
      </c>
      <c r="C1904" s="33" t="s">
        <v>660</v>
      </c>
      <c r="D1904"/>
      <c r="E1904" s="35">
        <f>SUMIFS(E1905:E9015,K1905:K9015,"0",B1905:B9015,"4 1 5 1 1 12 31111 6 M59 19000 000000 00000 00000 00051 025 1182300 2024*")-SUMIFS(D1905:D9015,K1905:K9015,"0",B1905:B9015,"4 1 5 1 1 12 31111 6 M59 19000 000000 00000 00000 00051 025 1182300 2024*")</f>
        <v>0</v>
      </c>
      <c r="F1904" s="35">
        <f>SUMIFS(F1905:F9015,K1905:K9015,"0",B1905:B9015,"4 1 5 1 1 12 31111 6 M59 19000 000000 00000 00000 00051 025 1182300 2024*")</f>
        <v>0</v>
      </c>
      <c r="G1904" s="35">
        <f>SUMIFS(G1905:G9015,K1905:K9015,"0",B1905:B9015,"4 1 5 1 1 12 31111 6 M59 19000 000000 00000 00000 00051 025 1182300 2024*")</f>
        <v>99129.21</v>
      </c>
      <c r="H1904" s="35"/>
      <c r="I1904" s="35">
        <f t="shared" si="30"/>
        <v>99129.21</v>
      </c>
      <c r="K1904" t="s">
        <v>15</v>
      </c>
    </row>
    <row r="1905" spans="2:11" ht="41.25" x14ac:dyDescent="0.2">
      <c r="B1905" s="33" t="s">
        <v>2710</v>
      </c>
      <c r="C1905" s="33" t="s">
        <v>2298</v>
      </c>
      <c r="D1905"/>
      <c r="E1905" s="35">
        <f>SUMIFS(E1906:E9015,K1906:K9015,"0",B1906:B9015,"4 1 5 1 1 12 31111 6 M59 19000 000000 00000 00000 00051 025 1182300 2024 00000000*")-SUMIFS(D1906:D9015,K1906:K9015,"0",B1906:B9015,"4 1 5 1 1 12 31111 6 M59 19000 000000 00000 00000 00051 025 1182300 2024 00000000*")</f>
        <v>0</v>
      </c>
      <c r="F1905" s="35">
        <f>SUMIFS(F1906:F9015,K1906:K9015,"0",B1906:B9015,"4 1 5 1 1 12 31111 6 M59 19000 000000 00000 00000 00051 025 1182300 2024 00000000*")</f>
        <v>0</v>
      </c>
      <c r="G1905" s="35">
        <f>SUMIFS(G1906:G9015,K1906:K9015,"0",B1906:B9015,"4 1 5 1 1 12 31111 6 M59 19000 000000 00000 00000 00051 025 1182300 2024 00000000*")</f>
        <v>99129.21</v>
      </c>
      <c r="H1905" s="35"/>
      <c r="I1905" s="35">
        <f t="shared" si="30"/>
        <v>99129.21</v>
      </c>
      <c r="K1905" t="s">
        <v>15</v>
      </c>
    </row>
    <row r="1906" spans="2:11" ht="41.25" x14ac:dyDescent="0.2">
      <c r="B1906" s="33" t="s">
        <v>2711</v>
      </c>
      <c r="C1906" s="33" t="s">
        <v>2712</v>
      </c>
      <c r="D1906"/>
      <c r="E1906" s="35">
        <f>SUMIFS(E1907:E9015,K1907:K9015,"0",B1907:B9015,"4 1 5 1 1 12 31111 6 M59 19000 000000 00000 00000 00051 025 1182300 2024 00000000 002*")-SUMIFS(D1907:D9015,K1907:K9015,"0",B1907:B9015,"4 1 5 1 1 12 31111 6 M59 19000 000000 00000 00000 00051 025 1182300 2024 00000000 002*")</f>
        <v>0</v>
      </c>
      <c r="F1906" s="35">
        <f>SUMIFS(F1907:F9015,K1907:K9015,"0",B1907:B9015,"4 1 5 1 1 12 31111 6 M59 19000 000000 00000 00000 00051 025 1182300 2024 00000000 002*")</f>
        <v>0</v>
      </c>
      <c r="G1906" s="35">
        <f>SUMIFS(G1907:G9015,K1907:K9015,"0",B1907:B9015,"4 1 5 1 1 12 31111 6 M59 19000 000000 00000 00000 00051 025 1182300 2024 00000000 002*")</f>
        <v>99129.21</v>
      </c>
      <c r="H1906" s="35"/>
      <c r="I1906" s="35">
        <f t="shared" si="30"/>
        <v>99129.21</v>
      </c>
      <c r="K1906" t="s">
        <v>15</v>
      </c>
    </row>
    <row r="1907" spans="2:11" ht="49.5" x14ac:dyDescent="0.2">
      <c r="B1907" s="33" t="s">
        <v>2713</v>
      </c>
      <c r="C1907" s="33" t="s">
        <v>2697</v>
      </c>
      <c r="D1907"/>
      <c r="E1907" s="35">
        <f>SUMIFS(E1908:E9015,K1908:K9015,"0",B1908:B9015,"4 1 5 1 1 12 31111 6 M59 19000 000000 00000 00000 00051 025 1182300 2024 00000000 002 0000001*")-SUMIFS(D1908:D9015,K1908:K9015,"0",B1908:B9015,"4 1 5 1 1 12 31111 6 M59 19000 000000 00000 00000 00051 025 1182300 2024 00000000 002 0000001*")</f>
        <v>0</v>
      </c>
      <c r="F1907" s="35">
        <f>SUMIFS(F1908:F9015,K1908:K9015,"0",B1908:B9015,"4 1 5 1 1 12 31111 6 M59 19000 000000 00000 00000 00051 025 1182300 2024 00000000 002 0000001*")</f>
        <v>0</v>
      </c>
      <c r="G1907" s="35">
        <f>SUMIFS(G1908:G9015,K1908:K9015,"0",B1908:B9015,"4 1 5 1 1 12 31111 6 M59 19000 000000 00000 00000 00051 025 1182300 2024 00000000 002 0000001*")</f>
        <v>99129.21</v>
      </c>
      <c r="H1907" s="35"/>
      <c r="I1907" s="35">
        <f t="shared" si="30"/>
        <v>99129.21</v>
      </c>
      <c r="K1907" t="s">
        <v>15</v>
      </c>
    </row>
    <row r="1908" spans="2:11" ht="41.25" x14ac:dyDescent="0.2">
      <c r="B1908" s="31" t="s">
        <v>2714</v>
      </c>
      <c r="C1908" s="31" t="s">
        <v>2699</v>
      </c>
      <c r="D1908" s="34"/>
      <c r="E1908" s="34">
        <v>0</v>
      </c>
      <c r="F1908" s="34">
        <v>0</v>
      </c>
      <c r="G1908" s="34">
        <v>99129.21</v>
      </c>
      <c r="H1908" s="34"/>
      <c r="I1908" s="34">
        <f t="shared" si="30"/>
        <v>99129.21</v>
      </c>
      <c r="K1908" t="s">
        <v>38</v>
      </c>
    </row>
    <row r="1909" spans="2:11" ht="57.75" x14ac:dyDescent="0.2">
      <c r="B1909" s="33" t="s">
        <v>2715</v>
      </c>
      <c r="C1909" s="33" t="s">
        <v>2716</v>
      </c>
      <c r="D1909"/>
      <c r="E1909" s="35">
        <f>SUMIFS(E1910:E9015,K1910:K9015,"0",B1910:B9015,"4 1 5 4*")-SUMIFS(D1910:D9015,K1910:K9015,"0",B1910:B9015,"4 1 5 4*")</f>
        <v>0</v>
      </c>
      <c r="F1909" s="35">
        <f>SUMIFS(F1910:F9015,K1910:K9015,"0",B1910:B9015,"4 1 5 4*")</f>
        <v>0</v>
      </c>
      <c r="G1909" s="35">
        <f>SUMIFS(G1910:G9015,K1910:K9015,"0",B1910:B9015,"4 1 5 4*")</f>
        <v>4.05</v>
      </c>
      <c r="H1909" s="35"/>
      <c r="I1909" s="35">
        <f t="shared" si="30"/>
        <v>4.05</v>
      </c>
      <c r="K1909" t="s">
        <v>15</v>
      </c>
    </row>
    <row r="1910" spans="2:11" ht="57.75" x14ac:dyDescent="0.2">
      <c r="B1910" s="33" t="s">
        <v>2717</v>
      </c>
      <c r="C1910" s="33" t="s">
        <v>2716</v>
      </c>
      <c r="D1910"/>
      <c r="E1910" s="35">
        <f>SUMIFS(E1911:E9015,K1911:K9015,"0",B1911:B9015,"4 1 5 4 1*")-SUMIFS(D1911:D9015,K1911:K9015,"0",B1911:B9015,"4 1 5 4 1*")</f>
        <v>0</v>
      </c>
      <c r="F1910" s="35">
        <f>SUMIFS(F1911:F9015,K1911:K9015,"0",B1911:B9015,"4 1 5 4 1*")</f>
        <v>0</v>
      </c>
      <c r="G1910" s="35">
        <f>SUMIFS(G1911:G9015,K1911:K9015,"0",B1911:B9015,"4 1 5 4 1*")</f>
        <v>4.05</v>
      </c>
      <c r="H1910" s="35"/>
      <c r="I1910" s="35">
        <f t="shared" si="30"/>
        <v>4.05</v>
      </c>
      <c r="K1910" t="s">
        <v>15</v>
      </c>
    </row>
    <row r="1911" spans="2:11" ht="12.75" x14ac:dyDescent="0.2">
      <c r="B1911" s="33" t="s">
        <v>2718</v>
      </c>
      <c r="C1911" s="33" t="s">
        <v>26</v>
      </c>
      <c r="D1911"/>
      <c r="E1911" s="35">
        <f>SUMIFS(E1912:E9015,K1912:K9015,"0",B1912:B9015,"4 1 5 4 1 12*")-SUMIFS(D1912:D9015,K1912:K9015,"0",B1912:B9015,"4 1 5 4 1 12*")</f>
        <v>0</v>
      </c>
      <c r="F1911" s="35">
        <f>SUMIFS(F1912:F9015,K1912:K9015,"0",B1912:B9015,"4 1 5 4 1 12*")</f>
        <v>0</v>
      </c>
      <c r="G1911" s="35">
        <f>SUMIFS(G1912:G9015,K1912:K9015,"0",B1912:B9015,"4 1 5 4 1 12*")</f>
        <v>4.05</v>
      </c>
      <c r="H1911" s="35"/>
      <c r="I1911" s="35">
        <f t="shared" si="30"/>
        <v>4.05</v>
      </c>
      <c r="K1911" t="s">
        <v>15</v>
      </c>
    </row>
    <row r="1912" spans="2:11" ht="16.5" x14ac:dyDescent="0.2">
      <c r="B1912" s="33" t="s">
        <v>2719</v>
      </c>
      <c r="C1912" s="33" t="s">
        <v>28</v>
      </c>
      <c r="D1912"/>
      <c r="E1912" s="35">
        <f>SUMIFS(E1913:E9015,K1913:K9015,"0",B1913:B9015,"4 1 5 4 1 12 31111*")-SUMIFS(D1913:D9015,K1913:K9015,"0",B1913:B9015,"4 1 5 4 1 12 31111*")</f>
        <v>0</v>
      </c>
      <c r="F1912" s="35">
        <f>SUMIFS(F1913:F9015,K1913:K9015,"0",B1913:B9015,"4 1 5 4 1 12 31111*")</f>
        <v>0</v>
      </c>
      <c r="G1912" s="35">
        <f>SUMIFS(G1913:G9015,K1913:K9015,"0",B1913:B9015,"4 1 5 4 1 12 31111*")</f>
        <v>4.05</v>
      </c>
      <c r="H1912" s="35"/>
      <c r="I1912" s="35">
        <f t="shared" si="30"/>
        <v>4.05</v>
      </c>
      <c r="K1912" t="s">
        <v>15</v>
      </c>
    </row>
    <row r="1913" spans="2:11" ht="12.75" x14ac:dyDescent="0.2">
      <c r="B1913" s="33" t="s">
        <v>2720</v>
      </c>
      <c r="C1913" s="33" t="s">
        <v>30</v>
      </c>
      <c r="D1913"/>
      <c r="E1913" s="35">
        <f>SUMIFS(E1914:E9015,K1914:K9015,"0",B1914:B9015,"4 1 5 4 1 12 31111 6*")-SUMIFS(D1914:D9015,K1914:K9015,"0",B1914:B9015,"4 1 5 4 1 12 31111 6*")</f>
        <v>0</v>
      </c>
      <c r="F1913" s="35">
        <f>SUMIFS(F1914:F9015,K1914:K9015,"0",B1914:B9015,"4 1 5 4 1 12 31111 6*")</f>
        <v>0</v>
      </c>
      <c r="G1913" s="35">
        <f>SUMIFS(G1914:G9015,K1914:K9015,"0",B1914:B9015,"4 1 5 4 1 12 31111 6*")</f>
        <v>4.05</v>
      </c>
      <c r="H1913" s="35"/>
      <c r="I1913" s="35">
        <f t="shared" si="30"/>
        <v>4.05</v>
      </c>
      <c r="K1913" t="s">
        <v>15</v>
      </c>
    </row>
    <row r="1914" spans="2:11" ht="16.5" x14ac:dyDescent="0.2">
      <c r="B1914" s="33" t="s">
        <v>2721</v>
      </c>
      <c r="C1914" s="33" t="s">
        <v>2284</v>
      </c>
      <c r="D1914"/>
      <c r="E1914" s="35">
        <f>SUMIFS(E1915:E9015,K1915:K9015,"0",B1915:B9015,"4 1 5 4 1 12 31111 6 M59*")-SUMIFS(D1915:D9015,K1915:K9015,"0",B1915:B9015,"4 1 5 4 1 12 31111 6 M59*")</f>
        <v>0</v>
      </c>
      <c r="F1914" s="35">
        <f>SUMIFS(F1915:F9015,K1915:K9015,"0",B1915:B9015,"4 1 5 4 1 12 31111 6 M59*")</f>
        <v>0</v>
      </c>
      <c r="G1914" s="35">
        <f>SUMIFS(G1915:G9015,K1915:K9015,"0",B1915:B9015,"4 1 5 4 1 12 31111 6 M59*")</f>
        <v>4.05</v>
      </c>
      <c r="H1914" s="35"/>
      <c r="I1914" s="35">
        <f t="shared" si="30"/>
        <v>4.05</v>
      </c>
      <c r="K1914" t="s">
        <v>15</v>
      </c>
    </row>
    <row r="1915" spans="2:11" ht="16.5" x14ac:dyDescent="0.2">
      <c r="B1915" s="33" t="s">
        <v>2722</v>
      </c>
      <c r="C1915" s="33" t="s">
        <v>1044</v>
      </c>
      <c r="D1915"/>
      <c r="E1915" s="35">
        <f>SUMIFS(E1916:E9015,K1916:K9015,"0",B1916:B9015,"4 1 5 4 1 12 31111 6 M59 19000*")-SUMIFS(D1916:D9015,K1916:K9015,"0",B1916:B9015,"4 1 5 4 1 12 31111 6 M59 19000*")</f>
        <v>0</v>
      </c>
      <c r="F1915" s="35">
        <f>SUMIFS(F1916:F9015,K1916:K9015,"0",B1916:B9015,"4 1 5 4 1 12 31111 6 M59 19000*")</f>
        <v>0</v>
      </c>
      <c r="G1915" s="35">
        <f>SUMIFS(G1916:G9015,K1916:K9015,"0",B1916:B9015,"4 1 5 4 1 12 31111 6 M59 19000*")</f>
        <v>4.05</v>
      </c>
      <c r="H1915" s="35"/>
      <c r="I1915" s="35">
        <f t="shared" si="30"/>
        <v>4.05</v>
      </c>
      <c r="K1915" t="s">
        <v>15</v>
      </c>
    </row>
    <row r="1916" spans="2:11" ht="16.5" x14ac:dyDescent="0.2">
      <c r="B1916" s="33" t="s">
        <v>2723</v>
      </c>
      <c r="C1916" s="33" t="s">
        <v>2287</v>
      </c>
      <c r="D1916"/>
      <c r="E1916" s="35">
        <f>SUMIFS(E1917:E9015,K1917:K9015,"0",B1917:B9015,"4 1 5 4 1 12 31111 6 M59 19000 000000*")-SUMIFS(D1917:D9015,K1917:K9015,"0",B1917:B9015,"4 1 5 4 1 12 31111 6 M59 19000 000000*")</f>
        <v>0</v>
      </c>
      <c r="F1916" s="35">
        <f>SUMIFS(F1917:F9015,K1917:K9015,"0",B1917:B9015,"4 1 5 4 1 12 31111 6 M59 19000 000000*")</f>
        <v>0</v>
      </c>
      <c r="G1916" s="35">
        <f>SUMIFS(G1917:G9015,K1917:K9015,"0",B1917:B9015,"4 1 5 4 1 12 31111 6 M59 19000 000000*")</f>
        <v>4.05</v>
      </c>
      <c r="H1916" s="35"/>
      <c r="I1916" s="35">
        <f t="shared" si="30"/>
        <v>4.05</v>
      </c>
      <c r="K1916" t="s">
        <v>15</v>
      </c>
    </row>
    <row r="1917" spans="2:11" ht="24.75" x14ac:dyDescent="0.2">
      <c r="B1917" s="33" t="s">
        <v>2724</v>
      </c>
      <c r="C1917" s="33" t="s">
        <v>2289</v>
      </c>
      <c r="D1917"/>
      <c r="E1917" s="35">
        <f>SUMIFS(E1918:E9015,K1918:K9015,"0",B1918:B9015,"4 1 5 4 1 12 31111 6 M59 19000 000000 00000*")-SUMIFS(D1918:D9015,K1918:K9015,"0",B1918:B9015,"4 1 5 4 1 12 31111 6 M59 19000 000000 00000*")</f>
        <v>0</v>
      </c>
      <c r="F1917" s="35">
        <f>SUMIFS(F1918:F9015,K1918:K9015,"0",B1918:B9015,"4 1 5 4 1 12 31111 6 M59 19000 000000 00000*")</f>
        <v>0</v>
      </c>
      <c r="G1917" s="35">
        <f>SUMIFS(G1918:G9015,K1918:K9015,"0",B1918:B9015,"4 1 5 4 1 12 31111 6 M59 19000 000000 00000*")</f>
        <v>4.05</v>
      </c>
      <c r="H1917" s="35"/>
      <c r="I1917" s="35">
        <f t="shared" si="30"/>
        <v>4.05</v>
      </c>
      <c r="K1917" t="s">
        <v>15</v>
      </c>
    </row>
    <row r="1918" spans="2:11" ht="24.75" x14ac:dyDescent="0.2">
      <c r="B1918" s="33" t="s">
        <v>2725</v>
      </c>
      <c r="C1918" s="33" t="s">
        <v>2291</v>
      </c>
      <c r="D1918"/>
      <c r="E1918" s="35">
        <f>SUMIFS(E1919:E9015,K1919:K9015,"0",B1919:B9015,"4 1 5 4 1 12 31111 6 M59 19000 000000 00000 00000*")-SUMIFS(D1919:D9015,K1919:K9015,"0",B1919:B9015,"4 1 5 4 1 12 31111 6 M59 19000 000000 00000 00000*")</f>
        <v>0</v>
      </c>
      <c r="F1918" s="35">
        <f>SUMIFS(F1919:F9015,K1919:K9015,"0",B1919:B9015,"4 1 5 4 1 12 31111 6 M59 19000 000000 00000 00000*")</f>
        <v>0</v>
      </c>
      <c r="G1918" s="35">
        <f>SUMIFS(G1919:G9015,K1919:K9015,"0",B1919:B9015,"4 1 5 4 1 12 31111 6 M59 19000 000000 00000 00000*")</f>
        <v>4.05</v>
      </c>
      <c r="H1918" s="35"/>
      <c r="I1918" s="35">
        <f t="shared" si="30"/>
        <v>4.05</v>
      </c>
      <c r="K1918" t="s">
        <v>15</v>
      </c>
    </row>
    <row r="1919" spans="2:11" ht="57.75" x14ac:dyDescent="0.2">
      <c r="B1919" s="33" t="s">
        <v>2726</v>
      </c>
      <c r="C1919" s="33" t="s">
        <v>2727</v>
      </c>
      <c r="D1919"/>
      <c r="E1919" s="35">
        <f>SUMIFS(E1920:E9015,K1920:K9015,"0",B1920:B9015,"4 1 5 4 1 12 31111 6 M59 19000 000000 00000 00000 00059*")-SUMIFS(D1920:D9015,K1920:K9015,"0",B1920:B9015,"4 1 5 4 1 12 31111 6 M59 19000 000000 00000 00000 00059*")</f>
        <v>0</v>
      </c>
      <c r="F1919" s="35">
        <f>SUMIFS(F1920:F9015,K1920:K9015,"0",B1920:B9015,"4 1 5 4 1 12 31111 6 M59 19000 000000 00000 00000 00059*")</f>
        <v>0</v>
      </c>
      <c r="G1919" s="35">
        <f>SUMIFS(G1920:G9015,K1920:K9015,"0",B1920:B9015,"4 1 5 4 1 12 31111 6 M59 19000 000000 00000 00000 00059*")</f>
        <v>4.05</v>
      </c>
      <c r="H1919" s="35"/>
      <c r="I1919" s="35">
        <f t="shared" si="30"/>
        <v>4.05</v>
      </c>
      <c r="K1919" t="s">
        <v>15</v>
      </c>
    </row>
    <row r="1920" spans="2:11" ht="33" x14ac:dyDescent="0.2">
      <c r="B1920" s="33" t="s">
        <v>2728</v>
      </c>
      <c r="C1920" s="33" t="s">
        <v>1051</v>
      </c>
      <c r="D1920"/>
      <c r="E1920" s="35">
        <f>SUMIFS(E1921:E9015,K1921:K9015,"0",B1921:B9015,"4 1 5 4 1 12 31111 6 M59 19000 000000 00000 00000 00059 015*")-SUMIFS(D1921:D9015,K1921:K9015,"0",B1921:B9015,"4 1 5 4 1 12 31111 6 M59 19000 000000 00000 00000 00059 015*")</f>
        <v>0</v>
      </c>
      <c r="F1920" s="35">
        <f>SUMIFS(F1921:F9015,K1921:K9015,"0",B1921:B9015,"4 1 5 4 1 12 31111 6 M59 19000 000000 00000 00000 00059 015*")</f>
        <v>0</v>
      </c>
      <c r="G1920" s="35">
        <f>SUMIFS(G1921:G9015,K1921:K9015,"0",B1921:B9015,"4 1 5 4 1 12 31111 6 M59 19000 000000 00000 00000 00059 015*")</f>
        <v>4.05</v>
      </c>
      <c r="H1920" s="35"/>
      <c r="I1920" s="35">
        <f t="shared" si="30"/>
        <v>4.05</v>
      </c>
      <c r="K1920" t="s">
        <v>15</v>
      </c>
    </row>
    <row r="1921" spans="2:11" ht="33" x14ac:dyDescent="0.2">
      <c r="B1921" s="33" t="s">
        <v>2729</v>
      </c>
      <c r="C1921" s="33" t="s">
        <v>2692</v>
      </c>
      <c r="D1921"/>
      <c r="E1921" s="35">
        <f>SUMIFS(E1922:E9015,K1922:K9015,"0",B1922:B9015,"4 1 5 4 1 12 31111 6 M59 19000 000000 00000 00000 00059 015 1142000*")-SUMIFS(D1922:D9015,K1922:K9015,"0",B1922:B9015,"4 1 5 4 1 12 31111 6 M59 19000 000000 00000 00000 00059 015 1142000*")</f>
        <v>0</v>
      </c>
      <c r="F1921" s="35">
        <f>SUMIFS(F1922:F9015,K1922:K9015,"0",B1922:B9015,"4 1 5 4 1 12 31111 6 M59 19000 000000 00000 00000 00059 015 1142000*")</f>
        <v>0</v>
      </c>
      <c r="G1921" s="35">
        <f>SUMIFS(G1922:G9015,K1922:K9015,"0",B1922:B9015,"4 1 5 4 1 12 31111 6 M59 19000 000000 00000 00000 00059 015 1142000*")</f>
        <v>4.05</v>
      </c>
      <c r="H1921" s="35"/>
      <c r="I1921" s="35">
        <f t="shared" si="30"/>
        <v>4.05</v>
      </c>
      <c r="K1921" t="s">
        <v>15</v>
      </c>
    </row>
    <row r="1922" spans="2:11" ht="33" x14ac:dyDescent="0.2">
      <c r="B1922" s="33" t="s">
        <v>2730</v>
      </c>
      <c r="C1922" s="33" t="s">
        <v>660</v>
      </c>
      <c r="D1922"/>
      <c r="E1922" s="35">
        <f>SUMIFS(E1923:E9015,K1923:K9015,"0",B1923:B9015,"4 1 5 4 1 12 31111 6 M59 19000 000000 00000 00000 00059 015 1142000 2024*")-SUMIFS(D1923:D9015,K1923:K9015,"0",B1923:B9015,"4 1 5 4 1 12 31111 6 M59 19000 000000 00000 00000 00059 015 1142000 2024*")</f>
        <v>0</v>
      </c>
      <c r="F1922" s="35">
        <f>SUMIFS(F1923:F9015,K1923:K9015,"0",B1923:B9015,"4 1 5 4 1 12 31111 6 M59 19000 000000 00000 00000 00059 015 1142000 2024*")</f>
        <v>0</v>
      </c>
      <c r="G1922" s="35">
        <f>SUMIFS(G1923:G9015,K1923:K9015,"0",B1923:B9015,"4 1 5 4 1 12 31111 6 M59 19000 000000 00000 00000 00059 015 1142000 2024*")</f>
        <v>4.05</v>
      </c>
      <c r="H1922" s="35"/>
      <c r="I1922" s="35">
        <f t="shared" si="30"/>
        <v>4.05</v>
      </c>
      <c r="K1922" t="s">
        <v>15</v>
      </c>
    </row>
    <row r="1923" spans="2:11" ht="41.25" x14ac:dyDescent="0.2">
      <c r="B1923" s="33" t="s">
        <v>2731</v>
      </c>
      <c r="C1923" s="33" t="s">
        <v>2732</v>
      </c>
      <c r="D1923"/>
      <c r="E1923" s="35">
        <f>SUMIFS(E1924:E9015,K1924:K9015,"0",B1924:B9015,"4 1 5 4 1 12 31111 6 M59 19000 000000 00000 00000 00059 015 1142000 2024 00000000*")-SUMIFS(D1924:D9015,K1924:K9015,"0",B1924:B9015,"4 1 5 4 1 12 31111 6 M59 19000 000000 00000 00000 00059 015 1142000 2024 00000000*")</f>
        <v>0</v>
      </c>
      <c r="F1923" s="35">
        <f>SUMIFS(F1924:F9015,K1924:K9015,"0",B1924:B9015,"4 1 5 4 1 12 31111 6 M59 19000 000000 00000 00000 00059 015 1142000 2024 00000000*")</f>
        <v>0</v>
      </c>
      <c r="G1923" s="35">
        <f>SUMIFS(G1924:G9015,K1924:K9015,"0",B1924:B9015,"4 1 5 4 1 12 31111 6 M59 19000 000000 00000 00000 00059 015 1142000 2024 00000000*")</f>
        <v>4.05</v>
      </c>
      <c r="H1923" s="35"/>
      <c r="I1923" s="35">
        <f t="shared" si="30"/>
        <v>4.05</v>
      </c>
      <c r="K1923" t="s">
        <v>15</v>
      </c>
    </row>
    <row r="1924" spans="2:11" ht="41.25" x14ac:dyDescent="0.2">
      <c r="B1924" s="33" t="s">
        <v>2733</v>
      </c>
      <c r="C1924" s="33" t="s">
        <v>1075</v>
      </c>
      <c r="D1924"/>
      <c r="E1924" s="35">
        <f>SUMIFS(E1925:E9015,K1925:K9015,"0",B1925:B9015,"4 1 5 4 1 12 31111 6 M59 19000 000000 00000 00000 00059 015 1142000 2024 00000000 005*")-SUMIFS(D1925:D9015,K1925:K9015,"0",B1925:B9015,"4 1 5 4 1 12 31111 6 M59 19000 000000 00000 00000 00059 015 1142000 2024 00000000 005*")</f>
        <v>0</v>
      </c>
      <c r="F1924" s="35">
        <f>SUMIFS(F1925:F9015,K1925:K9015,"0",B1925:B9015,"4 1 5 4 1 12 31111 6 M59 19000 000000 00000 00000 00059 015 1142000 2024 00000000 005*")</f>
        <v>0</v>
      </c>
      <c r="G1924" s="35">
        <f>SUMIFS(G1925:G9015,K1925:K9015,"0",B1925:B9015,"4 1 5 4 1 12 31111 6 M59 19000 000000 00000 00000 00059 015 1142000 2024 00000000 005*")</f>
        <v>4.05</v>
      </c>
      <c r="H1924" s="35"/>
      <c r="I1924" s="35">
        <f t="shared" si="30"/>
        <v>4.05</v>
      </c>
      <c r="K1924" t="s">
        <v>15</v>
      </c>
    </row>
    <row r="1925" spans="2:11" ht="49.5" x14ac:dyDescent="0.2">
      <c r="B1925" s="33" t="s">
        <v>2734</v>
      </c>
      <c r="C1925" s="33" t="s">
        <v>2735</v>
      </c>
      <c r="D1925"/>
      <c r="E1925" s="35">
        <f>SUMIFS(E1926:E9015,K1926:K9015,"0",B1926:B9015,"4 1 5 4 1 12 31111 6 M59 19000 000000 00000 00000 00059 015 1142000 2024 00000000 005 0000001*")-SUMIFS(D1926:D9015,K1926:K9015,"0",B1926:B9015,"4 1 5 4 1 12 31111 6 M59 19000 000000 00000 00000 00059 015 1142000 2024 00000000 005 0000001*")</f>
        <v>0</v>
      </c>
      <c r="F1925" s="35">
        <f>SUMIFS(F1926:F9015,K1926:K9015,"0",B1926:B9015,"4 1 5 4 1 12 31111 6 M59 19000 000000 00000 00000 00059 015 1142000 2024 00000000 005 0000001*")</f>
        <v>0</v>
      </c>
      <c r="G1925" s="35">
        <f>SUMIFS(G1926:G9015,K1926:K9015,"0",B1926:B9015,"4 1 5 4 1 12 31111 6 M59 19000 000000 00000 00000 00059 015 1142000 2024 00000000 005 0000001*")</f>
        <v>4.05</v>
      </c>
      <c r="H1925" s="35"/>
      <c r="I1925" s="35">
        <f t="shared" si="30"/>
        <v>4.05</v>
      </c>
      <c r="K1925" t="s">
        <v>15</v>
      </c>
    </row>
    <row r="1926" spans="2:11" ht="41.25" x14ac:dyDescent="0.2">
      <c r="B1926" s="31" t="s">
        <v>2736</v>
      </c>
      <c r="C1926" s="31" t="s">
        <v>252</v>
      </c>
      <c r="D1926" s="34"/>
      <c r="E1926" s="34">
        <v>0</v>
      </c>
      <c r="F1926" s="34">
        <v>0</v>
      </c>
      <c r="G1926" s="34">
        <v>4.05</v>
      </c>
      <c r="H1926" s="34"/>
      <c r="I1926" s="34">
        <f t="shared" si="30"/>
        <v>4.05</v>
      </c>
      <c r="K1926" t="s">
        <v>38</v>
      </c>
    </row>
    <row r="1927" spans="2:11" ht="12.75" x14ac:dyDescent="0.2">
      <c r="B1927" s="33" t="s">
        <v>2737</v>
      </c>
      <c r="C1927" s="33" t="s">
        <v>2738</v>
      </c>
      <c r="D1927"/>
      <c r="E1927" s="35">
        <f>SUMIFS(E1928:E9015,K1928:K9015,"0",B1928:B9015,"4 1 6*")-SUMIFS(D1928:D9015,K1928:K9015,"0",B1928:B9015,"4 1 6*")</f>
        <v>0</v>
      </c>
      <c r="F1927" s="35">
        <f>SUMIFS(F1928:F9015,K1928:K9015,"0",B1928:B9015,"4 1 6*")</f>
        <v>0</v>
      </c>
      <c r="G1927" s="35">
        <f>SUMIFS(G1928:G9015,K1928:K9015,"0",B1928:B9015,"4 1 6*")</f>
        <v>3484200.3</v>
      </c>
      <c r="H1927" s="35"/>
      <c r="I1927" s="35">
        <f t="shared" si="30"/>
        <v>3484200.3</v>
      </c>
      <c r="K1927" t="s">
        <v>15</v>
      </c>
    </row>
    <row r="1928" spans="2:11" ht="12.75" x14ac:dyDescent="0.2">
      <c r="B1928" s="33" t="s">
        <v>2739</v>
      </c>
      <c r="C1928" s="33" t="s">
        <v>2740</v>
      </c>
      <c r="D1928"/>
      <c r="E1928" s="35">
        <f>SUMIFS(E1929:E9015,K1929:K9015,"0",B1929:B9015,"4 1 6 2*")-SUMIFS(D1929:D9015,K1929:K9015,"0",B1929:B9015,"4 1 6 2*")</f>
        <v>0</v>
      </c>
      <c r="F1928" s="35">
        <f>SUMIFS(F1929:F9015,K1929:K9015,"0",B1929:B9015,"4 1 6 2*")</f>
        <v>0</v>
      </c>
      <c r="G1928" s="35">
        <f>SUMIFS(G1929:G9015,K1929:K9015,"0",B1929:B9015,"4 1 6 2*")</f>
        <v>3484200.3</v>
      </c>
      <c r="H1928" s="35"/>
      <c r="I1928" s="35">
        <f t="shared" si="30"/>
        <v>3484200.3</v>
      </c>
      <c r="K1928" t="s">
        <v>15</v>
      </c>
    </row>
    <row r="1929" spans="2:11" ht="12.75" x14ac:dyDescent="0.2">
      <c r="B1929" s="33" t="s">
        <v>2741</v>
      </c>
      <c r="C1929" s="33" t="s">
        <v>2740</v>
      </c>
      <c r="D1929"/>
      <c r="E1929" s="35">
        <f>SUMIFS(E1930:E9015,K1930:K9015,"0",B1930:B9015,"4 1 6 2 1*")-SUMIFS(D1930:D9015,K1930:K9015,"0",B1930:B9015,"4 1 6 2 1*")</f>
        <v>0</v>
      </c>
      <c r="F1929" s="35">
        <f>SUMIFS(F1930:F9015,K1930:K9015,"0",B1930:B9015,"4 1 6 2 1*")</f>
        <v>0</v>
      </c>
      <c r="G1929" s="35">
        <f>SUMIFS(G1930:G9015,K1930:K9015,"0",B1930:B9015,"4 1 6 2 1*")</f>
        <v>3484200.3</v>
      </c>
      <c r="H1929" s="35"/>
      <c r="I1929" s="35">
        <f t="shared" si="30"/>
        <v>3484200.3</v>
      </c>
      <c r="K1929" t="s">
        <v>15</v>
      </c>
    </row>
    <row r="1930" spans="2:11" ht="12.75" x14ac:dyDescent="0.2">
      <c r="B1930" s="33" t="s">
        <v>2742</v>
      </c>
      <c r="C1930" s="33" t="s">
        <v>26</v>
      </c>
      <c r="D1930"/>
      <c r="E1930" s="35">
        <f>SUMIFS(E1931:E9015,K1931:K9015,"0",B1931:B9015,"4 1 6 2 1 12*")-SUMIFS(D1931:D9015,K1931:K9015,"0",B1931:B9015,"4 1 6 2 1 12*")</f>
        <v>0</v>
      </c>
      <c r="F1930" s="35">
        <f>SUMIFS(F1931:F9015,K1931:K9015,"0",B1931:B9015,"4 1 6 2 1 12*")</f>
        <v>0</v>
      </c>
      <c r="G1930" s="35">
        <f>SUMIFS(G1931:G9015,K1931:K9015,"0",B1931:B9015,"4 1 6 2 1 12*")</f>
        <v>3484200.3</v>
      </c>
      <c r="H1930" s="35"/>
      <c r="I1930" s="35">
        <f t="shared" si="30"/>
        <v>3484200.3</v>
      </c>
      <c r="K1930" t="s">
        <v>15</v>
      </c>
    </row>
    <row r="1931" spans="2:11" ht="16.5" x14ac:dyDescent="0.2">
      <c r="B1931" s="33" t="s">
        <v>2743</v>
      </c>
      <c r="C1931" s="33" t="s">
        <v>28</v>
      </c>
      <c r="D1931"/>
      <c r="E1931" s="35">
        <f>SUMIFS(E1932:E9015,K1932:K9015,"0",B1932:B9015,"4 1 6 2 1 12 31111*")-SUMIFS(D1932:D9015,K1932:K9015,"0",B1932:B9015,"4 1 6 2 1 12 31111*")</f>
        <v>0</v>
      </c>
      <c r="F1931" s="35">
        <f>SUMIFS(F1932:F9015,K1932:K9015,"0",B1932:B9015,"4 1 6 2 1 12 31111*")</f>
        <v>0</v>
      </c>
      <c r="G1931" s="35">
        <f>SUMIFS(G1932:G9015,K1932:K9015,"0",B1932:B9015,"4 1 6 2 1 12 31111*")</f>
        <v>3484200.3</v>
      </c>
      <c r="H1931" s="35"/>
      <c r="I1931" s="35">
        <f t="shared" si="30"/>
        <v>3484200.3</v>
      </c>
      <c r="K1931" t="s">
        <v>15</v>
      </c>
    </row>
    <row r="1932" spans="2:11" ht="12.75" x14ac:dyDescent="0.2">
      <c r="B1932" s="33" t="s">
        <v>2744</v>
      </c>
      <c r="C1932" s="33" t="s">
        <v>30</v>
      </c>
      <c r="D1932"/>
      <c r="E1932" s="35">
        <f>SUMIFS(E1933:E9015,K1933:K9015,"0",B1933:B9015,"4 1 6 2 1 12 31111 6*")-SUMIFS(D1933:D9015,K1933:K9015,"0",B1933:B9015,"4 1 6 2 1 12 31111 6*")</f>
        <v>0</v>
      </c>
      <c r="F1932" s="35">
        <f>SUMIFS(F1933:F9015,K1933:K9015,"0",B1933:B9015,"4 1 6 2 1 12 31111 6*")</f>
        <v>0</v>
      </c>
      <c r="G1932" s="35">
        <f>SUMIFS(G1933:G9015,K1933:K9015,"0",B1933:B9015,"4 1 6 2 1 12 31111 6*")</f>
        <v>3484200.3</v>
      </c>
      <c r="H1932" s="35"/>
      <c r="I1932" s="35">
        <f t="shared" si="30"/>
        <v>3484200.3</v>
      </c>
      <c r="K1932" t="s">
        <v>15</v>
      </c>
    </row>
    <row r="1933" spans="2:11" ht="16.5" x14ac:dyDescent="0.2">
      <c r="B1933" s="33" t="s">
        <v>2745</v>
      </c>
      <c r="C1933" s="33" t="s">
        <v>2284</v>
      </c>
      <c r="D1933"/>
      <c r="E1933" s="35">
        <f>SUMIFS(E1934:E9015,K1934:K9015,"0",B1934:B9015,"4 1 6 2 1 12 31111 6 M59*")-SUMIFS(D1934:D9015,K1934:K9015,"0",B1934:B9015,"4 1 6 2 1 12 31111 6 M59*")</f>
        <v>0</v>
      </c>
      <c r="F1933" s="35">
        <f>SUMIFS(F1934:F9015,K1934:K9015,"0",B1934:B9015,"4 1 6 2 1 12 31111 6 M59*")</f>
        <v>0</v>
      </c>
      <c r="G1933" s="35">
        <f>SUMIFS(G1934:G9015,K1934:K9015,"0",B1934:B9015,"4 1 6 2 1 12 31111 6 M59*")</f>
        <v>3484200.3</v>
      </c>
      <c r="H1933" s="35"/>
      <c r="I1933" s="35">
        <f t="shared" si="30"/>
        <v>3484200.3</v>
      </c>
      <c r="K1933" t="s">
        <v>15</v>
      </c>
    </row>
    <row r="1934" spans="2:11" ht="16.5" x14ac:dyDescent="0.2">
      <c r="B1934" s="33" t="s">
        <v>2746</v>
      </c>
      <c r="C1934" s="33" t="s">
        <v>1044</v>
      </c>
      <c r="D1934"/>
      <c r="E1934" s="35">
        <f>SUMIFS(E1935:E9015,K1935:K9015,"0",B1935:B9015,"4 1 6 2 1 12 31111 6 M59 19000*")-SUMIFS(D1935:D9015,K1935:K9015,"0",B1935:B9015,"4 1 6 2 1 12 31111 6 M59 19000*")</f>
        <v>0</v>
      </c>
      <c r="F1934" s="35">
        <f>SUMIFS(F1935:F9015,K1935:K9015,"0",B1935:B9015,"4 1 6 2 1 12 31111 6 M59 19000*")</f>
        <v>0</v>
      </c>
      <c r="G1934" s="35">
        <f>SUMIFS(G1935:G9015,K1935:K9015,"0",B1935:B9015,"4 1 6 2 1 12 31111 6 M59 19000*")</f>
        <v>3484200.3</v>
      </c>
      <c r="H1934" s="35"/>
      <c r="I1934" s="35">
        <f t="shared" si="30"/>
        <v>3484200.3</v>
      </c>
      <c r="K1934" t="s">
        <v>15</v>
      </c>
    </row>
    <row r="1935" spans="2:11" ht="16.5" x14ac:dyDescent="0.2">
      <c r="B1935" s="33" t="s">
        <v>2747</v>
      </c>
      <c r="C1935" s="33" t="s">
        <v>2287</v>
      </c>
      <c r="D1935"/>
      <c r="E1935" s="35">
        <f>SUMIFS(E1936:E9015,K1936:K9015,"0",B1936:B9015,"4 1 6 2 1 12 31111 6 M59 19000 000000*")-SUMIFS(D1936:D9015,K1936:K9015,"0",B1936:B9015,"4 1 6 2 1 12 31111 6 M59 19000 000000*")</f>
        <v>0</v>
      </c>
      <c r="F1935" s="35">
        <f>SUMIFS(F1936:F9015,K1936:K9015,"0",B1936:B9015,"4 1 6 2 1 12 31111 6 M59 19000 000000*")</f>
        <v>0</v>
      </c>
      <c r="G1935" s="35">
        <f>SUMIFS(G1936:G9015,K1936:K9015,"0",B1936:B9015,"4 1 6 2 1 12 31111 6 M59 19000 000000*")</f>
        <v>3484200.3</v>
      </c>
      <c r="H1935" s="35"/>
      <c r="I1935" s="35">
        <f t="shared" si="30"/>
        <v>3484200.3</v>
      </c>
      <c r="K1935" t="s">
        <v>15</v>
      </c>
    </row>
    <row r="1936" spans="2:11" ht="24.75" x14ac:dyDescent="0.2">
      <c r="B1936" s="33" t="s">
        <v>2748</v>
      </c>
      <c r="C1936" s="33" t="s">
        <v>2289</v>
      </c>
      <c r="D1936"/>
      <c r="E1936" s="35">
        <f>SUMIFS(E1937:E9015,K1937:K9015,"0",B1937:B9015,"4 1 6 2 1 12 31111 6 M59 19000 000000 00000*")-SUMIFS(D1937:D9015,K1937:K9015,"0",B1937:B9015,"4 1 6 2 1 12 31111 6 M59 19000 000000 00000*")</f>
        <v>0</v>
      </c>
      <c r="F1936" s="35">
        <f>SUMIFS(F1937:F9015,K1937:K9015,"0",B1937:B9015,"4 1 6 2 1 12 31111 6 M59 19000 000000 00000*")</f>
        <v>0</v>
      </c>
      <c r="G1936" s="35">
        <f>SUMIFS(G1937:G9015,K1937:K9015,"0",B1937:B9015,"4 1 6 2 1 12 31111 6 M59 19000 000000 00000*")</f>
        <v>3484200.3</v>
      </c>
      <c r="H1936" s="35"/>
      <c r="I1936" s="35">
        <f t="shared" si="30"/>
        <v>3484200.3</v>
      </c>
      <c r="K1936" t="s">
        <v>15</v>
      </c>
    </row>
    <row r="1937" spans="2:11" ht="24.75" x14ac:dyDescent="0.2">
      <c r="B1937" s="33" t="s">
        <v>2749</v>
      </c>
      <c r="C1937" s="33" t="s">
        <v>2291</v>
      </c>
      <c r="D1937"/>
      <c r="E1937" s="35">
        <f>SUMIFS(E1938:E9015,K1938:K9015,"0",B1938:B9015,"4 1 6 2 1 12 31111 6 M59 19000 000000 00000 00000*")-SUMIFS(D1938:D9015,K1938:K9015,"0",B1938:B9015,"4 1 6 2 1 12 31111 6 M59 19000 000000 00000 00000*")</f>
        <v>0</v>
      </c>
      <c r="F1937" s="35">
        <f>SUMIFS(F1938:F9015,K1938:K9015,"0",B1938:B9015,"4 1 6 2 1 12 31111 6 M59 19000 000000 00000 00000*")</f>
        <v>0</v>
      </c>
      <c r="G1937" s="35">
        <f>SUMIFS(G1938:G9015,K1938:K9015,"0",B1938:B9015,"4 1 6 2 1 12 31111 6 M59 19000 000000 00000 00000*")</f>
        <v>3484200.3</v>
      </c>
      <c r="H1937" s="35"/>
      <c r="I1937" s="35">
        <f t="shared" si="30"/>
        <v>3484200.3</v>
      </c>
      <c r="K1937" t="s">
        <v>15</v>
      </c>
    </row>
    <row r="1938" spans="2:11" ht="24.75" x14ac:dyDescent="0.2">
      <c r="B1938" s="33" t="s">
        <v>2750</v>
      </c>
      <c r="C1938" s="33" t="s">
        <v>2738</v>
      </c>
      <c r="D1938"/>
      <c r="E1938" s="35">
        <f>SUMIFS(E1939:E9015,K1939:K9015,"0",B1939:B9015,"4 1 6 2 1 12 31111 6 M59 19000 000000 00000 00000 00061*")-SUMIFS(D1939:D9015,K1939:K9015,"0",B1939:B9015,"4 1 6 2 1 12 31111 6 M59 19000 000000 00000 00000 00061*")</f>
        <v>0</v>
      </c>
      <c r="F1938" s="35">
        <f>SUMIFS(F1939:F9015,K1939:K9015,"0",B1939:B9015,"4 1 6 2 1 12 31111 6 M59 19000 000000 00000 00000 00061*")</f>
        <v>0</v>
      </c>
      <c r="G1938" s="35">
        <f>SUMIFS(G1939:G9015,K1939:K9015,"0",B1939:B9015,"4 1 6 2 1 12 31111 6 M59 19000 000000 00000 00000 00061*")</f>
        <v>3484200.3</v>
      </c>
      <c r="H1938" s="35"/>
      <c r="I1938" s="35">
        <f t="shared" si="30"/>
        <v>3484200.3</v>
      </c>
      <c r="K1938" t="s">
        <v>15</v>
      </c>
    </row>
    <row r="1939" spans="2:11" ht="33" x14ac:dyDescent="0.2">
      <c r="B1939" s="33" t="s">
        <v>2751</v>
      </c>
      <c r="C1939" s="33" t="s">
        <v>699</v>
      </c>
      <c r="D1939"/>
      <c r="E1939" s="35">
        <f>SUMIFS(E1940:E9015,K1940:K9015,"0",B1940:B9015,"4 1 6 2 1 12 31111 6 M59 19000 000000 00000 00000 00061 011*")-SUMIFS(D1940:D9015,K1940:K9015,"0",B1940:B9015,"4 1 6 2 1 12 31111 6 M59 19000 000000 00000 00000 00061 011*")</f>
        <v>0</v>
      </c>
      <c r="F1939" s="35">
        <f>SUMIFS(F1940:F9015,K1940:K9015,"0",B1940:B9015,"4 1 6 2 1 12 31111 6 M59 19000 000000 00000 00000 00061 011*")</f>
        <v>0</v>
      </c>
      <c r="G1939" s="35">
        <f>SUMIFS(G1940:G9015,K1940:K9015,"0",B1940:B9015,"4 1 6 2 1 12 31111 6 M59 19000 000000 00000 00000 00061 011*")</f>
        <v>3484200.3</v>
      </c>
      <c r="H1939" s="35"/>
      <c r="I1939" s="35">
        <f t="shared" si="30"/>
        <v>3484200.3</v>
      </c>
      <c r="K1939" t="s">
        <v>15</v>
      </c>
    </row>
    <row r="1940" spans="2:11" ht="33" x14ac:dyDescent="0.2">
      <c r="B1940" s="33" t="s">
        <v>2752</v>
      </c>
      <c r="C1940" s="33" t="s">
        <v>2320</v>
      </c>
      <c r="D1940"/>
      <c r="E1940" s="35">
        <f>SUMIFS(E1941:E9015,K1941:K9015,"0",B1941:B9015,"4 1 6 2 1 12 31111 6 M59 19000 000000 00000 00000 00061 011 1113000*")-SUMIFS(D1941:D9015,K1941:K9015,"0",B1941:B9015,"4 1 6 2 1 12 31111 6 M59 19000 000000 00000 00000 00061 011 1113000*")</f>
        <v>0</v>
      </c>
      <c r="F1940" s="35">
        <f>SUMIFS(F1941:F9015,K1941:K9015,"0",B1941:B9015,"4 1 6 2 1 12 31111 6 M59 19000 000000 00000 00000 00061 011 1113000*")</f>
        <v>0</v>
      </c>
      <c r="G1940" s="35">
        <f>SUMIFS(G1941:G9015,K1941:K9015,"0",B1941:B9015,"4 1 6 2 1 12 31111 6 M59 19000 000000 00000 00000 00061 011 1113000*")</f>
        <v>3484200.3</v>
      </c>
      <c r="H1940" s="35"/>
      <c r="I1940" s="35">
        <f t="shared" si="30"/>
        <v>3484200.3</v>
      </c>
      <c r="K1940" t="s">
        <v>15</v>
      </c>
    </row>
    <row r="1941" spans="2:11" ht="33" x14ac:dyDescent="0.2">
      <c r="B1941" s="33" t="s">
        <v>2753</v>
      </c>
      <c r="C1941" s="33" t="s">
        <v>660</v>
      </c>
      <c r="D1941"/>
      <c r="E1941" s="35">
        <f>SUMIFS(E1942:E9015,K1942:K9015,"0",B1942:B9015,"4 1 6 2 1 12 31111 6 M59 19000 000000 00000 00000 00061 011 1113000 2024*")-SUMIFS(D1942:D9015,K1942:K9015,"0",B1942:B9015,"4 1 6 2 1 12 31111 6 M59 19000 000000 00000 00000 00061 011 1113000 2024*")</f>
        <v>0</v>
      </c>
      <c r="F1941" s="35">
        <f>SUMIFS(F1942:F9015,K1942:K9015,"0",B1942:B9015,"4 1 6 2 1 12 31111 6 M59 19000 000000 00000 00000 00061 011 1113000 2024*")</f>
        <v>0</v>
      </c>
      <c r="G1941" s="35">
        <f>SUMIFS(G1942:G9015,K1942:K9015,"0",B1942:B9015,"4 1 6 2 1 12 31111 6 M59 19000 000000 00000 00000 00061 011 1113000 2024*")</f>
        <v>3484200.3</v>
      </c>
      <c r="H1941" s="35"/>
      <c r="I1941" s="35">
        <f t="shared" si="30"/>
        <v>3484200.3</v>
      </c>
      <c r="K1941" t="s">
        <v>15</v>
      </c>
    </row>
    <row r="1942" spans="2:11" ht="41.25" x14ac:dyDescent="0.2">
      <c r="B1942" s="33" t="s">
        <v>2754</v>
      </c>
      <c r="C1942" s="33" t="s">
        <v>2298</v>
      </c>
      <c r="D1942"/>
      <c r="E1942" s="35">
        <f>SUMIFS(E1943:E9015,K1943:K9015,"0",B1943:B9015,"4 1 6 2 1 12 31111 6 M59 19000 000000 00000 00000 00061 011 1113000 2024 00000000*")-SUMIFS(D1943:D9015,K1943:K9015,"0",B1943:B9015,"4 1 6 2 1 12 31111 6 M59 19000 000000 00000 00000 00061 011 1113000 2024 00000000*")</f>
        <v>0</v>
      </c>
      <c r="F1942" s="35">
        <f>SUMIFS(F1943:F9015,K1943:K9015,"0",B1943:B9015,"4 1 6 2 1 12 31111 6 M59 19000 000000 00000 00000 00061 011 1113000 2024 00000000*")</f>
        <v>0</v>
      </c>
      <c r="G1942" s="35">
        <f>SUMIFS(G1943:G9015,K1943:K9015,"0",B1943:B9015,"4 1 6 2 1 12 31111 6 M59 19000 000000 00000 00000 00061 011 1113000 2024 00000000*")</f>
        <v>3484200.3</v>
      </c>
      <c r="H1942" s="35"/>
      <c r="I1942" s="35">
        <f t="shared" si="30"/>
        <v>3484200.3</v>
      </c>
      <c r="K1942" t="s">
        <v>15</v>
      </c>
    </row>
    <row r="1943" spans="2:11" ht="41.25" x14ac:dyDescent="0.2">
      <c r="B1943" s="33" t="s">
        <v>2755</v>
      </c>
      <c r="C1943" s="33" t="s">
        <v>2300</v>
      </c>
      <c r="D1943"/>
      <c r="E1943" s="35">
        <f>SUMIFS(E1944:E9015,K1944:K9015,"0",B1944:B9015,"4 1 6 2 1 12 31111 6 M59 19000 000000 00000 00000 00061 011 1113000 2024 00000000 004*")-SUMIFS(D1944:D9015,K1944:K9015,"0",B1944:B9015,"4 1 6 2 1 12 31111 6 M59 19000 000000 00000 00000 00061 011 1113000 2024 00000000 004*")</f>
        <v>0</v>
      </c>
      <c r="F1943" s="35">
        <f>SUMIFS(F1944:F9015,K1944:K9015,"0",B1944:B9015,"4 1 6 2 1 12 31111 6 M59 19000 000000 00000 00000 00061 011 1113000 2024 00000000 004*")</f>
        <v>0</v>
      </c>
      <c r="G1943" s="35">
        <f>SUMIFS(G1944:G9015,K1944:K9015,"0",B1944:B9015,"4 1 6 2 1 12 31111 6 M59 19000 000000 00000 00000 00061 011 1113000 2024 00000000 004*")</f>
        <v>3484200.3</v>
      </c>
      <c r="H1943" s="35"/>
      <c r="I1943" s="35">
        <f t="shared" si="30"/>
        <v>3484200.3</v>
      </c>
      <c r="K1943" t="s">
        <v>15</v>
      </c>
    </row>
    <row r="1944" spans="2:11" ht="49.5" x14ac:dyDescent="0.2">
      <c r="B1944" s="33" t="s">
        <v>2756</v>
      </c>
      <c r="C1944" s="33" t="s">
        <v>2757</v>
      </c>
      <c r="D1944"/>
      <c r="E1944" s="35">
        <f>SUMIFS(E1945:E9015,K1945:K9015,"0",B1945:B9015,"4 1 6 2 1 12 31111 6 M59 19000 000000 00000 00000 00061 011 1113000 2024 00000000 004 0000001*")-SUMIFS(D1945:D9015,K1945:K9015,"0",B1945:B9015,"4 1 6 2 1 12 31111 6 M59 19000 000000 00000 00000 00061 011 1113000 2024 00000000 004 0000001*")</f>
        <v>0</v>
      </c>
      <c r="F1944" s="35">
        <f>SUMIFS(F1945:F9015,K1945:K9015,"0",B1945:B9015,"4 1 6 2 1 12 31111 6 M59 19000 000000 00000 00000 00061 011 1113000 2024 00000000 004 0000001*")</f>
        <v>0</v>
      </c>
      <c r="G1944" s="35">
        <f>SUMIFS(G1945:G9015,K1945:K9015,"0",B1945:B9015,"4 1 6 2 1 12 31111 6 M59 19000 000000 00000 00000 00061 011 1113000 2024 00000000 004 0000001*")</f>
        <v>3484200.3</v>
      </c>
      <c r="H1944" s="35"/>
      <c r="I1944" s="35">
        <f t="shared" si="30"/>
        <v>3484200.3</v>
      </c>
      <c r="K1944" t="s">
        <v>15</v>
      </c>
    </row>
    <row r="1945" spans="2:11" ht="49.5" x14ac:dyDescent="0.2">
      <c r="B1945" s="33" t="s">
        <v>2758</v>
      </c>
      <c r="C1945" s="33" t="s">
        <v>2759</v>
      </c>
      <c r="D1945"/>
      <c r="E1945" s="35">
        <f>SUMIFS(E1946:E9015,K1946:K9015,"0",B1946:B9015,"4 1 6 2 1 12 31111 6 M59 19000 000000 00000 00000 00061 011 1113000 2024 00000000 004 0000001 00001*")-SUMIFS(D1946:D9015,K1946:K9015,"0",B1946:B9015,"4 1 6 2 1 12 31111 6 M59 19000 000000 00000 00000 00061 011 1113000 2024 00000000 004 0000001 00001*")</f>
        <v>0</v>
      </c>
      <c r="F1945" s="35">
        <f>SUMIFS(F1946:F9015,K1946:K9015,"0",B1946:B9015,"4 1 6 2 1 12 31111 6 M59 19000 000000 00000 00000 00061 011 1113000 2024 00000000 004 0000001 00001*")</f>
        <v>0</v>
      </c>
      <c r="G1945" s="35">
        <f>SUMIFS(G1946:G9015,K1946:K9015,"0",B1946:B9015,"4 1 6 2 1 12 31111 6 M59 19000 000000 00000 00000 00061 011 1113000 2024 00000000 004 0000001 00001*")</f>
        <v>549671</v>
      </c>
      <c r="H1945" s="35"/>
      <c r="I1945" s="35">
        <f t="shared" si="30"/>
        <v>549671</v>
      </c>
      <c r="K1945" t="s">
        <v>15</v>
      </c>
    </row>
    <row r="1946" spans="2:11" ht="41.25" x14ac:dyDescent="0.2">
      <c r="B1946" s="31" t="s">
        <v>2760</v>
      </c>
      <c r="C1946" s="31" t="s">
        <v>2761</v>
      </c>
      <c r="D1946" s="34"/>
      <c r="E1946" s="34">
        <v>0</v>
      </c>
      <c r="F1946" s="34">
        <v>0</v>
      </c>
      <c r="G1946" s="34">
        <v>549671</v>
      </c>
      <c r="H1946" s="34"/>
      <c r="I1946" s="34">
        <f t="shared" si="30"/>
        <v>549671</v>
      </c>
      <c r="K1946" t="s">
        <v>38</v>
      </c>
    </row>
    <row r="1947" spans="2:11" ht="49.5" x14ac:dyDescent="0.2">
      <c r="B1947" s="33" t="s">
        <v>2762</v>
      </c>
      <c r="C1947" s="33" t="s">
        <v>2740</v>
      </c>
      <c r="D1947"/>
      <c r="E1947" s="35">
        <f>SUMIFS(E1948:E9015,K1948:K9015,"0",B1948:B9015,"4 1 6 2 1 12 31111 6 M59 19000 000000 00000 00000 00061 011 1113000 2024 00000000 004 0000001 00002*")-SUMIFS(D1948:D9015,K1948:K9015,"0",B1948:B9015,"4 1 6 2 1 12 31111 6 M59 19000 000000 00000 00000 00061 011 1113000 2024 00000000 004 0000001 00002*")</f>
        <v>0</v>
      </c>
      <c r="F1947" s="35">
        <f>SUMIFS(F1948:F9015,K1948:K9015,"0",B1948:B9015,"4 1 6 2 1 12 31111 6 M59 19000 000000 00000 00000 00061 011 1113000 2024 00000000 004 0000001 00002*")</f>
        <v>0</v>
      </c>
      <c r="G1947" s="35">
        <f>SUMIFS(G1948:G9015,K1948:K9015,"0",B1948:B9015,"4 1 6 2 1 12 31111 6 M59 19000 000000 00000 00000 00061 011 1113000 2024 00000000 004 0000001 00002*")</f>
        <v>60929.3</v>
      </c>
      <c r="H1947" s="35"/>
      <c r="I1947" s="35">
        <f t="shared" si="30"/>
        <v>60929.3</v>
      </c>
      <c r="K1947" t="s">
        <v>15</v>
      </c>
    </row>
    <row r="1948" spans="2:11" ht="41.25" x14ac:dyDescent="0.2">
      <c r="B1948" s="31" t="s">
        <v>2763</v>
      </c>
      <c r="C1948" s="31" t="s">
        <v>2764</v>
      </c>
      <c r="D1948" s="34"/>
      <c r="E1948" s="34">
        <v>0</v>
      </c>
      <c r="F1948" s="34">
        <v>0</v>
      </c>
      <c r="G1948" s="34">
        <v>60929.3</v>
      </c>
      <c r="H1948" s="34"/>
      <c r="I1948" s="34">
        <f t="shared" si="30"/>
        <v>60929.3</v>
      </c>
      <c r="K1948" t="s">
        <v>38</v>
      </c>
    </row>
    <row r="1949" spans="2:11" ht="49.5" x14ac:dyDescent="0.2">
      <c r="B1949" s="33" t="s">
        <v>2765</v>
      </c>
      <c r="C1949" s="33" t="s">
        <v>2766</v>
      </c>
      <c r="D1949"/>
      <c r="E1949" s="35">
        <f>SUMIFS(E1950:E9015,K1950:K9015,"0",B1950:B9015,"4 1 6 2 1 12 31111 6 M59 19000 000000 00000 00000 00061 011 1113000 2024 00000000 004 0000001 00003*")-SUMIFS(D1950:D9015,K1950:K9015,"0",B1950:B9015,"4 1 6 2 1 12 31111 6 M59 19000 000000 00000 00000 00061 011 1113000 2024 00000000 004 0000001 00003*")</f>
        <v>0</v>
      </c>
      <c r="F1949" s="35">
        <f>SUMIFS(F1950:F9015,K1950:K9015,"0",B1950:B9015,"4 1 6 2 1 12 31111 6 M59 19000 000000 00000 00000 00061 011 1113000 2024 00000000 004 0000001 00003*")</f>
        <v>0</v>
      </c>
      <c r="G1949" s="35">
        <f>SUMIFS(G1950:G9015,K1950:K9015,"0",B1950:B9015,"4 1 6 2 1 12 31111 6 M59 19000 000000 00000 00000 00061 011 1113000 2024 00000000 004 0000001 00003*")</f>
        <v>715000</v>
      </c>
      <c r="H1949" s="35"/>
      <c r="I1949" s="35">
        <f t="shared" si="30"/>
        <v>715000</v>
      </c>
      <c r="K1949" t="s">
        <v>15</v>
      </c>
    </row>
    <row r="1950" spans="2:11" ht="41.25" x14ac:dyDescent="0.2">
      <c r="B1950" s="31" t="s">
        <v>2767</v>
      </c>
      <c r="C1950" s="31" t="s">
        <v>2766</v>
      </c>
      <c r="D1950" s="34"/>
      <c r="E1950" s="34">
        <v>0</v>
      </c>
      <c r="F1950" s="34">
        <v>0</v>
      </c>
      <c r="G1950" s="34">
        <v>715000</v>
      </c>
      <c r="H1950" s="34"/>
      <c r="I1950" s="34">
        <f t="shared" si="30"/>
        <v>715000</v>
      </c>
      <c r="K1950" t="s">
        <v>38</v>
      </c>
    </row>
    <row r="1951" spans="2:11" ht="49.5" x14ac:dyDescent="0.2">
      <c r="B1951" s="33" t="s">
        <v>2768</v>
      </c>
      <c r="C1951" s="33" t="s">
        <v>2769</v>
      </c>
      <c r="D1951"/>
      <c r="E1951" s="35">
        <f>SUMIFS(E1952:E9015,K1952:K9015,"0",B1952:B9015,"4 1 6 2 1 12 31111 6 M59 19000 000000 00000 00000 00061 011 1113000 2024 00000000 004 0000001 00004*")-SUMIFS(D1952:D9015,K1952:K9015,"0",B1952:B9015,"4 1 6 2 1 12 31111 6 M59 19000 000000 00000 00000 00061 011 1113000 2024 00000000 004 0000001 00004*")</f>
        <v>0</v>
      </c>
      <c r="F1951" s="35">
        <f>SUMIFS(F1952:F9015,K1952:K9015,"0",B1952:B9015,"4 1 6 2 1 12 31111 6 M59 19000 000000 00000 00000 00061 011 1113000 2024 00000000 004 0000001 00004*")</f>
        <v>0</v>
      </c>
      <c r="G1951" s="35">
        <f>SUMIFS(G1952:G9015,K1952:K9015,"0",B1952:B9015,"4 1 6 2 1 12 31111 6 M59 19000 000000 00000 00000 00061 011 1113000 2024 00000000 004 0000001 00004*")</f>
        <v>2158600</v>
      </c>
      <c r="H1951" s="35"/>
      <c r="I1951" s="35">
        <f t="shared" si="30"/>
        <v>2158600</v>
      </c>
      <c r="K1951" t="s">
        <v>15</v>
      </c>
    </row>
    <row r="1952" spans="2:11" ht="41.25" x14ac:dyDescent="0.2">
      <c r="B1952" s="31" t="s">
        <v>2770</v>
      </c>
      <c r="C1952" s="31" t="s">
        <v>2771</v>
      </c>
      <c r="D1952" s="34"/>
      <c r="E1952" s="34">
        <v>0</v>
      </c>
      <c r="F1952" s="34">
        <v>0</v>
      </c>
      <c r="G1952" s="34">
        <v>2158600</v>
      </c>
      <c r="H1952" s="34"/>
      <c r="I1952" s="34">
        <f t="shared" si="30"/>
        <v>2158600</v>
      </c>
      <c r="K1952" t="s">
        <v>38</v>
      </c>
    </row>
    <row r="1953" spans="2:11" ht="82.5" x14ac:dyDescent="0.2">
      <c r="B1953" s="33" t="s">
        <v>2772</v>
      </c>
      <c r="C1953" s="33" t="s">
        <v>2773</v>
      </c>
      <c r="D1953"/>
      <c r="E1953" s="35">
        <f>SUMIFS(E1954:E9015,K1954:K9015,"0",B1954:B9015,"4 2*")-SUMIFS(D1954:D9015,K1954:K9015,"0",B1954:B9015,"4 2*")</f>
        <v>0</v>
      </c>
      <c r="F1953" s="35">
        <f>SUMIFS(F1954:F9015,K1954:K9015,"0",B1954:B9015,"4 2*")</f>
        <v>0</v>
      </c>
      <c r="G1953" s="35">
        <f>SUMIFS(G1954:G9015,K1954:K9015,"0",B1954:B9015,"4 2*")</f>
        <v>278457992.61000001</v>
      </c>
      <c r="H1953" s="35"/>
      <c r="I1953" s="35">
        <f t="shared" si="30"/>
        <v>278457992.61000001</v>
      </c>
      <c r="K1953" t="s">
        <v>15</v>
      </c>
    </row>
    <row r="1954" spans="2:11" ht="49.5" x14ac:dyDescent="0.2">
      <c r="B1954" s="33" t="s">
        <v>2774</v>
      </c>
      <c r="C1954" s="33" t="s">
        <v>2775</v>
      </c>
      <c r="D1954"/>
      <c r="E1954" s="35">
        <f>SUMIFS(E1955:E9015,K1955:K9015,"0",B1955:B9015,"4 2 1*")-SUMIFS(D1955:D9015,K1955:K9015,"0",B1955:B9015,"4 2 1*")</f>
        <v>0</v>
      </c>
      <c r="F1954" s="35">
        <f>SUMIFS(F1955:F9015,K1955:K9015,"0",B1955:B9015,"4 2 1*")</f>
        <v>0</v>
      </c>
      <c r="G1954" s="35">
        <f>SUMIFS(G1955:G9015,K1955:K9015,"0",B1955:B9015,"4 2 1*")</f>
        <v>277977992.61000001</v>
      </c>
      <c r="H1954" s="35"/>
      <c r="I1954" s="35">
        <f t="shared" si="30"/>
        <v>277977992.61000001</v>
      </c>
      <c r="K1954" t="s">
        <v>15</v>
      </c>
    </row>
    <row r="1955" spans="2:11" ht="12.75" x14ac:dyDescent="0.2">
      <c r="B1955" s="33" t="s">
        <v>2776</v>
      </c>
      <c r="C1955" s="33" t="s">
        <v>2777</v>
      </c>
      <c r="D1955"/>
      <c r="E1955" s="35">
        <f>SUMIFS(E1956:E9015,K1956:K9015,"0",B1956:B9015,"4 2 1 1*")-SUMIFS(D1956:D9015,K1956:K9015,"0",B1956:B9015,"4 2 1 1*")</f>
        <v>0</v>
      </c>
      <c r="F1955" s="35">
        <f>SUMIFS(F1956:F9015,K1956:K9015,"0",B1956:B9015,"4 2 1 1*")</f>
        <v>0</v>
      </c>
      <c r="G1955" s="35">
        <f>SUMIFS(G1956:G9015,K1956:K9015,"0",B1956:B9015,"4 2 1 1*")</f>
        <v>110626432.69000001</v>
      </c>
      <c r="H1955" s="35"/>
      <c r="I1955" s="35">
        <f t="shared" si="30"/>
        <v>110626432.69000001</v>
      </c>
      <c r="K1955" t="s">
        <v>15</v>
      </c>
    </row>
    <row r="1956" spans="2:11" ht="12.75" x14ac:dyDescent="0.2">
      <c r="B1956" s="33" t="s">
        <v>2778</v>
      </c>
      <c r="C1956" s="33" t="s">
        <v>2777</v>
      </c>
      <c r="D1956"/>
      <c r="E1956" s="35">
        <f>SUMIFS(E1957:E9015,K1957:K9015,"0",B1957:B9015,"4 2 1 1 1*")-SUMIFS(D1957:D9015,K1957:K9015,"0",B1957:B9015,"4 2 1 1 1*")</f>
        <v>0</v>
      </c>
      <c r="F1956" s="35">
        <f>SUMIFS(F1957:F9015,K1957:K9015,"0",B1957:B9015,"4 2 1 1 1*")</f>
        <v>0</v>
      </c>
      <c r="G1956" s="35">
        <f>SUMIFS(G1957:G9015,K1957:K9015,"0",B1957:B9015,"4 2 1 1 1*")</f>
        <v>110626432.69000001</v>
      </c>
      <c r="H1956" s="35"/>
      <c r="I1956" s="35">
        <f t="shared" si="30"/>
        <v>110626432.69000001</v>
      </c>
      <c r="K1956" t="s">
        <v>15</v>
      </c>
    </row>
    <row r="1957" spans="2:11" ht="12.75" x14ac:dyDescent="0.2">
      <c r="B1957" s="33" t="s">
        <v>2779</v>
      </c>
      <c r="C1957" s="33" t="s">
        <v>26</v>
      </c>
      <c r="D1957"/>
      <c r="E1957" s="35">
        <f>SUMIFS(E1958:E9015,K1958:K9015,"0",B1958:B9015,"4 2 1 1 1 12*")-SUMIFS(D1958:D9015,K1958:K9015,"0",B1958:B9015,"4 2 1 1 1 12*")</f>
        <v>0</v>
      </c>
      <c r="F1957" s="35">
        <f>SUMIFS(F1958:F9015,K1958:K9015,"0",B1958:B9015,"4 2 1 1 1 12*")</f>
        <v>0</v>
      </c>
      <c r="G1957" s="35">
        <f>SUMIFS(G1958:G9015,K1958:K9015,"0",B1958:B9015,"4 2 1 1 1 12*")</f>
        <v>110626432.69000001</v>
      </c>
      <c r="H1957" s="35"/>
      <c r="I1957" s="35">
        <f t="shared" si="30"/>
        <v>110626432.69000001</v>
      </c>
      <c r="K1957" t="s">
        <v>15</v>
      </c>
    </row>
    <row r="1958" spans="2:11" ht="16.5" x14ac:dyDescent="0.2">
      <c r="B1958" s="33" t="s">
        <v>2780</v>
      </c>
      <c r="C1958" s="33" t="s">
        <v>28</v>
      </c>
      <c r="D1958"/>
      <c r="E1958" s="35">
        <f>SUMIFS(E1959:E9015,K1959:K9015,"0",B1959:B9015,"4 2 1 1 1 12 31111*")-SUMIFS(D1959:D9015,K1959:K9015,"0",B1959:B9015,"4 2 1 1 1 12 31111*")</f>
        <v>0</v>
      </c>
      <c r="F1958" s="35">
        <f>SUMIFS(F1959:F9015,K1959:K9015,"0",B1959:B9015,"4 2 1 1 1 12 31111*")</f>
        <v>0</v>
      </c>
      <c r="G1958" s="35">
        <f>SUMIFS(G1959:G9015,K1959:K9015,"0",B1959:B9015,"4 2 1 1 1 12 31111*")</f>
        <v>110626432.69000001</v>
      </c>
      <c r="H1958" s="35"/>
      <c r="I1958" s="35">
        <f t="shared" si="30"/>
        <v>110626432.69000001</v>
      </c>
      <c r="K1958" t="s">
        <v>15</v>
      </c>
    </row>
    <row r="1959" spans="2:11" ht="12.75" x14ac:dyDescent="0.2">
      <c r="B1959" s="33" t="s">
        <v>2781</v>
      </c>
      <c r="C1959" s="33" t="s">
        <v>30</v>
      </c>
      <c r="D1959"/>
      <c r="E1959" s="35">
        <f>SUMIFS(E1960:E9015,K1960:K9015,"0",B1960:B9015,"4 2 1 1 1 12 31111 6*")-SUMIFS(D1960:D9015,K1960:K9015,"0",B1960:B9015,"4 2 1 1 1 12 31111 6*")</f>
        <v>0</v>
      </c>
      <c r="F1959" s="35">
        <f>SUMIFS(F1960:F9015,K1960:K9015,"0",B1960:B9015,"4 2 1 1 1 12 31111 6*")</f>
        <v>0</v>
      </c>
      <c r="G1959" s="35">
        <f>SUMIFS(G1960:G9015,K1960:K9015,"0",B1960:B9015,"4 2 1 1 1 12 31111 6*")</f>
        <v>110626432.69000001</v>
      </c>
      <c r="H1959" s="35"/>
      <c r="I1959" s="35">
        <f t="shared" si="30"/>
        <v>110626432.69000001</v>
      </c>
      <c r="K1959" t="s">
        <v>15</v>
      </c>
    </row>
    <row r="1960" spans="2:11" ht="12.75" x14ac:dyDescent="0.2">
      <c r="B1960" s="33" t="s">
        <v>2782</v>
      </c>
      <c r="C1960" s="33" t="s">
        <v>140</v>
      </c>
      <c r="D1960"/>
      <c r="E1960" s="35">
        <f>SUMIFS(E1961:E9015,K1961:K9015,"0",B1961:B9015,"4 2 1 1 1 12 31111 6 M59*")-SUMIFS(D1961:D9015,K1961:K9015,"0",B1961:B9015,"4 2 1 1 1 12 31111 6 M59*")</f>
        <v>0</v>
      </c>
      <c r="F1960" s="35">
        <f>SUMIFS(F1961:F9015,K1961:K9015,"0",B1961:B9015,"4 2 1 1 1 12 31111 6 M59*")</f>
        <v>0</v>
      </c>
      <c r="G1960" s="35">
        <f>SUMIFS(G1961:G9015,K1961:K9015,"0",B1961:B9015,"4 2 1 1 1 12 31111 6 M59*")</f>
        <v>110626432.69000001</v>
      </c>
      <c r="H1960" s="35"/>
      <c r="I1960" s="35">
        <f t="shared" si="30"/>
        <v>110626432.69000001</v>
      </c>
      <c r="K1960" t="s">
        <v>15</v>
      </c>
    </row>
    <row r="1961" spans="2:11" ht="16.5" x14ac:dyDescent="0.2">
      <c r="B1961" s="33" t="s">
        <v>2783</v>
      </c>
      <c r="C1961" s="33" t="s">
        <v>1044</v>
      </c>
      <c r="D1961"/>
      <c r="E1961" s="35">
        <f>SUMIFS(E1962:E9015,K1962:K9015,"0",B1962:B9015,"4 2 1 1 1 12 31111 6 M59 19000*")-SUMIFS(D1962:D9015,K1962:K9015,"0",B1962:B9015,"4 2 1 1 1 12 31111 6 M59 19000*")</f>
        <v>0</v>
      </c>
      <c r="F1961" s="35">
        <f>SUMIFS(F1962:F9015,K1962:K9015,"0",B1962:B9015,"4 2 1 1 1 12 31111 6 M59 19000*")</f>
        <v>0</v>
      </c>
      <c r="G1961" s="35">
        <f>SUMIFS(G1962:G9015,K1962:K9015,"0",B1962:B9015,"4 2 1 1 1 12 31111 6 M59 19000*")</f>
        <v>110626432.69000001</v>
      </c>
      <c r="H1961" s="35"/>
      <c r="I1961" s="35">
        <f t="shared" si="30"/>
        <v>110626432.69000001</v>
      </c>
      <c r="K1961" t="s">
        <v>15</v>
      </c>
    </row>
    <row r="1962" spans="2:11" ht="16.5" x14ac:dyDescent="0.2">
      <c r="B1962" s="33" t="s">
        <v>2784</v>
      </c>
      <c r="C1962" s="33" t="s">
        <v>2287</v>
      </c>
      <c r="D1962"/>
      <c r="E1962" s="35">
        <f>SUMIFS(E1963:E9015,K1963:K9015,"0",B1963:B9015,"4 2 1 1 1 12 31111 6 M59 19000 000000*")-SUMIFS(D1963:D9015,K1963:K9015,"0",B1963:B9015,"4 2 1 1 1 12 31111 6 M59 19000 000000*")</f>
        <v>0</v>
      </c>
      <c r="F1962" s="35">
        <f>SUMIFS(F1963:F9015,K1963:K9015,"0",B1963:B9015,"4 2 1 1 1 12 31111 6 M59 19000 000000*")</f>
        <v>0</v>
      </c>
      <c r="G1962" s="35">
        <f>SUMIFS(G1963:G9015,K1963:K9015,"0",B1963:B9015,"4 2 1 1 1 12 31111 6 M59 19000 000000*")</f>
        <v>110626432.69000001</v>
      </c>
      <c r="H1962" s="35"/>
      <c r="I1962" s="35">
        <f t="shared" si="30"/>
        <v>110626432.69000001</v>
      </c>
      <c r="K1962" t="s">
        <v>15</v>
      </c>
    </row>
    <row r="1963" spans="2:11" ht="16.5" x14ac:dyDescent="0.2">
      <c r="B1963" s="33" t="s">
        <v>2785</v>
      </c>
      <c r="C1963" s="33" t="s">
        <v>2289</v>
      </c>
      <c r="D1963"/>
      <c r="E1963" s="35">
        <f>SUMIFS(E1964:E9015,K1964:K9015,"0",B1964:B9015,"4 2 1 1 1 12 31111 6 M59 19000 000000 00000*")-SUMIFS(D1964:D9015,K1964:K9015,"0",B1964:B9015,"4 2 1 1 1 12 31111 6 M59 19000 000000 00000*")</f>
        <v>0</v>
      </c>
      <c r="F1963" s="35">
        <f>SUMIFS(F1964:F9015,K1964:K9015,"0",B1964:B9015,"4 2 1 1 1 12 31111 6 M59 19000 000000 00000*")</f>
        <v>0</v>
      </c>
      <c r="G1963" s="35">
        <f>SUMIFS(G1964:G9015,K1964:K9015,"0",B1964:B9015,"4 2 1 1 1 12 31111 6 M59 19000 000000 00000*")</f>
        <v>110626432.69000001</v>
      </c>
      <c r="H1963" s="35"/>
      <c r="I1963" s="35">
        <f t="shared" si="30"/>
        <v>110626432.69000001</v>
      </c>
      <c r="K1963" t="s">
        <v>15</v>
      </c>
    </row>
    <row r="1964" spans="2:11" ht="24.75" x14ac:dyDescent="0.2">
      <c r="B1964" s="33" t="s">
        <v>2786</v>
      </c>
      <c r="C1964" s="33" t="s">
        <v>2291</v>
      </c>
      <c r="D1964"/>
      <c r="E1964" s="35">
        <f>SUMIFS(E1965:E9015,K1965:K9015,"0",B1965:B9015,"4 2 1 1 1 12 31111 6 M59 19000 000000 00000 00000*")-SUMIFS(D1965:D9015,K1965:K9015,"0",B1965:B9015,"4 2 1 1 1 12 31111 6 M59 19000 000000 00000 00000*")</f>
        <v>0</v>
      </c>
      <c r="F1964" s="35">
        <f>SUMIFS(F1965:F9015,K1965:K9015,"0",B1965:B9015,"4 2 1 1 1 12 31111 6 M59 19000 000000 00000 00000*")</f>
        <v>0</v>
      </c>
      <c r="G1964" s="35">
        <f>SUMIFS(G1965:G9015,K1965:K9015,"0",B1965:B9015,"4 2 1 1 1 12 31111 6 M59 19000 000000 00000 00000*")</f>
        <v>109025128.16000001</v>
      </c>
      <c r="H1964" s="35"/>
      <c r="I1964" s="35">
        <f t="shared" si="30"/>
        <v>109025128.16000001</v>
      </c>
      <c r="K1964" t="s">
        <v>15</v>
      </c>
    </row>
    <row r="1965" spans="2:11" ht="24.75" x14ac:dyDescent="0.2">
      <c r="B1965" s="33" t="s">
        <v>2787</v>
      </c>
      <c r="C1965" s="33" t="s">
        <v>2777</v>
      </c>
      <c r="D1965"/>
      <c r="E1965" s="35">
        <f>SUMIFS(E1966:E9015,K1966:K9015,"0",B1966:B9015,"4 2 1 1 1 12 31111 6 M59 19000 000000 00000 00000 00081*")-SUMIFS(D1966:D9015,K1966:K9015,"0",B1966:B9015,"4 2 1 1 1 12 31111 6 M59 19000 000000 00000 00000 00081*")</f>
        <v>0</v>
      </c>
      <c r="F1965" s="35">
        <f>SUMIFS(F1966:F9015,K1966:K9015,"0",B1966:B9015,"4 2 1 1 1 12 31111 6 M59 19000 000000 00000 00000 00081*")</f>
        <v>0</v>
      </c>
      <c r="G1965" s="35">
        <f>SUMIFS(G1966:G9015,K1966:K9015,"0",B1966:B9015,"4 2 1 1 1 12 31111 6 M59 19000 000000 00000 00000 00081*")</f>
        <v>109025128.16000001</v>
      </c>
      <c r="H1965" s="35"/>
      <c r="I1965" s="35">
        <f t="shared" si="30"/>
        <v>109025128.16000001</v>
      </c>
      <c r="K1965" t="s">
        <v>15</v>
      </c>
    </row>
    <row r="1966" spans="2:11" ht="24.75" x14ac:dyDescent="0.2">
      <c r="B1966" s="33" t="s">
        <v>2788</v>
      </c>
      <c r="C1966" s="33" t="s">
        <v>1051</v>
      </c>
      <c r="D1966"/>
      <c r="E1966" s="35">
        <f>SUMIFS(E1967:E9015,K1967:K9015,"0",B1967:B9015,"4 2 1 1 1 12 31111 6 M59 19000 000000 00000 00000 00081 015*")-SUMIFS(D1967:D9015,K1967:K9015,"0",B1967:B9015,"4 2 1 1 1 12 31111 6 M59 19000 000000 00000 00000 00081 015*")</f>
        <v>0</v>
      </c>
      <c r="F1966" s="35">
        <f>SUMIFS(F1967:F9015,K1967:K9015,"0",B1967:B9015,"4 2 1 1 1 12 31111 6 M59 19000 000000 00000 00000 00081 015*")</f>
        <v>0</v>
      </c>
      <c r="G1966" s="35">
        <f>SUMIFS(G1967:G9015,K1967:K9015,"0",B1967:B9015,"4 2 1 1 1 12 31111 6 M59 19000 000000 00000 00000 00081 015*")</f>
        <v>109025128.16000001</v>
      </c>
      <c r="H1966" s="35"/>
      <c r="I1966" s="35">
        <f t="shared" si="30"/>
        <v>109025128.16000001</v>
      </c>
      <c r="K1966" t="s">
        <v>15</v>
      </c>
    </row>
    <row r="1967" spans="2:11" ht="33" x14ac:dyDescent="0.2">
      <c r="B1967" s="33" t="s">
        <v>2789</v>
      </c>
      <c r="C1967" s="33" t="s">
        <v>2777</v>
      </c>
      <c r="D1967"/>
      <c r="E1967" s="35">
        <f>SUMIFS(E1968:E9015,K1968:K9015,"0",B1968:B9015,"4 2 1 1 1 12 31111 6 M59 19000 000000 00000 00000 00081 015 1190000*")-SUMIFS(D1968:D9015,K1968:K9015,"0",B1968:B9015,"4 2 1 1 1 12 31111 6 M59 19000 000000 00000 00000 00081 015 1190000*")</f>
        <v>0</v>
      </c>
      <c r="F1967" s="35">
        <f>SUMIFS(F1968:F9015,K1968:K9015,"0",B1968:B9015,"4 2 1 1 1 12 31111 6 M59 19000 000000 00000 00000 00081 015 1190000*")</f>
        <v>0</v>
      </c>
      <c r="G1967" s="35">
        <f>SUMIFS(G1968:G9015,K1968:K9015,"0",B1968:B9015,"4 2 1 1 1 12 31111 6 M59 19000 000000 00000 00000 00081 015 1190000*")</f>
        <v>109025128.16000001</v>
      </c>
      <c r="H1967" s="35"/>
      <c r="I1967" s="35">
        <f t="shared" ref="I1967:I2030" si="31">E1967 - F1967 + G1967</f>
        <v>109025128.16000001</v>
      </c>
      <c r="K1967" t="s">
        <v>15</v>
      </c>
    </row>
    <row r="1968" spans="2:11" ht="33" x14ac:dyDescent="0.2">
      <c r="B1968" s="33" t="s">
        <v>2790</v>
      </c>
      <c r="C1968" s="33" t="s">
        <v>660</v>
      </c>
      <c r="D1968"/>
      <c r="E1968" s="35">
        <f>SUMIFS(E1969:E9015,K1969:K9015,"0",B1969:B9015,"4 2 1 1 1 12 31111 6 M59 19000 000000 00000 00000 00081 015 1190000 2024*")-SUMIFS(D1969:D9015,K1969:K9015,"0",B1969:B9015,"4 2 1 1 1 12 31111 6 M59 19000 000000 00000 00000 00081 015 1190000 2024*")</f>
        <v>0</v>
      </c>
      <c r="F1968" s="35">
        <f>SUMIFS(F1969:F9015,K1969:K9015,"0",B1969:B9015,"4 2 1 1 1 12 31111 6 M59 19000 000000 00000 00000 00081 015 1190000 2024*")</f>
        <v>0</v>
      </c>
      <c r="G1968" s="35">
        <f>SUMIFS(G1969:G9015,K1969:K9015,"0",B1969:B9015,"4 2 1 1 1 12 31111 6 M59 19000 000000 00000 00000 00081 015 1190000 2024*")</f>
        <v>109025128.16000001</v>
      </c>
      <c r="H1968" s="35"/>
      <c r="I1968" s="35">
        <f t="shared" si="31"/>
        <v>109025128.16000001</v>
      </c>
      <c r="K1968" t="s">
        <v>15</v>
      </c>
    </row>
    <row r="1969" spans="2:11" ht="41.25" x14ac:dyDescent="0.2">
      <c r="B1969" s="33" t="s">
        <v>2791</v>
      </c>
      <c r="C1969" s="33" t="s">
        <v>2298</v>
      </c>
      <c r="D1969"/>
      <c r="E1969" s="35">
        <f>SUMIFS(E1970:E9015,K1970:K9015,"0",B1970:B9015,"4 2 1 1 1 12 31111 6 M59 19000 000000 00000 00000 00081 015 1190000 2024 00000000*")-SUMIFS(D1970:D9015,K1970:K9015,"0",B1970:B9015,"4 2 1 1 1 12 31111 6 M59 19000 000000 00000 00000 00081 015 1190000 2024 00000000*")</f>
        <v>0</v>
      </c>
      <c r="F1969" s="35">
        <f>SUMIFS(F1970:F9015,K1970:K9015,"0",B1970:B9015,"4 2 1 1 1 12 31111 6 M59 19000 000000 00000 00000 00081 015 1190000 2024 00000000*")</f>
        <v>0</v>
      </c>
      <c r="G1969" s="35">
        <f>SUMIFS(G1970:G9015,K1970:K9015,"0",B1970:B9015,"4 2 1 1 1 12 31111 6 M59 19000 000000 00000 00000 00081 015 1190000 2024 00000000*")</f>
        <v>109025128.16000001</v>
      </c>
      <c r="H1969" s="35"/>
      <c r="I1969" s="35">
        <f t="shared" si="31"/>
        <v>109025128.16000001</v>
      </c>
      <c r="K1969" t="s">
        <v>15</v>
      </c>
    </row>
    <row r="1970" spans="2:11" ht="41.25" x14ac:dyDescent="0.2">
      <c r="B1970" s="33" t="s">
        <v>2792</v>
      </c>
      <c r="C1970" s="33" t="s">
        <v>282</v>
      </c>
      <c r="D1970"/>
      <c r="E1970" s="35">
        <f>SUMIFS(E1971:E9015,K1971:K9015,"0",B1971:B9015,"4 2 1 1 1 12 31111 6 M59 19000 000000 00000 00000 00081 015 1190000 2024 00000000 001*")-SUMIFS(D1971:D9015,K1971:K9015,"0",B1971:B9015,"4 2 1 1 1 12 31111 6 M59 19000 000000 00000 00000 00081 015 1190000 2024 00000000 001*")</f>
        <v>0</v>
      </c>
      <c r="F1970" s="35">
        <f>SUMIFS(F1971:F9015,K1971:K9015,"0",B1971:B9015,"4 2 1 1 1 12 31111 6 M59 19000 000000 00000 00000 00081 015 1190000 2024 00000000 001*")</f>
        <v>0</v>
      </c>
      <c r="G1970" s="35">
        <f>SUMIFS(G1971:G9015,K1971:K9015,"0",B1971:B9015,"4 2 1 1 1 12 31111 6 M59 19000 000000 00000 00000 00081 015 1190000 2024 00000000 001*")</f>
        <v>109025128.16000001</v>
      </c>
      <c r="H1970" s="35"/>
      <c r="I1970" s="35">
        <f t="shared" si="31"/>
        <v>109025128.16000001</v>
      </c>
      <c r="K1970" t="s">
        <v>15</v>
      </c>
    </row>
    <row r="1971" spans="2:11" ht="49.5" x14ac:dyDescent="0.2">
      <c r="B1971" s="33" t="s">
        <v>2793</v>
      </c>
      <c r="C1971" s="33" t="s">
        <v>2794</v>
      </c>
      <c r="D1971"/>
      <c r="E1971" s="35">
        <f>SUMIFS(E1972:E9015,K1972:K9015,"0",B1972:B9015,"4 2 1 1 1 12 31111 6 M59 19000 000000 00000 00000 00081 015 1190000 2024 00000000 001 0000001*")-SUMIFS(D1972:D9015,K1972:K9015,"0",B1972:B9015,"4 2 1 1 1 12 31111 6 M59 19000 000000 00000 00000 00081 015 1190000 2024 00000000 001 0000001*")</f>
        <v>0</v>
      </c>
      <c r="F1971" s="35">
        <f>SUMIFS(F1972:F9015,K1972:K9015,"0",B1972:B9015,"4 2 1 1 1 12 31111 6 M59 19000 000000 00000 00000 00081 015 1190000 2024 00000000 001 0000001*")</f>
        <v>0</v>
      </c>
      <c r="G1971" s="35">
        <f>SUMIFS(G1972:G9015,K1972:K9015,"0",B1972:B9015,"4 2 1 1 1 12 31111 6 M59 19000 000000 00000 00000 00081 015 1190000 2024 00000000 001 0000001*")</f>
        <v>109025128.16000001</v>
      </c>
      <c r="H1971" s="35"/>
      <c r="I1971" s="35">
        <f t="shared" si="31"/>
        <v>109025128.16000001</v>
      </c>
      <c r="K1971" t="s">
        <v>15</v>
      </c>
    </row>
    <row r="1972" spans="2:11" ht="41.25" x14ac:dyDescent="0.2">
      <c r="B1972" s="31" t="s">
        <v>2795</v>
      </c>
      <c r="C1972" s="31" t="s">
        <v>2796</v>
      </c>
      <c r="D1972" s="34"/>
      <c r="E1972" s="34">
        <v>0</v>
      </c>
      <c r="F1972" s="34">
        <v>0</v>
      </c>
      <c r="G1972" s="34">
        <v>86652089.480000004</v>
      </c>
      <c r="H1972" s="34"/>
      <c r="I1972" s="34">
        <f t="shared" si="31"/>
        <v>86652089.480000004</v>
      </c>
      <c r="K1972" t="s">
        <v>38</v>
      </c>
    </row>
    <row r="1973" spans="2:11" ht="41.25" x14ac:dyDescent="0.2">
      <c r="B1973" s="31" t="s">
        <v>2797</v>
      </c>
      <c r="C1973" s="31" t="s">
        <v>2798</v>
      </c>
      <c r="D1973" s="34"/>
      <c r="E1973" s="34">
        <v>0</v>
      </c>
      <c r="F1973" s="34">
        <v>0</v>
      </c>
      <c r="G1973" s="34">
        <v>15783791.93</v>
      </c>
      <c r="H1973" s="34"/>
      <c r="I1973" s="34">
        <f t="shared" si="31"/>
        <v>15783791.93</v>
      </c>
      <c r="K1973" t="s">
        <v>38</v>
      </c>
    </row>
    <row r="1974" spans="2:11" ht="41.25" x14ac:dyDescent="0.2">
      <c r="B1974" s="31" t="s">
        <v>2799</v>
      </c>
      <c r="C1974" s="31" t="s">
        <v>2800</v>
      </c>
      <c r="D1974" s="34"/>
      <c r="E1974" s="34">
        <v>0</v>
      </c>
      <c r="F1974" s="34">
        <v>0</v>
      </c>
      <c r="G1974" s="34">
        <v>3879070.59</v>
      </c>
      <c r="H1974" s="34"/>
      <c r="I1974" s="34">
        <f t="shared" si="31"/>
        <v>3879070.59</v>
      </c>
      <c r="K1974" t="s">
        <v>38</v>
      </c>
    </row>
    <row r="1975" spans="2:11" ht="41.25" x14ac:dyDescent="0.2">
      <c r="B1975" s="31" t="s">
        <v>2801</v>
      </c>
      <c r="C1975" s="31" t="s">
        <v>2802</v>
      </c>
      <c r="D1975" s="34"/>
      <c r="E1975" s="34">
        <v>0</v>
      </c>
      <c r="F1975" s="34">
        <v>0</v>
      </c>
      <c r="G1975" s="34">
        <v>246995.77</v>
      </c>
      <c r="H1975" s="34"/>
      <c r="I1975" s="34">
        <f t="shared" si="31"/>
        <v>246995.77</v>
      </c>
      <c r="K1975" t="s">
        <v>38</v>
      </c>
    </row>
    <row r="1976" spans="2:11" ht="41.25" x14ac:dyDescent="0.2">
      <c r="B1976" s="31" t="s">
        <v>2803</v>
      </c>
      <c r="C1976" s="31" t="s">
        <v>2804</v>
      </c>
      <c r="D1976" s="34"/>
      <c r="E1976" s="34">
        <v>0</v>
      </c>
      <c r="F1976" s="34">
        <v>0</v>
      </c>
      <c r="G1976" s="34">
        <v>1491800</v>
      </c>
      <c r="H1976" s="34"/>
      <c r="I1976" s="34">
        <f t="shared" si="31"/>
        <v>1491800</v>
      </c>
      <c r="K1976" t="s">
        <v>38</v>
      </c>
    </row>
    <row r="1977" spans="2:11" ht="41.25" x14ac:dyDescent="0.2">
      <c r="B1977" s="31" t="s">
        <v>2805</v>
      </c>
      <c r="C1977" s="31" t="s">
        <v>2806</v>
      </c>
      <c r="D1977" s="34"/>
      <c r="E1977" s="34">
        <v>0</v>
      </c>
      <c r="F1977" s="34">
        <v>0</v>
      </c>
      <c r="G1977" s="34">
        <v>604304.65</v>
      </c>
      <c r="H1977" s="34"/>
      <c r="I1977" s="34">
        <f t="shared" si="31"/>
        <v>604304.65</v>
      </c>
      <c r="K1977" t="s">
        <v>38</v>
      </c>
    </row>
    <row r="1978" spans="2:11" ht="41.25" x14ac:dyDescent="0.2">
      <c r="B1978" s="31" t="s">
        <v>2807</v>
      </c>
      <c r="C1978" s="31" t="s">
        <v>2808</v>
      </c>
      <c r="D1978" s="34"/>
      <c r="E1978" s="34">
        <v>0</v>
      </c>
      <c r="F1978" s="34">
        <v>0</v>
      </c>
      <c r="G1978" s="34">
        <v>124225.97</v>
      </c>
      <c r="H1978" s="34"/>
      <c r="I1978" s="34">
        <f t="shared" si="31"/>
        <v>124225.97</v>
      </c>
      <c r="K1978" t="s">
        <v>38</v>
      </c>
    </row>
    <row r="1979" spans="2:11" ht="41.25" x14ac:dyDescent="0.2">
      <c r="B1979" s="31" t="s">
        <v>2809</v>
      </c>
      <c r="C1979" s="31" t="s">
        <v>2810</v>
      </c>
      <c r="D1979" s="34"/>
      <c r="E1979" s="34">
        <v>0</v>
      </c>
      <c r="F1979" s="34">
        <v>0</v>
      </c>
      <c r="G1979" s="34">
        <v>114778.42</v>
      </c>
      <c r="H1979" s="34"/>
      <c r="I1979" s="34">
        <f t="shared" si="31"/>
        <v>114778.42</v>
      </c>
      <c r="K1979" t="s">
        <v>38</v>
      </c>
    </row>
    <row r="1980" spans="2:11" ht="41.25" x14ac:dyDescent="0.2">
      <c r="B1980" s="31" t="s">
        <v>2811</v>
      </c>
      <c r="C1980" s="31" t="s">
        <v>2812</v>
      </c>
      <c r="D1980" s="34"/>
      <c r="E1980" s="34">
        <v>0</v>
      </c>
      <c r="F1980" s="34">
        <v>0</v>
      </c>
      <c r="G1980" s="34">
        <v>77439.179999999993</v>
      </c>
      <c r="H1980" s="34"/>
      <c r="I1980" s="34">
        <f t="shared" si="31"/>
        <v>77439.179999999993</v>
      </c>
      <c r="K1980" t="s">
        <v>38</v>
      </c>
    </row>
    <row r="1981" spans="2:11" ht="41.25" x14ac:dyDescent="0.2">
      <c r="B1981" s="31" t="s">
        <v>2813</v>
      </c>
      <c r="C1981" s="31" t="s">
        <v>2814</v>
      </c>
      <c r="D1981" s="34"/>
      <c r="E1981" s="34">
        <v>0</v>
      </c>
      <c r="F1981" s="34">
        <v>0</v>
      </c>
      <c r="G1981" s="34">
        <v>24745.77</v>
      </c>
      <c r="H1981" s="34"/>
      <c r="I1981" s="34">
        <f t="shared" si="31"/>
        <v>24745.77</v>
      </c>
      <c r="K1981" t="s">
        <v>38</v>
      </c>
    </row>
    <row r="1982" spans="2:11" ht="41.25" x14ac:dyDescent="0.2">
      <c r="B1982" s="31" t="s">
        <v>2815</v>
      </c>
      <c r="C1982" s="31" t="s">
        <v>2816</v>
      </c>
      <c r="D1982" s="34"/>
      <c r="E1982" s="34">
        <v>0</v>
      </c>
      <c r="F1982" s="34">
        <v>0</v>
      </c>
      <c r="G1982" s="34">
        <v>25886.400000000001</v>
      </c>
      <c r="H1982" s="34"/>
      <c r="I1982" s="34">
        <f t="shared" si="31"/>
        <v>25886.400000000001</v>
      </c>
      <c r="K1982" t="s">
        <v>38</v>
      </c>
    </row>
    <row r="1983" spans="2:11" ht="24.75" x14ac:dyDescent="0.2">
      <c r="B1983" s="33" t="s">
        <v>2817</v>
      </c>
      <c r="C1983" s="33" t="s">
        <v>282</v>
      </c>
      <c r="D1983"/>
      <c r="E1983" s="35">
        <f>SUMIFS(E1984:E9015,K1984:K9015,"0",B1984:B9015,"4 2 1 1 1 12 31111 6 M59 19000 000000 00000 00001*")-SUMIFS(D1984:D9015,K1984:K9015,"0",B1984:B9015,"4 2 1 1 1 12 31111 6 M59 19000 000000 00000 00001*")</f>
        <v>0</v>
      </c>
      <c r="F1983" s="35">
        <f>SUMIFS(F1984:F9015,K1984:K9015,"0",B1984:B9015,"4 2 1 1 1 12 31111 6 M59 19000 000000 00000 00001*")</f>
        <v>0</v>
      </c>
      <c r="G1983" s="35">
        <f>SUMIFS(G1984:G9015,K1984:K9015,"0",B1984:B9015,"4 2 1 1 1 12 31111 6 M59 19000 000000 00000 00001*")</f>
        <v>1601304.53</v>
      </c>
      <c r="H1983" s="35"/>
      <c r="I1983" s="35">
        <f t="shared" si="31"/>
        <v>1601304.53</v>
      </c>
      <c r="K1983" t="s">
        <v>15</v>
      </c>
    </row>
    <row r="1984" spans="2:11" ht="24.75" x14ac:dyDescent="0.2">
      <c r="B1984" s="33" t="s">
        <v>2818</v>
      </c>
      <c r="C1984" s="33" t="s">
        <v>2777</v>
      </c>
      <c r="D1984"/>
      <c r="E1984" s="35">
        <f>SUMIFS(E1985:E9015,K1985:K9015,"0",B1985:B9015,"4 2 1 1 1 12 31111 6 M59 19000 000000 00000 00001 00081*")-SUMIFS(D1985:D9015,K1985:K9015,"0",B1985:B9015,"4 2 1 1 1 12 31111 6 M59 19000 000000 00000 00001 00081*")</f>
        <v>0</v>
      </c>
      <c r="F1984" s="35">
        <f>SUMIFS(F1985:F9015,K1985:K9015,"0",B1985:B9015,"4 2 1 1 1 12 31111 6 M59 19000 000000 00000 00001 00081*")</f>
        <v>0</v>
      </c>
      <c r="G1984" s="35">
        <f>SUMIFS(G1985:G9015,K1985:K9015,"0",B1985:B9015,"4 2 1 1 1 12 31111 6 M59 19000 000000 00000 00001 00081*")</f>
        <v>1601304.53</v>
      </c>
      <c r="H1984" s="35"/>
      <c r="I1984" s="35">
        <f t="shared" si="31"/>
        <v>1601304.53</v>
      </c>
      <c r="K1984" t="s">
        <v>15</v>
      </c>
    </row>
    <row r="1985" spans="2:11" ht="24.75" x14ac:dyDescent="0.2">
      <c r="B1985" s="33" t="s">
        <v>2819</v>
      </c>
      <c r="C1985" s="33" t="s">
        <v>1051</v>
      </c>
      <c r="D1985"/>
      <c r="E1985" s="35">
        <f>SUMIFS(E1986:E9015,K1986:K9015,"0",B1986:B9015,"4 2 1 1 1 12 31111 6 M59 19000 000000 00000 00001 00081 015*")-SUMIFS(D1986:D9015,K1986:K9015,"0",B1986:B9015,"4 2 1 1 1 12 31111 6 M59 19000 000000 00000 00001 00081 015*")</f>
        <v>0</v>
      </c>
      <c r="F1985" s="35">
        <f>SUMIFS(F1986:F9015,K1986:K9015,"0",B1986:B9015,"4 2 1 1 1 12 31111 6 M59 19000 000000 00000 00001 00081 015*")</f>
        <v>0</v>
      </c>
      <c r="G1985" s="35">
        <f>SUMIFS(G1986:G9015,K1986:K9015,"0",B1986:B9015,"4 2 1 1 1 12 31111 6 M59 19000 000000 00000 00001 00081 015*")</f>
        <v>1601304.53</v>
      </c>
      <c r="H1985" s="35"/>
      <c r="I1985" s="35">
        <f t="shared" si="31"/>
        <v>1601304.53</v>
      </c>
      <c r="K1985" t="s">
        <v>15</v>
      </c>
    </row>
    <row r="1986" spans="2:11" ht="33" x14ac:dyDescent="0.2">
      <c r="B1986" s="33" t="s">
        <v>2820</v>
      </c>
      <c r="C1986" s="33" t="s">
        <v>2777</v>
      </c>
      <c r="D1986"/>
      <c r="E1986" s="35">
        <f>SUMIFS(E1987:E9015,K1987:K9015,"0",B1987:B9015,"4 2 1 1 1 12 31111 6 M59 19000 000000 00000 00001 00081 015 1190000*")-SUMIFS(D1987:D9015,K1987:K9015,"0",B1987:B9015,"4 2 1 1 1 12 31111 6 M59 19000 000000 00000 00001 00081 015 1190000*")</f>
        <v>0</v>
      </c>
      <c r="F1986" s="35">
        <f>SUMIFS(F1987:F9015,K1987:K9015,"0",B1987:B9015,"4 2 1 1 1 12 31111 6 M59 19000 000000 00000 00001 00081 015 1190000*")</f>
        <v>0</v>
      </c>
      <c r="G1986" s="35">
        <f>SUMIFS(G1987:G9015,K1987:K9015,"0",B1987:B9015,"4 2 1 1 1 12 31111 6 M59 19000 000000 00000 00001 00081 015 1190000*")</f>
        <v>1601304.53</v>
      </c>
      <c r="H1986" s="35"/>
      <c r="I1986" s="35">
        <f t="shared" si="31"/>
        <v>1601304.53</v>
      </c>
      <c r="K1986" t="s">
        <v>15</v>
      </c>
    </row>
    <row r="1987" spans="2:11" ht="33" x14ac:dyDescent="0.2">
      <c r="B1987" s="33" t="s">
        <v>2821</v>
      </c>
      <c r="C1987" s="33" t="s">
        <v>660</v>
      </c>
      <c r="D1987"/>
      <c r="E1987" s="35">
        <f>SUMIFS(E1988:E9015,K1988:K9015,"0",B1988:B9015,"4 2 1 1 1 12 31111 6 M59 19000 000000 00000 00001 00081 015 1190000 2024*")-SUMIFS(D1988:D9015,K1988:K9015,"0",B1988:B9015,"4 2 1 1 1 12 31111 6 M59 19000 000000 00000 00001 00081 015 1190000 2024*")</f>
        <v>0</v>
      </c>
      <c r="F1987" s="35">
        <f>SUMIFS(F1988:F9015,K1988:K9015,"0",B1988:B9015,"4 2 1 1 1 12 31111 6 M59 19000 000000 00000 00001 00081 015 1190000 2024*")</f>
        <v>0</v>
      </c>
      <c r="G1987" s="35">
        <f>SUMIFS(G1988:G9015,K1988:K9015,"0",B1988:B9015,"4 2 1 1 1 12 31111 6 M59 19000 000000 00000 00001 00081 015 1190000 2024*")</f>
        <v>1601304.53</v>
      </c>
      <c r="H1987" s="35"/>
      <c r="I1987" s="35">
        <f t="shared" si="31"/>
        <v>1601304.53</v>
      </c>
      <c r="K1987" t="s">
        <v>15</v>
      </c>
    </row>
    <row r="1988" spans="2:11" ht="41.25" x14ac:dyDescent="0.2">
      <c r="B1988" s="33" t="s">
        <v>2822</v>
      </c>
      <c r="C1988" s="33" t="s">
        <v>2732</v>
      </c>
      <c r="D1988"/>
      <c r="E1988" s="35">
        <f>SUMIFS(E1989:E9015,K1989:K9015,"0",B1989:B9015,"4 2 1 1 1 12 31111 6 M59 19000 000000 00000 00001 00081 015 1190000 2024 00000000*")-SUMIFS(D1989:D9015,K1989:K9015,"0",B1989:B9015,"4 2 1 1 1 12 31111 6 M59 19000 000000 00000 00001 00081 015 1190000 2024 00000000*")</f>
        <v>0</v>
      </c>
      <c r="F1988" s="35">
        <f>SUMIFS(F1989:F9015,K1989:K9015,"0",B1989:B9015,"4 2 1 1 1 12 31111 6 M59 19000 000000 00000 00001 00081 015 1190000 2024 00000000*")</f>
        <v>0</v>
      </c>
      <c r="G1988" s="35">
        <f>SUMIFS(G1989:G9015,K1989:K9015,"0",B1989:B9015,"4 2 1 1 1 12 31111 6 M59 19000 000000 00000 00001 00081 015 1190000 2024 00000000*")</f>
        <v>1601304.53</v>
      </c>
      <c r="H1988" s="35"/>
      <c r="I1988" s="35">
        <f t="shared" si="31"/>
        <v>1601304.53</v>
      </c>
      <c r="K1988" t="s">
        <v>15</v>
      </c>
    </row>
    <row r="1989" spans="2:11" ht="41.25" x14ac:dyDescent="0.2">
      <c r="B1989" s="33" t="s">
        <v>2823</v>
      </c>
      <c r="C1989" s="33" t="s">
        <v>1075</v>
      </c>
      <c r="D1989"/>
      <c r="E1989" s="35">
        <f>SUMIFS(E1990:E9015,K1990:K9015,"0",B1990:B9015,"4 2 1 1 1 12 31111 6 M59 19000 000000 00000 00001 00081 015 1190000 2024 00000000 005*")-SUMIFS(D1990:D9015,K1990:K9015,"0",B1990:B9015,"4 2 1 1 1 12 31111 6 M59 19000 000000 00000 00001 00081 015 1190000 2024 00000000 005*")</f>
        <v>0</v>
      </c>
      <c r="F1989" s="35">
        <f>SUMIFS(F1990:F9015,K1990:K9015,"0",B1990:B9015,"4 2 1 1 1 12 31111 6 M59 19000 000000 00000 00001 00081 015 1190000 2024 00000000 005*")</f>
        <v>0</v>
      </c>
      <c r="G1989" s="35">
        <f>SUMIFS(G1990:G9015,K1990:K9015,"0",B1990:B9015,"4 2 1 1 1 12 31111 6 M59 19000 000000 00000 00001 00081 015 1190000 2024 00000000 005*")</f>
        <v>1601304.53</v>
      </c>
      <c r="H1989" s="35"/>
      <c r="I1989" s="35">
        <f t="shared" si="31"/>
        <v>1601304.53</v>
      </c>
      <c r="K1989" t="s">
        <v>15</v>
      </c>
    </row>
    <row r="1990" spans="2:11" ht="49.5" x14ac:dyDescent="0.2">
      <c r="B1990" s="33" t="s">
        <v>2824</v>
      </c>
      <c r="C1990" s="33" t="s">
        <v>2794</v>
      </c>
      <c r="D1990"/>
      <c r="E1990" s="35">
        <f>SUMIFS(E1991:E9015,K1991:K9015,"0",B1991:B9015,"4 2 1 1 1 12 31111 6 M59 19000 000000 00000 00001 00081 015 1190000 2024 00000000 005 0000081*")-SUMIFS(D1991:D9015,K1991:K9015,"0",B1991:B9015,"4 2 1 1 1 12 31111 6 M59 19000 000000 00000 00001 00081 015 1190000 2024 00000000 005 0000081*")</f>
        <v>0</v>
      </c>
      <c r="F1990" s="35">
        <f>SUMIFS(F1991:F9015,K1991:K9015,"0",B1991:B9015,"4 2 1 1 1 12 31111 6 M59 19000 000000 00000 00001 00081 015 1190000 2024 00000000 005 0000081*")</f>
        <v>0</v>
      </c>
      <c r="G1990" s="35">
        <f>SUMIFS(G1991:G9015,K1991:K9015,"0",B1991:B9015,"4 2 1 1 1 12 31111 6 M59 19000 000000 00000 00001 00081 015 1190000 2024 00000000 005 0000081*")</f>
        <v>1601304.53</v>
      </c>
      <c r="H1990" s="35"/>
      <c r="I1990" s="35">
        <f t="shared" si="31"/>
        <v>1601304.53</v>
      </c>
      <c r="K1990" t="s">
        <v>15</v>
      </c>
    </row>
    <row r="1991" spans="2:11" ht="41.25" x14ac:dyDescent="0.2">
      <c r="B1991" s="31" t="s">
        <v>2825</v>
      </c>
      <c r="C1991" s="31" t="s">
        <v>2826</v>
      </c>
      <c r="D1991" s="34"/>
      <c r="E1991" s="34">
        <v>0</v>
      </c>
      <c r="F1991" s="34">
        <v>0</v>
      </c>
      <c r="G1991" s="34">
        <v>1601304.53</v>
      </c>
      <c r="H1991" s="34"/>
      <c r="I1991" s="34">
        <f t="shared" si="31"/>
        <v>1601304.53</v>
      </c>
      <c r="K1991" t="s">
        <v>38</v>
      </c>
    </row>
    <row r="1992" spans="2:11" ht="12.75" x14ac:dyDescent="0.2">
      <c r="B1992" s="33" t="s">
        <v>2827</v>
      </c>
      <c r="C1992" s="33" t="s">
        <v>2131</v>
      </c>
      <c r="D1992"/>
      <c r="E1992" s="35">
        <f>SUMIFS(E1993:E9015,K1993:K9015,"0",B1993:B9015,"4 2 1 2*")-SUMIFS(D1993:D9015,K1993:K9015,"0",B1993:B9015,"4 2 1 2*")</f>
        <v>0</v>
      </c>
      <c r="F1992" s="35">
        <f>SUMIFS(F1993:F9015,K1993:K9015,"0",B1993:B9015,"4 2 1 2*")</f>
        <v>0</v>
      </c>
      <c r="G1992" s="35">
        <f>SUMIFS(G1993:G9015,K1993:K9015,"0",B1993:B9015,"4 2 1 2*")</f>
        <v>165721340.92000002</v>
      </c>
      <c r="H1992" s="35"/>
      <c r="I1992" s="35">
        <f t="shared" si="31"/>
        <v>165721340.92000002</v>
      </c>
      <c r="K1992" t="s">
        <v>15</v>
      </c>
    </row>
    <row r="1993" spans="2:11" ht="12.75" x14ac:dyDescent="0.2">
      <c r="B1993" s="33" t="s">
        <v>2828</v>
      </c>
      <c r="C1993" s="33" t="s">
        <v>2131</v>
      </c>
      <c r="D1993"/>
      <c r="E1993" s="35">
        <f>SUMIFS(E1994:E9015,K1994:K9015,"0",B1994:B9015,"4 2 1 2 1*")-SUMIFS(D1994:D9015,K1994:K9015,"0",B1994:B9015,"4 2 1 2 1*")</f>
        <v>0</v>
      </c>
      <c r="F1993" s="35">
        <f>SUMIFS(F1994:F9015,K1994:K9015,"0",B1994:B9015,"4 2 1 2 1*")</f>
        <v>0</v>
      </c>
      <c r="G1993" s="35">
        <f>SUMIFS(G1994:G9015,K1994:K9015,"0",B1994:B9015,"4 2 1 2 1*")</f>
        <v>165721340.92000002</v>
      </c>
      <c r="H1993" s="35"/>
      <c r="I1993" s="35">
        <f t="shared" si="31"/>
        <v>165721340.92000002</v>
      </c>
      <c r="K1993" t="s">
        <v>15</v>
      </c>
    </row>
    <row r="1994" spans="2:11" ht="12.75" x14ac:dyDescent="0.2">
      <c r="B1994" s="33" t="s">
        <v>2829</v>
      </c>
      <c r="C1994" s="33" t="s">
        <v>26</v>
      </c>
      <c r="D1994"/>
      <c r="E1994" s="35">
        <f>SUMIFS(E1995:E9015,K1995:K9015,"0",B1995:B9015,"4 2 1 2 1 12*")-SUMIFS(D1995:D9015,K1995:K9015,"0",B1995:B9015,"4 2 1 2 1 12*")</f>
        <v>0</v>
      </c>
      <c r="F1994" s="35">
        <f>SUMIFS(F1995:F9015,K1995:K9015,"0",B1995:B9015,"4 2 1 2 1 12*")</f>
        <v>0</v>
      </c>
      <c r="G1994" s="35">
        <f>SUMIFS(G1995:G9015,K1995:K9015,"0",B1995:B9015,"4 2 1 2 1 12*")</f>
        <v>165721340.92000002</v>
      </c>
      <c r="H1994" s="35"/>
      <c r="I1994" s="35">
        <f t="shared" si="31"/>
        <v>165721340.92000002</v>
      </c>
      <c r="K1994" t="s">
        <v>15</v>
      </c>
    </row>
    <row r="1995" spans="2:11" ht="16.5" x14ac:dyDescent="0.2">
      <c r="B1995" s="33" t="s">
        <v>2830</v>
      </c>
      <c r="C1995" s="33" t="s">
        <v>28</v>
      </c>
      <c r="D1995"/>
      <c r="E1995" s="35">
        <f>SUMIFS(E1996:E9015,K1996:K9015,"0",B1996:B9015,"4 2 1 2 1 12 31111*")-SUMIFS(D1996:D9015,K1996:K9015,"0",B1996:B9015,"4 2 1 2 1 12 31111*")</f>
        <v>0</v>
      </c>
      <c r="F1995" s="35">
        <f>SUMIFS(F1996:F9015,K1996:K9015,"0",B1996:B9015,"4 2 1 2 1 12 31111*")</f>
        <v>0</v>
      </c>
      <c r="G1995" s="35">
        <f>SUMIFS(G1996:G9015,K1996:K9015,"0",B1996:B9015,"4 2 1 2 1 12 31111*")</f>
        <v>165721340.92000002</v>
      </c>
      <c r="H1995" s="35"/>
      <c r="I1995" s="35">
        <f t="shared" si="31"/>
        <v>165721340.92000002</v>
      </c>
      <c r="K1995" t="s">
        <v>15</v>
      </c>
    </row>
    <row r="1996" spans="2:11" ht="12.75" x14ac:dyDescent="0.2">
      <c r="B1996" s="33" t="s">
        <v>2831</v>
      </c>
      <c r="C1996" s="33" t="s">
        <v>30</v>
      </c>
      <c r="D1996"/>
      <c r="E1996" s="35">
        <f>SUMIFS(E1997:E9015,K1997:K9015,"0",B1997:B9015,"4 2 1 2 1 12 31111 6*")-SUMIFS(D1997:D9015,K1997:K9015,"0",B1997:B9015,"4 2 1 2 1 12 31111 6*")</f>
        <v>0</v>
      </c>
      <c r="F1996" s="35">
        <f>SUMIFS(F1997:F9015,K1997:K9015,"0",B1997:B9015,"4 2 1 2 1 12 31111 6*")</f>
        <v>0</v>
      </c>
      <c r="G1996" s="35">
        <f>SUMIFS(G1997:G9015,K1997:K9015,"0",B1997:B9015,"4 2 1 2 1 12 31111 6*")</f>
        <v>165721340.92000002</v>
      </c>
      <c r="H1996" s="35"/>
      <c r="I1996" s="35">
        <f t="shared" si="31"/>
        <v>165721340.92000002</v>
      </c>
      <c r="K1996" t="s">
        <v>15</v>
      </c>
    </row>
    <row r="1997" spans="2:11" ht="16.5" x14ac:dyDescent="0.2">
      <c r="B1997" s="33" t="s">
        <v>2832</v>
      </c>
      <c r="C1997" s="33" t="s">
        <v>140</v>
      </c>
      <c r="D1997"/>
      <c r="E1997" s="35">
        <f>SUMIFS(E1998:E9015,K1998:K9015,"0",B1998:B9015,"4 2 1 2 1 12 31111 6 M59*")-SUMIFS(D1998:D9015,K1998:K9015,"0",B1998:B9015,"4 2 1 2 1 12 31111 6 M59*")</f>
        <v>0</v>
      </c>
      <c r="F1997" s="35">
        <f>SUMIFS(F1998:F9015,K1998:K9015,"0",B1998:B9015,"4 2 1 2 1 12 31111 6 M59*")</f>
        <v>0</v>
      </c>
      <c r="G1997" s="35">
        <f>SUMIFS(G1998:G9015,K1998:K9015,"0",B1998:B9015,"4 2 1 2 1 12 31111 6 M59*")</f>
        <v>165721340.92000002</v>
      </c>
      <c r="H1997" s="35"/>
      <c r="I1997" s="35">
        <f t="shared" si="31"/>
        <v>165721340.92000002</v>
      </c>
      <c r="K1997" t="s">
        <v>15</v>
      </c>
    </row>
    <row r="1998" spans="2:11" ht="16.5" x14ac:dyDescent="0.2">
      <c r="B1998" s="33" t="s">
        <v>2833</v>
      </c>
      <c r="C1998" s="33" t="s">
        <v>1044</v>
      </c>
      <c r="D1998"/>
      <c r="E1998" s="35">
        <f>SUMIFS(E1999:E9015,K1999:K9015,"0",B1999:B9015,"4 2 1 2 1 12 31111 6 M59 19000*")-SUMIFS(D1999:D9015,K1999:K9015,"0",B1999:B9015,"4 2 1 2 1 12 31111 6 M59 19000*")</f>
        <v>0</v>
      </c>
      <c r="F1998" s="35">
        <f>SUMIFS(F1999:F9015,K1999:K9015,"0",B1999:B9015,"4 2 1 2 1 12 31111 6 M59 19000*")</f>
        <v>0</v>
      </c>
      <c r="G1998" s="35">
        <f>SUMIFS(G1999:G9015,K1999:K9015,"0",B1999:B9015,"4 2 1 2 1 12 31111 6 M59 19000*")</f>
        <v>165721340.92000002</v>
      </c>
      <c r="H1998" s="35"/>
      <c r="I1998" s="35">
        <f t="shared" si="31"/>
        <v>165721340.92000002</v>
      </c>
      <c r="K1998" t="s">
        <v>15</v>
      </c>
    </row>
    <row r="1999" spans="2:11" ht="16.5" x14ac:dyDescent="0.2">
      <c r="B1999" s="33" t="s">
        <v>2834</v>
      </c>
      <c r="C1999" s="33" t="s">
        <v>2287</v>
      </c>
      <c r="D1999"/>
      <c r="E1999" s="35">
        <f>SUMIFS(E2000:E9015,K2000:K9015,"0",B2000:B9015,"4 2 1 2 1 12 31111 6 M59 19000 000000*")-SUMIFS(D2000:D9015,K2000:K9015,"0",B2000:B9015,"4 2 1 2 1 12 31111 6 M59 19000 000000*")</f>
        <v>0</v>
      </c>
      <c r="F1999" s="35">
        <f>SUMIFS(F2000:F9015,K2000:K9015,"0",B2000:B9015,"4 2 1 2 1 12 31111 6 M59 19000 000000*")</f>
        <v>0</v>
      </c>
      <c r="G1999" s="35">
        <f>SUMIFS(G2000:G9015,K2000:K9015,"0",B2000:B9015,"4 2 1 2 1 12 31111 6 M59 19000 000000*")</f>
        <v>165721340.92000002</v>
      </c>
      <c r="H1999" s="35"/>
      <c r="I1999" s="35">
        <f t="shared" si="31"/>
        <v>165721340.92000002</v>
      </c>
      <c r="K1999" t="s">
        <v>15</v>
      </c>
    </row>
    <row r="2000" spans="2:11" ht="24.75" x14ac:dyDescent="0.2">
      <c r="B2000" s="33" t="s">
        <v>2835</v>
      </c>
      <c r="C2000" s="33" t="s">
        <v>2289</v>
      </c>
      <c r="D2000"/>
      <c r="E2000" s="35">
        <f>SUMIFS(E2001:E9015,K2001:K9015,"0",B2001:B9015,"4 2 1 2 1 12 31111 6 M59 19000 000000 00000*")-SUMIFS(D2001:D9015,K2001:K9015,"0",B2001:B9015,"4 2 1 2 1 12 31111 6 M59 19000 000000 00000*")</f>
        <v>0</v>
      </c>
      <c r="F2000" s="35">
        <f>SUMIFS(F2001:F9015,K2001:K9015,"0",B2001:B9015,"4 2 1 2 1 12 31111 6 M59 19000 000000 00000*")</f>
        <v>0</v>
      </c>
      <c r="G2000" s="35">
        <f>SUMIFS(G2001:G9015,K2001:K9015,"0",B2001:B9015,"4 2 1 2 1 12 31111 6 M59 19000 000000 00000*")</f>
        <v>165721340.92000002</v>
      </c>
      <c r="H2000" s="35"/>
      <c r="I2000" s="35">
        <f t="shared" si="31"/>
        <v>165721340.92000002</v>
      </c>
      <c r="K2000" t="s">
        <v>15</v>
      </c>
    </row>
    <row r="2001" spans="2:11" ht="24.75" x14ac:dyDescent="0.2">
      <c r="B2001" s="33" t="s">
        <v>2836</v>
      </c>
      <c r="C2001" s="33" t="s">
        <v>2291</v>
      </c>
      <c r="D2001"/>
      <c r="E2001" s="35">
        <f>SUMIFS(E2002:E9015,K2002:K9015,"0",B2002:B9015,"4 2 1 2 1 12 31111 6 M59 19000 000000 00000 00000*")-SUMIFS(D2002:D9015,K2002:K9015,"0",B2002:B9015,"4 2 1 2 1 12 31111 6 M59 19000 000000 00000 00000*")</f>
        <v>0</v>
      </c>
      <c r="F2001" s="35">
        <f>SUMIFS(F2002:F9015,K2002:K9015,"0",B2002:B9015,"4 2 1 2 1 12 31111 6 M59 19000 000000 00000 00000*")</f>
        <v>0</v>
      </c>
      <c r="G2001" s="35">
        <f>SUMIFS(G2002:G9015,K2002:K9015,"0",B2002:B9015,"4 2 1 2 1 12 31111 6 M59 19000 000000 00000 00000*")</f>
        <v>165721340.92000002</v>
      </c>
      <c r="H2001" s="35"/>
      <c r="I2001" s="35">
        <f t="shared" si="31"/>
        <v>165721340.92000002</v>
      </c>
      <c r="K2001" t="s">
        <v>15</v>
      </c>
    </row>
    <row r="2002" spans="2:11" ht="24.75" x14ac:dyDescent="0.2">
      <c r="B2002" s="33" t="s">
        <v>2837</v>
      </c>
      <c r="C2002" s="33" t="s">
        <v>2131</v>
      </c>
      <c r="D2002"/>
      <c r="E2002" s="35">
        <f>SUMIFS(E2003:E9015,K2003:K9015,"0",B2003:B9015,"4 2 1 2 1 12 31111 6 M59 19000 000000 00000 00000 00082*")-SUMIFS(D2003:D9015,K2003:K9015,"0",B2003:B9015,"4 2 1 2 1 12 31111 6 M59 19000 000000 00000 00000 00082*")</f>
        <v>0</v>
      </c>
      <c r="F2002" s="35">
        <f>SUMIFS(F2003:F9015,K2003:K9015,"0",B2003:B9015,"4 2 1 2 1 12 31111 6 M59 19000 000000 00000 00000 00082*")</f>
        <v>0</v>
      </c>
      <c r="G2002" s="35">
        <f>SUMIFS(G2003:G9015,K2003:K9015,"0",B2003:B9015,"4 2 1 2 1 12 31111 6 M59 19000 000000 00000 00000 00082*")</f>
        <v>165721340.92000002</v>
      </c>
      <c r="H2002" s="35"/>
      <c r="I2002" s="35">
        <f t="shared" si="31"/>
        <v>165721340.92000002</v>
      </c>
      <c r="K2002" t="s">
        <v>15</v>
      </c>
    </row>
    <row r="2003" spans="2:11" ht="33" x14ac:dyDescent="0.2">
      <c r="B2003" s="33" t="s">
        <v>2838</v>
      </c>
      <c r="C2003" s="33" t="s">
        <v>656</v>
      </c>
      <c r="D2003"/>
      <c r="E2003" s="35">
        <f>SUMIFS(E2004:E9015,K2004:K9015,"0",B2004:B9015,"4 2 1 2 1 12 31111 6 M59 19000 000000 00000 00000 00082 025*")-SUMIFS(D2004:D9015,K2004:K9015,"0",B2004:B9015,"4 2 1 2 1 12 31111 6 M59 19000 000000 00000 00000 00082 025*")</f>
        <v>0</v>
      </c>
      <c r="F2003" s="35">
        <f>SUMIFS(F2004:F9015,K2004:K9015,"0",B2004:B9015,"4 2 1 2 1 12 31111 6 M59 19000 000000 00000 00000 00082 025*")</f>
        <v>0</v>
      </c>
      <c r="G2003" s="35">
        <f>SUMIFS(G2004:G9015,K2004:K9015,"0",B2004:B9015,"4 2 1 2 1 12 31111 6 M59 19000 000000 00000 00000 00082 025*")</f>
        <v>165721340.92000002</v>
      </c>
      <c r="H2003" s="35"/>
      <c r="I2003" s="35">
        <f t="shared" si="31"/>
        <v>165721340.92000002</v>
      </c>
      <c r="K2003" t="s">
        <v>15</v>
      </c>
    </row>
    <row r="2004" spans="2:11" ht="33" x14ac:dyDescent="0.2">
      <c r="B2004" s="33" t="s">
        <v>2839</v>
      </c>
      <c r="C2004" s="33" t="s">
        <v>2708</v>
      </c>
      <c r="D2004"/>
      <c r="E2004" s="35">
        <f>SUMIFS(E2005:E9015,K2005:K9015,"0",B2005:B9015,"4 2 1 2 1 12 31111 6 M59 19000 000000 00000 00000 00082 025 1182300*")-SUMIFS(D2005:D9015,K2005:K9015,"0",B2005:B9015,"4 2 1 2 1 12 31111 6 M59 19000 000000 00000 00000 00082 025 1182300*")</f>
        <v>0</v>
      </c>
      <c r="F2004" s="35">
        <f>SUMIFS(F2005:F9015,K2005:K9015,"0",B2005:B9015,"4 2 1 2 1 12 31111 6 M59 19000 000000 00000 00000 00082 025 1182300*")</f>
        <v>0</v>
      </c>
      <c r="G2004" s="35">
        <f>SUMIFS(G2005:G9015,K2005:K9015,"0",B2005:B9015,"4 2 1 2 1 12 31111 6 M59 19000 000000 00000 00000 00082 025 1182300*")</f>
        <v>165721340.92000002</v>
      </c>
      <c r="H2004" s="35"/>
      <c r="I2004" s="35">
        <f t="shared" si="31"/>
        <v>165721340.92000002</v>
      </c>
      <c r="K2004" t="s">
        <v>15</v>
      </c>
    </row>
    <row r="2005" spans="2:11" ht="33" x14ac:dyDescent="0.2">
      <c r="B2005" s="33" t="s">
        <v>2840</v>
      </c>
      <c r="C2005" s="33" t="s">
        <v>660</v>
      </c>
      <c r="D2005"/>
      <c r="E2005" s="35">
        <f>SUMIFS(E2006:E9015,K2006:K9015,"0",B2006:B9015,"4 2 1 2 1 12 31111 6 M59 19000 000000 00000 00000 00082 025 1182300 2024*")-SUMIFS(D2006:D9015,K2006:K9015,"0",B2006:B9015,"4 2 1 2 1 12 31111 6 M59 19000 000000 00000 00000 00082 025 1182300 2024*")</f>
        <v>0</v>
      </c>
      <c r="F2005" s="35">
        <f>SUMIFS(F2006:F9015,K2006:K9015,"0",B2006:B9015,"4 2 1 2 1 12 31111 6 M59 19000 000000 00000 00000 00082 025 1182300 2024*")</f>
        <v>0</v>
      </c>
      <c r="G2005" s="35">
        <f>SUMIFS(G2006:G9015,K2006:K9015,"0",B2006:B9015,"4 2 1 2 1 12 31111 6 M59 19000 000000 00000 00000 00082 025 1182300 2024*")</f>
        <v>165721340.92000002</v>
      </c>
      <c r="H2005" s="35"/>
      <c r="I2005" s="35">
        <f t="shared" si="31"/>
        <v>165721340.92000002</v>
      </c>
      <c r="K2005" t="s">
        <v>15</v>
      </c>
    </row>
    <row r="2006" spans="2:11" ht="41.25" x14ac:dyDescent="0.2">
      <c r="B2006" s="33" t="s">
        <v>2841</v>
      </c>
      <c r="C2006" s="33" t="s">
        <v>2298</v>
      </c>
      <c r="D2006"/>
      <c r="E2006" s="35">
        <f>SUMIFS(E2007:E9015,K2007:K9015,"0",B2007:B9015,"4 2 1 2 1 12 31111 6 M59 19000 000000 00000 00000 00082 025 1182300 2024 00000000*")-SUMIFS(D2007:D9015,K2007:K9015,"0",B2007:B9015,"4 2 1 2 1 12 31111 6 M59 19000 000000 00000 00000 00082 025 1182300 2024 00000000*")</f>
        <v>0</v>
      </c>
      <c r="F2006" s="35">
        <f>SUMIFS(F2007:F9015,K2007:K9015,"0",B2007:B9015,"4 2 1 2 1 12 31111 6 M59 19000 000000 00000 00000 00082 025 1182300 2024 00000000*")</f>
        <v>0</v>
      </c>
      <c r="G2006" s="35">
        <f>SUMIFS(G2007:G9015,K2007:K9015,"0",B2007:B9015,"4 2 1 2 1 12 31111 6 M59 19000 000000 00000 00000 00082 025 1182300 2024 00000000*")</f>
        <v>165721340.92000002</v>
      </c>
      <c r="H2006" s="35"/>
      <c r="I2006" s="35">
        <f t="shared" si="31"/>
        <v>165721340.92000002</v>
      </c>
      <c r="K2006" t="s">
        <v>15</v>
      </c>
    </row>
    <row r="2007" spans="2:11" ht="41.25" x14ac:dyDescent="0.2">
      <c r="B2007" s="33" t="s">
        <v>2842</v>
      </c>
      <c r="C2007" s="33" t="s">
        <v>2843</v>
      </c>
      <c r="D2007"/>
      <c r="E2007" s="35">
        <f>SUMIFS(E2008:E9015,K2008:K9015,"0",B2008:B9015,"4 2 1 2 1 12 31111 6 M59 19000 000000 00000 00000 00082 025 1182300 2024 00000000 002*")-SUMIFS(D2008:D9015,K2008:K9015,"0",B2008:B9015,"4 2 1 2 1 12 31111 6 M59 19000 000000 00000 00000 00082 025 1182300 2024 00000000 002*")</f>
        <v>0</v>
      </c>
      <c r="F2007" s="35">
        <f>SUMIFS(F2008:F9015,K2008:K9015,"0",B2008:B9015,"4 2 1 2 1 12 31111 6 M59 19000 000000 00000 00000 00082 025 1182300 2024 00000000 002*")</f>
        <v>0</v>
      </c>
      <c r="G2007" s="35">
        <f>SUMIFS(G2008:G9015,K2008:K9015,"0",B2008:B9015,"4 2 1 2 1 12 31111 6 M59 19000 000000 00000 00000 00082 025 1182300 2024 00000000 002*")</f>
        <v>106310771</v>
      </c>
      <c r="H2007" s="35"/>
      <c r="I2007" s="35">
        <f t="shared" si="31"/>
        <v>106310771</v>
      </c>
      <c r="K2007" t="s">
        <v>15</v>
      </c>
    </row>
    <row r="2008" spans="2:11" ht="49.5" x14ac:dyDescent="0.2">
      <c r="B2008" s="33" t="s">
        <v>2844</v>
      </c>
      <c r="C2008" s="33" t="s">
        <v>2131</v>
      </c>
      <c r="D2008"/>
      <c r="E2008" s="35">
        <f>SUMIFS(E2009:E9015,K2009:K9015,"0",B2009:B9015,"4 2 1 2 1 12 31111 6 M59 19000 000000 00000 00000 00082 025 1182300 2024 00000000 002 0000001*")-SUMIFS(D2009:D9015,K2009:K9015,"0",B2009:B9015,"4 2 1 2 1 12 31111 6 M59 19000 000000 00000 00000 00082 025 1182300 2024 00000000 002 0000001*")</f>
        <v>0</v>
      </c>
      <c r="F2008" s="35">
        <f>SUMIFS(F2009:F9015,K2009:K9015,"0",B2009:B9015,"4 2 1 2 1 12 31111 6 M59 19000 000000 00000 00000 00082 025 1182300 2024 00000000 002 0000001*")</f>
        <v>0</v>
      </c>
      <c r="G2008" s="35">
        <f>SUMIFS(G2009:G9015,K2009:K9015,"0",B2009:B9015,"4 2 1 2 1 12 31111 6 M59 19000 000000 00000 00000 00082 025 1182300 2024 00000000 002 0000001*")</f>
        <v>106310771</v>
      </c>
      <c r="H2008" s="35"/>
      <c r="I2008" s="35">
        <f t="shared" si="31"/>
        <v>106310771</v>
      </c>
      <c r="K2008" t="s">
        <v>15</v>
      </c>
    </row>
    <row r="2009" spans="2:11" ht="41.25" x14ac:dyDescent="0.2">
      <c r="B2009" s="31" t="s">
        <v>2845</v>
      </c>
      <c r="C2009" s="31" t="s">
        <v>2846</v>
      </c>
      <c r="D2009" s="34"/>
      <c r="E2009" s="34">
        <v>0</v>
      </c>
      <c r="F2009" s="34">
        <v>0</v>
      </c>
      <c r="G2009" s="34">
        <v>106310771</v>
      </c>
      <c r="H2009" s="34"/>
      <c r="I2009" s="34">
        <f t="shared" si="31"/>
        <v>106310771</v>
      </c>
      <c r="K2009" t="s">
        <v>38</v>
      </c>
    </row>
    <row r="2010" spans="2:11" ht="41.25" x14ac:dyDescent="0.2">
      <c r="B2010" s="33" t="s">
        <v>2847</v>
      </c>
      <c r="C2010" s="33" t="s">
        <v>664</v>
      </c>
      <c r="D2010"/>
      <c r="E2010" s="35">
        <f>SUMIFS(E2011:E9015,K2011:K9015,"0",B2011:B9015,"4 2 1 2 1 12 31111 6 M59 19000 000000 00000 00000 00082 025 1182300 2024 00000000 003*")-SUMIFS(D2011:D9015,K2011:K9015,"0",B2011:B9015,"4 2 1 2 1 12 31111 6 M59 19000 000000 00000 00000 00082 025 1182300 2024 00000000 003*")</f>
        <v>0</v>
      </c>
      <c r="F2010" s="35">
        <f>SUMIFS(F2011:F9015,K2011:K9015,"0",B2011:B9015,"4 2 1 2 1 12 31111 6 M59 19000 000000 00000 00000 00082 025 1182300 2024 00000000 003*")</f>
        <v>0</v>
      </c>
      <c r="G2010" s="35">
        <f>SUMIFS(G2011:G9015,K2011:K9015,"0",B2011:B9015,"4 2 1 2 1 12 31111 6 M59 19000 000000 00000 00000 00082 025 1182300 2024 00000000 003*")</f>
        <v>59410569.920000002</v>
      </c>
      <c r="H2010" s="35"/>
      <c r="I2010" s="35">
        <f t="shared" si="31"/>
        <v>59410569.920000002</v>
      </c>
      <c r="K2010" t="s">
        <v>15</v>
      </c>
    </row>
    <row r="2011" spans="2:11" ht="49.5" x14ac:dyDescent="0.2">
      <c r="B2011" s="33" t="s">
        <v>2848</v>
      </c>
      <c r="C2011" s="33" t="s">
        <v>2849</v>
      </c>
      <c r="D2011"/>
      <c r="E2011" s="35">
        <f>SUMIFS(E2012:E9015,K2012:K9015,"0",B2012:B9015,"4 2 1 2 1 12 31111 6 M59 19000 000000 00000 00000 00082 025 1182300 2024 00000000 003 0000001*")-SUMIFS(D2012:D9015,K2012:K9015,"0",B2012:B9015,"4 2 1 2 1 12 31111 6 M59 19000 000000 00000 00000 00082 025 1182300 2024 00000000 003 0000001*")</f>
        <v>0</v>
      </c>
      <c r="F2011" s="35">
        <f>SUMIFS(F2012:F9015,K2012:K9015,"0",B2012:B9015,"4 2 1 2 1 12 31111 6 M59 19000 000000 00000 00000 00082 025 1182300 2024 00000000 003 0000001*")</f>
        <v>0</v>
      </c>
      <c r="G2011" s="35">
        <f>SUMIFS(G2012:G9015,K2012:K9015,"0",B2012:B9015,"4 2 1 2 1 12 31111 6 M59 19000 000000 00000 00000 00082 025 1182300 2024 00000000 003 0000001*")</f>
        <v>59410569.920000002</v>
      </c>
      <c r="H2011" s="35"/>
      <c r="I2011" s="35">
        <f t="shared" si="31"/>
        <v>59410569.920000002</v>
      </c>
      <c r="K2011" t="s">
        <v>15</v>
      </c>
    </row>
    <row r="2012" spans="2:11" ht="49.5" x14ac:dyDescent="0.2">
      <c r="B2012" s="33" t="s">
        <v>2850</v>
      </c>
      <c r="C2012" s="33" t="s">
        <v>2284</v>
      </c>
      <c r="D2012"/>
      <c r="E2012" s="35">
        <f>SUMIFS(E2013:E9015,K2013:K9015,"0",B2013:B9015,"4 2 1 2 1 12 31111 6 M59 19000 000000 00000 00000 00082 025 1182300 2024 00000000 003 0000001 00001*")-SUMIFS(D2013:D9015,K2013:K9015,"0",B2013:B9015,"4 2 1 2 1 12 31111 6 M59 19000 000000 00000 00000 00082 025 1182300 2024 00000000 003 0000001 00001*")</f>
        <v>0</v>
      </c>
      <c r="F2012" s="35">
        <f>SUMIFS(F2013:F9015,K2013:K9015,"0",B2013:B9015,"4 2 1 2 1 12 31111 6 M59 19000 000000 00000 00000 00082 025 1182300 2024 00000000 003 0000001 00001*")</f>
        <v>0</v>
      </c>
      <c r="G2012" s="35">
        <f>SUMIFS(G2013:G9015,K2013:K9015,"0",B2013:B9015,"4 2 1 2 1 12 31111 6 M59 19000 000000 00000 00000 00082 025 1182300 2024 00000000 003 0000001 00001*")</f>
        <v>59410569.920000002</v>
      </c>
      <c r="H2012" s="35"/>
      <c r="I2012" s="35">
        <f t="shared" si="31"/>
        <v>59410569.920000002</v>
      </c>
      <c r="K2012" t="s">
        <v>15</v>
      </c>
    </row>
    <row r="2013" spans="2:11" ht="41.25" x14ac:dyDescent="0.2">
      <c r="B2013" s="31" t="s">
        <v>2851</v>
      </c>
      <c r="C2013" s="31" t="s">
        <v>2852</v>
      </c>
      <c r="D2013" s="34"/>
      <c r="E2013" s="34">
        <v>0</v>
      </c>
      <c r="F2013" s="34">
        <v>0</v>
      </c>
      <c r="G2013" s="34">
        <v>59410569.920000002</v>
      </c>
      <c r="H2013" s="34"/>
      <c r="I2013" s="34">
        <f t="shared" si="31"/>
        <v>59410569.920000002</v>
      </c>
      <c r="K2013" t="s">
        <v>38</v>
      </c>
    </row>
    <row r="2014" spans="2:11" ht="12.75" x14ac:dyDescent="0.2">
      <c r="B2014" s="33" t="s">
        <v>2853</v>
      </c>
      <c r="C2014" s="33" t="s">
        <v>2854</v>
      </c>
      <c r="D2014"/>
      <c r="E2014" s="35">
        <f>SUMIFS(E2015:E9015,K2015:K9015,"0",B2015:B9015,"4 2 1 3*")-SUMIFS(D2015:D9015,K2015:K9015,"0",B2015:B9015,"4 2 1 3*")</f>
        <v>0</v>
      </c>
      <c r="F2014" s="35">
        <f>SUMIFS(F2015:F9015,K2015:K9015,"0",B2015:B9015,"4 2 1 3*")</f>
        <v>0</v>
      </c>
      <c r="G2014" s="35">
        <f>SUMIFS(G2015:G9015,K2015:K9015,"0",B2015:B9015,"4 2 1 3*")</f>
        <v>1630219</v>
      </c>
      <c r="H2014" s="35"/>
      <c r="I2014" s="35">
        <f t="shared" si="31"/>
        <v>1630219</v>
      </c>
      <c r="K2014" t="s">
        <v>15</v>
      </c>
    </row>
    <row r="2015" spans="2:11" ht="12.75" x14ac:dyDescent="0.2">
      <c r="B2015" s="33" t="s">
        <v>2855</v>
      </c>
      <c r="C2015" s="33" t="s">
        <v>2854</v>
      </c>
      <c r="D2015"/>
      <c r="E2015" s="35">
        <f>SUMIFS(E2016:E9015,K2016:K9015,"0",B2016:B9015,"4 2 1 3 1*")-SUMIFS(D2016:D9015,K2016:K9015,"0",B2016:B9015,"4 2 1 3 1*")</f>
        <v>0</v>
      </c>
      <c r="F2015" s="35">
        <f>SUMIFS(F2016:F9015,K2016:K9015,"0",B2016:B9015,"4 2 1 3 1*")</f>
        <v>0</v>
      </c>
      <c r="G2015" s="35">
        <f>SUMIFS(G2016:G9015,K2016:K9015,"0",B2016:B9015,"4 2 1 3 1*")</f>
        <v>1630219</v>
      </c>
      <c r="H2015" s="35"/>
      <c r="I2015" s="35">
        <f t="shared" si="31"/>
        <v>1630219</v>
      </c>
      <c r="K2015" t="s">
        <v>15</v>
      </c>
    </row>
    <row r="2016" spans="2:11" ht="12.75" x14ac:dyDescent="0.2">
      <c r="B2016" s="33" t="s">
        <v>2856</v>
      </c>
      <c r="C2016" s="33" t="s">
        <v>26</v>
      </c>
      <c r="D2016"/>
      <c r="E2016" s="35">
        <f>SUMIFS(E2017:E9015,K2017:K9015,"0",B2017:B9015,"4 2 1 3 1 12*")-SUMIFS(D2017:D9015,K2017:K9015,"0",B2017:B9015,"4 2 1 3 1 12*")</f>
        <v>0</v>
      </c>
      <c r="F2016" s="35">
        <f>SUMIFS(F2017:F9015,K2017:K9015,"0",B2017:B9015,"4 2 1 3 1 12*")</f>
        <v>0</v>
      </c>
      <c r="G2016" s="35">
        <f>SUMIFS(G2017:G9015,K2017:K9015,"0",B2017:B9015,"4 2 1 3 1 12*")</f>
        <v>1630219</v>
      </c>
      <c r="H2016" s="35"/>
      <c r="I2016" s="35">
        <f t="shared" si="31"/>
        <v>1630219</v>
      </c>
      <c r="K2016" t="s">
        <v>15</v>
      </c>
    </row>
    <row r="2017" spans="2:11" ht="16.5" x14ac:dyDescent="0.2">
      <c r="B2017" s="33" t="s">
        <v>2857</v>
      </c>
      <c r="C2017" s="33" t="s">
        <v>28</v>
      </c>
      <c r="D2017"/>
      <c r="E2017" s="35">
        <f>SUMIFS(E2018:E9015,K2018:K9015,"0",B2018:B9015,"4 2 1 3 1 12 31111*")-SUMIFS(D2018:D9015,K2018:K9015,"0",B2018:B9015,"4 2 1 3 1 12 31111*")</f>
        <v>0</v>
      </c>
      <c r="F2017" s="35">
        <f>SUMIFS(F2018:F9015,K2018:K9015,"0",B2018:B9015,"4 2 1 3 1 12 31111*")</f>
        <v>0</v>
      </c>
      <c r="G2017" s="35">
        <f>SUMIFS(G2018:G9015,K2018:K9015,"0",B2018:B9015,"4 2 1 3 1 12 31111*")</f>
        <v>1630219</v>
      </c>
      <c r="H2017" s="35"/>
      <c r="I2017" s="35">
        <f t="shared" si="31"/>
        <v>1630219</v>
      </c>
      <c r="K2017" t="s">
        <v>15</v>
      </c>
    </row>
    <row r="2018" spans="2:11" ht="12.75" x14ac:dyDescent="0.2">
      <c r="B2018" s="33" t="s">
        <v>2858</v>
      </c>
      <c r="C2018" s="33" t="s">
        <v>30</v>
      </c>
      <c r="D2018"/>
      <c r="E2018" s="35">
        <f>SUMIFS(E2019:E9015,K2019:K9015,"0",B2019:B9015,"4 2 1 3 1 12 31111 6*")-SUMIFS(D2019:D9015,K2019:K9015,"0",B2019:B9015,"4 2 1 3 1 12 31111 6*")</f>
        <v>0</v>
      </c>
      <c r="F2018" s="35">
        <f>SUMIFS(F2019:F9015,K2019:K9015,"0",B2019:B9015,"4 2 1 3 1 12 31111 6*")</f>
        <v>0</v>
      </c>
      <c r="G2018" s="35">
        <f>SUMIFS(G2019:G9015,K2019:K9015,"0",B2019:B9015,"4 2 1 3 1 12 31111 6*")</f>
        <v>1630219</v>
      </c>
      <c r="H2018" s="35"/>
      <c r="I2018" s="35">
        <f t="shared" si="31"/>
        <v>1630219</v>
      </c>
      <c r="K2018" t="s">
        <v>15</v>
      </c>
    </row>
    <row r="2019" spans="2:11" ht="16.5" x14ac:dyDescent="0.2">
      <c r="B2019" s="33" t="s">
        <v>2859</v>
      </c>
      <c r="C2019" s="33" t="s">
        <v>2284</v>
      </c>
      <c r="D2019"/>
      <c r="E2019" s="35">
        <f>SUMIFS(E2020:E9015,K2020:K9015,"0",B2020:B9015,"4 2 1 3 1 12 31111 6 M59*")-SUMIFS(D2020:D9015,K2020:K9015,"0",B2020:B9015,"4 2 1 3 1 12 31111 6 M59*")</f>
        <v>0</v>
      </c>
      <c r="F2019" s="35">
        <f>SUMIFS(F2020:F9015,K2020:K9015,"0",B2020:B9015,"4 2 1 3 1 12 31111 6 M59*")</f>
        <v>0</v>
      </c>
      <c r="G2019" s="35">
        <f>SUMIFS(G2020:G9015,K2020:K9015,"0",B2020:B9015,"4 2 1 3 1 12 31111 6 M59*")</f>
        <v>1630219</v>
      </c>
      <c r="H2019" s="35"/>
      <c r="I2019" s="35">
        <f t="shared" si="31"/>
        <v>1630219</v>
      </c>
      <c r="K2019" t="s">
        <v>15</v>
      </c>
    </row>
    <row r="2020" spans="2:11" ht="16.5" x14ac:dyDescent="0.2">
      <c r="B2020" s="33" t="s">
        <v>2860</v>
      </c>
      <c r="C2020" s="33" t="s">
        <v>1044</v>
      </c>
      <c r="D2020"/>
      <c r="E2020" s="35">
        <f>SUMIFS(E2021:E9015,K2021:K9015,"0",B2021:B9015,"4 2 1 3 1 12 31111 6 M59 19000*")-SUMIFS(D2021:D9015,K2021:K9015,"0",B2021:B9015,"4 2 1 3 1 12 31111 6 M59 19000*")</f>
        <v>0</v>
      </c>
      <c r="F2020" s="35">
        <f>SUMIFS(F2021:F9015,K2021:K9015,"0",B2021:B9015,"4 2 1 3 1 12 31111 6 M59 19000*")</f>
        <v>0</v>
      </c>
      <c r="G2020" s="35">
        <f>SUMIFS(G2021:G9015,K2021:K9015,"0",B2021:B9015,"4 2 1 3 1 12 31111 6 M59 19000*")</f>
        <v>1630219</v>
      </c>
      <c r="H2020" s="35"/>
      <c r="I2020" s="35">
        <f t="shared" si="31"/>
        <v>1630219</v>
      </c>
      <c r="K2020" t="s">
        <v>15</v>
      </c>
    </row>
    <row r="2021" spans="2:11" ht="16.5" x14ac:dyDescent="0.2">
      <c r="B2021" s="33" t="s">
        <v>2861</v>
      </c>
      <c r="C2021" s="33" t="s">
        <v>2287</v>
      </c>
      <c r="D2021"/>
      <c r="E2021" s="35">
        <f>SUMIFS(E2022:E9015,K2022:K9015,"0",B2022:B9015,"4 2 1 3 1 12 31111 6 M59 19000 000000*")-SUMIFS(D2022:D9015,K2022:K9015,"0",B2022:B9015,"4 2 1 3 1 12 31111 6 M59 19000 000000*")</f>
        <v>0</v>
      </c>
      <c r="F2021" s="35">
        <f>SUMIFS(F2022:F9015,K2022:K9015,"0",B2022:B9015,"4 2 1 3 1 12 31111 6 M59 19000 000000*")</f>
        <v>0</v>
      </c>
      <c r="G2021" s="35">
        <f>SUMIFS(G2022:G9015,K2022:K9015,"0",B2022:B9015,"4 2 1 3 1 12 31111 6 M59 19000 000000*")</f>
        <v>1630219</v>
      </c>
      <c r="H2021" s="35"/>
      <c r="I2021" s="35">
        <f t="shared" si="31"/>
        <v>1630219</v>
      </c>
      <c r="K2021" t="s">
        <v>15</v>
      </c>
    </row>
    <row r="2022" spans="2:11" ht="24.75" x14ac:dyDescent="0.2">
      <c r="B2022" s="33" t="s">
        <v>2862</v>
      </c>
      <c r="C2022" s="33" t="s">
        <v>2289</v>
      </c>
      <c r="D2022"/>
      <c r="E2022" s="35">
        <f>SUMIFS(E2023:E9015,K2023:K9015,"0",B2023:B9015,"4 2 1 3 1 12 31111 6 M59 19000 000000 00000*")-SUMIFS(D2023:D9015,K2023:K9015,"0",B2023:B9015,"4 2 1 3 1 12 31111 6 M59 19000 000000 00000*")</f>
        <v>0</v>
      </c>
      <c r="F2022" s="35">
        <f>SUMIFS(F2023:F9015,K2023:K9015,"0",B2023:B9015,"4 2 1 3 1 12 31111 6 M59 19000 000000 00000*")</f>
        <v>0</v>
      </c>
      <c r="G2022" s="35">
        <f>SUMIFS(G2023:G9015,K2023:K9015,"0",B2023:B9015,"4 2 1 3 1 12 31111 6 M59 19000 000000 00000*")</f>
        <v>1630219</v>
      </c>
      <c r="H2022" s="35"/>
      <c r="I2022" s="35">
        <f t="shared" si="31"/>
        <v>1630219</v>
      </c>
      <c r="K2022" t="s">
        <v>15</v>
      </c>
    </row>
    <row r="2023" spans="2:11" ht="24.75" x14ac:dyDescent="0.2">
      <c r="B2023" s="33" t="s">
        <v>2863</v>
      </c>
      <c r="C2023" s="33" t="s">
        <v>2291</v>
      </c>
      <c r="D2023"/>
      <c r="E2023" s="35">
        <f>SUMIFS(E2024:E9015,K2024:K9015,"0",B2024:B9015,"4 2 1 3 1 12 31111 6 M59 19000 000000 00000 00000*")-SUMIFS(D2024:D9015,K2024:K9015,"0",B2024:B9015,"4 2 1 3 1 12 31111 6 M59 19000 000000 00000 00000*")</f>
        <v>0</v>
      </c>
      <c r="F2023" s="35">
        <f>SUMIFS(F2024:F9015,K2024:K9015,"0",B2024:B9015,"4 2 1 3 1 12 31111 6 M59 19000 000000 00000 00000*")</f>
        <v>0</v>
      </c>
      <c r="G2023" s="35">
        <f>SUMIFS(G2024:G9015,K2024:K9015,"0",B2024:B9015,"4 2 1 3 1 12 31111 6 M59 19000 000000 00000 00000*")</f>
        <v>1630219</v>
      </c>
      <c r="H2023" s="35"/>
      <c r="I2023" s="35">
        <f t="shared" si="31"/>
        <v>1630219</v>
      </c>
      <c r="K2023" t="s">
        <v>15</v>
      </c>
    </row>
    <row r="2024" spans="2:11" ht="24.75" x14ac:dyDescent="0.2">
      <c r="B2024" s="33" t="s">
        <v>2864</v>
      </c>
      <c r="C2024" s="33" t="s">
        <v>2854</v>
      </c>
      <c r="D2024"/>
      <c r="E2024" s="35">
        <f>SUMIFS(E2025:E9015,K2025:K9015,"0",B2025:B9015,"4 2 1 3 1 12 31111 6 M59 19000 000000 00000 00000 00083*")-SUMIFS(D2025:D9015,K2025:K9015,"0",B2025:B9015,"4 2 1 3 1 12 31111 6 M59 19000 000000 00000 00000 00083*")</f>
        <v>0</v>
      </c>
      <c r="F2024" s="35">
        <f>SUMIFS(F2025:F9015,K2025:K9015,"0",B2025:B9015,"4 2 1 3 1 12 31111 6 M59 19000 000000 00000 00000 00083*")</f>
        <v>0</v>
      </c>
      <c r="G2024" s="35">
        <f>SUMIFS(G2025:G9015,K2025:K9015,"0",B2025:B9015,"4 2 1 3 1 12 31111 6 M59 19000 000000 00000 00000 00083*")</f>
        <v>1630219</v>
      </c>
      <c r="H2024" s="35"/>
      <c r="I2024" s="35">
        <f t="shared" si="31"/>
        <v>1630219</v>
      </c>
      <c r="K2024" t="s">
        <v>15</v>
      </c>
    </row>
    <row r="2025" spans="2:11" ht="33" x14ac:dyDescent="0.2">
      <c r="B2025" s="33" t="s">
        <v>2865</v>
      </c>
      <c r="C2025" s="33" t="s">
        <v>699</v>
      </c>
      <c r="D2025"/>
      <c r="E2025" s="35">
        <f>SUMIFS(E2026:E9015,K2026:K9015,"0",B2026:B9015,"4 2 1 3 1 12 31111 6 M59 19000 000000 00000 00000 00083 011*")-SUMIFS(D2026:D9015,K2026:K9015,"0",B2026:B9015,"4 2 1 3 1 12 31111 6 M59 19000 000000 00000 00000 00083 011*")</f>
        <v>0</v>
      </c>
      <c r="F2025" s="35">
        <f>SUMIFS(F2026:F9015,K2026:K9015,"0",B2026:B9015,"4 2 1 3 1 12 31111 6 M59 19000 000000 00000 00000 00083 011*")</f>
        <v>0</v>
      </c>
      <c r="G2025" s="35">
        <f>SUMIFS(G2026:G9015,K2026:K9015,"0",B2026:B9015,"4 2 1 3 1 12 31111 6 M59 19000 000000 00000 00000 00083 011*")</f>
        <v>1630219</v>
      </c>
      <c r="H2025" s="35"/>
      <c r="I2025" s="35">
        <f t="shared" si="31"/>
        <v>1630219</v>
      </c>
      <c r="K2025" t="s">
        <v>15</v>
      </c>
    </row>
    <row r="2026" spans="2:11" ht="33" x14ac:dyDescent="0.2">
      <c r="B2026" s="33" t="s">
        <v>2866</v>
      </c>
      <c r="C2026" s="33" t="s">
        <v>2320</v>
      </c>
      <c r="D2026"/>
      <c r="E2026" s="35">
        <f>SUMIFS(E2027:E9015,K2027:K9015,"0",B2027:B9015,"4 2 1 3 1 12 31111 6 M59 19000 000000 00000 00000 00083 011 1113000*")-SUMIFS(D2027:D9015,K2027:K9015,"0",B2027:B9015,"4 2 1 3 1 12 31111 6 M59 19000 000000 00000 00000 00083 011 1113000*")</f>
        <v>0</v>
      </c>
      <c r="F2026" s="35">
        <f>SUMIFS(F2027:F9015,K2027:K9015,"0",B2027:B9015,"4 2 1 3 1 12 31111 6 M59 19000 000000 00000 00000 00083 011 1113000*")</f>
        <v>0</v>
      </c>
      <c r="G2026" s="35">
        <f>SUMIFS(G2027:G9015,K2027:K9015,"0",B2027:B9015,"4 2 1 3 1 12 31111 6 M59 19000 000000 00000 00000 00083 011 1113000*")</f>
        <v>1630219</v>
      </c>
      <c r="H2026" s="35"/>
      <c r="I2026" s="35">
        <f t="shared" si="31"/>
        <v>1630219</v>
      </c>
      <c r="K2026" t="s">
        <v>15</v>
      </c>
    </row>
    <row r="2027" spans="2:11" ht="33" x14ac:dyDescent="0.2">
      <c r="B2027" s="33" t="s">
        <v>2867</v>
      </c>
      <c r="C2027" s="33" t="s">
        <v>660</v>
      </c>
      <c r="D2027"/>
      <c r="E2027" s="35">
        <f>SUMIFS(E2028:E9015,K2028:K9015,"0",B2028:B9015,"4 2 1 3 1 12 31111 6 M59 19000 000000 00000 00000 00083 011 1113000 2024*")-SUMIFS(D2028:D9015,K2028:K9015,"0",B2028:B9015,"4 2 1 3 1 12 31111 6 M59 19000 000000 00000 00000 00083 011 1113000 2024*")</f>
        <v>0</v>
      </c>
      <c r="F2027" s="35">
        <f>SUMIFS(F2028:F9015,K2028:K9015,"0",B2028:B9015,"4 2 1 3 1 12 31111 6 M59 19000 000000 00000 00000 00083 011 1113000 2024*")</f>
        <v>0</v>
      </c>
      <c r="G2027" s="35">
        <f>SUMIFS(G2028:G9015,K2028:K9015,"0",B2028:B9015,"4 2 1 3 1 12 31111 6 M59 19000 000000 00000 00000 00083 011 1113000 2024*")</f>
        <v>1630219</v>
      </c>
      <c r="H2027" s="35"/>
      <c r="I2027" s="35">
        <f t="shared" si="31"/>
        <v>1630219</v>
      </c>
      <c r="K2027" t="s">
        <v>15</v>
      </c>
    </row>
    <row r="2028" spans="2:11" ht="41.25" x14ac:dyDescent="0.2">
      <c r="B2028" s="33" t="s">
        <v>2868</v>
      </c>
      <c r="C2028" s="33" t="s">
        <v>2298</v>
      </c>
      <c r="D2028"/>
      <c r="E2028" s="35">
        <f>SUMIFS(E2029:E9015,K2029:K9015,"0",B2029:B9015,"4 2 1 3 1 12 31111 6 M59 19000 000000 00000 00000 00083 011 1113000 2024 00000000*")-SUMIFS(D2029:D9015,K2029:K9015,"0",B2029:B9015,"4 2 1 3 1 12 31111 6 M59 19000 000000 00000 00000 00083 011 1113000 2024 00000000*")</f>
        <v>0</v>
      </c>
      <c r="F2028" s="35">
        <f>SUMIFS(F2029:F9015,K2029:K9015,"0",B2029:B9015,"4 2 1 3 1 12 31111 6 M59 19000 000000 00000 00000 00083 011 1113000 2024 00000000*")</f>
        <v>0</v>
      </c>
      <c r="G2028" s="35">
        <f>SUMIFS(G2029:G9015,K2029:K9015,"0",B2029:B9015,"4 2 1 3 1 12 31111 6 M59 19000 000000 00000 00000 00083 011 1113000 2024 00000000*")</f>
        <v>1630219</v>
      </c>
      <c r="H2028" s="35"/>
      <c r="I2028" s="35">
        <f t="shared" si="31"/>
        <v>1630219</v>
      </c>
      <c r="K2028" t="s">
        <v>15</v>
      </c>
    </row>
    <row r="2029" spans="2:11" ht="41.25" x14ac:dyDescent="0.2">
      <c r="B2029" s="33" t="s">
        <v>2869</v>
      </c>
      <c r="C2029" s="33" t="s">
        <v>2300</v>
      </c>
      <c r="D2029"/>
      <c r="E2029" s="35">
        <f>SUMIFS(E2030:E9015,K2030:K9015,"0",B2030:B9015,"4 2 1 3 1 12 31111 6 M59 19000 000000 00000 00000 00083 011 1113000 2024 00000000 004*")-SUMIFS(D2030:D9015,K2030:K9015,"0",B2030:B9015,"4 2 1 3 1 12 31111 6 M59 19000 000000 00000 00000 00083 011 1113000 2024 00000000 004*")</f>
        <v>0</v>
      </c>
      <c r="F2029" s="35">
        <f>SUMIFS(F2030:F9015,K2030:K9015,"0",B2030:B9015,"4 2 1 3 1 12 31111 6 M59 19000 000000 00000 00000 00083 011 1113000 2024 00000000 004*")</f>
        <v>0</v>
      </c>
      <c r="G2029" s="35">
        <f>SUMIFS(G2030:G9015,K2030:K9015,"0",B2030:B9015,"4 2 1 3 1 12 31111 6 M59 19000 000000 00000 00000 00083 011 1113000 2024 00000000 004*")</f>
        <v>1630219</v>
      </c>
      <c r="H2029" s="35"/>
      <c r="I2029" s="35">
        <f t="shared" si="31"/>
        <v>1630219</v>
      </c>
      <c r="K2029" t="s">
        <v>15</v>
      </c>
    </row>
    <row r="2030" spans="2:11" ht="49.5" x14ac:dyDescent="0.2">
      <c r="B2030" s="33" t="s">
        <v>2870</v>
      </c>
      <c r="C2030" s="33" t="s">
        <v>2854</v>
      </c>
      <c r="D2030"/>
      <c r="E2030" s="35">
        <f>SUMIFS(E2031:E9015,K2031:K9015,"0",B2031:B9015,"4 2 1 3 1 12 31111 6 M59 19000 000000 00000 00000 00083 011 1113000 2024 00000000 004 0000001*")-SUMIFS(D2031:D9015,K2031:K9015,"0",B2031:B9015,"4 2 1 3 1 12 31111 6 M59 19000 000000 00000 00000 00083 011 1113000 2024 00000000 004 0000001*")</f>
        <v>0</v>
      </c>
      <c r="F2030" s="35">
        <f>SUMIFS(F2031:F9015,K2031:K9015,"0",B2031:B9015,"4 2 1 3 1 12 31111 6 M59 19000 000000 00000 00000 00083 011 1113000 2024 00000000 004 0000001*")</f>
        <v>0</v>
      </c>
      <c r="G2030" s="35">
        <f>SUMIFS(G2031:G9015,K2031:K9015,"0",B2031:B9015,"4 2 1 3 1 12 31111 6 M59 19000 000000 00000 00000 00083 011 1113000 2024 00000000 004 0000001*")</f>
        <v>1630219</v>
      </c>
      <c r="H2030" s="35"/>
      <c r="I2030" s="35">
        <f t="shared" si="31"/>
        <v>1630219</v>
      </c>
      <c r="K2030" t="s">
        <v>15</v>
      </c>
    </row>
    <row r="2031" spans="2:11" ht="41.25" x14ac:dyDescent="0.2">
      <c r="B2031" s="31" t="s">
        <v>2871</v>
      </c>
      <c r="C2031" s="31" t="s">
        <v>2872</v>
      </c>
      <c r="D2031" s="34"/>
      <c r="E2031" s="34">
        <v>0</v>
      </c>
      <c r="F2031" s="34">
        <v>0</v>
      </c>
      <c r="G2031" s="34">
        <v>568478</v>
      </c>
      <c r="H2031" s="34"/>
      <c r="I2031" s="34">
        <f t="shared" ref="I2031:I2051" si="32">E2031 - F2031 + G2031</f>
        <v>568478</v>
      </c>
      <c r="K2031" t="s">
        <v>38</v>
      </c>
    </row>
    <row r="2032" spans="2:11" ht="41.25" x14ac:dyDescent="0.2">
      <c r="B2032" s="31" t="s">
        <v>2873</v>
      </c>
      <c r="C2032" s="31" t="s">
        <v>704</v>
      </c>
      <c r="D2032" s="34"/>
      <c r="E2032" s="34">
        <v>0</v>
      </c>
      <c r="F2032" s="34">
        <v>0</v>
      </c>
      <c r="G2032" s="34">
        <v>1061741</v>
      </c>
      <c r="H2032" s="34"/>
      <c r="I2032" s="34">
        <f t="shared" si="32"/>
        <v>1061741</v>
      </c>
      <c r="K2032" t="s">
        <v>38</v>
      </c>
    </row>
    <row r="2033" spans="2:11" ht="33" x14ac:dyDescent="0.2">
      <c r="B2033" s="33" t="s">
        <v>2874</v>
      </c>
      <c r="C2033" s="33" t="s">
        <v>2875</v>
      </c>
      <c r="D2033"/>
      <c r="E2033" s="35">
        <f>SUMIFS(E2034:E9015,K2034:K9015,"0",B2034:B9015,"4 2 2*")-SUMIFS(D2034:D9015,K2034:K9015,"0",B2034:B9015,"4 2 2*")</f>
        <v>0</v>
      </c>
      <c r="F2033" s="35">
        <f>SUMIFS(F2034:F9015,K2034:K9015,"0",B2034:B9015,"4 2 2*")</f>
        <v>0</v>
      </c>
      <c r="G2033" s="35">
        <f>SUMIFS(G2034:G9015,K2034:K9015,"0",B2034:B9015,"4 2 2*")</f>
        <v>480000</v>
      </c>
      <c r="H2033" s="35"/>
      <c r="I2033" s="35">
        <f t="shared" si="32"/>
        <v>480000</v>
      </c>
      <c r="K2033" t="s">
        <v>15</v>
      </c>
    </row>
    <row r="2034" spans="2:11" ht="16.5" x14ac:dyDescent="0.2">
      <c r="B2034" s="33" t="s">
        <v>2876</v>
      </c>
      <c r="C2034" s="33" t="s">
        <v>2877</v>
      </c>
      <c r="D2034"/>
      <c r="E2034" s="35">
        <f>SUMIFS(E2035:E9015,K2035:K9015,"0",B2035:B9015,"4 2 2 1*")-SUMIFS(D2035:D9015,K2035:K9015,"0",B2035:B9015,"4 2 2 1*")</f>
        <v>0</v>
      </c>
      <c r="F2034" s="35">
        <f>SUMIFS(F2035:F9015,K2035:K9015,"0",B2035:B9015,"4 2 2 1*")</f>
        <v>0</v>
      </c>
      <c r="G2034" s="35">
        <f>SUMIFS(G2035:G9015,K2035:K9015,"0",B2035:B9015,"4 2 2 1*")</f>
        <v>480000</v>
      </c>
      <c r="H2034" s="35"/>
      <c r="I2034" s="35">
        <f t="shared" si="32"/>
        <v>480000</v>
      </c>
      <c r="K2034" t="s">
        <v>15</v>
      </c>
    </row>
    <row r="2035" spans="2:11" ht="16.5" x14ac:dyDescent="0.2">
      <c r="B2035" s="33" t="s">
        <v>2878</v>
      </c>
      <c r="C2035" s="33" t="s">
        <v>2877</v>
      </c>
      <c r="D2035"/>
      <c r="E2035" s="35">
        <f>SUMIFS(E2036:E9015,K2036:K9015,"0",B2036:B9015,"4 2 2 1 1*")-SUMIFS(D2036:D9015,K2036:K9015,"0",B2036:B9015,"4 2 2 1 1*")</f>
        <v>0</v>
      </c>
      <c r="F2035" s="35">
        <f>SUMIFS(F2036:F9015,K2036:K9015,"0",B2036:B9015,"4 2 2 1 1*")</f>
        <v>0</v>
      </c>
      <c r="G2035" s="35">
        <f>SUMIFS(G2036:G9015,K2036:K9015,"0",B2036:B9015,"4 2 2 1 1*")</f>
        <v>480000</v>
      </c>
      <c r="H2035" s="35"/>
      <c r="I2035" s="35">
        <f t="shared" si="32"/>
        <v>480000</v>
      </c>
      <c r="K2035" t="s">
        <v>15</v>
      </c>
    </row>
    <row r="2036" spans="2:11" ht="12.75" x14ac:dyDescent="0.2">
      <c r="B2036" s="33" t="s">
        <v>2879</v>
      </c>
      <c r="C2036" s="33" t="s">
        <v>26</v>
      </c>
      <c r="D2036"/>
      <c r="E2036" s="35">
        <f>SUMIFS(E2037:E9015,K2037:K9015,"0",B2037:B9015,"4 2 2 1 1 12*")-SUMIFS(D2037:D9015,K2037:K9015,"0",B2037:B9015,"4 2 2 1 1 12*")</f>
        <v>0</v>
      </c>
      <c r="F2036" s="35">
        <f>SUMIFS(F2037:F9015,K2037:K9015,"0",B2037:B9015,"4 2 2 1 1 12*")</f>
        <v>0</v>
      </c>
      <c r="G2036" s="35">
        <f>SUMIFS(G2037:G9015,K2037:K9015,"0",B2037:B9015,"4 2 2 1 1 12*")</f>
        <v>480000</v>
      </c>
      <c r="H2036" s="35"/>
      <c r="I2036" s="35">
        <f t="shared" si="32"/>
        <v>480000</v>
      </c>
      <c r="K2036" t="s">
        <v>15</v>
      </c>
    </row>
    <row r="2037" spans="2:11" ht="16.5" x14ac:dyDescent="0.2">
      <c r="B2037" s="33" t="s">
        <v>2880</v>
      </c>
      <c r="C2037" s="33" t="s">
        <v>28</v>
      </c>
      <c r="D2037"/>
      <c r="E2037" s="35">
        <f>SUMIFS(E2038:E9015,K2038:K9015,"0",B2038:B9015,"4 2 2 1 1 12 31111*")-SUMIFS(D2038:D9015,K2038:K9015,"0",B2038:B9015,"4 2 2 1 1 12 31111*")</f>
        <v>0</v>
      </c>
      <c r="F2037" s="35">
        <f>SUMIFS(F2038:F9015,K2038:K9015,"0",B2038:B9015,"4 2 2 1 1 12 31111*")</f>
        <v>0</v>
      </c>
      <c r="G2037" s="35">
        <f>SUMIFS(G2038:G9015,K2038:K9015,"0",B2038:B9015,"4 2 2 1 1 12 31111*")</f>
        <v>480000</v>
      </c>
      <c r="H2037" s="35"/>
      <c r="I2037" s="35">
        <f t="shared" si="32"/>
        <v>480000</v>
      </c>
      <c r="K2037" t="s">
        <v>15</v>
      </c>
    </row>
    <row r="2038" spans="2:11" ht="12.75" x14ac:dyDescent="0.2">
      <c r="B2038" s="33" t="s">
        <v>2881</v>
      </c>
      <c r="C2038" s="33" t="s">
        <v>30</v>
      </c>
      <c r="D2038"/>
      <c r="E2038" s="35">
        <f>SUMIFS(E2039:E9015,K2039:K9015,"0",B2039:B9015,"4 2 2 1 1 12 31111 6*")-SUMIFS(D2039:D9015,K2039:K9015,"0",B2039:B9015,"4 2 2 1 1 12 31111 6*")</f>
        <v>0</v>
      </c>
      <c r="F2038" s="35">
        <f>SUMIFS(F2039:F9015,K2039:K9015,"0",B2039:B9015,"4 2 2 1 1 12 31111 6*")</f>
        <v>0</v>
      </c>
      <c r="G2038" s="35">
        <f>SUMIFS(G2039:G9015,K2039:K9015,"0",B2039:B9015,"4 2 2 1 1 12 31111 6*")</f>
        <v>480000</v>
      </c>
      <c r="H2038" s="35"/>
      <c r="I2038" s="35">
        <f t="shared" si="32"/>
        <v>480000</v>
      </c>
      <c r="K2038" t="s">
        <v>15</v>
      </c>
    </row>
    <row r="2039" spans="2:11" ht="16.5" x14ac:dyDescent="0.2">
      <c r="B2039" s="33" t="s">
        <v>2882</v>
      </c>
      <c r="C2039" s="33" t="s">
        <v>2284</v>
      </c>
      <c r="D2039"/>
      <c r="E2039" s="35">
        <f>SUMIFS(E2040:E9015,K2040:K9015,"0",B2040:B9015,"4 2 2 1 1 12 31111 6 M59*")-SUMIFS(D2040:D9015,K2040:K9015,"0",B2040:B9015,"4 2 2 1 1 12 31111 6 M59*")</f>
        <v>0</v>
      </c>
      <c r="F2039" s="35">
        <f>SUMIFS(F2040:F9015,K2040:K9015,"0",B2040:B9015,"4 2 2 1 1 12 31111 6 M59*")</f>
        <v>0</v>
      </c>
      <c r="G2039" s="35">
        <f>SUMIFS(G2040:G9015,K2040:K9015,"0",B2040:B9015,"4 2 2 1 1 12 31111 6 M59*")</f>
        <v>480000</v>
      </c>
      <c r="H2039" s="35"/>
      <c r="I2039" s="35">
        <f t="shared" si="32"/>
        <v>480000</v>
      </c>
      <c r="K2039" t="s">
        <v>15</v>
      </c>
    </row>
    <row r="2040" spans="2:11" ht="16.5" x14ac:dyDescent="0.2">
      <c r="B2040" s="33" t="s">
        <v>2883</v>
      </c>
      <c r="C2040" s="33" t="s">
        <v>1044</v>
      </c>
      <c r="D2040"/>
      <c r="E2040" s="35">
        <f>SUMIFS(E2041:E9015,K2041:K9015,"0",B2041:B9015,"4 2 2 1 1 12 31111 6 M59 19000*")-SUMIFS(D2041:D9015,K2041:K9015,"0",B2041:B9015,"4 2 2 1 1 12 31111 6 M59 19000*")</f>
        <v>0</v>
      </c>
      <c r="F2040" s="35">
        <f>SUMIFS(F2041:F9015,K2041:K9015,"0",B2041:B9015,"4 2 2 1 1 12 31111 6 M59 19000*")</f>
        <v>0</v>
      </c>
      <c r="G2040" s="35">
        <f>SUMIFS(G2041:G9015,K2041:K9015,"0",B2041:B9015,"4 2 2 1 1 12 31111 6 M59 19000*")</f>
        <v>480000</v>
      </c>
      <c r="H2040" s="35"/>
      <c r="I2040" s="35">
        <f t="shared" si="32"/>
        <v>480000</v>
      </c>
      <c r="K2040" t="s">
        <v>15</v>
      </c>
    </row>
    <row r="2041" spans="2:11" ht="16.5" x14ac:dyDescent="0.2">
      <c r="B2041" s="33" t="s">
        <v>2884</v>
      </c>
      <c r="C2041" s="33" t="s">
        <v>2287</v>
      </c>
      <c r="D2041"/>
      <c r="E2041" s="35">
        <f>SUMIFS(E2042:E9015,K2042:K9015,"0",B2042:B9015,"4 2 2 1 1 12 31111 6 M59 19000 000000*")-SUMIFS(D2042:D9015,K2042:K9015,"0",B2042:B9015,"4 2 2 1 1 12 31111 6 M59 19000 000000*")</f>
        <v>0</v>
      </c>
      <c r="F2041" s="35">
        <f>SUMIFS(F2042:F9015,K2042:K9015,"0",B2042:B9015,"4 2 2 1 1 12 31111 6 M59 19000 000000*")</f>
        <v>0</v>
      </c>
      <c r="G2041" s="35">
        <f>SUMIFS(G2042:G9015,K2042:K9015,"0",B2042:B9015,"4 2 2 1 1 12 31111 6 M59 19000 000000*")</f>
        <v>480000</v>
      </c>
      <c r="H2041" s="35"/>
      <c r="I2041" s="35">
        <f t="shared" si="32"/>
        <v>480000</v>
      </c>
      <c r="K2041" t="s">
        <v>15</v>
      </c>
    </row>
    <row r="2042" spans="2:11" ht="24.75" x14ac:dyDescent="0.2">
      <c r="B2042" s="33" t="s">
        <v>2885</v>
      </c>
      <c r="C2042" s="33" t="s">
        <v>2289</v>
      </c>
      <c r="D2042"/>
      <c r="E2042" s="35">
        <f>SUMIFS(E2043:E9015,K2043:K9015,"0",B2043:B9015,"4 2 2 1 1 12 31111 6 M59 19000 000000 00000*")-SUMIFS(D2043:D9015,K2043:K9015,"0",B2043:B9015,"4 2 2 1 1 12 31111 6 M59 19000 000000 00000*")</f>
        <v>0</v>
      </c>
      <c r="F2042" s="35">
        <f>SUMIFS(F2043:F9015,K2043:K9015,"0",B2043:B9015,"4 2 2 1 1 12 31111 6 M59 19000 000000 00000*")</f>
        <v>0</v>
      </c>
      <c r="G2042" s="35">
        <f>SUMIFS(G2043:G9015,K2043:K9015,"0",B2043:B9015,"4 2 2 1 1 12 31111 6 M59 19000 000000 00000*")</f>
        <v>480000</v>
      </c>
      <c r="H2042" s="35"/>
      <c r="I2042" s="35">
        <f t="shared" si="32"/>
        <v>480000</v>
      </c>
      <c r="K2042" t="s">
        <v>15</v>
      </c>
    </row>
    <row r="2043" spans="2:11" ht="24.75" x14ac:dyDescent="0.2">
      <c r="B2043" s="33" t="s">
        <v>2886</v>
      </c>
      <c r="C2043" s="33" t="s">
        <v>2291</v>
      </c>
      <c r="D2043"/>
      <c r="E2043" s="35">
        <f>SUMIFS(E2044:E9015,K2044:K9015,"0",B2044:B9015,"4 2 2 1 1 12 31111 6 M59 19000 000000 00000 00000*")-SUMIFS(D2044:D9015,K2044:K9015,"0",B2044:B9015,"4 2 2 1 1 12 31111 6 M59 19000 000000 00000 00000*")</f>
        <v>0</v>
      </c>
      <c r="F2043" s="35">
        <f>SUMIFS(F2044:F9015,K2044:K9015,"0",B2044:B9015,"4 2 2 1 1 12 31111 6 M59 19000 000000 00000 00000*")</f>
        <v>0</v>
      </c>
      <c r="G2043" s="35">
        <f>SUMIFS(G2044:G9015,K2044:K9015,"0",B2044:B9015,"4 2 2 1 1 12 31111 6 M59 19000 000000 00000 00000*")</f>
        <v>480000</v>
      </c>
      <c r="H2043" s="35"/>
      <c r="I2043" s="35">
        <f t="shared" si="32"/>
        <v>480000</v>
      </c>
      <c r="K2043" t="s">
        <v>15</v>
      </c>
    </row>
    <row r="2044" spans="2:11" ht="24.75" x14ac:dyDescent="0.2">
      <c r="B2044" s="33" t="s">
        <v>2887</v>
      </c>
      <c r="C2044" s="33" t="s">
        <v>2877</v>
      </c>
      <c r="D2044"/>
      <c r="E2044" s="35">
        <f>SUMIFS(E2045:E9015,K2045:K9015,"0",B2045:B9015,"4 2 2 1 1 12 31111 6 M59 19000 000000 00000 00000 00091*")-SUMIFS(D2045:D9015,K2045:K9015,"0",B2045:B9015,"4 2 2 1 1 12 31111 6 M59 19000 000000 00000 00000 00091*")</f>
        <v>0</v>
      </c>
      <c r="F2044" s="35">
        <f>SUMIFS(F2045:F9015,K2045:K9015,"0",B2045:B9015,"4 2 2 1 1 12 31111 6 M59 19000 000000 00000 00000 00091*")</f>
        <v>0</v>
      </c>
      <c r="G2044" s="35">
        <f>SUMIFS(G2045:G9015,K2045:K9015,"0",B2045:B9015,"4 2 2 1 1 12 31111 6 M59 19000 000000 00000 00000 00091*")</f>
        <v>480000</v>
      </c>
      <c r="H2044" s="35"/>
      <c r="I2044" s="35">
        <f t="shared" si="32"/>
        <v>480000</v>
      </c>
      <c r="K2044" t="s">
        <v>15</v>
      </c>
    </row>
    <row r="2045" spans="2:11" ht="33" x14ac:dyDescent="0.2">
      <c r="B2045" s="33" t="s">
        <v>2888</v>
      </c>
      <c r="C2045" s="33" t="s">
        <v>699</v>
      </c>
      <c r="D2045"/>
      <c r="E2045" s="35">
        <f>SUMIFS(E2046:E9015,K2046:K9015,"0",B2046:B9015,"4 2 2 1 1 12 31111 6 M59 19000 000000 00000 00000 00091 011*")-SUMIFS(D2046:D9015,K2046:K9015,"0",B2046:B9015,"4 2 2 1 1 12 31111 6 M59 19000 000000 00000 00000 00091 011*")</f>
        <v>0</v>
      </c>
      <c r="F2045" s="35">
        <f>SUMIFS(F2046:F9015,K2046:K9015,"0",B2046:B9015,"4 2 2 1 1 12 31111 6 M59 19000 000000 00000 00000 00091 011*")</f>
        <v>0</v>
      </c>
      <c r="G2045" s="35">
        <f>SUMIFS(G2046:G9015,K2046:K9015,"0",B2046:B9015,"4 2 2 1 1 12 31111 6 M59 19000 000000 00000 00000 00091 011*")</f>
        <v>480000</v>
      </c>
      <c r="H2045" s="35"/>
      <c r="I2045" s="35">
        <f t="shared" si="32"/>
        <v>480000</v>
      </c>
      <c r="K2045" t="s">
        <v>15</v>
      </c>
    </row>
    <row r="2046" spans="2:11" ht="33" x14ac:dyDescent="0.2">
      <c r="B2046" s="33" t="s">
        <v>2889</v>
      </c>
      <c r="C2046" s="33" t="s">
        <v>2890</v>
      </c>
      <c r="D2046"/>
      <c r="E2046" s="35">
        <f>SUMIFS(E2047:E9015,K2047:K9015,"0",B2047:B9015,"4 2 2 1 1 12 31111 6 M59 19000 000000 00000 00000 00091 011 1182110*")-SUMIFS(D2047:D9015,K2047:K9015,"0",B2047:B9015,"4 2 2 1 1 12 31111 6 M59 19000 000000 00000 00000 00091 011 1182110*")</f>
        <v>0</v>
      </c>
      <c r="F2046" s="35">
        <f>SUMIFS(F2047:F9015,K2047:K9015,"0",B2047:B9015,"4 2 2 1 1 12 31111 6 M59 19000 000000 00000 00000 00091 011 1182110*")</f>
        <v>0</v>
      </c>
      <c r="G2046" s="35">
        <f>SUMIFS(G2047:G9015,K2047:K9015,"0",B2047:B9015,"4 2 2 1 1 12 31111 6 M59 19000 000000 00000 00000 00091 011 1182110*")</f>
        <v>480000</v>
      </c>
      <c r="H2046" s="35"/>
      <c r="I2046" s="35">
        <f t="shared" si="32"/>
        <v>480000</v>
      </c>
      <c r="K2046" t="s">
        <v>15</v>
      </c>
    </row>
    <row r="2047" spans="2:11" ht="33" x14ac:dyDescent="0.2">
      <c r="B2047" s="33" t="s">
        <v>2891</v>
      </c>
      <c r="C2047" s="33" t="s">
        <v>660</v>
      </c>
      <c r="D2047"/>
      <c r="E2047" s="35">
        <f>SUMIFS(E2048:E9015,K2048:K9015,"0",B2048:B9015,"4 2 2 1 1 12 31111 6 M59 19000 000000 00000 00000 00091 011 1182110 2024*")-SUMIFS(D2048:D9015,K2048:K9015,"0",B2048:B9015,"4 2 2 1 1 12 31111 6 M59 19000 000000 00000 00000 00091 011 1182110 2024*")</f>
        <v>0</v>
      </c>
      <c r="F2047" s="35">
        <f>SUMIFS(F2048:F9015,K2048:K9015,"0",B2048:B9015,"4 2 2 1 1 12 31111 6 M59 19000 000000 00000 00000 00091 011 1182110 2024*")</f>
        <v>0</v>
      </c>
      <c r="G2047" s="35">
        <f>SUMIFS(G2048:G9015,K2048:K9015,"0",B2048:B9015,"4 2 2 1 1 12 31111 6 M59 19000 000000 00000 00000 00091 011 1182110 2024*")</f>
        <v>480000</v>
      </c>
      <c r="H2047" s="35"/>
      <c r="I2047" s="35">
        <f t="shared" si="32"/>
        <v>480000</v>
      </c>
      <c r="K2047" t="s">
        <v>15</v>
      </c>
    </row>
    <row r="2048" spans="2:11" ht="41.25" x14ac:dyDescent="0.2">
      <c r="B2048" s="33" t="s">
        <v>2892</v>
      </c>
      <c r="C2048" s="33" t="s">
        <v>2298</v>
      </c>
      <c r="D2048"/>
      <c r="E2048" s="35">
        <f>SUMIFS(E2049:E9015,K2049:K9015,"0",B2049:B9015,"4 2 2 1 1 12 31111 6 M59 19000 000000 00000 00000 00091 011 1182110 2024 00000000*")-SUMIFS(D2049:D9015,K2049:K9015,"0",B2049:B9015,"4 2 2 1 1 12 31111 6 M59 19000 000000 00000 00000 00091 011 1182110 2024 00000000*")</f>
        <v>0</v>
      </c>
      <c r="F2048" s="35">
        <f>SUMIFS(F2049:F9015,K2049:K9015,"0",B2049:B9015,"4 2 2 1 1 12 31111 6 M59 19000 000000 00000 00000 00091 011 1182110 2024 00000000*")</f>
        <v>0</v>
      </c>
      <c r="G2048" s="35">
        <f>SUMIFS(G2049:G9015,K2049:K9015,"0",B2049:B9015,"4 2 2 1 1 12 31111 6 M59 19000 000000 00000 00000 00091 011 1182110 2024 00000000*")</f>
        <v>480000</v>
      </c>
      <c r="H2048" s="35"/>
      <c r="I2048" s="35">
        <f t="shared" si="32"/>
        <v>480000</v>
      </c>
      <c r="K2048" t="s">
        <v>15</v>
      </c>
    </row>
    <row r="2049" spans="2:11" ht="41.25" x14ac:dyDescent="0.2">
      <c r="B2049" s="33" t="s">
        <v>2893</v>
      </c>
      <c r="C2049" s="33" t="s">
        <v>46</v>
      </c>
      <c r="D2049"/>
      <c r="E2049" s="35">
        <f>SUMIFS(E2050:E9015,K2050:K9015,"0",B2050:B9015,"4 2 2 1 1 12 31111 6 M59 19000 000000 00000 00000 00091 011 1182110 2024 00000000 004*")-SUMIFS(D2050:D9015,K2050:K9015,"0",B2050:B9015,"4 2 2 1 1 12 31111 6 M59 19000 000000 00000 00000 00091 011 1182110 2024 00000000 004*")</f>
        <v>0</v>
      </c>
      <c r="F2049" s="35">
        <f>SUMIFS(F2050:F9015,K2050:K9015,"0",B2050:B9015,"4 2 2 1 1 12 31111 6 M59 19000 000000 00000 00000 00091 011 1182110 2024 00000000 004*")</f>
        <v>0</v>
      </c>
      <c r="G2049" s="35">
        <f>SUMIFS(G2050:G9015,K2050:K9015,"0",B2050:B9015,"4 2 2 1 1 12 31111 6 M59 19000 000000 00000 00000 00091 011 1182110 2024 00000000 004*")</f>
        <v>480000</v>
      </c>
      <c r="H2049" s="35"/>
      <c r="I2049" s="35">
        <f t="shared" si="32"/>
        <v>480000</v>
      </c>
      <c r="K2049" t="s">
        <v>15</v>
      </c>
    </row>
    <row r="2050" spans="2:11" ht="49.5" x14ac:dyDescent="0.2">
      <c r="B2050" s="33" t="s">
        <v>2894</v>
      </c>
      <c r="C2050" s="33" t="s">
        <v>2877</v>
      </c>
      <c r="D2050"/>
      <c r="E2050" s="35">
        <f>SUMIFS(E2051:E9015,K2051:K9015,"0",B2051:B9015,"4 2 2 1 1 12 31111 6 M59 19000 000000 00000 00000 00091 011 1182110 2024 00000000 004 0000001*")-SUMIFS(D2051:D9015,K2051:K9015,"0",B2051:B9015,"4 2 2 1 1 12 31111 6 M59 19000 000000 00000 00000 00091 011 1182110 2024 00000000 004 0000001*")</f>
        <v>0</v>
      </c>
      <c r="F2050" s="35">
        <f>SUMIFS(F2051:F9015,K2051:K9015,"0",B2051:B9015,"4 2 2 1 1 12 31111 6 M59 19000 000000 00000 00000 00091 011 1182110 2024 00000000 004 0000001*")</f>
        <v>0</v>
      </c>
      <c r="G2050" s="35">
        <f>SUMIFS(G2051:G9015,K2051:K9015,"0",B2051:B9015,"4 2 2 1 1 12 31111 6 M59 19000 000000 00000 00000 00091 011 1182110 2024 00000000 004 0000001*")</f>
        <v>480000</v>
      </c>
      <c r="H2050" s="35"/>
      <c r="I2050" s="35">
        <f t="shared" si="32"/>
        <v>480000</v>
      </c>
      <c r="K2050" t="s">
        <v>15</v>
      </c>
    </row>
    <row r="2051" spans="2:11" ht="41.25" x14ac:dyDescent="0.2">
      <c r="B2051" s="31" t="s">
        <v>2895</v>
      </c>
      <c r="C2051" s="31" t="s">
        <v>2877</v>
      </c>
      <c r="D2051" s="34"/>
      <c r="E2051" s="34">
        <v>0</v>
      </c>
      <c r="F2051" s="34">
        <v>0</v>
      </c>
      <c r="G2051" s="34">
        <v>480000</v>
      </c>
      <c r="H2051" s="34"/>
      <c r="I2051" s="34">
        <f t="shared" si="32"/>
        <v>480000</v>
      </c>
      <c r="K2051" t="s">
        <v>38</v>
      </c>
    </row>
    <row r="2052" spans="2:11" ht="12.75" x14ac:dyDescent="0.2">
      <c r="B2052" s="33" t="s">
        <v>2896</v>
      </c>
      <c r="C2052" s="33" t="s">
        <v>2897</v>
      </c>
      <c r="D2052" s="35">
        <f>SUMIFS(D2053:D9015,K2053:K9015,"0",B2053:B9015,"5*")-SUMIFS(E2053:E9015,K2053:K9015,"0",B2053:B9015,"5*")</f>
        <v>0</v>
      </c>
      <c r="E2052"/>
      <c r="F2052" s="35">
        <f>SUMIFS(F2053:F9015,K2053:K9015,"0",B2053:B9015,"5*")</f>
        <v>214681979.7899999</v>
      </c>
      <c r="G2052" s="35">
        <f>SUMIFS(G2053:G9015,K2053:K9015,"0",B2053:B9015,"5*")</f>
        <v>0</v>
      </c>
      <c r="H2052" s="35">
        <f t="shared" ref="H2052:H2115" si="33">D2052 + F2052 - G2052</f>
        <v>214681979.7899999</v>
      </c>
      <c r="I2052" s="35"/>
      <c r="K2052" t="s">
        <v>15</v>
      </c>
    </row>
    <row r="2053" spans="2:11" ht="12.75" x14ac:dyDescent="0.2">
      <c r="B2053" s="33" t="s">
        <v>2898</v>
      </c>
      <c r="C2053" s="33" t="s">
        <v>2899</v>
      </c>
      <c r="D2053" s="35">
        <f>SUMIFS(D2054:D9015,K2054:K9015,"0",B2054:B9015,"5 1*")-SUMIFS(E2054:E9015,K2054:K9015,"0",B2054:B9015,"5 1*")</f>
        <v>0</v>
      </c>
      <c r="E2053"/>
      <c r="F2053" s="35">
        <f>SUMIFS(F2054:F9015,K2054:K9015,"0",B2054:B9015,"5 1*")</f>
        <v>187609767.69999993</v>
      </c>
      <c r="G2053" s="35">
        <f>SUMIFS(G2054:G9015,K2054:K9015,"0",B2054:B9015,"5 1*")</f>
        <v>0</v>
      </c>
      <c r="H2053" s="35">
        <f t="shared" si="33"/>
        <v>187609767.69999993</v>
      </c>
      <c r="I2053" s="35"/>
      <c r="K2053" t="s">
        <v>15</v>
      </c>
    </row>
    <row r="2054" spans="2:11" ht="12.75" x14ac:dyDescent="0.2">
      <c r="B2054" s="33" t="s">
        <v>2900</v>
      </c>
      <c r="C2054" s="33" t="s">
        <v>2901</v>
      </c>
      <c r="D2054" s="35">
        <f>SUMIFS(D2055:D9015,K2055:K9015,"0",B2055:B9015,"5 1 1*")-SUMIFS(E2055:E9015,K2055:K9015,"0",B2055:B9015,"5 1 1*")</f>
        <v>0</v>
      </c>
      <c r="E2054"/>
      <c r="F2054" s="35">
        <f>SUMIFS(F2055:F9015,K2055:K9015,"0",B2055:B9015,"5 1 1*")</f>
        <v>84634390.330000058</v>
      </c>
      <c r="G2054" s="35">
        <f>SUMIFS(G2055:G9015,K2055:K9015,"0",B2055:B9015,"5 1 1*")</f>
        <v>0</v>
      </c>
      <c r="H2054" s="35">
        <f t="shared" si="33"/>
        <v>84634390.330000058</v>
      </c>
      <c r="I2054" s="35"/>
      <c r="K2054" t="s">
        <v>15</v>
      </c>
    </row>
    <row r="2055" spans="2:11" ht="24.75" x14ac:dyDescent="0.2">
      <c r="B2055" s="33" t="s">
        <v>2902</v>
      </c>
      <c r="C2055" s="33" t="s">
        <v>2903</v>
      </c>
      <c r="D2055" s="35">
        <f>SUMIFS(D2056:D9015,K2056:K9015,"0",B2056:B9015,"5 1 1 1*")-SUMIFS(E2056:E9015,K2056:K9015,"0",B2056:B9015,"5 1 1 1*")</f>
        <v>0</v>
      </c>
      <c r="E2055"/>
      <c r="F2055" s="35">
        <f>SUMIFS(F2056:F9015,K2056:K9015,"0",B2056:B9015,"5 1 1 1*")</f>
        <v>74990230.880000025</v>
      </c>
      <c r="G2055" s="35">
        <f>SUMIFS(G2056:G9015,K2056:K9015,"0",B2056:B9015,"5 1 1 1*")</f>
        <v>0</v>
      </c>
      <c r="H2055" s="35">
        <f t="shared" si="33"/>
        <v>74990230.880000025</v>
      </c>
      <c r="I2055" s="35"/>
      <c r="K2055" t="s">
        <v>15</v>
      </c>
    </row>
    <row r="2056" spans="2:11" ht="12.75" x14ac:dyDescent="0.2">
      <c r="B2056" s="33" t="s">
        <v>2904</v>
      </c>
      <c r="C2056" s="33" t="s">
        <v>2905</v>
      </c>
      <c r="D2056" s="35">
        <f>SUMIFS(D2057:D9015,K2057:K9015,"0",B2057:B9015,"5 1 1 1 1*")-SUMIFS(E2057:E9015,K2057:K9015,"0",B2057:B9015,"5 1 1 1 1*")</f>
        <v>0</v>
      </c>
      <c r="E2056"/>
      <c r="F2056" s="35">
        <f>SUMIFS(F2057:F9015,K2057:K9015,"0",B2057:B9015,"5 1 1 1 1*")</f>
        <v>7885382.8499999996</v>
      </c>
      <c r="G2056" s="35">
        <f>SUMIFS(G2057:G9015,K2057:K9015,"0",B2057:B9015,"5 1 1 1 1*")</f>
        <v>0</v>
      </c>
      <c r="H2056" s="35">
        <f t="shared" si="33"/>
        <v>7885382.8499999996</v>
      </c>
      <c r="I2056" s="35"/>
      <c r="K2056" t="s">
        <v>15</v>
      </c>
    </row>
    <row r="2057" spans="2:11" ht="12.75" x14ac:dyDescent="0.2">
      <c r="B2057" s="33" t="s">
        <v>2906</v>
      </c>
      <c r="C2057" s="33" t="s">
        <v>26</v>
      </c>
      <c r="D2057" s="35">
        <f>SUMIFS(D2058:D9015,K2058:K9015,"0",B2058:B9015,"5 1 1 1 1 12*")-SUMIFS(E2058:E9015,K2058:K9015,"0",B2058:B9015,"5 1 1 1 1 12*")</f>
        <v>0</v>
      </c>
      <c r="E2057"/>
      <c r="F2057" s="35">
        <f>SUMIFS(F2058:F9015,K2058:K9015,"0",B2058:B9015,"5 1 1 1 1 12*")</f>
        <v>7885382.8499999996</v>
      </c>
      <c r="G2057" s="35">
        <f>SUMIFS(G2058:G9015,K2058:K9015,"0",B2058:B9015,"5 1 1 1 1 12*")</f>
        <v>0</v>
      </c>
      <c r="H2057" s="35">
        <f t="shared" si="33"/>
        <v>7885382.8499999996</v>
      </c>
      <c r="I2057" s="35"/>
      <c r="K2057" t="s">
        <v>15</v>
      </c>
    </row>
    <row r="2058" spans="2:11" ht="16.5" x14ac:dyDescent="0.2">
      <c r="B2058" s="33" t="s">
        <v>2907</v>
      </c>
      <c r="C2058" s="33" t="s">
        <v>28</v>
      </c>
      <c r="D2058" s="35">
        <f>SUMIFS(D2059:D9015,K2059:K9015,"0",B2059:B9015,"5 1 1 1 1 12 31111*")-SUMIFS(E2059:E9015,K2059:K9015,"0",B2059:B9015,"5 1 1 1 1 12 31111*")</f>
        <v>0</v>
      </c>
      <c r="E2058"/>
      <c r="F2058" s="35">
        <f>SUMIFS(F2059:F9015,K2059:K9015,"0",B2059:B9015,"5 1 1 1 1 12 31111*")</f>
        <v>7885382.8499999996</v>
      </c>
      <c r="G2058" s="35">
        <f>SUMIFS(G2059:G9015,K2059:K9015,"0",B2059:B9015,"5 1 1 1 1 12 31111*")</f>
        <v>0</v>
      </c>
      <c r="H2058" s="35">
        <f t="shared" si="33"/>
        <v>7885382.8499999996</v>
      </c>
      <c r="I2058" s="35"/>
      <c r="K2058" t="s">
        <v>15</v>
      </c>
    </row>
    <row r="2059" spans="2:11" ht="12.75" x14ac:dyDescent="0.2">
      <c r="B2059" s="33" t="s">
        <v>2908</v>
      </c>
      <c r="C2059" s="33" t="s">
        <v>30</v>
      </c>
      <c r="D2059" s="35">
        <f>SUMIFS(D2060:D9015,K2060:K9015,"0",B2060:B9015,"5 1 1 1 1 12 31111 6*")-SUMIFS(E2060:E9015,K2060:K9015,"0",B2060:B9015,"5 1 1 1 1 12 31111 6*")</f>
        <v>0</v>
      </c>
      <c r="E2059"/>
      <c r="F2059" s="35">
        <f>SUMIFS(F2060:F9015,K2060:K9015,"0",B2060:B9015,"5 1 1 1 1 12 31111 6*")</f>
        <v>7885382.8499999996</v>
      </c>
      <c r="G2059" s="35">
        <f>SUMIFS(G2060:G9015,K2060:K9015,"0",B2060:B9015,"5 1 1 1 1 12 31111 6*")</f>
        <v>0</v>
      </c>
      <c r="H2059" s="35">
        <f t="shared" si="33"/>
        <v>7885382.8499999996</v>
      </c>
      <c r="I2059" s="35"/>
      <c r="K2059" t="s">
        <v>15</v>
      </c>
    </row>
    <row r="2060" spans="2:11" ht="12.75" x14ac:dyDescent="0.2">
      <c r="B2060" s="33" t="s">
        <v>2909</v>
      </c>
      <c r="C2060" s="33" t="s">
        <v>32</v>
      </c>
      <c r="D2060" s="35">
        <f>SUMIFS(D2061:D9015,K2061:K9015,"0",B2061:B9015,"5 1 1 1 1 12 31111 6 M64*")-SUMIFS(E2061:E9015,K2061:K9015,"0",B2061:B9015,"5 1 1 1 1 12 31111 6 M64*")</f>
        <v>0</v>
      </c>
      <c r="E2060"/>
      <c r="F2060" s="35">
        <f>SUMIFS(F2061:F9015,K2061:K9015,"0",B2061:B9015,"5 1 1 1 1 12 31111 6 M64*")</f>
        <v>7885382.8499999996</v>
      </c>
      <c r="G2060" s="35">
        <f>SUMIFS(G2061:G9015,K2061:K9015,"0",B2061:B9015,"5 1 1 1 1 12 31111 6 M64*")</f>
        <v>0</v>
      </c>
      <c r="H2060" s="35">
        <f t="shared" si="33"/>
        <v>7885382.8499999996</v>
      </c>
      <c r="I2060" s="35"/>
      <c r="K2060" t="s">
        <v>15</v>
      </c>
    </row>
    <row r="2061" spans="2:11" ht="16.5" x14ac:dyDescent="0.2">
      <c r="B2061" s="33" t="s">
        <v>2910</v>
      </c>
      <c r="C2061" s="33" t="s">
        <v>282</v>
      </c>
      <c r="D2061" s="35">
        <f>SUMIFS(D2062:D9015,K2062:K9015,"0",B2062:B9015,"5 1 1 1 1 12 31111 6 M64 00001*")-SUMIFS(E2062:E9015,K2062:K9015,"0",B2062:B9015,"5 1 1 1 1 12 31111 6 M64 00001*")</f>
        <v>0</v>
      </c>
      <c r="E2061"/>
      <c r="F2061" s="35">
        <f>SUMIFS(F2062:F9015,K2062:K9015,"0",B2062:B9015,"5 1 1 1 1 12 31111 6 M64 00001*")</f>
        <v>7885382.8499999996</v>
      </c>
      <c r="G2061" s="35">
        <f>SUMIFS(G2062:G9015,K2062:K9015,"0",B2062:B9015,"5 1 1 1 1 12 31111 6 M64 00001*")</f>
        <v>0</v>
      </c>
      <c r="H2061" s="35">
        <f t="shared" si="33"/>
        <v>7885382.8499999996</v>
      </c>
      <c r="I2061" s="35"/>
      <c r="K2061" t="s">
        <v>15</v>
      </c>
    </row>
    <row r="2062" spans="2:11" ht="16.5" x14ac:dyDescent="0.2">
      <c r="B2062" s="31" t="s">
        <v>2911</v>
      </c>
      <c r="C2062" s="31" t="s">
        <v>2912</v>
      </c>
      <c r="D2062" s="34">
        <v>0</v>
      </c>
      <c r="E2062" s="34"/>
      <c r="F2062" s="34">
        <v>7885382.8499999996</v>
      </c>
      <c r="G2062" s="34">
        <v>0</v>
      </c>
      <c r="H2062" s="34">
        <f t="shared" si="33"/>
        <v>7885382.8499999996</v>
      </c>
      <c r="I2062" s="34"/>
      <c r="K2062" t="s">
        <v>38</v>
      </c>
    </row>
    <row r="2063" spans="2:11" ht="16.5" x14ac:dyDescent="0.2">
      <c r="B2063" s="33" t="s">
        <v>2913</v>
      </c>
      <c r="C2063" s="33" t="s">
        <v>2914</v>
      </c>
      <c r="D2063" s="35">
        <f>SUMIFS(D2064:D9015,K2064:K9015,"0",B2064:B9015,"5 1 1 1 3*")-SUMIFS(E2064:E9015,K2064:K9015,"0",B2064:B9015,"5 1 1 1 3*")</f>
        <v>0</v>
      </c>
      <c r="E2063"/>
      <c r="F2063" s="35">
        <f>SUMIFS(F2064:F9015,K2064:K9015,"0",B2064:B9015,"5 1 1 1 3*")</f>
        <v>67104848.030000024</v>
      </c>
      <c r="G2063" s="35">
        <f>SUMIFS(G2064:G9015,K2064:K9015,"0",B2064:B9015,"5 1 1 1 3*")</f>
        <v>0</v>
      </c>
      <c r="H2063" s="35">
        <f t="shared" si="33"/>
        <v>67104848.030000024</v>
      </c>
      <c r="I2063" s="35"/>
      <c r="K2063" t="s">
        <v>15</v>
      </c>
    </row>
    <row r="2064" spans="2:11" ht="12.75" x14ac:dyDescent="0.2">
      <c r="B2064" s="33" t="s">
        <v>2915</v>
      </c>
      <c r="C2064" s="33" t="s">
        <v>26</v>
      </c>
      <c r="D2064" s="35">
        <f>SUMIFS(D2065:D9015,K2065:K9015,"0",B2065:B9015,"5 1 1 1 3 12*")-SUMIFS(E2065:E9015,K2065:K9015,"0",B2065:B9015,"5 1 1 1 3 12*")</f>
        <v>0</v>
      </c>
      <c r="E2064"/>
      <c r="F2064" s="35">
        <f>SUMIFS(F2065:F9015,K2065:K9015,"0",B2065:B9015,"5 1 1 1 3 12*")</f>
        <v>67104848.030000024</v>
      </c>
      <c r="G2064" s="35">
        <f>SUMIFS(G2065:G9015,K2065:K9015,"0",B2065:B9015,"5 1 1 1 3 12*")</f>
        <v>0</v>
      </c>
      <c r="H2064" s="35">
        <f t="shared" si="33"/>
        <v>67104848.030000024</v>
      </c>
      <c r="I2064" s="35"/>
      <c r="K2064" t="s">
        <v>15</v>
      </c>
    </row>
    <row r="2065" spans="2:11" ht="16.5" x14ac:dyDescent="0.2">
      <c r="B2065" s="33" t="s">
        <v>2916</v>
      </c>
      <c r="C2065" s="33" t="s">
        <v>28</v>
      </c>
      <c r="D2065" s="35">
        <f>SUMIFS(D2066:D9015,K2066:K9015,"0",B2066:B9015,"5 1 1 1 3 12 31111*")-SUMIFS(E2066:E9015,K2066:K9015,"0",B2066:B9015,"5 1 1 1 3 12 31111*")</f>
        <v>0</v>
      </c>
      <c r="E2065"/>
      <c r="F2065" s="35">
        <f>SUMIFS(F2066:F9015,K2066:K9015,"0",B2066:B9015,"5 1 1 1 3 12 31111*")</f>
        <v>67104848.030000024</v>
      </c>
      <c r="G2065" s="35">
        <f>SUMIFS(G2066:G9015,K2066:K9015,"0",B2066:B9015,"5 1 1 1 3 12 31111*")</f>
        <v>0</v>
      </c>
      <c r="H2065" s="35">
        <f t="shared" si="33"/>
        <v>67104848.030000024</v>
      </c>
      <c r="I2065" s="35"/>
      <c r="K2065" t="s">
        <v>15</v>
      </c>
    </row>
    <row r="2066" spans="2:11" ht="12.75" x14ac:dyDescent="0.2">
      <c r="B2066" s="33" t="s">
        <v>2917</v>
      </c>
      <c r="C2066" s="33" t="s">
        <v>30</v>
      </c>
      <c r="D2066" s="35">
        <f>SUMIFS(D2067:D9015,K2067:K9015,"0",B2067:B9015,"5 1 1 1 3 12 31111 6*")-SUMIFS(E2067:E9015,K2067:K9015,"0",B2067:B9015,"5 1 1 1 3 12 31111 6*")</f>
        <v>0</v>
      </c>
      <c r="E2066"/>
      <c r="F2066" s="35">
        <f>SUMIFS(F2067:F9015,K2067:K9015,"0",B2067:B9015,"5 1 1 1 3 12 31111 6*")</f>
        <v>67104848.030000024</v>
      </c>
      <c r="G2066" s="35">
        <f>SUMIFS(G2067:G9015,K2067:K9015,"0",B2067:B9015,"5 1 1 1 3 12 31111 6*")</f>
        <v>0</v>
      </c>
      <c r="H2066" s="35">
        <f t="shared" si="33"/>
        <v>67104848.030000024</v>
      </c>
      <c r="I2066" s="35"/>
      <c r="K2066" t="s">
        <v>15</v>
      </c>
    </row>
    <row r="2067" spans="2:11" ht="12.75" x14ac:dyDescent="0.2">
      <c r="B2067" s="33" t="s">
        <v>2918</v>
      </c>
      <c r="C2067" s="33" t="s">
        <v>140</v>
      </c>
      <c r="D2067" s="35">
        <f>SUMIFS(D2068:D9015,K2068:K9015,"0",B2068:B9015,"5 1 1 1 3 12 31111 6 M59*")-SUMIFS(E2068:E9015,K2068:K9015,"0",B2068:B9015,"5 1 1 1 3 12 31111 6 M59*")</f>
        <v>0</v>
      </c>
      <c r="E2067"/>
      <c r="F2067" s="35">
        <f>SUMIFS(F2068:F9015,K2068:K9015,"0",B2068:B9015,"5 1 1 1 3 12 31111 6 M59*")</f>
        <v>67104848.030000024</v>
      </c>
      <c r="G2067" s="35">
        <f>SUMIFS(G2068:G9015,K2068:K9015,"0",B2068:B9015,"5 1 1 1 3 12 31111 6 M59*")</f>
        <v>0</v>
      </c>
      <c r="H2067" s="35">
        <f t="shared" si="33"/>
        <v>67104848.030000024</v>
      </c>
      <c r="I2067" s="35"/>
      <c r="K2067" t="s">
        <v>15</v>
      </c>
    </row>
    <row r="2068" spans="2:11" ht="16.5" x14ac:dyDescent="0.2">
      <c r="B2068" s="33" t="s">
        <v>2919</v>
      </c>
      <c r="C2068" s="33" t="s">
        <v>1243</v>
      </c>
      <c r="D2068" s="35">
        <f>SUMIFS(D2069:D9015,K2069:K9015,"0",B2069:B9015,"5 1 1 1 3 12 31111 6 M59 10000*")-SUMIFS(E2069:E9015,K2069:K9015,"0",B2069:B9015,"5 1 1 1 3 12 31111 6 M59 10000*")</f>
        <v>0</v>
      </c>
      <c r="E2068"/>
      <c r="F2068" s="35">
        <f>SUMIFS(F2069:F9015,K2069:K9015,"0",B2069:B9015,"5 1 1 1 3 12 31111 6 M59 10000*")</f>
        <v>1398702.13</v>
      </c>
      <c r="G2068" s="35">
        <f>SUMIFS(G2069:G9015,K2069:K9015,"0",B2069:B9015,"5 1 1 1 3 12 31111 6 M59 10000*")</f>
        <v>0</v>
      </c>
      <c r="H2068" s="35">
        <f t="shared" si="33"/>
        <v>1398702.13</v>
      </c>
      <c r="I2068" s="35"/>
      <c r="K2068" t="s">
        <v>15</v>
      </c>
    </row>
    <row r="2069" spans="2:11" ht="16.5" x14ac:dyDescent="0.2">
      <c r="B2069" s="33" t="s">
        <v>2920</v>
      </c>
      <c r="C2069" s="33" t="s">
        <v>648</v>
      </c>
      <c r="D2069" s="35">
        <f>SUMIFS(D2070:D9015,K2070:K9015,"0",B2070:B9015,"5 1 1 1 3 12 31111 6 M59 10000 000132*")-SUMIFS(E2070:E9015,K2070:K9015,"0",B2070:B9015,"5 1 1 1 3 12 31111 6 M59 10000 000132*")</f>
        <v>0</v>
      </c>
      <c r="E2069"/>
      <c r="F2069" s="35">
        <f>SUMIFS(F2070:F9015,K2070:K9015,"0",B2070:B9015,"5 1 1 1 3 12 31111 6 M59 10000 000132*")</f>
        <v>1398702.13</v>
      </c>
      <c r="G2069" s="35">
        <f>SUMIFS(G2070:G9015,K2070:K9015,"0",B2070:B9015,"5 1 1 1 3 12 31111 6 M59 10000 000132*")</f>
        <v>0</v>
      </c>
      <c r="H2069" s="35">
        <f t="shared" si="33"/>
        <v>1398702.13</v>
      </c>
      <c r="I2069" s="35"/>
      <c r="K2069" t="s">
        <v>15</v>
      </c>
    </row>
    <row r="2070" spans="2:11" ht="16.5" x14ac:dyDescent="0.2">
      <c r="B2070" s="33" t="s">
        <v>2921</v>
      </c>
      <c r="C2070" s="33" t="s">
        <v>650</v>
      </c>
      <c r="D2070" s="35">
        <f>SUMIFS(D2071:D9015,K2071:K9015,"0",B2071:B9015,"5 1 1 1 3 12 31111 6 M59 10000 000132 0000R*")-SUMIFS(E2071:E9015,K2071:K9015,"0",B2071:B9015,"5 1 1 1 3 12 31111 6 M59 10000 000132 0000R*")</f>
        <v>0</v>
      </c>
      <c r="E2070"/>
      <c r="F2070" s="35">
        <f>SUMIFS(F2071:F9015,K2071:K9015,"0",B2071:B9015,"5 1 1 1 3 12 31111 6 M59 10000 000132 0000R*")</f>
        <v>1398702.13</v>
      </c>
      <c r="G2070" s="35">
        <f>SUMIFS(G2071:G9015,K2071:K9015,"0",B2071:B9015,"5 1 1 1 3 12 31111 6 M59 10000 000132 0000R*")</f>
        <v>0</v>
      </c>
      <c r="H2070" s="35">
        <f t="shared" si="33"/>
        <v>1398702.13</v>
      </c>
      <c r="I2070" s="35"/>
      <c r="K2070" t="s">
        <v>15</v>
      </c>
    </row>
    <row r="2071" spans="2:11" ht="24.75" x14ac:dyDescent="0.2">
      <c r="B2071" s="33" t="s">
        <v>2922</v>
      </c>
      <c r="C2071" s="33" t="s">
        <v>282</v>
      </c>
      <c r="D2071" s="35">
        <f>SUMIFS(D2072:D9015,K2072:K9015,"0",B2072:B9015,"5 1 1 1 3 12 31111 6 M59 10000 000132 0000R 00001*")-SUMIFS(E2072:E9015,K2072:K9015,"0",B2072:B9015,"5 1 1 1 3 12 31111 6 M59 10000 000132 0000R 00001*")</f>
        <v>0</v>
      </c>
      <c r="E2071"/>
      <c r="F2071" s="35">
        <f>SUMIFS(F2072:F9015,K2072:K9015,"0",B2072:B9015,"5 1 1 1 3 12 31111 6 M59 10000 000132 0000R 00001*")</f>
        <v>1398702.13</v>
      </c>
      <c r="G2071" s="35">
        <f>SUMIFS(G2072:G9015,K2072:K9015,"0",B2072:B9015,"5 1 1 1 3 12 31111 6 M59 10000 000132 0000R 00001*")</f>
        <v>0</v>
      </c>
      <c r="H2071" s="35">
        <f t="shared" si="33"/>
        <v>1398702.13</v>
      </c>
      <c r="I2071" s="35"/>
      <c r="K2071" t="s">
        <v>15</v>
      </c>
    </row>
    <row r="2072" spans="2:11" ht="24.75" x14ac:dyDescent="0.2">
      <c r="B2072" s="33" t="s">
        <v>2923</v>
      </c>
      <c r="C2072" s="33" t="s">
        <v>2924</v>
      </c>
      <c r="D2072" s="35">
        <f>SUMIFS(D2073:D9015,K2073:K9015,"0",B2073:B9015,"5 1 1 1 3 12 31111 6 M59 10000 000132 0000R 00001 00113*")-SUMIFS(E2073:E9015,K2073:K9015,"0",B2073:B9015,"5 1 1 1 3 12 31111 6 M59 10000 000132 0000R 00001 00113*")</f>
        <v>0</v>
      </c>
      <c r="E2072"/>
      <c r="F2072" s="35">
        <f>SUMIFS(F2073:F9015,K2073:K9015,"0",B2073:B9015,"5 1 1 1 3 12 31111 6 M59 10000 000132 0000R 00001 00113*")</f>
        <v>1398702.13</v>
      </c>
      <c r="G2072" s="35">
        <f>SUMIFS(G2073:G9015,K2073:K9015,"0",B2073:B9015,"5 1 1 1 3 12 31111 6 M59 10000 000132 0000R 00001 00113*")</f>
        <v>0</v>
      </c>
      <c r="H2072" s="35">
        <f t="shared" si="33"/>
        <v>1398702.13</v>
      </c>
      <c r="I2072" s="35"/>
      <c r="K2072" t="s">
        <v>15</v>
      </c>
    </row>
    <row r="2073" spans="2:11" ht="24.75" x14ac:dyDescent="0.2">
      <c r="B2073" s="33" t="s">
        <v>2925</v>
      </c>
      <c r="C2073" s="33" t="s">
        <v>1051</v>
      </c>
      <c r="D2073" s="35">
        <f>SUMIFS(D2074:D9015,K2074:K9015,"0",B2074:B9015,"5 1 1 1 3 12 31111 6 M59 10000 000132 0000R 00001 00113 015*")-SUMIFS(E2074:E9015,K2074:K9015,"0",B2074:B9015,"5 1 1 1 3 12 31111 6 M59 10000 000132 0000R 00001 00113 015*")</f>
        <v>0</v>
      </c>
      <c r="E2073"/>
      <c r="F2073" s="35">
        <f>SUMIFS(F2074:F9015,K2074:K9015,"0",B2074:B9015,"5 1 1 1 3 12 31111 6 M59 10000 000132 0000R 00001 00113 015*")</f>
        <v>1398702.13</v>
      </c>
      <c r="G2073" s="35">
        <f>SUMIFS(G2074:G9015,K2074:K9015,"0",B2074:B9015,"5 1 1 1 3 12 31111 6 M59 10000 000132 0000R 00001 00113 015*")</f>
        <v>0</v>
      </c>
      <c r="H2073" s="35">
        <f t="shared" si="33"/>
        <v>1398702.13</v>
      </c>
      <c r="I2073" s="35"/>
      <c r="K2073" t="s">
        <v>15</v>
      </c>
    </row>
    <row r="2074" spans="2:11" ht="33" x14ac:dyDescent="0.2">
      <c r="B2074" s="33" t="s">
        <v>2926</v>
      </c>
      <c r="C2074" s="33" t="s">
        <v>2927</v>
      </c>
      <c r="D2074" s="35">
        <f>SUMIFS(D2075:D9015,K2075:K9015,"0",B2075:B9015,"5 1 1 1 3 12 31111 6 M59 10000 000132 0000R 00001 00113 015 2111100*")-SUMIFS(E2075:E9015,K2075:K9015,"0",B2075:B9015,"5 1 1 1 3 12 31111 6 M59 10000 000132 0000R 00001 00113 015 2111100*")</f>
        <v>0</v>
      </c>
      <c r="E2074"/>
      <c r="F2074" s="35">
        <f>SUMIFS(F2075:F9015,K2075:K9015,"0",B2075:B9015,"5 1 1 1 3 12 31111 6 M59 10000 000132 0000R 00001 00113 015 2111100*")</f>
        <v>1398702.13</v>
      </c>
      <c r="G2074" s="35">
        <f>SUMIFS(G2075:G9015,K2075:K9015,"0",B2075:B9015,"5 1 1 1 3 12 31111 6 M59 10000 000132 0000R 00001 00113 015 2111100*")</f>
        <v>0</v>
      </c>
      <c r="H2074" s="35">
        <f t="shared" si="33"/>
        <v>1398702.13</v>
      </c>
      <c r="I2074" s="35"/>
      <c r="K2074" t="s">
        <v>15</v>
      </c>
    </row>
    <row r="2075" spans="2:11" ht="33" x14ac:dyDescent="0.2">
      <c r="B2075" s="33" t="s">
        <v>2928</v>
      </c>
      <c r="C2075" s="33" t="s">
        <v>660</v>
      </c>
      <c r="D2075" s="35">
        <f>SUMIFS(D2076:D9015,K2076:K9015,"0",B2076:B9015,"5 1 1 1 3 12 31111 6 M59 10000 000132 0000R 00001 00113 015 2111100 2024*")-SUMIFS(E2076:E9015,K2076:K9015,"0",B2076:B9015,"5 1 1 1 3 12 31111 6 M59 10000 000132 0000R 00001 00113 015 2111100 2024*")</f>
        <v>0</v>
      </c>
      <c r="E2075"/>
      <c r="F2075" s="35">
        <f>SUMIFS(F2076:F9015,K2076:K9015,"0",B2076:B9015,"5 1 1 1 3 12 31111 6 M59 10000 000132 0000R 00001 00113 015 2111100 2024*")</f>
        <v>1398702.13</v>
      </c>
      <c r="G2075" s="35">
        <f>SUMIFS(G2076:G9015,K2076:K9015,"0",B2076:B9015,"5 1 1 1 3 12 31111 6 M59 10000 000132 0000R 00001 00113 015 2111100 2024*")</f>
        <v>0</v>
      </c>
      <c r="H2075" s="35">
        <f t="shared" si="33"/>
        <v>1398702.13</v>
      </c>
      <c r="I2075" s="35"/>
      <c r="K2075" t="s">
        <v>15</v>
      </c>
    </row>
    <row r="2076" spans="2:11" ht="41.25" x14ac:dyDescent="0.2">
      <c r="B2076" s="33" t="s">
        <v>2929</v>
      </c>
      <c r="C2076" s="33" t="s">
        <v>662</v>
      </c>
      <c r="D2076" s="35">
        <f>SUMIFS(D2077:D9015,K2077:K9015,"0",B2077:B9015,"5 1 1 1 3 12 31111 6 M59 10000 000132 0000R 00001 00113 015 2111100 2024 CP1PM439*")-SUMIFS(E2077:E9015,K2077:K9015,"0",B2077:B9015,"5 1 1 1 3 12 31111 6 M59 10000 000132 0000R 00001 00113 015 2111100 2024 CP1PM439*")</f>
        <v>0</v>
      </c>
      <c r="E2076"/>
      <c r="F2076" s="35">
        <f>SUMIFS(F2077:F9015,K2077:K9015,"0",B2077:B9015,"5 1 1 1 3 12 31111 6 M59 10000 000132 0000R 00001 00113 015 2111100 2024 CP1PM439*")</f>
        <v>1398702.13</v>
      </c>
      <c r="G2076" s="35">
        <f>SUMIFS(G2077:G9015,K2077:K9015,"0",B2077:B9015,"5 1 1 1 3 12 31111 6 M59 10000 000132 0000R 00001 00113 015 2111100 2024 CP1PM439*")</f>
        <v>0</v>
      </c>
      <c r="H2076" s="35">
        <f t="shared" si="33"/>
        <v>1398702.13</v>
      </c>
      <c r="I2076" s="35"/>
      <c r="K2076" t="s">
        <v>15</v>
      </c>
    </row>
    <row r="2077" spans="2:11" ht="41.25" x14ac:dyDescent="0.2">
      <c r="B2077" s="33" t="s">
        <v>2930</v>
      </c>
      <c r="C2077" s="33" t="s">
        <v>282</v>
      </c>
      <c r="D2077" s="35">
        <f>SUMIFS(D2078:D9015,K2078:K9015,"0",B2078:B9015,"5 1 1 1 3 12 31111 6 M59 10000 000132 0000R 00001 00113 015 2111100 2024 CP1PM439 001*")-SUMIFS(E2078:E9015,K2078:K9015,"0",B2078:B9015,"5 1 1 1 3 12 31111 6 M59 10000 000132 0000R 00001 00113 015 2111100 2024 CP1PM439 001*")</f>
        <v>0</v>
      </c>
      <c r="E2077"/>
      <c r="F2077" s="35">
        <f>SUMIFS(F2078:F9015,K2078:K9015,"0",B2078:B9015,"5 1 1 1 3 12 31111 6 M59 10000 000132 0000R 00001 00113 015 2111100 2024 CP1PM439 001*")</f>
        <v>1398702.13</v>
      </c>
      <c r="G2077" s="35">
        <f>SUMIFS(G2078:G9015,K2078:K9015,"0",B2078:B9015,"5 1 1 1 3 12 31111 6 M59 10000 000132 0000R 00001 00113 015 2111100 2024 CP1PM439 001*")</f>
        <v>0</v>
      </c>
      <c r="H2077" s="35">
        <f t="shared" si="33"/>
        <v>1398702.13</v>
      </c>
      <c r="I2077" s="35"/>
      <c r="K2077" t="s">
        <v>15</v>
      </c>
    </row>
    <row r="2078" spans="2:11" ht="33" x14ac:dyDescent="0.2">
      <c r="B2078" s="31" t="s">
        <v>2931</v>
      </c>
      <c r="C2078" s="31" t="s">
        <v>2932</v>
      </c>
      <c r="D2078" s="34">
        <v>0</v>
      </c>
      <c r="E2078" s="34"/>
      <c r="F2078" s="34">
        <v>1398702.13</v>
      </c>
      <c r="G2078" s="34">
        <v>0</v>
      </c>
      <c r="H2078" s="34">
        <f t="shared" si="33"/>
        <v>1398702.13</v>
      </c>
      <c r="I2078" s="34"/>
      <c r="K2078" t="s">
        <v>38</v>
      </c>
    </row>
    <row r="2079" spans="2:11" ht="16.5" x14ac:dyDescent="0.2">
      <c r="B2079" s="33" t="s">
        <v>2933</v>
      </c>
      <c r="C2079" s="33" t="s">
        <v>2934</v>
      </c>
      <c r="D2079" s="35">
        <f>SUMIFS(D2080:D9015,K2080:K9015,"0",B2080:B9015,"5 1 1 1 3 12 31111 6 M59 10100*")-SUMIFS(E2080:E9015,K2080:K9015,"0",B2080:B9015,"5 1 1 1 3 12 31111 6 M59 10100*")</f>
        <v>0</v>
      </c>
      <c r="E2079"/>
      <c r="F2079" s="35">
        <f>SUMIFS(F2080:F9015,K2080:K9015,"0",B2080:B9015,"5 1 1 1 3 12 31111 6 M59 10100*")</f>
        <v>367227.22</v>
      </c>
      <c r="G2079" s="35">
        <f>SUMIFS(G2080:G9015,K2080:K9015,"0",B2080:B9015,"5 1 1 1 3 12 31111 6 M59 10100*")</f>
        <v>0</v>
      </c>
      <c r="H2079" s="35">
        <f t="shared" si="33"/>
        <v>367227.22</v>
      </c>
      <c r="I2079" s="35"/>
      <c r="K2079" t="s">
        <v>15</v>
      </c>
    </row>
    <row r="2080" spans="2:11" ht="16.5" x14ac:dyDescent="0.2">
      <c r="B2080" s="33" t="s">
        <v>2935</v>
      </c>
      <c r="C2080" s="33" t="s">
        <v>648</v>
      </c>
      <c r="D2080" s="35">
        <f>SUMIFS(D2081:D9015,K2081:K9015,"0",B2081:B9015,"5 1 1 1 3 12 31111 6 M59 10100 000132*")-SUMIFS(E2081:E9015,K2081:K9015,"0",B2081:B9015,"5 1 1 1 3 12 31111 6 M59 10100 000132*")</f>
        <v>0</v>
      </c>
      <c r="E2080"/>
      <c r="F2080" s="35">
        <f>SUMIFS(F2081:F9015,K2081:K9015,"0",B2081:B9015,"5 1 1 1 3 12 31111 6 M59 10100 000132*")</f>
        <v>367227.22</v>
      </c>
      <c r="G2080" s="35">
        <f>SUMIFS(G2081:G9015,K2081:K9015,"0",B2081:B9015,"5 1 1 1 3 12 31111 6 M59 10100 000132*")</f>
        <v>0</v>
      </c>
      <c r="H2080" s="35">
        <f t="shared" si="33"/>
        <v>367227.22</v>
      </c>
      <c r="I2080" s="35"/>
      <c r="K2080" t="s">
        <v>15</v>
      </c>
    </row>
    <row r="2081" spans="2:11" ht="16.5" x14ac:dyDescent="0.2">
      <c r="B2081" s="33" t="s">
        <v>2936</v>
      </c>
      <c r="C2081" s="33" t="s">
        <v>650</v>
      </c>
      <c r="D2081" s="35">
        <f>SUMIFS(D2082:D9015,K2082:K9015,"0",B2082:B9015,"5 1 1 1 3 12 31111 6 M59 10100 000132 0000R*")-SUMIFS(E2082:E9015,K2082:K9015,"0",B2082:B9015,"5 1 1 1 3 12 31111 6 M59 10100 000132 0000R*")</f>
        <v>0</v>
      </c>
      <c r="E2081"/>
      <c r="F2081" s="35">
        <f>SUMIFS(F2082:F9015,K2082:K9015,"0",B2082:B9015,"5 1 1 1 3 12 31111 6 M59 10100 000132 0000R*")</f>
        <v>367227.22</v>
      </c>
      <c r="G2081" s="35">
        <f>SUMIFS(G2082:G9015,K2082:K9015,"0",B2082:B9015,"5 1 1 1 3 12 31111 6 M59 10100 000132 0000R*")</f>
        <v>0</v>
      </c>
      <c r="H2081" s="35">
        <f t="shared" si="33"/>
        <v>367227.22</v>
      </c>
      <c r="I2081" s="35"/>
      <c r="K2081" t="s">
        <v>15</v>
      </c>
    </row>
    <row r="2082" spans="2:11" ht="24.75" x14ac:dyDescent="0.2">
      <c r="B2082" s="33" t="s">
        <v>2937</v>
      </c>
      <c r="C2082" s="33" t="s">
        <v>282</v>
      </c>
      <c r="D2082" s="35">
        <f>SUMIFS(D2083:D9015,K2083:K9015,"0",B2083:B9015,"5 1 1 1 3 12 31111 6 M59 10100 000132 0000R 00001*")-SUMIFS(E2083:E9015,K2083:K9015,"0",B2083:B9015,"5 1 1 1 3 12 31111 6 M59 10100 000132 0000R 00001*")</f>
        <v>0</v>
      </c>
      <c r="E2082"/>
      <c r="F2082" s="35">
        <f>SUMIFS(F2083:F9015,K2083:K9015,"0",B2083:B9015,"5 1 1 1 3 12 31111 6 M59 10100 000132 0000R 00001*")</f>
        <v>367227.22</v>
      </c>
      <c r="G2082" s="35">
        <f>SUMIFS(G2083:G9015,K2083:K9015,"0",B2083:B9015,"5 1 1 1 3 12 31111 6 M59 10100 000132 0000R 00001*")</f>
        <v>0</v>
      </c>
      <c r="H2082" s="35">
        <f t="shared" si="33"/>
        <v>367227.22</v>
      </c>
      <c r="I2082" s="35"/>
      <c r="K2082" t="s">
        <v>15</v>
      </c>
    </row>
    <row r="2083" spans="2:11" ht="24.75" x14ac:dyDescent="0.2">
      <c r="B2083" s="33" t="s">
        <v>2938</v>
      </c>
      <c r="C2083" s="33" t="s">
        <v>2924</v>
      </c>
      <c r="D2083" s="35">
        <f>SUMIFS(D2084:D9015,K2084:K9015,"0",B2084:B9015,"5 1 1 1 3 12 31111 6 M59 10100 000132 0000R 00001 00113*")-SUMIFS(E2084:E9015,K2084:K9015,"0",B2084:B9015,"5 1 1 1 3 12 31111 6 M59 10100 000132 0000R 00001 00113*")</f>
        <v>0</v>
      </c>
      <c r="E2083"/>
      <c r="F2083" s="35">
        <f>SUMIFS(F2084:F9015,K2084:K9015,"0",B2084:B9015,"5 1 1 1 3 12 31111 6 M59 10100 000132 0000R 00001 00113*")</f>
        <v>367227.22</v>
      </c>
      <c r="G2083" s="35">
        <f>SUMIFS(G2084:G9015,K2084:K9015,"0",B2084:B9015,"5 1 1 1 3 12 31111 6 M59 10100 000132 0000R 00001 00113*")</f>
        <v>0</v>
      </c>
      <c r="H2083" s="35">
        <f t="shared" si="33"/>
        <v>367227.22</v>
      </c>
      <c r="I2083" s="35"/>
      <c r="K2083" t="s">
        <v>15</v>
      </c>
    </row>
    <row r="2084" spans="2:11" ht="24.75" x14ac:dyDescent="0.2">
      <c r="B2084" s="33" t="s">
        <v>2939</v>
      </c>
      <c r="C2084" s="33" t="s">
        <v>1051</v>
      </c>
      <c r="D2084" s="35">
        <f>SUMIFS(D2085:D9015,K2085:K9015,"0",B2085:B9015,"5 1 1 1 3 12 31111 6 M59 10100 000132 0000R 00001 00113 015*")-SUMIFS(E2085:E9015,K2085:K9015,"0",B2085:B9015,"5 1 1 1 3 12 31111 6 M59 10100 000132 0000R 00001 00113 015*")</f>
        <v>0</v>
      </c>
      <c r="E2084"/>
      <c r="F2084" s="35">
        <f>SUMIFS(F2085:F9015,K2085:K9015,"0",B2085:B9015,"5 1 1 1 3 12 31111 6 M59 10100 000132 0000R 00001 00113 015*")</f>
        <v>367227.22</v>
      </c>
      <c r="G2084" s="35">
        <f>SUMIFS(G2085:G9015,K2085:K9015,"0",B2085:B9015,"5 1 1 1 3 12 31111 6 M59 10100 000132 0000R 00001 00113 015*")</f>
        <v>0</v>
      </c>
      <c r="H2084" s="35">
        <f t="shared" si="33"/>
        <v>367227.22</v>
      </c>
      <c r="I2084" s="35"/>
      <c r="K2084" t="s">
        <v>15</v>
      </c>
    </row>
    <row r="2085" spans="2:11" ht="33" x14ac:dyDescent="0.2">
      <c r="B2085" s="33" t="s">
        <v>2940</v>
      </c>
      <c r="C2085" s="33" t="s">
        <v>2927</v>
      </c>
      <c r="D2085" s="35">
        <f>SUMIFS(D2086:D9015,K2086:K9015,"0",B2086:B9015,"5 1 1 1 3 12 31111 6 M59 10100 000132 0000R 00001 00113 015 2111100*")-SUMIFS(E2086:E9015,K2086:K9015,"0",B2086:B9015,"5 1 1 1 3 12 31111 6 M59 10100 000132 0000R 00001 00113 015 2111100*")</f>
        <v>0</v>
      </c>
      <c r="E2085"/>
      <c r="F2085" s="35">
        <f>SUMIFS(F2086:F9015,K2086:K9015,"0",B2086:B9015,"5 1 1 1 3 12 31111 6 M59 10100 000132 0000R 00001 00113 015 2111100*")</f>
        <v>367227.22</v>
      </c>
      <c r="G2085" s="35">
        <f>SUMIFS(G2086:G9015,K2086:K9015,"0",B2086:B9015,"5 1 1 1 3 12 31111 6 M59 10100 000132 0000R 00001 00113 015 2111100*")</f>
        <v>0</v>
      </c>
      <c r="H2085" s="35">
        <f t="shared" si="33"/>
        <v>367227.22</v>
      </c>
      <c r="I2085" s="35"/>
      <c r="K2085" t="s">
        <v>15</v>
      </c>
    </row>
    <row r="2086" spans="2:11" ht="33" x14ac:dyDescent="0.2">
      <c r="B2086" s="33" t="s">
        <v>2941</v>
      </c>
      <c r="C2086" s="33" t="s">
        <v>660</v>
      </c>
      <c r="D2086" s="35">
        <f>SUMIFS(D2087:D9015,K2087:K9015,"0",B2087:B9015,"5 1 1 1 3 12 31111 6 M59 10100 000132 0000R 00001 00113 015 2111100 2024*")-SUMIFS(E2087:E9015,K2087:K9015,"0",B2087:B9015,"5 1 1 1 3 12 31111 6 M59 10100 000132 0000R 00001 00113 015 2111100 2024*")</f>
        <v>0</v>
      </c>
      <c r="E2086"/>
      <c r="F2086" s="35">
        <f>SUMIFS(F2087:F9015,K2087:K9015,"0",B2087:B9015,"5 1 1 1 3 12 31111 6 M59 10100 000132 0000R 00001 00113 015 2111100 2024*")</f>
        <v>367227.22</v>
      </c>
      <c r="G2086" s="35">
        <f>SUMIFS(G2087:G9015,K2087:K9015,"0",B2087:B9015,"5 1 1 1 3 12 31111 6 M59 10100 000132 0000R 00001 00113 015 2111100 2024*")</f>
        <v>0</v>
      </c>
      <c r="H2086" s="35">
        <f t="shared" si="33"/>
        <v>367227.22</v>
      </c>
      <c r="I2086" s="35"/>
      <c r="K2086" t="s">
        <v>15</v>
      </c>
    </row>
    <row r="2087" spans="2:11" ht="41.25" x14ac:dyDescent="0.2">
      <c r="B2087" s="33" t="s">
        <v>2942</v>
      </c>
      <c r="C2087" s="33" t="s">
        <v>1056</v>
      </c>
      <c r="D2087" s="35">
        <f>SUMIFS(D2088:D9015,K2088:K9015,"0",B2088:B9015,"5 1 1 1 3 12 31111 6 M59 10100 000132 0000R 00001 00113 015 2111100 2024 CP1CO438*")-SUMIFS(E2088:E9015,K2088:K9015,"0",B2088:B9015,"5 1 1 1 3 12 31111 6 M59 10100 000132 0000R 00001 00113 015 2111100 2024 CP1CO438*")</f>
        <v>0</v>
      </c>
      <c r="E2087"/>
      <c r="F2087" s="35">
        <f>SUMIFS(F2088:F9015,K2088:K9015,"0",B2088:B9015,"5 1 1 1 3 12 31111 6 M59 10100 000132 0000R 00001 00113 015 2111100 2024 CP1CO438*")</f>
        <v>367227.22</v>
      </c>
      <c r="G2087" s="35">
        <f>SUMIFS(G2088:G9015,K2088:K9015,"0",B2088:B9015,"5 1 1 1 3 12 31111 6 M59 10100 000132 0000R 00001 00113 015 2111100 2024 CP1CO438*")</f>
        <v>0</v>
      </c>
      <c r="H2087" s="35">
        <f t="shared" si="33"/>
        <v>367227.22</v>
      </c>
      <c r="I2087" s="35"/>
      <c r="K2087" t="s">
        <v>15</v>
      </c>
    </row>
    <row r="2088" spans="2:11" ht="41.25" x14ac:dyDescent="0.2">
      <c r="B2088" s="33" t="s">
        <v>2943</v>
      </c>
      <c r="C2088" s="33" t="s">
        <v>282</v>
      </c>
      <c r="D2088" s="35">
        <f>SUMIFS(D2089:D9015,K2089:K9015,"0",B2089:B9015,"5 1 1 1 3 12 31111 6 M59 10100 000132 0000R 00001 00113 015 2111100 2024 CP1CO438 001*")-SUMIFS(E2089:E9015,K2089:K9015,"0",B2089:B9015,"5 1 1 1 3 12 31111 6 M59 10100 000132 0000R 00001 00113 015 2111100 2024 CP1CO438 001*")</f>
        <v>0</v>
      </c>
      <c r="E2088"/>
      <c r="F2088" s="35">
        <f>SUMIFS(F2089:F9015,K2089:K9015,"0",B2089:B9015,"5 1 1 1 3 12 31111 6 M59 10100 000132 0000R 00001 00113 015 2111100 2024 CP1CO438 001*")</f>
        <v>367227.22</v>
      </c>
      <c r="G2088" s="35">
        <f>SUMIFS(G2089:G9015,K2089:K9015,"0",B2089:B9015,"5 1 1 1 3 12 31111 6 M59 10100 000132 0000R 00001 00113 015 2111100 2024 CP1CO438 001*")</f>
        <v>0</v>
      </c>
      <c r="H2088" s="35">
        <f t="shared" si="33"/>
        <v>367227.22</v>
      </c>
      <c r="I2088" s="35"/>
      <c r="K2088" t="s">
        <v>15</v>
      </c>
    </row>
    <row r="2089" spans="2:11" ht="33" x14ac:dyDescent="0.2">
      <c r="B2089" s="31" t="s">
        <v>2944</v>
      </c>
      <c r="C2089" s="31" t="s">
        <v>2932</v>
      </c>
      <c r="D2089" s="34">
        <v>0</v>
      </c>
      <c r="E2089" s="34"/>
      <c r="F2089" s="34">
        <v>367227.22</v>
      </c>
      <c r="G2089" s="34">
        <v>0</v>
      </c>
      <c r="H2089" s="34">
        <f t="shared" si="33"/>
        <v>367227.22</v>
      </c>
      <c r="I2089" s="34"/>
      <c r="K2089" t="s">
        <v>38</v>
      </c>
    </row>
    <row r="2090" spans="2:11" ht="16.5" x14ac:dyDescent="0.2">
      <c r="B2090" s="33" t="s">
        <v>2945</v>
      </c>
      <c r="C2090" s="33" t="s">
        <v>2946</v>
      </c>
      <c r="D2090" s="35">
        <f>SUMIFS(D2091:D9015,K2091:K9015,"0",B2091:B9015,"5 1 1 1 3 12 31111 6 M59 10300*")-SUMIFS(E2091:E9015,K2091:K9015,"0",B2091:B9015,"5 1 1 1 3 12 31111 6 M59 10300*")</f>
        <v>0</v>
      </c>
      <c r="E2090"/>
      <c r="F2090" s="35">
        <f>SUMIFS(F2091:F9015,K2091:K9015,"0",B2091:B9015,"5 1 1 1 3 12 31111 6 M59 10300*")</f>
        <v>526068.99</v>
      </c>
      <c r="G2090" s="35">
        <f>SUMIFS(G2091:G9015,K2091:K9015,"0",B2091:B9015,"5 1 1 1 3 12 31111 6 M59 10300*")</f>
        <v>0</v>
      </c>
      <c r="H2090" s="35">
        <f t="shared" si="33"/>
        <v>526068.99</v>
      </c>
      <c r="I2090" s="35"/>
      <c r="K2090" t="s">
        <v>15</v>
      </c>
    </row>
    <row r="2091" spans="2:11" ht="16.5" x14ac:dyDescent="0.2">
      <c r="B2091" s="33" t="s">
        <v>2947</v>
      </c>
      <c r="C2091" s="33" t="s">
        <v>648</v>
      </c>
      <c r="D2091" s="35">
        <f>SUMIFS(D2092:D9015,K2092:K9015,"0",B2092:B9015,"5 1 1 1 3 12 31111 6 M59 10300 000132*")-SUMIFS(E2092:E9015,K2092:K9015,"0",B2092:B9015,"5 1 1 1 3 12 31111 6 M59 10300 000132*")</f>
        <v>0</v>
      </c>
      <c r="E2091"/>
      <c r="F2091" s="35">
        <f>SUMIFS(F2092:F9015,K2092:K9015,"0",B2092:B9015,"5 1 1 1 3 12 31111 6 M59 10300 000132*")</f>
        <v>526068.99</v>
      </c>
      <c r="G2091" s="35">
        <f>SUMIFS(G2092:G9015,K2092:K9015,"0",B2092:B9015,"5 1 1 1 3 12 31111 6 M59 10300 000132*")</f>
        <v>0</v>
      </c>
      <c r="H2091" s="35">
        <f t="shared" si="33"/>
        <v>526068.99</v>
      </c>
      <c r="I2091" s="35"/>
      <c r="K2091" t="s">
        <v>15</v>
      </c>
    </row>
    <row r="2092" spans="2:11" ht="16.5" x14ac:dyDescent="0.2">
      <c r="B2092" s="33" t="s">
        <v>2948</v>
      </c>
      <c r="C2092" s="33" t="s">
        <v>650</v>
      </c>
      <c r="D2092" s="35">
        <f>SUMIFS(D2093:D9015,K2093:K9015,"0",B2093:B9015,"5 1 1 1 3 12 31111 6 M59 10300 000132 0000R*")-SUMIFS(E2093:E9015,K2093:K9015,"0",B2093:B9015,"5 1 1 1 3 12 31111 6 M59 10300 000132 0000R*")</f>
        <v>0</v>
      </c>
      <c r="E2092"/>
      <c r="F2092" s="35">
        <f>SUMIFS(F2093:F9015,K2093:K9015,"0",B2093:B9015,"5 1 1 1 3 12 31111 6 M59 10300 000132 0000R*")</f>
        <v>526068.99</v>
      </c>
      <c r="G2092" s="35">
        <f>SUMIFS(G2093:G9015,K2093:K9015,"0",B2093:B9015,"5 1 1 1 3 12 31111 6 M59 10300 000132 0000R*")</f>
        <v>0</v>
      </c>
      <c r="H2092" s="35">
        <f t="shared" si="33"/>
        <v>526068.99</v>
      </c>
      <c r="I2092" s="35"/>
      <c r="K2092" t="s">
        <v>15</v>
      </c>
    </row>
    <row r="2093" spans="2:11" ht="24.75" x14ac:dyDescent="0.2">
      <c r="B2093" s="33" t="s">
        <v>2949</v>
      </c>
      <c r="C2093" s="33" t="s">
        <v>282</v>
      </c>
      <c r="D2093" s="35">
        <f>SUMIFS(D2094:D9015,K2094:K9015,"0",B2094:B9015,"5 1 1 1 3 12 31111 6 M59 10300 000132 0000R 00001*")-SUMIFS(E2094:E9015,K2094:K9015,"0",B2094:B9015,"5 1 1 1 3 12 31111 6 M59 10300 000132 0000R 00001*")</f>
        <v>0</v>
      </c>
      <c r="E2093"/>
      <c r="F2093" s="35">
        <f>SUMIFS(F2094:F9015,K2094:K9015,"0",B2094:B9015,"5 1 1 1 3 12 31111 6 M59 10300 000132 0000R 00001*")</f>
        <v>526068.99</v>
      </c>
      <c r="G2093" s="35">
        <f>SUMIFS(G2094:G9015,K2094:K9015,"0",B2094:B9015,"5 1 1 1 3 12 31111 6 M59 10300 000132 0000R 00001*")</f>
        <v>0</v>
      </c>
      <c r="H2093" s="35">
        <f t="shared" si="33"/>
        <v>526068.99</v>
      </c>
      <c r="I2093" s="35"/>
      <c r="K2093" t="s">
        <v>15</v>
      </c>
    </row>
    <row r="2094" spans="2:11" ht="24.75" x14ac:dyDescent="0.2">
      <c r="B2094" s="33" t="s">
        <v>2950</v>
      </c>
      <c r="C2094" s="33" t="s">
        <v>2924</v>
      </c>
      <c r="D2094" s="35">
        <f>SUMIFS(D2095:D9015,K2095:K9015,"0",B2095:B9015,"5 1 1 1 3 12 31111 6 M59 10300 000132 0000R 00001 00113*")-SUMIFS(E2095:E9015,K2095:K9015,"0",B2095:B9015,"5 1 1 1 3 12 31111 6 M59 10300 000132 0000R 00001 00113*")</f>
        <v>0</v>
      </c>
      <c r="E2094"/>
      <c r="F2094" s="35">
        <f>SUMIFS(F2095:F9015,K2095:K9015,"0",B2095:B9015,"5 1 1 1 3 12 31111 6 M59 10300 000132 0000R 00001 00113*")</f>
        <v>526068.99</v>
      </c>
      <c r="G2094" s="35">
        <f>SUMIFS(G2095:G9015,K2095:K9015,"0",B2095:B9015,"5 1 1 1 3 12 31111 6 M59 10300 000132 0000R 00001 00113*")</f>
        <v>0</v>
      </c>
      <c r="H2094" s="35">
        <f t="shared" si="33"/>
        <v>526068.99</v>
      </c>
      <c r="I2094" s="35"/>
      <c r="K2094" t="s">
        <v>15</v>
      </c>
    </row>
    <row r="2095" spans="2:11" ht="24.75" x14ac:dyDescent="0.2">
      <c r="B2095" s="33" t="s">
        <v>2951</v>
      </c>
      <c r="C2095" s="33" t="s">
        <v>1051</v>
      </c>
      <c r="D2095" s="35">
        <f>SUMIFS(D2096:D9015,K2096:K9015,"0",B2096:B9015,"5 1 1 1 3 12 31111 6 M59 10300 000132 0000R 00001 00113 015*")-SUMIFS(E2096:E9015,K2096:K9015,"0",B2096:B9015,"5 1 1 1 3 12 31111 6 M59 10300 000132 0000R 00001 00113 015*")</f>
        <v>0</v>
      </c>
      <c r="E2095"/>
      <c r="F2095" s="35">
        <f>SUMIFS(F2096:F9015,K2096:K9015,"0",B2096:B9015,"5 1 1 1 3 12 31111 6 M59 10300 000132 0000R 00001 00113 015*")</f>
        <v>526068.99</v>
      </c>
      <c r="G2095" s="35">
        <f>SUMIFS(G2096:G9015,K2096:K9015,"0",B2096:B9015,"5 1 1 1 3 12 31111 6 M59 10300 000132 0000R 00001 00113 015*")</f>
        <v>0</v>
      </c>
      <c r="H2095" s="35">
        <f t="shared" si="33"/>
        <v>526068.99</v>
      </c>
      <c r="I2095" s="35"/>
      <c r="K2095" t="s">
        <v>15</v>
      </c>
    </row>
    <row r="2096" spans="2:11" ht="33" x14ac:dyDescent="0.2">
      <c r="B2096" s="33" t="s">
        <v>2952</v>
      </c>
      <c r="C2096" s="33" t="s">
        <v>2927</v>
      </c>
      <c r="D2096" s="35">
        <f>SUMIFS(D2097:D9015,K2097:K9015,"0",B2097:B9015,"5 1 1 1 3 12 31111 6 M59 10300 000132 0000R 00001 00113 015 2111100*")-SUMIFS(E2097:E9015,K2097:K9015,"0",B2097:B9015,"5 1 1 1 3 12 31111 6 M59 10300 000132 0000R 00001 00113 015 2111100*")</f>
        <v>0</v>
      </c>
      <c r="E2096"/>
      <c r="F2096" s="35">
        <f>SUMIFS(F2097:F9015,K2097:K9015,"0",B2097:B9015,"5 1 1 1 3 12 31111 6 M59 10300 000132 0000R 00001 00113 015 2111100*")</f>
        <v>526068.99</v>
      </c>
      <c r="G2096" s="35">
        <f>SUMIFS(G2097:G9015,K2097:K9015,"0",B2097:B9015,"5 1 1 1 3 12 31111 6 M59 10300 000132 0000R 00001 00113 015 2111100*")</f>
        <v>0</v>
      </c>
      <c r="H2096" s="35">
        <f t="shared" si="33"/>
        <v>526068.99</v>
      </c>
      <c r="I2096" s="35"/>
      <c r="K2096" t="s">
        <v>15</v>
      </c>
    </row>
    <row r="2097" spans="2:11" ht="33" x14ac:dyDescent="0.2">
      <c r="B2097" s="33" t="s">
        <v>2953</v>
      </c>
      <c r="C2097" s="33" t="s">
        <v>660</v>
      </c>
      <c r="D2097" s="35">
        <f>SUMIFS(D2098:D9015,K2098:K9015,"0",B2098:B9015,"5 1 1 1 3 12 31111 6 M59 10300 000132 0000R 00001 00113 015 2111100 2024*")-SUMIFS(E2098:E9015,K2098:K9015,"0",B2098:B9015,"5 1 1 1 3 12 31111 6 M59 10300 000132 0000R 00001 00113 015 2111100 2024*")</f>
        <v>0</v>
      </c>
      <c r="E2097"/>
      <c r="F2097" s="35">
        <f>SUMIFS(F2098:F9015,K2098:K9015,"0",B2098:B9015,"5 1 1 1 3 12 31111 6 M59 10300 000132 0000R 00001 00113 015 2111100 2024*")</f>
        <v>526068.99</v>
      </c>
      <c r="G2097" s="35">
        <f>SUMIFS(G2098:G9015,K2098:K9015,"0",B2098:B9015,"5 1 1 1 3 12 31111 6 M59 10300 000132 0000R 00001 00113 015 2111100 2024*")</f>
        <v>0</v>
      </c>
      <c r="H2097" s="35">
        <f t="shared" si="33"/>
        <v>526068.99</v>
      </c>
      <c r="I2097" s="35"/>
      <c r="K2097" t="s">
        <v>15</v>
      </c>
    </row>
    <row r="2098" spans="2:11" ht="41.25" x14ac:dyDescent="0.2">
      <c r="B2098" s="33" t="s">
        <v>2954</v>
      </c>
      <c r="C2098" s="33" t="s">
        <v>2955</v>
      </c>
      <c r="D2098" s="35">
        <f>SUMIFS(D2099:D9015,K2099:K9015,"0",B2099:B9015,"5 1 1 1 3 12 31111 6 M59 10300 000132 0000R 00001 00113 015 2111100 2024 CP1GE413*")-SUMIFS(E2099:E9015,K2099:K9015,"0",B2099:B9015,"5 1 1 1 3 12 31111 6 M59 10300 000132 0000R 00001 00113 015 2111100 2024 CP1GE413*")</f>
        <v>0</v>
      </c>
      <c r="E2098"/>
      <c r="F2098" s="35">
        <f>SUMIFS(F2099:F9015,K2099:K9015,"0",B2099:B9015,"5 1 1 1 3 12 31111 6 M59 10300 000132 0000R 00001 00113 015 2111100 2024 CP1GE413*")</f>
        <v>526068.99</v>
      </c>
      <c r="G2098" s="35">
        <f>SUMIFS(G2099:G9015,K2099:K9015,"0",B2099:B9015,"5 1 1 1 3 12 31111 6 M59 10300 000132 0000R 00001 00113 015 2111100 2024 CP1GE413*")</f>
        <v>0</v>
      </c>
      <c r="H2098" s="35">
        <f t="shared" si="33"/>
        <v>526068.99</v>
      </c>
      <c r="I2098" s="35"/>
      <c r="K2098" t="s">
        <v>15</v>
      </c>
    </row>
    <row r="2099" spans="2:11" ht="41.25" x14ac:dyDescent="0.2">
      <c r="B2099" s="33" t="s">
        <v>2956</v>
      </c>
      <c r="C2099" s="33" t="s">
        <v>282</v>
      </c>
      <c r="D2099" s="35">
        <f>SUMIFS(D2100:D9015,K2100:K9015,"0",B2100:B9015,"5 1 1 1 3 12 31111 6 M59 10300 000132 0000R 00001 00113 015 2111100 2024 CP1GE413 001*")-SUMIFS(E2100:E9015,K2100:K9015,"0",B2100:B9015,"5 1 1 1 3 12 31111 6 M59 10300 000132 0000R 00001 00113 015 2111100 2024 CP1GE413 001*")</f>
        <v>0</v>
      </c>
      <c r="E2099"/>
      <c r="F2099" s="35">
        <f>SUMIFS(F2100:F9015,K2100:K9015,"0",B2100:B9015,"5 1 1 1 3 12 31111 6 M59 10300 000132 0000R 00001 00113 015 2111100 2024 CP1GE413 001*")</f>
        <v>526068.99</v>
      </c>
      <c r="G2099" s="35">
        <f>SUMIFS(G2100:G9015,K2100:K9015,"0",B2100:B9015,"5 1 1 1 3 12 31111 6 M59 10300 000132 0000R 00001 00113 015 2111100 2024 CP1GE413 001*")</f>
        <v>0</v>
      </c>
      <c r="H2099" s="35">
        <f t="shared" si="33"/>
        <v>526068.99</v>
      </c>
      <c r="I2099" s="35"/>
      <c r="K2099" t="s">
        <v>15</v>
      </c>
    </row>
    <row r="2100" spans="2:11" ht="33" x14ac:dyDescent="0.2">
      <c r="B2100" s="31" t="s">
        <v>2957</v>
      </c>
      <c r="C2100" s="31" t="s">
        <v>2932</v>
      </c>
      <c r="D2100" s="34">
        <v>0</v>
      </c>
      <c r="E2100" s="34"/>
      <c r="F2100" s="34">
        <v>526068.99</v>
      </c>
      <c r="G2100" s="34">
        <v>0</v>
      </c>
      <c r="H2100" s="34">
        <f t="shared" si="33"/>
        <v>526068.99</v>
      </c>
      <c r="I2100" s="34"/>
      <c r="K2100" t="s">
        <v>38</v>
      </c>
    </row>
    <row r="2101" spans="2:11" ht="24.75" x14ac:dyDescent="0.2">
      <c r="B2101" s="33" t="s">
        <v>2958</v>
      </c>
      <c r="C2101" s="33" t="s">
        <v>2959</v>
      </c>
      <c r="D2101" s="35">
        <f>SUMIFS(D2102:D9015,K2102:K9015,"0",B2102:B9015,"5 1 1 1 3 12 31111 6 M59 10400*")-SUMIFS(E2102:E9015,K2102:K9015,"0",B2102:B9015,"5 1 1 1 3 12 31111 6 M59 10400*")</f>
        <v>0</v>
      </c>
      <c r="E2101"/>
      <c r="F2101" s="35">
        <f>SUMIFS(F2102:F9015,K2102:K9015,"0",B2102:B9015,"5 1 1 1 3 12 31111 6 M59 10400*")</f>
        <v>216902.31</v>
      </c>
      <c r="G2101" s="35">
        <f>SUMIFS(G2102:G9015,K2102:K9015,"0",B2102:B9015,"5 1 1 1 3 12 31111 6 M59 10400*")</f>
        <v>0</v>
      </c>
      <c r="H2101" s="35">
        <f t="shared" si="33"/>
        <v>216902.31</v>
      </c>
      <c r="I2101" s="35"/>
      <c r="K2101" t="s">
        <v>15</v>
      </c>
    </row>
    <row r="2102" spans="2:11" ht="16.5" x14ac:dyDescent="0.2">
      <c r="B2102" s="33" t="s">
        <v>2960</v>
      </c>
      <c r="C2102" s="33" t="s">
        <v>648</v>
      </c>
      <c r="D2102" s="35">
        <f>SUMIFS(D2103:D9015,K2103:K9015,"0",B2103:B9015,"5 1 1 1 3 12 31111 6 M59 10400 000132*")-SUMIFS(E2103:E9015,K2103:K9015,"0",B2103:B9015,"5 1 1 1 3 12 31111 6 M59 10400 000132*")</f>
        <v>0</v>
      </c>
      <c r="E2102"/>
      <c r="F2102" s="35">
        <f>SUMIFS(F2103:F9015,K2103:K9015,"0",B2103:B9015,"5 1 1 1 3 12 31111 6 M59 10400 000132*")</f>
        <v>216902.31</v>
      </c>
      <c r="G2102" s="35">
        <f>SUMIFS(G2103:G9015,K2103:K9015,"0",B2103:B9015,"5 1 1 1 3 12 31111 6 M59 10400 000132*")</f>
        <v>0</v>
      </c>
      <c r="H2102" s="35">
        <f t="shared" si="33"/>
        <v>216902.31</v>
      </c>
      <c r="I2102" s="35"/>
      <c r="K2102" t="s">
        <v>15</v>
      </c>
    </row>
    <row r="2103" spans="2:11" ht="16.5" x14ac:dyDescent="0.2">
      <c r="B2103" s="33" t="s">
        <v>2961</v>
      </c>
      <c r="C2103" s="33" t="s">
        <v>650</v>
      </c>
      <c r="D2103" s="35">
        <f>SUMIFS(D2104:D9015,K2104:K9015,"0",B2104:B9015,"5 1 1 1 3 12 31111 6 M59 10400 000132 0000R*")-SUMIFS(E2104:E9015,K2104:K9015,"0",B2104:B9015,"5 1 1 1 3 12 31111 6 M59 10400 000132 0000R*")</f>
        <v>0</v>
      </c>
      <c r="E2103"/>
      <c r="F2103" s="35">
        <f>SUMIFS(F2104:F9015,K2104:K9015,"0",B2104:B9015,"5 1 1 1 3 12 31111 6 M59 10400 000132 0000R*")</f>
        <v>216902.31</v>
      </c>
      <c r="G2103" s="35">
        <f>SUMIFS(G2104:G9015,K2104:K9015,"0",B2104:B9015,"5 1 1 1 3 12 31111 6 M59 10400 000132 0000R*")</f>
        <v>0</v>
      </c>
      <c r="H2103" s="35">
        <f t="shared" si="33"/>
        <v>216902.31</v>
      </c>
      <c r="I2103" s="35"/>
      <c r="K2103" t="s">
        <v>15</v>
      </c>
    </row>
    <row r="2104" spans="2:11" ht="24.75" x14ac:dyDescent="0.2">
      <c r="B2104" s="33" t="s">
        <v>2962</v>
      </c>
      <c r="C2104" s="33" t="s">
        <v>282</v>
      </c>
      <c r="D2104" s="35">
        <f>SUMIFS(D2105:D9015,K2105:K9015,"0",B2105:B9015,"5 1 1 1 3 12 31111 6 M59 10400 000132 0000R 00001*")-SUMIFS(E2105:E9015,K2105:K9015,"0",B2105:B9015,"5 1 1 1 3 12 31111 6 M59 10400 000132 0000R 00001*")</f>
        <v>0</v>
      </c>
      <c r="E2104"/>
      <c r="F2104" s="35">
        <f>SUMIFS(F2105:F9015,K2105:K9015,"0",B2105:B9015,"5 1 1 1 3 12 31111 6 M59 10400 000132 0000R 00001*")</f>
        <v>216902.31</v>
      </c>
      <c r="G2104" s="35">
        <f>SUMIFS(G2105:G9015,K2105:K9015,"0",B2105:B9015,"5 1 1 1 3 12 31111 6 M59 10400 000132 0000R 00001*")</f>
        <v>0</v>
      </c>
      <c r="H2104" s="35">
        <f t="shared" si="33"/>
        <v>216902.31</v>
      </c>
      <c r="I2104" s="35"/>
      <c r="K2104" t="s">
        <v>15</v>
      </c>
    </row>
    <row r="2105" spans="2:11" ht="24.75" x14ac:dyDescent="0.2">
      <c r="B2105" s="33" t="s">
        <v>2963</v>
      </c>
      <c r="C2105" s="33" t="s">
        <v>2924</v>
      </c>
      <c r="D2105" s="35">
        <f>SUMIFS(D2106:D9015,K2106:K9015,"0",B2106:B9015,"5 1 1 1 3 12 31111 6 M59 10400 000132 0000R 00001 00113*")-SUMIFS(E2106:E9015,K2106:K9015,"0",B2106:B9015,"5 1 1 1 3 12 31111 6 M59 10400 000132 0000R 00001 00113*")</f>
        <v>0</v>
      </c>
      <c r="E2105"/>
      <c r="F2105" s="35">
        <f>SUMIFS(F2106:F9015,K2106:K9015,"0",B2106:B9015,"5 1 1 1 3 12 31111 6 M59 10400 000132 0000R 00001 00113*")</f>
        <v>216902.31</v>
      </c>
      <c r="G2105" s="35">
        <f>SUMIFS(G2106:G9015,K2106:K9015,"0",B2106:B9015,"5 1 1 1 3 12 31111 6 M59 10400 000132 0000R 00001 00113*")</f>
        <v>0</v>
      </c>
      <c r="H2105" s="35">
        <f t="shared" si="33"/>
        <v>216902.31</v>
      </c>
      <c r="I2105" s="35"/>
      <c r="K2105" t="s">
        <v>15</v>
      </c>
    </row>
    <row r="2106" spans="2:11" ht="24.75" x14ac:dyDescent="0.2">
      <c r="B2106" s="33" t="s">
        <v>2964</v>
      </c>
      <c r="C2106" s="33" t="s">
        <v>1051</v>
      </c>
      <c r="D2106" s="35">
        <f>SUMIFS(D2107:D9015,K2107:K9015,"0",B2107:B9015,"5 1 1 1 3 12 31111 6 M59 10400 000132 0000R 00001 00113 015*")-SUMIFS(E2107:E9015,K2107:K9015,"0",B2107:B9015,"5 1 1 1 3 12 31111 6 M59 10400 000132 0000R 00001 00113 015*")</f>
        <v>0</v>
      </c>
      <c r="E2106"/>
      <c r="F2106" s="35">
        <f>SUMIFS(F2107:F9015,K2107:K9015,"0",B2107:B9015,"5 1 1 1 3 12 31111 6 M59 10400 000132 0000R 00001 00113 015*")</f>
        <v>216902.31</v>
      </c>
      <c r="G2106" s="35">
        <f>SUMIFS(G2107:G9015,K2107:K9015,"0",B2107:B9015,"5 1 1 1 3 12 31111 6 M59 10400 000132 0000R 00001 00113 015*")</f>
        <v>0</v>
      </c>
      <c r="H2106" s="35">
        <f t="shared" si="33"/>
        <v>216902.31</v>
      </c>
      <c r="I2106" s="35"/>
      <c r="K2106" t="s">
        <v>15</v>
      </c>
    </row>
    <row r="2107" spans="2:11" ht="33" x14ac:dyDescent="0.2">
      <c r="B2107" s="33" t="s">
        <v>2965</v>
      </c>
      <c r="C2107" s="33" t="s">
        <v>2927</v>
      </c>
      <c r="D2107" s="35">
        <f>SUMIFS(D2108:D9015,K2108:K9015,"0",B2108:B9015,"5 1 1 1 3 12 31111 6 M59 10400 000132 0000R 00001 00113 015 2111100*")-SUMIFS(E2108:E9015,K2108:K9015,"0",B2108:B9015,"5 1 1 1 3 12 31111 6 M59 10400 000132 0000R 00001 00113 015 2111100*")</f>
        <v>0</v>
      </c>
      <c r="E2107"/>
      <c r="F2107" s="35">
        <f>SUMIFS(F2108:F9015,K2108:K9015,"0",B2108:B9015,"5 1 1 1 3 12 31111 6 M59 10400 000132 0000R 00001 00113 015 2111100*")</f>
        <v>216902.31</v>
      </c>
      <c r="G2107" s="35">
        <f>SUMIFS(G2108:G9015,K2108:K9015,"0",B2108:B9015,"5 1 1 1 3 12 31111 6 M59 10400 000132 0000R 00001 00113 015 2111100*")</f>
        <v>0</v>
      </c>
      <c r="H2107" s="35">
        <f t="shared" si="33"/>
        <v>216902.31</v>
      </c>
      <c r="I2107" s="35"/>
      <c r="K2107" t="s">
        <v>15</v>
      </c>
    </row>
    <row r="2108" spans="2:11" ht="33" x14ac:dyDescent="0.2">
      <c r="B2108" s="33" t="s">
        <v>2966</v>
      </c>
      <c r="C2108" s="33" t="s">
        <v>660</v>
      </c>
      <c r="D2108" s="35">
        <f>SUMIFS(D2109:D9015,K2109:K9015,"0",B2109:B9015,"5 1 1 1 3 12 31111 6 M59 10400 000132 0000R 00001 00113 015 2111100 2024*")-SUMIFS(E2109:E9015,K2109:K9015,"0",B2109:B9015,"5 1 1 1 3 12 31111 6 M59 10400 000132 0000R 00001 00113 015 2111100 2024*")</f>
        <v>0</v>
      </c>
      <c r="E2108"/>
      <c r="F2108" s="35">
        <f>SUMIFS(F2109:F9015,K2109:K9015,"0",B2109:B9015,"5 1 1 1 3 12 31111 6 M59 10400 000132 0000R 00001 00113 015 2111100 2024*")</f>
        <v>216902.31</v>
      </c>
      <c r="G2108" s="35">
        <f>SUMIFS(G2109:G9015,K2109:K9015,"0",B2109:B9015,"5 1 1 1 3 12 31111 6 M59 10400 000132 0000R 00001 00113 015 2111100 2024*")</f>
        <v>0</v>
      </c>
      <c r="H2108" s="35">
        <f t="shared" si="33"/>
        <v>216902.31</v>
      </c>
      <c r="I2108" s="35"/>
      <c r="K2108" t="s">
        <v>15</v>
      </c>
    </row>
    <row r="2109" spans="2:11" ht="41.25" x14ac:dyDescent="0.2">
      <c r="B2109" s="33" t="s">
        <v>2967</v>
      </c>
      <c r="C2109" s="33" t="s">
        <v>1056</v>
      </c>
      <c r="D2109" s="35">
        <f>SUMIFS(D2110:D9015,K2110:K9015,"0",B2110:B9015,"5 1 1 1 3 12 31111 6 M59 10400 000132 0000R 00001 00113 015 2111100 2024 CP1CG432*")-SUMIFS(E2110:E9015,K2110:K9015,"0",B2110:B9015,"5 1 1 1 3 12 31111 6 M59 10400 000132 0000R 00001 00113 015 2111100 2024 CP1CG432*")</f>
        <v>0</v>
      </c>
      <c r="E2109"/>
      <c r="F2109" s="35">
        <f>SUMIFS(F2110:F9015,K2110:K9015,"0",B2110:B9015,"5 1 1 1 3 12 31111 6 M59 10400 000132 0000R 00001 00113 015 2111100 2024 CP1CG432*")</f>
        <v>216902.31</v>
      </c>
      <c r="G2109" s="35">
        <f>SUMIFS(G2110:G9015,K2110:K9015,"0",B2110:B9015,"5 1 1 1 3 12 31111 6 M59 10400 000132 0000R 00001 00113 015 2111100 2024 CP1CG432*")</f>
        <v>0</v>
      </c>
      <c r="H2109" s="35">
        <f t="shared" si="33"/>
        <v>216902.31</v>
      </c>
      <c r="I2109" s="35"/>
      <c r="K2109" t="s">
        <v>15</v>
      </c>
    </row>
    <row r="2110" spans="2:11" ht="41.25" x14ac:dyDescent="0.2">
      <c r="B2110" s="33" t="s">
        <v>2968</v>
      </c>
      <c r="C2110" s="33" t="s">
        <v>282</v>
      </c>
      <c r="D2110" s="35">
        <f>SUMIFS(D2111:D9015,K2111:K9015,"0",B2111:B9015,"5 1 1 1 3 12 31111 6 M59 10400 000132 0000R 00001 00113 015 2111100 2024 CP1CG432 001*")-SUMIFS(E2111:E9015,K2111:K9015,"0",B2111:B9015,"5 1 1 1 3 12 31111 6 M59 10400 000132 0000R 00001 00113 015 2111100 2024 CP1CG432 001*")</f>
        <v>0</v>
      </c>
      <c r="E2110"/>
      <c r="F2110" s="35">
        <f>SUMIFS(F2111:F9015,K2111:K9015,"0",B2111:B9015,"5 1 1 1 3 12 31111 6 M59 10400 000132 0000R 00001 00113 015 2111100 2024 CP1CG432 001*")</f>
        <v>216902.31</v>
      </c>
      <c r="G2110" s="35">
        <f>SUMIFS(G2111:G9015,K2111:K9015,"0",B2111:B9015,"5 1 1 1 3 12 31111 6 M59 10400 000132 0000R 00001 00113 015 2111100 2024 CP1CG432 001*")</f>
        <v>0</v>
      </c>
      <c r="H2110" s="35">
        <f t="shared" si="33"/>
        <v>216902.31</v>
      </c>
      <c r="I2110" s="35"/>
      <c r="K2110" t="s">
        <v>15</v>
      </c>
    </row>
    <row r="2111" spans="2:11" ht="33" x14ac:dyDescent="0.2">
      <c r="B2111" s="31" t="s">
        <v>2969</v>
      </c>
      <c r="C2111" s="31" t="s">
        <v>2932</v>
      </c>
      <c r="D2111" s="34">
        <v>0</v>
      </c>
      <c r="E2111" s="34"/>
      <c r="F2111" s="34">
        <v>216902.31</v>
      </c>
      <c r="G2111" s="34">
        <v>0</v>
      </c>
      <c r="H2111" s="34">
        <f t="shared" si="33"/>
        <v>216902.31</v>
      </c>
      <c r="I2111" s="34"/>
      <c r="K2111" t="s">
        <v>38</v>
      </c>
    </row>
    <row r="2112" spans="2:11" ht="16.5" x14ac:dyDescent="0.2">
      <c r="B2112" s="33" t="s">
        <v>2970</v>
      </c>
      <c r="C2112" s="33" t="s">
        <v>2971</v>
      </c>
      <c r="D2112" s="35">
        <f>SUMIFS(D2113:D9015,K2113:K9015,"0",B2113:B9015,"5 1 1 1 3 12 31111 6 M59 10500*")-SUMIFS(E2113:E9015,K2113:K9015,"0",B2113:B9015,"5 1 1 1 3 12 31111 6 M59 10500*")</f>
        <v>0</v>
      </c>
      <c r="E2112"/>
      <c r="F2112" s="35">
        <f>SUMIFS(F2113:F9015,K2113:K9015,"0",B2113:B9015,"5 1 1 1 3 12 31111 6 M59 10500*")</f>
        <v>757333.46</v>
      </c>
      <c r="G2112" s="35">
        <f>SUMIFS(G2113:G9015,K2113:K9015,"0",B2113:B9015,"5 1 1 1 3 12 31111 6 M59 10500*")</f>
        <v>0</v>
      </c>
      <c r="H2112" s="35">
        <f t="shared" si="33"/>
        <v>757333.46</v>
      </c>
      <c r="I2112" s="35"/>
      <c r="K2112" t="s">
        <v>15</v>
      </c>
    </row>
    <row r="2113" spans="2:11" ht="16.5" x14ac:dyDescent="0.2">
      <c r="B2113" s="33" t="s">
        <v>2972</v>
      </c>
      <c r="C2113" s="33" t="s">
        <v>648</v>
      </c>
      <c r="D2113" s="35">
        <f>SUMIFS(D2114:D9015,K2114:K9015,"0",B2114:B9015,"5 1 1 1 3 12 31111 6 M59 10500 000132*")-SUMIFS(E2114:E9015,K2114:K9015,"0",B2114:B9015,"5 1 1 1 3 12 31111 6 M59 10500 000132*")</f>
        <v>0</v>
      </c>
      <c r="E2113"/>
      <c r="F2113" s="35">
        <f>SUMIFS(F2114:F9015,K2114:K9015,"0",B2114:B9015,"5 1 1 1 3 12 31111 6 M59 10500 000132*")</f>
        <v>757333.46</v>
      </c>
      <c r="G2113" s="35">
        <f>SUMIFS(G2114:G9015,K2114:K9015,"0",B2114:B9015,"5 1 1 1 3 12 31111 6 M59 10500 000132*")</f>
        <v>0</v>
      </c>
      <c r="H2113" s="35">
        <f t="shared" si="33"/>
        <v>757333.46</v>
      </c>
      <c r="I2113" s="35"/>
      <c r="K2113" t="s">
        <v>15</v>
      </c>
    </row>
    <row r="2114" spans="2:11" ht="16.5" x14ac:dyDescent="0.2">
      <c r="B2114" s="33" t="s">
        <v>2973</v>
      </c>
      <c r="C2114" s="33" t="s">
        <v>650</v>
      </c>
      <c r="D2114" s="35">
        <f>SUMIFS(D2115:D9015,K2115:K9015,"0",B2115:B9015,"5 1 1 1 3 12 31111 6 M59 10500 000132 0000R*")-SUMIFS(E2115:E9015,K2115:K9015,"0",B2115:B9015,"5 1 1 1 3 12 31111 6 M59 10500 000132 0000R*")</f>
        <v>0</v>
      </c>
      <c r="E2114"/>
      <c r="F2114" s="35">
        <f>SUMIFS(F2115:F9015,K2115:K9015,"0",B2115:B9015,"5 1 1 1 3 12 31111 6 M59 10500 000132 0000R*")</f>
        <v>757333.46</v>
      </c>
      <c r="G2114" s="35">
        <f>SUMIFS(G2115:G9015,K2115:K9015,"0",B2115:B9015,"5 1 1 1 3 12 31111 6 M59 10500 000132 0000R*")</f>
        <v>0</v>
      </c>
      <c r="H2114" s="35">
        <f t="shared" si="33"/>
        <v>757333.46</v>
      </c>
      <c r="I2114" s="35"/>
      <c r="K2114" t="s">
        <v>15</v>
      </c>
    </row>
    <row r="2115" spans="2:11" ht="24.75" x14ac:dyDescent="0.2">
      <c r="B2115" s="33" t="s">
        <v>2974</v>
      </c>
      <c r="C2115" s="33" t="s">
        <v>282</v>
      </c>
      <c r="D2115" s="35">
        <f>SUMIFS(D2116:D9015,K2116:K9015,"0",B2116:B9015,"5 1 1 1 3 12 31111 6 M59 10500 000132 0000R 00001*")-SUMIFS(E2116:E9015,K2116:K9015,"0",B2116:B9015,"5 1 1 1 3 12 31111 6 M59 10500 000132 0000R 00001*")</f>
        <v>0</v>
      </c>
      <c r="E2115"/>
      <c r="F2115" s="35">
        <f>SUMIFS(F2116:F9015,K2116:K9015,"0",B2116:B9015,"5 1 1 1 3 12 31111 6 M59 10500 000132 0000R 00001*")</f>
        <v>757333.46</v>
      </c>
      <c r="G2115" s="35">
        <f>SUMIFS(G2116:G9015,K2116:K9015,"0",B2116:B9015,"5 1 1 1 3 12 31111 6 M59 10500 000132 0000R 00001*")</f>
        <v>0</v>
      </c>
      <c r="H2115" s="35">
        <f t="shared" si="33"/>
        <v>757333.46</v>
      </c>
      <c r="I2115" s="35"/>
      <c r="K2115" t="s">
        <v>15</v>
      </c>
    </row>
    <row r="2116" spans="2:11" ht="24.75" x14ac:dyDescent="0.2">
      <c r="B2116" s="33" t="s">
        <v>2975</v>
      </c>
      <c r="C2116" s="33" t="s">
        <v>2924</v>
      </c>
      <c r="D2116" s="35">
        <f>SUMIFS(D2117:D9015,K2117:K9015,"0",B2117:B9015,"5 1 1 1 3 12 31111 6 M59 10500 000132 0000R 00001 00113*")-SUMIFS(E2117:E9015,K2117:K9015,"0",B2117:B9015,"5 1 1 1 3 12 31111 6 M59 10500 000132 0000R 00001 00113*")</f>
        <v>0</v>
      </c>
      <c r="E2116"/>
      <c r="F2116" s="35">
        <f>SUMIFS(F2117:F9015,K2117:K9015,"0",B2117:B9015,"5 1 1 1 3 12 31111 6 M59 10500 000132 0000R 00001 00113*")</f>
        <v>757333.46</v>
      </c>
      <c r="G2116" s="35">
        <f>SUMIFS(G2117:G9015,K2117:K9015,"0",B2117:B9015,"5 1 1 1 3 12 31111 6 M59 10500 000132 0000R 00001 00113*")</f>
        <v>0</v>
      </c>
      <c r="H2116" s="35">
        <f t="shared" ref="H2116:H2179" si="34">D2116 + F2116 - G2116</f>
        <v>757333.46</v>
      </c>
      <c r="I2116" s="35"/>
      <c r="K2116" t="s">
        <v>15</v>
      </c>
    </row>
    <row r="2117" spans="2:11" ht="24.75" x14ac:dyDescent="0.2">
      <c r="B2117" s="33" t="s">
        <v>2976</v>
      </c>
      <c r="C2117" s="33" t="s">
        <v>1051</v>
      </c>
      <c r="D2117" s="35">
        <f>SUMIFS(D2118:D9015,K2118:K9015,"0",B2118:B9015,"5 1 1 1 3 12 31111 6 M59 10500 000132 0000R 00001 00113 015*")-SUMIFS(E2118:E9015,K2118:K9015,"0",B2118:B9015,"5 1 1 1 3 12 31111 6 M59 10500 000132 0000R 00001 00113 015*")</f>
        <v>0</v>
      </c>
      <c r="E2117"/>
      <c r="F2117" s="35">
        <f>SUMIFS(F2118:F9015,K2118:K9015,"0",B2118:B9015,"5 1 1 1 3 12 31111 6 M59 10500 000132 0000R 00001 00113 015*")</f>
        <v>757333.46</v>
      </c>
      <c r="G2117" s="35">
        <f>SUMIFS(G2118:G9015,K2118:K9015,"0",B2118:B9015,"5 1 1 1 3 12 31111 6 M59 10500 000132 0000R 00001 00113 015*")</f>
        <v>0</v>
      </c>
      <c r="H2117" s="35">
        <f t="shared" si="34"/>
        <v>757333.46</v>
      </c>
      <c r="I2117" s="35"/>
      <c r="K2117" t="s">
        <v>15</v>
      </c>
    </row>
    <row r="2118" spans="2:11" ht="33" x14ac:dyDescent="0.2">
      <c r="B2118" s="33" t="s">
        <v>2977</v>
      </c>
      <c r="C2118" s="33" t="s">
        <v>2927</v>
      </c>
      <c r="D2118" s="35">
        <f>SUMIFS(D2119:D9015,K2119:K9015,"0",B2119:B9015,"5 1 1 1 3 12 31111 6 M59 10500 000132 0000R 00001 00113 015 2111100*")-SUMIFS(E2119:E9015,K2119:K9015,"0",B2119:B9015,"5 1 1 1 3 12 31111 6 M59 10500 000132 0000R 00001 00113 015 2111100*")</f>
        <v>0</v>
      </c>
      <c r="E2118"/>
      <c r="F2118" s="35">
        <f>SUMIFS(F2119:F9015,K2119:K9015,"0",B2119:B9015,"5 1 1 1 3 12 31111 6 M59 10500 000132 0000R 00001 00113 015 2111100*")</f>
        <v>757333.46</v>
      </c>
      <c r="G2118" s="35">
        <f>SUMIFS(G2119:G9015,K2119:K9015,"0",B2119:B9015,"5 1 1 1 3 12 31111 6 M59 10500 000132 0000R 00001 00113 015 2111100*")</f>
        <v>0</v>
      </c>
      <c r="H2118" s="35">
        <f t="shared" si="34"/>
        <v>757333.46</v>
      </c>
      <c r="I2118" s="35"/>
      <c r="K2118" t="s">
        <v>15</v>
      </c>
    </row>
    <row r="2119" spans="2:11" ht="33" x14ac:dyDescent="0.2">
      <c r="B2119" s="33" t="s">
        <v>2978</v>
      </c>
      <c r="C2119" s="33" t="s">
        <v>660</v>
      </c>
      <c r="D2119" s="35">
        <f>SUMIFS(D2120:D9015,K2120:K9015,"0",B2120:B9015,"5 1 1 1 3 12 31111 6 M59 10500 000132 0000R 00001 00113 015 2111100 2024*")-SUMIFS(E2120:E9015,K2120:K9015,"0",B2120:B9015,"5 1 1 1 3 12 31111 6 M59 10500 000132 0000R 00001 00113 015 2111100 2024*")</f>
        <v>0</v>
      </c>
      <c r="E2119"/>
      <c r="F2119" s="35">
        <f>SUMIFS(F2120:F9015,K2120:K9015,"0",B2120:B9015,"5 1 1 1 3 12 31111 6 M59 10500 000132 0000R 00001 00113 015 2111100 2024*")</f>
        <v>757333.46</v>
      </c>
      <c r="G2119" s="35">
        <f>SUMIFS(G2120:G9015,K2120:K9015,"0",B2120:B9015,"5 1 1 1 3 12 31111 6 M59 10500 000132 0000R 00001 00113 015 2111100 2024*")</f>
        <v>0</v>
      </c>
      <c r="H2119" s="35">
        <f t="shared" si="34"/>
        <v>757333.46</v>
      </c>
      <c r="I2119" s="35"/>
      <c r="K2119" t="s">
        <v>15</v>
      </c>
    </row>
    <row r="2120" spans="2:11" ht="41.25" x14ac:dyDescent="0.2">
      <c r="B2120" s="33" t="s">
        <v>2979</v>
      </c>
      <c r="C2120" s="33" t="s">
        <v>1056</v>
      </c>
      <c r="D2120" s="35">
        <f>SUMIFS(D2121:D9015,K2121:K9015,"0",B2121:B9015,"5 1 1 1 3 12 31111 6 M59 10500 000132 0000R 00001 00113 015 2111100 2024 CP1CS421*")-SUMIFS(E2121:E9015,K2121:K9015,"0",B2121:B9015,"5 1 1 1 3 12 31111 6 M59 10500 000132 0000R 00001 00113 015 2111100 2024 CP1CS421*")</f>
        <v>0</v>
      </c>
      <c r="E2120"/>
      <c r="F2120" s="35">
        <f>SUMIFS(F2121:F9015,K2121:K9015,"0",B2121:B9015,"5 1 1 1 3 12 31111 6 M59 10500 000132 0000R 00001 00113 015 2111100 2024 CP1CS421*")</f>
        <v>757333.46</v>
      </c>
      <c r="G2120" s="35">
        <f>SUMIFS(G2121:G9015,K2121:K9015,"0",B2121:B9015,"5 1 1 1 3 12 31111 6 M59 10500 000132 0000R 00001 00113 015 2111100 2024 CP1CS421*")</f>
        <v>0</v>
      </c>
      <c r="H2120" s="35">
        <f t="shared" si="34"/>
        <v>757333.46</v>
      </c>
      <c r="I2120" s="35"/>
      <c r="K2120" t="s">
        <v>15</v>
      </c>
    </row>
    <row r="2121" spans="2:11" ht="41.25" x14ac:dyDescent="0.2">
      <c r="B2121" s="33" t="s">
        <v>2980</v>
      </c>
      <c r="C2121" s="33" t="s">
        <v>282</v>
      </c>
      <c r="D2121" s="35">
        <f>SUMIFS(D2122:D9015,K2122:K9015,"0",B2122:B9015,"5 1 1 1 3 12 31111 6 M59 10500 000132 0000R 00001 00113 015 2111100 2024 CP1CS421 001*")-SUMIFS(E2122:E9015,K2122:K9015,"0",B2122:B9015,"5 1 1 1 3 12 31111 6 M59 10500 000132 0000R 00001 00113 015 2111100 2024 CP1CS421 001*")</f>
        <v>0</v>
      </c>
      <c r="E2121"/>
      <c r="F2121" s="35">
        <f>SUMIFS(F2122:F9015,K2122:K9015,"0",B2122:B9015,"5 1 1 1 3 12 31111 6 M59 10500 000132 0000R 00001 00113 015 2111100 2024 CP1CS421 001*")</f>
        <v>757333.46</v>
      </c>
      <c r="G2121" s="35">
        <f>SUMIFS(G2122:G9015,K2122:K9015,"0",B2122:B9015,"5 1 1 1 3 12 31111 6 M59 10500 000132 0000R 00001 00113 015 2111100 2024 CP1CS421 001*")</f>
        <v>0</v>
      </c>
      <c r="H2121" s="35">
        <f t="shared" si="34"/>
        <v>757333.46</v>
      </c>
      <c r="I2121" s="35"/>
      <c r="K2121" t="s">
        <v>15</v>
      </c>
    </row>
    <row r="2122" spans="2:11" ht="33" x14ac:dyDescent="0.2">
      <c r="B2122" s="31" t="s">
        <v>2981</v>
      </c>
      <c r="C2122" s="31" t="s">
        <v>2932</v>
      </c>
      <c r="D2122" s="34">
        <v>0</v>
      </c>
      <c r="E2122" s="34"/>
      <c r="F2122" s="34">
        <v>757333.46</v>
      </c>
      <c r="G2122" s="34">
        <v>0</v>
      </c>
      <c r="H2122" s="34">
        <f t="shared" si="34"/>
        <v>757333.46</v>
      </c>
      <c r="I2122" s="34"/>
      <c r="K2122" t="s">
        <v>38</v>
      </c>
    </row>
    <row r="2123" spans="2:11" ht="16.5" x14ac:dyDescent="0.2">
      <c r="B2123" s="33" t="s">
        <v>2982</v>
      </c>
      <c r="C2123" s="33" t="s">
        <v>2983</v>
      </c>
      <c r="D2123" s="35">
        <f>SUMIFS(D2124:D9015,K2124:K9015,"0",B2124:B9015,"5 1 1 1 3 12 31111 6 M59 10600*")-SUMIFS(E2124:E9015,K2124:K9015,"0",B2124:B9015,"5 1 1 1 3 12 31111 6 M59 10600*")</f>
        <v>0</v>
      </c>
      <c r="E2123"/>
      <c r="F2123" s="35">
        <f>SUMIFS(F2124:F9015,K2124:K9015,"0",B2124:B9015,"5 1 1 1 3 12 31111 6 M59 10600*")</f>
        <v>4124300</v>
      </c>
      <c r="G2123" s="35">
        <f>SUMIFS(G2124:G9015,K2124:K9015,"0",B2124:B9015,"5 1 1 1 3 12 31111 6 M59 10600*")</f>
        <v>0</v>
      </c>
      <c r="H2123" s="35">
        <f t="shared" si="34"/>
        <v>4124300</v>
      </c>
      <c r="I2123" s="35"/>
      <c r="K2123" t="s">
        <v>15</v>
      </c>
    </row>
    <row r="2124" spans="2:11" ht="16.5" x14ac:dyDescent="0.2">
      <c r="B2124" s="33" t="s">
        <v>2984</v>
      </c>
      <c r="C2124" s="33" t="s">
        <v>648</v>
      </c>
      <c r="D2124" s="35">
        <f>SUMIFS(D2125:D9015,K2125:K9015,"0",B2125:B9015,"5 1 1 1 3 12 31111 6 M59 10600 000132*")-SUMIFS(E2125:E9015,K2125:K9015,"0",B2125:B9015,"5 1 1 1 3 12 31111 6 M59 10600 000132*")</f>
        <v>0</v>
      </c>
      <c r="E2124"/>
      <c r="F2124" s="35">
        <f>SUMIFS(F2125:F9015,K2125:K9015,"0",B2125:B9015,"5 1 1 1 3 12 31111 6 M59 10600 000132*")</f>
        <v>4124300</v>
      </c>
      <c r="G2124" s="35">
        <f>SUMIFS(G2125:G9015,K2125:K9015,"0",B2125:B9015,"5 1 1 1 3 12 31111 6 M59 10600 000132*")</f>
        <v>0</v>
      </c>
      <c r="H2124" s="35">
        <f t="shared" si="34"/>
        <v>4124300</v>
      </c>
      <c r="I2124" s="35"/>
      <c r="K2124" t="s">
        <v>15</v>
      </c>
    </row>
    <row r="2125" spans="2:11" ht="16.5" x14ac:dyDescent="0.2">
      <c r="B2125" s="33" t="s">
        <v>2985</v>
      </c>
      <c r="C2125" s="33" t="s">
        <v>650</v>
      </c>
      <c r="D2125" s="35">
        <f>SUMIFS(D2126:D9015,K2126:K9015,"0",B2126:B9015,"5 1 1 1 3 12 31111 6 M59 10600 000132 0000R*")-SUMIFS(E2126:E9015,K2126:K9015,"0",B2126:B9015,"5 1 1 1 3 12 31111 6 M59 10600 000132 0000R*")</f>
        <v>0</v>
      </c>
      <c r="E2125"/>
      <c r="F2125" s="35">
        <f>SUMIFS(F2126:F9015,K2126:K9015,"0",B2126:B9015,"5 1 1 1 3 12 31111 6 M59 10600 000132 0000R*")</f>
        <v>4124300</v>
      </c>
      <c r="G2125" s="35">
        <f>SUMIFS(G2126:G9015,K2126:K9015,"0",B2126:B9015,"5 1 1 1 3 12 31111 6 M59 10600 000132 0000R*")</f>
        <v>0</v>
      </c>
      <c r="H2125" s="35">
        <f t="shared" si="34"/>
        <v>4124300</v>
      </c>
      <c r="I2125" s="35"/>
      <c r="K2125" t="s">
        <v>15</v>
      </c>
    </row>
    <row r="2126" spans="2:11" ht="24.75" x14ac:dyDescent="0.2">
      <c r="B2126" s="33" t="s">
        <v>2986</v>
      </c>
      <c r="C2126" s="33" t="s">
        <v>282</v>
      </c>
      <c r="D2126" s="35">
        <f>SUMIFS(D2127:D9015,K2127:K9015,"0",B2127:B9015,"5 1 1 1 3 12 31111 6 M59 10600 000132 0000R 00001*")-SUMIFS(E2127:E9015,K2127:K9015,"0",B2127:B9015,"5 1 1 1 3 12 31111 6 M59 10600 000132 0000R 00001*")</f>
        <v>0</v>
      </c>
      <c r="E2126"/>
      <c r="F2126" s="35">
        <f>SUMIFS(F2127:F9015,K2127:K9015,"0",B2127:B9015,"5 1 1 1 3 12 31111 6 M59 10600 000132 0000R 00001*")</f>
        <v>4124300</v>
      </c>
      <c r="G2126" s="35">
        <f>SUMIFS(G2127:G9015,K2127:K9015,"0",B2127:B9015,"5 1 1 1 3 12 31111 6 M59 10600 000132 0000R 00001*")</f>
        <v>0</v>
      </c>
      <c r="H2126" s="35">
        <f t="shared" si="34"/>
        <v>4124300</v>
      </c>
      <c r="I2126" s="35"/>
      <c r="K2126" t="s">
        <v>15</v>
      </c>
    </row>
    <row r="2127" spans="2:11" ht="24.75" x14ac:dyDescent="0.2">
      <c r="B2127" s="33" t="s">
        <v>2987</v>
      </c>
      <c r="C2127" s="33" t="s">
        <v>2924</v>
      </c>
      <c r="D2127" s="35">
        <f>SUMIFS(D2128:D9015,K2128:K9015,"0",B2128:B9015,"5 1 1 1 3 12 31111 6 M59 10600 000132 0000R 00001 00113*")-SUMIFS(E2128:E9015,K2128:K9015,"0",B2128:B9015,"5 1 1 1 3 12 31111 6 M59 10600 000132 0000R 00001 00113*")</f>
        <v>0</v>
      </c>
      <c r="E2127"/>
      <c r="F2127" s="35">
        <f>SUMIFS(F2128:F9015,K2128:K9015,"0",B2128:B9015,"5 1 1 1 3 12 31111 6 M59 10600 000132 0000R 00001 00113*")</f>
        <v>4124300</v>
      </c>
      <c r="G2127" s="35">
        <f>SUMIFS(G2128:G9015,K2128:K9015,"0",B2128:B9015,"5 1 1 1 3 12 31111 6 M59 10600 000132 0000R 00001 00113*")</f>
        <v>0</v>
      </c>
      <c r="H2127" s="35">
        <f t="shared" si="34"/>
        <v>4124300</v>
      </c>
      <c r="I2127" s="35"/>
      <c r="K2127" t="s">
        <v>15</v>
      </c>
    </row>
    <row r="2128" spans="2:11" ht="24.75" x14ac:dyDescent="0.2">
      <c r="B2128" s="33" t="s">
        <v>2988</v>
      </c>
      <c r="C2128" s="33" t="s">
        <v>1051</v>
      </c>
      <c r="D2128" s="35">
        <f>SUMIFS(D2129:D9015,K2129:K9015,"0",B2129:B9015,"5 1 1 1 3 12 31111 6 M59 10600 000132 0000R 00001 00113 015*")-SUMIFS(E2129:E9015,K2129:K9015,"0",B2129:B9015,"5 1 1 1 3 12 31111 6 M59 10600 000132 0000R 00001 00113 015*")</f>
        <v>0</v>
      </c>
      <c r="E2128"/>
      <c r="F2128" s="35">
        <f>SUMIFS(F2129:F9015,K2129:K9015,"0",B2129:B9015,"5 1 1 1 3 12 31111 6 M59 10600 000132 0000R 00001 00113 015*")</f>
        <v>4124300</v>
      </c>
      <c r="G2128" s="35">
        <f>SUMIFS(G2129:G9015,K2129:K9015,"0",B2129:B9015,"5 1 1 1 3 12 31111 6 M59 10600 000132 0000R 00001 00113 015*")</f>
        <v>0</v>
      </c>
      <c r="H2128" s="35">
        <f t="shared" si="34"/>
        <v>4124300</v>
      </c>
      <c r="I2128" s="35"/>
      <c r="K2128" t="s">
        <v>15</v>
      </c>
    </row>
    <row r="2129" spans="2:11" ht="33" x14ac:dyDescent="0.2">
      <c r="B2129" s="33" t="s">
        <v>2989</v>
      </c>
      <c r="C2129" s="33" t="s">
        <v>2927</v>
      </c>
      <c r="D2129" s="35">
        <f>SUMIFS(D2130:D9015,K2130:K9015,"0",B2130:B9015,"5 1 1 1 3 12 31111 6 M59 10600 000132 0000R 00001 00113 015 2111100*")-SUMIFS(E2130:E9015,K2130:K9015,"0",B2130:B9015,"5 1 1 1 3 12 31111 6 M59 10600 000132 0000R 00001 00113 015 2111100*")</f>
        <v>0</v>
      </c>
      <c r="E2129"/>
      <c r="F2129" s="35">
        <f>SUMIFS(F2130:F9015,K2130:K9015,"0",B2130:B9015,"5 1 1 1 3 12 31111 6 M59 10600 000132 0000R 00001 00113 015 2111100*")</f>
        <v>4124300</v>
      </c>
      <c r="G2129" s="35">
        <f>SUMIFS(G2130:G9015,K2130:K9015,"0",B2130:B9015,"5 1 1 1 3 12 31111 6 M59 10600 000132 0000R 00001 00113 015 2111100*")</f>
        <v>0</v>
      </c>
      <c r="H2129" s="35">
        <f t="shared" si="34"/>
        <v>4124300</v>
      </c>
      <c r="I2129" s="35"/>
      <c r="K2129" t="s">
        <v>15</v>
      </c>
    </row>
    <row r="2130" spans="2:11" ht="33" x14ac:dyDescent="0.2">
      <c r="B2130" s="33" t="s">
        <v>2990</v>
      </c>
      <c r="C2130" s="33" t="s">
        <v>660</v>
      </c>
      <c r="D2130" s="35">
        <f>SUMIFS(D2131:D9015,K2131:K9015,"0",B2131:B9015,"5 1 1 1 3 12 31111 6 M59 10600 000132 0000R 00001 00113 015 2111100 2024*")-SUMIFS(E2131:E9015,K2131:K9015,"0",B2131:B9015,"5 1 1 1 3 12 31111 6 M59 10600 000132 0000R 00001 00113 015 2111100 2024*")</f>
        <v>0</v>
      </c>
      <c r="E2130"/>
      <c r="F2130" s="35">
        <f>SUMIFS(F2131:F9015,K2131:K9015,"0",B2131:B9015,"5 1 1 1 3 12 31111 6 M59 10600 000132 0000R 00001 00113 015 2111100 2024*")</f>
        <v>4124300</v>
      </c>
      <c r="G2130" s="35">
        <f>SUMIFS(G2131:G9015,K2131:K9015,"0",B2131:B9015,"5 1 1 1 3 12 31111 6 M59 10600 000132 0000R 00001 00113 015 2111100 2024*")</f>
        <v>0</v>
      </c>
      <c r="H2130" s="35">
        <f t="shared" si="34"/>
        <v>4124300</v>
      </c>
      <c r="I2130" s="35"/>
      <c r="K2130" t="s">
        <v>15</v>
      </c>
    </row>
    <row r="2131" spans="2:11" ht="41.25" x14ac:dyDescent="0.2">
      <c r="B2131" s="33" t="s">
        <v>2991</v>
      </c>
      <c r="C2131" s="33" t="s">
        <v>2992</v>
      </c>
      <c r="D2131" s="35">
        <f>SUMIFS(D2132:D9015,K2132:K9015,"0",B2132:B9015,"5 1 1 1 3 12 31111 6 M59 10600 000132 0000R 00001 00113 015 2111100 2024 CP1CM436*")-SUMIFS(E2132:E9015,K2132:K9015,"0",B2132:B9015,"5 1 1 1 3 12 31111 6 M59 10600 000132 0000R 00001 00113 015 2111100 2024 CP1CM436*")</f>
        <v>0</v>
      </c>
      <c r="E2131"/>
      <c r="F2131" s="35">
        <f>SUMIFS(F2132:F9015,K2132:K9015,"0",B2132:B9015,"5 1 1 1 3 12 31111 6 M59 10600 000132 0000R 00001 00113 015 2111100 2024 CP1CM436*")</f>
        <v>4124300</v>
      </c>
      <c r="G2131" s="35">
        <f>SUMIFS(G2132:G9015,K2132:K9015,"0",B2132:B9015,"5 1 1 1 3 12 31111 6 M59 10600 000132 0000R 00001 00113 015 2111100 2024 CP1CM436*")</f>
        <v>0</v>
      </c>
      <c r="H2131" s="35">
        <f t="shared" si="34"/>
        <v>4124300</v>
      </c>
      <c r="I2131" s="35"/>
      <c r="K2131" t="s">
        <v>15</v>
      </c>
    </row>
    <row r="2132" spans="2:11" ht="41.25" x14ac:dyDescent="0.2">
      <c r="B2132" s="33" t="s">
        <v>2993</v>
      </c>
      <c r="C2132" s="33" t="s">
        <v>282</v>
      </c>
      <c r="D2132" s="35">
        <f>SUMIFS(D2133:D9015,K2133:K9015,"0",B2133:B9015,"5 1 1 1 3 12 31111 6 M59 10600 000132 0000R 00001 00113 015 2111100 2024 CP1CM436 001*")-SUMIFS(E2133:E9015,K2133:K9015,"0",B2133:B9015,"5 1 1 1 3 12 31111 6 M59 10600 000132 0000R 00001 00113 015 2111100 2024 CP1CM436 001*")</f>
        <v>0</v>
      </c>
      <c r="E2132"/>
      <c r="F2132" s="35">
        <f>SUMIFS(F2133:F9015,K2133:K9015,"0",B2133:B9015,"5 1 1 1 3 12 31111 6 M59 10600 000132 0000R 00001 00113 015 2111100 2024 CP1CM436 001*")</f>
        <v>4124300</v>
      </c>
      <c r="G2132" s="35">
        <f>SUMIFS(G2133:G9015,K2133:K9015,"0",B2133:B9015,"5 1 1 1 3 12 31111 6 M59 10600 000132 0000R 00001 00113 015 2111100 2024 CP1CM436 001*")</f>
        <v>0</v>
      </c>
      <c r="H2132" s="35">
        <f t="shared" si="34"/>
        <v>4124300</v>
      </c>
      <c r="I2132" s="35"/>
      <c r="K2132" t="s">
        <v>15</v>
      </c>
    </row>
    <row r="2133" spans="2:11" ht="33" x14ac:dyDescent="0.2">
      <c r="B2133" s="31" t="s">
        <v>2994</v>
      </c>
      <c r="C2133" s="31" t="s">
        <v>2932</v>
      </c>
      <c r="D2133" s="34">
        <v>0</v>
      </c>
      <c r="E2133" s="34"/>
      <c r="F2133" s="34">
        <v>4124300</v>
      </c>
      <c r="G2133" s="34">
        <v>0</v>
      </c>
      <c r="H2133" s="34">
        <f t="shared" si="34"/>
        <v>4124300</v>
      </c>
      <c r="I2133" s="34"/>
      <c r="K2133" t="s">
        <v>38</v>
      </c>
    </row>
    <row r="2134" spans="2:11" ht="16.5" x14ac:dyDescent="0.2">
      <c r="B2134" s="33" t="s">
        <v>2995</v>
      </c>
      <c r="C2134" s="33" t="s">
        <v>2996</v>
      </c>
      <c r="D2134" s="35">
        <f>SUMIFS(D2135:D9015,K2135:K9015,"0",B2135:B9015,"5 1 1 1 3 12 31111 6 M59 10700*")-SUMIFS(E2135:E9015,K2135:K9015,"0",B2135:B9015,"5 1 1 1 3 12 31111 6 M59 10700*")</f>
        <v>0</v>
      </c>
      <c r="E2134"/>
      <c r="F2134" s="35">
        <f>SUMIFS(F2135:F9015,K2135:K9015,"0",B2135:B9015,"5 1 1 1 3 12 31111 6 M59 10700*")</f>
        <v>314834.81</v>
      </c>
      <c r="G2134" s="35">
        <f>SUMIFS(G2135:G9015,K2135:K9015,"0",B2135:B9015,"5 1 1 1 3 12 31111 6 M59 10700*")</f>
        <v>0</v>
      </c>
      <c r="H2134" s="35">
        <f t="shared" si="34"/>
        <v>314834.81</v>
      </c>
      <c r="I2134" s="35"/>
      <c r="K2134" t="s">
        <v>15</v>
      </c>
    </row>
    <row r="2135" spans="2:11" ht="16.5" x14ac:dyDescent="0.2">
      <c r="B2135" s="33" t="s">
        <v>2997</v>
      </c>
      <c r="C2135" s="33" t="s">
        <v>648</v>
      </c>
      <c r="D2135" s="35">
        <f>SUMIFS(D2136:D9015,K2136:K9015,"0",B2136:B9015,"5 1 1 1 3 12 31111 6 M59 10700 000132*")-SUMIFS(E2136:E9015,K2136:K9015,"0",B2136:B9015,"5 1 1 1 3 12 31111 6 M59 10700 000132*")</f>
        <v>0</v>
      </c>
      <c r="E2135"/>
      <c r="F2135" s="35">
        <f>SUMIFS(F2136:F9015,K2136:K9015,"0",B2136:B9015,"5 1 1 1 3 12 31111 6 M59 10700 000132*")</f>
        <v>314834.81</v>
      </c>
      <c r="G2135" s="35">
        <f>SUMIFS(G2136:G9015,K2136:K9015,"0",B2136:B9015,"5 1 1 1 3 12 31111 6 M59 10700 000132*")</f>
        <v>0</v>
      </c>
      <c r="H2135" s="35">
        <f t="shared" si="34"/>
        <v>314834.81</v>
      </c>
      <c r="I2135" s="35"/>
      <c r="K2135" t="s">
        <v>15</v>
      </c>
    </row>
    <row r="2136" spans="2:11" ht="16.5" x14ac:dyDescent="0.2">
      <c r="B2136" s="33" t="s">
        <v>2998</v>
      </c>
      <c r="C2136" s="33" t="s">
        <v>650</v>
      </c>
      <c r="D2136" s="35">
        <f>SUMIFS(D2137:D9015,K2137:K9015,"0",B2137:B9015,"5 1 1 1 3 12 31111 6 M59 10700 000132 0000R*")-SUMIFS(E2137:E9015,K2137:K9015,"0",B2137:B9015,"5 1 1 1 3 12 31111 6 M59 10700 000132 0000R*")</f>
        <v>0</v>
      </c>
      <c r="E2136"/>
      <c r="F2136" s="35">
        <f>SUMIFS(F2137:F9015,K2137:K9015,"0",B2137:B9015,"5 1 1 1 3 12 31111 6 M59 10700 000132 0000R*")</f>
        <v>314834.81</v>
      </c>
      <c r="G2136" s="35">
        <f>SUMIFS(G2137:G9015,K2137:K9015,"0",B2137:B9015,"5 1 1 1 3 12 31111 6 M59 10700 000132 0000R*")</f>
        <v>0</v>
      </c>
      <c r="H2136" s="35">
        <f t="shared" si="34"/>
        <v>314834.81</v>
      </c>
      <c r="I2136" s="35"/>
      <c r="K2136" t="s">
        <v>15</v>
      </c>
    </row>
    <row r="2137" spans="2:11" ht="24.75" x14ac:dyDescent="0.2">
      <c r="B2137" s="33" t="s">
        <v>2999</v>
      </c>
      <c r="C2137" s="33" t="s">
        <v>282</v>
      </c>
      <c r="D2137" s="35">
        <f>SUMIFS(D2138:D9015,K2138:K9015,"0",B2138:B9015,"5 1 1 1 3 12 31111 6 M59 10700 000132 0000R 00001*")-SUMIFS(E2138:E9015,K2138:K9015,"0",B2138:B9015,"5 1 1 1 3 12 31111 6 M59 10700 000132 0000R 00001*")</f>
        <v>0</v>
      </c>
      <c r="E2137"/>
      <c r="F2137" s="35">
        <f>SUMIFS(F2138:F9015,K2138:K9015,"0",B2138:B9015,"5 1 1 1 3 12 31111 6 M59 10700 000132 0000R 00001*")</f>
        <v>314834.81</v>
      </c>
      <c r="G2137" s="35">
        <f>SUMIFS(G2138:G9015,K2138:K9015,"0",B2138:B9015,"5 1 1 1 3 12 31111 6 M59 10700 000132 0000R 00001*")</f>
        <v>0</v>
      </c>
      <c r="H2137" s="35">
        <f t="shared" si="34"/>
        <v>314834.81</v>
      </c>
      <c r="I2137" s="35"/>
      <c r="K2137" t="s">
        <v>15</v>
      </c>
    </row>
    <row r="2138" spans="2:11" ht="24.75" x14ac:dyDescent="0.2">
      <c r="B2138" s="33" t="s">
        <v>3000</v>
      </c>
      <c r="C2138" s="33" t="s">
        <v>2924</v>
      </c>
      <c r="D2138" s="35">
        <f>SUMIFS(D2139:D9015,K2139:K9015,"0",B2139:B9015,"5 1 1 1 3 12 31111 6 M59 10700 000132 0000R 00001 00113*")-SUMIFS(E2139:E9015,K2139:K9015,"0",B2139:B9015,"5 1 1 1 3 12 31111 6 M59 10700 000132 0000R 00001 00113*")</f>
        <v>0</v>
      </c>
      <c r="E2138"/>
      <c r="F2138" s="35">
        <f>SUMIFS(F2139:F9015,K2139:K9015,"0",B2139:B9015,"5 1 1 1 3 12 31111 6 M59 10700 000132 0000R 00001 00113*")</f>
        <v>314834.81</v>
      </c>
      <c r="G2138" s="35">
        <f>SUMIFS(G2139:G9015,K2139:K9015,"0",B2139:B9015,"5 1 1 1 3 12 31111 6 M59 10700 000132 0000R 00001 00113*")</f>
        <v>0</v>
      </c>
      <c r="H2138" s="35">
        <f t="shared" si="34"/>
        <v>314834.81</v>
      </c>
      <c r="I2138" s="35"/>
      <c r="K2138" t="s">
        <v>15</v>
      </c>
    </row>
    <row r="2139" spans="2:11" ht="24.75" x14ac:dyDescent="0.2">
      <c r="B2139" s="33" t="s">
        <v>3001</v>
      </c>
      <c r="C2139" s="33" t="s">
        <v>1051</v>
      </c>
      <c r="D2139" s="35">
        <f>SUMIFS(D2140:D9015,K2140:K9015,"0",B2140:B9015,"5 1 1 1 3 12 31111 6 M59 10700 000132 0000R 00001 00113 015*")-SUMIFS(E2140:E9015,K2140:K9015,"0",B2140:B9015,"5 1 1 1 3 12 31111 6 M59 10700 000132 0000R 00001 00113 015*")</f>
        <v>0</v>
      </c>
      <c r="E2139"/>
      <c r="F2139" s="35">
        <f>SUMIFS(F2140:F9015,K2140:K9015,"0",B2140:B9015,"5 1 1 1 3 12 31111 6 M59 10700 000132 0000R 00001 00113 015*")</f>
        <v>314834.81</v>
      </c>
      <c r="G2139" s="35">
        <f>SUMIFS(G2140:G9015,K2140:K9015,"0",B2140:B9015,"5 1 1 1 3 12 31111 6 M59 10700 000132 0000R 00001 00113 015*")</f>
        <v>0</v>
      </c>
      <c r="H2139" s="35">
        <f t="shared" si="34"/>
        <v>314834.81</v>
      </c>
      <c r="I2139" s="35"/>
      <c r="K2139" t="s">
        <v>15</v>
      </c>
    </row>
    <row r="2140" spans="2:11" ht="33" x14ac:dyDescent="0.2">
      <c r="B2140" s="33" t="s">
        <v>3002</v>
      </c>
      <c r="C2140" s="33" t="s">
        <v>2927</v>
      </c>
      <c r="D2140" s="35">
        <f>SUMIFS(D2141:D9015,K2141:K9015,"0",B2141:B9015,"5 1 1 1 3 12 31111 6 M59 10700 000132 0000R 00001 00113 015 2111100*")-SUMIFS(E2141:E9015,K2141:K9015,"0",B2141:B9015,"5 1 1 1 3 12 31111 6 M59 10700 000132 0000R 00001 00113 015 2111100*")</f>
        <v>0</v>
      </c>
      <c r="E2140"/>
      <c r="F2140" s="35">
        <f>SUMIFS(F2141:F9015,K2141:K9015,"0",B2141:B9015,"5 1 1 1 3 12 31111 6 M59 10700 000132 0000R 00001 00113 015 2111100*")</f>
        <v>314834.81</v>
      </c>
      <c r="G2140" s="35">
        <f>SUMIFS(G2141:G9015,K2141:K9015,"0",B2141:B9015,"5 1 1 1 3 12 31111 6 M59 10700 000132 0000R 00001 00113 015 2111100*")</f>
        <v>0</v>
      </c>
      <c r="H2140" s="35">
        <f t="shared" si="34"/>
        <v>314834.81</v>
      </c>
      <c r="I2140" s="35"/>
      <c r="K2140" t="s">
        <v>15</v>
      </c>
    </row>
    <row r="2141" spans="2:11" ht="33" x14ac:dyDescent="0.2">
      <c r="B2141" s="33" t="s">
        <v>3003</v>
      </c>
      <c r="C2141" s="33" t="s">
        <v>660</v>
      </c>
      <c r="D2141" s="35">
        <f>SUMIFS(D2142:D9015,K2142:K9015,"0",B2142:B9015,"5 1 1 1 3 12 31111 6 M59 10700 000132 0000R 00001 00113 015 2111100 2024*")-SUMIFS(E2142:E9015,K2142:K9015,"0",B2142:B9015,"5 1 1 1 3 12 31111 6 M59 10700 000132 0000R 00001 00113 015 2111100 2024*")</f>
        <v>0</v>
      </c>
      <c r="E2141"/>
      <c r="F2141" s="35">
        <f>SUMIFS(F2142:F9015,K2142:K9015,"0",B2142:B9015,"5 1 1 1 3 12 31111 6 M59 10700 000132 0000R 00001 00113 015 2111100 2024*")</f>
        <v>314834.81</v>
      </c>
      <c r="G2141" s="35">
        <f>SUMIFS(G2142:G9015,K2142:K9015,"0",B2142:B9015,"5 1 1 1 3 12 31111 6 M59 10700 000132 0000R 00001 00113 015 2111100 2024*")</f>
        <v>0</v>
      </c>
      <c r="H2141" s="35">
        <f t="shared" si="34"/>
        <v>314834.81</v>
      </c>
      <c r="I2141" s="35"/>
      <c r="K2141" t="s">
        <v>15</v>
      </c>
    </row>
    <row r="2142" spans="2:11" ht="41.25" x14ac:dyDescent="0.2">
      <c r="B2142" s="33" t="s">
        <v>3004</v>
      </c>
      <c r="C2142" s="33" t="s">
        <v>1056</v>
      </c>
      <c r="D2142" s="35">
        <f>SUMIFS(D2143:D9015,K2143:K9015,"0",B2143:B9015,"5 1 1 1 3 12 31111 6 M59 10700 000132 0000R 00001 00113 015 2111100 2024 CP1GB435*")-SUMIFS(E2143:E9015,K2143:K9015,"0",B2143:B9015,"5 1 1 1 3 12 31111 6 M59 10700 000132 0000R 00001 00113 015 2111100 2024 CP1GB435*")</f>
        <v>0</v>
      </c>
      <c r="E2142"/>
      <c r="F2142" s="35">
        <f>SUMIFS(F2143:F9015,K2143:K9015,"0",B2143:B9015,"5 1 1 1 3 12 31111 6 M59 10700 000132 0000R 00001 00113 015 2111100 2024 CP1GB435*")</f>
        <v>314834.81</v>
      </c>
      <c r="G2142" s="35">
        <f>SUMIFS(G2143:G9015,K2143:K9015,"0",B2143:B9015,"5 1 1 1 3 12 31111 6 M59 10700 000132 0000R 00001 00113 015 2111100 2024 CP1GB435*")</f>
        <v>0</v>
      </c>
      <c r="H2142" s="35">
        <f t="shared" si="34"/>
        <v>314834.81</v>
      </c>
      <c r="I2142" s="35"/>
      <c r="K2142" t="s">
        <v>15</v>
      </c>
    </row>
    <row r="2143" spans="2:11" ht="41.25" x14ac:dyDescent="0.2">
      <c r="B2143" s="33" t="s">
        <v>3005</v>
      </c>
      <c r="C2143" s="33" t="s">
        <v>282</v>
      </c>
      <c r="D2143" s="35">
        <f>SUMIFS(D2144:D9015,K2144:K9015,"0",B2144:B9015,"5 1 1 1 3 12 31111 6 M59 10700 000132 0000R 00001 00113 015 2111100 2024 CP1GB435 001*")-SUMIFS(E2144:E9015,K2144:K9015,"0",B2144:B9015,"5 1 1 1 3 12 31111 6 M59 10700 000132 0000R 00001 00113 015 2111100 2024 CP1GB435 001*")</f>
        <v>0</v>
      </c>
      <c r="E2143"/>
      <c r="F2143" s="35">
        <f>SUMIFS(F2144:F9015,K2144:K9015,"0",B2144:B9015,"5 1 1 1 3 12 31111 6 M59 10700 000132 0000R 00001 00113 015 2111100 2024 CP1GB435 001*")</f>
        <v>314834.81</v>
      </c>
      <c r="G2143" s="35">
        <f>SUMIFS(G2144:G9015,K2144:K9015,"0",B2144:B9015,"5 1 1 1 3 12 31111 6 M59 10700 000132 0000R 00001 00113 015 2111100 2024 CP1GB435 001*")</f>
        <v>0</v>
      </c>
      <c r="H2143" s="35">
        <f t="shared" si="34"/>
        <v>314834.81</v>
      </c>
      <c r="I2143" s="35"/>
      <c r="K2143" t="s">
        <v>15</v>
      </c>
    </row>
    <row r="2144" spans="2:11" ht="33" x14ac:dyDescent="0.2">
      <c r="B2144" s="31" t="s">
        <v>3006</v>
      </c>
      <c r="C2144" s="31" t="s">
        <v>2932</v>
      </c>
      <c r="D2144" s="34">
        <v>0</v>
      </c>
      <c r="E2144" s="34"/>
      <c r="F2144" s="34">
        <v>314834.81</v>
      </c>
      <c r="G2144" s="34">
        <v>0</v>
      </c>
      <c r="H2144" s="34">
        <f t="shared" si="34"/>
        <v>314834.81</v>
      </c>
      <c r="I2144" s="34"/>
      <c r="K2144" t="s">
        <v>38</v>
      </c>
    </row>
    <row r="2145" spans="2:11" ht="16.5" x14ac:dyDescent="0.2">
      <c r="B2145" s="33" t="s">
        <v>3007</v>
      </c>
      <c r="C2145" s="33" t="s">
        <v>3008</v>
      </c>
      <c r="D2145" s="35">
        <f>SUMIFS(D2146:D9015,K2146:K9015,"0",B2146:B9015,"5 1 1 1 3 12 31111 6 M59 10800*")-SUMIFS(E2146:E9015,K2146:K9015,"0",B2146:B9015,"5 1 1 1 3 12 31111 6 M59 10800*")</f>
        <v>0</v>
      </c>
      <c r="E2145"/>
      <c r="F2145" s="35">
        <f>SUMIFS(F2146:F9015,K2146:K9015,"0",B2146:B9015,"5 1 1 1 3 12 31111 6 M59 10800*")</f>
        <v>3104286.46</v>
      </c>
      <c r="G2145" s="35">
        <f>SUMIFS(G2146:G9015,K2146:K9015,"0",B2146:B9015,"5 1 1 1 3 12 31111 6 M59 10800*")</f>
        <v>0</v>
      </c>
      <c r="H2145" s="35">
        <f t="shared" si="34"/>
        <v>3104286.46</v>
      </c>
      <c r="I2145" s="35"/>
      <c r="K2145" t="s">
        <v>15</v>
      </c>
    </row>
    <row r="2146" spans="2:11" ht="16.5" x14ac:dyDescent="0.2">
      <c r="B2146" s="33" t="s">
        <v>3009</v>
      </c>
      <c r="C2146" s="33" t="s">
        <v>648</v>
      </c>
      <c r="D2146" s="35">
        <f>SUMIFS(D2147:D9015,K2147:K9015,"0",B2147:B9015,"5 1 1 1 3 12 31111 6 M59 10800 000132*")-SUMIFS(E2147:E9015,K2147:K9015,"0",B2147:B9015,"5 1 1 1 3 12 31111 6 M59 10800 000132*")</f>
        <v>0</v>
      </c>
      <c r="E2146"/>
      <c r="F2146" s="35">
        <f>SUMIFS(F2147:F9015,K2147:K9015,"0",B2147:B9015,"5 1 1 1 3 12 31111 6 M59 10800 000132*")</f>
        <v>3104286.46</v>
      </c>
      <c r="G2146" s="35">
        <f>SUMIFS(G2147:G9015,K2147:K9015,"0",B2147:B9015,"5 1 1 1 3 12 31111 6 M59 10800 000132*")</f>
        <v>0</v>
      </c>
      <c r="H2146" s="35">
        <f t="shared" si="34"/>
        <v>3104286.46</v>
      </c>
      <c r="I2146" s="35"/>
      <c r="K2146" t="s">
        <v>15</v>
      </c>
    </row>
    <row r="2147" spans="2:11" ht="16.5" x14ac:dyDescent="0.2">
      <c r="B2147" s="33" t="s">
        <v>3010</v>
      </c>
      <c r="C2147" s="33" t="s">
        <v>650</v>
      </c>
      <c r="D2147" s="35">
        <f>SUMIFS(D2148:D9015,K2148:K9015,"0",B2148:B9015,"5 1 1 1 3 12 31111 6 M59 10800 000132 0000R*")-SUMIFS(E2148:E9015,K2148:K9015,"0",B2148:B9015,"5 1 1 1 3 12 31111 6 M59 10800 000132 0000R*")</f>
        <v>0</v>
      </c>
      <c r="E2147"/>
      <c r="F2147" s="35">
        <f>SUMIFS(F2148:F9015,K2148:K9015,"0",B2148:B9015,"5 1 1 1 3 12 31111 6 M59 10800 000132 0000R*")</f>
        <v>3104286.46</v>
      </c>
      <c r="G2147" s="35">
        <f>SUMIFS(G2148:G9015,K2148:K9015,"0",B2148:B9015,"5 1 1 1 3 12 31111 6 M59 10800 000132 0000R*")</f>
        <v>0</v>
      </c>
      <c r="H2147" s="35">
        <f t="shared" si="34"/>
        <v>3104286.46</v>
      </c>
      <c r="I2147" s="35"/>
      <c r="K2147" t="s">
        <v>15</v>
      </c>
    </row>
    <row r="2148" spans="2:11" ht="24.75" x14ac:dyDescent="0.2">
      <c r="B2148" s="33" t="s">
        <v>3011</v>
      </c>
      <c r="C2148" s="33" t="s">
        <v>282</v>
      </c>
      <c r="D2148" s="35">
        <f>SUMIFS(D2149:D9015,K2149:K9015,"0",B2149:B9015,"5 1 1 1 3 12 31111 6 M59 10800 000132 0000R 00001*")-SUMIFS(E2149:E9015,K2149:K9015,"0",B2149:B9015,"5 1 1 1 3 12 31111 6 M59 10800 000132 0000R 00001*")</f>
        <v>0</v>
      </c>
      <c r="E2148"/>
      <c r="F2148" s="35">
        <f>SUMIFS(F2149:F9015,K2149:K9015,"0",B2149:B9015,"5 1 1 1 3 12 31111 6 M59 10800 000132 0000R 00001*")</f>
        <v>3104286.46</v>
      </c>
      <c r="G2148" s="35">
        <f>SUMIFS(G2149:G9015,K2149:K9015,"0",B2149:B9015,"5 1 1 1 3 12 31111 6 M59 10800 000132 0000R 00001*")</f>
        <v>0</v>
      </c>
      <c r="H2148" s="35">
        <f t="shared" si="34"/>
        <v>3104286.46</v>
      </c>
      <c r="I2148" s="35"/>
      <c r="K2148" t="s">
        <v>15</v>
      </c>
    </row>
    <row r="2149" spans="2:11" ht="24.75" x14ac:dyDescent="0.2">
      <c r="B2149" s="33" t="s">
        <v>3012</v>
      </c>
      <c r="C2149" s="33" t="s">
        <v>2924</v>
      </c>
      <c r="D2149" s="35">
        <f>SUMIFS(D2150:D9015,K2150:K9015,"0",B2150:B9015,"5 1 1 1 3 12 31111 6 M59 10800 000132 0000R 00001 00113*")-SUMIFS(E2150:E9015,K2150:K9015,"0",B2150:B9015,"5 1 1 1 3 12 31111 6 M59 10800 000132 0000R 00001 00113*")</f>
        <v>0</v>
      </c>
      <c r="E2149"/>
      <c r="F2149" s="35">
        <f>SUMIFS(F2150:F9015,K2150:K9015,"0",B2150:B9015,"5 1 1 1 3 12 31111 6 M59 10800 000132 0000R 00001 00113*")</f>
        <v>3104286.46</v>
      </c>
      <c r="G2149" s="35">
        <f>SUMIFS(G2150:G9015,K2150:K9015,"0",B2150:B9015,"5 1 1 1 3 12 31111 6 M59 10800 000132 0000R 00001 00113*")</f>
        <v>0</v>
      </c>
      <c r="H2149" s="35">
        <f t="shared" si="34"/>
        <v>3104286.46</v>
      </c>
      <c r="I2149" s="35"/>
      <c r="K2149" t="s">
        <v>15</v>
      </c>
    </row>
    <row r="2150" spans="2:11" ht="24.75" x14ac:dyDescent="0.2">
      <c r="B2150" s="33" t="s">
        <v>3013</v>
      </c>
      <c r="C2150" s="33" t="s">
        <v>1051</v>
      </c>
      <c r="D2150" s="35">
        <f>SUMIFS(D2151:D9015,K2151:K9015,"0",B2151:B9015,"5 1 1 1 3 12 31111 6 M59 10800 000132 0000R 00001 00113 015*")-SUMIFS(E2151:E9015,K2151:K9015,"0",B2151:B9015,"5 1 1 1 3 12 31111 6 M59 10800 000132 0000R 00001 00113 015*")</f>
        <v>0</v>
      </c>
      <c r="E2150"/>
      <c r="F2150" s="35">
        <f>SUMIFS(F2151:F9015,K2151:K9015,"0",B2151:B9015,"5 1 1 1 3 12 31111 6 M59 10800 000132 0000R 00001 00113 015*")</f>
        <v>3104286.46</v>
      </c>
      <c r="G2150" s="35">
        <f>SUMIFS(G2151:G9015,K2151:K9015,"0",B2151:B9015,"5 1 1 1 3 12 31111 6 M59 10800 000132 0000R 00001 00113 015*")</f>
        <v>0</v>
      </c>
      <c r="H2150" s="35">
        <f t="shared" si="34"/>
        <v>3104286.46</v>
      </c>
      <c r="I2150" s="35"/>
      <c r="K2150" t="s">
        <v>15</v>
      </c>
    </row>
    <row r="2151" spans="2:11" ht="33" x14ac:dyDescent="0.2">
      <c r="B2151" s="33" t="s">
        <v>3014</v>
      </c>
      <c r="C2151" s="33" t="s">
        <v>2927</v>
      </c>
      <c r="D2151" s="35">
        <f>SUMIFS(D2152:D9015,K2152:K9015,"0",B2152:B9015,"5 1 1 1 3 12 31111 6 M59 10800 000132 0000R 00001 00113 015 2111100*")-SUMIFS(E2152:E9015,K2152:K9015,"0",B2152:B9015,"5 1 1 1 3 12 31111 6 M59 10800 000132 0000R 00001 00113 015 2111100*")</f>
        <v>0</v>
      </c>
      <c r="E2151"/>
      <c r="F2151" s="35">
        <f>SUMIFS(F2152:F9015,K2152:K9015,"0",B2152:B9015,"5 1 1 1 3 12 31111 6 M59 10800 000132 0000R 00001 00113 015 2111100*")</f>
        <v>3104286.46</v>
      </c>
      <c r="G2151" s="35">
        <f>SUMIFS(G2152:G9015,K2152:K9015,"0",B2152:B9015,"5 1 1 1 3 12 31111 6 M59 10800 000132 0000R 00001 00113 015 2111100*")</f>
        <v>0</v>
      </c>
      <c r="H2151" s="35">
        <f t="shared" si="34"/>
        <v>3104286.46</v>
      </c>
      <c r="I2151" s="35"/>
      <c r="K2151" t="s">
        <v>15</v>
      </c>
    </row>
    <row r="2152" spans="2:11" ht="33" x14ac:dyDescent="0.2">
      <c r="B2152" s="33" t="s">
        <v>3015</v>
      </c>
      <c r="C2152" s="33" t="s">
        <v>660</v>
      </c>
      <c r="D2152" s="35">
        <f>SUMIFS(D2153:D9015,K2153:K9015,"0",B2153:B9015,"5 1 1 1 3 12 31111 6 M59 10800 000132 0000R 00001 00113 015 2111100 2024*")-SUMIFS(E2153:E9015,K2153:K9015,"0",B2153:B9015,"5 1 1 1 3 12 31111 6 M59 10800 000132 0000R 00001 00113 015 2111100 2024*")</f>
        <v>0</v>
      </c>
      <c r="E2152"/>
      <c r="F2152" s="35">
        <f>SUMIFS(F2153:F9015,K2153:K9015,"0",B2153:B9015,"5 1 1 1 3 12 31111 6 M59 10800 000132 0000R 00001 00113 015 2111100 2024*")</f>
        <v>3104286.46</v>
      </c>
      <c r="G2152" s="35">
        <f>SUMIFS(G2153:G9015,K2153:K9015,"0",B2153:B9015,"5 1 1 1 3 12 31111 6 M59 10800 000132 0000R 00001 00113 015 2111100 2024*")</f>
        <v>0</v>
      </c>
      <c r="H2152" s="35">
        <f t="shared" si="34"/>
        <v>3104286.46</v>
      </c>
      <c r="I2152" s="35"/>
      <c r="K2152" t="s">
        <v>15</v>
      </c>
    </row>
    <row r="2153" spans="2:11" ht="41.25" x14ac:dyDescent="0.2">
      <c r="B2153" s="33" t="s">
        <v>3016</v>
      </c>
      <c r="C2153" s="33" t="s">
        <v>662</v>
      </c>
      <c r="D2153" s="35">
        <f>SUMIFS(D2154:D9015,K2154:K9015,"0",B2154:B9015,"5 1 1 1 3 12 31111 6 M59 10800 000132 0000R 00001 00113 015 2111100 2024 CP1SR390*")-SUMIFS(E2154:E9015,K2154:K9015,"0",B2154:B9015,"5 1 1 1 3 12 31111 6 M59 10800 000132 0000R 00001 00113 015 2111100 2024 CP1SR390*")</f>
        <v>0</v>
      </c>
      <c r="E2153"/>
      <c r="F2153" s="35">
        <f>SUMIFS(F2154:F9015,K2154:K9015,"0",B2154:B9015,"5 1 1 1 3 12 31111 6 M59 10800 000132 0000R 00001 00113 015 2111100 2024 CP1SR390*")</f>
        <v>3104286.46</v>
      </c>
      <c r="G2153" s="35">
        <f>SUMIFS(G2154:G9015,K2154:K9015,"0",B2154:B9015,"5 1 1 1 3 12 31111 6 M59 10800 000132 0000R 00001 00113 015 2111100 2024 CP1SR390*")</f>
        <v>0</v>
      </c>
      <c r="H2153" s="35">
        <f t="shared" si="34"/>
        <v>3104286.46</v>
      </c>
      <c r="I2153" s="35"/>
      <c r="K2153" t="s">
        <v>15</v>
      </c>
    </row>
    <row r="2154" spans="2:11" ht="41.25" x14ac:dyDescent="0.2">
      <c r="B2154" s="33" t="s">
        <v>3017</v>
      </c>
      <c r="C2154" s="33" t="s">
        <v>282</v>
      </c>
      <c r="D2154" s="35">
        <f>SUMIFS(D2155:D9015,K2155:K9015,"0",B2155:B9015,"5 1 1 1 3 12 31111 6 M59 10800 000132 0000R 00001 00113 015 2111100 2024 CP1SR390 001*")-SUMIFS(E2155:E9015,K2155:K9015,"0",B2155:B9015,"5 1 1 1 3 12 31111 6 M59 10800 000132 0000R 00001 00113 015 2111100 2024 CP1SR390 001*")</f>
        <v>0</v>
      </c>
      <c r="E2154"/>
      <c r="F2154" s="35">
        <f>SUMIFS(F2155:F9015,K2155:K9015,"0",B2155:B9015,"5 1 1 1 3 12 31111 6 M59 10800 000132 0000R 00001 00113 015 2111100 2024 CP1SR390 001*")</f>
        <v>3104286.46</v>
      </c>
      <c r="G2154" s="35">
        <f>SUMIFS(G2155:G9015,K2155:K9015,"0",B2155:B9015,"5 1 1 1 3 12 31111 6 M59 10800 000132 0000R 00001 00113 015 2111100 2024 CP1SR390 001*")</f>
        <v>0</v>
      </c>
      <c r="H2154" s="35">
        <f t="shared" si="34"/>
        <v>3104286.46</v>
      </c>
      <c r="I2154" s="35"/>
      <c r="K2154" t="s">
        <v>15</v>
      </c>
    </row>
    <row r="2155" spans="2:11" ht="33" x14ac:dyDescent="0.2">
      <c r="B2155" s="31" t="s">
        <v>3018</v>
      </c>
      <c r="C2155" s="31" t="s">
        <v>2932</v>
      </c>
      <c r="D2155" s="34">
        <v>0</v>
      </c>
      <c r="E2155" s="34"/>
      <c r="F2155" s="34">
        <v>3104286.46</v>
      </c>
      <c r="G2155" s="34">
        <v>0</v>
      </c>
      <c r="H2155" s="34">
        <f t="shared" si="34"/>
        <v>3104286.46</v>
      </c>
      <c r="I2155" s="34"/>
      <c r="K2155" t="s">
        <v>38</v>
      </c>
    </row>
    <row r="2156" spans="2:11" ht="16.5" x14ac:dyDescent="0.2">
      <c r="B2156" s="33" t="s">
        <v>3019</v>
      </c>
      <c r="C2156" s="33" t="s">
        <v>3020</v>
      </c>
      <c r="D2156" s="35">
        <f>SUMIFS(D2157:D9015,K2157:K9015,"0",B2157:B9015,"5 1 1 1 3 12 31111 6 M59 11000*")-SUMIFS(E2157:E9015,K2157:K9015,"0",B2157:B9015,"5 1 1 1 3 12 31111 6 M59 11000*")</f>
        <v>0</v>
      </c>
      <c r="E2156"/>
      <c r="F2156" s="35">
        <f>SUMIFS(F2157:F9015,K2157:K9015,"0",B2157:B9015,"5 1 1 1 3 12 31111 6 M59 11000*")</f>
        <v>663931.80000000005</v>
      </c>
      <c r="G2156" s="35">
        <f>SUMIFS(G2157:G9015,K2157:K9015,"0",B2157:B9015,"5 1 1 1 3 12 31111 6 M59 11000*")</f>
        <v>0</v>
      </c>
      <c r="H2156" s="35">
        <f t="shared" si="34"/>
        <v>663931.80000000005</v>
      </c>
      <c r="I2156" s="35"/>
      <c r="K2156" t="s">
        <v>15</v>
      </c>
    </row>
    <row r="2157" spans="2:11" ht="16.5" x14ac:dyDescent="0.2">
      <c r="B2157" s="33" t="s">
        <v>3021</v>
      </c>
      <c r="C2157" s="33" t="s">
        <v>648</v>
      </c>
      <c r="D2157" s="35">
        <f>SUMIFS(D2158:D9015,K2158:K9015,"0",B2158:B9015,"5 1 1 1 3 12 31111 6 M59 11000 000132*")-SUMIFS(E2158:E9015,K2158:K9015,"0",B2158:B9015,"5 1 1 1 3 12 31111 6 M59 11000 000132*")</f>
        <v>0</v>
      </c>
      <c r="E2157"/>
      <c r="F2157" s="35">
        <f>SUMIFS(F2158:F9015,K2158:K9015,"0",B2158:B9015,"5 1 1 1 3 12 31111 6 M59 11000 000132*")</f>
        <v>663931.80000000005</v>
      </c>
      <c r="G2157" s="35">
        <f>SUMIFS(G2158:G9015,K2158:K9015,"0",B2158:B9015,"5 1 1 1 3 12 31111 6 M59 11000 000132*")</f>
        <v>0</v>
      </c>
      <c r="H2157" s="35">
        <f t="shared" si="34"/>
        <v>663931.80000000005</v>
      </c>
      <c r="I2157" s="35"/>
      <c r="K2157" t="s">
        <v>15</v>
      </c>
    </row>
    <row r="2158" spans="2:11" ht="16.5" x14ac:dyDescent="0.2">
      <c r="B2158" s="33" t="s">
        <v>3022</v>
      </c>
      <c r="C2158" s="33" t="s">
        <v>650</v>
      </c>
      <c r="D2158" s="35">
        <f>SUMIFS(D2159:D9015,K2159:K9015,"0",B2159:B9015,"5 1 1 1 3 12 31111 6 M59 11000 000132 0000R*")-SUMIFS(E2159:E9015,K2159:K9015,"0",B2159:B9015,"5 1 1 1 3 12 31111 6 M59 11000 000132 0000R*")</f>
        <v>0</v>
      </c>
      <c r="E2158"/>
      <c r="F2158" s="35">
        <f>SUMIFS(F2159:F9015,K2159:K9015,"0",B2159:B9015,"5 1 1 1 3 12 31111 6 M59 11000 000132 0000R*")</f>
        <v>663931.80000000005</v>
      </c>
      <c r="G2158" s="35">
        <f>SUMIFS(G2159:G9015,K2159:K9015,"0",B2159:B9015,"5 1 1 1 3 12 31111 6 M59 11000 000132 0000R*")</f>
        <v>0</v>
      </c>
      <c r="H2158" s="35">
        <f t="shared" si="34"/>
        <v>663931.80000000005</v>
      </c>
      <c r="I2158" s="35"/>
      <c r="K2158" t="s">
        <v>15</v>
      </c>
    </row>
    <row r="2159" spans="2:11" ht="24.75" x14ac:dyDescent="0.2">
      <c r="B2159" s="33" t="s">
        <v>3023</v>
      </c>
      <c r="C2159" s="33" t="s">
        <v>282</v>
      </c>
      <c r="D2159" s="35">
        <f>SUMIFS(D2160:D9015,K2160:K9015,"0",B2160:B9015,"5 1 1 1 3 12 31111 6 M59 11000 000132 0000R 00001*")-SUMIFS(E2160:E9015,K2160:K9015,"0",B2160:B9015,"5 1 1 1 3 12 31111 6 M59 11000 000132 0000R 00001*")</f>
        <v>0</v>
      </c>
      <c r="E2159"/>
      <c r="F2159" s="35">
        <f>SUMIFS(F2160:F9015,K2160:K9015,"0",B2160:B9015,"5 1 1 1 3 12 31111 6 M59 11000 000132 0000R 00001*")</f>
        <v>663931.80000000005</v>
      </c>
      <c r="G2159" s="35">
        <f>SUMIFS(G2160:G9015,K2160:K9015,"0",B2160:B9015,"5 1 1 1 3 12 31111 6 M59 11000 000132 0000R 00001*")</f>
        <v>0</v>
      </c>
      <c r="H2159" s="35">
        <f t="shared" si="34"/>
        <v>663931.80000000005</v>
      </c>
      <c r="I2159" s="35"/>
      <c r="K2159" t="s">
        <v>15</v>
      </c>
    </row>
    <row r="2160" spans="2:11" ht="24.75" x14ac:dyDescent="0.2">
      <c r="B2160" s="33" t="s">
        <v>3024</v>
      </c>
      <c r="C2160" s="33" t="s">
        <v>2924</v>
      </c>
      <c r="D2160" s="35">
        <f>SUMIFS(D2161:D9015,K2161:K9015,"0",B2161:B9015,"5 1 1 1 3 12 31111 6 M59 11000 000132 0000R 00001 00113*")-SUMIFS(E2161:E9015,K2161:K9015,"0",B2161:B9015,"5 1 1 1 3 12 31111 6 M59 11000 000132 0000R 00001 00113*")</f>
        <v>0</v>
      </c>
      <c r="E2160"/>
      <c r="F2160" s="35">
        <f>SUMIFS(F2161:F9015,K2161:K9015,"0",B2161:B9015,"5 1 1 1 3 12 31111 6 M59 11000 000132 0000R 00001 00113*")</f>
        <v>663931.80000000005</v>
      </c>
      <c r="G2160" s="35">
        <f>SUMIFS(G2161:G9015,K2161:K9015,"0",B2161:B9015,"5 1 1 1 3 12 31111 6 M59 11000 000132 0000R 00001 00113*")</f>
        <v>0</v>
      </c>
      <c r="H2160" s="35">
        <f t="shared" si="34"/>
        <v>663931.80000000005</v>
      </c>
      <c r="I2160" s="35"/>
      <c r="K2160" t="s">
        <v>15</v>
      </c>
    </row>
    <row r="2161" spans="2:11" ht="24.75" x14ac:dyDescent="0.2">
      <c r="B2161" s="33" t="s">
        <v>3025</v>
      </c>
      <c r="C2161" s="33" t="s">
        <v>1051</v>
      </c>
      <c r="D2161" s="35">
        <f>SUMIFS(D2162:D9015,K2162:K9015,"0",B2162:B9015,"5 1 1 1 3 12 31111 6 M59 11000 000132 0000R 00001 00113 015*")-SUMIFS(E2162:E9015,K2162:K9015,"0",B2162:B9015,"5 1 1 1 3 12 31111 6 M59 11000 000132 0000R 00001 00113 015*")</f>
        <v>0</v>
      </c>
      <c r="E2161"/>
      <c r="F2161" s="35">
        <f>SUMIFS(F2162:F9015,K2162:K9015,"0",B2162:B9015,"5 1 1 1 3 12 31111 6 M59 11000 000132 0000R 00001 00113 015*")</f>
        <v>663931.80000000005</v>
      </c>
      <c r="G2161" s="35">
        <f>SUMIFS(G2162:G9015,K2162:K9015,"0",B2162:B9015,"5 1 1 1 3 12 31111 6 M59 11000 000132 0000R 00001 00113 015*")</f>
        <v>0</v>
      </c>
      <c r="H2161" s="35">
        <f t="shared" si="34"/>
        <v>663931.80000000005</v>
      </c>
      <c r="I2161" s="35"/>
      <c r="K2161" t="s">
        <v>15</v>
      </c>
    </row>
    <row r="2162" spans="2:11" ht="33" x14ac:dyDescent="0.2">
      <c r="B2162" s="33" t="s">
        <v>3026</v>
      </c>
      <c r="C2162" s="33" t="s">
        <v>2927</v>
      </c>
      <c r="D2162" s="35">
        <f>SUMIFS(D2163:D9015,K2163:K9015,"0",B2163:B9015,"5 1 1 1 3 12 31111 6 M59 11000 000132 0000R 00001 00113 015 2111100*")-SUMIFS(E2163:E9015,K2163:K9015,"0",B2163:B9015,"5 1 1 1 3 12 31111 6 M59 11000 000132 0000R 00001 00113 015 2111100*")</f>
        <v>0</v>
      </c>
      <c r="E2162"/>
      <c r="F2162" s="35">
        <f>SUMIFS(F2163:F9015,K2163:K9015,"0",B2163:B9015,"5 1 1 1 3 12 31111 6 M59 11000 000132 0000R 00001 00113 015 2111100*")</f>
        <v>663931.80000000005</v>
      </c>
      <c r="G2162" s="35">
        <f>SUMIFS(G2163:G9015,K2163:K9015,"0",B2163:B9015,"5 1 1 1 3 12 31111 6 M59 11000 000132 0000R 00001 00113 015 2111100*")</f>
        <v>0</v>
      </c>
      <c r="H2162" s="35">
        <f t="shared" si="34"/>
        <v>663931.80000000005</v>
      </c>
      <c r="I2162" s="35"/>
      <c r="K2162" t="s">
        <v>15</v>
      </c>
    </row>
    <row r="2163" spans="2:11" ht="33" x14ac:dyDescent="0.2">
      <c r="B2163" s="33" t="s">
        <v>3027</v>
      </c>
      <c r="C2163" s="33" t="s">
        <v>660</v>
      </c>
      <c r="D2163" s="35">
        <f>SUMIFS(D2164:D9015,K2164:K9015,"0",B2164:B9015,"5 1 1 1 3 12 31111 6 M59 11000 000132 0000R 00001 00113 015 2111100 2024*")-SUMIFS(E2164:E9015,K2164:K9015,"0",B2164:B9015,"5 1 1 1 3 12 31111 6 M59 11000 000132 0000R 00001 00113 015 2111100 2024*")</f>
        <v>0</v>
      </c>
      <c r="E2163"/>
      <c r="F2163" s="35">
        <f>SUMIFS(F2164:F9015,K2164:K9015,"0",B2164:B9015,"5 1 1 1 3 12 31111 6 M59 11000 000132 0000R 00001 00113 015 2111100 2024*")</f>
        <v>663931.80000000005</v>
      </c>
      <c r="G2163" s="35">
        <f>SUMIFS(G2164:G9015,K2164:K9015,"0",B2164:B9015,"5 1 1 1 3 12 31111 6 M59 11000 000132 0000R 00001 00113 015 2111100 2024*")</f>
        <v>0</v>
      </c>
      <c r="H2163" s="35">
        <f t="shared" si="34"/>
        <v>663931.80000000005</v>
      </c>
      <c r="I2163" s="35"/>
      <c r="K2163" t="s">
        <v>15</v>
      </c>
    </row>
    <row r="2164" spans="2:11" ht="41.25" x14ac:dyDescent="0.2">
      <c r="B2164" s="33" t="s">
        <v>3028</v>
      </c>
      <c r="C2164" s="33" t="s">
        <v>1056</v>
      </c>
      <c r="D2164" s="35">
        <f>SUMIFS(D2165:D9015,K2165:K9015,"0",B2165:B9015,"5 1 1 1 3 12 31111 6 M59 11000 000132 0000R 00001 00113 015 2111100 2024 CP1SM382*")-SUMIFS(E2165:E9015,K2165:K9015,"0",B2165:B9015,"5 1 1 1 3 12 31111 6 M59 11000 000132 0000R 00001 00113 015 2111100 2024 CP1SM382*")</f>
        <v>0</v>
      </c>
      <c r="E2164"/>
      <c r="F2164" s="35">
        <f>SUMIFS(F2165:F9015,K2165:K9015,"0",B2165:B9015,"5 1 1 1 3 12 31111 6 M59 11000 000132 0000R 00001 00113 015 2111100 2024 CP1SM382*")</f>
        <v>663931.80000000005</v>
      </c>
      <c r="G2164" s="35">
        <f>SUMIFS(G2165:G9015,K2165:K9015,"0",B2165:B9015,"5 1 1 1 3 12 31111 6 M59 11000 000132 0000R 00001 00113 015 2111100 2024 CP1SM382*")</f>
        <v>0</v>
      </c>
      <c r="H2164" s="35">
        <f t="shared" si="34"/>
        <v>663931.80000000005</v>
      </c>
      <c r="I2164" s="35"/>
      <c r="K2164" t="s">
        <v>15</v>
      </c>
    </row>
    <row r="2165" spans="2:11" ht="41.25" x14ac:dyDescent="0.2">
      <c r="B2165" s="33" t="s">
        <v>3029</v>
      </c>
      <c r="C2165" s="33" t="s">
        <v>282</v>
      </c>
      <c r="D2165" s="35">
        <f>SUMIFS(D2166:D9015,K2166:K9015,"0",B2166:B9015,"5 1 1 1 3 12 31111 6 M59 11000 000132 0000R 00001 00113 015 2111100 2024 CP1SM382 001*")-SUMIFS(E2166:E9015,K2166:K9015,"0",B2166:B9015,"5 1 1 1 3 12 31111 6 M59 11000 000132 0000R 00001 00113 015 2111100 2024 CP1SM382 001*")</f>
        <v>0</v>
      </c>
      <c r="E2165"/>
      <c r="F2165" s="35">
        <f>SUMIFS(F2166:F9015,K2166:K9015,"0",B2166:B9015,"5 1 1 1 3 12 31111 6 M59 11000 000132 0000R 00001 00113 015 2111100 2024 CP1SM382 001*")</f>
        <v>663931.80000000005</v>
      </c>
      <c r="G2165" s="35">
        <f>SUMIFS(G2166:G9015,K2166:K9015,"0",B2166:B9015,"5 1 1 1 3 12 31111 6 M59 11000 000132 0000R 00001 00113 015 2111100 2024 CP1SM382 001*")</f>
        <v>0</v>
      </c>
      <c r="H2165" s="35">
        <f t="shared" si="34"/>
        <v>663931.80000000005</v>
      </c>
      <c r="I2165" s="35"/>
      <c r="K2165" t="s">
        <v>15</v>
      </c>
    </row>
    <row r="2166" spans="2:11" ht="33" x14ac:dyDescent="0.2">
      <c r="B2166" s="31" t="s">
        <v>3030</v>
      </c>
      <c r="C2166" s="31" t="s">
        <v>2932</v>
      </c>
      <c r="D2166" s="34">
        <v>0</v>
      </c>
      <c r="E2166" s="34"/>
      <c r="F2166" s="34">
        <v>663931.80000000005</v>
      </c>
      <c r="G2166" s="34">
        <v>0</v>
      </c>
      <c r="H2166" s="34">
        <f t="shared" si="34"/>
        <v>663931.80000000005</v>
      </c>
      <c r="I2166" s="34"/>
      <c r="K2166" t="s">
        <v>38</v>
      </c>
    </row>
    <row r="2167" spans="2:11" ht="16.5" x14ac:dyDescent="0.2">
      <c r="B2167" s="33" t="s">
        <v>3031</v>
      </c>
      <c r="C2167" s="33" t="s">
        <v>3032</v>
      </c>
      <c r="D2167" s="35">
        <f>SUMIFS(D2168:D9015,K2168:K9015,"0",B2168:B9015,"5 1 1 1 3 12 31111 6 M59 12000*")-SUMIFS(E2168:E9015,K2168:K9015,"0",B2168:B9015,"5 1 1 1 3 12 31111 6 M59 12000*")</f>
        <v>0</v>
      </c>
      <c r="E2167"/>
      <c r="F2167" s="35">
        <f>SUMIFS(F2168:F9015,K2168:K9015,"0",B2168:B9015,"5 1 1 1 3 12 31111 6 M59 12000*")</f>
        <v>385464.47</v>
      </c>
      <c r="G2167" s="35">
        <f>SUMIFS(G2168:G9015,K2168:K9015,"0",B2168:B9015,"5 1 1 1 3 12 31111 6 M59 12000*")</f>
        <v>0</v>
      </c>
      <c r="H2167" s="35">
        <f t="shared" si="34"/>
        <v>385464.47</v>
      </c>
      <c r="I2167" s="35"/>
      <c r="K2167" t="s">
        <v>15</v>
      </c>
    </row>
    <row r="2168" spans="2:11" ht="16.5" x14ac:dyDescent="0.2">
      <c r="B2168" s="33" t="s">
        <v>3033</v>
      </c>
      <c r="C2168" s="33" t="s">
        <v>3034</v>
      </c>
      <c r="D2168" s="35">
        <f>SUMIFS(D2169:D9015,K2169:K9015,"0",B2169:B9015,"5 1 1 1 3 12 31111 6 M59 12000 000121*")-SUMIFS(E2169:E9015,K2169:K9015,"0",B2169:B9015,"5 1 1 1 3 12 31111 6 M59 12000 000121*")</f>
        <v>0</v>
      </c>
      <c r="E2168"/>
      <c r="F2168" s="35">
        <f>SUMIFS(F2169:F9015,K2169:K9015,"0",B2169:B9015,"5 1 1 1 3 12 31111 6 M59 12000 000121*")</f>
        <v>385464.47</v>
      </c>
      <c r="G2168" s="35">
        <f>SUMIFS(G2169:G9015,K2169:K9015,"0",B2169:B9015,"5 1 1 1 3 12 31111 6 M59 12000 000121*")</f>
        <v>0</v>
      </c>
      <c r="H2168" s="35">
        <f t="shared" si="34"/>
        <v>385464.47</v>
      </c>
      <c r="I2168" s="35"/>
      <c r="K2168" t="s">
        <v>15</v>
      </c>
    </row>
    <row r="2169" spans="2:11" ht="16.5" x14ac:dyDescent="0.2">
      <c r="B2169" s="33" t="s">
        <v>3035</v>
      </c>
      <c r="C2169" s="33" t="s">
        <v>1065</v>
      </c>
      <c r="D2169" s="35">
        <f>SUMIFS(D2170:D9015,K2170:K9015,"0",B2170:B9015,"5 1 1 1 3 12 31111 6 M59 12000 000121 0000E*")-SUMIFS(E2170:E9015,K2170:K9015,"0",B2170:B9015,"5 1 1 1 3 12 31111 6 M59 12000 000121 0000E*")</f>
        <v>0</v>
      </c>
      <c r="E2169"/>
      <c r="F2169" s="35">
        <f>SUMIFS(F2170:F9015,K2170:K9015,"0",B2170:B9015,"5 1 1 1 3 12 31111 6 M59 12000 000121 0000E*")</f>
        <v>385464.47</v>
      </c>
      <c r="G2169" s="35">
        <f>SUMIFS(G2170:G9015,K2170:K9015,"0",B2170:B9015,"5 1 1 1 3 12 31111 6 M59 12000 000121 0000E*")</f>
        <v>0</v>
      </c>
      <c r="H2169" s="35">
        <f t="shared" si="34"/>
        <v>385464.47</v>
      </c>
      <c r="I2169" s="35"/>
      <c r="K2169" t="s">
        <v>15</v>
      </c>
    </row>
    <row r="2170" spans="2:11" ht="24.75" x14ac:dyDescent="0.2">
      <c r="B2170" s="33" t="s">
        <v>3036</v>
      </c>
      <c r="C2170" s="33" t="s">
        <v>282</v>
      </c>
      <c r="D2170" s="35">
        <f>SUMIFS(D2171:D9015,K2171:K9015,"0",B2171:B9015,"5 1 1 1 3 12 31111 6 M59 12000 000121 0000E 00001*")-SUMIFS(E2171:E9015,K2171:K9015,"0",B2171:B9015,"5 1 1 1 3 12 31111 6 M59 12000 000121 0000E 00001*")</f>
        <v>0</v>
      </c>
      <c r="E2170"/>
      <c r="F2170" s="35">
        <f>SUMIFS(F2171:F9015,K2171:K9015,"0",B2171:B9015,"5 1 1 1 3 12 31111 6 M59 12000 000121 0000E 00001*")</f>
        <v>385464.47</v>
      </c>
      <c r="G2170" s="35">
        <f>SUMIFS(G2171:G9015,K2171:K9015,"0",B2171:B9015,"5 1 1 1 3 12 31111 6 M59 12000 000121 0000E 00001*")</f>
        <v>0</v>
      </c>
      <c r="H2170" s="35">
        <f t="shared" si="34"/>
        <v>385464.47</v>
      </c>
      <c r="I2170" s="35"/>
      <c r="K2170" t="s">
        <v>15</v>
      </c>
    </row>
    <row r="2171" spans="2:11" ht="24.75" x14ac:dyDescent="0.2">
      <c r="B2171" s="33" t="s">
        <v>3037</v>
      </c>
      <c r="C2171" s="33" t="s">
        <v>2924</v>
      </c>
      <c r="D2171" s="35">
        <f>SUMIFS(D2172:D9015,K2172:K9015,"0",B2172:B9015,"5 1 1 1 3 12 31111 6 M59 12000 000121 0000E 00001 00113*")-SUMIFS(E2172:E9015,K2172:K9015,"0",B2172:B9015,"5 1 1 1 3 12 31111 6 M59 12000 000121 0000E 00001 00113*")</f>
        <v>0</v>
      </c>
      <c r="E2171"/>
      <c r="F2171" s="35">
        <f>SUMIFS(F2172:F9015,K2172:K9015,"0",B2172:B9015,"5 1 1 1 3 12 31111 6 M59 12000 000121 0000E 00001 00113*")</f>
        <v>385464.47</v>
      </c>
      <c r="G2171" s="35">
        <f>SUMIFS(G2172:G9015,K2172:K9015,"0",B2172:B9015,"5 1 1 1 3 12 31111 6 M59 12000 000121 0000E 00001 00113*")</f>
        <v>0</v>
      </c>
      <c r="H2171" s="35">
        <f t="shared" si="34"/>
        <v>385464.47</v>
      </c>
      <c r="I2171" s="35"/>
      <c r="K2171" t="s">
        <v>15</v>
      </c>
    </row>
    <row r="2172" spans="2:11" ht="24.75" x14ac:dyDescent="0.2">
      <c r="B2172" s="33" t="s">
        <v>3038</v>
      </c>
      <c r="C2172" s="33" t="s">
        <v>1051</v>
      </c>
      <c r="D2172" s="35">
        <f>SUMIFS(D2173:D9015,K2173:K9015,"0",B2173:B9015,"5 1 1 1 3 12 31111 6 M59 12000 000121 0000E 00001 00113 015*")-SUMIFS(E2173:E9015,K2173:K9015,"0",B2173:B9015,"5 1 1 1 3 12 31111 6 M59 12000 000121 0000E 00001 00113 015*")</f>
        <v>0</v>
      </c>
      <c r="E2172"/>
      <c r="F2172" s="35">
        <f>SUMIFS(F2173:F9015,K2173:K9015,"0",B2173:B9015,"5 1 1 1 3 12 31111 6 M59 12000 000121 0000E 00001 00113 015*")</f>
        <v>385464.47</v>
      </c>
      <c r="G2172" s="35">
        <f>SUMIFS(G2173:G9015,K2173:K9015,"0",B2173:B9015,"5 1 1 1 3 12 31111 6 M59 12000 000121 0000E 00001 00113 015*")</f>
        <v>0</v>
      </c>
      <c r="H2172" s="35">
        <f t="shared" si="34"/>
        <v>385464.47</v>
      </c>
      <c r="I2172" s="35"/>
      <c r="K2172" t="s">
        <v>15</v>
      </c>
    </row>
    <row r="2173" spans="2:11" ht="33" x14ac:dyDescent="0.2">
      <c r="B2173" s="33" t="s">
        <v>3039</v>
      </c>
      <c r="C2173" s="33" t="s">
        <v>2927</v>
      </c>
      <c r="D2173" s="35">
        <f>SUMIFS(D2174:D9015,K2174:K9015,"0",B2174:B9015,"5 1 1 1 3 12 31111 6 M59 12000 000121 0000E 00001 00113 015 2111100*")-SUMIFS(E2174:E9015,K2174:K9015,"0",B2174:B9015,"5 1 1 1 3 12 31111 6 M59 12000 000121 0000E 00001 00113 015 2111100*")</f>
        <v>0</v>
      </c>
      <c r="E2173"/>
      <c r="F2173" s="35">
        <f>SUMIFS(F2174:F9015,K2174:K9015,"0",B2174:B9015,"5 1 1 1 3 12 31111 6 M59 12000 000121 0000E 00001 00113 015 2111100*")</f>
        <v>385464.47</v>
      </c>
      <c r="G2173" s="35">
        <f>SUMIFS(G2174:G9015,K2174:K9015,"0",B2174:B9015,"5 1 1 1 3 12 31111 6 M59 12000 000121 0000E 00001 00113 015 2111100*")</f>
        <v>0</v>
      </c>
      <c r="H2173" s="35">
        <f t="shared" si="34"/>
        <v>385464.47</v>
      </c>
      <c r="I2173" s="35"/>
      <c r="K2173" t="s">
        <v>15</v>
      </c>
    </row>
    <row r="2174" spans="2:11" ht="33" x14ac:dyDescent="0.2">
      <c r="B2174" s="33" t="s">
        <v>3040</v>
      </c>
      <c r="C2174" s="33" t="s">
        <v>660</v>
      </c>
      <c r="D2174" s="35">
        <f>SUMIFS(D2175:D9015,K2175:K9015,"0",B2175:B9015,"5 1 1 1 3 12 31111 6 M59 12000 000121 0000E 00001 00113 015 2111100 2024*")-SUMIFS(E2175:E9015,K2175:K9015,"0",B2175:B9015,"5 1 1 1 3 12 31111 6 M59 12000 000121 0000E 00001 00113 015 2111100 2024*")</f>
        <v>0</v>
      </c>
      <c r="E2174"/>
      <c r="F2174" s="35">
        <f>SUMIFS(F2175:F9015,K2175:K9015,"0",B2175:B9015,"5 1 1 1 3 12 31111 6 M59 12000 000121 0000E 00001 00113 015 2111100 2024*")</f>
        <v>385464.47</v>
      </c>
      <c r="G2174" s="35">
        <f>SUMIFS(G2175:G9015,K2175:K9015,"0",B2175:B9015,"5 1 1 1 3 12 31111 6 M59 12000 000121 0000E 00001 00113 015 2111100 2024*")</f>
        <v>0</v>
      </c>
      <c r="H2174" s="35">
        <f t="shared" si="34"/>
        <v>385464.47</v>
      </c>
      <c r="I2174" s="35"/>
      <c r="K2174" t="s">
        <v>15</v>
      </c>
    </row>
    <row r="2175" spans="2:11" ht="33" x14ac:dyDescent="0.2">
      <c r="B2175" s="33" t="s">
        <v>3041</v>
      </c>
      <c r="C2175" s="33" t="s">
        <v>662</v>
      </c>
      <c r="D2175" s="35">
        <f>SUMIFS(D2176:D9015,K2176:K9015,"0",B2176:B9015,"5 1 1 1 3 12 31111 6 M59 12000 000121 0000E 00001 00113 015 2111100 2024 CP1CI591*")-SUMIFS(E2176:E9015,K2176:K9015,"0",B2176:B9015,"5 1 1 1 3 12 31111 6 M59 12000 000121 0000E 00001 00113 015 2111100 2024 CP1CI591*")</f>
        <v>0</v>
      </c>
      <c r="E2175"/>
      <c r="F2175" s="35">
        <f>SUMIFS(F2176:F9015,K2176:K9015,"0",B2176:B9015,"5 1 1 1 3 12 31111 6 M59 12000 000121 0000E 00001 00113 015 2111100 2024 CP1CI591*")</f>
        <v>385464.47</v>
      </c>
      <c r="G2175" s="35">
        <f>SUMIFS(G2176:G9015,K2176:K9015,"0",B2176:B9015,"5 1 1 1 3 12 31111 6 M59 12000 000121 0000E 00001 00113 015 2111100 2024 CP1CI591*")</f>
        <v>0</v>
      </c>
      <c r="H2175" s="35">
        <f t="shared" si="34"/>
        <v>385464.47</v>
      </c>
      <c r="I2175" s="35"/>
      <c r="K2175" t="s">
        <v>15</v>
      </c>
    </row>
    <row r="2176" spans="2:11" ht="41.25" x14ac:dyDescent="0.2">
      <c r="B2176" s="33" t="s">
        <v>3042</v>
      </c>
      <c r="C2176" s="33" t="s">
        <v>282</v>
      </c>
      <c r="D2176" s="35">
        <f>SUMIFS(D2177:D9015,K2177:K9015,"0",B2177:B9015,"5 1 1 1 3 12 31111 6 M59 12000 000121 0000E 00001 00113 015 2111100 2024 CP1CI591 001*")-SUMIFS(E2177:E9015,K2177:K9015,"0",B2177:B9015,"5 1 1 1 3 12 31111 6 M59 12000 000121 0000E 00001 00113 015 2111100 2024 CP1CI591 001*")</f>
        <v>0</v>
      </c>
      <c r="E2176"/>
      <c r="F2176" s="35">
        <f>SUMIFS(F2177:F9015,K2177:K9015,"0",B2177:B9015,"5 1 1 1 3 12 31111 6 M59 12000 000121 0000E 00001 00113 015 2111100 2024 CP1CI591 001*")</f>
        <v>385464.47</v>
      </c>
      <c r="G2176" s="35">
        <f>SUMIFS(G2177:G9015,K2177:K9015,"0",B2177:B9015,"5 1 1 1 3 12 31111 6 M59 12000 000121 0000E 00001 00113 015 2111100 2024 CP1CI591 001*")</f>
        <v>0</v>
      </c>
      <c r="H2176" s="35">
        <f t="shared" si="34"/>
        <v>385464.47</v>
      </c>
      <c r="I2176" s="35"/>
      <c r="K2176" t="s">
        <v>15</v>
      </c>
    </row>
    <row r="2177" spans="2:11" ht="33" x14ac:dyDescent="0.2">
      <c r="B2177" s="31" t="s">
        <v>3043</v>
      </c>
      <c r="C2177" s="31" t="s">
        <v>2932</v>
      </c>
      <c r="D2177" s="34">
        <v>0</v>
      </c>
      <c r="E2177" s="34"/>
      <c r="F2177" s="34">
        <v>385464.47</v>
      </c>
      <c r="G2177" s="34">
        <v>0</v>
      </c>
      <c r="H2177" s="34">
        <f t="shared" si="34"/>
        <v>385464.47</v>
      </c>
      <c r="I2177" s="34"/>
      <c r="K2177" t="s">
        <v>38</v>
      </c>
    </row>
    <row r="2178" spans="2:11" ht="24.75" x14ac:dyDescent="0.2">
      <c r="B2178" s="33" t="s">
        <v>3044</v>
      </c>
      <c r="C2178" s="33" t="s">
        <v>3045</v>
      </c>
      <c r="D2178" s="35">
        <f>SUMIFS(D2179:D9015,K2179:K9015,"0",B2179:B9015,"5 1 1 1 3 12 31111 6 M59 12100*")-SUMIFS(E2179:E9015,K2179:K9015,"0",B2179:B9015,"5 1 1 1 3 12 31111 6 M59 12100*")</f>
        <v>0</v>
      </c>
      <c r="E2178"/>
      <c r="F2178" s="35">
        <f>SUMIFS(F2179:F9015,K2179:K9015,"0",B2179:B9015,"5 1 1 1 3 12 31111 6 M59 12100*")</f>
        <v>68001.06</v>
      </c>
      <c r="G2178" s="35">
        <f>SUMIFS(G2179:G9015,K2179:K9015,"0",B2179:B9015,"5 1 1 1 3 12 31111 6 M59 12100*")</f>
        <v>0</v>
      </c>
      <c r="H2178" s="35">
        <f t="shared" si="34"/>
        <v>68001.06</v>
      </c>
      <c r="I2178" s="35"/>
      <c r="K2178" t="s">
        <v>15</v>
      </c>
    </row>
    <row r="2179" spans="2:11" ht="16.5" x14ac:dyDescent="0.2">
      <c r="B2179" s="33" t="s">
        <v>3046</v>
      </c>
      <c r="C2179" s="33" t="s">
        <v>648</v>
      </c>
      <c r="D2179" s="35">
        <f>SUMIFS(D2180:D9015,K2180:K9015,"0",B2180:B9015,"5 1 1 1 3 12 31111 6 M59 12100 000132*")-SUMIFS(E2180:E9015,K2180:K9015,"0",B2180:B9015,"5 1 1 1 3 12 31111 6 M59 12100 000132*")</f>
        <v>0</v>
      </c>
      <c r="E2179"/>
      <c r="F2179" s="35">
        <f>SUMIFS(F2180:F9015,K2180:K9015,"0",B2180:B9015,"5 1 1 1 3 12 31111 6 M59 12100 000132*")</f>
        <v>68001.06</v>
      </c>
      <c r="G2179" s="35">
        <f>SUMIFS(G2180:G9015,K2180:K9015,"0",B2180:B9015,"5 1 1 1 3 12 31111 6 M59 12100 000132*")</f>
        <v>0</v>
      </c>
      <c r="H2179" s="35">
        <f t="shared" si="34"/>
        <v>68001.06</v>
      </c>
      <c r="I2179" s="35"/>
      <c r="K2179" t="s">
        <v>15</v>
      </c>
    </row>
    <row r="2180" spans="2:11" ht="16.5" x14ac:dyDescent="0.2">
      <c r="B2180" s="33" t="s">
        <v>3047</v>
      </c>
      <c r="C2180" s="33" t="s">
        <v>650</v>
      </c>
      <c r="D2180" s="35">
        <f>SUMIFS(D2181:D9015,K2181:K9015,"0",B2181:B9015,"5 1 1 1 3 12 31111 6 M59 12100 000132 0000R*")-SUMIFS(E2181:E9015,K2181:K9015,"0",B2181:B9015,"5 1 1 1 3 12 31111 6 M59 12100 000132 0000R*")</f>
        <v>0</v>
      </c>
      <c r="E2180"/>
      <c r="F2180" s="35">
        <f>SUMIFS(F2181:F9015,K2181:K9015,"0",B2181:B9015,"5 1 1 1 3 12 31111 6 M59 12100 000132 0000R*")</f>
        <v>68001.06</v>
      </c>
      <c r="G2180" s="35">
        <f>SUMIFS(G2181:G9015,K2181:K9015,"0",B2181:B9015,"5 1 1 1 3 12 31111 6 M59 12100 000132 0000R*")</f>
        <v>0</v>
      </c>
      <c r="H2180" s="35">
        <f t="shared" ref="H2180:H2243" si="35">D2180 + F2180 - G2180</f>
        <v>68001.06</v>
      </c>
      <c r="I2180" s="35"/>
      <c r="K2180" t="s">
        <v>15</v>
      </c>
    </row>
    <row r="2181" spans="2:11" ht="24.75" x14ac:dyDescent="0.2">
      <c r="B2181" s="33" t="s">
        <v>3048</v>
      </c>
      <c r="C2181" s="33" t="s">
        <v>282</v>
      </c>
      <c r="D2181" s="35">
        <f>SUMIFS(D2182:D9015,K2182:K9015,"0",B2182:B9015,"5 1 1 1 3 12 31111 6 M59 12100 000132 0000R 00001*")-SUMIFS(E2182:E9015,K2182:K9015,"0",B2182:B9015,"5 1 1 1 3 12 31111 6 M59 12100 000132 0000R 00001*")</f>
        <v>0</v>
      </c>
      <c r="E2181"/>
      <c r="F2181" s="35">
        <f>SUMIFS(F2182:F9015,K2182:K9015,"0",B2182:B9015,"5 1 1 1 3 12 31111 6 M59 12100 000132 0000R 00001*")</f>
        <v>68001.06</v>
      </c>
      <c r="G2181" s="35">
        <f>SUMIFS(G2182:G9015,K2182:K9015,"0",B2182:B9015,"5 1 1 1 3 12 31111 6 M59 12100 000132 0000R 00001*")</f>
        <v>0</v>
      </c>
      <c r="H2181" s="35">
        <f t="shared" si="35"/>
        <v>68001.06</v>
      </c>
      <c r="I2181" s="35"/>
      <c r="K2181" t="s">
        <v>15</v>
      </c>
    </row>
    <row r="2182" spans="2:11" ht="24.75" x14ac:dyDescent="0.2">
      <c r="B2182" s="33" t="s">
        <v>3049</v>
      </c>
      <c r="C2182" s="33" t="s">
        <v>2924</v>
      </c>
      <c r="D2182" s="35">
        <f>SUMIFS(D2183:D9015,K2183:K9015,"0",B2183:B9015,"5 1 1 1 3 12 31111 6 M59 12100 000132 0000R 00001 00113*")-SUMIFS(E2183:E9015,K2183:K9015,"0",B2183:B9015,"5 1 1 1 3 12 31111 6 M59 12100 000132 0000R 00001 00113*")</f>
        <v>0</v>
      </c>
      <c r="E2182"/>
      <c r="F2182" s="35">
        <f>SUMIFS(F2183:F9015,K2183:K9015,"0",B2183:B9015,"5 1 1 1 3 12 31111 6 M59 12100 000132 0000R 00001 00113*")</f>
        <v>68001.06</v>
      </c>
      <c r="G2182" s="35">
        <f>SUMIFS(G2183:G9015,K2183:K9015,"0",B2183:B9015,"5 1 1 1 3 12 31111 6 M59 12100 000132 0000R 00001 00113*")</f>
        <v>0</v>
      </c>
      <c r="H2182" s="35">
        <f t="shared" si="35"/>
        <v>68001.06</v>
      </c>
      <c r="I2182" s="35"/>
      <c r="K2182" t="s">
        <v>15</v>
      </c>
    </row>
    <row r="2183" spans="2:11" ht="24.75" x14ac:dyDescent="0.2">
      <c r="B2183" s="33" t="s">
        <v>3050</v>
      </c>
      <c r="C2183" s="33" t="s">
        <v>1051</v>
      </c>
      <c r="D2183" s="35">
        <f>SUMIFS(D2184:D9015,K2184:K9015,"0",B2184:B9015,"5 1 1 1 3 12 31111 6 M59 12100 000132 0000R 00001 00113 015*")-SUMIFS(E2184:E9015,K2184:K9015,"0",B2184:B9015,"5 1 1 1 3 12 31111 6 M59 12100 000132 0000R 00001 00113 015*")</f>
        <v>0</v>
      </c>
      <c r="E2183"/>
      <c r="F2183" s="35">
        <f>SUMIFS(F2184:F9015,K2184:K9015,"0",B2184:B9015,"5 1 1 1 3 12 31111 6 M59 12100 000132 0000R 00001 00113 015*")</f>
        <v>68001.06</v>
      </c>
      <c r="G2183" s="35">
        <f>SUMIFS(G2184:G9015,K2184:K9015,"0",B2184:B9015,"5 1 1 1 3 12 31111 6 M59 12100 000132 0000R 00001 00113 015*")</f>
        <v>0</v>
      </c>
      <c r="H2183" s="35">
        <f t="shared" si="35"/>
        <v>68001.06</v>
      </c>
      <c r="I2183" s="35"/>
      <c r="K2183" t="s">
        <v>15</v>
      </c>
    </row>
    <row r="2184" spans="2:11" ht="33" x14ac:dyDescent="0.2">
      <c r="B2184" s="33" t="s">
        <v>3051</v>
      </c>
      <c r="C2184" s="33" t="s">
        <v>2927</v>
      </c>
      <c r="D2184" s="35">
        <f>SUMIFS(D2185:D9015,K2185:K9015,"0",B2185:B9015,"5 1 1 1 3 12 31111 6 M59 12100 000132 0000R 00001 00113 015 2111100*")-SUMIFS(E2185:E9015,K2185:K9015,"0",B2185:B9015,"5 1 1 1 3 12 31111 6 M59 12100 000132 0000R 00001 00113 015 2111100*")</f>
        <v>0</v>
      </c>
      <c r="E2184"/>
      <c r="F2184" s="35">
        <f>SUMIFS(F2185:F9015,K2185:K9015,"0",B2185:B9015,"5 1 1 1 3 12 31111 6 M59 12100 000132 0000R 00001 00113 015 2111100*")</f>
        <v>68001.06</v>
      </c>
      <c r="G2184" s="35">
        <f>SUMIFS(G2185:G9015,K2185:K9015,"0",B2185:B9015,"5 1 1 1 3 12 31111 6 M59 12100 000132 0000R 00001 00113 015 2111100*")</f>
        <v>0</v>
      </c>
      <c r="H2184" s="35">
        <f t="shared" si="35"/>
        <v>68001.06</v>
      </c>
      <c r="I2184" s="35"/>
      <c r="K2184" t="s">
        <v>15</v>
      </c>
    </row>
    <row r="2185" spans="2:11" ht="33" x14ac:dyDescent="0.2">
      <c r="B2185" s="33" t="s">
        <v>3052</v>
      </c>
      <c r="C2185" s="33" t="s">
        <v>660</v>
      </c>
      <c r="D2185" s="35">
        <f>SUMIFS(D2186:D9015,K2186:K9015,"0",B2186:B9015,"5 1 1 1 3 12 31111 6 M59 12100 000132 0000R 00001 00113 015 2111100 2024*")-SUMIFS(E2186:E9015,K2186:K9015,"0",B2186:B9015,"5 1 1 1 3 12 31111 6 M59 12100 000132 0000R 00001 00113 015 2111100 2024*")</f>
        <v>0</v>
      </c>
      <c r="E2185"/>
      <c r="F2185" s="35">
        <f>SUMIFS(F2186:F9015,K2186:K9015,"0",B2186:B9015,"5 1 1 1 3 12 31111 6 M59 12100 000132 0000R 00001 00113 015 2111100 2024*")</f>
        <v>68001.06</v>
      </c>
      <c r="G2185" s="35">
        <f>SUMIFS(G2186:G9015,K2186:K9015,"0",B2186:B9015,"5 1 1 1 3 12 31111 6 M59 12100 000132 0000R 00001 00113 015 2111100 2024*")</f>
        <v>0</v>
      </c>
      <c r="H2185" s="35">
        <f t="shared" si="35"/>
        <v>68001.06</v>
      </c>
      <c r="I2185" s="35"/>
      <c r="K2185" t="s">
        <v>15</v>
      </c>
    </row>
    <row r="2186" spans="2:11" ht="41.25" x14ac:dyDescent="0.2">
      <c r="B2186" s="33" t="s">
        <v>3053</v>
      </c>
      <c r="C2186" s="33" t="s">
        <v>1056</v>
      </c>
      <c r="D2186" s="35">
        <f>SUMIFS(D2187:D9015,K2187:K9015,"0",B2187:B9015,"5 1 1 1 3 12 31111 6 M59 12100 000132 0000R 00001 00113 015 2111100 2024 CP1TR430*")-SUMIFS(E2187:E9015,K2187:K9015,"0",B2187:B9015,"5 1 1 1 3 12 31111 6 M59 12100 000132 0000R 00001 00113 015 2111100 2024 CP1TR430*")</f>
        <v>0</v>
      </c>
      <c r="E2186"/>
      <c r="F2186" s="35">
        <f>SUMIFS(F2187:F9015,K2187:K9015,"0",B2187:B9015,"5 1 1 1 3 12 31111 6 M59 12100 000132 0000R 00001 00113 015 2111100 2024 CP1TR430*")</f>
        <v>68001.06</v>
      </c>
      <c r="G2186" s="35">
        <f>SUMIFS(G2187:G9015,K2187:K9015,"0",B2187:B9015,"5 1 1 1 3 12 31111 6 M59 12100 000132 0000R 00001 00113 015 2111100 2024 CP1TR430*")</f>
        <v>0</v>
      </c>
      <c r="H2186" s="35">
        <f t="shared" si="35"/>
        <v>68001.06</v>
      </c>
      <c r="I2186" s="35"/>
      <c r="K2186" t="s">
        <v>15</v>
      </c>
    </row>
    <row r="2187" spans="2:11" ht="41.25" x14ac:dyDescent="0.2">
      <c r="B2187" s="33" t="s">
        <v>3054</v>
      </c>
      <c r="C2187" s="33" t="s">
        <v>282</v>
      </c>
      <c r="D2187" s="35">
        <f>SUMIFS(D2188:D9015,K2188:K9015,"0",B2188:B9015,"5 1 1 1 3 12 31111 6 M59 12100 000132 0000R 00001 00113 015 2111100 2024 CP1TR430 001*")-SUMIFS(E2188:E9015,K2188:K9015,"0",B2188:B9015,"5 1 1 1 3 12 31111 6 M59 12100 000132 0000R 00001 00113 015 2111100 2024 CP1TR430 001*")</f>
        <v>0</v>
      </c>
      <c r="E2187"/>
      <c r="F2187" s="35">
        <f>SUMIFS(F2188:F9015,K2188:K9015,"0",B2188:B9015,"5 1 1 1 3 12 31111 6 M59 12100 000132 0000R 00001 00113 015 2111100 2024 CP1TR430 001*")</f>
        <v>68001.06</v>
      </c>
      <c r="G2187" s="35">
        <f>SUMIFS(G2188:G9015,K2188:K9015,"0",B2188:B9015,"5 1 1 1 3 12 31111 6 M59 12100 000132 0000R 00001 00113 015 2111100 2024 CP1TR430 001*")</f>
        <v>0</v>
      </c>
      <c r="H2187" s="35">
        <f t="shared" si="35"/>
        <v>68001.06</v>
      </c>
      <c r="I2187" s="35"/>
      <c r="K2187" t="s">
        <v>15</v>
      </c>
    </row>
    <row r="2188" spans="2:11" ht="33" x14ac:dyDescent="0.2">
      <c r="B2188" s="31" t="s">
        <v>3055</v>
      </c>
      <c r="C2188" s="31" t="s">
        <v>2932</v>
      </c>
      <c r="D2188" s="34">
        <v>0</v>
      </c>
      <c r="E2188" s="34"/>
      <c r="F2188" s="34">
        <v>68001.06</v>
      </c>
      <c r="G2188" s="34">
        <v>0</v>
      </c>
      <c r="H2188" s="34">
        <f t="shared" si="35"/>
        <v>68001.06</v>
      </c>
      <c r="I2188" s="34"/>
      <c r="K2188" t="s">
        <v>38</v>
      </c>
    </row>
    <row r="2189" spans="2:11" ht="16.5" x14ac:dyDescent="0.2">
      <c r="B2189" s="33" t="s">
        <v>3056</v>
      </c>
      <c r="C2189" s="33" t="s">
        <v>1044</v>
      </c>
      <c r="D2189" s="35">
        <f>SUMIFS(D2190:D9015,K2190:K9015,"0",B2190:B9015,"5 1 1 1 3 12 31111 6 M59 19000*")-SUMIFS(E2190:E9015,K2190:K9015,"0",B2190:B9015,"5 1 1 1 3 12 31111 6 M59 19000*")</f>
        <v>0</v>
      </c>
      <c r="E2189"/>
      <c r="F2189" s="35">
        <f>SUMIFS(F2190:F9015,K2190:K9015,"0",B2190:B9015,"5 1 1 1 3 12 31111 6 M59 19000*")</f>
        <v>534659.69999999995</v>
      </c>
      <c r="G2189" s="35">
        <f>SUMIFS(G2190:G9015,K2190:K9015,"0",B2190:B9015,"5 1 1 1 3 12 31111 6 M59 19000*")</f>
        <v>0</v>
      </c>
      <c r="H2189" s="35">
        <f t="shared" si="35"/>
        <v>534659.69999999995</v>
      </c>
      <c r="I2189" s="35"/>
      <c r="K2189" t="s">
        <v>15</v>
      </c>
    </row>
    <row r="2190" spans="2:11" ht="16.5" x14ac:dyDescent="0.2">
      <c r="B2190" s="33" t="s">
        <v>3057</v>
      </c>
      <c r="C2190" s="33" t="s">
        <v>648</v>
      </c>
      <c r="D2190" s="35">
        <f>SUMIFS(D2191:D9015,K2191:K9015,"0",B2191:B9015,"5 1 1 1 3 12 31111 6 M59 19000 000132*")-SUMIFS(E2191:E9015,K2191:K9015,"0",B2191:B9015,"5 1 1 1 3 12 31111 6 M59 19000 000132*")</f>
        <v>0</v>
      </c>
      <c r="E2190"/>
      <c r="F2190" s="35">
        <f>SUMIFS(F2191:F9015,K2191:K9015,"0",B2191:B9015,"5 1 1 1 3 12 31111 6 M59 19000 000132*")</f>
        <v>534659.69999999995</v>
      </c>
      <c r="G2190" s="35">
        <f>SUMIFS(G2191:G9015,K2191:K9015,"0",B2191:B9015,"5 1 1 1 3 12 31111 6 M59 19000 000132*")</f>
        <v>0</v>
      </c>
      <c r="H2190" s="35">
        <f t="shared" si="35"/>
        <v>534659.69999999995</v>
      </c>
      <c r="I2190" s="35"/>
      <c r="K2190" t="s">
        <v>15</v>
      </c>
    </row>
    <row r="2191" spans="2:11" ht="16.5" x14ac:dyDescent="0.2">
      <c r="B2191" s="33" t="s">
        <v>3058</v>
      </c>
      <c r="C2191" s="33" t="s">
        <v>650</v>
      </c>
      <c r="D2191" s="35">
        <f>SUMIFS(D2192:D9015,K2192:K9015,"0",B2192:B9015,"5 1 1 1 3 12 31111 6 M59 19000 000132 0000R*")-SUMIFS(E2192:E9015,K2192:K9015,"0",B2192:B9015,"5 1 1 1 3 12 31111 6 M59 19000 000132 0000R*")</f>
        <v>0</v>
      </c>
      <c r="E2191"/>
      <c r="F2191" s="35">
        <f>SUMIFS(F2192:F9015,K2192:K9015,"0",B2192:B9015,"5 1 1 1 3 12 31111 6 M59 19000 000132 0000R*")</f>
        <v>534659.69999999995</v>
      </c>
      <c r="G2191" s="35">
        <f>SUMIFS(G2192:G9015,K2192:K9015,"0",B2192:B9015,"5 1 1 1 3 12 31111 6 M59 19000 000132 0000R*")</f>
        <v>0</v>
      </c>
      <c r="H2191" s="35">
        <f t="shared" si="35"/>
        <v>534659.69999999995</v>
      </c>
      <c r="I2191" s="35"/>
      <c r="K2191" t="s">
        <v>15</v>
      </c>
    </row>
    <row r="2192" spans="2:11" ht="24.75" x14ac:dyDescent="0.2">
      <c r="B2192" s="33" t="s">
        <v>3059</v>
      </c>
      <c r="C2192" s="33" t="s">
        <v>282</v>
      </c>
      <c r="D2192" s="35">
        <f>SUMIFS(D2193:D9015,K2193:K9015,"0",B2193:B9015,"5 1 1 1 3 12 31111 6 M59 19000 000132 0000R 00001*")-SUMIFS(E2193:E9015,K2193:K9015,"0",B2193:B9015,"5 1 1 1 3 12 31111 6 M59 19000 000132 0000R 00001*")</f>
        <v>0</v>
      </c>
      <c r="E2192"/>
      <c r="F2192" s="35">
        <f>SUMIFS(F2193:F9015,K2193:K9015,"0",B2193:B9015,"5 1 1 1 3 12 31111 6 M59 19000 000132 0000R 00001*")</f>
        <v>534659.69999999995</v>
      </c>
      <c r="G2192" s="35">
        <f>SUMIFS(G2193:G9015,K2193:K9015,"0",B2193:B9015,"5 1 1 1 3 12 31111 6 M59 19000 000132 0000R 00001*")</f>
        <v>0</v>
      </c>
      <c r="H2192" s="35">
        <f t="shared" si="35"/>
        <v>534659.69999999995</v>
      </c>
      <c r="I2192" s="35"/>
      <c r="K2192" t="s">
        <v>15</v>
      </c>
    </row>
    <row r="2193" spans="2:11" ht="24.75" x14ac:dyDescent="0.2">
      <c r="B2193" s="33" t="s">
        <v>3060</v>
      </c>
      <c r="C2193" s="33" t="s">
        <v>2924</v>
      </c>
      <c r="D2193" s="35">
        <f>SUMIFS(D2194:D9015,K2194:K9015,"0",B2194:B9015,"5 1 1 1 3 12 31111 6 M59 19000 000132 0000R 00001 00113*")-SUMIFS(E2194:E9015,K2194:K9015,"0",B2194:B9015,"5 1 1 1 3 12 31111 6 M59 19000 000132 0000R 00001 00113*")</f>
        <v>0</v>
      </c>
      <c r="E2193"/>
      <c r="F2193" s="35">
        <f>SUMIFS(F2194:F9015,K2194:K9015,"0",B2194:B9015,"5 1 1 1 3 12 31111 6 M59 19000 000132 0000R 00001 00113*")</f>
        <v>534659.69999999995</v>
      </c>
      <c r="G2193" s="35">
        <f>SUMIFS(G2194:G9015,K2194:K9015,"0",B2194:B9015,"5 1 1 1 3 12 31111 6 M59 19000 000132 0000R 00001 00113*")</f>
        <v>0</v>
      </c>
      <c r="H2193" s="35">
        <f t="shared" si="35"/>
        <v>534659.69999999995</v>
      </c>
      <c r="I2193" s="35"/>
      <c r="K2193" t="s">
        <v>15</v>
      </c>
    </row>
    <row r="2194" spans="2:11" ht="24.75" x14ac:dyDescent="0.2">
      <c r="B2194" s="33" t="s">
        <v>3061</v>
      </c>
      <c r="C2194" s="33" t="s">
        <v>1051</v>
      </c>
      <c r="D2194" s="35">
        <f>SUMIFS(D2195:D9015,K2195:K9015,"0",B2195:B9015,"5 1 1 1 3 12 31111 6 M59 19000 000132 0000R 00001 00113 015*")-SUMIFS(E2195:E9015,K2195:K9015,"0",B2195:B9015,"5 1 1 1 3 12 31111 6 M59 19000 000132 0000R 00001 00113 015*")</f>
        <v>0</v>
      </c>
      <c r="E2194"/>
      <c r="F2194" s="35">
        <f>SUMIFS(F2195:F9015,K2195:K9015,"0",B2195:B9015,"5 1 1 1 3 12 31111 6 M59 19000 000132 0000R 00001 00113 015*")</f>
        <v>534659.69999999995</v>
      </c>
      <c r="G2194" s="35">
        <f>SUMIFS(G2195:G9015,K2195:K9015,"0",B2195:B9015,"5 1 1 1 3 12 31111 6 M59 19000 000132 0000R 00001 00113 015*")</f>
        <v>0</v>
      </c>
      <c r="H2194" s="35">
        <f t="shared" si="35"/>
        <v>534659.69999999995</v>
      </c>
      <c r="I2194" s="35"/>
      <c r="K2194" t="s">
        <v>15</v>
      </c>
    </row>
    <row r="2195" spans="2:11" ht="33" x14ac:dyDescent="0.2">
      <c r="B2195" s="33" t="s">
        <v>3062</v>
      </c>
      <c r="C2195" s="33" t="s">
        <v>2927</v>
      </c>
      <c r="D2195" s="35">
        <f>SUMIFS(D2196:D9015,K2196:K9015,"0",B2196:B9015,"5 1 1 1 3 12 31111 6 M59 19000 000132 0000R 00001 00113 015 2111100*")-SUMIFS(E2196:E9015,K2196:K9015,"0",B2196:B9015,"5 1 1 1 3 12 31111 6 M59 19000 000132 0000R 00001 00113 015 2111100*")</f>
        <v>0</v>
      </c>
      <c r="E2195"/>
      <c r="F2195" s="35">
        <f>SUMIFS(F2196:F9015,K2196:K9015,"0",B2196:B9015,"5 1 1 1 3 12 31111 6 M59 19000 000132 0000R 00001 00113 015 2111100*")</f>
        <v>534659.69999999995</v>
      </c>
      <c r="G2195" s="35">
        <f>SUMIFS(G2196:G9015,K2196:K9015,"0",B2196:B9015,"5 1 1 1 3 12 31111 6 M59 19000 000132 0000R 00001 00113 015 2111100*")</f>
        <v>0</v>
      </c>
      <c r="H2195" s="35">
        <f t="shared" si="35"/>
        <v>534659.69999999995</v>
      </c>
      <c r="I2195" s="35"/>
      <c r="K2195" t="s">
        <v>15</v>
      </c>
    </row>
    <row r="2196" spans="2:11" ht="33" x14ac:dyDescent="0.2">
      <c r="B2196" s="33" t="s">
        <v>3063</v>
      </c>
      <c r="C2196" s="33" t="s">
        <v>660</v>
      </c>
      <c r="D2196" s="35">
        <f>SUMIFS(D2197:D9015,K2197:K9015,"0",B2197:B9015,"5 1 1 1 3 12 31111 6 M59 19000 000132 0000R 00001 00113 015 2111100 2024*")-SUMIFS(E2197:E9015,K2197:K9015,"0",B2197:B9015,"5 1 1 1 3 12 31111 6 M59 19000 000132 0000R 00001 00113 015 2111100 2024*")</f>
        <v>0</v>
      </c>
      <c r="E2196"/>
      <c r="F2196" s="35">
        <f>SUMIFS(F2197:F9015,K2197:K9015,"0",B2197:B9015,"5 1 1 1 3 12 31111 6 M59 19000 000132 0000R 00001 00113 015 2111100 2024*")</f>
        <v>534659.69999999995</v>
      </c>
      <c r="G2196" s="35">
        <f>SUMIFS(G2197:G9015,K2197:K9015,"0",B2197:B9015,"5 1 1 1 3 12 31111 6 M59 19000 000132 0000R 00001 00113 015 2111100 2024*")</f>
        <v>0</v>
      </c>
      <c r="H2196" s="35">
        <f t="shared" si="35"/>
        <v>534659.69999999995</v>
      </c>
      <c r="I2196" s="35"/>
      <c r="K2196" t="s">
        <v>15</v>
      </c>
    </row>
    <row r="2197" spans="2:11" ht="41.25" x14ac:dyDescent="0.2">
      <c r="B2197" s="33" t="s">
        <v>3064</v>
      </c>
      <c r="C2197" s="33" t="s">
        <v>662</v>
      </c>
      <c r="D2197" s="35">
        <f>SUMIFS(D2198:D9015,K2198:K9015,"0",B2198:B9015,"5 1 1 1 3 12 31111 6 M59 19000 000132 0000R 00001 00113 015 2111100 2024 CP1TM440*")-SUMIFS(E2198:E9015,K2198:K9015,"0",B2198:B9015,"5 1 1 1 3 12 31111 6 M59 19000 000132 0000R 00001 00113 015 2111100 2024 CP1TM440*")</f>
        <v>0</v>
      </c>
      <c r="E2197"/>
      <c r="F2197" s="35">
        <f>SUMIFS(F2198:F9015,K2198:K9015,"0",B2198:B9015,"5 1 1 1 3 12 31111 6 M59 19000 000132 0000R 00001 00113 015 2111100 2024 CP1TM440*")</f>
        <v>534659.69999999995</v>
      </c>
      <c r="G2197" s="35">
        <f>SUMIFS(G2198:G9015,K2198:K9015,"0",B2198:B9015,"5 1 1 1 3 12 31111 6 M59 19000 000132 0000R 00001 00113 015 2111100 2024 CP1TM440*")</f>
        <v>0</v>
      </c>
      <c r="H2197" s="35">
        <f t="shared" si="35"/>
        <v>534659.69999999995</v>
      </c>
      <c r="I2197" s="35"/>
      <c r="K2197" t="s">
        <v>15</v>
      </c>
    </row>
    <row r="2198" spans="2:11" ht="41.25" x14ac:dyDescent="0.2">
      <c r="B2198" s="33" t="s">
        <v>3065</v>
      </c>
      <c r="C2198" s="33" t="s">
        <v>282</v>
      </c>
      <c r="D2198" s="35">
        <f>SUMIFS(D2199:D9015,K2199:K9015,"0",B2199:B9015,"5 1 1 1 3 12 31111 6 M59 19000 000132 0000R 00001 00113 015 2111100 2024 CP1TM440 001*")-SUMIFS(E2199:E9015,K2199:K9015,"0",B2199:B9015,"5 1 1 1 3 12 31111 6 M59 19000 000132 0000R 00001 00113 015 2111100 2024 CP1TM440 001*")</f>
        <v>0</v>
      </c>
      <c r="E2198"/>
      <c r="F2198" s="35">
        <f>SUMIFS(F2199:F9015,K2199:K9015,"0",B2199:B9015,"5 1 1 1 3 12 31111 6 M59 19000 000132 0000R 00001 00113 015 2111100 2024 CP1TM440 001*")</f>
        <v>534659.69999999995</v>
      </c>
      <c r="G2198" s="35">
        <f>SUMIFS(G2199:G9015,K2199:K9015,"0",B2199:B9015,"5 1 1 1 3 12 31111 6 M59 19000 000132 0000R 00001 00113 015 2111100 2024 CP1TM440 001*")</f>
        <v>0</v>
      </c>
      <c r="H2198" s="35">
        <f t="shared" si="35"/>
        <v>534659.69999999995</v>
      </c>
      <c r="I2198" s="35"/>
      <c r="K2198" t="s">
        <v>15</v>
      </c>
    </row>
    <row r="2199" spans="2:11" ht="33" x14ac:dyDescent="0.2">
      <c r="B2199" s="31" t="s">
        <v>3066</v>
      </c>
      <c r="C2199" s="31" t="s">
        <v>2932</v>
      </c>
      <c r="D2199" s="34">
        <v>0</v>
      </c>
      <c r="E2199" s="34"/>
      <c r="F2199" s="34">
        <v>534659.69999999995</v>
      </c>
      <c r="G2199" s="34">
        <v>0</v>
      </c>
      <c r="H2199" s="34">
        <f t="shared" si="35"/>
        <v>534659.69999999995</v>
      </c>
      <c r="I2199" s="34"/>
      <c r="K2199" t="s">
        <v>38</v>
      </c>
    </row>
    <row r="2200" spans="2:11" ht="16.5" x14ac:dyDescent="0.2">
      <c r="B2200" s="33" t="s">
        <v>3067</v>
      </c>
      <c r="C2200" s="33" t="s">
        <v>1044</v>
      </c>
      <c r="D2200" s="35">
        <f>SUMIFS(D2201:D9015,K2201:K9015,"0",B2201:B9015,"5 1 1 1 3 12 31111 6 M59 20000*")-SUMIFS(E2201:E9015,K2201:K9015,"0",B2201:B9015,"5 1 1 1 3 12 31111 6 M59 20000*")</f>
        <v>0</v>
      </c>
      <c r="E2200"/>
      <c r="F2200" s="35">
        <f>SUMIFS(F2201:F9015,K2201:K9015,"0",B2201:B9015,"5 1 1 1 3 12 31111 6 M59 20000*")</f>
        <v>68581.320000000007</v>
      </c>
      <c r="G2200" s="35">
        <f>SUMIFS(G2201:G9015,K2201:K9015,"0",B2201:B9015,"5 1 1 1 3 12 31111 6 M59 20000*")</f>
        <v>0</v>
      </c>
      <c r="H2200" s="35">
        <f t="shared" si="35"/>
        <v>68581.320000000007</v>
      </c>
      <c r="I2200" s="35"/>
      <c r="K2200" t="s">
        <v>15</v>
      </c>
    </row>
    <row r="2201" spans="2:11" ht="16.5" x14ac:dyDescent="0.2">
      <c r="B2201" s="33" t="s">
        <v>3068</v>
      </c>
      <c r="C2201" s="33" t="s">
        <v>648</v>
      </c>
      <c r="D2201" s="35">
        <f>SUMIFS(D2202:D9015,K2202:K9015,"0",B2202:B9015,"5 1 1 1 3 12 31111 6 M59 20000 000132*")-SUMIFS(E2202:E9015,K2202:K9015,"0",B2202:B9015,"5 1 1 1 3 12 31111 6 M59 20000 000132*")</f>
        <v>0</v>
      </c>
      <c r="E2201"/>
      <c r="F2201" s="35">
        <f>SUMIFS(F2202:F9015,K2202:K9015,"0",B2202:B9015,"5 1 1 1 3 12 31111 6 M59 20000 000132*")</f>
        <v>68581.320000000007</v>
      </c>
      <c r="G2201" s="35">
        <f>SUMIFS(G2202:G9015,K2202:K9015,"0",B2202:B9015,"5 1 1 1 3 12 31111 6 M59 20000 000132*")</f>
        <v>0</v>
      </c>
      <c r="H2201" s="35">
        <f t="shared" si="35"/>
        <v>68581.320000000007</v>
      </c>
      <c r="I2201" s="35"/>
      <c r="K2201" t="s">
        <v>15</v>
      </c>
    </row>
    <row r="2202" spans="2:11" ht="16.5" x14ac:dyDescent="0.2">
      <c r="B2202" s="33" t="s">
        <v>3069</v>
      </c>
      <c r="C2202" s="33" t="s">
        <v>650</v>
      </c>
      <c r="D2202" s="35">
        <f>SUMIFS(D2203:D9015,K2203:K9015,"0",B2203:B9015,"5 1 1 1 3 12 31111 6 M59 20000 000132 0000R*")-SUMIFS(E2203:E9015,K2203:K9015,"0",B2203:B9015,"5 1 1 1 3 12 31111 6 M59 20000 000132 0000R*")</f>
        <v>0</v>
      </c>
      <c r="E2202"/>
      <c r="F2202" s="35">
        <f>SUMIFS(F2203:F9015,K2203:K9015,"0",B2203:B9015,"5 1 1 1 3 12 31111 6 M59 20000 000132 0000R*")</f>
        <v>68581.320000000007</v>
      </c>
      <c r="G2202" s="35">
        <f>SUMIFS(G2203:G9015,K2203:K9015,"0",B2203:B9015,"5 1 1 1 3 12 31111 6 M59 20000 000132 0000R*")</f>
        <v>0</v>
      </c>
      <c r="H2202" s="35">
        <f t="shared" si="35"/>
        <v>68581.320000000007</v>
      </c>
      <c r="I2202" s="35"/>
      <c r="K2202" t="s">
        <v>15</v>
      </c>
    </row>
    <row r="2203" spans="2:11" ht="24.75" x14ac:dyDescent="0.2">
      <c r="B2203" s="33" t="s">
        <v>3070</v>
      </c>
      <c r="C2203" s="33" t="s">
        <v>282</v>
      </c>
      <c r="D2203" s="35">
        <f>SUMIFS(D2204:D9015,K2204:K9015,"0",B2204:B9015,"5 1 1 1 3 12 31111 6 M59 20000 000132 0000R 00001*")-SUMIFS(E2204:E9015,K2204:K9015,"0",B2204:B9015,"5 1 1 1 3 12 31111 6 M59 20000 000132 0000R 00001*")</f>
        <v>0</v>
      </c>
      <c r="E2203"/>
      <c r="F2203" s="35">
        <f>SUMIFS(F2204:F9015,K2204:K9015,"0",B2204:B9015,"5 1 1 1 3 12 31111 6 M59 20000 000132 0000R 00001*")</f>
        <v>68581.320000000007</v>
      </c>
      <c r="G2203" s="35">
        <f>SUMIFS(G2204:G9015,K2204:K9015,"0",B2204:B9015,"5 1 1 1 3 12 31111 6 M59 20000 000132 0000R 00001*")</f>
        <v>0</v>
      </c>
      <c r="H2203" s="35">
        <f t="shared" si="35"/>
        <v>68581.320000000007</v>
      </c>
      <c r="I2203" s="35"/>
      <c r="K2203" t="s">
        <v>15</v>
      </c>
    </row>
    <row r="2204" spans="2:11" ht="24.75" x14ac:dyDescent="0.2">
      <c r="B2204" s="33" t="s">
        <v>3071</v>
      </c>
      <c r="C2204" s="33" t="s">
        <v>2924</v>
      </c>
      <c r="D2204" s="35">
        <f>SUMIFS(D2205:D9015,K2205:K9015,"0",B2205:B9015,"5 1 1 1 3 12 31111 6 M59 20000 000132 0000R 00001 00113*")-SUMIFS(E2205:E9015,K2205:K9015,"0",B2205:B9015,"5 1 1 1 3 12 31111 6 M59 20000 000132 0000R 00001 00113*")</f>
        <v>0</v>
      </c>
      <c r="E2204"/>
      <c r="F2204" s="35">
        <f>SUMIFS(F2205:F9015,K2205:K9015,"0",B2205:B9015,"5 1 1 1 3 12 31111 6 M59 20000 000132 0000R 00001 00113*")</f>
        <v>68581.320000000007</v>
      </c>
      <c r="G2204" s="35">
        <f>SUMIFS(G2205:G9015,K2205:K9015,"0",B2205:B9015,"5 1 1 1 3 12 31111 6 M59 20000 000132 0000R 00001 00113*")</f>
        <v>0</v>
      </c>
      <c r="H2204" s="35">
        <f t="shared" si="35"/>
        <v>68581.320000000007</v>
      </c>
      <c r="I2204" s="35"/>
      <c r="K2204" t="s">
        <v>15</v>
      </c>
    </row>
    <row r="2205" spans="2:11" ht="24.75" x14ac:dyDescent="0.2">
      <c r="B2205" s="33" t="s">
        <v>3072</v>
      </c>
      <c r="C2205" s="33" t="s">
        <v>1051</v>
      </c>
      <c r="D2205" s="35">
        <f>SUMIFS(D2206:D9015,K2206:K9015,"0",B2206:B9015,"5 1 1 1 3 12 31111 6 M59 20000 000132 0000R 00001 00113 015*")-SUMIFS(E2206:E9015,K2206:K9015,"0",B2206:B9015,"5 1 1 1 3 12 31111 6 M59 20000 000132 0000R 00001 00113 015*")</f>
        <v>0</v>
      </c>
      <c r="E2205"/>
      <c r="F2205" s="35">
        <f>SUMIFS(F2206:F9015,K2206:K9015,"0",B2206:B9015,"5 1 1 1 3 12 31111 6 M59 20000 000132 0000R 00001 00113 015*")</f>
        <v>68581.320000000007</v>
      </c>
      <c r="G2205" s="35">
        <f>SUMIFS(G2206:G9015,K2206:K9015,"0",B2206:B9015,"5 1 1 1 3 12 31111 6 M59 20000 000132 0000R 00001 00113 015*")</f>
        <v>0</v>
      </c>
      <c r="H2205" s="35">
        <f t="shared" si="35"/>
        <v>68581.320000000007</v>
      </c>
      <c r="I2205" s="35"/>
      <c r="K2205" t="s">
        <v>15</v>
      </c>
    </row>
    <row r="2206" spans="2:11" ht="33" x14ac:dyDescent="0.2">
      <c r="B2206" s="33" t="s">
        <v>3073</v>
      </c>
      <c r="C2206" s="33" t="s">
        <v>2927</v>
      </c>
      <c r="D2206" s="35">
        <f>SUMIFS(D2207:D9015,K2207:K9015,"0",B2207:B9015,"5 1 1 1 3 12 31111 6 M59 20000 000132 0000R 00001 00113 015 2111100*")-SUMIFS(E2207:E9015,K2207:K9015,"0",B2207:B9015,"5 1 1 1 3 12 31111 6 M59 20000 000132 0000R 00001 00113 015 2111100*")</f>
        <v>0</v>
      </c>
      <c r="E2206"/>
      <c r="F2206" s="35">
        <f>SUMIFS(F2207:F9015,K2207:K9015,"0",B2207:B9015,"5 1 1 1 3 12 31111 6 M59 20000 000132 0000R 00001 00113 015 2111100*")</f>
        <v>68581.320000000007</v>
      </c>
      <c r="G2206" s="35">
        <f>SUMIFS(G2207:G9015,K2207:K9015,"0",B2207:B9015,"5 1 1 1 3 12 31111 6 M59 20000 000132 0000R 00001 00113 015 2111100*")</f>
        <v>0</v>
      </c>
      <c r="H2206" s="35">
        <f t="shared" si="35"/>
        <v>68581.320000000007</v>
      </c>
      <c r="I2206" s="35"/>
      <c r="K2206" t="s">
        <v>15</v>
      </c>
    </row>
    <row r="2207" spans="2:11" ht="33" x14ac:dyDescent="0.2">
      <c r="B2207" s="33" t="s">
        <v>3074</v>
      </c>
      <c r="C2207" s="33" t="s">
        <v>660</v>
      </c>
      <c r="D2207" s="35">
        <f>SUMIFS(D2208:D9015,K2208:K9015,"0",B2208:B9015,"5 1 1 1 3 12 31111 6 M59 20000 000132 0000R 00001 00113 015 2111100 2024*")-SUMIFS(E2208:E9015,K2208:K9015,"0",B2208:B9015,"5 1 1 1 3 12 31111 6 M59 20000 000132 0000R 00001 00113 015 2111100 2024*")</f>
        <v>0</v>
      </c>
      <c r="E2207"/>
      <c r="F2207" s="35">
        <f>SUMIFS(F2208:F9015,K2208:K9015,"0",B2208:B9015,"5 1 1 1 3 12 31111 6 M59 20000 000132 0000R 00001 00113 015 2111100 2024*")</f>
        <v>68581.320000000007</v>
      </c>
      <c r="G2207" s="35">
        <f>SUMIFS(G2208:G9015,K2208:K9015,"0",B2208:B9015,"5 1 1 1 3 12 31111 6 M59 20000 000132 0000R 00001 00113 015 2111100 2024*")</f>
        <v>0</v>
      </c>
      <c r="H2207" s="35">
        <f t="shared" si="35"/>
        <v>68581.320000000007</v>
      </c>
      <c r="I2207" s="35"/>
      <c r="K2207" t="s">
        <v>15</v>
      </c>
    </row>
    <row r="2208" spans="2:11" ht="41.25" x14ac:dyDescent="0.2">
      <c r="B2208" s="33" t="s">
        <v>3075</v>
      </c>
      <c r="C2208" s="33" t="s">
        <v>1056</v>
      </c>
      <c r="D2208" s="35">
        <f>SUMIFS(D2209:D9015,K2209:K9015,"0",B2209:B9015,"5 1 1 1 3 12 31111 6 M59 20000 000132 0000R 00001 00113 015 2111100 2024 CP1AF389*")-SUMIFS(E2209:E9015,K2209:K9015,"0",B2209:B9015,"5 1 1 1 3 12 31111 6 M59 20000 000132 0000R 00001 00113 015 2111100 2024 CP1AF389*")</f>
        <v>0</v>
      </c>
      <c r="E2208"/>
      <c r="F2208" s="35">
        <f>SUMIFS(F2209:F9015,K2209:K9015,"0",B2209:B9015,"5 1 1 1 3 12 31111 6 M59 20000 000132 0000R 00001 00113 015 2111100 2024 CP1AF389*")</f>
        <v>68581.320000000007</v>
      </c>
      <c r="G2208" s="35">
        <f>SUMIFS(G2209:G9015,K2209:K9015,"0",B2209:B9015,"5 1 1 1 3 12 31111 6 M59 20000 000132 0000R 00001 00113 015 2111100 2024 CP1AF389*")</f>
        <v>0</v>
      </c>
      <c r="H2208" s="35">
        <f t="shared" si="35"/>
        <v>68581.320000000007</v>
      </c>
      <c r="I2208" s="35"/>
      <c r="K2208" t="s">
        <v>15</v>
      </c>
    </row>
    <row r="2209" spans="2:11" ht="41.25" x14ac:dyDescent="0.2">
      <c r="B2209" s="33" t="s">
        <v>3076</v>
      </c>
      <c r="C2209" s="33" t="s">
        <v>282</v>
      </c>
      <c r="D2209" s="35">
        <f>SUMIFS(D2210:D9015,K2210:K9015,"0",B2210:B9015,"5 1 1 1 3 12 31111 6 M59 20000 000132 0000R 00001 00113 015 2111100 2024 CP1AF389 001*")-SUMIFS(E2210:E9015,K2210:K9015,"0",B2210:B9015,"5 1 1 1 3 12 31111 6 M59 20000 000132 0000R 00001 00113 015 2111100 2024 CP1AF389 001*")</f>
        <v>0</v>
      </c>
      <c r="E2209"/>
      <c r="F2209" s="35">
        <f>SUMIFS(F2210:F9015,K2210:K9015,"0",B2210:B9015,"5 1 1 1 3 12 31111 6 M59 20000 000132 0000R 00001 00113 015 2111100 2024 CP1AF389 001*")</f>
        <v>68581.320000000007</v>
      </c>
      <c r="G2209" s="35">
        <f>SUMIFS(G2210:G9015,K2210:K9015,"0",B2210:B9015,"5 1 1 1 3 12 31111 6 M59 20000 000132 0000R 00001 00113 015 2111100 2024 CP1AF389 001*")</f>
        <v>0</v>
      </c>
      <c r="H2209" s="35">
        <f t="shared" si="35"/>
        <v>68581.320000000007</v>
      </c>
      <c r="I2209" s="35"/>
      <c r="K2209" t="s">
        <v>15</v>
      </c>
    </row>
    <row r="2210" spans="2:11" ht="49.5" x14ac:dyDescent="0.2">
      <c r="B2210" s="33" t="s">
        <v>3077</v>
      </c>
      <c r="C2210" s="33" t="s">
        <v>2932</v>
      </c>
      <c r="D2210" s="35">
        <f>SUMIFS(D2211:D9015,K2211:K9015,"0",B2211:B9015,"5 1 1 1 3 12 31111 6 M59 20000 000132 0000R 00001 00113 015 2111100 2024 CP1AF389 001 0000001*")-SUMIFS(E2211:E9015,K2211:K9015,"0",B2211:B9015,"5 1 1 1 3 12 31111 6 M59 20000 000132 0000R 00001 00113 015 2111100 2024 CP1AF389 001 0000001*")</f>
        <v>0</v>
      </c>
      <c r="E2210"/>
      <c r="F2210" s="35">
        <f>SUMIFS(F2211:F9015,K2211:K9015,"0",B2211:B9015,"5 1 1 1 3 12 31111 6 M59 20000 000132 0000R 00001 00113 015 2111100 2024 CP1AF389 001 0000001*")</f>
        <v>68581.320000000007</v>
      </c>
      <c r="G2210" s="35">
        <f>SUMIFS(G2211:G9015,K2211:K9015,"0",B2211:B9015,"5 1 1 1 3 12 31111 6 M59 20000 000132 0000R 00001 00113 015 2111100 2024 CP1AF389 001 0000001*")</f>
        <v>0</v>
      </c>
      <c r="H2210" s="35">
        <f t="shared" si="35"/>
        <v>68581.320000000007</v>
      </c>
      <c r="I2210" s="35"/>
      <c r="K2210" t="s">
        <v>15</v>
      </c>
    </row>
    <row r="2211" spans="2:11" ht="41.25" x14ac:dyDescent="0.2">
      <c r="B2211" s="31" t="s">
        <v>3078</v>
      </c>
      <c r="C2211" s="31" t="s">
        <v>2284</v>
      </c>
      <c r="D2211" s="34">
        <v>0</v>
      </c>
      <c r="E2211" s="34"/>
      <c r="F2211" s="34">
        <v>68581.320000000007</v>
      </c>
      <c r="G2211" s="34">
        <v>0</v>
      </c>
      <c r="H2211" s="34">
        <f t="shared" si="35"/>
        <v>68581.320000000007</v>
      </c>
      <c r="I2211" s="34"/>
      <c r="K2211" t="s">
        <v>38</v>
      </c>
    </row>
    <row r="2212" spans="2:11" ht="16.5" x14ac:dyDescent="0.2">
      <c r="B2212" s="33" t="s">
        <v>3079</v>
      </c>
      <c r="C2212" s="33" t="s">
        <v>3080</v>
      </c>
      <c r="D2212" s="35">
        <f>SUMIFS(D2213:D9015,K2213:K9015,"0",B2213:B9015,"5 1 1 1 3 12 31111 6 M59 20200*")-SUMIFS(E2213:E9015,K2213:K9015,"0",B2213:B9015,"5 1 1 1 3 12 31111 6 M59 20200*")</f>
        <v>0</v>
      </c>
      <c r="E2212"/>
      <c r="F2212" s="35">
        <f>SUMIFS(F2213:F9015,K2213:K9015,"0",B2213:B9015,"5 1 1 1 3 12 31111 6 M59 20200*")</f>
        <v>695003.23</v>
      </c>
      <c r="G2212" s="35">
        <f>SUMIFS(G2213:G9015,K2213:K9015,"0",B2213:B9015,"5 1 1 1 3 12 31111 6 M59 20200*")</f>
        <v>0</v>
      </c>
      <c r="H2212" s="35">
        <f t="shared" si="35"/>
        <v>695003.23</v>
      </c>
      <c r="I2212" s="35"/>
      <c r="K2212" t="s">
        <v>15</v>
      </c>
    </row>
    <row r="2213" spans="2:11" ht="16.5" x14ac:dyDescent="0.2">
      <c r="B2213" s="33" t="s">
        <v>3081</v>
      </c>
      <c r="C2213" s="33" t="s">
        <v>648</v>
      </c>
      <c r="D2213" s="35">
        <f>SUMIFS(D2214:D9015,K2214:K9015,"0",B2214:B9015,"5 1 1 1 3 12 31111 6 M59 20200 000132*")-SUMIFS(E2214:E9015,K2214:K9015,"0",B2214:B9015,"5 1 1 1 3 12 31111 6 M59 20200 000132*")</f>
        <v>0</v>
      </c>
      <c r="E2213"/>
      <c r="F2213" s="35">
        <f>SUMIFS(F2214:F9015,K2214:K9015,"0",B2214:B9015,"5 1 1 1 3 12 31111 6 M59 20200 000132*")</f>
        <v>695003.23</v>
      </c>
      <c r="G2213" s="35">
        <f>SUMIFS(G2214:G9015,K2214:K9015,"0",B2214:B9015,"5 1 1 1 3 12 31111 6 M59 20200 000132*")</f>
        <v>0</v>
      </c>
      <c r="H2213" s="35">
        <f t="shared" si="35"/>
        <v>695003.23</v>
      </c>
      <c r="I2213" s="35"/>
      <c r="K2213" t="s">
        <v>15</v>
      </c>
    </row>
    <row r="2214" spans="2:11" ht="16.5" x14ac:dyDescent="0.2">
      <c r="B2214" s="33" t="s">
        <v>3082</v>
      </c>
      <c r="C2214" s="33" t="s">
        <v>650</v>
      </c>
      <c r="D2214" s="35">
        <f>SUMIFS(D2215:D9015,K2215:K9015,"0",B2215:B9015,"5 1 1 1 3 12 31111 6 M59 20200 000132 0000R*")-SUMIFS(E2215:E9015,K2215:K9015,"0",B2215:B9015,"5 1 1 1 3 12 31111 6 M59 20200 000132 0000R*")</f>
        <v>0</v>
      </c>
      <c r="E2214"/>
      <c r="F2214" s="35">
        <f>SUMIFS(F2215:F9015,K2215:K9015,"0",B2215:B9015,"5 1 1 1 3 12 31111 6 M59 20200 000132 0000R*")</f>
        <v>695003.23</v>
      </c>
      <c r="G2214" s="35">
        <f>SUMIFS(G2215:G9015,K2215:K9015,"0",B2215:B9015,"5 1 1 1 3 12 31111 6 M59 20200 000132 0000R*")</f>
        <v>0</v>
      </c>
      <c r="H2214" s="35">
        <f t="shared" si="35"/>
        <v>695003.23</v>
      </c>
      <c r="I2214" s="35"/>
      <c r="K2214" t="s">
        <v>15</v>
      </c>
    </row>
    <row r="2215" spans="2:11" ht="24.75" x14ac:dyDescent="0.2">
      <c r="B2215" s="33" t="s">
        <v>3083</v>
      </c>
      <c r="C2215" s="33" t="s">
        <v>282</v>
      </c>
      <c r="D2215" s="35">
        <f>SUMIFS(D2216:D9015,K2216:K9015,"0",B2216:B9015,"5 1 1 1 3 12 31111 6 M59 20200 000132 0000R 00001*")-SUMIFS(E2216:E9015,K2216:K9015,"0",B2216:B9015,"5 1 1 1 3 12 31111 6 M59 20200 000132 0000R 00001*")</f>
        <v>0</v>
      </c>
      <c r="E2215"/>
      <c r="F2215" s="35">
        <f>SUMIFS(F2216:F9015,K2216:K9015,"0",B2216:B9015,"5 1 1 1 3 12 31111 6 M59 20200 000132 0000R 00001*")</f>
        <v>695003.23</v>
      </c>
      <c r="G2215" s="35">
        <f>SUMIFS(G2216:G9015,K2216:K9015,"0",B2216:B9015,"5 1 1 1 3 12 31111 6 M59 20200 000132 0000R 00001*")</f>
        <v>0</v>
      </c>
      <c r="H2215" s="35">
        <f t="shared" si="35"/>
        <v>695003.23</v>
      </c>
      <c r="I2215" s="35"/>
      <c r="K2215" t="s">
        <v>15</v>
      </c>
    </row>
    <row r="2216" spans="2:11" ht="24.75" x14ac:dyDescent="0.2">
      <c r="B2216" s="33" t="s">
        <v>3084</v>
      </c>
      <c r="C2216" s="33" t="s">
        <v>2924</v>
      </c>
      <c r="D2216" s="35">
        <f>SUMIFS(D2217:D9015,K2217:K9015,"0",B2217:B9015,"5 1 1 1 3 12 31111 6 M59 20200 000132 0000R 00001 00113*")-SUMIFS(E2217:E9015,K2217:K9015,"0",B2217:B9015,"5 1 1 1 3 12 31111 6 M59 20200 000132 0000R 00001 00113*")</f>
        <v>0</v>
      </c>
      <c r="E2216"/>
      <c r="F2216" s="35">
        <f>SUMIFS(F2217:F9015,K2217:K9015,"0",B2217:B9015,"5 1 1 1 3 12 31111 6 M59 20200 000132 0000R 00001 00113*")</f>
        <v>695003.23</v>
      </c>
      <c r="G2216" s="35">
        <f>SUMIFS(G2217:G9015,K2217:K9015,"0",B2217:B9015,"5 1 1 1 3 12 31111 6 M59 20200 000132 0000R 00001 00113*")</f>
        <v>0</v>
      </c>
      <c r="H2216" s="35">
        <f t="shared" si="35"/>
        <v>695003.23</v>
      </c>
      <c r="I2216" s="35"/>
      <c r="K2216" t="s">
        <v>15</v>
      </c>
    </row>
    <row r="2217" spans="2:11" ht="24.75" x14ac:dyDescent="0.2">
      <c r="B2217" s="33" t="s">
        <v>3085</v>
      </c>
      <c r="C2217" s="33" t="s">
        <v>1051</v>
      </c>
      <c r="D2217" s="35">
        <f>SUMIFS(D2218:D9015,K2218:K9015,"0",B2218:B9015,"5 1 1 1 3 12 31111 6 M59 20200 000132 0000R 00001 00113 015*")-SUMIFS(E2218:E9015,K2218:K9015,"0",B2218:B9015,"5 1 1 1 3 12 31111 6 M59 20200 000132 0000R 00001 00113 015*")</f>
        <v>0</v>
      </c>
      <c r="E2217"/>
      <c r="F2217" s="35">
        <f>SUMIFS(F2218:F9015,K2218:K9015,"0",B2218:B9015,"5 1 1 1 3 12 31111 6 M59 20200 000132 0000R 00001 00113 015*")</f>
        <v>695003.23</v>
      </c>
      <c r="G2217" s="35">
        <f>SUMIFS(G2218:G9015,K2218:K9015,"0",B2218:B9015,"5 1 1 1 3 12 31111 6 M59 20200 000132 0000R 00001 00113 015*")</f>
        <v>0</v>
      </c>
      <c r="H2217" s="35">
        <f t="shared" si="35"/>
        <v>695003.23</v>
      </c>
      <c r="I2217" s="35"/>
      <c r="K2217" t="s">
        <v>15</v>
      </c>
    </row>
    <row r="2218" spans="2:11" ht="33" x14ac:dyDescent="0.2">
      <c r="B2218" s="33" t="s">
        <v>3086</v>
      </c>
      <c r="C2218" s="33" t="s">
        <v>2927</v>
      </c>
      <c r="D2218" s="35">
        <f>SUMIFS(D2219:D9015,K2219:K9015,"0",B2219:B9015,"5 1 1 1 3 12 31111 6 M59 20200 000132 0000R 00001 00113 015 2111100*")-SUMIFS(E2219:E9015,K2219:K9015,"0",B2219:B9015,"5 1 1 1 3 12 31111 6 M59 20200 000132 0000R 00001 00113 015 2111100*")</f>
        <v>0</v>
      </c>
      <c r="E2218"/>
      <c r="F2218" s="35">
        <f>SUMIFS(F2219:F9015,K2219:K9015,"0",B2219:B9015,"5 1 1 1 3 12 31111 6 M59 20200 000132 0000R 00001 00113 015 2111100*")</f>
        <v>695003.23</v>
      </c>
      <c r="G2218" s="35">
        <f>SUMIFS(G2219:G9015,K2219:K9015,"0",B2219:B9015,"5 1 1 1 3 12 31111 6 M59 20200 000132 0000R 00001 00113 015 2111100*")</f>
        <v>0</v>
      </c>
      <c r="H2218" s="35">
        <f t="shared" si="35"/>
        <v>695003.23</v>
      </c>
      <c r="I2218" s="35"/>
      <c r="K2218" t="s">
        <v>15</v>
      </c>
    </row>
    <row r="2219" spans="2:11" ht="33" x14ac:dyDescent="0.2">
      <c r="B2219" s="33" t="s">
        <v>3087</v>
      </c>
      <c r="C2219" s="33" t="s">
        <v>660</v>
      </c>
      <c r="D2219" s="35">
        <f>SUMIFS(D2220:D9015,K2220:K9015,"0",B2220:B9015,"5 1 1 1 3 12 31111 6 M59 20200 000132 0000R 00001 00113 015 2111100 2024*")-SUMIFS(E2220:E9015,K2220:K9015,"0",B2220:B9015,"5 1 1 1 3 12 31111 6 M59 20200 000132 0000R 00001 00113 015 2111100 2024*")</f>
        <v>0</v>
      </c>
      <c r="E2219"/>
      <c r="F2219" s="35">
        <f>SUMIFS(F2220:F9015,K2220:K9015,"0",B2220:B9015,"5 1 1 1 3 12 31111 6 M59 20200 000132 0000R 00001 00113 015 2111100 2024*")</f>
        <v>695003.23</v>
      </c>
      <c r="G2219" s="35">
        <f>SUMIFS(G2220:G9015,K2220:K9015,"0",B2220:B9015,"5 1 1 1 3 12 31111 6 M59 20200 000132 0000R 00001 00113 015 2111100 2024*")</f>
        <v>0</v>
      </c>
      <c r="H2219" s="35">
        <f t="shared" si="35"/>
        <v>695003.23</v>
      </c>
      <c r="I2219" s="35"/>
      <c r="K2219" t="s">
        <v>15</v>
      </c>
    </row>
    <row r="2220" spans="2:11" ht="33" x14ac:dyDescent="0.2">
      <c r="B2220" s="33" t="s">
        <v>3088</v>
      </c>
      <c r="C2220" s="33" t="s">
        <v>662</v>
      </c>
      <c r="D2220" s="35">
        <f>SUMIFS(D2221:D9015,K2221:K9015,"0",B2221:B9015,"5 1 1 1 3 12 31111 6 M59 20200 000132 0000R 00001 00113 015 2111100 2024 CP1DI411*")-SUMIFS(E2221:E9015,K2221:K9015,"0",B2221:B9015,"5 1 1 1 3 12 31111 6 M59 20200 000132 0000R 00001 00113 015 2111100 2024 CP1DI411*")</f>
        <v>0</v>
      </c>
      <c r="E2220"/>
      <c r="F2220" s="35">
        <f>SUMIFS(F2221:F9015,K2221:K9015,"0",B2221:B9015,"5 1 1 1 3 12 31111 6 M59 20200 000132 0000R 00001 00113 015 2111100 2024 CP1DI411*")</f>
        <v>695003.23</v>
      </c>
      <c r="G2220" s="35">
        <f>SUMIFS(G2221:G9015,K2221:K9015,"0",B2221:B9015,"5 1 1 1 3 12 31111 6 M59 20200 000132 0000R 00001 00113 015 2111100 2024 CP1DI411*")</f>
        <v>0</v>
      </c>
      <c r="H2220" s="35">
        <f t="shared" si="35"/>
        <v>695003.23</v>
      </c>
      <c r="I2220" s="35"/>
      <c r="K2220" t="s">
        <v>15</v>
      </c>
    </row>
    <row r="2221" spans="2:11" ht="41.25" x14ac:dyDescent="0.2">
      <c r="B2221" s="33" t="s">
        <v>3089</v>
      </c>
      <c r="C2221" s="33" t="s">
        <v>282</v>
      </c>
      <c r="D2221" s="35">
        <f>SUMIFS(D2222:D9015,K2222:K9015,"0",B2222:B9015,"5 1 1 1 3 12 31111 6 M59 20200 000132 0000R 00001 00113 015 2111100 2024 CP1DI411 001*")-SUMIFS(E2222:E9015,K2222:K9015,"0",B2222:B9015,"5 1 1 1 3 12 31111 6 M59 20200 000132 0000R 00001 00113 015 2111100 2024 CP1DI411 001*")</f>
        <v>0</v>
      </c>
      <c r="E2221"/>
      <c r="F2221" s="35">
        <f>SUMIFS(F2222:F9015,K2222:K9015,"0",B2222:B9015,"5 1 1 1 3 12 31111 6 M59 20200 000132 0000R 00001 00113 015 2111100 2024 CP1DI411 001*")</f>
        <v>695003.23</v>
      </c>
      <c r="G2221" s="35">
        <f>SUMIFS(G2222:G9015,K2222:K9015,"0",B2222:B9015,"5 1 1 1 3 12 31111 6 M59 20200 000132 0000R 00001 00113 015 2111100 2024 CP1DI411 001*")</f>
        <v>0</v>
      </c>
      <c r="H2221" s="35">
        <f t="shared" si="35"/>
        <v>695003.23</v>
      </c>
      <c r="I2221" s="35"/>
      <c r="K2221" t="s">
        <v>15</v>
      </c>
    </row>
    <row r="2222" spans="2:11" ht="33" x14ac:dyDescent="0.2">
      <c r="B2222" s="31" t="s">
        <v>3090</v>
      </c>
      <c r="C2222" s="31" t="s">
        <v>2932</v>
      </c>
      <c r="D2222" s="34">
        <v>0</v>
      </c>
      <c r="E2222" s="34"/>
      <c r="F2222" s="34">
        <v>695003.23</v>
      </c>
      <c r="G2222" s="34">
        <v>0</v>
      </c>
      <c r="H2222" s="34">
        <f t="shared" si="35"/>
        <v>695003.23</v>
      </c>
      <c r="I2222" s="34"/>
      <c r="K2222" t="s">
        <v>38</v>
      </c>
    </row>
    <row r="2223" spans="2:11" ht="16.5" x14ac:dyDescent="0.2">
      <c r="B2223" s="33" t="s">
        <v>3091</v>
      </c>
      <c r="C2223" s="33" t="s">
        <v>1061</v>
      </c>
      <c r="D2223" s="35">
        <f>SUMIFS(D2224:D9015,K2224:K9015,"0",B2224:B9015,"5 1 1 1 3 12 31111 6 M59 20300*")-SUMIFS(E2224:E9015,K2224:K9015,"0",B2224:B9015,"5 1 1 1 3 12 31111 6 M59 20300*")</f>
        <v>0</v>
      </c>
      <c r="E2223"/>
      <c r="F2223" s="35">
        <f>SUMIFS(F2224:F9015,K2224:K9015,"0",B2224:B9015,"5 1 1 1 3 12 31111 6 M59 20300*")</f>
        <v>1156929.77</v>
      </c>
      <c r="G2223" s="35">
        <f>SUMIFS(G2224:G9015,K2224:K9015,"0",B2224:B9015,"5 1 1 1 3 12 31111 6 M59 20300*")</f>
        <v>0</v>
      </c>
      <c r="H2223" s="35">
        <f t="shared" si="35"/>
        <v>1156929.77</v>
      </c>
      <c r="I2223" s="35"/>
      <c r="K2223" t="s">
        <v>15</v>
      </c>
    </row>
    <row r="2224" spans="2:11" ht="16.5" x14ac:dyDescent="0.2">
      <c r="B2224" s="33" t="s">
        <v>3092</v>
      </c>
      <c r="C2224" s="33" t="s">
        <v>648</v>
      </c>
      <c r="D2224" s="35">
        <f>SUMIFS(D2225:D9015,K2225:K9015,"0",B2225:B9015,"5 1 1 1 3 12 31111 6 M59 20300 000132*")-SUMIFS(E2225:E9015,K2225:K9015,"0",B2225:B9015,"5 1 1 1 3 12 31111 6 M59 20300 000132*")</f>
        <v>0</v>
      </c>
      <c r="E2224"/>
      <c r="F2224" s="35">
        <f>SUMIFS(F2225:F9015,K2225:K9015,"0",B2225:B9015,"5 1 1 1 3 12 31111 6 M59 20300 000132*")</f>
        <v>1156929.77</v>
      </c>
      <c r="G2224" s="35">
        <f>SUMIFS(G2225:G9015,K2225:K9015,"0",B2225:B9015,"5 1 1 1 3 12 31111 6 M59 20300 000132*")</f>
        <v>0</v>
      </c>
      <c r="H2224" s="35">
        <f t="shared" si="35"/>
        <v>1156929.77</v>
      </c>
      <c r="I2224" s="35"/>
      <c r="K2224" t="s">
        <v>15</v>
      </c>
    </row>
    <row r="2225" spans="2:11" ht="16.5" x14ac:dyDescent="0.2">
      <c r="B2225" s="33" t="s">
        <v>3093</v>
      </c>
      <c r="C2225" s="33" t="s">
        <v>650</v>
      </c>
      <c r="D2225" s="35">
        <f>SUMIFS(D2226:D9015,K2226:K9015,"0",B2226:B9015,"5 1 1 1 3 12 31111 6 M59 20300 000132 0000R*")-SUMIFS(E2226:E9015,K2226:K9015,"0",B2226:B9015,"5 1 1 1 3 12 31111 6 M59 20300 000132 0000R*")</f>
        <v>0</v>
      </c>
      <c r="E2225"/>
      <c r="F2225" s="35">
        <f>SUMIFS(F2226:F9015,K2226:K9015,"0",B2226:B9015,"5 1 1 1 3 12 31111 6 M59 20300 000132 0000R*")</f>
        <v>1156929.77</v>
      </c>
      <c r="G2225" s="35">
        <f>SUMIFS(G2226:G9015,K2226:K9015,"0",B2226:B9015,"5 1 1 1 3 12 31111 6 M59 20300 000132 0000R*")</f>
        <v>0</v>
      </c>
      <c r="H2225" s="35">
        <f t="shared" si="35"/>
        <v>1156929.77</v>
      </c>
      <c r="I2225" s="35"/>
      <c r="K2225" t="s">
        <v>15</v>
      </c>
    </row>
    <row r="2226" spans="2:11" ht="24.75" x14ac:dyDescent="0.2">
      <c r="B2226" s="33" t="s">
        <v>3094</v>
      </c>
      <c r="C2226" s="33" t="s">
        <v>282</v>
      </c>
      <c r="D2226" s="35">
        <f>SUMIFS(D2227:D9015,K2227:K9015,"0",B2227:B9015,"5 1 1 1 3 12 31111 6 M59 20300 000132 0000R 00001*")-SUMIFS(E2227:E9015,K2227:K9015,"0",B2227:B9015,"5 1 1 1 3 12 31111 6 M59 20300 000132 0000R 00001*")</f>
        <v>0</v>
      </c>
      <c r="E2226"/>
      <c r="F2226" s="35">
        <f>SUMIFS(F2227:F9015,K2227:K9015,"0",B2227:B9015,"5 1 1 1 3 12 31111 6 M59 20300 000132 0000R 00001*")</f>
        <v>1156929.77</v>
      </c>
      <c r="G2226" s="35">
        <f>SUMIFS(G2227:G9015,K2227:K9015,"0",B2227:B9015,"5 1 1 1 3 12 31111 6 M59 20300 000132 0000R 00001*")</f>
        <v>0</v>
      </c>
      <c r="H2226" s="35">
        <f t="shared" si="35"/>
        <v>1156929.77</v>
      </c>
      <c r="I2226" s="35"/>
      <c r="K2226" t="s">
        <v>15</v>
      </c>
    </row>
    <row r="2227" spans="2:11" ht="24.75" x14ac:dyDescent="0.2">
      <c r="B2227" s="33" t="s">
        <v>3095</v>
      </c>
      <c r="C2227" s="33" t="s">
        <v>2924</v>
      </c>
      <c r="D2227" s="35">
        <f>SUMIFS(D2228:D9015,K2228:K9015,"0",B2228:B9015,"5 1 1 1 3 12 31111 6 M59 20300 000132 0000R 00001 00113*")-SUMIFS(E2228:E9015,K2228:K9015,"0",B2228:B9015,"5 1 1 1 3 12 31111 6 M59 20300 000132 0000R 00001 00113*")</f>
        <v>0</v>
      </c>
      <c r="E2227"/>
      <c r="F2227" s="35">
        <f>SUMIFS(F2228:F9015,K2228:K9015,"0",B2228:B9015,"5 1 1 1 3 12 31111 6 M59 20300 000132 0000R 00001 00113*")</f>
        <v>1156929.77</v>
      </c>
      <c r="G2227" s="35">
        <f>SUMIFS(G2228:G9015,K2228:K9015,"0",B2228:B9015,"5 1 1 1 3 12 31111 6 M59 20300 000132 0000R 00001 00113*")</f>
        <v>0</v>
      </c>
      <c r="H2227" s="35">
        <f t="shared" si="35"/>
        <v>1156929.77</v>
      </c>
      <c r="I2227" s="35"/>
      <c r="K2227" t="s">
        <v>15</v>
      </c>
    </row>
    <row r="2228" spans="2:11" ht="24.75" x14ac:dyDescent="0.2">
      <c r="B2228" s="33" t="s">
        <v>3096</v>
      </c>
      <c r="C2228" s="33" t="s">
        <v>1051</v>
      </c>
      <c r="D2228" s="35">
        <f>SUMIFS(D2229:D9015,K2229:K9015,"0",B2229:B9015,"5 1 1 1 3 12 31111 6 M59 20300 000132 0000R 00001 00113 015*")-SUMIFS(E2229:E9015,K2229:K9015,"0",B2229:B9015,"5 1 1 1 3 12 31111 6 M59 20300 000132 0000R 00001 00113 015*")</f>
        <v>0</v>
      </c>
      <c r="E2228"/>
      <c r="F2228" s="35">
        <f>SUMIFS(F2229:F9015,K2229:K9015,"0",B2229:B9015,"5 1 1 1 3 12 31111 6 M59 20300 000132 0000R 00001 00113 015*")</f>
        <v>1156929.77</v>
      </c>
      <c r="G2228" s="35">
        <f>SUMIFS(G2229:G9015,K2229:K9015,"0",B2229:B9015,"5 1 1 1 3 12 31111 6 M59 20300 000132 0000R 00001 00113 015*")</f>
        <v>0</v>
      </c>
      <c r="H2228" s="35">
        <f t="shared" si="35"/>
        <v>1156929.77</v>
      </c>
      <c r="I2228" s="35"/>
      <c r="K2228" t="s">
        <v>15</v>
      </c>
    </row>
    <row r="2229" spans="2:11" ht="33" x14ac:dyDescent="0.2">
      <c r="B2229" s="33" t="s">
        <v>3097</v>
      </c>
      <c r="C2229" s="33" t="s">
        <v>2927</v>
      </c>
      <c r="D2229" s="35">
        <f>SUMIFS(D2230:D9015,K2230:K9015,"0",B2230:B9015,"5 1 1 1 3 12 31111 6 M59 20300 000132 0000R 00001 00113 015 2111100*")-SUMIFS(E2230:E9015,K2230:K9015,"0",B2230:B9015,"5 1 1 1 3 12 31111 6 M59 20300 000132 0000R 00001 00113 015 2111100*")</f>
        <v>0</v>
      </c>
      <c r="E2229"/>
      <c r="F2229" s="35">
        <f>SUMIFS(F2230:F9015,K2230:K9015,"0",B2230:B9015,"5 1 1 1 3 12 31111 6 M59 20300 000132 0000R 00001 00113 015 2111100*")</f>
        <v>1156929.77</v>
      </c>
      <c r="G2229" s="35">
        <f>SUMIFS(G2230:G9015,K2230:K9015,"0",B2230:B9015,"5 1 1 1 3 12 31111 6 M59 20300 000132 0000R 00001 00113 015 2111100*")</f>
        <v>0</v>
      </c>
      <c r="H2229" s="35">
        <f t="shared" si="35"/>
        <v>1156929.77</v>
      </c>
      <c r="I2229" s="35"/>
      <c r="K2229" t="s">
        <v>15</v>
      </c>
    </row>
    <row r="2230" spans="2:11" ht="33" x14ac:dyDescent="0.2">
      <c r="B2230" s="33" t="s">
        <v>3098</v>
      </c>
      <c r="C2230" s="33" t="s">
        <v>660</v>
      </c>
      <c r="D2230" s="35">
        <f>SUMIFS(D2231:D9015,K2231:K9015,"0",B2231:B9015,"5 1 1 1 3 12 31111 6 M59 20300 000132 0000R 00001 00113 015 2111100 2024*")-SUMIFS(E2231:E9015,K2231:K9015,"0",B2231:B9015,"5 1 1 1 3 12 31111 6 M59 20300 000132 0000R 00001 00113 015 2111100 2024*")</f>
        <v>0</v>
      </c>
      <c r="E2230"/>
      <c r="F2230" s="35">
        <f>SUMIFS(F2231:F9015,K2231:K9015,"0",B2231:B9015,"5 1 1 1 3 12 31111 6 M59 20300 000132 0000R 00001 00113 015 2111100 2024*")</f>
        <v>1156929.77</v>
      </c>
      <c r="G2230" s="35">
        <f>SUMIFS(G2231:G9015,K2231:K9015,"0",B2231:B9015,"5 1 1 1 3 12 31111 6 M59 20300 000132 0000R 00001 00113 015 2111100 2024*")</f>
        <v>0</v>
      </c>
      <c r="H2230" s="35">
        <f t="shared" si="35"/>
        <v>1156929.77</v>
      </c>
      <c r="I2230" s="35"/>
      <c r="K2230" t="s">
        <v>15</v>
      </c>
    </row>
    <row r="2231" spans="2:11" ht="41.25" x14ac:dyDescent="0.2">
      <c r="B2231" s="33" t="s">
        <v>3099</v>
      </c>
      <c r="C2231" s="33" t="s">
        <v>662</v>
      </c>
      <c r="D2231" s="35">
        <f>SUMIFS(D2232:D9015,K2232:K9015,"0",B2232:B9015,"5 1 1 1 3 12 31111 6 M59 20300 000132 0000R 00001 00113 015 2111100 2024 CP1DE415*")-SUMIFS(E2232:E9015,K2232:K9015,"0",B2232:B9015,"5 1 1 1 3 12 31111 6 M59 20300 000132 0000R 00001 00113 015 2111100 2024 CP1DE415*")</f>
        <v>0</v>
      </c>
      <c r="E2231"/>
      <c r="F2231" s="35">
        <f>SUMIFS(F2232:F9015,K2232:K9015,"0",B2232:B9015,"5 1 1 1 3 12 31111 6 M59 20300 000132 0000R 00001 00113 015 2111100 2024 CP1DE415*")</f>
        <v>1156929.77</v>
      </c>
      <c r="G2231" s="35">
        <f>SUMIFS(G2232:G9015,K2232:K9015,"0",B2232:B9015,"5 1 1 1 3 12 31111 6 M59 20300 000132 0000R 00001 00113 015 2111100 2024 CP1DE415*")</f>
        <v>0</v>
      </c>
      <c r="H2231" s="35">
        <f t="shared" si="35"/>
        <v>1156929.77</v>
      </c>
      <c r="I2231" s="35"/>
      <c r="K2231" t="s">
        <v>15</v>
      </c>
    </row>
    <row r="2232" spans="2:11" ht="41.25" x14ac:dyDescent="0.2">
      <c r="B2232" s="33" t="s">
        <v>3100</v>
      </c>
      <c r="C2232" s="33" t="s">
        <v>282</v>
      </c>
      <c r="D2232" s="35">
        <f>SUMIFS(D2233:D9015,K2233:K9015,"0",B2233:B9015,"5 1 1 1 3 12 31111 6 M59 20300 000132 0000R 00001 00113 015 2111100 2024 CP1DE415 001*")-SUMIFS(E2233:E9015,K2233:K9015,"0",B2233:B9015,"5 1 1 1 3 12 31111 6 M59 20300 000132 0000R 00001 00113 015 2111100 2024 CP1DE415 001*")</f>
        <v>0</v>
      </c>
      <c r="E2232"/>
      <c r="F2232" s="35">
        <f>SUMIFS(F2233:F9015,K2233:K9015,"0",B2233:B9015,"5 1 1 1 3 12 31111 6 M59 20300 000132 0000R 00001 00113 015 2111100 2024 CP1DE415 001*")</f>
        <v>1156929.77</v>
      </c>
      <c r="G2232" s="35">
        <f>SUMIFS(G2233:G9015,K2233:K9015,"0",B2233:B9015,"5 1 1 1 3 12 31111 6 M59 20300 000132 0000R 00001 00113 015 2111100 2024 CP1DE415 001*")</f>
        <v>0</v>
      </c>
      <c r="H2232" s="35">
        <f t="shared" si="35"/>
        <v>1156929.77</v>
      </c>
      <c r="I2232" s="35"/>
      <c r="K2232" t="s">
        <v>15</v>
      </c>
    </row>
    <row r="2233" spans="2:11" ht="41.25" x14ac:dyDescent="0.2">
      <c r="B2233" s="31" t="s">
        <v>3101</v>
      </c>
      <c r="C2233" s="31" t="s">
        <v>2932</v>
      </c>
      <c r="D2233" s="34">
        <v>0</v>
      </c>
      <c r="E2233" s="34"/>
      <c r="F2233" s="34">
        <v>1156929.77</v>
      </c>
      <c r="G2233" s="34">
        <v>0</v>
      </c>
      <c r="H2233" s="34">
        <f t="shared" si="35"/>
        <v>1156929.77</v>
      </c>
      <c r="I2233" s="34"/>
      <c r="K2233" t="s">
        <v>38</v>
      </c>
    </row>
    <row r="2234" spans="2:11" ht="16.5" x14ac:dyDescent="0.2">
      <c r="B2234" s="33" t="s">
        <v>3102</v>
      </c>
      <c r="C2234" s="33" t="s">
        <v>3103</v>
      </c>
      <c r="D2234" s="35">
        <f>SUMIFS(D2235:D9015,K2235:K9015,"0",B2235:B9015,"5 1 1 1 3 12 31111 6 M59 20400*")-SUMIFS(E2235:E9015,K2235:K9015,"0",B2235:B9015,"5 1 1 1 3 12 31111 6 M59 20400*")</f>
        <v>0</v>
      </c>
      <c r="E2234"/>
      <c r="F2234" s="35">
        <f>SUMIFS(F2235:F9015,K2235:K9015,"0",B2235:B9015,"5 1 1 1 3 12 31111 6 M59 20400*")</f>
        <v>487562.32</v>
      </c>
      <c r="G2234" s="35">
        <f>SUMIFS(G2235:G9015,K2235:K9015,"0",B2235:B9015,"5 1 1 1 3 12 31111 6 M59 20400*")</f>
        <v>0</v>
      </c>
      <c r="H2234" s="35">
        <f t="shared" si="35"/>
        <v>487562.32</v>
      </c>
      <c r="I2234" s="35"/>
      <c r="K2234" t="s">
        <v>15</v>
      </c>
    </row>
    <row r="2235" spans="2:11" ht="16.5" x14ac:dyDescent="0.2">
      <c r="B2235" s="33" t="s">
        <v>3104</v>
      </c>
      <c r="C2235" s="33" t="s">
        <v>648</v>
      </c>
      <c r="D2235" s="35">
        <f>SUMIFS(D2236:D9015,K2236:K9015,"0",B2236:B9015,"5 1 1 1 3 12 31111 6 M59 20400 000132*")-SUMIFS(E2236:E9015,K2236:K9015,"0",B2236:B9015,"5 1 1 1 3 12 31111 6 M59 20400 000132*")</f>
        <v>0</v>
      </c>
      <c r="E2235"/>
      <c r="F2235" s="35">
        <f>SUMIFS(F2236:F9015,K2236:K9015,"0",B2236:B9015,"5 1 1 1 3 12 31111 6 M59 20400 000132*")</f>
        <v>487562.32</v>
      </c>
      <c r="G2235" s="35">
        <f>SUMIFS(G2236:G9015,K2236:K9015,"0",B2236:B9015,"5 1 1 1 3 12 31111 6 M59 20400 000132*")</f>
        <v>0</v>
      </c>
      <c r="H2235" s="35">
        <f t="shared" si="35"/>
        <v>487562.32</v>
      </c>
      <c r="I2235" s="35"/>
      <c r="K2235" t="s">
        <v>15</v>
      </c>
    </row>
    <row r="2236" spans="2:11" ht="16.5" x14ac:dyDescent="0.2">
      <c r="B2236" s="33" t="s">
        <v>3105</v>
      </c>
      <c r="C2236" s="33" t="s">
        <v>650</v>
      </c>
      <c r="D2236" s="35">
        <f>SUMIFS(D2237:D9015,K2237:K9015,"0",B2237:B9015,"5 1 1 1 3 12 31111 6 M59 20400 000132 0000R*")-SUMIFS(E2237:E9015,K2237:K9015,"0",B2237:B9015,"5 1 1 1 3 12 31111 6 M59 20400 000132 0000R*")</f>
        <v>0</v>
      </c>
      <c r="E2236"/>
      <c r="F2236" s="35">
        <f>SUMIFS(F2237:F9015,K2237:K9015,"0",B2237:B9015,"5 1 1 1 3 12 31111 6 M59 20400 000132 0000R*")</f>
        <v>487562.32</v>
      </c>
      <c r="G2236" s="35">
        <f>SUMIFS(G2237:G9015,K2237:K9015,"0",B2237:B9015,"5 1 1 1 3 12 31111 6 M59 20400 000132 0000R*")</f>
        <v>0</v>
      </c>
      <c r="H2236" s="35">
        <f t="shared" si="35"/>
        <v>487562.32</v>
      </c>
      <c r="I2236" s="35"/>
      <c r="K2236" t="s">
        <v>15</v>
      </c>
    </row>
    <row r="2237" spans="2:11" ht="24.75" x14ac:dyDescent="0.2">
      <c r="B2237" s="33" t="s">
        <v>3106</v>
      </c>
      <c r="C2237" s="33" t="s">
        <v>282</v>
      </c>
      <c r="D2237" s="35">
        <f>SUMIFS(D2238:D9015,K2238:K9015,"0",B2238:B9015,"5 1 1 1 3 12 31111 6 M59 20400 000132 0000R 00001*")-SUMIFS(E2238:E9015,K2238:K9015,"0",B2238:B9015,"5 1 1 1 3 12 31111 6 M59 20400 000132 0000R 00001*")</f>
        <v>0</v>
      </c>
      <c r="E2237"/>
      <c r="F2237" s="35">
        <f>SUMIFS(F2238:F9015,K2238:K9015,"0",B2238:B9015,"5 1 1 1 3 12 31111 6 M59 20400 000132 0000R 00001*")</f>
        <v>487562.32</v>
      </c>
      <c r="G2237" s="35">
        <f>SUMIFS(G2238:G9015,K2238:K9015,"0",B2238:B9015,"5 1 1 1 3 12 31111 6 M59 20400 000132 0000R 00001*")</f>
        <v>0</v>
      </c>
      <c r="H2237" s="35">
        <f t="shared" si="35"/>
        <v>487562.32</v>
      </c>
      <c r="I2237" s="35"/>
      <c r="K2237" t="s">
        <v>15</v>
      </c>
    </row>
    <row r="2238" spans="2:11" ht="24.75" x14ac:dyDescent="0.2">
      <c r="B2238" s="33" t="s">
        <v>3107</v>
      </c>
      <c r="C2238" s="33" t="s">
        <v>2924</v>
      </c>
      <c r="D2238" s="35">
        <f>SUMIFS(D2239:D9015,K2239:K9015,"0",B2239:B9015,"5 1 1 1 3 12 31111 6 M59 20400 000132 0000R 00001 00113*")-SUMIFS(E2239:E9015,K2239:K9015,"0",B2239:B9015,"5 1 1 1 3 12 31111 6 M59 20400 000132 0000R 00001 00113*")</f>
        <v>0</v>
      </c>
      <c r="E2238"/>
      <c r="F2238" s="35">
        <f>SUMIFS(F2239:F9015,K2239:K9015,"0",B2239:B9015,"5 1 1 1 3 12 31111 6 M59 20400 000132 0000R 00001 00113*")</f>
        <v>487562.32</v>
      </c>
      <c r="G2238" s="35">
        <f>SUMIFS(G2239:G9015,K2239:K9015,"0",B2239:B9015,"5 1 1 1 3 12 31111 6 M59 20400 000132 0000R 00001 00113*")</f>
        <v>0</v>
      </c>
      <c r="H2238" s="35">
        <f t="shared" si="35"/>
        <v>487562.32</v>
      </c>
      <c r="I2238" s="35"/>
      <c r="K2238" t="s">
        <v>15</v>
      </c>
    </row>
    <row r="2239" spans="2:11" ht="24.75" x14ac:dyDescent="0.2">
      <c r="B2239" s="33" t="s">
        <v>3108</v>
      </c>
      <c r="C2239" s="33" t="s">
        <v>1051</v>
      </c>
      <c r="D2239" s="35">
        <f>SUMIFS(D2240:D9015,K2240:K9015,"0",B2240:B9015,"5 1 1 1 3 12 31111 6 M59 20400 000132 0000R 00001 00113 015*")-SUMIFS(E2240:E9015,K2240:K9015,"0",B2240:B9015,"5 1 1 1 3 12 31111 6 M59 20400 000132 0000R 00001 00113 015*")</f>
        <v>0</v>
      </c>
      <c r="E2239"/>
      <c r="F2239" s="35">
        <f>SUMIFS(F2240:F9015,K2240:K9015,"0",B2240:B9015,"5 1 1 1 3 12 31111 6 M59 20400 000132 0000R 00001 00113 015*")</f>
        <v>487562.32</v>
      </c>
      <c r="G2239" s="35">
        <f>SUMIFS(G2240:G9015,K2240:K9015,"0",B2240:B9015,"5 1 1 1 3 12 31111 6 M59 20400 000132 0000R 00001 00113 015*")</f>
        <v>0</v>
      </c>
      <c r="H2239" s="35">
        <f t="shared" si="35"/>
        <v>487562.32</v>
      </c>
      <c r="I2239" s="35"/>
      <c r="K2239" t="s">
        <v>15</v>
      </c>
    </row>
    <row r="2240" spans="2:11" ht="33" x14ac:dyDescent="0.2">
      <c r="B2240" s="33" t="s">
        <v>3109</v>
      </c>
      <c r="C2240" s="33" t="s">
        <v>2927</v>
      </c>
      <c r="D2240" s="35">
        <f>SUMIFS(D2241:D9015,K2241:K9015,"0",B2241:B9015,"5 1 1 1 3 12 31111 6 M59 20400 000132 0000R 00001 00113 015 2111100*")-SUMIFS(E2241:E9015,K2241:K9015,"0",B2241:B9015,"5 1 1 1 3 12 31111 6 M59 20400 000132 0000R 00001 00113 015 2111100*")</f>
        <v>0</v>
      </c>
      <c r="E2240"/>
      <c r="F2240" s="35">
        <f>SUMIFS(F2241:F9015,K2241:K9015,"0",B2241:B9015,"5 1 1 1 3 12 31111 6 M59 20400 000132 0000R 00001 00113 015 2111100*")</f>
        <v>487562.32</v>
      </c>
      <c r="G2240" s="35">
        <f>SUMIFS(G2241:G9015,K2241:K9015,"0",B2241:B9015,"5 1 1 1 3 12 31111 6 M59 20400 000132 0000R 00001 00113 015 2111100*")</f>
        <v>0</v>
      </c>
      <c r="H2240" s="35">
        <f t="shared" si="35"/>
        <v>487562.32</v>
      </c>
      <c r="I2240" s="35"/>
      <c r="K2240" t="s">
        <v>15</v>
      </c>
    </row>
    <row r="2241" spans="2:11" ht="33" x14ac:dyDescent="0.2">
      <c r="B2241" s="33" t="s">
        <v>3110</v>
      </c>
      <c r="C2241" s="33" t="s">
        <v>660</v>
      </c>
      <c r="D2241" s="35">
        <f>SUMIFS(D2242:D9015,K2242:K9015,"0",B2242:B9015,"5 1 1 1 3 12 31111 6 M59 20400 000132 0000R 00001 00113 015 2111100 2024*")-SUMIFS(E2242:E9015,K2242:K9015,"0",B2242:B9015,"5 1 1 1 3 12 31111 6 M59 20400 000132 0000R 00001 00113 015 2111100 2024*")</f>
        <v>0</v>
      </c>
      <c r="E2241"/>
      <c r="F2241" s="35">
        <f>SUMIFS(F2242:F9015,K2242:K9015,"0",B2242:B9015,"5 1 1 1 3 12 31111 6 M59 20400 000132 0000R 00001 00113 015 2111100 2024*")</f>
        <v>487562.32</v>
      </c>
      <c r="G2241" s="35">
        <f>SUMIFS(G2242:G9015,K2242:K9015,"0",B2242:B9015,"5 1 1 1 3 12 31111 6 M59 20400 000132 0000R 00001 00113 015 2111100 2024*")</f>
        <v>0</v>
      </c>
      <c r="H2241" s="35">
        <f t="shared" si="35"/>
        <v>487562.32</v>
      </c>
      <c r="I2241" s="35"/>
      <c r="K2241" t="s">
        <v>15</v>
      </c>
    </row>
    <row r="2242" spans="2:11" ht="41.25" x14ac:dyDescent="0.2">
      <c r="B2242" s="33" t="s">
        <v>3111</v>
      </c>
      <c r="C2242" s="33" t="s">
        <v>1056</v>
      </c>
      <c r="D2242" s="35">
        <f>SUMIFS(D2243:D9015,K2243:K9015,"0",B2243:B9015,"5 1 1 1 3 12 31111 6 M59 20400 000132 0000R 00001 00113 015 2111100 2024 CP1PV404*")-SUMIFS(E2243:E9015,K2243:K9015,"0",B2243:B9015,"5 1 1 1 3 12 31111 6 M59 20400 000132 0000R 00001 00113 015 2111100 2024 CP1PV404*")</f>
        <v>0</v>
      </c>
      <c r="E2242"/>
      <c r="F2242" s="35">
        <f>SUMIFS(F2243:F9015,K2243:K9015,"0",B2243:B9015,"5 1 1 1 3 12 31111 6 M59 20400 000132 0000R 00001 00113 015 2111100 2024 CP1PV404*")</f>
        <v>487562.32</v>
      </c>
      <c r="G2242" s="35">
        <f>SUMIFS(G2243:G9015,K2243:K9015,"0",B2243:B9015,"5 1 1 1 3 12 31111 6 M59 20400 000132 0000R 00001 00113 015 2111100 2024 CP1PV404*")</f>
        <v>0</v>
      </c>
      <c r="H2242" s="35">
        <f t="shared" si="35"/>
        <v>487562.32</v>
      </c>
      <c r="I2242" s="35"/>
      <c r="K2242" t="s">
        <v>15</v>
      </c>
    </row>
    <row r="2243" spans="2:11" ht="41.25" x14ac:dyDescent="0.2">
      <c r="B2243" s="33" t="s">
        <v>3112</v>
      </c>
      <c r="C2243" s="33" t="s">
        <v>282</v>
      </c>
      <c r="D2243" s="35">
        <f>SUMIFS(D2244:D9015,K2244:K9015,"0",B2244:B9015,"5 1 1 1 3 12 31111 6 M59 20400 000132 0000R 00001 00113 015 2111100 2024 CP1PV404 001*")-SUMIFS(E2244:E9015,K2244:K9015,"0",B2244:B9015,"5 1 1 1 3 12 31111 6 M59 20400 000132 0000R 00001 00113 015 2111100 2024 CP1PV404 001*")</f>
        <v>0</v>
      </c>
      <c r="E2243"/>
      <c r="F2243" s="35">
        <f>SUMIFS(F2244:F9015,K2244:K9015,"0",B2244:B9015,"5 1 1 1 3 12 31111 6 M59 20400 000132 0000R 00001 00113 015 2111100 2024 CP1PV404 001*")</f>
        <v>487562.32</v>
      </c>
      <c r="G2243" s="35">
        <f>SUMIFS(G2244:G9015,K2244:K9015,"0",B2244:B9015,"5 1 1 1 3 12 31111 6 M59 20400 000132 0000R 00001 00113 015 2111100 2024 CP1PV404 001*")</f>
        <v>0</v>
      </c>
      <c r="H2243" s="35">
        <f t="shared" si="35"/>
        <v>487562.32</v>
      </c>
      <c r="I2243" s="35"/>
      <c r="K2243" t="s">
        <v>15</v>
      </c>
    </row>
    <row r="2244" spans="2:11" ht="41.25" x14ac:dyDescent="0.2">
      <c r="B2244" s="31" t="s">
        <v>3113</v>
      </c>
      <c r="C2244" s="31" t="s">
        <v>2932</v>
      </c>
      <c r="D2244" s="34">
        <v>0</v>
      </c>
      <c r="E2244" s="34"/>
      <c r="F2244" s="34">
        <v>487562.32</v>
      </c>
      <c r="G2244" s="34">
        <v>0</v>
      </c>
      <c r="H2244" s="34">
        <f t="shared" ref="H2244:H2307" si="36">D2244 + F2244 - G2244</f>
        <v>487562.32</v>
      </c>
      <c r="I2244" s="34"/>
      <c r="K2244" t="s">
        <v>38</v>
      </c>
    </row>
    <row r="2245" spans="2:11" ht="16.5" x14ac:dyDescent="0.2">
      <c r="B2245" s="33" t="s">
        <v>3114</v>
      </c>
      <c r="C2245" s="33" t="s">
        <v>1079</v>
      </c>
      <c r="D2245" s="35">
        <f>SUMIFS(D2246:D9015,K2246:K9015,"0",B2246:B9015,"5 1 1 1 3 12 31111 6 M59 20500*")-SUMIFS(E2246:E9015,K2246:K9015,"0",B2246:B9015,"5 1 1 1 3 12 31111 6 M59 20500*")</f>
        <v>0</v>
      </c>
      <c r="E2245"/>
      <c r="F2245" s="35">
        <f>SUMIFS(F2246:F9015,K2246:K9015,"0",B2246:B9015,"5 1 1 1 3 12 31111 6 M59 20500*")</f>
        <v>844660.85</v>
      </c>
      <c r="G2245" s="35">
        <f>SUMIFS(G2246:G9015,K2246:K9015,"0",B2246:B9015,"5 1 1 1 3 12 31111 6 M59 20500*")</f>
        <v>0</v>
      </c>
      <c r="H2245" s="35">
        <f t="shared" si="36"/>
        <v>844660.85</v>
      </c>
      <c r="I2245" s="35"/>
      <c r="K2245" t="s">
        <v>15</v>
      </c>
    </row>
    <row r="2246" spans="2:11" ht="16.5" x14ac:dyDescent="0.2">
      <c r="B2246" s="33" t="s">
        <v>3115</v>
      </c>
      <c r="C2246" s="33" t="s">
        <v>648</v>
      </c>
      <c r="D2246" s="35">
        <f>SUMIFS(D2247:D9015,K2247:K9015,"0",B2247:B9015,"5 1 1 1 3 12 31111 6 M59 20500 000132*")-SUMIFS(E2247:E9015,K2247:K9015,"0",B2247:B9015,"5 1 1 1 3 12 31111 6 M59 20500 000132*")</f>
        <v>0</v>
      </c>
      <c r="E2246"/>
      <c r="F2246" s="35">
        <f>SUMIFS(F2247:F9015,K2247:K9015,"0",B2247:B9015,"5 1 1 1 3 12 31111 6 M59 20500 000132*")</f>
        <v>844660.85</v>
      </c>
      <c r="G2246" s="35">
        <f>SUMIFS(G2247:G9015,K2247:K9015,"0",B2247:B9015,"5 1 1 1 3 12 31111 6 M59 20500 000132*")</f>
        <v>0</v>
      </c>
      <c r="H2246" s="35">
        <f t="shared" si="36"/>
        <v>844660.85</v>
      </c>
      <c r="I2246" s="35"/>
      <c r="K2246" t="s">
        <v>15</v>
      </c>
    </row>
    <row r="2247" spans="2:11" ht="16.5" x14ac:dyDescent="0.2">
      <c r="B2247" s="33" t="s">
        <v>3116</v>
      </c>
      <c r="C2247" s="33" t="s">
        <v>650</v>
      </c>
      <c r="D2247" s="35">
        <f>SUMIFS(D2248:D9015,K2248:K9015,"0",B2248:B9015,"5 1 1 1 3 12 31111 6 M59 20500 000132 0000R*")-SUMIFS(E2248:E9015,K2248:K9015,"0",B2248:B9015,"5 1 1 1 3 12 31111 6 M59 20500 000132 0000R*")</f>
        <v>0</v>
      </c>
      <c r="E2247"/>
      <c r="F2247" s="35">
        <f>SUMIFS(F2248:F9015,K2248:K9015,"0",B2248:B9015,"5 1 1 1 3 12 31111 6 M59 20500 000132 0000R*")</f>
        <v>844660.85</v>
      </c>
      <c r="G2247" s="35">
        <f>SUMIFS(G2248:G9015,K2248:K9015,"0",B2248:B9015,"5 1 1 1 3 12 31111 6 M59 20500 000132 0000R*")</f>
        <v>0</v>
      </c>
      <c r="H2247" s="35">
        <f t="shared" si="36"/>
        <v>844660.85</v>
      </c>
      <c r="I2247" s="35"/>
      <c r="K2247" t="s">
        <v>15</v>
      </c>
    </row>
    <row r="2248" spans="2:11" ht="24.75" x14ac:dyDescent="0.2">
      <c r="B2248" s="33" t="s">
        <v>3117</v>
      </c>
      <c r="C2248" s="33" t="s">
        <v>282</v>
      </c>
      <c r="D2248" s="35">
        <f>SUMIFS(D2249:D9015,K2249:K9015,"0",B2249:B9015,"5 1 1 1 3 12 31111 6 M59 20500 000132 0000R 00001*")-SUMIFS(E2249:E9015,K2249:K9015,"0",B2249:B9015,"5 1 1 1 3 12 31111 6 M59 20500 000132 0000R 00001*")</f>
        <v>0</v>
      </c>
      <c r="E2248"/>
      <c r="F2248" s="35">
        <f>SUMIFS(F2249:F9015,K2249:K9015,"0",B2249:B9015,"5 1 1 1 3 12 31111 6 M59 20500 000132 0000R 00001*")</f>
        <v>844660.85</v>
      </c>
      <c r="G2248" s="35">
        <f>SUMIFS(G2249:G9015,K2249:K9015,"0",B2249:B9015,"5 1 1 1 3 12 31111 6 M59 20500 000132 0000R 00001*")</f>
        <v>0</v>
      </c>
      <c r="H2248" s="35">
        <f t="shared" si="36"/>
        <v>844660.85</v>
      </c>
      <c r="I2248" s="35"/>
      <c r="K2248" t="s">
        <v>15</v>
      </c>
    </row>
    <row r="2249" spans="2:11" ht="24.75" x14ac:dyDescent="0.2">
      <c r="B2249" s="33" t="s">
        <v>3118</v>
      </c>
      <c r="C2249" s="33" t="s">
        <v>2924</v>
      </c>
      <c r="D2249" s="35">
        <f>SUMIFS(D2250:D9015,K2250:K9015,"0",B2250:B9015,"5 1 1 1 3 12 31111 6 M59 20500 000132 0000R 00001 00113*")-SUMIFS(E2250:E9015,K2250:K9015,"0",B2250:B9015,"5 1 1 1 3 12 31111 6 M59 20500 000132 0000R 00001 00113*")</f>
        <v>0</v>
      </c>
      <c r="E2249"/>
      <c r="F2249" s="35">
        <f>SUMIFS(F2250:F9015,K2250:K9015,"0",B2250:B9015,"5 1 1 1 3 12 31111 6 M59 20500 000132 0000R 00001 00113*")</f>
        <v>844660.85</v>
      </c>
      <c r="G2249" s="35">
        <f>SUMIFS(G2250:G9015,K2250:K9015,"0",B2250:B9015,"5 1 1 1 3 12 31111 6 M59 20500 000132 0000R 00001 00113*")</f>
        <v>0</v>
      </c>
      <c r="H2249" s="35">
        <f t="shared" si="36"/>
        <v>844660.85</v>
      </c>
      <c r="I2249" s="35"/>
      <c r="K2249" t="s">
        <v>15</v>
      </c>
    </row>
    <row r="2250" spans="2:11" ht="24.75" x14ac:dyDescent="0.2">
      <c r="B2250" s="33" t="s">
        <v>3119</v>
      </c>
      <c r="C2250" s="33" t="s">
        <v>1051</v>
      </c>
      <c r="D2250" s="35">
        <f>SUMIFS(D2251:D9015,K2251:K9015,"0",B2251:B9015,"5 1 1 1 3 12 31111 6 M59 20500 000132 0000R 00001 00113 015*")-SUMIFS(E2251:E9015,K2251:K9015,"0",B2251:B9015,"5 1 1 1 3 12 31111 6 M59 20500 000132 0000R 00001 00113 015*")</f>
        <v>0</v>
      </c>
      <c r="E2250"/>
      <c r="F2250" s="35">
        <f>SUMIFS(F2251:F9015,K2251:K9015,"0",B2251:B9015,"5 1 1 1 3 12 31111 6 M59 20500 000132 0000R 00001 00113 015*")</f>
        <v>844660.85</v>
      </c>
      <c r="G2250" s="35">
        <f>SUMIFS(G2251:G9015,K2251:K9015,"0",B2251:B9015,"5 1 1 1 3 12 31111 6 M59 20500 000132 0000R 00001 00113 015*")</f>
        <v>0</v>
      </c>
      <c r="H2250" s="35">
        <f t="shared" si="36"/>
        <v>844660.85</v>
      </c>
      <c r="I2250" s="35"/>
      <c r="K2250" t="s">
        <v>15</v>
      </c>
    </row>
    <row r="2251" spans="2:11" ht="33" x14ac:dyDescent="0.2">
      <c r="B2251" s="33" t="s">
        <v>3120</v>
      </c>
      <c r="C2251" s="33" t="s">
        <v>2927</v>
      </c>
      <c r="D2251" s="35">
        <f>SUMIFS(D2252:D9015,K2252:K9015,"0",B2252:B9015,"5 1 1 1 3 12 31111 6 M59 20500 000132 0000R 00001 00113 015 2111100*")-SUMIFS(E2252:E9015,K2252:K9015,"0",B2252:B9015,"5 1 1 1 3 12 31111 6 M59 20500 000132 0000R 00001 00113 015 2111100*")</f>
        <v>0</v>
      </c>
      <c r="E2251"/>
      <c r="F2251" s="35">
        <f>SUMIFS(F2252:F9015,K2252:K9015,"0",B2252:B9015,"5 1 1 1 3 12 31111 6 M59 20500 000132 0000R 00001 00113 015 2111100*")</f>
        <v>844660.85</v>
      </c>
      <c r="G2251" s="35">
        <f>SUMIFS(G2252:G9015,K2252:K9015,"0",B2252:B9015,"5 1 1 1 3 12 31111 6 M59 20500 000132 0000R 00001 00113 015 2111100*")</f>
        <v>0</v>
      </c>
      <c r="H2251" s="35">
        <f t="shared" si="36"/>
        <v>844660.85</v>
      </c>
      <c r="I2251" s="35"/>
      <c r="K2251" t="s">
        <v>15</v>
      </c>
    </row>
    <row r="2252" spans="2:11" ht="33" x14ac:dyDescent="0.2">
      <c r="B2252" s="33" t="s">
        <v>3121</v>
      </c>
      <c r="C2252" s="33" t="s">
        <v>660</v>
      </c>
      <c r="D2252" s="35">
        <f>SUMIFS(D2253:D9015,K2253:K9015,"0",B2253:B9015,"5 1 1 1 3 12 31111 6 M59 20500 000132 0000R 00001 00113 015 2111100 2024*")-SUMIFS(E2253:E9015,K2253:K9015,"0",B2253:B9015,"5 1 1 1 3 12 31111 6 M59 20500 000132 0000R 00001 00113 015 2111100 2024*")</f>
        <v>0</v>
      </c>
      <c r="E2252"/>
      <c r="F2252" s="35">
        <f>SUMIFS(F2253:F9015,K2253:K9015,"0",B2253:B9015,"5 1 1 1 3 12 31111 6 M59 20500 000132 0000R 00001 00113 015 2111100 2024*")</f>
        <v>844660.85</v>
      </c>
      <c r="G2252" s="35">
        <f>SUMIFS(G2253:G9015,K2253:K9015,"0",B2253:B9015,"5 1 1 1 3 12 31111 6 M59 20500 000132 0000R 00001 00113 015 2111100 2024*")</f>
        <v>0</v>
      </c>
      <c r="H2252" s="35">
        <f t="shared" si="36"/>
        <v>844660.85</v>
      </c>
      <c r="I2252" s="35"/>
      <c r="K2252" t="s">
        <v>15</v>
      </c>
    </row>
    <row r="2253" spans="2:11" ht="41.25" x14ac:dyDescent="0.2">
      <c r="B2253" s="33" t="s">
        <v>3122</v>
      </c>
      <c r="C2253" s="33" t="s">
        <v>1056</v>
      </c>
      <c r="D2253" s="35">
        <f>SUMIFS(D2254:D9015,K2254:K9015,"0",B2254:B9015,"5 1 1 1 3 12 31111 6 M59 20500 000132 0000R 00001 00113 015 2111100 2024 CP1CP420*")-SUMIFS(E2254:E9015,K2254:K9015,"0",B2254:B9015,"5 1 1 1 3 12 31111 6 M59 20500 000132 0000R 00001 00113 015 2111100 2024 CP1CP420*")</f>
        <v>0</v>
      </c>
      <c r="E2253"/>
      <c r="F2253" s="35">
        <f>SUMIFS(F2254:F9015,K2254:K9015,"0",B2254:B9015,"5 1 1 1 3 12 31111 6 M59 20500 000132 0000R 00001 00113 015 2111100 2024 CP1CP420*")</f>
        <v>844660.85</v>
      </c>
      <c r="G2253" s="35">
        <f>SUMIFS(G2254:G9015,K2254:K9015,"0",B2254:B9015,"5 1 1 1 3 12 31111 6 M59 20500 000132 0000R 00001 00113 015 2111100 2024 CP1CP420*")</f>
        <v>0</v>
      </c>
      <c r="H2253" s="35">
        <f t="shared" si="36"/>
        <v>844660.85</v>
      </c>
      <c r="I2253" s="35"/>
      <c r="K2253" t="s">
        <v>15</v>
      </c>
    </row>
    <row r="2254" spans="2:11" ht="41.25" x14ac:dyDescent="0.2">
      <c r="B2254" s="33" t="s">
        <v>3123</v>
      </c>
      <c r="C2254" s="33" t="s">
        <v>282</v>
      </c>
      <c r="D2254" s="35">
        <f>SUMIFS(D2255:D9015,K2255:K9015,"0",B2255:B9015,"5 1 1 1 3 12 31111 6 M59 20500 000132 0000R 00001 00113 015 2111100 2024 CP1CP420 001*")-SUMIFS(E2255:E9015,K2255:K9015,"0",B2255:B9015,"5 1 1 1 3 12 31111 6 M59 20500 000132 0000R 00001 00113 015 2111100 2024 CP1CP420 001*")</f>
        <v>0</v>
      </c>
      <c r="E2254"/>
      <c r="F2254" s="35">
        <f>SUMIFS(F2255:F9015,K2255:K9015,"0",B2255:B9015,"5 1 1 1 3 12 31111 6 M59 20500 000132 0000R 00001 00113 015 2111100 2024 CP1CP420 001*")</f>
        <v>844660.85</v>
      </c>
      <c r="G2254" s="35">
        <f>SUMIFS(G2255:G9015,K2255:K9015,"0",B2255:B9015,"5 1 1 1 3 12 31111 6 M59 20500 000132 0000R 00001 00113 015 2111100 2024 CP1CP420 001*")</f>
        <v>0</v>
      </c>
      <c r="H2254" s="35">
        <f t="shared" si="36"/>
        <v>844660.85</v>
      </c>
      <c r="I2254" s="35"/>
      <c r="K2254" t="s">
        <v>15</v>
      </c>
    </row>
    <row r="2255" spans="2:11" ht="33" x14ac:dyDescent="0.2">
      <c r="B2255" s="31" t="s">
        <v>3124</v>
      </c>
      <c r="C2255" s="31" t="s">
        <v>2932</v>
      </c>
      <c r="D2255" s="34">
        <v>0</v>
      </c>
      <c r="E2255" s="34"/>
      <c r="F2255" s="34">
        <v>844660.85</v>
      </c>
      <c r="G2255" s="34">
        <v>0</v>
      </c>
      <c r="H2255" s="34">
        <f t="shared" si="36"/>
        <v>844660.85</v>
      </c>
      <c r="I2255" s="34"/>
      <c r="K2255" t="s">
        <v>38</v>
      </c>
    </row>
    <row r="2256" spans="2:11" ht="16.5" x14ac:dyDescent="0.2">
      <c r="B2256" s="33" t="s">
        <v>3125</v>
      </c>
      <c r="C2256" s="33" t="s">
        <v>3126</v>
      </c>
      <c r="D2256" s="35">
        <f>SUMIFS(D2257:D9015,K2257:K9015,"0",B2257:B9015,"5 1 1 1 3 12 31111 6 M59 20600*")-SUMIFS(E2257:E9015,K2257:K9015,"0",B2257:B9015,"5 1 1 1 3 12 31111 6 M59 20600*")</f>
        <v>0</v>
      </c>
      <c r="E2256"/>
      <c r="F2256" s="35">
        <f>SUMIFS(F2257:F9015,K2257:K9015,"0",B2257:B9015,"5 1 1 1 3 12 31111 6 M59 20600*")</f>
        <v>596792.80000000005</v>
      </c>
      <c r="G2256" s="35">
        <f>SUMIFS(G2257:G9015,K2257:K9015,"0",B2257:B9015,"5 1 1 1 3 12 31111 6 M59 20600*")</f>
        <v>0</v>
      </c>
      <c r="H2256" s="35">
        <f t="shared" si="36"/>
        <v>596792.80000000005</v>
      </c>
      <c r="I2256" s="35"/>
      <c r="K2256" t="s">
        <v>15</v>
      </c>
    </row>
    <row r="2257" spans="2:11" ht="16.5" x14ac:dyDescent="0.2">
      <c r="B2257" s="33" t="s">
        <v>3127</v>
      </c>
      <c r="C2257" s="33" t="s">
        <v>648</v>
      </c>
      <c r="D2257" s="35">
        <f>SUMIFS(D2258:D9015,K2258:K9015,"0",B2258:B9015,"5 1 1 1 3 12 31111 6 M59 20600 000132*")-SUMIFS(E2258:E9015,K2258:K9015,"0",B2258:B9015,"5 1 1 1 3 12 31111 6 M59 20600 000132*")</f>
        <v>0</v>
      </c>
      <c r="E2257"/>
      <c r="F2257" s="35">
        <f>SUMIFS(F2258:F9015,K2258:K9015,"0",B2258:B9015,"5 1 1 1 3 12 31111 6 M59 20600 000132*")</f>
        <v>596792.80000000005</v>
      </c>
      <c r="G2257" s="35">
        <f>SUMIFS(G2258:G9015,K2258:K9015,"0",B2258:B9015,"5 1 1 1 3 12 31111 6 M59 20600 000132*")</f>
        <v>0</v>
      </c>
      <c r="H2257" s="35">
        <f t="shared" si="36"/>
        <v>596792.80000000005</v>
      </c>
      <c r="I2257" s="35"/>
      <c r="K2257" t="s">
        <v>15</v>
      </c>
    </row>
    <row r="2258" spans="2:11" ht="16.5" x14ac:dyDescent="0.2">
      <c r="B2258" s="33" t="s">
        <v>3128</v>
      </c>
      <c r="C2258" s="33" t="s">
        <v>650</v>
      </c>
      <c r="D2258" s="35">
        <f>SUMIFS(D2259:D9015,K2259:K9015,"0",B2259:B9015,"5 1 1 1 3 12 31111 6 M59 20600 000132 0000R*")-SUMIFS(E2259:E9015,K2259:K9015,"0",B2259:B9015,"5 1 1 1 3 12 31111 6 M59 20600 000132 0000R*")</f>
        <v>0</v>
      </c>
      <c r="E2258"/>
      <c r="F2258" s="35">
        <f>SUMIFS(F2259:F9015,K2259:K9015,"0",B2259:B9015,"5 1 1 1 3 12 31111 6 M59 20600 000132 0000R*")</f>
        <v>596792.80000000005</v>
      </c>
      <c r="G2258" s="35">
        <f>SUMIFS(G2259:G9015,K2259:K9015,"0",B2259:B9015,"5 1 1 1 3 12 31111 6 M59 20600 000132 0000R*")</f>
        <v>0</v>
      </c>
      <c r="H2258" s="35">
        <f t="shared" si="36"/>
        <v>596792.80000000005</v>
      </c>
      <c r="I2258" s="35"/>
      <c r="K2258" t="s">
        <v>15</v>
      </c>
    </row>
    <row r="2259" spans="2:11" ht="24.75" x14ac:dyDescent="0.2">
      <c r="B2259" s="33" t="s">
        <v>3129</v>
      </c>
      <c r="C2259" s="33" t="s">
        <v>282</v>
      </c>
      <c r="D2259" s="35">
        <f>SUMIFS(D2260:D9015,K2260:K9015,"0",B2260:B9015,"5 1 1 1 3 12 31111 6 M59 20600 000132 0000R 00001*")-SUMIFS(E2260:E9015,K2260:K9015,"0",B2260:B9015,"5 1 1 1 3 12 31111 6 M59 20600 000132 0000R 00001*")</f>
        <v>0</v>
      </c>
      <c r="E2259"/>
      <c r="F2259" s="35">
        <f>SUMIFS(F2260:F9015,K2260:K9015,"0",B2260:B9015,"5 1 1 1 3 12 31111 6 M59 20600 000132 0000R 00001*")</f>
        <v>596792.80000000005</v>
      </c>
      <c r="G2259" s="35">
        <f>SUMIFS(G2260:G9015,K2260:K9015,"0",B2260:B9015,"5 1 1 1 3 12 31111 6 M59 20600 000132 0000R 00001*")</f>
        <v>0</v>
      </c>
      <c r="H2259" s="35">
        <f t="shared" si="36"/>
        <v>596792.80000000005</v>
      </c>
      <c r="I2259" s="35"/>
      <c r="K2259" t="s">
        <v>15</v>
      </c>
    </row>
    <row r="2260" spans="2:11" ht="24.75" x14ac:dyDescent="0.2">
      <c r="B2260" s="33" t="s">
        <v>3130</v>
      </c>
      <c r="C2260" s="33" t="s">
        <v>2924</v>
      </c>
      <c r="D2260" s="35">
        <f>SUMIFS(D2261:D9015,K2261:K9015,"0",B2261:B9015,"5 1 1 1 3 12 31111 6 M59 20600 000132 0000R 00001 00113*")-SUMIFS(E2261:E9015,K2261:K9015,"0",B2261:B9015,"5 1 1 1 3 12 31111 6 M59 20600 000132 0000R 00001 00113*")</f>
        <v>0</v>
      </c>
      <c r="E2260"/>
      <c r="F2260" s="35">
        <f>SUMIFS(F2261:F9015,K2261:K9015,"0",B2261:B9015,"5 1 1 1 3 12 31111 6 M59 20600 000132 0000R 00001 00113*")</f>
        <v>596792.80000000005</v>
      </c>
      <c r="G2260" s="35">
        <f>SUMIFS(G2261:G9015,K2261:K9015,"0",B2261:B9015,"5 1 1 1 3 12 31111 6 M59 20600 000132 0000R 00001 00113*")</f>
        <v>0</v>
      </c>
      <c r="H2260" s="35">
        <f t="shared" si="36"/>
        <v>596792.80000000005</v>
      </c>
      <c r="I2260" s="35"/>
      <c r="K2260" t="s">
        <v>15</v>
      </c>
    </row>
    <row r="2261" spans="2:11" ht="24.75" x14ac:dyDescent="0.2">
      <c r="B2261" s="33" t="s">
        <v>3131</v>
      </c>
      <c r="C2261" s="33" t="s">
        <v>1051</v>
      </c>
      <c r="D2261" s="35">
        <f>SUMIFS(D2262:D9015,K2262:K9015,"0",B2262:B9015,"5 1 1 1 3 12 31111 6 M59 20600 000132 0000R 00001 00113 015*")-SUMIFS(E2262:E9015,K2262:K9015,"0",B2262:B9015,"5 1 1 1 3 12 31111 6 M59 20600 000132 0000R 00001 00113 015*")</f>
        <v>0</v>
      </c>
      <c r="E2261"/>
      <c r="F2261" s="35">
        <f>SUMIFS(F2262:F9015,K2262:K9015,"0",B2262:B9015,"5 1 1 1 3 12 31111 6 M59 20600 000132 0000R 00001 00113 015*")</f>
        <v>596792.80000000005</v>
      </c>
      <c r="G2261" s="35">
        <f>SUMIFS(G2262:G9015,K2262:K9015,"0",B2262:B9015,"5 1 1 1 3 12 31111 6 M59 20600 000132 0000R 00001 00113 015*")</f>
        <v>0</v>
      </c>
      <c r="H2261" s="35">
        <f t="shared" si="36"/>
        <v>596792.80000000005</v>
      </c>
      <c r="I2261" s="35"/>
      <c r="K2261" t="s">
        <v>15</v>
      </c>
    </row>
    <row r="2262" spans="2:11" ht="33" x14ac:dyDescent="0.2">
      <c r="B2262" s="33" t="s">
        <v>3132</v>
      </c>
      <c r="C2262" s="33" t="s">
        <v>2927</v>
      </c>
      <c r="D2262" s="35">
        <f>SUMIFS(D2263:D9015,K2263:K9015,"0",B2263:B9015,"5 1 1 1 3 12 31111 6 M59 20600 000132 0000R 00001 00113 015 2111100*")-SUMIFS(E2263:E9015,K2263:K9015,"0",B2263:B9015,"5 1 1 1 3 12 31111 6 M59 20600 000132 0000R 00001 00113 015 2111100*")</f>
        <v>0</v>
      </c>
      <c r="E2262"/>
      <c r="F2262" s="35">
        <f>SUMIFS(F2263:F9015,K2263:K9015,"0",B2263:B9015,"5 1 1 1 3 12 31111 6 M59 20600 000132 0000R 00001 00113 015 2111100*")</f>
        <v>596792.80000000005</v>
      </c>
      <c r="G2262" s="35">
        <f>SUMIFS(G2263:G9015,K2263:K9015,"0",B2263:B9015,"5 1 1 1 3 12 31111 6 M59 20600 000132 0000R 00001 00113 015 2111100*")</f>
        <v>0</v>
      </c>
      <c r="H2262" s="35">
        <f t="shared" si="36"/>
        <v>596792.80000000005</v>
      </c>
      <c r="I2262" s="35"/>
      <c r="K2262" t="s">
        <v>15</v>
      </c>
    </row>
    <row r="2263" spans="2:11" ht="33" x14ac:dyDescent="0.2">
      <c r="B2263" s="33" t="s">
        <v>3133</v>
      </c>
      <c r="C2263" s="33" t="s">
        <v>660</v>
      </c>
      <c r="D2263" s="35">
        <f>SUMIFS(D2264:D9015,K2264:K9015,"0",B2264:B9015,"5 1 1 1 3 12 31111 6 M59 20600 000132 0000R 00001 00113 015 2111100 2024*")-SUMIFS(E2264:E9015,K2264:K9015,"0",B2264:B9015,"5 1 1 1 3 12 31111 6 M59 20600 000132 0000R 00001 00113 015 2111100 2024*")</f>
        <v>0</v>
      </c>
      <c r="E2263"/>
      <c r="F2263" s="35">
        <f>SUMIFS(F2264:F9015,K2264:K9015,"0",B2264:B9015,"5 1 1 1 3 12 31111 6 M59 20600 000132 0000R 00001 00113 015 2111100 2024*")</f>
        <v>596792.80000000005</v>
      </c>
      <c r="G2263" s="35">
        <f>SUMIFS(G2264:G9015,K2264:K9015,"0",B2264:B9015,"5 1 1 1 3 12 31111 6 M59 20600 000132 0000R 00001 00113 015 2111100 2024*")</f>
        <v>0</v>
      </c>
      <c r="H2263" s="35">
        <f t="shared" si="36"/>
        <v>596792.80000000005</v>
      </c>
      <c r="I2263" s="35"/>
      <c r="K2263" t="s">
        <v>15</v>
      </c>
    </row>
    <row r="2264" spans="2:11" ht="41.25" x14ac:dyDescent="0.2">
      <c r="B2264" s="33" t="s">
        <v>3134</v>
      </c>
      <c r="C2264" s="33" t="s">
        <v>1056</v>
      </c>
      <c r="D2264" s="35">
        <f>SUMIFS(D2265:D9015,K2265:K9015,"0",B2265:B9015,"5 1 1 1 3 12 31111 6 M59 20600 000132 0000R 00001 00113 015 2111100 2024 CP1CA380*")-SUMIFS(E2265:E9015,K2265:K9015,"0",B2265:B9015,"5 1 1 1 3 12 31111 6 M59 20600 000132 0000R 00001 00113 015 2111100 2024 CP1CA380*")</f>
        <v>0</v>
      </c>
      <c r="E2264"/>
      <c r="F2264" s="35">
        <f>SUMIFS(F2265:F9015,K2265:K9015,"0",B2265:B9015,"5 1 1 1 3 12 31111 6 M59 20600 000132 0000R 00001 00113 015 2111100 2024 CP1CA380*")</f>
        <v>596792.80000000005</v>
      </c>
      <c r="G2264" s="35">
        <f>SUMIFS(G2265:G9015,K2265:K9015,"0",B2265:B9015,"5 1 1 1 3 12 31111 6 M59 20600 000132 0000R 00001 00113 015 2111100 2024 CP1CA380*")</f>
        <v>0</v>
      </c>
      <c r="H2264" s="35">
        <f t="shared" si="36"/>
        <v>596792.80000000005</v>
      </c>
      <c r="I2264" s="35"/>
      <c r="K2264" t="s">
        <v>15</v>
      </c>
    </row>
    <row r="2265" spans="2:11" ht="41.25" x14ac:dyDescent="0.2">
      <c r="B2265" s="33" t="s">
        <v>3135</v>
      </c>
      <c r="C2265" s="33" t="s">
        <v>282</v>
      </c>
      <c r="D2265" s="35">
        <f>SUMIFS(D2266:D9015,K2266:K9015,"0",B2266:B9015,"5 1 1 1 3 12 31111 6 M59 20600 000132 0000R 00001 00113 015 2111100 2024 CP1CA380 001*")-SUMIFS(E2266:E9015,K2266:K9015,"0",B2266:B9015,"5 1 1 1 3 12 31111 6 M59 20600 000132 0000R 00001 00113 015 2111100 2024 CP1CA380 001*")</f>
        <v>0</v>
      </c>
      <c r="E2265"/>
      <c r="F2265" s="35">
        <f>SUMIFS(F2266:F9015,K2266:K9015,"0",B2266:B9015,"5 1 1 1 3 12 31111 6 M59 20600 000132 0000R 00001 00113 015 2111100 2024 CP1CA380 001*")</f>
        <v>596792.80000000005</v>
      </c>
      <c r="G2265" s="35">
        <f>SUMIFS(G2266:G9015,K2266:K9015,"0",B2266:B9015,"5 1 1 1 3 12 31111 6 M59 20600 000132 0000R 00001 00113 015 2111100 2024 CP1CA380 001*")</f>
        <v>0</v>
      </c>
      <c r="H2265" s="35">
        <f t="shared" si="36"/>
        <v>596792.80000000005</v>
      </c>
      <c r="I2265" s="35"/>
      <c r="K2265" t="s">
        <v>15</v>
      </c>
    </row>
    <row r="2266" spans="2:11" ht="41.25" x14ac:dyDescent="0.2">
      <c r="B2266" s="31" t="s">
        <v>3136</v>
      </c>
      <c r="C2266" s="31" t="s">
        <v>2932</v>
      </c>
      <c r="D2266" s="34">
        <v>0</v>
      </c>
      <c r="E2266" s="34"/>
      <c r="F2266" s="34">
        <v>596792.80000000005</v>
      </c>
      <c r="G2266" s="34">
        <v>0</v>
      </c>
      <c r="H2266" s="34">
        <f t="shared" si="36"/>
        <v>596792.80000000005</v>
      </c>
      <c r="I2266" s="34"/>
      <c r="K2266" t="s">
        <v>38</v>
      </c>
    </row>
    <row r="2267" spans="2:11" ht="16.5" x14ac:dyDescent="0.2">
      <c r="B2267" s="33" t="s">
        <v>3137</v>
      </c>
      <c r="C2267" s="33" t="s">
        <v>3138</v>
      </c>
      <c r="D2267" s="35">
        <f>SUMIFS(D2268:D9015,K2268:K9015,"0",B2268:B9015,"5 1 1 1 3 12 31111 6 M59 20700*")-SUMIFS(E2268:E9015,K2268:K9015,"0",B2268:B9015,"5 1 1 1 3 12 31111 6 M59 20700*")</f>
        <v>0</v>
      </c>
      <c r="E2267"/>
      <c r="F2267" s="35">
        <f>SUMIFS(F2268:F9015,K2268:K9015,"0",B2268:B9015,"5 1 1 1 3 12 31111 6 M59 20700*")</f>
        <v>266620.02</v>
      </c>
      <c r="G2267" s="35">
        <f>SUMIFS(G2268:G9015,K2268:K9015,"0",B2268:B9015,"5 1 1 1 3 12 31111 6 M59 20700*")</f>
        <v>0</v>
      </c>
      <c r="H2267" s="35">
        <f t="shared" si="36"/>
        <v>266620.02</v>
      </c>
      <c r="I2267" s="35"/>
      <c r="K2267" t="s">
        <v>15</v>
      </c>
    </row>
    <row r="2268" spans="2:11" ht="16.5" x14ac:dyDescent="0.2">
      <c r="B2268" s="33" t="s">
        <v>3139</v>
      </c>
      <c r="C2268" s="33" t="s">
        <v>648</v>
      </c>
      <c r="D2268" s="35">
        <f>SUMIFS(D2269:D9015,K2269:K9015,"0",B2269:B9015,"5 1 1 1 3 12 31111 6 M59 20700 000132*")-SUMIFS(E2269:E9015,K2269:K9015,"0",B2269:B9015,"5 1 1 1 3 12 31111 6 M59 20700 000132*")</f>
        <v>0</v>
      </c>
      <c r="E2268"/>
      <c r="F2268" s="35">
        <f>SUMIFS(F2269:F9015,K2269:K9015,"0",B2269:B9015,"5 1 1 1 3 12 31111 6 M59 20700 000132*")</f>
        <v>266620.02</v>
      </c>
      <c r="G2268" s="35">
        <f>SUMIFS(G2269:G9015,K2269:K9015,"0",B2269:B9015,"5 1 1 1 3 12 31111 6 M59 20700 000132*")</f>
        <v>0</v>
      </c>
      <c r="H2268" s="35">
        <f t="shared" si="36"/>
        <v>266620.02</v>
      </c>
      <c r="I2268" s="35"/>
      <c r="K2268" t="s">
        <v>15</v>
      </c>
    </row>
    <row r="2269" spans="2:11" ht="16.5" x14ac:dyDescent="0.2">
      <c r="B2269" s="33" t="s">
        <v>3140</v>
      </c>
      <c r="C2269" s="33" t="s">
        <v>650</v>
      </c>
      <c r="D2269" s="35">
        <f>SUMIFS(D2270:D9015,K2270:K9015,"0",B2270:B9015,"5 1 1 1 3 12 31111 6 M59 20700 000132 0000R*")-SUMIFS(E2270:E9015,K2270:K9015,"0",B2270:B9015,"5 1 1 1 3 12 31111 6 M59 20700 000132 0000R*")</f>
        <v>0</v>
      </c>
      <c r="E2269"/>
      <c r="F2269" s="35">
        <f>SUMIFS(F2270:F9015,K2270:K9015,"0",B2270:B9015,"5 1 1 1 3 12 31111 6 M59 20700 000132 0000R*")</f>
        <v>266620.02</v>
      </c>
      <c r="G2269" s="35">
        <f>SUMIFS(G2270:G9015,K2270:K9015,"0",B2270:B9015,"5 1 1 1 3 12 31111 6 M59 20700 000132 0000R*")</f>
        <v>0</v>
      </c>
      <c r="H2269" s="35">
        <f t="shared" si="36"/>
        <v>266620.02</v>
      </c>
      <c r="I2269" s="35"/>
      <c r="K2269" t="s">
        <v>15</v>
      </c>
    </row>
    <row r="2270" spans="2:11" ht="24.75" x14ac:dyDescent="0.2">
      <c r="B2270" s="33" t="s">
        <v>3141</v>
      </c>
      <c r="C2270" s="33" t="s">
        <v>282</v>
      </c>
      <c r="D2270" s="35">
        <f>SUMIFS(D2271:D9015,K2271:K9015,"0",B2271:B9015,"5 1 1 1 3 12 31111 6 M59 20700 000132 0000R 00001*")-SUMIFS(E2271:E9015,K2271:K9015,"0",B2271:B9015,"5 1 1 1 3 12 31111 6 M59 20700 000132 0000R 00001*")</f>
        <v>0</v>
      </c>
      <c r="E2270"/>
      <c r="F2270" s="35">
        <f>SUMIFS(F2271:F9015,K2271:K9015,"0",B2271:B9015,"5 1 1 1 3 12 31111 6 M59 20700 000132 0000R 00001*")</f>
        <v>266620.02</v>
      </c>
      <c r="G2270" s="35">
        <f>SUMIFS(G2271:G9015,K2271:K9015,"0",B2271:B9015,"5 1 1 1 3 12 31111 6 M59 20700 000132 0000R 00001*")</f>
        <v>0</v>
      </c>
      <c r="H2270" s="35">
        <f t="shared" si="36"/>
        <v>266620.02</v>
      </c>
      <c r="I2270" s="35"/>
      <c r="K2270" t="s">
        <v>15</v>
      </c>
    </row>
    <row r="2271" spans="2:11" ht="24.75" x14ac:dyDescent="0.2">
      <c r="B2271" s="33" t="s">
        <v>3142</v>
      </c>
      <c r="C2271" s="33" t="s">
        <v>2924</v>
      </c>
      <c r="D2271" s="35">
        <f>SUMIFS(D2272:D9015,K2272:K9015,"0",B2272:B9015,"5 1 1 1 3 12 31111 6 M59 20700 000132 0000R 00001 00113*")-SUMIFS(E2272:E9015,K2272:K9015,"0",B2272:B9015,"5 1 1 1 3 12 31111 6 M59 20700 000132 0000R 00001 00113*")</f>
        <v>0</v>
      </c>
      <c r="E2271"/>
      <c r="F2271" s="35">
        <f>SUMIFS(F2272:F9015,K2272:K9015,"0",B2272:B9015,"5 1 1 1 3 12 31111 6 M59 20700 000132 0000R 00001 00113*")</f>
        <v>266620.02</v>
      </c>
      <c r="G2271" s="35">
        <f>SUMIFS(G2272:G9015,K2272:K9015,"0",B2272:B9015,"5 1 1 1 3 12 31111 6 M59 20700 000132 0000R 00001 00113*")</f>
        <v>0</v>
      </c>
      <c r="H2271" s="35">
        <f t="shared" si="36"/>
        <v>266620.02</v>
      </c>
      <c r="I2271" s="35"/>
      <c r="K2271" t="s">
        <v>15</v>
      </c>
    </row>
    <row r="2272" spans="2:11" ht="24.75" x14ac:dyDescent="0.2">
      <c r="B2272" s="33" t="s">
        <v>3143</v>
      </c>
      <c r="C2272" s="33" t="s">
        <v>1051</v>
      </c>
      <c r="D2272" s="35">
        <f>SUMIFS(D2273:D9015,K2273:K9015,"0",B2273:B9015,"5 1 1 1 3 12 31111 6 M59 20700 000132 0000R 00001 00113 015*")-SUMIFS(E2273:E9015,K2273:K9015,"0",B2273:B9015,"5 1 1 1 3 12 31111 6 M59 20700 000132 0000R 00001 00113 015*")</f>
        <v>0</v>
      </c>
      <c r="E2272"/>
      <c r="F2272" s="35">
        <f>SUMIFS(F2273:F9015,K2273:K9015,"0",B2273:B9015,"5 1 1 1 3 12 31111 6 M59 20700 000132 0000R 00001 00113 015*")</f>
        <v>266620.02</v>
      </c>
      <c r="G2272" s="35">
        <f>SUMIFS(G2273:G9015,K2273:K9015,"0",B2273:B9015,"5 1 1 1 3 12 31111 6 M59 20700 000132 0000R 00001 00113 015*")</f>
        <v>0</v>
      </c>
      <c r="H2272" s="35">
        <f t="shared" si="36"/>
        <v>266620.02</v>
      </c>
      <c r="I2272" s="35"/>
      <c r="K2272" t="s">
        <v>15</v>
      </c>
    </row>
    <row r="2273" spans="2:11" ht="33" x14ac:dyDescent="0.2">
      <c r="B2273" s="33" t="s">
        <v>3144</v>
      </c>
      <c r="C2273" s="33" t="s">
        <v>2927</v>
      </c>
      <c r="D2273" s="35">
        <f>SUMIFS(D2274:D9015,K2274:K9015,"0",B2274:B9015,"5 1 1 1 3 12 31111 6 M59 20700 000132 0000R 00001 00113 015 2111100*")-SUMIFS(E2274:E9015,K2274:K9015,"0",B2274:B9015,"5 1 1 1 3 12 31111 6 M59 20700 000132 0000R 00001 00113 015 2111100*")</f>
        <v>0</v>
      </c>
      <c r="E2273"/>
      <c r="F2273" s="35">
        <f>SUMIFS(F2274:F9015,K2274:K9015,"0",B2274:B9015,"5 1 1 1 3 12 31111 6 M59 20700 000132 0000R 00001 00113 015 2111100*")</f>
        <v>266620.02</v>
      </c>
      <c r="G2273" s="35">
        <f>SUMIFS(G2274:G9015,K2274:K9015,"0",B2274:B9015,"5 1 1 1 3 12 31111 6 M59 20700 000132 0000R 00001 00113 015 2111100*")</f>
        <v>0</v>
      </c>
      <c r="H2273" s="35">
        <f t="shared" si="36"/>
        <v>266620.02</v>
      </c>
      <c r="I2273" s="35"/>
      <c r="K2273" t="s">
        <v>15</v>
      </c>
    </row>
    <row r="2274" spans="2:11" ht="33" x14ac:dyDescent="0.2">
      <c r="B2274" s="33" t="s">
        <v>3145</v>
      </c>
      <c r="C2274" s="33" t="s">
        <v>660</v>
      </c>
      <c r="D2274" s="35">
        <f>SUMIFS(D2275:D9015,K2275:K9015,"0",B2275:B9015,"5 1 1 1 3 12 31111 6 M59 20700 000132 0000R 00001 00113 015 2111100 2024*")-SUMIFS(E2275:E9015,K2275:K9015,"0",B2275:B9015,"5 1 1 1 3 12 31111 6 M59 20700 000132 0000R 00001 00113 015 2111100 2024*")</f>
        <v>0</v>
      </c>
      <c r="E2274"/>
      <c r="F2274" s="35">
        <f>SUMIFS(F2275:F9015,K2275:K9015,"0",B2275:B9015,"5 1 1 1 3 12 31111 6 M59 20700 000132 0000R 00001 00113 015 2111100 2024*")</f>
        <v>266620.02</v>
      </c>
      <c r="G2274" s="35">
        <f>SUMIFS(G2275:G9015,K2275:K9015,"0",B2275:B9015,"5 1 1 1 3 12 31111 6 M59 20700 000132 0000R 00001 00113 015 2111100 2024*")</f>
        <v>0</v>
      </c>
      <c r="H2274" s="35">
        <f t="shared" si="36"/>
        <v>266620.02</v>
      </c>
      <c r="I2274" s="35"/>
      <c r="K2274" t="s">
        <v>15</v>
      </c>
    </row>
    <row r="2275" spans="2:11" ht="41.25" x14ac:dyDescent="0.2">
      <c r="B2275" s="33" t="s">
        <v>3146</v>
      </c>
      <c r="C2275" s="33" t="s">
        <v>662</v>
      </c>
      <c r="D2275" s="35">
        <f>SUMIFS(D2276:D9015,K2276:K9015,"0",B2276:B9015,"5 1 1 1 3 12 31111 6 M59 20700 000132 0000R 00001 00113 015 2111100 2024 CP1RM401*")-SUMIFS(E2276:E9015,K2276:K9015,"0",B2276:B9015,"5 1 1 1 3 12 31111 6 M59 20700 000132 0000R 00001 00113 015 2111100 2024 CP1RM401*")</f>
        <v>0</v>
      </c>
      <c r="E2275"/>
      <c r="F2275" s="35">
        <f>SUMIFS(F2276:F9015,K2276:K9015,"0",B2276:B9015,"5 1 1 1 3 12 31111 6 M59 20700 000132 0000R 00001 00113 015 2111100 2024 CP1RM401*")</f>
        <v>266620.02</v>
      </c>
      <c r="G2275" s="35">
        <f>SUMIFS(G2276:G9015,K2276:K9015,"0",B2276:B9015,"5 1 1 1 3 12 31111 6 M59 20700 000132 0000R 00001 00113 015 2111100 2024 CP1RM401*")</f>
        <v>0</v>
      </c>
      <c r="H2275" s="35">
        <f t="shared" si="36"/>
        <v>266620.02</v>
      </c>
      <c r="I2275" s="35"/>
      <c r="K2275" t="s">
        <v>15</v>
      </c>
    </row>
    <row r="2276" spans="2:11" ht="41.25" x14ac:dyDescent="0.2">
      <c r="B2276" s="33" t="s">
        <v>3147</v>
      </c>
      <c r="C2276" s="33" t="s">
        <v>282</v>
      </c>
      <c r="D2276" s="35">
        <f>SUMIFS(D2277:D9015,K2277:K9015,"0",B2277:B9015,"5 1 1 1 3 12 31111 6 M59 20700 000132 0000R 00001 00113 015 2111100 2024 CP1RM401 001*")-SUMIFS(E2277:E9015,K2277:K9015,"0",B2277:B9015,"5 1 1 1 3 12 31111 6 M59 20700 000132 0000R 00001 00113 015 2111100 2024 CP1RM401 001*")</f>
        <v>0</v>
      </c>
      <c r="E2276"/>
      <c r="F2276" s="35">
        <f>SUMIFS(F2277:F9015,K2277:K9015,"0",B2277:B9015,"5 1 1 1 3 12 31111 6 M59 20700 000132 0000R 00001 00113 015 2111100 2024 CP1RM401 001*")</f>
        <v>266620.02</v>
      </c>
      <c r="G2276" s="35">
        <f>SUMIFS(G2277:G9015,K2277:K9015,"0",B2277:B9015,"5 1 1 1 3 12 31111 6 M59 20700 000132 0000R 00001 00113 015 2111100 2024 CP1RM401 001*")</f>
        <v>0</v>
      </c>
      <c r="H2276" s="35">
        <f t="shared" si="36"/>
        <v>266620.02</v>
      </c>
      <c r="I2276" s="35"/>
      <c r="K2276" t="s">
        <v>15</v>
      </c>
    </row>
    <row r="2277" spans="2:11" ht="33" x14ac:dyDescent="0.2">
      <c r="B2277" s="31" t="s">
        <v>3148</v>
      </c>
      <c r="C2277" s="31" t="s">
        <v>2932</v>
      </c>
      <c r="D2277" s="34">
        <v>0</v>
      </c>
      <c r="E2277" s="34"/>
      <c r="F2277" s="34">
        <v>266620.02</v>
      </c>
      <c r="G2277" s="34">
        <v>0</v>
      </c>
      <c r="H2277" s="34">
        <f t="shared" si="36"/>
        <v>266620.02</v>
      </c>
      <c r="I2277" s="34"/>
      <c r="K2277" t="s">
        <v>38</v>
      </c>
    </row>
    <row r="2278" spans="2:11" ht="16.5" x14ac:dyDescent="0.2">
      <c r="B2278" s="33" t="s">
        <v>3149</v>
      </c>
      <c r="C2278" s="33" t="s">
        <v>3150</v>
      </c>
      <c r="D2278" s="35">
        <f>SUMIFS(D2279:D9015,K2279:K9015,"0",B2279:B9015,"5 1 1 1 3 12 31111 6 M59 20800*")-SUMIFS(E2279:E9015,K2279:K9015,"0",B2279:B9015,"5 1 1 1 3 12 31111 6 M59 20800*")</f>
        <v>0</v>
      </c>
      <c r="E2278"/>
      <c r="F2278" s="35">
        <f>SUMIFS(F2279:F9015,K2279:K9015,"0",B2279:B9015,"5 1 1 1 3 12 31111 6 M59 20800*")</f>
        <v>259452.1</v>
      </c>
      <c r="G2278" s="35">
        <f>SUMIFS(G2279:G9015,K2279:K9015,"0",B2279:B9015,"5 1 1 1 3 12 31111 6 M59 20800*")</f>
        <v>0</v>
      </c>
      <c r="H2278" s="35">
        <f t="shared" si="36"/>
        <v>259452.1</v>
      </c>
      <c r="I2278" s="35"/>
      <c r="K2278" t="s">
        <v>15</v>
      </c>
    </row>
    <row r="2279" spans="2:11" ht="24.75" x14ac:dyDescent="0.2">
      <c r="B2279" s="33" t="s">
        <v>3151</v>
      </c>
      <c r="C2279" s="33" t="s">
        <v>3152</v>
      </c>
      <c r="D2279" s="35">
        <f>SUMIFS(D2280:D9015,K2280:K9015,"0",B2280:B9015,"5 1 1 1 3 12 31111 6 M59 20800 000181*")-SUMIFS(E2280:E9015,K2280:K9015,"0",B2280:B9015,"5 1 1 1 3 12 31111 6 M59 20800 000181*")</f>
        <v>0</v>
      </c>
      <c r="E2279"/>
      <c r="F2279" s="35">
        <f>SUMIFS(F2280:F9015,K2280:K9015,"0",B2280:B9015,"5 1 1 1 3 12 31111 6 M59 20800 000181*")</f>
        <v>259452.1</v>
      </c>
      <c r="G2279" s="35">
        <f>SUMIFS(G2280:G9015,K2280:K9015,"0",B2280:B9015,"5 1 1 1 3 12 31111 6 M59 20800 000181*")</f>
        <v>0</v>
      </c>
      <c r="H2279" s="35">
        <f t="shared" si="36"/>
        <v>259452.1</v>
      </c>
      <c r="I2279" s="35"/>
      <c r="K2279" t="s">
        <v>15</v>
      </c>
    </row>
    <row r="2280" spans="2:11" ht="16.5" x14ac:dyDescent="0.2">
      <c r="B2280" s="33" t="s">
        <v>3153</v>
      </c>
      <c r="C2280" s="33" t="s">
        <v>650</v>
      </c>
      <c r="D2280" s="35">
        <f>SUMIFS(D2281:D9015,K2281:K9015,"0",B2281:B9015,"5 1 1 1 3 12 31111 6 M59 20800 000181 0000R*")-SUMIFS(E2281:E9015,K2281:K9015,"0",B2281:B9015,"5 1 1 1 3 12 31111 6 M59 20800 000181 0000R*")</f>
        <v>0</v>
      </c>
      <c r="E2280"/>
      <c r="F2280" s="35">
        <f>SUMIFS(F2281:F9015,K2281:K9015,"0",B2281:B9015,"5 1 1 1 3 12 31111 6 M59 20800 000181 0000R*")</f>
        <v>259452.1</v>
      </c>
      <c r="G2280" s="35">
        <f>SUMIFS(G2281:G9015,K2281:K9015,"0",B2281:B9015,"5 1 1 1 3 12 31111 6 M59 20800 000181 0000R*")</f>
        <v>0</v>
      </c>
      <c r="H2280" s="35">
        <f t="shared" si="36"/>
        <v>259452.1</v>
      </c>
      <c r="I2280" s="35"/>
      <c r="K2280" t="s">
        <v>15</v>
      </c>
    </row>
    <row r="2281" spans="2:11" ht="24.75" x14ac:dyDescent="0.2">
      <c r="B2281" s="33" t="s">
        <v>3154</v>
      </c>
      <c r="C2281" s="33" t="s">
        <v>282</v>
      </c>
      <c r="D2281" s="35">
        <f>SUMIFS(D2282:D9015,K2282:K9015,"0",B2282:B9015,"5 1 1 1 3 12 31111 6 M59 20800 000181 0000R 00001*")-SUMIFS(E2282:E9015,K2282:K9015,"0",B2282:B9015,"5 1 1 1 3 12 31111 6 M59 20800 000181 0000R 00001*")</f>
        <v>0</v>
      </c>
      <c r="E2281"/>
      <c r="F2281" s="35">
        <f>SUMIFS(F2282:F9015,K2282:K9015,"0",B2282:B9015,"5 1 1 1 3 12 31111 6 M59 20800 000181 0000R 00001*")</f>
        <v>259452.1</v>
      </c>
      <c r="G2281" s="35">
        <f>SUMIFS(G2282:G9015,K2282:K9015,"0",B2282:B9015,"5 1 1 1 3 12 31111 6 M59 20800 000181 0000R 00001*")</f>
        <v>0</v>
      </c>
      <c r="H2281" s="35">
        <f t="shared" si="36"/>
        <v>259452.1</v>
      </c>
      <c r="I2281" s="35"/>
      <c r="K2281" t="s">
        <v>15</v>
      </c>
    </row>
    <row r="2282" spans="2:11" ht="24.75" x14ac:dyDescent="0.2">
      <c r="B2282" s="33" t="s">
        <v>3155</v>
      </c>
      <c r="C2282" s="33" t="s">
        <v>2924</v>
      </c>
      <c r="D2282" s="35">
        <f>SUMIFS(D2283:D9015,K2283:K9015,"0",B2283:B9015,"5 1 1 1 3 12 31111 6 M59 20800 000181 0000R 00001 00113*")-SUMIFS(E2283:E9015,K2283:K9015,"0",B2283:B9015,"5 1 1 1 3 12 31111 6 M59 20800 000181 0000R 00001 00113*")</f>
        <v>0</v>
      </c>
      <c r="E2282"/>
      <c r="F2282" s="35">
        <f>SUMIFS(F2283:F9015,K2283:K9015,"0",B2283:B9015,"5 1 1 1 3 12 31111 6 M59 20800 000181 0000R 00001 00113*")</f>
        <v>259452.1</v>
      </c>
      <c r="G2282" s="35">
        <f>SUMIFS(G2283:G9015,K2283:K9015,"0",B2283:B9015,"5 1 1 1 3 12 31111 6 M59 20800 000181 0000R 00001 00113*")</f>
        <v>0</v>
      </c>
      <c r="H2282" s="35">
        <f t="shared" si="36"/>
        <v>259452.1</v>
      </c>
      <c r="I2282" s="35"/>
      <c r="K2282" t="s">
        <v>15</v>
      </c>
    </row>
    <row r="2283" spans="2:11" ht="24.75" x14ac:dyDescent="0.2">
      <c r="B2283" s="33" t="s">
        <v>3156</v>
      </c>
      <c r="C2283" s="33" t="s">
        <v>1051</v>
      </c>
      <c r="D2283" s="35">
        <f>SUMIFS(D2284:D9015,K2284:K9015,"0",B2284:B9015,"5 1 1 1 3 12 31111 6 M59 20800 000181 0000R 00001 00113 015*")-SUMIFS(E2284:E9015,K2284:K9015,"0",B2284:B9015,"5 1 1 1 3 12 31111 6 M59 20800 000181 0000R 00001 00113 015*")</f>
        <v>0</v>
      </c>
      <c r="E2283"/>
      <c r="F2283" s="35">
        <f>SUMIFS(F2284:F9015,K2284:K9015,"0",B2284:B9015,"5 1 1 1 3 12 31111 6 M59 20800 000181 0000R 00001 00113 015*")</f>
        <v>259452.1</v>
      </c>
      <c r="G2283" s="35">
        <f>SUMIFS(G2284:G9015,K2284:K9015,"0",B2284:B9015,"5 1 1 1 3 12 31111 6 M59 20800 000181 0000R 00001 00113 015*")</f>
        <v>0</v>
      </c>
      <c r="H2283" s="35">
        <f t="shared" si="36"/>
        <v>259452.1</v>
      </c>
      <c r="I2283" s="35"/>
      <c r="K2283" t="s">
        <v>15</v>
      </c>
    </row>
    <row r="2284" spans="2:11" ht="33" x14ac:dyDescent="0.2">
      <c r="B2284" s="33" t="s">
        <v>3157</v>
      </c>
      <c r="C2284" s="33" t="s">
        <v>2927</v>
      </c>
      <c r="D2284" s="35">
        <f>SUMIFS(D2285:D9015,K2285:K9015,"0",B2285:B9015,"5 1 1 1 3 12 31111 6 M59 20800 000181 0000R 00001 00113 015 2111100*")-SUMIFS(E2285:E9015,K2285:K9015,"0",B2285:B9015,"5 1 1 1 3 12 31111 6 M59 20800 000181 0000R 00001 00113 015 2111100*")</f>
        <v>0</v>
      </c>
      <c r="E2284"/>
      <c r="F2284" s="35">
        <f>SUMIFS(F2285:F9015,K2285:K9015,"0",B2285:B9015,"5 1 1 1 3 12 31111 6 M59 20800 000181 0000R 00001 00113 015 2111100*")</f>
        <v>259452.1</v>
      </c>
      <c r="G2284" s="35">
        <f>SUMIFS(G2285:G9015,K2285:K9015,"0",B2285:B9015,"5 1 1 1 3 12 31111 6 M59 20800 000181 0000R 00001 00113 015 2111100*")</f>
        <v>0</v>
      </c>
      <c r="H2284" s="35">
        <f t="shared" si="36"/>
        <v>259452.1</v>
      </c>
      <c r="I2284" s="35"/>
      <c r="K2284" t="s">
        <v>15</v>
      </c>
    </row>
    <row r="2285" spans="2:11" ht="33" x14ac:dyDescent="0.2">
      <c r="B2285" s="33" t="s">
        <v>3158</v>
      </c>
      <c r="C2285" s="33" t="s">
        <v>660</v>
      </c>
      <c r="D2285" s="35">
        <f>SUMIFS(D2286:D9015,K2286:K9015,"0",B2286:B9015,"5 1 1 1 3 12 31111 6 M59 20800 000181 0000R 00001 00113 015 2111100 2024*")-SUMIFS(E2286:E9015,K2286:K9015,"0",B2286:B9015,"5 1 1 1 3 12 31111 6 M59 20800 000181 0000R 00001 00113 015 2111100 2024*")</f>
        <v>0</v>
      </c>
      <c r="E2285"/>
      <c r="F2285" s="35">
        <f>SUMIFS(F2286:F9015,K2286:K9015,"0",B2286:B9015,"5 1 1 1 3 12 31111 6 M59 20800 000181 0000R 00001 00113 015 2111100 2024*")</f>
        <v>259452.1</v>
      </c>
      <c r="G2285" s="35">
        <f>SUMIFS(G2286:G9015,K2286:K9015,"0",B2286:B9015,"5 1 1 1 3 12 31111 6 M59 20800 000181 0000R 00001 00113 015 2111100 2024*")</f>
        <v>0</v>
      </c>
      <c r="H2285" s="35">
        <f t="shared" si="36"/>
        <v>259452.1</v>
      </c>
      <c r="I2285" s="35"/>
      <c r="K2285" t="s">
        <v>15</v>
      </c>
    </row>
    <row r="2286" spans="2:11" ht="41.25" x14ac:dyDescent="0.2">
      <c r="B2286" s="33" t="s">
        <v>3159</v>
      </c>
      <c r="C2286" s="33" t="s">
        <v>1056</v>
      </c>
      <c r="D2286" s="35">
        <f>SUMIFS(D2287:D9015,K2287:K9015,"0",B2287:B9015,"5 1 1 1 3 12 31111 6 M59 20800 000181 0000R 00001 00113 015 2111100 2024 CP1AA392*")-SUMIFS(E2287:E9015,K2287:K9015,"0",B2287:B9015,"5 1 1 1 3 12 31111 6 M59 20800 000181 0000R 00001 00113 015 2111100 2024 CP1AA392*")</f>
        <v>0</v>
      </c>
      <c r="E2286"/>
      <c r="F2286" s="35">
        <f>SUMIFS(F2287:F9015,K2287:K9015,"0",B2287:B9015,"5 1 1 1 3 12 31111 6 M59 20800 000181 0000R 00001 00113 015 2111100 2024 CP1AA392*")</f>
        <v>259452.1</v>
      </c>
      <c r="G2286" s="35">
        <f>SUMIFS(G2287:G9015,K2287:K9015,"0",B2287:B9015,"5 1 1 1 3 12 31111 6 M59 20800 000181 0000R 00001 00113 015 2111100 2024 CP1AA392*")</f>
        <v>0</v>
      </c>
      <c r="H2286" s="35">
        <f t="shared" si="36"/>
        <v>259452.1</v>
      </c>
      <c r="I2286" s="35"/>
      <c r="K2286" t="s">
        <v>15</v>
      </c>
    </row>
    <row r="2287" spans="2:11" ht="41.25" x14ac:dyDescent="0.2">
      <c r="B2287" s="33" t="s">
        <v>3160</v>
      </c>
      <c r="C2287" s="33" t="s">
        <v>282</v>
      </c>
      <c r="D2287" s="35">
        <f>SUMIFS(D2288:D9015,K2288:K9015,"0",B2288:B9015,"5 1 1 1 3 12 31111 6 M59 20800 000181 0000R 00001 00113 015 2111100 2024 CP1AA392 001*")-SUMIFS(E2288:E9015,K2288:K9015,"0",B2288:B9015,"5 1 1 1 3 12 31111 6 M59 20800 000181 0000R 00001 00113 015 2111100 2024 CP1AA392 001*")</f>
        <v>0</v>
      </c>
      <c r="E2287"/>
      <c r="F2287" s="35">
        <f>SUMIFS(F2288:F9015,K2288:K9015,"0",B2288:B9015,"5 1 1 1 3 12 31111 6 M59 20800 000181 0000R 00001 00113 015 2111100 2024 CP1AA392 001*")</f>
        <v>259452.1</v>
      </c>
      <c r="G2287" s="35">
        <f>SUMIFS(G2288:G9015,K2288:K9015,"0",B2288:B9015,"5 1 1 1 3 12 31111 6 M59 20800 000181 0000R 00001 00113 015 2111100 2024 CP1AA392 001*")</f>
        <v>0</v>
      </c>
      <c r="H2287" s="35">
        <f t="shared" si="36"/>
        <v>259452.1</v>
      </c>
      <c r="I2287" s="35"/>
      <c r="K2287" t="s">
        <v>15</v>
      </c>
    </row>
    <row r="2288" spans="2:11" ht="33" x14ac:dyDescent="0.2">
      <c r="B2288" s="31" t="s">
        <v>3161</v>
      </c>
      <c r="C2288" s="31" t="s">
        <v>2932</v>
      </c>
      <c r="D2288" s="34">
        <v>0</v>
      </c>
      <c r="E2288" s="34"/>
      <c r="F2288" s="34">
        <v>259452.1</v>
      </c>
      <c r="G2288" s="34">
        <v>0</v>
      </c>
      <c r="H2288" s="34">
        <f t="shared" si="36"/>
        <v>259452.1</v>
      </c>
      <c r="I2288" s="34"/>
      <c r="K2288" t="s">
        <v>38</v>
      </c>
    </row>
    <row r="2289" spans="2:11" ht="24.75" x14ac:dyDescent="0.2">
      <c r="B2289" s="33" t="s">
        <v>3162</v>
      </c>
      <c r="C2289" s="33" t="s">
        <v>3163</v>
      </c>
      <c r="D2289" s="35">
        <f>SUMIFS(D2290:D9015,K2290:K9015,"0",B2290:B9015,"5 1 1 1 3 12 31111 6 M59 21000*")-SUMIFS(E2290:E9015,K2290:K9015,"0",B2290:B9015,"5 1 1 1 3 12 31111 6 M59 21000*")</f>
        <v>0</v>
      </c>
      <c r="E2289"/>
      <c r="F2289" s="35">
        <f>SUMIFS(F2290:F9015,K2290:K9015,"0",B2290:B9015,"5 1 1 1 3 12 31111 6 M59 21000*")</f>
        <v>58891.91</v>
      </c>
      <c r="G2289" s="35">
        <f>SUMIFS(G2290:G9015,K2290:K9015,"0",B2290:B9015,"5 1 1 1 3 12 31111 6 M59 21000*")</f>
        <v>0</v>
      </c>
      <c r="H2289" s="35">
        <f t="shared" si="36"/>
        <v>58891.91</v>
      </c>
      <c r="I2289" s="35"/>
      <c r="K2289" t="s">
        <v>15</v>
      </c>
    </row>
    <row r="2290" spans="2:11" ht="16.5" x14ac:dyDescent="0.2">
      <c r="B2290" s="33" t="s">
        <v>3164</v>
      </c>
      <c r="C2290" s="33" t="s">
        <v>648</v>
      </c>
      <c r="D2290" s="35">
        <f>SUMIFS(D2291:D9015,K2291:K9015,"0",B2291:B9015,"5 1 1 1 3 12 31111 6 M59 21000 000132*")-SUMIFS(E2291:E9015,K2291:K9015,"0",B2291:B9015,"5 1 1 1 3 12 31111 6 M59 21000 000132*")</f>
        <v>0</v>
      </c>
      <c r="E2290"/>
      <c r="F2290" s="35">
        <f>SUMIFS(F2291:F9015,K2291:K9015,"0",B2291:B9015,"5 1 1 1 3 12 31111 6 M59 21000 000132*")</f>
        <v>58891.91</v>
      </c>
      <c r="G2290" s="35">
        <f>SUMIFS(G2291:G9015,K2291:K9015,"0",B2291:B9015,"5 1 1 1 3 12 31111 6 M59 21000 000132*")</f>
        <v>0</v>
      </c>
      <c r="H2290" s="35">
        <f t="shared" si="36"/>
        <v>58891.91</v>
      </c>
      <c r="I2290" s="35"/>
      <c r="K2290" t="s">
        <v>15</v>
      </c>
    </row>
    <row r="2291" spans="2:11" ht="16.5" x14ac:dyDescent="0.2">
      <c r="B2291" s="33" t="s">
        <v>3165</v>
      </c>
      <c r="C2291" s="33" t="s">
        <v>650</v>
      </c>
      <c r="D2291" s="35">
        <f>SUMIFS(D2292:D9015,K2292:K9015,"0",B2292:B9015,"5 1 1 1 3 12 31111 6 M59 21000 000132 0000R*")-SUMIFS(E2292:E9015,K2292:K9015,"0",B2292:B9015,"5 1 1 1 3 12 31111 6 M59 21000 000132 0000R*")</f>
        <v>0</v>
      </c>
      <c r="E2291"/>
      <c r="F2291" s="35">
        <f>SUMIFS(F2292:F9015,K2292:K9015,"0",B2292:B9015,"5 1 1 1 3 12 31111 6 M59 21000 000132 0000R*")</f>
        <v>58891.91</v>
      </c>
      <c r="G2291" s="35">
        <f>SUMIFS(G2292:G9015,K2292:K9015,"0",B2292:B9015,"5 1 1 1 3 12 31111 6 M59 21000 000132 0000R*")</f>
        <v>0</v>
      </c>
      <c r="H2291" s="35">
        <f t="shared" si="36"/>
        <v>58891.91</v>
      </c>
      <c r="I2291" s="35"/>
      <c r="K2291" t="s">
        <v>15</v>
      </c>
    </row>
    <row r="2292" spans="2:11" ht="24.75" x14ac:dyDescent="0.2">
      <c r="B2292" s="33" t="s">
        <v>3166</v>
      </c>
      <c r="C2292" s="33" t="s">
        <v>282</v>
      </c>
      <c r="D2292" s="35">
        <f>SUMIFS(D2293:D9015,K2293:K9015,"0",B2293:B9015,"5 1 1 1 3 12 31111 6 M59 21000 000132 0000R 00001*")-SUMIFS(E2293:E9015,K2293:K9015,"0",B2293:B9015,"5 1 1 1 3 12 31111 6 M59 21000 000132 0000R 00001*")</f>
        <v>0</v>
      </c>
      <c r="E2292"/>
      <c r="F2292" s="35">
        <f>SUMIFS(F2293:F9015,K2293:K9015,"0",B2293:B9015,"5 1 1 1 3 12 31111 6 M59 21000 000132 0000R 00001*")</f>
        <v>58891.91</v>
      </c>
      <c r="G2292" s="35">
        <f>SUMIFS(G2293:G9015,K2293:K9015,"0",B2293:B9015,"5 1 1 1 3 12 31111 6 M59 21000 000132 0000R 00001*")</f>
        <v>0</v>
      </c>
      <c r="H2292" s="35">
        <f t="shared" si="36"/>
        <v>58891.91</v>
      </c>
      <c r="I2292" s="35"/>
      <c r="K2292" t="s">
        <v>15</v>
      </c>
    </row>
    <row r="2293" spans="2:11" ht="24.75" x14ac:dyDescent="0.2">
      <c r="B2293" s="33" t="s">
        <v>3167</v>
      </c>
      <c r="C2293" s="33" t="s">
        <v>2924</v>
      </c>
      <c r="D2293" s="35">
        <f>SUMIFS(D2294:D9015,K2294:K9015,"0",B2294:B9015,"5 1 1 1 3 12 31111 6 M59 21000 000132 0000R 00001 00113*")-SUMIFS(E2294:E9015,K2294:K9015,"0",B2294:B9015,"5 1 1 1 3 12 31111 6 M59 21000 000132 0000R 00001 00113*")</f>
        <v>0</v>
      </c>
      <c r="E2293"/>
      <c r="F2293" s="35">
        <f>SUMIFS(F2294:F9015,K2294:K9015,"0",B2294:B9015,"5 1 1 1 3 12 31111 6 M59 21000 000132 0000R 00001 00113*")</f>
        <v>58891.91</v>
      </c>
      <c r="G2293" s="35">
        <f>SUMIFS(G2294:G9015,K2294:K9015,"0",B2294:B9015,"5 1 1 1 3 12 31111 6 M59 21000 000132 0000R 00001 00113*")</f>
        <v>0</v>
      </c>
      <c r="H2293" s="35">
        <f t="shared" si="36"/>
        <v>58891.91</v>
      </c>
      <c r="I2293" s="35"/>
      <c r="K2293" t="s">
        <v>15</v>
      </c>
    </row>
    <row r="2294" spans="2:11" ht="24.75" x14ac:dyDescent="0.2">
      <c r="B2294" s="33" t="s">
        <v>3168</v>
      </c>
      <c r="C2294" s="33" t="s">
        <v>1051</v>
      </c>
      <c r="D2294" s="35">
        <f>SUMIFS(D2295:D9015,K2295:K9015,"0",B2295:B9015,"5 1 1 1 3 12 31111 6 M59 21000 000132 0000R 00001 00113 015*")-SUMIFS(E2295:E9015,K2295:K9015,"0",B2295:B9015,"5 1 1 1 3 12 31111 6 M59 21000 000132 0000R 00001 00113 015*")</f>
        <v>0</v>
      </c>
      <c r="E2294"/>
      <c r="F2294" s="35">
        <f>SUMIFS(F2295:F9015,K2295:K9015,"0",B2295:B9015,"5 1 1 1 3 12 31111 6 M59 21000 000132 0000R 00001 00113 015*")</f>
        <v>58891.91</v>
      </c>
      <c r="G2294" s="35">
        <f>SUMIFS(G2295:G9015,K2295:K9015,"0",B2295:B9015,"5 1 1 1 3 12 31111 6 M59 21000 000132 0000R 00001 00113 015*")</f>
        <v>0</v>
      </c>
      <c r="H2294" s="35">
        <f t="shared" si="36"/>
        <v>58891.91</v>
      </c>
      <c r="I2294" s="35"/>
      <c r="K2294" t="s">
        <v>15</v>
      </c>
    </row>
    <row r="2295" spans="2:11" ht="33" x14ac:dyDescent="0.2">
      <c r="B2295" s="33" t="s">
        <v>3169</v>
      </c>
      <c r="C2295" s="33" t="s">
        <v>2927</v>
      </c>
      <c r="D2295" s="35">
        <f>SUMIFS(D2296:D9015,K2296:K9015,"0",B2296:B9015,"5 1 1 1 3 12 31111 6 M59 21000 000132 0000R 00001 00113 015 2111100*")-SUMIFS(E2296:E9015,K2296:K9015,"0",B2296:B9015,"5 1 1 1 3 12 31111 6 M59 21000 000132 0000R 00001 00113 015 2111100*")</f>
        <v>0</v>
      </c>
      <c r="E2295"/>
      <c r="F2295" s="35">
        <f>SUMIFS(F2296:F9015,K2296:K9015,"0",B2296:B9015,"5 1 1 1 3 12 31111 6 M59 21000 000132 0000R 00001 00113 015 2111100*")</f>
        <v>58891.91</v>
      </c>
      <c r="G2295" s="35">
        <f>SUMIFS(G2296:G9015,K2296:K9015,"0",B2296:B9015,"5 1 1 1 3 12 31111 6 M59 21000 000132 0000R 00001 00113 015 2111100*")</f>
        <v>0</v>
      </c>
      <c r="H2295" s="35">
        <f t="shared" si="36"/>
        <v>58891.91</v>
      </c>
      <c r="I2295" s="35"/>
      <c r="K2295" t="s">
        <v>15</v>
      </c>
    </row>
    <row r="2296" spans="2:11" ht="33" x14ac:dyDescent="0.2">
      <c r="B2296" s="33" t="s">
        <v>3170</v>
      </c>
      <c r="C2296" s="33" t="s">
        <v>660</v>
      </c>
      <c r="D2296" s="35">
        <f>SUMIFS(D2297:D9015,K2297:K9015,"0",B2297:B9015,"5 1 1 1 3 12 31111 6 M59 21000 000132 0000R 00001 00113 015 2111100 2024*")-SUMIFS(E2297:E9015,K2297:K9015,"0",B2297:B9015,"5 1 1 1 3 12 31111 6 M59 21000 000132 0000R 00001 00113 015 2111100 2024*")</f>
        <v>0</v>
      </c>
      <c r="E2296"/>
      <c r="F2296" s="35">
        <f>SUMIFS(F2297:F9015,K2297:K9015,"0",B2297:B9015,"5 1 1 1 3 12 31111 6 M59 21000 000132 0000R 00001 00113 015 2111100 2024*")</f>
        <v>58891.91</v>
      </c>
      <c r="G2296" s="35">
        <f>SUMIFS(G2297:G9015,K2297:K9015,"0",B2297:B9015,"5 1 1 1 3 12 31111 6 M59 21000 000132 0000R 00001 00113 015 2111100 2024*")</f>
        <v>0</v>
      </c>
      <c r="H2296" s="35">
        <f t="shared" si="36"/>
        <v>58891.91</v>
      </c>
      <c r="I2296" s="35"/>
      <c r="K2296" t="s">
        <v>15</v>
      </c>
    </row>
    <row r="2297" spans="2:11" ht="41.25" x14ac:dyDescent="0.2">
      <c r="B2297" s="33" t="s">
        <v>3171</v>
      </c>
      <c r="C2297" s="33" t="s">
        <v>1056</v>
      </c>
      <c r="D2297" s="35">
        <f>SUMIFS(D2298:D9015,K2298:K9015,"0",B2298:B9015,"5 1 1 1 3 12 31111 6 M59 21000 000132 0000R 00001 00113 015 2111100 2024 CP1PP402*")-SUMIFS(E2298:E9015,K2298:K9015,"0",B2298:B9015,"5 1 1 1 3 12 31111 6 M59 21000 000132 0000R 00001 00113 015 2111100 2024 CP1PP402*")</f>
        <v>0</v>
      </c>
      <c r="E2297"/>
      <c r="F2297" s="35">
        <f>SUMIFS(F2298:F9015,K2298:K9015,"0",B2298:B9015,"5 1 1 1 3 12 31111 6 M59 21000 000132 0000R 00001 00113 015 2111100 2024 CP1PP402*")</f>
        <v>58891.91</v>
      </c>
      <c r="G2297" s="35">
        <f>SUMIFS(G2298:G9015,K2298:K9015,"0",B2298:B9015,"5 1 1 1 3 12 31111 6 M59 21000 000132 0000R 00001 00113 015 2111100 2024 CP1PP402*")</f>
        <v>0</v>
      </c>
      <c r="H2297" s="35">
        <f t="shared" si="36"/>
        <v>58891.91</v>
      </c>
      <c r="I2297" s="35"/>
      <c r="K2297" t="s">
        <v>15</v>
      </c>
    </row>
    <row r="2298" spans="2:11" ht="41.25" x14ac:dyDescent="0.2">
      <c r="B2298" s="33" t="s">
        <v>3172</v>
      </c>
      <c r="C2298" s="33" t="s">
        <v>282</v>
      </c>
      <c r="D2298" s="35">
        <f>SUMIFS(D2299:D9015,K2299:K9015,"0",B2299:B9015,"5 1 1 1 3 12 31111 6 M59 21000 000132 0000R 00001 00113 015 2111100 2024 CP1PP402 001*")-SUMIFS(E2299:E9015,K2299:K9015,"0",B2299:B9015,"5 1 1 1 3 12 31111 6 M59 21000 000132 0000R 00001 00113 015 2111100 2024 CP1PP402 001*")</f>
        <v>0</v>
      </c>
      <c r="E2298"/>
      <c r="F2298" s="35">
        <f>SUMIFS(F2299:F9015,K2299:K9015,"0",B2299:B9015,"5 1 1 1 3 12 31111 6 M59 21000 000132 0000R 00001 00113 015 2111100 2024 CP1PP402 001*")</f>
        <v>58891.91</v>
      </c>
      <c r="G2298" s="35">
        <f>SUMIFS(G2299:G9015,K2299:K9015,"0",B2299:B9015,"5 1 1 1 3 12 31111 6 M59 21000 000132 0000R 00001 00113 015 2111100 2024 CP1PP402 001*")</f>
        <v>0</v>
      </c>
      <c r="H2298" s="35">
        <f t="shared" si="36"/>
        <v>58891.91</v>
      </c>
      <c r="I2298" s="35"/>
      <c r="K2298" t="s">
        <v>15</v>
      </c>
    </row>
    <row r="2299" spans="2:11" ht="33" x14ac:dyDescent="0.2">
      <c r="B2299" s="31" t="s">
        <v>3173</v>
      </c>
      <c r="C2299" s="31" t="s">
        <v>2932</v>
      </c>
      <c r="D2299" s="34">
        <v>0</v>
      </c>
      <c r="E2299" s="34"/>
      <c r="F2299" s="34">
        <v>58891.91</v>
      </c>
      <c r="G2299" s="34">
        <v>0</v>
      </c>
      <c r="H2299" s="34">
        <f t="shared" si="36"/>
        <v>58891.91</v>
      </c>
      <c r="I2299" s="34"/>
      <c r="K2299" t="s">
        <v>38</v>
      </c>
    </row>
    <row r="2300" spans="2:11" ht="24.75" x14ac:dyDescent="0.2">
      <c r="B2300" s="33" t="s">
        <v>3174</v>
      </c>
      <c r="C2300" s="33" t="s">
        <v>3175</v>
      </c>
      <c r="D2300" s="35">
        <f>SUMIFS(D2301:D9015,K2301:K9015,"0",B2301:B9015,"5 1 1 1 3 12 31111 6 M59 22000*")-SUMIFS(E2301:E9015,K2301:K9015,"0",B2301:B9015,"5 1 1 1 3 12 31111 6 M59 22000*")</f>
        <v>0</v>
      </c>
      <c r="E2300"/>
      <c r="F2300" s="35">
        <f>SUMIFS(F2301:F9015,K2301:K9015,"0",B2301:B9015,"5 1 1 1 3 12 31111 6 M59 22000*")</f>
        <v>54758.22</v>
      </c>
      <c r="G2300" s="35">
        <f>SUMIFS(G2301:G9015,K2301:K9015,"0",B2301:B9015,"5 1 1 1 3 12 31111 6 M59 22000*")</f>
        <v>0</v>
      </c>
      <c r="H2300" s="35">
        <f t="shared" si="36"/>
        <v>54758.22</v>
      </c>
      <c r="I2300" s="35"/>
      <c r="K2300" t="s">
        <v>15</v>
      </c>
    </row>
    <row r="2301" spans="2:11" ht="16.5" x14ac:dyDescent="0.2">
      <c r="B2301" s="33" t="s">
        <v>3176</v>
      </c>
      <c r="C2301" s="33" t="s">
        <v>648</v>
      </c>
      <c r="D2301" s="35">
        <f>SUMIFS(D2302:D9015,K2302:K9015,"0",B2302:B9015,"5 1 1 1 3 12 31111 6 M59 22000 000132*")-SUMIFS(E2302:E9015,K2302:K9015,"0",B2302:B9015,"5 1 1 1 3 12 31111 6 M59 22000 000132*")</f>
        <v>0</v>
      </c>
      <c r="E2301"/>
      <c r="F2301" s="35">
        <f>SUMIFS(F2302:F9015,K2302:K9015,"0",B2302:B9015,"5 1 1 1 3 12 31111 6 M59 22000 000132*")</f>
        <v>54758.22</v>
      </c>
      <c r="G2301" s="35">
        <f>SUMIFS(G2302:G9015,K2302:K9015,"0",B2302:B9015,"5 1 1 1 3 12 31111 6 M59 22000 000132*")</f>
        <v>0</v>
      </c>
      <c r="H2301" s="35">
        <f t="shared" si="36"/>
        <v>54758.22</v>
      </c>
      <c r="I2301" s="35"/>
      <c r="K2301" t="s">
        <v>15</v>
      </c>
    </row>
    <row r="2302" spans="2:11" ht="16.5" x14ac:dyDescent="0.2">
      <c r="B2302" s="33" t="s">
        <v>3177</v>
      </c>
      <c r="C2302" s="33" t="s">
        <v>650</v>
      </c>
      <c r="D2302" s="35">
        <f>SUMIFS(D2303:D9015,K2303:K9015,"0",B2303:B9015,"5 1 1 1 3 12 31111 6 M59 22000 000132 0000R*")-SUMIFS(E2303:E9015,K2303:K9015,"0",B2303:B9015,"5 1 1 1 3 12 31111 6 M59 22000 000132 0000R*")</f>
        <v>0</v>
      </c>
      <c r="E2302"/>
      <c r="F2302" s="35">
        <f>SUMIFS(F2303:F9015,K2303:K9015,"0",B2303:B9015,"5 1 1 1 3 12 31111 6 M59 22000 000132 0000R*")</f>
        <v>54758.22</v>
      </c>
      <c r="G2302" s="35">
        <f>SUMIFS(G2303:G9015,K2303:K9015,"0",B2303:B9015,"5 1 1 1 3 12 31111 6 M59 22000 000132 0000R*")</f>
        <v>0</v>
      </c>
      <c r="H2302" s="35">
        <f t="shared" si="36"/>
        <v>54758.22</v>
      </c>
      <c r="I2302" s="35"/>
      <c r="K2302" t="s">
        <v>15</v>
      </c>
    </row>
    <row r="2303" spans="2:11" ht="24.75" x14ac:dyDescent="0.2">
      <c r="B2303" s="33" t="s">
        <v>3178</v>
      </c>
      <c r="C2303" s="33" t="s">
        <v>282</v>
      </c>
      <c r="D2303" s="35">
        <f>SUMIFS(D2304:D9015,K2304:K9015,"0",B2304:B9015,"5 1 1 1 3 12 31111 6 M59 22000 000132 0000R 00001*")-SUMIFS(E2304:E9015,K2304:K9015,"0",B2304:B9015,"5 1 1 1 3 12 31111 6 M59 22000 000132 0000R 00001*")</f>
        <v>0</v>
      </c>
      <c r="E2303"/>
      <c r="F2303" s="35">
        <f>SUMIFS(F2304:F9015,K2304:K9015,"0",B2304:B9015,"5 1 1 1 3 12 31111 6 M59 22000 000132 0000R 00001*")</f>
        <v>54758.22</v>
      </c>
      <c r="G2303" s="35">
        <f>SUMIFS(G2304:G9015,K2304:K9015,"0",B2304:B9015,"5 1 1 1 3 12 31111 6 M59 22000 000132 0000R 00001*")</f>
        <v>0</v>
      </c>
      <c r="H2303" s="35">
        <f t="shared" si="36"/>
        <v>54758.22</v>
      </c>
      <c r="I2303" s="35"/>
      <c r="K2303" t="s">
        <v>15</v>
      </c>
    </row>
    <row r="2304" spans="2:11" ht="24.75" x14ac:dyDescent="0.2">
      <c r="B2304" s="33" t="s">
        <v>3179</v>
      </c>
      <c r="C2304" s="33" t="s">
        <v>2924</v>
      </c>
      <c r="D2304" s="35">
        <f>SUMIFS(D2305:D9015,K2305:K9015,"0",B2305:B9015,"5 1 1 1 3 12 31111 6 M59 22000 000132 0000R 00001 00113*")-SUMIFS(E2305:E9015,K2305:K9015,"0",B2305:B9015,"5 1 1 1 3 12 31111 6 M59 22000 000132 0000R 00001 00113*")</f>
        <v>0</v>
      </c>
      <c r="E2304"/>
      <c r="F2304" s="35">
        <f>SUMIFS(F2305:F9015,K2305:K9015,"0",B2305:B9015,"5 1 1 1 3 12 31111 6 M59 22000 000132 0000R 00001 00113*")</f>
        <v>54758.22</v>
      </c>
      <c r="G2304" s="35">
        <f>SUMIFS(G2305:G9015,K2305:K9015,"0",B2305:B9015,"5 1 1 1 3 12 31111 6 M59 22000 000132 0000R 00001 00113*")</f>
        <v>0</v>
      </c>
      <c r="H2304" s="35">
        <f t="shared" si="36"/>
        <v>54758.22</v>
      </c>
      <c r="I2304" s="35"/>
      <c r="K2304" t="s">
        <v>15</v>
      </c>
    </row>
    <row r="2305" spans="2:11" ht="24.75" x14ac:dyDescent="0.2">
      <c r="B2305" s="33" t="s">
        <v>3180</v>
      </c>
      <c r="C2305" s="33" t="s">
        <v>1051</v>
      </c>
      <c r="D2305" s="35">
        <f>SUMIFS(D2306:D9015,K2306:K9015,"0",B2306:B9015,"5 1 1 1 3 12 31111 6 M59 22000 000132 0000R 00001 00113 015*")-SUMIFS(E2306:E9015,K2306:K9015,"0",B2306:B9015,"5 1 1 1 3 12 31111 6 M59 22000 000132 0000R 00001 00113 015*")</f>
        <v>0</v>
      </c>
      <c r="E2305"/>
      <c r="F2305" s="35">
        <f>SUMIFS(F2306:F9015,K2306:K9015,"0",B2306:B9015,"5 1 1 1 3 12 31111 6 M59 22000 000132 0000R 00001 00113 015*")</f>
        <v>54758.22</v>
      </c>
      <c r="G2305" s="35">
        <f>SUMIFS(G2306:G9015,K2306:K9015,"0",B2306:B9015,"5 1 1 1 3 12 31111 6 M59 22000 000132 0000R 00001 00113 015*")</f>
        <v>0</v>
      </c>
      <c r="H2305" s="35">
        <f t="shared" si="36"/>
        <v>54758.22</v>
      </c>
      <c r="I2305" s="35"/>
      <c r="K2305" t="s">
        <v>15</v>
      </c>
    </row>
    <row r="2306" spans="2:11" ht="33" x14ac:dyDescent="0.2">
      <c r="B2306" s="33" t="s">
        <v>3181</v>
      </c>
      <c r="C2306" s="33" t="s">
        <v>2927</v>
      </c>
      <c r="D2306" s="35">
        <f>SUMIFS(D2307:D9015,K2307:K9015,"0",B2307:B9015,"5 1 1 1 3 12 31111 6 M59 22000 000132 0000R 00001 00113 015 2111100*")-SUMIFS(E2307:E9015,K2307:K9015,"0",B2307:B9015,"5 1 1 1 3 12 31111 6 M59 22000 000132 0000R 00001 00113 015 2111100*")</f>
        <v>0</v>
      </c>
      <c r="E2306"/>
      <c r="F2306" s="35">
        <f>SUMIFS(F2307:F9015,K2307:K9015,"0",B2307:B9015,"5 1 1 1 3 12 31111 6 M59 22000 000132 0000R 00001 00113 015 2111100*")</f>
        <v>54758.22</v>
      </c>
      <c r="G2306" s="35">
        <f>SUMIFS(G2307:G9015,K2307:K9015,"0",B2307:B9015,"5 1 1 1 3 12 31111 6 M59 22000 000132 0000R 00001 00113 015 2111100*")</f>
        <v>0</v>
      </c>
      <c r="H2306" s="35">
        <f t="shared" si="36"/>
        <v>54758.22</v>
      </c>
      <c r="I2306" s="35"/>
      <c r="K2306" t="s">
        <v>15</v>
      </c>
    </row>
    <row r="2307" spans="2:11" ht="33" x14ac:dyDescent="0.2">
      <c r="B2307" s="33" t="s">
        <v>3182</v>
      </c>
      <c r="C2307" s="33" t="s">
        <v>660</v>
      </c>
      <c r="D2307" s="35">
        <f>SUMIFS(D2308:D9015,K2308:K9015,"0",B2308:B9015,"5 1 1 1 3 12 31111 6 M59 22000 000132 0000R 00001 00113 015 2111100 2024*")-SUMIFS(E2308:E9015,K2308:K9015,"0",B2308:B9015,"5 1 1 1 3 12 31111 6 M59 22000 000132 0000R 00001 00113 015 2111100 2024*")</f>
        <v>0</v>
      </c>
      <c r="E2307"/>
      <c r="F2307" s="35">
        <f>SUMIFS(F2308:F9015,K2308:K9015,"0",B2308:B9015,"5 1 1 1 3 12 31111 6 M59 22000 000132 0000R 00001 00113 015 2111100 2024*")</f>
        <v>54758.22</v>
      </c>
      <c r="G2307" s="35">
        <f>SUMIFS(G2308:G9015,K2308:K9015,"0",B2308:B9015,"5 1 1 1 3 12 31111 6 M59 22000 000132 0000R 00001 00113 015 2111100 2024*")</f>
        <v>0</v>
      </c>
      <c r="H2307" s="35">
        <f t="shared" si="36"/>
        <v>54758.22</v>
      </c>
      <c r="I2307" s="35"/>
      <c r="K2307" t="s">
        <v>15</v>
      </c>
    </row>
    <row r="2308" spans="2:11" ht="41.25" x14ac:dyDescent="0.2">
      <c r="B2308" s="33" t="s">
        <v>3183</v>
      </c>
      <c r="C2308" s="33" t="s">
        <v>1056</v>
      </c>
      <c r="D2308" s="35">
        <f>SUMIFS(D2309:D9015,K2309:K9015,"0",B2309:B9015,"5 1 1 1 3 12 31111 6 M59 22000 000132 0000R 00001 00113 015 2111100 2024 CP1PL384*")-SUMIFS(E2309:E9015,K2309:K9015,"0",B2309:B9015,"5 1 1 1 3 12 31111 6 M59 22000 000132 0000R 00001 00113 015 2111100 2024 CP1PL384*")</f>
        <v>0</v>
      </c>
      <c r="E2308"/>
      <c r="F2308" s="35">
        <f>SUMIFS(F2309:F9015,K2309:K9015,"0",B2309:B9015,"5 1 1 1 3 12 31111 6 M59 22000 000132 0000R 00001 00113 015 2111100 2024 CP1PL384*")</f>
        <v>54758.22</v>
      </c>
      <c r="G2308" s="35">
        <f>SUMIFS(G2309:G9015,K2309:K9015,"0",B2309:B9015,"5 1 1 1 3 12 31111 6 M59 22000 000132 0000R 00001 00113 015 2111100 2024 CP1PL384*")</f>
        <v>0</v>
      </c>
      <c r="H2308" s="35">
        <f t="shared" ref="H2308:H2371" si="37">D2308 + F2308 - G2308</f>
        <v>54758.22</v>
      </c>
      <c r="I2308" s="35"/>
      <c r="K2308" t="s">
        <v>15</v>
      </c>
    </row>
    <row r="2309" spans="2:11" ht="41.25" x14ac:dyDescent="0.2">
      <c r="B2309" s="33" t="s">
        <v>3184</v>
      </c>
      <c r="C2309" s="33" t="s">
        <v>282</v>
      </c>
      <c r="D2309" s="35">
        <f>SUMIFS(D2310:D9015,K2310:K9015,"0",B2310:B9015,"5 1 1 1 3 12 31111 6 M59 22000 000132 0000R 00001 00113 015 2111100 2024 CP1PL384 001*")-SUMIFS(E2310:E9015,K2310:K9015,"0",B2310:B9015,"5 1 1 1 3 12 31111 6 M59 22000 000132 0000R 00001 00113 015 2111100 2024 CP1PL384 001*")</f>
        <v>0</v>
      </c>
      <c r="E2309"/>
      <c r="F2309" s="35">
        <f>SUMIFS(F2310:F9015,K2310:K9015,"0",B2310:B9015,"5 1 1 1 3 12 31111 6 M59 22000 000132 0000R 00001 00113 015 2111100 2024 CP1PL384 001*")</f>
        <v>54758.22</v>
      </c>
      <c r="G2309" s="35">
        <f>SUMIFS(G2310:G9015,K2310:K9015,"0",B2310:B9015,"5 1 1 1 3 12 31111 6 M59 22000 000132 0000R 00001 00113 015 2111100 2024 CP1PL384 001*")</f>
        <v>0</v>
      </c>
      <c r="H2309" s="35">
        <f t="shared" si="37"/>
        <v>54758.22</v>
      </c>
      <c r="I2309" s="35"/>
      <c r="K2309" t="s">
        <v>15</v>
      </c>
    </row>
    <row r="2310" spans="2:11" ht="41.25" x14ac:dyDescent="0.2">
      <c r="B2310" s="31" t="s">
        <v>3185</v>
      </c>
      <c r="C2310" s="31" t="s">
        <v>2932</v>
      </c>
      <c r="D2310" s="34">
        <v>0</v>
      </c>
      <c r="E2310" s="34"/>
      <c r="F2310" s="34">
        <v>54758.22</v>
      </c>
      <c r="G2310" s="34">
        <v>0</v>
      </c>
      <c r="H2310" s="34">
        <f t="shared" si="37"/>
        <v>54758.22</v>
      </c>
      <c r="I2310" s="34"/>
      <c r="K2310" t="s">
        <v>38</v>
      </c>
    </row>
    <row r="2311" spans="2:11" ht="16.5" x14ac:dyDescent="0.2">
      <c r="B2311" s="33" t="s">
        <v>3186</v>
      </c>
      <c r="C2311" s="33" t="s">
        <v>3187</v>
      </c>
      <c r="D2311" s="35">
        <f>SUMIFS(D2312:D9015,K2312:K9015,"0",B2312:B9015,"5 1 1 1 3 12 31111 6 M59 23000*")-SUMIFS(E2312:E9015,K2312:K9015,"0",B2312:B9015,"5 1 1 1 3 12 31111 6 M59 23000*")</f>
        <v>0</v>
      </c>
      <c r="E2311"/>
      <c r="F2311" s="35">
        <f>SUMIFS(F2312:F9015,K2312:K9015,"0",B2312:B9015,"5 1 1 1 3 12 31111 6 M59 23000*")</f>
        <v>30652.58</v>
      </c>
      <c r="G2311" s="35">
        <f>SUMIFS(G2312:G9015,K2312:K9015,"0",B2312:B9015,"5 1 1 1 3 12 31111 6 M59 23000*")</f>
        <v>0</v>
      </c>
      <c r="H2311" s="35">
        <f t="shared" si="37"/>
        <v>30652.58</v>
      </c>
      <c r="I2311" s="35"/>
      <c r="K2311" t="s">
        <v>15</v>
      </c>
    </row>
    <row r="2312" spans="2:11" ht="16.5" x14ac:dyDescent="0.2">
      <c r="B2312" s="33" t="s">
        <v>3188</v>
      </c>
      <c r="C2312" s="33" t="s">
        <v>648</v>
      </c>
      <c r="D2312" s="35">
        <f>SUMIFS(D2313:D9015,K2313:K9015,"0",B2313:B9015,"5 1 1 1 3 12 31111 6 M59 23000 000132*")-SUMIFS(E2313:E9015,K2313:K9015,"0",B2313:B9015,"5 1 1 1 3 12 31111 6 M59 23000 000132*")</f>
        <v>0</v>
      </c>
      <c r="E2312"/>
      <c r="F2312" s="35">
        <f>SUMIFS(F2313:F9015,K2313:K9015,"0",B2313:B9015,"5 1 1 1 3 12 31111 6 M59 23000 000132*")</f>
        <v>30652.58</v>
      </c>
      <c r="G2312" s="35">
        <f>SUMIFS(G2313:G9015,K2313:K9015,"0",B2313:B9015,"5 1 1 1 3 12 31111 6 M59 23000 000132*")</f>
        <v>0</v>
      </c>
      <c r="H2312" s="35">
        <f t="shared" si="37"/>
        <v>30652.58</v>
      </c>
      <c r="I2312" s="35"/>
      <c r="K2312" t="s">
        <v>15</v>
      </c>
    </row>
    <row r="2313" spans="2:11" ht="16.5" x14ac:dyDescent="0.2">
      <c r="B2313" s="33" t="s">
        <v>3189</v>
      </c>
      <c r="C2313" s="33" t="s">
        <v>650</v>
      </c>
      <c r="D2313" s="35">
        <f>SUMIFS(D2314:D9015,K2314:K9015,"0",B2314:B9015,"5 1 1 1 3 12 31111 6 M59 23000 000132 0000R*")-SUMIFS(E2314:E9015,K2314:K9015,"0",B2314:B9015,"5 1 1 1 3 12 31111 6 M59 23000 000132 0000R*")</f>
        <v>0</v>
      </c>
      <c r="E2313"/>
      <c r="F2313" s="35">
        <f>SUMIFS(F2314:F9015,K2314:K9015,"0",B2314:B9015,"5 1 1 1 3 12 31111 6 M59 23000 000132 0000R*")</f>
        <v>30652.58</v>
      </c>
      <c r="G2313" s="35">
        <f>SUMIFS(G2314:G9015,K2314:K9015,"0",B2314:B9015,"5 1 1 1 3 12 31111 6 M59 23000 000132 0000R*")</f>
        <v>0</v>
      </c>
      <c r="H2313" s="35">
        <f t="shared" si="37"/>
        <v>30652.58</v>
      </c>
      <c r="I2313" s="35"/>
      <c r="K2313" t="s">
        <v>15</v>
      </c>
    </row>
    <row r="2314" spans="2:11" ht="24.75" x14ac:dyDescent="0.2">
      <c r="B2314" s="33" t="s">
        <v>3190</v>
      </c>
      <c r="C2314" s="33" t="s">
        <v>282</v>
      </c>
      <c r="D2314" s="35">
        <f>SUMIFS(D2315:D9015,K2315:K9015,"0",B2315:B9015,"5 1 1 1 3 12 31111 6 M59 23000 000132 0000R 00001*")-SUMIFS(E2315:E9015,K2315:K9015,"0",B2315:B9015,"5 1 1 1 3 12 31111 6 M59 23000 000132 0000R 00001*")</f>
        <v>0</v>
      </c>
      <c r="E2314"/>
      <c r="F2314" s="35">
        <f>SUMIFS(F2315:F9015,K2315:K9015,"0",B2315:B9015,"5 1 1 1 3 12 31111 6 M59 23000 000132 0000R 00001*")</f>
        <v>30652.58</v>
      </c>
      <c r="G2314" s="35">
        <f>SUMIFS(G2315:G9015,K2315:K9015,"0",B2315:B9015,"5 1 1 1 3 12 31111 6 M59 23000 000132 0000R 00001*")</f>
        <v>0</v>
      </c>
      <c r="H2314" s="35">
        <f t="shared" si="37"/>
        <v>30652.58</v>
      </c>
      <c r="I2314" s="35"/>
      <c r="K2314" t="s">
        <v>15</v>
      </c>
    </row>
    <row r="2315" spans="2:11" ht="24.75" x14ac:dyDescent="0.2">
      <c r="B2315" s="33" t="s">
        <v>3191</v>
      </c>
      <c r="C2315" s="33" t="s">
        <v>2924</v>
      </c>
      <c r="D2315" s="35">
        <f>SUMIFS(D2316:D9015,K2316:K9015,"0",B2316:B9015,"5 1 1 1 3 12 31111 6 M59 23000 000132 0000R 00001 00113*")-SUMIFS(E2316:E9015,K2316:K9015,"0",B2316:B9015,"5 1 1 1 3 12 31111 6 M59 23000 000132 0000R 00001 00113*")</f>
        <v>0</v>
      </c>
      <c r="E2315"/>
      <c r="F2315" s="35">
        <f>SUMIFS(F2316:F9015,K2316:K9015,"0",B2316:B9015,"5 1 1 1 3 12 31111 6 M59 23000 000132 0000R 00001 00113*")</f>
        <v>30652.58</v>
      </c>
      <c r="G2315" s="35">
        <f>SUMIFS(G2316:G9015,K2316:K9015,"0",B2316:B9015,"5 1 1 1 3 12 31111 6 M59 23000 000132 0000R 00001 00113*")</f>
        <v>0</v>
      </c>
      <c r="H2315" s="35">
        <f t="shared" si="37"/>
        <v>30652.58</v>
      </c>
      <c r="I2315" s="35"/>
      <c r="K2315" t="s">
        <v>15</v>
      </c>
    </row>
    <row r="2316" spans="2:11" ht="24.75" x14ac:dyDescent="0.2">
      <c r="B2316" s="33" t="s">
        <v>3192</v>
      </c>
      <c r="C2316" s="33" t="s">
        <v>1051</v>
      </c>
      <c r="D2316" s="35">
        <f>SUMIFS(D2317:D9015,K2317:K9015,"0",B2317:B9015,"5 1 1 1 3 12 31111 6 M59 23000 000132 0000R 00001 00113 015*")-SUMIFS(E2317:E9015,K2317:K9015,"0",B2317:B9015,"5 1 1 1 3 12 31111 6 M59 23000 000132 0000R 00001 00113 015*")</f>
        <v>0</v>
      </c>
      <c r="E2316"/>
      <c r="F2316" s="35">
        <f>SUMIFS(F2317:F9015,K2317:K9015,"0",B2317:B9015,"5 1 1 1 3 12 31111 6 M59 23000 000132 0000R 00001 00113 015*")</f>
        <v>30652.58</v>
      </c>
      <c r="G2316" s="35">
        <f>SUMIFS(G2317:G9015,K2317:K9015,"0",B2317:B9015,"5 1 1 1 3 12 31111 6 M59 23000 000132 0000R 00001 00113 015*")</f>
        <v>0</v>
      </c>
      <c r="H2316" s="35">
        <f t="shared" si="37"/>
        <v>30652.58</v>
      </c>
      <c r="I2316" s="35"/>
      <c r="K2316" t="s">
        <v>15</v>
      </c>
    </row>
    <row r="2317" spans="2:11" ht="33" x14ac:dyDescent="0.2">
      <c r="B2317" s="33" t="s">
        <v>3193</v>
      </c>
      <c r="C2317" s="33" t="s">
        <v>2927</v>
      </c>
      <c r="D2317" s="35">
        <f>SUMIFS(D2318:D9015,K2318:K9015,"0",B2318:B9015,"5 1 1 1 3 12 31111 6 M59 23000 000132 0000R 00001 00113 015 2111100*")-SUMIFS(E2318:E9015,K2318:K9015,"0",B2318:B9015,"5 1 1 1 3 12 31111 6 M59 23000 000132 0000R 00001 00113 015 2111100*")</f>
        <v>0</v>
      </c>
      <c r="E2317"/>
      <c r="F2317" s="35">
        <f>SUMIFS(F2318:F9015,K2318:K9015,"0",B2318:B9015,"5 1 1 1 3 12 31111 6 M59 23000 000132 0000R 00001 00113 015 2111100*")</f>
        <v>30652.58</v>
      </c>
      <c r="G2317" s="35">
        <f>SUMIFS(G2318:G9015,K2318:K9015,"0",B2318:B9015,"5 1 1 1 3 12 31111 6 M59 23000 000132 0000R 00001 00113 015 2111100*")</f>
        <v>0</v>
      </c>
      <c r="H2317" s="35">
        <f t="shared" si="37"/>
        <v>30652.58</v>
      </c>
      <c r="I2317" s="35"/>
      <c r="K2317" t="s">
        <v>15</v>
      </c>
    </row>
    <row r="2318" spans="2:11" ht="33" x14ac:dyDescent="0.2">
      <c r="B2318" s="33" t="s">
        <v>3194</v>
      </c>
      <c r="C2318" s="33" t="s">
        <v>660</v>
      </c>
      <c r="D2318" s="35">
        <f>SUMIFS(D2319:D9015,K2319:K9015,"0",B2319:B9015,"5 1 1 1 3 12 31111 6 M59 23000 000132 0000R 00001 00113 015 2111100 2024*")-SUMIFS(E2319:E9015,K2319:K9015,"0",B2319:B9015,"5 1 1 1 3 12 31111 6 M59 23000 000132 0000R 00001 00113 015 2111100 2024*")</f>
        <v>0</v>
      </c>
      <c r="E2318"/>
      <c r="F2318" s="35">
        <f>SUMIFS(F2319:F9015,K2319:K9015,"0",B2319:B9015,"5 1 1 1 3 12 31111 6 M59 23000 000132 0000R 00001 00113 015 2111100 2024*")</f>
        <v>30652.58</v>
      </c>
      <c r="G2318" s="35">
        <f>SUMIFS(G2319:G9015,K2319:K9015,"0",B2319:B9015,"5 1 1 1 3 12 31111 6 M59 23000 000132 0000R 00001 00113 015 2111100 2024*")</f>
        <v>0</v>
      </c>
      <c r="H2318" s="35">
        <f t="shared" si="37"/>
        <v>30652.58</v>
      </c>
      <c r="I2318" s="35"/>
      <c r="K2318" t="s">
        <v>15</v>
      </c>
    </row>
    <row r="2319" spans="2:11" ht="41.25" x14ac:dyDescent="0.2">
      <c r="B2319" s="33" t="s">
        <v>3195</v>
      </c>
      <c r="C2319" s="33" t="s">
        <v>1056</v>
      </c>
      <c r="D2319" s="35">
        <f>SUMIFS(D2320:D9015,K2320:K9015,"0",B2320:B9015,"5 1 1 1 3 12 31111 6 M59 23000 000132 0000R 00001 00113 015 2111100 2024 CP1ST377*")-SUMIFS(E2320:E9015,K2320:K9015,"0",B2320:B9015,"5 1 1 1 3 12 31111 6 M59 23000 000132 0000R 00001 00113 015 2111100 2024 CP1ST377*")</f>
        <v>0</v>
      </c>
      <c r="E2319"/>
      <c r="F2319" s="35">
        <f>SUMIFS(F2320:F9015,K2320:K9015,"0",B2320:B9015,"5 1 1 1 3 12 31111 6 M59 23000 000132 0000R 00001 00113 015 2111100 2024 CP1ST377*")</f>
        <v>30652.58</v>
      </c>
      <c r="G2319" s="35">
        <f>SUMIFS(G2320:G9015,K2320:K9015,"0",B2320:B9015,"5 1 1 1 3 12 31111 6 M59 23000 000132 0000R 00001 00113 015 2111100 2024 CP1ST377*")</f>
        <v>0</v>
      </c>
      <c r="H2319" s="35">
        <f t="shared" si="37"/>
        <v>30652.58</v>
      </c>
      <c r="I2319" s="35"/>
      <c r="K2319" t="s">
        <v>15</v>
      </c>
    </row>
    <row r="2320" spans="2:11" ht="41.25" x14ac:dyDescent="0.2">
      <c r="B2320" s="33" t="s">
        <v>3196</v>
      </c>
      <c r="C2320" s="33" t="s">
        <v>282</v>
      </c>
      <c r="D2320" s="35">
        <f>SUMIFS(D2321:D9015,K2321:K9015,"0",B2321:B9015,"5 1 1 1 3 12 31111 6 M59 23000 000132 0000R 00001 00113 015 2111100 2024 CP1ST377 001*")-SUMIFS(E2321:E9015,K2321:K9015,"0",B2321:B9015,"5 1 1 1 3 12 31111 6 M59 23000 000132 0000R 00001 00113 015 2111100 2024 CP1ST377 001*")</f>
        <v>0</v>
      </c>
      <c r="E2320"/>
      <c r="F2320" s="35">
        <f>SUMIFS(F2321:F9015,K2321:K9015,"0",B2321:B9015,"5 1 1 1 3 12 31111 6 M59 23000 000132 0000R 00001 00113 015 2111100 2024 CP1ST377 001*")</f>
        <v>30652.58</v>
      </c>
      <c r="G2320" s="35">
        <f>SUMIFS(G2321:G9015,K2321:K9015,"0",B2321:B9015,"5 1 1 1 3 12 31111 6 M59 23000 000132 0000R 00001 00113 015 2111100 2024 CP1ST377 001*")</f>
        <v>0</v>
      </c>
      <c r="H2320" s="35">
        <f t="shared" si="37"/>
        <v>30652.58</v>
      </c>
      <c r="I2320" s="35"/>
      <c r="K2320" t="s">
        <v>15</v>
      </c>
    </row>
    <row r="2321" spans="2:11" ht="41.25" x14ac:dyDescent="0.2">
      <c r="B2321" s="31" t="s">
        <v>3197</v>
      </c>
      <c r="C2321" s="31" t="s">
        <v>2932</v>
      </c>
      <c r="D2321" s="34">
        <v>0</v>
      </c>
      <c r="E2321" s="34"/>
      <c r="F2321" s="34">
        <v>30652.58</v>
      </c>
      <c r="G2321" s="34">
        <v>0</v>
      </c>
      <c r="H2321" s="34">
        <f t="shared" si="37"/>
        <v>30652.58</v>
      </c>
      <c r="I2321" s="34"/>
      <c r="K2321" t="s">
        <v>38</v>
      </c>
    </row>
    <row r="2322" spans="2:11" ht="16.5" x14ac:dyDescent="0.2">
      <c r="B2322" s="33" t="s">
        <v>3198</v>
      </c>
      <c r="C2322" s="33" t="s">
        <v>3199</v>
      </c>
      <c r="D2322" s="35">
        <f>SUMIFS(D2323:D9015,K2323:K9015,"0",B2323:B9015,"5 1 1 1 3 12 31111 6 M59 30000*")-SUMIFS(E2323:E9015,K2323:K9015,"0",B2323:B9015,"5 1 1 1 3 12 31111 6 M59 30000*")</f>
        <v>0</v>
      </c>
      <c r="E2322"/>
      <c r="F2322" s="35">
        <f>SUMIFS(F2323:F9015,K2323:K9015,"0",B2323:B9015,"5 1 1 1 3 12 31111 6 M59 30000*")</f>
        <v>339239.22</v>
      </c>
      <c r="G2322" s="35">
        <f>SUMIFS(G2323:G9015,K2323:K9015,"0",B2323:B9015,"5 1 1 1 3 12 31111 6 M59 30000*")</f>
        <v>0</v>
      </c>
      <c r="H2322" s="35">
        <f t="shared" si="37"/>
        <v>339239.22</v>
      </c>
      <c r="I2322" s="35"/>
      <c r="K2322" t="s">
        <v>15</v>
      </c>
    </row>
    <row r="2323" spans="2:11" ht="16.5" x14ac:dyDescent="0.2">
      <c r="B2323" s="33" t="s">
        <v>3200</v>
      </c>
      <c r="C2323" s="33" t="s">
        <v>648</v>
      </c>
      <c r="D2323" s="35">
        <f>SUMIFS(D2324:D9015,K2324:K9015,"0",B2324:B9015,"5 1 1 1 3 12 31111 6 M59 30000 000132*")-SUMIFS(E2324:E9015,K2324:K9015,"0",B2324:B9015,"5 1 1 1 3 12 31111 6 M59 30000 000132*")</f>
        <v>0</v>
      </c>
      <c r="E2323"/>
      <c r="F2323" s="35">
        <f>SUMIFS(F2324:F9015,K2324:K9015,"0",B2324:B9015,"5 1 1 1 3 12 31111 6 M59 30000 000132*")</f>
        <v>339239.22</v>
      </c>
      <c r="G2323" s="35">
        <f>SUMIFS(G2324:G9015,K2324:K9015,"0",B2324:B9015,"5 1 1 1 3 12 31111 6 M59 30000 000132*")</f>
        <v>0</v>
      </c>
      <c r="H2323" s="35">
        <f t="shared" si="37"/>
        <v>339239.22</v>
      </c>
      <c r="I2323" s="35"/>
      <c r="K2323" t="s">
        <v>15</v>
      </c>
    </row>
    <row r="2324" spans="2:11" ht="16.5" x14ac:dyDescent="0.2">
      <c r="B2324" s="33" t="s">
        <v>3201</v>
      </c>
      <c r="C2324" s="33" t="s">
        <v>650</v>
      </c>
      <c r="D2324" s="35">
        <f>SUMIFS(D2325:D9015,K2325:K9015,"0",B2325:B9015,"5 1 1 1 3 12 31111 6 M59 30000 000132 0000R*")-SUMIFS(E2325:E9015,K2325:K9015,"0",B2325:B9015,"5 1 1 1 3 12 31111 6 M59 30000 000132 0000R*")</f>
        <v>0</v>
      </c>
      <c r="E2324"/>
      <c r="F2324" s="35">
        <f>SUMIFS(F2325:F9015,K2325:K9015,"0",B2325:B9015,"5 1 1 1 3 12 31111 6 M59 30000 000132 0000R*")</f>
        <v>339239.22</v>
      </c>
      <c r="G2324" s="35">
        <f>SUMIFS(G2325:G9015,K2325:K9015,"0",B2325:B9015,"5 1 1 1 3 12 31111 6 M59 30000 000132 0000R*")</f>
        <v>0</v>
      </c>
      <c r="H2324" s="35">
        <f t="shared" si="37"/>
        <v>339239.22</v>
      </c>
      <c r="I2324" s="35"/>
      <c r="K2324" t="s">
        <v>15</v>
      </c>
    </row>
    <row r="2325" spans="2:11" ht="24.75" x14ac:dyDescent="0.2">
      <c r="B2325" s="33" t="s">
        <v>3202</v>
      </c>
      <c r="C2325" s="33" t="s">
        <v>282</v>
      </c>
      <c r="D2325" s="35">
        <f>SUMIFS(D2326:D9015,K2326:K9015,"0",B2326:B9015,"5 1 1 1 3 12 31111 6 M59 30000 000132 0000R 00001*")-SUMIFS(E2326:E9015,K2326:K9015,"0",B2326:B9015,"5 1 1 1 3 12 31111 6 M59 30000 000132 0000R 00001*")</f>
        <v>0</v>
      </c>
      <c r="E2325"/>
      <c r="F2325" s="35">
        <f>SUMIFS(F2326:F9015,K2326:K9015,"0",B2326:B9015,"5 1 1 1 3 12 31111 6 M59 30000 000132 0000R 00001*")</f>
        <v>339239.22</v>
      </c>
      <c r="G2325" s="35">
        <f>SUMIFS(G2326:G9015,K2326:K9015,"0",B2326:B9015,"5 1 1 1 3 12 31111 6 M59 30000 000132 0000R 00001*")</f>
        <v>0</v>
      </c>
      <c r="H2325" s="35">
        <f t="shared" si="37"/>
        <v>339239.22</v>
      </c>
      <c r="I2325" s="35"/>
      <c r="K2325" t="s">
        <v>15</v>
      </c>
    </row>
    <row r="2326" spans="2:11" ht="24.75" x14ac:dyDescent="0.2">
      <c r="B2326" s="33" t="s">
        <v>3203</v>
      </c>
      <c r="C2326" s="33" t="s">
        <v>2924</v>
      </c>
      <c r="D2326" s="35">
        <f>SUMIFS(D2327:D9015,K2327:K9015,"0",B2327:B9015,"5 1 1 1 3 12 31111 6 M59 30000 000132 0000R 00001 00113*")-SUMIFS(E2327:E9015,K2327:K9015,"0",B2327:B9015,"5 1 1 1 3 12 31111 6 M59 30000 000132 0000R 00001 00113*")</f>
        <v>0</v>
      </c>
      <c r="E2326"/>
      <c r="F2326" s="35">
        <f>SUMIFS(F2327:F9015,K2327:K9015,"0",B2327:B9015,"5 1 1 1 3 12 31111 6 M59 30000 000132 0000R 00001 00113*")</f>
        <v>339239.22</v>
      </c>
      <c r="G2326" s="35">
        <f>SUMIFS(G2327:G9015,K2327:K9015,"0",B2327:B9015,"5 1 1 1 3 12 31111 6 M59 30000 000132 0000R 00001 00113*")</f>
        <v>0</v>
      </c>
      <c r="H2326" s="35">
        <f t="shared" si="37"/>
        <v>339239.22</v>
      </c>
      <c r="I2326" s="35"/>
      <c r="K2326" t="s">
        <v>15</v>
      </c>
    </row>
    <row r="2327" spans="2:11" ht="24.75" x14ac:dyDescent="0.2">
      <c r="B2327" s="33" t="s">
        <v>3204</v>
      </c>
      <c r="C2327" s="33" t="s">
        <v>1051</v>
      </c>
      <c r="D2327" s="35">
        <f>SUMIFS(D2328:D9015,K2328:K9015,"0",B2328:B9015,"5 1 1 1 3 12 31111 6 M59 30000 000132 0000R 00001 00113 015*")-SUMIFS(E2328:E9015,K2328:K9015,"0",B2328:B9015,"5 1 1 1 3 12 31111 6 M59 30000 000132 0000R 00001 00113 015*")</f>
        <v>0</v>
      </c>
      <c r="E2327"/>
      <c r="F2327" s="35">
        <f>SUMIFS(F2328:F9015,K2328:K9015,"0",B2328:B9015,"5 1 1 1 3 12 31111 6 M59 30000 000132 0000R 00001 00113 015*")</f>
        <v>339239.22</v>
      </c>
      <c r="G2327" s="35">
        <f>SUMIFS(G2328:G9015,K2328:K9015,"0",B2328:B9015,"5 1 1 1 3 12 31111 6 M59 30000 000132 0000R 00001 00113 015*")</f>
        <v>0</v>
      </c>
      <c r="H2327" s="35">
        <f t="shared" si="37"/>
        <v>339239.22</v>
      </c>
      <c r="I2327" s="35"/>
      <c r="K2327" t="s">
        <v>15</v>
      </c>
    </row>
    <row r="2328" spans="2:11" ht="33" x14ac:dyDescent="0.2">
      <c r="B2328" s="33" t="s">
        <v>3205</v>
      </c>
      <c r="C2328" s="33" t="s">
        <v>2927</v>
      </c>
      <c r="D2328" s="35">
        <f>SUMIFS(D2329:D9015,K2329:K9015,"0",B2329:B9015,"5 1 1 1 3 12 31111 6 M59 30000 000132 0000R 00001 00113 015 2111100*")-SUMIFS(E2329:E9015,K2329:K9015,"0",B2329:B9015,"5 1 1 1 3 12 31111 6 M59 30000 000132 0000R 00001 00113 015 2111100*")</f>
        <v>0</v>
      </c>
      <c r="E2328"/>
      <c r="F2328" s="35">
        <f>SUMIFS(F2329:F9015,K2329:K9015,"0",B2329:B9015,"5 1 1 1 3 12 31111 6 M59 30000 000132 0000R 00001 00113 015 2111100*")</f>
        <v>339239.22</v>
      </c>
      <c r="G2328" s="35">
        <f>SUMIFS(G2329:G9015,K2329:K9015,"0",B2329:B9015,"5 1 1 1 3 12 31111 6 M59 30000 000132 0000R 00001 00113 015 2111100*")</f>
        <v>0</v>
      </c>
      <c r="H2328" s="35">
        <f t="shared" si="37"/>
        <v>339239.22</v>
      </c>
      <c r="I2328" s="35"/>
      <c r="K2328" t="s">
        <v>15</v>
      </c>
    </row>
    <row r="2329" spans="2:11" ht="33" x14ac:dyDescent="0.2">
      <c r="B2329" s="33" t="s">
        <v>3206</v>
      </c>
      <c r="C2329" s="33" t="s">
        <v>660</v>
      </c>
      <c r="D2329" s="35">
        <f>SUMIFS(D2330:D9015,K2330:K9015,"0",B2330:B9015,"5 1 1 1 3 12 31111 6 M59 30000 000132 0000R 00001 00113 015 2111100 2024*")-SUMIFS(E2330:E9015,K2330:K9015,"0",B2330:B9015,"5 1 1 1 3 12 31111 6 M59 30000 000132 0000R 00001 00113 015 2111100 2024*")</f>
        <v>0</v>
      </c>
      <c r="E2329"/>
      <c r="F2329" s="35">
        <f>SUMIFS(F2330:F9015,K2330:K9015,"0",B2330:B9015,"5 1 1 1 3 12 31111 6 M59 30000 000132 0000R 00001 00113 015 2111100 2024*")</f>
        <v>339239.22</v>
      </c>
      <c r="G2329" s="35">
        <f>SUMIFS(G2330:G9015,K2330:K9015,"0",B2330:B9015,"5 1 1 1 3 12 31111 6 M59 30000 000132 0000R 00001 00113 015 2111100 2024*")</f>
        <v>0</v>
      </c>
      <c r="H2329" s="35">
        <f t="shared" si="37"/>
        <v>339239.22</v>
      </c>
      <c r="I2329" s="35"/>
      <c r="K2329" t="s">
        <v>15</v>
      </c>
    </row>
    <row r="2330" spans="2:11" ht="41.25" x14ac:dyDescent="0.2">
      <c r="B2330" s="33" t="s">
        <v>3207</v>
      </c>
      <c r="C2330" s="33" t="s">
        <v>1056</v>
      </c>
      <c r="D2330" s="35">
        <f>SUMIFS(D2331:D9015,K2331:K9015,"0",B2331:B9015,"5 1 1 1 3 12 31111 6 M59 30000 000132 0000R 00001 00113 015 2111100 2024 CP1DU385*")-SUMIFS(E2331:E9015,K2331:K9015,"0",B2331:B9015,"5 1 1 1 3 12 31111 6 M59 30000 000132 0000R 00001 00113 015 2111100 2024 CP1DU385*")</f>
        <v>0</v>
      </c>
      <c r="E2330"/>
      <c r="F2330" s="35">
        <f>SUMIFS(F2331:F9015,K2331:K9015,"0",B2331:B9015,"5 1 1 1 3 12 31111 6 M59 30000 000132 0000R 00001 00113 015 2111100 2024 CP1DU385*")</f>
        <v>339239.22</v>
      </c>
      <c r="G2330" s="35">
        <f>SUMIFS(G2331:G9015,K2331:K9015,"0",B2331:B9015,"5 1 1 1 3 12 31111 6 M59 30000 000132 0000R 00001 00113 015 2111100 2024 CP1DU385*")</f>
        <v>0</v>
      </c>
      <c r="H2330" s="35">
        <f t="shared" si="37"/>
        <v>339239.22</v>
      </c>
      <c r="I2330" s="35"/>
      <c r="K2330" t="s">
        <v>15</v>
      </c>
    </row>
    <row r="2331" spans="2:11" ht="41.25" x14ac:dyDescent="0.2">
      <c r="B2331" s="33" t="s">
        <v>3208</v>
      </c>
      <c r="C2331" s="33" t="s">
        <v>282</v>
      </c>
      <c r="D2331" s="35">
        <f>SUMIFS(D2332:D9015,K2332:K9015,"0",B2332:B9015,"5 1 1 1 3 12 31111 6 M59 30000 000132 0000R 00001 00113 015 2111100 2024 CP1DU385 001*")-SUMIFS(E2332:E9015,K2332:K9015,"0",B2332:B9015,"5 1 1 1 3 12 31111 6 M59 30000 000132 0000R 00001 00113 015 2111100 2024 CP1DU385 001*")</f>
        <v>0</v>
      </c>
      <c r="E2331"/>
      <c r="F2331" s="35">
        <f>SUMIFS(F2332:F9015,K2332:K9015,"0",B2332:B9015,"5 1 1 1 3 12 31111 6 M59 30000 000132 0000R 00001 00113 015 2111100 2024 CP1DU385 001*")</f>
        <v>339239.22</v>
      </c>
      <c r="G2331" s="35">
        <f>SUMIFS(G2332:G9015,K2332:K9015,"0",B2332:B9015,"5 1 1 1 3 12 31111 6 M59 30000 000132 0000R 00001 00113 015 2111100 2024 CP1DU385 001*")</f>
        <v>0</v>
      </c>
      <c r="H2331" s="35">
        <f t="shared" si="37"/>
        <v>339239.22</v>
      </c>
      <c r="I2331" s="35"/>
      <c r="K2331" t="s">
        <v>15</v>
      </c>
    </row>
    <row r="2332" spans="2:11" ht="41.25" x14ac:dyDescent="0.2">
      <c r="B2332" s="31" t="s">
        <v>3209</v>
      </c>
      <c r="C2332" s="31" t="s">
        <v>2932</v>
      </c>
      <c r="D2332" s="34">
        <v>0</v>
      </c>
      <c r="E2332" s="34"/>
      <c r="F2332" s="34">
        <v>339239.22</v>
      </c>
      <c r="G2332" s="34">
        <v>0</v>
      </c>
      <c r="H2332" s="34">
        <f t="shared" si="37"/>
        <v>339239.22</v>
      </c>
      <c r="I2332" s="34"/>
      <c r="K2332" t="s">
        <v>38</v>
      </c>
    </row>
    <row r="2333" spans="2:11" ht="16.5" x14ac:dyDescent="0.2">
      <c r="B2333" s="33" t="s">
        <v>3210</v>
      </c>
      <c r="C2333" s="33" t="s">
        <v>646</v>
      </c>
      <c r="D2333" s="35">
        <f>SUMIFS(D2334:D9015,K2334:K9015,"0",B2334:B9015,"5 1 1 1 3 12 31111 6 M59 30100*")-SUMIFS(E2334:E9015,K2334:K9015,"0",B2334:B9015,"5 1 1 1 3 12 31111 6 M59 30100*")</f>
        <v>0</v>
      </c>
      <c r="E2333"/>
      <c r="F2333" s="35">
        <f>SUMIFS(F2334:F9015,K2334:K9015,"0",B2334:B9015,"5 1 1 1 3 12 31111 6 M59 30100*")</f>
        <v>1468509.65</v>
      </c>
      <c r="G2333" s="35">
        <f>SUMIFS(G2334:G9015,K2334:K9015,"0",B2334:B9015,"5 1 1 1 3 12 31111 6 M59 30100*")</f>
        <v>0</v>
      </c>
      <c r="H2333" s="35">
        <f t="shared" si="37"/>
        <v>1468509.65</v>
      </c>
      <c r="I2333" s="35"/>
      <c r="K2333" t="s">
        <v>15</v>
      </c>
    </row>
    <row r="2334" spans="2:11" ht="16.5" x14ac:dyDescent="0.2">
      <c r="B2334" s="33" t="s">
        <v>3211</v>
      </c>
      <c r="C2334" s="33" t="s">
        <v>648</v>
      </c>
      <c r="D2334" s="35">
        <f>SUMIFS(D2335:D9015,K2335:K9015,"0",B2335:B9015,"5 1 1 1 3 12 31111 6 M59 30100 000132*")-SUMIFS(E2335:E9015,K2335:K9015,"0",B2335:B9015,"5 1 1 1 3 12 31111 6 M59 30100 000132*")</f>
        <v>0</v>
      </c>
      <c r="E2334"/>
      <c r="F2334" s="35">
        <f>SUMIFS(F2335:F9015,K2335:K9015,"0",B2335:B9015,"5 1 1 1 3 12 31111 6 M59 30100 000132*")</f>
        <v>1468509.65</v>
      </c>
      <c r="G2334" s="35">
        <f>SUMIFS(G2335:G9015,K2335:K9015,"0",B2335:B9015,"5 1 1 1 3 12 31111 6 M59 30100 000132*")</f>
        <v>0</v>
      </c>
      <c r="H2334" s="35">
        <f t="shared" si="37"/>
        <v>1468509.65</v>
      </c>
      <c r="I2334" s="35"/>
      <c r="K2334" t="s">
        <v>15</v>
      </c>
    </row>
    <row r="2335" spans="2:11" ht="16.5" x14ac:dyDescent="0.2">
      <c r="B2335" s="33" t="s">
        <v>3212</v>
      </c>
      <c r="C2335" s="33" t="s">
        <v>650</v>
      </c>
      <c r="D2335" s="35">
        <f>SUMIFS(D2336:D9015,K2336:K9015,"0",B2336:B9015,"5 1 1 1 3 12 31111 6 M59 30100 000132 0000R*")-SUMIFS(E2336:E9015,K2336:K9015,"0",B2336:B9015,"5 1 1 1 3 12 31111 6 M59 30100 000132 0000R*")</f>
        <v>0</v>
      </c>
      <c r="E2335"/>
      <c r="F2335" s="35">
        <f>SUMIFS(F2336:F9015,K2336:K9015,"0",B2336:B9015,"5 1 1 1 3 12 31111 6 M59 30100 000132 0000R*")</f>
        <v>1468509.65</v>
      </c>
      <c r="G2335" s="35">
        <f>SUMIFS(G2336:G9015,K2336:K9015,"0",B2336:B9015,"5 1 1 1 3 12 31111 6 M59 30100 000132 0000R*")</f>
        <v>0</v>
      </c>
      <c r="H2335" s="35">
        <f t="shared" si="37"/>
        <v>1468509.65</v>
      </c>
      <c r="I2335" s="35"/>
      <c r="K2335" t="s">
        <v>15</v>
      </c>
    </row>
    <row r="2336" spans="2:11" ht="24.75" x14ac:dyDescent="0.2">
      <c r="B2336" s="33" t="s">
        <v>3213</v>
      </c>
      <c r="C2336" s="33" t="s">
        <v>282</v>
      </c>
      <c r="D2336" s="35">
        <f>SUMIFS(D2337:D9015,K2337:K9015,"0",B2337:B9015,"5 1 1 1 3 12 31111 6 M59 30100 000132 0000R 00001*")-SUMIFS(E2337:E9015,K2337:K9015,"0",B2337:B9015,"5 1 1 1 3 12 31111 6 M59 30100 000132 0000R 00001*")</f>
        <v>0</v>
      </c>
      <c r="E2336"/>
      <c r="F2336" s="35">
        <f>SUMIFS(F2337:F9015,K2337:K9015,"0",B2337:B9015,"5 1 1 1 3 12 31111 6 M59 30100 000132 0000R 00001*")</f>
        <v>1468509.65</v>
      </c>
      <c r="G2336" s="35">
        <f>SUMIFS(G2337:G9015,K2337:K9015,"0",B2337:B9015,"5 1 1 1 3 12 31111 6 M59 30100 000132 0000R 00001*")</f>
        <v>0</v>
      </c>
      <c r="H2336" s="35">
        <f t="shared" si="37"/>
        <v>1468509.65</v>
      </c>
      <c r="I2336" s="35"/>
      <c r="K2336" t="s">
        <v>15</v>
      </c>
    </row>
    <row r="2337" spans="2:11" ht="24.75" x14ac:dyDescent="0.2">
      <c r="B2337" s="33" t="s">
        <v>3214</v>
      </c>
      <c r="C2337" s="33" t="s">
        <v>2924</v>
      </c>
      <c r="D2337" s="35">
        <f>SUMIFS(D2338:D9015,K2338:K9015,"0",B2338:B9015,"5 1 1 1 3 12 31111 6 M59 30100 000132 0000R 00001 00113*")-SUMIFS(E2338:E9015,K2338:K9015,"0",B2338:B9015,"5 1 1 1 3 12 31111 6 M59 30100 000132 0000R 00001 00113*")</f>
        <v>0</v>
      </c>
      <c r="E2337"/>
      <c r="F2337" s="35">
        <f>SUMIFS(F2338:F9015,K2338:K9015,"0",B2338:B9015,"5 1 1 1 3 12 31111 6 M59 30100 000132 0000R 00001 00113*")</f>
        <v>1468509.65</v>
      </c>
      <c r="G2337" s="35">
        <f>SUMIFS(G2338:G9015,K2338:K9015,"0",B2338:B9015,"5 1 1 1 3 12 31111 6 M59 30100 000132 0000R 00001 00113*")</f>
        <v>0</v>
      </c>
      <c r="H2337" s="35">
        <f t="shared" si="37"/>
        <v>1468509.65</v>
      </c>
      <c r="I2337" s="35"/>
      <c r="K2337" t="s">
        <v>15</v>
      </c>
    </row>
    <row r="2338" spans="2:11" ht="24.75" x14ac:dyDescent="0.2">
      <c r="B2338" s="33" t="s">
        <v>3215</v>
      </c>
      <c r="C2338" s="33" t="s">
        <v>1051</v>
      </c>
      <c r="D2338" s="35">
        <f>SUMIFS(D2339:D9015,K2339:K9015,"0",B2339:B9015,"5 1 1 1 3 12 31111 6 M59 30100 000132 0000R 00001 00113 015*")-SUMIFS(E2339:E9015,K2339:K9015,"0",B2339:B9015,"5 1 1 1 3 12 31111 6 M59 30100 000132 0000R 00001 00113 015*")</f>
        <v>0</v>
      </c>
      <c r="E2338"/>
      <c r="F2338" s="35">
        <f>SUMIFS(F2339:F9015,K2339:K9015,"0",B2339:B9015,"5 1 1 1 3 12 31111 6 M59 30100 000132 0000R 00001 00113 015*")</f>
        <v>1468509.65</v>
      </c>
      <c r="G2338" s="35">
        <f>SUMIFS(G2339:G9015,K2339:K9015,"0",B2339:B9015,"5 1 1 1 3 12 31111 6 M59 30100 000132 0000R 00001 00113 015*")</f>
        <v>0</v>
      </c>
      <c r="H2338" s="35">
        <f t="shared" si="37"/>
        <v>1468509.65</v>
      </c>
      <c r="I2338" s="35"/>
      <c r="K2338" t="s">
        <v>15</v>
      </c>
    </row>
    <row r="2339" spans="2:11" ht="33" x14ac:dyDescent="0.2">
      <c r="B2339" s="33" t="s">
        <v>3216</v>
      </c>
      <c r="C2339" s="33" t="s">
        <v>2927</v>
      </c>
      <c r="D2339" s="35">
        <f>SUMIFS(D2340:D9015,K2340:K9015,"0",B2340:B9015,"5 1 1 1 3 12 31111 6 M59 30100 000132 0000R 00001 00113 015 2111100*")-SUMIFS(E2340:E9015,K2340:K9015,"0",B2340:B9015,"5 1 1 1 3 12 31111 6 M59 30100 000132 0000R 00001 00113 015 2111100*")</f>
        <v>0</v>
      </c>
      <c r="E2339"/>
      <c r="F2339" s="35">
        <f>SUMIFS(F2340:F9015,K2340:K9015,"0",B2340:B9015,"5 1 1 1 3 12 31111 6 M59 30100 000132 0000R 00001 00113 015 2111100*")</f>
        <v>1468509.65</v>
      </c>
      <c r="G2339" s="35">
        <f>SUMIFS(G2340:G9015,K2340:K9015,"0",B2340:B9015,"5 1 1 1 3 12 31111 6 M59 30100 000132 0000R 00001 00113 015 2111100*")</f>
        <v>0</v>
      </c>
      <c r="H2339" s="35">
        <f t="shared" si="37"/>
        <v>1468509.65</v>
      </c>
      <c r="I2339" s="35"/>
      <c r="K2339" t="s">
        <v>15</v>
      </c>
    </row>
    <row r="2340" spans="2:11" ht="33" x14ac:dyDescent="0.2">
      <c r="B2340" s="33" t="s">
        <v>3217</v>
      </c>
      <c r="C2340" s="33" t="s">
        <v>660</v>
      </c>
      <c r="D2340" s="35">
        <f>SUMIFS(D2341:D9015,K2341:K9015,"0",B2341:B9015,"5 1 1 1 3 12 31111 6 M59 30100 000132 0000R 00001 00113 015 2111100 2024*")-SUMIFS(E2341:E9015,K2341:K9015,"0",B2341:B9015,"5 1 1 1 3 12 31111 6 M59 30100 000132 0000R 00001 00113 015 2111100 2024*")</f>
        <v>0</v>
      </c>
      <c r="E2340"/>
      <c r="F2340" s="35">
        <f>SUMIFS(F2341:F9015,K2341:K9015,"0",B2341:B9015,"5 1 1 1 3 12 31111 6 M59 30100 000132 0000R 00001 00113 015 2111100 2024*")</f>
        <v>1468509.65</v>
      </c>
      <c r="G2340" s="35">
        <f>SUMIFS(G2341:G9015,K2341:K9015,"0",B2341:B9015,"5 1 1 1 3 12 31111 6 M59 30100 000132 0000R 00001 00113 015 2111100 2024*")</f>
        <v>0</v>
      </c>
      <c r="H2340" s="35">
        <f t="shared" si="37"/>
        <v>1468509.65</v>
      </c>
      <c r="I2340" s="35"/>
      <c r="K2340" t="s">
        <v>15</v>
      </c>
    </row>
    <row r="2341" spans="2:11" ht="41.25" x14ac:dyDescent="0.2">
      <c r="B2341" s="33" t="s">
        <v>3218</v>
      </c>
      <c r="C2341" s="33" t="s">
        <v>662</v>
      </c>
      <c r="D2341" s="35">
        <f>SUMIFS(D2342:D9015,K2342:K9015,"0",B2342:B9015,"5 1 1 1 3 12 31111 6 M59 30100 000132 0000R 00001 00113 015 2111100 2024 CP1OP405*")-SUMIFS(E2342:E9015,K2342:K9015,"0",B2342:B9015,"5 1 1 1 3 12 31111 6 M59 30100 000132 0000R 00001 00113 015 2111100 2024 CP1OP405*")</f>
        <v>0</v>
      </c>
      <c r="E2341"/>
      <c r="F2341" s="35">
        <f>SUMIFS(F2342:F9015,K2342:K9015,"0",B2342:B9015,"5 1 1 1 3 12 31111 6 M59 30100 000132 0000R 00001 00113 015 2111100 2024 CP1OP405*")</f>
        <v>1468509.65</v>
      </c>
      <c r="G2341" s="35">
        <f>SUMIFS(G2342:G9015,K2342:K9015,"0",B2342:B9015,"5 1 1 1 3 12 31111 6 M59 30100 000132 0000R 00001 00113 015 2111100 2024 CP1OP405*")</f>
        <v>0</v>
      </c>
      <c r="H2341" s="35">
        <f t="shared" si="37"/>
        <v>1468509.65</v>
      </c>
      <c r="I2341" s="35"/>
      <c r="K2341" t="s">
        <v>15</v>
      </c>
    </row>
    <row r="2342" spans="2:11" ht="41.25" x14ac:dyDescent="0.2">
      <c r="B2342" s="33" t="s">
        <v>3219</v>
      </c>
      <c r="C2342" s="33" t="s">
        <v>282</v>
      </c>
      <c r="D2342" s="35">
        <f>SUMIFS(D2343:D9015,K2343:K9015,"0",B2343:B9015,"5 1 1 1 3 12 31111 6 M59 30100 000132 0000R 00001 00113 015 2111100 2024 CP1OP405 001*")-SUMIFS(E2343:E9015,K2343:K9015,"0",B2343:B9015,"5 1 1 1 3 12 31111 6 M59 30100 000132 0000R 00001 00113 015 2111100 2024 CP1OP405 001*")</f>
        <v>0</v>
      </c>
      <c r="E2342"/>
      <c r="F2342" s="35">
        <f>SUMIFS(F2343:F9015,K2343:K9015,"0",B2343:B9015,"5 1 1 1 3 12 31111 6 M59 30100 000132 0000R 00001 00113 015 2111100 2024 CP1OP405 001*")</f>
        <v>1468509.65</v>
      </c>
      <c r="G2342" s="35">
        <f>SUMIFS(G2343:G9015,K2343:K9015,"0",B2343:B9015,"5 1 1 1 3 12 31111 6 M59 30100 000132 0000R 00001 00113 015 2111100 2024 CP1OP405 001*")</f>
        <v>0</v>
      </c>
      <c r="H2342" s="35">
        <f t="shared" si="37"/>
        <v>1468509.65</v>
      </c>
      <c r="I2342" s="35"/>
      <c r="K2342" t="s">
        <v>15</v>
      </c>
    </row>
    <row r="2343" spans="2:11" ht="33" x14ac:dyDescent="0.2">
      <c r="B2343" s="31" t="s">
        <v>3220</v>
      </c>
      <c r="C2343" s="31" t="s">
        <v>2932</v>
      </c>
      <c r="D2343" s="34">
        <v>0</v>
      </c>
      <c r="E2343" s="34"/>
      <c r="F2343" s="34">
        <v>1468509.65</v>
      </c>
      <c r="G2343" s="34">
        <v>0</v>
      </c>
      <c r="H2343" s="34">
        <f t="shared" si="37"/>
        <v>1468509.65</v>
      </c>
      <c r="I2343" s="34"/>
      <c r="K2343" t="s">
        <v>38</v>
      </c>
    </row>
    <row r="2344" spans="2:11" ht="24.75" x14ac:dyDescent="0.2">
      <c r="B2344" s="33" t="s">
        <v>3221</v>
      </c>
      <c r="C2344" s="33" t="s">
        <v>3222</v>
      </c>
      <c r="D2344" s="35">
        <f>SUMIFS(D2345:D9015,K2345:K9015,"0",B2345:B9015,"5 1 1 1 3 12 31111 6 M59 30200*")-SUMIFS(E2345:E9015,K2345:K9015,"0",B2345:B9015,"5 1 1 1 3 12 31111 6 M59 30200*")</f>
        <v>0</v>
      </c>
      <c r="E2344"/>
      <c r="F2344" s="35">
        <f>SUMIFS(F2345:F9015,K2345:K9015,"0",B2345:B9015,"5 1 1 1 3 12 31111 6 M59 30200*")</f>
        <v>33843.85</v>
      </c>
      <c r="G2344" s="35">
        <f>SUMIFS(G2345:G9015,K2345:K9015,"0",B2345:B9015,"5 1 1 1 3 12 31111 6 M59 30200*")</f>
        <v>0</v>
      </c>
      <c r="H2344" s="35">
        <f t="shared" si="37"/>
        <v>33843.85</v>
      </c>
      <c r="I2344" s="35"/>
      <c r="K2344" t="s">
        <v>15</v>
      </c>
    </row>
    <row r="2345" spans="2:11" ht="16.5" x14ac:dyDescent="0.2">
      <c r="B2345" s="33" t="s">
        <v>3223</v>
      </c>
      <c r="C2345" s="33" t="s">
        <v>648</v>
      </c>
      <c r="D2345" s="35">
        <f>SUMIFS(D2346:D9015,K2346:K9015,"0",B2346:B9015,"5 1 1 1 3 12 31111 6 M59 30200 000132*")-SUMIFS(E2346:E9015,K2346:K9015,"0",B2346:B9015,"5 1 1 1 3 12 31111 6 M59 30200 000132*")</f>
        <v>0</v>
      </c>
      <c r="E2345"/>
      <c r="F2345" s="35">
        <f>SUMIFS(F2346:F9015,K2346:K9015,"0",B2346:B9015,"5 1 1 1 3 12 31111 6 M59 30200 000132*")</f>
        <v>33843.85</v>
      </c>
      <c r="G2345" s="35">
        <f>SUMIFS(G2346:G9015,K2346:K9015,"0",B2346:B9015,"5 1 1 1 3 12 31111 6 M59 30200 000132*")</f>
        <v>0</v>
      </c>
      <c r="H2345" s="35">
        <f t="shared" si="37"/>
        <v>33843.85</v>
      </c>
      <c r="I2345" s="35"/>
      <c r="K2345" t="s">
        <v>15</v>
      </c>
    </row>
    <row r="2346" spans="2:11" ht="16.5" x14ac:dyDescent="0.2">
      <c r="B2346" s="33" t="s">
        <v>3224</v>
      </c>
      <c r="C2346" s="33" t="s">
        <v>650</v>
      </c>
      <c r="D2346" s="35">
        <f>SUMIFS(D2347:D9015,K2347:K9015,"0",B2347:B9015,"5 1 1 1 3 12 31111 6 M59 30200 000132 0000R*")-SUMIFS(E2347:E9015,K2347:K9015,"0",B2347:B9015,"5 1 1 1 3 12 31111 6 M59 30200 000132 0000R*")</f>
        <v>0</v>
      </c>
      <c r="E2346"/>
      <c r="F2346" s="35">
        <f>SUMIFS(F2347:F9015,K2347:K9015,"0",B2347:B9015,"5 1 1 1 3 12 31111 6 M59 30200 000132 0000R*")</f>
        <v>33843.85</v>
      </c>
      <c r="G2346" s="35">
        <f>SUMIFS(G2347:G9015,K2347:K9015,"0",B2347:B9015,"5 1 1 1 3 12 31111 6 M59 30200 000132 0000R*")</f>
        <v>0</v>
      </c>
      <c r="H2346" s="35">
        <f t="shared" si="37"/>
        <v>33843.85</v>
      </c>
      <c r="I2346" s="35"/>
      <c r="K2346" t="s">
        <v>15</v>
      </c>
    </row>
    <row r="2347" spans="2:11" ht="24.75" x14ac:dyDescent="0.2">
      <c r="B2347" s="33" t="s">
        <v>3225</v>
      </c>
      <c r="C2347" s="33" t="s">
        <v>282</v>
      </c>
      <c r="D2347" s="35">
        <f>SUMIFS(D2348:D9015,K2348:K9015,"0",B2348:B9015,"5 1 1 1 3 12 31111 6 M59 30200 000132 0000R 00001*")-SUMIFS(E2348:E9015,K2348:K9015,"0",B2348:B9015,"5 1 1 1 3 12 31111 6 M59 30200 000132 0000R 00001*")</f>
        <v>0</v>
      </c>
      <c r="E2347"/>
      <c r="F2347" s="35">
        <f>SUMIFS(F2348:F9015,K2348:K9015,"0",B2348:B9015,"5 1 1 1 3 12 31111 6 M59 30200 000132 0000R 00001*")</f>
        <v>33843.85</v>
      </c>
      <c r="G2347" s="35">
        <f>SUMIFS(G2348:G9015,K2348:K9015,"0",B2348:B9015,"5 1 1 1 3 12 31111 6 M59 30200 000132 0000R 00001*")</f>
        <v>0</v>
      </c>
      <c r="H2347" s="35">
        <f t="shared" si="37"/>
        <v>33843.85</v>
      </c>
      <c r="I2347" s="35"/>
      <c r="K2347" t="s">
        <v>15</v>
      </c>
    </row>
    <row r="2348" spans="2:11" ht="24.75" x14ac:dyDescent="0.2">
      <c r="B2348" s="33" t="s">
        <v>3226</v>
      </c>
      <c r="C2348" s="33" t="s">
        <v>2924</v>
      </c>
      <c r="D2348" s="35">
        <f>SUMIFS(D2349:D9015,K2349:K9015,"0",B2349:B9015,"5 1 1 1 3 12 31111 6 M59 30200 000132 0000R 00001 00113*")-SUMIFS(E2349:E9015,K2349:K9015,"0",B2349:B9015,"5 1 1 1 3 12 31111 6 M59 30200 000132 0000R 00001 00113*")</f>
        <v>0</v>
      </c>
      <c r="E2348"/>
      <c r="F2348" s="35">
        <f>SUMIFS(F2349:F9015,K2349:K9015,"0",B2349:B9015,"5 1 1 1 3 12 31111 6 M59 30200 000132 0000R 00001 00113*")</f>
        <v>33843.85</v>
      </c>
      <c r="G2348" s="35">
        <f>SUMIFS(G2349:G9015,K2349:K9015,"0",B2349:B9015,"5 1 1 1 3 12 31111 6 M59 30200 000132 0000R 00001 00113*")</f>
        <v>0</v>
      </c>
      <c r="H2348" s="35">
        <f t="shared" si="37"/>
        <v>33843.85</v>
      </c>
      <c r="I2348" s="35"/>
      <c r="K2348" t="s">
        <v>15</v>
      </c>
    </row>
    <row r="2349" spans="2:11" ht="24.75" x14ac:dyDescent="0.2">
      <c r="B2349" s="33" t="s">
        <v>3227</v>
      </c>
      <c r="C2349" s="33" t="s">
        <v>1051</v>
      </c>
      <c r="D2349" s="35">
        <f>SUMIFS(D2350:D9015,K2350:K9015,"0",B2350:B9015,"5 1 1 1 3 12 31111 6 M59 30200 000132 0000R 00001 00113 015*")-SUMIFS(E2350:E9015,K2350:K9015,"0",B2350:B9015,"5 1 1 1 3 12 31111 6 M59 30200 000132 0000R 00001 00113 015*")</f>
        <v>0</v>
      </c>
      <c r="E2349"/>
      <c r="F2349" s="35">
        <f>SUMIFS(F2350:F9015,K2350:K9015,"0",B2350:B9015,"5 1 1 1 3 12 31111 6 M59 30200 000132 0000R 00001 00113 015*")</f>
        <v>33843.85</v>
      </c>
      <c r="G2349" s="35">
        <f>SUMIFS(G2350:G9015,K2350:K9015,"0",B2350:B9015,"5 1 1 1 3 12 31111 6 M59 30200 000132 0000R 00001 00113 015*")</f>
        <v>0</v>
      </c>
      <c r="H2349" s="35">
        <f t="shared" si="37"/>
        <v>33843.85</v>
      </c>
      <c r="I2349" s="35"/>
      <c r="K2349" t="s">
        <v>15</v>
      </c>
    </row>
    <row r="2350" spans="2:11" ht="33" x14ac:dyDescent="0.2">
      <c r="B2350" s="33" t="s">
        <v>3228</v>
      </c>
      <c r="C2350" s="33" t="s">
        <v>2927</v>
      </c>
      <c r="D2350" s="35">
        <f>SUMIFS(D2351:D9015,K2351:K9015,"0",B2351:B9015,"5 1 1 1 3 12 31111 6 M59 30200 000132 0000R 00001 00113 015 2111100*")-SUMIFS(E2351:E9015,K2351:K9015,"0",B2351:B9015,"5 1 1 1 3 12 31111 6 M59 30200 000132 0000R 00001 00113 015 2111100*")</f>
        <v>0</v>
      </c>
      <c r="E2350"/>
      <c r="F2350" s="35">
        <f>SUMIFS(F2351:F9015,K2351:K9015,"0",B2351:B9015,"5 1 1 1 3 12 31111 6 M59 30200 000132 0000R 00001 00113 015 2111100*")</f>
        <v>33843.85</v>
      </c>
      <c r="G2350" s="35">
        <f>SUMIFS(G2351:G9015,K2351:K9015,"0",B2351:B9015,"5 1 1 1 3 12 31111 6 M59 30200 000132 0000R 00001 00113 015 2111100*")</f>
        <v>0</v>
      </c>
      <c r="H2350" s="35">
        <f t="shared" si="37"/>
        <v>33843.85</v>
      </c>
      <c r="I2350" s="35"/>
      <c r="K2350" t="s">
        <v>15</v>
      </c>
    </row>
    <row r="2351" spans="2:11" ht="33" x14ac:dyDescent="0.2">
      <c r="B2351" s="33" t="s">
        <v>3229</v>
      </c>
      <c r="C2351" s="33" t="s">
        <v>660</v>
      </c>
      <c r="D2351" s="35">
        <f>SUMIFS(D2352:D9015,K2352:K9015,"0",B2352:B9015,"5 1 1 1 3 12 31111 6 M59 30200 000132 0000R 00001 00113 015 2111100 2024*")-SUMIFS(E2352:E9015,K2352:K9015,"0",B2352:B9015,"5 1 1 1 3 12 31111 6 M59 30200 000132 0000R 00001 00113 015 2111100 2024*")</f>
        <v>0</v>
      </c>
      <c r="E2351"/>
      <c r="F2351" s="35">
        <f>SUMIFS(F2352:F9015,K2352:K9015,"0",B2352:B9015,"5 1 1 1 3 12 31111 6 M59 30200 000132 0000R 00001 00113 015 2111100 2024*")</f>
        <v>33843.85</v>
      </c>
      <c r="G2351" s="35">
        <f>SUMIFS(G2352:G9015,K2352:K9015,"0",B2352:B9015,"5 1 1 1 3 12 31111 6 M59 30200 000132 0000R 00001 00113 015 2111100 2024*")</f>
        <v>0</v>
      </c>
      <c r="H2351" s="35">
        <f t="shared" si="37"/>
        <v>33843.85</v>
      </c>
      <c r="I2351" s="35"/>
      <c r="K2351" t="s">
        <v>15</v>
      </c>
    </row>
    <row r="2352" spans="2:11" ht="41.25" x14ac:dyDescent="0.2">
      <c r="B2352" s="33" t="s">
        <v>3230</v>
      </c>
      <c r="C2352" s="33" t="s">
        <v>1056</v>
      </c>
      <c r="D2352" s="35">
        <f>SUMIFS(D2353:D9015,K2353:K9015,"0",B2353:B9015,"5 1 1 1 3 12 31111 6 M59 30200 000132 0000R 00001 00113 015 2111100 2024 CP1OT378*")-SUMIFS(E2353:E9015,K2353:K9015,"0",B2353:B9015,"5 1 1 1 3 12 31111 6 M59 30200 000132 0000R 00001 00113 015 2111100 2024 CP1OT378*")</f>
        <v>0</v>
      </c>
      <c r="E2352"/>
      <c r="F2352" s="35">
        <f>SUMIFS(F2353:F9015,K2353:K9015,"0",B2353:B9015,"5 1 1 1 3 12 31111 6 M59 30200 000132 0000R 00001 00113 015 2111100 2024 CP1OT378*")</f>
        <v>33843.85</v>
      </c>
      <c r="G2352" s="35">
        <f>SUMIFS(G2353:G9015,K2353:K9015,"0",B2353:B9015,"5 1 1 1 3 12 31111 6 M59 30200 000132 0000R 00001 00113 015 2111100 2024 CP1OT378*")</f>
        <v>0</v>
      </c>
      <c r="H2352" s="35">
        <f t="shared" si="37"/>
        <v>33843.85</v>
      </c>
      <c r="I2352" s="35"/>
      <c r="K2352" t="s">
        <v>15</v>
      </c>
    </row>
    <row r="2353" spans="2:11" ht="41.25" x14ac:dyDescent="0.2">
      <c r="B2353" s="33" t="s">
        <v>3231</v>
      </c>
      <c r="C2353" s="33" t="s">
        <v>282</v>
      </c>
      <c r="D2353" s="35">
        <f>SUMIFS(D2354:D9015,K2354:K9015,"0",B2354:B9015,"5 1 1 1 3 12 31111 6 M59 30200 000132 0000R 00001 00113 015 2111100 2024 CP1OT378 001*")-SUMIFS(E2354:E9015,K2354:K9015,"0",B2354:B9015,"5 1 1 1 3 12 31111 6 M59 30200 000132 0000R 00001 00113 015 2111100 2024 CP1OT378 001*")</f>
        <v>0</v>
      </c>
      <c r="E2353"/>
      <c r="F2353" s="35">
        <f>SUMIFS(F2354:F9015,K2354:K9015,"0",B2354:B9015,"5 1 1 1 3 12 31111 6 M59 30200 000132 0000R 00001 00113 015 2111100 2024 CP1OT378 001*")</f>
        <v>33843.85</v>
      </c>
      <c r="G2353" s="35">
        <f>SUMIFS(G2354:G9015,K2354:K9015,"0",B2354:B9015,"5 1 1 1 3 12 31111 6 M59 30200 000132 0000R 00001 00113 015 2111100 2024 CP1OT378 001*")</f>
        <v>0</v>
      </c>
      <c r="H2353" s="35">
        <f t="shared" si="37"/>
        <v>33843.85</v>
      </c>
      <c r="I2353" s="35"/>
      <c r="K2353" t="s">
        <v>15</v>
      </c>
    </row>
    <row r="2354" spans="2:11" ht="41.25" x14ac:dyDescent="0.2">
      <c r="B2354" s="31" t="s">
        <v>3232</v>
      </c>
      <c r="C2354" s="31" t="s">
        <v>2932</v>
      </c>
      <c r="D2354" s="34">
        <v>0</v>
      </c>
      <c r="E2354" s="34"/>
      <c r="F2354" s="34">
        <v>33843.85</v>
      </c>
      <c r="G2354" s="34">
        <v>0</v>
      </c>
      <c r="H2354" s="34">
        <f t="shared" si="37"/>
        <v>33843.85</v>
      </c>
      <c r="I2354" s="34"/>
      <c r="K2354" t="s">
        <v>38</v>
      </c>
    </row>
    <row r="2355" spans="2:11" ht="16.5" x14ac:dyDescent="0.2">
      <c r="B2355" s="33" t="s">
        <v>3233</v>
      </c>
      <c r="C2355" s="33" t="s">
        <v>1092</v>
      </c>
      <c r="D2355" s="35">
        <f>SUMIFS(D2356:D9015,K2356:K9015,"0",B2356:B9015,"5 1 1 1 3 12 31111 6 M59 40000*")-SUMIFS(E2356:E9015,K2356:K9015,"0",B2356:B9015,"5 1 1 1 3 12 31111 6 M59 40000*")</f>
        <v>0</v>
      </c>
      <c r="E2355"/>
      <c r="F2355" s="35">
        <f>SUMIFS(F2356:F9015,K2356:K9015,"0",B2356:B9015,"5 1 1 1 3 12 31111 6 M59 40000*")</f>
        <v>19943214.59</v>
      </c>
      <c r="G2355" s="35">
        <f>SUMIFS(G2356:G9015,K2356:K9015,"0",B2356:B9015,"5 1 1 1 3 12 31111 6 M59 40000*")</f>
        <v>0</v>
      </c>
      <c r="H2355" s="35">
        <f t="shared" si="37"/>
        <v>19943214.59</v>
      </c>
      <c r="I2355" s="35"/>
      <c r="K2355" t="s">
        <v>15</v>
      </c>
    </row>
    <row r="2356" spans="2:11" ht="16.5" x14ac:dyDescent="0.2">
      <c r="B2356" s="33" t="s">
        <v>3234</v>
      </c>
      <c r="C2356" s="33" t="s">
        <v>1094</v>
      </c>
      <c r="D2356" s="35">
        <f>SUMIFS(D2357:D9015,K2357:K9015,"0",B2357:B9015,"5 1 1 1 3 12 31111 6 M59 40000 000161*")-SUMIFS(E2357:E9015,K2357:K9015,"0",B2357:B9015,"5 1 1 1 3 12 31111 6 M59 40000 000161*")</f>
        <v>0</v>
      </c>
      <c r="E2356"/>
      <c r="F2356" s="35">
        <f>SUMIFS(F2357:F9015,K2357:K9015,"0",B2357:B9015,"5 1 1 1 3 12 31111 6 M59 40000 000161*")</f>
        <v>19943214.59</v>
      </c>
      <c r="G2356" s="35">
        <f>SUMIFS(G2357:G9015,K2357:K9015,"0",B2357:B9015,"5 1 1 1 3 12 31111 6 M59 40000 000161*")</f>
        <v>0</v>
      </c>
      <c r="H2356" s="35">
        <f t="shared" si="37"/>
        <v>19943214.59</v>
      </c>
      <c r="I2356" s="35"/>
      <c r="K2356" t="s">
        <v>15</v>
      </c>
    </row>
    <row r="2357" spans="2:11" ht="16.5" x14ac:dyDescent="0.2">
      <c r="B2357" s="33" t="s">
        <v>3235</v>
      </c>
      <c r="C2357" s="33" t="s">
        <v>1065</v>
      </c>
      <c r="D2357" s="35">
        <f>SUMIFS(D2358:D9015,K2358:K9015,"0",B2358:B9015,"5 1 1 1 3 12 31111 6 M59 40000 000161 0000E*")-SUMIFS(E2358:E9015,K2358:K9015,"0",B2358:B9015,"5 1 1 1 3 12 31111 6 M59 40000 000161 0000E*")</f>
        <v>0</v>
      </c>
      <c r="E2357"/>
      <c r="F2357" s="35">
        <f>SUMIFS(F2358:F9015,K2358:K9015,"0",B2358:B9015,"5 1 1 1 3 12 31111 6 M59 40000 000161 0000E*")</f>
        <v>19943214.59</v>
      </c>
      <c r="G2357" s="35">
        <f>SUMIFS(G2358:G9015,K2358:K9015,"0",B2358:B9015,"5 1 1 1 3 12 31111 6 M59 40000 000161 0000E*")</f>
        <v>0</v>
      </c>
      <c r="H2357" s="35">
        <f t="shared" si="37"/>
        <v>19943214.59</v>
      </c>
      <c r="I2357" s="35"/>
      <c r="K2357" t="s">
        <v>15</v>
      </c>
    </row>
    <row r="2358" spans="2:11" ht="24.75" x14ac:dyDescent="0.2">
      <c r="B2358" s="33" t="s">
        <v>3236</v>
      </c>
      <c r="C2358" s="33" t="s">
        <v>282</v>
      </c>
      <c r="D2358" s="35">
        <f>SUMIFS(D2359:D9015,K2359:K9015,"0",B2359:B9015,"5 1 1 1 3 12 31111 6 M59 40000 000161 0000E 00001*")-SUMIFS(E2359:E9015,K2359:K9015,"0",B2359:B9015,"5 1 1 1 3 12 31111 6 M59 40000 000161 0000E 00001*")</f>
        <v>0</v>
      </c>
      <c r="E2358"/>
      <c r="F2358" s="35">
        <f>SUMIFS(F2359:F9015,K2359:K9015,"0",B2359:B9015,"5 1 1 1 3 12 31111 6 M59 40000 000161 0000E 00001*")</f>
        <v>19943214.59</v>
      </c>
      <c r="G2358" s="35">
        <f>SUMIFS(G2359:G9015,K2359:K9015,"0",B2359:B9015,"5 1 1 1 3 12 31111 6 M59 40000 000161 0000E 00001*")</f>
        <v>0</v>
      </c>
      <c r="H2358" s="35">
        <f t="shared" si="37"/>
        <v>19943214.59</v>
      </c>
      <c r="I2358" s="35"/>
      <c r="K2358" t="s">
        <v>15</v>
      </c>
    </row>
    <row r="2359" spans="2:11" ht="24.75" x14ac:dyDescent="0.2">
      <c r="B2359" s="33" t="s">
        <v>3237</v>
      </c>
      <c r="C2359" s="33" t="s">
        <v>2924</v>
      </c>
      <c r="D2359" s="35">
        <f>SUMIFS(D2360:D9015,K2360:K9015,"0",B2360:B9015,"5 1 1 1 3 12 31111 6 M59 40000 000161 0000E 00001 00113*")-SUMIFS(E2360:E9015,K2360:K9015,"0",B2360:B9015,"5 1 1 1 3 12 31111 6 M59 40000 000161 0000E 00001 00113*")</f>
        <v>0</v>
      </c>
      <c r="E2359"/>
      <c r="F2359" s="35">
        <f>SUMIFS(F2360:F9015,K2360:K9015,"0",B2360:B9015,"5 1 1 1 3 12 31111 6 M59 40000 000161 0000E 00001 00113*")</f>
        <v>19943214.59</v>
      </c>
      <c r="G2359" s="35">
        <f>SUMIFS(G2360:G9015,K2360:K9015,"0",B2360:B9015,"5 1 1 1 3 12 31111 6 M59 40000 000161 0000E 00001 00113*")</f>
        <v>0</v>
      </c>
      <c r="H2359" s="35">
        <f t="shared" si="37"/>
        <v>19943214.59</v>
      </c>
      <c r="I2359" s="35"/>
      <c r="K2359" t="s">
        <v>15</v>
      </c>
    </row>
    <row r="2360" spans="2:11" ht="24.75" x14ac:dyDescent="0.2">
      <c r="B2360" s="33" t="s">
        <v>3238</v>
      </c>
      <c r="C2360" s="33" t="s">
        <v>656</v>
      </c>
      <c r="D2360" s="35">
        <f>SUMIFS(D2361:D9015,K2361:K9015,"0",B2361:B9015,"5 1 1 1 3 12 31111 6 M59 40000 000161 0000E 00001 00113 025*")-SUMIFS(E2361:E9015,K2361:K9015,"0",B2361:B9015,"5 1 1 1 3 12 31111 6 M59 40000 000161 0000E 00001 00113 025*")</f>
        <v>0</v>
      </c>
      <c r="E2360"/>
      <c r="F2360" s="35">
        <f>SUMIFS(F2361:F9015,K2361:K9015,"0",B2361:B9015,"5 1 1 1 3 12 31111 6 M59 40000 000161 0000E 00001 00113 025*")</f>
        <v>19943214.59</v>
      </c>
      <c r="G2360" s="35">
        <f>SUMIFS(G2361:G9015,K2361:K9015,"0",B2361:B9015,"5 1 1 1 3 12 31111 6 M59 40000 000161 0000E 00001 00113 025*")</f>
        <v>0</v>
      </c>
      <c r="H2360" s="35">
        <f t="shared" si="37"/>
        <v>19943214.59</v>
      </c>
      <c r="I2360" s="35"/>
      <c r="K2360" t="s">
        <v>15</v>
      </c>
    </row>
    <row r="2361" spans="2:11" ht="33" x14ac:dyDescent="0.2">
      <c r="B2361" s="33" t="s">
        <v>3239</v>
      </c>
      <c r="C2361" s="33" t="s">
        <v>2927</v>
      </c>
      <c r="D2361" s="35">
        <f>SUMIFS(D2362:D9015,K2362:K9015,"0",B2362:B9015,"5 1 1 1 3 12 31111 6 M59 40000 000161 0000E 00001 00113 025 2111100*")-SUMIFS(E2362:E9015,K2362:K9015,"0",B2362:B9015,"5 1 1 1 3 12 31111 6 M59 40000 000161 0000E 00001 00113 025 2111100*")</f>
        <v>0</v>
      </c>
      <c r="E2361"/>
      <c r="F2361" s="35">
        <f>SUMIFS(F2362:F9015,K2362:K9015,"0",B2362:B9015,"5 1 1 1 3 12 31111 6 M59 40000 000161 0000E 00001 00113 025 2111100*")</f>
        <v>19943214.59</v>
      </c>
      <c r="G2361" s="35">
        <f>SUMIFS(G2362:G9015,K2362:K9015,"0",B2362:B9015,"5 1 1 1 3 12 31111 6 M59 40000 000161 0000E 00001 00113 025 2111100*")</f>
        <v>0</v>
      </c>
      <c r="H2361" s="35">
        <f t="shared" si="37"/>
        <v>19943214.59</v>
      </c>
      <c r="I2361" s="35"/>
      <c r="K2361" t="s">
        <v>15</v>
      </c>
    </row>
    <row r="2362" spans="2:11" ht="33" x14ac:dyDescent="0.2">
      <c r="B2362" s="33" t="s">
        <v>3240</v>
      </c>
      <c r="C2362" s="33" t="s">
        <v>660</v>
      </c>
      <c r="D2362" s="35">
        <f>SUMIFS(D2363:D9015,K2363:K9015,"0",B2363:B9015,"5 1 1 1 3 12 31111 6 M59 40000 000161 0000E 00001 00113 025 2111100 2024*")-SUMIFS(E2363:E9015,K2363:K9015,"0",B2363:B9015,"5 1 1 1 3 12 31111 6 M59 40000 000161 0000E 00001 00113 025 2111100 2024*")</f>
        <v>0</v>
      </c>
      <c r="E2362"/>
      <c r="F2362" s="35">
        <f>SUMIFS(F2363:F9015,K2363:K9015,"0",B2363:B9015,"5 1 1 1 3 12 31111 6 M59 40000 000161 0000E 00001 00113 025 2111100 2024*")</f>
        <v>19943214.59</v>
      </c>
      <c r="G2362" s="35">
        <f>SUMIFS(G2363:G9015,K2363:K9015,"0",B2363:B9015,"5 1 1 1 3 12 31111 6 M59 40000 000161 0000E 00001 00113 025 2111100 2024*")</f>
        <v>0</v>
      </c>
      <c r="H2362" s="35">
        <f t="shared" si="37"/>
        <v>19943214.59</v>
      </c>
      <c r="I2362" s="35"/>
      <c r="K2362" t="s">
        <v>15</v>
      </c>
    </row>
    <row r="2363" spans="2:11" ht="41.25" x14ac:dyDescent="0.2">
      <c r="B2363" s="33" t="s">
        <v>3241</v>
      </c>
      <c r="C2363" s="33" t="s">
        <v>662</v>
      </c>
      <c r="D2363" s="35">
        <f>SUMIFS(D2364:D9015,K2364:K9015,"0",B2364:B9015,"5 1 1 1 3 12 31111 6 M59 40000 000161 0000E 00001 00113 025 2111100 2024 CP4SP372*")-SUMIFS(E2364:E9015,K2364:K9015,"0",B2364:B9015,"5 1 1 1 3 12 31111 6 M59 40000 000161 0000E 00001 00113 025 2111100 2024 CP4SP372*")</f>
        <v>0</v>
      </c>
      <c r="E2363"/>
      <c r="F2363" s="35">
        <f>SUMIFS(F2364:F9015,K2364:K9015,"0",B2364:B9015,"5 1 1 1 3 12 31111 6 M59 40000 000161 0000E 00001 00113 025 2111100 2024 CP4SP372*")</f>
        <v>19943214.59</v>
      </c>
      <c r="G2363" s="35">
        <f>SUMIFS(G2364:G9015,K2364:K9015,"0",B2364:B9015,"5 1 1 1 3 12 31111 6 M59 40000 000161 0000E 00001 00113 025 2111100 2024 CP4SP372*")</f>
        <v>0</v>
      </c>
      <c r="H2363" s="35">
        <f t="shared" si="37"/>
        <v>19943214.59</v>
      </c>
      <c r="I2363" s="35"/>
      <c r="K2363" t="s">
        <v>15</v>
      </c>
    </row>
    <row r="2364" spans="2:11" ht="41.25" x14ac:dyDescent="0.2">
      <c r="B2364" s="33" t="s">
        <v>3242</v>
      </c>
      <c r="C2364" s="33" t="s">
        <v>664</v>
      </c>
      <c r="D2364" s="35">
        <f>SUMIFS(D2365:D9015,K2365:K9015,"0",B2365:B9015,"5 1 1 1 3 12 31111 6 M59 40000 000161 0000E 00001 00113 025 2111100 2024 CP4SP372 003*")-SUMIFS(E2365:E9015,K2365:K9015,"0",B2365:B9015,"5 1 1 1 3 12 31111 6 M59 40000 000161 0000E 00001 00113 025 2111100 2024 CP4SP372 003*")</f>
        <v>0</v>
      </c>
      <c r="E2364"/>
      <c r="F2364" s="35">
        <f>SUMIFS(F2365:F9015,K2365:K9015,"0",B2365:B9015,"5 1 1 1 3 12 31111 6 M59 40000 000161 0000E 00001 00113 025 2111100 2024 CP4SP372 003*")</f>
        <v>19943214.59</v>
      </c>
      <c r="G2364" s="35">
        <f>SUMIFS(G2365:G9015,K2365:K9015,"0",B2365:B9015,"5 1 1 1 3 12 31111 6 M59 40000 000161 0000E 00001 00113 025 2111100 2024 CP4SP372 003*")</f>
        <v>0</v>
      </c>
      <c r="H2364" s="35">
        <f t="shared" si="37"/>
        <v>19943214.59</v>
      </c>
      <c r="I2364" s="35"/>
      <c r="K2364" t="s">
        <v>15</v>
      </c>
    </row>
    <row r="2365" spans="2:11" ht="33" x14ac:dyDescent="0.2">
      <c r="B2365" s="31" t="s">
        <v>3243</v>
      </c>
      <c r="C2365" s="31" t="s">
        <v>2932</v>
      </c>
      <c r="D2365" s="34">
        <v>0</v>
      </c>
      <c r="E2365" s="34"/>
      <c r="F2365" s="34">
        <v>19943214.59</v>
      </c>
      <c r="G2365" s="34">
        <v>0</v>
      </c>
      <c r="H2365" s="34">
        <f t="shared" si="37"/>
        <v>19943214.59</v>
      </c>
      <c r="I2365" s="34"/>
      <c r="K2365" t="s">
        <v>38</v>
      </c>
    </row>
    <row r="2366" spans="2:11" ht="16.5" x14ac:dyDescent="0.2">
      <c r="B2366" s="33" t="s">
        <v>3244</v>
      </c>
      <c r="C2366" s="33" t="s">
        <v>1105</v>
      </c>
      <c r="D2366" s="35">
        <f>SUMIFS(D2367:D9015,K2367:K9015,"0",B2367:B9015,"5 1 1 1 3 12 31111 6 M59 40200*")-SUMIFS(E2367:E9015,K2367:K9015,"0",B2367:B9015,"5 1 1 1 3 12 31111 6 M59 40200*")</f>
        <v>0</v>
      </c>
      <c r="E2366"/>
      <c r="F2366" s="35">
        <f>SUMIFS(F2367:F9015,K2367:K9015,"0",B2367:B9015,"5 1 1 1 3 12 31111 6 M59 40200*")</f>
        <v>3018881.84</v>
      </c>
      <c r="G2366" s="35">
        <f>SUMIFS(G2367:G9015,K2367:K9015,"0",B2367:B9015,"5 1 1 1 3 12 31111 6 M59 40200*")</f>
        <v>0</v>
      </c>
      <c r="H2366" s="35">
        <f t="shared" si="37"/>
        <v>3018881.84</v>
      </c>
      <c r="I2366" s="35"/>
      <c r="K2366" t="s">
        <v>15</v>
      </c>
    </row>
    <row r="2367" spans="2:11" ht="16.5" x14ac:dyDescent="0.2">
      <c r="B2367" s="33" t="s">
        <v>3245</v>
      </c>
      <c r="C2367" s="33" t="s">
        <v>1107</v>
      </c>
      <c r="D2367" s="35">
        <f>SUMIFS(D2368:D9015,K2368:K9015,"0",B2368:B9015,"5 1 1 1 3 12 31111 6 M59 40200 000172*")-SUMIFS(E2368:E9015,K2368:K9015,"0",B2368:B9015,"5 1 1 1 3 12 31111 6 M59 40200 000172*")</f>
        <v>0</v>
      </c>
      <c r="E2367"/>
      <c r="F2367" s="35">
        <f>SUMIFS(F2368:F9015,K2368:K9015,"0",B2368:B9015,"5 1 1 1 3 12 31111 6 M59 40200 000172*")</f>
        <v>3018881.84</v>
      </c>
      <c r="G2367" s="35">
        <f>SUMIFS(G2368:G9015,K2368:K9015,"0",B2368:B9015,"5 1 1 1 3 12 31111 6 M59 40200 000172*")</f>
        <v>0</v>
      </c>
      <c r="H2367" s="35">
        <f t="shared" si="37"/>
        <v>3018881.84</v>
      </c>
      <c r="I2367" s="35"/>
      <c r="K2367" t="s">
        <v>15</v>
      </c>
    </row>
    <row r="2368" spans="2:11" ht="16.5" x14ac:dyDescent="0.2">
      <c r="B2368" s="33" t="s">
        <v>3246</v>
      </c>
      <c r="C2368" s="33" t="s">
        <v>650</v>
      </c>
      <c r="D2368" s="35">
        <f>SUMIFS(D2369:D9015,K2369:K9015,"0",B2369:B9015,"5 1 1 1 3 12 31111 6 M59 40200 000172 0000R*")-SUMIFS(E2369:E9015,K2369:K9015,"0",B2369:B9015,"5 1 1 1 3 12 31111 6 M59 40200 000172 0000R*")</f>
        <v>0</v>
      </c>
      <c r="E2368"/>
      <c r="F2368" s="35">
        <f>SUMIFS(F2369:F9015,K2369:K9015,"0",B2369:B9015,"5 1 1 1 3 12 31111 6 M59 40200 000172 0000R*")</f>
        <v>3018881.84</v>
      </c>
      <c r="G2368" s="35">
        <f>SUMIFS(G2369:G9015,K2369:K9015,"0",B2369:B9015,"5 1 1 1 3 12 31111 6 M59 40200 000172 0000R*")</f>
        <v>0</v>
      </c>
      <c r="H2368" s="35">
        <f t="shared" si="37"/>
        <v>3018881.84</v>
      </c>
      <c r="I2368" s="35"/>
      <c r="K2368" t="s">
        <v>15</v>
      </c>
    </row>
    <row r="2369" spans="2:11" ht="24.75" x14ac:dyDescent="0.2">
      <c r="B2369" s="33" t="s">
        <v>3247</v>
      </c>
      <c r="C2369" s="33" t="s">
        <v>282</v>
      </c>
      <c r="D2369" s="35">
        <f>SUMIFS(D2370:D9015,K2370:K9015,"0",B2370:B9015,"5 1 1 1 3 12 31111 6 M59 40200 000172 0000R 00001*")-SUMIFS(E2370:E9015,K2370:K9015,"0",B2370:B9015,"5 1 1 1 3 12 31111 6 M59 40200 000172 0000R 00001*")</f>
        <v>0</v>
      </c>
      <c r="E2369"/>
      <c r="F2369" s="35">
        <f>SUMIFS(F2370:F9015,K2370:K9015,"0",B2370:B9015,"5 1 1 1 3 12 31111 6 M59 40200 000172 0000R 00001*")</f>
        <v>3018881.84</v>
      </c>
      <c r="G2369" s="35">
        <f>SUMIFS(G2370:G9015,K2370:K9015,"0",B2370:B9015,"5 1 1 1 3 12 31111 6 M59 40200 000172 0000R 00001*")</f>
        <v>0</v>
      </c>
      <c r="H2369" s="35">
        <f t="shared" si="37"/>
        <v>3018881.84</v>
      </c>
      <c r="I2369" s="35"/>
      <c r="K2369" t="s">
        <v>15</v>
      </c>
    </row>
    <row r="2370" spans="2:11" ht="24.75" x14ac:dyDescent="0.2">
      <c r="B2370" s="33" t="s">
        <v>3248</v>
      </c>
      <c r="C2370" s="33" t="s">
        <v>2924</v>
      </c>
      <c r="D2370" s="35">
        <f>SUMIFS(D2371:D9015,K2371:K9015,"0",B2371:B9015,"5 1 1 1 3 12 31111 6 M59 40200 000172 0000R 00001 00113*")-SUMIFS(E2371:E9015,K2371:K9015,"0",B2371:B9015,"5 1 1 1 3 12 31111 6 M59 40200 000172 0000R 00001 00113*")</f>
        <v>0</v>
      </c>
      <c r="E2370"/>
      <c r="F2370" s="35">
        <f>SUMIFS(F2371:F9015,K2371:K9015,"0",B2371:B9015,"5 1 1 1 3 12 31111 6 M59 40200 000172 0000R 00001 00113*")</f>
        <v>3018881.84</v>
      </c>
      <c r="G2370" s="35">
        <f>SUMIFS(G2371:G9015,K2371:K9015,"0",B2371:B9015,"5 1 1 1 3 12 31111 6 M59 40200 000172 0000R 00001 00113*")</f>
        <v>0</v>
      </c>
      <c r="H2370" s="35">
        <f t="shared" si="37"/>
        <v>3018881.84</v>
      </c>
      <c r="I2370" s="35"/>
      <c r="K2370" t="s">
        <v>15</v>
      </c>
    </row>
    <row r="2371" spans="2:11" ht="24.75" x14ac:dyDescent="0.2">
      <c r="B2371" s="33" t="s">
        <v>3249</v>
      </c>
      <c r="C2371" s="33" t="s">
        <v>656</v>
      </c>
      <c r="D2371" s="35">
        <f>SUMIFS(D2372:D9015,K2372:K9015,"0",B2372:B9015,"5 1 1 1 3 12 31111 6 M59 40200 000172 0000R 00001 00113 025*")-SUMIFS(E2372:E9015,K2372:K9015,"0",B2372:B9015,"5 1 1 1 3 12 31111 6 M59 40200 000172 0000R 00001 00113 025*")</f>
        <v>0</v>
      </c>
      <c r="E2371"/>
      <c r="F2371" s="35">
        <f>SUMIFS(F2372:F9015,K2372:K9015,"0",B2372:B9015,"5 1 1 1 3 12 31111 6 M59 40200 000172 0000R 00001 00113 025*")</f>
        <v>3018881.84</v>
      </c>
      <c r="G2371" s="35">
        <f>SUMIFS(G2372:G9015,K2372:K9015,"0",B2372:B9015,"5 1 1 1 3 12 31111 6 M59 40200 000172 0000R 00001 00113 025*")</f>
        <v>0</v>
      </c>
      <c r="H2371" s="35">
        <f t="shared" si="37"/>
        <v>3018881.84</v>
      </c>
      <c r="I2371" s="35"/>
      <c r="K2371" t="s">
        <v>15</v>
      </c>
    </row>
    <row r="2372" spans="2:11" ht="33" x14ac:dyDescent="0.2">
      <c r="B2372" s="33" t="s">
        <v>3250</v>
      </c>
      <c r="C2372" s="33" t="s">
        <v>2927</v>
      </c>
      <c r="D2372" s="35">
        <f>SUMIFS(D2373:D9015,K2373:K9015,"0",B2373:B9015,"5 1 1 1 3 12 31111 6 M59 40200 000172 0000R 00001 00113 025 2111100*")-SUMIFS(E2373:E9015,K2373:K9015,"0",B2373:B9015,"5 1 1 1 3 12 31111 6 M59 40200 000172 0000R 00001 00113 025 2111100*")</f>
        <v>0</v>
      </c>
      <c r="E2372"/>
      <c r="F2372" s="35">
        <f>SUMIFS(F2373:F9015,K2373:K9015,"0",B2373:B9015,"5 1 1 1 3 12 31111 6 M59 40200 000172 0000R 00001 00113 025 2111100*")</f>
        <v>3018881.84</v>
      </c>
      <c r="G2372" s="35">
        <f>SUMIFS(G2373:G9015,K2373:K9015,"0",B2373:B9015,"5 1 1 1 3 12 31111 6 M59 40200 000172 0000R 00001 00113 025 2111100*")</f>
        <v>0</v>
      </c>
      <c r="H2372" s="35">
        <f t="shared" ref="H2372:H2435" si="38">D2372 + F2372 - G2372</f>
        <v>3018881.84</v>
      </c>
      <c r="I2372" s="35"/>
      <c r="K2372" t="s">
        <v>15</v>
      </c>
    </row>
    <row r="2373" spans="2:11" ht="33" x14ac:dyDescent="0.2">
      <c r="B2373" s="33" t="s">
        <v>3251</v>
      </c>
      <c r="C2373" s="33" t="s">
        <v>660</v>
      </c>
      <c r="D2373" s="35">
        <f>SUMIFS(D2374:D9015,K2374:K9015,"0",B2374:B9015,"5 1 1 1 3 12 31111 6 M59 40200 000172 0000R 00001 00113 025 2111100 2024*")-SUMIFS(E2374:E9015,K2374:K9015,"0",B2374:B9015,"5 1 1 1 3 12 31111 6 M59 40200 000172 0000R 00001 00113 025 2111100 2024*")</f>
        <v>0</v>
      </c>
      <c r="E2373"/>
      <c r="F2373" s="35">
        <f>SUMIFS(F2374:F9015,K2374:K9015,"0",B2374:B9015,"5 1 1 1 3 12 31111 6 M59 40200 000172 0000R 00001 00113 025 2111100 2024*")</f>
        <v>3018881.84</v>
      </c>
      <c r="G2373" s="35">
        <f>SUMIFS(G2374:G9015,K2374:K9015,"0",B2374:B9015,"5 1 1 1 3 12 31111 6 M59 40200 000172 0000R 00001 00113 025 2111100 2024*")</f>
        <v>0</v>
      </c>
      <c r="H2373" s="35">
        <f t="shared" si="38"/>
        <v>3018881.84</v>
      </c>
      <c r="I2373" s="35"/>
      <c r="K2373" t="s">
        <v>15</v>
      </c>
    </row>
    <row r="2374" spans="2:11" ht="41.25" x14ac:dyDescent="0.2">
      <c r="B2374" s="33" t="s">
        <v>3252</v>
      </c>
      <c r="C2374" s="33" t="s">
        <v>1056</v>
      </c>
      <c r="D2374" s="35">
        <f>SUMIFS(D2375:D9015,K2375:K9015,"0",B2375:B9015,"5 1 1 1 3 12 31111 6 M59 40200 000172 0000R 00001 00113 025 2111100 2024 CP4PC370*")-SUMIFS(E2375:E9015,K2375:K9015,"0",B2375:B9015,"5 1 1 1 3 12 31111 6 M59 40200 000172 0000R 00001 00113 025 2111100 2024 CP4PC370*")</f>
        <v>0</v>
      </c>
      <c r="E2374"/>
      <c r="F2374" s="35">
        <f>SUMIFS(F2375:F9015,K2375:K9015,"0",B2375:B9015,"5 1 1 1 3 12 31111 6 M59 40200 000172 0000R 00001 00113 025 2111100 2024 CP4PC370*")</f>
        <v>3018881.84</v>
      </c>
      <c r="G2374" s="35">
        <f>SUMIFS(G2375:G9015,K2375:K9015,"0",B2375:B9015,"5 1 1 1 3 12 31111 6 M59 40200 000172 0000R 00001 00113 025 2111100 2024 CP4PC370*")</f>
        <v>0</v>
      </c>
      <c r="H2374" s="35">
        <f t="shared" si="38"/>
        <v>3018881.84</v>
      </c>
      <c r="I2374" s="35"/>
      <c r="K2374" t="s">
        <v>15</v>
      </c>
    </row>
    <row r="2375" spans="2:11" ht="41.25" x14ac:dyDescent="0.2">
      <c r="B2375" s="33" t="s">
        <v>3253</v>
      </c>
      <c r="C2375" s="33" t="s">
        <v>664</v>
      </c>
      <c r="D2375" s="35">
        <f>SUMIFS(D2376:D9015,K2376:K9015,"0",B2376:B9015,"5 1 1 1 3 12 31111 6 M59 40200 000172 0000R 00001 00113 025 2111100 2024 CP4PC370 003*")-SUMIFS(E2376:E9015,K2376:K9015,"0",B2376:B9015,"5 1 1 1 3 12 31111 6 M59 40200 000172 0000R 00001 00113 025 2111100 2024 CP4PC370 003*")</f>
        <v>0</v>
      </c>
      <c r="E2375"/>
      <c r="F2375" s="35">
        <f>SUMIFS(F2376:F9015,K2376:K9015,"0",B2376:B9015,"5 1 1 1 3 12 31111 6 M59 40200 000172 0000R 00001 00113 025 2111100 2024 CP4PC370 003*")</f>
        <v>3018881.84</v>
      </c>
      <c r="G2375" s="35">
        <f>SUMIFS(G2376:G9015,K2376:K9015,"0",B2376:B9015,"5 1 1 1 3 12 31111 6 M59 40200 000172 0000R 00001 00113 025 2111100 2024 CP4PC370 003*")</f>
        <v>0</v>
      </c>
      <c r="H2375" s="35">
        <f t="shared" si="38"/>
        <v>3018881.84</v>
      </c>
      <c r="I2375" s="35"/>
      <c r="K2375" t="s">
        <v>15</v>
      </c>
    </row>
    <row r="2376" spans="2:11" ht="33" x14ac:dyDescent="0.2">
      <c r="B2376" s="31" t="s">
        <v>3254</v>
      </c>
      <c r="C2376" s="31" t="s">
        <v>2932</v>
      </c>
      <c r="D2376" s="34">
        <v>0</v>
      </c>
      <c r="E2376" s="34"/>
      <c r="F2376" s="34">
        <v>3018881.84</v>
      </c>
      <c r="G2376" s="34">
        <v>0</v>
      </c>
      <c r="H2376" s="34">
        <f t="shared" si="38"/>
        <v>3018881.84</v>
      </c>
      <c r="I2376" s="34"/>
      <c r="K2376" t="s">
        <v>38</v>
      </c>
    </row>
    <row r="2377" spans="2:11" ht="16.5" x14ac:dyDescent="0.2">
      <c r="B2377" s="33" t="s">
        <v>3255</v>
      </c>
      <c r="C2377" s="33" t="s">
        <v>3256</v>
      </c>
      <c r="D2377" s="35">
        <f>SUMIFS(D2378:D9015,K2378:K9015,"0",B2378:B9015,"5 1 1 1 3 12 31111 6 M59 40300*")-SUMIFS(E2378:E9015,K2378:K9015,"0",B2378:B9015,"5 1 1 1 3 12 31111 6 M59 40300*")</f>
        <v>0</v>
      </c>
      <c r="E2377"/>
      <c r="F2377" s="35">
        <f>SUMIFS(F2378:F9015,K2378:K9015,"0",B2378:B9015,"5 1 1 1 3 12 31111 6 M59 40300*")</f>
        <v>2744065.54</v>
      </c>
      <c r="G2377" s="35">
        <f>SUMIFS(G2378:G9015,K2378:K9015,"0",B2378:B9015,"5 1 1 1 3 12 31111 6 M59 40300*")</f>
        <v>0</v>
      </c>
      <c r="H2377" s="35">
        <f t="shared" si="38"/>
        <v>2744065.54</v>
      </c>
      <c r="I2377" s="35"/>
      <c r="K2377" t="s">
        <v>15</v>
      </c>
    </row>
    <row r="2378" spans="2:11" ht="16.5" x14ac:dyDescent="0.2">
      <c r="B2378" s="33" t="s">
        <v>3257</v>
      </c>
      <c r="C2378" s="33" t="s">
        <v>1063</v>
      </c>
      <c r="D2378" s="35">
        <f>SUMIFS(D2379:D9015,K2379:K9015,"0",B2379:B9015,"5 1 1 1 3 12 31111 6 M59 40300 000185*")-SUMIFS(E2379:E9015,K2379:K9015,"0",B2379:B9015,"5 1 1 1 3 12 31111 6 M59 40300 000185*")</f>
        <v>0</v>
      </c>
      <c r="E2378"/>
      <c r="F2378" s="35">
        <f>SUMIFS(F2379:F9015,K2379:K9015,"0",B2379:B9015,"5 1 1 1 3 12 31111 6 M59 40300 000185*")</f>
        <v>2744065.54</v>
      </c>
      <c r="G2378" s="35">
        <f>SUMIFS(G2379:G9015,K2379:K9015,"0",B2379:B9015,"5 1 1 1 3 12 31111 6 M59 40300 000185*")</f>
        <v>0</v>
      </c>
      <c r="H2378" s="35">
        <f t="shared" si="38"/>
        <v>2744065.54</v>
      </c>
      <c r="I2378" s="35"/>
      <c r="K2378" t="s">
        <v>15</v>
      </c>
    </row>
    <row r="2379" spans="2:11" ht="16.5" x14ac:dyDescent="0.2">
      <c r="B2379" s="33" t="s">
        <v>3258</v>
      </c>
      <c r="C2379" s="33" t="s">
        <v>650</v>
      </c>
      <c r="D2379" s="35">
        <f>SUMIFS(D2380:D9015,K2380:K9015,"0",B2380:B9015,"5 1 1 1 3 12 31111 6 M59 40300 000185 0000R*")-SUMIFS(E2380:E9015,K2380:K9015,"0",B2380:B9015,"5 1 1 1 3 12 31111 6 M59 40300 000185 0000R*")</f>
        <v>0</v>
      </c>
      <c r="E2379"/>
      <c r="F2379" s="35">
        <f>SUMIFS(F2380:F9015,K2380:K9015,"0",B2380:B9015,"5 1 1 1 3 12 31111 6 M59 40300 000185 0000R*")</f>
        <v>2744065.54</v>
      </c>
      <c r="G2379" s="35">
        <f>SUMIFS(G2380:G9015,K2380:K9015,"0",B2380:B9015,"5 1 1 1 3 12 31111 6 M59 40300 000185 0000R*")</f>
        <v>0</v>
      </c>
      <c r="H2379" s="35">
        <f t="shared" si="38"/>
        <v>2744065.54</v>
      </c>
      <c r="I2379" s="35"/>
      <c r="K2379" t="s">
        <v>15</v>
      </c>
    </row>
    <row r="2380" spans="2:11" ht="24.75" x14ac:dyDescent="0.2">
      <c r="B2380" s="33" t="s">
        <v>3259</v>
      </c>
      <c r="C2380" s="33" t="s">
        <v>282</v>
      </c>
      <c r="D2380" s="35">
        <f>SUMIFS(D2381:D9015,K2381:K9015,"0",B2381:B9015,"5 1 1 1 3 12 31111 6 M59 40300 000185 0000R 00001*")-SUMIFS(E2381:E9015,K2381:K9015,"0",B2381:B9015,"5 1 1 1 3 12 31111 6 M59 40300 000185 0000R 00001*")</f>
        <v>0</v>
      </c>
      <c r="E2380"/>
      <c r="F2380" s="35">
        <f>SUMIFS(F2381:F9015,K2381:K9015,"0",B2381:B9015,"5 1 1 1 3 12 31111 6 M59 40300 000185 0000R 00001*")</f>
        <v>2744065.54</v>
      </c>
      <c r="G2380" s="35">
        <f>SUMIFS(G2381:G9015,K2381:K9015,"0",B2381:B9015,"5 1 1 1 3 12 31111 6 M59 40300 000185 0000R 00001*")</f>
        <v>0</v>
      </c>
      <c r="H2380" s="35">
        <f t="shared" si="38"/>
        <v>2744065.54</v>
      </c>
      <c r="I2380" s="35"/>
      <c r="K2380" t="s">
        <v>15</v>
      </c>
    </row>
    <row r="2381" spans="2:11" ht="24.75" x14ac:dyDescent="0.2">
      <c r="B2381" s="33" t="s">
        <v>3260</v>
      </c>
      <c r="C2381" s="33" t="s">
        <v>2924</v>
      </c>
      <c r="D2381" s="35">
        <f>SUMIFS(D2382:D9015,K2382:K9015,"0",B2382:B9015,"5 1 1 1 3 12 31111 6 M59 40300 000185 0000R 00001 00113*")-SUMIFS(E2382:E9015,K2382:K9015,"0",B2382:B9015,"5 1 1 1 3 12 31111 6 M59 40300 000185 0000R 00001 00113*")</f>
        <v>0</v>
      </c>
      <c r="E2381"/>
      <c r="F2381" s="35">
        <f>SUMIFS(F2382:F9015,K2382:K9015,"0",B2382:B9015,"5 1 1 1 3 12 31111 6 M59 40300 000185 0000R 00001 00113*")</f>
        <v>2744065.54</v>
      </c>
      <c r="G2381" s="35">
        <f>SUMIFS(G2382:G9015,K2382:K9015,"0",B2382:B9015,"5 1 1 1 3 12 31111 6 M59 40300 000185 0000R 00001 00113*")</f>
        <v>0</v>
      </c>
      <c r="H2381" s="35">
        <f t="shared" si="38"/>
        <v>2744065.54</v>
      </c>
      <c r="I2381" s="35"/>
      <c r="K2381" t="s">
        <v>15</v>
      </c>
    </row>
    <row r="2382" spans="2:11" ht="24.75" x14ac:dyDescent="0.2">
      <c r="B2382" s="33" t="s">
        <v>3261</v>
      </c>
      <c r="C2382" s="33" t="s">
        <v>656</v>
      </c>
      <c r="D2382" s="35">
        <f>SUMIFS(D2383:D9015,K2383:K9015,"0",B2383:B9015,"5 1 1 1 3 12 31111 6 M59 40300 000185 0000R 00001 00113 025*")-SUMIFS(E2383:E9015,K2383:K9015,"0",B2383:B9015,"5 1 1 1 3 12 31111 6 M59 40300 000185 0000R 00001 00113 025*")</f>
        <v>0</v>
      </c>
      <c r="E2382"/>
      <c r="F2382" s="35">
        <f>SUMIFS(F2383:F9015,K2383:K9015,"0",B2383:B9015,"5 1 1 1 3 12 31111 6 M59 40300 000185 0000R 00001 00113 025*")</f>
        <v>2744065.54</v>
      </c>
      <c r="G2382" s="35">
        <f>SUMIFS(G2383:G9015,K2383:K9015,"0",B2383:B9015,"5 1 1 1 3 12 31111 6 M59 40300 000185 0000R 00001 00113 025*")</f>
        <v>0</v>
      </c>
      <c r="H2382" s="35">
        <f t="shared" si="38"/>
        <v>2744065.54</v>
      </c>
      <c r="I2382" s="35"/>
      <c r="K2382" t="s">
        <v>15</v>
      </c>
    </row>
    <row r="2383" spans="2:11" ht="33" x14ac:dyDescent="0.2">
      <c r="B2383" s="33" t="s">
        <v>3262</v>
      </c>
      <c r="C2383" s="33" t="s">
        <v>2927</v>
      </c>
      <c r="D2383" s="35">
        <f>SUMIFS(D2384:D9015,K2384:K9015,"0",B2384:B9015,"5 1 1 1 3 12 31111 6 M59 40300 000185 0000R 00001 00113 025 2111100*")-SUMIFS(E2384:E9015,K2384:K9015,"0",B2384:B9015,"5 1 1 1 3 12 31111 6 M59 40300 000185 0000R 00001 00113 025 2111100*")</f>
        <v>0</v>
      </c>
      <c r="E2383"/>
      <c r="F2383" s="35">
        <f>SUMIFS(F2384:F9015,K2384:K9015,"0",B2384:B9015,"5 1 1 1 3 12 31111 6 M59 40300 000185 0000R 00001 00113 025 2111100*")</f>
        <v>2744065.54</v>
      </c>
      <c r="G2383" s="35">
        <f>SUMIFS(G2384:G9015,K2384:K9015,"0",B2384:B9015,"5 1 1 1 3 12 31111 6 M59 40300 000185 0000R 00001 00113 025 2111100*")</f>
        <v>0</v>
      </c>
      <c r="H2383" s="35">
        <f t="shared" si="38"/>
        <v>2744065.54</v>
      </c>
      <c r="I2383" s="35"/>
      <c r="K2383" t="s">
        <v>15</v>
      </c>
    </row>
    <row r="2384" spans="2:11" ht="33" x14ac:dyDescent="0.2">
      <c r="B2384" s="33" t="s">
        <v>3263</v>
      </c>
      <c r="C2384" s="33" t="s">
        <v>660</v>
      </c>
      <c r="D2384" s="35">
        <f>SUMIFS(D2385:D9015,K2385:K9015,"0",B2385:B9015,"5 1 1 1 3 12 31111 6 M59 40300 000185 0000R 00001 00113 025 2111100 2024*")-SUMIFS(E2385:E9015,K2385:K9015,"0",B2385:B9015,"5 1 1 1 3 12 31111 6 M59 40300 000185 0000R 00001 00113 025 2111100 2024*")</f>
        <v>0</v>
      </c>
      <c r="E2384"/>
      <c r="F2384" s="35">
        <f>SUMIFS(F2385:F9015,K2385:K9015,"0",B2385:B9015,"5 1 1 1 3 12 31111 6 M59 40300 000185 0000R 00001 00113 025 2111100 2024*")</f>
        <v>2744065.54</v>
      </c>
      <c r="G2384" s="35">
        <f>SUMIFS(G2385:G9015,K2385:K9015,"0",B2385:B9015,"5 1 1 1 3 12 31111 6 M59 40300 000185 0000R 00001 00113 025 2111100 2024*")</f>
        <v>0</v>
      </c>
      <c r="H2384" s="35">
        <f t="shared" si="38"/>
        <v>2744065.54</v>
      </c>
      <c r="I2384" s="35"/>
      <c r="K2384" t="s">
        <v>15</v>
      </c>
    </row>
    <row r="2385" spans="2:11" ht="41.25" x14ac:dyDescent="0.2">
      <c r="B2385" s="33" t="s">
        <v>3264</v>
      </c>
      <c r="C2385" s="33" t="s">
        <v>662</v>
      </c>
      <c r="D2385" s="35">
        <f>SUMIFS(D2386:D9015,K2386:K9015,"0",B2386:B9015,"5 1 1 1 3 12 31111 6 M59 40300 000185 0000R 00001 00113 025 2111100 2024 CP4TV371*")-SUMIFS(E2386:E9015,K2386:K9015,"0",B2386:B9015,"5 1 1 1 3 12 31111 6 M59 40300 000185 0000R 00001 00113 025 2111100 2024 CP4TV371*")</f>
        <v>0</v>
      </c>
      <c r="E2385"/>
      <c r="F2385" s="35">
        <f>SUMIFS(F2386:F9015,K2386:K9015,"0",B2386:B9015,"5 1 1 1 3 12 31111 6 M59 40300 000185 0000R 00001 00113 025 2111100 2024 CP4TV371*")</f>
        <v>2744065.54</v>
      </c>
      <c r="G2385" s="35">
        <f>SUMIFS(G2386:G9015,K2386:K9015,"0",B2386:B9015,"5 1 1 1 3 12 31111 6 M59 40300 000185 0000R 00001 00113 025 2111100 2024 CP4TV371*")</f>
        <v>0</v>
      </c>
      <c r="H2385" s="35">
        <f t="shared" si="38"/>
        <v>2744065.54</v>
      </c>
      <c r="I2385" s="35"/>
      <c r="K2385" t="s">
        <v>15</v>
      </c>
    </row>
    <row r="2386" spans="2:11" ht="41.25" x14ac:dyDescent="0.2">
      <c r="B2386" s="33" t="s">
        <v>3265</v>
      </c>
      <c r="C2386" s="33" t="s">
        <v>664</v>
      </c>
      <c r="D2386" s="35">
        <f>SUMIFS(D2387:D9015,K2387:K9015,"0",B2387:B9015,"5 1 1 1 3 12 31111 6 M59 40300 000185 0000R 00001 00113 025 2111100 2024 CP4TV371 003*")-SUMIFS(E2387:E9015,K2387:K9015,"0",B2387:B9015,"5 1 1 1 3 12 31111 6 M59 40300 000185 0000R 00001 00113 025 2111100 2024 CP4TV371 003*")</f>
        <v>0</v>
      </c>
      <c r="E2386"/>
      <c r="F2386" s="35">
        <f>SUMIFS(F2387:F9015,K2387:K9015,"0",B2387:B9015,"5 1 1 1 3 12 31111 6 M59 40300 000185 0000R 00001 00113 025 2111100 2024 CP4TV371 003*")</f>
        <v>2744065.54</v>
      </c>
      <c r="G2386" s="35">
        <f>SUMIFS(G2387:G9015,K2387:K9015,"0",B2387:B9015,"5 1 1 1 3 12 31111 6 M59 40300 000185 0000R 00001 00113 025 2111100 2024 CP4TV371 003*")</f>
        <v>0</v>
      </c>
      <c r="H2386" s="35">
        <f t="shared" si="38"/>
        <v>2744065.54</v>
      </c>
      <c r="I2386" s="35"/>
      <c r="K2386" t="s">
        <v>15</v>
      </c>
    </row>
    <row r="2387" spans="2:11" ht="33" x14ac:dyDescent="0.2">
      <c r="B2387" s="31" t="s">
        <v>3266</v>
      </c>
      <c r="C2387" s="31" t="s">
        <v>2932</v>
      </c>
      <c r="D2387" s="34">
        <v>0</v>
      </c>
      <c r="E2387" s="34"/>
      <c r="F2387" s="34">
        <v>2744065.54</v>
      </c>
      <c r="G2387" s="34">
        <v>0</v>
      </c>
      <c r="H2387" s="34">
        <f t="shared" si="38"/>
        <v>2744065.54</v>
      </c>
      <c r="I2387" s="34"/>
      <c r="K2387" t="s">
        <v>38</v>
      </c>
    </row>
    <row r="2388" spans="2:11" ht="16.5" x14ac:dyDescent="0.2">
      <c r="B2388" s="33" t="s">
        <v>3267</v>
      </c>
      <c r="C2388" s="33" t="s">
        <v>3268</v>
      </c>
      <c r="D2388" s="35">
        <f>SUMIFS(D2389:D9015,K2389:K9015,"0",B2389:B9015,"5 1 1 1 3 12 31111 6 M59 40400*")-SUMIFS(E2389:E9015,K2389:K9015,"0",B2389:B9015,"5 1 1 1 3 12 31111 6 M59 40400*")</f>
        <v>0</v>
      </c>
      <c r="E2388"/>
      <c r="F2388" s="35">
        <f>SUMIFS(F2389:F9015,K2389:K9015,"0",B2389:B9015,"5 1 1 1 3 12 31111 6 M59 40400*")</f>
        <v>295170.18</v>
      </c>
      <c r="G2388" s="35">
        <f>SUMIFS(G2389:G9015,K2389:K9015,"0",B2389:B9015,"5 1 1 1 3 12 31111 6 M59 40400*")</f>
        <v>0</v>
      </c>
      <c r="H2388" s="35">
        <f t="shared" si="38"/>
        <v>295170.18</v>
      </c>
      <c r="I2388" s="35"/>
      <c r="K2388" t="s">
        <v>15</v>
      </c>
    </row>
    <row r="2389" spans="2:11" ht="16.5" x14ac:dyDescent="0.2">
      <c r="B2389" s="33" t="s">
        <v>3269</v>
      </c>
      <c r="C2389" s="33" t="s">
        <v>3270</v>
      </c>
      <c r="D2389" s="35">
        <f>SUMIFS(D2390:D9015,K2390:K9015,"0",B2390:B9015,"5 1 1 1 3 12 31111 6 M59 40400 000173*")-SUMIFS(E2390:E9015,K2390:K9015,"0",B2390:B9015,"5 1 1 1 3 12 31111 6 M59 40400 000173*")</f>
        <v>0</v>
      </c>
      <c r="E2389"/>
      <c r="F2389" s="35">
        <f>SUMIFS(F2390:F9015,K2390:K9015,"0",B2390:B9015,"5 1 1 1 3 12 31111 6 M59 40400 000173*")</f>
        <v>295170.18</v>
      </c>
      <c r="G2389" s="35">
        <f>SUMIFS(G2390:G9015,K2390:K9015,"0",B2390:B9015,"5 1 1 1 3 12 31111 6 M59 40400 000173*")</f>
        <v>0</v>
      </c>
      <c r="H2389" s="35">
        <f t="shared" si="38"/>
        <v>295170.18</v>
      </c>
      <c r="I2389" s="35"/>
      <c r="K2389" t="s">
        <v>15</v>
      </c>
    </row>
    <row r="2390" spans="2:11" ht="16.5" x14ac:dyDescent="0.2">
      <c r="B2390" s="33" t="s">
        <v>3271</v>
      </c>
      <c r="C2390" s="33" t="s">
        <v>650</v>
      </c>
      <c r="D2390" s="35">
        <f>SUMIFS(D2391:D9015,K2391:K9015,"0",B2391:B9015,"5 1 1 1 3 12 31111 6 M59 40400 000173 0000R*")-SUMIFS(E2391:E9015,K2391:K9015,"0",B2391:B9015,"5 1 1 1 3 12 31111 6 M59 40400 000173 0000R*")</f>
        <v>0</v>
      </c>
      <c r="E2390"/>
      <c r="F2390" s="35">
        <f>SUMIFS(F2391:F9015,K2391:K9015,"0",B2391:B9015,"5 1 1 1 3 12 31111 6 M59 40400 000173 0000R*")</f>
        <v>295170.18</v>
      </c>
      <c r="G2390" s="35">
        <f>SUMIFS(G2391:G9015,K2391:K9015,"0",B2391:B9015,"5 1 1 1 3 12 31111 6 M59 40400 000173 0000R*")</f>
        <v>0</v>
      </c>
      <c r="H2390" s="35">
        <f t="shared" si="38"/>
        <v>295170.18</v>
      </c>
      <c r="I2390" s="35"/>
      <c r="K2390" t="s">
        <v>15</v>
      </c>
    </row>
    <row r="2391" spans="2:11" ht="24.75" x14ac:dyDescent="0.2">
      <c r="B2391" s="33" t="s">
        <v>3272</v>
      </c>
      <c r="C2391" s="33" t="s">
        <v>282</v>
      </c>
      <c r="D2391" s="35">
        <f>SUMIFS(D2392:D9015,K2392:K9015,"0",B2392:B9015,"5 1 1 1 3 12 31111 6 M59 40400 000173 0000R 00001*")-SUMIFS(E2392:E9015,K2392:K9015,"0",B2392:B9015,"5 1 1 1 3 12 31111 6 M59 40400 000173 0000R 00001*")</f>
        <v>0</v>
      </c>
      <c r="E2391"/>
      <c r="F2391" s="35">
        <f>SUMIFS(F2392:F9015,K2392:K9015,"0",B2392:B9015,"5 1 1 1 3 12 31111 6 M59 40400 000173 0000R 00001*")</f>
        <v>295170.18</v>
      </c>
      <c r="G2391" s="35">
        <f>SUMIFS(G2392:G9015,K2392:K9015,"0",B2392:B9015,"5 1 1 1 3 12 31111 6 M59 40400 000173 0000R 00001*")</f>
        <v>0</v>
      </c>
      <c r="H2391" s="35">
        <f t="shared" si="38"/>
        <v>295170.18</v>
      </c>
      <c r="I2391" s="35"/>
      <c r="K2391" t="s">
        <v>15</v>
      </c>
    </row>
    <row r="2392" spans="2:11" ht="24.75" x14ac:dyDescent="0.2">
      <c r="B2392" s="33" t="s">
        <v>3273</v>
      </c>
      <c r="C2392" s="33" t="s">
        <v>2924</v>
      </c>
      <c r="D2392" s="35">
        <f>SUMIFS(D2393:D9015,K2393:K9015,"0",B2393:B9015,"5 1 1 1 3 12 31111 6 M59 40400 000173 0000R 00001 00113*")-SUMIFS(E2393:E9015,K2393:K9015,"0",B2393:B9015,"5 1 1 1 3 12 31111 6 M59 40400 000173 0000R 00001 00113*")</f>
        <v>0</v>
      </c>
      <c r="E2392"/>
      <c r="F2392" s="35">
        <f>SUMIFS(F2393:F9015,K2393:K9015,"0",B2393:B9015,"5 1 1 1 3 12 31111 6 M59 40400 000173 0000R 00001 00113*")</f>
        <v>295170.18</v>
      </c>
      <c r="G2392" s="35">
        <f>SUMIFS(G2393:G9015,K2393:K9015,"0",B2393:B9015,"5 1 1 1 3 12 31111 6 M59 40400 000173 0000R 00001 00113*")</f>
        <v>0</v>
      </c>
      <c r="H2392" s="35">
        <f t="shared" si="38"/>
        <v>295170.18</v>
      </c>
      <c r="I2392" s="35"/>
      <c r="K2392" t="s">
        <v>15</v>
      </c>
    </row>
    <row r="2393" spans="2:11" ht="24.75" x14ac:dyDescent="0.2">
      <c r="B2393" s="33" t="s">
        <v>3274</v>
      </c>
      <c r="C2393" s="33" t="s">
        <v>656</v>
      </c>
      <c r="D2393" s="35">
        <f>SUMIFS(D2394:D9015,K2394:K9015,"0",B2394:B9015,"5 1 1 1 3 12 31111 6 M59 40400 000173 0000R 00001 00113 025*")-SUMIFS(E2394:E9015,K2394:K9015,"0",B2394:B9015,"5 1 1 1 3 12 31111 6 M59 40400 000173 0000R 00001 00113 025*")</f>
        <v>0</v>
      </c>
      <c r="E2393"/>
      <c r="F2393" s="35">
        <f>SUMIFS(F2394:F9015,K2394:K9015,"0",B2394:B9015,"5 1 1 1 3 12 31111 6 M59 40400 000173 0000R 00001 00113 025*")</f>
        <v>295170.18</v>
      </c>
      <c r="G2393" s="35">
        <f>SUMIFS(G2394:G9015,K2394:K9015,"0",B2394:B9015,"5 1 1 1 3 12 31111 6 M59 40400 000173 0000R 00001 00113 025*")</f>
        <v>0</v>
      </c>
      <c r="H2393" s="35">
        <f t="shared" si="38"/>
        <v>295170.18</v>
      </c>
      <c r="I2393" s="35"/>
      <c r="K2393" t="s">
        <v>15</v>
      </c>
    </row>
    <row r="2394" spans="2:11" ht="33" x14ac:dyDescent="0.2">
      <c r="B2394" s="33" t="s">
        <v>3275</v>
      </c>
      <c r="C2394" s="33" t="s">
        <v>2927</v>
      </c>
      <c r="D2394" s="35">
        <f>SUMIFS(D2395:D9015,K2395:K9015,"0",B2395:B9015,"5 1 1 1 3 12 31111 6 M59 40400 000173 0000R 00001 00113 025 2111100*")-SUMIFS(E2395:E9015,K2395:K9015,"0",B2395:B9015,"5 1 1 1 3 12 31111 6 M59 40400 000173 0000R 00001 00113 025 2111100*")</f>
        <v>0</v>
      </c>
      <c r="E2394"/>
      <c r="F2394" s="35">
        <f>SUMIFS(F2395:F9015,K2395:K9015,"0",B2395:B9015,"5 1 1 1 3 12 31111 6 M59 40400 000173 0000R 00001 00113 025 2111100*")</f>
        <v>295170.18</v>
      </c>
      <c r="G2394" s="35">
        <f>SUMIFS(G2395:G9015,K2395:K9015,"0",B2395:B9015,"5 1 1 1 3 12 31111 6 M59 40400 000173 0000R 00001 00113 025 2111100*")</f>
        <v>0</v>
      </c>
      <c r="H2394" s="35">
        <f t="shared" si="38"/>
        <v>295170.18</v>
      </c>
      <c r="I2394" s="35"/>
      <c r="K2394" t="s">
        <v>15</v>
      </c>
    </row>
    <row r="2395" spans="2:11" ht="33" x14ac:dyDescent="0.2">
      <c r="B2395" s="33" t="s">
        <v>3276</v>
      </c>
      <c r="C2395" s="33" t="s">
        <v>660</v>
      </c>
      <c r="D2395" s="35">
        <f>SUMIFS(D2396:D9015,K2396:K9015,"0",B2396:B9015,"5 1 1 1 3 12 31111 6 M59 40400 000173 0000R 00001 00113 025 2111100 2024*")-SUMIFS(E2396:E9015,K2396:K9015,"0",B2396:B9015,"5 1 1 1 3 12 31111 6 M59 40400 000173 0000R 00001 00113 025 2111100 2024*")</f>
        <v>0</v>
      </c>
      <c r="E2395"/>
      <c r="F2395" s="35">
        <f>SUMIFS(F2396:F9015,K2396:K9015,"0",B2396:B9015,"5 1 1 1 3 12 31111 6 M59 40400 000173 0000R 00001 00113 025 2111100 2024*")</f>
        <v>295170.18</v>
      </c>
      <c r="G2395" s="35">
        <f>SUMIFS(G2396:G9015,K2396:K9015,"0",B2396:B9015,"5 1 1 1 3 12 31111 6 M59 40400 000173 0000R 00001 00113 025 2111100 2024*")</f>
        <v>0</v>
      </c>
      <c r="H2395" s="35">
        <f t="shared" si="38"/>
        <v>295170.18</v>
      </c>
      <c r="I2395" s="35"/>
      <c r="K2395" t="s">
        <v>15</v>
      </c>
    </row>
    <row r="2396" spans="2:11" ht="41.25" x14ac:dyDescent="0.2">
      <c r="B2396" s="33" t="s">
        <v>3277</v>
      </c>
      <c r="C2396" s="33" t="s">
        <v>662</v>
      </c>
      <c r="D2396" s="35">
        <f>SUMIFS(D2397:D9015,K2397:K9015,"0",B2397:B9015,"5 1 1 1 3 12 31111 6 M59 40400 000173 0000R 00001 00113 025 2111100 2024 CP4PD369*")-SUMIFS(E2397:E9015,K2397:K9015,"0",B2397:B9015,"5 1 1 1 3 12 31111 6 M59 40400 000173 0000R 00001 00113 025 2111100 2024 CP4PD369*")</f>
        <v>0</v>
      </c>
      <c r="E2396"/>
      <c r="F2396" s="35">
        <f>SUMIFS(F2397:F9015,K2397:K9015,"0",B2397:B9015,"5 1 1 1 3 12 31111 6 M59 40400 000173 0000R 00001 00113 025 2111100 2024 CP4PD369*")</f>
        <v>295170.18</v>
      </c>
      <c r="G2396" s="35">
        <f>SUMIFS(G2397:G9015,K2397:K9015,"0",B2397:B9015,"5 1 1 1 3 12 31111 6 M59 40400 000173 0000R 00001 00113 025 2111100 2024 CP4PD369*")</f>
        <v>0</v>
      </c>
      <c r="H2396" s="35">
        <f t="shared" si="38"/>
        <v>295170.18</v>
      </c>
      <c r="I2396" s="35"/>
      <c r="K2396" t="s">
        <v>15</v>
      </c>
    </row>
    <row r="2397" spans="2:11" ht="41.25" x14ac:dyDescent="0.2">
      <c r="B2397" s="33" t="s">
        <v>3278</v>
      </c>
      <c r="C2397" s="33" t="s">
        <v>664</v>
      </c>
      <c r="D2397" s="35">
        <f>SUMIFS(D2398:D9015,K2398:K9015,"0",B2398:B9015,"5 1 1 1 3 12 31111 6 M59 40400 000173 0000R 00001 00113 025 2111100 2024 CP4PD369 003*")-SUMIFS(E2398:E9015,K2398:K9015,"0",B2398:B9015,"5 1 1 1 3 12 31111 6 M59 40400 000173 0000R 00001 00113 025 2111100 2024 CP4PD369 003*")</f>
        <v>0</v>
      </c>
      <c r="E2397"/>
      <c r="F2397" s="35">
        <f>SUMIFS(F2398:F9015,K2398:K9015,"0",B2398:B9015,"5 1 1 1 3 12 31111 6 M59 40400 000173 0000R 00001 00113 025 2111100 2024 CP4PD369 003*")</f>
        <v>295170.18</v>
      </c>
      <c r="G2397" s="35">
        <f>SUMIFS(G2398:G9015,K2398:K9015,"0",B2398:B9015,"5 1 1 1 3 12 31111 6 M59 40400 000173 0000R 00001 00113 025 2111100 2024 CP4PD369 003*")</f>
        <v>0</v>
      </c>
      <c r="H2397" s="35">
        <f t="shared" si="38"/>
        <v>295170.18</v>
      </c>
      <c r="I2397" s="35"/>
      <c r="K2397" t="s">
        <v>15</v>
      </c>
    </row>
    <row r="2398" spans="2:11" ht="33" x14ac:dyDescent="0.2">
      <c r="B2398" s="31" t="s">
        <v>3279</v>
      </c>
      <c r="C2398" s="31" t="s">
        <v>2932</v>
      </c>
      <c r="D2398" s="34">
        <v>0</v>
      </c>
      <c r="E2398" s="34"/>
      <c r="F2398" s="34">
        <v>295170.18</v>
      </c>
      <c r="G2398" s="34">
        <v>0</v>
      </c>
      <c r="H2398" s="34">
        <f t="shared" si="38"/>
        <v>295170.18</v>
      </c>
      <c r="I2398" s="34"/>
      <c r="K2398" t="s">
        <v>38</v>
      </c>
    </row>
    <row r="2399" spans="2:11" ht="16.5" x14ac:dyDescent="0.2">
      <c r="B2399" s="33" t="s">
        <v>3280</v>
      </c>
      <c r="C2399" s="33" t="s">
        <v>3281</v>
      </c>
      <c r="D2399" s="35">
        <f>SUMIFS(D2400:D9015,K2400:K9015,"0",B2400:B9015,"5 1 1 1 3 12 31111 6 M59 50000*")-SUMIFS(E2400:E9015,K2400:K9015,"0",B2400:B9015,"5 1 1 1 3 12 31111 6 M59 50000*")</f>
        <v>0</v>
      </c>
      <c r="E2399"/>
      <c r="F2399" s="35">
        <f>SUMIFS(F2400:F9015,K2400:K9015,"0",B2400:B9015,"5 1 1 1 3 12 31111 6 M59 50000*")</f>
        <v>2582189.54</v>
      </c>
      <c r="G2399" s="35">
        <f>SUMIFS(G2400:G9015,K2400:K9015,"0",B2400:B9015,"5 1 1 1 3 12 31111 6 M59 50000*")</f>
        <v>0</v>
      </c>
      <c r="H2399" s="35">
        <f t="shared" si="38"/>
        <v>2582189.54</v>
      </c>
      <c r="I2399" s="35"/>
      <c r="K2399" t="s">
        <v>15</v>
      </c>
    </row>
    <row r="2400" spans="2:11" ht="16.5" x14ac:dyDescent="0.2">
      <c r="B2400" s="33" t="s">
        <v>3282</v>
      </c>
      <c r="C2400" s="33" t="s">
        <v>3283</v>
      </c>
      <c r="D2400" s="35">
        <f>SUMIFS(D2401:D9015,K2401:K9015,"0",B2401:B9015,"5 1 1 1 3 12 31111 6 M59 50000 000223*")-SUMIFS(E2401:E9015,K2401:K9015,"0",B2401:B9015,"5 1 1 1 3 12 31111 6 M59 50000 000223*")</f>
        <v>0</v>
      </c>
      <c r="E2400"/>
      <c r="F2400" s="35">
        <f>SUMIFS(F2401:F9015,K2401:K9015,"0",B2401:B9015,"5 1 1 1 3 12 31111 6 M59 50000 000223*")</f>
        <v>2582189.54</v>
      </c>
      <c r="G2400" s="35">
        <f>SUMIFS(G2401:G9015,K2401:K9015,"0",B2401:B9015,"5 1 1 1 3 12 31111 6 M59 50000 000223*")</f>
        <v>0</v>
      </c>
      <c r="H2400" s="35">
        <f t="shared" si="38"/>
        <v>2582189.54</v>
      </c>
      <c r="I2400" s="35"/>
      <c r="K2400" t="s">
        <v>15</v>
      </c>
    </row>
    <row r="2401" spans="2:11" ht="16.5" x14ac:dyDescent="0.2">
      <c r="B2401" s="33" t="s">
        <v>3284</v>
      </c>
      <c r="C2401" s="33" t="s">
        <v>1065</v>
      </c>
      <c r="D2401" s="35">
        <f>SUMIFS(D2402:D9015,K2402:K9015,"0",B2402:B9015,"5 1 1 1 3 12 31111 6 M59 50000 000223 0000E*")-SUMIFS(E2402:E9015,K2402:K9015,"0",B2402:B9015,"5 1 1 1 3 12 31111 6 M59 50000 000223 0000E*")</f>
        <v>0</v>
      </c>
      <c r="E2401"/>
      <c r="F2401" s="35">
        <f>SUMIFS(F2402:F9015,K2402:K9015,"0",B2402:B9015,"5 1 1 1 3 12 31111 6 M59 50000 000223 0000E*")</f>
        <v>2582189.54</v>
      </c>
      <c r="G2401" s="35">
        <f>SUMIFS(G2402:G9015,K2402:K9015,"0",B2402:B9015,"5 1 1 1 3 12 31111 6 M59 50000 000223 0000E*")</f>
        <v>0</v>
      </c>
      <c r="H2401" s="35">
        <f t="shared" si="38"/>
        <v>2582189.54</v>
      </c>
      <c r="I2401" s="35"/>
      <c r="K2401" t="s">
        <v>15</v>
      </c>
    </row>
    <row r="2402" spans="2:11" ht="24.75" x14ac:dyDescent="0.2">
      <c r="B2402" s="33" t="s">
        <v>3285</v>
      </c>
      <c r="C2402" s="33" t="s">
        <v>282</v>
      </c>
      <c r="D2402" s="35">
        <f>SUMIFS(D2403:D9015,K2403:K9015,"0",B2403:B9015,"5 1 1 1 3 12 31111 6 M59 50000 000223 0000E 00001*")-SUMIFS(E2403:E9015,K2403:K9015,"0",B2403:B9015,"5 1 1 1 3 12 31111 6 M59 50000 000223 0000E 00001*")</f>
        <v>0</v>
      </c>
      <c r="E2402"/>
      <c r="F2402" s="35">
        <f>SUMIFS(F2403:F9015,K2403:K9015,"0",B2403:B9015,"5 1 1 1 3 12 31111 6 M59 50000 000223 0000E 00001*")</f>
        <v>2582189.54</v>
      </c>
      <c r="G2402" s="35">
        <f>SUMIFS(G2403:G9015,K2403:K9015,"0",B2403:B9015,"5 1 1 1 3 12 31111 6 M59 50000 000223 0000E 00001*")</f>
        <v>0</v>
      </c>
      <c r="H2402" s="35">
        <f t="shared" si="38"/>
        <v>2582189.54</v>
      </c>
      <c r="I2402" s="35"/>
      <c r="K2402" t="s">
        <v>15</v>
      </c>
    </row>
    <row r="2403" spans="2:11" ht="24.75" x14ac:dyDescent="0.2">
      <c r="B2403" s="33" t="s">
        <v>3286</v>
      </c>
      <c r="C2403" s="33" t="s">
        <v>2924</v>
      </c>
      <c r="D2403" s="35">
        <f>SUMIFS(D2404:D9015,K2404:K9015,"0",B2404:B9015,"5 1 1 1 3 12 31111 6 M59 50000 000223 0000E 00001 00113*")-SUMIFS(E2404:E9015,K2404:K9015,"0",B2404:B9015,"5 1 1 1 3 12 31111 6 M59 50000 000223 0000E 00001 00113*")</f>
        <v>0</v>
      </c>
      <c r="E2403"/>
      <c r="F2403" s="35">
        <f>SUMIFS(F2404:F9015,K2404:K9015,"0",B2404:B9015,"5 1 1 1 3 12 31111 6 M59 50000 000223 0000E 00001 00113*")</f>
        <v>2582189.54</v>
      </c>
      <c r="G2403" s="35">
        <f>SUMIFS(G2404:G9015,K2404:K9015,"0",B2404:B9015,"5 1 1 1 3 12 31111 6 M59 50000 000223 0000E 00001 00113*")</f>
        <v>0</v>
      </c>
      <c r="H2403" s="35">
        <f t="shared" si="38"/>
        <v>2582189.54</v>
      </c>
      <c r="I2403" s="35"/>
      <c r="K2403" t="s">
        <v>15</v>
      </c>
    </row>
    <row r="2404" spans="2:11" ht="24.75" x14ac:dyDescent="0.2">
      <c r="B2404" s="33" t="s">
        <v>3287</v>
      </c>
      <c r="C2404" s="33" t="s">
        <v>1051</v>
      </c>
      <c r="D2404" s="35">
        <f>SUMIFS(D2405:D9015,K2405:K9015,"0",B2405:B9015,"5 1 1 1 3 12 31111 6 M59 50000 000223 0000E 00001 00113 015*")-SUMIFS(E2405:E9015,K2405:K9015,"0",B2405:B9015,"5 1 1 1 3 12 31111 6 M59 50000 000223 0000E 00001 00113 015*")</f>
        <v>0</v>
      </c>
      <c r="E2404"/>
      <c r="F2404" s="35">
        <f>SUMIFS(F2405:F9015,K2405:K9015,"0",B2405:B9015,"5 1 1 1 3 12 31111 6 M59 50000 000223 0000E 00001 00113 015*")</f>
        <v>2582189.54</v>
      </c>
      <c r="G2404" s="35">
        <f>SUMIFS(G2405:G9015,K2405:K9015,"0",B2405:B9015,"5 1 1 1 3 12 31111 6 M59 50000 000223 0000E 00001 00113 015*")</f>
        <v>0</v>
      </c>
      <c r="H2404" s="35">
        <f t="shared" si="38"/>
        <v>2582189.54</v>
      </c>
      <c r="I2404" s="35"/>
      <c r="K2404" t="s">
        <v>15</v>
      </c>
    </row>
    <row r="2405" spans="2:11" ht="33" x14ac:dyDescent="0.2">
      <c r="B2405" s="33" t="s">
        <v>3288</v>
      </c>
      <c r="C2405" s="33" t="s">
        <v>2927</v>
      </c>
      <c r="D2405" s="35">
        <f>SUMIFS(D2406:D9015,K2406:K9015,"0",B2406:B9015,"5 1 1 1 3 12 31111 6 M59 50000 000223 0000E 00001 00113 015 2111100*")-SUMIFS(E2406:E9015,K2406:K9015,"0",B2406:B9015,"5 1 1 1 3 12 31111 6 M59 50000 000223 0000E 00001 00113 015 2111100*")</f>
        <v>0</v>
      </c>
      <c r="E2405"/>
      <c r="F2405" s="35">
        <f>SUMIFS(F2406:F9015,K2406:K9015,"0",B2406:B9015,"5 1 1 1 3 12 31111 6 M59 50000 000223 0000E 00001 00113 015 2111100*")</f>
        <v>2582189.54</v>
      </c>
      <c r="G2405" s="35">
        <f>SUMIFS(G2406:G9015,K2406:K9015,"0",B2406:B9015,"5 1 1 1 3 12 31111 6 M59 50000 000223 0000E 00001 00113 015 2111100*")</f>
        <v>0</v>
      </c>
      <c r="H2405" s="35">
        <f t="shared" si="38"/>
        <v>2582189.54</v>
      </c>
      <c r="I2405" s="35"/>
      <c r="K2405" t="s">
        <v>15</v>
      </c>
    </row>
    <row r="2406" spans="2:11" ht="33" x14ac:dyDescent="0.2">
      <c r="B2406" s="33" t="s">
        <v>3289</v>
      </c>
      <c r="C2406" s="33" t="s">
        <v>660</v>
      </c>
      <c r="D2406" s="35">
        <f>SUMIFS(D2407:D9015,K2407:K9015,"0",B2407:B9015,"5 1 1 1 3 12 31111 6 M59 50000 000223 0000E 00001 00113 015 2111100 2024*")-SUMIFS(E2407:E9015,K2407:K9015,"0",B2407:B9015,"5 1 1 1 3 12 31111 6 M59 50000 000223 0000E 00001 00113 015 2111100 2024*")</f>
        <v>0</v>
      </c>
      <c r="E2406"/>
      <c r="F2406" s="35">
        <f>SUMIFS(F2407:F9015,K2407:K9015,"0",B2407:B9015,"5 1 1 1 3 12 31111 6 M59 50000 000223 0000E 00001 00113 015 2111100 2024*")</f>
        <v>2582189.54</v>
      </c>
      <c r="G2406" s="35">
        <f>SUMIFS(G2407:G9015,K2407:K9015,"0",B2407:B9015,"5 1 1 1 3 12 31111 6 M59 50000 000223 0000E 00001 00113 015 2111100 2024*")</f>
        <v>0</v>
      </c>
      <c r="H2406" s="35">
        <f t="shared" si="38"/>
        <v>2582189.54</v>
      </c>
      <c r="I2406" s="35"/>
      <c r="K2406" t="s">
        <v>15</v>
      </c>
    </row>
    <row r="2407" spans="2:11" ht="41.25" x14ac:dyDescent="0.2">
      <c r="B2407" s="33" t="s">
        <v>3290</v>
      </c>
      <c r="C2407" s="33" t="s">
        <v>662</v>
      </c>
      <c r="D2407" s="35">
        <f>SUMIFS(D2408:D9015,K2408:K9015,"0",B2408:B9015,"5 1 1 1 3 12 31111 6 M59 50000 000223 0000E 00001 00113 015 2111100 2024 CP1DA424*")-SUMIFS(E2408:E9015,K2408:K9015,"0",B2408:B9015,"5 1 1 1 3 12 31111 6 M59 50000 000223 0000E 00001 00113 015 2111100 2024 CP1DA424*")</f>
        <v>0</v>
      </c>
      <c r="E2407"/>
      <c r="F2407" s="35">
        <f>SUMIFS(F2408:F9015,K2408:K9015,"0",B2408:B9015,"5 1 1 1 3 12 31111 6 M59 50000 000223 0000E 00001 00113 015 2111100 2024 CP1DA424*")</f>
        <v>2582189.54</v>
      </c>
      <c r="G2407" s="35">
        <f>SUMIFS(G2408:G9015,K2408:K9015,"0",B2408:B9015,"5 1 1 1 3 12 31111 6 M59 50000 000223 0000E 00001 00113 015 2111100 2024 CP1DA424*")</f>
        <v>0</v>
      </c>
      <c r="H2407" s="35">
        <f t="shared" si="38"/>
        <v>2582189.54</v>
      </c>
      <c r="I2407" s="35"/>
      <c r="K2407" t="s">
        <v>15</v>
      </c>
    </row>
    <row r="2408" spans="2:11" ht="41.25" x14ac:dyDescent="0.2">
      <c r="B2408" s="33" t="s">
        <v>3291</v>
      </c>
      <c r="C2408" s="33" t="s">
        <v>282</v>
      </c>
      <c r="D2408" s="35">
        <f>SUMIFS(D2409:D9015,K2409:K9015,"0",B2409:B9015,"5 1 1 1 3 12 31111 6 M59 50000 000223 0000E 00001 00113 015 2111100 2024 CP1DA424 001*")-SUMIFS(E2409:E9015,K2409:K9015,"0",B2409:B9015,"5 1 1 1 3 12 31111 6 M59 50000 000223 0000E 00001 00113 015 2111100 2024 CP1DA424 001*")</f>
        <v>0</v>
      </c>
      <c r="E2408"/>
      <c r="F2408" s="35">
        <f>SUMIFS(F2409:F9015,K2409:K9015,"0",B2409:B9015,"5 1 1 1 3 12 31111 6 M59 50000 000223 0000E 00001 00113 015 2111100 2024 CP1DA424 001*")</f>
        <v>2582189.54</v>
      </c>
      <c r="G2408" s="35">
        <f>SUMIFS(G2409:G9015,K2409:K9015,"0",B2409:B9015,"5 1 1 1 3 12 31111 6 M59 50000 000223 0000E 00001 00113 015 2111100 2024 CP1DA424 001*")</f>
        <v>0</v>
      </c>
      <c r="H2408" s="35">
        <f t="shared" si="38"/>
        <v>2582189.54</v>
      </c>
      <c r="I2408" s="35"/>
      <c r="K2408" t="s">
        <v>15</v>
      </c>
    </row>
    <row r="2409" spans="2:11" ht="33" x14ac:dyDescent="0.2">
      <c r="B2409" s="31" t="s">
        <v>3292</v>
      </c>
      <c r="C2409" s="31" t="s">
        <v>2932</v>
      </c>
      <c r="D2409" s="34">
        <v>0</v>
      </c>
      <c r="E2409" s="34"/>
      <c r="F2409" s="34">
        <v>2582189.54</v>
      </c>
      <c r="G2409" s="34">
        <v>0</v>
      </c>
      <c r="H2409" s="34">
        <f t="shared" si="38"/>
        <v>2582189.54</v>
      </c>
      <c r="I2409" s="34"/>
      <c r="K2409" t="s">
        <v>38</v>
      </c>
    </row>
    <row r="2410" spans="2:11" ht="16.5" x14ac:dyDescent="0.2">
      <c r="B2410" s="33" t="s">
        <v>3293</v>
      </c>
      <c r="C2410" s="33" t="s">
        <v>3294</v>
      </c>
      <c r="D2410" s="35">
        <f>SUMIFS(D2411:D9015,K2411:K9015,"0",B2411:B9015,"5 1 1 1 3 12 31111 6 M59 50100*")-SUMIFS(E2411:E9015,K2411:K9015,"0",B2411:B9015,"5 1 1 1 3 12 31111 6 M59 50100*")</f>
        <v>0</v>
      </c>
      <c r="E2410"/>
      <c r="F2410" s="35">
        <f>SUMIFS(F2411:F9015,K2411:K9015,"0",B2411:B9015,"5 1 1 1 3 12 31111 6 M59 50100*")</f>
        <v>86834.5</v>
      </c>
      <c r="G2410" s="35">
        <f>SUMIFS(G2411:G9015,K2411:K9015,"0",B2411:B9015,"5 1 1 1 3 12 31111 6 M59 50100*")</f>
        <v>0</v>
      </c>
      <c r="H2410" s="35">
        <f t="shared" si="38"/>
        <v>86834.5</v>
      </c>
      <c r="I2410" s="35"/>
      <c r="K2410" t="s">
        <v>15</v>
      </c>
    </row>
    <row r="2411" spans="2:11" ht="16.5" x14ac:dyDescent="0.2">
      <c r="B2411" s="33" t="s">
        <v>3295</v>
      </c>
      <c r="C2411" s="33" t="s">
        <v>648</v>
      </c>
      <c r="D2411" s="35">
        <f>SUMIFS(D2412:D9015,K2412:K9015,"0",B2412:B9015,"5 1 1 1 3 12 31111 6 M59 50100 000132*")-SUMIFS(E2412:E9015,K2412:K9015,"0",B2412:B9015,"5 1 1 1 3 12 31111 6 M59 50100 000132*")</f>
        <v>0</v>
      </c>
      <c r="E2411"/>
      <c r="F2411" s="35">
        <f>SUMIFS(F2412:F9015,K2412:K9015,"0",B2412:B9015,"5 1 1 1 3 12 31111 6 M59 50100 000132*")</f>
        <v>86834.5</v>
      </c>
      <c r="G2411" s="35">
        <f>SUMIFS(G2412:G9015,K2412:K9015,"0",B2412:B9015,"5 1 1 1 3 12 31111 6 M59 50100 000132*")</f>
        <v>0</v>
      </c>
      <c r="H2411" s="35">
        <f t="shared" si="38"/>
        <v>86834.5</v>
      </c>
      <c r="I2411" s="35"/>
      <c r="K2411" t="s">
        <v>15</v>
      </c>
    </row>
    <row r="2412" spans="2:11" ht="16.5" x14ac:dyDescent="0.2">
      <c r="B2412" s="33" t="s">
        <v>3296</v>
      </c>
      <c r="C2412" s="33" t="s">
        <v>650</v>
      </c>
      <c r="D2412" s="35">
        <f>SUMIFS(D2413:D9015,K2413:K9015,"0",B2413:B9015,"5 1 1 1 3 12 31111 6 M59 50100 000132 0000R*")-SUMIFS(E2413:E9015,K2413:K9015,"0",B2413:B9015,"5 1 1 1 3 12 31111 6 M59 50100 000132 0000R*")</f>
        <v>0</v>
      </c>
      <c r="E2412"/>
      <c r="F2412" s="35">
        <f>SUMIFS(F2413:F9015,K2413:K9015,"0",B2413:B9015,"5 1 1 1 3 12 31111 6 M59 50100 000132 0000R*")</f>
        <v>86834.5</v>
      </c>
      <c r="G2412" s="35">
        <f>SUMIFS(G2413:G9015,K2413:K9015,"0",B2413:B9015,"5 1 1 1 3 12 31111 6 M59 50100 000132 0000R*")</f>
        <v>0</v>
      </c>
      <c r="H2412" s="35">
        <f t="shared" si="38"/>
        <v>86834.5</v>
      </c>
      <c r="I2412" s="35"/>
      <c r="K2412" t="s">
        <v>15</v>
      </c>
    </row>
    <row r="2413" spans="2:11" ht="24.75" x14ac:dyDescent="0.2">
      <c r="B2413" s="33" t="s">
        <v>3297</v>
      </c>
      <c r="C2413" s="33" t="s">
        <v>282</v>
      </c>
      <c r="D2413" s="35">
        <f>SUMIFS(D2414:D9015,K2414:K9015,"0",B2414:B9015,"5 1 1 1 3 12 31111 6 M59 50100 000132 0000R 00001*")-SUMIFS(E2414:E9015,K2414:K9015,"0",B2414:B9015,"5 1 1 1 3 12 31111 6 M59 50100 000132 0000R 00001*")</f>
        <v>0</v>
      </c>
      <c r="E2413"/>
      <c r="F2413" s="35">
        <f>SUMIFS(F2414:F9015,K2414:K9015,"0",B2414:B9015,"5 1 1 1 3 12 31111 6 M59 50100 000132 0000R 00001*")</f>
        <v>86834.5</v>
      </c>
      <c r="G2413" s="35">
        <f>SUMIFS(G2414:G9015,K2414:K9015,"0",B2414:B9015,"5 1 1 1 3 12 31111 6 M59 50100 000132 0000R 00001*")</f>
        <v>0</v>
      </c>
      <c r="H2413" s="35">
        <f t="shared" si="38"/>
        <v>86834.5</v>
      </c>
      <c r="I2413" s="35"/>
      <c r="K2413" t="s">
        <v>15</v>
      </c>
    </row>
    <row r="2414" spans="2:11" ht="24.75" x14ac:dyDescent="0.2">
      <c r="B2414" s="33" t="s">
        <v>3298</v>
      </c>
      <c r="C2414" s="33" t="s">
        <v>2924</v>
      </c>
      <c r="D2414" s="35">
        <f>SUMIFS(D2415:D9015,K2415:K9015,"0",B2415:B9015,"5 1 1 1 3 12 31111 6 M59 50100 000132 0000R 00001 00113*")-SUMIFS(E2415:E9015,K2415:K9015,"0",B2415:B9015,"5 1 1 1 3 12 31111 6 M59 50100 000132 0000R 00001 00113*")</f>
        <v>0</v>
      </c>
      <c r="E2414"/>
      <c r="F2414" s="35">
        <f>SUMIFS(F2415:F9015,K2415:K9015,"0",B2415:B9015,"5 1 1 1 3 12 31111 6 M59 50100 000132 0000R 00001 00113*")</f>
        <v>86834.5</v>
      </c>
      <c r="G2414" s="35">
        <f>SUMIFS(G2415:G9015,K2415:K9015,"0",B2415:B9015,"5 1 1 1 3 12 31111 6 M59 50100 000132 0000R 00001 00113*")</f>
        <v>0</v>
      </c>
      <c r="H2414" s="35">
        <f t="shared" si="38"/>
        <v>86834.5</v>
      </c>
      <c r="I2414" s="35"/>
      <c r="K2414" t="s">
        <v>15</v>
      </c>
    </row>
    <row r="2415" spans="2:11" ht="24.75" x14ac:dyDescent="0.2">
      <c r="B2415" s="33" t="s">
        <v>3299</v>
      </c>
      <c r="C2415" s="33" t="s">
        <v>1051</v>
      </c>
      <c r="D2415" s="35">
        <f>SUMIFS(D2416:D9015,K2416:K9015,"0",B2416:B9015,"5 1 1 1 3 12 31111 6 M59 50100 000132 0000R 00001 00113 015*")-SUMIFS(E2416:E9015,K2416:K9015,"0",B2416:B9015,"5 1 1 1 3 12 31111 6 M59 50100 000132 0000R 00001 00113 015*")</f>
        <v>0</v>
      </c>
      <c r="E2415"/>
      <c r="F2415" s="35">
        <f>SUMIFS(F2416:F9015,K2416:K9015,"0",B2416:B9015,"5 1 1 1 3 12 31111 6 M59 50100 000132 0000R 00001 00113 015*")</f>
        <v>86834.5</v>
      </c>
      <c r="G2415" s="35">
        <f>SUMIFS(G2416:G9015,K2416:K9015,"0",B2416:B9015,"5 1 1 1 3 12 31111 6 M59 50100 000132 0000R 00001 00113 015*")</f>
        <v>0</v>
      </c>
      <c r="H2415" s="35">
        <f t="shared" si="38"/>
        <v>86834.5</v>
      </c>
      <c r="I2415" s="35"/>
      <c r="K2415" t="s">
        <v>15</v>
      </c>
    </row>
    <row r="2416" spans="2:11" ht="33" x14ac:dyDescent="0.2">
      <c r="B2416" s="33" t="s">
        <v>3300</v>
      </c>
      <c r="C2416" s="33" t="s">
        <v>2927</v>
      </c>
      <c r="D2416" s="35">
        <f>SUMIFS(D2417:D9015,K2417:K9015,"0",B2417:B9015,"5 1 1 1 3 12 31111 6 M59 50100 000132 0000R 00001 00113 015 2111100*")-SUMIFS(E2417:E9015,K2417:K9015,"0",B2417:B9015,"5 1 1 1 3 12 31111 6 M59 50100 000132 0000R 00001 00113 015 2111100*")</f>
        <v>0</v>
      </c>
      <c r="E2416"/>
      <c r="F2416" s="35">
        <f>SUMIFS(F2417:F9015,K2417:K9015,"0",B2417:B9015,"5 1 1 1 3 12 31111 6 M59 50100 000132 0000R 00001 00113 015 2111100*")</f>
        <v>86834.5</v>
      </c>
      <c r="G2416" s="35">
        <f>SUMIFS(G2417:G9015,K2417:K9015,"0",B2417:B9015,"5 1 1 1 3 12 31111 6 M59 50100 000132 0000R 00001 00113 015 2111100*")</f>
        <v>0</v>
      </c>
      <c r="H2416" s="35">
        <f t="shared" si="38"/>
        <v>86834.5</v>
      </c>
      <c r="I2416" s="35"/>
      <c r="K2416" t="s">
        <v>15</v>
      </c>
    </row>
    <row r="2417" spans="2:11" ht="33" x14ac:dyDescent="0.2">
      <c r="B2417" s="33" t="s">
        <v>3301</v>
      </c>
      <c r="C2417" s="33" t="s">
        <v>660</v>
      </c>
      <c r="D2417" s="35">
        <f>SUMIFS(D2418:D9015,K2418:K9015,"0",B2418:B9015,"5 1 1 1 3 12 31111 6 M59 50100 000132 0000R 00001 00113 015 2111100 2024*")-SUMIFS(E2418:E9015,K2418:K9015,"0",B2418:B9015,"5 1 1 1 3 12 31111 6 M59 50100 000132 0000R 00001 00113 015 2111100 2024*")</f>
        <v>0</v>
      </c>
      <c r="E2417"/>
      <c r="F2417" s="35">
        <f>SUMIFS(F2418:F9015,K2418:K9015,"0",B2418:B9015,"5 1 1 1 3 12 31111 6 M59 50100 000132 0000R 00001 00113 015 2111100 2024*")</f>
        <v>86834.5</v>
      </c>
      <c r="G2417" s="35">
        <f>SUMIFS(G2418:G9015,K2418:K9015,"0",B2418:B9015,"5 1 1 1 3 12 31111 6 M59 50100 000132 0000R 00001 00113 015 2111100 2024*")</f>
        <v>0</v>
      </c>
      <c r="H2417" s="35">
        <f t="shared" si="38"/>
        <v>86834.5</v>
      </c>
      <c r="I2417" s="35"/>
      <c r="K2417" t="s">
        <v>15</v>
      </c>
    </row>
    <row r="2418" spans="2:11" ht="41.25" x14ac:dyDescent="0.2">
      <c r="B2418" s="33" t="s">
        <v>3302</v>
      </c>
      <c r="C2418" s="33" t="s">
        <v>1056</v>
      </c>
      <c r="D2418" s="35">
        <f>SUMIFS(D2419:D9015,K2419:K9015,"0",B2419:B9015,"5 1 1 1 3 12 31111 6 M59 50100 000132 0000R 00001 00113 015 2111100 2024 CP1AG431*")-SUMIFS(E2419:E9015,K2419:K9015,"0",B2419:B9015,"5 1 1 1 3 12 31111 6 M59 50100 000132 0000R 00001 00113 015 2111100 2024 CP1AG431*")</f>
        <v>0</v>
      </c>
      <c r="E2418"/>
      <c r="F2418" s="35">
        <f>SUMIFS(F2419:F9015,K2419:K9015,"0",B2419:B9015,"5 1 1 1 3 12 31111 6 M59 50100 000132 0000R 00001 00113 015 2111100 2024 CP1AG431*")</f>
        <v>86834.5</v>
      </c>
      <c r="G2418" s="35">
        <f>SUMIFS(G2419:G9015,K2419:K9015,"0",B2419:B9015,"5 1 1 1 3 12 31111 6 M59 50100 000132 0000R 00001 00113 015 2111100 2024 CP1AG431*")</f>
        <v>0</v>
      </c>
      <c r="H2418" s="35">
        <f t="shared" si="38"/>
        <v>86834.5</v>
      </c>
      <c r="I2418" s="35"/>
      <c r="K2418" t="s">
        <v>15</v>
      </c>
    </row>
    <row r="2419" spans="2:11" ht="41.25" x14ac:dyDescent="0.2">
      <c r="B2419" s="33" t="s">
        <v>3303</v>
      </c>
      <c r="C2419" s="33" t="s">
        <v>282</v>
      </c>
      <c r="D2419" s="35">
        <f>SUMIFS(D2420:D9015,K2420:K9015,"0",B2420:B9015,"5 1 1 1 3 12 31111 6 M59 50100 000132 0000R 00001 00113 015 2111100 2024 CP1AG431 001*")-SUMIFS(E2420:E9015,K2420:K9015,"0",B2420:B9015,"5 1 1 1 3 12 31111 6 M59 50100 000132 0000R 00001 00113 015 2111100 2024 CP1AG431 001*")</f>
        <v>0</v>
      </c>
      <c r="E2419"/>
      <c r="F2419" s="35">
        <f>SUMIFS(F2420:F9015,K2420:K9015,"0",B2420:B9015,"5 1 1 1 3 12 31111 6 M59 50100 000132 0000R 00001 00113 015 2111100 2024 CP1AG431 001*")</f>
        <v>86834.5</v>
      </c>
      <c r="G2419" s="35">
        <f>SUMIFS(G2420:G9015,K2420:K9015,"0",B2420:B9015,"5 1 1 1 3 12 31111 6 M59 50100 000132 0000R 00001 00113 015 2111100 2024 CP1AG431 001*")</f>
        <v>0</v>
      </c>
      <c r="H2419" s="35">
        <f t="shared" si="38"/>
        <v>86834.5</v>
      </c>
      <c r="I2419" s="35"/>
      <c r="K2419" t="s">
        <v>15</v>
      </c>
    </row>
    <row r="2420" spans="2:11" ht="33" x14ac:dyDescent="0.2">
      <c r="B2420" s="31" t="s">
        <v>3304</v>
      </c>
      <c r="C2420" s="31" t="s">
        <v>2932</v>
      </c>
      <c r="D2420" s="34">
        <v>0</v>
      </c>
      <c r="E2420" s="34"/>
      <c r="F2420" s="34">
        <v>86834.5</v>
      </c>
      <c r="G2420" s="34">
        <v>0</v>
      </c>
      <c r="H2420" s="34">
        <f t="shared" si="38"/>
        <v>86834.5</v>
      </c>
      <c r="I2420" s="34"/>
      <c r="K2420" t="s">
        <v>38</v>
      </c>
    </row>
    <row r="2421" spans="2:11" ht="16.5" x14ac:dyDescent="0.2">
      <c r="B2421" s="33" t="s">
        <v>3305</v>
      </c>
      <c r="C2421" s="33" t="s">
        <v>1269</v>
      </c>
      <c r="D2421" s="35">
        <f>SUMIFS(D2422:D9015,K2422:K9015,"0",B2422:B9015,"5 1 1 1 3 12 31111 6 M59 60100*")-SUMIFS(E2422:E9015,K2422:K9015,"0",B2422:B9015,"5 1 1 1 3 12 31111 6 M59 60100*")</f>
        <v>0</v>
      </c>
      <c r="E2421"/>
      <c r="F2421" s="35">
        <f>SUMIFS(F2422:F9015,K2422:K9015,"0",B2422:B9015,"5 1 1 1 3 12 31111 6 M59 60100*")</f>
        <v>3844009.88</v>
      </c>
      <c r="G2421" s="35">
        <f>SUMIFS(G2422:G9015,K2422:K9015,"0",B2422:B9015,"5 1 1 1 3 12 31111 6 M59 60100*")</f>
        <v>0</v>
      </c>
      <c r="H2421" s="35">
        <f t="shared" si="38"/>
        <v>3844009.88</v>
      </c>
      <c r="I2421" s="35"/>
      <c r="K2421" t="s">
        <v>15</v>
      </c>
    </row>
    <row r="2422" spans="2:11" ht="16.5" x14ac:dyDescent="0.2">
      <c r="B2422" s="33" t="s">
        <v>3306</v>
      </c>
      <c r="C2422" s="33" t="s">
        <v>648</v>
      </c>
      <c r="D2422" s="35">
        <f>SUMIFS(D2423:D9015,K2423:K9015,"0",B2423:B9015,"5 1 1 1 3 12 31111 6 M59 60100 000132*")-SUMIFS(E2423:E9015,K2423:K9015,"0",B2423:B9015,"5 1 1 1 3 12 31111 6 M59 60100 000132*")</f>
        <v>0</v>
      </c>
      <c r="E2422"/>
      <c r="F2422" s="35">
        <f>SUMIFS(F2423:F9015,K2423:K9015,"0",B2423:B9015,"5 1 1 1 3 12 31111 6 M59 60100 000132*")</f>
        <v>3844009.88</v>
      </c>
      <c r="G2422" s="35">
        <f>SUMIFS(G2423:G9015,K2423:K9015,"0",B2423:B9015,"5 1 1 1 3 12 31111 6 M59 60100 000132*")</f>
        <v>0</v>
      </c>
      <c r="H2422" s="35">
        <f t="shared" si="38"/>
        <v>3844009.88</v>
      </c>
      <c r="I2422" s="35"/>
      <c r="K2422" t="s">
        <v>15</v>
      </c>
    </row>
    <row r="2423" spans="2:11" ht="16.5" x14ac:dyDescent="0.2">
      <c r="B2423" s="33" t="s">
        <v>3307</v>
      </c>
      <c r="C2423" s="33" t="s">
        <v>650</v>
      </c>
      <c r="D2423" s="35">
        <f>SUMIFS(D2424:D9015,K2424:K9015,"0",B2424:B9015,"5 1 1 1 3 12 31111 6 M59 60100 000132 0000R*")-SUMIFS(E2424:E9015,K2424:K9015,"0",B2424:B9015,"5 1 1 1 3 12 31111 6 M59 60100 000132 0000R*")</f>
        <v>0</v>
      </c>
      <c r="E2423"/>
      <c r="F2423" s="35">
        <f>SUMIFS(F2424:F9015,K2424:K9015,"0",B2424:B9015,"5 1 1 1 3 12 31111 6 M59 60100 000132 0000R*")</f>
        <v>3844009.88</v>
      </c>
      <c r="G2423" s="35">
        <f>SUMIFS(G2424:G9015,K2424:K9015,"0",B2424:B9015,"5 1 1 1 3 12 31111 6 M59 60100 000132 0000R*")</f>
        <v>0</v>
      </c>
      <c r="H2423" s="35">
        <f t="shared" si="38"/>
        <v>3844009.88</v>
      </c>
      <c r="I2423" s="35"/>
      <c r="K2423" t="s">
        <v>15</v>
      </c>
    </row>
    <row r="2424" spans="2:11" ht="24.75" x14ac:dyDescent="0.2">
      <c r="B2424" s="33" t="s">
        <v>3308</v>
      </c>
      <c r="C2424" s="33" t="s">
        <v>282</v>
      </c>
      <c r="D2424" s="35">
        <f>SUMIFS(D2425:D9015,K2425:K9015,"0",B2425:B9015,"5 1 1 1 3 12 31111 6 M59 60100 000132 0000R 00001*")-SUMIFS(E2425:E9015,K2425:K9015,"0",B2425:B9015,"5 1 1 1 3 12 31111 6 M59 60100 000132 0000R 00001*")</f>
        <v>0</v>
      </c>
      <c r="E2424"/>
      <c r="F2424" s="35">
        <f>SUMIFS(F2425:F9015,K2425:K9015,"0",B2425:B9015,"5 1 1 1 3 12 31111 6 M59 60100 000132 0000R 00001*")</f>
        <v>3844009.88</v>
      </c>
      <c r="G2424" s="35">
        <f>SUMIFS(G2425:G9015,K2425:K9015,"0",B2425:B9015,"5 1 1 1 3 12 31111 6 M59 60100 000132 0000R 00001*")</f>
        <v>0</v>
      </c>
      <c r="H2424" s="35">
        <f t="shared" si="38"/>
        <v>3844009.88</v>
      </c>
      <c r="I2424" s="35"/>
      <c r="K2424" t="s">
        <v>15</v>
      </c>
    </row>
    <row r="2425" spans="2:11" ht="24.75" x14ac:dyDescent="0.2">
      <c r="B2425" s="33" t="s">
        <v>3309</v>
      </c>
      <c r="C2425" s="33" t="s">
        <v>2924</v>
      </c>
      <c r="D2425" s="35">
        <f>SUMIFS(D2426:D9015,K2426:K9015,"0",B2426:B9015,"5 1 1 1 3 12 31111 6 M59 60100 000132 0000R 00001 00113*")-SUMIFS(E2426:E9015,K2426:K9015,"0",B2426:B9015,"5 1 1 1 3 12 31111 6 M59 60100 000132 0000R 00001 00113*")</f>
        <v>0</v>
      </c>
      <c r="E2425"/>
      <c r="F2425" s="35">
        <f>SUMIFS(F2426:F9015,K2426:K9015,"0",B2426:B9015,"5 1 1 1 3 12 31111 6 M59 60100 000132 0000R 00001 00113*")</f>
        <v>3844009.88</v>
      </c>
      <c r="G2425" s="35">
        <f>SUMIFS(G2426:G9015,K2426:K9015,"0",B2426:B9015,"5 1 1 1 3 12 31111 6 M59 60100 000132 0000R 00001 00113*")</f>
        <v>0</v>
      </c>
      <c r="H2425" s="35">
        <f t="shared" si="38"/>
        <v>3844009.88</v>
      </c>
      <c r="I2425" s="35"/>
      <c r="K2425" t="s">
        <v>15</v>
      </c>
    </row>
    <row r="2426" spans="2:11" ht="24.75" x14ac:dyDescent="0.2">
      <c r="B2426" s="33" t="s">
        <v>3310</v>
      </c>
      <c r="C2426" s="33" t="s">
        <v>1051</v>
      </c>
      <c r="D2426" s="35">
        <f>SUMIFS(D2427:D9015,K2427:K9015,"0",B2427:B9015,"5 1 1 1 3 12 31111 6 M59 60100 000132 0000R 00001 00113 015*")-SUMIFS(E2427:E9015,K2427:K9015,"0",B2427:B9015,"5 1 1 1 3 12 31111 6 M59 60100 000132 0000R 00001 00113 015*")</f>
        <v>0</v>
      </c>
      <c r="E2426"/>
      <c r="F2426" s="35">
        <f>SUMIFS(F2427:F9015,K2427:K9015,"0",B2427:B9015,"5 1 1 1 3 12 31111 6 M59 60100 000132 0000R 00001 00113 015*")</f>
        <v>3844009.88</v>
      </c>
      <c r="G2426" s="35">
        <f>SUMIFS(G2427:G9015,K2427:K9015,"0",B2427:B9015,"5 1 1 1 3 12 31111 6 M59 60100 000132 0000R 00001 00113 015*")</f>
        <v>0</v>
      </c>
      <c r="H2426" s="35">
        <f t="shared" si="38"/>
        <v>3844009.88</v>
      </c>
      <c r="I2426" s="35"/>
      <c r="K2426" t="s">
        <v>15</v>
      </c>
    </row>
    <row r="2427" spans="2:11" ht="33" x14ac:dyDescent="0.2">
      <c r="B2427" s="33" t="s">
        <v>3311</v>
      </c>
      <c r="C2427" s="33" t="s">
        <v>2927</v>
      </c>
      <c r="D2427" s="35">
        <f>SUMIFS(D2428:D9015,K2428:K9015,"0",B2428:B9015,"5 1 1 1 3 12 31111 6 M59 60100 000132 0000R 00001 00113 015 2111100*")-SUMIFS(E2428:E9015,K2428:K9015,"0",B2428:B9015,"5 1 1 1 3 12 31111 6 M59 60100 000132 0000R 00001 00113 015 2111100*")</f>
        <v>0</v>
      </c>
      <c r="E2427"/>
      <c r="F2427" s="35">
        <f>SUMIFS(F2428:F9015,K2428:K9015,"0",B2428:B9015,"5 1 1 1 3 12 31111 6 M59 60100 000132 0000R 00001 00113 015 2111100*")</f>
        <v>3844009.88</v>
      </c>
      <c r="G2427" s="35">
        <f>SUMIFS(G2428:G9015,K2428:K9015,"0",B2428:B9015,"5 1 1 1 3 12 31111 6 M59 60100 000132 0000R 00001 00113 015 2111100*")</f>
        <v>0</v>
      </c>
      <c r="H2427" s="35">
        <f t="shared" si="38"/>
        <v>3844009.88</v>
      </c>
      <c r="I2427" s="35"/>
      <c r="K2427" t="s">
        <v>15</v>
      </c>
    </row>
    <row r="2428" spans="2:11" ht="33" x14ac:dyDescent="0.2">
      <c r="B2428" s="33" t="s">
        <v>3312</v>
      </c>
      <c r="C2428" s="33" t="s">
        <v>660</v>
      </c>
      <c r="D2428" s="35">
        <f>SUMIFS(D2429:D9015,K2429:K9015,"0",B2429:B9015,"5 1 1 1 3 12 31111 6 M59 60100 000132 0000R 00001 00113 015 2111100 2024*")-SUMIFS(E2429:E9015,K2429:K9015,"0",B2429:B9015,"5 1 1 1 3 12 31111 6 M59 60100 000132 0000R 00001 00113 015 2111100 2024*")</f>
        <v>0</v>
      </c>
      <c r="E2428"/>
      <c r="F2428" s="35">
        <f>SUMIFS(F2429:F9015,K2429:K9015,"0",B2429:B9015,"5 1 1 1 3 12 31111 6 M59 60100 000132 0000R 00001 00113 015 2111100 2024*")</f>
        <v>3844009.88</v>
      </c>
      <c r="G2428" s="35">
        <f>SUMIFS(G2429:G9015,K2429:K9015,"0",B2429:B9015,"5 1 1 1 3 12 31111 6 M59 60100 000132 0000R 00001 00113 015 2111100 2024*")</f>
        <v>0</v>
      </c>
      <c r="H2428" s="35">
        <f t="shared" si="38"/>
        <v>3844009.88</v>
      </c>
      <c r="I2428" s="35"/>
      <c r="K2428" t="s">
        <v>15</v>
      </c>
    </row>
    <row r="2429" spans="2:11" ht="41.25" x14ac:dyDescent="0.2">
      <c r="B2429" s="33" t="s">
        <v>3313</v>
      </c>
      <c r="C2429" s="33" t="s">
        <v>1056</v>
      </c>
      <c r="D2429" s="35">
        <f>SUMIFS(D2430:D9015,K2430:K9015,"0",B2430:B9015,"5 1 1 1 3 12 31111 6 M59 60100 000132 0000R 00001 00113 015 2111100 2024 CP1DM394*")-SUMIFS(E2430:E9015,K2430:K9015,"0",B2430:B9015,"5 1 1 1 3 12 31111 6 M59 60100 000132 0000R 00001 00113 015 2111100 2024 CP1DM394*")</f>
        <v>0</v>
      </c>
      <c r="E2429"/>
      <c r="F2429" s="35">
        <f>SUMIFS(F2430:F9015,K2430:K9015,"0",B2430:B9015,"5 1 1 1 3 12 31111 6 M59 60100 000132 0000R 00001 00113 015 2111100 2024 CP1DM394*")</f>
        <v>3844009.88</v>
      </c>
      <c r="G2429" s="35">
        <f>SUMIFS(G2430:G9015,K2430:K9015,"0",B2430:B9015,"5 1 1 1 3 12 31111 6 M59 60100 000132 0000R 00001 00113 015 2111100 2024 CP1DM394*")</f>
        <v>0</v>
      </c>
      <c r="H2429" s="35">
        <f t="shared" si="38"/>
        <v>3844009.88</v>
      </c>
      <c r="I2429" s="35"/>
      <c r="K2429" t="s">
        <v>15</v>
      </c>
    </row>
    <row r="2430" spans="2:11" ht="41.25" x14ac:dyDescent="0.2">
      <c r="B2430" s="33" t="s">
        <v>3314</v>
      </c>
      <c r="C2430" s="33" t="s">
        <v>282</v>
      </c>
      <c r="D2430" s="35">
        <f>SUMIFS(D2431:D9015,K2431:K9015,"0",B2431:B9015,"5 1 1 1 3 12 31111 6 M59 60100 000132 0000R 00001 00113 015 2111100 2024 CP1DM394 001*")-SUMIFS(E2431:E9015,K2431:K9015,"0",B2431:B9015,"5 1 1 1 3 12 31111 6 M59 60100 000132 0000R 00001 00113 015 2111100 2024 CP1DM394 001*")</f>
        <v>0</v>
      </c>
      <c r="E2430"/>
      <c r="F2430" s="35">
        <f>SUMIFS(F2431:F9015,K2431:K9015,"0",B2431:B9015,"5 1 1 1 3 12 31111 6 M59 60100 000132 0000R 00001 00113 015 2111100 2024 CP1DM394 001*")</f>
        <v>3844009.88</v>
      </c>
      <c r="G2430" s="35">
        <f>SUMIFS(G2431:G9015,K2431:K9015,"0",B2431:B9015,"5 1 1 1 3 12 31111 6 M59 60100 000132 0000R 00001 00113 015 2111100 2024 CP1DM394 001*")</f>
        <v>0</v>
      </c>
      <c r="H2430" s="35">
        <f t="shared" si="38"/>
        <v>3844009.88</v>
      </c>
      <c r="I2430" s="35"/>
      <c r="K2430" t="s">
        <v>15</v>
      </c>
    </row>
    <row r="2431" spans="2:11" ht="33" x14ac:dyDescent="0.2">
      <c r="B2431" s="31" t="s">
        <v>3315</v>
      </c>
      <c r="C2431" s="31" t="s">
        <v>2932</v>
      </c>
      <c r="D2431" s="34">
        <v>0</v>
      </c>
      <c r="E2431" s="34"/>
      <c r="F2431" s="34">
        <v>3844009.88</v>
      </c>
      <c r="G2431" s="34">
        <v>0</v>
      </c>
      <c r="H2431" s="34">
        <f t="shared" si="38"/>
        <v>3844009.88</v>
      </c>
      <c r="I2431" s="34"/>
      <c r="K2431" t="s">
        <v>38</v>
      </c>
    </row>
    <row r="2432" spans="2:11" ht="24.75" x14ac:dyDescent="0.2">
      <c r="B2432" s="33" t="s">
        <v>3316</v>
      </c>
      <c r="C2432" s="33" t="s">
        <v>3317</v>
      </c>
      <c r="D2432" s="35">
        <f>SUMIFS(D2433:D9015,K2433:K9015,"0",B2433:B9015,"5 1 1 1 3 12 31111 6 M59 61000*")-SUMIFS(E2433:E9015,K2433:K9015,"0",B2433:B9015,"5 1 1 1 3 12 31111 6 M59 61000*")</f>
        <v>0</v>
      </c>
      <c r="E2432"/>
      <c r="F2432" s="35">
        <f>SUMIFS(F2433:F9015,K2433:K9015,"0",B2433:B9015,"5 1 1 1 3 12 31111 6 M59 61000*")</f>
        <v>20609.099999999999</v>
      </c>
      <c r="G2432" s="35">
        <f>SUMIFS(G2433:G9015,K2433:K9015,"0",B2433:B9015,"5 1 1 1 3 12 31111 6 M59 61000*")</f>
        <v>0</v>
      </c>
      <c r="H2432" s="35">
        <f t="shared" si="38"/>
        <v>20609.099999999999</v>
      </c>
      <c r="I2432" s="35"/>
      <c r="K2432" t="s">
        <v>15</v>
      </c>
    </row>
    <row r="2433" spans="2:11" ht="16.5" x14ac:dyDescent="0.2">
      <c r="B2433" s="33" t="s">
        <v>3318</v>
      </c>
      <c r="C2433" s="33" t="s">
        <v>648</v>
      </c>
      <c r="D2433" s="35">
        <f>SUMIFS(D2434:D9015,K2434:K9015,"0",B2434:B9015,"5 1 1 1 3 12 31111 6 M59 61000 000132*")-SUMIFS(E2434:E9015,K2434:K9015,"0",B2434:B9015,"5 1 1 1 3 12 31111 6 M59 61000 000132*")</f>
        <v>0</v>
      </c>
      <c r="E2433"/>
      <c r="F2433" s="35">
        <f>SUMIFS(F2434:F9015,K2434:K9015,"0",B2434:B9015,"5 1 1 1 3 12 31111 6 M59 61000 000132*")</f>
        <v>20609.099999999999</v>
      </c>
      <c r="G2433" s="35">
        <f>SUMIFS(G2434:G9015,K2434:K9015,"0",B2434:B9015,"5 1 1 1 3 12 31111 6 M59 61000 000132*")</f>
        <v>0</v>
      </c>
      <c r="H2433" s="35">
        <f t="shared" si="38"/>
        <v>20609.099999999999</v>
      </c>
      <c r="I2433" s="35"/>
      <c r="K2433" t="s">
        <v>15</v>
      </c>
    </row>
    <row r="2434" spans="2:11" ht="16.5" x14ac:dyDescent="0.2">
      <c r="B2434" s="33" t="s">
        <v>3319</v>
      </c>
      <c r="C2434" s="33" t="s">
        <v>650</v>
      </c>
      <c r="D2434" s="35">
        <f>SUMIFS(D2435:D9015,K2435:K9015,"0",B2435:B9015,"5 1 1 1 3 12 31111 6 M59 61000 000132 0000R*")-SUMIFS(E2435:E9015,K2435:K9015,"0",B2435:B9015,"5 1 1 1 3 12 31111 6 M59 61000 000132 0000R*")</f>
        <v>0</v>
      </c>
      <c r="E2434"/>
      <c r="F2434" s="35">
        <f>SUMIFS(F2435:F9015,K2435:K9015,"0",B2435:B9015,"5 1 1 1 3 12 31111 6 M59 61000 000132 0000R*")</f>
        <v>20609.099999999999</v>
      </c>
      <c r="G2434" s="35">
        <f>SUMIFS(G2435:G9015,K2435:K9015,"0",B2435:B9015,"5 1 1 1 3 12 31111 6 M59 61000 000132 0000R*")</f>
        <v>0</v>
      </c>
      <c r="H2434" s="35">
        <f t="shared" si="38"/>
        <v>20609.099999999999</v>
      </c>
      <c r="I2434" s="35"/>
      <c r="K2434" t="s">
        <v>15</v>
      </c>
    </row>
    <row r="2435" spans="2:11" ht="24.75" x14ac:dyDescent="0.2">
      <c r="B2435" s="33" t="s">
        <v>3320</v>
      </c>
      <c r="C2435" s="33" t="s">
        <v>282</v>
      </c>
      <c r="D2435" s="35">
        <f>SUMIFS(D2436:D9015,K2436:K9015,"0",B2436:B9015,"5 1 1 1 3 12 31111 6 M59 61000 000132 0000R 00001*")-SUMIFS(E2436:E9015,K2436:K9015,"0",B2436:B9015,"5 1 1 1 3 12 31111 6 M59 61000 000132 0000R 00001*")</f>
        <v>0</v>
      </c>
      <c r="E2435"/>
      <c r="F2435" s="35">
        <f>SUMIFS(F2436:F9015,K2436:K9015,"0",B2436:B9015,"5 1 1 1 3 12 31111 6 M59 61000 000132 0000R 00001*")</f>
        <v>20609.099999999999</v>
      </c>
      <c r="G2435" s="35">
        <f>SUMIFS(G2436:G9015,K2436:K9015,"0",B2436:B9015,"5 1 1 1 3 12 31111 6 M59 61000 000132 0000R 00001*")</f>
        <v>0</v>
      </c>
      <c r="H2435" s="35">
        <f t="shared" si="38"/>
        <v>20609.099999999999</v>
      </c>
      <c r="I2435" s="35"/>
      <c r="K2435" t="s">
        <v>15</v>
      </c>
    </row>
    <row r="2436" spans="2:11" ht="24.75" x14ac:dyDescent="0.2">
      <c r="B2436" s="33" t="s">
        <v>3321</v>
      </c>
      <c r="C2436" s="33" t="s">
        <v>2924</v>
      </c>
      <c r="D2436" s="35">
        <f>SUMIFS(D2437:D9015,K2437:K9015,"0",B2437:B9015,"5 1 1 1 3 12 31111 6 M59 61000 000132 0000R 00001 00113*")-SUMIFS(E2437:E9015,K2437:K9015,"0",B2437:B9015,"5 1 1 1 3 12 31111 6 M59 61000 000132 0000R 00001 00113*")</f>
        <v>0</v>
      </c>
      <c r="E2436"/>
      <c r="F2436" s="35">
        <f>SUMIFS(F2437:F9015,K2437:K9015,"0",B2437:B9015,"5 1 1 1 3 12 31111 6 M59 61000 000132 0000R 00001 00113*")</f>
        <v>20609.099999999999</v>
      </c>
      <c r="G2436" s="35">
        <f>SUMIFS(G2437:G9015,K2437:K9015,"0",B2437:B9015,"5 1 1 1 3 12 31111 6 M59 61000 000132 0000R 00001 00113*")</f>
        <v>0</v>
      </c>
      <c r="H2436" s="35">
        <f t="shared" ref="H2436:H2499" si="39">D2436 + F2436 - G2436</f>
        <v>20609.099999999999</v>
      </c>
      <c r="I2436" s="35"/>
      <c r="K2436" t="s">
        <v>15</v>
      </c>
    </row>
    <row r="2437" spans="2:11" ht="24.75" x14ac:dyDescent="0.2">
      <c r="B2437" s="33" t="s">
        <v>3322</v>
      </c>
      <c r="C2437" s="33" t="s">
        <v>1051</v>
      </c>
      <c r="D2437" s="35">
        <f>SUMIFS(D2438:D9015,K2438:K9015,"0",B2438:B9015,"5 1 1 1 3 12 31111 6 M59 61000 000132 0000R 00001 00113 015*")-SUMIFS(E2438:E9015,K2438:K9015,"0",B2438:B9015,"5 1 1 1 3 12 31111 6 M59 61000 000132 0000R 00001 00113 015*")</f>
        <v>0</v>
      </c>
      <c r="E2437"/>
      <c r="F2437" s="35">
        <f>SUMIFS(F2438:F9015,K2438:K9015,"0",B2438:B9015,"5 1 1 1 3 12 31111 6 M59 61000 000132 0000R 00001 00113 015*")</f>
        <v>20609.099999999999</v>
      </c>
      <c r="G2437" s="35">
        <f>SUMIFS(G2438:G9015,K2438:K9015,"0",B2438:B9015,"5 1 1 1 3 12 31111 6 M59 61000 000132 0000R 00001 00113 015*")</f>
        <v>0</v>
      </c>
      <c r="H2437" s="35">
        <f t="shared" si="39"/>
        <v>20609.099999999999</v>
      </c>
      <c r="I2437" s="35"/>
      <c r="K2437" t="s">
        <v>15</v>
      </c>
    </row>
    <row r="2438" spans="2:11" ht="33" x14ac:dyDescent="0.2">
      <c r="B2438" s="33" t="s">
        <v>3323</v>
      </c>
      <c r="C2438" s="33" t="s">
        <v>2927</v>
      </c>
      <c r="D2438" s="35">
        <f>SUMIFS(D2439:D9015,K2439:K9015,"0",B2439:B9015,"5 1 1 1 3 12 31111 6 M59 61000 000132 0000R 00001 00113 015 2111100*")-SUMIFS(E2439:E9015,K2439:K9015,"0",B2439:B9015,"5 1 1 1 3 12 31111 6 M59 61000 000132 0000R 00001 00113 015 2111100*")</f>
        <v>0</v>
      </c>
      <c r="E2438"/>
      <c r="F2438" s="35">
        <f>SUMIFS(F2439:F9015,K2439:K9015,"0",B2439:B9015,"5 1 1 1 3 12 31111 6 M59 61000 000132 0000R 00001 00113 015 2111100*")</f>
        <v>20609.099999999999</v>
      </c>
      <c r="G2438" s="35">
        <f>SUMIFS(G2439:G9015,K2439:K9015,"0",B2439:B9015,"5 1 1 1 3 12 31111 6 M59 61000 000132 0000R 00001 00113 015 2111100*")</f>
        <v>0</v>
      </c>
      <c r="H2438" s="35">
        <f t="shared" si="39"/>
        <v>20609.099999999999</v>
      </c>
      <c r="I2438" s="35"/>
      <c r="K2438" t="s">
        <v>15</v>
      </c>
    </row>
    <row r="2439" spans="2:11" ht="33" x14ac:dyDescent="0.2">
      <c r="B2439" s="33" t="s">
        <v>3324</v>
      </c>
      <c r="C2439" s="33" t="s">
        <v>660</v>
      </c>
      <c r="D2439" s="35">
        <f>SUMIFS(D2440:D9015,K2440:K9015,"0",B2440:B9015,"5 1 1 1 3 12 31111 6 M59 61000 000132 0000R 00001 00113 015 2111100 2024*")-SUMIFS(E2440:E9015,K2440:K9015,"0",B2440:B9015,"5 1 1 1 3 12 31111 6 M59 61000 000132 0000R 00001 00113 015 2111100 2024*")</f>
        <v>0</v>
      </c>
      <c r="E2439"/>
      <c r="F2439" s="35">
        <f>SUMIFS(F2440:F9015,K2440:K9015,"0",B2440:B9015,"5 1 1 1 3 12 31111 6 M59 61000 000132 0000R 00001 00113 015 2111100 2024*")</f>
        <v>20609.099999999999</v>
      </c>
      <c r="G2439" s="35">
        <f>SUMIFS(G2440:G9015,K2440:K9015,"0",B2440:B9015,"5 1 1 1 3 12 31111 6 M59 61000 000132 0000R 00001 00113 015 2111100 2024*")</f>
        <v>0</v>
      </c>
      <c r="H2439" s="35">
        <f t="shared" si="39"/>
        <v>20609.099999999999</v>
      </c>
      <c r="I2439" s="35"/>
      <c r="K2439" t="s">
        <v>15</v>
      </c>
    </row>
    <row r="2440" spans="2:11" ht="41.25" x14ac:dyDescent="0.2">
      <c r="B2440" s="33" t="s">
        <v>3325</v>
      </c>
      <c r="C2440" s="33" t="s">
        <v>1056</v>
      </c>
      <c r="D2440" s="35">
        <f>SUMIFS(D2441:D9015,K2441:K9015,"0",B2441:B9015,"5 1 1 1 3 12 31111 6 M59 61000 000132 0000R 00001 00113 015 2111100 2024 CP1MI406*")-SUMIFS(E2441:E9015,K2441:K9015,"0",B2441:B9015,"5 1 1 1 3 12 31111 6 M59 61000 000132 0000R 00001 00113 015 2111100 2024 CP1MI406*")</f>
        <v>0</v>
      </c>
      <c r="E2440"/>
      <c r="F2440" s="35">
        <f>SUMIFS(F2441:F9015,K2441:K9015,"0",B2441:B9015,"5 1 1 1 3 12 31111 6 M59 61000 000132 0000R 00001 00113 015 2111100 2024 CP1MI406*")</f>
        <v>20609.099999999999</v>
      </c>
      <c r="G2440" s="35">
        <f>SUMIFS(G2441:G9015,K2441:K9015,"0",B2441:B9015,"5 1 1 1 3 12 31111 6 M59 61000 000132 0000R 00001 00113 015 2111100 2024 CP1MI406*")</f>
        <v>0</v>
      </c>
      <c r="H2440" s="35">
        <f t="shared" si="39"/>
        <v>20609.099999999999</v>
      </c>
      <c r="I2440" s="35"/>
      <c r="K2440" t="s">
        <v>15</v>
      </c>
    </row>
    <row r="2441" spans="2:11" ht="41.25" x14ac:dyDescent="0.2">
      <c r="B2441" s="33" t="s">
        <v>3326</v>
      </c>
      <c r="C2441" s="33" t="s">
        <v>282</v>
      </c>
      <c r="D2441" s="35">
        <f>SUMIFS(D2442:D9015,K2442:K9015,"0",B2442:B9015,"5 1 1 1 3 12 31111 6 M59 61000 000132 0000R 00001 00113 015 2111100 2024 CP1MI406 001*")-SUMIFS(E2442:E9015,K2442:K9015,"0",B2442:B9015,"5 1 1 1 3 12 31111 6 M59 61000 000132 0000R 00001 00113 015 2111100 2024 CP1MI406 001*")</f>
        <v>0</v>
      </c>
      <c r="E2441"/>
      <c r="F2441" s="35">
        <f>SUMIFS(F2442:F9015,K2442:K9015,"0",B2442:B9015,"5 1 1 1 3 12 31111 6 M59 61000 000132 0000R 00001 00113 015 2111100 2024 CP1MI406 001*")</f>
        <v>20609.099999999999</v>
      </c>
      <c r="G2441" s="35">
        <f>SUMIFS(G2442:G9015,K2442:K9015,"0",B2442:B9015,"5 1 1 1 3 12 31111 6 M59 61000 000132 0000R 00001 00113 015 2111100 2024 CP1MI406 001*")</f>
        <v>0</v>
      </c>
      <c r="H2441" s="35">
        <f t="shared" si="39"/>
        <v>20609.099999999999</v>
      </c>
      <c r="I2441" s="35"/>
      <c r="K2441" t="s">
        <v>15</v>
      </c>
    </row>
    <row r="2442" spans="2:11" ht="33" x14ac:dyDescent="0.2">
      <c r="B2442" s="31" t="s">
        <v>3327</v>
      </c>
      <c r="C2442" s="31" t="s">
        <v>2932</v>
      </c>
      <c r="D2442" s="34">
        <v>0</v>
      </c>
      <c r="E2442" s="34"/>
      <c r="F2442" s="34">
        <v>20609.099999999999</v>
      </c>
      <c r="G2442" s="34">
        <v>0</v>
      </c>
      <c r="H2442" s="34">
        <f t="shared" si="39"/>
        <v>20609.099999999999</v>
      </c>
      <c r="I2442" s="34"/>
      <c r="K2442" t="s">
        <v>38</v>
      </c>
    </row>
    <row r="2443" spans="2:11" ht="16.5" x14ac:dyDescent="0.2">
      <c r="B2443" s="33" t="s">
        <v>3328</v>
      </c>
      <c r="C2443" s="33" t="s">
        <v>3329</v>
      </c>
      <c r="D2443" s="35">
        <f>SUMIFS(D2444:D9015,K2444:K9015,"0",B2444:B9015,"5 1 1 1 3 12 31111 6 M59 62000*")-SUMIFS(E2444:E9015,K2444:K9015,"0",B2444:B9015,"5 1 1 1 3 12 31111 6 M59 62000*")</f>
        <v>0</v>
      </c>
      <c r="E2443"/>
      <c r="F2443" s="35">
        <f>SUMIFS(F2444:F9015,K2444:K9015,"0",B2444:B9015,"5 1 1 1 3 12 31111 6 M59 62000*")</f>
        <v>268274.09000000003</v>
      </c>
      <c r="G2443" s="35">
        <f>SUMIFS(G2444:G9015,K2444:K9015,"0",B2444:B9015,"5 1 1 1 3 12 31111 6 M59 62000*")</f>
        <v>0</v>
      </c>
      <c r="H2443" s="35">
        <f t="shared" si="39"/>
        <v>268274.09000000003</v>
      </c>
      <c r="I2443" s="35"/>
      <c r="K2443" t="s">
        <v>15</v>
      </c>
    </row>
    <row r="2444" spans="2:11" ht="16.5" x14ac:dyDescent="0.2">
      <c r="B2444" s="33" t="s">
        <v>3330</v>
      </c>
      <c r="C2444" s="33" t="s">
        <v>648</v>
      </c>
      <c r="D2444" s="35">
        <f>SUMIFS(D2445:D9015,K2445:K9015,"0",B2445:B9015,"5 1 1 1 3 12 31111 6 M59 62000 000132*")-SUMIFS(E2445:E9015,K2445:K9015,"0",B2445:B9015,"5 1 1 1 3 12 31111 6 M59 62000 000132*")</f>
        <v>0</v>
      </c>
      <c r="E2444"/>
      <c r="F2444" s="35">
        <f>SUMIFS(F2445:F9015,K2445:K9015,"0",B2445:B9015,"5 1 1 1 3 12 31111 6 M59 62000 000132*")</f>
        <v>268274.09000000003</v>
      </c>
      <c r="G2444" s="35">
        <f>SUMIFS(G2445:G9015,K2445:K9015,"0",B2445:B9015,"5 1 1 1 3 12 31111 6 M59 62000 000132*")</f>
        <v>0</v>
      </c>
      <c r="H2444" s="35">
        <f t="shared" si="39"/>
        <v>268274.09000000003</v>
      </c>
      <c r="I2444" s="35"/>
      <c r="K2444" t="s">
        <v>15</v>
      </c>
    </row>
    <row r="2445" spans="2:11" ht="16.5" x14ac:dyDescent="0.2">
      <c r="B2445" s="33" t="s">
        <v>3331</v>
      </c>
      <c r="C2445" s="33" t="s">
        <v>650</v>
      </c>
      <c r="D2445" s="35">
        <f>SUMIFS(D2446:D9015,K2446:K9015,"0",B2446:B9015,"5 1 1 1 3 12 31111 6 M59 62000 000132 0000R*")-SUMIFS(E2446:E9015,K2446:K9015,"0",B2446:B9015,"5 1 1 1 3 12 31111 6 M59 62000 000132 0000R*")</f>
        <v>0</v>
      </c>
      <c r="E2445"/>
      <c r="F2445" s="35">
        <f>SUMIFS(F2446:F9015,K2446:K9015,"0",B2446:B9015,"5 1 1 1 3 12 31111 6 M59 62000 000132 0000R*")</f>
        <v>268274.09000000003</v>
      </c>
      <c r="G2445" s="35">
        <f>SUMIFS(G2446:G9015,K2446:K9015,"0",B2446:B9015,"5 1 1 1 3 12 31111 6 M59 62000 000132 0000R*")</f>
        <v>0</v>
      </c>
      <c r="H2445" s="35">
        <f t="shared" si="39"/>
        <v>268274.09000000003</v>
      </c>
      <c r="I2445" s="35"/>
      <c r="K2445" t="s">
        <v>15</v>
      </c>
    </row>
    <row r="2446" spans="2:11" ht="24.75" x14ac:dyDescent="0.2">
      <c r="B2446" s="33" t="s">
        <v>3332</v>
      </c>
      <c r="C2446" s="33" t="s">
        <v>282</v>
      </c>
      <c r="D2446" s="35">
        <f>SUMIFS(D2447:D9015,K2447:K9015,"0",B2447:B9015,"5 1 1 1 3 12 31111 6 M59 62000 000132 0000R 00001*")-SUMIFS(E2447:E9015,K2447:K9015,"0",B2447:B9015,"5 1 1 1 3 12 31111 6 M59 62000 000132 0000R 00001*")</f>
        <v>0</v>
      </c>
      <c r="E2446"/>
      <c r="F2446" s="35">
        <f>SUMIFS(F2447:F9015,K2447:K9015,"0",B2447:B9015,"5 1 1 1 3 12 31111 6 M59 62000 000132 0000R 00001*")</f>
        <v>268274.09000000003</v>
      </c>
      <c r="G2446" s="35">
        <f>SUMIFS(G2447:G9015,K2447:K9015,"0",B2447:B9015,"5 1 1 1 3 12 31111 6 M59 62000 000132 0000R 00001*")</f>
        <v>0</v>
      </c>
      <c r="H2446" s="35">
        <f t="shared" si="39"/>
        <v>268274.09000000003</v>
      </c>
      <c r="I2446" s="35"/>
      <c r="K2446" t="s">
        <v>15</v>
      </c>
    </row>
    <row r="2447" spans="2:11" ht="24.75" x14ac:dyDescent="0.2">
      <c r="B2447" s="33" t="s">
        <v>3333</v>
      </c>
      <c r="C2447" s="33" t="s">
        <v>2924</v>
      </c>
      <c r="D2447" s="35">
        <f>SUMIFS(D2448:D9015,K2448:K9015,"0",B2448:B9015,"5 1 1 1 3 12 31111 6 M59 62000 000132 0000R 00001 00113*")-SUMIFS(E2448:E9015,K2448:K9015,"0",B2448:B9015,"5 1 1 1 3 12 31111 6 M59 62000 000132 0000R 00001 00113*")</f>
        <v>0</v>
      </c>
      <c r="E2447"/>
      <c r="F2447" s="35">
        <f>SUMIFS(F2448:F9015,K2448:K9015,"0",B2448:B9015,"5 1 1 1 3 12 31111 6 M59 62000 000132 0000R 00001 00113*")</f>
        <v>268274.09000000003</v>
      </c>
      <c r="G2447" s="35">
        <f>SUMIFS(G2448:G9015,K2448:K9015,"0",B2448:B9015,"5 1 1 1 3 12 31111 6 M59 62000 000132 0000R 00001 00113*")</f>
        <v>0</v>
      </c>
      <c r="H2447" s="35">
        <f t="shared" si="39"/>
        <v>268274.09000000003</v>
      </c>
      <c r="I2447" s="35"/>
      <c r="K2447" t="s">
        <v>15</v>
      </c>
    </row>
    <row r="2448" spans="2:11" ht="24.75" x14ac:dyDescent="0.2">
      <c r="B2448" s="33" t="s">
        <v>3334</v>
      </c>
      <c r="C2448" s="33" t="s">
        <v>1051</v>
      </c>
      <c r="D2448" s="35">
        <f>SUMIFS(D2449:D9015,K2449:K9015,"0",B2449:B9015,"5 1 1 1 3 12 31111 6 M59 62000 000132 0000R 00001 00113 015*")-SUMIFS(E2449:E9015,K2449:K9015,"0",B2449:B9015,"5 1 1 1 3 12 31111 6 M59 62000 000132 0000R 00001 00113 015*")</f>
        <v>0</v>
      </c>
      <c r="E2448"/>
      <c r="F2448" s="35">
        <f>SUMIFS(F2449:F9015,K2449:K9015,"0",B2449:B9015,"5 1 1 1 3 12 31111 6 M59 62000 000132 0000R 00001 00113 015*")</f>
        <v>268274.09000000003</v>
      </c>
      <c r="G2448" s="35">
        <f>SUMIFS(G2449:G9015,K2449:K9015,"0",B2449:B9015,"5 1 1 1 3 12 31111 6 M59 62000 000132 0000R 00001 00113 015*")</f>
        <v>0</v>
      </c>
      <c r="H2448" s="35">
        <f t="shared" si="39"/>
        <v>268274.09000000003</v>
      </c>
      <c r="I2448" s="35"/>
      <c r="K2448" t="s">
        <v>15</v>
      </c>
    </row>
    <row r="2449" spans="2:11" ht="33" x14ac:dyDescent="0.2">
      <c r="B2449" s="33" t="s">
        <v>3335</v>
      </c>
      <c r="C2449" s="33" t="s">
        <v>2927</v>
      </c>
      <c r="D2449" s="35">
        <f>SUMIFS(D2450:D9015,K2450:K9015,"0",B2450:B9015,"5 1 1 1 3 12 31111 6 M59 62000 000132 0000R 00001 00113 015 2111100*")-SUMIFS(E2450:E9015,K2450:K9015,"0",B2450:B9015,"5 1 1 1 3 12 31111 6 M59 62000 000132 0000R 00001 00113 015 2111100*")</f>
        <v>0</v>
      </c>
      <c r="E2449"/>
      <c r="F2449" s="35">
        <f>SUMIFS(F2450:F9015,K2450:K9015,"0",B2450:B9015,"5 1 1 1 3 12 31111 6 M59 62000 000132 0000R 00001 00113 015 2111100*")</f>
        <v>268274.09000000003</v>
      </c>
      <c r="G2449" s="35">
        <f>SUMIFS(G2450:G9015,K2450:K9015,"0",B2450:B9015,"5 1 1 1 3 12 31111 6 M59 62000 000132 0000R 00001 00113 015 2111100*")</f>
        <v>0</v>
      </c>
      <c r="H2449" s="35">
        <f t="shared" si="39"/>
        <v>268274.09000000003</v>
      </c>
      <c r="I2449" s="35"/>
      <c r="K2449" t="s">
        <v>15</v>
      </c>
    </row>
    <row r="2450" spans="2:11" ht="33" x14ac:dyDescent="0.2">
      <c r="B2450" s="33" t="s">
        <v>3336</v>
      </c>
      <c r="C2450" s="33" t="s">
        <v>660</v>
      </c>
      <c r="D2450" s="35">
        <f>SUMIFS(D2451:D9015,K2451:K9015,"0",B2451:B9015,"5 1 1 1 3 12 31111 6 M59 62000 000132 0000R 00001 00113 015 2111100 2024*")-SUMIFS(E2451:E9015,K2451:K9015,"0",B2451:B9015,"5 1 1 1 3 12 31111 6 M59 62000 000132 0000R 00001 00113 015 2111100 2024*")</f>
        <v>0</v>
      </c>
      <c r="E2450"/>
      <c r="F2450" s="35">
        <f>SUMIFS(F2451:F9015,K2451:K9015,"0",B2451:B9015,"5 1 1 1 3 12 31111 6 M59 62000 000132 0000R 00001 00113 015 2111100 2024*")</f>
        <v>268274.09000000003</v>
      </c>
      <c r="G2450" s="35">
        <f>SUMIFS(G2451:G9015,K2451:K9015,"0",B2451:B9015,"5 1 1 1 3 12 31111 6 M59 62000 000132 0000R 00001 00113 015 2111100 2024*")</f>
        <v>0</v>
      </c>
      <c r="H2450" s="35">
        <f t="shared" si="39"/>
        <v>268274.09000000003</v>
      </c>
      <c r="I2450" s="35"/>
      <c r="K2450" t="s">
        <v>15</v>
      </c>
    </row>
    <row r="2451" spans="2:11" ht="41.25" x14ac:dyDescent="0.2">
      <c r="B2451" s="33" t="s">
        <v>3337</v>
      </c>
      <c r="C2451" s="33" t="s">
        <v>1056</v>
      </c>
      <c r="D2451" s="35">
        <f>SUMIFS(D2452:D9015,K2452:K9015,"0",B2452:B9015,"5 1 1 1 3 12 31111 6 M59 62000 000132 0000R 00001 00113 015 2111100 2024 CP1AM426*")-SUMIFS(E2452:E9015,K2452:K9015,"0",B2452:B9015,"5 1 1 1 3 12 31111 6 M59 62000 000132 0000R 00001 00113 015 2111100 2024 CP1AM426*")</f>
        <v>0</v>
      </c>
      <c r="E2451"/>
      <c r="F2451" s="35">
        <f>SUMIFS(F2452:F9015,K2452:K9015,"0",B2452:B9015,"5 1 1 1 3 12 31111 6 M59 62000 000132 0000R 00001 00113 015 2111100 2024 CP1AM426*")</f>
        <v>268274.09000000003</v>
      </c>
      <c r="G2451" s="35">
        <f>SUMIFS(G2452:G9015,K2452:K9015,"0",B2452:B9015,"5 1 1 1 3 12 31111 6 M59 62000 000132 0000R 00001 00113 015 2111100 2024 CP1AM426*")</f>
        <v>0</v>
      </c>
      <c r="H2451" s="35">
        <f t="shared" si="39"/>
        <v>268274.09000000003</v>
      </c>
      <c r="I2451" s="35"/>
      <c r="K2451" t="s">
        <v>15</v>
      </c>
    </row>
    <row r="2452" spans="2:11" ht="41.25" x14ac:dyDescent="0.2">
      <c r="B2452" s="33" t="s">
        <v>3338</v>
      </c>
      <c r="C2452" s="33" t="s">
        <v>282</v>
      </c>
      <c r="D2452" s="35">
        <f>SUMIFS(D2453:D9015,K2453:K9015,"0",B2453:B9015,"5 1 1 1 3 12 31111 6 M59 62000 000132 0000R 00001 00113 015 2111100 2024 CP1AM426 001*")-SUMIFS(E2453:E9015,K2453:K9015,"0",B2453:B9015,"5 1 1 1 3 12 31111 6 M59 62000 000132 0000R 00001 00113 015 2111100 2024 CP1AM426 001*")</f>
        <v>0</v>
      </c>
      <c r="E2452"/>
      <c r="F2452" s="35">
        <f>SUMIFS(F2453:F9015,K2453:K9015,"0",B2453:B9015,"5 1 1 1 3 12 31111 6 M59 62000 000132 0000R 00001 00113 015 2111100 2024 CP1AM426 001*")</f>
        <v>268274.09000000003</v>
      </c>
      <c r="G2452" s="35">
        <f>SUMIFS(G2453:G9015,K2453:K9015,"0",B2453:B9015,"5 1 1 1 3 12 31111 6 M59 62000 000132 0000R 00001 00113 015 2111100 2024 CP1AM426 001*")</f>
        <v>0</v>
      </c>
      <c r="H2452" s="35">
        <f t="shared" si="39"/>
        <v>268274.09000000003</v>
      </c>
      <c r="I2452" s="35"/>
      <c r="K2452" t="s">
        <v>15</v>
      </c>
    </row>
    <row r="2453" spans="2:11" ht="41.25" x14ac:dyDescent="0.2">
      <c r="B2453" s="31" t="s">
        <v>3339</v>
      </c>
      <c r="C2453" s="31" t="s">
        <v>2932</v>
      </c>
      <c r="D2453" s="34">
        <v>0</v>
      </c>
      <c r="E2453" s="34"/>
      <c r="F2453" s="34">
        <v>268274.09000000003</v>
      </c>
      <c r="G2453" s="34">
        <v>0</v>
      </c>
      <c r="H2453" s="34">
        <f t="shared" si="39"/>
        <v>268274.09000000003</v>
      </c>
      <c r="I2453" s="34"/>
      <c r="K2453" t="s">
        <v>38</v>
      </c>
    </row>
    <row r="2454" spans="2:11" ht="16.5" x14ac:dyDescent="0.2">
      <c r="B2454" s="33" t="s">
        <v>3340</v>
      </c>
      <c r="C2454" s="33" t="s">
        <v>3341</v>
      </c>
      <c r="D2454" s="35">
        <f>SUMIFS(D2455:D9015,K2455:K9015,"0",B2455:B9015,"5 1 1 1 3 12 31111 6 M59 63000*")-SUMIFS(E2455:E9015,K2455:K9015,"0",B2455:B9015,"5 1 1 1 3 12 31111 6 M59 63000*")</f>
        <v>0</v>
      </c>
      <c r="E2454"/>
      <c r="F2454" s="35">
        <f>SUMIFS(F2455:F9015,K2455:K9015,"0",B2455:B9015,"5 1 1 1 3 12 31111 6 M59 63000*")</f>
        <v>132554.82</v>
      </c>
      <c r="G2454" s="35">
        <f>SUMIFS(G2455:G9015,K2455:K9015,"0",B2455:B9015,"5 1 1 1 3 12 31111 6 M59 63000*")</f>
        <v>0</v>
      </c>
      <c r="H2454" s="35">
        <f t="shared" si="39"/>
        <v>132554.82</v>
      </c>
      <c r="I2454" s="35"/>
      <c r="K2454" t="s">
        <v>15</v>
      </c>
    </row>
    <row r="2455" spans="2:11" ht="16.5" x14ac:dyDescent="0.2">
      <c r="B2455" s="33" t="s">
        <v>3342</v>
      </c>
      <c r="C2455" s="33" t="s">
        <v>648</v>
      </c>
      <c r="D2455" s="35">
        <f>SUMIFS(D2456:D9015,K2456:K9015,"0",B2456:B9015,"5 1 1 1 3 12 31111 6 M59 63000 000132*")-SUMIFS(E2456:E9015,K2456:K9015,"0",B2456:B9015,"5 1 1 1 3 12 31111 6 M59 63000 000132*")</f>
        <v>0</v>
      </c>
      <c r="E2455"/>
      <c r="F2455" s="35">
        <f>SUMIFS(F2456:F9015,K2456:K9015,"0",B2456:B9015,"5 1 1 1 3 12 31111 6 M59 63000 000132*")</f>
        <v>132554.82</v>
      </c>
      <c r="G2455" s="35">
        <f>SUMIFS(G2456:G9015,K2456:K9015,"0",B2456:B9015,"5 1 1 1 3 12 31111 6 M59 63000 000132*")</f>
        <v>0</v>
      </c>
      <c r="H2455" s="35">
        <f t="shared" si="39"/>
        <v>132554.82</v>
      </c>
      <c r="I2455" s="35"/>
      <c r="K2455" t="s">
        <v>15</v>
      </c>
    </row>
    <row r="2456" spans="2:11" ht="16.5" x14ac:dyDescent="0.2">
      <c r="B2456" s="33" t="s">
        <v>3343</v>
      </c>
      <c r="C2456" s="33" t="s">
        <v>650</v>
      </c>
      <c r="D2456" s="35">
        <f>SUMIFS(D2457:D9015,K2457:K9015,"0",B2457:B9015,"5 1 1 1 3 12 31111 6 M59 63000 000132 0000R*")-SUMIFS(E2457:E9015,K2457:K9015,"0",B2457:B9015,"5 1 1 1 3 12 31111 6 M59 63000 000132 0000R*")</f>
        <v>0</v>
      </c>
      <c r="E2456"/>
      <c r="F2456" s="35">
        <f>SUMIFS(F2457:F9015,K2457:K9015,"0",B2457:B9015,"5 1 1 1 3 12 31111 6 M59 63000 000132 0000R*")</f>
        <v>132554.82</v>
      </c>
      <c r="G2456" s="35">
        <f>SUMIFS(G2457:G9015,K2457:K9015,"0",B2457:B9015,"5 1 1 1 3 12 31111 6 M59 63000 000132 0000R*")</f>
        <v>0</v>
      </c>
      <c r="H2456" s="35">
        <f t="shared" si="39"/>
        <v>132554.82</v>
      </c>
      <c r="I2456" s="35"/>
      <c r="K2456" t="s">
        <v>15</v>
      </c>
    </row>
    <row r="2457" spans="2:11" ht="24.75" x14ac:dyDescent="0.2">
      <c r="B2457" s="33" t="s">
        <v>3344</v>
      </c>
      <c r="C2457" s="33" t="s">
        <v>282</v>
      </c>
      <c r="D2457" s="35">
        <f>SUMIFS(D2458:D9015,K2458:K9015,"0",B2458:B9015,"5 1 1 1 3 12 31111 6 M59 63000 000132 0000R 00001*")-SUMIFS(E2458:E9015,K2458:K9015,"0",B2458:B9015,"5 1 1 1 3 12 31111 6 M59 63000 000132 0000R 00001*")</f>
        <v>0</v>
      </c>
      <c r="E2457"/>
      <c r="F2457" s="35">
        <f>SUMIFS(F2458:F9015,K2458:K9015,"0",B2458:B9015,"5 1 1 1 3 12 31111 6 M59 63000 000132 0000R 00001*")</f>
        <v>132554.82</v>
      </c>
      <c r="G2457" s="35">
        <f>SUMIFS(G2458:G9015,K2458:K9015,"0",B2458:B9015,"5 1 1 1 3 12 31111 6 M59 63000 000132 0000R 00001*")</f>
        <v>0</v>
      </c>
      <c r="H2457" s="35">
        <f t="shared" si="39"/>
        <v>132554.82</v>
      </c>
      <c r="I2457" s="35"/>
      <c r="K2457" t="s">
        <v>15</v>
      </c>
    </row>
    <row r="2458" spans="2:11" ht="24.75" x14ac:dyDescent="0.2">
      <c r="B2458" s="33" t="s">
        <v>3345</v>
      </c>
      <c r="C2458" s="33" t="s">
        <v>2924</v>
      </c>
      <c r="D2458" s="35">
        <f>SUMIFS(D2459:D9015,K2459:K9015,"0",B2459:B9015,"5 1 1 1 3 12 31111 6 M59 63000 000132 0000R 00001 00113*")-SUMIFS(E2459:E9015,K2459:K9015,"0",B2459:B9015,"5 1 1 1 3 12 31111 6 M59 63000 000132 0000R 00001 00113*")</f>
        <v>0</v>
      </c>
      <c r="E2458"/>
      <c r="F2458" s="35">
        <f>SUMIFS(F2459:F9015,K2459:K9015,"0",B2459:B9015,"5 1 1 1 3 12 31111 6 M59 63000 000132 0000R 00001 00113*")</f>
        <v>132554.82</v>
      </c>
      <c r="G2458" s="35">
        <f>SUMIFS(G2459:G9015,K2459:K9015,"0",B2459:B9015,"5 1 1 1 3 12 31111 6 M59 63000 000132 0000R 00001 00113*")</f>
        <v>0</v>
      </c>
      <c r="H2458" s="35">
        <f t="shared" si="39"/>
        <v>132554.82</v>
      </c>
      <c r="I2458" s="35"/>
      <c r="K2458" t="s">
        <v>15</v>
      </c>
    </row>
    <row r="2459" spans="2:11" ht="24.75" x14ac:dyDescent="0.2">
      <c r="B2459" s="33" t="s">
        <v>3346</v>
      </c>
      <c r="C2459" s="33" t="s">
        <v>1051</v>
      </c>
      <c r="D2459" s="35">
        <f>SUMIFS(D2460:D9015,K2460:K9015,"0",B2460:B9015,"5 1 1 1 3 12 31111 6 M59 63000 000132 0000R 00001 00113 015*")-SUMIFS(E2460:E9015,K2460:K9015,"0",B2460:B9015,"5 1 1 1 3 12 31111 6 M59 63000 000132 0000R 00001 00113 015*")</f>
        <v>0</v>
      </c>
      <c r="E2459"/>
      <c r="F2459" s="35">
        <f>SUMIFS(F2460:F9015,K2460:K9015,"0",B2460:B9015,"5 1 1 1 3 12 31111 6 M59 63000 000132 0000R 00001 00113 015*")</f>
        <v>132554.82</v>
      </c>
      <c r="G2459" s="35">
        <f>SUMIFS(G2460:G9015,K2460:K9015,"0",B2460:B9015,"5 1 1 1 3 12 31111 6 M59 63000 000132 0000R 00001 00113 015*")</f>
        <v>0</v>
      </c>
      <c r="H2459" s="35">
        <f t="shared" si="39"/>
        <v>132554.82</v>
      </c>
      <c r="I2459" s="35"/>
      <c r="K2459" t="s">
        <v>15</v>
      </c>
    </row>
    <row r="2460" spans="2:11" ht="33" x14ac:dyDescent="0.2">
      <c r="B2460" s="33" t="s">
        <v>3347</v>
      </c>
      <c r="C2460" s="33" t="s">
        <v>2927</v>
      </c>
      <c r="D2460" s="35">
        <f>SUMIFS(D2461:D9015,K2461:K9015,"0",B2461:B9015,"5 1 1 1 3 12 31111 6 M59 63000 000132 0000R 00001 00113 015 2111100*")-SUMIFS(E2461:E9015,K2461:K9015,"0",B2461:B9015,"5 1 1 1 3 12 31111 6 M59 63000 000132 0000R 00001 00113 015 2111100*")</f>
        <v>0</v>
      </c>
      <c r="E2460"/>
      <c r="F2460" s="35">
        <f>SUMIFS(F2461:F9015,K2461:K9015,"0",B2461:B9015,"5 1 1 1 3 12 31111 6 M59 63000 000132 0000R 00001 00113 015 2111100*")</f>
        <v>132554.82</v>
      </c>
      <c r="G2460" s="35">
        <f>SUMIFS(G2461:G9015,K2461:K9015,"0",B2461:B9015,"5 1 1 1 3 12 31111 6 M59 63000 000132 0000R 00001 00113 015 2111100*")</f>
        <v>0</v>
      </c>
      <c r="H2460" s="35">
        <f t="shared" si="39"/>
        <v>132554.82</v>
      </c>
      <c r="I2460" s="35"/>
      <c r="K2460" t="s">
        <v>15</v>
      </c>
    </row>
    <row r="2461" spans="2:11" ht="33" x14ac:dyDescent="0.2">
      <c r="B2461" s="33" t="s">
        <v>3348</v>
      </c>
      <c r="C2461" s="33" t="s">
        <v>660</v>
      </c>
      <c r="D2461" s="35">
        <f>SUMIFS(D2462:D9015,K2462:K9015,"0",B2462:B9015,"5 1 1 1 3 12 31111 6 M59 63000 000132 0000R 00001 00113 015 2111100 2024*")-SUMIFS(E2462:E9015,K2462:K9015,"0",B2462:B9015,"5 1 1 1 3 12 31111 6 M59 63000 000132 0000R 00001 00113 015 2111100 2024*")</f>
        <v>0</v>
      </c>
      <c r="E2461"/>
      <c r="F2461" s="35">
        <f>SUMIFS(F2462:F9015,K2462:K9015,"0",B2462:B9015,"5 1 1 1 3 12 31111 6 M59 63000 000132 0000R 00001 00113 015 2111100 2024*")</f>
        <v>132554.82</v>
      </c>
      <c r="G2461" s="35">
        <f>SUMIFS(G2462:G9015,K2462:K9015,"0",B2462:B9015,"5 1 1 1 3 12 31111 6 M59 63000 000132 0000R 00001 00113 015 2111100 2024*")</f>
        <v>0</v>
      </c>
      <c r="H2461" s="35">
        <f t="shared" si="39"/>
        <v>132554.82</v>
      </c>
      <c r="I2461" s="35"/>
      <c r="K2461" t="s">
        <v>15</v>
      </c>
    </row>
    <row r="2462" spans="2:11" ht="41.25" x14ac:dyDescent="0.2">
      <c r="B2462" s="33" t="s">
        <v>3349</v>
      </c>
      <c r="C2462" s="33" t="s">
        <v>1056</v>
      </c>
      <c r="D2462" s="35">
        <f>SUMIFS(D2463:D9015,K2463:K9015,"0",B2463:B9015,"5 1 1 1 3 12 31111 6 M59 63000 000132 0000R 00001 00113 015 2111100 2024 CP1PR434*")-SUMIFS(E2463:E9015,K2463:K9015,"0",B2463:B9015,"5 1 1 1 3 12 31111 6 M59 63000 000132 0000R 00001 00113 015 2111100 2024 CP1PR434*")</f>
        <v>0</v>
      </c>
      <c r="E2462"/>
      <c r="F2462" s="35">
        <f>SUMIFS(F2463:F9015,K2463:K9015,"0",B2463:B9015,"5 1 1 1 3 12 31111 6 M59 63000 000132 0000R 00001 00113 015 2111100 2024 CP1PR434*")</f>
        <v>132554.82</v>
      </c>
      <c r="G2462" s="35">
        <f>SUMIFS(G2463:G9015,K2463:K9015,"0",B2463:B9015,"5 1 1 1 3 12 31111 6 M59 63000 000132 0000R 00001 00113 015 2111100 2024 CP1PR434*")</f>
        <v>0</v>
      </c>
      <c r="H2462" s="35">
        <f t="shared" si="39"/>
        <v>132554.82</v>
      </c>
      <c r="I2462" s="35"/>
      <c r="K2462" t="s">
        <v>15</v>
      </c>
    </row>
    <row r="2463" spans="2:11" ht="41.25" x14ac:dyDescent="0.2">
      <c r="B2463" s="33" t="s">
        <v>3350</v>
      </c>
      <c r="C2463" s="33" t="s">
        <v>282</v>
      </c>
      <c r="D2463" s="35">
        <f>SUMIFS(D2464:D9015,K2464:K9015,"0",B2464:B9015,"5 1 1 1 3 12 31111 6 M59 63000 000132 0000R 00001 00113 015 2111100 2024 CP1PR434 001*")-SUMIFS(E2464:E9015,K2464:K9015,"0",B2464:B9015,"5 1 1 1 3 12 31111 6 M59 63000 000132 0000R 00001 00113 015 2111100 2024 CP1PR434 001*")</f>
        <v>0</v>
      </c>
      <c r="E2463"/>
      <c r="F2463" s="35">
        <f>SUMIFS(F2464:F9015,K2464:K9015,"0",B2464:B9015,"5 1 1 1 3 12 31111 6 M59 63000 000132 0000R 00001 00113 015 2111100 2024 CP1PR434 001*")</f>
        <v>132554.82</v>
      </c>
      <c r="G2463" s="35">
        <f>SUMIFS(G2464:G9015,K2464:K9015,"0",B2464:B9015,"5 1 1 1 3 12 31111 6 M59 63000 000132 0000R 00001 00113 015 2111100 2024 CP1PR434 001*")</f>
        <v>0</v>
      </c>
      <c r="H2463" s="35">
        <f t="shared" si="39"/>
        <v>132554.82</v>
      </c>
      <c r="I2463" s="35"/>
      <c r="K2463" t="s">
        <v>15</v>
      </c>
    </row>
    <row r="2464" spans="2:11" ht="41.25" x14ac:dyDescent="0.2">
      <c r="B2464" s="31" t="s">
        <v>3351</v>
      </c>
      <c r="C2464" s="31" t="s">
        <v>2932</v>
      </c>
      <c r="D2464" s="34">
        <v>0</v>
      </c>
      <c r="E2464" s="34"/>
      <c r="F2464" s="34">
        <v>132554.82</v>
      </c>
      <c r="G2464" s="34">
        <v>0</v>
      </c>
      <c r="H2464" s="34">
        <f t="shared" si="39"/>
        <v>132554.82</v>
      </c>
      <c r="I2464" s="34"/>
      <c r="K2464" t="s">
        <v>38</v>
      </c>
    </row>
    <row r="2465" spans="2:11" ht="24.75" x14ac:dyDescent="0.2">
      <c r="B2465" s="33" t="s">
        <v>3352</v>
      </c>
      <c r="C2465" s="33" t="s">
        <v>3353</v>
      </c>
      <c r="D2465" s="35">
        <f>SUMIFS(D2466:D9015,K2466:K9015,"0",B2466:B9015,"5 1 1 1 3 12 31111 6 M59 64000*")-SUMIFS(E2466:E9015,K2466:K9015,"0",B2466:B9015,"5 1 1 1 3 12 31111 6 M59 64000*")</f>
        <v>0</v>
      </c>
      <c r="E2465"/>
      <c r="F2465" s="35">
        <f>SUMIFS(F2466:F9015,K2466:K9015,"0",B2466:B9015,"5 1 1 1 3 12 31111 6 M59 64000*")</f>
        <v>137293.95000000001</v>
      </c>
      <c r="G2465" s="35">
        <f>SUMIFS(G2466:G9015,K2466:K9015,"0",B2466:B9015,"5 1 1 1 3 12 31111 6 M59 64000*")</f>
        <v>0</v>
      </c>
      <c r="H2465" s="35">
        <f t="shared" si="39"/>
        <v>137293.95000000001</v>
      </c>
      <c r="I2465" s="35"/>
      <c r="K2465" t="s">
        <v>15</v>
      </c>
    </row>
    <row r="2466" spans="2:11" ht="16.5" x14ac:dyDescent="0.2">
      <c r="B2466" s="33" t="s">
        <v>3354</v>
      </c>
      <c r="C2466" s="33" t="s">
        <v>648</v>
      </c>
      <c r="D2466" s="35">
        <f>SUMIFS(D2467:D9015,K2467:K9015,"0",B2467:B9015,"5 1 1 1 3 12 31111 6 M59 64000 000132*")-SUMIFS(E2467:E9015,K2467:K9015,"0",B2467:B9015,"5 1 1 1 3 12 31111 6 M59 64000 000132*")</f>
        <v>0</v>
      </c>
      <c r="E2466"/>
      <c r="F2466" s="35">
        <f>SUMIFS(F2467:F9015,K2467:K9015,"0",B2467:B9015,"5 1 1 1 3 12 31111 6 M59 64000 000132*")</f>
        <v>137293.95000000001</v>
      </c>
      <c r="G2466" s="35">
        <f>SUMIFS(G2467:G9015,K2467:K9015,"0",B2467:B9015,"5 1 1 1 3 12 31111 6 M59 64000 000132*")</f>
        <v>0</v>
      </c>
      <c r="H2466" s="35">
        <f t="shared" si="39"/>
        <v>137293.95000000001</v>
      </c>
      <c r="I2466" s="35"/>
      <c r="K2466" t="s">
        <v>15</v>
      </c>
    </row>
    <row r="2467" spans="2:11" ht="16.5" x14ac:dyDescent="0.2">
      <c r="B2467" s="33" t="s">
        <v>3355</v>
      </c>
      <c r="C2467" s="33" t="s">
        <v>650</v>
      </c>
      <c r="D2467" s="35">
        <f>SUMIFS(D2468:D9015,K2468:K9015,"0",B2468:B9015,"5 1 1 1 3 12 31111 6 M59 64000 000132 0000R*")-SUMIFS(E2468:E9015,K2468:K9015,"0",B2468:B9015,"5 1 1 1 3 12 31111 6 M59 64000 000132 0000R*")</f>
        <v>0</v>
      </c>
      <c r="E2467"/>
      <c r="F2467" s="35">
        <f>SUMIFS(F2468:F9015,K2468:K9015,"0",B2468:B9015,"5 1 1 1 3 12 31111 6 M59 64000 000132 0000R*")</f>
        <v>137293.95000000001</v>
      </c>
      <c r="G2467" s="35">
        <f>SUMIFS(G2468:G9015,K2468:K9015,"0",B2468:B9015,"5 1 1 1 3 12 31111 6 M59 64000 000132 0000R*")</f>
        <v>0</v>
      </c>
      <c r="H2467" s="35">
        <f t="shared" si="39"/>
        <v>137293.95000000001</v>
      </c>
      <c r="I2467" s="35"/>
      <c r="K2467" t="s">
        <v>15</v>
      </c>
    </row>
    <row r="2468" spans="2:11" ht="24.75" x14ac:dyDescent="0.2">
      <c r="B2468" s="33" t="s">
        <v>3356</v>
      </c>
      <c r="C2468" s="33" t="s">
        <v>282</v>
      </c>
      <c r="D2468" s="35">
        <f>SUMIFS(D2469:D9015,K2469:K9015,"0",B2469:B9015,"5 1 1 1 3 12 31111 6 M59 64000 000132 0000R 00001*")-SUMIFS(E2469:E9015,K2469:K9015,"0",B2469:B9015,"5 1 1 1 3 12 31111 6 M59 64000 000132 0000R 00001*")</f>
        <v>0</v>
      </c>
      <c r="E2468"/>
      <c r="F2468" s="35">
        <f>SUMIFS(F2469:F9015,K2469:K9015,"0",B2469:B9015,"5 1 1 1 3 12 31111 6 M59 64000 000132 0000R 00001*")</f>
        <v>137293.95000000001</v>
      </c>
      <c r="G2468" s="35">
        <f>SUMIFS(G2469:G9015,K2469:K9015,"0",B2469:B9015,"5 1 1 1 3 12 31111 6 M59 64000 000132 0000R 00001*")</f>
        <v>0</v>
      </c>
      <c r="H2468" s="35">
        <f t="shared" si="39"/>
        <v>137293.95000000001</v>
      </c>
      <c r="I2468" s="35"/>
      <c r="K2468" t="s">
        <v>15</v>
      </c>
    </row>
    <row r="2469" spans="2:11" ht="24.75" x14ac:dyDescent="0.2">
      <c r="B2469" s="33" t="s">
        <v>3357</v>
      </c>
      <c r="C2469" s="33" t="s">
        <v>2924</v>
      </c>
      <c r="D2469" s="35">
        <f>SUMIFS(D2470:D9015,K2470:K9015,"0",B2470:B9015,"5 1 1 1 3 12 31111 6 M59 64000 000132 0000R 00001 00113*")-SUMIFS(E2470:E9015,K2470:K9015,"0",B2470:B9015,"5 1 1 1 3 12 31111 6 M59 64000 000132 0000R 00001 00113*")</f>
        <v>0</v>
      </c>
      <c r="E2469"/>
      <c r="F2469" s="35">
        <f>SUMIFS(F2470:F9015,K2470:K9015,"0",B2470:B9015,"5 1 1 1 3 12 31111 6 M59 64000 000132 0000R 00001 00113*")</f>
        <v>137293.95000000001</v>
      </c>
      <c r="G2469" s="35">
        <f>SUMIFS(G2470:G9015,K2470:K9015,"0",B2470:B9015,"5 1 1 1 3 12 31111 6 M59 64000 000132 0000R 00001 00113*")</f>
        <v>0</v>
      </c>
      <c r="H2469" s="35">
        <f t="shared" si="39"/>
        <v>137293.95000000001</v>
      </c>
      <c r="I2469" s="35"/>
      <c r="K2469" t="s">
        <v>15</v>
      </c>
    </row>
    <row r="2470" spans="2:11" ht="24.75" x14ac:dyDescent="0.2">
      <c r="B2470" s="33" t="s">
        <v>3358</v>
      </c>
      <c r="C2470" s="33" t="s">
        <v>1051</v>
      </c>
      <c r="D2470" s="35">
        <f>SUMIFS(D2471:D9015,K2471:K9015,"0",B2471:B9015,"5 1 1 1 3 12 31111 6 M59 64000 000132 0000R 00001 00113 015*")-SUMIFS(E2471:E9015,K2471:K9015,"0",B2471:B9015,"5 1 1 1 3 12 31111 6 M59 64000 000132 0000R 00001 00113 015*")</f>
        <v>0</v>
      </c>
      <c r="E2470"/>
      <c r="F2470" s="35">
        <f>SUMIFS(F2471:F9015,K2471:K9015,"0",B2471:B9015,"5 1 1 1 3 12 31111 6 M59 64000 000132 0000R 00001 00113 015*")</f>
        <v>137293.95000000001</v>
      </c>
      <c r="G2470" s="35">
        <f>SUMIFS(G2471:G9015,K2471:K9015,"0",B2471:B9015,"5 1 1 1 3 12 31111 6 M59 64000 000132 0000R 00001 00113 015*")</f>
        <v>0</v>
      </c>
      <c r="H2470" s="35">
        <f t="shared" si="39"/>
        <v>137293.95000000001</v>
      </c>
      <c r="I2470" s="35"/>
      <c r="K2470" t="s">
        <v>15</v>
      </c>
    </row>
    <row r="2471" spans="2:11" ht="33" x14ac:dyDescent="0.2">
      <c r="B2471" s="33" t="s">
        <v>3359</v>
      </c>
      <c r="C2471" s="33" t="s">
        <v>2927</v>
      </c>
      <c r="D2471" s="35">
        <f>SUMIFS(D2472:D9015,K2472:K9015,"0",B2472:B9015,"5 1 1 1 3 12 31111 6 M59 64000 000132 0000R 00001 00113 015 2111100*")-SUMIFS(E2472:E9015,K2472:K9015,"0",B2472:B9015,"5 1 1 1 3 12 31111 6 M59 64000 000132 0000R 00001 00113 015 2111100*")</f>
        <v>0</v>
      </c>
      <c r="E2471"/>
      <c r="F2471" s="35">
        <f>SUMIFS(F2472:F9015,K2472:K9015,"0",B2472:B9015,"5 1 1 1 3 12 31111 6 M59 64000 000132 0000R 00001 00113 015 2111100*")</f>
        <v>137293.95000000001</v>
      </c>
      <c r="G2471" s="35">
        <f>SUMIFS(G2472:G9015,K2472:K9015,"0",B2472:B9015,"5 1 1 1 3 12 31111 6 M59 64000 000132 0000R 00001 00113 015 2111100*")</f>
        <v>0</v>
      </c>
      <c r="H2471" s="35">
        <f t="shared" si="39"/>
        <v>137293.95000000001</v>
      </c>
      <c r="I2471" s="35"/>
      <c r="K2471" t="s">
        <v>15</v>
      </c>
    </row>
    <row r="2472" spans="2:11" ht="33" x14ac:dyDescent="0.2">
      <c r="B2472" s="33" t="s">
        <v>3360</v>
      </c>
      <c r="C2472" s="33" t="s">
        <v>660</v>
      </c>
      <c r="D2472" s="35">
        <f>SUMIFS(D2473:D9015,K2473:K9015,"0",B2473:B9015,"5 1 1 1 3 12 31111 6 M59 64000 000132 0000R 00001 00113 015 2111100 2024*")-SUMIFS(E2473:E9015,K2473:K9015,"0",B2473:B9015,"5 1 1 1 3 12 31111 6 M59 64000 000132 0000R 00001 00113 015 2111100 2024*")</f>
        <v>0</v>
      </c>
      <c r="E2472"/>
      <c r="F2472" s="35">
        <f>SUMIFS(F2473:F9015,K2473:K9015,"0",B2473:B9015,"5 1 1 1 3 12 31111 6 M59 64000 000132 0000R 00001 00113 015 2111100 2024*")</f>
        <v>137293.95000000001</v>
      </c>
      <c r="G2472" s="35">
        <f>SUMIFS(G2473:G9015,K2473:K9015,"0",B2473:B9015,"5 1 1 1 3 12 31111 6 M59 64000 000132 0000R 00001 00113 015 2111100 2024*")</f>
        <v>0</v>
      </c>
      <c r="H2472" s="35">
        <f t="shared" si="39"/>
        <v>137293.95000000001</v>
      </c>
      <c r="I2472" s="35"/>
      <c r="K2472" t="s">
        <v>15</v>
      </c>
    </row>
    <row r="2473" spans="2:11" ht="41.25" x14ac:dyDescent="0.2">
      <c r="B2473" s="33" t="s">
        <v>3361</v>
      </c>
      <c r="C2473" s="33" t="s">
        <v>1056</v>
      </c>
      <c r="D2473" s="35">
        <f>SUMIFS(D2474:D9015,K2474:K9015,"0",B2474:B9015,"5 1 1 1 3 12 31111 6 M59 64000 000132 0000R 00001 00113 015 2111100 2024 CP1IG433*")-SUMIFS(E2474:E9015,K2474:K9015,"0",B2474:B9015,"5 1 1 1 3 12 31111 6 M59 64000 000132 0000R 00001 00113 015 2111100 2024 CP1IG433*")</f>
        <v>0</v>
      </c>
      <c r="E2473"/>
      <c r="F2473" s="35">
        <f>SUMIFS(F2474:F9015,K2474:K9015,"0",B2474:B9015,"5 1 1 1 3 12 31111 6 M59 64000 000132 0000R 00001 00113 015 2111100 2024 CP1IG433*")</f>
        <v>137293.95000000001</v>
      </c>
      <c r="G2473" s="35">
        <f>SUMIFS(G2474:G9015,K2474:K9015,"0",B2474:B9015,"5 1 1 1 3 12 31111 6 M59 64000 000132 0000R 00001 00113 015 2111100 2024 CP1IG433*")</f>
        <v>0</v>
      </c>
      <c r="H2473" s="35">
        <f t="shared" si="39"/>
        <v>137293.95000000001</v>
      </c>
      <c r="I2473" s="35"/>
      <c r="K2473" t="s">
        <v>15</v>
      </c>
    </row>
    <row r="2474" spans="2:11" ht="41.25" x14ac:dyDescent="0.2">
      <c r="B2474" s="33" t="s">
        <v>3362</v>
      </c>
      <c r="C2474" s="33" t="s">
        <v>282</v>
      </c>
      <c r="D2474" s="35">
        <f>SUMIFS(D2475:D9015,K2475:K9015,"0",B2475:B9015,"5 1 1 1 3 12 31111 6 M59 64000 000132 0000R 00001 00113 015 2111100 2024 CP1IG433 001*")-SUMIFS(E2475:E9015,K2475:K9015,"0",B2475:B9015,"5 1 1 1 3 12 31111 6 M59 64000 000132 0000R 00001 00113 015 2111100 2024 CP1IG433 001*")</f>
        <v>0</v>
      </c>
      <c r="E2474"/>
      <c r="F2474" s="35">
        <f>SUMIFS(F2475:F9015,K2475:K9015,"0",B2475:B9015,"5 1 1 1 3 12 31111 6 M59 64000 000132 0000R 00001 00113 015 2111100 2024 CP1IG433 001*")</f>
        <v>137293.95000000001</v>
      </c>
      <c r="G2474" s="35">
        <f>SUMIFS(G2475:G9015,K2475:K9015,"0",B2475:B9015,"5 1 1 1 3 12 31111 6 M59 64000 000132 0000R 00001 00113 015 2111100 2024 CP1IG433 001*")</f>
        <v>0</v>
      </c>
      <c r="H2474" s="35">
        <f t="shared" si="39"/>
        <v>137293.95000000001</v>
      </c>
      <c r="I2474" s="35"/>
      <c r="K2474" t="s">
        <v>15</v>
      </c>
    </row>
    <row r="2475" spans="2:11" ht="41.25" x14ac:dyDescent="0.2">
      <c r="B2475" s="31" t="s">
        <v>3363</v>
      </c>
      <c r="C2475" s="31" t="s">
        <v>2932</v>
      </c>
      <c r="D2475" s="34">
        <v>0</v>
      </c>
      <c r="E2475" s="34"/>
      <c r="F2475" s="34">
        <v>137293.95000000001</v>
      </c>
      <c r="G2475" s="34">
        <v>0</v>
      </c>
      <c r="H2475" s="34">
        <f t="shared" si="39"/>
        <v>137293.95000000001</v>
      </c>
      <c r="I2475" s="34"/>
      <c r="K2475" t="s">
        <v>38</v>
      </c>
    </row>
    <row r="2476" spans="2:11" ht="24.75" x14ac:dyDescent="0.2">
      <c r="B2476" s="33" t="s">
        <v>3364</v>
      </c>
      <c r="C2476" s="33" t="s">
        <v>3365</v>
      </c>
      <c r="D2476" s="35">
        <f>SUMIFS(D2477:D9015,K2477:K9015,"0",B2477:B9015,"5 1 1 1 3 12 31111 6 M59 65000*")-SUMIFS(E2477:E9015,K2477:K9015,"0",B2477:B9015,"5 1 1 1 3 12 31111 6 M59 65000*")</f>
        <v>0</v>
      </c>
      <c r="E2476"/>
      <c r="F2476" s="35">
        <f>SUMIFS(F2477:F9015,K2477:K9015,"0",B2477:B9015,"5 1 1 1 3 12 31111 6 M59 65000*")</f>
        <v>156101.34</v>
      </c>
      <c r="G2476" s="35">
        <f>SUMIFS(G2477:G9015,K2477:K9015,"0",B2477:B9015,"5 1 1 1 3 12 31111 6 M59 65000*")</f>
        <v>0</v>
      </c>
      <c r="H2476" s="35">
        <f t="shared" si="39"/>
        <v>156101.34</v>
      </c>
      <c r="I2476" s="35"/>
      <c r="K2476" t="s">
        <v>15</v>
      </c>
    </row>
    <row r="2477" spans="2:11" ht="16.5" x14ac:dyDescent="0.2">
      <c r="B2477" s="33" t="s">
        <v>3366</v>
      </c>
      <c r="C2477" s="33" t="s">
        <v>648</v>
      </c>
      <c r="D2477" s="35">
        <f>SUMIFS(D2478:D9015,K2478:K9015,"0",B2478:B9015,"5 1 1 1 3 12 31111 6 M59 65000 000132*")-SUMIFS(E2478:E9015,K2478:K9015,"0",B2478:B9015,"5 1 1 1 3 12 31111 6 M59 65000 000132*")</f>
        <v>0</v>
      </c>
      <c r="E2477"/>
      <c r="F2477" s="35">
        <f>SUMIFS(F2478:F9015,K2478:K9015,"0",B2478:B9015,"5 1 1 1 3 12 31111 6 M59 65000 000132*")</f>
        <v>156101.34</v>
      </c>
      <c r="G2477" s="35">
        <f>SUMIFS(G2478:G9015,K2478:K9015,"0",B2478:B9015,"5 1 1 1 3 12 31111 6 M59 65000 000132*")</f>
        <v>0</v>
      </c>
      <c r="H2477" s="35">
        <f t="shared" si="39"/>
        <v>156101.34</v>
      </c>
      <c r="I2477" s="35"/>
      <c r="K2477" t="s">
        <v>15</v>
      </c>
    </row>
    <row r="2478" spans="2:11" ht="16.5" x14ac:dyDescent="0.2">
      <c r="B2478" s="33" t="s">
        <v>3367</v>
      </c>
      <c r="C2478" s="33" t="s">
        <v>650</v>
      </c>
      <c r="D2478" s="35">
        <f>SUMIFS(D2479:D9015,K2479:K9015,"0",B2479:B9015,"5 1 1 1 3 12 31111 6 M59 65000 000132 0000R*")-SUMIFS(E2479:E9015,K2479:K9015,"0",B2479:B9015,"5 1 1 1 3 12 31111 6 M59 65000 000132 0000R*")</f>
        <v>0</v>
      </c>
      <c r="E2478"/>
      <c r="F2478" s="35">
        <f>SUMIFS(F2479:F9015,K2479:K9015,"0",B2479:B9015,"5 1 1 1 3 12 31111 6 M59 65000 000132 0000R*")</f>
        <v>156101.34</v>
      </c>
      <c r="G2478" s="35">
        <f>SUMIFS(G2479:G9015,K2479:K9015,"0",B2479:B9015,"5 1 1 1 3 12 31111 6 M59 65000 000132 0000R*")</f>
        <v>0</v>
      </c>
      <c r="H2478" s="35">
        <f t="shared" si="39"/>
        <v>156101.34</v>
      </c>
      <c r="I2478" s="35"/>
      <c r="K2478" t="s">
        <v>15</v>
      </c>
    </row>
    <row r="2479" spans="2:11" ht="24.75" x14ac:dyDescent="0.2">
      <c r="B2479" s="33" t="s">
        <v>3368</v>
      </c>
      <c r="C2479" s="33" t="s">
        <v>282</v>
      </c>
      <c r="D2479" s="35">
        <f>SUMIFS(D2480:D9015,K2480:K9015,"0",B2480:B9015,"5 1 1 1 3 12 31111 6 M59 65000 000132 0000R 00001*")-SUMIFS(E2480:E9015,K2480:K9015,"0",B2480:B9015,"5 1 1 1 3 12 31111 6 M59 65000 000132 0000R 00001*")</f>
        <v>0</v>
      </c>
      <c r="E2479"/>
      <c r="F2479" s="35">
        <f>SUMIFS(F2480:F9015,K2480:K9015,"0",B2480:B9015,"5 1 1 1 3 12 31111 6 M59 65000 000132 0000R 00001*")</f>
        <v>156101.34</v>
      </c>
      <c r="G2479" s="35">
        <f>SUMIFS(G2480:G9015,K2480:K9015,"0",B2480:B9015,"5 1 1 1 3 12 31111 6 M59 65000 000132 0000R 00001*")</f>
        <v>0</v>
      </c>
      <c r="H2479" s="35">
        <f t="shared" si="39"/>
        <v>156101.34</v>
      </c>
      <c r="I2479" s="35"/>
      <c r="K2479" t="s">
        <v>15</v>
      </c>
    </row>
    <row r="2480" spans="2:11" ht="24.75" x14ac:dyDescent="0.2">
      <c r="B2480" s="33" t="s">
        <v>3369</v>
      </c>
      <c r="C2480" s="33" t="s">
        <v>2924</v>
      </c>
      <c r="D2480" s="35">
        <f>SUMIFS(D2481:D9015,K2481:K9015,"0",B2481:B9015,"5 1 1 1 3 12 31111 6 M59 65000 000132 0000R 00001 00113*")-SUMIFS(E2481:E9015,K2481:K9015,"0",B2481:B9015,"5 1 1 1 3 12 31111 6 M59 65000 000132 0000R 00001 00113*")</f>
        <v>0</v>
      </c>
      <c r="E2480"/>
      <c r="F2480" s="35">
        <f>SUMIFS(F2481:F9015,K2481:K9015,"0",B2481:B9015,"5 1 1 1 3 12 31111 6 M59 65000 000132 0000R 00001 00113*")</f>
        <v>156101.34</v>
      </c>
      <c r="G2480" s="35">
        <f>SUMIFS(G2481:G9015,K2481:K9015,"0",B2481:B9015,"5 1 1 1 3 12 31111 6 M59 65000 000132 0000R 00001 00113*")</f>
        <v>0</v>
      </c>
      <c r="H2480" s="35">
        <f t="shared" si="39"/>
        <v>156101.34</v>
      </c>
      <c r="I2480" s="35"/>
      <c r="K2480" t="s">
        <v>15</v>
      </c>
    </row>
    <row r="2481" spans="2:11" ht="24.75" x14ac:dyDescent="0.2">
      <c r="B2481" s="33" t="s">
        <v>3370</v>
      </c>
      <c r="C2481" s="33" t="s">
        <v>1051</v>
      </c>
      <c r="D2481" s="35">
        <f>SUMIFS(D2482:D9015,K2482:K9015,"0",B2482:B9015,"5 1 1 1 3 12 31111 6 M59 65000 000132 0000R 00001 00113 015*")-SUMIFS(E2482:E9015,K2482:K9015,"0",B2482:B9015,"5 1 1 1 3 12 31111 6 M59 65000 000132 0000R 00001 00113 015*")</f>
        <v>0</v>
      </c>
      <c r="E2481"/>
      <c r="F2481" s="35">
        <f>SUMIFS(F2482:F9015,K2482:K9015,"0",B2482:B9015,"5 1 1 1 3 12 31111 6 M59 65000 000132 0000R 00001 00113 015*")</f>
        <v>156101.34</v>
      </c>
      <c r="G2481" s="35">
        <f>SUMIFS(G2482:G9015,K2482:K9015,"0",B2482:B9015,"5 1 1 1 3 12 31111 6 M59 65000 000132 0000R 00001 00113 015*")</f>
        <v>0</v>
      </c>
      <c r="H2481" s="35">
        <f t="shared" si="39"/>
        <v>156101.34</v>
      </c>
      <c r="I2481" s="35"/>
      <c r="K2481" t="s">
        <v>15</v>
      </c>
    </row>
    <row r="2482" spans="2:11" ht="33" x14ac:dyDescent="0.2">
      <c r="B2482" s="33" t="s">
        <v>3371</v>
      </c>
      <c r="C2482" s="33" t="s">
        <v>2927</v>
      </c>
      <c r="D2482" s="35">
        <f>SUMIFS(D2483:D9015,K2483:K9015,"0",B2483:B9015,"5 1 1 1 3 12 31111 6 M59 65000 000132 0000R 00001 00113 015 2111100*")-SUMIFS(E2483:E9015,K2483:K9015,"0",B2483:B9015,"5 1 1 1 3 12 31111 6 M59 65000 000132 0000R 00001 00113 015 2111100*")</f>
        <v>0</v>
      </c>
      <c r="E2482"/>
      <c r="F2482" s="35">
        <f>SUMIFS(F2483:F9015,K2483:K9015,"0",B2483:B9015,"5 1 1 1 3 12 31111 6 M59 65000 000132 0000R 00001 00113 015 2111100*")</f>
        <v>156101.34</v>
      </c>
      <c r="G2482" s="35">
        <f>SUMIFS(G2483:G9015,K2483:K9015,"0",B2483:B9015,"5 1 1 1 3 12 31111 6 M59 65000 000132 0000R 00001 00113 015 2111100*")</f>
        <v>0</v>
      </c>
      <c r="H2482" s="35">
        <f t="shared" si="39"/>
        <v>156101.34</v>
      </c>
      <c r="I2482" s="35"/>
      <c r="K2482" t="s">
        <v>15</v>
      </c>
    </row>
    <row r="2483" spans="2:11" ht="33" x14ac:dyDescent="0.2">
      <c r="B2483" s="33" t="s">
        <v>3372</v>
      </c>
      <c r="C2483" s="33" t="s">
        <v>660</v>
      </c>
      <c r="D2483" s="35">
        <f>SUMIFS(D2484:D9015,K2484:K9015,"0",B2484:B9015,"5 1 1 1 3 12 31111 6 M59 65000 000132 0000R 00001 00113 015 2111100 2024*")-SUMIFS(E2484:E9015,K2484:K9015,"0",B2484:B9015,"5 1 1 1 3 12 31111 6 M59 65000 000132 0000R 00001 00113 015 2111100 2024*")</f>
        <v>0</v>
      </c>
      <c r="E2483"/>
      <c r="F2483" s="35">
        <f>SUMIFS(F2484:F9015,K2484:K9015,"0",B2484:B9015,"5 1 1 1 3 12 31111 6 M59 65000 000132 0000R 00001 00113 015 2111100 2024*")</f>
        <v>156101.34</v>
      </c>
      <c r="G2483" s="35">
        <f>SUMIFS(G2484:G9015,K2484:K9015,"0",B2484:B9015,"5 1 1 1 3 12 31111 6 M59 65000 000132 0000R 00001 00113 015 2111100 2024*")</f>
        <v>0</v>
      </c>
      <c r="H2483" s="35">
        <f t="shared" si="39"/>
        <v>156101.34</v>
      </c>
      <c r="I2483" s="35"/>
      <c r="K2483" t="s">
        <v>15</v>
      </c>
    </row>
    <row r="2484" spans="2:11" ht="41.25" x14ac:dyDescent="0.2">
      <c r="B2484" s="33" t="s">
        <v>3373</v>
      </c>
      <c r="C2484" s="33" t="s">
        <v>1056</v>
      </c>
      <c r="D2484" s="35">
        <f>SUMIFS(D2485:D9015,K2485:K9015,"0",B2485:B9015,"5 1 1 1 3 12 31111 6 M59 65000 000132 0000R 00001 00113 015 2111100 2024 CP1EV381*")-SUMIFS(E2485:E9015,K2485:K9015,"0",B2485:B9015,"5 1 1 1 3 12 31111 6 M59 65000 000132 0000R 00001 00113 015 2111100 2024 CP1EV381*")</f>
        <v>0</v>
      </c>
      <c r="E2484"/>
      <c r="F2484" s="35">
        <f>SUMIFS(F2485:F9015,K2485:K9015,"0",B2485:B9015,"5 1 1 1 3 12 31111 6 M59 65000 000132 0000R 00001 00113 015 2111100 2024 CP1EV381*")</f>
        <v>156101.34</v>
      </c>
      <c r="G2484" s="35">
        <f>SUMIFS(G2485:G9015,K2485:K9015,"0",B2485:B9015,"5 1 1 1 3 12 31111 6 M59 65000 000132 0000R 00001 00113 015 2111100 2024 CP1EV381*")</f>
        <v>0</v>
      </c>
      <c r="H2484" s="35">
        <f t="shared" si="39"/>
        <v>156101.34</v>
      </c>
      <c r="I2484" s="35"/>
      <c r="K2484" t="s">
        <v>15</v>
      </c>
    </row>
    <row r="2485" spans="2:11" ht="41.25" x14ac:dyDescent="0.2">
      <c r="B2485" s="33" t="s">
        <v>3374</v>
      </c>
      <c r="C2485" s="33" t="s">
        <v>282</v>
      </c>
      <c r="D2485" s="35">
        <f>SUMIFS(D2486:D9015,K2486:K9015,"0",B2486:B9015,"5 1 1 1 3 12 31111 6 M59 65000 000132 0000R 00001 00113 015 2111100 2024 CP1EV381 001*")-SUMIFS(E2486:E9015,K2486:K9015,"0",B2486:B9015,"5 1 1 1 3 12 31111 6 M59 65000 000132 0000R 00001 00113 015 2111100 2024 CP1EV381 001*")</f>
        <v>0</v>
      </c>
      <c r="E2485"/>
      <c r="F2485" s="35">
        <f>SUMIFS(F2486:F9015,K2486:K9015,"0",B2486:B9015,"5 1 1 1 3 12 31111 6 M59 65000 000132 0000R 00001 00113 015 2111100 2024 CP1EV381 001*")</f>
        <v>156101.34</v>
      </c>
      <c r="G2485" s="35">
        <f>SUMIFS(G2486:G9015,K2486:K9015,"0",B2486:B9015,"5 1 1 1 3 12 31111 6 M59 65000 000132 0000R 00001 00113 015 2111100 2024 CP1EV381 001*")</f>
        <v>0</v>
      </c>
      <c r="H2485" s="35">
        <f t="shared" si="39"/>
        <v>156101.34</v>
      </c>
      <c r="I2485" s="35"/>
      <c r="K2485" t="s">
        <v>15</v>
      </c>
    </row>
    <row r="2486" spans="2:11" ht="33" x14ac:dyDescent="0.2">
      <c r="B2486" s="31" t="s">
        <v>3375</v>
      </c>
      <c r="C2486" s="31" t="s">
        <v>2932</v>
      </c>
      <c r="D2486" s="34">
        <v>0</v>
      </c>
      <c r="E2486" s="34"/>
      <c r="F2486" s="34">
        <v>156101.34</v>
      </c>
      <c r="G2486" s="34">
        <v>0</v>
      </c>
      <c r="H2486" s="34">
        <f t="shared" si="39"/>
        <v>156101.34</v>
      </c>
      <c r="I2486" s="34"/>
      <c r="K2486" t="s">
        <v>38</v>
      </c>
    </row>
    <row r="2487" spans="2:11" ht="16.5" x14ac:dyDescent="0.2">
      <c r="B2487" s="33" t="s">
        <v>3376</v>
      </c>
      <c r="C2487" s="33" t="s">
        <v>3377</v>
      </c>
      <c r="D2487" s="35">
        <f>SUMIFS(D2488:D9015,K2488:K9015,"0",B2488:B9015,"5 1 1 1 3 12 31111 6 M59 70000*")-SUMIFS(E2488:E9015,K2488:K9015,"0",B2488:B9015,"5 1 1 1 3 12 31111 6 M59 70000*")</f>
        <v>0</v>
      </c>
      <c r="E2487"/>
      <c r="F2487" s="35">
        <f>SUMIFS(F2488:F9015,K2488:K9015,"0",B2488:B9015,"5 1 1 1 3 12 31111 6 M59 70000*")</f>
        <v>81643.02</v>
      </c>
      <c r="G2487" s="35">
        <f>SUMIFS(G2488:G9015,K2488:K9015,"0",B2488:B9015,"5 1 1 1 3 12 31111 6 M59 70000*")</f>
        <v>0</v>
      </c>
      <c r="H2487" s="35">
        <f t="shared" si="39"/>
        <v>81643.02</v>
      </c>
      <c r="I2487" s="35"/>
      <c r="K2487" t="s">
        <v>15</v>
      </c>
    </row>
    <row r="2488" spans="2:11" ht="16.5" x14ac:dyDescent="0.2">
      <c r="B2488" s="33" t="s">
        <v>3378</v>
      </c>
      <c r="C2488" s="33" t="s">
        <v>648</v>
      </c>
      <c r="D2488" s="35">
        <f>SUMIFS(D2489:D9015,K2489:K9015,"0",B2489:B9015,"5 1 1 1 3 12 31111 6 M59 70000 000132*")-SUMIFS(E2489:E9015,K2489:K9015,"0",B2489:B9015,"5 1 1 1 3 12 31111 6 M59 70000 000132*")</f>
        <v>0</v>
      </c>
      <c r="E2488"/>
      <c r="F2488" s="35">
        <f>SUMIFS(F2489:F9015,K2489:K9015,"0",B2489:B9015,"5 1 1 1 3 12 31111 6 M59 70000 000132*")</f>
        <v>81643.02</v>
      </c>
      <c r="G2488" s="35">
        <f>SUMIFS(G2489:G9015,K2489:K9015,"0",B2489:B9015,"5 1 1 1 3 12 31111 6 M59 70000 000132*")</f>
        <v>0</v>
      </c>
      <c r="H2488" s="35">
        <f t="shared" si="39"/>
        <v>81643.02</v>
      </c>
      <c r="I2488" s="35"/>
      <c r="K2488" t="s">
        <v>15</v>
      </c>
    </row>
    <row r="2489" spans="2:11" ht="16.5" x14ac:dyDescent="0.2">
      <c r="B2489" s="33" t="s">
        <v>3379</v>
      </c>
      <c r="C2489" s="33" t="s">
        <v>650</v>
      </c>
      <c r="D2489" s="35">
        <f>SUMIFS(D2490:D9015,K2490:K9015,"0",B2490:B9015,"5 1 1 1 3 12 31111 6 M59 70000 000132 0000R*")-SUMIFS(E2490:E9015,K2490:K9015,"0",B2490:B9015,"5 1 1 1 3 12 31111 6 M59 70000 000132 0000R*")</f>
        <v>0</v>
      </c>
      <c r="E2489"/>
      <c r="F2489" s="35">
        <f>SUMIFS(F2490:F9015,K2490:K9015,"0",B2490:B9015,"5 1 1 1 3 12 31111 6 M59 70000 000132 0000R*")</f>
        <v>81643.02</v>
      </c>
      <c r="G2489" s="35">
        <f>SUMIFS(G2490:G9015,K2490:K9015,"0",B2490:B9015,"5 1 1 1 3 12 31111 6 M59 70000 000132 0000R*")</f>
        <v>0</v>
      </c>
      <c r="H2489" s="35">
        <f t="shared" si="39"/>
        <v>81643.02</v>
      </c>
      <c r="I2489" s="35"/>
      <c r="K2489" t="s">
        <v>15</v>
      </c>
    </row>
    <row r="2490" spans="2:11" ht="24.75" x14ac:dyDescent="0.2">
      <c r="B2490" s="33" t="s">
        <v>3380</v>
      </c>
      <c r="C2490" s="33" t="s">
        <v>282</v>
      </c>
      <c r="D2490" s="35">
        <f>SUMIFS(D2491:D9015,K2491:K9015,"0",B2491:B9015,"5 1 1 1 3 12 31111 6 M59 70000 000132 0000R 00001*")-SUMIFS(E2491:E9015,K2491:K9015,"0",B2491:B9015,"5 1 1 1 3 12 31111 6 M59 70000 000132 0000R 00001*")</f>
        <v>0</v>
      </c>
      <c r="E2490"/>
      <c r="F2490" s="35">
        <f>SUMIFS(F2491:F9015,K2491:K9015,"0",B2491:B9015,"5 1 1 1 3 12 31111 6 M59 70000 000132 0000R 00001*")</f>
        <v>81643.02</v>
      </c>
      <c r="G2490" s="35">
        <f>SUMIFS(G2491:G9015,K2491:K9015,"0",B2491:B9015,"5 1 1 1 3 12 31111 6 M59 70000 000132 0000R 00001*")</f>
        <v>0</v>
      </c>
      <c r="H2490" s="35">
        <f t="shared" si="39"/>
        <v>81643.02</v>
      </c>
      <c r="I2490" s="35"/>
      <c r="K2490" t="s">
        <v>15</v>
      </c>
    </row>
    <row r="2491" spans="2:11" ht="24.75" x14ac:dyDescent="0.2">
      <c r="B2491" s="33" t="s">
        <v>3381</v>
      </c>
      <c r="C2491" s="33" t="s">
        <v>2924</v>
      </c>
      <c r="D2491" s="35">
        <f>SUMIFS(D2492:D9015,K2492:K9015,"0",B2492:B9015,"5 1 1 1 3 12 31111 6 M59 70000 000132 0000R 00001 00113*")-SUMIFS(E2492:E9015,K2492:K9015,"0",B2492:B9015,"5 1 1 1 3 12 31111 6 M59 70000 000132 0000R 00001 00113*")</f>
        <v>0</v>
      </c>
      <c r="E2491"/>
      <c r="F2491" s="35">
        <f>SUMIFS(F2492:F9015,K2492:K9015,"0",B2492:B9015,"5 1 1 1 3 12 31111 6 M59 70000 000132 0000R 00001 00113*")</f>
        <v>81643.02</v>
      </c>
      <c r="G2491" s="35">
        <f>SUMIFS(G2492:G9015,K2492:K9015,"0",B2492:B9015,"5 1 1 1 3 12 31111 6 M59 70000 000132 0000R 00001 00113*")</f>
        <v>0</v>
      </c>
      <c r="H2491" s="35">
        <f t="shared" si="39"/>
        <v>81643.02</v>
      </c>
      <c r="I2491" s="35"/>
      <c r="K2491" t="s">
        <v>15</v>
      </c>
    </row>
    <row r="2492" spans="2:11" ht="24.75" x14ac:dyDescent="0.2">
      <c r="B2492" s="33" t="s">
        <v>3382</v>
      </c>
      <c r="C2492" s="33" t="s">
        <v>1051</v>
      </c>
      <c r="D2492" s="35">
        <f>SUMIFS(D2493:D9015,K2493:K9015,"0",B2493:B9015,"5 1 1 1 3 12 31111 6 M59 70000 000132 0000R 00001 00113 015*")-SUMIFS(E2493:E9015,K2493:K9015,"0",B2493:B9015,"5 1 1 1 3 12 31111 6 M59 70000 000132 0000R 00001 00113 015*")</f>
        <v>0</v>
      </c>
      <c r="E2492"/>
      <c r="F2492" s="35">
        <f>SUMIFS(F2493:F9015,K2493:K9015,"0",B2493:B9015,"5 1 1 1 3 12 31111 6 M59 70000 000132 0000R 00001 00113 015*")</f>
        <v>81643.02</v>
      </c>
      <c r="G2492" s="35">
        <f>SUMIFS(G2493:G9015,K2493:K9015,"0",B2493:B9015,"5 1 1 1 3 12 31111 6 M59 70000 000132 0000R 00001 00113 015*")</f>
        <v>0</v>
      </c>
      <c r="H2492" s="35">
        <f t="shared" si="39"/>
        <v>81643.02</v>
      </c>
      <c r="I2492" s="35"/>
      <c r="K2492" t="s">
        <v>15</v>
      </c>
    </row>
    <row r="2493" spans="2:11" ht="33" x14ac:dyDescent="0.2">
      <c r="B2493" s="33" t="s">
        <v>3383</v>
      </c>
      <c r="C2493" s="33" t="s">
        <v>2927</v>
      </c>
      <c r="D2493" s="35">
        <f>SUMIFS(D2494:D9015,K2494:K9015,"0",B2494:B9015,"5 1 1 1 3 12 31111 6 M59 70000 000132 0000R 00001 00113 015 2111100*")-SUMIFS(E2494:E9015,K2494:K9015,"0",B2494:B9015,"5 1 1 1 3 12 31111 6 M59 70000 000132 0000R 00001 00113 015 2111100*")</f>
        <v>0</v>
      </c>
      <c r="E2493"/>
      <c r="F2493" s="35">
        <f>SUMIFS(F2494:F9015,K2494:K9015,"0",B2494:B9015,"5 1 1 1 3 12 31111 6 M59 70000 000132 0000R 00001 00113 015 2111100*")</f>
        <v>81643.02</v>
      </c>
      <c r="G2493" s="35">
        <f>SUMIFS(G2494:G9015,K2494:K9015,"0",B2494:B9015,"5 1 1 1 3 12 31111 6 M59 70000 000132 0000R 00001 00113 015 2111100*")</f>
        <v>0</v>
      </c>
      <c r="H2493" s="35">
        <f t="shared" si="39"/>
        <v>81643.02</v>
      </c>
      <c r="I2493" s="35"/>
      <c r="K2493" t="s">
        <v>15</v>
      </c>
    </row>
    <row r="2494" spans="2:11" ht="33" x14ac:dyDescent="0.2">
      <c r="B2494" s="33" t="s">
        <v>3384</v>
      </c>
      <c r="C2494" s="33" t="s">
        <v>660</v>
      </c>
      <c r="D2494" s="35">
        <f>SUMIFS(D2495:D9015,K2495:K9015,"0",B2495:B9015,"5 1 1 1 3 12 31111 6 M59 70000 000132 0000R 00001 00113 015 2111100 2024*")-SUMIFS(E2495:E9015,K2495:K9015,"0",B2495:B9015,"5 1 1 1 3 12 31111 6 M59 70000 000132 0000R 00001 00113 015 2111100 2024*")</f>
        <v>0</v>
      </c>
      <c r="E2494"/>
      <c r="F2494" s="35">
        <f>SUMIFS(F2495:F9015,K2495:K9015,"0",B2495:B9015,"5 1 1 1 3 12 31111 6 M59 70000 000132 0000R 00001 00113 015 2111100 2024*")</f>
        <v>81643.02</v>
      </c>
      <c r="G2494" s="35">
        <f>SUMIFS(G2495:G9015,K2495:K9015,"0",B2495:B9015,"5 1 1 1 3 12 31111 6 M59 70000 000132 0000R 00001 00113 015 2111100 2024*")</f>
        <v>0</v>
      </c>
      <c r="H2494" s="35">
        <f t="shared" si="39"/>
        <v>81643.02</v>
      </c>
      <c r="I2494" s="35"/>
      <c r="K2494" t="s">
        <v>15</v>
      </c>
    </row>
    <row r="2495" spans="2:11" ht="41.25" x14ac:dyDescent="0.2">
      <c r="B2495" s="33" t="s">
        <v>3385</v>
      </c>
      <c r="C2495" s="33" t="s">
        <v>1056</v>
      </c>
      <c r="D2495" s="35">
        <f>SUMIFS(D2496:D9015,K2496:K9015,"0",B2496:B9015,"5 1 1 1 3 12 31111 6 M59 70000 000132 0000R 00001 00113 015 2111100 2024 CP1DS387*")-SUMIFS(E2496:E9015,K2496:K9015,"0",B2496:B9015,"5 1 1 1 3 12 31111 6 M59 70000 000132 0000R 00001 00113 015 2111100 2024 CP1DS387*")</f>
        <v>0</v>
      </c>
      <c r="E2495"/>
      <c r="F2495" s="35">
        <f>SUMIFS(F2496:F9015,K2496:K9015,"0",B2496:B9015,"5 1 1 1 3 12 31111 6 M59 70000 000132 0000R 00001 00113 015 2111100 2024 CP1DS387*")</f>
        <v>81643.02</v>
      </c>
      <c r="G2495" s="35">
        <f>SUMIFS(G2496:G9015,K2496:K9015,"0",B2496:B9015,"5 1 1 1 3 12 31111 6 M59 70000 000132 0000R 00001 00113 015 2111100 2024 CP1DS387*")</f>
        <v>0</v>
      </c>
      <c r="H2495" s="35">
        <f t="shared" si="39"/>
        <v>81643.02</v>
      </c>
      <c r="I2495" s="35"/>
      <c r="K2495" t="s">
        <v>15</v>
      </c>
    </row>
    <row r="2496" spans="2:11" ht="41.25" x14ac:dyDescent="0.2">
      <c r="B2496" s="33" t="s">
        <v>3386</v>
      </c>
      <c r="C2496" s="33" t="s">
        <v>282</v>
      </c>
      <c r="D2496" s="35">
        <f>SUMIFS(D2497:D9015,K2497:K9015,"0",B2497:B9015,"5 1 1 1 3 12 31111 6 M59 70000 000132 0000R 00001 00113 015 2111100 2024 CP1DS387 001*")-SUMIFS(E2497:E9015,K2497:K9015,"0",B2497:B9015,"5 1 1 1 3 12 31111 6 M59 70000 000132 0000R 00001 00113 015 2111100 2024 CP1DS387 001*")</f>
        <v>0</v>
      </c>
      <c r="E2496"/>
      <c r="F2496" s="35">
        <f>SUMIFS(F2497:F9015,K2497:K9015,"0",B2497:B9015,"5 1 1 1 3 12 31111 6 M59 70000 000132 0000R 00001 00113 015 2111100 2024 CP1DS387 001*")</f>
        <v>81643.02</v>
      </c>
      <c r="G2496" s="35">
        <f>SUMIFS(G2497:G9015,K2497:K9015,"0",B2497:B9015,"5 1 1 1 3 12 31111 6 M59 70000 000132 0000R 00001 00113 015 2111100 2024 CP1DS387 001*")</f>
        <v>0</v>
      </c>
      <c r="H2496" s="35">
        <f t="shared" si="39"/>
        <v>81643.02</v>
      </c>
      <c r="I2496" s="35"/>
      <c r="K2496" t="s">
        <v>15</v>
      </c>
    </row>
    <row r="2497" spans="2:11" ht="33" x14ac:dyDescent="0.2">
      <c r="B2497" s="31" t="s">
        <v>3387</v>
      </c>
      <c r="C2497" s="31" t="s">
        <v>2932</v>
      </c>
      <c r="D2497" s="34">
        <v>0</v>
      </c>
      <c r="E2497" s="34"/>
      <c r="F2497" s="34">
        <v>81643.02</v>
      </c>
      <c r="G2497" s="34">
        <v>0</v>
      </c>
      <c r="H2497" s="34">
        <f t="shared" si="39"/>
        <v>81643.02</v>
      </c>
      <c r="I2497" s="34"/>
      <c r="K2497" t="s">
        <v>38</v>
      </c>
    </row>
    <row r="2498" spans="2:11" ht="16.5" x14ac:dyDescent="0.2">
      <c r="B2498" s="33" t="s">
        <v>3388</v>
      </c>
      <c r="C2498" s="33" t="s">
        <v>3389</v>
      </c>
      <c r="D2498" s="35">
        <f>SUMIFS(D2499:D9015,K2499:K9015,"0",B2499:B9015,"5 1 1 1 3 12 31111 6 M59 70100*")-SUMIFS(E2499:E9015,K2499:K9015,"0",B2499:B9015,"5 1 1 1 3 12 31111 6 M59 70100*")</f>
        <v>0</v>
      </c>
      <c r="E2498"/>
      <c r="F2498" s="35">
        <f>SUMIFS(F2499:F9015,K2499:K9015,"0",B2499:B9015,"5 1 1 1 3 12 31111 6 M59 70100*")</f>
        <v>268766.27</v>
      </c>
      <c r="G2498" s="35">
        <f>SUMIFS(G2499:G9015,K2499:K9015,"0",B2499:B9015,"5 1 1 1 3 12 31111 6 M59 70100*")</f>
        <v>0</v>
      </c>
      <c r="H2498" s="35">
        <f t="shared" si="39"/>
        <v>268766.27</v>
      </c>
      <c r="I2498" s="35"/>
      <c r="K2498" t="s">
        <v>15</v>
      </c>
    </row>
    <row r="2499" spans="2:11" ht="16.5" x14ac:dyDescent="0.2">
      <c r="B2499" s="33" t="s">
        <v>3390</v>
      </c>
      <c r="C2499" s="33" t="s">
        <v>648</v>
      </c>
      <c r="D2499" s="35">
        <f>SUMIFS(D2500:D9015,K2500:K9015,"0",B2500:B9015,"5 1 1 1 3 12 31111 6 M59 70100 000132*")-SUMIFS(E2500:E9015,K2500:K9015,"0",B2500:B9015,"5 1 1 1 3 12 31111 6 M59 70100 000132*")</f>
        <v>0</v>
      </c>
      <c r="E2499"/>
      <c r="F2499" s="35">
        <f>SUMIFS(F2500:F9015,K2500:K9015,"0",B2500:B9015,"5 1 1 1 3 12 31111 6 M59 70100 000132*")</f>
        <v>268766.27</v>
      </c>
      <c r="G2499" s="35">
        <f>SUMIFS(G2500:G9015,K2500:K9015,"0",B2500:B9015,"5 1 1 1 3 12 31111 6 M59 70100 000132*")</f>
        <v>0</v>
      </c>
      <c r="H2499" s="35">
        <f t="shared" si="39"/>
        <v>268766.27</v>
      </c>
      <c r="I2499" s="35"/>
      <c r="K2499" t="s">
        <v>15</v>
      </c>
    </row>
    <row r="2500" spans="2:11" ht="16.5" x14ac:dyDescent="0.2">
      <c r="B2500" s="33" t="s">
        <v>3391</v>
      </c>
      <c r="C2500" s="33" t="s">
        <v>650</v>
      </c>
      <c r="D2500" s="35">
        <f>SUMIFS(D2501:D9015,K2501:K9015,"0",B2501:B9015,"5 1 1 1 3 12 31111 6 M59 70100 000132 0000R*")-SUMIFS(E2501:E9015,K2501:K9015,"0",B2501:B9015,"5 1 1 1 3 12 31111 6 M59 70100 000132 0000R*")</f>
        <v>0</v>
      </c>
      <c r="E2500"/>
      <c r="F2500" s="35">
        <f>SUMIFS(F2501:F9015,K2501:K9015,"0",B2501:B9015,"5 1 1 1 3 12 31111 6 M59 70100 000132 0000R*")</f>
        <v>268766.27</v>
      </c>
      <c r="G2500" s="35">
        <f>SUMIFS(G2501:G9015,K2501:K9015,"0",B2501:B9015,"5 1 1 1 3 12 31111 6 M59 70100 000132 0000R*")</f>
        <v>0</v>
      </c>
      <c r="H2500" s="35">
        <f t="shared" ref="H2500:H2563" si="40">D2500 + F2500 - G2500</f>
        <v>268766.27</v>
      </c>
      <c r="I2500" s="35"/>
      <c r="K2500" t="s">
        <v>15</v>
      </c>
    </row>
    <row r="2501" spans="2:11" ht="24.75" x14ac:dyDescent="0.2">
      <c r="B2501" s="33" t="s">
        <v>3392</v>
      </c>
      <c r="C2501" s="33" t="s">
        <v>282</v>
      </c>
      <c r="D2501" s="35">
        <f>SUMIFS(D2502:D9015,K2502:K9015,"0",B2502:B9015,"5 1 1 1 3 12 31111 6 M59 70100 000132 0000R 00001*")-SUMIFS(E2502:E9015,K2502:K9015,"0",B2502:B9015,"5 1 1 1 3 12 31111 6 M59 70100 000132 0000R 00001*")</f>
        <v>0</v>
      </c>
      <c r="E2501"/>
      <c r="F2501" s="35">
        <f>SUMIFS(F2502:F9015,K2502:K9015,"0",B2502:B9015,"5 1 1 1 3 12 31111 6 M59 70100 000132 0000R 00001*")</f>
        <v>268766.27</v>
      </c>
      <c r="G2501" s="35">
        <f>SUMIFS(G2502:G9015,K2502:K9015,"0",B2502:B9015,"5 1 1 1 3 12 31111 6 M59 70100 000132 0000R 00001*")</f>
        <v>0</v>
      </c>
      <c r="H2501" s="35">
        <f t="shared" si="40"/>
        <v>268766.27</v>
      </c>
      <c r="I2501" s="35"/>
      <c r="K2501" t="s">
        <v>15</v>
      </c>
    </row>
    <row r="2502" spans="2:11" ht="24.75" x14ac:dyDescent="0.2">
      <c r="B2502" s="33" t="s">
        <v>3393</v>
      </c>
      <c r="C2502" s="33" t="s">
        <v>2924</v>
      </c>
      <c r="D2502" s="35">
        <f>SUMIFS(D2503:D9015,K2503:K9015,"0",B2503:B9015,"5 1 1 1 3 12 31111 6 M59 70100 000132 0000R 00001 00113*")-SUMIFS(E2503:E9015,K2503:K9015,"0",B2503:B9015,"5 1 1 1 3 12 31111 6 M59 70100 000132 0000R 00001 00113*")</f>
        <v>0</v>
      </c>
      <c r="E2502"/>
      <c r="F2502" s="35">
        <f>SUMIFS(F2503:F9015,K2503:K9015,"0",B2503:B9015,"5 1 1 1 3 12 31111 6 M59 70100 000132 0000R 00001 00113*")</f>
        <v>268766.27</v>
      </c>
      <c r="G2502" s="35">
        <f>SUMIFS(G2503:G9015,K2503:K9015,"0",B2503:B9015,"5 1 1 1 3 12 31111 6 M59 70100 000132 0000R 00001 00113*")</f>
        <v>0</v>
      </c>
      <c r="H2502" s="35">
        <f t="shared" si="40"/>
        <v>268766.27</v>
      </c>
      <c r="I2502" s="35"/>
      <c r="K2502" t="s">
        <v>15</v>
      </c>
    </row>
    <row r="2503" spans="2:11" ht="24.75" x14ac:dyDescent="0.2">
      <c r="B2503" s="33" t="s">
        <v>3394</v>
      </c>
      <c r="C2503" s="33" t="s">
        <v>1051</v>
      </c>
      <c r="D2503" s="35">
        <f>SUMIFS(D2504:D9015,K2504:K9015,"0",B2504:B9015,"5 1 1 1 3 12 31111 6 M59 70100 000132 0000R 00001 00113 015*")-SUMIFS(E2504:E9015,K2504:K9015,"0",B2504:B9015,"5 1 1 1 3 12 31111 6 M59 70100 000132 0000R 00001 00113 015*")</f>
        <v>0</v>
      </c>
      <c r="E2503"/>
      <c r="F2503" s="35">
        <f>SUMIFS(F2504:F9015,K2504:K9015,"0",B2504:B9015,"5 1 1 1 3 12 31111 6 M59 70100 000132 0000R 00001 00113 015*")</f>
        <v>268766.27</v>
      </c>
      <c r="G2503" s="35">
        <f>SUMIFS(G2504:G9015,K2504:K9015,"0",B2504:B9015,"5 1 1 1 3 12 31111 6 M59 70100 000132 0000R 00001 00113 015*")</f>
        <v>0</v>
      </c>
      <c r="H2503" s="35">
        <f t="shared" si="40"/>
        <v>268766.27</v>
      </c>
      <c r="I2503" s="35"/>
      <c r="K2503" t="s">
        <v>15</v>
      </c>
    </row>
    <row r="2504" spans="2:11" ht="33" x14ac:dyDescent="0.2">
      <c r="B2504" s="33" t="s">
        <v>3395</v>
      </c>
      <c r="C2504" s="33" t="s">
        <v>2927</v>
      </c>
      <c r="D2504" s="35">
        <f>SUMIFS(D2505:D9015,K2505:K9015,"0",B2505:B9015,"5 1 1 1 3 12 31111 6 M59 70100 000132 0000R 00001 00113 015 2111100*")-SUMIFS(E2505:E9015,K2505:K9015,"0",B2505:B9015,"5 1 1 1 3 12 31111 6 M59 70100 000132 0000R 00001 00113 015 2111100*")</f>
        <v>0</v>
      </c>
      <c r="E2504"/>
      <c r="F2504" s="35">
        <f>SUMIFS(F2505:F9015,K2505:K9015,"0",B2505:B9015,"5 1 1 1 3 12 31111 6 M59 70100 000132 0000R 00001 00113 015 2111100*")</f>
        <v>268766.27</v>
      </c>
      <c r="G2504" s="35">
        <f>SUMIFS(G2505:G9015,K2505:K9015,"0",B2505:B9015,"5 1 1 1 3 12 31111 6 M59 70100 000132 0000R 00001 00113 015 2111100*")</f>
        <v>0</v>
      </c>
      <c r="H2504" s="35">
        <f t="shared" si="40"/>
        <v>268766.27</v>
      </c>
      <c r="I2504" s="35"/>
      <c r="K2504" t="s">
        <v>15</v>
      </c>
    </row>
    <row r="2505" spans="2:11" ht="33" x14ac:dyDescent="0.2">
      <c r="B2505" s="33" t="s">
        <v>3396</v>
      </c>
      <c r="C2505" s="33" t="s">
        <v>660</v>
      </c>
      <c r="D2505" s="35">
        <f>SUMIFS(D2506:D9015,K2506:K9015,"0",B2506:B9015,"5 1 1 1 3 12 31111 6 M59 70100 000132 0000R 00001 00113 015 2111100 2024*")-SUMIFS(E2506:E9015,K2506:K9015,"0",B2506:B9015,"5 1 1 1 3 12 31111 6 M59 70100 000132 0000R 00001 00113 015 2111100 2024*")</f>
        <v>0</v>
      </c>
      <c r="E2505"/>
      <c r="F2505" s="35">
        <f>SUMIFS(F2506:F9015,K2506:K9015,"0",B2506:B9015,"5 1 1 1 3 12 31111 6 M59 70100 000132 0000R 00001 00113 015 2111100 2024*")</f>
        <v>268766.27</v>
      </c>
      <c r="G2505" s="35">
        <f>SUMIFS(G2506:G9015,K2506:K9015,"0",B2506:B9015,"5 1 1 1 3 12 31111 6 M59 70100 000132 0000R 00001 00113 015 2111100 2024*")</f>
        <v>0</v>
      </c>
      <c r="H2505" s="35">
        <f t="shared" si="40"/>
        <v>268766.27</v>
      </c>
      <c r="I2505" s="35"/>
      <c r="K2505" t="s">
        <v>15</v>
      </c>
    </row>
    <row r="2506" spans="2:11" ht="41.25" x14ac:dyDescent="0.2">
      <c r="B2506" s="33" t="s">
        <v>3397</v>
      </c>
      <c r="C2506" s="33" t="s">
        <v>1056</v>
      </c>
      <c r="D2506" s="35">
        <f>SUMIFS(D2507:D9015,K2507:K9015,"0",B2507:B9015,"5 1 1 1 3 12 31111 6 M59 70100 000132 0000R 00001 00113 015 2111100 2024 CP1MM393*")-SUMIFS(E2507:E9015,K2507:K9015,"0",B2507:B9015,"5 1 1 1 3 12 31111 6 M59 70100 000132 0000R 00001 00113 015 2111100 2024 CP1MM393*")</f>
        <v>0</v>
      </c>
      <c r="E2506"/>
      <c r="F2506" s="35">
        <f>SUMIFS(F2507:F9015,K2507:K9015,"0",B2507:B9015,"5 1 1 1 3 12 31111 6 M59 70100 000132 0000R 00001 00113 015 2111100 2024 CP1MM393*")</f>
        <v>268766.27</v>
      </c>
      <c r="G2506" s="35">
        <f>SUMIFS(G2507:G9015,K2507:K9015,"0",B2507:B9015,"5 1 1 1 3 12 31111 6 M59 70100 000132 0000R 00001 00113 015 2111100 2024 CP1MM393*")</f>
        <v>0</v>
      </c>
      <c r="H2506" s="35">
        <f t="shared" si="40"/>
        <v>268766.27</v>
      </c>
      <c r="I2506" s="35"/>
      <c r="K2506" t="s">
        <v>15</v>
      </c>
    </row>
    <row r="2507" spans="2:11" ht="41.25" x14ac:dyDescent="0.2">
      <c r="B2507" s="33" t="s">
        <v>3398</v>
      </c>
      <c r="C2507" s="33" t="s">
        <v>282</v>
      </c>
      <c r="D2507" s="35">
        <f>SUMIFS(D2508:D9015,K2508:K9015,"0",B2508:B9015,"5 1 1 1 3 12 31111 6 M59 70100 000132 0000R 00001 00113 015 2111100 2024 CP1MM393 001*")-SUMIFS(E2508:E9015,K2508:K9015,"0",B2508:B9015,"5 1 1 1 3 12 31111 6 M59 70100 000132 0000R 00001 00113 015 2111100 2024 CP1MM393 001*")</f>
        <v>0</v>
      </c>
      <c r="E2507"/>
      <c r="F2507" s="35">
        <f>SUMIFS(F2508:F9015,K2508:K9015,"0",B2508:B9015,"5 1 1 1 3 12 31111 6 M59 70100 000132 0000R 00001 00113 015 2111100 2024 CP1MM393 001*")</f>
        <v>268766.27</v>
      </c>
      <c r="G2507" s="35">
        <f>SUMIFS(G2508:G9015,K2508:K9015,"0",B2508:B9015,"5 1 1 1 3 12 31111 6 M59 70100 000132 0000R 00001 00113 015 2111100 2024 CP1MM393 001*")</f>
        <v>0</v>
      </c>
      <c r="H2507" s="35">
        <f t="shared" si="40"/>
        <v>268766.27</v>
      </c>
      <c r="I2507" s="35"/>
      <c r="K2507" t="s">
        <v>15</v>
      </c>
    </row>
    <row r="2508" spans="2:11" ht="33" x14ac:dyDescent="0.2">
      <c r="B2508" s="31" t="s">
        <v>3399</v>
      </c>
      <c r="C2508" s="31" t="s">
        <v>2932</v>
      </c>
      <c r="D2508" s="34">
        <v>0</v>
      </c>
      <c r="E2508" s="34"/>
      <c r="F2508" s="34">
        <v>268766.27</v>
      </c>
      <c r="G2508" s="34">
        <v>0</v>
      </c>
      <c r="H2508" s="34">
        <f t="shared" si="40"/>
        <v>268766.27</v>
      </c>
      <c r="I2508" s="34"/>
      <c r="K2508" t="s">
        <v>38</v>
      </c>
    </row>
    <row r="2509" spans="2:11" ht="16.5" x14ac:dyDescent="0.2">
      <c r="B2509" s="33" t="s">
        <v>3400</v>
      </c>
      <c r="C2509" s="33" t="s">
        <v>3401</v>
      </c>
      <c r="D2509" s="35">
        <f>SUMIFS(D2510:D9015,K2510:K9015,"0",B2510:B9015,"5 1 1 1 3 12 31111 6 M59 70200*")-SUMIFS(E2510:E9015,K2510:K9015,"0",B2510:B9015,"5 1 1 1 3 12 31111 6 M59 70200*")</f>
        <v>0</v>
      </c>
      <c r="E2509"/>
      <c r="F2509" s="35">
        <f>SUMIFS(F2510:F9015,K2510:K9015,"0",B2510:B9015,"5 1 1 1 3 12 31111 6 M59 70200*")</f>
        <v>142735.37</v>
      </c>
      <c r="G2509" s="35">
        <f>SUMIFS(G2510:G9015,K2510:K9015,"0",B2510:B9015,"5 1 1 1 3 12 31111 6 M59 70200*")</f>
        <v>0</v>
      </c>
      <c r="H2509" s="35">
        <f t="shared" si="40"/>
        <v>142735.37</v>
      </c>
      <c r="I2509" s="35"/>
      <c r="K2509" t="s">
        <v>15</v>
      </c>
    </row>
    <row r="2510" spans="2:11" ht="16.5" x14ac:dyDescent="0.2">
      <c r="B2510" s="33" t="s">
        <v>3402</v>
      </c>
      <c r="C2510" s="33" t="s">
        <v>648</v>
      </c>
      <c r="D2510" s="35">
        <f>SUMIFS(D2511:D9015,K2511:K9015,"0",B2511:B9015,"5 1 1 1 3 12 31111 6 M59 70200 000132*")-SUMIFS(E2511:E9015,K2511:K9015,"0",B2511:B9015,"5 1 1 1 3 12 31111 6 M59 70200 000132*")</f>
        <v>0</v>
      </c>
      <c r="E2510"/>
      <c r="F2510" s="35">
        <f>SUMIFS(F2511:F9015,K2511:K9015,"0",B2511:B9015,"5 1 1 1 3 12 31111 6 M59 70200 000132*")</f>
        <v>142735.37</v>
      </c>
      <c r="G2510" s="35">
        <f>SUMIFS(G2511:G9015,K2511:K9015,"0",B2511:B9015,"5 1 1 1 3 12 31111 6 M59 70200 000132*")</f>
        <v>0</v>
      </c>
      <c r="H2510" s="35">
        <f t="shared" si="40"/>
        <v>142735.37</v>
      </c>
      <c r="I2510" s="35"/>
      <c r="K2510" t="s">
        <v>15</v>
      </c>
    </row>
    <row r="2511" spans="2:11" ht="16.5" x14ac:dyDescent="0.2">
      <c r="B2511" s="33" t="s">
        <v>3403</v>
      </c>
      <c r="C2511" s="33" t="s">
        <v>650</v>
      </c>
      <c r="D2511" s="35">
        <f>SUMIFS(D2512:D9015,K2512:K9015,"0",B2512:B9015,"5 1 1 1 3 12 31111 6 M59 70200 000132 0000R*")-SUMIFS(E2512:E9015,K2512:K9015,"0",B2512:B9015,"5 1 1 1 3 12 31111 6 M59 70200 000132 0000R*")</f>
        <v>0</v>
      </c>
      <c r="E2511"/>
      <c r="F2511" s="35">
        <f>SUMIFS(F2512:F9015,K2512:K9015,"0",B2512:B9015,"5 1 1 1 3 12 31111 6 M59 70200 000132 0000R*")</f>
        <v>142735.37</v>
      </c>
      <c r="G2511" s="35">
        <f>SUMIFS(G2512:G9015,K2512:K9015,"0",B2512:B9015,"5 1 1 1 3 12 31111 6 M59 70200 000132 0000R*")</f>
        <v>0</v>
      </c>
      <c r="H2511" s="35">
        <f t="shared" si="40"/>
        <v>142735.37</v>
      </c>
      <c r="I2511" s="35"/>
      <c r="K2511" t="s">
        <v>15</v>
      </c>
    </row>
    <row r="2512" spans="2:11" ht="24.75" x14ac:dyDescent="0.2">
      <c r="B2512" s="33" t="s">
        <v>3404</v>
      </c>
      <c r="C2512" s="33" t="s">
        <v>282</v>
      </c>
      <c r="D2512" s="35">
        <f>SUMIFS(D2513:D9015,K2513:K9015,"0",B2513:B9015,"5 1 1 1 3 12 31111 6 M59 70200 000132 0000R 00001*")-SUMIFS(E2513:E9015,K2513:K9015,"0",B2513:B9015,"5 1 1 1 3 12 31111 6 M59 70200 000132 0000R 00001*")</f>
        <v>0</v>
      </c>
      <c r="E2512"/>
      <c r="F2512" s="35">
        <f>SUMIFS(F2513:F9015,K2513:K9015,"0",B2513:B9015,"5 1 1 1 3 12 31111 6 M59 70200 000132 0000R 00001*")</f>
        <v>142735.37</v>
      </c>
      <c r="G2512" s="35">
        <f>SUMIFS(G2513:G9015,K2513:K9015,"0",B2513:B9015,"5 1 1 1 3 12 31111 6 M59 70200 000132 0000R 00001*")</f>
        <v>0</v>
      </c>
      <c r="H2512" s="35">
        <f t="shared" si="40"/>
        <v>142735.37</v>
      </c>
      <c r="I2512" s="35"/>
      <c r="K2512" t="s">
        <v>15</v>
      </c>
    </row>
    <row r="2513" spans="2:11" ht="24.75" x14ac:dyDescent="0.2">
      <c r="B2513" s="33" t="s">
        <v>3405</v>
      </c>
      <c r="C2513" s="33" t="s">
        <v>2924</v>
      </c>
      <c r="D2513" s="35">
        <f>SUMIFS(D2514:D9015,K2514:K9015,"0",B2514:B9015,"5 1 1 1 3 12 31111 6 M59 70200 000132 0000R 00001 00113*")-SUMIFS(E2514:E9015,K2514:K9015,"0",B2514:B9015,"5 1 1 1 3 12 31111 6 M59 70200 000132 0000R 00001 00113*")</f>
        <v>0</v>
      </c>
      <c r="E2513"/>
      <c r="F2513" s="35">
        <f>SUMIFS(F2514:F9015,K2514:K9015,"0",B2514:B9015,"5 1 1 1 3 12 31111 6 M59 70200 000132 0000R 00001 00113*")</f>
        <v>142735.37</v>
      </c>
      <c r="G2513" s="35">
        <f>SUMIFS(G2514:G9015,K2514:K9015,"0",B2514:B9015,"5 1 1 1 3 12 31111 6 M59 70200 000132 0000R 00001 00113*")</f>
        <v>0</v>
      </c>
      <c r="H2513" s="35">
        <f t="shared" si="40"/>
        <v>142735.37</v>
      </c>
      <c r="I2513" s="35"/>
      <c r="K2513" t="s">
        <v>15</v>
      </c>
    </row>
    <row r="2514" spans="2:11" ht="24.75" x14ac:dyDescent="0.2">
      <c r="B2514" s="33" t="s">
        <v>3406</v>
      </c>
      <c r="C2514" s="33" t="s">
        <v>1051</v>
      </c>
      <c r="D2514" s="35">
        <f>SUMIFS(D2515:D9015,K2515:K9015,"0",B2515:B9015,"5 1 1 1 3 12 31111 6 M59 70200 000132 0000R 00001 00113 015*")-SUMIFS(E2515:E9015,K2515:K9015,"0",B2515:B9015,"5 1 1 1 3 12 31111 6 M59 70200 000132 0000R 00001 00113 015*")</f>
        <v>0</v>
      </c>
      <c r="E2514"/>
      <c r="F2514" s="35">
        <f>SUMIFS(F2515:F9015,K2515:K9015,"0",B2515:B9015,"5 1 1 1 3 12 31111 6 M59 70200 000132 0000R 00001 00113 015*")</f>
        <v>142735.37</v>
      </c>
      <c r="G2514" s="35">
        <f>SUMIFS(G2515:G9015,K2515:K9015,"0",B2515:B9015,"5 1 1 1 3 12 31111 6 M59 70200 000132 0000R 00001 00113 015*")</f>
        <v>0</v>
      </c>
      <c r="H2514" s="35">
        <f t="shared" si="40"/>
        <v>142735.37</v>
      </c>
      <c r="I2514" s="35"/>
      <c r="K2514" t="s">
        <v>15</v>
      </c>
    </row>
    <row r="2515" spans="2:11" ht="33" x14ac:dyDescent="0.2">
      <c r="B2515" s="33" t="s">
        <v>3407</v>
      </c>
      <c r="C2515" s="33" t="s">
        <v>2927</v>
      </c>
      <c r="D2515" s="35">
        <f>SUMIFS(D2516:D9015,K2516:K9015,"0",B2516:B9015,"5 1 1 1 3 12 31111 6 M59 70200 000132 0000R 00001 00113 015 2111100*")-SUMIFS(E2516:E9015,K2516:K9015,"0",B2516:B9015,"5 1 1 1 3 12 31111 6 M59 70200 000132 0000R 00001 00113 015 2111100*")</f>
        <v>0</v>
      </c>
      <c r="E2515"/>
      <c r="F2515" s="35">
        <f>SUMIFS(F2516:F9015,K2516:K9015,"0",B2516:B9015,"5 1 1 1 3 12 31111 6 M59 70200 000132 0000R 00001 00113 015 2111100*")</f>
        <v>142735.37</v>
      </c>
      <c r="G2515" s="35">
        <f>SUMIFS(G2516:G9015,K2516:K9015,"0",B2516:B9015,"5 1 1 1 3 12 31111 6 M59 70200 000132 0000R 00001 00113 015 2111100*")</f>
        <v>0</v>
      </c>
      <c r="H2515" s="35">
        <f t="shared" si="40"/>
        <v>142735.37</v>
      </c>
      <c r="I2515" s="35"/>
      <c r="K2515" t="s">
        <v>15</v>
      </c>
    </row>
    <row r="2516" spans="2:11" ht="33" x14ac:dyDescent="0.2">
      <c r="B2516" s="33" t="s">
        <v>3408</v>
      </c>
      <c r="C2516" s="33" t="s">
        <v>660</v>
      </c>
      <c r="D2516" s="35">
        <f>SUMIFS(D2517:D9015,K2517:K9015,"0",B2517:B9015,"5 1 1 1 3 12 31111 6 M59 70200 000132 0000R 00001 00113 015 2111100 2024*")-SUMIFS(E2517:E9015,K2517:K9015,"0",B2517:B9015,"5 1 1 1 3 12 31111 6 M59 70200 000132 0000R 00001 00113 015 2111100 2024*")</f>
        <v>0</v>
      </c>
      <c r="E2516"/>
      <c r="F2516" s="35">
        <f>SUMIFS(F2517:F9015,K2517:K9015,"0",B2517:B9015,"5 1 1 1 3 12 31111 6 M59 70200 000132 0000R 00001 00113 015 2111100 2024*")</f>
        <v>142735.37</v>
      </c>
      <c r="G2516" s="35">
        <f>SUMIFS(G2517:G9015,K2517:K9015,"0",B2517:B9015,"5 1 1 1 3 12 31111 6 M59 70200 000132 0000R 00001 00113 015 2111100 2024*")</f>
        <v>0</v>
      </c>
      <c r="H2516" s="35">
        <f t="shared" si="40"/>
        <v>142735.37</v>
      </c>
      <c r="I2516" s="35"/>
      <c r="K2516" t="s">
        <v>15</v>
      </c>
    </row>
    <row r="2517" spans="2:11" ht="41.25" x14ac:dyDescent="0.2">
      <c r="B2517" s="33" t="s">
        <v>3409</v>
      </c>
      <c r="C2517" s="33" t="s">
        <v>1056</v>
      </c>
      <c r="D2517" s="35">
        <f>SUMIFS(D2518:D9015,K2518:K9015,"0",B2518:B9015,"5 1 1 1 3 12 31111 6 M59 70200 000132 0000R 00001 00113 015 2111100 2024 CP1SE410*")-SUMIFS(E2518:E9015,K2518:K9015,"0",B2518:B9015,"5 1 1 1 3 12 31111 6 M59 70200 000132 0000R 00001 00113 015 2111100 2024 CP1SE410*")</f>
        <v>0</v>
      </c>
      <c r="E2517"/>
      <c r="F2517" s="35">
        <f>SUMIFS(F2518:F9015,K2518:K9015,"0",B2518:B9015,"5 1 1 1 3 12 31111 6 M59 70200 000132 0000R 00001 00113 015 2111100 2024 CP1SE410*")</f>
        <v>142735.37</v>
      </c>
      <c r="G2517" s="35">
        <f>SUMIFS(G2518:G9015,K2518:K9015,"0",B2518:B9015,"5 1 1 1 3 12 31111 6 M59 70200 000132 0000R 00001 00113 015 2111100 2024 CP1SE410*")</f>
        <v>0</v>
      </c>
      <c r="H2517" s="35">
        <f t="shared" si="40"/>
        <v>142735.37</v>
      </c>
      <c r="I2517" s="35"/>
      <c r="K2517" t="s">
        <v>15</v>
      </c>
    </row>
    <row r="2518" spans="2:11" ht="41.25" x14ac:dyDescent="0.2">
      <c r="B2518" s="33" t="s">
        <v>3410</v>
      </c>
      <c r="C2518" s="33" t="s">
        <v>282</v>
      </c>
      <c r="D2518" s="35">
        <f>SUMIFS(D2519:D9015,K2519:K9015,"0",B2519:B9015,"5 1 1 1 3 12 31111 6 M59 70200 000132 0000R 00001 00113 015 2111100 2024 CP1SE410 001*")-SUMIFS(E2519:E9015,K2519:K9015,"0",B2519:B9015,"5 1 1 1 3 12 31111 6 M59 70200 000132 0000R 00001 00113 015 2111100 2024 CP1SE410 001*")</f>
        <v>0</v>
      </c>
      <c r="E2518"/>
      <c r="F2518" s="35">
        <f>SUMIFS(F2519:F9015,K2519:K9015,"0",B2519:B9015,"5 1 1 1 3 12 31111 6 M59 70200 000132 0000R 00001 00113 015 2111100 2024 CP1SE410 001*")</f>
        <v>142735.37</v>
      </c>
      <c r="G2518" s="35">
        <f>SUMIFS(G2519:G9015,K2519:K9015,"0",B2519:B9015,"5 1 1 1 3 12 31111 6 M59 70200 000132 0000R 00001 00113 015 2111100 2024 CP1SE410 001*")</f>
        <v>0</v>
      </c>
      <c r="H2518" s="35">
        <f t="shared" si="40"/>
        <v>142735.37</v>
      </c>
      <c r="I2518" s="35"/>
      <c r="K2518" t="s">
        <v>15</v>
      </c>
    </row>
    <row r="2519" spans="2:11" ht="33" x14ac:dyDescent="0.2">
      <c r="B2519" s="31" t="s">
        <v>3411</v>
      </c>
      <c r="C2519" s="31" t="s">
        <v>2932</v>
      </c>
      <c r="D2519" s="34">
        <v>0</v>
      </c>
      <c r="E2519" s="34"/>
      <c r="F2519" s="34">
        <v>142735.37</v>
      </c>
      <c r="G2519" s="34">
        <v>0</v>
      </c>
      <c r="H2519" s="34">
        <f t="shared" si="40"/>
        <v>142735.37</v>
      </c>
      <c r="I2519" s="34"/>
      <c r="K2519" t="s">
        <v>38</v>
      </c>
    </row>
    <row r="2520" spans="2:11" ht="16.5" x14ac:dyDescent="0.2">
      <c r="B2520" s="33" t="s">
        <v>3412</v>
      </c>
      <c r="C2520" s="33" t="s">
        <v>3413</v>
      </c>
      <c r="D2520" s="35">
        <f>SUMIFS(D2521:D9015,K2521:K9015,"0",B2521:B9015,"5 1 1 1 3 12 31111 6 M59 70300*")-SUMIFS(E2521:E9015,K2521:K9015,"0",B2521:B9015,"5 1 1 1 3 12 31111 6 M59 70300*")</f>
        <v>0</v>
      </c>
      <c r="E2520"/>
      <c r="F2520" s="35">
        <f>SUMIFS(F2521:F9015,K2521:K9015,"0",B2521:B9015,"5 1 1 1 3 12 31111 6 M59 70300*")</f>
        <v>965205.36</v>
      </c>
      <c r="G2520" s="35">
        <f>SUMIFS(G2521:G9015,K2521:K9015,"0",B2521:B9015,"5 1 1 1 3 12 31111 6 M59 70300*")</f>
        <v>0</v>
      </c>
      <c r="H2520" s="35">
        <f t="shared" si="40"/>
        <v>965205.36</v>
      </c>
      <c r="I2520" s="35"/>
      <c r="K2520" t="s">
        <v>15</v>
      </c>
    </row>
    <row r="2521" spans="2:11" ht="16.5" x14ac:dyDescent="0.2">
      <c r="B2521" s="33" t="s">
        <v>3414</v>
      </c>
      <c r="C2521" s="33" t="s">
        <v>648</v>
      </c>
      <c r="D2521" s="35">
        <f>SUMIFS(D2522:D9015,K2522:K9015,"0",B2522:B9015,"5 1 1 1 3 12 31111 6 M59 70300 000132*")-SUMIFS(E2522:E9015,K2522:K9015,"0",B2522:B9015,"5 1 1 1 3 12 31111 6 M59 70300 000132*")</f>
        <v>0</v>
      </c>
      <c r="E2521"/>
      <c r="F2521" s="35">
        <f>SUMIFS(F2522:F9015,K2522:K9015,"0",B2522:B9015,"5 1 1 1 3 12 31111 6 M59 70300 000132*")</f>
        <v>965205.36</v>
      </c>
      <c r="G2521" s="35">
        <f>SUMIFS(G2522:G9015,K2522:K9015,"0",B2522:B9015,"5 1 1 1 3 12 31111 6 M59 70300 000132*")</f>
        <v>0</v>
      </c>
      <c r="H2521" s="35">
        <f t="shared" si="40"/>
        <v>965205.36</v>
      </c>
      <c r="I2521" s="35"/>
      <c r="K2521" t="s">
        <v>15</v>
      </c>
    </row>
    <row r="2522" spans="2:11" ht="16.5" x14ac:dyDescent="0.2">
      <c r="B2522" s="33" t="s">
        <v>3415</v>
      </c>
      <c r="C2522" s="33" t="s">
        <v>650</v>
      </c>
      <c r="D2522" s="35">
        <f>SUMIFS(D2523:D9015,K2523:K9015,"0",B2523:B9015,"5 1 1 1 3 12 31111 6 M59 70300 000132 0000R*")-SUMIFS(E2523:E9015,K2523:K9015,"0",B2523:B9015,"5 1 1 1 3 12 31111 6 M59 70300 000132 0000R*")</f>
        <v>0</v>
      </c>
      <c r="E2522"/>
      <c r="F2522" s="35">
        <f>SUMIFS(F2523:F9015,K2523:K9015,"0",B2523:B9015,"5 1 1 1 3 12 31111 6 M59 70300 000132 0000R*")</f>
        <v>965205.36</v>
      </c>
      <c r="G2522" s="35">
        <f>SUMIFS(G2523:G9015,K2523:K9015,"0",B2523:B9015,"5 1 1 1 3 12 31111 6 M59 70300 000132 0000R*")</f>
        <v>0</v>
      </c>
      <c r="H2522" s="35">
        <f t="shared" si="40"/>
        <v>965205.36</v>
      </c>
      <c r="I2522" s="35"/>
      <c r="K2522" t="s">
        <v>15</v>
      </c>
    </row>
    <row r="2523" spans="2:11" ht="24.75" x14ac:dyDescent="0.2">
      <c r="B2523" s="33" t="s">
        <v>3416</v>
      </c>
      <c r="C2523" s="33" t="s">
        <v>282</v>
      </c>
      <c r="D2523" s="35">
        <f>SUMIFS(D2524:D9015,K2524:K9015,"0",B2524:B9015,"5 1 1 1 3 12 31111 6 M59 70300 000132 0000R 00001*")-SUMIFS(E2524:E9015,K2524:K9015,"0",B2524:B9015,"5 1 1 1 3 12 31111 6 M59 70300 000132 0000R 00001*")</f>
        <v>0</v>
      </c>
      <c r="E2523"/>
      <c r="F2523" s="35">
        <f>SUMIFS(F2524:F9015,K2524:K9015,"0",B2524:B9015,"5 1 1 1 3 12 31111 6 M59 70300 000132 0000R 00001*")</f>
        <v>965205.36</v>
      </c>
      <c r="G2523" s="35">
        <f>SUMIFS(G2524:G9015,K2524:K9015,"0",B2524:B9015,"5 1 1 1 3 12 31111 6 M59 70300 000132 0000R 00001*")</f>
        <v>0</v>
      </c>
      <c r="H2523" s="35">
        <f t="shared" si="40"/>
        <v>965205.36</v>
      </c>
      <c r="I2523" s="35"/>
      <c r="K2523" t="s">
        <v>15</v>
      </c>
    </row>
    <row r="2524" spans="2:11" ht="24.75" x14ac:dyDescent="0.2">
      <c r="B2524" s="33" t="s">
        <v>3417</v>
      </c>
      <c r="C2524" s="33" t="s">
        <v>2924</v>
      </c>
      <c r="D2524" s="35">
        <f>SUMIFS(D2525:D9015,K2525:K9015,"0",B2525:B9015,"5 1 1 1 3 12 31111 6 M59 70300 000132 0000R 00001 00113*")-SUMIFS(E2525:E9015,K2525:K9015,"0",B2525:B9015,"5 1 1 1 3 12 31111 6 M59 70300 000132 0000R 00001 00113*")</f>
        <v>0</v>
      </c>
      <c r="E2524"/>
      <c r="F2524" s="35">
        <f>SUMIFS(F2525:F9015,K2525:K9015,"0",B2525:B9015,"5 1 1 1 3 12 31111 6 M59 70300 000132 0000R 00001 00113*")</f>
        <v>965205.36</v>
      </c>
      <c r="G2524" s="35">
        <f>SUMIFS(G2525:G9015,K2525:K9015,"0",B2525:B9015,"5 1 1 1 3 12 31111 6 M59 70300 000132 0000R 00001 00113*")</f>
        <v>0</v>
      </c>
      <c r="H2524" s="35">
        <f t="shared" si="40"/>
        <v>965205.36</v>
      </c>
      <c r="I2524" s="35"/>
      <c r="K2524" t="s">
        <v>15</v>
      </c>
    </row>
    <row r="2525" spans="2:11" ht="24.75" x14ac:dyDescent="0.2">
      <c r="B2525" s="33" t="s">
        <v>3418</v>
      </c>
      <c r="C2525" s="33" t="s">
        <v>1051</v>
      </c>
      <c r="D2525" s="35">
        <f>SUMIFS(D2526:D9015,K2526:K9015,"0",B2526:B9015,"5 1 1 1 3 12 31111 6 M59 70300 000132 0000R 00001 00113 015*")-SUMIFS(E2526:E9015,K2526:K9015,"0",B2526:B9015,"5 1 1 1 3 12 31111 6 M59 70300 000132 0000R 00001 00113 015*")</f>
        <v>0</v>
      </c>
      <c r="E2525"/>
      <c r="F2525" s="35">
        <f>SUMIFS(F2526:F9015,K2526:K9015,"0",B2526:B9015,"5 1 1 1 3 12 31111 6 M59 70300 000132 0000R 00001 00113 015*")</f>
        <v>965205.36</v>
      </c>
      <c r="G2525" s="35">
        <f>SUMIFS(G2526:G9015,K2526:K9015,"0",B2526:B9015,"5 1 1 1 3 12 31111 6 M59 70300 000132 0000R 00001 00113 015*")</f>
        <v>0</v>
      </c>
      <c r="H2525" s="35">
        <f t="shared" si="40"/>
        <v>965205.36</v>
      </c>
      <c r="I2525" s="35"/>
      <c r="K2525" t="s">
        <v>15</v>
      </c>
    </row>
    <row r="2526" spans="2:11" ht="33" x14ac:dyDescent="0.2">
      <c r="B2526" s="33" t="s">
        <v>3419</v>
      </c>
      <c r="C2526" s="33" t="s">
        <v>2927</v>
      </c>
      <c r="D2526" s="35">
        <f>SUMIFS(D2527:D9015,K2527:K9015,"0",B2527:B9015,"5 1 1 1 3 12 31111 6 M59 70300 000132 0000R 00001 00113 015 2111100*")-SUMIFS(E2527:E9015,K2527:K9015,"0",B2527:B9015,"5 1 1 1 3 12 31111 6 M59 70300 000132 0000R 00001 00113 015 2111100*")</f>
        <v>0</v>
      </c>
      <c r="E2526"/>
      <c r="F2526" s="35">
        <f>SUMIFS(F2527:F9015,K2527:K9015,"0",B2527:B9015,"5 1 1 1 3 12 31111 6 M59 70300 000132 0000R 00001 00113 015 2111100*")</f>
        <v>965205.36</v>
      </c>
      <c r="G2526" s="35">
        <f>SUMIFS(G2527:G9015,K2527:K9015,"0",B2527:B9015,"5 1 1 1 3 12 31111 6 M59 70300 000132 0000R 00001 00113 015 2111100*")</f>
        <v>0</v>
      </c>
      <c r="H2526" s="35">
        <f t="shared" si="40"/>
        <v>965205.36</v>
      </c>
      <c r="I2526" s="35"/>
      <c r="K2526" t="s">
        <v>15</v>
      </c>
    </row>
    <row r="2527" spans="2:11" ht="33" x14ac:dyDescent="0.2">
      <c r="B2527" s="33" t="s">
        <v>3420</v>
      </c>
      <c r="C2527" s="33" t="s">
        <v>660</v>
      </c>
      <c r="D2527" s="35">
        <f>SUMIFS(D2528:D9015,K2528:K9015,"0",B2528:B9015,"5 1 1 1 3 12 31111 6 M59 70300 000132 0000R 00001 00113 015 2111100 2024*")-SUMIFS(E2528:E9015,K2528:K9015,"0",B2528:B9015,"5 1 1 1 3 12 31111 6 M59 70300 000132 0000R 00001 00113 015 2111100 2024*")</f>
        <v>0</v>
      </c>
      <c r="E2527"/>
      <c r="F2527" s="35">
        <f>SUMIFS(F2528:F9015,K2528:K9015,"0",B2528:B9015,"5 1 1 1 3 12 31111 6 M59 70300 000132 0000R 00001 00113 015 2111100 2024*")</f>
        <v>965205.36</v>
      </c>
      <c r="G2527" s="35">
        <f>SUMIFS(G2528:G9015,K2528:K9015,"0",B2528:B9015,"5 1 1 1 3 12 31111 6 M59 70300 000132 0000R 00001 00113 015 2111100 2024*")</f>
        <v>0</v>
      </c>
      <c r="H2527" s="35">
        <f t="shared" si="40"/>
        <v>965205.36</v>
      </c>
      <c r="I2527" s="35"/>
      <c r="K2527" t="s">
        <v>15</v>
      </c>
    </row>
    <row r="2528" spans="2:11" ht="41.25" x14ac:dyDescent="0.2">
      <c r="B2528" s="33" t="s">
        <v>3421</v>
      </c>
      <c r="C2528" s="33" t="s">
        <v>1056</v>
      </c>
      <c r="D2528" s="35">
        <f>SUMIFS(D2529:D9015,K2529:K9015,"0",B2529:B9015,"5 1 1 1 3 12 31111 6 M59 70300 000132 0000R 00001 00113 015 2111100 2024 CP1CU419*")-SUMIFS(E2529:E9015,K2529:K9015,"0",B2529:B9015,"5 1 1 1 3 12 31111 6 M59 70300 000132 0000R 00001 00113 015 2111100 2024 CP1CU419*")</f>
        <v>0</v>
      </c>
      <c r="E2528"/>
      <c r="F2528" s="35">
        <f>SUMIFS(F2529:F9015,K2529:K9015,"0",B2529:B9015,"5 1 1 1 3 12 31111 6 M59 70300 000132 0000R 00001 00113 015 2111100 2024 CP1CU419*")</f>
        <v>965205.36</v>
      </c>
      <c r="G2528" s="35">
        <f>SUMIFS(G2529:G9015,K2529:K9015,"0",B2529:B9015,"5 1 1 1 3 12 31111 6 M59 70300 000132 0000R 00001 00113 015 2111100 2024 CP1CU419*")</f>
        <v>0</v>
      </c>
      <c r="H2528" s="35">
        <f t="shared" si="40"/>
        <v>965205.36</v>
      </c>
      <c r="I2528" s="35"/>
      <c r="K2528" t="s">
        <v>15</v>
      </c>
    </row>
    <row r="2529" spans="2:11" ht="41.25" x14ac:dyDescent="0.2">
      <c r="B2529" s="33" t="s">
        <v>3422</v>
      </c>
      <c r="C2529" s="33" t="s">
        <v>282</v>
      </c>
      <c r="D2529" s="35">
        <f>SUMIFS(D2530:D9015,K2530:K9015,"0",B2530:B9015,"5 1 1 1 3 12 31111 6 M59 70300 000132 0000R 00001 00113 015 2111100 2024 CP1CU419 001*")-SUMIFS(E2530:E9015,K2530:K9015,"0",B2530:B9015,"5 1 1 1 3 12 31111 6 M59 70300 000132 0000R 00001 00113 015 2111100 2024 CP1CU419 001*")</f>
        <v>0</v>
      </c>
      <c r="E2529"/>
      <c r="F2529" s="35">
        <f>SUMIFS(F2530:F9015,K2530:K9015,"0",B2530:B9015,"5 1 1 1 3 12 31111 6 M59 70300 000132 0000R 00001 00113 015 2111100 2024 CP1CU419 001*")</f>
        <v>965205.36</v>
      </c>
      <c r="G2529" s="35">
        <f>SUMIFS(G2530:G9015,K2530:K9015,"0",B2530:B9015,"5 1 1 1 3 12 31111 6 M59 70300 000132 0000R 00001 00113 015 2111100 2024 CP1CU419 001*")</f>
        <v>0</v>
      </c>
      <c r="H2529" s="35">
        <f t="shared" si="40"/>
        <v>965205.36</v>
      </c>
      <c r="I2529" s="35"/>
      <c r="K2529" t="s">
        <v>15</v>
      </c>
    </row>
    <row r="2530" spans="2:11" ht="33" x14ac:dyDescent="0.2">
      <c r="B2530" s="31" t="s">
        <v>3423</v>
      </c>
      <c r="C2530" s="31" t="s">
        <v>2932</v>
      </c>
      <c r="D2530" s="34">
        <v>0</v>
      </c>
      <c r="E2530" s="34"/>
      <c r="F2530" s="34">
        <v>965205.36</v>
      </c>
      <c r="G2530" s="34">
        <v>0</v>
      </c>
      <c r="H2530" s="34">
        <f t="shared" si="40"/>
        <v>965205.36</v>
      </c>
      <c r="I2530" s="34"/>
      <c r="K2530" t="s">
        <v>38</v>
      </c>
    </row>
    <row r="2531" spans="2:11" ht="16.5" x14ac:dyDescent="0.2">
      <c r="B2531" s="33" t="s">
        <v>3424</v>
      </c>
      <c r="C2531" s="33" t="s">
        <v>3425</v>
      </c>
      <c r="D2531" s="35">
        <f>SUMIFS(D2532:D9015,K2532:K9015,"0",B2532:B9015,"5 1 1 1 3 12 31111 6 M59 70400*")-SUMIFS(E2532:E9015,K2532:K9015,"0",B2532:B9015,"5 1 1 1 3 12 31111 6 M59 70400*")</f>
        <v>0</v>
      </c>
      <c r="E2531"/>
      <c r="F2531" s="35">
        <f>SUMIFS(F2532:F9015,K2532:K9015,"0",B2532:B9015,"5 1 1 1 3 12 31111 6 M59 70400*")</f>
        <v>92052.89</v>
      </c>
      <c r="G2531" s="35">
        <f>SUMIFS(G2532:G9015,K2532:K9015,"0",B2532:B9015,"5 1 1 1 3 12 31111 6 M59 70400*")</f>
        <v>0</v>
      </c>
      <c r="H2531" s="35">
        <f t="shared" si="40"/>
        <v>92052.89</v>
      </c>
      <c r="I2531" s="35"/>
      <c r="K2531" t="s">
        <v>15</v>
      </c>
    </row>
    <row r="2532" spans="2:11" ht="16.5" x14ac:dyDescent="0.2">
      <c r="B2532" s="33" t="s">
        <v>3426</v>
      </c>
      <c r="C2532" s="33" t="s">
        <v>3427</v>
      </c>
      <c r="D2532" s="35">
        <f>SUMIFS(D2533:D9015,K2533:K9015,"0",B2533:B9015,"5 1 1 1 3 12 31111 6 M59 70400 000241*")-SUMIFS(E2533:E9015,K2533:K9015,"0",B2533:B9015,"5 1 1 1 3 12 31111 6 M59 70400 000241*")</f>
        <v>0</v>
      </c>
      <c r="E2532"/>
      <c r="F2532" s="35">
        <f>SUMIFS(F2533:F9015,K2533:K9015,"0",B2533:B9015,"5 1 1 1 3 12 31111 6 M59 70400 000241*")</f>
        <v>92052.89</v>
      </c>
      <c r="G2532" s="35">
        <f>SUMIFS(G2533:G9015,K2533:K9015,"0",B2533:B9015,"5 1 1 1 3 12 31111 6 M59 70400 000241*")</f>
        <v>0</v>
      </c>
      <c r="H2532" s="35">
        <f t="shared" si="40"/>
        <v>92052.89</v>
      </c>
      <c r="I2532" s="35"/>
      <c r="K2532" t="s">
        <v>15</v>
      </c>
    </row>
    <row r="2533" spans="2:11" ht="16.5" x14ac:dyDescent="0.2">
      <c r="B2533" s="33" t="s">
        <v>3428</v>
      </c>
      <c r="C2533" s="33" t="s">
        <v>650</v>
      </c>
      <c r="D2533" s="35">
        <f>SUMIFS(D2534:D9015,K2534:K9015,"0",B2534:B9015,"5 1 1 1 3 12 31111 6 M59 70400 000241 0000R*")-SUMIFS(E2534:E9015,K2534:K9015,"0",B2534:B9015,"5 1 1 1 3 12 31111 6 M59 70400 000241 0000R*")</f>
        <v>0</v>
      </c>
      <c r="E2533"/>
      <c r="F2533" s="35">
        <f>SUMIFS(F2534:F9015,K2534:K9015,"0",B2534:B9015,"5 1 1 1 3 12 31111 6 M59 70400 000241 0000R*")</f>
        <v>92052.89</v>
      </c>
      <c r="G2533" s="35">
        <f>SUMIFS(G2534:G9015,K2534:K9015,"0",B2534:B9015,"5 1 1 1 3 12 31111 6 M59 70400 000241 0000R*")</f>
        <v>0</v>
      </c>
      <c r="H2533" s="35">
        <f t="shared" si="40"/>
        <v>92052.89</v>
      </c>
      <c r="I2533" s="35"/>
      <c r="K2533" t="s">
        <v>15</v>
      </c>
    </row>
    <row r="2534" spans="2:11" ht="24.75" x14ac:dyDescent="0.2">
      <c r="B2534" s="33" t="s">
        <v>3429</v>
      </c>
      <c r="C2534" s="33" t="s">
        <v>282</v>
      </c>
      <c r="D2534" s="35">
        <f>SUMIFS(D2535:D9015,K2535:K9015,"0",B2535:B9015,"5 1 1 1 3 12 31111 6 M59 70400 000241 0000R 00001*")-SUMIFS(E2535:E9015,K2535:K9015,"0",B2535:B9015,"5 1 1 1 3 12 31111 6 M59 70400 000241 0000R 00001*")</f>
        <v>0</v>
      </c>
      <c r="E2534"/>
      <c r="F2534" s="35">
        <f>SUMIFS(F2535:F9015,K2535:K9015,"0",B2535:B9015,"5 1 1 1 3 12 31111 6 M59 70400 000241 0000R 00001*")</f>
        <v>92052.89</v>
      </c>
      <c r="G2534" s="35">
        <f>SUMIFS(G2535:G9015,K2535:K9015,"0",B2535:B9015,"5 1 1 1 3 12 31111 6 M59 70400 000241 0000R 00001*")</f>
        <v>0</v>
      </c>
      <c r="H2534" s="35">
        <f t="shared" si="40"/>
        <v>92052.89</v>
      </c>
      <c r="I2534" s="35"/>
      <c r="K2534" t="s">
        <v>15</v>
      </c>
    </row>
    <row r="2535" spans="2:11" ht="24.75" x14ac:dyDescent="0.2">
      <c r="B2535" s="33" t="s">
        <v>3430</v>
      </c>
      <c r="C2535" s="33" t="s">
        <v>2924</v>
      </c>
      <c r="D2535" s="35">
        <f>SUMIFS(D2536:D9015,K2536:K9015,"0",B2536:B9015,"5 1 1 1 3 12 31111 6 M59 70400 000241 0000R 00001 00113*")-SUMIFS(E2536:E9015,K2536:K9015,"0",B2536:B9015,"5 1 1 1 3 12 31111 6 M59 70400 000241 0000R 00001 00113*")</f>
        <v>0</v>
      </c>
      <c r="E2535"/>
      <c r="F2535" s="35">
        <f>SUMIFS(F2536:F9015,K2536:K9015,"0",B2536:B9015,"5 1 1 1 3 12 31111 6 M59 70400 000241 0000R 00001 00113*")</f>
        <v>92052.89</v>
      </c>
      <c r="G2535" s="35">
        <f>SUMIFS(G2536:G9015,K2536:K9015,"0",B2536:B9015,"5 1 1 1 3 12 31111 6 M59 70400 000241 0000R 00001 00113*")</f>
        <v>0</v>
      </c>
      <c r="H2535" s="35">
        <f t="shared" si="40"/>
        <v>92052.89</v>
      </c>
      <c r="I2535" s="35"/>
      <c r="K2535" t="s">
        <v>15</v>
      </c>
    </row>
    <row r="2536" spans="2:11" ht="24.75" x14ac:dyDescent="0.2">
      <c r="B2536" s="33" t="s">
        <v>3431</v>
      </c>
      <c r="C2536" s="33" t="s">
        <v>1051</v>
      </c>
      <c r="D2536" s="35">
        <f>SUMIFS(D2537:D9015,K2537:K9015,"0",B2537:B9015,"5 1 1 1 3 12 31111 6 M59 70400 000241 0000R 00001 00113 015*")-SUMIFS(E2537:E9015,K2537:K9015,"0",B2537:B9015,"5 1 1 1 3 12 31111 6 M59 70400 000241 0000R 00001 00113 015*")</f>
        <v>0</v>
      </c>
      <c r="E2536"/>
      <c r="F2536" s="35">
        <f>SUMIFS(F2537:F9015,K2537:K9015,"0",B2537:B9015,"5 1 1 1 3 12 31111 6 M59 70400 000241 0000R 00001 00113 015*")</f>
        <v>92052.89</v>
      </c>
      <c r="G2536" s="35">
        <f>SUMIFS(G2537:G9015,K2537:K9015,"0",B2537:B9015,"5 1 1 1 3 12 31111 6 M59 70400 000241 0000R 00001 00113 015*")</f>
        <v>0</v>
      </c>
      <c r="H2536" s="35">
        <f t="shared" si="40"/>
        <v>92052.89</v>
      </c>
      <c r="I2536" s="35"/>
      <c r="K2536" t="s">
        <v>15</v>
      </c>
    </row>
    <row r="2537" spans="2:11" ht="33" x14ac:dyDescent="0.2">
      <c r="B2537" s="33" t="s">
        <v>3432</v>
      </c>
      <c r="C2537" s="33" t="s">
        <v>2927</v>
      </c>
      <c r="D2537" s="35">
        <f>SUMIFS(D2538:D9015,K2538:K9015,"0",B2538:B9015,"5 1 1 1 3 12 31111 6 M59 70400 000241 0000R 00001 00113 015 2111100*")-SUMIFS(E2538:E9015,K2538:K9015,"0",B2538:B9015,"5 1 1 1 3 12 31111 6 M59 70400 000241 0000R 00001 00113 015 2111100*")</f>
        <v>0</v>
      </c>
      <c r="E2537"/>
      <c r="F2537" s="35">
        <f>SUMIFS(F2538:F9015,K2538:K9015,"0",B2538:B9015,"5 1 1 1 3 12 31111 6 M59 70400 000241 0000R 00001 00113 015 2111100*")</f>
        <v>92052.89</v>
      </c>
      <c r="G2537" s="35">
        <f>SUMIFS(G2538:G9015,K2538:K9015,"0",B2538:B9015,"5 1 1 1 3 12 31111 6 M59 70400 000241 0000R 00001 00113 015 2111100*")</f>
        <v>0</v>
      </c>
      <c r="H2537" s="35">
        <f t="shared" si="40"/>
        <v>92052.89</v>
      </c>
      <c r="I2537" s="35"/>
      <c r="K2537" t="s">
        <v>15</v>
      </c>
    </row>
    <row r="2538" spans="2:11" ht="33" x14ac:dyDescent="0.2">
      <c r="B2538" s="33" t="s">
        <v>3433</v>
      </c>
      <c r="C2538" s="33" t="s">
        <v>660</v>
      </c>
      <c r="D2538" s="35">
        <f>SUMIFS(D2539:D9015,K2539:K9015,"0",B2539:B9015,"5 1 1 1 3 12 31111 6 M59 70400 000241 0000R 00001 00113 015 2111100 2024*")-SUMIFS(E2539:E9015,K2539:K9015,"0",B2539:B9015,"5 1 1 1 3 12 31111 6 M59 70400 000241 0000R 00001 00113 015 2111100 2024*")</f>
        <v>0</v>
      </c>
      <c r="E2538"/>
      <c r="F2538" s="35">
        <f>SUMIFS(F2539:F9015,K2539:K9015,"0",B2539:B9015,"5 1 1 1 3 12 31111 6 M59 70400 000241 0000R 00001 00113 015 2111100 2024*")</f>
        <v>92052.89</v>
      </c>
      <c r="G2538" s="35">
        <f>SUMIFS(G2539:G9015,K2539:K9015,"0",B2539:B9015,"5 1 1 1 3 12 31111 6 M59 70400 000241 0000R 00001 00113 015 2111100 2024*")</f>
        <v>0</v>
      </c>
      <c r="H2538" s="35">
        <f t="shared" si="40"/>
        <v>92052.89</v>
      </c>
      <c r="I2538" s="35"/>
      <c r="K2538" t="s">
        <v>15</v>
      </c>
    </row>
    <row r="2539" spans="2:11" ht="41.25" x14ac:dyDescent="0.2">
      <c r="B2539" s="33" t="s">
        <v>3434</v>
      </c>
      <c r="C2539" s="33" t="s">
        <v>662</v>
      </c>
      <c r="D2539" s="35">
        <f>SUMIFS(D2540:D9015,K2540:K9015,"0",B2540:B9015,"5 1 1 1 3 12 31111 6 M59 70400 000241 0000R 00001 00113 015 2111100 2024 CP1DD418*")-SUMIFS(E2540:E9015,K2540:K9015,"0",B2540:B9015,"5 1 1 1 3 12 31111 6 M59 70400 000241 0000R 00001 00113 015 2111100 2024 CP1DD418*")</f>
        <v>0</v>
      </c>
      <c r="E2539"/>
      <c r="F2539" s="35">
        <f>SUMIFS(F2540:F9015,K2540:K9015,"0",B2540:B9015,"5 1 1 1 3 12 31111 6 M59 70400 000241 0000R 00001 00113 015 2111100 2024 CP1DD418*")</f>
        <v>92052.89</v>
      </c>
      <c r="G2539" s="35">
        <f>SUMIFS(G2540:G9015,K2540:K9015,"0",B2540:B9015,"5 1 1 1 3 12 31111 6 M59 70400 000241 0000R 00001 00113 015 2111100 2024 CP1DD418*")</f>
        <v>0</v>
      </c>
      <c r="H2539" s="35">
        <f t="shared" si="40"/>
        <v>92052.89</v>
      </c>
      <c r="I2539" s="35"/>
      <c r="K2539" t="s">
        <v>15</v>
      </c>
    </row>
    <row r="2540" spans="2:11" ht="41.25" x14ac:dyDescent="0.2">
      <c r="B2540" s="33" t="s">
        <v>3435</v>
      </c>
      <c r="C2540" s="33" t="s">
        <v>282</v>
      </c>
      <c r="D2540" s="35">
        <f>SUMIFS(D2541:D9015,K2541:K9015,"0",B2541:B9015,"5 1 1 1 3 12 31111 6 M59 70400 000241 0000R 00001 00113 015 2111100 2024 CP1DD418 001*")-SUMIFS(E2541:E9015,K2541:K9015,"0",B2541:B9015,"5 1 1 1 3 12 31111 6 M59 70400 000241 0000R 00001 00113 015 2111100 2024 CP1DD418 001*")</f>
        <v>0</v>
      </c>
      <c r="E2540"/>
      <c r="F2540" s="35">
        <f>SUMIFS(F2541:F9015,K2541:K9015,"0",B2541:B9015,"5 1 1 1 3 12 31111 6 M59 70400 000241 0000R 00001 00113 015 2111100 2024 CP1DD418 001*")</f>
        <v>92052.89</v>
      </c>
      <c r="G2540" s="35">
        <f>SUMIFS(G2541:G9015,K2541:K9015,"0",B2541:B9015,"5 1 1 1 3 12 31111 6 M59 70400 000241 0000R 00001 00113 015 2111100 2024 CP1DD418 001*")</f>
        <v>0</v>
      </c>
      <c r="H2540" s="35">
        <f t="shared" si="40"/>
        <v>92052.89</v>
      </c>
      <c r="I2540" s="35"/>
      <c r="K2540" t="s">
        <v>15</v>
      </c>
    </row>
    <row r="2541" spans="2:11" ht="33" x14ac:dyDescent="0.2">
      <c r="B2541" s="31" t="s">
        <v>3436</v>
      </c>
      <c r="C2541" s="31" t="s">
        <v>2932</v>
      </c>
      <c r="D2541" s="34">
        <v>0</v>
      </c>
      <c r="E2541" s="34"/>
      <c r="F2541" s="34">
        <v>92052.89</v>
      </c>
      <c r="G2541" s="34">
        <v>0</v>
      </c>
      <c r="H2541" s="34">
        <f t="shared" si="40"/>
        <v>92052.89</v>
      </c>
      <c r="I2541" s="34"/>
      <c r="K2541" t="s">
        <v>38</v>
      </c>
    </row>
    <row r="2542" spans="2:11" ht="16.5" x14ac:dyDescent="0.2">
      <c r="B2542" s="33" t="s">
        <v>3437</v>
      </c>
      <c r="C2542" s="33" t="s">
        <v>3438</v>
      </c>
      <c r="D2542" s="35">
        <f>SUMIFS(D2543:D9015,K2543:K9015,"0",B2543:B9015,"5 1 1 1 3 12 31111 6 M59 70500*")-SUMIFS(E2543:E9015,K2543:K9015,"0",B2543:B9015,"5 1 1 1 3 12 31111 6 M59 70500*")</f>
        <v>0</v>
      </c>
      <c r="E2542"/>
      <c r="F2542" s="35">
        <f>SUMIFS(F2543:F9015,K2543:K9015,"0",B2543:B9015,"5 1 1 1 3 12 31111 6 M59 70500*")</f>
        <v>54758.22</v>
      </c>
      <c r="G2542" s="35">
        <f>SUMIFS(G2543:G9015,K2543:K9015,"0",B2543:B9015,"5 1 1 1 3 12 31111 6 M59 70500*")</f>
        <v>0</v>
      </c>
      <c r="H2542" s="35">
        <f t="shared" si="40"/>
        <v>54758.22</v>
      </c>
      <c r="I2542" s="35"/>
      <c r="K2542" t="s">
        <v>15</v>
      </c>
    </row>
    <row r="2543" spans="2:11" ht="16.5" x14ac:dyDescent="0.2">
      <c r="B2543" s="33" t="s">
        <v>3439</v>
      </c>
      <c r="C2543" s="33" t="s">
        <v>648</v>
      </c>
      <c r="D2543" s="35">
        <f>SUMIFS(D2544:D9015,K2544:K9015,"0",B2544:B9015,"5 1 1 1 3 12 31111 6 M59 70500 000132*")-SUMIFS(E2544:E9015,K2544:K9015,"0",B2544:B9015,"5 1 1 1 3 12 31111 6 M59 70500 000132*")</f>
        <v>0</v>
      </c>
      <c r="E2543"/>
      <c r="F2543" s="35">
        <f>SUMIFS(F2544:F9015,K2544:K9015,"0",B2544:B9015,"5 1 1 1 3 12 31111 6 M59 70500 000132*")</f>
        <v>54758.22</v>
      </c>
      <c r="G2543" s="35">
        <f>SUMIFS(G2544:G9015,K2544:K9015,"0",B2544:B9015,"5 1 1 1 3 12 31111 6 M59 70500 000132*")</f>
        <v>0</v>
      </c>
      <c r="H2543" s="35">
        <f t="shared" si="40"/>
        <v>54758.22</v>
      </c>
      <c r="I2543" s="35"/>
      <c r="K2543" t="s">
        <v>15</v>
      </c>
    </row>
    <row r="2544" spans="2:11" ht="16.5" x14ac:dyDescent="0.2">
      <c r="B2544" s="33" t="s">
        <v>3440</v>
      </c>
      <c r="C2544" s="33" t="s">
        <v>650</v>
      </c>
      <c r="D2544" s="35">
        <f>SUMIFS(D2545:D9015,K2545:K9015,"0",B2545:B9015,"5 1 1 1 3 12 31111 6 M59 70500 000132 0000R*")-SUMIFS(E2545:E9015,K2545:K9015,"0",B2545:B9015,"5 1 1 1 3 12 31111 6 M59 70500 000132 0000R*")</f>
        <v>0</v>
      </c>
      <c r="E2544"/>
      <c r="F2544" s="35">
        <f>SUMIFS(F2545:F9015,K2545:K9015,"0",B2545:B9015,"5 1 1 1 3 12 31111 6 M59 70500 000132 0000R*")</f>
        <v>54758.22</v>
      </c>
      <c r="G2544" s="35">
        <f>SUMIFS(G2545:G9015,K2545:K9015,"0",B2545:B9015,"5 1 1 1 3 12 31111 6 M59 70500 000132 0000R*")</f>
        <v>0</v>
      </c>
      <c r="H2544" s="35">
        <f t="shared" si="40"/>
        <v>54758.22</v>
      </c>
      <c r="I2544" s="35"/>
      <c r="K2544" t="s">
        <v>15</v>
      </c>
    </row>
    <row r="2545" spans="2:11" ht="24.75" x14ac:dyDescent="0.2">
      <c r="B2545" s="33" t="s">
        <v>3441</v>
      </c>
      <c r="C2545" s="33" t="s">
        <v>282</v>
      </c>
      <c r="D2545" s="35">
        <f>SUMIFS(D2546:D9015,K2546:K9015,"0",B2546:B9015,"5 1 1 1 3 12 31111 6 M59 70500 000132 0000R 00001*")-SUMIFS(E2546:E9015,K2546:K9015,"0",B2546:B9015,"5 1 1 1 3 12 31111 6 M59 70500 000132 0000R 00001*")</f>
        <v>0</v>
      </c>
      <c r="E2545"/>
      <c r="F2545" s="35">
        <f>SUMIFS(F2546:F9015,K2546:K9015,"0",B2546:B9015,"5 1 1 1 3 12 31111 6 M59 70500 000132 0000R 00001*")</f>
        <v>54758.22</v>
      </c>
      <c r="G2545" s="35">
        <f>SUMIFS(G2546:G9015,K2546:K9015,"0",B2546:B9015,"5 1 1 1 3 12 31111 6 M59 70500 000132 0000R 00001*")</f>
        <v>0</v>
      </c>
      <c r="H2545" s="35">
        <f t="shared" si="40"/>
        <v>54758.22</v>
      </c>
      <c r="I2545" s="35"/>
      <c r="K2545" t="s">
        <v>15</v>
      </c>
    </row>
    <row r="2546" spans="2:11" ht="24.75" x14ac:dyDescent="0.2">
      <c r="B2546" s="33" t="s">
        <v>3442</v>
      </c>
      <c r="C2546" s="33" t="s">
        <v>2924</v>
      </c>
      <c r="D2546" s="35">
        <f>SUMIFS(D2547:D9015,K2547:K9015,"0",B2547:B9015,"5 1 1 1 3 12 31111 6 M59 70500 000132 0000R 00001 00113*")-SUMIFS(E2547:E9015,K2547:K9015,"0",B2547:B9015,"5 1 1 1 3 12 31111 6 M59 70500 000132 0000R 00001 00113*")</f>
        <v>0</v>
      </c>
      <c r="E2546"/>
      <c r="F2546" s="35">
        <f>SUMIFS(F2547:F9015,K2547:K9015,"0",B2547:B9015,"5 1 1 1 3 12 31111 6 M59 70500 000132 0000R 00001 00113*")</f>
        <v>54758.22</v>
      </c>
      <c r="G2546" s="35">
        <f>SUMIFS(G2547:G9015,K2547:K9015,"0",B2547:B9015,"5 1 1 1 3 12 31111 6 M59 70500 000132 0000R 00001 00113*")</f>
        <v>0</v>
      </c>
      <c r="H2546" s="35">
        <f t="shared" si="40"/>
        <v>54758.22</v>
      </c>
      <c r="I2546" s="35"/>
      <c r="K2546" t="s">
        <v>15</v>
      </c>
    </row>
    <row r="2547" spans="2:11" ht="24.75" x14ac:dyDescent="0.2">
      <c r="B2547" s="33" t="s">
        <v>3443</v>
      </c>
      <c r="C2547" s="33" t="s">
        <v>1051</v>
      </c>
      <c r="D2547" s="35">
        <f>SUMIFS(D2548:D9015,K2548:K9015,"0",B2548:B9015,"5 1 1 1 3 12 31111 6 M59 70500 000132 0000R 00001 00113 015*")-SUMIFS(E2548:E9015,K2548:K9015,"0",B2548:B9015,"5 1 1 1 3 12 31111 6 M59 70500 000132 0000R 00001 00113 015*")</f>
        <v>0</v>
      </c>
      <c r="E2547"/>
      <c r="F2547" s="35">
        <f>SUMIFS(F2548:F9015,K2548:K9015,"0",B2548:B9015,"5 1 1 1 3 12 31111 6 M59 70500 000132 0000R 00001 00113 015*")</f>
        <v>54758.22</v>
      </c>
      <c r="G2547" s="35">
        <f>SUMIFS(G2548:G9015,K2548:K9015,"0",B2548:B9015,"5 1 1 1 3 12 31111 6 M59 70500 000132 0000R 00001 00113 015*")</f>
        <v>0</v>
      </c>
      <c r="H2547" s="35">
        <f t="shared" si="40"/>
        <v>54758.22</v>
      </c>
      <c r="I2547" s="35"/>
      <c r="K2547" t="s">
        <v>15</v>
      </c>
    </row>
    <row r="2548" spans="2:11" ht="33" x14ac:dyDescent="0.2">
      <c r="B2548" s="33" t="s">
        <v>3444</v>
      </c>
      <c r="C2548" s="33" t="s">
        <v>2927</v>
      </c>
      <c r="D2548" s="35">
        <f>SUMIFS(D2549:D9015,K2549:K9015,"0",B2549:B9015,"5 1 1 1 3 12 31111 6 M59 70500 000132 0000R 00001 00113 015 2111100*")-SUMIFS(E2549:E9015,K2549:K9015,"0",B2549:B9015,"5 1 1 1 3 12 31111 6 M59 70500 000132 0000R 00001 00113 015 2111100*")</f>
        <v>0</v>
      </c>
      <c r="E2548"/>
      <c r="F2548" s="35">
        <f>SUMIFS(F2549:F9015,K2549:K9015,"0",B2549:B9015,"5 1 1 1 3 12 31111 6 M59 70500 000132 0000R 00001 00113 015 2111100*")</f>
        <v>54758.22</v>
      </c>
      <c r="G2548" s="35">
        <f>SUMIFS(G2549:G9015,K2549:K9015,"0",B2549:B9015,"5 1 1 1 3 12 31111 6 M59 70500 000132 0000R 00001 00113 015 2111100*")</f>
        <v>0</v>
      </c>
      <c r="H2548" s="35">
        <f t="shared" si="40"/>
        <v>54758.22</v>
      </c>
      <c r="I2548" s="35"/>
      <c r="K2548" t="s">
        <v>15</v>
      </c>
    </row>
    <row r="2549" spans="2:11" ht="33" x14ac:dyDescent="0.2">
      <c r="B2549" s="33" t="s">
        <v>3445</v>
      </c>
      <c r="C2549" s="33" t="s">
        <v>660</v>
      </c>
      <c r="D2549" s="35">
        <f>SUMIFS(D2550:D9015,K2550:K9015,"0",B2550:B9015,"5 1 1 1 3 12 31111 6 M59 70500 000132 0000R 00001 00113 015 2111100 2024*")-SUMIFS(E2550:E9015,K2550:K9015,"0",B2550:B9015,"5 1 1 1 3 12 31111 6 M59 70500 000132 0000R 00001 00113 015 2111100 2024*")</f>
        <v>0</v>
      </c>
      <c r="E2549"/>
      <c r="F2549" s="35">
        <f>SUMIFS(F2550:F9015,K2550:K9015,"0",B2550:B9015,"5 1 1 1 3 12 31111 6 M59 70500 000132 0000R 00001 00113 015 2111100 2024*")</f>
        <v>54758.22</v>
      </c>
      <c r="G2549" s="35">
        <f>SUMIFS(G2550:G9015,K2550:K9015,"0",B2550:B9015,"5 1 1 1 3 12 31111 6 M59 70500 000132 0000R 00001 00113 015 2111100 2024*")</f>
        <v>0</v>
      </c>
      <c r="H2549" s="35">
        <f t="shared" si="40"/>
        <v>54758.22</v>
      </c>
      <c r="I2549" s="35"/>
      <c r="K2549" t="s">
        <v>15</v>
      </c>
    </row>
    <row r="2550" spans="2:11" ht="41.25" x14ac:dyDescent="0.2">
      <c r="B2550" s="33" t="s">
        <v>3446</v>
      </c>
      <c r="C2550" s="33" t="s">
        <v>1056</v>
      </c>
      <c r="D2550" s="35">
        <f>SUMIFS(D2551:D9015,K2551:K9015,"0",B2551:B9015,"5 1 1 1 3 12 31111 6 M59 70500 000132 0000R 00001 00113 015 2111100 2024 CP1DT395*")-SUMIFS(E2551:E9015,K2551:K9015,"0",B2551:B9015,"5 1 1 1 3 12 31111 6 M59 70500 000132 0000R 00001 00113 015 2111100 2024 CP1DT395*")</f>
        <v>0</v>
      </c>
      <c r="E2550"/>
      <c r="F2550" s="35">
        <f>SUMIFS(F2551:F9015,K2551:K9015,"0",B2551:B9015,"5 1 1 1 3 12 31111 6 M59 70500 000132 0000R 00001 00113 015 2111100 2024 CP1DT395*")</f>
        <v>54758.22</v>
      </c>
      <c r="G2550" s="35">
        <f>SUMIFS(G2551:G9015,K2551:K9015,"0",B2551:B9015,"5 1 1 1 3 12 31111 6 M59 70500 000132 0000R 00001 00113 015 2111100 2024 CP1DT395*")</f>
        <v>0</v>
      </c>
      <c r="H2550" s="35">
        <f t="shared" si="40"/>
        <v>54758.22</v>
      </c>
      <c r="I2550" s="35"/>
      <c r="K2550" t="s">
        <v>15</v>
      </c>
    </row>
    <row r="2551" spans="2:11" ht="41.25" x14ac:dyDescent="0.2">
      <c r="B2551" s="33" t="s">
        <v>3447</v>
      </c>
      <c r="C2551" s="33" t="s">
        <v>282</v>
      </c>
      <c r="D2551" s="35">
        <f>SUMIFS(D2552:D9015,K2552:K9015,"0",B2552:B9015,"5 1 1 1 3 12 31111 6 M59 70500 000132 0000R 00001 00113 015 2111100 2024 CP1DT395 001*")-SUMIFS(E2552:E9015,K2552:K9015,"0",B2552:B9015,"5 1 1 1 3 12 31111 6 M59 70500 000132 0000R 00001 00113 015 2111100 2024 CP1DT395 001*")</f>
        <v>0</v>
      </c>
      <c r="E2551"/>
      <c r="F2551" s="35">
        <f>SUMIFS(F2552:F9015,K2552:K9015,"0",B2552:B9015,"5 1 1 1 3 12 31111 6 M59 70500 000132 0000R 00001 00113 015 2111100 2024 CP1DT395 001*")</f>
        <v>54758.22</v>
      </c>
      <c r="G2551" s="35">
        <f>SUMIFS(G2552:G9015,K2552:K9015,"0",B2552:B9015,"5 1 1 1 3 12 31111 6 M59 70500 000132 0000R 00001 00113 015 2111100 2024 CP1DT395 001*")</f>
        <v>0</v>
      </c>
      <c r="H2551" s="35">
        <f t="shared" si="40"/>
        <v>54758.22</v>
      </c>
      <c r="I2551" s="35"/>
      <c r="K2551" t="s">
        <v>15</v>
      </c>
    </row>
    <row r="2552" spans="2:11" ht="33" x14ac:dyDescent="0.2">
      <c r="B2552" s="31" t="s">
        <v>3448</v>
      </c>
      <c r="C2552" s="31" t="s">
        <v>2932</v>
      </c>
      <c r="D2552" s="34">
        <v>0</v>
      </c>
      <c r="E2552" s="34"/>
      <c r="F2552" s="34">
        <v>54758.22</v>
      </c>
      <c r="G2552" s="34">
        <v>0</v>
      </c>
      <c r="H2552" s="34">
        <f t="shared" si="40"/>
        <v>54758.22</v>
      </c>
      <c r="I2552" s="34"/>
      <c r="K2552" t="s">
        <v>38</v>
      </c>
    </row>
    <row r="2553" spans="2:11" ht="16.5" x14ac:dyDescent="0.2">
      <c r="B2553" s="33" t="s">
        <v>3449</v>
      </c>
      <c r="C2553" s="33" t="s">
        <v>3450</v>
      </c>
      <c r="D2553" s="35">
        <f>SUMIFS(D2554:D9015,K2554:K9015,"0",B2554:B9015,"5 1 1 1 3 12 31111 6 M59 70600*")-SUMIFS(E2554:E9015,K2554:K9015,"0",B2554:B9015,"5 1 1 1 3 12 31111 6 M59 70600*")</f>
        <v>0</v>
      </c>
      <c r="E2553"/>
      <c r="F2553" s="35">
        <f>SUMIFS(F2554:F9015,K2554:K9015,"0",B2554:B9015,"5 1 1 1 3 12 31111 6 M59 70600*")</f>
        <v>49162.080000000002</v>
      </c>
      <c r="G2553" s="35">
        <f>SUMIFS(G2554:G9015,K2554:K9015,"0",B2554:B9015,"5 1 1 1 3 12 31111 6 M59 70600*")</f>
        <v>0</v>
      </c>
      <c r="H2553" s="35">
        <f t="shared" si="40"/>
        <v>49162.080000000002</v>
      </c>
      <c r="I2553" s="35"/>
      <c r="K2553" t="s">
        <v>15</v>
      </c>
    </row>
    <row r="2554" spans="2:11" ht="16.5" x14ac:dyDescent="0.2">
      <c r="B2554" s="33" t="s">
        <v>3451</v>
      </c>
      <c r="C2554" s="33" t="s">
        <v>648</v>
      </c>
      <c r="D2554" s="35">
        <f>SUMIFS(D2555:D9015,K2555:K9015,"0",B2555:B9015,"5 1 1 1 3 12 31111 6 M59 70600 000132*")-SUMIFS(E2555:E9015,K2555:K9015,"0",B2555:B9015,"5 1 1 1 3 12 31111 6 M59 70600 000132*")</f>
        <v>0</v>
      </c>
      <c r="E2554"/>
      <c r="F2554" s="35">
        <f>SUMIFS(F2555:F9015,K2555:K9015,"0",B2555:B9015,"5 1 1 1 3 12 31111 6 M59 70600 000132*")</f>
        <v>49162.080000000002</v>
      </c>
      <c r="G2554" s="35">
        <f>SUMIFS(G2555:G9015,K2555:K9015,"0",B2555:B9015,"5 1 1 1 3 12 31111 6 M59 70600 000132*")</f>
        <v>0</v>
      </c>
      <c r="H2554" s="35">
        <f t="shared" si="40"/>
        <v>49162.080000000002</v>
      </c>
      <c r="I2554" s="35"/>
      <c r="K2554" t="s">
        <v>15</v>
      </c>
    </row>
    <row r="2555" spans="2:11" ht="16.5" x14ac:dyDescent="0.2">
      <c r="B2555" s="33" t="s">
        <v>3452</v>
      </c>
      <c r="C2555" s="33" t="s">
        <v>650</v>
      </c>
      <c r="D2555" s="35">
        <f>SUMIFS(D2556:D9015,K2556:K9015,"0",B2556:B9015,"5 1 1 1 3 12 31111 6 M59 70600 000132 0000R*")-SUMIFS(E2556:E9015,K2556:K9015,"0",B2556:B9015,"5 1 1 1 3 12 31111 6 M59 70600 000132 0000R*")</f>
        <v>0</v>
      </c>
      <c r="E2555"/>
      <c r="F2555" s="35">
        <f>SUMIFS(F2556:F9015,K2556:K9015,"0",B2556:B9015,"5 1 1 1 3 12 31111 6 M59 70600 000132 0000R*")</f>
        <v>49162.080000000002</v>
      </c>
      <c r="G2555" s="35">
        <f>SUMIFS(G2556:G9015,K2556:K9015,"0",B2556:B9015,"5 1 1 1 3 12 31111 6 M59 70600 000132 0000R*")</f>
        <v>0</v>
      </c>
      <c r="H2555" s="35">
        <f t="shared" si="40"/>
        <v>49162.080000000002</v>
      </c>
      <c r="I2555" s="35"/>
      <c r="K2555" t="s">
        <v>15</v>
      </c>
    </row>
    <row r="2556" spans="2:11" ht="24.75" x14ac:dyDescent="0.2">
      <c r="B2556" s="33" t="s">
        <v>3453</v>
      </c>
      <c r="C2556" s="33" t="s">
        <v>282</v>
      </c>
      <c r="D2556" s="35">
        <f>SUMIFS(D2557:D9015,K2557:K9015,"0",B2557:B9015,"5 1 1 1 3 12 31111 6 M59 70600 000132 0000R 00001*")-SUMIFS(E2557:E9015,K2557:K9015,"0",B2557:B9015,"5 1 1 1 3 12 31111 6 M59 70600 000132 0000R 00001*")</f>
        <v>0</v>
      </c>
      <c r="E2556"/>
      <c r="F2556" s="35">
        <f>SUMIFS(F2557:F9015,K2557:K9015,"0",B2557:B9015,"5 1 1 1 3 12 31111 6 M59 70600 000132 0000R 00001*")</f>
        <v>49162.080000000002</v>
      </c>
      <c r="G2556" s="35">
        <f>SUMIFS(G2557:G9015,K2557:K9015,"0",B2557:B9015,"5 1 1 1 3 12 31111 6 M59 70600 000132 0000R 00001*")</f>
        <v>0</v>
      </c>
      <c r="H2556" s="35">
        <f t="shared" si="40"/>
        <v>49162.080000000002</v>
      </c>
      <c r="I2556" s="35"/>
      <c r="K2556" t="s">
        <v>15</v>
      </c>
    </row>
    <row r="2557" spans="2:11" ht="24.75" x14ac:dyDescent="0.2">
      <c r="B2557" s="33" t="s">
        <v>3454</v>
      </c>
      <c r="C2557" s="33" t="s">
        <v>2924</v>
      </c>
      <c r="D2557" s="35">
        <f>SUMIFS(D2558:D9015,K2558:K9015,"0",B2558:B9015,"5 1 1 1 3 12 31111 6 M59 70600 000132 0000R 00001 00113*")-SUMIFS(E2558:E9015,K2558:K9015,"0",B2558:B9015,"5 1 1 1 3 12 31111 6 M59 70600 000132 0000R 00001 00113*")</f>
        <v>0</v>
      </c>
      <c r="E2557"/>
      <c r="F2557" s="35">
        <f>SUMIFS(F2558:F9015,K2558:K9015,"0",B2558:B9015,"5 1 1 1 3 12 31111 6 M59 70600 000132 0000R 00001 00113*")</f>
        <v>49162.080000000002</v>
      </c>
      <c r="G2557" s="35">
        <f>SUMIFS(G2558:G9015,K2558:K9015,"0",B2558:B9015,"5 1 1 1 3 12 31111 6 M59 70600 000132 0000R 00001 00113*")</f>
        <v>0</v>
      </c>
      <c r="H2557" s="35">
        <f t="shared" si="40"/>
        <v>49162.080000000002</v>
      </c>
      <c r="I2557" s="35"/>
      <c r="K2557" t="s">
        <v>15</v>
      </c>
    </row>
    <row r="2558" spans="2:11" ht="24.75" x14ac:dyDescent="0.2">
      <c r="B2558" s="33" t="s">
        <v>3455</v>
      </c>
      <c r="C2558" s="33" t="s">
        <v>1051</v>
      </c>
      <c r="D2558" s="35">
        <f>SUMIFS(D2559:D9015,K2559:K9015,"0",B2559:B9015,"5 1 1 1 3 12 31111 6 M59 70600 000132 0000R 00001 00113 015*")-SUMIFS(E2559:E9015,K2559:K9015,"0",B2559:B9015,"5 1 1 1 3 12 31111 6 M59 70600 000132 0000R 00001 00113 015*")</f>
        <v>0</v>
      </c>
      <c r="E2558"/>
      <c r="F2558" s="35">
        <f>SUMIFS(F2559:F9015,K2559:K9015,"0",B2559:B9015,"5 1 1 1 3 12 31111 6 M59 70600 000132 0000R 00001 00113 015*")</f>
        <v>49162.080000000002</v>
      </c>
      <c r="G2558" s="35">
        <f>SUMIFS(G2559:G9015,K2559:K9015,"0",B2559:B9015,"5 1 1 1 3 12 31111 6 M59 70600 000132 0000R 00001 00113 015*")</f>
        <v>0</v>
      </c>
      <c r="H2558" s="35">
        <f t="shared" si="40"/>
        <v>49162.080000000002</v>
      </c>
      <c r="I2558" s="35"/>
      <c r="K2558" t="s">
        <v>15</v>
      </c>
    </row>
    <row r="2559" spans="2:11" ht="33" x14ac:dyDescent="0.2">
      <c r="B2559" s="33" t="s">
        <v>3456</v>
      </c>
      <c r="C2559" s="33" t="s">
        <v>2927</v>
      </c>
      <c r="D2559" s="35">
        <f>SUMIFS(D2560:D9015,K2560:K9015,"0",B2560:B9015,"5 1 1 1 3 12 31111 6 M59 70600 000132 0000R 00001 00113 015 2111100*")-SUMIFS(E2560:E9015,K2560:K9015,"0",B2560:B9015,"5 1 1 1 3 12 31111 6 M59 70600 000132 0000R 00001 00113 015 2111100*")</f>
        <v>0</v>
      </c>
      <c r="E2559"/>
      <c r="F2559" s="35">
        <f>SUMIFS(F2560:F9015,K2560:K9015,"0",B2560:B9015,"5 1 1 1 3 12 31111 6 M59 70600 000132 0000R 00001 00113 015 2111100*")</f>
        <v>49162.080000000002</v>
      </c>
      <c r="G2559" s="35">
        <f>SUMIFS(G2560:G9015,K2560:K9015,"0",B2560:B9015,"5 1 1 1 3 12 31111 6 M59 70600 000132 0000R 00001 00113 015 2111100*")</f>
        <v>0</v>
      </c>
      <c r="H2559" s="35">
        <f t="shared" si="40"/>
        <v>49162.080000000002</v>
      </c>
      <c r="I2559" s="35"/>
      <c r="K2559" t="s">
        <v>15</v>
      </c>
    </row>
    <row r="2560" spans="2:11" ht="33" x14ac:dyDescent="0.2">
      <c r="B2560" s="33" t="s">
        <v>3457</v>
      </c>
      <c r="C2560" s="33" t="s">
        <v>660</v>
      </c>
      <c r="D2560" s="35">
        <f>SUMIFS(D2561:D9015,K2561:K9015,"0",B2561:B9015,"5 1 1 1 3 12 31111 6 M59 70600 000132 0000R 00001 00113 015 2111100 2024*")-SUMIFS(E2561:E9015,K2561:K9015,"0",B2561:B9015,"5 1 1 1 3 12 31111 6 M59 70600 000132 0000R 00001 00113 015 2111100 2024*")</f>
        <v>0</v>
      </c>
      <c r="E2560"/>
      <c r="F2560" s="35">
        <f>SUMIFS(F2561:F9015,K2561:K9015,"0",B2561:B9015,"5 1 1 1 3 12 31111 6 M59 70600 000132 0000R 00001 00113 015 2111100 2024*")</f>
        <v>49162.080000000002</v>
      </c>
      <c r="G2560" s="35">
        <f>SUMIFS(G2561:G9015,K2561:K9015,"0",B2561:B9015,"5 1 1 1 3 12 31111 6 M59 70600 000132 0000R 00001 00113 015 2111100 2024*")</f>
        <v>0</v>
      </c>
      <c r="H2560" s="35">
        <f t="shared" si="40"/>
        <v>49162.080000000002</v>
      </c>
      <c r="I2560" s="35"/>
      <c r="K2560" t="s">
        <v>15</v>
      </c>
    </row>
    <row r="2561" spans="2:11" ht="41.25" x14ac:dyDescent="0.2">
      <c r="B2561" s="33" t="s">
        <v>3458</v>
      </c>
      <c r="C2561" s="33" t="s">
        <v>1056</v>
      </c>
      <c r="D2561" s="35">
        <f>SUMIFS(D2562:D9015,K2562:K9015,"0",B2562:B9015,"5 1 1 1 3 12 31111 6 M59 70600 000132 0000R 00001 00113 015 2111100 2024 CP1DJ409*")-SUMIFS(E2562:E9015,K2562:K9015,"0",B2562:B9015,"5 1 1 1 3 12 31111 6 M59 70600 000132 0000R 00001 00113 015 2111100 2024 CP1DJ409*")</f>
        <v>0</v>
      </c>
      <c r="E2561"/>
      <c r="F2561" s="35">
        <f>SUMIFS(F2562:F9015,K2562:K9015,"0",B2562:B9015,"5 1 1 1 3 12 31111 6 M59 70600 000132 0000R 00001 00113 015 2111100 2024 CP1DJ409*")</f>
        <v>49162.080000000002</v>
      </c>
      <c r="G2561" s="35">
        <f>SUMIFS(G2562:G9015,K2562:K9015,"0",B2562:B9015,"5 1 1 1 3 12 31111 6 M59 70600 000132 0000R 00001 00113 015 2111100 2024 CP1DJ409*")</f>
        <v>0</v>
      </c>
      <c r="H2561" s="35">
        <f t="shared" si="40"/>
        <v>49162.080000000002</v>
      </c>
      <c r="I2561" s="35"/>
      <c r="K2561" t="s">
        <v>15</v>
      </c>
    </row>
    <row r="2562" spans="2:11" ht="41.25" x14ac:dyDescent="0.2">
      <c r="B2562" s="33" t="s">
        <v>3459</v>
      </c>
      <c r="C2562" s="33" t="s">
        <v>282</v>
      </c>
      <c r="D2562" s="35">
        <f>SUMIFS(D2563:D9015,K2563:K9015,"0",B2563:B9015,"5 1 1 1 3 12 31111 6 M59 70600 000132 0000R 00001 00113 015 2111100 2024 CP1DJ409 001*")-SUMIFS(E2563:E9015,K2563:K9015,"0",B2563:B9015,"5 1 1 1 3 12 31111 6 M59 70600 000132 0000R 00001 00113 015 2111100 2024 CP1DJ409 001*")</f>
        <v>0</v>
      </c>
      <c r="E2562"/>
      <c r="F2562" s="35">
        <f>SUMIFS(F2563:F9015,K2563:K9015,"0",B2563:B9015,"5 1 1 1 3 12 31111 6 M59 70600 000132 0000R 00001 00113 015 2111100 2024 CP1DJ409 001*")</f>
        <v>49162.080000000002</v>
      </c>
      <c r="G2562" s="35">
        <f>SUMIFS(G2563:G9015,K2563:K9015,"0",B2563:B9015,"5 1 1 1 3 12 31111 6 M59 70600 000132 0000R 00001 00113 015 2111100 2024 CP1DJ409 001*")</f>
        <v>0</v>
      </c>
      <c r="H2562" s="35">
        <f t="shared" si="40"/>
        <v>49162.080000000002</v>
      </c>
      <c r="I2562" s="35"/>
      <c r="K2562" t="s">
        <v>15</v>
      </c>
    </row>
    <row r="2563" spans="2:11" ht="33" x14ac:dyDescent="0.2">
      <c r="B2563" s="31" t="s">
        <v>3460</v>
      </c>
      <c r="C2563" s="31" t="s">
        <v>2932</v>
      </c>
      <c r="D2563" s="34">
        <v>0</v>
      </c>
      <c r="E2563" s="34"/>
      <c r="F2563" s="34">
        <v>49162.080000000002</v>
      </c>
      <c r="G2563" s="34">
        <v>0</v>
      </c>
      <c r="H2563" s="34">
        <f t="shared" si="40"/>
        <v>49162.080000000002</v>
      </c>
      <c r="I2563" s="34"/>
      <c r="K2563" t="s">
        <v>38</v>
      </c>
    </row>
    <row r="2564" spans="2:11" ht="16.5" x14ac:dyDescent="0.2">
      <c r="B2564" s="33" t="s">
        <v>3461</v>
      </c>
      <c r="C2564" s="33" t="s">
        <v>3462</v>
      </c>
      <c r="D2564" s="35">
        <f>SUMIFS(D2565:D9015,K2565:K9015,"0",B2565:B9015,"5 1 1 1 3 12 31111 6 M59 70700*")-SUMIFS(E2565:E9015,K2565:K9015,"0",B2565:B9015,"5 1 1 1 3 12 31111 6 M59 70700*")</f>
        <v>0</v>
      </c>
      <c r="E2564"/>
      <c r="F2564" s="35">
        <f>SUMIFS(F2565:F9015,K2565:K9015,"0",B2565:B9015,"5 1 1 1 3 12 31111 6 M59 70700*")</f>
        <v>512271.97</v>
      </c>
      <c r="G2564" s="35">
        <f>SUMIFS(G2565:G9015,K2565:K9015,"0",B2565:B9015,"5 1 1 1 3 12 31111 6 M59 70700*")</f>
        <v>0</v>
      </c>
      <c r="H2564" s="35">
        <f t="shared" ref="H2564:H2627" si="41">D2564 + F2564 - G2564</f>
        <v>512271.97</v>
      </c>
      <c r="I2564" s="35"/>
      <c r="K2564" t="s">
        <v>15</v>
      </c>
    </row>
    <row r="2565" spans="2:11" ht="16.5" x14ac:dyDescent="0.2">
      <c r="B2565" s="33" t="s">
        <v>3463</v>
      </c>
      <c r="C2565" s="33" t="s">
        <v>648</v>
      </c>
      <c r="D2565" s="35">
        <f>SUMIFS(D2566:D9015,K2566:K9015,"0",B2566:B9015,"5 1 1 1 3 12 31111 6 M59 70700 000132*")-SUMIFS(E2566:E9015,K2566:K9015,"0",B2566:B9015,"5 1 1 1 3 12 31111 6 M59 70700 000132*")</f>
        <v>0</v>
      </c>
      <c r="E2565"/>
      <c r="F2565" s="35">
        <f>SUMIFS(F2566:F9015,K2566:K9015,"0",B2566:B9015,"5 1 1 1 3 12 31111 6 M59 70700 000132*")</f>
        <v>512271.97</v>
      </c>
      <c r="G2565" s="35">
        <f>SUMIFS(G2566:G9015,K2566:K9015,"0",B2566:B9015,"5 1 1 1 3 12 31111 6 M59 70700 000132*")</f>
        <v>0</v>
      </c>
      <c r="H2565" s="35">
        <f t="shared" si="41"/>
        <v>512271.97</v>
      </c>
      <c r="I2565" s="35"/>
      <c r="K2565" t="s">
        <v>15</v>
      </c>
    </row>
    <row r="2566" spans="2:11" ht="16.5" x14ac:dyDescent="0.2">
      <c r="B2566" s="33" t="s">
        <v>3464</v>
      </c>
      <c r="C2566" s="33" t="s">
        <v>650</v>
      </c>
      <c r="D2566" s="35">
        <f>SUMIFS(D2567:D9015,K2567:K9015,"0",B2567:B9015,"5 1 1 1 3 12 31111 6 M59 70700 000132 0000R*")-SUMIFS(E2567:E9015,K2567:K9015,"0",B2567:B9015,"5 1 1 1 3 12 31111 6 M59 70700 000132 0000R*")</f>
        <v>0</v>
      </c>
      <c r="E2566"/>
      <c r="F2566" s="35">
        <f>SUMIFS(F2567:F9015,K2567:K9015,"0",B2567:B9015,"5 1 1 1 3 12 31111 6 M59 70700 000132 0000R*")</f>
        <v>512271.97</v>
      </c>
      <c r="G2566" s="35">
        <f>SUMIFS(G2567:G9015,K2567:K9015,"0",B2567:B9015,"5 1 1 1 3 12 31111 6 M59 70700 000132 0000R*")</f>
        <v>0</v>
      </c>
      <c r="H2566" s="35">
        <f t="shared" si="41"/>
        <v>512271.97</v>
      </c>
      <c r="I2566" s="35"/>
      <c r="K2566" t="s">
        <v>15</v>
      </c>
    </row>
    <row r="2567" spans="2:11" ht="24.75" x14ac:dyDescent="0.2">
      <c r="B2567" s="33" t="s">
        <v>3465</v>
      </c>
      <c r="C2567" s="33" t="s">
        <v>282</v>
      </c>
      <c r="D2567" s="35">
        <f>SUMIFS(D2568:D9015,K2568:K9015,"0",B2568:B9015,"5 1 1 1 3 12 31111 6 M59 70700 000132 0000R 00001*")-SUMIFS(E2568:E9015,K2568:K9015,"0",B2568:B9015,"5 1 1 1 3 12 31111 6 M59 70700 000132 0000R 00001*")</f>
        <v>0</v>
      </c>
      <c r="E2567"/>
      <c r="F2567" s="35">
        <f>SUMIFS(F2568:F9015,K2568:K9015,"0",B2568:B9015,"5 1 1 1 3 12 31111 6 M59 70700 000132 0000R 00001*")</f>
        <v>512271.97</v>
      </c>
      <c r="G2567" s="35">
        <f>SUMIFS(G2568:G9015,K2568:K9015,"0",B2568:B9015,"5 1 1 1 3 12 31111 6 M59 70700 000132 0000R 00001*")</f>
        <v>0</v>
      </c>
      <c r="H2567" s="35">
        <f t="shared" si="41"/>
        <v>512271.97</v>
      </c>
      <c r="I2567" s="35"/>
      <c r="K2567" t="s">
        <v>15</v>
      </c>
    </row>
    <row r="2568" spans="2:11" ht="24.75" x14ac:dyDescent="0.2">
      <c r="B2568" s="33" t="s">
        <v>3466</v>
      </c>
      <c r="C2568" s="33" t="s">
        <v>2924</v>
      </c>
      <c r="D2568" s="35">
        <f>SUMIFS(D2569:D9015,K2569:K9015,"0",B2569:B9015,"5 1 1 1 3 12 31111 6 M59 70700 000132 0000R 00001 00113*")-SUMIFS(E2569:E9015,K2569:K9015,"0",B2569:B9015,"5 1 1 1 3 12 31111 6 M59 70700 000132 0000R 00001 00113*")</f>
        <v>0</v>
      </c>
      <c r="E2568"/>
      <c r="F2568" s="35">
        <f>SUMIFS(F2569:F9015,K2569:K9015,"0",B2569:B9015,"5 1 1 1 3 12 31111 6 M59 70700 000132 0000R 00001 00113*")</f>
        <v>512271.97</v>
      </c>
      <c r="G2568" s="35">
        <f>SUMIFS(G2569:G9015,K2569:K9015,"0",B2569:B9015,"5 1 1 1 3 12 31111 6 M59 70700 000132 0000R 00001 00113*")</f>
        <v>0</v>
      </c>
      <c r="H2568" s="35">
        <f t="shared" si="41"/>
        <v>512271.97</v>
      </c>
      <c r="I2568" s="35"/>
      <c r="K2568" t="s">
        <v>15</v>
      </c>
    </row>
    <row r="2569" spans="2:11" ht="24.75" x14ac:dyDescent="0.2">
      <c r="B2569" s="33" t="s">
        <v>3467</v>
      </c>
      <c r="C2569" s="33" t="s">
        <v>1051</v>
      </c>
      <c r="D2569" s="35">
        <f>SUMIFS(D2570:D9015,K2570:K9015,"0",B2570:B9015,"5 1 1 1 3 12 31111 6 M59 70700 000132 0000R 00001 00113 015*")-SUMIFS(E2570:E9015,K2570:K9015,"0",B2570:B9015,"5 1 1 1 3 12 31111 6 M59 70700 000132 0000R 00001 00113 015*")</f>
        <v>0</v>
      </c>
      <c r="E2569"/>
      <c r="F2569" s="35">
        <f>SUMIFS(F2570:F9015,K2570:K9015,"0",B2570:B9015,"5 1 1 1 3 12 31111 6 M59 70700 000132 0000R 00001 00113 015*")</f>
        <v>512271.97</v>
      </c>
      <c r="G2569" s="35">
        <f>SUMIFS(G2570:G9015,K2570:K9015,"0",B2570:B9015,"5 1 1 1 3 12 31111 6 M59 70700 000132 0000R 00001 00113 015*")</f>
        <v>0</v>
      </c>
      <c r="H2569" s="35">
        <f t="shared" si="41"/>
        <v>512271.97</v>
      </c>
      <c r="I2569" s="35"/>
      <c r="K2569" t="s">
        <v>15</v>
      </c>
    </row>
    <row r="2570" spans="2:11" ht="33" x14ac:dyDescent="0.2">
      <c r="B2570" s="33" t="s">
        <v>3468</v>
      </c>
      <c r="C2570" s="33" t="s">
        <v>2927</v>
      </c>
      <c r="D2570" s="35">
        <f>SUMIFS(D2571:D9015,K2571:K9015,"0",B2571:B9015,"5 1 1 1 3 12 31111 6 M59 70700 000132 0000R 00001 00113 015 2111100*")-SUMIFS(E2571:E9015,K2571:K9015,"0",B2571:B9015,"5 1 1 1 3 12 31111 6 M59 70700 000132 0000R 00001 00113 015 2111100*")</f>
        <v>0</v>
      </c>
      <c r="E2570"/>
      <c r="F2570" s="35">
        <f>SUMIFS(F2571:F9015,K2571:K9015,"0",B2571:B9015,"5 1 1 1 3 12 31111 6 M59 70700 000132 0000R 00001 00113 015 2111100*")</f>
        <v>512271.97</v>
      </c>
      <c r="G2570" s="35">
        <f>SUMIFS(G2571:G9015,K2571:K9015,"0",B2571:B9015,"5 1 1 1 3 12 31111 6 M59 70700 000132 0000R 00001 00113 015 2111100*")</f>
        <v>0</v>
      </c>
      <c r="H2570" s="35">
        <f t="shared" si="41"/>
        <v>512271.97</v>
      </c>
      <c r="I2570" s="35"/>
      <c r="K2570" t="s">
        <v>15</v>
      </c>
    </row>
    <row r="2571" spans="2:11" ht="33" x14ac:dyDescent="0.2">
      <c r="B2571" s="33" t="s">
        <v>3469</v>
      </c>
      <c r="C2571" s="33" t="s">
        <v>660</v>
      </c>
      <c r="D2571" s="35">
        <f>SUMIFS(D2572:D9015,K2572:K9015,"0",B2572:B9015,"5 1 1 1 3 12 31111 6 M59 70700 000132 0000R 00001 00113 015 2111100 2024*")-SUMIFS(E2572:E9015,K2572:K9015,"0",B2572:B9015,"5 1 1 1 3 12 31111 6 M59 70700 000132 0000R 00001 00113 015 2111100 2024*")</f>
        <v>0</v>
      </c>
      <c r="E2571"/>
      <c r="F2571" s="35">
        <f>SUMIFS(F2572:F9015,K2572:K9015,"0",B2572:B9015,"5 1 1 1 3 12 31111 6 M59 70700 000132 0000R 00001 00113 015 2111100 2024*")</f>
        <v>512271.97</v>
      </c>
      <c r="G2571" s="35">
        <f>SUMIFS(G2572:G9015,K2572:K9015,"0",B2572:B9015,"5 1 1 1 3 12 31111 6 M59 70700 000132 0000R 00001 00113 015 2111100 2024*")</f>
        <v>0</v>
      </c>
      <c r="H2571" s="35">
        <f t="shared" si="41"/>
        <v>512271.97</v>
      </c>
      <c r="I2571" s="35"/>
      <c r="K2571" t="s">
        <v>15</v>
      </c>
    </row>
    <row r="2572" spans="2:11" ht="41.25" x14ac:dyDescent="0.2">
      <c r="B2572" s="33" t="s">
        <v>3470</v>
      </c>
      <c r="C2572" s="33" t="s">
        <v>1056</v>
      </c>
      <c r="D2572" s="35">
        <f>SUMIFS(D2573:D9015,K2573:K9015,"0",B2573:B9015,"5 1 1 1 3 12 31111 6 M59 70700 000132 0000R 00001 00113 015 2111100 2024 CP1SA397*")-SUMIFS(E2573:E9015,K2573:K9015,"0",B2573:B9015,"5 1 1 1 3 12 31111 6 M59 70700 000132 0000R 00001 00113 015 2111100 2024 CP1SA397*")</f>
        <v>0</v>
      </c>
      <c r="E2572"/>
      <c r="F2572" s="35">
        <f>SUMIFS(F2573:F9015,K2573:K9015,"0",B2573:B9015,"5 1 1 1 3 12 31111 6 M59 70700 000132 0000R 00001 00113 015 2111100 2024 CP1SA397*")</f>
        <v>512271.97</v>
      </c>
      <c r="G2572" s="35">
        <f>SUMIFS(G2573:G9015,K2573:K9015,"0",B2573:B9015,"5 1 1 1 3 12 31111 6 M59 70700 000132 0000R 00001 00113 015 2111100 2024 CP1SA397*")</f>
        <v>0</v>
      </c>
      <c r="H2572" s="35">
        <f t="shared" si="41"/>
        <v>512271.97</v>
      </c>
      <c r="I2572" s="35"/>
      <c r="K2572" t="s">
        <v>15</v>
      </c>
    </row>
    <row r="2573" spans="2:11" ht="41.25" x14ac:dyDescent="0.2">
      <c r="B2573" s="33" t="s">
        <v>3471</v>
      </c>
      <c r="C2573" s="33" t="s">
        <v>282</v>
      </c>
      <c r="D2573" s="35">
        <f>SUMIFS(D2574:D9015,K2574:K9015,"0",B2574:B9015,"5 1 1 1 3 12 31111 6 M59 70700 000132 0000R 00001 00113 015 2111100 2024 CP1SA397 001*")-SUMIFS(E2574:E9015,K2574:K9015,"0",B2574:B9015,"5 1 1 1 3 12 31111 6 M59 70700 000132 0000R 00001 00113 015 2111100 2024 CP1SA397 001*")</f>
        <v>0</v>
      </c>
      <c r="E2573"/>
      <c r="F2573" s="35">
        <f>SUMIFS(F2574:F9015,K2574:K9015,"0",B2574:B9015,"5 1 1 1 3 12 31111 6 M59 70700 000132 0000R 00001 00113 015 2111100 2024 CP1SA397 001*")</f>
        <v>512271.97</v>
      </c>
      <c r="G2573" s="35">
        <f>SUMIFS(G2574:G9015,K2574:K9015,"0",B2574:B9015,"5 1 1 1 3 12 31111 6 M59 70700 000132 0000R 00001 00113 015 2111100 2024 CP1SA397 001*")</f>
        <v>0</v>
      </c>
      <c r="H2573" s="35">
        <f t="shared" si="41"/>
        <v>512271.97</v>
      </c>
      <c r="I2573" s="35"/>
      <c r="K2573" t="s">
        <v>15</v>
      </c>
    </row>
    <row r="2574" spans="2:11" ht="33" x14ac:dyDescent="0.2">
      <c r="B2574" s="31" t="s">
        <v>3472</v>
      </c>
      <c r="C2574" s="31" t="s">
        <v>2932</v>
      </c>
      <c r="D2574" s="34">
        <v>0</v>
      </c>
      <c r="E2574" s="34"/>
      <c r="F2574" s="34">
        <v>512271.97</v>
      </c>
      <c r="G2574" s="34">
        <v>0</v>
      </c>
      <c r="H2574" s="34">
        <f t="shared" si="41"/>
        <v>512271.97</v>
      </c>
      <c r="I2574" s="34"/>
      <c r="K2574" t="s">
        <v>38</v>
      </c>
    </row>
    <row r="2575" spans="2:11" ht="16.5" x14ac:dyDescent="0.2">
      <c r="B2575" s="33" t="s">
        <v>3473</v>
      </c>
      <c r="C2575" s="33" t="s">
        <v>3474</v>
      </c>
      <c r="D2575" s="35">
        <f>SUMIFS(D2576:D9015,K2576:K9015,"0",B2576:B9015,"5 1 1 1 3 12 31111 6 M59 70800*")-SUMIFS(E2576:E9015,K2576:K9015,"0",B2576:B9015,"5 1 1 1 3 12 31111 6 M59 70800*")</f>
        <v>0</v>
      </c>
      <c r="E2575"/>
      <c r="F2575" s="35">
        <f>SUMIFS(F2576:F9015,K2576:K9015,"0",B2576:B9015,"5 1 1 1 3 12 31111 6 M59 70800*")</f>
        <v>136819.49</v>
      </c>
      <c r="G2575" s="35">
        <f>SUMIFS(G2576:G9015,K2576:K9015,"0",B2576:B9015,"5 1 1 1 3 12 31111 6 M59 70800*")</f>
        <v>0</v>
      </c>
      <c r="H2575" s="35">
        <f t="shared" si="41"/>
        <v>136819.49</v>
      </c>
      <c r="I2575" s="35"/>
      <c r="K2575" t="s">
        <v>15</v>
      </c>
    </row>
    <row r="2576" spans="2:11" ht="16.5" x14ac:dyDescent="0.2">
      <c r="B2576" s="33" t="s">
        <v>3475</v>
      </c>
      <c r="C2576" s="33" t="s">
        <v>648</v>
      </c>
      <c r="D2576" s="35">
        <f>SUMIFS(D2577:D9015,K2577:K9015,"0",B2577:B9015,"5 1 1 1 3 12 31111 6 M59 70800 000132*")-SUMIFS(E2577:E9015,K2577:K9015,"0",B2577:B9015,"5 1 1 1 3 12 31111 6 M59 70800 000132*")</f>
        <v>0</v>
      </c>
      <c r="E2576"/>
      <c r="F2576" s="35">
        <f>SUMIFS(F2577:F9015,K2577:K9015,"0",B2577:B9015,"5 1 1 1 3 12 31111 6 M59 70800 000132*")</f>
        <v>136819.49</v>
      </c>
      <c r="G2576" s="35">
        <f>SUMIFS(G2577:G9015,K2577:K9015,"0",B2577:B9015,"5 1 1 1 3 12 31111 6 M59 70800 000132*")</f>
        <v>0</v>
      </c>
      <c r="H2576" s="35">
        <f t="shared" si="41"/>
        <v>136819.49</v>
      </c>
      <c r="I2576" s="35"/>
      <c r="K2576" t="s">
        <v>15</v>
      </c>
    </row>
    <row r="2577" spans="2:11" ht="16.5" x14ac:dyDescent="0.2">
      <c r="B2577" s="33" t="s">
        <v>3476</v>
      </c>
      <c r="C2577" s="33" t="s">
        <v>650</v>
      </c>
      <c r="D2577" s="35">
        <f>SUMIFS(D2578:D9015,K2578:K9015,"0",B2578:B9015,"5 1 1 1 3 12 31111 6 M59 70800 000132 0000R*")-SUMIFS(E2578:E9015,K2578:K9015,"0",B2578:B9015,"5 1 1 1 3 12 31111 6 M59 70800 000132 0000R*")</f>
        <v>0</v>
      </c>
      <c r="E2577"/>
      <c r="F2577" s="35">
        <f>SUMIFS(F2578:F9015,K2578:K9015,"0",B2578:B9015,"5 1 1 1 3 12 31111 6 M59 70800 000132 0000R*")</f>
        <v>136819.49</v>
      </c>
      <c r="G2577" s="35">
        <f>SUMIFS(G2578:G9015,K2578:K9015,"0",B2578:B9015,"5 1 1 1 3 12 31111 6 M59 70800 000132 0000R*")</f>
        <v>0</v>
      </c>
      <c r="H2577" s="35">
        <f t="shared" si="41"/>
        <v>136819.49</v>
      </c>
      <c r="I2577" s="35"/>
      <c r="K2577" t="s">
        <v>15</v>
      </c>
    </row>
    <row r="2578" spans="2:11" ht="24.75" x14ac:dyDescent="0.2">
      <c r="B2578" s="33" t="s">
        <v>3477</v>
      </c>
      <c r="C2578" s="33" t="s">
        <v>282</v>
      </c>
      <c r="D2578" s="35">
        <f>SUMIFS(D2579:D9015,K2579:K9015,"0",B2579:B9015,"5 1 1 1 3 12 31111 6 M59 70800 000132 0000R 00001*")-SUMIFS(E2579:E9015,K2579:K9015,"0",B2579:B9015,"5 1 1 1 3 12 31111 6 M59 70800 000132 0000R 00001*")</f>
        <v>0</v>
      </c>
      <c r="E2578"/>
      <c r="F2578" s="35">
        <f>SUMIFS(F2579:F9015,K2579:K9015,"0",B2579:B9015,"5 1 1 1 3 12 31111 6 M59 70800 000132 0000R 00001*")</f>
        <v>136819.49</v>
      </c>
      <c r="G2578" s="35">
        <f>SUMIFS(G2579:G9015,K2579:K9015,"0",B2579:B9015,"5 1 1 1 3 12 31111 6 M59 70800 000132 0000R 00001*")</f>
        <v>0</v>
      </c>
      <c r="H2578" s="35">
        <f t="shared" si="41"/>
        <v>136819.49</v>
      </c>
      <c r="I2578" s="35"/>
      <c r="K2578" t="s">
        <v>15</v>
      </c>
    </row>
    <row r="2579" spans="2:11" ht="24.75" x14ac:dyDescent="0.2">
      <c r="B2579" s="33" t="s">
        <v>3478</v>
      </c>
      <c r="C2579" s="33" t="s">
        <v>2924</v>
      </c>
      <c r="D2579" s="35">
        <f>SUMIFS(D2580:D9015,K2580:K9015,"0",B2580:B9015,"5 1 1 1 3 12 31111 6 M59 70800 000132 0000R 00001 00113*")-SUMIFS(E2580:E9015,K2580:K9015,"0",B2580:B9015,"5 1 1 1 3 12 31111 6 M59 70800 000132 0000R 00001 00113*")</f>
        <v>0</v>
      </c>
      <c r="E2579"/>
      <c r="F2579" s="35">
        <f>SUMIFS(F2580:F9015,K2580:K9015,"0",B2580:B9015,"5 1 1 1 3 12 31111 6 M59 70800 000132 0000R 00001 00113*")</f>
        <v>136819.49</v>
      </c>
      <c r="G2579" s="35">
        <f>SUMIFS(G2580:G9015,K2580:K9015,"0",B2580:B9015,"5 1 1 1 3 12 31111 6 M59 70800 000132 0000R 00001 00113*")</f>
        <v>0</v>
      </c>
      <c r="H2579" s="35">
        <f t="shared" si="41"/>
        <v>136819.49</v>
      </c>
      <c r="I2579" s="35"/>
      <c r="K2579" t="s">
        <v>15</v>
      </c>
    </row>
    <row r="2580" spans="2:11" ht="24.75" x14ac:dyDescent="0.2">
      <c r="B2580" s="33" t="s">
        <v>3479</v>
      </c>
      <c r="C2580" s="33" t="s">
        <v>1051</v>
      </c>
      <c r="D2580" s="35">
        <f>SUMIFS(D2581:D9015,K2581:K9015,"0",B2581:B9015,"5 1 1 1 3 12 31111 6 M59 70800 000132 0000R 00001 00113 015*")-SUMIFS(E2581:E9015,K2581:K9015,"0",B2581:B9015,"5 1 1 1 3 12 31111 6 M59 70800 000132 0000R 00001 00113 015*")</f>
        <v>0</v>
      </c>
      <c r="E2580"/>
      <c r="F2580" s="35">
        <f>SUMIFS(F2581:F9015,K2581:K9015,"0",B2581:B9015,"5 1 1 1 3 12 31111 6 M59 70800 000132 0000R 00001 00113 015*")</f>
        <v>136819.49</v>
      </c>
      <c r="G2580" s="35">
        <f>SUMIFS(G2581:G9015,K2581:K9015,"0",B2581:B9015,"5 1 1 1 3 12 31111 6 M59 70800 000132 0000R 00001 00113 015*")</f>
        <v>0</v>
      </c>
      <c r="H2580" s="35">
        <f t="shared" si="41"/>
        <v>136819.49</v>
      </c>
      <c r="I2580" s="35"/>
      <c r="K2580" t="s">
        <v>15</v>
      </c>
    </row>
    <row r="2581" spans="2:11" ht="33" x14ac:dyDescent="0.2">
      <c r="B2581" s="33" t="s">
        <v>3480</v>
      </c>
      <c r="C2581" s="33" t="s">
        <v>2927</v>
      </c>
      <c r="D2581" s="35">
        <f>SUMIFS(D2582:D9015,K2582:K9015,"0",B2582:B9015,"5 1 1 1 3 12 31111 6 M59 70800 000132 0000R 00001 00113 015 2111100*")-SUMIFS(E2582:E9015,K2582:K9015,"0",B2582:B9015,"5 1 1 1 3 12 31111 6 M59 70800 000132 0000R 00001 00113 015 2111100*")</f>
        <v>0</v>
      </c>
      <c r="E2581"/>
      <c r="F2581" s="35">
        <f>SUMIFS(F2582:F9015,K2582:K9015,"0",B2582:B9015,"5 1 1 1 3 12 31111 6 M59 70800 000132 0000R 00001 00113 015 2111100*")</f>
        <v>136819.49</v>
      </c>
      <c r="G2581" s="35">
        <f>SUMIFS(G2582:G9015,K2582:K9015,"0",B2582:B9015,"5 1 1 1 3 12 31111 6 M59 70800 000132 0000R 00001 00113 015 2111100*")</f>
        <v>0</v>
      </c>
      <c r="H2581" s="35">
        <f t="shared" si="41"/>
        <v>136819.49</v>
      </c>
      <c r="I2581" s="35"/>
      <c r="K2581" t="s">
        <v>15</v>
      </c>
    </row>
    <row r="2582" spans="2:11" ht="33" x14ac:dyDescent="0.2">
      <c r="B2582" s="33" t="s">
        <v>3481</v>
      </c>
      <c r="C2582" s="33" t="s">
        <v>660</v>
      </c>
      <c r="D2582" s="35">
        <f>SUMIFS(D2583:D9015,K2583:K9015,"0",B2583:B9015,"5 1 1 1 3 12 31111 6 M59 70800 000132 0000R 00001 00113 015 2111100 2024*")-SUMIFS(E2583:E9015,K2583:K9015,"0",B2583:B9015,"5 1 1 1 3 12 31111 6 M59 70800 000132 0000R 00001 00113 015 2111100 2024*")</f>
        <v>0</v>
      </c>
      <c r="E2582"/>
      <c r="F2582" s="35">
        <f>SUMIFS(F2583:F9015,K2583:K9015,"0",B2583:B9015,"5 1 1 1 3 12 31111 6 M59 70800 000132 0000R 00001 00113 015 2111100 2024*")</f>
        <v>136819.49</v>
      </c>
      <c r="G2582" s="35">
        <f>SUMIFS(G2583:G9015,K2583:K9015,"0",B2583:B9015,"5 1 1 1 3 12 31111 6 M59 70800 000132 0000R 00001 00113 015 2111100 2024*")</f>
        <v>0</v>
      </c>
      <c r="H2582" s="35">
        <f t="shared" si="41"/>
        <v>136819.49</v>
      </c>
      <c r="I2582" s="35"/>
      <c r="K2582" t="s">
        <v>15</v>
      </c>
    </row>
    <row r="2583" spans="2:11" ht="41.25" x14ac:dyDescent="0.2">
      <c r="B2583" s="33" t="s">
        <v>3482</v>
      </c>
      <c r="C2583" s="33" t="s">
        <v>662</v>
      </c>
      <c r="D2583" s="35">
        <f>SUMIFS(D2584:D9015,K2584:K9015,"0",B2584:B9015,"5 1 1 1 3 12 31111 6 M59 70800 000132 0000R 00001 00113 015 2111100 2024 CP1ED416*")-SUMIFS(E2584:E9015,K2584:K9015,"0",B2584:B9015,"5 1 1 1 3 12 31111 6 M59 70800 000132 0000R 00001 00113 015 2111100 2024 CP1ED416*")</f>
        <v>0</v>
      </c>
      <c r="E2583"/>
      <c r="F2583" s="35">
        <f>SUMIFS(F2584:F9015,K2584:K9015,"0",B2584:B9015,"5 1 1 1 3 12 31111 6 M59 70800 000132 0000R 00001 00113 015 2111100 2024 CP1ED416*")</f>
        <v>136819.49</v>
      </c>
      <c r="G2583" s="35">
        <f>SUMIFS(G2584:G9015,K2584:K9015,"0",B2584:B9015,"5 1 1 1 3 12 31111 6 M59 70800 000132 0000R 00001 00113 015 2111100 2024 CP1ED416*")</f>
        <v>0</v>
      </c>
      <c r="H2583" s="35">
        <f t="shared" si="41"/>
        <v>136819.49</v>
      </c>
      <c r="I2583" s="35"/>
      <c r="K2583" t="s">
        <v>15</v>
      </c>
    </row>
    <row r="2584" spans="2:11" ht="41.25" x14ac:dyDescent="0.2">
      <c r="B2584" s="33" t="s">
        <v>3483</v>
      </c>
      <c r="C2584" s="33" t="s">
        <v>282</v>
      </c>
      <c r="D2584" s="35">
        <f>SUMIFS(D2585:D9015,K2585:K9015,"0",B2585:B9015,"5 1 1 1 3 12 31111 6 M59 70800 000132 0000R 00001 00113 015 2111100 2024 CP1ED416 001*")-SUMIFS(E2585:E9015,K2585:K9015,"0",B2585:B9015,"5 1 1 1 3 12 31111 6 M59 70800 000132 0000R 00001 00113 015 2111100 2024 CP1ED416 001*")</f>
        <v>0</v>
      </c>
      <c r="E2584"/>
      <c r="F2584" s="35">
        <f>SUMIFS(F2585:F9015,K2585:K9015,"0",B2585:B9015,"5 1 1 1 3 12 31111 6 M59 70800 000132 0000R 00001 00113 015 2111100 2024 CP1ED416 001*")</f>
        <v>136819.49</v>
      </c>
      <c r="G2584" s="35">
        <f>SUMIFS(G2585:G9015,K2585:K9015,"0",B2585:B9015,"5 1 1 1 3 12 31111 6 M59 70800 000132 0000R 00001 00113 015 2111100 2024 CP1ED416 001*")</f>
        <v>0</v>
      </c>
      <c r="H2584" s="35">
        <f t="shared" si="41"/>
        <v>136819.49</v>
      </c>
      <c r="I2584" s="35"/>
      <c r="K2584" t="s">
        <v>15</v>
      </c>
    </row>
    <row r="2585" spans="2:11" ht="33" x14ac:dyDescent="0.2">
      <c r="B2585" s="31" t="s">
        <v>3484</v>
      </c>
      <c r="C2585" s="31" t="s">
        <v>2932</v>
      </c>
      <c r="D2585" s="34">
        <v>0</v>
      </c>
      <c r="E2585" s="34"/>
      <c r="F2585" s="34">
        <v>136819.49</v>
      </c>
      <c r="G2585" s="34">
        <v>0</v>
      </c>
      <c r="H2585" s="34">
        <f t="shared" si="41"/>
        <v>136819.49</v>
      </c>
      <c r="I2585" s="34"/>
      <c r="K2585" t="s">
        <v>38</v>
      </c>
    </row>
    <row r="2586" spans="2:11" ht="16.5" x14ac:dyDescent="0.2">
      <c r="B2586" s="33" t="s">
        <v>3485</v>
      </c>
      <c r="C2586" s="33" t="s">
        <v>3486</v>
      </c>
      <c r="D2586" s="35">
        <f>SUMIFS(D2587:D9015,K2587:K9015,"0",B2587:B9015,"5 1 1 1 3 12 31111 6 M59 70900*")-SUMIFS(E2587:E9015,K2587:K9015,"0",B2587:B9015,"5 1 1 1 3 12 31111 6 M59 70900*")</f>
        <v>0</v>
      </c>
      <c r="E2586"/>
      <c r="F2586" s="35">
        <f>SUMIFS(F2587:F9015,K2587:K9015,"0",B2587:B9015,"5 1 1 1 3 12 31111 6 M59 70900*")</f>
        <v>45000</v>
      </c>
      <c r="G2586" s="35">
        <f>SUMIFS(G2587:G9015,K2587:K9015,"0",B2587:B9015,"5 1 1 1 3 12 31111 6 M59 70900*")</f>
        <v>0</v>
      </c>
      <c r="H2586" s="35">
        <f t="shared" si="41"/>
        <v>45000</v>
      </c>
      <c r="I2586" s="35"/>
      <c r="K2586" t="s">
        <v>15</v>
      </c>
    </row>
    <row r="2587" spans="2:11" ht="24.75" x14ac:dyDescent="0.2">
      <c r="B2587" s="33" t="s">
        <v>3487</v>
      </c>
      <c r="C2587" s="33" t="s">
        <v>3152</v>
      </c>
      <c r="D2587" s="35">
        <f>SUMIFS(D2588:D9015,K2588:K9015,"0",B2588:B9015,"5 1 1 1 3 12 31111 6 M59 70900 000181*")-SUMIFS(E2588:E9015,K2588:K9015,"0",B2588:B9015,"5 1 1 1 3 12 31111 6 M59 70900 000181*")</f>
        <v>0</v>
      </c>
      <c r="E2587"/>
      <c r="F2587" s="35">
        <f>SUMIFS(F2588:F9015,K2588:K9015,"0",B2588:B9015,"5 1 1 1 3 12 31111 6 M59 70900 000181*")</f>
        <v>45000</v>
      </c>
      <c r="G2587" s="35">
        <f>SUMIFS(G2588:G9015,K2588:K9015,"0",B2588:B9015,"5 1 1 1 3 12 31111 6 M59 70900 000181*")</f>
        <v>0</v>
      </c>
      <c r="H2587" s="35">
        <f t="shared" si="41"/>
        <v>45000</v>
      </c>
      <c r="I2587" s="35"/>
      <c r="K2587" t="s">
        <v>15</v>
      </c>
    </row>
    <row r="2588" spans="2:11" ht="16.5" x14ac:dyDescent="0.2">
      <c r="B2588" s="33" t="s">
        <v>3488</v>
      </c>
      <c r="C2588" s="33" t="s">
        <v>650</v>
      </c>
      <c r="D2588" s="35">
        <f>SUMIFS(D2589:D9015,K2589:K9015,"0",B2589:B9015,"5 1 1 1 3 12 31111 6 M59 70900 000181 0000R*")-SUMIFS(E2589:E9015,K2589:K9015,"0",B2589:B9015,"5 1 1 1 3 12 31111 6 M59 70900 000181 0000R*")</f>
        <v>0</v>
      </c>
      <c r="E2588"/>
      <c r="F2588" s="35">
        <f>SUMIFS(F2589:F9015,K2589:K9015,"0",B2589:B9015,"5 1 1 1 3 12 31111 6 M59 70900 000181 0000R*")</f>
        <v>45000</v>
      </c>
      <c r="G2588" s="35">
        <f>SUMIFS(G2589:G9015,K2589:K9015,"0",B2589:B9015,"5 1 1 1 3 12 31111 6 M59 70900 000181 0000R*")</f>
        <v>0</v>
      </c>
      <c r="H2588" s="35">
        <f t="shared" si="41"/>
        <v>45000</v>
      </c>
      <c r="I2588" s="35"/>
      <c r="K2588" t="s">
        <v>15</v>
      </c>
    </row>
    <row r="2589" spans="2:11" ht="24.75" x14ac:dyDescent="0.2">
      <c r="B2589" s="33" t="s">
        <v>3489</v>
      </c>
      <c r="C2589" s="33" t="s">
        <v>282</v>
      </c>
      <c r="D2589" s="35">
        <f>SUMIFS(D2590:D9015,K2590:K9015,"0",B2590:B9015,"5 1 1 1 3 12 31111 6 M59 70900 000181 0000R 00001*")-SUMIFS(E2590:E9015,K2590:K9015,"0",B2590:B9015,"5 1 1 1 3 12 31111 6 M59 70900 000181 0000R 00001*")</f>
        <v>0</v>
      </c>
      <c r="E2589"/>
      <c r="F2589" s="35">
        <f>SUMIFS(F2590:F9015,K2590:K9015,"0",B2590:B9015,"5 1 1 1 3 12 31111 6 M59 70900 000181 0000R 00001*")</f>
        <v>45000</v>
      </c>
      <c r="G2589" s="35">
        <f>SUMIFS(G2590:G9015,K2590:K9015,"0",B2590:B9015,"5 1 1 1 3 12 31111 6 M59 70900 000181 0000R 00001*")</f>
        <v>0</v>
      </c>
      <c r="H2589" s="35">
        <f t="shared" si="41"/>
        <v>45000</v>
      </c>
      <c r="I2589" s="35"/>
      <c r="K2589" t="s">
        <v>15</v>
      </c>
    </row>
    <row r="2590" spans="2:11" ht="24.75" x14ac:dyDescent="0.2">
      <c r="B2590" s="33" t="s">
        <v>3490</v>
      </c>
      <c r="C2590" s="33" t="s">
        <v>2924</v>
      </c>
      <c r="D2590" s="35">
        <f>SUMIFS(D2591:D9015,K2591:K9015,"0",B2591:B9015,"5 1 1 1 3 12 31111 6 M59 70900 000181 0000R 00001 00113*")-SUMIFS(E2591:E9015,K2591:K9015,"0",B2591:B9015,"5 1 1 1 3 12 31111 6 M59 70900 000181 0000R 00001 00113*")</f>
        <v>0</v>
      </c>
      <c r="E2590"/>
      <c r="F2590" s="35">
        <f>SUMIFS(F2591:F9015,K2591:K9015,"0",B2591:B9015,"5 1 1 1 3 12 31111 6 M59 70900 000181 0000R 00001 00113*")</f>
        <v>45000</v>
      </c>
      <c r="G2590" s="35">
        <f>SUMIFS(G2591:G9015,K2591:K9015,"0",B2591:B9015,"5 1 1 1 3 12 31111 6 M59 70900 000181 0000R 00001 00113*")</f>
        <v>0</v>
      </c>
      <c r="H2590" s="35">
        <f t="shared" si="41"/>
        <v>45000</v>
      </c>
      <c r="I2590" s="35"/>
      <c r="K2590" t="s">
        <v>15</v>
      </c>
    </row>
    <row r="2591" spans="2:11" ht="24.75" x14ac:dyDescent="0.2">
      <c r="B2591" s="33" t="s">
        <v>3491</v>
      </c>
      <c r="C2591" s="33" t="s">
        <v>1051</v>
      </c>
      <c r="D2591" s="35">
        <f>SUMIFS(D2592:D9015,K2592:K9015,"0",B2592:B9015,"5 1 1 1 3 12 31111 6 M59 70900 000181 0000R 00001 00113 015*")-SUMIFS(E2592:E9015,K2592:K9015,"0",B2592:B9015,"5 1 1 1 3 12 31111 6 M59 70900 000181 0000R 00001 00113 015*")</f>
        <v>0</v>
      </c>
      <c r="E2591"/>
      <c r="F2591" s="35">
        <f>SUMIFS(F2592:F9015,K2592:K9015,"0",B2592:B9015,"5 1 1 1 3 12 31111 6 M59 70900 000181 0000R 00001 00113 015*")</f>
        <v>45000</v>
      </c>
      <c r="G2591" s="35">
        <f>SUMIFS(G2592:G9015,K2592:K9015,"0",B2592:B9015,"5 1 1 1 3 12 31111 6 M59 70900 000181 0000R 00001 00113 015*")</f>
        <v>0</v>
      </c>
      <c r="H2591" s="35">
        <f t="shared" si="41"/>
        <v>45000</v>
      </c>
      <c r="I2591" s="35"/>
      <c r="K2591" t="s">
        <v>15</v>
      </c>
    </row>
    <row r="2592" spans="2:11" ht="33" x14ac:dyDescent="0.2">
      <c r="B2592" s="33" t="s">
        <v>3492</v>
      </c>
      <c r="C2592" s="33" t="s">
        <v>2927</v>
      </c>
      <c r="D2592" s="35">
        <f>SUMIFS(D2593:D9015,K2593:K9015,"0",B2593:B9015,"5 1 1 1 3 12 31111 6 M59 70900 000181 0000R 00001 00113 015 2111100*")-SUMIFS(E2593:E9015,K2593:K9015,"0",B2593:B9015,"5 1 1 1 3 12 31111 6 M59 70900 000181 0000R 00001 00113 015 2111100*")</f>
        <v>0</v>
      </c>
      <c r="E2592"/>
      <c r="F2592" s="35">
        <f>SUMIFS(F2593:F9015,K2593:K9015,"0",B2593:B9015,"5 1 1 1 3 12 31111 6 M59 70900 000181 0000R 00001 00113 015 2111100*")</f>
        <v>45000</v>
      </c>
      <c r="G2592" s="35">
        <f>SUMIFS(G2593:G9015,K2593:K9015,"0",B2593:B9015,"5 1 1 1 3 12 31111 6 M59 70900 000181 0000R 00001 00113 015 2111100*")</f>
        <v>0</v>
      </c>
      <c r="H2592" s="35">
        <f t="shared" si="41"/>
        <v>45000</v>
      </c>
      <c r="I2592" s="35"/>
      <c r="K2592" t="s">
        <v>15</v>
      </c>
    </row>
    <row r="2593" spans="2:11" ht="33" x14ac:dyDescent="0.2">
      <c r="B2593" s="33" t="s">
        <v>3493</v>
      </c>
      <c r="C2593" s="33" t="s">
        <v>660</v>
      </c>
      <c r="D2593" s="35">
        <f>SUMIFS(D2594:D9015,K2594:K9015,"0",B2594:B9015,"5 1 1 1 3 12 31111 6 M59 70900 000181 0000R 00001 00113 015 2111100 2024*")-SUMIFS(E2594:E9015,K2594:K9015,"0",B2594:B9015,"5 1 1 1 3 12 31111 6 M59 70900 000181 0000R 00001 00113 015 2111100 2024*")</f>
        <v>0</v>
      </c>
      <c r="E2593"/>
      <c r="F2593" s="35">
        <f>SUMIFS(F2594:F9015,K2594:K9015,"0",B2594:B9015,"5 1 1 1 3 12 31111 6 M59 70900 000181 0000R 00001 00113 015 2111100 2024*")</f>
        <v>45000</v>
      </c>
      <c r="G2593" s="35">
        <f>SUMIFS(G2594:G9015,K2594:K9015,"0",B2594:B9015,"5 1 1 1 3 12 31111 6 M59 70900 000181 0000R 00001 00113 015 2111100 2024*")</f>
        <v>0</v>
      </c>
      <c r="H2593" s="35">
        <f t="shared" si="41"/>
        <v>45000</v>
      </c>
      <c r="I2593" s="35"/>
      <c r="K2593" t="s">
        <v>15</v>
      </c>
    </row>
    <row r="2594" spans="2:11" ht="41.25" x14ac:dyDescent="0.2">
      <c r="B2594" s="33" t="s">
        <v>3494</v>
      </c>
      <c r="C2594" s="33" t="s">
        <v>3495</v>
      </c>
      <c r="D2594" s="35">
        <f>SUMIFS(D2595:D9015,K2595:K9015,"0",B2595:B9015,"5 1 1 1 3 12 31111 6 M59 70900 000181 0000R 00001 00113 015 2111100 2024 CP1EM392*")-SUMIFS(E2595:E9015,K2595:K9015,"0",B2595:B9015,"5 1 1 1 3 12 31111 6 M59 70900 000181 0000R 00001 00113 015 2111100 2024 CP1EM392*")</f>
        <v>0</v>
      </c>
      <c r="E2594"/>
      <c r="F2594" s="35">
        <f>SUMIFS(F2595:F9015,K2595:K9015,"0",B2595:B9015,"5 1 1 1 3 12 31111 6 M59 70900 000181 0000R 00001 00113 015 2111100 2024 CP1EM392*")</f>
        <v>45000</v>
      </c>
      <c r="G2594" s="35">
        <f>SUMIFS(G2595:G9015,K2595:K9015,"0",B2595:B9015,"5 1 1 1 3 12 31111 6 M59 70900 000181 0000R 00001 00113 015 2111100 2024 CP1EM392*")</f>
        <v>0</v>
      </c>
      <c r="H2594" s="35">
        <f t="shared" si="41"/>
        <v>45000</v>
      </c>
      <c r="I2594" s="35"/>
      <c r="K2594" t="s">
        <v>15</v>
      </c>
    </row>
    <row r="2595" spans="2:11" ht="41.25" x14ac:dyDescent="0.2">
      <c r="B2595" s="33" t="s">
        <v>3496</v>
      </c>
      <c r="C2595" s="33" t="s">
        <v>282</v>
      </c>
      <c r="D2595" s="35">
        <f>SUMIFS(D2596:D9015,K2596:K9015,"0",B2596:B9015,"5 1 1 1 3 12 31111 6 M59 70900 000181 0000R 00001 00113 015 2111100 2024 CP1EM392 001*")-SUMIFS(E2596:E9015,K2596:K9015,"0",B2596:B9015,"5 1 1 1 3 12 31111 6 M59 70900 000181 0000R 00001 00113 015 2111100 2024 CP1EM392 001*")</f>
        <v>0</v>
      </c>
      <c r="E2595"/>
      <c r="F2595" s="35">
        <f>SUMIFS(F2596:F9015,K2596:K9015,"0",B2596:B9015,"5 1 1 1 3 12 31111 6 M59 70900 000181 0000R 00001 00113 015 2111100 2024 CP1EM392 001*")</f>
        <v>45000</v>
      </c>
      <c r="G2595" s="35">
        <f>SUMIFS(G2596:G9015,K2596:K9015,"0",B2596:B9015,"5 1 1 1 3 12 31111 6 M59 70900 000181 0000R 00001 00113 015 2111100 2024 CP1EM392 001*")</f>
        <v>0</v>
      </c>
      <c r="H2595" s="35">
        <f t="shared" si="41"/>
        <v>45000</v>
      </c>
      <c r="I2595" s="35"/>
      <c r="K2595" t="s">
        <v>15</v>
      </c>
    </row>
    <row r="2596" spans="2:11" ht="33" x14ac:dyDescent="0.2">
      <c r="B2596" s="31" t="s">
        <v>3497</v>
      </c>
      <c r="C2596" s="31" t="s">
        <v>2932</v>
      </c>
      <c r="D2596" s="34">
        <v>0</v>
      </c>
      <c r="E2596" s="34"/>
      <c r="F2596" s="34">
        <v>45000</v>
      </c>
      <c r="G2596" s="34">
        <v>0</v>
      </c>
      <c r="H2596" s="34">
        <f t="shared" si="41"/>
        <v>45000</v>
      </c>
      <c r="I2596" s="34"/>
      <c r="K2596" t="s">
        <v>38</v>
      </c>
    </row>
    <row r="2597" spans="2:11" ht="16.5" x14ac:dyDescent="0.2">
      <c r="B2597" s="33" t="s">
        <v>3498</v>
      </c>
      <c r="C2597" s="33" t="s">
        <v>3499</v>
      </c>
      <c r="D2597" s="35">
        <f>SUMIFS(D2598:D9015,K2598:K9015,"0",B2598:B9015,"5 1 1 1 3 12 31111 6 M59 71000*")-SUMIFS(E2598:E9015,K2598:K9015,"0",B2598:B9015,"5 1 1 1 3 12 31111 6 M59 71000*")</f>
        <v>0</v>
      </c>
      <c r="E2597"/>
      <c r="F2597" s="35">
        <f>SUMIFS(F2598:F9015,K2598:K9015,"0",B2598:B9015,"5 1 1 1 3 12 31111 6 M59 71000*")</f>
        <v>86338.64</v>
      </c>
      <c r="G2597" s="35">
        <f>SUMIFS(G2598:G9015,K2598:K9015,"0",B2598:B9015,"5 1 1 1 3 12 31111 6 M59 71000*")</f>
        <v>0</v>
      </c>
      <c r="H2597" s="35">
        <f t="shared" si="41"/>
        <v>86338.64</v>
      </c>
      <c r="I2597" s="35"/>
      <c r="K2597" t="s">
        <v>15</v>
      </c>
    </row>
    <row r="2598" spans="2:11" ht="16.5" x14ac:dyDescent="0.2">
      <c r="B2598" s="33" t="s">
        <v>3500</v>
      </c>
      <c r="C2598" s="33" t="s">
        <v>648</v>
      </c>
      <c r="D2598" s="35">
        <f>SUMIFS(D2599:D9015,K2599:K9015,"0",B2599:B9015,"5 1 1 1 3 12 31111 6 M59 71000 000132*")-SUMIFS(E2599:E9015,K2599:K9015,"0",B2599:B9015,"5 1 1 1 3 12 31111 6 M59 71000 000132*")</f>
        <v>0</v>
      </c>
      <c r="E2598"/>
      <c r="F2598" s="35">
        <f>SUMIFS(F2599:F9015,K2599:K9015,"0",B2599:B9015,"5 1 1 1 3 12 31111 6 M59 71000 000132*")</f>
        <v>86338.64</v>
      </c>
      <c r="G2598" s="35">
        <f>SUMIFS(G2599:G9015,K2599:K9015,"0",B2599:B9015,"5 1 1 1 3 12 31111 6 M59 71000 000132*")</f>
        <v>0</v>
      </c>
      <c r="H2598" s="35">
        <f t="shared" si="41"/>
        <v>86338.64</v>
      </c>
      <c r="I2598" s="35"/>
      <c r="K2598" t="s">
        <v>15</v>
      </c>
    </row>
    <row r="2599" spans="2:11" ht="16.5" x14ac:dyDescent="0.2">
      <c r="B2599" s="33" t="s">
        <v>3501</v>
      </c>
      <c r="C2599" s="33" t="s">
        <v>650</v>
      </c>
      <c r="D2599" s="35">
        <f>SUMIFS(D2600:D9015,K2600:K9015,"0",B2600:B9015,"5 1 1 1 3 12 31111 6 M59 71000 000132 0000R*")-SUMIFS(E2600:E9015,K2600:K9015,"0",B2600:B9015,"5 1 1 1 3 12 31111 6 M59 71000 000132 0000R*")</f>
        <v>0</v>
      </c>
      <c r="E2599"/>
      <c r="F2599" s="35">
        <f>SUMIFS(F2600:F9015,K2600:K9015,"0",B2600:B9015,"5 1 1 1 3 12 31111 6 M59 71000 000132 0000R*")</f>
        <v>86338.64</v>
      </c>
      <c r="G2599" s="35">
        <f>SUMIFS(G2600:G9015,K2600:K9015,"0",B2600:B9015,"5 1 1 1 3 12 31111 6 M59 71000 000132 0000R*")</f>
        <v>0</v>
      </c>
      <c r="H2599" s="35">
        <f t="shared" si="41"/>
        <v>86338.64</v>
      </c>
      <c r="I2599" s="35"/>
      <c r="K2599" t="s">
        <v>15</v>
      </c>
    </row>
    <row r="2600" spans="2:11" ht="24.75" x14ac:dyDescent="0.2">
      <c r="B2600" s="33" t="s">
        <v>3502</v>
      </c>
      <c r="C2600" s="33" t="s">
        <v>282</v>
      </c>
      <c r="D2600" s="35">
        <f>SUMIFS(D2601:D9015,K2601:K9015,"0",B2601:B9015,"5 1 1 1 3 12 31111 6 M59 71000 000132 0000R 00001*")-SUMIFS(E2601:E9015,K2601:K9015,"0",B2601:B9015,"5 1 1 1 3 12 31111 6 M59 71000 000132 0000R 00001*")</f>
        <v>0</v>
      </c>
      <c r="E2600"/>
      <c r="F2600" s="35">
        <f>SUMIFS(F2601:F9015,K2601:K9015,"0",B2601:B9015,"5 1 1 1 3 12 31111 6 M59 71000 000132 0000R 00001*")</f>
        <v>86338.64</v>
      </c>
      <c r="G2600" s="35">
        <f>SUMIFS(G2601:G9015,K2601:K9015,"0",B2601:B9015,"5 1 1 1 3 12 31111 6 M59 71000 000132 0000R 00001*")</f>
        <v>0</v>
      </c>
      <c r="H2600" s="35">
        <f t="shared" si="41"/>
        <v>86338.64</v>
      </c>
      <c r="I2600" s="35"/>
      <c r="K2600" t="s">
        <v>15</v>
      </c>
    </row>
    <row r="2601" spans="2:11" ht="24.75" x14ac:dyDescent="0.2">
      <c r="B2601" s="33" t="s">
        <v>3503</v>
      </c>
      <c r="C2601" s="33" t="s">
        <v>2924</v>
      </c>
      <c r="D2601" s="35">
        <f>SUMIFS(D2602:D9015,K2602:K9015,"0",B2602:B9015,"5 1 1 1 3 12 31111 6 M59 71000 000132 0000R 00001 00113*")-SUMIFS(E2602:E9015,K2602:K9015,"0",B2602:B9015,"5 1 1 1 3 12 31111 6 M59 71000 000132 0000R 00001 00113*")</f>
        <v>0</v>
      </c>
      <c r="E2601"/>
      <c r="F2601" s="35">
        <f>SUMIFS(F2602:F9015,K2602:K9015,"0",B2602:B9015,"5 1 1 1 3 12 31111 6 M59 71000 000132 0000R 00001 00113*")</f>
        <v>86338.64</v>
      </c>
      <c r="G2601" s="35">
        <f>SUMIFS(G2602:G9015,K2602:K9015,"0",B2602:B9015,"5 1 1 1 3 12 31111 6 M59 71000 000132 0000R 00001 00113*")</f>
        <v>0</v>
      </c>
      <c r="H2601" s="35">
        <f t="shared" si="41"/>
        <v>86338.64</v>
      </c>
      <c r="I2601" s="35"/>
      <c r="K2601" t="s">
        <v>15</v>
      </c>
    </row>
    <row r="2602" spans="2:11" ht="24.75" x14ac:dyDescent="0.2">
      <c r="B2602" s="33" t="s">
        <v>3504</v>
      </c>
      <c r="C2602" s="33" t="s">
        <v>1051</v>
      </c>
      <c r="D2602" s="35">
        <f>SUMIFS(D2603:D9015,K2603:K9015,"0",B2603:B9015,"5 1 1 1 3 12 31111 6 M59 71000 000132 0000R 00001 00113 015*")-SUMIFS(E2603:E9015,K2603:K9015,"0",B2603:B9015,"5 1 1 1 3 12 31111 6 M59 71000 000132 0000R 00001 00113 015*")</f>
        <v>0</v>
      </c>
      <c r="E2602"/>
      <c r="F2602" s="35">
        <f>SUMIFS(F2603:F9015,K2603:K9015,"0",B2603:B9015,"5 1 1 1 3 12 31111 6 M59 71000 000132 0000R 00001 00113 015*")</f>
        <v>86338.64</v>
      </c>
      <c r="G2602" s="35">
        <f>SUMIFS(G2603:G9015,K2603:K9015,"0",B2603:B9015,"5 1 1 1 3 12 31111 6 M59 71000 000132 0000R 00001 00113 015*")</f>
        <v>0</v>
      </c>
      <c r="H2602" s="35">
        <f t="shared" si="41"/>
        <v>86338.64</v>
      </c>
      <c r="I2602" s="35"/>
      <c r="K2602" t="s">
        <v>15</v>
      </c>
    </row>
    <row r="2603" spans="2:11" ht="33" x14ac:dyDescent="0.2">
      <c r="B2603" s="33" t="s">
        <v>3505</v>
      </c>
      <c r="C2603" s="33" t="s">
        <v>2927</v>
      </c>
      <c r="D2603" s="35">
        <f>SUMIFS(D2604:D9015,K2604:K9015,"0",B2604:B9015,"5 1 1 1 3 12 31111 6 M59 71000 000132 0000R 00001 00113 015 2111100*")-SUMIFS(E2604:E9015,K2604:K9015,"0",B2604:B9015,"5 1 1 1 3 12 31111 6 M59 71000 000132 0000R 00001 00113 015 2111100*")</f>
        <v>0</v>
      </c>
      <c r="E2603"/>
      <c r="F2603" s="35">
        <f>SUMIFS(F2604:F9015,K2604:K9015,"0",B2604:B9015,"5 1 1 1 3 12 31111 6 M59 71000 000132 0000R 00001 00113 015 2111100*")</f>
        <v>86338.64</v>
      </c>
      <c r="G2603" s="35">
        <f>SUMIFS(G2604:G9015,K2604:K9015,"0",B2604:B9015,"5 1 1 1 3 12 31111 6 M59 71000 000132 0000R 00001 00113 015 2111100*")</f>
        <v>0</v>
      </c>
      <c r="H2603" s="35">
        <f t="shared" si="41"/>
        <v>86338.64</v>
      </c>
      <c r="I2603" s="35"/>
      <c r="K2603" t="s">
        <v>15</v>
      </c>
    </row>
    <row r="2604" spans="2:11" ht="33" x14ac:dyDescent="0.2">
      <c r="B2604" s="33" t="s">
        <v>3506</v>
      </c>
      <c r="C2604" s="33" t="s">
        <v>660</v>
      </c>
      <c r="D2604" s="35">
        <f>SUMIFS(D2605:D9015,K2605:K9015,"0",B2605:B9015,"5 1 1 1 3 12 31111 6 M59 71000 000132 0000R 00001 00113 015 2111100 2024*")-SUMIFS(E2605:E9015,K2605:K9015,"0",B2605:B9015,"5 1 1 1 3 12 31111 6 M59 71000 000132 0000R 00001 00113 015 2111100 2024*")</f>
        <v>0</v>
      </c>
      <c r="E2604"/>
      <c r="F2604" s="35">
        <f>SUMIFS(F2605:F9015,K2605:K9015,"0",B2605:B9015,"5 1 1 1 3 12 31111 6 M59 71000 000132 0000R 00001 00113 015 2111100 2024*")</f>
        <v>86338.64</v>
      </c>
      <c r="G2604" s="35">
        <f>SUMIFS(G2605:G9015,K2605:K9015,"0",B2605:B9015,"5 1 1 1 3 12 31111 6 M59 71000 000132 0000R 00001 00113 015 2111100 2024*")</f>
        <v>0</v>
      </c>
      <c r="H2604" s="35">
        <f t="shared" si="41"/>
        <v>86338.64</v>
      </c>
      <c r="I2604" s="35"/>
      <c r="K2604" t="s">
        <v>15</v>
      </c>
    </row>
    <row r="2605" spans="2:11" ht="41.25" x14ac:dyDescent="0.2">
      <c r="B2605" s="33" t="s">
        <v>3507</v>
      </c>
      <c r="C2605" s="33" t="s">
        <v>662</v>
      </c>
      <c r="D2605" s="35">
        <f>SUMIFS(D2606:D9015,K2606:K9015,"0",B2606:B9015,"5 1 1 1 3 12 31111 6 M59 71000 000132 0000R 00001 00113 015 2111100 2024 CP1AP422*")-SUMIFS(E2606:E9015,K2606:K9015,"0",B2606:B9015,"5 1 1 1 3 12 31111 6 M59 71000 000132 0000R 00001 00113 015 2111100 2024 CP1AP422*")</f>
        <v>0</v>
      </c>
      <c r="E2605"/>
      <c r="F2605" s="35">
        <f>SUMIFS(F2606:F9015,K2606:K9015,"0",B2606:B9015,"5 1 1 1 3 12 31111 6 M59 71000 000132 0000R 00001 00113 015 2111100 2024 CP1AP422*")</f>
        <v>86338.64</v>
      </c>
      <c r="G2605" s="35">
        <f>SUMIFS(G2606:G9015,K2606:K9015,"0",B2606:B9015,"5 1 1 1 3 12 31111 6 M59 71000 000132 0000R 00001 00113 015 2111100 2024 CP1AP422*")</f>
        <v>0</v>
      </c>
      <c r="H2605" s="35">
        <f t="shared" si="41"/>
        <v>86338.64</v>
      </c>
      <c r="I2605" s="35"/>
      <c r="K2605" t="s">
        <v>15</v>
      </c>
    </row>
    <row r="2606" spans="2:11" ht="41.25" x14ac:dyDescent="0.2">
      <c r="B2606" s="33" t="s">
        <v>3508</v>
      </c>
      <c r="C2606" s="33" t="s">
        <v>282</v>
      </c>
      <c r="D2606" s="35">
        <f>SUMIFS(D2607:D9015,K2607:K9015,"0",B2607:B9015,"5 1 1 1 3 12 31111 6 M59 71000 000132 0000R 00001 00113 015 2111100 2024 CP1AP422 001*")-SUMIFS(E2607:E9015,K2607:K9015,"0",B2607:B9015,"5 1 1 1 3 12 31111 6 M59 71000 000132 0000R 00001 00113 015 2111100 2024 CP1AP422 001*")</f>
        <v>0</v>
      </c>
      <c r="E2606"/>
      <c r="F2606" s="35">
        <f>SUMIFS(F2607:F9015,K2607:K9015,"0",B2607:B9015,"5 1 1 1 3 12 31111 6 M59 71000 000132 0000R 00001 00113 015 2111100 2024 CP1AP422 001*")</f>
        <v>86338.64</v>
      </c>
      <c r="G2606" s="35">
        <f>SUMIFS(G2607:G9015,K2607:K9015,"0",B2607:B9015,"5 1 1 1 3 12 31111 6 M59 71000 000132 0000R 00001 00113 015 2111100 2024 CP1AP422 001*")</f>
        <v>0</v>
      </c>
      <c r="H2606" s="35">
        <f t="shared" si="41"/>
        <v>86338.64</v>
      </c>
      <c r="I2606" s="35"/>
      <c r="K2606" t="s">
        <v>15</v>
      </c>
    </row>
    <row r="2607" spans="2:11" ht="33" x14ac:dyDescent="0.2">
      <c r="B2607" s="31" t="s">
        <v>3509</v>
      </c>
      <c r="C2607" s="31" t="s">
        <v>2932</v>
      </c>
      <c r="D2607" s="34">
        <v>0</v>
      </c>
      <c r="E2607" s="34"/>
      <c r="F2607" s="34">
        <v>86338.64</v>
      </c>
      <c r="G2607" s="34">
        <v>0</v>
      </c>
      <c r="H2607" s="34">
        <f t="shared" si="41"/>
        <v>86338.64</v>
      </c>
      <c r="I2607" s="34"/>
      <c r="K2607" t="s">
        <v>38</v>
      </c>
    </row>
    <row r="2608" spans="2:11" ht="16.5" x14ac:dyDescent="0.2">
      <c r="B2608" s="33" t="s">
        <v>3510</v>
      </c>
      <c r="C2608" s="33" t="s">
        <v>3511</v>
      </c>
      <c r="D2608" s="35">
        <f>SUMIFS(D2609:D9015,K2609:K9015,"0",B2609:B9015,"5 1 1 1 3 12 31111 6 M59 72000*")-SUMIFS(E2609:E9015,K2609:K9015,"0",B2609:B9015,"5 1 1 1 3 12 31111 6 M59 72000*")</f>
        <v>0</v>
      </c>
      <c r="E2608"/>
      <c r="F2608" s="35">
        <f>SUMIFS(F2609:F9015,K2609:K9015,"0",B2609:B9015,"5 1 1 1 3 12 31111 6 M59 72000*")</f>
        <v>68629.88</v>
      </c>
      <c r="G2608" s="35">
        <f>SUMIFS(G2609:G9015,K2609:K9015,"0",B2609:B9015,"5 1 1 1 3 12 31111 6 M59 72000*")</f>
        <v>0</v>
      </c>
      <c r="H2608" s="35">
        <f t="shared" si="41"/>
        <v>68629.88</v>
      </c>
      <c r="I2608" s="35"/>
      <c r="K2608" t="s">
        <v>15</v>
      </c>
    </row>
    <row r="2609" spans="2:11" ht="16.5" x14ac:dyDescent="0.2">
      <c r="B2609" s="33" t="s">
        <v>3512</v>
      </c>
      <c r="C2609" s="33" t="s">
        <v>648</v>
      </c>
      <c r="D2609" s="35">
        <f>SUMIFS(D2610:D9015,K2610:K9015,"0",B2610:B9015,"5 1 1 1 3 12 31111 6 M59 72000 000132*")-SUMIFS(E2610:E9015,K2610:K9015,"0",B2610:B9015,"5 1 1 1 3 12 31111 6 M59 72000 000132*")</f>
        <v>0</v>
      </c>
      <c r="E2609"/>
      <c r="F2609" s="35">
        <f>SUMIFS(F2610:F9015,K2610:K9015,"0",B2610:B9015,"5 1 1 1 3 12 31111 6 M59 72000 000132*")</f>
        <v>68629.88</v>
      </c>
      <c r="G2609" s="35">
        <f>SUMIFS(G2610:G9015,K2610:K9015,"0",B2610:B9015,"5 1 1 1 3 12 31111 6 M59 72000 000132*")</f>
        <v>0</v>
      </c>
      <c r="H2609" s="35">
        <f t="shared" si="41"/>
        <v>68629.88</v>
      </c>
      <c r="I2609" s="35"/>
      <c r="K2609" t="s">
        <v>15</v>
      </c>
    </row>
    <row r="2610" spans="2:11" ht="16.5" x14ac:dyDescent="0.2">
      <c r="B2610" s="33" t="s">
        <v>3513</v>
      </c>
      <c r="C2610" s="33" t="s">
        <v>650</v>
      </c>
      <c r="D2610" s="35">
        <f>SUMIFS(D2611:D9015,K2611:K9015,"0",B2611:B9015,"5 1 1 1 3 12 31111 6 M59 72000 000132 0000R*")-SUMIFS(E2611:E9015,K2611:K9015,"0",B2611:B9015,"5 1 1 1 3 12 31111 6 M59 72000 000132 0000R*")</f>
        <v>0</v>
      </c>
      <c r="E2610"/>
      <c r="F2610" s="35">
        <f>SUMIFS(F2611:F9015,K2611:K9015,"0",B2611:B9015,"5 1 1 1 3 12 31111 6 M59 72000 000132 0000R*")</f>
        <v>68629.88</v>
      </c>
      <c r="G2610" s="35">
        <f>SUMIFS(G2611:G9015,K2611:K9015,"0",B2611:B9015,"5 1 1 1 3 12 31111 6 M59 72000 000132 0000R*")</f>
        <v>0</v>
      </c>
      <c r="H2610" s="35">
        <f t="shared" si="41"/>
        <v>68629.88</v>
      </c>
      <c r="I2610" s="35"/>
      <c r="K2610" t="s">
        <v>15</v>
      </c>
    </row>
    <row r="2611" spans="2:11" ht="24.75" x14ac:dyDescent="0.2">
      <c r="B2611" s="33" t="s">
        <v>3514</v>
      </c>
      <c r="C2611" s="33" t="s">
        <v>282</v>
      </c>
      <c r="D2611" s="35">
        <f>SUMIFS(D2612:D9015,K2612:K9015,"0",B2612:B9015,"5 1 1 1 3 12 31111 6 M59 72000 000132 0000R 00001*")-SUMIFS(E2612:E9015,K2612:K9015,"0",B2612:B9015,"5 1 1 1 3 12 31111 6 M59 72000 000132 0000R 00001*")</f>
        <v>0</v>
      </c>
      <c r="E2611"/>
      <c r="F2611" s="35">
        <f>SUMIFS(F2612:F9015,K2612:K9015,"0",B2612:B9015,"5 1 1 1 3 12 31111 6 M59 72000 000132 0000R 00001*")</f>
        <v>68629.88</v>
      </c>
      <c r="G2611" s="35">
        <f>SUMIFS(G2612:G9015,K2612:K9015,"0",B2612:B9015,"5 1 1 1 3 12 31111 6 M59 72000 000132 0000R 00001*")</f>
        <v>0</v>
      </c>
      <c r="H2611" s="35">
        <f t="shared" si="41"/>
        <v>68629.88</v>
      </c>
      <c r="I2611" s="35"/>
      <c r="K2611" t="s">
        <v>15</v>
      </c>
    </row>
    <row r="2612" spans="2:11" ht="24.75" x14ac:dyDescent="0.2">
      <c r="B2612" s="33" t="s">
        <v>3515</v>
      </c>
      <c r="C2612" s="33" t="s">
        <v>2924</v>
      </c>
      <c r="D2612" s="35">
        <f>SUMIFS(D2613:D9015,K2613:K9015,"0",B2613:B9015,"5 1 1 1 3 12 31111 6 M59 72000 000132 0000R 00001 00113*")-SUMIFS(E2613:E9015,K2613:K9015,"0",B2613:B9015,"5 1 1 1 3 12 31111 6 M59 72000 000132 0000R 00001 00113*")</f>
        <v>0</v>
      </c>
      <c r="E2612"/>
      <c r="F2612" s="35">
        <f>SUMIFS(F2613:F9015,K2613:K9015,"0",B2613:B9015,"5 1 1 1 3 12 31111 6 M59 72000 000132 0000R 00001 00113*")</f>
        <v>68629.88</v>
      </c>
      <c r="G2612" s="35">
        <f>SUMIFS(G2613:G9015,K2613:K9015,"0",B2613:B9015,"5 1 1 1 3 12 31111 6 M59 72000 000132 0000R 00001 00113*")</f>
        <v>0</v>
      </c>
      <c r="H2612" s="35">
        <f t="shared" si="41"/>
        <v>68629.88</v>
      </c>
      <c r="I2612" s="35"/>
      <c r="K2612" t="s">
        <v>15</v>
      </c>
    </row>
    <row r="2613" spans="2:11" ht="24.75" x14ac:dyDescent="0.2">
      <c r="B2613" s="33" t="s">
        <v>3516</v>
      </c>
      <c r="C2613" s="33" t="s">
        <v>1051</v>
      </c>
      <c r="D2613" s="35">
        <f>SUMIFS(D2614:D9015,K2614:K9015,"0",B2614:B9015,"5 1 1 1 3 12 31111 6 M59 72000 000132 0000R 00001 00113 015*")-SUMIFS(E2614:E9015,K2614:K9015,"0",B2614:B9015,"5 1 1 1 3 12 31111 6 M59 72000 000132 0000R 00001 00113 015*")</f>
        <v>0</v>
      </c>
      <c r="E2613"/>
      <c r="F2613" s="35">
        <f>SUMIFS(F2614:F9015,K2614:K9015,"0",B2614:B9015,"5 1 1 1 3 12 31111 6 M59 72000 000132 0000R 00001 00113 015*")</f>
        <v>68629.88</v>
      </c>
      <c r="G2613" s="35">
        <f>SUMIFS(G2614:G9015,K2614:K9015,"0",B2614:B9015,"5 1 1 1 3 12 31111 6 M59 72000 000132 0000R 00001 00113 015*")</f>
        <v>0</v>
      </c>
      <c r="H2613" s="35">
        <f t="shared" si="41"/>
        <v>68629.88</v>
      </c>
      <c r="I2613" s="35"/>
      <c r="K2613" t="s">
        <v>15</v>
      </c>
    </row>
    <row r="2614" spans="2:11" ht="33" x14ac:dyDescent="0.2">
      <c r="B2614" s="33" t="s">
        <v>3517</v>
      </c>
      <c r="C2614" s="33" t="s">
        <v>2927</v>
      </c>
      <c r="D2614" s="35">
        <f>SUMIFS(D2615:D9015,K2615:K9015,"0",B2615:B9015,"5 1 1 1 3 12 31111 6 M59 72000 000132 0000R 00001 00113 015 2111100*")-SUMIFS(E2615:E9015,K2615:K9015,"0",B2615:B9015,"5 1 1 1 3 12 31111 6 M59 72000 000132 0000R 00001 00113 015 2111100*")</f>
        <v>0</v>
      </c>
      <c r="E2614"/>
      <c r="F2614" s="35">
        <f>SUMIFS(F2615:F9015,K2615:K9015,"0",B2615:B9015,"5 1 1 1 3 12 31111 6 M59 72000 000132 0000R 00001 00113 015 2111100*")</f>
        <v>68629.88</v>
      </c>
      <c r="G2614" s="35">
        <f>SUMIFS(G2615:G9015,K2615:K9015,"0",B2615:B9015,"5 1 1 1 3 12 31111 6 M59 72000 000132 0000R 00001 00113 015 2111100*")</f>
        <v>0</v>
      </c>
      <c r="H2614" s="35">
        <f t="shared" si="41"/>
        <v>68629.88</v>
      </c>
      <c r="I2614" s="35"/>
      <c r="K2614" t="s">
        <v>15</v>
      </c>
    </row>
    <row r="2615" spans="2:11" ht="33" x14ac:dyDescent="0.2">
      <c r="B2615" s="33" t="s">
        <v>3518</v>
      </c>
      <c r="C2615" s="33" t="s">
        <v>660</v>
      </c>
      <c r="D2615" s="35">
        <f>SUMIFS(D2616:D9015,K2616:K9015,"0",B2616:B9015,"5 1 1 1 3 12 31111 6 M59 72000 000132 0000R 00001 00113 015 2111100 2024*")-SUMIFS(E2616:E9015,K2616:K9015,"0",B2616:B9015,"5 1 1 1 3 12 31111 6 M59 72000 000132 0000R 00001 00113 015 2111100 2024*")</f>
        <v>0</v>
      </c>
      <c r="E2615"/>
      <c r="F2615" s="35">
        <f>SUMIFS(F2616:F9015,K2616:K9015,"0",B2616:B9015,"5 1 1 1 3 12 31111 6 M59 72000 000132 0000R 00001 00113 015 2111100 2024*")</f>
        <v>68629.88</v>
      </c>
      <c r="G2615" s="35">
        <f>SUMIFS(G2616:G9015,K2616:K9015,"0",B2616:B9015,"5 1 1 1 3 12 31111 6 M59 72000 000132 0000R 00001 00113 015 2111100 2024*")</f>
        <v>0</v>
      </c>
      <c r="H2615" s="35">
        <f t="shared" si="41"/>
        <v>68629.88</v>
      </c>
      <c r="I2615" s="35"/>
      <c r="K2615" t="s">
        <v>15</v>
      </c>
    </row>
    <row r="2616" spans="2:11" ht="41.25" x14ac:dyDescent="0.2">
      <c r="B2616" s="33" t="s">
        <v>3519</v>
      </c>
      <c r="C2616" s="33" t="s">
        <v>1056</v>
      </c>
      <c r="D2616" s="35">
        <f>SUMIFS(D2617:D9015,K2617:K9015,"0",B2617:B9015,"5 1 1 1 3 12 31111 6 M59 72000 000132 0000R 00001 00113 015 2111100 2024 CP1SC386*")-SUMIFS(E2617:E9015,K2617:K9015,"0",B2617:B9015,"5 1 1 1 3 12 31111 6 M59 72000 000132 0000R 00001 00113 015 2111100 2024 CP1SC386*")</f>
        <v>0</v>
      </c>
      <c r="E2616"/>
      <c r="F2616" s="35">
        <f>SUMIFS(F2617:F9015,K2617:K9015,"0",B2617:B9015,"5 1 1 1 3 12 31111 6 M59 72000 000132 0000R 00001 00113 015 2111100 2024 CP1SC386*")</f>
        <v>68629.88</v>
      </c>
      <c r="G2616" s="35">
        <f>SUMIFS(G2617:G9015,K2617:K9015,"0",B2617:B9015,"5 1 1 1 3 12 31111 6 M59 72000 000132 0000R 00001 00113 015 2111100 2024 CP1SC386*")</f>
        <v>0</v>
      </c>
      <c r="H2616" s="35">
        <f t="shared" si="41"/>
        <v>68629.88</v>
      </c>
      <c r="I2616" s="35"/>
      <c r="K2616" t="s">
        <v>15</v>
      </c>
    </row>
    <row r="2617" spans="2:11" ht="41.25" x14ac:dyDescent="0.2">
      <c r="B2617" s="33" t="s">
        <v>3520</v>
      </c>
      <c r="C2617" s="33" t="s">
        <v>282</v>
      </c>
      <c r="D2617" s="35">
        <f>SUMIFS(D2618:D9015,K2618:K9015,"0",B2618:B9015,"5 1 1 1 3 12 31111 6 M59 72000 000132 0000R 00001 00113 015 2111100 2024 CP1SC386 001*")-SUMIFS(E2618:E9015,K2618:K9015,"0",B2618:B9015,"5 1 1 1 3 12 31111 6 M59 72000 000132 0000R 00001 00113 015 2111100 2024 CP1SC386 001*")</f>
        <v>0</v>
      </c>
      <c r="E2617"/>
      <c r="F2617" s="35">
        <f>SUMIFS(F2618:F9015,K2618:K9015,"0",B2618:B9015,"5 1 1 1 3 12 31111 6 M59 72000 000132 0000R 00001 00113 015 2111100 2024 CP1SC386 001*")</f>
        <v>68629.88</v>
      </c>
      <c r="G2617" s="35">
        <f>SUMIFS(G2618:G9015,K2618:K9015,"0",B2618:B9015,"5 1 1 1 3 12 31111 6 M59 72000 000132 0000R 00001 00113 015 2111100 2024 CP1SC386 001*")</f>
        <v>0</v>
      </c>
      <c r="H2617" s="35">
        <f t="shared" si="41"/>
        <v>68629.88</v>
      </c>
      <c r="I2617" s="35"/>
      <c r="K2617" t="s">
        <v>15</v>
      </c>
    </row>
    <row r="2618" spans="2:11" ht="33" x14ac:dyDescent="0.2">
      <c r="B2618" s="31" t="s">
        <v>3521</v>
      </c>
      <c r="C2618" s="31" t="s">
        <v>2932</v>
      </c>
      <c r="D2618" s="34">
        <v>0</v>
      </c>
      <c r="E2618" s="34"/>
      <c r="F2618" s="34">
        <v>68629.88</v>
      </c>
      <c r="G2618" s="34">
        <v>0</v>
      </c>
      <c r="H2618" s="34">
        <f t="shared" si="41"/>
        <v>68629.88</v>
      </c>
      <c r="I2618" s="34"/>
      <c r="K2618" t="s">
        <v>38</v>
      </c>
    </row>
    <row r="2619" spans="2:11" ht="16.5" x14ac:dyDescent="0.2">
      <c r="B2619" s="33" t="s">
        <v>3522</v>
      </c>
      <c r="C2619" s="33" t="s">
        <v>3523</v>
      </c>
      <c r="D2619" s="35">
        <f>SUMIFS(D2620:D9015,K2620:K9015,"0",B2620:B9015,"5 1 1 1 3 12 31111 6 M59 80000*")-SUMIFS(E2620:E9015,K2620:K9015,"0",B2620:B9015,"5 1 1 1 3 12 31111 6 M59 80000*")</f>
        <v>0</v>
      </c>
      <c r="E2619"/>
      <c r="F2619" s="35">
        <f>SUMIFS(F2620:F9015,K2620:K9015,"0",B2620:B9015,"5 1 1 1 3 12 31111 6 M59 80000*")</f>
        <v>454951.07</v>
      </c>
      <c r="G2619" s="35">
        <f>SUMIFS(G2620:G9015,K2620:K9015,"0",B2620:B9015,"5 1 1 1 3 12 31111 6 M59 80000*")</f>
        <v>0</v>
      </c>
      <c r="H2619" s="35">
        <f t="shared" si="41"/>
        <v>454951.07</v>
      </c>
      <c r="I2619" s="35"/>
      <c r="K2619" t="s">
        <v>15</v>
      </c>
    </row>
    <row r="2620" spans="2:11" ht="16.5" x14ac:dyDescent="0.2">
      <c r="B2620" s="33" t="s">
        <v>3524</v>
      </c>
      <c r="C2620" s="33" t="s">
        <v>648</v>
      </c>
      <c r="D2620" s="35">
        <f>SUMIFS(D2621:D9015,K2621:K9015,"0",B2621:B9015,"5 1 1 1 3 12 31111 6 M59 80000 000132*")-SUMIFS(E2621:E9015,K2621:K9015,"0",B2621:B9015,"5 1 1 1 3 12 31111 6 M59 80000 000132*")</f>
        <v>0</v>
      </c>
      <c r="E2620"/>
      <c r="F2620" s="35">
        <f>SUMIFS(F2621:F9015,K2621:K9015,"0",B2621:B9015,"5 1 1 1 3 12 31111 6 M59 80000 000132*")</f>
        <v>454951.07</v>
      </c>
      <c r="G2620" s="35">
        <f>SUMIFS(G2621:G9015,K2621:K9015,"0",B2621:B9015,"5 1 1 1 3 12 31111 6 M59 80000 000132*")</f>
        <v>0</v>
      </c>
      <c r="H2620" s="35">
        <f t="shared" si="41"/>
        <v>454951.07</v>
      </c>
      <c r="I2620" s="35"/>
      <c r="K2620" t="s">
        <v>15</v>
      </c>
    </row>
    <row r="2621" spans="2:11" ht="16.5" x14ac:dyDescent="0.2">
      <c r="B2621" s="33" t="s">
        <v>3525</v>
      </c>
      <c r="C2621" s="33" t="s">
        <v>650</v>
      </c>
      <c r="D2621" s="35">
        <f>SUMIFS(D2622:D9015,K2622:K9015,"0",B2622:B9015,"5 1 1 1 3 12 31111 6 M59 80000 000132 0000R*")-SUMIFS(E2622:E9015,K2622:K9015,"0",B2622:B9015,"5 1 1 1 3 12 31111 6 M59 80000 000132 0000R*")</f>
        <v>0</v>
      </c>
      <c r="E2621"/>
      <c r="F2621" s="35">
        <f>SUMIFS(F2622:F9015,K2622:K9015,"0",B2622:B9015,"5 1 1 1 3 12 31111 6 M59 80000 000132 0000R*")</f>
        <v>454951.07</v>
      </c>
      <c r="G2621" s="35">
        <f>SUMIFS(G2622:G9015,K2622:K9015,"0",B2622:B9015,"5 1 1 1 3 12 31111 6 M59 80000 000132 0000R*")</f>
        <v>0</v>
      </c>
      <c r="H2621" s="35">
        <f t="shared" si="41"/>
        <v>454951.07</v>
      </c>
      <c r="I2621" s="35"/>
      <c r="K2621" t="s">
        <v>15</v>
      </c>
    </row>
    <row r="2622" spans="2:11" ht="24.75" x14ac:dyDescent="0.2">
      <c r="B2622" s="33" t="s">
        <v>3526</v>
      </c>
      <c r="C2622" s="33" t="s">
        <v>282</v>
      </c>
      <c r="D2622" s="35">
        <f>SUMIFS(D2623:D9015,K2623:K9015,"0",B2623:B9015,"5 1 1 1 3 12 31111 6 M59 80000 000132 0000R 00001*")-SUMIFS(E2623:E9015,K2623:K9015,"0",B2623:B9015,"5 1 1 1 3 12 31111 6 M59 80000 000132 0000R 00001*")</f>
        <v>0</v>
      </c>
      <c r="E2622"/>
      <c r="F2622" s="35">
        <f>SUMIFS(F2623:F9015,K2623:K9015,"0",B2623:B9015,"5 1 1 1 3 12 31111 6 M59 80000 000132 0000R 00001*")</f>
        <v>454951.07</v>
      </c>
      <c r="G2622" s="35">
        <f>SUMIFS(G2623:G9015,K2623:K9015,"0",B2623:B9015,"5 1 1 1 3 12 31111 6 M59 80000 000132 0000R 00001*")</f>
        <v>0</v>
      </c>
      <c r="H2622" s="35">
        <f t="shared" si="41"/>
        <v>454951.07</v>
      </c>
      <c r="I2622" s="35"/>
      <c r="K2622" t="s">
        <v>15</v>
      </c>
    </row>
    <row r="2623" spans="2:11" ht="24.75" x14ac:dyDescent="0.2">
      <c r="B2623" s="33" t="s">
        <v>3527</v>
      </c>
      <c r="C2623" s="33" t="s">
        <v>2924</v>
      </c>
      <c r="D2623" s="35">
        <f>SUMIFS(D2624:D9015,K2624:K9015,"0",B2624:B9015,"5 1 1 1 3 12 31111 6 M59 80000 000132 0000R 00001 00113*")-SUMIFS(E2624:E9015,K2624:K9015,"0",B2624:B9015,"5 1 1 1 3 12 31111 6 M59 80000 000132 0000R 00001 00113*")</f>
        <v>0</v>
      </c>
      <c r="E2623"/>
      <c r="F2623" s="35">
        <f>SUMIFS(F2624:F9015,K2624:K9015,"0",B2624:B9015,"5 1 1 1 3 12 31111 6 M59 80000 000132 0000R 00001 00113*")</f>
        <v>454951.07</v>
      </c>
      <c r="G2623" s="35">
        <f>SUMIFS(G2624:G9015,K2624:K9015,"0",B2624:B9015,"5 1 1 1 3 12 31111 6 M59 80000 000132 0000R 00001 00113*")</f>
        <v>0</v>
      </c>
      <c r="H2623" s="35">
        <f t="shared" si="41"/>
        <v>454951.07</v>
      </c>
      <c r="I2623" s="35"/>
      <c r="K2623" t="s">
        <v>15</v>
      </c>
    </row>
    <row r="2624" spans="2:11" ht="24.75" x14ac:dyDescent="0.2">
      <c r="B2624" s="33" t="s">
        <v>3528</v>
      </c>
      <c r="C2624" s="33" t="s">
        <v>1051</v>
      </c>
      <c r="D2624" s="35">
        <f>SUMIFS(D2625:D9015,K2625:K9015,"0",B2625:B9015,"5 1 1 1 3 12 31111 6 M59 80000 000132 0000R 00001 00113 015*")-SUMIFS(E2625:E9015,K2625:K9015,"0",B2625:B9015,"5 1 1 1 3 12 31111 6 M59 80000 000132 0000R 00001 00113 015*")</f>
        <v>0</v>
      </c>
      <c r="E2624"/>
      <c r="F2624" s="35">
        <f>SUMIFS(F2625:F9015,K2625:K9015,"0",B2625:B9015,"5 1 1 1 3 12 31111 6 M59 80000 000132 0000R 00001 00113 015*")</f>
        <v>454951.07</v>
      </c>
      <c r="G2624" s="35">
        <f>SUMIFS(G2625:G9015,K2625:K9015,"0",B2625:B9015,"5 1 1 1 3 12 31111 6 M59 80000 000132 0000R 00001 00113 015*")</f>
        <v>0</v>
      </c>
      <c r="H2624" s="35">
        <f t="shared" si="41"/>
        <v>454951.07</v>
      </c>
      <c r="I2624" s="35"/>
      <c r="K2624" t="s">
        <v>15</v>
      </c>
    </row>
    <row r="2625" spans="2:11" ht="33" x14ac:dyDescent="0.2">
      <c r="B2625" s="33" t="s">
        <v>3529</v>
      </c>
      <c r="C2625" s="33" t="s">
        <v>2927</v>
      </c>
      <c r="D2625" s="35">
        <f>SUMIFS(D2626:D9015,K2626:K9015,"0",B2626:B9015,"5 1 1 1 3 12 31111 6 M59 80000 000132 0000R 00001 00113 015 2111100*")-SUMIFS(E2626:E9015,K2626:K9015,"0",B2626:B9015,"5 1 1 1 3 12 31111 6 M59 80000 000132 0000R 00001 00113 015 2111100*")</f>
        <v>0</v>
      </c>
      <c r="E2625"/>
      <c r="F2625" s="35">
        <f>SUMIFS(F2626:F9015,K2626:K9015,"0",B2626:B9015,"5 1 1 1 3 12 31111 6 M59 80000 000132 0000R 00001 00113 015 2111100*")</f>
        <v>454951.07</v>
      </c>
      <c r="G2625" s="35">
        <f>SUMIFS(G2626:G9015,K2626:K9015,"0",B2626:B9015,"5 1 1 1 3 12 31111 6 M59 80000 000132 0000R 00001 00113 015 2111100*")</f>
        <v>0</v>
      </c>
      <c r="H2625" s="35">
        <f t="shared" si="41"/>
        <v>454951.07</v>
      </c>
      <c r="I2625" s="35"/>
      <c r="K2625" t="s">
        <v>15</v>
      </c>
    </row>
    <row r="2626" spans="2:11" ht="33" x14ac:dyDescent="0.2">
      <c r="B2626" s="33" t="s">
        <v>3530</v>
      </c>
      <c r="C2626" s="33" t="s">
        <v>660</v>
      </c>
      <c r="D2626" s="35">
        <f>SUMIFS(D2627:D9015,K2627:K9015,"0",B2627:B9015,"5 1 1 1 3 12 31111 6 M59 80000 000132 0000R 00001 00113 015 2111100 2024*")-SUMIFS(E2627:E9015,K2627:K9015,"0",B2627:B9015,"5 1 1 1 3 12 31111 6 M59 80000 000132 0000R 00001 00113 015 2111100 2024*")</f>
        <v>0</v>
      </c>
      <c r="E2626"/>
      <c r="F2626" s="35">
        <f>SUMIFS(F2627:F9015,K2627:K9015,"0",B2627:B9015,"5 1 1 1 3 12 31111 6 M59 80000 000132 0000R 00001 00113 015 2111100 2024*")</f>
        <v>454951.07</v>
      </c>
      <c r="G2626" s="35">
        <f>SUMIFS(G2627:G9015,K2627:K9015,"0",B2627:B9015,"5 1 1 1 3 12 31111 6 M59 80000 000132 0000R 00001 00113 015 2111100 2024*")</f>
        <v>0</v>
      </c>
      <c r="H2626" s="35">
        <f t="shared" si="41"/>
        <v>454951.07</v>
      </c>
      <c r="I2626" s="35"/>
      <c r="K2626" t="s">
        <v>15</v>
      </c>
    </row>
    <row r="2627" spans="2:11" ht="41.25" x14ac:dyDescent="0.2">
      <c r="B2627" s="33" t="s">
        <v>3531</v>
      </c>
      <c r="C2627" s="33" t="s">
        <v>1056</v>
      </c>
      <c r="D2627" s="35">
        <f>SUMIFS(D2628:D9015,K2628:K9015,"0",B2628:B9015,"5 1 1 1 3 12 31111 6 M59 80000 000132 0000R 00001 00113 015 2111100 2024 CP1DR388*")-SUMIFS(E2628:E9015,K2628:K9015,"0",B2628:B9015,"5 1 1 1 3 12 31111 6 M59 80000 000132 0000R 00001 00113 015 2111100 2024 CP1DR388*")</f>
        <v>0</v>
      </c>
      <c r="E2627"/>
      <c r="F2627" s="35">
        <f>SUMIFS(F2628:F9015,K2628:K9015,"0",B2628:B9015,"5 1 1 1 3 12 31111 6 M59 80000 000132 0000R 00001 00113 015 2111100 2024 CP1DR388*")</f>
        <v>454951.07</v>
      </c>
      <c r="G2627" s="35">
        <f>SUMIFS(G2628:G9015,K2628:K9015,"0",B2628:B9015,"5 1 1 1 3 12 31111 6 M59 80000 000132 0000R 00001 00113 015 2111100 2024 CP1DR388*")</f>
        <v>0</v>
      </c>
      <c r="H2627" s="35">
        <f t="shared" si="41"/>
        <v>454951.07</v>
      </c>
      <c r="I2627" s="35"/>
      <c r="K2627" t="s">
        <v>15</v>
      </c>
    </row>
    <row r="2628" spans="2:11" ht="41.25" x14ac:dyDescent="0.2">
      <c r="B2628" s="33" t="s">
        <v>3532</v>
      </c>
      <c r="C2628" s="33" t="s">
        <v>282</v>
      </c>
      <c r="D2628" s="35">
        <f>SUMIFS(D2629:D9015,K2629:K9015,"0",B2629:B9015,"5 1 1 1 3 12 31111 6 M59 80000 000132 0000R 00001 00113 015 2111100 2024 CP1DR388 001*")-SUMIFS(E2629:E9015,K2629:K9015,"0",B2629:B9015,"5 1 1 1 3 12 31111 6 M59 80000 000132 0000R 00001 00113 015 2111100 2024 CP1DR388 001*")</f>
        <v>0</v>
      </c>
      <c r="E2628"/>
      <c r="F2628" s="35">
        <f>SUMIFS(F2629:F9015,K2629:K9015,"0",B2629:B9015,"5 1 1 1 3 12 31111 6 M59 80000 000132 0000R 00001 00113 015 2111100 2024 CP1DR388 001*")</f>
        <v>454951.07</v>
      </c>
      <c r="G2628" s="35">
        <f>SUMIFS(G2629:G9015,K2629:K9015,"0",B2629:B9015,"5 1 1 1 3 12 31111 6 M59 80000 000132 0000R 00001 00113 015 2111100 2024 CP1DR388 001*")</f>
        <v>0</v>
      </c>
      <c r="H2628" s="35">
        <f t="shared" ref="H2628:H2691" si="42">D2628 + F2628 - G2628</f>
        <v>454951.07</v>
      </c>
      <c r="I2628" s="35"/>
      <c r="K2628" t="s">
        <v>15</v>
      </c>
    </row>
    <row r="2629" spans="2:11" ht="41.25" x14ac:dyDescent="0.2">
      <c r="B2629" s="31" t="s">
        <v>3533</v>
      </c>
      <c r="C2629" s="31" t="s">
        <v>2932</v>
      </c>
      <c r="D2629" s="34">
        <v>0</v>
      </c>
      <c r="E2629" s="34"/>
      <c r="F2629" s="34">
        <v>454951.07</v>
      </c>
      <c r="G2629" s="34">
        <v>0</v>
      </c>
      <c r="H2629" s="34">
        <f t="shared" si="42"/>
        <v>454951.07</v>
      </c>
      <c r="I2629" s="34"/>
      <c r="K2629" t="s">
        <v>38</v>
      </c>
    </row>
    <row r="2630" spans="2:11" ht="16.5" x14ac:dyDescent="0.2">
      <c r="B2630" s="33" t="s">
        <v>3534</v>
      </c>
      <c r="C2630" s="33" t="s">
        <v>3535</v>
      </c>
      <c r="D2630" s="35">
        <f>SUMIFS(D2631:D9015,K2631:K9015,"0",B2631:B9015,"5 1 1 1 3 12 31111 6 M59 80100*")-SUMIFS(E2631:E9015,K2631:K9015,"0",B2631:B9015,"5 1 1 1 3 12 31111 6 M59 80100*")</f>
        <v>0</v>
      </c>
      <c r="E2630"/>
      <c r="F2630" s="35">
        <f>SUMIFS(F2631:F9015,K2631:K9015,"0",B2631:B9015,"5 1 1 1 3 12 31111 6 M59 80100*")</f>
        <v>69093.52</v>
      </c>
      <c r="G2630" s="35">
        <f>SUMIFS(G2631:G9015,K2631:K9015,"0",B2631:B9015,"5 1 1 1 3 12 31111 6 M59 80100*")</f>
        <v>0</v>
      </c>
      <c r="H2630" s="35">
        <f t="shared" si="42"/>
        <v>69093.52</v>
      </c>
      <c r="I2630" s="35"/>
      <c r="K2630" t="s">
        <v>15</v>
      </c>
    </row>
    <row r="2631" spans="2:11" ht="16.5" x14ac:dyDescent="0.2">
      <c r="B2631" s="33" t="s">
        <v>3536</v>
      </c>
      <c r="C2631" s="33" t="s">
        <v>648</v>
      </c>
      <c r="D2631" s="35">
        <f>SUMIFS(D2632:D9015,K2632:K9015,"0",B2632:B9015,"5 1 1 1 3 12 31111 6 M59 80100 000132*")-SUMIFS(E2632:E9015,K2632:K9015,"0",B2632:B9015,"5 1 1 1 3 12 31111 6 M59 80100 000132*")</f>
        <v>0</v>
      </c>
      <c r="E2631"/>
      <c r="F2631" s="35">
        <f>SUMIFS(F2632:F9015,K2632:K9015,"0",B2632:B9015,"5 1 1 1 3 12 31111 6 M59 80100 000132*")</f>
        <v>69093.52</v>
      </c>
      <c r="G2631" s="35">
        <f>SUMIFS(G2632:G9015,K2632:K9015,"0",B2632:B9015,"5 1 1 1 3 12 31111 6 M59 80100 000132*")</f>
        <v>0</v>
      </c>
      <c r="H2631" s="35">
        <f t="shared" si="42"/>
        <v>69093.52</v>
      </c>
      <c r="I2631" s="35"/>
      <c r="K2631" t="s">
        <v>15</v>
      </c>
    </row>
    <row r="2632" spans="2:11" ht="16.5" x14ac:dyDescent="0.2">
      <c r="B2632" s="33" t="s">
        <v>3537</v>
      </c>
      <c r="C2632" s="33" t="s">
        <v>650</v>
      </c>
      <c r="D2632" s="35">
        <f>SUMIFS(D2633:D9015,K2633:K9015,"0",B2633:B9015,"5 1 1 1 3 12 31111 6 M59 80100 000132 0000R*")-SUMIFS(E2633:E9015,K2633:K9015,"0",B2633:B9015,"5 1 1 1 3 12 31111 6 M59 80100 000132 0000R*")</f>
        <v>0</v>
      </c>
      <c r="E2632"/>
      <c r="F2632" s="35">
        <f>SUMIFS(F2633:F9015,K2633:K9015,"0",B2633:B9015,"5 1 1 1 3 12 31111 6 M59 80100 000132 0000R*")</f>
        <v>69093.52</v>
      </c>
      <c r="G2632" s="35">
        <f>SUMIFS(G2633:G9015,K2633:K9015,"0",B2633:B9015,"5 1 1 1 3 12 31111 6 M59 80100 000132 0000R*")</f>
        <v>0</v>
      </c>
      <c r="H2632" s="35">
        <f t="shared" si="42"/>
        <v>69093.52</v>
      </c>
      <c r="I2632" s="35"/>
      <c r="K2632" t="s">
        <v>15</v>
      </c>
    </row>
    <row r="2633" spans="2:11" ht="24.75" x14ac:dyDescent="0.2">
      <c r="B2633" s="33" t="s">
        <v>3538</v>
      </c>
      <c r="C2633" s="33" t="s">
        <v>282</v>
      </c>
      <c r="D2633" s="35">
        <f>SUMIFS(D2634:D9015,K2634:K9015,"0",B2634:B9015,"5 1 1 1 3 12 31111 6 M59 80100 000132 0000R 00001*")-SUMIFS(E2634:E9015,K2634:K9015,"0",B2634:B9015,"5 1 1 1 3 12 31111 6 M59 80100 000132 0000R 00001*")</f>
        <v>0</v>
      </c>
      <c r="E2633"/>
      <c r="F2633" s="35">
        <f>SUMIFS(F2634:F9015,K2634:K9015,"0",B2634:B9015,"5 1 1 1 3 12 31111 6 M59 80100 000132 0000R 00001*")</f>
        <v>69093.52</v>
      </c>
      <c r="G2633" s="35">
        <f>SUMIFS(G2634:G9015,K2634:K9015,"0",B2634:B9015,"5 1 1 1 3 12 31111 6 M59 80100 000132 0000R 00001*")</f>
        <v>0</v>
      </c>
      <c r="H2633" s="35">
        <f t="shared" si="42"/>
        <v>69093.52</v>
      </c>
      <c r="I2633" s="35"/>
      <c r="K2633" t="s">
        <v>15</v>
      </c>
    </row>
    <row r="2634" spans="2:11" ht="24.75" x14ac:dyDescent="0.2">
      <c r="B2634" s="33" t="s">
        <v>3539</v>
      </c>
      <c r="C2634" s="33" t="s">
        <v>2924</v>
      </c>
      <c r="D2634" s="35">
        <f>SUMIFS(D2635:D9015,K2635:K9015,"0",B2635:B9015,"5 1 1 1 3 12 31111 6 M59 80100 000132 0000R 00001 00113*")-SUMIFS(E2635:E9015,K2635:K9015,"0",B2635:B9015,"5 1 1 1 3 12 31111 6 M59 80100 000132 0000R 00001 00113*")</f>
        <v>0</v>
      </c>
      <c r="E2634"/>
      <c r="F2634" s="35">
        <f>SUMIFS(F2635:F9015,K2635:K9015,"0",B2635:B9015,"5 1 1 1 3 12 31111 6 M59 80100 000132 0000R 00001 00113*")</f>
        <v>69093.52</v>
      </c>
      <c r="G2634" s="35">
        <f>SUMIFS(G2635:G9015,K2635:K9015,"0",B2635:B9015,"5 1 1 1 3 12 31111 6 M59 80100 000132 0000R 00001 00113*")</f>
        <v>0</v>
      </c>
      <c r="H2634" s="35">
        <f t="shared" si="42"/>
        <v>69093.52</v>
      </c>
      <c r="I2634" s="35"/>
      <c r="K2634" t="s">
        <v>15</v>
      </c>
    </row>
    <row r="2635" spans="2:11" ht="24.75" x14ac:dyDescent="0.2">
      <c r="B2635" s="33" t="s">
        <v>3540</v>
      </c>
      <c r="C2635" s="33" t="s">
        <v>1051</v>
      </c>
      <c r="D2635" s="35">
        <f>SUMIFS(D2636:D9015,K2636:K9015,"0",B2636:B9015,"5 1 1 1 3 12 31111 6 M59 80100 000132 0000R 00001 00113 015*")-SUMIFS(E2636:E9015,K2636:K9015,"0",B2636:B9015,"5 1 1 1 3 12 31111 6 M59 80100 000132 0000R 00001 00113 015*")</f>
        <v>0</v>
      </c>
      <c r="E2635"/>
      <c r="F2635" s="35">
        <f>SUMIFS(F2636:F9015,K2636:K9015,"0",B2636:B9015,"5 1 1 1 3 12 31111 6 M59 80100 000132 0000R 00001 00113 015*")</f>
        <v>69093.52</v>
      </c>
      <c r="G2635" s="35">
        <f>SUMIFS(G2636:G9015,K2636:K9015,"0",B2636:B9015,"5 1 1 1 3 12 31111 6 M59 80100 000132 0000R 00001 00113 015*")</f>
        <v>0</v>
      </c>
      <c r="H2635" s="35">
        <f t="shared" si="42"/>
        <v>69093.52</v>
      </c>
      <c r="I2635" s="35"/>
      <c r="K2635" t="s">
        <v>15</v>
      </c>
    </row>
    <row r="2636" spans="2:11" ht="33" x14ac:dyDescent="0.2">
      <c r="B2636" s="33" t="s">
        <v>3541</v>
      </c>
      <c r="C2636" s="33" t="s">
        <v>2927</v>
      </c>
      <c r="D2636" s="35">
        <f>SUMIFS(D2637:D9015,K2637:K9015,"0",B2637:B9015,"5 1 1 1 3 12 31111 6 M59 80100 000132 0000R 00001 00113 015 2111100*")-SUMIFS(E2637:E9015,K2637:K9015,"0",B2637:B9015,"5 1 1 1 3 12 31111 6 M59 80100 000132 0000R 00001 00113 015 2111100*")</f>
        <v>0</v>
      </c>
      <c r="E2636"/>
      <c r="F2636" s="35">
        <f>SUMIFS(F2637:F9015,K2637:K9015,"0",B2637:B9015,"5 1 1 1 3 12 31111 6 M59 80100 000132 0000R 00001 00113 015 2111100*")</f>
        <v>69093.52</v>
      </c>
      <c r="G2636" s="35">
        <f>SUMIFS(G2637:G9015,K2637:K9015,"0",B2637:B9015,"5 1 1 1 3 12 31111 6 M59 80100 000132 0000R 00001 00113 015 2111100*")</f>
        <v>0</v>
      </c>
      <c r="H2636" s="35">
        <f t="shared" si="42"/>
        <v>69093.52</v>
      </c>
      <c r="I2636" s="35"/>
      <c r="K2636" t="s">
        <v>15</v>
      </c>
    </row>
    <row r="2637" spans="2:11" ht="33" x14ac:dyDescent="0.2">
      <c r="B2637" s="33" t="s">
        <v>3542</v>
      </c>
      <c r="C2637" s="33" t="s">
        <v>660</v>
      </c>
      <c r="D2637" s="35">
        <f>SUMIFS(D2638:D9015,K2638:K9015,"0",B2638:B9015,"5 1 1 1 3 12 31111 6 M59 80100 000132 0000R 00001 00113 015 2111100 2024*")-SUMIFS(E2638:E9015,K2638:K9015,"0",B2638:B9015,"5 1 1 1 3 12 31111 6 M59 80100 000132 0000R 00001 00113 015 2111100 2024*")</f>
        <v>0</v>
      </c>
      <c r="E2637"/>
      <c r="F2637" s="35">
        <f>SUMIFS(F2638:F9015,K2638:K9015,"0",B2638:B9015,"5 1 1 1 3 12 31111 6 M59 80100 000132 0000R 00001 00113 015 2111100 2024*")</f>
        <v>69093.52</v>
      </c>
      <c r="G2637" s="35">
        <f>SUMIFS(G2638:G9015,K2638:K9015,"0",B2638:B9015,"5 1 1 1 3 12 31111 6 M59 80100 000132 0000R 00001 00113 015 2111100 2024*")</f>
        <v>0</v>
      </c>
      <c r="H2637" s="35">
        <f t="shared" si="42"/>
        <v>69093.52</v>
      </c>
      <c r="I2637" s="35"/>
      <c r="K2637" t="s">
        <v>15</v>
      </c>
    </row>
    <row r="2638" spans="2:11" ht="41.25" x14ac:dyDescent="0.2">
      <c r="B2638" s="33" t="s">
        <v>3543</v>
      </c>
      <c r="C2638" s="33" t="s">
        <v>1056</v>
      </c>
      <c r="D2638" s="35">
        <f>SUMIFS(D2639:D9015,K2639:K9015,"0",B2639:B9015,"5 1 1 1 3 12 31111 6 M59 80100 000132 0000R 00001 00113 015 2111100 2024 CP1AC425*")-SUMIFS(E2639:E9015,K2639:K9015,"0",B2639:B9015,"5 1 1 1 3 12 31111 6 M59 80100 000132 0000R 00001 00113 015 2111100 2024 CP1AC425*")</f>
        <v>0</v>
      </c>
      <c r="E2638"/>
      <c r="F2638" s="35">
        <f>SUMIFS(F2639:F9015,K2639:K9015,"0",B2639:B9015,"5 1 1 1 3 12 31111 6 M59 80100 000132 0000R 00001 00113 015 2111100 2024 CP1AC425*")</f>
        <v>69093.52</v>
      </c>
      <c r="G2638" s="35">
        <f>SUMIFS(G2639:G9015,K2639:K9015,"0",B2639:B9015,"5 1 1 1 3 12 31111 6 M59 80100 000132 0000R 00001 00113 015 2111100 2024 CP1AC425*")</f>
        <v>0</v>
      </c>
      <c r="H2638" s="35">
        <f t="shared" si="42"/>
        <v>69093.52</v>
      </c>
      <c r="I2638" s="35"/>
      <c r="K2638" t="s">
        <v>15</v>
      </c>
    </row>
    <row r="2639" spans="2:11" ht="41.25" x14ac:dyDescent="0.2">
      <c r="B2639" s="33" t="s">
        <v>3544</v>
      </c>
      <c r="C2639" s="33" t="s">
        <v>282</v>
      </c>
      <c r="D2639" s="35">
        <f>SUMIFS(D2640:D9015,K2640:K9015,"0",B2640:B9015,"5 1 1 1 3 12 31111 6 M59 80100 000132 0000R 00001 00113 015 2111100 2024 CP1AC425 001*")-SUMIFS(E2640:E9015,K2640:K9015,"0",B2640:B9015,"5 1 1 1 3 12 31111 6 M59 80100 000132 0000R 00001 00113 015 2111100 2024 CP1AC425 001*")</f>
        <v>0</v>
      </c>
      <c r="E2639"/>
      <c r="F2639" s="35">
        <f>SUMIFS(F2640:F9015,K2640:K9015,"0",B2640:B9015,"5 1 1 1 3 12 31111 6 M59 80100 000132 0000R 00001 00113 015 2111100 2024 CP1AC425 001*")</f>
        <v>69093.52</v>
      </c>
      <c r="G2639" s="35">
        <f>SUMIFS(G2640:G9015,K2640:K9015,"0",B2640:B9015,"5 1 1 1 3 12 31111 6 M59 80100 000132 0000R 00001 00113 015 2111100 2024 CP1AC425 001*")</f>
        <v>0</v>
      </c>
      <c r="H2639" s="35">
        <f t="shared" si="42"/>
        <v>69093.52</v>
      </c>
      <c r="I2639" s="35"/>
      <c r="K2639" t="s">
        <v>15</v>
      </c>
    </row>
    <row r="2640" spans="2:11" ht="33" x14ac:dyDescent="0.2">
      <c r="B2640" s="31" t="s">
        <v>3545</v>
      </c>
      <c r="C2640" s="31" t="s">
        <v>2932</v>
      </c>
      <c r="D2640" s="34">
        <v>0</v>
      </c>
      <c r="E2640" s="34"/>
      <c r="F2640" s="34">
        <v>69093.52</v>
      </c>
      <c r="G2640" s="34">
        <v>0</v>
      </c>
      <c r="H2640" s="34">
        <f t="shared" si="42"/>
        <v>69093.52</v>
      </c>
      <c r="I2640" s="34"/>
      <c r="K2640" t="s">
        <v>38</v>
      </c>
    </row>
    <row r="2641" spans="2:11" ht="16.5" x14ac:dyDescent="0.2">
      <c r="B2641" s="33" t="s">
        <v>3546</v>
      </c>
      <c r="C2641" s="33" t="s">
        <v>3547</v>
      </c>
      <c r="D2641" s="35">
        <f>SUMIFS(D2642:D9015,K2642:K9015,"0",B2642:B9015,"5 1 1 1 3 12 31111 6 M59 80300*")-SUMIFS(E2642:E9015,K2642:K9015,"0",B2642:B9015,"5 1 1 1 3 12 31111 6 M59 80300*")</f>
        <v>0</v>
      </c>
      <c r="E2641"/>
      <c r="F2641" s="35">
        <f>SUMIFS(F2642:F9015,K2642:K9015,"0",B2642:B9015,"5 1 1 1 3 12 31111 6 M59 80300*")</f>
        <v>42581.04</v>
      </c>
      <c r="G2641" s="35">
        <f>SUMIFS(G2642:G9015,K2642:K9015,"0",B2642:B9015,"5 1 1 1 3 12 31111 6 M59 80300*")</f>
        <v>0</v>
      </c>
      <c r="H2641" s="35">
        <f t="shared" si="42"/>
        <v>42581.04</v>
      </c>
      <c r="I2641" s="35"/>
      <c r="K2641" t="s">
        <v>15</v>
      </c>
    </row>
    <row r="2642" spans="2:11" ht="16.5" x14ac:dyDescent="0.2">
      <c r="B2642" s="33" t="s">
        <v>3548</v>
      </c>
      <c r="C2642" s="33" t="s">
        <v>648</v>
      </c>
      <c r="D2642" s="35">
        <f>SUMIFS(D2643:D9015,K2643:K9015,"0",B2643:B9015,"5 1 1 1 3 12 31111 6 M59 80300 000132*")-SUMIFS(E2643:E9015,K2643:K9015,"0",B2643:B9015,"5 1 1 1 3 12 31111 6 M59 80300 000132*")</f>
        <v>0</v>
      </c>
      <c r="E2642"/>
      <c r="F2642" s="35">
        <f>SUMIFS(F2643:F9015,K2643:K9015,"0",B2643:B9015,"5 1 1 1 3 12 31111 6 M59 80300 000132*")</f>
        <v>42581.04</v>
      </c>
      <c r="G2642" s="35">
        <f>SUMIFS(G2643:G9015,K2643:K9015,"0",B2643:B9015,"5 1 1 1 3 12 31111 6 M59 80300 000132*")</f>
        <v>0</v>
      </c>
      <c r="H2642" s="35">
        <f t="shared" si="42"/>
        <v>42581.04</v>
      </c>
      <c r="I2642" s="35"/>
      <c r="K2642" t="s">
        <v>15</v>
      </c>
    </row>
    <row r="2643" spans="2:11" ht="16.5" x14ac:dyDescent="0.2">
      <c r="B2643" s="33" t="s">
        <v>3549</v>
      </c>
      <c r="C2643" s="33" t="s">
        <v>650</v>
      </c>
      <c r="D2643" s="35">
        <f>SUMIFS(D2644:D9015,K2644:K9015,"0",B2644:B9015,"5 1 1 1 3 12 31111 6 M59 80300 000132 0000R*")-SUMIFS(E2644:E9015,K2644:K9015,"0",B2644:B9015,"5 1 1 1 3 12 31111 6 M59 80300 000132 0000R*")</f>
        <v>0</v>
      </c>
      <c r="E2643"/>
      <c r="F2643" s="35">
        <f>SUMIFS(F2644:F9015,K2644:K9015,"0",B2644:B9015,"5 1 1 1 3 12 31111 6 M59 80300 000132 0000R*")</f>
        <v>42581.04</v>
      </c>
      <c r="G2643" s="35">
        <f>SUMIFS(G2644:G9015,K2644:K9015,"0",B2644:B9015,"5 1 1 1 3 12 31111 6 M59 80300 000132 0000R*")</f>
        <v>0</v>
      </c>
      <c r="H2643" s="35">
        <f t="shared" si="42"/>
        <v>42581.04</v>
      </c>
      <c r="I2643" s="35"/>
      <c r="K2643" t="s">
        <v>15</v>
      </c>
    </row>
    <row r="2644" spans="2:11" ht="24.75" x14ac:dyDescent="0.2">
      <c r="B2644" s="33" t="s">
        <v>3550</v>
      </c>
      <c r="C2644" s="33" t="s">
        <v>282</v>
      </c>
      <c r="D2644" s="35">
        <f>SUMIFS(D2645:D9015,K2645:K9015,"0",B2645:B9015,"5 1 1 1 3 12 31111 6 M59 80300 000132 0000R 00001*")-SUMIFS(E2645:E9015,K2645:K9015,"0",B2645:B9015,"5 1 1 1 3 12 31111 6 M59 80300 000132 0000R 00001*")</f>
        <v>0</v>
      </c>
      <c r="E2644"/>
      <c r="F2644" s="35">
        <f>SUMIFS(F2645:F9015,K2645:K9015,"0",B2645:B9015,"5 1 1 1 3 12 31111 6 M59 80300 000132 0000R 00001*")</f>
        <v>42581.04</v>
      </c>
      <c r="G2644" s="35">
        <f>SUMIFS(G2645:G9015,K2645:K9015,"0",B2645:B9015,"5 1 1 1 3 12 31111 6 M59 80300 000132 0000R 00001*")</f>
        <v>0</v>
      </c>
      <c r="H2644" s="35">
        <f t="shared" si="42"/>
        <v>42581.04</v>
      </c>
      <c r="I2644" s="35"/>
      <c r="K2644" t="s">
        <v>15</v>
      </c>
    </row>
    <row r="2645" spans="2:11" ht="24.75" x14ac:dyDescent="0.2">
      <c r="B2645" s="33" t="s">
        <v>3551</v>
      </c>
      <c r="C2645" s="33" t="s">
        <v>2924</v>
      </c>
      <c r="D2645" s="35">
        <f>SUMIFS(D2646:D9015,K2646:K9015,"0",B2646:B9015,"5 1 1 1 3 12 31111 6 M59 80300 000132 0000R 00001 00113*")-SUMIFS(E2646:E9015,K2646:K9015,"0",B2646:B9015,"5 1 1 1 3 12 31111 6 M59 80300 000132 0000R 00001 00113*")</f>
        <v>0</v>
      </c>
      <c r="E2645"/>
      <c r="F2645" s="35">
        <f>SUMIFS(F2646:F9015,K2646:K9015,"0",B2646:B9015,"5 1 1 1 3 12 31111 6 M59 80300 000132 0000R 00001 00113*")</f>
        <v>42581.04</v>
      </c>
      <c r="G2645" s="35">
        <f>SUMIFS(G2646:G9015,K2646:K9015,"0",B2646:B9015,"5 1 1 1 3 12 31111 6 M59 80300 000132 0000R 00001 00113*")</f>
        <v>0</v>
      </c>
      <c r="H2645" s="35">
        <f t="shared" si="42"/>
        <v>42581.04</v>
      </c>
      <c r="I2645" s="35"/>
      <c r="K2645" t="s">
        <v>15</v>
      </c>
    </row>
    <row r="2646" spans="2:11" ht="24.75" x14ac:dyDescent="0.2">
      <c r="B2646" s="33" t="s">
        <v>3552</v>
      </c>
      <c r="C2646" s="33" t="s">
        <v>1051</v>
      </c>
      <c r="D2646" s="35">
        <f>SUMIFS(D2647:D9015,K2647:K9015,"0",B2647:B9015,"5 1 1 1 3 12 31111 6 M59 80300 000132 0000R 00001 00113 015*")-SUMIFS(E2647:E9015,K2647:K9015,"0",B2647:B9015,"5 1 1 1 3 12 31111 6 M59 80300 000132 0000R 00001 00113 015*")</f>
        <v>0</v>
      </c>
      <c r="E2646"/>
      <c r="F2646" s="35">
        <f>SUMIFS(F2647:F9015,K2647:K9015,"0",B2647:B9015,"5 1 1 1 3 12 31111 6 M59 80300 000132 0000R 00001 00113 015*")</f>
        <v>42581.04</v>
      </c>
      <c r="G2646" s="35">
        <f>SUMIFS(G2647:G9015,K2647:K9015,"0",B2647:B9015,"5 1 1 1 3 12 31111 6 M59 80300 000132 0000R 00001 00113 015*")</f>
        <v>0</v>
      </c>
      <c r="H2646" s="35">
        <f t="shared" si="42"/>
        <v>42581.04</v>
      </c>
      <c r="I2646" s="35"/>
      <c r="K2646" t="s">
        <v>15</v>
      </c>
    </row>
    <row r="2647" spans="2:11" ht="33" x14ac:dyDescent="0.2">
      <c r="B2647" s="33" t="s">
        <v>3553</v>
      </c>
      <c r="C2647" s="33" t="s">
        <v>2927</v>
      </c>
      <c r="D2647" s="35">
        <f>SUMIFS(D2648:D9015,K2648:K9015,"0",B2648:B9015,"5 1 1 1 3 12 31111 6 M59 80300 000132 0000R 00001 00113 015 2111100*")-SUMIFS(E2648:E9015,K2648:K9015,"0",B2648:B9015,"5 1 1 1 3 12 31111 6 M59 80300 000132 0000R 00001 00113 015 2111100*")</f>
        <v>0</v>
      </c>
      <c r="E2647"/>
      <c r="F2647" s="35">
        <f>SUMIFS(F2648:F9015,K2648:K9015,"0",B2648:B9015,"5 1 1 1 3 12 31111 6 M59 80300 000132 0000R 00001 00113 015 2111100*")</f>
        <v>42581.04</v>
      </c>
      <c r="G2647" s="35">
        <f>SUMIFS(G2648:G9015,K2648:K9015,"0",B2648:B9015,"5 1 1 1 3 12 31111 6 M59 80300 000132 0000R 00001 00113 015 2111100*")</f>
        <v>0</v>
      </c>
      <c r="H2647" s="35">
        <f t="shared" si="42"/>
        <v>42581.04</v>
      </c>
      <c r="I2647" s="35"/>
      <c r="K2647" t="s">
        <v>15</v>
      </c>
    </row>
    <row r="2648" spans="2:11" ht="33" x14ac:dyDescent="0.2">
      <c r="B2648" s="33" t="s">
        <v>3554</v>
      </c>
      <c r="C2648" s="33" t="s">
        <v>660</v>
      </c>
      <c r="D2648" s="35">
        <f>SUMIFS(D2649:D9015,K2649:K9015,"0",B2649:B9015,"5 1 1 1 3 12 31111 6 M59 80300 000132 0000R 00001 00113 015 2111100 2024*")-SUMIFS(E2649:E9015,K2649:K9015,"0",B2649:B9015,"5 1 1 1 3 12 31111 6 M59 80300 000132 0000R 00001 00113 015 2111100 2024*")</f>
        <v>0</v>
      </c>
      <c r="E2648"/>
      <c r="F2648" s="35">
        <f>SUMIFS(F2649:F9015,K2649:K9015,"0",B2649:B9015,"5 1 1 1 3 12 31111 6 M59 80300 000132 0000R 00001 00113 015 2111100 2024*")</f>
        <v>42581.04</v>
      </c>
      <c r="G2648" s="35">
        <f>SUMIFS(G2649:G9015,K2649:K9015,"0",B2649:B9015,"5 1 1 1 3 12 31111 6 M59 80300 000132 0000R 00001 00113 015 2111100 2024*")</f>
        <v>0</v>
      </c>
      <c r="H2648" s="35">
        <f t="shared" si="42"/>
        <v>42581.04</v>
      </c>
      <c r="I2648" s="35"/>
      <c r="K2648" t="s">
        <v>15</v>
      </c>
    </row>
    <row r="2649" spans="2:11" ht="41.25" x14ac:dyDescent="0.2">
      <c r="B2649" s="33" t="s">
        <v>3555</v>
      </c>
      <c r="C2649" s="33" t="s">
        <v>1056</v>
      </c>
      <c r="D2649" s="35">
        <f>SUMIFS(D2650:D9015,K2650:K9015,"0",B2650:B9015,"5 1 1 1 3 12 31111 6 M59 80300 000132 0000R 00001 00113 015 2111100 2024 CP1GA414*")-SUMIFS(E2650:E9015,K2650:K9015,"0",B2650:B9015,"5 1 1 1 3 12 31111 6 M59 80300 000132 0000R 00001 00113 015 2111100 2024 CP1GA414*")</f>
        <v>0</v>
      </c>
      <c r="E2649"/>
      <c r="F2649" s="35">
        <f>SUMIFS(F2650:F9015,K2650:K9015,"0",B2650:B9015,"5 1 1 1 3 12 31111 6 M59 80300 000132 0000R 00001 00113 015 2111100 2024 CP1GA414*")</f>
        <v>42581.04</v>
      </c>
      <c r="G2649" s="35">
        <f>SUMIFS(G2650:G9015,K2650:K9015,"0",B2650:B9015,"5 1 1 1 3 12 31111 6 M59 80300 000132 0000R 00001 00113 015 2111100 2024 CP1GA414*")</f>
        <v>0</v>
      </c>
      <c r="H2649" s="35">
        <f t="shared" si="42"/>
        <v>42581.04</v>
      </c>
      <c r="I2649" s="35"/>
      <c r="K2649" t="s">
        <v>15</v>
      </c>
    </row>
    <row r="2650" spans="2:11" ht="41.25" x14ac:dyDescent="0.2">
      <c r="B2650" s="33" t="s">
        <v>3556</v>
      </c>
      <c r="C2650" s="33" t="s">
        <v>282</v>
      </c>
      <c r="D2650" s="35">
        <f>SUMIFS(D2651:D9015,K2651:K9015,"0",B2651:B9015,"5 1 1 1 3 12 31111 6 M59 80300 000132 0000R 00001 00113 015 2111100 2024 CP1GA414 001*")-SUMIFS(E2651:E9015,K2651:K9015,"0",B2651:B9015,"5 1 1 1 3 12 31111 6 M59 80300 000132 0000R 00001 00113 015 2111100 2024 CP1GA414 001*")</f>
        <v>0</v>
      </c>
      <c r="E2650"/>
      <c r="F2650" s="35">
        <f>SUMIFS(F2651:F9015,K2651:K9015,"0",B2651:B9015,"5 1 1 1 3 12 31111 6 M59 80300 000132 0000R 00001 00113 015 2111100 2024 CP1GA414 001*")</f>
        <v>42581.04</v>
      </c>
      <c r="G2650" s="35">
        <f>SUMIFS(G2651:G9015,K2651:K9015,"0",B2651:B9015,"5 1 1 1 3 12 31111 6 M59 80300 000132 0000R 00001 00113 015 2111100 2024 CP1GA414 001*")</f>
        <v>0</v>
      </c>
      <c r="H2650" s="35">
        <f t="shared" si="42"/>
        <v>42581.04</v>
      </c>
      <c r="I2650" s="35"/>
      <c r="K2650" t="s">
        <v>15</v>
      </c>
    </row>
    <row r="2651" spans="2:11" ht="41.25" x14ac:dyDescent="0.2">
      <c r="B2651" s="31" t="s">
        <v>3557</v>
      </c>
      <c r="C2651" s="31" t="s">
        <v>2932</v>
      </c>
      <c r="D2651" s="34">
        <v>0</v>
      </c>
      <c r="E2651" s="34"/>
      <c r="F2651" s="34">
        <v>42581.04</v>
      </c>
      <c r="G2651" s="34">
        <v>0</v>
      </c>
      <c r="H2651" s="34">
        <f t="shared" si="42"/>
        <v>42581.04</v>
      </c>
      <c r="I2651" s="34"/>
      <c r="K2651" t="s">
        <v>38</v>
      </c>
    </row>
    <row r="2652" spans="2:11" ht="16.5" x14ac:dyDescent="0.2">
      <c r="B2652" s="33" t="s">
        <v>3558</v>
      </c>
      <c r="C2652" s="33" t="s">
        <v>3559</v>
      </c>
      <c r="D2652" s="35">
        <f>SUMIFS(D2653:D9015,K2653:K9015,"0",B2653:B9015,"5 1 1 1 3 12 31111 6 M59 80400*")-SUMIFS(E2653:E9015,K2653:K9015,"0",B2653:B9015,"5 1 1 1 3 12 31111 6 M59 80400*")</f>
        <v>0</v>
      </c>
      <c r="E2652"/>
      <c r="F2652" s="35">
        <f>SUMIFS(F2653:F9015,K2653:K9015,"0",B2653:B9015,"5 1 1 1 3 12 31111 6 M59 80400*")</f>
        <v>100643.95</v>
      </c>
      <c r="G2652" s="35">
        <f>SUMIFS(G2653:G9015,K2653:K9015,"0",B2653:B9015,"5 1 1 1 3 12 31111 6 M59 80400*")</f>
        <v>0</v>
      </c>
      <c r="H2652" s="35">
        <f t="shared" si="42"/>
        <v>100643.95</v>
      </c>
      <c r="I2652" s="35"/>
      <c r="K2652" t="s">
        <v>15</v>
      </c>
    </row>
    <row r="2653" spans="2:11" ht="16.5" x14ac:dyDescent="0.2">
      <c r="B2653" s="33" t="s">
        <v>3560</v>
      </c>
      <c r="C2653" s="33" t="s">
        <v>648</v>
      </c>
      <c r="D2653" s="35">
        <f>SUMIFS(D2654:D9015,K2654:K9015,"0",B2654:B9015,"5 1 1 1 3 12 31111 6 M59 80400 000132*")-SUMIFS(E2654:E9015,K2654:K9015,"0",B2654:B9015,"5 1 1 1 3 12 31111 6 M59 80400 000132*")</f>
        <v>0</v>
      </c>
      <c r="E2653"/>
      <c r="F2653" s="35">
        <f>SUMIFS(F2654:F9015,K2654:K9015,"0",B2654:B9015,"5 1 1 1 3 12 31111 6 M59 80400 000132*")</f>
        <v>100643.95</v>
      </c>
      <c r="G2653" s="35">
        <f>SUMIFS(G2654:G9015,K2654:K9015,"0",B2654:B9015,"5 1 1 1 3 12 31111 6 M59 80400 000132*")</f>
        <v>0</v>
      </c>
      <c r="H2653" s="35">
        <f t="shared" si="42"/>
        <v>100643.95</v>
      </c>
      <c r="I2653" s="35"/>
      <c r="K2653" t="s">
        <v>15</v>
      </c>
    </row>
    <row r="2654" spans="2:11" ht="16.5" x14ac:dyDescent="0.2">
      <c r="B2654" s="33" t="s">
        <v>3561</v>
      </c>
      <c r="C2654" s="33" t="s">
        <v>650</v>
      </c>
      <c r="D2654" s="35">
        <f>SUMIFS(D2655:D9015,K2655:K9015,"0",B2655:B9015,"5 1 1 1 3 12 31111 6 M59 80400 000132 0000R*")-SUMIFS(E2655:E9015,K2655:K9015,"0",B2655:B9015,"5 1 1 1 3 12 31111 6 M59 80400 000132 0000R*")</f>
        <v>0</v>
      </c>
      <c r="E2654"/>
      <c r="F2654" s="35">
        <f>SUMIFS(F2655:F9015,K2655:K9015,"0",B2655:B9015,"5 1 1 1 3 12 31111 6 M59 80400 000132 0000R*")</f>
        <v>100643.95</v>
      </c>
      <c r="G2654" s="35">
        <f>SUMIFS(G2655:G9015,K2655:K9015,"0",B2655:B9015,"5 1 1 1 3 12 31111 6 M59 80400 000132 0000R*")</f>
        <v>0</v>
      </c>
      <c r="H2654" s="35">
        <f t="shared" si="42"/>
        <v>100643.95</v>
      </c>
      <c r="I2654" s="35"/>
      <c r="K2654" t="s">
        <v>15</v>
      </c>
    </row>
    <row r="2655" spans="2:11" ht="24.75" x14ac:dyDescent="0.2">
      <c r="B2655" s="33" t="s">
        <v>3562</v>
      </c>
      <c r="C2655" s="33" t="s">
        <v>282</v>
      </c>
      <c r="D2655" s="35">
        <f>SUMIFS(D2656:D9015,K2656:K9015,"0",B2656:B9015,"5 1 1 1 3 12 31111 6 M59 80400 000132 0000R 00001*")-SUMIFS(E2656:E9015,K2656:K9015,"0",B2656:B9015,"5 1 1 1 3 12 31111 6 M59 80400 000132 0000R 00001*")</f>
        <v>0</v>
      </c>
      <c r="E2655"/>
      <c r="F2655" s="35">
        <f>SUMIFS(F2656:F9015,K2656:K9015,"0",B2656:B9015,"5 1 1 1 3 12 31111 6 M59 80400 000132 0000R 00001*")</f>
        <v>100643.95</v>
      </c>
      <c r="G2655" s="35">
        <f>SUMIFS(G2656:G9015,K2656:K9015,"0",B2656:B9015,"5 1 1 1 3 12 31111 6 M59 80400 000132 0000R 00001*")</f>
        <v>0</v>
      </c>
      <c r="H2655" s="35">
        <f t="shared" si="42"/>
        <v>100643.95</v>
      </c>
      <c r="I2655" s="35"/>
      <c r="K2655" t="s">
        <v>15</v>
      </c>
    </row>
    <row r="2656" spans="2:11" ht="24.75" x14ac:dyDescent="0.2">
      <c r="B2656" s="33" t="s">
        <v>3563</v>
      </c>
      <c r="C2656" s="33" t="s">
        <v>2924</v>
      </c>
      <c r="D2656" s="35">
        <f>SUMIFS(D2657:D9015,K2657:K9015,"0",B2657:B9015,"5 1 1 1 3 12 31111 6 M59 80400 000132 0000R 00001 00113*")-SUMIFS(E2657:E9015,K2657:K9015,"0",B2657:B9015,"5 1 1 1 3 12 31111 6 M59 80400 000132 0000R 00001 00113*")</f>
        <v>0</v>
      </c>
      <c r="E2656"/>
      <c r="F2656" s="35">
        <f>SUMIFS(F2657:F9015,K2657:K9015,"0",B2657:B9015,"5 1 1 1 3 12 31111 6 M59 80400 000132 0000R 00001 00113*")</f>
        <v>100643.95</v>
      </c>
      <c r="G2656" s="35">
        <f>SUMIFS(G2657:G9015,K2657:K9015,"0",B2657:B9015,"5 1 1 1 3 12 31111 6 M59 80400 000132 0000R 00001 00113*")</f>
        <v>0</v>
      </c>
      <c r="H2656" s="35">
        <f t="shared" si="42"/>
        <v>100643.95</v>
      </c>
      <c r="I2656" s="35"/>
      <c r="K2656" t="s">
        <v>15</v>
      </c>
    </row>
    <row r="2657" spans="2:11" ht="24.75" x14ac:dyDescent="0.2">
      <c r="B2657" s="33" t="s">
        <v>3564</v>
      </c>
      <c r="C2657" s="33" t="s">
        <v>1051</v>
      </c>
      <c r="D2657" s="35">
        <f>SUMIFS(D2658:D9015,K2658:K9015,"0",B2658:B9015,"5 1 1 1 3 12 31111 6 M59 80400 000132 0000R 00001 00113 015*")-SUMIFS(E2658:E9015,K2658:K9015,"0",B2658:B9015,"5 1 1 1 3 12 31111 6 M59 80400 000132 0000R 00001 00113 015*")</f>
        <v>0</v>
      </c>
      <c r="E2657"/>
      <c r="F2657" s="35">
        <f>SUMIFS(F2658:F9015,K2658:K9015,"0",B2658:B9015,"5 1 1 1 3 12 31111 6 M59 80400 000132 0000R 00001 00113 015*")</f>
        <v>100643.95</v>
      </c>
      <c r="G2657" s="35">
        <f>SUMIFS(G2658:G9015,K2658:K9015,"0",B2658:B9015,"5 1 1 1 3 12 31111 6 M59 80400 000132 0000R 00001 00113 015*")</f>
        <v>0</v>
      </c>
      <c r="H2657" s="35">
        <f t="shared" si="42"/>
        <v>100643.95</v>
      </c>
      <c r="I2657" s="35"/>
      <c r="K2657" t="s">
        <v>15</v>
      </c>
    </row>
    <row r="2658" spans="2:11" ht="33" x14ac:dyDescent="0.2">
      <c r="B2658" s="33" t="s">
        <v>3565</v>
      </c>
      <c r="C2658" s="33" t="s">
        <v>2927</v>
      </c>
      <c r="D2658" s="35">
        <f>SUMIFS(D2659:D9015,K2659:K9015,"0",B2659:B9015,"5 1 1 1 3 12 31111 6 M59 80400 000132 0000R 00001 00113 015 2111100*")-SUMIFS(E2659:E9015,K2659:K9015,"0",B2659:B9015,"5 1 1 1 3 12 31111 6 M59 80400 000132 0000R 00001 00113 015 2111100*")</f>
        <v>0</v>
      </c>
      <c r="E2658"/>
      <c r="F2658" s="35">
        <f>SUMIFS(F2659:F9015,K2659:K9015,"0",B2659:B9015,"5 1 1 1 3 12 31111 6 M59 80400 000132 0000R 00001 00113 015 2111100*")</f>
        <v>100643.95</v>
      </c>
      <c r="G2658" s="35">
        <f>SUMIFS(G2659:G9015,K2659:K9015,"0",B2659:B9015,"5 1 1 1 3 12 31111 6 M59 80400 000132 0000R 00001 00113 015 2111100*")</f>
        <v>0</v>
      </c>
      <c r="H2658" s="35">
        <f t="shared" si="42"/>
        <v>100643.95</v>
      </c>
      <c r="I2658" s="35"/>
      <c r="K2658" t="s">
        <v>15</v>
      </c>
    </row>
    <row r="2659" spans="2:11" ht="33" x14ac:dyDescent="0.2">
      <c r="B2659" s="33" t="s">
        <v>3566</v>
      </c>
      <c r="C2659" s="33" t="s">
        <v>660</v>
      </c>
      <c r="D2659" s="35">
        <f>SUMIFS(D2660:D9015,K2660:K9015,"0",B2660:B9015,"5 1 1 1 3 12 31111 6 M59 80400 000132 0000R 00001 00113 015 2111100 2024*")-SUMIFS(E2660:E9015,K2660:K9015,"0",B2660:B9015,"5 1 1 1 3 12 31111 6 M59 80400 000132 0000R 00001 00113 015 2111100 2024*")</f>
        <v>0</v>
      </c>
      <c r="E2659"/>
      <c r="F2659" s="35">
        <f>SUMIFS(F2660:F9015,K2660:K9015,"0",B2660:B9015,"5 1 1 1 3 12 31111 6 M59 80400 000132 0000R 00001 00113 015 2111100 2024*")</f>
        <v>100643.95</v>
      </c>
      <c r="G2659" s="35">
        <f>SUMIFS(G2660:G9015,K2660:K9015,"0",B2660:B9015,"5 1 1 1 3 12 31111 6 M59 80400 000132 0000R 00001 00113 015 2111100 2024*")</f>
        <v>0</v>
      </c>
      <c r="H2659" s="35">
        <f t="shared" si="42"/>
        <v>100643.95</v>
      </c>
      <c r="I2659" s="35"/>
      <c r="K2659" t="s">
        <v>15</v>
      </c>
    </row>
    <row r="2660" spans="2:11" ht="41.25" x14ac:dyDescent="0.2">
      <c r="B2660" s="33" t="s">
        <v>3567</v>
      </c>
      <c r="C2660" s="33" t="s">
        <v>1056</v>
      </c>
      <c r="D2660" s="35">
        <f>SUMIFS(D2661:D9015,K2661:K9015,"0",B2661:B9015,"5 1 1 1 3 12 31111 6 M59 80400 000132 0000R 00001 00113 015 2111100 2024 CP1DP403*")-SUMIFS(E2661:E9015,K2661:K9015,"0",B2661:B9015,"5 1 1 1 3 12 31111 6 M59 80400 000132 0000R 00001 00113 015 2111100 2024 CP1DP403*")</f>
        <v>0</v>
      </c>
      <c r="E2660"/>
      <c r="F2660" s="35">
        <f>SUMIFS(F2661:F9015,K2661:K9015,"0",B2661:B9015,"5 1 1 1 3 12 31111 6 M59 80400 000132 0000R 00001 00113 015 2111100 2024 CP1DP403*")</f>
        <v>100643.95</v>
      </c>
      <c r="G2660" s="35">
        <f>SUMIFS(G2661:G9015,K2661:K9015,"0",B2661:B9015,"5 1 1 1 3 12 31111 6 M59 80400 000132 0000R 00001 00113 015 2111100 2024 CP1DP403*")</f>
        <v>0</v>
      </c>
      <c r="H2660" s="35">
        <f t="shared" si="42"/>
        <v>100643.95</v>
      </c>
      <c r="I2660" s="35"/>
      <c r="K2660" t="s">
        <v>15</v>
      </c>
    </row>
    <row r="2661" spans="2:11" ht="41.25" x14ac:dyDescent="0.2">
      <c r="B2661" s="33" t="s">
        <v>3568</v>
      </c>
      <c r="C2661" s="33" t="s">
        <v>282</v>
      </c>
      <c r="D2661" s="35">
        <f>SUMIFS(D2662:D9015,K2662:K9015,"0",B2662:B9015,"5 1 1 1 3 12 31111 6 M59 80400 000132 0000R 00001 00113 015 2111100 2024 CP1DP403 001*")-SUMIFS(E2662:E9015,K2662:K9015,"0",B2662:B9015,"5 1 1 1 3 12 31111 6 M59 80400 000132 0000R 00001 00113 015 2111100 2024 CP1DP403 001*")</f>
        <v>0</v>
      </c>
      <c r="E2661"/>
      <c r="F2661" s="35">
        <f>SUMIFS(F2662:F9015,K2662:K9015,"0",B2662:B9015,"5 1 1 1 3 12 31111 6 M59 80400 000132 0000R 00001 00113 015 2111100 2024 CP1DP403 001*")</f>
        <v>100643.95</v>
      </c>
      <c r="G2661" s="35">
        <f>SUMIFS(G2662:G9015,K2662:K9015,"0",B2662:B9015,"5 1 1 1 3 12 31111 6 M59 80400 000132 0000R 00001 00113 015 2111100 2024 CP1DP403 001*")</f>
        <v>0</v>
      </c>
      <c r="H2661" s="35">
        <f t="shared" si="42"/>
        <v>100643.95</v>
      </c>
      <c r="I2661" s="35"/>
      <c r="K2661" t="s">
        <v>15</v>
      </c>
    </row>
    <row r="2662" spans="2:11" ht="41.25" x14ac:dyDescent="0.2">
      <c r="B2662" s="31" t="s">
        <v>3569</v>
      </c>
      <c r="C2662" s="31" t="s">
        <v>2932</v>
      </c>
      <c r="D2662" s="34">
        <v>0</v>
      </c>
      <c r="E2662" s="34"/>
      <c r="F2662" s="34">
        <v>100643.95</v>
      </c>
      <c r="G2662" s="34">
        <v>0</v>
      </c>
      <c r="H2662" s="34">
        <f t="shared" si="42"/>
        <v>100643.95</v>
      </c>
      <c r="I2662" s="34"/>
      <c r="K2662" t="s">
        <v>38</v>
      </c>
    </row>
    <row r="2663" spans="2:11" ht="24.75" x14ac:dyDescent="0.2">
      <c r="B2663" s="33" t="s">
        <v>3570</v>
      </c>
      <c r="C2663" s="33" t="s">
        <v>3571</v>
      </c>
      <c r="D2663" s="35">
        <f>SUMIFS(D2664:D9015,K2664:K9015,"0",B2664:B9015,"5 1 1 1 3 12 31111 6 M59 80500*")-SUMIFS(E2664:E9015,K2664:K9015,"0",B2664:B9015,"5 1 1 1 3 12 31111 6 M59 80500*")</f>
        <v>0</v>
      </c>
      <c r="E2663"/>
      <c r="F2663" s="35">
        <f>SUMIFS(F2664:F9015,K2664:K9015,"0",B2664:B9015,"5 1 1 1 3 12 31111 6 M59 80500*")</f>
        <v>122620.56</v>
      </c>
      <c r="G2663" s="35">
        <f>SUMIFS(G2664:G9015,K2664:K9015,"0",B2664:B9015,"5 1 1 1 3 12 31111 6 M59 80500*")</f>
        <v>0</v>
      </c>
      <c r="H2663" s="35">
        <f t="shared" si="42"/>
        <v>122620.56</v>
      </c>
      <c r="I2663" s="35"/>
      <c r="K2663" t="s">
        <v>15</v>
      </c>
    </row>
    <row r="2664" spans="2:11" ht="16.5" x14ac:dyDescent="0.2">
      <c r="B2664" s="33" t="s">
        <v>3572</v>
      </c>
      <c r="C2664" s="33" t="s">
        <v>3573</v>
      </c>
      <c r="D2664" s="35">
        <f>SUMIFS(D2665:D9015,K2665:K9015,"0",B2665:B9015,"5 1 1 1 3 12 31111 6 M59 80500 000216*")-SUMIFS(E2665:E9015,K2665:K9015,"0",B2665:B9015,"5 1 1 1 3 12 31111 6 M59 80500 000216*")</f>
        <v>0</v>
      </c>
      <c r="E2664"/>
      <c r="F2664" s="35">
        <f>SUMIFS(F2665:F9015,K2665:K9015,"0",B2665:B9015,"5 1 1 1 3 12 31111 6 M59 80500 000216*")</f>
        <v>122620.56</v>
      </c>
      <c r="G2664" s="35">
        <f>SUMIFS(G2665:G9015,K2665:K9015,"0",B2665:B9015,"5 1 1 1 3 12 31111 6 M59 80500 000216*")</f>
        <v>0</v>
      </c>
      <c r="H2664" s="35">
        <f t="shared" si="42"/>
        <v>122620.56</v>
      </c>
      <c r="I2664" s="35"/>
      <c r="K2664" t="s">
        <v>15</v>
      </c>
    </row>
    <row r="2665" spans="2:11" ht="16.5" x14ac:dyDescent="0.2">
      <c r="B2665" s="33" t="s">
        <v>3574</v>
      </c>
      <c r="C2665" s="33" t="s">
        <v>650</v>
      </c>
      <c r="D2665" s="35">
        <f>SUMIFS(D2666:D9015,K2666:K9015,"0",B2666:B9015,"5 1 1 1 3 12 31111 6 M59 80500 000216 0000R*")-SUMIFS(E2666:E9015,K2666:K9015,"0",B2666:B9015,"5 1 1 1 3 12 31111 6 M59 80500 000216 0000R*")</f>
        <v>0</v>
      </c>
      <c r="E2665"/>
      <c r="F2665" s="35">
        <f>SUMIFS(F2666:F9015,K2666:K9015,"0",B2666:B9015,"5 1 1 1 3 12 31111 6 M59 80500 000216 0000R*")</f>
        <v>122620.56</v>
      </c>
      <c r="G2665" s="35">
        <f>SUMIFS(G2666:G9015,K2666:K9015,"0",B2666:B9015,"5 1 1 1 3 12 31111 6 M59 80500 000216 0000R*")</f>
        <v>0</v>
      </c>
      <c r="H2665" s="35">
        <f t="shared" si="42"/>
        <v>122620.56</v>
      </c>
      <c r="I2665" s="35"/>
      <c r="K2665" t="s">
        <v>15</v>
      </c>
    </row>
    <row r="2666" spans="2:11" ht="24.75" x14ac:dyDescent="0.2">
      <c r="B2666" s="33" t="s">
        <v>3575</v>
      </c>
      <c r="C2666" s="33" t="s">
        <v>282</v>
      </c>
      <c r="D2666" s="35">
        <f>SUMIFS(D2667:D9015,K2667:K9015,"0",B2667:B9015,"5 1 1 1 3 12 31111 6 M59 80500 000216 0000R 00001*")-SUMIFS(E2667:E9015,K2667:K9015,"0",B2667:B9015,"5 1 1 1 3 12 31111 6 M59 80500 000216 0000R 00001*")</f>
        <v>0</v>
      </c>
      <c r="E2666"/>
      <c r="F2666" s="35">
        <f>SUMIFS(F2667:F9015,K2667:K9015,"0",B2667:B9015,"5 1 1 1 3 12 31111 6 M59 80500 000216 0000R 00001*")</f>
        <v>122620.56</v>
      </c>
      <c r="G2666" s="35">
        <f>SUMIFS(G2667:G9015,K2667:K9015,"0",B2667:B9015,"5 1 1 1 3 12 31111 6 M59 80500 000216 0000R 00001*")</f>
        <v>0</v>
      </c>
      <c r="H2666" s="35">
        <f t="shared" si="42"/>
        <v>122620.56</v>
      </c>
      <c r="I2666" s="35"/>
      <c r="K2666" t="s">
        <v>15</v>
      </c>
    </row>
    <row r="2667" spans="2:11" ht="24.75" x14ac:dyDescent="0.2">
      <c r="B2667" s="33" t="s">
        <v>3576</v>
      </c>
      <c r="C2667" s="33" t="s">
        <v>2924</v>
      </c>
      <c r="D2667" s="35">
        <f>SUMIFS(D2668:D9015,K2668:K9015,"0",B2668:B9015,"5 1 1 1 3 12 31111 6 M59 80500 000216 0000R 00001 00113*")-SUMIFS(E2668:E9015,K2668:K9015,"0",B2668:B9015,"5 1 1 1 3 12 31111 6 M59 80500 000216 0000R 00001 00113*")</f>
        <v>0</v>
      </c>
      <c r="E2667"/>
      <c r="F2667" s="35">
        <f>SUMIFS(F2668:F9015,K2668:K9015,"0",B2668:B9015,"5 1 1 1 3 12 31111 6 M59 80500 000216 0000R 00001 00113*")</f>
        <v>122620.56</v>
      </c>
      <c r="G2667" s="35">
        <f>SUMIFS(G2668:G9015,K2668:K9015,"0",B2668:B9015,"5 1 1 1 3 12 31111 6 M59 80500 000216 0000R 00001 00113*")</f>
        <v>0</v>
      </c>
      <c r="H2667" s="35">
        <f t="shared" si="42"/>
        <v>122620.56</v>
      </c>
      <c r="I2667" s="35"/>
      <c r="K2667" t="s">
        <v>15</v>
      </c>
    </row>
    <row r="2668" spans="2:11" ht="24.75" x14ac:dyDescent="0.2">
      <c r="B2668" s="33" t="s">
        <v>3577</v>
      </c>
      <c r="C2668" s="33" t="s">
        <v>1051</v>
      </c>
      <c r="D2668" s="35">
        <f>SUMIFS(D2669:D9015,K2669:K9015,"0",B2669:B9015,"5 1 1 1 3 12 31111 6 M59 80500 000216 0000R 00001 00113 015*")-SUMIFS(E2669:E9015,K2669:K9015,"0",B2669:B9015,"5 1 1 1 3 12 31111 6 M59 80500 000216 0000R 00001 00113 015*")</f>
        <v>0</v>
      </c>
      <c r="E2668"/>
      <c r="F2668" s="35">
        <f>SUMIFS(F2669:F9015,K2669:K9015,"0",B2669:B9015,"5 1 1 1 3 12 31111 6 M59 80500 000216 0000R 00001 00113 015*")</f>
        <v>122620.56</v>
      </c>
      <c r="G2668" s="35">
        <f>SUMIFS(G2669:G9015,K2669:K9015,"0",B2669:B9015,"5 1 1 1 3 12 31111 6 M59 80500 000216 0000R 00001 00113 015*")</f>
        <v>0</v>
      </c>
      <c r="H2668" s="35">
        <f t="shared" si="42"/>
        <v>122620.56</v>
      </c>
      <c r="I2668" s="35"/>
      <c r="K2668" t="s">
        <v>15</v>
      </c>
    </row>
    <row r="2669" spans="2:11" ht="33" x14ac:dyDescent="0.2">
      <c r="B2669" s="33" t="s">
        <v>3578</v>
      </c>
      <c r="C2669" s="33" t="s">
        <v>2927</v>
      </c>
      <c r="D2669" s="35">
        <f>SUMIFS(D2670:D9015,K2670:K9015,"0",B2670:B9015,"5 1 1 1 3 12 31111 6 M59 80500 000216 0000R 00001 00113 015 2111100*")-SUMIFS(E2670:E9015,K2670:K9015,"0",B2670:B9015,"5 1 1 1 3 12 31111 6 M59 80500 000216 0000R 00001 00113 015 2111100*")</f>
        <v>0</v>
      </c>
      <c r="E2669"/>
      <c r="F2669" s="35">
        <f>SUMIFS(F2670:F9015,K2670:K9015,"0",B2670:B9015,"5 1 1 1 3 12 31111 6 M59 80500 000216 0000R 00001 00113 015 2111100*")</f>
        <v>122620.56</v>
      </c>
      <c r="G2669" s="35">
        <f>SUMIFS(G2670:G9015,K2670:K9015,"0",B2670:B9015,"5 1 1 1 3 12 31111 6 M59 80500 000216 0000R 00001 00113 015 2111100*")</f>
        <v>0</v>
      </c>
      <c r="H2669" s="35">
        <f t="shared" si="42"/>
        <v>122620.56</v>
      </c>
      <c r="I2669" s="35"/>
      <c r="K2669" t="s">
        <v>15</v>
      </c>
    </row>
    <row r="2670" spans="2:11" ht="33" x14ac:dyDescent="0.2">
      <c r="B2670" s="33" t="s">
        <v>3579</v>
      </c>
      <c r="C2670" s="33" t="s">
        <v>660</v>
      </c>
      <c r="D2670" s="35">
        <f>SUMIFS(D2671:D9015,K2671:K9015,"0",B2671:B9015,"5 1 1 1 3 12 31111 6 M59 80500 000216 0000R 00001 00113 015 2111100 2024*")-SUMIFS(E2671:E9015,K2671:K9015,"0",B2671:B9015,"5 1 1 1 3 12 31111 6 M59 80500 000216 0000R 00001 00113 015 2111100 2024*")</f>
        <v>0</v>
      </c>
      <c r="E2670"/>
      <c r="F2670" s="35">
        <f>SUMIFS(F2671:F9015,K2671:K9015,"0",B2671:B9015,"5 1 1 1 3 12 31111 6 M59 80500 000216 0000R 00001 00113 015 2111100 2024*")</f>
        <v>122620.56</v>
      </c>
      <c r="G2670" s="35">
        <f>SUMIFS(G2671:G9015,K2671:K9015,"0",B2671:B9015,"5 1 1 1 3 12 31111 6 M59 80500 000216 0000R 00001 00113 015 2111100 2024*")</f>
        <v>0</v>
      </c>
      <c r="H2670" s="35">
        <f t="shared" si="42"/>
        <v>122620.56</v>
      </c>
      <c r="I2670" s="35"/>
      <c r="K2670" t="s">
        <v>15</v>
      </c>
    </row>
    <row r="2671" spans="2:11" ht="41.25" x14ac:dyDescent="0.2">
      <c r="B2671" s="33" t="s">
        <v>3580</v>
      </c>
      <c r="C2671" s="33" t="s">
        <v>1056</v>
      </c>
      <c r="D2671" s="35">
        <f>SUMIFS(D2672:D9015,K2672:K9015,"0",B2672:B9015,"5 1 1 1 3 12 31111 6 M59 80500 000216 0000R 00001 00113 015 2111100 2024 CP1MA417*")-SUMIFS(E2672:E9015,K2672:K9015,"0",B2672:B9015,"5 1 1 1 3 12 31111 6 M59 80500 000216 0000R 00001 00113 015 2111100 2024 CP1MA417*")</f>
        <v>0</v>
      </c>
      <c r="E2671"/>
      <c r="F2671" s="35">
        <f>SUMIFS(F2672:F9015,K2672:K9015,"0",B2672:B9015,"5 1 1 1 3 12 31111 6 M59 80500 000216 0000R 00001 00113 015 2111100 2024 CP1MA417*")</f>
        <v>122620.56</v>
      </c>
      <c r="G2671" s="35">
        <f>SUMIFS(G2672:G9015,K2672:K9015,"0",B2672:B9015,"5 1 1 1 3 12 31111 6 M59 80500 000216 0000R 00001 00113 015 2111100 2024 CP1MA417*")</f>
        <v>0</v>
      </c>
      <c r="H2671" s="35">
        <f t="shared" si="42"/>
        <v>122620.56</v>
      </c>
      <c r="I2671" s="35"/>
      <c r="K2671" t="s">
        <v>15</v>
      </c>
    </row>
    <row r="2672" spans="2:11" ht="41.25" x14ac:dyDescent="0.2">
      <c r="B2672" s="33" t="s">
        <v>3581</v>
      </c>
      <c r="C2672" s="33" t="s">
        <v>282</v>
      </c>
      <c r="D2672" s="35">
        <f>SUMIFS(D2673:D9015,K2673:K9015,"0",B2673:B9015,"5 1 1 1 3 12 31111 6 M59 80500 000216 0000R 00001 00113 015 2111100 2024 CP1MA417 001*")-SUMIFS(E2673:E9015,K2673:K9015,"0",B2673:B9015,"5 1 1 1 3 12 31111 6 M59 80500 000216 0000R 00001 00113 015 2111100 2024 CP1MA417 001*")</f>
        <v>0</v>
      </c>
      <c r="E2672"/>
      <c r="F2672" s="35">
        <f>SUMIFS(F2673:F9015,K2673:K9015,"0",B2673:B9015,"5 1 1 1 3 12 31111 6 M59 80500 000216 0000R 00001 00113 015 2111100 2024 CP1MA417 001*")</f>
        <v>122620.56</v>
      </c>
      <c r="G2672" s="35">
        <f>SUMIFS(G2673:G9015,K2673:K9015,"0",B2673:B9015,"5 1 1 1 3 12 31111 6 M59 80500 000216 0000R 00001 00113 015 2111100 2024 CP1MA417 001*")</f>
        <v>0</v>
      </c>
      <c r="H2672" s="35">
        <f t="shared" si="42"/>
        <v>122620.56</v>
      </c>
      <c r="I2672" s="35"/>
      <c r="K2672" t="s">
        <v>15</v>
      </c>
    </row>
    <row r="2673" spans="2:11" ht="33" x14ac:dyDescent="0.2">
      <c r="B2673" s="31" t="s">
        <v>3582</v>
      </c>
      <c r="C2673" s="31" t="s">
        <v>2932</v>
      </c>
      <c r="D2673" s="34">
        <v>0</v>
      </c>
      <c r="E2673" s="34"/>
      <c r="F2673" s="34">
        <v>122620.56</v>
      </c>
      <c r="G2673" s="34">
        <v>0</v>
      </c>
      <c r="H2673" s="34">
        <f t="shared" si="42"/>
        <v>122620.56</v>
      </c>
      <c r="I2673" s="34"/>
      <c r="K2673" t="s">
        <v>38</v>
      </c>
    </row>
    <row r="2674" spans="2:11" ht="16.5" x14ac:dyDescent="0.2">
      <c r="B2674" s="33" t="s">
        <v>3583</v>
      </c>
      <c r="C2674" s="33" t="s">
        <v>3584</v>
      </c>
      <c r="D2674" s="35">
        <f>SUMIFS(D2675:D9015,K2675:K9015,"0",B2675:B9015,"5 1 1 1 3 12 31111 6 M59 80700*")-SUMIFS(E2675:E9015,K2675:K9015,"0",B2675:B9015,"5 1 1 1 3 12 31111 6 M59 80700*")</f>
        <v>0</v>
      </c>
      <c r="E2674"/>
      <c r="F2674" s="35">
        <f>SUMIFS(F2675:F9015,K2675:K9015,"0",B2675:B9015,"5 1 1 1 3 12 31111 6 M59 80700*")</f>
        <v>42289.8</v>
      </c>
      <c r="G2674" s="35">
        <f>SUMIFS(G2675:G9015,K2675:K9015,"0",B2675:B9015,"5 1 1 1 3 12 31111 6 M59 80700*")</f>
        <v>0</v>
      </c>
      <c r="H2674" s="35">
        <f t="shared" si="42"/>
        <v>42289.8</v>
      </c>
      <c r="I2674" s="35"/>
      <c r="K2674" t="s">
        <v>15</v>
      </c>
    </row>
    <row r="2675" spans="2:11" ht="16.5" x14ac:dyDescent="0.2">
      <c r="B2675" s="33" t="s">
        <v>3585</v>
      </c>
      <c r="C2675" s="33" t="s">
        <v>648</v>
      </c>
      <c r="D2675" s="35">
        <f>SUMIFS(D2676:D9015,K2676:K9015,"0",B2676:B9015,"5 1 1 1 3 12 31111 6 M59 80700 000132*")-SUMIFS(E2676:E9015,K2676:K9015,"0",B2676:B9015,"5 1 1 1 3 12 31111 6 M59 80700 000132*")</f>
        <v>0</v>
      </c>
      <c r="E2675"/>
      <c r="F2675" s="35">
        <f>SUMIFS(F2676:F9015,K2676:K9015,"0",B2676:B9015,"5 1 1 1 3 12 31111 6 M59 80700 000132*")</f>
        <v>42289.8</v>
      </c>
      <c r="G2675" s="35">
        <f>SUMIFS(G2676:G9015,K2676:K9015,"0",B2676:B9015,"5 1 1 1 3 12 31111 6 M59 80700 000132*")</f>
        <v>0</v>
      </c>
      <c r="H2675" s="35">
        <f t="shared" si="42"/>
        <v>42289.8</v>
      </c>
      <c r="I2675" s="35"/>
      <c r="K2675" t="s">
        <v>15</v>
      </c>
    </row>
    <row r="2676" spans="2:11" ht="16.5" x14ac:dyDescent="0.2">
      <c r="B2676" s="33" t="s">
        <v>3586</v>
      </c>
      <c r="C2676" s="33" t="s">
        <v>650</v>
      </c>
      <c r="D2676" s="35">
        <f>SUMIFS(D2677:D9015,K2677:K9015,"0",B2677:B9015,"5 1 1 1 3 12 31111 6 M59 80700 000132 0000R*")-SUMIFS(E2677:E9015,K2677:K9015,"0",B2677:B9015,"5 1 1 1 3 12 31111 6 M59 80700 000132 0000R*")</f>
        <v>0</v>
      </c>
      <c r="E2676"/>
      <c r="F2676" s="35">
        <f>SUMIFS(F2677:F9015,K2677:K9015,"0",B2677:B9015,"5 1 1 1 3 12 31111 6 M59 80700 000132 0000R*")</f>
        <v>42289.8</v>
      </c>
      <c r="G2676" s="35">
        <f>SUMIFS(G2677:G9015,K2677:K9015,"0",B2677:B9015,"5 1 1 1 3 12 31111 6 M59 80700 000132 0000R*")</f>
        <v>0</v>
      </c>
      <c r="H2676" s="35">
        <f t="shared" si="42"/>
        <v>42289.8</v>
      </c>
      <c r="I2676" s="35"/>
      <c r="K2676" t="s">
        <v>15</v>
      </c>
    </row>
    <row r="2677" spans="2:11" ht="24.75" x14ac:dyDescent="0.2">
      <c r="B2677" s="33" t="s">
        <v>3587</v>
      </c>
      <c r="C2677" s="33" t="s">
        <v>282</v>
      </c>
      <c r="D2677" s="35">
        <f>SUMIFS(D2678:D9015,K2678:K9015,"0",B2678:B9015,"5 1 1 1 3 12 31111 6 M59 80700 000132 0000R 00001*")-SUMIFS(E2678:E9015,K2678:K9015,"0",B2678:B9015,"5 1 1 1 3 12 31111 6 M59 80700 000132 0000R 00001*")</f>
        <v>0</v>
      </c>
      <c r="E2677"/>
      <c r="F2677" s="35">
        <f>SUMIFS(F2678:F9015,K2678:K9015,"0",B2678:B9015,"5 1 1 1 3 12 31111 6 M59 80700 000132 0000R 00001*")</f>
        <v>42289.8</v>
      </c>
      <c r="G2677" s="35">
        <f>SUMIFS(G2678:G9015,K2678:K9015,"0",B2678:B9015,"5 1 1 1 3 12 31111 6 M59 80700 000132 0000R 00001*")</f>
        <v>0</v>
      </c>
      <c r="H2677" s="35">
        <f t="shared" si="42"/>
        <v>42289.8</v>
      </c>
      <c r="I2677" s="35"/>
      <c r="K2677" t="s">
        <v>15</v>
      </c>
    </row>
    <row r="2678" spans="2:11" ht="24.75" x14ac:dyDescent="0.2">
      <c r="B2678" s="33" t="s">
        <v>3588</v>
      </c>
      <c r="C2678" s="33" t="s">
        <v>2924</v>
      </c>
      <c r="D2678" s="35">
        <f>SUMIFS(D2679:D9015,K2679:K9015,"0",B2679:B9015,"5 1 1 1 3 12 31111 6 M59 80700 000132 0000R 00001 00113*")-SUMIFS(E2679:E9015,K2679:K9015,"0",B2679:B9015,"5 1 1 1 3 12 31111 6 M59 80700 000132 0000R 00001 00113*")</f>
        <v>0</v>
      </c>
      <c r="E2678"/>
      <c r="F2678" s="35">
        <f>SUMIFS(F2679:F9015,K2679:K9015,"0",B2679:B9015,"5 1 1 1 3 12 31111 6 M59 80700 000132 0000R 00001 00113*")</f>
        <v>42289.8</v>
      </c>
      <c r="G2678" s="35">
        <f>SUMIFS(G2679:G9015,K2679:K9015,"0",B2679:B9015,"5 1 1 1 3 12 31111 6 M59 80700 000132 0000R 00001 00113*")</f>
        <v>0</v>
      </c>
      <c r="H2678" s="35">
        <f t="shared" si="42"/>
        <v>42289.8</v>
      </c>
      <c r="I2678" s="35"/>
      <c r="K2678" t="s">
        <v>15</v>
      </c>
    </row>
    <row r="2679" spans="2:11" ht="24.75" x14ac:dyDescent="0.2">
      <c r="B2679" s="33" t="s">
        <v>3589</v>
      </c>
      <c r="C2679" s="33" t="s">
        <v>1051</v>
      </c>
      <c r="D2679" s="35">
        <f>SUMIFS(D2680:D9015,K2680:K9015,"0",B2680:B9015,"5 1 1 1 3 12 31111 6 M59 80700 000132 0000R 00001 00113 015*")-SUMIFS(E2680:E9015,K2680:K9015,"0",B2680:B9015,"5 1 1 1 3 12 31111 6 M59 80700 000132 0000R 00001 00113 015*")</f>
        <v>0</v>
      </c>
      <c r="E2679"/>
      <c r="F2679" s="35">
        <f>SUMIFS(F2680:F9015,K2680:K9015,"0",B2680:B9015,"5 1 1 1 3 12 31111 6 M59 80700 000132 0000R 00001 00113 015*")</f>
        <v>42289.8</v>
      </c>
      <c r="G2679" s="35">
        <f>SUMIFS(G2680:G9015,K2680:K9015,"0",B2680:B9015,"5 1 1 1 3 12 31111 6 M59 80700 000132 0000R 00001 00113 015*")</f>
        <v>0</v>
      </c>
      <c r="H2679" s="35">
        <f t="shared" si="42"/>
        <v>42289.8</v>
      </c>
      <c r="I2679" s="35"/>
      <c r="K2679" t="s">
        <v>15</v>
      </c>
    </row>
    <row r="2680" spans="2:11" ht="33" x14ac:dyDescent="0.2">
      <c r="B2680" s="33" t="s">
        <v>3590</v>
      </c>
      <c r="C2680" s="33" t="s">
        <v>2927</v>
      </c>
      <c r="D2680" s="35">
        <f>SUMIFS(D2681:D9015,K2681:K9015,"0",B2681:B9015,"5 1 1 1 3 12 31111 6 M59 80700 000132 0000R 00001 00113 015 2111100*")-SUMIFS(E2681:E9015,K2681:K9015,"0",B2681:B9015,"5 1 1 1 3 12 31111 6 M59 80700 000132 0000R 00001 00113 015 2111100*")</f>
        <v>0</v>
      </c>
      <c r="E2680"/>
      <c r="F2680" s="35">
        <f>SUMIFS(F2681:F9015,K2681:K9015,"0",B2681:B9015,"5 1 1 1 3 12 31111 6 M59 80700 000132 0000R 00001 00113 015 2111100*")</f>
        <v>42289.8</v>
      </c>
      <c r="G2680" s="35">
        <f>SUMIFS(G2681:G9015,K2681:K9015,"0",B2681:B9015,"5 1 1 1 3 12 31111 6 M59 80700 000132 0000R 00001 00113 015 2111100*")</f>
        <v>0</v>
      </c>
      <c r="H2680" s="35">
        <f t="shared" si="42"/>
        <v>42289.8</v>
      </c>
      <c r="I2680" s="35"/>
      <c r="K2680" t="s">
        <v>15</v>
      </c>
    </row>
    <row r="2681" spans="2:11" ht="33" x14ac:dyDescent="0.2">
      <c r="B2681" s="33" t="s">
        <v>3591</v>
      </c>
      <c r="C2681" s="33" t="s">
        <v>660</v>
      </c>
      <c r="D2681" s="35">
        <f>SUMIFS(D2682:D9015,K2682:K9015,"0",B2682:B9015,"5 1 1 1 3 12 31111 6 M59 80700 000132 0000R 00001 00113 015 2111100 2024*")-SUMIFS(E2682:E9015,K2682:K9015,"0",B2682:B9015,"5 1 1 1 3 12 31111 6 M59 80700 000132 0000R 00001 00113 015 2111100 2024*")</f>
        <v>0</v>
      </c>
      <c r="E2681"/>
      <c r="F2681" s="35">
        <f>SUMIFS(F2682:F9015,K2682:K9015,"0",B2682:B9015,"5 1 1 1 3 12 31111 6 M59 80700 000132 0000R 00001 00113 015 2111100 2024*")</f>
        <v>42289.8</v>
      </c>
      <c r="G2681" s="35">
        <f>SUMIFS(G2682:G9015,K2682:K9015,"0",B2682:B9015,"5 1 1 1 3 12 31111 6 M59 80700 000132 0000R 00001 00113 015 2111100 2024*")</f>
        <v>0</v>
      </c>
      <c r="H2681" s="35">
        <f t="shared" si="42"/>
        <v>42289.8</v>
      </c>
      <c r="I2681" s="35"/>
      <c r="K2681" t="s">
        <v>15</v>
      </c>
    </row>
    <row r="2682" spans="2:11" ht="41.25" x14ac:dyDescent="0.2">
      <c r="B2682" s="33" t="s">
        <v>3592</v>
      </c>
      <c r="C2682" s="33" t="s">
        <v>1056</v>
      </c>
      <c r="D2682" s="35">
        <f>SUMIFS(D2683:D9015,K2683:K9015,"0",B2683:B9015,"5 1 1 1 3 12 31111 6 M59 80700 000132 0000R 00001 00113 015 2111100 2024 CP1ME407*")-SUMIFS(E2683:E9015,K2683:K9015,"0",B2683:B9015,"5 1 1 1 3 12 31111 6 M59 80700 000132 0000R 00001 00113 015 2111100 2024 CP1ME407*")</f>
        <v>0</v>
      </c>
      <c r="E2682"/>
      <c r="F2682" s="35">
        <f>SUMIFS(F2683:F9015,K2683:K9015,"0",B2683:B9015,"5 1 1 1 3 12 31111 6 M59 80700 000132 0000R 00001 00113 015 2111100 2024 CP1ME407*")</f>
        <v>42289.8</v>
      </c>
      <c r="G2682" s="35">
        <f>SUMIFS(G2683:G9015,K2683:K9015,"0",B2683:B9015,"5 1 1 1 3 12 31111 6 M59 80700 000132 0000R 00001 00113 015 2111100 2024 CP1ME407*")</f>
        <v>0</v>
      </c>
      <c r="H2682" s="35">
        <f t="shared" si="42"/>
        <v>42289.8</v>
      </c>
      <c r="I2682" s="35"/>
      <c r="K2682" t="s">
        <v>15</v>
      </c>
    </row>
    <row r="2683" spans="2:11" ht="41.25" x14ac:dyDescent="0.2">
      <c r="B2683" s="33" t="s">
        <v>3593</v>
      </c>
      <c r="C2683" s="33" t="s">
        <v>282</v>
      </c>
      <c r="D2683" s="35">
        <f>SUMIFS(D2684:D9015,K2684:K9015,"0",B2684:B9015,"5 1 1 1 3 12 31111 6 M59 80700 000132 0000R 00001 00113 015 2111100 2024 CP1ME407 001*")-SUMIFS(E2684:E9015,K2684:K9015,"0",B2684:B9015,"5 1 1 1 3 12 31111 6 M59 80700 000132 0000R 00001 00113 015 2111100 2024 CP1ME407 001*")</f>
        <v>0</v>
      </c>
      <c r="E2683"/>
      <c r="F2683" s="35">
        <f>SUMIFS(F2684:F9015,K2684:K9015,"0",B2684:B9015,"5 1 1 1 3 12 31111 6 M59 80700 000132 0000R 00001 00113 015 2111100 2024 CP1ME407 001*")</f>
        <v>42289.8</v>
      </c>
      <c r="G2683" s="35">
        <f>SUMIFS(G2684:G9015,K2684:K9015,"0",B2684:B9015,"5 1 1 1 3 12 31111 6 M59 80700 000132 0000R 00001 00113 015 2111100 2024 CP1ME407 001*")</f>
        <v>0</v>
      </c>
      <c r="H2683" s="35">
        <f t="shared" si="42"/>
        <v>42289.8</v>
      </c>
      <c r="I2683" s="35"/>
      <c r="K2683" t="s">
        <v>15</v>
      </c>
    </row>
    <row r="2684" spans="2:11" ht="33" x14ac:dyDescent="0.2">
      <c r="B2684" s="31" t="s">
        <v>3594</v>
      </c>
      <c r="C2684" s="31" t="s">
        <v>2932</v>
      </c>
      <c r="D2684" s="34">
        <v>0</v>
      </c>
      <c r="E2684" s="34"/>
      <c r="F2684" s="34">
        <v>42289.8</v>
      </c>
      <c r="G2684" s="34">
        <v>0</v>
      </c>
      <c r="H2684" s="34">
        <f t="shared" si="42"/>
        <v>42289.8</v>
      </c>
      <c r="I2684" s="34"/>
      <c r="K2684" t="s">
        <v>38</v>
      </c>
    </row>
    <row r="2685" spans="2:11" ht="16.5" x14ac:dyDescent="0.2">
      <c r="B2685" s="33" t="s">
        <v>3595</v>
      </c>
      <c r="C2685" s="33" t="s">
        <v>3596</v>
      </c>
      <c r="D2685" s="35">
        <f>SUMIFS(D2686:D9015,K2686:K9015,"0",B2686:B9015,"5 1 1 1 3 12 31111 6 M59 90000*")-SUMIFS(E2686:E9015,K2686:K9015,"0",B2686:B9015,"5 1 1 1 3 12 31111 6 M59 90000*")</f>
        <v>0</v>
      </c>
      <c r="E2685"/>
      <c r="F2685" s="35">
        <f>SUMIFS(F2686:F9015,K2686:K9015,"0",B2686:B9015,"5 1 1 1 3 12 31111 6 M59 90000*")</f>
        <v>810534.02</v>
      </c>
      <c r="G2685" s="35">
        <f>SUMIFS(G2686:G9015,K2686:K9015,"0",B2686:B9015,"5 1 1 1 3 12 31111 6 M59 90000*")</f>
        <v>0</v>
      </c>
      <c r="H2685" s="35">
        <f t="shared" si="42"/>
        <v>810534.02</v>
      </c>
      <c r="I2685" s="35"/>
      <c r="K2685" t="s">
        <v>15</v>
      </c>
    </row>
    <row r="2686" spans="2:11" ht="16.5" x14ac:dyDescent="0.2">
      <c r="B2686" s="33" t="s">
        <v>3597</v>
      </c>
      <c r="C2686" s="33" t="s">
        <v>648</v>
      </c>
      <c r="D2686" s="35">
        <f>SUMIFS(D2687:D9015,K2687:K9015,"0",B2687:B9015,"5 1 1 1 3 12 31111 6 M59 90000 000132*")-SUMIFS(E2687:E9015,K2687:K9015,"0",B2687:B9015,"5 1 1 1 3 12 31111 6 M59 90000 000132*")</f>
        <v>0</v>
      </c>
      <c r="E2686"/>
      <c r="F2686" s="35">
        <f>SUMIFS(F2687:F9015,K2687:K9015,"0",B2687:B9015,"5 1 1 1 3 12 31111 6 M59 90000 000132*")</f>
        <v>810534.02</v>
      </c>
      <c r="G2686" s="35">
        <f>SUMIFS(G2687:G9015,K2687:K9015,"0",B2687:B9015,"5 1 1 1 3 12 31111 6 M59 90000 000132*")</f>
        <v>0</v>
      </c>
      <c r="H2686" s="35">
        <f t="shared" si="42"/>
        <v>810534.02</v>
      </c>
      <c r="I2686" s="35"/>
      <c r="K2686" t="s">
        <v>15</v>
      </c>
    </row>
    <row r="2687" spans="2:11" ht="16.5" x14ac:dyDescent="0.2">
      <c r="B2687" s="33" t="s">
        <v>3598</v>
      </c>
      <c r="C2687" s="33" t="s">
        <v>650</v>
      </c>
      <c r="D2687" s="35">
        <f>SUMIFS(D2688:D9015,K2688:K9015,"0",B2688:B9015,"5 1 1 1 3 12 31111 6 M59 90000 000132 0000R*")-SUMIFS(E2688:E9015,K2688:K9015,"0",B2688:B9015,"5 1 1 1 3 12 31111 6 M59 90000 000132 0000R*")</f>
        <v>0</v>
      </c>
      <c r="E2687"/>
      <c r="F2687" s="35">
        <f>SUMIFS(F2688:F9015,K2688:K9015,"0",B2688:B9015,"5 1 1 1 3 12 31111 6 M59 90000 000132 0000R*")</f>
        <v>810534.02</v>
      </c>
      <c r="G2687" s="35">
        <f>SUMIFS(G2688:G9015,K2688:K9015,"0",B2688:B9015,"5 1 1 1 3 12 31111 6 M59 90000 000132 0000R*")</f>
        <v>0</v>
      </c>
      <c r="H2687" s="35">
        <f t="shared" si="42"/>
        <v>810534.02</v>
      </c>
      <c r="I2687" s="35"/>
      <c r="K2687" t="s">
        <v>15</v>
      </c>
    </row>
    <row r="2688" spans="2:11" ht="24.75" x14ac:dyDescent="0.2">
      <c r="B2688" s="33" t="s">
        <v>3599</v>
      </c>
      <c r="C2688" s="33" t="s">
        <v>282</v>
      </c>
      <c r="D2688" s="35">
        <f>SUMIFS(D2689:D9015,K2689:K9015,"0",B2689:B9015,"5 1 1 1 3 12 31111 6 M59 90000 000132 0000R 00001*")-SUMIFS(E2689:E9015,K2689:K9015,"0",B2689:B9015,"5 1 1 1 3 12 31111 6 M59 90000 000132 0000R 00001*")</f>
        <v>0</v>
      </c>
      <c r="E2688"/>
      <c r="F2688" s="35">
        <f>SUMIFS(F2689:F9015,K2689:K9015,"0",B2689:B9015,"5 1 1 1 3 12 31111 6 M59 90000 000132 0000R 00001*")</f>
        <v>810534.02</v>
      </c>
      <c r="G2688" s="35">
        <f>SUMIFS(G2689:G9015,K2689:K9015,"0",B2689:B9015,"5 1 1 1 3 12 31111 6 M59 90000 000132 0000R 00001*")</f>
        <v>0</v>
      </c>
      <c r="H2688" s="35">
        <f t="shared" si="42"/>
        <v>810534.02</v>
      </c>
      <c r="I2688" s="35"/>
      <c r="K2688" t="s">
        <v>15</v>
      </c>
    </row>
    <row r="2689" spans="2:11" ht="24.75" x14ac:dyDescent="0.2">
      <c r="B2689" s="33" t="s">
        <v>3600</v>
      </c>
      <c r="C2689" s="33" t="s">
        <v>2924</v>
      </c>
      <c r="D2689" s="35">
        <f>SUMIFS(D2690:D9015,K2690:K9015,"0",B2690:B9015,"5 1 1 1 3 12 31111 6 M59 90000 000132 0000R 00001 00113*")-SUMIFS(E2690:E9015,K2690:K9015,"0",B2690:B9015,"5 1 1 1 3 12 31111 6 M59 90000 000132 0000R 00001 00113*")</f>
        <v>0</v>
      </c>
      <c r="E2689"/>
      <c r="F2689" s="35">
        <f>SUMIFS(F2690:F9015,K2690:K9015,"0",B2690:B9015,"5 1 1 1 3 12 31111 6 M59 90000 000132 0000R 00001 00113*")</f>
        <v>810534.02</v>
      </c>
      <c r="G2689" s="35">
        <f>SUMIFS(G2690:G9015,K2690:K9015,"0",B2690:B9015,"5 1 1 1 3 12 31111 6 M59 90000 000132 0000R 00001 00113*")</f>
        <v>0</v>
      </c>
      <c r="H2689" s="35">
        <f t="shared" si="42"/>
        <v>810534.02</v>
      </c>
      <c r="I2689" s="35"/>
      <c r="K2689" t="s">
        <v>15</v>
      </c>
    </row>
    <row r="2690" spans="2:11" ht="24.75" x14ac:dyDescent="0.2">
      <c r="B2690" s="33" t="s">
        <v>3601</v>
      </c>
      <c r="C2690" s="33" t="s">
        <v>1051</v>
      </c>
      <c r="D2690" s="35">
        <f>SUMIFS(D2691:D9015,K2691:K9015,"0",B2691:B9015,"5 1 1 1 3 12 31111 6 M59 90000 000132 0000R 00001 00113 015*")-SUMIFS(E2691:E9015,K2691:K9015,"0",B2691:B9015,"5 1 1 1 3 12 31111 6 M59 90000 000132 0000R 00001 00113 015*")</f>
        <v>0</v>
      </c>
      <c r="E2690"/>
      <c r="F2690" s="35">
        <f>SUMIFS(F2691:F9015,K2691:K9015,"0",B2691:B9015,"5 1 1 1 3 12 31111 6 M59 90000 000132 0000R 00001 00113 015*")</f>
        <v>810534.02</v>
      </c>
      <c r="G2690" s="35">
        <f>SUMIFS(G2691:G9015,K2691:K9015,"0",B2691:B9015,"5 1 1 1 3 12 31111 6 M59 90000 000132 0000R 00001 00113 015*")</f>
        <v>0</v>
      </c>
      <c r="H2690" s="35">
        <f t="shared" si="42"/>
        <v>810534.02</v>
      </c>
      <c r="I2690" s="35"/>
      <c r="K2690" t="s">
        <v>15</v>
      </c>
    </row>
    <row r="2691" spans="2:11" ht="33" x14ac:dyDescent="0.2">
      <c r="B2691" s="33" t="s">
        <v>3602</v>
      </c>
      <c r="C2691" s="33" t="s">
        <v>2927</v>
      </c>
      <c r="D2691" s="35">
        <f>SUMIFS(D2692:D9015,K2692:K9015,"0",B2692:B9015,"5 1 1 1 3 12 31111 6 M59 90000 000132 0000R 00001 00113 015 2111100*")-SUMIFS(E2692:E9015,K2692:K9015,"0",B2692:B9015,"5 1 1 1 3 12 31111 6 M59 90000 000132 0000R 00001 00113 015 2111100*")</f>
        <v>0</v>
      </c>
      <c r="E2691"/>
      <c r="F2691" s="35">
        <f>SUMIFS(F2692:F9015,K2692:K9015,"0",B2692:B9015,"5 1 1 1 3 12 31111 6 M59 90000 000132 0000R 00001 00113 015 2111100*")</f>
        <v>810534.02</v>
      </c>
      <c r="G2691" s="35">
        <f>SUMIFS(G2692:G9015,K2692:K9015,"0",B2692:B9015,"5 1 1 1 3 12 31111 6 M59 90000 000132 0000R 00001 00113 015 2111100*")</f>
        <v>0</v>
      </c>
      <c r="H2691" s="35">
        <f t="shared" si="42"/>
        <v>810534.02</v>
      </c>
      <c r="I2691" s="35"/>
      <c r="K2691" t="s">
        <v>15</v>
      </c>
    </row>
    <row r="2692" spans="2:11" ht="33" x14ac:dyDescent="0.2">
      <c r="B2692" s="33" t="s">
        <v>3603</v>
      </c>
      <c r="C2692" s="33" t="s">
        <v>660</v>
      </c>
      <c r="D2692" s="35">
        <f>SUMIFS(D2693:D9015,K2693:K9015,"0",B2693:B9015,"5 1 1 1 3 12 31111 6 M59 90000 000132 0000R 00001 00113 015 2111100 2024*")-SUMIFS(E2693:E9015,K2693:K9015,"0",B2693:B9015,"5 1 1 1 3 12 31111 6 M59 90000 000132 0000R 00001 00113 015 2111100 2024*")</f>
        <v>0</v>
      </c>
      <c r="E2692"/>
      <c r="F2692" s="35">
        <f>SUMIFS(F2693:F9015,K2693:K9015,"0",B2693:B9015,"5 1 1 1 3 12 31111 6 M59 90000 000132 0000R 00001 00113 015 2111100 2024*")</f>
        <v>810534.02</v>
      </c>
      <c r="G2692" s="35">
        <f>SUMIFS(G2693:G9015,K2693:K9015,"0",B2693:B9015,"5 1 1 1 3 12 31111 6 M59 90000 000132 0000R 00001 00113 015 2111100 2024*")</f>
        <v>0</v>
      </c>
      <c r="H2692" s="35">
        <f t="shared" ref="H2692:H2755" si="43">D2692 + F2692 - G2692</f>
        <v>810534.02</v>
      </c>
      <c r="I2692" s="35"/>
      <c r="K2692" t="s">
        <v>15</v>
      </c>
    </row>
    <row r="2693" spans="2:11" ht="41.25" x14ac:dyDescent="0.2">
      <c r="B2693" s="33" t="s">
        <v>3604</v>
      </c>
      <c r="C2693" s="33" t="s">
        <v>1056</v>
      </c>
      <c r="D2693" s="35">
        <f>SUMIFS(D2694:D9015,K2694:K9015,"0",B2694:B9015,"5 1 1 1 3 12 31111 6 M59 90000 000132 0000R 00001 00113 015 2111100 2024 CP1SG383*")-SUMIFS(E2694:E9015,K2694:K9015,"0",B2694:B9015,"5 1 1 1 3 12 31111 6 M59 90000 000132 0000R 00001 00113 015 2111100 2024 CP1SG383*")</f>
        <v>0</v>
      </c>
      <c r="E2693"/>
      <c r="F2693" s="35">
        <f>SUMIFS(F2694:F9015,K2694:K9015,"0",B2694:B9015,"5 1 1 1 3 12 31111 6 M59 90000 000132 0000R 00001 00113 015 2111100 2024 CP1SG383*")</f>
        <v>810534.02</v>
      </c>
      <c r="G2693" s="35">
        <f>SUMIFS(G2694:G9015,K2694:K9015,"0",B2694:B9015,"5 1 1 1 3 12 31111 6 M59 90000 000132 0000R 00001 00113 015 2111100 2024 CP1SG383*")</f>
        <v>0</v>
      </c>
      <c r="H2693" s="35">
        <f t="shared" si="43"/>
        <v>810534.02</v>
      </c>
      <c r="I2693" s="35"/>
      <c r="K2693" t="s">
        <v>15</v>
      </c>
    </row>
    <row r="2694" spans="2:11" ht="41.25" x14ac:dyDescent="0.2">
      <c r="B2694" s="33" t="s">
        <v>3605</v>
      </c>
      <c r="C2694" s="33" t="s">
        <v>282</v>
      </c>
      <c r="D2694" s="35">
        <f>SUMIFS(D2695:D9015,K2695:K9015,"0",B2695:B9015,"5 1 1 1 3 12 31111 6 M59 90000 000132 0000R 00001 00113 015 2111100 2024 CP1SG383 001*")-SUMIFS(E2695:E9015,K2695:K9015,"0",B2695:B9015,"5 1 1 1 3 12 31111 6 M59 90000 000132 0000R 00001 00113 015 2111100 2024 CP1SG383 001*")</f>
        <v>0</v>
      </c>
      <c r="E2694"/>
      <c r="F2694" s="35">
        <f>SUMIFS(F2695:F9015,K2695:K9015,"0",B2695:B9015,"5 1 1 1 3 12 31111 6 M59 90000 000132 0000R 00001 00113 015 2111100 2024 CP1SG383 001*")</f>
        <v>810534.02</v>
      </c>
      <c r="G2694" s="35">
        <f>SUMIFS(G2695:G9015,K2695:K9015,"0",B2695:B9015,"5 1 1 1 3 12 31111 6 M59 90000 000132 0000R 00001 00113 015 2111100 2024 CP1SG383 001*")</f>
        <v>0</v>
      </c>
      <c r="H2694" s="35">
        <f t="shared" si="43"/>
        <v>810534.02</v>
      </c>
      <c r="I2694" s="35"/>
      <c r="K2694" t="s">
        <v>15</v>
      </c>
    </row>
    <row r="2695" spans="2:11" ht="41.25" x14ac:dyDescent="0.2">
      <c r="B2695" s="31" t="s">
        <v>3606</v>
      </c>
      <c r="C2695" s="31" t="s">
        <v>2932</v>
      </c>
      <c r="D2695" s="34">
        <v>0</v>
      </c>
      <c r="E2695" s="34"/>
      <c r="F2695" s="34">
        <v>810534.02</v>
      </c>
      <c r="G2695" s="34">
        <v>0</v>
      </c>
      <c r="H2695" s="34">
        <f t="shared" si="43"/>
        <v>810534.02</v>
      </c>
      <c r="I2695" s="34"/>
      <c r="K2695" t="s">
        <v>38</v>
      </c>
    </row>
    <row r="2696" spans="2:11" ht="16.5" x14ac:dyDescent="0.2">
      <c r="B2696" s="33" t="s">
        <v>3607</v>
      </c>
      <c r="C2696" s="33" t="s">
        <v>3608</v>
      </c>
      <c r="D2696" s="35">
        <f>SUMIFS(D2697:D9015,K2697:K9015,"0",B2697:B9015,"5 1 1 1 3 12 31111 6 M59 91000*")-SUMIFS(E2697:E9015,K2697:K9015,"0",B2697:B9015,"5 1 1 1 3 12 31111 6 M59 91000*")</f>
        <v>0</v>
      </c>
      <c r="E2696"/>
      <c r="F2696" s="35">
        <f>SUMIFS(F2697:F9015,K2697:K9015,"0",B2697:B9015,"5 1 1 1 3 12 31111 6 M59 91000*")</f>
        <v>459747.66</v>
      </c>
      <c r="G2696" s="35">
        <f>SUMIFS(G2697:G9015,K2697:K9015,"0",B2697:B9015,"5 1 1 1 3 12 31111 6 M59 91000*")</f>
        <v>0</v>
      </c>
      <c r="H2696" s="35">
        <f t="shared" si="43"/>
        <v>459747.66</v>
      </c>
      <c r="I2696" s="35"/>
      <c r="K2696" t="s">
        <v>15</v>
      </c>
    </row>
    <row r="2697" spans="2:11" ht="16.5" x14ac:dyDescent="0.2">
      <c r="B2697" s="33" t="s">
        <v>3609</v>
      </c>
      <c r="C2697" s="33" t="s">
        <v>648</v>
      </c>
      <c r="D2697" s="35">
        <f>SUMIFS(D2698:D9015,K2698:K9015,"0",B2698:B9015,"5 1 1 1 3 12 31111 6 M59 91000 000132*")-SUMIFS(E2698:E9015,K2698:K9015,"0",B2698:B9015,"5 1 1 1 3 12 31111 6 M59 91000 000132*")</f>
        <v>0</v>
      </c>
      <c r="E2697"/>
      <c r="F2697" s="35">
        <f>SUMIFS(F2698:F9015,K2698:K9015,"0",B2698:B9015,"5 1 1 1 3 12 31111 6 M59 91000 000132*")</f>
        <v>459747.66</v>
      </c>
      <c r="G2697" s="35">
        <f>SUMIFS(G2698:G9015,K2698:K9015,"0",B2698:B9015,"5 1 1 1 3 12 31111 6 M59 91000 000132*")</f>
        <v>0</v>
      </c>
      <c r="H2697" s="35">
        <f t="shared" si="43"/>
        <v>459747.66</v>
      </c>
      <c r="I2697" s="35"/>
      <c r="K2697" t="s">
        <v>15</v>
      </c>
    </row>
    <row r="2698" spans="2:11" ht="16.5" x14ac:dyDescent="0.2">
      <c r="B2698" s="33" t="s">
        <v>3610</v>
      </c>
      <c r="C2698" s="33" t="s">
        <v>650</v>
      </c>
      <c r="D2698" s="35">
        <f>SUMIFS(D2699:D9015,K2699:K9015,"0",B2699:B9015,"5 1 1 1 3 12 31111 6 M59 91000 000132 0000R*")-SUMIFS(E2699:E9015,K2699:K9015,"0",B2699:B9015,"5 1 1 1 3 12 31111 6 M59 91000 000132 0000R*")</f>
        <v>0</v>
      </c>
      <c r="E2698"/>
      <c r="F2698" s="35">
        <f>SUMIFS(F2699:F9015,K2699:K9015,"0",B2699:B9015,"5 1 1 1 3 12 31111 6 M59 91000 000132 0000R*")</f>
        <v>459747.66</v>
      </c>
      <c r="G2698" s="35">
        <f>SUMIFS(G2699:G9015,K2699:K9015,"0",B2699:B9015,"5 1 1 1 3 12 31111 6 M59 91000 000132 0000R*")</f>
        <v>0</v>
      </c>
      <c r="H2698" s="35">
        <f t="shared" si="43"/>
        <v>459747.66</v>
      </c>
      <c r="I2698" s="35"/>
      <c r="K2698" t="s">
        <v>15</v>
      </c>
    </row>
    <row r="2699" spans="2:11" ht="24.75" x14ac:dyDescent="0.2">
      <c r="B2699" s="33" t="s">
        <v>3611</v>
      </c>
      <c r="C2699" s="33" t="s">
        <v>282</v>
      </c>
      <c r="D2699" s="35">
        <f>SUMIFS(D2700:D9015,K2700:K9015,"0",B2700:B9015,"5 1 1 1 3 12 31111 6 M59 91000 000132 0000R 00001*")-SUMIFS(E2700:E9015,K2700:K9015,"0",B2700:B9015,"5 1 1 1 3 12 31111 6 M59 91000 000132 0000R 00001*")</f>
        <v>0</v>
      </c>
      <c r="E2699"/>
      <c r="F2699" s="35">
        <f>SUMIFS(F2700:F9015,K2700:K9015,"0",B2700:B9015,"5 1 1 1 3 12 31111 6 M59 91000 000132 0000R 00001*")</f>
        <v>459747.66</v>
      </c>
      <c r="G2699" s="35">
        <f>SUMIFS(G2700:G9015,K2700:K9015,"0",B2700:B9015,"5 1 1 1 3 12 31111 6 M59 91000 000132 0000R 00001*")</f>
        <v>0</v>
      </c>
      <c r="H2699" s="35">
        <f t="shared" si="43"/>
        <v>459747.66</v>
      </c>
      <c r="I2699" s="35"/>
      <c r="K2699" t="s">
        <v>15</v>
      </c>
    </row>
    <row r="2700" spans="2:11" ht="24.75" x14ac:dyDescent="0.2">
      <c r="B2700" s="33" t="s">
        <v>3612</v>
      </c>
      <c r="C2700" s="33" t="s">
        <v>2924</v>
      </c>
      <c r="D2700" s="35">
        <f>SUMIFS(D2701:D9015,K2701:K9015,"0",B2701:B9015,"5 1 1 1 3 12 31111 6 M59 91000 000132 0000R 00001 00113*")-SUMIFS(E2701:E9015,K2701:K9015,"0",B2701:B9015,"5 1 1 1 3 12 31111 6 M59 91000 000132 0000R 00001 00113*")</f>
        <v>0</v>
      </c>
      <c r="E2700"/>
      <c r="F2700" s="35">
        <f>SUMIFS(F2701:F9015,K2701:K9015,"0",B2701:B9015,"5 1 1 1 3 12 31111 6 M59 91000 000132 0000R 00001 00113*")</f>
        <v>459747.66</v>
      </c>
      <c r="G2700" s="35">
        <f>SUMIFS(G2701:G9015,K2701:K9015,"0",B2701:B9015,"5 1 1 1 3 12 31111 6 M59 91000 000132 0000R 00001 00113*")</f>
        <v>0</v>
      </c>
      <c r="H2700" s="35">
        <f t="shared" si="43"/>
        <v>459747.66</v>
      </c>
      <c r="I2700" s="35"/>
      <c r="K2700" t="s">
        <v>15</v>
      </c>
    </row>
    <row r="2701" spans="2:11" ht="24.75" x14ac:dyDescent="0.2">
      <c r="B2701" s="33" t="s">
        <v>3613</v>
      </c>
      <c r="C2701" s="33" t="s">
        <v>1051</v>
      </c>
      <c r="D2701" s="35">
        <f>SUMIFS(D2702:D9015,K2702:K9015,"0",B2702:B9015,"5 1 1 1 3 12 31111 6 M59 91000 000132 0000R 00001 00113 015*")-SUMIFS(E2702:E9015,K2702:K9015,"0",B2702:B9015,"5 1 1 1 3 12 31111 6 M59 91000 000132 0000R 00001 00113 015*")</f>
        <v>0</v>
      </c>
      <c r="E2701"/>
      <c r="F2701" s="35">
        <f>SUMIFS(F2702:F9015,K2702:K9015,"0",B2702:B9015,"5 1 1 1 3 12 31111 6 M59 91000 000132 0000R 00001 00113 015*")</f>
        <v>459747.66</v>
      </c>
      <c r="G2701" s="35">
        <f>SUMIFS(G2702:G9015,K2702:K9015,"0",B2702:B9015,"5 1 1 1 3 12 31111 6 M59 91000 000132 0000R 00001 00113 015*")</f>
        <v>0</v>
      </c>
      <c r="H2701" s="35">
        <f t="shared" si="43"/>
        <v>459747.66</v>
      </c>
      <c r="I2701" s="35"/>
      <c r="K2701" t="s">
        <v>15</v>
      </c>
    </row>
    <row r="2702" spans="2:11" ht="33" x14ac:dyDescent="0.2">
      <c r="B2702" s="33" t="s">
        <v>3614</v>
      </c>
      <c r="C2702" s="33" t="s">
        <v>2927</v>
      </c>
      <c r="D2702" s="35">
        <f>SUMIFS(D2703:D9015,K2703:K9015,"0",B2703:B9015,"5 1 1 1 3 12 31111 6 M59 91000 000132 0000R 00001 00113 015 2111100*")-SUMIFS(E2703:E9015,K2703:K9015,"0",B2703:B9015,"5 1 1 1 3 12 31111 6 M59 91000 000132 0000R 00001 00113 015 2111100*")</f>
        <v>0</v>
      </c>
      <c r="E2702"/>
      <c r="F2702" s="35">
        <f>SUMIFS(F2703:F9015,K2703:K9015,"0",B2703:B9015,"5 1 1 1 3 12 31111 6 M59 91000 000132 0000R 00001 00113 015 2111100*")</f>
        <v>459747.66</v>
      </c>
      <c r="G2702" s="35">
        <f>SUMIFS(G2703:G9015,K2703:K9015,"0",B2703:B9015,"5 1 1 1 3 12 31111 6 M59 91000 000132 0000R 00001 00113 015 2111100*")</f>
        <v>0</v>
      </c>
      <c r="H2702" s="35">
        <f t="shared" si="43"/>
        <v>459747.66</v>
      </c>
      <c r="I2702" s="35"/>
      <c r="K2702" t="s">
        <v>15</v>
      </c>
    </row>
    <row r="2703" spans="2:11" ht="33" x14ac:dyDescent="0.2">
      <c r="B2703" s="33" t="s">
        <v>3615</v>
      </c>
      <c r="C2703" s="33" t="s">
        <v>660</v>
      </c>
      <c r="D2703" s="35">
        <f>SUMIFS(D2704:D9015,K2704:K9015,"0",B2704:B9015,"5 1 1 1 3 12 31111 6 M59 91000 000132 0000R 00001 00113 015 2111100 2024*")-SUMIFS(E2704:E9015,K2704:K9015,"0",B2704:B9015,"5 1 1 1 3 12 31111 6 M59 91000 000132 0000R 00001 00113 015 2111100 2024*")</f>
        <v>0</v>
      </c>
      <c r="E2703"/>
      <c r="F2703" s="35">
        <f>SUMIFS(F2704:F9015,K2704:K9015,"0",B2704:B9015,"5 1 1 1 3 12 31111 6 M59 91000 000132 0000R 00001 00113 015 2111100 2024*")</f>
        <v>459747.66</v>
      </c>
      <c r="G2703" s="35">
        <f>SUMIFS(G2704:G9015,K2704:K9015,"0",B2704:B9015,"5 1 1 1 3 12 31111 6 M59 91000 000132 0000R 00001 00113 015 2111100 2024*")</f>
        <v>0</v>
      </c>
      <c r="H2703" s="35">
        <f t="shared" si="43"/>
        <v>459747.66</v>
      </c>
      <c r="I2703" s="35"/>
      <c r="K2703" t="s">
        <v>15</v>
      </c>
    </row>
    <row r="2704" spans="2:11" ht="41.25" x14ac:dyDescent="0.2">
      <c r="B2704" s="33" t="s">
        <v>3616</v>
      </c>
      <c r="C2704" s="33" t="s">
        <v>1056</v>
      </c>
      <c r="D2704" s="35">
        <f>SUMIFS(D2705:D9015,K2705:K9015,"0",B2705:B9015,"5 1 1 1 3 12 31111 6 M59 91000 000132 0000R 00001 00113 015 2111100 2024 CP1RE398*")-SUMIFS(E2705:E9015,K2705:K9015,"0",B2705:B9015,"5 1 1 1 3 12 31111 6 M59 91000 000132 0000R 00001 00113 015 2111100 2024 CP1RE398*")</f>
        <v>0</v>
      </c>
      <c r="E2704"/>
      <c r="F2704" s="35">
        <f>SUMIFS(F2705:F9015,K2705:K9015,"0",B2705:B9015,"5 1 1 1 3 12 31111 6 M59 91000 000132 0000R 00001 00113 015 2111100 2024 CP1RE398*")</f>
        <v>459747.66</v>
      </c>
      <c r="G2704" s="35">
        <f>SUMIFS(G2705:G9015,K2705:K9015,"0",B2705:B9015,"5 1 1 1 3 12 31111 6 M59 91000 000132 0000R 00001 00113 015 2111100 2024 CP1RE398*")</f>
        <v>0</v>
      </c>
      <c r="H2704" s="35">
        <f t="shared" si="43"/>
        <v>459747.66</v>
      </c>
      <c r="I2704" s="35"/>
      <c r="K2704" t="s">
        <v>15</v>
      </c>
    </row>
    <row r="2705" spans="2:11" ht="41.25" x14ac:dyDescent="0.2">
      <c r="B2705" s="33" t="s">
        <v>3617</v>
      </c>
      <c r="C2705" s="33" t="s">
        <v>282</v>
      </c>
      <c r="D2705" s="35">
        <f>SUMIFS(D2706:D9015,K2706:K9015,"0",B2706:B9015,"5 1 1 1 3 12 31111 6 M59 91000 000132 0000R 00001 00113 015 2111100 2024 CP1RE398 001*")-SUMIFS(E2706:E9015,K2706:K9015,"0",B2706:B9015,"5 1 1 1 3 12 31111 6 M59 91000 000132 0000R 00001 00113 015 2111100 2024 CP1RE398 001*")</f>
        <v>0</v>
      </c>
      <c r="E2705"/>
      <c r="F2705" s="35">
        <f>SUMIFS(F2706:F9015,K2706:K9015,"0",B2706:B9015,"5 1 1 1 3 12 31111 6 M59 91000 000132 0000R 00001 00113 015 2111100 2024 CP1RE398 001*")</f>
        <v>459747.66</v>
      </c>
      <c r="G2705" s="35">
        <f>SUMIFS(G2706:G9015,K2706:K9015,"0",B2706:B9015,"5 1 1 1 3 12 31111 6 M59 91000 000132 0000R 00001 00113 015 2111100 2024 CP1RE398 001*")</f>
        <v>0</v>
      </c>
      <c r="H2705" s="35">
        <f t="shared" si="43"/>
        <v>459747.66</v>
      </c>
      <c r="I2705" s="35"/>
      <c r="K2705" t="s">
        <v>15</v>
      </c>
    </row>
    <row r="2706" spans="2:11" ht="33" x14ac:dyDescent="0.2">
      <c r="B2706" s="31" t="s">
        <v>3618</v>
      </c>
      <c r="C2706" s="31" t="s">
        <v>2932</v>
      </c>
      <c r="D2706" s="34">
        <v>0</v>
      </c>
      <c r="E2706" s="34"/>
      <c r="F2706" s="34">
        <v>459747.66</v>
      </c>
      <c r="G2706" s="34">
        <v>0</v>
      </c>
      <c r="H2706" s="34">
        <f t="shared" si="43"/>
        <v>459747.66</v>
      </c>
      <c r="I2706" s="34"/>
      <c r="K2706" t="s">
        <v>38</v>
      </c>
    </row>
    <row r="2707" spans="2:11" ht="16.5" x14ac:dyDescent="0.2">
      <c r="B2707" s="33" t="s">
        <v>3619</v>
      </c>
      <c r="C2707" s="33" t="s">
        <v>3620</v>
      </c>
      <c r="D2707" s="35">
        <f>SUMIFS(D2708:D9015,K2708:K9015,"0",B2708:B9015,"5 1 1 1 3 12 31111 6 M59 92000*")-SUMIFS(E2708:E9015,K2708:K9015,"0",B2708:B9015,"5 1 1 1 3 12 31111 6 M59 92000*")</f>
        <v>0</v>
      </c>
      <c r="E2707"/>
      <c r="F2707" s="35">
        <f>SUMIFS(F2708:F9015,K2708:K9015,"0",B2708:B9015,"5 1 1 1 3 12 31111 6 M59 92000*")</f>
        <v>225797.49</v>
      </c>
      <c r="G2707" s="35">
        <f>SUMIFS(G2708:G9015,K2708:K9015,"0",B2708:B9015,"5 1 1 1 3 12 31111 6 M59 92000*")</f>
        <v>0</v>
      </c>
      <c r="H2707" s="35">
        <f t="shared" si="43"/>
        <v>225797.49</v>
      </c>
      <c r="I2707" s="35"/>
      <c r="K2707" t="s">
        <v>15</v>
      </c>
    </row>
    <row r="2708" spans="2:11" ht="24.75" x14ac:dyDescent="0.2">
      <c r="B2708" s="33" t="s">
        <v>3621</v>
      </c>
      <c r="C2708" s="33" t="s">
        <v>3152</v>
      </c>
      <c r="D2708" s="35">
        <f>SUMIFS(D2709:D9015,K2709:K9015,"0",B2709:B9015,"5 1 1 1 3 12 31111 6 M59 92000 000181*")-SUMIFS(E2709:E9015,K2709:K9015,"0",B2709:B9015,"5 1 1 1 3 12 31111 6 M59 92000 000181*")</f>
        <v>0</v>
      </c>
      <c r="E2708"/>
      <c r="F2708" s="35">
        <f>SUMIFS(F2709:F9015,K2709:K9015,"0",B2709:B9015,"5 1 1 1 3 12 31111 6 M59 92000 000181*")</f>
        <v>225797.49</v>
      </c>
      <c r="G2708" s="35">
        <f>SUMIFS(G2709:G9015,K2709:K9015,"0",B2709:B9015,"5 1 1 1 3 12 31111 6 M59 92000 000181*")</f>
        <v>0</v>
      </c>
      <c r="H2708" s="35">
        <f t="shared" si="43"/>
        <v>225797.49</v>
      </c>
      <c r="I2708" s="35"/>
      <c r="K2708" t="s">
        <v>15</v>
      </c>
    </row>
    <row r="2709" spans="2:11" ht="16.5" x14ac:dyDescent="0.2">
      <c r="B2709" s="33" t="s">
        <v>3622</v>
      </c>
      <c r="C2709" s="33" t="s">
        <v>1065</v>
      </c>
      <c r="D2709" s="35">
        <f>SUMIFS(D2710:D9015,K2710:K9015,"0",B2710:B9015,"5 1 1 1 3 12 31111 6 M59 92000 000181 0000E*")-SUMIFS(E2710:E9015,K2710:K9015,"0",B2710:B9015,"5 1 1 1 3 12 31111 6 M59 92000 000181 0000E*")</f>
        <v>0</v>
      </c>
      <c r="E2709"/>
      <c r="F2709" s="35">
        <f>SUMIFS(F2710:F9015,K2710:K9015,"0",B2710:B9015,"5 1 1 1 3 12 31111 6 M59 92000 000181 0000E*")</f>
        <v>225797.49</v>
      </c>
      <c r="G2709" s="35">
        <f>SUMIFS(G2710:G9015,K2710:K9015,"0",B2710:B9015,"5 1 1 1 3 12 31111 6 M59 92000 000181 0000E*")</f>
        <v>0</v>
      </c>
      <c r="H2709" s="35">
        <f t="shared" si="43"/>
        <v>225797.49</v>
      </c>
      <c r="I2709" s="35"/>
      <c r="K2709" t="s">
        <v>15</v>
      </c>
    </row>
    <row r="2710" spans="2:11" ht="24.75" x14ac:dyDescent="0.2">
      <c r="B2710" s="33" t="s">
        <v>3623</v>
      </c>
      <c r="C2710" s="33" t="s">
        <v>282</v>
      </c>
      <c r="D2710" s="35">
        <f>SUMIFS(D2711:D9015,K2711:K9015,"0",B2711:B9015,"5 1 1 1 3 12 31111 6 M59 92000 000181 0000E 00001*")-SUMIFS(E2711:E9015,K2711:K9015,"0",B2711:B9015,"5 1 1 1 3 12 31111 6 M59 92000 000181 0000E 00001*")</f>
        <v>0</v>
      </c>
      <c r="E2710"/>
      <c r="F2710" s="35">
        <f>SUMIFS(F2711:F9015,K2711:K9015,"0",B2711:B9015,"5 1 1 1 3 12 31111 6 M59 92000 000181 0000E 00001*")</f>
        <v>225797.49</v>
      </c>
      <c r="G2710" s="35">
        <f>SUMIFS(G2711:G9015,K2711:K9015,"0",B2711:B9015,"5 1 1 1 3 12 31111 6 M59 92000 000181 0000E 00001*")</f>
        <v>0</v>
      </c>
      <c r="H2710" s="35">
        <f t="shared" si="43"/>
        <v>225797.49</v>
      </c>
      <c r="I2710" s="35"/>
      <c r="K2710" t="s">
        <v>15</v>
      </c>
    </row>
    <row r="2711" spans="2:11" ht="24.75" x14ac:dyDescent="0.2">
      <c r="B2711" s="33" t="s">
        <v>3624</v>
      </c>
      <c r="C2711" s="33" t="s">
        <v>2924</v>
      </c>
      <c r="D2711" s="35">
        <f>SUMIFS(D2712:D9015,K2712:K9015,"0",B2712:B9015,"5 1 1 1 3 12 31111 6 M59 92000 000181 0000E 00001 00113*")-SUMIFS(E2712:E9015,K2712:K9015,"0",B2712:B9015,"5 1 1 1 3 12 31111 6 M59 92000 000181 0000E 00001 00113*")</f>
        <v>0</v>
      </c>
      <c r="E2711"/>
      <c r="F2711" s="35">
        <f>SUMIFS(F2712:F9015,K2712:K9015,"0",B2712:B9015,"5 1 1 1 3 12 31111 6 M59 92000 000181 0000E 00001 00113*")</f>
        <v>225797.49</v>
      </c>
      <c r="G2711" s="35">
        <f>SUMIFS(G2712:G9015,K2712:K9015,"0",B2712:B9015,"5 1 1 1 3 12 31111 6 M59 92000 000181 0000E 00001 00113*")</f>
        <v>0</v>
      </c>
      <c r="H2711" s="35">
        <f t="shared" si="43"/>
        <v>225797.49</v>
      </c>
      <c r="I2711" s="35"/>
      <c r="K2711" t="s">
        <v>15</v>
      </c>
    </row>
    <row r="2712" spans="2:11" ht="24.75" x14ac:dyDescent="0.2">
      <c r="B2712" s="33" t="s">
        <v>3625</v>
      </c>
      <c r="C2712" s="33" t="s">
        <v>1051</v>
      </c>
      <c r="D2712" s="35">
        <f>SUMIFS(D2713:D9015,K2713:K9015,"0",B2713:B9015,"5 1 1 1 3 12 31111 6 M59 92000 000181 0000E 00001 00113 015*")-SUMIFS(E2713:E9015,K2713:K9015,"0",B2713:B9015,"5 1 1 1 3 12 31111 6 M59 92000 000181 0000E 00001 00113 015*")</f>
        <v>0</v>
      </c>
      <c r="E2712"/>
      <c r="F2712" s="35">
        <f>SUMIFS(F2713:F9015,K2713:K9015,"0",B2713:B9015,"5 1 1 1 3 12 31111 6 M59 92000 000181 0000E 00001 00113 015*")</f>
        <v>225797.49</v>
      </c>
      <c r="G2712" s="35">
        <f>SUMIFS(G2713:G9015,K2713:K9015,"0",B2713:B9015,"5 1 1 1 3 12 31111 6 M59 92000 000181 0000E 00001 00113 015*")</f>
        <v>0</v>
      </c>
      <c r="H2712" s="35">
        <f t="shared" si="43"/>
        <v>225797.49</v>
      </c>
      <c r="I2712" s="35"/>
      <c r="K2712" t="s">
        <v>15</v>
      </c>
    </row>
    <row r="2713" spans="2:11" ht="33" x14ac:dyDescent="0.2">
      <c r="B2713" s="33" t="s">
        <v>3626</v>
      </c>
      <c r="C2713" s="33" t="s">
        <v>2927</v>
      </c>
      <c r="D2713" s="35">
        <f>SUMIFS(D2714:D9015,K2714:K9015,"0",B2714:B9015,"5 1 1 1 3 12 31111 6 M59 92000 000181 0000E 00001 00113 015 2111100*")-SUMIFS(E2714:E9015,K2714:K9015,"0",B2714:B9015,"5 1 1 1 3 12 31111 6 M59 92000 000181 0000E 00001 00113 015 2111100*")</f>
        <v>0</v>
      </c>
      <c r="E2713"/>
      <c r="F2713" s="35">
        <f>SUMIFS(F2714:F9015,K2714:K9015,"0",B2714:B9015,"5 1 1 1 3 12 31111 6 M59 92000 000181 0000E 00001 00113 015 2111100*")</f>
        <v>225797.49</v>
      </c>
      <c r="G2713" s="35">
        <f>SUMIFS(G2714:G9015,K2714:K9015,"0",B2714:B9015,"5 1 1 1 3 12 31111 6 M59 92000 000181 0000E 00001 00113 015 2111100*")</f>
        <v>0</v>
      </c>
      <c r="H2713" s="35">
        <f t="shared" si="43"/>
        <v>225797.49</v>
      </c>
      <c r="I2713" s="35"/>
      <c r="K2713" t="s">
        <v>15</v>
      </c>
    </row>
    <row r="2714" spans="2:11" ht="33" x14ac:dyDescent="0.2">
      <c r="B2714" s="33" t="s">
        <v>3627</v>
      </c>
      <c r="C2714" s="33" t="s">
        <v>660</v>
      </c>
      <c r="D2714" s="35">
        <f>SUMIFS(D2715:D9015,K2715:K9015,"0",B2715:B9015,"5 1 1 1 3 12 31111 6 M59 92000 000181 0000E 00001 00113 015 2111100 2024*")-SUMIFS(E2715:E9015,K2715:K9015,"0",B2715:B9015,"5 1 1 1 3 12 31111 6 M59 92000 000181 0000E 00001 00113 015 2111100 2024*")</f>
        <v>0</v>
      </c>
      <c r="E2714"/>
      <c r="F2714" s="35">
        <f>SUMIFS(F2715:F9015,K2715:K9015,"0",B2715:B9015,"5 1 1 1 3 12 31111 6 M59 92000 000181 0000E 00001 00113 015 2111100 2024*")</f>
        <v>225797.49</v>
      </c>
      <c r="G2714" s="35">
        <f>SUMIFS(G2715:G9015,K2715:K9015,"0",B2715:B9015,"5 1 1 1 3 12 31111 6 M59 92000 000181 0000E 00001 00113 015 2111100 2024*")</f>
        <v>0</v>
      </c>
      <c r="H2714" s="35">
        <f t="shared" si="43"/>
        <v>225797.49</v>
      </c>
      <c r="I2714" s="35"/>
      <c r="K2714" t="s">
        <v>15</v>
      </c>
    </row>
    <row r="2715" spans="2:11" ht="41.25" x14ac:dyDescent="0.2">
      <c r="B2715" s="33" t="s">
        <v>3628</v>
      </c>
      <c r="C2715" s="33" t="s">
        <v>1056</v>
      </c>
      <c r="D2715" s="35">
        <f>SUMIFS(D2716:D9015,K2716:K9015,"0",B2716:B9015,"5 1 1 1 3 12 31111 6 M59 92000 000181 0000E 00001 00113 015 2111100 2024 CP1RC399*")-SUMIFS(E2716:E9015,K2716:K9015,"0",B2716:B9015,"5 1 1 1 3 12 31111 6 M59 92000 000181 0000E 00001 00113 015 2111100 2024 CP1RC399*")</f>
        <v>0</v>
      </c>
      <c r="E2715"/>
      <c r="F2715" s="35">
        <f>SUMIFS(F2716:F9015,K2716:K9015,"0",B2716:B9015,"5 1 1 1 3 12 31111 6 M59 92000 000181 0000E 00001 00113 015 2111100 2024 CP1RC399*")</f>
        <v>225797.49</v>
      </c>
      <c r="G2715" s="35">
        <f>SUMIFS(G2716:G9015,K2716:K9015,"0",B2716:B9015,"5 1 1 1 3 12 31111 6 M59 92000 000181 0000E 00001 00113 015 2111100 2024 CP1RC399*")</f>
        <v>0</v>
      </c>
      <c r="H2715" s="35">
        <f t="shared" si="43"/>
        <v>225797.49</v>
      </c>
      <c r="I2715" s="35"/>
      <c r="K2715" t="s">
        <v>15</v>
      </c>
    </row>
    <row r="2716" spans="2:11" ht="41.25" x14ac:dyDescent="0.2">
      <c r="B2716" s="33" t="s">
        <v>3629</v>
      </c>
      <c r="C2716" s="33" t="s">
        <v>282</v>
      </c>
      <c r="D2716" s="35">
        <f>SUMIFS(D2717:D9015,K2717:K9015,"0",B2717:B9015,"5 1 1 1 3 12 31111 6 M59 92000 000181 0000E 00001 00113 015 2111100 2024 CP1RC399 001*")-SUMIFS(E2717:E9015,K2717:K9015,"0",B2717:B9015,"5 1 1 1 3 12 31111 6 M59 92000 000181 0000E 00001 00113 015 2111100 2024 CP1RC399 001*")</f>
        <v>0</v>
      </c>
      <c r="E2716"/>
      <c r="F2716" s="35">
        <f>SUMIFS(F2717:F9015,K2717:K9015,"0",B2717:B9015,"5 1 1 1 3 12 31111 6 M59 92000 000181 0000E 00001 00113 015 2111100 2024 CP1RC399 001*")</f>
        <v>225797.49</v>
      </c>
      <c r="G2716" s="35">
        <f>SUMIFS(G2717:G9015,K2717:K9015,"0",B2717:B9015,"5 1 1 1 3 12 31111 6 M59 92000 000181 0000E 00001 00113 015 2111100 2024 CP1RC399 001*")</f>
        <v>0</v>
      </c>
      <c r="H2716" s="35">
        <f t="shared" si="43"/>
        <v>225797.49</v>
      </c>
      <c r="I2716" s="35"/>
      <c r="K2716" t="s">
        <v>15</v>
      </c>
    </row>
    <row r="2717" spans="2:11" ht="33" x14ac:dyDescent="0.2">
      <c r="B2717" s="31" t="s">
        <v>3630</v>
      </c>
      <c r="C2717" s="31" t="s">
        <v>2932</v>
      </c>
      <c r="D2717" s="34">
        <v>0</v>
      </c>
      <c r="E2717" s="34"/>
      <c r="F2717" s="34">
        <v>225797.49</v>
      </c>
      <c r="G2717" s="34">
        <v>0</v>
      </c>
      <c r="H2717" s="34">
        <f t="shared" si="43"/>
        <v>225797.49</v>
      </c>
      <c r="I2717" s="34"/>
      <c r="K2717" t="s">
        <v>38</v>
      </c>
    </row>
    <row r="2718" spans="2:11" ht="24.75" x14ac:dyDescent="0.2">
      <c r="B2718" s="33" t="s">
        <v>3631</v>
      </c>
      <c r="C2718" s="33" t="s">
        <v>3632</v>
      </c>
      <c r="D2718" s="35">
        <f>SUMIFS(D2719:D9015,K2719:K9015,"0",B2719:B9015,"5 1 1 1 3 12 31111 6 M59 93000*")-SUMIFS(E2719:E9015,K2719:K9015,"0",B2719:B9015,"5 1 1 1 3 12 31111 6 M59 93000*")</f>
        <v>0</v>
      </c>
      <c r="E2718"/>
      <c r="F2718" s="35">
        <f>SUMIFS(F2719:F9015,K2719:K9015,"0",B2719:B9015,"5 1 1 1 3 12 31111 6 M59 93000*")</f>
        <v>276646.88</v>
      </c>
      <c r="G2718" s="35">
        <f>SUMIFS(G2719:G9015,K2719:K9015,"0",B2719:B9015,"5 1 1 1 3 12 31111 6 M59 93000*")</f>
        <v>0</v>
      </c>
      <c r="H2718" s="35">
        <f t="shared" si="43"/>
        <v>276646.88</v>
      </c>
      <c r="I2718" s="35"/>
      <c r="K2718" t="s">
        <v>15</v>
      </c>
    </row>
    <row r="2719" spans="2:11" ht="16.5" x14ac:dyDescent="0.2">
      <c r="B2719" s="33" t="s">
        <v>3633</v>
      </c>
      <c r="C2719" s="33" t="s">
        <v>648</v>
      </c>
      <c r="D2719" s="35">
        <f>SUMIFS(D2720:D9015,K2720:K9015,"0",B2720:B9015,"5 1 1 1 3 12 31111 6 M59 93000 000132*")-SUMIFS(E2720:E9015,K2720:K9015,"0",B2720:B9015,"5 1 1 1 3 12 31111 6 M59 93000 000132*")</f>
        <v>0</v>
      </c>
      <c r="E2719"/>
      <c r="F2719" s="35">
        <f>SUMIFS(F2720:F9015,K2720:K9015,"0",B2720:B9015,"5 1 1 1 3 12 31111 6 M59 93000 000132*")</f>
        <v>276646.88</v>
      </c>
      <c r="G2719" s="35">
        <f>SUMIFS(G2720:G9015,K2720:K9015,"0",B2720:B9015,"5 1 1 1 3 12 31111 6 M59 93000 000132*")</f>
        <v>0</v>
      </c>
      <c r="H2719" s="35">
        <f t="shared" si="43"/>
        <v>276646.88</v>
      </c>
      <c r="I2719" s="35"/>
      <c r="K2719" t="s">
        <v>15</v>
      </c>
    </row>
    <row r="2720" spans="2:11" ht="16.5" x14ac:dyDescent="0.2">
      <c r="B2720" s="33" t="s">
        <v>3634</v>
      </c>
      <c r="C2720" s="33" t="s">
        <v>650</v>
      </c>
      <c r="D2720" s="35">
        <f>SUMIFS(D2721:D9015,K2721:K9015,"0",B2721:B9015,"5 1 1 1 3 12 31111 6 M59 93000 000132 0000R*")-SUMIFS(E2721:E9015,K2721:K9015,"0",B2721:B9015,"5 1 1 1 3 12 31111 6 M59 93000 000132 0000R*")</f>
        <v>0</v>
      </c>
      <c r="E2720"/>
      <c r="F2720" s="35">
        <f>SUMIFS(F2721:F9015,K2721:K9015,"0",B2721:B9015,"5 1 1 1 3 12 31111 6 M59 93000 000132 0000R*")</f>
        <v>276646.88</v>
      </c>
      <c r="G2720" s="35">
        <f>SUMIFS(G2721:G9015,K2721:K9015,"0",B2721:B9015,"5 1 1 1 3 12 31111 6 M59 93000 000132 0000R*")</f>
        <v>0</v>
      </c>
      <c r="H2720" s="35">
        <f t="shared" si="43"/>
        <v>276646.88</v>
      </c>
      <c r="I2720" s="35"/>
      <c r="K2720" t="s">
        <v>15</v>
      </c>
    </row>
    <row r="2721" spans="2:11" ht="24.75" x14ac:dyDescent="0.2">
      <c r="B2721" s="33" t="s">
        <v>3635</v>
      </c>
      <c r="C2721" s="33" t="s">
        <v>282</v>
      </c>
      <c r="D2721" s="35">
        <f>SUMIFS(D2722:D9015,K2722:K9015,"0",B2722:B9015,"5 1 1 1 3 12 31111 6 M59 93000 000132 0000R 00001*")-SUMIFS(E2722:E9015,K2722:K9015,"0",B2722:B9015,"5 1 1 1 3 12 31111 6 M59 93000 000132 0000R 00001*")</f>
        <v>0</v>
      </c>
      <c r="E2721"/>
      <c r="F2721" s="35">
        <f>SUMIFS(F2722:F9015,K2722:K9015,"0",B2722:B9015,"5 1 1 1 3 12 31111 6 M59 93000 000132 0000R 00001*")</f>
        <v>276646.88</v>
      </c>
      <c r="G2721" s="35">
        <f>SUMIFS(G2722:G9015,K2722:K9015,"0",B2722:B9015,"5 1 1 1 3 12 31111 6 M59 93000 000132 0000R 00001*")</f>
        <v>0</v>
      </c>
      <c r="H2721" s="35">
        <f t="shared" si="43"/>
        <v>276646.88</v>
      </c>
      <c r="I2721" s="35"/>
      <c r="K2721" t="s">
        <v>15</v>
      </c>
    </row>
    <row r="2722" spans="2:11" ht="24.75" x14ac:dyDescent="0.2">
      <c r="B2722" s="33" t="s">
        <v>3636</v>
      </c>
      <c r="C2722" s="33" t="s">
        <v>2924</v>
      </c>
      <c r="D2722" s="35">
        <f>SUMIFS(D2723:D9015,K2723:K9015,"0",B2723:B9015,"5 1 1 1 3 12 31111 6 M59 93000 000132 0000R 00001 00113*")-SUMIFS(E2723:E9015,K2723:K9015,"0",B2723:B9015,"5 1 1 1 3 12 31111 6 M59 93000 000132 0000R 00001 00113*")</f>
        <v>0</v>
      </c>
      <c r="E2722"/>
      <c r="F2722" s="35">
        <f>SUMIFS(F2723:F9015,K2723:K9015,"0",B2723:B9015,"5 1 1 1 3 12 31111 6 M59 93000 000132 0000R 00001 00113*")</f>
        <v>276646.88</v>
      </c>
      <c r="G2722" s="35">
        <f>SUMIFS(G2723:G9015,K2723:K9015,"0",B2723:B9015,"5 1 1 1 3 12 31111 6 M59 93000 000132 0000R 00001 00113*")</f>
        <v>0</v>
      </c>
      <c r="H2722" s="35">
        <f t="shared" si="43"/>
        <v>276646.88</v>
      </c>
      <c r="I2722" s="35"/>
      <c r="K2722" t="s">
        <v>15</v>
      </c>
    </row>
    <row r="2723" spans="2:11" ht="24.75" x14ac:dyDescent="0.2">
      <c r="B2723" s="33" t="s">
        <v>3637</v>
      </c>
      <c r="C2723" s="33" t="s">
        <v>1051</v>
      </c>
      <c r="D2723" s="35">
        <f>SUMIFS(D2724:D9015,K2724:K9015,"0",B2724:B9015,"5 1 1 1 3 12 31111 6 M59 93000 000132 0000R 00001 00113 015*")-SUMIFS(E2724:E9015,K2724:K9015,"0",B2724:B9015,"5 1 1 1 3 12 31111 6 M59 93000 000132 0000R 00001 00113 015*")</f>
        <v>0</v>
      </c>
      <c r="E2723"/>
      <c r="F2723" s="35">
        <f>SUMIFS(F2724:F9015,K2724:K9015,"0",B2724:B9015,"5 1 1 1 3 12 31111 6 M59 93000 000132 0000R 00001 00113 015*")</f>
        <v>276646.88</v>
      </c>
      <c r="G2723" s="35">
        <f>SUMIFS(G2724:G9015,K2724:K9015,"0",B2724:B9015,"5 1 1 1 3 12 31111 6 M59 93000 000132 0000R 00001 00113 015*")</f>
        <v>0</v>
      </c>
      <c r="H2723" s="35">
        <f t="shared" si="43"/>
        <v>276646.88</v>
      </c>
      <c r="I2723" s="35"/>
      <c r="K2723" t="s">
        <v>15</v>
      </c>
    </row>
    <row r="2724" spans="2:11" ht="33" x14ac:dyDescent="0.2">
      <c r="B2724" s="33" t="s">
        <v>3638</v>
      </c>
      <c r="C2724" s="33" t="s">
        <v>2927</v>
      </c>
      <c r="D2724" s="35">
        <f>SUMIFS(D2725:D9015,K2725:K9015,"0",B2725:B9015,"5 1 1 1 3 12 31111 6 M59 93000 000132 0000R 00001 00113 015 2111100*")-SUMIFS(E2725:E9015,K2725:K9015,"0",B2725:B9015,"5 1 1 1 3 12 31111 6 M59 93000 000132 0000R 00001 00113 015 2111100*")</f>
        <v>0</v>
      </c>
      <c r="E2724"/>
      <c r="F2724" s="35">
        <f>SUMIFS(F2725:F9015,K2725:K9015,"0",B2725:B9015,"5 1 1 1 3 12 31111 6 M59 93000 000132 0000R 00001 00113 015 2111100*")</f>
        <v>276646.88</v>
      </c>
      <c r="G2724" s="35">
        <f>SUMIFS(G2725:G9015,K2725:K9015,"0",B2725:B9015,"5 1 1 1 3 12 31111 6 M59 93000 000132 0000R 00001 00113 015 2111100*")</f>
        <v>0</v>
      </c>
      <c r="H2724" s="35">
        <f t="shared" si="43"/>
        <v>276646.88</v>
      </c>
      <c r="I2724" s="35"/>
      <c r="K2724" t="s">
        <v>15</v>
      </c>
    </row>
    <row r="2725" spans="2:11" ht="33" x14ac:dyDescent="0.2">
      <c r="B2725" s="33" t="s">
        <v>3639</v>
      </c>
      <c r="C2725" s="33" t="s">
        <v>660</v>
      </c>
      <c r="D2725" s="35">
        <f>SUMIFS(D2726:D9015,K2726:K9015,"0",B2726:B9015,"5 1 1 1 3 12 31111 6 M59 93000 000132 0000R 00001 00113 015 2111100 2024*")-SUMIFS(E2726:E9015,K2726:K9015,"0",B2726:B9015,"5 1 1 1 3 12 31111 6 M59 93000 000132 0000R 00001 00113 015 2111100 2024*")</f>
        <v>0</v>
      </c>
      <c r="E2725"/>
      <c r="F2725" s="35">
        <f>SUMIFS(F2726:F9015,K2726:K9015,"0",B2726:B9015,"5 1 1 1 3 12 31111 6 M59 93000 000132 0000R 00001 00113 015 2111100 2024*")</f>
        <v>276646.88</v>
      </c>
      <c r="G2725" s="35">
        <f>SUMIFS(G2726:G9015,K2726:K9015,"0",B2726:B9015,"5 1 1 1 3 12 31111 6 M59 93000 000132 0000R 00001 00113 015 2111100 2024*")</f>
        <v>0</v>
      </c>
      <c r="H2725" s="35">
        <f t="shared" si="43"/>
        <v>276646.88</v>
      </c>
      <c r="I2725" s="35"/>
      <c r="K2725" t="s">
        <v>15</v>
      </c>
    </row>
    <row r="2726" spans="2:11" ht="41.25" x14ac:dyDescent="0.2">
      <c r="B2726" s="33" t="s">
        <v>3640</v>
      </c>
      <c r="C2726" s="33" t="s">
        <v>1056</v>
      </c>
      <c r="D2726" s="35">
        <f>SUMIFS(D2727:D9015,K2727:K9015,"0",B2727:B9015,"5 1 1 1 3 12 31111 6 M59 93000 000132 0000R 00001 00113 015 2111100 2024 CP1RS429*")-SUMIFS(E2727:E9015,K2727:K9015,"0",B2727:B9015,"5 1 1 1 3 12 31111 6 M59 93000 000132 0000R 00001 00113 015 2111100 2024 CP1RS429*")</f>
        <v>0</v>
      </c>
      <c r="E2726"/>
      <c r="F2726" s="35">
        <f>SUMIFS(F2727:F9015,K2727:K9015,"0",B2727:B9015,"5 1 1 1 3 12 31111 6 M59 93000 000132 0000R 00001 00113 015 2111100 2024 CP1RS429*")</f>
        <v>276646.88</v>
      </c>
      <c r="G2726" s="35">
        <f>SUMIFS(G2727:G9015,K2727:K9015,"0",B2727:B9015,"5 1 1 1 3 12 31111 6 M59 93000 000132 0000R 00001 00113 015 2111100 2024 CP1RS429*")</f>
        <v>0</v>
      </c>
      <c r="H2726" s="35">
        <f t="shared" si="43"/>
        <v>276646.88</v>
      </c>
      <c r="I2726" s="35"/>
      <c r="K2726" t="s">
        <v>15</v>
      </c>
    </row>
    <row r="2727" spans="2:11" ht="41.25" x14ac:dyDescent="0.2">
      <c r="B2727" s="33" t="s">
        <v>3641</v>
      </c>
      <c r="C2727" s="33" t="s">
        <v>282</v>
      </c>
      <c r="D2727" s="35">
        <f>SUMIFS(D2728:D9015,K2728:K9015,"0",B2728:B9015,"5 1 1 1 3 12 31111 6 M59 93000 000132 0000R 00001 00113 015 2111100 2024 CP1RS429 001*")-SUMIFS(E2728:E9015,K2728:K9015,"0",B2728:B9015,"5 1 1 1 3 12 31111 6 M59 93000 000132 0000R 00001 00113 015 2111100 2024 CP1RS429 001*")</f>
        <v>0</v>
      </c>
      <c r="E2727"/>
      <c r="F2727" s="35">
        <f>SUMIFS(F2728:F9015,K2728:K9015,"0",B2728:B9015,"5 1 1 1 3 12 31111 6 M59 93000 000132 0000R 00001 00113 015 2111100 2024 CP1RS429 001*")</f>
        <v>276646.88</v>
      </c>
      <c r="G2727" s="35">
        <f>SUMIFS(G2728:G9015,K2728:K9015,"0",B2728:B9015,"5 1 1 1 3 12 31111 6 M59 93000 000132 0000R 00001 00113 015 2111100 2024 CP1RS429 001*")</f>
        <v>0</v>
      </c>
      <c r="H2727" s="35">
        <f t="shared" si="43"/>
        <v>276646.88</v>
      </c>
      <c r="I2727" s="35"/>
      <c r="K2727" t="s">
        <v>15</v>
      </c>
    </row>
    <row r="2728" spans="2:11" ht="41.25" x14ac:dyDescent="0.2">
      <c r="B2728" s="31" t="s">
        <v>3642</v>
      </c>
      <c r="C2728" s="31" t="s">
        <v>2932</v>
      </c>
      <c r="D2728" s="34">
        <v>0</v>
      </c>
      <c r="E2728" s="34"/>
      <c r="F2728" s="34">
        <v>276646.88</v>
      </c>
      <c r="G2728" s="34">
        <v>0</v>
      </c>
      <c r="H2728" s="34">
        <f t="shared" si="43"/>
        <v>276646.88</v>
      </c>
      <c r="I2728" s="34"/>
      <c r="K2728" t="s">
        <v>38</v>
      </c>
    </row>
    <row r="2729" spans="2:11" ht="16.5" x14ac:dyDescent="0.2">
      <c r="B2729" s="33" t="s">
        <v>3643</v>
      </c>
      <c r="C2729" s="33" t="s">
        <v>3644</v>
      </c>
      <c r="D2729" s="35">
        <f>SUMIFS(D2730:D9015,K2730:K9015,"0",B2730:B9015,"5 1 1 1 3 12 31111 6 M59 94000*")-SUMIFS(E2730:E9015,K2730:K9015,"0",B2730:B9015,"5 1 1 1 3 12 31111 6 M59 94000*")</f>
        <v>0</v>
      </c>
      <c r="E2729"/>
      <c r="F2729" s="35">
        <f>SUMIFS(F2730:F9015,K2730:K9015,"0",B2730:B9015,"5 1 1 1 3 12 31111 6 M59 94000*")</f>
        <v>167194.14000000001</v>
      </c>
      <c r="G2729" s="35">
        <f>SUMIFS(G2730:G9015,K2730:K9015,"0",B2730:B9015,"5 1 1 1 3 12 31111 6 M59 94000*")</f>
        <v>0</v>
      </c>
      <c r="H2729" s="35">
        <f t="shared" si="43"/>
        <v>167194.14000000001</v>
      </c>
      <c r="I2729" s="35"/>
      <c r="K2729" t="s">
        <v>15</v>
      </c>
    </row>
    <row r="2730" spans="2:11" ht="24.75" x14ac:dyDescent="0.2">
      <c r="B2730" s="33" t="s">
        <v>3645</v>
      </c>
      <c r="C2730" s="33" t="s">
        <v>3152</v>
      </c>
      <c r="D2730" s="35">
        <f>SUMIFS(D2731:D9015,K2731:K9015,"0",B2731:B9015,"5 1 1 1 3 12 31111 6 M59 94000 000181*")-SUMIFS(E2731:E9015,K2731:K9015,"0",B2731:B9015,"5 1 1 1 3 12 31111 6 M59 94000 000181*")</f>
        <v>0</v>
      </c>
      <c r="E2730"/>
      <c r="F2730" s="35">
        <f>SUMIFS(F2731:F9015,K2731:K9015,"0",B2731:B9015,"5 1 1 1 3 12 31111 6 M59 94000 000181*")</f>
        <v>167194.14000000001</v>
      </c>
      <c r="G2730" s="35">
        <f>SUMIFS(G2731:G9015,K2731:K9015,"0",B2731:B9015,"5 1 1 1 3 12 31111 6 M59 94000 000181*")</f>
        <v>0</v>
      </c>
      <c r="H2730" s="35">
        <f t="shared" si="43"/>
        <v>167194.14000000001</v>
      </c>
      <c r="I2730" s="35"/>
      <c r="K2730" t="s">
        <v>15</v>
      </c>
    </row>
    <row r="2731" spans="2:11" ht="16.5" x14ac:dyDescent="0.2">
      <c r="B2731" s="33" t="s">
        <v>3646</v>
      </c>
      <c r="C2731" s="33" t="s">
        <v>650</v>
      </c>
      <c r="D2731" s="35">
        <f>SUMIFS(D2732:D9015,K2732:K9015,"0",B2732:B9015,"5 1 1 1 3 12 31111 6 M59 94000 000181 0000R*")-SUMIFS(E2732:E9015,K2732:K9015,"0",B2732:B9015,"5 1 1 1 3 12 31111 6 M59 94000 000181 0000R*")</f>
        <v>0</v>
      </c>
      <c r="E2731"/>
      <c r="F2731" s="35">
        <f>SUMIFS(F2732:F9015,K2732:K9015,"0",B2732:B9015,"5 1 1 1 3 12 31111 6 M59 94000 000181 0000R*")</f>
        <v>167194.14000000001</v>
      </c>
      <c r="G2731" s="35">
        <f>SUMIFS(G2732:G9015,K2732:K9015,"0",B2732:B9015,"5 1 1 1 3 12 31111 6 M59 94000 000181 0000R*")</f>
        <v>0</v>
      </c>
      <c r="H2731" s="35">
        <f t="shared" si="43"/>
        <v>167194.14000000001</v>
      </c>
      <c r="I2731" s="35"/>
      <c r="K2731" t="s">
        <v>15</v>
      </c>
    </row>
    <row r="2732" spans="2:11" ht="24.75" x14ac:dyDescent="0.2">
      <c r="B2732" s="33" t="s">
        <v>3647</v>
      </c>
      <c r="C2732" s="33" t="s">
        <v>282</v>
      </c>
      <c r="D2732" s="35">
        <f>SUMIFS(D2733:D9015,K2733:K9015,"0",B2733:B9015,"5 1 1 1 3 12 31111 6 M59 94000 000181 0000R 00001*")-SUMIFS(E2733:E9015,K2733:K9015,"0",B2733:B9015,"5 1 1 1 3 12 31111 6 M59 94000 000181 0000R 00001*")</f>
        <v>0</v>
      </c>
      <c r="E2732"/>
      <c r="F2732" s="35">
        <f>SUMIFS(F2733:F9015,K2733:K9015,"0",B2733:B9015,"5 1 1 1 3 12 31111 6 M59 94000 000181 0000R 00001*")</f>
        <v>167194.14000000001</v>
      </c>
      <c r="G2732" s="35">
        <f>SUMIFS(G2733:G9015,K2733:K9015,"0",B2733:B9015,"5 1 1 1 3 12 31111 6 M59 94000 000181 0000R 00001*")</f>
        <v>0</v>
      </c>
      <c r="H2732" s="35">
        <f t="shared" si="43"/>
        <v>167194.14000000001</v>
      </c>
      <c r="I2732" s="35"/>
      <c r="K2732" t="s">
        <v>15</v>
      </c>
    </row>
    <row r="2733" spans="2:11" ht="24.75" x14ac:dyDescent="0.2">
      <c r="B2733" s="33" t="s">
        <v>3648</v>
      </c>
      <c r="C2733" s="33" t="s">
        <v>2924</v>
      </c>
      <c r="D2733" s="35">
        <f>SUMIFS(D2734:D9015,K2734:K9015,"0",B2734:B9015,"5 1 1 1 3 12 31111 6 M59 94000 000181 0000R 00001 00113*")-SUMIFS(E2734:E9015,K2734:K9015,"0",B2734:B9015,"5 1 1 1 3 12 31111 6 M59 94000 000181 0000R 00001 00113*")</f>
        <v>0</v>
      </c>
      <c r="E2733"/>
      <c r="F2733" s="35">
        <f>SUMIFS(F2734:F9015,K2734:K9015,"0",B2734:B9015,"5 1 1 1 3 12 31111 6 M59 94000 000181 0000R 00001 00113*")</f>
        <v>167194.14000000001</v>
      </c>
      <c r="G2733" s="35">
        <f>SUMIFS(G2734:G9015,K2734:K9015,"0",B2734:B9015,"5 1 1 1 3 12 31111 6 M59 94000 000181 0000R 00001 00113*")</f>
        <v>0</v>
      </c>
      <c r="H2733" s="35">
        <f t="shared" si="43"/>
        <v>167194.14000000001</v>
      </c>
      <c r="I2733" s="35"/>
      <c r="K2733" t="s">
        <v>15</v>
      </c>
    </row>
    <row r="2734" spans="2:11" ht="24.75" x14ac:dyDescent="0.2">
      <c r="B2734" s="33" t="s">
        <v>3649</v>
      </c>
      <c r="C2734" s="33" t="s">
        <v>1051</v>
      </c>
      <c r="D2734" s="35">
        <f>SUMIFS(D2735:D9015,K2735:K9015,"0",B2735:B9015,"5 1 1 1 3 12 31111 6 M59 94000 000181 0000R 00001 00113 015*")-SUMIFS(E2735:E9015,K2735:K9015,"0",B2735:B9015,"5 1 1 1 3 12 31111 6 M59 94000 000181 0000R 00001 00113 015*")</f>
        <v>0</v>
      </c>
      <c r="E2734"/>
      <c r="F2734" s="35">
        <f>SUMIFS(F2735:F9015,K2735:K9015,"0",B2735:B9015,"5 1 1 1 3 12 31111 6 M59 94000 000181 0000R 00001 00113 015*")</f>
        <v>167194.14000000001</v>
      </c>
      <c r="G2734" s="35">
        <f>SUMIFS(G2735:G9015,K2735:K9015,"0",B2735:B9015,"5 1 1 1 3 12 31111 6 M59 94000 000181 0000R 00001 00113 015*")</f>
        <v>0</v>
      </c>
      <c r="H2734" s="35">
        <f t="shared" si="43"/>
        <v>167194.14000000001</v>
      </c>
      <c r="I2734" s="35"/>
      <c r="K2734" t="s">
        <v>15</v>
      </c>
    </row>
    <row r="2735" spans="2:11" ht="33" x14ac:dyDescent="0.2">
      <c r="B2735" s="33" t="s">
        <v>3650</v>
      </c>
      <c r="C2735" s="33" t="s">
        <v>2927</v>
      </c>
      <c r="D2735" s="35">
        <f>SUMIFS(D2736:D9015,K2736:K9015,"0",B2736:B9015,"5 1 1 1 3 12 31111 6 M59 94000 000181 0000R 00001 00113 015 2111100*")-SUMIFS(E2736:E9015,K2736:K9015,"0",B2736:B9015,"5 1 1 1 3 12 31111 6 M59 94000 000181 0000R 00001 00113 015 2111100*")</f>
        <v>0</v>
      </c>
      <c r="E2735"/>
      <c r="F2735" s="35">
        <f>SUMIFS(F2736:F9015,K2736:K9015,"0",B2736:B9015,"5 1 1 1 3 12 31111 6 M59 94000 000181 0000R 00001 00113 015 2111100*")</f>
        <v>167194.14000000001</v>
      </c>
      <c r="G2735" s="35">
        <f>SUMIFS(G2736:G9015,K2736:K9015,"0",B2736:B9015,"5 1 1 1 3 12 31111 6 M59 94000 000181 0000R 00001 00113 015 2111100*")</f>
        <v>0</v>
      </c>
      <c r="H2735" s="35">
        <f t="shared" si="43"/>
        <v>167194.14000000001</v>
      </c>
      <c r="I2735" s="35"/>
      <c r="K2735" t="s">
        <v>15</v>
      </c>
    </row>
    <row r="2736" spans="2:11" ht="33" x14ac:dyDescent="0.2">
      <c r="B2736" s="33" t="s">
        <v>3651</v>
      </c>
      <c r="C2736" s="33" t="s">
        <v>660</v>
      </c>
      <c r="D2736" s="35">
        <f>SUMIFS(D2737:D9015,K2737:K9015,"0",B2737:B9015,"5 1 1 1 3 12 31111 6 M59 94000 000181 0000R 00001 00113 015 2111100 2024*")-SUMIFS(E2737:E9015,K2737:K9015,"0",B2737:B9015,"5 1 1 1 3 12 31111 6 M59 94000 000181 0000R 00001 00113 015 2111100 2024*")</f>
        <v>0</v>
      </c>
      <c r="E2736"/>
      <c r="F2736" s="35">
        <f>SUMIFS(F2737:F9015,K2737:K9015,"0",B2737:B9015,"5 1 1 1 3 12 31111 6 M59 94000 000181 0000R 00001 00113 015 2111100 2024*")</f>
        <v>167194.14000000001</v>
      </c>
      <c r="G2736" s="35">
        <f>SUMIFS(G2737:G9015,K2737:K9015,"0",B2737:B9015,"5 1 1 1 3 12 31111 6 M59 94000 000181 0000R 00001 00113 015 2111100 2024*")</f>
        <v>0</v>
      </c>
      <c r="H2736" s="35">
        <f t="shared" si="43"/>
        <v>167194.14000000001</v>
      </c>
      <c r="I2736" s="35"/>
      <c r="K2736" t="s">
        <v>15</v>
      </c>
    </row>
    <row r="2737" spans="2:11" ht="41.25" x14ac:dyDescent="0.2">
      <c r="B2737" s="33" t="s">
        <v>3652</v>
      </c>
      <c r="C2737" s="33" t="s">
        <v>1056</v>
      </c>
      <c r="D2737" s="35">
        <f>SUMIFS(D2738:D9015,K2738:K9015,"0",B2738:B9015,"5 1 1 1 3 12 31111 6 M59 94000 000181 0000R 00001 00113 015 2111100 2024 CP1OM392*")-SUMIFS(E2738:E9015,K2738:K9015,"0",B2738:B9015,"5 1 1 1 3 12 31111 6 M59 94000 000181 0000R 00001 00113 015 2111100 2024 CP1OM392*")</f>
        <v>0</v>
      </c>
      <c r="E2737"/>
      <c r="F2737" s="35">
        <f>SUMIFS(F2738:F9015,K2738:K9015,"0",B2738:B9015,"5 1 1 1 3 12 31111 6 M59 94000 000181 0000R 00001 00113 015 2111100 2024 CP1OM392*")</f>
        <v>167194.14000000001</v>
      </c>
      <c r="G2737" s="35">
        <f>SUMIFS(G2738:G9015,K2738:K9015,"0",B2738:B9015,"5 1 1 1 3 12 31111 6 M59 94000 000181 0000R 00001 00113 015 2111100 2024 CP1OM392*")</f>
        <v>0</v>
      </c>
      <c r="H2737" s="35">
        <f t="shared" si="43"/>
        <v>167194.14000000001</v>
      </c>
      <c r="I2737" s="35"/>
      <c r="K2737" t="s">
        <v>15</v>
      </c>
    </row>
    <row r="2738" spans="2:11" ht="41.25" x14ac:dyDescent="0.2">
      <c r="B2738" s="33" t="s">
        <v>3653</v>
      </c>
      <c r="C2738" s="33" t="s">
        <v>282</v>
      </c>
      <c r="D2738" s="35">
        <f>SUMIFS(D2739:D9015,K2739:K9015,"0",B2739:B9015,"5 1 1 1 3 12 31111 6 M59 94000 000181 0000R 00001 00113 015 2111100 2024 CP1OM392 001*")-SUMIFS(E2739:E9015,K2739:K9015,"0",B2739:B9015,"5 1 1 1 3 12 31111 6 M59 94000 000181 0000R 00001 00113 015 2111100 2024 CP1OM392 001*")</f>
        <v>0</v>
      </c>
      <c r="E2738"/>
      <c r="F2738" s="35">
        <f>SUMIFS(F2739:F9015,K2739:K9015,"0",B2739:B9015,"5 1 1 1 3 12 31111 6 M59 94000 000181 0000R 00001 00113 015 2111100 2024 CP1OM392 001*")</f>
        <v>167194.14000000001</v>
      </c>
      <c r="G2738" s="35">
        <f>SUMIFS(G2739:G9015,K2739:K9015,"0",B2739:B9015,"5 1 1 1 3 12 31111 6 M59 94000 000181 0000R 00001 00113 015 2111100 2024 CP1OM392 001*")</f>
        <v>0</v>
      </c>
      <c r="H2738" s="35">
        <f t="shared" si="43"/>
        <v>167194.14000000001</v>
      </c>
      <c r="I2738" s="35"/>
      <c r="K2738" t="s">
        <v>15</v>
      </c>
    </row>
    <row r="2739" spans="2:11" ht="33" x14ac:dyDescent="0.2">
      <c r="B2739" s="31" t="s">
        <v>3654</v>
      </c>
      <c r="C2739" s="31" t="s">
        <v>2932</v>
      </c>
      <c r="D2739" s="34">
        <v>0</v>
      </c>
      <c r="E2739" s="34"/>
      <c r="F2739" s="34">
        <v>167194.14000000001</v>
      </c>
      <c r="G2739" s="34">
        <v>0</v>
      </c>
      <c r="H2739" s="34">
        <f t="shared" si="43"/>
        <v>167194.14000000001</v>
      </c>
      <c r="I2739" s="34"/>
      <c r="K2739" t="s">
        <v>38</v>
      </c>
    </row>
    <row r="2740" spans="2:11" ht="16.5" x14ac:dyDescent="0.2">
      <c r="B2740" s="33" t="s">
        <v>3655</v>
      </c>
      <c r="C2740" s="33" t="s">
        <v>3656</v>
      </c>
      <c r="D2740" s="35">
        <f>SUMIFS(D2741:D9015,K2741:K9015,"0",B2741:B9015,"5 1 1 1 3 12 31111 6 M59 94100*")-SUMIFS(E2741:E9015,K2741:K9015,"0",B2741:B9015,"5 1 1 1 3 12 31111 6 M59 94100*")</f>
        <v>0</v>
      </c>
      <c r="E2740"/>
      <c r="F2740" s="35">
        <f>SUMIFS(F2741:F9015,K2741:K9015,"0",B2741:B9015,"5 1 1 1 3 12 31111 6 M59 94100*")</f>
        <v>61317.45</v>
      </c>
      <c r="G2740" s="35">
        <f>SUMIFS(G2741:G9015,K2741:K9015,"0",B2741:B9015,"5 1 1 1 3 12 31111 6 M59 94100*")</f>
        <v>0</v>
      </c>
      <c r="H2740" s="35">
        <f t="shared" si="43"/>
        <v>61317.45</v>
      </c>
      <c r="I2740" s="35"/>
      <c r="K2740" t="s">
        <v>15</v>
      </c>
    </row>
    <row r="2741" spans="2:11" ht="16.5" x14ac:dyDescent="0.2">
      <c r="B2741" s="33" t="s">
        <v>3657</v>
      </c>
      <c r="C2741" s="33" t="s">
        <v>648</v>
      </c>
      <c r="D2741" s="35">
        <f>SUMIFS(D2742:D9015,K2742:K9015,"0",B2742:B9015,"5 1 1 1 3 12 31111 6 M59 94100 000132*")-SUMIFS(E2742:E9015,K2742:K9015,"0",B2742:B9015,"5 1 1 1 3 12 31111 6 M59 94100 000132*")</f>
        <v>0</v>
      </c>
      <c r="E2741"/>
      <c r="F2741" s="35">
        <f>SUMIFS(F2742:F9015,K2742:K9015,"0",B2742:B9015,"5 1 1 1 3 12 31111 6 M59 94100 000132*")</f>
        <v>61317.45</v>
      </c>
      <c r="G2741" s="35">
        <f>SUMIFS(G2742:G9015,K2742:K9015,"0",B2742:B9015,"5 1 1 1 3 12 31111 6 M59 94100 000132*")</f>
        <v>0</v>
      </c>
      <c r="H2741" s="35">
        <f t="shared" si="43"/>
        <v>61317.45</v>
      </c>
      <c r="I2741" s="35"/>
      <c r="K2741" t="s">
        <v>15</v>
      </c>
    </row>
    <row r="2742" spans="2:11" ht="16.5" x14ac:dyDescent="0.2">
      <c r="B2742" s="33" t="s">
        <v>3658</v>
      </c>
      <c r="C2742" s="33" t="s">
        <v>650</v>
      </c>
      <c r="D2742" s="35">
        <f>SUMIFS(D2743:D9015,K2743:K9015,"0",B2743:B9015,"5 1 1 1 3 12 31111 6 M59 94100 000132 0000R*")-SUMIFS(E2743:E9015,K2743:K9015,"0",B2743:B9015,"5 1 1 1 3 12 31111 6 M59 94100 000132 0000R*")</f>
        <v>0</v>
      </c>
      <c r="E2742"/>
      <c r="F2742" s="35">
        <f>SUMIFS(F2743:F9015,K2743:K9015,"0",B2743:B9015,"5 1 1 1 3 12 31111 6 M59 94100 000132 0000R*")</f>
        <v>61317.45</v>
      </c>
      <c r="G2742" s="35">
        <f>SUMIFS(G2743:G9015,K2743:K9015,"0",B2743:B9015,"5 1 1 1 3 12 31111 6 M59 94100 000132 0000R*")</f>
        <v>0</v>
      </c>
      <c r="H2742" s="35">
        <f t="shared" si="43"/>
        <v>61317.45</v>
      </c>
      <c r="I2742" s="35"/>
      <c r="K2742" t="s">
        <v>15</v>
      </c>
    </row>
    <row r="2743" spans="2:11" ht="24.75" x14ac:dyDescent="0.2">
      <c r="B2743" s="33" t="s">
        <v>3659</v>
      </c>
      <c r="C2743" s="33" t="s">
        <v>282</v>
      </c>
      <c r="D2743" s="35">
        <f>SUMIFS(D2744:D9015,K2744:K9015,"0",B2744:B9015,"5 1 1 1 3 12 31111 6 M59 94100 000132 0000R 00001*")-SUMIFS(E2744:E9015,K2744:K9015,"0",B2744:B9015,"5 1 1 1 3 12 31111 6 M59 94100 000132 0000R 00001*")</f>
        <v>0</v>
      </c>
      <c r="E2743"/>
      <c r="F2743" s="35">
        <f>SUMIFS(F2744:F9015,K2744:K9015,"0",B2744:B9015,"5 1 1 1 3 12 31111 6 M59 94100 000132 0000R 00001*")</f>
        <v>61317.45</v>
      </c>
      <c r="G2743" s="35">
        <f>SUMIFS(G2744:G9015,K2744:K9015,"0",B2744:B9015,"5 1 1 1 3 12 31111 6 M59 94100 000132 0000R 00001*")</f>
        <v>0</v>
      </c>
      <c r="H2743" s="35">
        <f t="shared" si="43"/>
        <v>61317.45</v>
      </c>
      <c r="I2743" s="35"/>
      <c r="K2743" t="s">
        <v>15</v>
      </c>
    </row>
    <row r="2744" spans="2:11" ht="24.75" x14ac:dyDescent="0.2">
      <c r="B2744" s="33" t="s">
        <v>3660</v>
      </c>
      <c r="C2744" s="33" t="s">
        <v>2924</v>
      </c>
      <c r="D2744" s="35">
        <f>SUMIFS(D2745:D9015,K2745:K9015,"0",B2745:B9015,"5 1 1 1 3 12 31111 6 M59 94100 000132 0000R 00001 00113*")-SUMIFS(E2745:E9015,K2745:K9015,"0",B2745:B9015,"5 1 1 1 3 12 31111 6 M59 94100 000132 0000R 00001 00113*")</f>
        <v>0</v>
      </c>
      <c r="E2744"/>
      <c r="F2744" s="35">
        <f>SUMIFS(F2745:F9015,K2745:K9015,"0",B2745:B9015,"5 1 1 1 3 12 31111 6 M59 94100 000132 0000R 00001 00113*")</f>
        <v>61317.45</v>
      </c>
      <c r="G2744" s="35">
        <f>SUMIFS(G2745:G9015,K2745:K9015,"0",B2745:B9015,"5 1 1 1 3 12 31111 6 M59 94100 000132 0000R 00001 00113*")</f>
        <v>0</v>
      </c>
      <c r="H2744" s="35">
        <f t="shared" si="43"/>
        <v>61317.45</v>
      </c>
      <c r="I2744" s="35"/>
      <c r="K2744" t="s">
        <v>15</v>
      </c>
    </row>
    <row r="2745" spans="2:11" ht="24.75" x14ac:dyDescent="0.2">
      <c r="B2745" s="33" t="s">
        <v>3661</v>
      </c>
      <c r="C2745" s="33" t="s">
        <v>1051</v>
      </c>
      <c r="D2745" s="35">
        <f>SUMIFS(D2746:D9015,K2746:K9015,"0",B2746:B9015,"5 1 1 1 3 12 31111 6 M59 94100 000132 0000R 00001 00113 015*")-SUMIFS(E2746:E9015,K2746:K9015,"0",B2746:B9015,"5 1 1 1 3 12 31111 6 M59 94100 000132 0000R 00001 00113 015*")</f>
        <v>0</v>
      </c>
      <c r="E2745"/>
      <c r="F2745" s="35">
        <f>SUMIFS(F2746:F9015,K2746:K9015,"0",B2746:B9015,"5 1 1 1 3 12 31111 6 M59 94100 000132 0000R 00001 00113 015*")</f>
        <v>61317.45</v>
      </c>
      <c r="G2745" s="35">
        <f>SUMIFS(G2746:G9015,K2746:K9015,"0",B2746:B9015,"5 1 1 1 3 12 31111 6 M59 94100 000132 0000R 00001 00113 015*")</f>
        <v>0</v>
      </c>
      <c r="H2745" s="35">
        <f t="shared" si="43"/>
        <v>61317.45</v>
      </c>
      <c r="I2745" s="35"/>
      <c r="K2745" t="s">
        <v>15</v>
      </c>
    </row>
    <row r="2746" spans="2:11" ht="33" x14ac:dyDescent="0.2">
      <c r="B2746" s="33" t="s">
        <v>3662</v>
      </c>
      <c r="C2746" s="33" t="s">
        <v>2927</v>
      </c>
      <c r="D2746" s="35">
        <f>SUMIFS(D2747:D9015,K2747:K9015,"0",B2747:B9015,"5 1 1 1 3 12 31111 6 M59 94100 000132 0000R 00001 00113 015 2111100*")-SUMIFS(E2747:E9015,K2747:K9015,"0",B2747:B9015,"5 1 1 1 3 12 31111 6 M59 94100 000132 0000R 00001 00113 015 2111100*")</f>
        <v>0</v>
      </c>
      <c r="E2746"/>
      <c r="F2746" s="35">
        <f>SUMIFS(F2747:F9015,K2747:K9015,"0",B2747:B9015,"5 1 1 1 3 12 31111 6 M59 94100 000132 0000R 00001 00113 015 2111100*")</f>
        <v>61317.45</v>
      </c>
      <c r="G2746" s="35">
        <f>SUMIFS(G2747:G9015,K2747:K9015,"0",B2747:B9015,"5 1 1 1 3 12 31111 6 M59 94100 000132 0000R 00001 00113 015 2111100*")</f>
        <v>0</v>
      </c>
      <c r="H2746" s="35">
        <f t="shared" si="43"/>
        <v>61317.45</v>
      </c>
      <c r="I2746" s="35"/>
      <c r="K2746" t="s">
        <v>15</v>
      </c>
    </row>
    <row r="2747" spans="2:11" ht="33" x14ac:dyDescent="0.2">
      <c r="B2747" s="33" t="s">
        <v>3663</v>
      </c>
      <c r="C2747" s="33" t="s">
        <v>660</v>
      </c>
      <c r="D2747" s="35">
        <f>SUMIFS(D2748:D9015,K2748:K9015,"0",B2748:B9015,"5 1 1 1 3 12 31111 6 M59 94100 000132 0000R 00001 00113 015 2111100 2024*")-SUMIFS(E2748:E9015,K2748:K9015,"0",B2748:B9015,"5 1 1 1 3 12 31111 6 M59 94100 000132 0000R 00001 00113 015 2111100 2024*")</f>
        <v>0</v>
      </c>
      <c r="E2747"/>
      <c r="F2747" s="35">
        <f>SUMIFS(F2748:F9015,K2748:K9015,"0",B2748:B9015,"5 1 1 1 3 12 31111 6 M59 94100 000132 0000R 00001 00113 015 2111100 2024*")</f>
        <v>61317.45</v>
      </c>
      <c r="G2747" s="35">
        <f>SUMIFS(G2748:G9015,K2748:K9015,"0",B2748:B9015,"5 1 1 1 3 12 31111 6 M59 94100 000132 0000R 00001 00113 015 2111100 2024*")</f>
        <v>0</v>
      </c>
      <c r="H2747" s="35">
        <f t="shared" si="43"/>
        <v>61317.45</v>
      </c>
      <c r="I2747" s="35"/>
      <c r="K2747" t="s">
        <v>15</v>
      </c>
    </row>
    <row r="2748" spans="2:11" ht="41.25" x14ac:dyDescent="0.2">
      <c r="B2748" s="33" t="s">
        <v>3664</v>
      </c>
      <c r="C2748" s="33" t="s">
        <v>1056</v>
      </c>
      <c r="D2748" s="35">
        <f>SUMIFS(D2749:D9015,K2749:K9015,"0",B2749:B9015,"5 1 1 1 3 12 31111 6 M59 94100 000132 0000R 00001 00113 015 2111100 2024 CP1AT427*")-SUMIFS(E2749:E9015,K2749:K9015,"0",B2749:B9015,"5 1 1 1 3 12 31111 6 M59 94100 000132 0000R 00001 00113 015 2111100 2024 CP1AT427*")</f>
        <v>0</v>
      </c>
      <c r="E2748"/>
      <c r="F2748" s="35">
        <f>SUMIFS(F2749:F9015,K2749:K9015,"0",B2749:B9015,"5 1 1 1 3 12 31111 6 M59 94100 000132 0000R 00001 00113 015 2111100 2024 CP1AT427*")</f>
        <v>61317.45</v>
      </c>
      <c r="G2748" s="35">
        <f>SUMIFS(G2749:G9015,K2749:K9015,"0",B2749:B9015,"5 1 1 1 3 12 31111 6 M59 94100 000132 0000R 00001 00113 015 2111100 2024 CP1AT427*")</f>
        <v>0</v>
      </c>
      <c r="H2748" s="35">
        <f t="shared" si="43"/>
        <v>61317.45</v>
      </c>
      <c r="I2748" s="35"/>
      <c r="K2748" t="s">
        <v>15</v>
      </c>
    </row>
    <row r="2749" spans="2:11" ht="41.25" x14ac:dyDescent="0.2">
      <c r="B2749" s="33" t="s">
        <v>3665</v>
      </c>
      <c r="C2749" s="33" t="s">
        <v>282</v>
      </c>
      <c r="D2749" s="35">
        <f>SUMIFS(D2750:D9015,K2750:K9015,"0",B2750:B9015,"5 1 1 1 3 12 31111 6 M59 94100 000132 0000R 00001 00113 015 2111100 2024 CP1AT427 001*")-SUMIFS(E2750:E9015,K2750:K9015,"0",B2750:B9015,"5 1 1 1 3 12 31111 6 M59 94100 000132 0000R 00001 00113 015 2111100 2024 CP1AT427 001*")</f>
        <v>0</v>
      </c>
      <c r="E2749"/>
      <c r="F2749" s="35">
        <f>SUMIFS(F2750:F9015,K2750:K9015,"0",B2750:B9015,"5 1 1 1 3 12 31111 6 M59 94100 000132 0000R 00001 00113 015 2111100 2024 CP1AT427 001*")</f>
        <v>61317.45</v>
      </c>
      <c r="G2749" s="35">
        <f>SUMIFS(G2750:G9015,K2750:K9015,"0",B2750:B9015,"5 1 1 1 3 12 31111 6 M59 94100 000132 0000R 00001 00113 015 2111100 2024 CP1AT427 001*")</f>
        <v>0</v>
      </c>
      <c r="H2749" s="35">
        <f t="shared" si="43"/>
        <v>61317.45</v>
      </c>
      <c r="I2749" s="35"/>
      <c r="K2749" t="s">
        <v>15</v>
      </c>
    </row>
    <row r="2750" spans="2:11" ht="33" x14ac:dyDescent="0.2">
      <c r="B2750" s="31" t="s">
        <v>3666</v>
      </c>
      <c r="C2750" s="31" t="s">
        <v>2932</v>
      </c>
      <c r="D2750" s="34">
        <v>0</v>
      </c>
      <c r="E2750" s="34"/>
      <c r="F2750" s="34">
        <v>61317.45</v>
      </c>
      <c r="G2750" s="34">
        <v>0</v>
      </c>
      <c r="H2750" s="34">
        <f t="shared" si="43"/>
        <v>61317.45</v>
      </c>
      <c r="I2750" s="34"/>
      <c r="K2750" t="s">
        <v>38</v>
      </c>
    </row>
    <row r="2751" spans="2:11" ht="16.5" x14ac:dyDescent="0.2">
      <c r="B2751" s="33" t="s">
        <v>3667</v>
      </c>
      <c r="C2751" s="33" t="s">
        <v>3668</v>
      </c>
      <c r="D2751" s="35">
        <f>SUMIFS(D2752:D9015,K2752:K9015,"0",B2752:B9015,"5 1 1 1 3 12 31111 6 M59 95000*")-SUMIFS(E2752:E9015,K2752:K9015,"0",B2752:B9015,"5 1 1 1 3 12 31111 6 M59 95000*")</f>
        <v>0</v>
      </c>
      <c r="E2751"/>
      <c r="F2751" s="35">
        <f>SUMIFS(F2752:F9015,K2752:K9015,"0",B2752:B9015,"5 1 1 1 3 12 31111 6 M59 95000*")</f>
        <v>394553.85</v>
      </c>
      <c r="G2751" s="35">
        <f>SUMIFS(G2752:G9015,K2752:K9015,"0",B2752:B9015,"5 1 1 1 3 12 31111 6 M59 95000*")</f>
        <v>0</v>
      </c>
      <c r="H2751" s="35">
        <f t="shared" si="43"/>
        <v>394553.85</v>
      </c>
      <c r="I2751" s="35"/>
      <c r="K2751" t="s">
        <v>15</v>
      </c>
    </row>
    <row r="2752" spans="2:11" ht="16.5" x14ac:dyDescent="0.2">
      <c r="B2752" s="33" t="s">
        <v>3669</v>
      </c>
      <c r="C2752" s="33" t="s">
        <v>1063</v>
      </c>
      <c r="D2752" s="35">
        <f>SUMIFS(D2753:D9015,K2753:K9015,"0",B2753:B9015,"5 1 1 1 3 12 31111 6 M59 95000 000139*")-SUMIFS(E2753:E9015,K2753:K9015,"0",B2753:B9015,"5 1 1 1 3 12 31111 6 M59 95000 000139*")</f>
        <v>0</v>
      </c>
      <c r="E2752"/>
      <c r="F2752" s="35">
        <f>SUMIFS(F2753:F9015,K2753:K9015,"0",B2753:B9015,"5 1 1 1 3 12 31111 6 M59 95000 000139*")</f>
        <v>394553.85</v>
      </c>
      <c r="G2752" s="35">
        <f>SUMIFS(G2753:G9015,K2753:K9015,"0",B2753:B9015,"5 1 1 1 3 12 31111 6 M59 95000 000139*")</f>
        <v>0</v>
      </c>
      <c r="H2752" s="35">
        <f t="shared" si="43"/>
        <v>394553.85</v>
      </c>
      <c r="I2752" s="35"/>
      <c r="K2752" t="s">
        <v>15</v>
      </c>
    </row>
    <row r="2753" spans="2:11" ht="24.75" x14ac:dyDescent="0.2">
      <c r="B2753" s="33" t="s">
        <v>3670</v>
      </c>
      <c r="C2753" s="33" t="s">
        <v>3671</v>
      </c>
      <c r="D2753" s="35">
        <f>SUMIFS(D2754:D9015,K2754:K9015,"0",B2754:B9015,"5 1 1 1 3 12 31111 6 M59 95000 000139 0000L*")-SUMIFS(E2754:E9015,K2754:K9015,"0",B2754:B9015,"5 1 1 1 3 12 31111 6 M59 95000 000139 0000L*")</f>
        <v>0</v>
      </c>
      <c r="E2753"/>
      <c r="F2753" s="35">
        <f>SUMIFS(F2754:F9015,K2754:K9015,"0",B2754:B9015,"5 1 1 1 3 12 31111 6 M59 95000 000139 0000L*")</f>
        <v>394553.85</v>
      </c>
      <c r="G2753" s="35">
        <f>SUMIFS(G2754:G9015,K2754:K9015,"0",B2754:B9015,"5 1 1 1 3 12 31111 6 M59 95000 000139 0000L*")</f>
        <v>0</v>
      </c>
      <c r="H2753" s="35">
        <f t="shared" si="43"/>
        <v>394553.85</v>
      </c>
      <c r="I2753" s="35"/>
      <c r="K2753" t="s">
        <v>15</v>
      </c>
    </row>
    <row r="2754" spans="2:11" ht="24.75" x14ac:dyDescent="0.2">
      <c r="B2754" s="33" t="s">
        <v>3672</v>
      </c>
      <c r="C2754" s="33" t="s">
        <v>282</v>
      </c>
      <c r="D2754" s="35">
        <f>SUMIFS(D2755:D9015,K2755:K9015,"0",B2755:B9015,"5 1 1 1 3 12 31111 6 M59 95000 000139 0000L 00001*")-SUMIFS(E2755:E9015,K2755:K9015,"0",B2755:B9015,"5 1 1 1 3 12 31111 6 M59 95000 000139 0000L 00001*")</f>
        <v>0</v>
      </c>
      <c r="E2754"/>
      <c r="F2754" s="35">
        <f>SUMIFS(F2755:F9015,K2755:K9015,"0",B2755:B9015,"5 1 1 1 3 12 31111 6 M59 95000 000139 0000L 00001*")</f>
        <v>394553.85</v>
      </c>
      <c r="G2754" s="35">
        <f>SUMIFS(G2755:G9015,K2755:K9015,"0",B2755:B9015,"5 1 1 1 3 12 31111 6 M59 95000 000139 0000L 00001*")</f>
        <v>0</v>
      </c>
      <c r="H2754" s="35">
        <f t="shared" si="43"/>
        <v>394553.85</v>
      </c>
      <c r="I2754" s="35"/>
      <c r="K2754" t="s">
        <v>15</v>
      </c>
    </row>
    <row r="2755" spans="2:11" ht="24.75" x14ac:dyDescent="0.2">
      <c r="B2755" s="33" t="s">
        <v>3673</v>
      </c>
      <c r="C2755" s="33" t="s">
        <v>2924</v>
      </c>
      <c r="D2755" s="35">
        <f>SUMIFS(D2756:D9015,K2756:K9015,"0",B2756:B9015,"5 1 1 1 3 12 31111 6 M59 95000 000139 0000L 00001 00113*")-SUMIFS(E2756:E9015,K2756:K9015,"0",B2756:B9015,"5 1 1 1 3 12 31111 6 M59 95000 000139 0000L 00001 00113*")</f>
        <v>0</v>
      </c>
      <c r="E2755"/>
      <c r="F2755" s="35">
        <f>SUMIFS(F2756:F9015,K2756:K9015,"0",B2756:B9015,"5 1 1 1 3 12 31111 6 M59 95000 000139 0000L 00001 00113*")</f>
        <v>394553.85</v>
      </c>
      <c r="G2755" s="35">
        <f>SUMIFS(G2756:G9015,K2756:K9015,"0",B2756:B9015,"5 1 1 1 3 12 31111 6 M59 95000 000139 0000L 00001 00113*")</f>
        <v>0</v>
      </c>
      <c r="H2755" s="35">
        <f t="shared" si="43"/>
        <v>394553.85</v>
      </c>
      <c r="I2755" s="35"/>
      <c r="K2755" t="s">
        <v>15</v>
      </c>
    </row>
    <row r="2756" spans="2:11" ht="24.75" x14ac:dyDescent="0.2">
      <c r="B2756" s="33" t="s">
        <v>3674</v>
      </c>
      <c r="C2756" s="33" t="s">
        <v>1051</v>
      </c>
      <c r="D2756" s="35">
        <f>SUMIFS(D2757:D9015,K2757:K9015,"0",B2757:B9015,"5 1 1 1 3 12 31111 6 M59 95000 000139 0000L 00001 00113 015*")-SUMIFS(E2757:E9015,K2757:K9015,"0",B2757:B9015,"5 1 1 1 3 12 31111 6 M59 95000 000139 0000L 00001 00113 015*")</f>
        <v>0</v>
      </c>
      <c r="E2756"/>
      <c r="F2756" s="35">
        <f>SUMIFS(F2757:F9015,K2757:K9015,"0",B2757:B9015,"5 1 1 1 3 12 31111 6 M59 95000 000139 0000L 00001 00113 015*")</f>
        <v>394553.85</v>
      </c>
      <c r="G2756" s="35">
        <f>SUMIFS(G2757:G9015,K2757:K9015,"0",B2757:B9015,"5 1 1 1 3 12 31111 6 M59 95000 000139 0000L 00001 00113 015*")</f>
        <v>0</v>
      </c>
      <c r="H2756" s="35">
        <f t="shared" ref="H2756:H2819" si="44">D2756 + F2756 - G2756</f>
        <v>394553.85</v>
      </c>
      <c r="I2756" s="35"/>
      <c r="K2756" t="s">
        <v>15</v>
      </c>
    </row>
    <row r="2757" spans="2:11" ht="33" x14ac:dyDescent="0.2">
      <c r="B2757" s="33" t="s">
        <v>3675</v>
      </c>
      <c r="C2757" s="33" t="s">
        <v>2927</v>
      </c>
      <c r="D2757" s="35">
        <f>SUMIFS(D2758:D9015,K2758:K9015,"0",B2758:B9015,"5 1 1 1 3 12 31111 6 M59 95000 000139 0000L 00001 00113 015 2111100*")-SUMIFS(E2758:E9015,K2758:K9015,"0",B2758:B9015,"5 1 1 1 3 12 31111 6 M59 95000 000139 0000L 00001 00113 015 2111100*")</f>
        <v>0</v>
      </c>
      <c r="E2757"/>
      <c r="F2757" s="35">
        <f>SUMIFS(F2758:F9015,K2758:K9015,"0",B2758:B9015,"5 1 1 1 3 12 31111 6 M59 95000 000139 0000L 00001 00113 015 2111100*")</f>
        <v>394553.85</v>
      </c>
      <c r="G2757" s="35">
        <f>SUMIFS(G2758:G9015,K2758:K9015,"0",B2758:B9015,"5 1 1 1 3 12 31111 6 M59 95000 000139 0000L 00001 00113 015 2111100*")</f>
        <v>0</v>
      </c>
      <c r="H2757" s="35">
        <f t="shared" si="44"/>
        <v>394553.85</v>
      </c>
      <c r="I2757" s="35"/>
      <c r="K2757" t="s">
        <v>15</v>
      </c>
    </row>
    <row r="2758" spans="2:11" ht="33" x14ac:dyDescent="0.2">
      <c r="B2758" s="33" t="s">
        <v>3676</v>
      </c>
      <c r="C2758" s="33" t="s">
        <v>660</v>
      </c>
      <c r="D2758" s="35">
        <f>SUMIFS(D2759:D9015,K2759:K9015,"0",B2759:B9015,"5 1 1 1 3 12 31111 6 M59 95000 000139 0000L 00001 00113 015 2111100 2024*")-SUMIFS(E2759:E9015,K2759:K9015,"0",B2759:B9015,"5 1 1 1 3 12 31111 6 M59 95000 000139 0000L 00001 00113 015 2111100 2024*")</f>
        <v>0</v>
      </c>
      <c r="E2758"/>
      <c r="F2758" s="35">
        <f>SUMIFS(F2759:F9015,K2759:K9015,"0",B2759:B9015,"5 1 1 1 3 12 31111 6 M59 95000 000139 0000L 00001 00113 015 2111100 2024*")</f>
        <v>394553.85</v>
      </c>
      <c r="G2758" s="35">
        <f>SUMIFS(G2759:G9015,K2759:K9015,"0",B2759:B9015,"5 1 1 1 3 12 31111 6 M59 95000 000139 0000L 00001 00113 015 2111100 2024*")</f>
        <v>0</v>
      </c>
      <c r="H2758" s="35">
        <f t="shared" si="44"/>
        <v>394553.85</v>
      </c>
      <c r="I2758" s="35"/>
      <c r="K2758" t="s">
        <v>15</v>
      </c>
    </row>
    <row r="2759" spans="2:11" ht="41.25" x14ac:dyDescent="0.2">
      <c r="B2759" s="33" t="s">
        <v>3677</v>
      </c>
      <c r="C2759" s="33" t="s">
        <v>1056</v>
      </c>
      <c r="D2759" s="35">
        <f>SUMIFS(D2760:D9015,K2760:K9015,"0",B2760:B9015,"5 1 1 1 3 12 31111 6 M59 95000 000139 0000L 00001 00113 015 2111100 2024 CP1AJ437*")-SUMIFS(E2760:E9015,K2760:K9015,"0",B2760:B9015,"5 1 1 1 3 12 31111 6 M59 95000 000139 0000L 00001 00113 015 2111100 2024 CP1AJ437*")</f>
        <v>0</v>
      </c>
      <c r="E2759"/>
      <c r="F2759" s="35">
        <f>SUMIFS(F2760:F9015,K2760:K9015,"0",B2760:B9015,"5 1 1 1 3 12 31111 6 M59 95000 000139 0000L 00001 00113 015 2111100 2024 CP1AJ437*")</f>
        <v>394553.85</v>
      </c>
      <c r="G2759" s="35">
        <f>SUMIFS(G2760:G9015,K2760:K9015,"0",B2760:B9015,"5 1 1 1 3 12 31111 6 M59 95000 000139 0000L 00001 00113 015 2111100 2024 CP1AJ437*")</f>
        <v>0</v>
      </c>
      <c r="H2759" s="35">
        <f t="shared" si="44"/>
        <v>394553.85</v>
      </c>
      <c r="I2759" s="35"/>
      <c r="K2759" t="s">
        <v>15</v>
      </c>
    </row>
    <row r="2760" spans="2:11" ht="41.25" x14ac:dyDescent="0.2">
      <c r="B2760" s="33" t="s">
        <v>3678</v>
      </c>
      <c r="C2760" s="33" t="s">
        <v>282</v>
      </c>
      <c r="D2760" s="35">
        <f>SUMIFS(D2761:D9015,K2761:K9015,"0",B2761:B9015,"5 1 1 1 3 12 31111 6 M59 95000 000139 0000L 00001 00113 015 2111100 2024 CP1AJ437 001*")-SUMIFS(E2761:E9015,K2761:K9015,"0",B2761:B9015,"5 1 1 1 3 12 31111 6 M59 95000 000139 0000L 00001 00113 015 2111100 2024 CP1AJ437 001*")</f>
        <v>0</v>
      </c>
      <c r="E2760"/>
      <c r="F2760" s="35">
        <f>SUMIFS(F2761:F9015,K2761:K9015,"0",B2761:B9015,"5 1 1 1 3 12 31111 6 M59 95000 000139 0000L 00001 00113 015 2111100 2024 CP1AJ437 001*")</f>
        <v>394553.85</v>
      </c>
      <c r="G2760" s="35">
        <f>SUMIFS(G2761:G9015,K2761:K9015,"0",B2761:B9015,"5 1 1 1 3 12 31111 6 M59 95000 000139 0000L 00001 00113 015 2111100 2024 CP1AJ437 001*")</f>
        <v>0</v>
      </c>
      <c r="H2760" s="35">
        <f t="shared" si="44"/>
        <v>394553.85</v>
      </c>
      <c r="I2760" s="35"/>
      <c r="K2760" t="s">
        <v>15</v>
      </c>
    </row>
    <row r="2761" spans="2:11" ht="33" x14ac:dyDescent="0.2">
      <c r="B2761" s="31" t="s">
        <v>3679</v>
      </c>
      <c r="C2761" s="31" t="s">
        <v>2932</v>
      </c>
      <c r="D2761" s="34">
        <v>0</v>
      </c>
      <c r="E2761" s="34"/>
      <c r="F2761" s="34">
        <v>394553.85</v>
      </c>
      <c r="G2761" s="34">
        <v>0</v>
      </c>
      <c r="H2761" s="34">
        <f t="shared" si="44"/>
        <v>394553.85</v>
      </c>
      <c r="I2761" s="34"/>
      <c r="K2761" t="s">
        <v>38</v>
      </c>
    </row>
    <row r="2762" spans="2:11" ht="16.5" x14ac:dyDescent="0.2">
      <c r="B2762" s="33" t="s">
        <v>3680</v>
      </c>
      <c r="C2762" s="33" t="s">
        <v>3681</v>
      </c>
      <c r="D2762" s="35">
        <f>SUMIFS(D2763:D9015,K2763:K9015,"0",B2763:B9015,"5 1 1 1 3 12 31111 6 M59 96000*")-SUMIFS(E2763:E9015,K2763:K9015,"0",B2763:B9015,"5 1 1 1 3 12 31111 6 M59 96000*")</f>
        <v>0</v>
      </c>
      <c r="E2762"/>
      <c r="F2762" s="35">
        <f>SUMIFS(F2763:F9015,K2763:K9015,"0",B2763:B9015,"5 1 1 1 3 12 31111 6 M59 96000*")</f>
        <v>240202.09</v>
      </c>
      <c r="G2762" s="35">
        <f>SUMIFS(G2763:G9015,K2763:K9015,"0",B2763:B9015,"5 1 1 1 3 12 31111 6 M59 96000*")</f>
        <v>0</v>
      </c>
      <c r="H2762" s="35">
        <f t="shared" si="44"/>
        <v>240202.09</v>
      </c>
      <c r="I2762" s="35"/>
      <c r="K2762" t="s">
        <v>15</v>
      </c>
    </row>
    <row r="2763" spans="2:11" ht="16.5" x14ac:dyDescent="0.2">
      <c r="B2763" s="33" t="s">
        <v>3682</v>
      </c>
      <c r="C2763" s="33" t="s">
        <v>648</v>
      </c>
      <c r="D2763" s="35">
        <f>SUMIFS(D2764:D9015,K2764:K9015,"0",B2764:B9015,"5 1 1 1 3 12 31111 6 M59 96000 000132*")-SUMIFS(E2764:E9015,K2764:K9015,"0",B2764:B9015,"5 1 1 1 3 12 31111 6 M59 96000 000132*")</f>
        <v>0</v>
      </c>
      <c r="E2763"/>
      <c r="F2763" s="35">
        <f>SUMIFS(F2764:F9015,K2764:K9015,"0",B2764:B9015,"5 1 1 1 3 12 31111 6 M59 96000 000132*")</f>
        <v>240202.09</v>
      </c>
      <c r="G2763" s="35">
        <f>SUMIFS(G2764:G9015,K2764:K9015,"0",B2764:B9015,"5 1 1 1 3 12 31111 6 M59 96000 000132*")</f>
        <v>0</v>
      </c>
      <c r="H2763" s="35">
        <f t="shared" si="44"/>
        <v>240202.09</v>
      </c>
      <c r="I2763" s="35"/>
      <c r="K2763" t="s">
        <v>15</v>
      </c>
    </row>
    <row r="2764" spans="2:11" ht="16.5" x14ac:dyDescent="0.2">
      <c r="B2764" s="33" t="s">
        <v>3683</v>
      </c>
      <c r="C2764" s="33" t="s">
        <v>650</v>
      </c>
      <c r="D2764" s="35">
        <f>SUMIFS(D2765:D9015,K2765:K9015,"0",B2765:B9015,"5 1 1 1 3 12 31111 6 M59 96000 000132 0000R*")-SUMIFS(E2765:E9015,K2765:K9015,"0",B2765:B9015,"5 1 1 1 3 12 31111 6 M59 96000 000132 0000R*")</f>
        <v>0</v>
      </c>
      <c r="E2764"/>
      <c r="F2764" s="35">
        <f>SUMIFS(F2765:F9015,K2765:K9015,"0",B2765:B9015,"5 1 1 1 3 12 31111 6 M59 96000 000132 0000R*")</f>
        <v>240202.09</v>
      </c>
      <c r="G2764" s="35">
        <f>SUMIFS(G2765:G9015,K2765:K9015,"0",B2765:B9015,"5 1 1 1 3 12 31111 6 M59 96000 000132 0000R*")</f>
        <v>0</v>
      </c>
      <c r="H2764" s="35">
        <f t="shared" si="44"/>
        <v>240202.09</v>
      </c>
      <c r="I2764" s="35"/>
      <c r="K2764" t="s">
        <v>15</v>
      </c>
    </row>
    <row r="2765" spans="2:11" ht="24.75" x14ac:dyDescent="0.2">
      <c r="B2765" s="33" t="s">
        <v>3684</v>
      </c>
      <c r="C2765" s="33" t="s">
        <v>282</v>
      </c>
      <c r="D2765" s="35">
        <f>SUMIFS(D2766:D9015,K2766:K9015,"0",B2766:B9015,"5 1 1 1 3 12 31111 6 M59 96000 000132 0000R 00001*")-SUMIFS(E2766:E9015,K2766:K9015,"0",B2766:B9015,"5 1 1 1 3 12 31111 6 M59 96000 000132 0000R 00001*")</f>
        <v>0</v>
      </c>
      <c r="E2765"/>
      <c r="F2765" s="35">
        <f>SUMIFS(F2766:F9015,K2766:K9015,"0",B2766:B9015,"5 1 1 1 3 12 31111 6 M59 96000 000132 0000R 00001*")</f>
        <v>240202.09</v>
      </c>
      <c r="G2765" s="35">
        <f>SUMIFS(G2766:G9015,K2766:K9015,"0",B2766:B9015,"5 1 1 1 3 12 31111 6 M59 96000 000132 0000R 00001*")</f>
        <v>0</v>
      </c>
      <c r="H2765" s="35">
        <f t="shared" si="44"/>
        <v>240202.09</v>
      </c>
      <c r="I2765" s="35"/>
      <c r="K2765" t="s">
        <v>15</v>
      </c>
    </row>
    <row r="2766" spans="2:11" ht="24.75" x14ac:dyDescent="0.2">
      <c r="B2766" s="33" t="s">
        <v>3685</v>
      </c>
      <c r="C2766" s="33" t="s">
        <v>2924</v>
      </c>
      <c r="D2766" s="35">
        <f>SUMIFS(D2767:D9015,K2767:K9015,"0",B2767:B9015,"5 1 1 1 3 12 31111 6 M59 96000 000132 0000R 00001 00113*")-SUMIFS(E2767:E9015,K2767:K9015,"0",B2767:B9015,"5 1 1 1 3 12 31111 6 M59 96000 000132 0000R 00001 00113*")</f>
        <v>0</v>
      </c>
      <c r="E2766"/>
      <c r="F2766" s="35">
        <f>SUMIFS(F2767:F9015,K2767:K9015,"0",B2767:B9015,"5 1 1 1 3 12 31111 6 M59 96000 000132 0000R 00001 00113*")</f>
        <v>240202.09</v>
      </c>
      <c r="G2766" s="35">
        <f>SUMIFS(G2767:G9015,K2767:K9015,"0",B2767:B9015,"5 1 1 1 3 12 31111 6 M59 96000 000132 0000R 00001 00113*")</f>
        <v>0</v>
      </c>
      <c r="H2766" s="35">
        <f t="shared" si="44"/>
        <v>240202.09</v>
      </c>
      <c r="I2766" s="35"/>
      <c r="K2766" t="s">
        <v>15</v>
      </c>
    </row>
    <row r="2767" spans="2:11" ht="24.75" x14ac:dyDescent="0.2">
      <c r="B2767" s="33" t="s">
        <v>3686</v>
      </c>
      <c r="C2767" s="33" t="s">
        <v>1051</v>
      </c>
      <c r="D2767" s="35">
        <f>SUMIFS(D2768:D9015,K2768:K9015,"0",B2768:B9015,"5 1 1 1 3 12 31111 6 M59 96000 000132 0000R 00001 00113 015*")-SUMIFS(E2768:E9015,K2768:K9015,"0",B2768:B9015,"5 1 1 1 3 12 31111 6 M59 96000 000132 0000R 00001 00113 015*")</f>
        <v>0</v>
      </c>
      <c r="E2767"/>
      <c r="F2767" s="35">
        <f>SUMIFS(F2768:F9015,K2768:K9015,"0",B2768:B9015,"5 1 1 1 3 12 31111 6 M59 96000 000132 0000R 00001 00113 015*")</f>
        <v>240202.09</v>
      </c>
      <c r="G2767" s="35">
        <f>SUMIFS(G2768:G9015,K2768:K9015,"0",B2768:B9015,"5 1 1 1 3 12 31111 6 M59 96000 000132 0000R 00001 00113 015*")</f>
        <v>0</v>
      </c>
      <c r="H2767" s="35">
        <f t="shared" si="44"/>
        <v>240202.09</v>
      </c>
      <c r="I2767" s="35"/>
      <c r="K2767" t="s">
        <v>15</v>
      </c>
    </row>
    <row r="2768" spans="2:11" ht="33" x14ac:dyDescent="0.2">
      <c r="B2768" s="33" t="s">
        <v>3687</v>
      </c>
      <c r="C2768" s="33" t="s">
        <v>2927</v>
      </c>
      <c r="D2768" s="35">
        <f>SUMIFS(D2769:D9015,K2769:K9015,"0",B2769:B9015,"5 1 1 1 3 12 31111 6 M59 96000 000132 0000R 00001 00113 015 2111100*")-SUMIFS(E2769:E9015,K2769:K9015,"0",B2769:B9015,"5 1 1 1 3 12 31111 6 M59 96000 000132 0000R 00001 00113 015 2111100*")</f>
        <v>0</v>
      </c>
      <c r="E2768"/>
      <c r="F2768" s="35">
        <f>SUMIFS(F2769:F9015,K2769:K9015,"0",B2769:B9015,"5 1 1 1 3 12 31111 6 M59 96000 000132 0000R 00001 00113 015 2111100*")</f>
        <v>240202.09</v>
      </c>
      <c r="G2768" s="35">
        <f>SUMIFS(G2769:G9015,K2769:K9015,"0",B2769:B9015,"5 1 1 1 3 12 31111 6 M59 96000 000132 0000R 00001 00113 015 2111100*")</f>
        <v>0</v>
      </c>
      <c r="H2768" s="35">
        <f t="shared" si="44"/>
        <v>240202.09</v>
      </c>
      <c r="I2768" s="35"/>
      <c r="K2768" t="s">
        <v>15</v>
      </c>
    </row>
    <row r="2769" spans="2:11" ht="33" x14ac:dyDescent="0.2">
      <c r="B2769" s="33" t="s">
        <v>3688</v>
      </c>
      <c r="C2769" s="33" t="s">
        <v>660</v>
      </c>
      <c r="D2769" s="35">
        <f>SUMIFS(D2770:D9015,K2770:K9015,"0",B2770:B9015,"5 1 1 1 3 12 31111 6 M59 96000 000132 0000R 00001 00113 015 2111100 2024*")-SUMIFS(E2770:E9015,K2770:K9015,"0",B2770:B9015,"5 1 1 1 3 12 31111 6 M59 96000 000132 0000R 00001 00113 015 2111100 2024*")</f>
        <v>0</v>
      </c>
      <c r="E2769"/>
      <c r="F2769" s="35">
        <f>SUMIFS(F2770:F9015,K2770:K9015,"0",B2770:B9015,"5 1 1 1 3 12 31111 6 M59 96000 000132 0000R 00001 00113 015 2111100 2024*")</f>
        <v>240202.09</v>
      </c>
      <c r="G2769" s="35">
        <f>SUMIFS(G2770:G9015,K2770:K9015,"0",B2770:B9015,"5 1 1 1 3 12 31111 6 M59 96000 000132 0000R 00001 00113 015 2111100 2024*")</f>
        <v>0</v>
      </c>
      <c r="H2769" s="35">
        <f t="shared" si="44"/>
        <v>240202.09</v>
      </c>
      <c r="I2769" s="35"/>
      <c r="K2769" t="s">
        <v>15</v>
      </c>
    </row>
    <row r="2770" spans="2:11" ht="41.25" x14ac:dyDescent="0.2">
      <c r="B2770" s="33" t="s">
        <v>3689</v>
      </c>
      <c r="C2770" s="33" t="s">
        <v>662</v>
      </c>
      <c r="D2770" s="35">
        <f>SUMIFS(D2771:D9015,K2771:K9015,"0",B2771:B9015,"5 1 1 1 3 12 31111 6 M59 96000 000132 0000R 00001 00113 015 2111100 2024 CP1PA379*")-SUMIFS(E2771:E9015,K2771:K9015,"0",B2771:B9015,"5 1 1 1 3 12 31111 6 M59 96000 000132 0000R 00001 00113 015 2111100 2024 CP1PA379*")</f>
        <v>0</v>
      </c>
      <c r="E2770"/>
      <c r="F2770" s="35">
        <f>SUMIFS(F2771:F9015,K2771:K9015,"0",B2771:B9015,"5 1 1 1 3 12 31111 6 M59 96000 000132 0000R 00001 00113 015 2111100 2024 CP1PA379*")</f>
        <v>240202.09</v>
      </c>
      <c r="G2770" s="35">
        <f>SUMIFS(G2771:G9015,K2771:K9015,"0",B2771:B9015,"5 1 1 1 3 12 31111 6 M59 96000 000132 0000R 00001 00113 015 2111100 2024 CP1PA379*")</f>
        <v>0</v>
      </c>
      <c r="H2770" s="35">
        <f t="shared" si="44"/>
        <v>240202.09</v>
      </c>
      <c r="I2770" s="35"/>
      <c r="K2770" t="s">
        <v>15</v>
      </c>
    </row>
    <row r="2771" spans="2:11" ht="41.25" x14ac:dyDescent="0.2">
      <c r="B2771" s="33" t="s">
        <v>3690</v>
      </c>
      <c r="C2771" s="33" t="s">
        <v>282</v>
      </c>
      <c r="D2771" s="35">
        <f>SUMIFS(D2772:D9015,K2772:K9015,"0",B2772:B9015,"5 1 1 1 3 12 31111 6 M59 96000 000132 0000R 00001 00113 015 2111100 2024 CP1PA379 001*")-SUMIFS(E2772:E9015,K2772:K9015,"0",B2772:B9015,"5 1 1 1 3 12 31111 6 M59 96000 000132 0000R 00001 00113 015 2111100 2024 CP1PA379 001*")</f>
        <v>0</v>
      </c>
      <c r="E2771"/>
      <c r="F2771" s="35">
        <f>SUMIFS(F2772:F9015,K2772:K9015,"0",B2772:B9015,"5 1 1 1 3 12 31111 6 M59 96000 000132 0000R 00001 00113 015 2111100 2024 CP1PA379 001*")</f>
        <v>240202.09</v>
      </c>
      <c r="G2771" s="35">
        <f>SUMIFS(G2772:G9015,K2772:K9015,"0",B2772:B9015,"5 1 1 1 3 12 31111 6 M59 96000 000132 0000R 00001 00113 015 2111100 2024 CP1PA379 001*")</f>
        <v>0</v>
      </c>
      <c r="H2771" s="35">
        <f t="shared" si="44"/>
        <v>240202.09</v>
      </c>
      <c r="I2771" s="35"/>
      <c r="K2771" t="s">
        <v>15</v>
      </c>
    </row>
    <row r="2772" spans="2:11" ht="41.25" x14ac:dyDescent="0.2">
      <c r="B2772" s="31" t="s">
        <v>3691</v>
      </c>
      <c r="C2772" s="31" t="s">
        <v>2932</v>
      </c>
      <c r="D2772" s="34">
        <v>0</v>
      </c>
      <c r="E2772" s="34"/>
      <c r="F2772" s="34">
        <v>240202.09</v>
      </c>
      <c r="G2772" s="34">
        <v>0</v>
      </c>
      <c r="H2772" s="34">
        <f t="shared" si="44"/>
        <v>240202.09</v>
      </c>
      <c r="I2772" s="34"/>
      <c r="K2772" t="s">
        <v>38</v>
      </c>
    </row>
    <row r="2773" spans="2:11" ht="16.5" x14ac:dyDescent="0.2">
      <c r="B2773" s="33" t="s">
        <v>3692</v>
      </c>
      <c r="C2773" s="33" t="s">
        <v>3693</v>
      </c>
      <c r="D2773" s="35">
        <f>SUMIFS(D2774:D9015,K2774:K9015,"0",B2774:B9015,"5 1 1 1 3 12 31111 6 M59 96100*")-SUMIFS(E2774:E9015,K2774:K9015,"0",B2774:B9015,"5 1 1 1 3 12 31111 6 M59 96100*")</f>
        <v>0</v>
      </c>
      <c r="E2773"/>
      <c r="F2773" s="35">
        <f>SUMIFS(F2774:F9015,K2774:K9015,"0",B2774:B9015,"5 1 1 1 3 12 31111 6 M59 96100*")</f>
        <v>1271694.71</v>
      </c>
      <c r="G2773" s="35">
        <f>SUMIFS(G2774:G9015,K2774:K9015,"0",B2774:B9015,"5 1 1 1 3 12 31111 6 M59 96100*")</f>
        <v>0</v>
      </c>
      <c r="H2773" s="35">
        <f t="shared" si="44"/>
        <v>1271694.71</v>
      </c>
      <c r="I2773" s="35"/>
      <c r="K2773" t="s">
        <v>15</v>
      </c>
    </row>
    <row r="2774" spans="2:11" ht="16.5" x14ac:dyDescent="0.2">
      <c r="B2774" s="33" t="s">
        <v>3694</v>
      </c>
      <c r="C2774" s="33" t="s">
        <v>1310</v>
      </c>
      <c r="D2774" s="35">
        <f>SUMIFS(D2775:D9015,K2775:K9015,"0",B2775:B9015,"5 1 1 1 3 12 31111 6 M59 96100 000211*")-SUMIFS(E2775:E9015,K2775:K9015,"0",B2775:B9015,"5 1 1 1 3 12 31111 6 M59 96100 000211*")</f>
        <v>0</v>
      </c>
      <c r="E2774"/>
      <c r="F2774" s="35">
        <f>SUMIFS(F2775:F9015,K2775:K9015,"0",B2775:B9015,"5 1 1 1 3 12 31111 6 M59 96100 000211*")</f>
        <v>1271694.71</v>
      </c>
      <c r="G2774" s="35">
        <f>SUMIFS(G2775:G9015,K2775:K9015,"0",B2775:B9015,"5 1 1 1 3 12 31111 6 M59 96100 000211*")</f>
        <v>0</v>
      </c>
      <c r="H2774" s="35">
        <f t="shared" si="44"/>
        <v>1271694.71</v>
      </c>
      <c r="I2774" s="35"/>
      <c r="K2774" t="s">
        <v>15</v>
      </c>
    </row>
    <row r="2775" spans="2:11" ht="16.5" x14ac:dyDescent="0.2">
      <c r="B2775" s="33" t="s">
        <v>3695</v>
      </c>
      <c r="C2775" s="33" t="s">
        <v>3696</v>
      </c>
      <c r="D2775" s="35">
        <f>SUMIFS(D2776:D9015,K2776:K9015,"0",B2776:B9015,"5 1 1 1 3 12 31111 6 M59 96100 000211 0000U*")-SUMIFS(E2776:E9015,K2776:K9015,"0",B2776:B9015,"5 1 1 1 3 12 31111 6 M59 96100 000211 0000U*")</f>
        <v>0</v>
      </c>
      <c r="E2775"/>
      <c r="F2775" s="35">
        <f>SUMIFS(F2776:F9015,K2776:K9015,"0",B2776:B9015,"5 1 1 1 3 12 31111 6 M59 96100 000211 0000U*")</f>
        <v>1271694.71</v>
      </c>
      <c r="G2775" s="35">
        <f>SUMIFS(G2776:G9015,K2776:K9015,"0",B2776:B9015,"5 1 1 1 3 12 31111 6 M59 96100 000211 0000U*")</f>
        <v>0</v>
      </c>
      <c r="H2775" s="35">
        <f t="shared" si="44"/>
        <v>1271694.71</v>
      </c>
      <c r="I2775" s="35"/>
      <c r="K2775" t="s">
        <v>15</v>
      </c>
    </row>
    <row r="2776" spans="2:11" ht="24.75" x14ac:dyDescent="0.2">
      <c r="B2776" s="33" t="s">
        <v>3697</v>
      </c>
      <c r="C2776" s="33" t="s">
        <v>282</v>
      </c>
      <c r="D2776" s="35">
        <f>SUMIFS(D2777:D9015,K2777:K9015,"0",B2777:B9015,"5 1 1 1 3 12 31111 6 M59 96100 000211 0000U 00001*")-SUMIFS(E2777:E9015,K2777:K9015,"0",B2777:B9015,"5 1 1 1 3 12 31111 6 M59 96100 000211 0000U 00001*")</f>
        <v>0</v>
      </c>
      <c r="E2776"/>
      <c r="F2776" s="35">
        <f>SUMIFS(F2777:F9015,K2777:K9015,"0",B2777:B9015,"5 1 1 1 3 12 31111 6 M59 96100 000211 0000U 00001*")</f>
        <v>1271694.71</v>
      </c>
      <c r="G2776" s="35">
        <f>SUMIFS(G2777:G9015,K2777:K9015,"0",B2777:B9015,"5 1 1 1 3 12 31111 6 M59 96100 000211 0000U 00001*")</f>
        <v>0</v>
      </c>
      <c r="H2776" s="35">
        <f t="shared" si="44"/>
        <v>1271694.71</v>
      </c>
      <c r="I2776" s="35"/>
      <c r="K2776" t="s">
        <v>15</v>
      </c>
    </row>
    <row r="2777" spans="2:11" ht="24.75" x14ac:dyDescent="0.2">
      <c r="B2777" s="33" t="s">
        <v>3698</v>
      </c>
      <c r="C2777" s="33" t="s">
        <v>2924</v>
      </c>
      <c r="D2777" s="35">
        <f>SUMIFS(D2778:D9015,K2778:K9015,"0",B2778:B9015,"5 1 1 1 3 12 31111 6 M59 96100 000211 0000U 00001 00113*")-SUMIFS(E2778:E9015,K2778:K9015,"0",B2778:B9015,"5 1 1 1 3 12 31111 6 M59 96100 000211 0000U 00001 00113*")</f>
        <v>0</v>
      </c>
      <c r="E2777"/>
      <c r="F2777" s="35">
        <f>SUMIFS(F2778:F9015,K2778:K9015,"0",B2778:B9015,"5 1 1 1 3 12 31111 6 M59 96100 000211 0000U 00001 00113*")</f>
        <v>1271694.71</v>
      </c>
      <c r="G2777" s="35">
        <f>SUMIFS(G2778:G9015,K2778:K9015,"0",B2778:B9015,"5 1 1 1 3 12 31111 6 M59 96100 000211 0000U 00001 00113*")</f>
        <v>0</v>
      </c>
      <c r="H2777" s="35">
        <f t="shared" si="44"/>
        <v>1271694.71</v>
      </c>
      <c r="I2777" s="35"/>
      <c r="K2777" t="s">
        <v>15</v>
      </c>
    </row>
    <row r="2778" spans="2:11" ht="24.75" x14ac:dyDescent="0.2">
      <c r="B2778" s="33" t="s">
        <v>3699</v>
      </c>
      <c r="C2778" s="33" t="s">
        <v>1051</v>
      </c>
      <c r="D2778" s="35">
        <f>SUMIFS(D2779:D9015,K2779:K9015,"0",B2779:B9015,"5 1 1 1 3 12 31111 6 M59 96100 000211 0000U 00001 00113 015*")-SUMIFS(E2779:E9015,K2779:K9015,"0",B2779:B9015,"5 1 1 1 3 12 31111 6 M59 96100 000211 0000U 00001 00113 015*")</f>
        <v>0</v>
      </c>
      <c r="E2778"/>
      <c r="F2778" s="35">
        <f>SUMIFS(F2779:F9015,K2779:K9015,"0",B2779:B9015,"5 1 1 1 3 12 31111 6 M59 96100 000211 0000U 00001 00113 015*")</f>
        <v>1271694.71</v>
      </c>
      <c r="G2778" s="35">
        <f>SUMIFS(G2779:G9015,K2779:K9015,"0",B2779:B9015,"5 1 1 1 3 12 31111 6 M59 96100 000211 0000U 00001 00113 015*")</f>
        <v>0</v>
      </c>
      <c r="H2778" s="35">
        <f t="shared" si="44"/>
        <v>1271694.71</v>
      </c>
      <c r="I2778" s="35"/>
      <c r="K2778" t="s">
        <v>15</v>
      </c>
    </row>
    <row r="2779" spans="2:11" ht="33" x14ac:dyDescent="0.2">
      <c r="B2779" s="33" t="s">
        <v>3700</v>
      </c>
      <c r="C2779" s="33" t="s">
        <v>2927</v>
      </c>
      <c r="D2779" s="35">
        <f>SUMIFS(D2780:D9015,K2780:K9015,"0",B2780:B9015,"5 1 1 1 3 12 31111 6 M59 96100 000211 0000U 00001 00113 015 2111100*")-SUMIFS(E2780:E9015,K2780:K9015,"0",B2780:B9015,"5 1 1 1 3 12 31111 6 M59 96100 000211 0000U 00001 00113 015 2111100*")</f>
        <v>0</v>
      </c>
      <c r="E2779"/>
      <c r="F2779" s="35">
        <f>SUMIFS(F2780:F9015,K2780:K9015,"0",B2780:B9015,"5 1 1 1 3 12 31111 6 M59 96100 000211 0000U 00001 00113 015 2111100*")</f>
        <v>1271694.71</v>
      </c>
      <c r="G2779" s="35">
        <f>SUMIFS(G2780:G9015,K2780:K9015,"0",B2780:B9015,"5 1 1 1 3 12 31111 6 M59 96100 000211 0000U 00001 00113 015 2111100*")</f>
        <v>0</v>
      </c>
      <c r="H2779" s="35">
        <f t="shared" si="44"/>
        <v>1271694.71</v>
      </c>
      <c r="I2779" s="35"/>
      <c r="K2779" t="s">
        <v>15</v>
      </c>
    </row>
    <row r="2780" spans="2:11" ht="33" x14ac:dyDescent="0.2">
      <c r="B2780" s="33" t="s">
        <v>3701</v>
      </c>
      <c r="C2780" s="33" t="s">
        <v>660</v>
      </c>
      <c r="D2780" s="35">
        <f>SUMIFS(D2781:D9015,K2781:K9015,"0",B2781:B9015,"5 1 1 1 3 12 31111 6 M59 96100 000211 0000U 00001 00113 015 2111100 2024*")-SUMIFS(E2781:E9015,K2781:K9015,"0",B2781:B9015,"5 1 1 1 3 12 31111 6 M59 96100 000211 0000U 00001 00113 015 2111100 2024*")</f>
        <v>0</v>
      </c>
      <c r="E2780"/>
      <c r="F2780" s="35">
        <f>SUMIFS(F2781:F9015,K2781:K9015,"0",B2781:B9015,"5 1 1 1 3 12 31111 6 M59 96100 000211 0000U 00001 00113 015 2111100 2024*")</f>
        <v>1271694.71</v>
      </c>
      <c r="G2780" s="35">
        <f>SUMIFS(G2781:G9015,K2781:K9015,"0",B2781:B9015,"5 1 1 1 3 12 31111 6 M59 96100 000211 0000U 00001 00113 015 2111100 2024*")</f>
        <v>0</v>
      </c>
      <c r="H2780" s="35">
        <f t="shared" si="44"/>
        <v>1271694.71</v>
      </c>
      <c r="I2780" s="35"/>
      <c r="K2780" t="s">
        <v>15</v>
      </c>
    </row>
    <row r="2781" spans="2:11" ht="41.25" x14ac:dyDescent="0.2">
      <c r="B2781" s="33" t="s">
        <v>3702</v>
      </c>
      <c r="C2781" s="33" t="s">
        <v>1056</v>
      </c>
      <c r="D2781" s="35">
        <f>SUMIFS(D2782:D9015,K2782:K9015,"0",B2782:B9015,"5 1 1 1 3 12 31111 6 M59 96100 000211 0000U 00001 00113 015 2111100 2024 CP1IU412*")-SUMIFS(E2782:E9015,K2782:K9015,"0",B2782:B9015,"5 1 1 1 3 12 31111 6 M59 96100 000211 0000U 00001 00113 015 2111100 2024 CP1IU412*")</f>
        <v>0</v>
      </c>
      <c r="E2781"/>
      <c r="F2781" s="35">
        <f>SUMIFS(F2782:F9015,K2782:K9015,"0",B2782:B9015,"5 1 1 1 3 12 31111 6 M59 96100 000211 0000U 00001 00113 015 2111100 2024 CP1IU412*")</f>
        <v>1271694.71</v>
      </c>
      <c r="G2781" s="35">
        <f>SUMIFS(G2782:G9015,K2782:K9015,"0",B2782:B9015,"5 1 1 1 3 12 31111 6 M59 96100 000211 0000U 00001 00113 015 2111100 2024 CP1IU412*")</f>
        <v>0</v>
      </c>
      <c r="H2781" s="35">
        <f t="shared" si="44"/>
        <v>1271694.71</v>
      </c>
      <c r="I2781" s="35"/>
      <c r="K2781" t="s">
        <v>15</v>
      </c>
    </row>
    <row r="2782" spans="2:11" ht="41.25" x14ac:dyDescent="0.2">
      <c r="B2782" s="33" t="s">
        <v>3703</v>
      </c>
      <c r="C2782" s="33" t="s">
        <v>282</v>
      </c>
      <c r="D2782" s="35">
        <f>SUMIFS(D2783:D9015,K2783:K9015,"0",B2783:B9015,"5 1 1 1 3 12 31111 6 M59 96100 000211 0000U 00001 00113 015 2111100 2024 CP1IU412 001*")-SUMIFS(E2783:E9015,K2783:K9015,"0",B2783:B9015,"5 1 1 1 3 12 31111 6 M59 96100 000211 0000U 00001 00113 015 2111100 2024 CP1IU412 001*")</f>
        <v>0</v>
      </c>
      <c r="E2782"/>
      <c r="F2782" s="35">
        <f>SUMIFS(F2783:F9015,K2783:K9015,"0",B2783:B9015,"5 1 1 1 3 12 31111 6 M59 96100 000211 0000U 00001 00113 015 2111100 2024 CP1IU412 001*")</f>
        <v>1271694.71</v>
      </c>
      <c r="G2782" s="35">
        <f>SUMIFS(G2783:G9015,K2783:K9015,"0",B2783:B9015,"5 1 1 1 3 12 31111 6 M59 96100 000211 0000U 00001 00113 015 2111100 2024 CP1IU412 001*")</f>
        <v>0</v>
      </c>
      <c r="H2782" s="35">
        <f t="shared" si="44"/>
        <v>1271694.71</v>
      </c>
      <c r="I2782" s="35"/>
      <c r="K2782" t="s">
        <v>15</v>
      </c>
    </row>
    <row r="2783" spans="2:11" ht="33" x14ac:dyDescent="0.2">
      <c r="B2783" s="31" t="s">
        <v>3704</v>
      </c>
      <c r="C2783" s="31" t="s">
        <v>2932</v>
      </c>
      <c r="D2783" s="34">
        <v>0</v>
      </c>
      <c r="E2783" s="34"/>
      <c r="F2783" s="34">
        <v>1271694.71</v>
      </c>
      <c r="G2783" s="34">
        <v>0</v>
      </c>
      <c r="H2783" s="34">
        <f t="shared" si="44"/>
        <v>1271694.71</v>
      </c>
      <c r="I2783" s="34"/>
      <c r="K2783" t="s">
        <v>38</v>
      </c>
    </row>
    <row r="2784" spans="2:11" ht="16.5" x14ac:dyDescent="0.2">
      <c r="B2784" s="33" t="s">
        <v>3705</v>
      </c>
      <c r="C2784" s="33" t="s">
        <v>3706</v>
      </c>
      <c r="D2784" s="35">
        <f>SUMIFS(D2785:D9015,K2785:K9015,"0",B2785:B9015,"5 1 1 1 3 12 31111 6 M59 96200*")-SUMIFS(E2785:E9015,K2785:K9015,"0",B2785:B9015,"5 1 1 1 3 12 31111 6 M59 96200*")</f>
        <v>0</v>
      </c>
      <c r="E2784"/>
      <c r="F2784" s="35">
        <f>SUMIFS(F2785:F9015,K2785:K9015,"0",B2785:B9015,"5 1 1 1 3 12 31111 6 M59 96200*")</f>
        <v>630133.75</v>
      </c>
      <c r="G2784" s="35">
        <f>SUMIFS(G2785:G9015,K2785:K9015,"0",B2785:B9015,"5 1 1 1 3 12 31111 6 M59 96200*")</f>
        <v>0</v>
      </c>
      <c r="H2784" s="35">
        <f t="shared" si="44"/>
        <v>630133.75</v>
      </c>
      <c r="I2784" s="35"/>
      <c r="K2784" t="s">
        <v>15</v>
      </c>
    </row>
    <row r="2785" spans="2:11" ht="16.5" x14ac:dyDescent="0.2">
      <c r="B2785" s="33" t="s">
        <v>3707</v>
      </c>
      <c r="C2785" s="33" t="s">
        <v>648</v>
      </c>
      <c r="D2785" s="35">
        <f>SUMIFS(D2786:D9015,K2786:K9015,"0",B2786:B9015,"5 1 1 1 3 12 31111 6 M59 96200 000132*")-SUMIFS(E2786:E9015,K2786:K9015,"0",B2786:B9015,"5 1 1 1 3 12 31111 6 M59 96200 000132*")</f>
        <v>0</v>
      </c>
      <c r="E2785"/>
      <c r="F2785" s="35">
        <f>SUMIFS(F2786:F9015,K2786:K9015,"0",B2786:B9015,"5 1 1 1 3 12 31111 6 M59 96200 000132*")</f>
        <v>630133.75</v>
      </c>
      <c r="G2785" s="35">
        <f>SUMIFS(G2786:G9015,K2786:K9015,"0",B2786:B9015,"5 1 1 1 3 12 31111 6 M59 96200 000132*")</f>
        <v>0</v>
      </c>
      <c r="H2785" s="35">
        <f t="shared" si="44"/>
        <v>630133.75</v>
      </c>
      <c r="I2785" s="35"/>
      <c r="K2785" t="s">
        <v>15</v>
      </c>
    </row>
    <row r="2786" spans="2:11" ht="16.5" x14ac:dyDescent="0.2">
      <c r="B2786" s="33" t="s">
        <v>3708</v>
      </c>
      <c r="C2786" s="33" t="s">
        <v>650</v>
      </c>
      <c r="D2786" s="35">
        <f>SUMIFS(D2787:D9015,K2787:K9015,"0",B2787:B9015,"5 1 1 1 3 12 31111 6 M59 96200 000132 0000R*")-SUMIFS(E2787:E9015,K2787:K9015,"0",B2787:B9015,"5 1 1 1 3 12 31111 6 M59 96200 000132 0000R*")</f>
        <v>0</v>
      </c>
      <c r="E2786"/>
      <c r="F2786" s="35">
        <f>SUMIFS(F2787:F9015,K2787:K9015,"0",B2787:B9015,"5 1 1 1 3 12 31111 6 M59 96200 000132 0000R*")</f>
        <v>630133.75</v>
      </c>
      <c r="G2786" s="35">
        <f>SUMIFS(G2787:G9015,K2787:K9015,"0",B2787:B9015,"5 1 1 1 3 12 31111 6 M59 96200 000132 0000R*")</f>
        <v>0</v>
      </c>
      <c r="H2786" s="35">
        <f t="shared" si="44"/>
        <v>630133.75</v>
      </c>
      <c r="I2786" s="35"/>
      <c r="K2786" t="s">
        <v>15</v>
      </c>
    </row>
    <row r="2787" spans="2:11" ht="24.75" x14ac:dyDescent="0.2">
      <c r="B2787" s="33" t="s">
        <v>3709</v>
      </c>
      <c r="C2787" s="33" t="s">
        <v>282</v>
      </c>
      <c r="D2787" s="35">
        <f>SUMIFS(D2788:D9015,K2788:K9015,"0",B2788:B9015,"5 1 1 1 3 12 31111 6 M59 96200 000132 0000R 00001*")-SUMIFS(E2788:E9015,K2788:K9015,"0",B2788:B9015,"5 1 1 1 3 12 31111 6 M59 96200 000132 0000R 00001*")</f>
        <v>0</v>
      </c>
      <c r="E2787"/>
      <c r="F2787" s="35">
        <f>SUMIFS(F2788:F9015,K2788:K9015,"0",B2788:B9015,"5 1 1 1 3 12 31111 6 M59 96200 000132 0000R 00001*")</f>
        <v>630133.75</v>
      </c>
      <c r="G2787" s="35">
        <f>SUMIFS(G2788:G9015,K2788:K9015,"0",B2788:B9015,"5 1 1 1 3 12 31111 6 M59 96200 000132 0000R 00001*")</f>
        <v>0</v>
      </c>
      <c r="H2787" s="35">
        <f t="shared" si="44"/>
        <v>630133.75</v>
      </c>
      <c r="I2787" s="35"/>
      <c r="K2787" t="s">
        <v>15</v>
      </c>
    </row>
    <row r="2788" spans="2:11" ht="24.75" x14ac:dyDescent="0.2">
      <c r="B2788" s="33" t="s">
        <v>3710</v>
      </c>
      <c r="C2788" s="33" t="s">
        <v>2924</v>
      </c>
      <c r="D2788" s="35">
        <f>SUMIFS(D2789:D9015,K2789:K9015,"0",B2789:B9015,"5 1 1 1 3 12 31111 6 M59 96200 000132 0000R 00001 00113*")-SUMIFS(E2789:E9015,K2789:K9015,"0",B2789:B9015,"5 1 1 1 3 12 31111 6 M59 96200 000132 0000R 00001 00113*")</f>
        <v>0</v>
      </c>
      <c r="E2788"/>
      <c r="F2788" s="35">
        <f>SUMIFS(F2789:F9015,K2789:K9015,"0",B2789:B9015,"5 1 1 1 3 12 31111 6 M59 96200 000132 0000R 00001 00113*")</f>
        <v>630133.75</v>
      </c>
      <c r="G2788" s="35">
        <f>SUMIFS(G2789:G9015,K2789:K9015,"0",B2789:B9015,"5 1 1 1 3 12 31111 6 M59 96200 000132 0000R 00001 00113*")</f>
        <v>0</v>
      </c>
      <c r="H2788" s="35">
        <f t="shared" si="44"/>
        <v>630133.75</v>
      </c>
      <c r="I2788" s="35"/>
      <c r="K2788" t="s">
        <v>15</v>
      </c>
    </row>
    <row r="2789" spans="2:11" ht="24.75" x14ac:dyDescent="0.2">
      <c r="B2789" s="33" t="s">
        <v>3711</v>
      </c>
      <c r="C2789" s="33" t="s">
        <v>1051</v>
      </c>
      <c r="D2789" s="35">
        <f>SUMIFS(D2790:D9015,K2790:K9015,"0",B2790:B9015,"5 1 1 1 3 12 31111 6 M59 96200 000132 0000R 00001 00113 015*")-SUMIFS(E2790:E9015,K2790:K9015,"0",B2790:B9015,"5 1 1 1 3 12 31111 6 M59 96200 000132 0000R 00001 00113 015*")</f>
        <v>0</v>
      </c>
      <c r="E2789"/>
      <c r="F2789" s="35">
        <f>SUMIFS(F2790:F9015,K2790:K9015,"0",B2790:B9015,"5 1 1 1 3 12 31111 6 M59 96200 000132 0000R 00001 00113 015*")</f>
        <v>630133.75</v>
      </c>
      <c r="G2789" s="35">
        <f>SUMIFS(G2790:G9015,K2790:K9015,"0",B2790:B9015,"5 1 1 1 3 12 31111 6 M59 96200 000132 0000R 00001 00113 015*")</f>
        <v>0</v>
      </c>
      <c r="H2789" s="35">
        <f t="shared" si="44"/>
        <v>630133.75</v>
      </c>
      <c r="I2789" s="35"/>
      <c r="K2789" t="s">
        <v>15</v>
      </c>
    </row>
    <row r="2790" spans="2:11" ht="33" x14ac:dyDescent="0.2">
      <c r="B2790" s="33" t="s">
        <v>3712</v>
      </c>
      <c r="C2790" s="33" t="s">
        <v>2927</v>
      </c>
      <c r="D2790" s="35">
        <f>SUMIFS(D2791:D9015,K2791:K9015,"0",B2791:B9015,"5 1 1 1 3 12 31111 6 M59 96200 000132 0000R 00001 00113 015 2111100*")-SUMIFS(E2791:E9015,K2791:K9015,"0",B2791:B9015,"5 1 1 1 3 12 31111 6 M59 96200 000132 0000R 00001 00113 015 2111100*")</f>
        <v>0</v>
      </c>
      <c r="E2790"/>
      <c r="F2790" s="35">
        <f>SUMIFS(F2791:F9015,K2791:K9015,"0",B2791:B9015,"5 1 1 1 3 12 31111 6 M59 96200 000132 0000R 00001 00113 015 2111100*")</f>
        <v>630133.75</v>
      </c>
      <c r="G2790" s="35">
        <f>SUMIFS(G2791:G9015,K2791:K9015,"0",B2791:B9015,"5 1 1 1 3 12 31111 6 M59 96200 000132 0000R 00001 00113 015 2111100*")</f>
        <v>0</v>
      </c>
      <c r="H2790" s="35">
        <f t="shared" si="44"/>
        <v>630133.75</v>
      </c>
      <c r="I2790" s="35"/>
      <c r="K2790" t="s">
        <v>15</v>
      </c>
    </row>
    <row r="2791" spans="2:11" ht="33" x14ac:dyDescent="0.2">
      <c r="B2791" s="33" t="s">
        <v>3713</v>
      </c>
      <c r="C2791" s="33" t="s">
        <v>660</v>
      </c>
      <c r="D2791" s="35">
        <f>SUMIFS(D2792:D9015,K2792:K9015,"0",B2792:B9015,"5 1 1 1 3 12 31111 6 M59 96200 000132 0000R 00001 00113 015 2111100 2024*")-SUMIFS(E2792:E9015,K2792:K9015,"0",B2792:B9015,"5 1 1 1 3 12 31111 6 M59 96200 000132 0000R 00001 00113 015 2111100 2024*")</f>
        <v>0</v>
      </c>
      <c r="E2791"/>
      <c r="F2791" s="35">
        <f>SUMIFS(F2792:F9015,K2792:K9015,"0",B2792:B9015,"5 1 1 1 3 12 31111 6 M59 96200 000132 0000R 00001 00113 015 2111100 2024*")</f>
        <v>630133.75</v>
      </c>
      <c r="G2791" s="35">
        <f>SUMIFS(G2792:G9015,K2792:K9015,"0",B2792:B9015,"5 1 1 1 3 12 31111 6 M59 96200 000132 0000R 00001 00113 015 2111100 2024*")</f>
        <v>0</v>
      </c>
      <c r="H2791" s="35">
        <f t="shared" si="44"/>
        <v>630133.75</v>
      </c>
      <c r="I2791" s="35"/>
      <c r="K2791" t="s">
        <v>15</v>
      </c>
    </row>
    <row r="2792" spans="2:11" ht="41.25" x14ac:dyDescent="0.2">
      <c r="B2792" s="33" t="s">
        <v>3714</v>
      </c>
      <c r="C2792" s="33" t="s">
        <v>662</v>
      </c>
      <c r="D2792" s="35">
        <f>SUMIFS(D2793:D9015,K2793:K9015,"0",B2793:B9015,"5 1 1 1 3 12 31111 6 M59 96200 000132 0000R 00001 00113 015 2111100 2024 CP1AL423*")-SUMIFS(E2793:E9015,K2793:K9015,"0",B2793:B9015,"5 1 1 1 3 12 31111 6 M59 96200 000132 0000R 00001 00113 015 2111100 2024 CP1AL423*")</f>
        <v>0</v>
      </c>
      <c r="E2792"/>
      <c r="F2792" s="35">
        <f>SUMIFS(F2793:F9015,K2793:K9015,"0",B2793:B9015,"5 1 1 1 3 12 31111 6 M59 96200 000132 0000R 00001 00113 015 2111100 2024 CP1AL423*")</f>
        <v>630133.75</v>
      </c>
      <c r="G2792" s="35">
        <f>SUMIFS(G2793:G9015,K2793:K9015,"0",B2793:B9015,"5 1 1 1 3 12 31111 6 M59 96200 000132 0000R 00001 00113 015 2111100 2024 CP1AL423*")</f>
        <v>0</v>
      </c>
      <c r="H2792" s="35">
        <f t="shared" si="44"/>
        <v>630133.75</v>
      </c>
      <c r="I2792" s="35"/>
      <c r="K2792" t="s">
        <v>15</v>
      </c>
    </row>
    <row r="2793" spans="2:11" ht="41.25" x14ac:dyDescent="0.2">
      <c r="B2793" s="33" t="s">
        <v>3715</v>
      </c>
      <c r="C2793" s="33" t="s">
        <v>282</v>
      </c>
      <c r="D2793" s="35">
        <f>SUMIFS(D2794:D9015,K2794:K9015,"0",B2794:B9015,"5 1 1 1 3 12 31111 6 M59 96200 000132 0000R 00001 00113 015 2111100 2024 CP1AL423 001*")-SUMIFS(E2794:E9015,K2794:K9015,"0",B2794:B9015,"5 1 1 1 3 12 31111 6 M59 96200 000132 0000R 00001 00113 015 2111100 2024 CP1AL423 001*")</f>
        <v>0</v>
      </c>
      <c r="E2793"/>
      <c r="F2793" s="35">
        <f>SUMIFS(F2794:F9015,K2794:K9015,"0",B2794:B9015,"5 1 1 1 3 12 31111 6 M59 96200 000132 0000R 00001 00113 015 2111100 2024 CP1AL423 001*")</f>
        <v>630133.75</v>
      </c>
      <c r="G2793" s="35">
        <f>SUMIFS(G2794:G9015,K2794:K9015,"0",B2794:B9015,"5 1 1 1 3 12 31111 6 M59 96200 000132 0000R 00001 00113 015 2111100 2024 CP1AL423 001*")</f>
        <v>0</v>
      </c>
      <c r="H2793" s="35">
        <f t="shared" si="44"/>
        <v>630133.75</v>
      </c>
      <c r="I2793" s="35"/>
      <c r="K2793" t="s">
        <v>15</v>
      </c>
    </row>
    <row r="2794" spans="2:11" ht="41.25" x14ac:dyDescent="0.2">
      <c r="B2794" s="31" t="s">
        <v>3716</v>
      </c>
      <c r="C2794" s="31" t="s">
        <v>2932</v>
      </c>
      <c r="D2794" s="34">
        <v>0</v>
      </c>
      <c r="E2794" s="34"/>
      <c r="F2794" s="34">
        <v>630133.75</v>
      </c>
      <c r="G2794" s="34">
        <v>0</v>
      </c>
      <c r="H2794" s="34">
        <f t="shared" si="44"/>
        <v>630133.75</v>
      </c>
      <c r="I2794" s="34"/>
      <c r="K2794" t="s">
        <v>38</v>
      </c>
    </row>
    <row r="2795" spans="2:11" ht="16.5" x14ac:dyDescent="0.2">
      <c r="B2795" s="33" t="s">
        <v>3717</v>
      </c>
      <c r="C2795" s="33" t="s">
        <v>1308</v>
      </c>
      <c r="D2795" s="35">
        <f>SUMIFS(D2796:D9015,K2796:K9015,"0",B2796:B9015,"5 1 1 1 3 12 31111 6 M59 96300*")-SUMIFS(E2796:E9015,K2796:K9015,"0",B2796:B9015,"5 1 1 1 3 12 31111 6 M59 96300*")</f>
        <v>0</v>
      </c>
      <c r="E2795"/>
      <c r="F2795" s="35">
        <f>SUMIFS(F2796:F9015,K2796:K9015,"0",B2796:B9015,"5 1 1 1 3 12 31111 6 M59 96300*")</f>
        <v>6942202.3499999996</v>
      </c>
      <c r="G2795" s="35">
        <f>SUMIFS(G2796:G9015,K2796:K9015,"0",B2796:B9015,"5 1 1 1 3 12 31111 6 M59 96300*")</f>
        <v>0</v>
      </c>
      <c r="H2795" s="35">
        <f t="shared" si="44"/>
        <v>6942202.3499999996</v>
      </c>
      <c r="I2795" s="35"/>
      <c r="K2795" t="s">
        <v>15</v>
      </c>
    </row>
    <row r="2796" spans="2:11" ht="16.5" x14ac:dyDescent="0.2">
      <c r="B2796" s="33" t="s">
        <v>3718</v>
      </c>
      <c r="C2796" s="33" t="s">
        <v>1310</v>
      </c>
      <c r="D2796" s="35">
        <f>SUMIFS(D2797:D9015,K2797:K9015,"0",B2797:B9015,"5 1 1 1 3 12 31111 6 M59 96300 000211*")-SUMIFS(E2797:E9015,K2797:K9015,"0",B2797:B9015,"5 1 1 1 3 12 31111 6 M59 96300 000211*")</f>
        <v>0</v>
      </c>
      <c r="E2796"/>
      <c r="F2796" s="35">
        <f>SUMIFS(F2797:F9015,K2797:K9015,"0",B2797:B9015,"5 1 1 1 3 12 31111 6 M59 96300 000211*")</f>
        <v>6942202.3499999996</v>
      </c>
      <c r="G2796" s="35">
        <f>SUMIFS(G2797:G9015,K2797:K9015,"0",B2797:B9015,"5 1 1 1 3 12 31111 6 M59 96300 000211*")</f>
        <v>0</v>
      </c>
      <c r="H2796" s="35">
        <f t="shared" si="44"/>
        <v>6942202.3499999996</v>
      </c>
      <c r="I2796" s="35"/>
      <c r="K2796" t="s">
        <v>15</v>
      </c>
    </row>
    <row r="2797" spans="2:11" ht="16.5" x14ac:dyDescent="0.2">
      <c r="B2797" s="33" t="s">
        <v>3719</v>
      </c>
      <c r="C2797" s="33" t="s">
        <v>1065</v>
      </c>
      <c r="D2797" s="35">
        <f>SUMIFS(D2798:D9015,K2798:K9015,"0",B2798:B9015,"5 1 1 1 3 12 31111 6 M59 96300 000211 0000E*")-SUMIFS(E2798:E9015,K2798:K9015,"0",B2798:B9015,"5 1 1 1 3 12 31111 6 M59 96300 000211 0000E*")</f>
        <v>0</v>
      </c>
      <c r="E2797"/>
      <c r="F2797" s="35">
        <f>SUMIFS(F2798:F9015,K2798:K9015,"0",B2798:B9015,"5 1 1 1 3 12 31111 6 M59 96300 000211 0000E*")</f>
        <v>6942202.3499999996</v>
      </c>
      <c r="G2797" s="35">
        <f>SUMIFS(G2798:G9015,K2798:K9015,"0",B2798:B9015,"5 1 1 1 3 12 31111 6 M59 96300 000211 0000E*")</f>
        <v>0</v>
      </c>
      <c r="H2797" s="35">
        <f t="shared" si="44"/>
        <v>6942202.3499999996</v>
      </c>
      <c r="I2797" s="35"/>
      <c r="K2797" t="s">
        <v>15</v>
      </c>
    </row>
    <row r="2798" spans="2:11" ht="24.75" x14ac:dyDescent="0.2">
      <c r="B2798" s="33" t="s">
        <v>3720</v>
      </c>
      <c r="C2798" s="33" t="s">
        <v>282</v>
      </c>
      <c r="D2798" s="35">
        <f>SUMIFS(D2799:D9015,K2799:K9015,"0",B2799:B9015,"5 1 1 1 3 12 31111 6 M59 96300 000211 0000E 00001*")-SUMIFS(E2799:E9015,K2799:K9015,"0",B2799:B9015,"5 1 1 1 3 12 31111 6 M59 96300 000211 0000E 00001*")</f>
        <v>0</v>
      </c>
      <c r="E2798"/>
      <c r="F2798" s="35">
        <f>SUMIFS(F2799:F9015,K2799:K9015,"0",B2799:B9015,"5 1 1 1 3 12 31111 6 M59 96300 000211 0000E 00001*")</f>
        <v>6942202.3499999996</v>
      </c>
      <c r="G2798" s="35">
        <f>SUMIFS(G2799:G9015,K2799:K9015,"0",B2799:B9015,"5 1 1 1 3 12 31111 6 M59 96300 000211 0000E 00001*")</f>
        <v>0</v>
      </c>
      <c r="H2798" s="35">
        <f t="shared" si="44"/>
        <v>6942202.3499999996</v>
      </c>
      <c r="I2798" s="35"/>
      <c r="K2798" t="s">
        <v>15</v>
      </c>
    </row>
    <row r="2799" spans="2:11" ht="24.75" x14ac:dyDescent="0.2">
      <c r="B2799" s="33" t="s">
        <v>3721</v>
      </c>
      <c r="C2799" s="33" t="s">
        <v>2924</v>
      </c>
      <c r="D2799" s="35">
        <f>SUMIFS(D2800:D9015,K2800:K9015,"0",B2800:B9015,"5 1 1 1 3 12 31111 6 M59 96300 000211 0000E 00001 00113*")-SUMIFS(E2800:E9015,K2800:K9015,"0",B2800:B9015,"5 1 1 1 3 12 31111 6 M59 96300 000211 0000E 00001 00113*")</f>
        <v>0</v>
      </c>
      <c r="E2799"/>
      <c r="F2799" s="35">
        <f>SUMIFS(F2800:F9015,K2800:K9015,"0",B2800:B9015,"5 1 1 1 3 12 31111 6 M59 96300 000211 0000E 00001 00113*")</f>
        <v>6942202.3499999996</v>
      </c>
      <c r="G2799" s="35">
        <f>SUMIFS(G2800:G9015,K2800:K9015,"0",B2800:B9015,"5 1 1 1 3 12 31111 6 M59 96300 000211 0000E 00001 00113*")</f>
        <v>0</v>
      </c>
      <c r="H2799" s="35">
        <f t="shared" si="44"/>
        <v>6942202.3499999996</v>
      </c>
      <c r="I2799" s="35"/>
      <c r="K2799" t="s">
        <v>15</v>
      </c>
    </row>
    <row r="2800" spans="2:11" ht="24.75" x14ac:dyDescent="0.2">
      <c r="B2800" s="33" t="s">
        <v>3722</v>
      </c>
      <c r="C2800" s="33" t="s">
        <v>1051</v>
      </c>
      <c r="D2800" s="35">
        <f>SUMIFS(D2801:D9015,K2801:K9015,"0",B2801:B9015,"5 1 1 1 3 12 31111 6 M59 96300 000211 0000E 00001 00113 015*")-SUMIFS(E2801:E9015,K2801:K9015,"0",B2801:B9015,"5 1 1 1 3 12 31111 6 M59 96300 000211 0000E 00001 00113 015*")</f>
        <v>0</v>
      </c>
      <c r="E2800"/>
      <c r="F2800" s="35">
        <f>SUMIFS(F2801:F9015,K2801:K9015,"0",B2801:B9015,"5 1 1 1 3 12 31111 6 M59 96300 000211 0000E 00001 00113 015*")</f>
        <v>6942202.3499999996</v>
      </c>
      <c r="G2800" s="35">
        <f>SUMIFS(G2801:G9015,K2801:K9015,"0",B2801:B9015,"5 1 1 1 3 12 31111 6 M59 96300 000211 0000E 00001 00113 015*")</f>
        <v>0</v>
      </c>
      <c r="H2800" s="35">
        <f t="shared" si="44"/>
        <v>6942202.3499999996</v>
      </c>
      <c r="I2800" s="35"/>
      <c r="K2800" t="s">
        <v>15</v>
      </c>
    </row>
    <row r="2801" spans="2:11" ht="33" x14ac:dyDescent="0.2">
      <c r="B2801" s="33" t="s">
        <v>3723</v>
      </c>
      <c r="C2801" s="33" t="s">
        <v>2927</v>
      </c>
      <c r="D2801" s="35">
        <f>SUMIFS(D2802:D9015,K2802:K9015,"0",B2802:B9015,"5 1 1 1 3 12 31111 6 M59 96300 000211 0000E 00001 00113 015 2111100*")-SUMIFS(E2802:E9015,K2802:K9015,"0",B2802:B9015,"5 1 1 1 3 12 31111 6 M59 96300 000211 0000E 00001 00113 015 2111100*")</f>
        <v>0</v>
      </c>
      <c r="E2801"/>
      <c r="F2801" s="35">
        <f>SUMIFS(F2802:F9015,K2802:K9015,"0",B2802:B9015,"5 1 1 1 3 12 31111 6 M59 96300 000211 0000E 00001 00113 015 2111100*")</f>
        <v>6942202.3499999996</v>
      </c>
      <c r="G2801" s="35">
        <f>SUMIFS(G2802:G9015,K2802:K9015,"0",B2802:B9015,"5 1 1 1 3 12 31111 6 M59 96300 000211 0000E 00001 00113 015 2111100*")</f>
        <v>0</v>
      </c>
      <c r="H2801" s="35">
        <f t="shared" si="44"/>
        <v>6942202.3499999996</v>
      </c>
      <c r="I2801" s="35"/>
      <c r="K2801" t="s">
        <v>15</v>
      </c>
    </row>
    <row r="2802" spans="2:11" ht="33" x14ac:dyDescent="0.2">
      <c r="B2802" s="33" t="s">
        <v>3724</v>
      </c>
      <c r="C2802" s="33" t="s">
        <v>660</v>
      </c>
      <c r="D2802" s="35">
        <f>SUMIFS(D2803:D9015,K2803:K9015,"0",B2803:B9015,"5 1 1 1 3 12 31111 6 M59 96300 000211 0000E 00001 00113 015 2111100 2024*")-SUMIFS(E2803:E9015,K2803:K9015,"0",B2803:B9015,"5 1 1 1 3 12 31111 6 M59 96300 000211 0000E 00001 00113 015 2111100 2024*")</f>
        <v>0</v>
      </c>
      <c r="E2802"/>
      <c r="F2802" s="35">
        <f>SUMIFS(F2803:F9015,K2803:K9015,"0",B2803:B9015,"5 1 1 1 3 12 31111 6 M59 96300 000211 0000E 00001 00113 015 2111100 2024*")</f>
        <v>6942202.3499999996</v>
      </c>
      <c r="G2802" s="35">
        <f>SUMIFS(G2803:G9015,K2803:K9015,"0",B2803:B9015,"5 1 1 1 3 12 31111 6 M59 96300 000211 0000E 00001 00113 015 2111100 2024*")</f>
        <v>0</v>
      </c>
      <c r="H2802" s="35">
        <f t="shared" si="44"/>
        <v>6942202.3499999996</v>
      </c>
      <c r="I2802" s="35"/>
      <c r="K2802" t="s">
        <v>15</v>
      </c>
    </row>
    <row r="2803" spans="2:11" ht="41.25" x14ac:dyDescent="0.2">
      <c r="B2803" s="33" t="s">
        <v>3725</v>
      </c>
      <c r="C2803" s="33" t="s">
        <v>1056</v>
      </c>
      <c r="D2803" s="35">
        <f>SUMIFS(D2804:D9015,K2804:K9015,"0",B2804:B9015,"5 1 1 1 3 12 31111 6 M59 96300 000211 0000E 00001 00113 015 2111100 2024 CP1SB396*")-SUMIFS(E2804:E9015,K2804:K9015,"0",B2804:B9015,"5 1 1 1 3 12 31111 6 M59 96300 000211 0000E 00001 00113 015 2111100 2024 CP1SB396*")</f>
        <v>0</v>
      </c>
      <c r="E2803"/>
      <c r="F2803" s="35">
        <f>SUMIFS(F2804:F9015,K2804:K9015,"0",B2804:B9015,"5 1 1 1 3 12 31111 6 M59 96300 000211 0000E 00001 00113 015 2111100 2024 CP1SB396*")</f>
        <v>6942202.3499999996</v>
      </c>
      <c r="G2803" s="35">
        <f>SUMIFS(G2804:G9015,K2804:K9015,"0",B2804:B9015,"5 1 1 1 3 12 31111 6 M59 96300 000211 0000E 00001 00113 015 2111100 2024 CP1SB396*")</f>
        <v>0</v>
      </c>
      <c r="H2803" s="35">
        <f t="shared" si="44"/>
        <v>6942202.3499999996</v>
      </c>
      <c r="I2803" s="35"/>
      <c r="K2803" t="s">
        <v>15</v>
      </c>
    </row>
    <row r="2804" spans="2:11" ht="41.25" x14ac:dyDescent="0.2">
      <c r="B2804" s="33" t="s">
        <v>3726</v>
      </c>
      <c r="C2804" s="33" t="s">
        <v>282</v>
      </c>
      <c r="D2804" s="35">
        <f>SUMIFS(D2805:D9015,K2805:K9015,"0",B2805:B9015,"5 1 1 1 3 12 31111 6 M59 96300 000211 0000E 00001 00113 015 2111100 2024 CP1SB396 001*")-SUMIFS(E2805:E9015,K2805:K9015,"0",B2805:B9015,"5 1 1 1 3 12 31111 6 M59 96300 000211 0000E 00001 00113 015 2111100 2024 CP1SB396 001*")</f>
        <v>0</v>
      </c>
      <c r="E2804"/>
      <c r="F2804" s="35">
        <f>SUMIFS(F2805:F9015,K2805:K9015,"0",B2805:B9015,"5 1 1 1 3 12 31111 6 M59 96300 000211 0000E 00001 00113 015 2111100 2024 CP1SB396 001*")</f>
        <v>6942202.3499999996</v>
      </c>
      <c r="G2804" s="35">
        <f>SUMIFS(G2805:G9015,K2805:K9015,"0",B2805:B9015,"5 1 1 1 3 12 31111 6 M59 96300 000211 0000E 00001 00113 015 2111100 2024 CP1SB396 001*")</f>
        <v>0</v>
      </c>
      <c r="H2804" s="35">
        <f t="shared" si="44"/>
        <v>6942202.3499999996</v>
      </c>
      <c r="I2804" s="35"/>
      <c r="K2804" t="s">
        <v>15</v>
      </c>
    </row>
    <row r="2805" spans="2:11" ht="33" x14ac:dyDescent="0.2">
      <c r="B2805" s="31" t="s">
        <v>3727</v>
      </c>
      <c r="C2805" s="31" t="s">
        <v>2932</v>
      </c>
      <c r="D2805" s="34">
        <v>0</v>
      </c>
      <c r="E2805" s="34"/>
      <c r="F2805" s="34">
        <v>6942202.3499999996</v>
      </c>
      <c r="G2805" s="34">
        <v>0</v>
      </c>
      <c r="H2805" s="34">
        <f t="shared" si="44"/>
        <v>6942202.3499999996</v>
      </c>
      <c r="I2805" s="34"/>
      <c r="K2805" t="s">
        <v>38</v>
      </c>
    </row>
    <row r="2806" spans="2:11" ht="16.5" x14ac:dyDescent="0.2">
      <c r="B2806" s="33" t="s">
        <v>3728</v>
      </c>
      <c r="C2806" s="33" t="s">
        <v>3729</v>
      </c>
      <c r="D2806" s="35">
        <f>SUMIFS(D2807:D9015,K2807:K9015,"0",B2807:B9015,"5 1 1 1 3 12 31111 6 M59 97000*")-SUMIFS(E2807:E9015,K2807:K9015,"0",B2807:B9015,"5 1 1 1 3 12 31111 6 M59 97000*")</f>
        <v>0</v>
      </c>
      <c r="E2806"/>
      <c r="F2806" s="35">
        <f>SUMIFS(F2807:F9015,K2807:K9015,"0",B2807:B9015,"5 1 1 1 3 12 31111 6 M59 97000*")</f>
        <v>55503.91</v>
      </c>
      <c r="G2806" s="35">
        <f>SUMIFS(G2807:G9015,K2807:K9015,"0",B2807:B9015,"5 1 1 1 3 12 31111 6 M59 97000*")</f>
        <v>0</v>
      </c>
      <c r="H2806" s="35">
        <f t="shared" si="44"/>
        <v>55503.91</v>
      </c>
      <c r="I2806" s="35"/>
      <c r="K2806" t="s">
        <v>15</v>
      </c>
    </row>
    <row r="2807" spans="2:11" ht="16.5" x14ac:dyDescent="0.2">
      <c r="B2807" s="33" t="s">
        <v>3730</v>
      </c>
      <c r="C2807" s="33" t="s">
        <v>648</v>
      </c>
      <c r="D2807" s="35">
        <f>SUMIFS(D2808:D9015,K2808:K9015,"0",B2808:B9015,"5 1 1 1 3 12 31111 6 M59 97000 000132*")-SUMIFS(E2808:E9015,K2808:K9015,"0",B2808:B9015,"5 1 1 1 3 12 31111 6 M59 97000 000132*")</f>
        <v>0</v>
      </c>
      <c r="E2807"/>
      <c r="F2807" s="35">
        <f>SUMIFS(F2808:F9015,K2808:K9015,"0",B2808:B9015,"5 1 1 1 3 12 31111 6 M59 97000 000132*")</f>
        <v>55503.91</v>
      </c>
      <c r="G2807" s="35">
        <f>SUMIFS(G2808:G9015,K2808:K9015,"0",B2808:B9015,"5 1 1 1 3 12 31111 6 M59 97000 000132*")</f>
        <v>0</v>
      </c>
      <c r="H2807" s="35">
        <f t="shared" si="44"/>
        <v>55503.91</v>
      </c>
      <c r="I2807" s="35"/>
      <c r="K2807" t="s">
        <v>15</v>
      </c>
    </row>
    <row r="2808" spans="2:11" ht="16.5" x14ac:dyDescent="0.2">
      <c r="B2808" s="33" t="s">
        <v>3731</v>
      </c>
      <c r="C2808" s="33" t="s">
        <v>650</v>
      </c>
      <c r="D2808" s="35">
        <f>SUMIFS(D2809:D9015,K2809:K9015,"0",B2809:B9015,"5 1 1 1 3 12 31111 6 M59 97000 000132 0000R*")-SUMIFS(E2809:E9015,K2809:K9015,"0",B2809:B9015,"5 1 1 1 3 12 31111 6 M59 97000 000132 0000R*")</f>
        <v>0</v>
      </c>
      <c r="E2808"/>
      <c r="F2808" s="35">
        <f>SUMIFS(F2809:F9015,K2809:K9015,"0",B2809:B9015,"5 1 1 1 3 12 31111 6 M59 97000 000132 0000R*")</f>
        <v>55503.91</v>
      </c>
      <c r="G2808" s="35">
        <f>SUMIFS(G2809:G9015,K2809:K9015,"0",B2809:B9015,"5 1 1 1 3 12 31111 6 M59 97000 000132 0000R*")</f>
        <v>0</v>
      </c>
      <c r="H2808" s="35">
        <f t="shared" si="44"/>
        <v>55503.91</v>
      </c>
      <c r="I2808" s="35"/>
      <c r="K2808" t="s">
        <v>15</v>
      </c>
    </row>
    <row r="2809" spans="2:11" ht="24.75" x14ac:dyDescent="0.2">
      <c r="B2809" s="33" t="s">
        <v>3732</v>
      </c>
      <c r="C2809" s="33" t="s">
        <v>282</v>
      </c>
      <c r="D2809" s="35">
        <f>SUMIFS(D2810:D9015,K2810:K9015,"0",B2810:B9015,"5 1 1 1 3 12 31111 6 M59 97000 000132 0000R 00001*")-SUMIFS(E2810:E9015,K2810:K9015,"0",B2810:B9015,"5 1 1 1 3 12 31111 6 M59 97000 000132 0000R 00001*")</f>
        <v>0</v>
      </c>
      <c r="E2809"/>
      <c r="F2809" s="35">
        <f>SUMIFS(F2810:F9015,K2810:K9015,"0",B2810:B9015,"5 1 1 1 3 12 31111 6 M59 97000 000132 0000R 00001*")</f>
        <v>55503.91</v>
      </c>
      <c r="G2809" s="35">
        <f>SUMIFS(G2810:G9015,K2810:K9015,"0",B2810:B9015,"5 1 1 1 3 12 31111 6 M59 97000 000132 0000R 00001*")</f>
        <v>0</v>
      </c>
      <c r="H2809" s="35">
        <f t="shared" si="44"/>
        <v>55503.91</v>
      </c>
      <c r="I2809" s="35"/>
      <c r="K2809" t="s">
        <v>15</v>
      </c>
    </row>
    <row r="2810" spans="2:11" ht="24.75" x14ac:dyDescent="0.2">
      <c r="B2810" s="33" t="s">
        <v>3733</v>
      </c>
      <c r="C2810" s="33" t="s">
        <v>2924</v>
      </c>
      <c r="D2810" s="35">
        <f>SUMIFS(D2811:D9015,K2811:K9015,"0",B2811:B9015,"5 1 1 1 3 12 31111 6 M59 97000 000132 0000R 00001 00113*")-SUMIFS(E2811:E9015,K2811:K9015,"0",B2811:B9015,"5 1 1 1 3 12 31111 6 M59 97000 000132 0000R 00001 00113*")</f>
        <v>0</v>
      </c>
      <c r="E2810"/>
      <c r="F2810" s="35">
        <f>SUMIFS(F2811:F9015,K2811:K9015,"0",B2811:B9015,"5 1 1 1 3 12 31111 6 M59 97000 000132 0000R 00001 00113*")</f>
        <v>55503.91</v>
      </c>
      <c r="G2810" s="35">
        <f>SUMIFS(G2811:G9015,K2811:K9015,"0",B2811:B9015,"5 1 1 1 3 12 31111 6 M59 97000 000132 0000R 00001 00113*")</f>
        <v>0</v>
      </c>
      <c r="H2810" s="35">
        <f t="shared" si="44"/>
        <v>55503.91</v>
      </c>
      <c r="I2810" s="35"/>
      <c r="K2810" t="s">
        <v>15</v>
      </c>
    </row>
    <row r="2811" spans="2:11" ht="24.75" x14ac:dyDescent="0.2">
      <c r="B2811" s="33" t="s">
        <v>3734</v>
      </c>
      <c r="C2811" s="33" t="s">
        <v>1051</v>
      </c>
      <c r="D2811" s="35">
        <f>SUMIFS(D2812:D9015,K2812:K9015,"0",B2812:B9015,"5 1 1 1 3 12 31111 6 M59 97000 000132 0000R 00001 00113 015*")-SUMIFS(E2812:E9015,K2812:K9015,"0",B2812:B9015,"5 1 1 1 3 12 31111 6 M59 97000 000132 0000R 00001 00113 015*")</f>
        <v>0</v>
      </c>
      <c r="E2811"/>
      <c r="F2811" s="35">
        <f>SUMIFS(F2812:F9015,K2812:K9015,"0",B2812:B9015,"5 1 1 1 3 12 31111 6 M59 97000 000132 0000R 00001 00113 015*")</f>
        <v>55503.91</v>
      </c>
      <c r="G2811" s="35">
        <f>SUMIFS(G2812:G9015,K2812:K9015,"0",B2812:B9015,"5 1 1 1 3 12 31111 6 M59 97000 000132 0000R 00001 00113 015*")</f>
        <v>0</v>
      </c>
      <c r="H2811" s="35">
        <f t="shared" si="44"/>
        <v>55503.91</v>
      </c>
      <c r="I2811" s="35"/>
      <c r="K2811" t="s">
        <v>15</v>
      </c>
    </row>
    <row r="2812" spans="2:11" ht="33" x14ac:dyDescent="0.2">
      <c r="B2812" s="33" t="s">
        <v>3735</v>
      </c>
      <c r="C2812" s="33" t="s">
        <v>2927</v>
      </c>
      <c r="D2812" s="35">
        <f>SUMIFS(D2813:D9015,K2813:K9015,"0",B2813:B9015,"5 1 1 1 3 12 31111 6 M59 97000 000132 0000R 00001 00113 015 2111100*")-SUMIFS(E2813:E9015,K2813:K9015,"0",B2813:B9015,"5 1 1 1 3 12 31111 6 M59 97000 000132 0000R 00001 00113 015 2111100*")</f>
        <v>0</v>
      </c>
      <c r="E2812"/>
      <c r="F2812" s="35">
        <f>SUMIFS(F2813:F9015,K2813:K9015,"0",B2813:B9015,"5 1 1 1 3 12 31111 6 M59 97000 000132 0000R 00001 00113 015 2111100*")</f>
        <v>55503.91</v>
      </c>
      <c r="G2812" s="35">
        <f>SUMIFS(G2813:G9015,K2813:K9015,"0",B2813:B9015,"5 1 1 1 3 12 31111 6 M59 97000 000132 0000R 00001 00113 015 2111100*")</f>
        <v>0</v>
      </c>
      <c r="H2812" s="35">
        <f t="shared" si="44"/>
        <v>55503.91</v>
      </c>
      <c r="I2812" s="35"/>
      <c r="K2812" t="s">
        <v>15</v>
      </c>
    </row>
    <row r="2813" spans="2:11" ht="33" x14ac:dyDescent="0.2">
      <c r="B2813" s="33" t="s">
        <v>3736</v>
      </c>
      <c r="C2813" s="33" t="s">
        <v>660</v>
      </c>
      <c r="D2813" s="35">
        <f>SUMIFS(D2814:D9015,K2814:K9015,"0",B2814:B9015,"5 1 1 1 3 12 31111 6 M59 97000 000132 0000R 00001 00113 015 2111100 2024*")-SUMIFS(E2814:E9015,K2814:K9015,"0",B2814:B9015,"5 1 1 1 3 12 31111 6 M59 97000 000132 0000R 00001 00113 015 2111100 2024*")</f>
        <v>0</v>
      </c>
      <c r="E2813"/>
      <c r="F2813" s="35">
        <f>SUMIFS(F2814:F9015,K2814:K9015,"0",B2814:B9015,"5 1 1 1 3 12 31111 6 M59 97000 000132 0000R 00001 00113 015 2111100 2024*")</f>
        <v>55503.91</v>
      </c>
      <c r="G2813" s="35">
        <f>SUMIFS(G2814:G9015,K2814:K9015,"0",B2814:B9015,"5 1 1 1 3 12 31111 6 M59 97000 000132 0000R 00001 00113 015 2111100 2024*")</f>
        <v>0</v>
      </c>
      <c r="H2813" s="35">
        <f t="shared" si="44"/>
        <v>55503.91</v>
      </c>
      <c r="I2813" s="35"/>
      <c r="K2813" t="s">
        <v>15</v>
      </c>
    </row>
    <row r="2814" spans="2:11" ht="41.25" x14ac:dyDescent="0.2">
      <c r="B2814" s="33" t="s">
        <v>3737</v>
      </c>
      <c r="C2814" s="33" t="s">
        <v>1056</v>
      </c>
      <c r="D2814" s="35">
        <f>SUMIFS(D2815:D9015,K2815:K9015,"0",B2815:B9015,"5 1 1 1 3 12 31111 6 M59 97000 000132 0000R 00001 00113 015 2111100 2024 CP1SP428*")-SUMIFS(E2815:E9015,K2815:K9015,"0",B2815:B9015,"5 1 1 1 3 12 31111 6 M59 97000 000132 0000R 00001 00113 015 2111100 2024 CP1SP428*")</f>
        <v>0</v>
      </c>
      <c r="E2814"/>
      <c r="F2814" s="35">
        <f>SUMIFS(F2815:F9015,K2815:K9015,"0",B2815:B9015,"5 1 1 1 3 12 31111 6 M59 97000 000132 0000R 00001 00113 015 2111100 2024 CP1SP428*")</f>
        <v>55503.91</v>
      </c>
      <c r="G2814" s="35">
        <f>SUMIFS(G2815:G9015,K2815:K9015,"0",B2815:B9015,"5 1 1 1 3 12 31111 6 M59 97000 000132 0000R 00001 00113 015 2111100 2024 CP1SP428*")</f>
        <v>0</v>
      </c>
      <c r="H2814" s="35">
        <f t="shared" si="44"/>
        <v>55503.91</v>
      </c>
      <c r="I2814" s="35"/>
      <c r="K2814" t="s">
        <v>15</v>
      </c>
    </row>
    <row r="2815" spans="2:11" ht="41.25" x14ac:dyDescent="0.2">
      <c r="B2815" s="33" t="s">
        <v>3738</v>
      </c>
      <c r="C2815" s="33" t="s">
        <v>282</v>
      </c>
      <c r="D2815" s="35">
        <f>SUMIFS(D2816:D9015,K2816:K9015,"0",B2816:B9015,"5 1 1 1 3 12 31111 6 M59 97000 000132 0000R 00001 00113 015 2111100 2024 CP1SP428 001*")-SUMIFS(E2816:E9015,K2816:K9015,"0",B2816:B9015,"5 1 1 1 3 12 31111 6 M59 97000 000132 0000R 00001 00113 015 2111100 2024 CP1SP428 001*")</f>
        <v>0</v>
      </c>
      <c r="E2815"/>
      <c r="F2815" s="35">
        <f>SUMIFS(F2816:F9015,K2816:K9015,"0",B2816:B9015,"5 1 1 1 3 12 31111 6 M59 97000 000132 0000R 00001 00113 015 2111100 2024 CP1SP428 001*")</f>
        <v>55503.91</v>
      </c>
      <c r="G2815" s="35">
        <f>SUMIFS(G2816:G9015,K2816:K9015,"0",B2816:B9015,"5 1 1 1 3 12 31111 6 M59 97000 000132 0000R 00001 00113 015 2111100 2024 CP1SP428 001*")</f>
        <v>0</v>
      </c>
      <c r="H2815" s="35">
        <f t="shared" si="44"/>
        <v>55503.91</v>
      </c>
      <c r="I2815" s="35"/>
      <c r="K2815" t="s">
        <v>15</v>
      </c>
    </row>
    <row r="2816" spans="2:11" ht="33" x14ac:dyDescent="0.2">
      <c r="B2816" s="31" t="s">
        <v>3739</v>
      </c>
      <c r="C2816" s="31" t="s">
        <v>2932</v>
      </c>
      <c r="D2816" s="34">
        <v>0</v>
      </c>
      <c r="E2816" s="34"/>
      <c r="F2816" s="34">
        <v>55503.91</v>
      </c>
      <c r="G2816" s="34">
        <v>0</v>
      </c>
      <c r="H2816" s="34">
        <f t="shared" si="44"/>
        <v>55503.91</v>
      </c>
      <c r="I2816" s="34"/>
      <c r="K2816" t="s">
        <v>38</v>
      </c>
    </row>
    <row r="2817" spans="2:11" ht="16.5" x14ac:dyDescent="0.2">
      <c r="B2817" s="33" t="s">
        <v>3740</v>
      </c>
      <c r="C2817" s="33" t="s">
        <v>3741</v>
      </c>
      <c r="D2817" s="35">
        <f>SUMIFS(D2818:D9015,K2818:K9015,"0",B2818:B9015,"5 1 1 1 3 12 31111 6 M59 98000*")-SUMIFS(E2818:E9015,K2818:K9015,"0",B2818:B9015,"5 1 1 1 3 12 31111 6 M59 98000*")</f>
        <v>0</v>
      </c>
      <c r="E2817"/>
      <c r="F2817" s="35">
        <f>SUMIFS(F2818:F9015,K2818:K9015,"0",B2818:B9015,"5 1 1 1 3 12 31111 6 M59 98000*")</f>
        <v>42812.83</v>
      </c>
      <c r="G2817" s="35">
        <f>SUMIFS(G2818:G9015,K2818:K9015,"0",B2818:B9015,"5 1 1 1 3 12 31111 6 M59 98000*")</f>
        <v>0</v>
      </c>
      <c r="H2817" s="35">
        <f t="shared" si="44"/>
        <v>42812.83</v>
      </c>
      <c r="I2817" s="35"/>
      <c r="K2817" t="s">
        <v>15</v>
      </c>
    </row>
    <row r="2818" spans="2:11" ht="24.75" x14ac:dyDescent="0.2">
      <c r="B2818" s="33" t="s">
        <v>3742</v>
      </c>
      <c r="C2818" s="33" t="s">
        <v>3152</v>
      </c>
      <c r="D2818" s="35">
        <f>SUMIFS(D2819:D9015,K2819:K9015,"0",B2819:B9015,"5 1 1 1 3 12 31111 6 M59 98000 000181*")-SUMIFS(E2819:E9015,K2819:K9015,"0",B2819:B9015,"5 1 1 1 3 12 31111 6 M59 98000 000181*")</f>
        <v>0</v>
      </c>
      <c r="E2818"/>
      <c r="F2818" s="35">
        <f>SUMIFS(F2819:F9015,K2819:K9015,"0",B2819:B9015,"5 1 1 1 3 12 31111 6 M59 98000 000181*")</f>
        <v>42812.83</v>
      </c>
      <c r="G2818" s="35">
        <f>SUMIFS(G2819:G9015,K2819:K9015,"0",B2819:B9015,"5 1 1 1 3 12 31111 6 M59 98000 000181*")</f>
        <v>0</v>
      </c>
      <c r="H2818" s="35">
        <f t="shared" si="44"/>
        <v>42812.83</v>
      </c>
      <c r="I2818" s="35"/>
      <c r="K2818" t="s">
        <v>15</v>
      </c>
    </row>
    <row r="2819" spans="2:11" ht="16.5" x14ac:dyDescent="0.2">
      <c r="B2819" s="33" t="s">
        <v>3743</v>
      </c>
      <c r="C2819" s="33" t="s">
        <v>650</v>
      </c>
      <c r="D2819" s="35">
        <f>SUMIFS(D2820:D9015,K2820:K9015,"0",B2820:B9015,"5 1 1 1 3 12 31111 6 M59 98000 000181 0000R*")-SUMIFS(E2820:E9015,K2820:K9015,"0",B2820:B9015,"5 1 1 1 3 12 31111 6 M59 98000 000181 0000R*")</f>
        <v>0</v>
      </c>
      <c r="E2819"/>
      <c r="F2819" s="35">
        <f>SUMIFS(F2820:F9015,K2820:K9015,"0",B2820:B9015,"5 1 1 1 3 12 31111 6 M59 98000 000181 0000R*")</f>
        <v>42812.83</v>
      </c>
      <c r="G2819" s="35">
        <f>SUMIFS(G2820:G9015,K2820:K9015,"0",B2820:B9015,"5 1 1 1 3 12 31111 6 M59 98000 000181 0000R*")</f>
        <v>0</v>
      </c>
      <c r="H2819" s="35">
        <f t="shared" si="44"/>
        <v>42812.83</v>
      </c>
      <c r="I2819" s="35"/>
      <c r="K2819" t="s">
        <v>15</v>
      </c>
    </row>
    <row r="2820" spans="2:11" ht="24.75" x14ac:dyDescent="0.2">
      <c r="B2820" s="33" t="s">
        <v>3744</v>
      </c>
      <c r="C2820" s="33" t="s">
        <v>282</v>
      </c>
      <c r="D2820" s="35">
        <f>SUMIFS(D2821:D9015,K2821:K9015,"0",B2821:B9015,"5 1 1 1 3 12 31111 6 M59 98000 000181 0000R 00001*")-SUMIFS(E2821:E9015,K2821:K9015,"0",B2821:B9015,"5 1 1 1 3 12 31111 6 M59 98000 000181 0000R 00001*")</f>
        <v>0</v>
      </c>
      <c r="E2820"/>
      <c r="F2820" s="35">
        <f>SUMIFS(F2821:F9015,K2821:K9015,"0",B2821:B9015,"5 1 1 1 3 12 31111 6 M59 98000 000181 0000R 00001*")</f>
        <v>42812.83</v>
      </c>
      <c r="G2820" s="35">
        <f>SUMIFS(G2821:G9015,K2821:K9015,"0",B2821:B9015,"5 1 1 1 3 12 31111 6 M59 98000 000181 0000R 00001*")</f>
        <v>0</v>
      </c>
      <c r="H2820" s="35">
        <f t="shared" ref="H2820:H2883" si="45">D2820 + F2820 - G2820</f>
        <v>42812.83</v>
      </c>
      <c r="I2820" s="35"/>
      <c r="K2820" t="s">
        <v>15</v>
      </c>
    </row>
    <row r="2821" spans="2:11" ht="24.75" x14ac:dyDescent="0.2">
      <c r="B2821" s="33" t="s">
        <v>3745</v>
      </c>
      <c r="C2821" s="33" t="s">
        <v>2924</v>
      </c>
      <c r="D2821" s="35">
        <f>SUMIFS(D2822:D9015,K2822:K9015,"0",B2822:B9015,"5 1 1 1 3 12 31111 6 M59 98000 000181 0000R 00001 00113*")-SUMIFS(E2822:E9015,K2822:K9015,"0",B2822:B9015,"5 1 1 1 3 12 31111 6 M59 98000 000181 0000R 00001 00113*")</f>
        <v>0</v>
      </c>
      <c r="E2821"/>
      <c r="F2821" s="35">
        <f>SUMIFS(F2822:F9015,K2822:K9015,"0",B2822:B9015,"5 1 1 1 3 12 31111 6 M59 98000 000181 0000R 00001 00113*")</f>
        <v>42812.83</v>
      </c>
      <c r="G2821" s="35">
        <f>SUMIFS(G2822:G9015,K2822:K9015,"0",B2822:B9015,"5 1 1 1 3 12 31111 6 M59 98000 000181 0000R 00001 00113*")</f>
        <v>0</v>
      </c>
      <c r="H2821" s="35">
        <f t="shared" si="45"/>
        <v>42812.83</v>
      </c>
      <c r="I2821" s="35"/>
      <c r="K2821" t="s">
        <v>15</v>
      </c>
    </row>
    <row r="2822" spans="2:11" ht="24.75" x14ac:dyDescent="0.2">
      <c r="B2822" s="33" t="s">
        <v>3746</v>
      </c>
      <c r="C2822" s="33" t="s">
        <v>1051</v>
      </c>
      <c r="D2822" s="35">
        <f>SUMIFS(D2823:D9015,K2823:K9015,"0",B2823:B9015,"5 1 1 1 3 12 31111 6 M59 98000 000181 0000R 00001 00113 015*")-SUMIFS(E2823:E9015,K2823:K9015,"0",B2823:B9015,"5 1 1 1 3 12 31111 6 M59 98000 000181 0000R 00001 00113 015*")</f>
        <v>0</v>
      </c>
      <c r="E2822"/>
      <c r="F2822" s="35">
        <f>SUMIFS(F2823:F9015,K2823:K9015,"0",B2823:B9015,"5 1 1 1 3 12 31111 6 M59 98000 000181 0000R 00001 00113 015*")</f>
        <v>42812.83</v>
      </c>
      <c r="G2822" s="35">
        <f>SUMIFS(G2823:G9015,K2823:K9015,"0",B2823:B9015,"5 1 1 1 3 12 31111 6 M59 98000 000181 0000R 00001 00113 015*")</f>
        <v>0</v>
      </c>
      <c r="H2822" s="35">
        <f t="shared" si="45"/>
        <v>42812.83</v>
      </c>
      <c r="I2822" s="35"/>
      <c r="K2822" t="s">
        <v>15</v>
      </c>
    </row>
    <row r="2823" spans="2:11" ht="33" x14ac:dyDescent="0.2">
      <c r="B2823" s="33" t="s">
        <v>3747</v>
      </c>
      <c r="C2823" s="33" t="s">
        <v>2927</v>
      </c>
      <c r="D2823" s="35">
        <f>SUMIFS(D2824:D9015,K2824:K9015,"0",B2824:B9015,"5 1 1 1 3 12 31111 6 M59 98000 000181 0000R 00001 00113 015 2111100*")-SUMIFS(E2824:E9015,K2824:K9015,"0",B2824:B9015,"5 1 1 1 3 12 31111 6 M59 98000 000181 0000R 00001 00113 015 2111100*")</f>
        <v>0</v>
      </c>
      <c r="E2823"/>
      <c r="F2823" s="35">
        <f>SUMIFS(F2824:F9015,K2824:K9015,"0",B2824:B9015,"5 1 1 1 3 12 31111 6 M59 98000 000181 0000R 00001 00113 015 2111100*")</f>
        <v>42812.83</v>
      </c>
      <c r="G2823" s="35">
        <f>SUMIFS(G2824:G9015,K2824:K9015,"0",B2824:B9015,"5 1 1 1 3 12 31111 6 M59 98000 000181 0000R 00001 00113 015 2111100*")</f>
        <v>0</v>
      </c>
      <c r="H2823" s="35">
        <f t="shared" si="45"/>
        <v>42812.83</v>
      </c>
      <c r="I2823" s="35"/>
      <c r="K2823" t="s">
        <v>15</v>
      </c>
    </row>
    <row r="2824" spans="2:11" ht="33" x14ac:dyDescent="0.2">
      <c r="B2824" s="33" t="s">
        <v>3748</v>
      </c>
      <c r="C2824" s="33" t="s">
        <v>660</v>
      </c>
      <c r="D2824" s="35">
        <f>SUMIFS(D2825:D9015,K2825:K9015,"0",B2825:B9015,"5 1 1 1 3 12 31111 6 M59 98000 000181 0000R 00001 00113 015 2111100 2024*")-SUMIFS(E2825:E9015,K2825:K9015,"0",B2825:B9015,"5 1 1 1 3 12 31111 6 M59 98000 000181 0000R 00001 00113 015 2111100 2024*")</f>
        <v>0</v>
      </c>
      <c r="E2824"/>
      <c r="F2824" s="35">
        <f>SUMIFS(F2825:F9015,K2825:K9015,"0",B2825:B9015,"5 1 1 1 3 12 31111 6 M59 98000 000181 0000R 00001 00113 015 2111100 2024*")</f>
        <v>42812.83</v>
      </c>
      <c r="G2824" s="35">
        <f>SUMIFS(G2825:G9015,K2825:K9015,"0",B2825:B9015,"5 1 1 1 3 12 31111 6 M59 98000 000181 0000R 00001 00113 015 2111100 2024*")</f>
        <v>0</v>
      </c>
      <c r="H2824" s="35">
        <f t="shared" si="45"/>
        <v>42812.83</v>
      </c>
      <c r="I2824" s="35"/>
      <c r="K2824" t="s">
        <v>15</v>
      </c>
    </row>
    <row r="2825" spans="2:11" ht="41.25" x14ac:dyDescent="0.2">
      <c r="B2825" s="33" t="s">
        <v>3749</v>
      </c>
      <c r="C2825" s="33" t="s">
        <v>3495</v>
      </c>
      <c r="D2825" s="35">
        <f>SUMIFS(D2826:D9015,K2826:K9015,"0",B2826:B9015,"5 1 1 1 3 12 31111 6 M59 98000 000181 0000R 00001 00113 015 2111100 2024 CP1RH392*")-SUMIFS(E2826:E9015,K2826:K9015,"0",B2826:B9015,"5 1 1 1 3 12 31111 6 M59 98000 000181 0000R 00001 00113 015 2111100 2024 CP1RH392*")</f>
        <v>0</v>
      </c>
      <c r="E2825"/>
      <c r="F2825" s="35">
        <f>SUMIFS(F2826:F9015,K2826:K9015,"0",B2826:B9015,"5 1 1 1 3 12 31111 6 M59 98000 000181 0000R 00001 00113 015 2111100 2024 CP1RH392*")</f>
        <v>42812.83</v>
      </c>
      <c r="G2825" s="35">
        <f>SUMIFS(G2826:G9015,K2826:K9015,"0",B2826:B9015,"5 1 1 1 3 12 31111 6 M59 98000 000181 0000R 00001 00113 015 2111100 2024 CP1RH392*")</f>
        <v>0</v>
      </c>
      <c r="H2825" s="35">
        <f t="shared" si="45"/>
        <v>42812.83</v>
      </c>
      <c r="I2825" s="35"/>
      <c r="K2825" t="s">
        <v>15</v>
      </c>
    </row>
    <row r="2826" spans="2:11" ht="41.25" x14ac:dyDescent="0.2">
      <c r="B2826" s="33" t="s">
        <v>3750</v>
      </c>
      <c r="C2826" s="33" t="s">
        <v>282</v>
      </c>
      <c r="D2826" s="35">
        <f>SUMIFS(D2827:D9015,K2827:K9015,"0",B2827:B9015,"5 1 1 1 3 12 31111 6 M59 98000 000181 0000R 00001 00113 015 2111100 2024 CP1RH392 001*")-SUMIFS(E2827:E9015,K2827:K9015,"0",B2827:B9015,"5 1 1 1 3 12 31111 6 M59 98000 000181 0000R 00001 00113 015 2111100 2024 CP1RH392 001*")</f>
        <v>0</v>
      </c>
      <c r="E2826"/>
      <c r="F2826" s="35">
        <f>SUMIFS(F2827:F9015,K2827:K9015,"0",B2827:B9015,"5 1 1 1 3 12 31111 6 M59 98000 000181 0000R 00001 00113 015 2111100 2024 CP1RH392 001*")</f>
        <v>42812.83</v>
      </c>
      <c r="G2826" s="35">
        <f>SUMIFS(G2827:G9015,K2827:K9015,"0",B2827:B9015,"5 1 1 1 3 12 31111 6 M59 98000 000181 0000R 00001 00113 015 2111100 2024 CP1RH392 001*")</f>
        <v>0</v>
      </c>
      <c r="H2826" s="35">
        <f t="shared" si="45"/>
        <v>42812.83</v>
      </c>
      <c r="I2826" s="35"/>
      <c r="K2826" t="s">
        <v>15</v>
      </c>
    </row>
    <row r="2827" spans="2:11" ht="33" x14ac:dyDescent="0.2">
      <c r="B2827" s="31" t="s">
        <v>3751</v>
      </c>
      <c r="C2827" s="31" t="s">
        <v>3752</v>
      </c>
      <c r="D2827" s="34">
        <v>0</v>
      </c>
      <c r="E2827" s="34"/>
      <c r="F2827" s="34">
        <v>42812.83</v>
      </c>
      <c r="G2827" s="34">
        <v>0</v>
      </c>
      <c r="H2827" s="34">
        <f t="shared" si="45"/>
        <v>42812.83</v>
      </c>
      <c r="I2827" s="34"/>
      <c r="K2827" t="s">
        <v>38</v>
      </c>
    </row>
    <row r="2828" spans="2:11" ht="16.5" x14ac:dyDescent="0.2">
      <c r="B2828" s="33" t="s">
        <v>3753</v>
      </c>
      <c r="C2828" s="33" t="s">
        <v>3754</v>
      </c>
      <c r="D2828" s="35">
        <f>SUMIFS(D2829:D9015,K2829:K9015,"0",B2829:B9015,"5 1 1 1 3 12 31111 6 M59 99000*")-SUMIFS(E2829:E9015,K2829:K9015,"0",B2829:B9015,"5 1 1 1 3 12 31111 6 M59 99000*")</f>
        <v>0</v>
      </c>
      <c r="E2828"/>
      <c r="F2828" s="35">
        <f>SUMIFS(F2829:F9015,K2829:K9015,"0",B2829:B9015,"5 1 1 1 3 12 31111 6 M59 99000*")</f>
        <v>138534.15</v>
      </c>
      <c r="G2828" s="35">
        <f>SUMIFS(G2829:G9015,K2829:K9015,"0",B2829:B9015,"5 1 1 1 3 12 31111 6 M59 99000*")</f>
        <v>0</v>
      </c>
      <c r="H2828" s="35">
        <f t="shared" si="45"/>
        <v>138534.15</v>
      </c>
      <c r="I2828" s="35"/>
      <c r="K2828" t="s">
        <v>15</v>
      </c>
    </row>
    <row r="2829" spans="2:11" ht="16.5" x14ac:dyDescent="0.2">
      <c r="B2829" s="33" t="s">
        <v>3755</v>
      </c>
      <c r="C2829" s="33" t="s">
        <v>648</v>
      </c>
      <c r="D2829" s="35">
        <f>SUMIFS(D2830:D9015,K2830:K9015,"0",B2830:B9015,"5 1 1 1 3 12 31111 6 M59 99000 000132*")-SUMIFS(E2830:E9015,K2830:K9015,"0",B2830:B9015,"5 1 1 1 3 12 31111 6 M59 99000 000132*")</f>
        <v>0</v>
      </c>
      <c r="E2829"/>
      <c r="F2829" s="35">
        <f>SUMIFS(F2830:F9015,K2830:K9015,"0",B2830:B9015,"5 1 1 1 3 12 31111 6 M59 99000 000132*")</f>
        <v>138534.15</v>
      </c>
      <c r="G2829" s="35">
        <f>SUMIFS(G2830:G9015,K2830:K9015,"0",B2830:B9015,"5 1 1 1 3 12 31111 6 M59 99000 000132*")</f>
        <v>0</v>
      </c>
      <c r="H2829" s="35">
        <f t="shared" si="45"/>
        <v>138534.15</v>
      </c>
      <c r="I2829" s="35"/>
      <c r="K2829" t="s">
        <v>15</v>
      </c>
    </row>
    <row r="2830" spans="2:11" ht="16.5" x14ac:dyDescent="0.2">
      <c r="B2830" s="33" t="s">
        <v>3756</v>
      </c>
      <c r="C2830" s="33" t="s">
        <v>650</v>
      </c>
      <c r="D2830" s="35">
        <f>SUMIFS(D2831:D9015,K2831:K9015,"0",B2831:B9015,"5 1 1 1 3 12 31111 6 M59 99000 000132 0000R*")-SUMIFS(E2831:E9015,K2831:K9015,"0",B2831:B9015,"5 1 1 1 3 12 31111 6 M59 99000 000132 0000R*")</f>
        <v>0</v>
      </c>
      <c r="E2830"/>
      <c r="F2830" s="35">
        <f>SUMIFS(F2831:F9015,K2831:K9015,"0",B2831:B9015,"5 1 1 1 3 12 31111 6 M59 99000 000132 0000R*")</f>
        <v>138534.15</v>
      </c>
      <c r="G2830" s="35">
        <f>SUMIFS(G2831:G9015,K2831:K9015,"0",B2831:B9015,"5 1 1 1 3 12 31111 6 M59 99000 000132 0000R*")</f>
        <v>0</v>
      </c>
      <c r="H2830" s="35">
        <f t="shared" si="45"/>
        <v>138534.15</v>
      </c>
      <c r="I2830" s="35"/>
      <c r="K2830" t="s">
        <v>15</v>
      </c>
    </row>
    <row r="2831" spans="2:11" ht="24.75" x14ac:dyDescent="0.2">
      <c r="B2831" s="33" t="s">
        <v>3757</v>
      </c>
      <c r="C2831" s="33" t="s">
        <v>282</v>
      </c>
      <c r="D2831" s="35">
        <f>SUMIFS(D2832:D9015,K2832:K9015,"0",B2832:B9015,"5 1 1 1 3 12 31111 6 M59 99000 000132 0000R 00001*")-SUMIFS(E2832:E9015,K2832:K9015,"0",B2832:B9015,"5 1 1 1 3 12 31111 6 M59 99000 000132 0000R 00001*")</f>
        <v>0</v>
      </c>
      <c r="E2831"/>
      <c r="F2831" s="35">
        <f>SUMIFS(F2832:F9015,K2832:K9015,"0",B2832:B9015,"5 1 1 1 3 12 31111 6 M59 99000 000132 0000R 00001*")</f>
        <v>138534.15</v>
      </c>
      <c r="G2831" s="35">
        <f>SUMIFS(G2832:G9015,K2832:K9015,"0",B2832:B9015,"5 1 1 1 3 12 31111 6 M59 99000 000132 0000R 00001*")</f>
        <v>0</v>
      </c>
      <c r="H2831" s="35">
        <f t="shared" si="45"/>
        <v>138534.15</v>
      </c>
      <c r="I2831" s="35"/>
      <c r="K2831" t="s">
        <v>15</v>
      </c>
    </row>
    <row r="2832" spans="2:11" ht="24.75" x14ac:dyDescent="0.2">
      <c r="B2832" s="33" t="s">
        <v>3758</v>
      </c>
      <c r="C2832" s="33" t="s">
        <v>2924</v>
      </c>
      <c r="D2832" s="35">
        <f>SUMIFS(D2833:D9015,K2833:K9015,"0",B2833:B9015,"5 1 1 1 3 12 31111 6 M59 99000 000132 0000R 00001 00113*")-SUMIFS(E2833:E9015,K2833:K9015,"0",B2833:B9015,"5 1 1 1 3 12 31111 6 M59 99000 000132 0000R 00001 00113*")</f>
        <v>0</v>
      </c>
      <c r="E2832"/>
      <c r="F2832" s="35">
        <f>SUMIFS(F2833:F9015,K2833:K9015,"0",B2833:B9015,"5 1 1 1 3 12 31111 6 M59 99000 000132 0000R 00001 00113*")</f>
        <v>138534.15</v>
      </c>
      <c r="G2832" s="35">
        <f>SUMIFS(G2833:G9015,K2833:K9015,"0",B2833:B9015,"5 1 1 1 3 12 31111 6 M59 99000 000132 0000R 00001 00113*")</f>
        <v>0</v>
      </c>
      <c r="H2832" s="35">
        <f t="shared" si="45"/>
        <v>138534.15</v>
      </c>
      <c r="I2832" s="35"/>
      <c r="K2832" t="s">
        <v>15</v>
      </c>
    </row>
    <row r="2833" spans="2:11" ht="24.75" x14ac:dyDescent="0.2">
      <c r="B2833" s="33" t="s">
        <v>3759</v>
      </c>
      <c r="C2833" s="33" t="s">
        <v>1051</v>
      </c>
      <c r="D2833" s="35">
        <f>SUMIFS(D2834:D9015,K2834:K9015,"0",B2834:B9015,"5 1 1 1 3 12 31111 6 M59 99000 000132 0000R 00001 00113 015*")-SUMIFS(E2834:E9015,K2834:K9015,"0",B2834:B9015,"5 1 1 1 3 12 31111 6 M59 99000 000132 0000R 00001 00113 015*")</f>
        <v>0</v>
      </c>
      <c r="E2833"/>
      <c r="F2833" s="35">
        <f>SUMIFS(F2834:F9015,K2834:K9015,"0",B2834:B9015,"5 1 1 1 3 12 31111 6 M59 99000 000132 0000R 00001 00113 015*")</f>
        <v>138534.15</v>
      </c>
      <c r="G2833" s="35">
        <f>SUMIFS(G2834:G9015,K2834:K9015,"0",B2834:B9015,"5 1 1 1 3 12 31111 6 M59 99000 000132 0000R 00001 00113 015*")</f>
        <v>0</v>
      </c>
      <c r="H2833" s="35">
        <f t="shared" si="45"/>
        <v>138534.15</v>
      </c>
      <c r="I2833" s="35"/>
      <c r="K2833" t="s">
        <v>15</v>
      </c>
    </row>
    <row r="2834" spans="2:11" ht="33" x14ac:dyDescent="0.2">
      <c r="B2834" s="33" t="s">
        <v>3760</v>
      </c>
      <c r="C2834" s="33" t="s">
        <v>2927</v>
      </c>
      <c r="D2834" s="35">
        <f>SUMIFS(D2835:D9015,K2835:K9015,"0",B2835:B9015,"5 1 1 1 3 12 31111 6 M59 99000 000132 0000R 00001 00113 015 2111100*")-SUMIFS(E2835:E9015,K2835:K9015,"0",B2835:B9015,"5 1 1 1 3 12 31111 6 M59 99000 000132 0000R 00001 00113 015 2111100*")</f>
        <v>0</v>
      </c>
      <c r="E2834"/>
      <c r="F2834" s="35">
        <f>SUMIFS(F2835:F9015,K2835:K9015,"0",B2835:B9015,"5 1 1 1 3 12 31111 6 M59 99000 000132 0000R 00001 00113 015 2111100*")</f>
        <v>138534.15</v>
      </c>
      <c r="G2834" s="35">
        <f>SUMIFS(G2835:G9015,K2835:K9015,"0",B2835:B9015,"5 1 1 1 3 12 31111 6 M59 99000 000132 0000R 00001 00113 015 2111100*")</f>
        <v>0</v>
      </c>
      <c r="H2834" s="35">
        <f t="shared" si="45"/>
        <v>138534.15</v>
      </c>
      <c r="I2834" s="35"/>
      <c r="K2834" t="s">
        <v>15</v>
      </c>
    </row>
    <row r="2835" spans="2:11" ht="33" x14ac:dyDescent="0.2">
      <c r="B2835" s="33" t="s">
        <v>3761</v>
      </c>
      <c r="C2835" s="33" t="s">
        <v>660</v>
      </c>
      <c r="D2835" s="35">
        <f>SUMIFS(D2836:D9015,K2836:K9015,"0",B2836:B9015,"5 1 1 1 3 12 31111 6 M59 99000 000132 0000R 00001 00113 015 2111100 2024*")-SUMIFS(E2836:E9015,K2836:K9015,"0",B2836:B9015,"5 1 1 1 3 12 31111 6 M59 99000 000132 0000R 00001 00113 015 2111100 2024*")</f>
        <v>0</v>
      </c>
      <c r="E2835"/>
      <c r="F2835" s="35">
        <f>SUMIFS(F2836:F9015,K2836:K9015,"0",B2836:B9015,"5 1 1 1 3 12 31111 6 M59 99000 000132 0000R 00001 00113 015 2111100 2024*")</f>
        <v>138534.15</v>
      </c>
      <c r="G2835" s="35">
        <f>SUMIFS(G2836:G9015,K2836:K9015,"0",B2836:B9015,"5 1 1 1 3 12 31111 6 M59 99000 000132 0000R 00001 00113 015 2111100 2024*")</f>
        <v>0</v>
      </c>
      <c r="H2835" s="35">
        <f t="shared" si="45"/>
        <v>138534.15</v>
      </c>
      <c r="I2835" s="35"/>
      <c r="K2835" t="s">
        <v>15</v>
      </c>
    </row>
    <row r="2836" spans="2:11" ht="41.25" x14ac:dyDescent="0.2">
      <c r="B2836" s="33" t="s">
        <v>3762</v>
      </c>
      <c r="C2836" s="33" t="s">
        <v>1056</v>
      </c>
      <c r="D2836" s="35">
        <f>SUMIFS(D2837:D9015,K2837:K9015,"0",B2837:B9015,"5 1 1 1 3 12 31111 6 M59 99000 000132 0000R 00001 00113 015 2111100 2024 CP1MG408*")-SUMIFS(E2837:E9015,K2837:K9015,"0",B2837:B9015,"5 1 1 1 3 12 31111 6 M59 99000 000132 0000R 00001 00113 015 2111100 2024 CP1MG408*")</f>
        <v>0</v>
      </c>
      <c r="E2836"/>
      <c r="F2836" s="35">
        <f>SUMIFS(F2837:F9015,K2837:K9015,"0",B2837:B9015,"5 1 1 1 3 12 31111 6 M59 99000 000132 0000R 00001 00113 015 2111100 2024 CP1MG408*")</f>
        <v>138534.15</v>
      </c>
      <c r="G2836" s="35">
        <f>SUMIFS(G2837:G9015,K2837:K9015,"0",B2837:B9015,"5 1 1 1 3 12 31111 6 M59 99000 000132 0000R 00001 00113 015 2111100 2024 CP1MG408*")</f>
        <v>0</v>
      </c>
      <c r="H2836" s="35">
        <f t="shared" si="45"/>
        <v>138534.15</v>
      </c>
      <c r="I2836" s="35"/>
      <c r="K2836" t="s">
        <v>15</v>
      </c>
    </row>
    <row r="2837" spans="2:11" ht="41.25" x14ac:dyDescent="0.2">
      <c r="B2837" s="33" t="s">
        <v>3763</v>
      </c>
      <c r="C2837" s="33" t="s">
        <v>282</v>
      </c>
      <c r="D2837" s="35">
        <f>SUMIFS(D2838:D9015,K2838:K9015,"0",B2838:B9015,"5 1 1 1 3 12 31111 6 M59 99000 000132 0000R 00001 00113 015 2111100 2024 CP1MG408 001*")-SUMIFS(E2838:E9015,K2838:K9015,"0",B2838:B9015,"5 1 1 1 3 12 31111 6 M59 99000 000132 0000R 00001 00113 015 2111100 2024 CP1MG408 001*")</f>
        <v>0</v>
      </c>
      <c r="E2837"/>
      <c r="F2837" s="35">
        <f>SUMIFS(F2838:F9015,K2838:K9015,"0",B2838:B9015,"5 1 1 1 3 12 31111 6 M59 99000 000132 0000R 00001 00113 015 2111100 2024 CP1MG408 001*")</f>
        <v>138534.15</v>
      </c>
      <c r="G2837" s="35">
        <f>SUMIFS(G2838:G9015,K2838:K9015,"0",B2838:B9015,"5 1 1 1 3 12 31111 6 M59 99000 000132 0000R 00001 00113 015 2111100 2024 CP1MG408 001*")</f>
        <v>0</v>
      </c>
      <c r="H2837" s="35">
        <f t="shared" si="45"/>
        <v>138534.15</v>
      </c>
      <c r="I2837" s="35"/>
      <c r="K2837" t="s">
        <v>15</v>
      </c>
    </row>
    <row r="2838" spans="2:11" ht="41.25" x14ac:dyDescent="0.2">
      <c r="B2838" s="31" t="s">
        <v>3764</v>
      </c>
      <c r="C2838" s="31" t="s">
        <v>2932</v>
      </c>
      <c r="D2838" s="34">
        <v>0</v>
      </c>
      <c r="E2838" s="34"/>
      <c r="F2838" s="34">
        <v>138534.15</v>
      </c>
      <c r="G2838" s="34">
        <v>0</v>
      </c>
      <c r="H2838" s="34">
        <f t="shared" si="45"/>
        <v>138534.15</v>
      </c>
      <c r="I2838" s="34"/>
      <c r="K2838" t="s">
        <v>38</v>
      </c>
    </row>
    <row r="2839" spans="2:11" ht="16.5" x14ac:dyDescent="0.2">
      <c r="B2839" s="33" t="s">
        <v>3765</v>
      </c>
      <c r="C2839" s="33" t="s">
        <v>3766</v>
      </c>
      <c r="D2839" s="35">
        <f>SUMIFS(D2840:D9015,K2840:K9015,"0",B2840:B9015,"5 1 1 3*")-SUMIFS(E2840:E9015,K2840:K9015,"0",B2840:B9015,"5 1 1 3*")</f>
        <v>0</v>
      </c>
      <c r="E2839"/>
      <c r="F2839" s="35">
        <f>SUMIFS(F2840:F9015,K2840:K9015,"0",B2840:B9015,"5 1 1 3*")</f>
        <v>7873422.6500000041</v>
      </c>
      <c r="G2839" s="35">
        <f>SUMIFS(G2840:G9015,K2840:K9015,"0",B2840:B9015,"5 1 1 3*")</f>
        <v>0</v>
      </c>
      <c r="H2839" s="35">
        <f t="shared" si="45"/>
        <v>7873422.6500000041</v>
      </c>
      <c r="I2839" s="35"/>
      <c r="K2839" t="s">
        <v>15</v>
      </c>
    </row>
    <row r="2840" spans="2:11" ht="24.75" x14ac:dyDescent="0.2">
      <c r="B2840" s="33" t="s">
        <v>3767</v>
      </c>
      <c r="C2840" s="33" t="s">
        <v>3768</v>
      </c>
      <c r="D2840" s="35">
        <f>SUMIFS(D2841:D9015,K2841:K9015,"0",B2841:B9015,"5 1 1 3 1*")-SUMIFS(E2841:E9015,K2841:K9015,"0",B2841:B9015,"5 1 1 3 1*")</f>
        <v>0</v>
      </c>
      <c r="E2840"/>
      <c r="F2840" s="35">
        <f>SUMIFS(F2841:F9015,K2841:K9015,"0",B2841:B9015,"5 1 1 3 1*")</f>
        <v>129906</v>
      </c>
      <c r="G2840" s="35">
        <f>SUMIFS(G2841:G9015,K2841:K9015,"0",B2841:B9015,"5 1 1 3 1*")</f>
        <v>0</v>
      </c>
      <c r="H2840" s="35">
        <f t="shared" si="45"/>
        <v>129906</v>
      </c>
      <c r="I2840" s="35"/>
      <c r="K2840" t="s">
        <v>15</v>
      </c>
    </row>
    <row r="2841" spans="2:11" ht="12.75" x14ac:dyDescent="0.2">
      <c r="B2841" s="33" t="s">
        <v>3769</v>
      </c>
      <c r="C2841" s="33" t="s">
        <v>26</v>
      </c>
      <c r="D2841" s="35">
        <f>SUMIFS(D2842:D9015,K2842:K9015,"0",B2842:B9015,"5 1 1 3 1 12*")-SUMIFS(E2842:E9015,K2842:K9015,"0",B2842:B9015,"5 1 1 3 1 12*")</f>
        <v>0</v>
      </c>
      <c r="E2841"/>
      <c r="F2841" s="35">
        <f>SUMIFS(F2842:F9015,K2842:K9015,"0",B2842:B9015,"5 1 1 3 1 12*")</f>
        <v>129906</v>
      </c>
      <c r="G2841" s="35">
        <f>SUMIFS(G2842:G9015,K2842:K9015,"0",B2842:B9015,"5 1 1 3 1 12*")</f>
        <v>0</v>
      </c>
      <c r="H2841" s="35">
        <f t="shared" si="45"/>
        <v>129906</v>
      </c>
      <c r="I2841" s="35"/>
      <c r="K2841" t="s">
        <v>15</v>
      </c>
    </row>
    <row r="2842" spans="2:11" ht="16.5" x14ac:dyDescent="0.2">
      <c r="B2842" s="33" t="s">
        <v>3770</v>
      </c>
      <c r="C2842" s="33" t="s">
        <v>28</v>
      </c>
      <c r="D2842" s="35">
        <f>SUMIFS(D2843:D9015,K2843:K9015,"0",B2843:B9015,"5 1 1 3 1 12 31111*")-SUMIFS(E2843:E9015,K2843:K9015,"0",B2843:B9015,"5 1 1 3 1 12 31111*")</f>
        <v>0</v>
      </c>
      <c r="E2842"/>
      <c r="F2842" s="35">
        <f>SUMIFS(F2843:F9015,K2843:K9015,"0",B2843:B9015,"5 1 1 3 1 12 31111*")</f>
        <v>129906</v>
      </c>
      <c r="G2842" s="35">
        <f>SUMIFS(G2843:G9015,K2843:K9015,"0",B2843:B9015,"5 1 1 3 1 12 31111*")</f>
        <v>0</v>
      </c>
      <c r="H2842" s="35">
        <f t="shared" si="45"/>
        <v>129906</v>
      </c>
      <c r="I2842" s="35"/>
      <c r="K2842" t="s">
        <v>15</v>
      </c>
    </row>
    <row r="2843" spans="2:11" ht="12.75" x14ac:dyDescent="0.2">
      <c r="B2843" s="33" t="s">
        <v>3771</v>
      </c>
      <c r="C2843" s="33" t="s">
        <v>30</v>
      </c>
      <c r="D2843" s="35">
        <f>SUMIFS(D2844:D9015,K2844:K9015,"0",B2844:B9015,"5 1 1 3 1 12 31111 6*")-SUMIFS(E2844:E9015,K2844:K9015,"0",B2844:B9015,"5 1 1 3 1 12 31111 6*")</f>
        <v>0</v>
      </c>
      <c r="E2843"/>
      <c r="F2843" s="35">
        <f>SUMIFS(F2844:F9015,K2844:K9015,"0",B2844:B9015,"5 1 1 3 1 12 31111 6*")</f>
        <v>129906</v>
      </c>
      <c r="G2843" s="35">
        <f>SUMIFS(G2844:G9015,K2844:K9015,"0",B2844:B9015,"5 1 1 3 1 12 31111 6*")</f>
        <v>0</v>
      </c>
      <c r="H2843" s="35">
        <f t="shared" si="45"/>
        <v>129906</v>
      </c>
      <c r="I2843" s="35"/>
      <c r="K2843" t="s">
        <v>15</v>
      </c>
    </row>
    <row r="2844" spans="2:11" ht="16.5" x14ac:dyDescent="0.2">
      <c r="B2844" s="33" t="s">
        <v>3772</v>
      </c>
      <c r="C2844" s="33" t="s">
        <v>2284</v>
      </c>
      <c r="D2844" s="35">
        <f>SUMIFS(D2845:D9015,K2845:K9015,"0",B2845:B9015,"5 1 1 3 1 12 31111 6 M59*")-SUMIFS(E2845:E9015,K2845:K9015,"0",B2845:B9015,"5 1 1 3 1 12 31111 6 M59*")</f>
        <v>0</v>
      </c>
      <c r="E2844"/>
      <c r="F2844" s="35">
        <f>SUMIFS(F2845:F9015,K2845:K9015,"0",B2845:B9015,"5 1 1 3 1 12 31111 6 M59*")</f>
        <v>129906</v>
      </c>
      <c r="G2844" s="35">
        <f>SUMIFS(G2845:G9015,K2845:K9015,"0",B2845:B9015,"5 1 1 3 1 12 31111 6 M59*")</f>
        <v>0</v>
      </c>
      <c r="H2844" s="35">
        <f t="shared" si="45"/>
        <v>129906</v>
      </c>
      <c r="I2844" s="35"/>
      <c r="K2844" t="s">
        <v>15</v>
      </c>
    </row>
    <row r="2845" spans="2:11" ht="16.5" x14ac:dyDescent="0.2">
      <c r="B2845" s="33" t="s">
        <v>3773</v>
      </c>
      <c r="C2845" s="33" t="s">
        <v>2971</v>
      </c>
      <c r="D2845" s="35">
        <f>SUMIFS(D2846:D9015,K2846:K9015,"0",B2846:B9015,"5 1 1 3 1 12 31111 6 M59 10500*")-SUMIFS(E2846:E9015,K2846:K9015,"0",B2846:B9015,"5 1 1 3 1 12 31111 6 M59 10500*")</f>
        <v>0</v>
      </c>
      <c r="E2845"/>
      <c r="F2845" s="35">
        <f>SUMIFS(F2846:F9015,K2846:K9015,"0",B2846:B9015,"5 1 1 3 1 12 31111 6 M59 10500*")</f>
        <v>9020</v>
      </c>
      <c r="G2845" s="35">
        <f>SUMIFS(G2846:G9015,K2846:K9015,"0",B2846:B9015,"5 1 1 3 1 12 31111 6 M59 10500*")</f>
        <v>0</v>
      </c>
      <c r="H2845" s="35">
        <f t="shared" si="45"/>
        <v>9020</v>
      </c>
      <c r="I2845" s="35"/>
      <c r="K2845" t="s">
        <v>15</v>
      </c>
    </row>
    <row r="2846" spans="2:11" ht="16.5" x14ac:dyDescent="0.2">
      <c r="B2846" s="33" t="s">
        <v>3774</v>
      </c>
      <c r="C2846" s="33" t="s">
        <v>648</v>
      </c>
      <c r="D2846" s="35">
        <f>SUMIFS(D2847:D9015,K2847:K9015,"0",B2847:B9015,"5 1 1 3 1 12 31111 6 M59 10500 000132*")-SUMIFS(E2847:E9015,K2847:K9015,"0",B2847:B9015,"5 1 1 3 1 12 31111 6 M59 10500 000132*")</f>
        <v>0</v>
      </c>
      <c r="E2846"/>
      <c r="F2846" s="35">
        <f>SUMIFS(F2847:F9015,K2847:K9015,"0",B2847:B9015,"5 1 1 3 1 12 31111 6 M59 10500 000132*")</f>
        <v>9020</v>
      </c>
      <c r="G2846" s="35">
        <f>SUMIFS(G2847:G9015,K2847:K9015,"0",B2847:B9015,"5 1 1 3 1 12 31111 6 M59 10500 000132*")</f>
        <v>0</v>
      </c>
      <c r="H2846" s="35">
        <f t="shared" si="45"/>
        <v>9020</v>
      </c>
      <c r="I2846" s="35"/>
      <c r="K2846" t="s">
        <v>15</v>
      </c>
    </row>
    <row r="2847" spans="2:11" ht="16.5" x14ac:dyDescent="0.2">
      <c r="B2847" s="33" t="s">
        <v>3775</v>
      </c>
      <c r="C2847" s="33" t="s">
        <v>650</v>
      </c>
      <c r="D2847" s="35">
        <f>SUMIFS(D2848:D9015,K2848:K9015,"0",B2848:B9015,"5 1 1 3 1 12 31111 6 M59 10500 000132 0000R*")-SUMIFS(E2848:E9015,K2848:K9015,"0",B2848:B9015,"5 1 1 3 1 12 31111 6 M59 10500 000132 0000R*")</f>
        <v>0</v>
      </c>
      <c r="E2847"/>
      <c r="F2847" s="35">
        <f>SUMIFS(F2848:F9015,K2848:K9015,"0",B2848:B9015,"5 1 1 3 1 12 31111 6 M59 10500 000132 0000R*")</f>
        <v>9020</v>
      </c>
      <c r="G2847" s="35">
        <f>SUMIFS(G2848:G9015,K2848:K9015,"0",B2848:B9015,"5 1 1 3 1 12 31111 6 M59 10500 000132 0000R*")</f>
        <v>0</v>
      </c>
      <c r="H2847" s="35">
        <f t="shared" si="45"/>
        <v>9020</v>
      </c>
      <c r="I2847" s="35"/>
      <c r="K2847" t="s">
        <v>15</v>
      </c>
    </row>
    <row r="2848" spans="2:11" ht="24.75" x14ac:dyDescent="0.2">
      <c r="B2848" s="33" t="s">
        <v>3776</v>
      </c>
      <c r="C2848" s="33" t="s">
        <v>282</v>
      </c>
      <c r="D2848" s="35">
        <f>SUMIFS(D2849:D9015,K2849:K9015,"0",B2849:B9015,"5 1 1 3 1 12 31111 6 M59 10500 000132 0000R 00001*")-SUMIFS(E2849:E9015,K2849:K9015,"0",B2849:B9015,"5 1 1 3 1 12 31111 6 M59 10500 000132 0000R 00001*")</f>
        <v>0</v>
      </c>
      <c r="E2848"/>
      <c r="F2848" s="35">
        <f>SUMIFS(F2849:F9015,K2849:K9015,"0",B2849:B9015,"5 1 1 3 1 12 31111 6 M59 10500 000132 0000R 00001*")</f>
        <v>9020</v>
      </c>
      <c r="G2848" s="35">
        <f>SUMIFS(G2849:G9015,K2849:K9015,"0",B2849:B9015,"5 1 1 3 1 12 31111 6 M59 10500 000132 0000R 00001*")</f>
        <v>0</v>
      </c>
      <c r="H2848" s="35">
        <f t="shared" si="45"/>
        <v>9020</v>
      </c>
      <c r="I2848" s="35"/>
      <c r="K2848" t="s">
        <v>15</v>
      </c>
    </row>
    <row r="2849" spans="2:11" ht="24.75" x14ac:dyDescent="0.2">
      <c r="B2849" s="33" t="s">
        <v>3777</v>
      </c>
      <c r="C2849" s="33" t="s">
        <v>3778</v>
      </c>
      <c r="D2849" s="35">
        <f>SUMIFS(D2850:D9015,K2850:K9015,"0",B2850:B9015,"5 1 1 3 1 12 31111 6 M59 10500 000132 0000R 00001 00131*")-SUMIFS(E2850:E9015,K2850:K9015,"0",B2850:B9015,"5 1 1 3 1 12 31111 6 M59 10500 000132 0000R 00001 00131*")</f>
        <v>0</v>
      </c>
      <c r="E2849"/>
      <c r="F2849" s="35">
        <f>SUMIFS(F2850:F9015,K2850:K9015,"0",B2850:B9015,"5 1 1 3 1 12 31111 6 M59 10500 000132 0000R 00001 00131*")</f>
        <v>9020</v>
      </c>
      <c r="G2849" s="35">
        <f>SUMIFS(G2850:G9015,K2850:K9015,"0",B2850:B9015,"5 1 1 3 1 12 31111 6 M59 10500 000132 0000R 00001 00131*")</f>
        <v>0</v>
      </c>
      <c r="H2849" s="35">
        <f t="shared" si="45"/>
        <v>9020</v>
      </c>
      <c r="I2849" s="35"/>
      <c r="K2849" t="s">
        <v>15</v>
      </c>
    </row>
    <row r="2850" spans="2:11" ht="24.75" x14ac:dyDescent="0.2">
      <c r="B2850" s="33" t="s">
        <v>3779</v>
      </c>
      <c r="C2850" s="33" t="s">
        <v>1051</v>
      </c>
      <c r="D2850" s="35">
        <f>SUMIFS(D2851:D9015,K2851:K9015,"0",B2851:B9015,"5 1 1 3 1 12 31111 6 M59 10500 000132 0000R 00001 00131 015*")-SUMIFS(E2851:E9015,K2851:K9015,"0",B2851:B9015,"5 1 1 3 1 12 31111 6 M59 10500 000132 0000R 00001 00131 015*")</f>
        <v>0</v>
      </c>
      <c r="E2850"/>
      <c r="F2850" s="35">
        <f>SUMIFS(F2851:F9015,K2851:K9015,"0",B2851:B9015,"5 1 1 3 1 12 31111 6 M59 10500 000132 0000R 00001 00131 015*")</f>
        <v>9020</v>
      </c>
      <c r="G2850" s="35">
        <f>SUMIFS(G2851:G9015,K2851:K9015,"0",B2851:B9015,"5 1 1 3 1 12 31111 6 M59 10500 000132 0000R 00001 00131 015*")</f>
        <v>0</v>
      </c>
      <c r="H2850" s="35">
        <f t="shared" si="45"/>
        <v>9020</v>
      </c>
      <c r="I2850" s="35"/>
      <c r="K2850" t="s">
        <v>15</v>
      </c>
    </row>
    <row r="2851" spans="2:11" ht="33" x14ac:dyDescent="0.2">
      <c r="B2851" s="33" t="s">
        <v>3780</v>
      </c>
      <c r="C2851" s="33" t="s">
        <v>2927</v>
      </c>
      <c r="D2851" s="35">
        <f>SUMIFS(D2852:D9015,K2852:K9015,"0",B2852:B9015,"5 1 1 3 1 12 31111 6 M59 10500 000132 0000R 00001 00131 015 2111100*")-SUMIFS(E2852:E9015,K2852:K9015,"0",B2852:B9015,"5 1 1 3 1 12 31111 6 M59 10500 000132 0000R 00001 00131 015 2111100*")</f>
        <v>0</v>
      </c>
      <c r="E2851"/>
      <c r="F2851" s="35">
        <f>SUMIFS(F2852:F9015,K2852:K9015,"0",B2852:B9015,"5 1 1 3 1 12 31111 6 M59 10500 000132 0000R 00001 00131 015 2111100*")</f>
        <v>9020</v>
      </c>
      <c r="G2851" s="35">
        <f>SUMIFS(G2852:G9015,K2852:K9015,"0",B2852:B9015,"5 1 1 3 1 12 31111 6 M59 10500 000132 0000R 00001 00131 015 2111100*")</f>
        <v>0</v>
      </c>
      <c r="H2851" s="35">
        <f t="shared" si="45"/>
        <v>9020</v>
      </c>
      <c r="I2851" s="35"/>
      <c r="K2851" t="s">
        <v>15</v>
      </c>
    </row>
    <row r="2852" spans="2:11" ht="33" x14ac:dyDescent="0.2">
      <c r="B2852" s="33" t="s">
        <v>3781</v>
      </c>
      <c r="C2852" s="33" t="s">
        <v>660</v>
      </c>
      <c r="D2852" s="35">
        <f>SUMIFS(D2853:D9015,K2853:K9015,"0",B2853:B9015,"5 1 1 3 1 12 31111 6 M59 10500 000132 0000R 00001 00131 015 2111100 2024*")-SUMIFS(E2853:E9015,K2853:K9015,"0",B2853:B9015,"5 1 1 3 1 12 31111 6 M59 10500 000132 0000R 00001 00131 015 2111100 2024*")</f>
        <v>0</v>
      </c>
      <c r="E2852"/>
      <c r="F2852" s="35">
        <f>SUMIFS(F2853:F9015,K2853:K9015,"0",B2853:B9015,"5 1 1 3 1 12 31111 6 M59 10500 000132 0000R 00001 00131 015 2111100 2024*")</f>
        <v>9020</v>
      </c>
      <c r="G2852" s="35">
        <f>SUMIFS(G2853:G9015,K2853:K9015,"0",B2853:B9015,"5 1 1 3 1 12 31111 6 M59 10500 000132 0000R 00001 00131 015 2111100 2024*")</f>
        <v>0</v>
      </c>
      <c r="H2852" s="35">
        <f t="shared" si="45"/>
        <v>9020</v>
      </c>
      <c r="I2852" s="35"/>
      <c r="K2852" t="s">
        <v>15</v>
      </c>
    </row>
    <row r="2853" spans="2:11" ht="41.25" x14ac:dyDescent="0.2">
      <c r="B2853" s="33" t="s">
        <v>3782</v>
      </c>
      <c r="C2853" s="33" t="s">
        <v>1056</v>
      </c>
      <c r="D2853" s="35">
        <f>SUMIFS(D2854:D9015,K2854:K9015,"0",B2854:B9015,"5 1 1 3 1 12 31111 6 M59 10500 000132 0000R 00001 00131 015 2111100 2024 CP1CS421*")-SUMIFS(E2854:E9015,K2854:K9015,"0",B2854:B9015,"5 1 1 3 1 12 31111 6 M59 10500 000132 0000R 00001 00131 015 2111100 2024 CP1CS421*")</f>
        <v>0</v>
      </c>
      <c r="E2853"/>
      <c r="F2853" s="35">
        <f>SUMIFS(F2854:F9015,K2854:K9015,"0",B2854:B9015,"5 1 1 3 1 12 31111 6 M59 10500 000132 0000R 00001 00131 015 2111100 2024 CP1CS421*")</f>
        <v>9020</v>
      </c>
      <c r="G2853" s="35">
        <f>SUMIFS(G2854:G9015,K2854:K9015,"0",B2854:B9015,"5 1 1 3 1 12 31111 6 M59 10500 000132 0000R 00001 00131 015 2111100 2024 CP1CS421*")</f>
        <v>0</v>
      </c>
      <c r="H2853" s="35">
        <f t="shared" si="45"/>
        <v>9020</v>
      </c>
      <c r="I2853" s="35"/>
      <c r="K2853" t="s">
        <v>15</v>
      </c>
    </row>
    <row r="2854" spans="2:11" ht="41.25" x14ac:dyDescent="0.2">
      <c r="B2854" s="33" t="s">
        <v>3783</v>
      </c>
      <c r="C2854" s="33" t="s">
        <v>282</v>
      </c>
      <c r="D2854" s="35">
        <f>SUMIFS(D2855:D9015,K2855:K9015,"0",B2855:B9015,"5 1 1 3 1 12 31111 6 M59 10500 000132 0000R 00001 00131 015 2111100 2024 CP1CS421 001*")-SUMIFS(E2855:E9015,K2855:K9015,"0",B2855:B9015,"5 1 1 3 1 12 31111 6 M59 10500 000132 0000R 00001 00131 015 2111100 2024 CP1CS421 001*")</f>
        <v>0</v>
      </c>
      <c r="E2854"/>
      <c r="F2854" s="35">
        <f>SUMIFS(F2855:F9015,K2855:K9015,"0",B2855:B9015,"5 1 1 3 1 12 31111 6 M59 10500 000132 0000R 00001 00131 015 2111100 2024 CP1CS421 001*")</f>
        <v>9020</v>
      </c>
      <c r="G2854" s="35">
        <f>SUMIFS(G2855:G9015,K2855:K9015,"0",B2855:B9015,"5 1 1 3 1 12 31111 6 M59 10500 000132 0000R 00001 00131 015 2111100 2024 CP1CS421 001*")</f>
        <v>0</v>
      </c>
      <c r="H2854" s="35">
        <f t="shared" si="45"/>
        <v>9020</v>
      </c>
      <c r="I2854" s="35"/>
      <c r="K2854" t="s">
        <v>15</v>
      </c>
    </row>
    <row r="2855" spans="2:11" ht="33" x14ac:dyDescent="0.2">
      <c r="B2855" s="31" t="s">
        <v>3784</v>
      </c>
      <c r="C2855" s="31" t="s">
        <v>3785</v>
      </c>
      <c r="D2855" s="34">
        <v>0</v>
      </c>
      <c r="E2855" s="34"/>
      <c r="F2855" s="34">
        <v>9020</v>
      </c>
      <c r="G2855" s="34">
        <v>0</v>
      </c>
      <c r="H2855" s="34">
        <f t="shared" si="45"/>
        <v>9020</v>
      </c>
      <c r="I2855" s="34"/>
      <c r="K2855" t="s">
        <v>38</v>
      </c>
    </row>
    <row r="2856" spans="2:11" ht="16.5" x14ac:dyDescent="0.2">
      <c r="B2856" s="33" t="s">
        <v>3786</v>
      </c>
      <c r="C2856" s="33" t="s">
        <v>3020</v>
      </c>
      <c r="D2856" s="35">
        <f>SUMIFS(D2857:D9015,K2857:K9015,"0",B2857:B9015,"5 1 1 3 1 12 31111 6 M59 11000*")-SUMIFS(E2857:E9015,K2857:K9015,"0",B2857:B9015,"5 1 1 3 1 12 31111 6 M59 11000*")</f>
        <v>0</v>
      </c>
      <c r="E2856"/>
      <c r="F2856" s="35">
        <f>SUMIFS(F2857:F9015,K2857:K9015,"0",B2857:B9015,"5 1 1 3 1 12 31111 6 M59 11000*")</f>
        <v>9900</v>
      </c>
      <c r="G2856" s="35">
        <f>SUMIFS(G2857:G9015,K2857:K9015,"0",B2857:B9015,"5 1 1 3 1 12 31111 6 M59 11000*")</f>
        <v>0</v>
      </c>
      <c r="H2856" s="35">
        <f t="shared" si="45"/>
        <v>9900</v>
      </c>
      <c r="I2856" s="35"/>
      <c r="K2856" t="s">
        <v>15</v>
      </c>
    </row>
    <row r="2857" spans="2:11" ht="16.5" x14ac:dyDescent="0.2">
      <c r="B2857" s="33" t="s">
        <v>3787</v>
      </c>
      <c r="C2857" s="33" t="s">
        <v>648</v>
      </c>
      <c r="D2857" s="35">
        <f>SUMIFS(D2858:D9015,K2858:K9015,"0",B2858:B9015,"5 1 1 3 1 12 31111 6 M59 11000 000132*")-SUMIFS(E2858:E9015,K2858:K9015,"0",B2858:B9015,"5 1 1 3 1 12 31111 6 M59 11000 000132*")</f>
        <v>0</v>
      </c>
      <c r="E2857"/>
      <c r="F2857" s="35">
        <f>SUMIFS(F2858:F9015,K2858:K9015,"0",B2858:B9015,"5 1 1 3 1 12 31111 6 M59 11000 000132*")</f>
        <v>9900</v>
      </c>
      <c r="G2857" s="35">
        <f>SUMIFS(G2858:G9015,K2858:K9015,"0",B2858:B9015,"5 1 1 3 1 12 31111 6 M59 11000 000132*")</f>
        <v>0</v>
      </c>
      <c r="H2857" s="35">
        <f t="shared" si="45"/>
        <v>9900</v>
      </c>
      <c r="I2857" s="35"/>
      <c r="K2857" t="s">
        <v>15</v>
      </c>
    </row>
    <row r="2858" spans="2:11" ht="16.5" x14ac:dyDescent="0.2">
      <c r="B2858" s="33" t="s">
        <v>3788</v>
      </c>
      <c r="C2858" s="33" t="s">
        <v>650</v>
      </c>
      <c r="D2858" s="35">
        <f>SUMIFS(D2859:D9015,K2859:K9015,"0",B2859:B9015,"5 1 1 3 1 12 31111 6 M59 11000 000132 0000R*")-SUMIFS(E2859:E9015,K2859:K9015,"0",B2859:B9015,"5 1 1 3 1 12 31111 6 M59 11000 000132 0000R*")</f>
        <v>0</v>
      </c>
      <c r="E2858"/>
      <c r="F2858" s="35">
        <f>SUMIFS(F2859:F9015,K2859:K9015,"0",B2859:B9015,"5 1 1 3 1 12 31111 6 M59 11000 000132 0000R*")</f>
        <v>9900</v>
      </c>
      <c r="G2858" s="35">
        <f>SUMIFS(G2859:G9015,K2859:K9015,"0",B2859:B9015,"5 1 1 3 1 12 31111 6 M59 11000 000132 0000R*")</f>
        <v>0</v>
      </c>
      <c r="H2858" s="35">
        <f t="shared" si="45"/>
        <v>9900</v>
      </c>
      <c r="I2858" s="35"/>
      <c r="K2858" t="s">
        <v>15</v>
      </c>
    </row>
    <row r="2859" spans="2:11" ht="24.75" x14ac:dyDescent="0.2">
      <c r="B2859" s="33" t="s">
        <v>3789</v>
      </c>
      <c r="C2859" s="33" t="s">
        <v>282</v>
      </c>
      <c r="D2859" s="35">
        <f>SUMIFS(D2860:D9015,K2860:K9015,"0",B2860:B9015,"5 1 1 3 1 12 31111 6 M59 11000 000132 0000R 00001*")-SUMIFS(E2860:E9015,K2860:K9015,"0",B2860:B9015,"5 1 1 3 1 12 31111 6 M59 11000 000132 0000R 00001*")</f>
        <v>0</v>
      </c>
      <c r="E2859"/>
      <c r="F2859" s="35">
        <f>SUMIFS(F2860:F9015,K2860:K9015,"0",B2860:B9015,"5 1 1 3 1 12 31111 6 M59 11000 000132 0000R 00001*")</f>
        <v>9900</v>
      </c>
      <c r="G2859" s="35">
        <f>SUMIFS(G2860:G9015,K2860:K9015,"0",B2860:B9015,"5 1 1 3 1 12 31111 6 M59 11000 000132 0000R 00001*")</f>
        <v>0</v>
      </c>
      <c r="H2859" s="35">
        <f t="shared" si="45"/>
        <v>9900</v>
      </c>
      <c r="I2859" s="35"/>
      <c r="K2859" t="s">
        <v>15</v>
      </c>
    </row>
    <row r="2860" spans="2:11" ht="24.75" x14ac:dyDescent="0.2">
      <c r="B2860" s="33" t="s">
        <v>3790</v>
      </c>
      <c r="C2860" s="33" t="s">
        <v>3778</v>
      </c>
      <c r="D2860" s="35">
        <f>SUMIFS(D2861:D9015,K2861:K9015,"0",B2861:B9015,"5 1 1 3 1 12 31111 6 M59 11000 000132 0000R 00001 00131*")-SUMIFS(E2861:E9015,K2861:K9015,"0",B2861:B9015,"5 1 1 3 1 12 31111 6 M59 11000 000132 0000R 00001 00131*")</f>
        <v>0</v>
      </c>
      <c r="E2860"/>
      <c r="F2860" s="35">
        <f>SUMIFS(F2861:F9015,K2861:K9015,"0",B2861:B9015,"5 1 1 3 1 12 31111 6 M59 11000 000132 0000R 00001 00131*")</f>
        <v>9900</v>
      </c>
      <c r="G2860" s="35">
        <f>SUMIFS(G2861:G9015,K2861:K9015,"0",B2861:B9015,"5 1 1 3 1 12 31111 6 M59 11000 000132 0000R 00001 00131*")</f>
        <v>0</v>
      </c>
      <c r="H2860" s="35">
        <f t="shared" si="45"/>
        <v>9900</v>
      </c>
      <c r="I2860" s="35"/>
      <c r="K2860" t="s">
        <v>15</v>
      </c>
    </row>
    <row r="2861" spans="2:11" ht="24.75" x14ac:dyDescent="0.2">
      <c r="B2861" s="33" t="s">
        <v>3791</v>
      </c>
      <c r="C2861" s="33" t="s">
        <v>1051</v>
      </c>
      <c r="D2861" s="35">
        <f>SUMIFS(D2862:D9015,K2862:K9015,"0",B2862:B9015,"5 1 1 3 1 12 31111 6 M59 11000 000132 0000R 00001 00131 015*")-SUMIFS(E2862:E9015,K2862:K9015,"0",B2862:B9015,"5 1 1 3 1 12 31111 6 M59 11000 000132 0000R 00001 00131 015*")</f>
        <v>0</v>
      </c>
      <c r="E2861"/>
      <c r="F2861" s="35">
        <f>SUMIFS(F2862:F9015,K2862:K9015,"0",B2862:B9015,"5 1 1 3 1 12 31111 6 M59 11000 000132 0000R 00001 00131 015*")</f>
        <v>9900</v>
      </c>
      <c r="G2861" s="35">
        <f>SUMIFS(G2862:G9015,K2862:K9015,"0",B2862:B9015,"5 1 1 3 1 12 31111 6 M59 11000 000132 0000R 00001 00131 015*")</f>
        <v>0</v>
      </c>
      <c r="H2861" s="35">
        <f t="shared" si="45"/>
        <v>9900</v>
      </c>
      <c r="I2861" s="35"/>
      <c r="K2861" t="s">
        <v>15</v>
      </c>
    </row>
    <row r="2862" spans="2:11" ht="33" x14ac:dyDescent="0.2">
      <c r="B2862" s="33" t="s">
        <v>3792</v>
      </c>
      <c r="C2862" s="33" t="s">
        <v>2927</v>
      </c>
      <c r="D2862" s="35">
        <f>SUMIFS(D2863:D9015,K2863:K9015,"0",B2863:B9015,"5 1 1 3 1 12 31111 6 M59 11000 000132 0000R 00001 00131 015 2111100*")-SUMIFS(E2863:E9015,K2863:K9015,"0",B2863:B9015,"5 1 1 3 1 12 31111 6 M59 11000 000132 0000R 00001 00131 015 2111100*")</f>
        <v>0</v>
      </c>
      <c r="E2862"/>
      <c r="F2862" s="35">
        <f>SUMIFS(F2863:F9015,K2863:K9015,"0",B2863:B9015,"5 1 1 3 1 12 31111 6 M59 11000 000132 0000R 00001 00131 015 2111100*")</f>
        <v>9900</v>
      </c>
      <c r="G2862" s="35">
        <f>SUMIFS(G2863:G9015,K2863:K9015,"0",B2863:B9015,"5 1 1 3 1 12 31111 6 M59 11000 000132 0000R 00001 00131 015 2111100*")</f>
        <v>0</v>
      </c>
      <c r="H2862" s="35">
        <f t="shared" si="45"/>
        <v>9900</v>
      </c>
      <c r="I2862" s="35"/>
      <c r="K2862" t="s">
        <v>15</v>
      </c>
    </row>
    <row r="2863" spans="2:11" ht="33" x14ac:dyDescent="0.2">
      <c r="B2863" s="33" t="s">
        <v>3793</v>
      </c>
      <c r="C2863" s="33" t="s">
        <v>660</v>
      </c>
      <c r="D2863" s="35">
        <f>SUMIFS(D2864:D9015,K2864:K9015,"0",B2864:B9015,"5 1 1 3 1 12 31111 6 M59 11000 000132 0000R 00001 00131 015 2111100 2024*")-SUMIFS(E2864:E9015,K2864:K9015,"0",B2864:B9015,"5 1 1 3 1 12 31111 6 M59 11000 000132 0000R 00001 00131 015 2111100 2024*")</f>
        <v>0</v>
      </c>
      <c r="E2863"/>
      <c r="F2863" s="35">
        <f>SUMIFS(F2864:F9015,K2864:K9015,"0",B2864:B9015,"5 1 1 3 1 12 31111 6 M59 11000 000132 0000R 00001 00131 015 2111100 2024*")</f>
        <v>9900</v>
      </c>
      <c r="G2863" s="35">
        <f>SUMIFS(G2864:G9015,K2864:K9015,"0",B2864:B9015,"5 1 1 3 1 12 31111 6 M59 11000 000132 0000R 00001 00131 015 2111100 2024*")</f>
        <v>0</v>
      </c>
      <c r="H2863" s="35">
        <f t="shared" si="45"/>
        <v>9900</v>
      </c>
      <c r="I2863" s="35"/>
      <c r="K2863" t="s">
        <v>15</v>
      </c>
    </row>
    <row r="2864" spans="2:11" ht="41.25" x14ac:dyDescent="0.2">
      <c r="B2864" s="33" t="s">
        <v>3794</v>
      </c>
      <c r="C2864" s="33" t="s">
        <v>1056</v>
      </c>
      <c r="D2864" s="35">
        <f>SUMIFS(D2865:D9015,K2865:K9015,"0",B2865:B9015,"5 1 1 3 1 12 31111 6 M59 11000 000132 0000R 00001 00131 015 2111100 2024 CP1SM382*")-SUMIFS(E2865:E9015,K2865:K9015,"0",B2865:B9015,"5 1 1 3 1 12 31111 6 M59 11000 000132 0000R 00001 00131 015 2111100 2024 CP1SM382*")</f>
        <v>0</v>
      </c>
      <c r="E2864"/>
      <c r="F2864" s="35">
        <f>SUMIFS(F2865:F9015,K2865:K9015,"0",B2865:B9015,"5 1 1 3 1 12 31111 6 M59 11000 000132 0000R 00001 00131 015 2111100 2024 CP1SM382*")</f>
        <v>9900</v>
      </c>
      <c r="G2864" s="35">
        <f>SUMIFS(G2865:G9015,K2865:K9015,"0",B2865:B9015,"5 1 1 3 1 12 31111 6 M59 11000 000132 0000R 00001 00131 015 2111100 2024 CP1SM382*")</f>
        <v>0</v>
      </c>
      <c r="H2864" s="35">
        <f t="shared" si="45"/>
        <v>9900</v>
      </c>
      <c r="I2864" s="35"/>
      <c r="K2864" t="s">
        <v>15</v>
      </c>
    </row>
    <row r="2865" spans="2:11" ht="41.25" x14ac:dyDescent="0.2">
      <c r="B2865" s="33" t="s">
        <v>3795</v>
      </c>
      <c r="C2865" s="33" t="s">
        <v>282</v>
      </c>
      <c r="D2865" s="35">
        <f>SUMIFS(D2866:D9015,K2866:K9015,"0",B2866:B9015,"5 1 1 3 1 12 31111 6 M59 11000 000132 0000R 00001 00131 015 2111100 2024 CP1SM382 001*")-SUMIFS(E2866:E9015,K2866:K9015,"0",B2866:B9015,"5 1 1 3 1 12 31111 6 M59 11000 000132 0000R 00001 00131 015 2111100 2024 CP1SM382 001*")</f>
        <v>0</v>
      </c>
      <c r="E2865"/>
      <c r="F2865" s="35">
        <f>SUMIFS(F2866:F9015,K2866:K9015,"0",B2866:B9015,"5 1 1 3 1 12 31111 6 M59 11000 000132 0000R 00001 00131 015 2111100 2024 CP1SM382 001*")</f>
        <v>9900</v>
      </c>
      <c r="G2865" s="35">
        <f>SUMIFS(G2866:G9015,K2866:K9015,"0",B2866:B9015,"5 1 1 3 1 12 31111 6 M59 11000 000132 0000R 00001 00131 015 2111100 2024 CP1SM382 001*")</f>
        <v>0</v>
      </c>
      <c r="H2865" s="35">
        <f t="shared" si="45"/>
        <v>9900</v>
      </c>
      <c r="I2865" s="35"/>
      <c r="K2865" t="s">
        <v>15</v>
      </c>
    </row>
    <row r="2866" spans="2:11" ht="33" x14ac:dyDescent="0.2">
      <c r="B2866" s="31" t="s">
        <v>3796</v>
      </c>
      <c r="C2866" s="31" t="s">
        <v>3785</v>
      </c>
      <c r="D2866" s="34">
        <v>0</v>
      </c>
      <c r="E2866" s="34"/>
      <c r="F2866" s="34">
        <v>9900</v>
      </c>
      <c r="G2866" s="34">
        <v>0</v>
      </c>
      <c r="H2866" s="34">
        <f t="shared" si="45"/>
        <v>9900</v>
      </c>
      <c r="I2866" s="34"/>
      <c r="K2866" t="s">
        <v>38</v>
      </c>
    </row>
    <row r="2867" spans="2:11" ht="16.5" x14ac:dyDescent="0.2">
      <c r="B2867" s="33" t="s">
        <v>3797</v>
      </c>
      <c r="C2867" s="33" t="s">
        <v>1079</v>
      </c>
      <c r="D2867" s="35">
        <f>SUMIFS(D2868:D9015,K2868:K9015,"0",B2868:B9015,"5 1 1 3 1 12 31111 6 M59 20500*")-SUMIFS(E2868:E9015,K2868:K9015,"0",B2868:B9015,"5 1 1 3 1 12 31111 6 M59 20500*")</f>
        <v>0</v>
      </c>
      <c r="E2867"/>
      <c r="F2867" s="35">
        <f>SUMIFS(F2868:F9015,K2868:K9015,"0",B2868:B9015,"5 1 1 3 1 12 31111 6 M59 20500*")</f>
        <v>5980</v>
      </c>
      <c r="G2867" s="35">
        <f>SUMIFS(G2868:G9015,K2868:K9015,"0",B2868:B9015,"5 1 1 3 1 12 31111 6 M59 20500*")</f>
        <v>0</v>
      </c>
      <c r="H2867" s="35">
        <f t="shared" si="45"/>
        <v>5980</v>
      </c>
      <c r="I2867" s="35"/>
      <c r="K2867" t="s">
        <v>15</v>
      </c>
    </row>
    <row r="2868" spans="2:11" ht="16.5" x14ac:dyDescent="0.2">
      <c r="B2868" s="33" t="s">
        <v>3798</v>
      </c>
      <c r="C2868" s="33" t="s">
        <v>648</v>
      </c>
      <c r="D2868" s="35">
        <f>SUMIFS(D2869:D9015,K2869:K9015,"0",B2869:B9015,"5 1 1 3 1 12 31111 6 M59 20500 000132*")-SUMIFS(E2869:E9015,K2869:K9015,"0",B2869:B9015,"5 1 1 3 1 12 31111 6 M59 20500 000132*")</f>
        <v>0</v>
      </c>
      <c r="E2868"/>
      <c r="F2868" s="35">
        <f>SUMIFS(F2869:F9015,K2869:K9015,"0",B2869:B9015,"5 1 1 3 1 12 31111 6 M59 20500 000132*")</f>
        <v>5980</v>
      </c>
      <c r="G2868" s="35">
        <f>SUMIFS(G2869:G9015,K2869:K9015,"0",B2869:B9015,"5 1 1 3 1 12 31111 6 M59 20500 000132*")</f>
        <v>0</v>
      </c>
      <c r="H2868" s="35">
        <f t="shared" si="45"/>
        <v>5980</v>
      </c>
      <c r="I2868" s="35"/>
      <c r="K2868" t="s">
        <v>15</v>
      </c>
    </row>
    <row r="2869" spans="2:11" ht="16.5" x14ac:dyDescent="0.2">
      <c r="B2869" s="33" t="s">
        <v>3799</v>
      </c>
      <c r="C2869" s="33" t="s">
        <v>650</v>
      </c>
      <c r="D2869" s="35">
        <f>SUMIFS(D2870:D9015,K2870:K9015,"0",B2870:B9015,"5 1 1 3 1 12 31111 6 M59 20500 000132 0000R*")-SUMIFS(E2870:E9015,K2870:K9015,"0",B2870:B9015,"5 1 1 3 1 12 31111 6 M59 20500 000132 0000R*")</f>
        <v>0</v>
      </c>
      <c r="E2869"/>
      <c r="F2869" s="35">
        <f>SUMIFS(F2870:F9015,K2870:K9015,"0",B2870:B9015,"5 1 1 3 1 12 31111 6 M59 20500 000132 0000R*")</f>
        <v>5980</v>
      </c>
      <c r="G2869" s="35">
        <f>SUMIFS(G2870:G9015,K2870:K9015,"0",B2870:B9015,"5 1 1 3 1 12 31111 6 M59 20500 000132 0000R*")</f>
        <v>0</v>
      </c>
      <c r="H2869" s="35">
        <f t="shared" si="45"/>
        <v>5980</v>
      </c>
      <c r="I2869" s="35"/>
      <c r="K2869" t="s">
        <v>15</v>
      </c>
    </row>
    <row r="2870" spans="2:11" ht="24.75" x14ac:dyDescent="0.2">
      <c r="B2870" s="33" t="s">
        <v>3800</v>
      </c>
      <c r="C2870" s="33" t="s">
        <v>282</v>
      </c>
      <c r="D2870" s="35">
        <f>SUMIFS(D2871:D9015,K2871:K9015,"0",B2871:B9015,"5 1 1 3 1 12 31111 6 M59 20500 000132 0000R 00001*")-SUMIFS(E2871:E9015,K2871:K9015,"0",B2871:B9015,"5 1 1 3 1 12 31111 6 M59 20500 000132 0000R 00001*")</f>
        <v>0</v>
      </c>
      <c r="E2870"/>
      <c r="F2870" s="35">
        <f>SUMIFS(F2871:F9015,K2871:K9015,"0",B2871:B9015,"5 1 1 3 1 12 31111 6 M59 20500 000132 0000R 00001*")</f>
        <v>5980</v>
      </c>
      <c r="G2870" s="35">
        <f>SUMIFS(G2871:G9015,K2871:K9015,"0",B2871:B9015,"5 1 1 3 1 12 31111 6 M59 20500 000132 0000R 00001*")</f>
        <v>0</v>
      </c>
      <c r="H2870" s="35">
        <f t="shared" si="45"/>
        <v>5980</v>
      </c>
      <c r="I2870" s="35"/>
      <c r="K2870" t="s">
        <v>15</v>
      </c>
    </row>
    <row r="2871" spans="2:11" ht="24.75" x14ac:dyDescent="0.2">
      <c r="B2871" s="33" t="s">
        <v>3801</v>
      </c>
      <c r="C2871" s="33" t="s">
        <v>3778</v>
      </c>
      <c r="D2871" s="35">
        <f>SUMIFS(D2872:D9015,K2872:K9015,"0",B2872:B9015,"5 1 1 3 1 12 31111 6 M59 20500 000132 0000R 00001 00131*")-SUMIFS(E2872:E9015,K2872:K9015,"0",B2872:B9015,"5 1 1 3 1 12 31111 6 M59 20500 000132 0000R 00001 00131*")</f>
        <v>0</v>
      </c>
      <c r="E2871"/>
      <c r="F2871" s="35">
        <f>SUMIFS(F2872:F9015,K2872:K9015,"0",B2872:B9015,"5 1 1 3 1 12 31111 6 M59 20500 000132 0000R 00001 00131*")</f>
        <v>5980</v>
      </c>
      <c r="G2871" s="35">
        <f>SUMIFS(G2872:G9015,K2872:K9015,"0",B2872:B9015,"5 1 1 3 1 12 31111 6 M59 20500 000132 0000R 00001 00131*")</f>
        <v>0</v>
      </c>
      <c r="H2871" s="35">
        <f t="shared" si="45"/>
        <v>5980</v>
      </c>
      <c r="I2871" s="35"/>
      <c r="K2871" t="s">
        <v>15</v>
      </c>
    </row>
    <row r="2872" spans="2:11" ht="24.75" x14ac:dyDescent="0.2">
      <c r="B2872" s="33" t="s">
        <v>3802</v>
      </c>
      <c r="C2872" s="33" t="s">
        <v>1051</v>
      </c>
      <c r="D2872" s="35">
        <f>SUMIFS(D2873:D9015,K2873:K9015,"0",B2873:B9015,"5 1 1 3 1 12 31111 6 M59 20500 000132 0000R 00001 00131 015*")-SUMIFS(E2873:E9015,K2873:K9015,"0",B2873:B9015,"5 1 1 3 1 12 31111 6 M59 20500 000132 0000R 00001 00131 015*")</f>
        <v>0</v>
      </c>
      <c r="E2872"/>
      <c r="F2872" s="35">
        <f>SUMIFS(F2873:F9015,K2873:K9015,"0",B2873:B9015,"5 1 1 3 1 12 31111 6 M59 20500 000132 0000R 00001 00131 015*")</f>
        <v>5980</v>
      </c>
      <c r="G2872" s="35">
        <f>SUMIFS(G2873:G9015,K2873:K9015,"0",B2873:B9015,"5 1 1 3 1 12 31111 6 M59 20500 000132 0000R 00001 00131 015*")</f>
        <v>0</v>
      </c>
      <c r="H2872" s="35">
        <f t="shared" si="45"/>
        <v>5980</v>
      </c>
      <c r="I2872" s="35"/>
      <c r="K2872" t="s">
        <v>15</v>
      </c>
    </row>
    <row r="2873" spans="2:11" ht="33" x14ac:dyDescent="0.2">
      <c r="B2873" s="33" t="s">
        <v>3803</v>
      </c>
      <c r="C2873" s="33" t="s">
        <v>2927</v>
      </c>
      <c r="D2873" s="35">
        <f>SUMIFS(D2874:D9015,K2874:K9015,"0",B2874:B9015,"5 1 1 3 1 12 31111 6 M59 20500 000132 0000R 00001 00131 015 2111100*")-SUMIFS(E2874:E9015,K2874:K9015,"0",B2874:B9015,"5 1 1 3 1 12 31111 6 M59 20500 000132 0000R 00001 00131 015 2111100*")</f>
        <v>0</v>
      </c>
      <c r="E2873"/>
      <c r="F2873" s="35">
        <f>SUMIFS(F2874:F9015,K2874:K9015,"0",B2874:B9015,"5 1 1 3 1 12 31111 6 M59 20500 000132 0000R 00001 00131 015 2111100*")</f>
        <v>5980</v>
      </c>
      <c r="G2873" s="35">
        <f>SUMIFS(G2874:G9015,K2874:K9015,"0",B2874:B9015,"5 1 1 3 1 12 31111 6 M59 20500 000132 0000R 00001 00131 015 2111100*")</f>
        <v>0</v>
      </c>
      <c r="H2873" s="35">
        <f t="shared" si="45"/>
        <v>5980</v>
      </c>
      <c r="I2873" s="35"/>
      <c r="K2873" t="s">
        <v>15</v>
      </c>
    </row>
    <row r="2874" spans="2:11" ht="33" x14ac:dyDescent="0.2">
      <c r="B2874" s="33" t="s">
        <v>3804</v>
      </c>
      <c r="C2874" s="33" t="s">
        <v>660</v>
      </c>
      <c r="D2874" s="35">
        <f>SUMIFS(D2875:D9015,K2875:K9015,"0",B2875:B9015,"5 1 1 3 1 12 31111 6 M59 20500 000132 0000R 00001 00131 015 2111100 2024*")-SUMIFS(E2875:E9015,K2875:K9015,"0",B2875:B9015,"5 1 1 3 1 12 31111 6 M59 20500 000132 0000R 00001 00131 015 2111100 2024*")</f>
        <v>0</v>
      </c>
      <c r="E2874"/>
      <c r="F2874" s="35">
        <f>SUMIFS(F2875:F9015,K2875:K9015,"0",B2875:B9015,"5 1 1 3 1 12 31111 6 M59 20500 000132 0000R 00001 00131 015 2111100 2024*")</f>
        <v>5980</v>
      </c>
      <c r="G2874" s="35">
        <f>SUMIFS(G2875:G9015,K2875:K9015,"0",B2875:B9015,"5 1 1 3 1 12 31111 6 M59 20500 000132 0000R 00001 00131 015 2111100 2024*")</f>
        <v>0</v>
      </c>
      <c r="H2874" s="35">
        <f t="shared" si="45"/>
        <v>5980</v>
      </c>
      <c r="I2874" s="35"/>
      <c r="K2874" t="s">
        <v>15</v>
      </c>
    </row>
    <row r="2875" spans="2:11" ht="41.25" x14ac:dyDescent="0.2">
      <c r="B2875" s="33" t="s">
        <v>3805</v>
      </c>
      <c r="C2875" s="33" t="s">
        <v>1056</v>
      </c>
      <c r="D2875" s="35">
        <f>SUMIFS(D2876:D9015,K2876:K9015,"0",B2876:B9015,"5 1 1 3 1 12 31111 6 M59 20500 000132 0000R 00001 00131 015 2111100 2024 CP1CP420*")-SUMIFS(E2876:E9015,K2876:K9015,"0",B2876:B9015,"5 1 1 3 1 12 31111 6 M59 20500 000132 0000R 00001 00131 015 2111100 2024 CP1CP420*")</f>
        <v>0</v>
      </c>
      <c r="E2875"/>
      <c r="F2875" s="35">
        <f>SUMIFS(F2876:F9015,K2876:K9015,"0",B2876:B9015,"5 1 1 3 1 12 31111 6 M59 20500 000132 0000R 00001 00131 015 2111100 2024 CP1CP420*")</f>
        <v>5980</v>
      </c>
      <c r="G2875" s="35">
        <f>SUMIFS(G2876:G9015,K2876:K9015,"0",B2876:B9015,"5 1 1 3 1 12 31111 6 M59 20500 000132 0000R 00001 00131 015 2111100 2024 CP1CP420*")</f>
        <v>0</v>
      </c>
      <c r="H2875" s="35">
        <f t="shared" si="45"/>
        <v>5980</v>
      </c>
      <c r="I2875" s="35"/>
      <c r="K2875" t="s">
        <v>15</v>
      </c>
    </row>
    <row r="2876" spans="2:11" ht="41.25" x14ac:dyDescent="0.2">
      <c r="B2876" s="33" t="s">
        <v>3806</v>
      </c>
      <c r="C2876" s="33" t="s">
        <v>282</v>
      </c>
      <c r="D2876" s="35">
        <f>SUMIFS(D2877:D9015,K2877:K9015,"0",B2877:B9015,"5 1 1 3 1 12 31111 6 M59 20500 000132 0000R 00001 00131 015 2111100 2024 CP1CP420 001*")-SUMIFS(E2877:E9015,K2877:K9015,"0",B2877:B9015,"5 1 1 3 1 12 31111 6 M59 20500 000132 0000R 00001 00131 015 2111100 2024 CP1CP420 001*")</f>
        <v>0</v>
      </c>
      <c r="E2876"/>
      <c r="F2876" s="35">
        <f>SUMIFS(F2877:F9015,K2877:K9015,"0",B2877:B9015,"5 1 1 3 1 12 31111 6 M59 20500 000132 0000R 00001 00131 015 2111100 2024 CP1CP420 001*")</f>
        <v>5980</v>
      </c>
      <c r="G2876" s="35">
        <f>SUMIFS(G2877:G9015,K2877:K9015,"0",B2877:B9015,"5 1 1 3 1 12 31111 6 M59 20500 000132 0000R 00001 00131 015 2111100 2024 CP1CP420 001*")</f>
        <v>0</v>
      </c>
      <c r="H2876" s="35">
        <f t="shared" si="45"/>
        <v>5980</v>
      </c>
      <c r="I2876" s="35"/>
      <c r="K2876" t="s">
        <v>15</v>
      </c>
    </row>
    <row r="2877" spans="2:11" ht="33" x14ac:dyDescent="0.2">
      <c r="B2877" s="31" t="s">
        <v>3807</v>
      </c>
      <c r="C2877" s="31" t="s">
        <v>3785</v>
      </c>
      <c r="D2877" s="34">
        <v>0</v>
      </c>
      <c r="E2877" s="34"/>
      <c r="F2877" s="34">
        <v>5980</v>
      </c>
      <c r="G2877" s="34">
        <v>0</v>
      </c>
      <c r="H2877" s="34">
        <f t="shared" si="45"/>
        <v>5980</v>
      </c>
      <c r="I2877" s="34"/>
      <c r="K2877" t="s">
        <v>38</v>
      </c>
    </row>
    <row r="2878" spans="2:11" ht="16.5" x14ac:dyDescent="0.2">
      <c r="B2878" s="33" t="s">
        <v>3808</v>
      </c>
      <c r="C2878" s="33" t="s">
        <v>3126</v>
      </c>
      <c r="D2878" s="35">
        <f>SUMIFS(D2879:D9015,K2879:K9015,"0",B2879:B9015,"5 1 1 3 1 12 31111 6 M59 20600*")-SUMIFS(E2879:E9015,K2879:K9015,"0",B2879:B9015,"5 1 1 3 1 12 31111 6 M59 20600*")</f>
        <v>0</v>
      </c>
      <c r="E2878"/>
      <c r="F2878" s="35">
        <f>SUMIFS(F2879:F9015,K2879:K9015,"0",B2879:B9015,"5 1 1 3 1 12 31111 6 M59 20600*")</f>
        <v>4620</v>
      </c>
      <c r="G2878" s="35">
        <f>SUMIFS(G2879:G9015,K2879:K9015,"0",B2879:B9015,"5 1 1 3 1 12 31111 6 M59 20600*")</f>
        <v>0</v>
      </c>
      <c r="H2878" s="35">
        <f t="shared" si="45"/>
        <v>4620</v>
      </c>
      <c r="I2878" s="35"/>
      <c r="K2878" t="s">
        <v>15</v>
      </c>
    </row>
    <row r="2879" spans="2:11" ht="16.5" x14ac:dyDescent="0.2">
      <c r="B2879" s="33" t="s">
        <v>3809</v>
      </c>
      <c r="C2879" s="33" t="s">
        <v>648</v>
      </c>
      <c r="D2879" s="35">
        <f>SUMIFS(D2880:D9015,K2880:K9015,"0",B2880:B9015,"5 1 1 3 1 12 31111 6 M59 20600 000132*")-SUMIFS(E2880:E9015,K2880:K9015,"0",B2880:B9015,"5 1 1 3 1 12 31111 6 M59 20600 000132*")</f>
        <v>0</v>
      </c>
      <c r="E2879"/>
      <c r="F2879" s="35">
        <f>SUMIFS(F2880:F9015,K2880:K9015,"0",B2880:B9015,"5 1 1 3 1 12 31111 6 M59 20600 000132*")</f>
        <v>4620</v>
      </c>
      <c r="G2879" s="35">
        <f>SUMIFS(G2880:G9015,K2880:K9015,"0",B2880:B9015,"5 1 1 3 1 12 31111 6 M59 20600 000132*")</f>
        <v>0</v>
      </c>
      <c r="H2879" s="35">
        <f t="shared" si="45"/>
        <v>4620</v>
      </c>
      <c r="I2879" s="35"/>
      <c r="K2879" t="s">
        <v>15</v>
      </c>
    </row>
    <row r="2880" spans="2:11" ht="16.5" x14ac:dyDescent="0.2">
      <c r="B2880" s="33" t="s">
        <v>3810</v>
      </c>
      <c r="C2880" s="33" t="s">
        <v>650</v>
      </c>
      <c r="D2880" s="35">
        <f>SUMIFS(D2881:D9015,K2881:K9015,"0",B2881:B9015,"5 1 1 3 1 12 31111 6 M59 20600 000132 0000R*")-SUMIFS(E2881:E9015,K2881:K9015,"0",B2881:B9015,"5 1 1 3 1 12 31111 6 M59 20600 000132 0000R*")</f>
        <v>0</v>
      </c>
      <c r="E2880"/>
      <c r="F2880" s="35">
        <f>SUMIFS(F2881:F9015,K2881:K9015,"0",B2881:B9015,"5 1 1 3 1 12 31111 6 M59 20600 000132 0000R*")</f>
        <v>4620</v>
      </c>
      <c r="G2880" s="35">
        <f>SUMIFS(G2881:G9015,K2881:K9015,"0",B2881:B9015,"5 1 1 3 1 12 31111 6 M59 20600 000132 0000R*")</f>
        <v>0</v>
      </c>
      <c r="H2880" s="35">
        <f t="shared" si="45"/>
        <v>4620</v>
      </c>
      <c r="I2880" s="35"/>
      <c r="K2880" t="s">
        <v>15</v>
      </c>
    </row>
    <row r="2881" spans="2:11" ht="24.75" x14ac:dyDescent="0.2">
      <c r="B2881" s="33" t="s">
        <v>3811</v>
      </c>
      <c r="C2881" s="33" t="s">
        <v>282</v>
      </c>
      <c r="D2881" s="35">
        <f>SUMIFS(D2882:D9015,K2882:K9015,"0",B2882:B9015,"5 1 1 3 1 12 31111 6 M59 20600 000132 0000R 00001*")-SUMIFS(E2882:E9015,K2882:K9015,"0",B2882:B9015,"5 1 1 3 1 12 31111 6 M59 20600 000132 0000R 00001*")</f>
        <v>0</v>
      </c>
      <c r="E2881"/>
      <c r="F2881" s="35">
        <f>SUMIFS(F2882:F9015,K2882:K9015,"0",B2882:B9015,"5 1 1 3 1 12 31111 6 M59 20600 000132 0000R 00001*")</f>
        <v>4620</v>
      </c>
      <c r="G2881" s="35">
        <f>SUMIFS(G2882:G9015,K2882:K9015,"0",B2882:B9015,"5 1 1 3 1 12 31111 6 M59 20600 000132 0000R 00001*")</f>
        <v>0</v>
      </c>
      <c r="H2881" s="35">
        <f t="shared" si="45"/>
        <v>4620</v>
      </c>
      <c r="I2881" s="35"/>
      <c r="K2881" t="s">
        <v>15</v>
      </c>
    </row>
    <row r="2882" spans="2:11" ht="24.75" x14ac:dyDescent="0.2">
      <c r="B2882" s="33" t="s">
        <v>3812</v>
      </c>
      <c r="C2882" s="33" t="s">
        <v>3778</v>
      </c>
      <c r="D2882" s="35">
        <f>SUMIFS(D2883:D9015,K2883:K9015,"0",B2883:B9015,"5 1 1 3 1 12 31111 6 M59 20600 000132 0000R 00001 00131*")-SUMIFS(E2883:E9015,K2883:K9015,"0",B2883:B9015,"5 1 1 3 1 12 31111 6 M59 20600 000132 0000R 00001 00131*")</f>
        <v>0</v>
      </c>
      <c r="E2882"/>
      <c r="F2882" s="35">
        <f>SUMIFS(F2883:F9015,K2883:K9015,"0",B2883:B9015,"5 1 1 3 1 12 31111 6 M59 20600 000132 0000R 00001 00131*")</f>
        <v>4620</v>
      </c>
      <c r="G2882" s="35">
        <f>SUMIFS(G2883:G9015,K2883:K9015,"0",B2883:B9015,"5 1 1 3 1 12 31111 6 M59 20600 000132 0000R 00001 00131*")</f>
        <v>0</v>
      </c>
      <c r="H2882" s="35">
        <f t="shared" si="45"/>
        <v>4620</v>
      </c>
      <c r="I2882" s="35"/>
      <c r="K2882" t="s">
        <v>15</v>
      </c>
    </row>
    <row r="2883" spans="2:11" ht="24.75" x14ac:dyDescent="0.2">
      <c r="B2883" s="33" t="s">
        <v>3813</v>
      </c>
      <c r="C2883" s="33" t="s">
        <v>1051</v>
      </c>
      <c r="D2883" s="35">
        <f>SUMIFS(D2884:D9015,K2884:K9015,"0",B2884:B9015,"5 1 1 3 1 12 31111 6 M59 20600 000132 0000R 00001 00131 015*")-SUMIFS(E2884:E9015,K2884:K9015,"0",B2884:B9015,"5 1 1 3 1 12 31111 6 M59 20600 000132 0000R 00001 00131 015*")</f>
        <v>0</v>
      </c>
      <c r="E2883"/>
      <c r="F2883" s="35">
        <f>SUMIFS(F2884:F9015,K2884:K9015,"0",B2884:B9015,"5 1 1 3 1 12 31111 6 M59 20600 000132 0000R 00001 00131 015*")</f>
        <v>4620</v>
      </c>
      <c r="G2883" s="35">
        <f>SUMIFS(G2884:G9015,K2884:K9015,"0",B2884:B9015,"5 1 1 3 1 12 31111 6 M59 20600 000132 0000R 00001 00131 015*")</f>
        <v>0</v>
      </c>
      <c r="H2883" s="35">
        <f t="shared" si="45"/>
        <v>4620</v>
      </c>
      <c r="I2883" s="35"/>
      <c r="K2883" t="s">
        <v>15</v>
      </c>
    </row>
    <row r="2884" spans="2:11" ht="33" x14ac:dyDescent="0.2">
      <c r="B2884" s="33" t="s">
        <v>3814</v>
      </c>
      <c r="C2884" s="33" t="s">
        <v>2927</v>
      </c>
      <c r="D2884" s="35">
        <f>SUMIFS(D2885:D9015,K2885:K9015,"0",B2885:B9015,"5 1 1 3 1 12 31111 6 M59 20600 000132 0000R 00001 00131 015 2111100*")-SUMIFS(E2885:E9015,K2885:K9015,"0",B2885:B9015,"5 1 1 3 1 12 31111 6 M59 20600 000132 0000R 00001 00131 015 2111100*")</f>
        <v>0</v>
      </c>
      <c r="E2884"/>
      <c r="F2884" s="35">
        <f>SUMIFS(F2885:F9015,K2885:K9015,"0",B2885:B9015,"5 1 1 3 1 12 31111 6 M59 20600 000132 0000R 00001 00131 015 2111100*")</f>
        <v>4620</v>
      </c>
      <c r="G2884" s="35">
        <f>SUMIFS(G2885:G9015,K2885:K9015,"0",B2885:B9015,"5 1 1 3 1 12 31111 6 M59 20600 000132 0000R 00001 00131 015 2111100*")</f>
        <v>0</v>
      </c>
      <c r="H2884" s="35">
        <f t="shared" ref="H2884:H2947" si="46">D2884 + F2884 - G2884</f>
        <v>4620</v>
      </c>
      <c r="I2884" s="35"/>
      <c r="K2884" t="s">
        <v>15</v>
      </c>
    </row>
    <row r="2885" spans="2:11" ht="33" x14ac:dyDescent="0.2">
      <c r="B2885" s="33" t="s">
        <v>3815</v>
      </c>
      <c r="C2885" s="33" t="s">
        <v>660</v>
      </c>
      <c r="D2885" s="35">
        <f>SUMIFS(D2886:D9015,K2886:K9015,"0",B2886:B9015,"5 1 1 3 1 12 31111 6 M59 20600 000132 0000R 00001 00131 015 2111100 2024*")-SUMIFS(E2886:E9015,K2886:K9015,"0",B2886:B9015,"5 1 1 3 1 12 31111 6 M59 20600 000132 0000R 00001 00131 015 2111100 2024*")</f>
        <v>0</v>
      </c>
      <c r="E2885"/>
      <c r="F2885" s="35">
        <f>SUMIFS(F2886:F9015,K2886:K9015,"0",B2886:B9015,"5 1 1 3 1 12 31111 6 M59 20600 000132 0000R 00001 00131 015 2111100 2024*")</f>
        <v>4620</v>
      </c>
      <c r="G2885" s="35">
        <f>SUMIFS(G2886:G9015,K2886:K9015,"0",B2886:B9015,"5 1 1 3 1 12 31111 6 M59 20600 000132 0000R 00001 00131 015 2111100 2024*")</f>
        <v>0</v>
      </c>
      <c r="H2885" s="35">
        <f t="shared" si="46"/>
        <v>4620</v>
      </c>
      <c r="I2885" s="35"/>
      <c r="K2885" t="s">
        <v>15</v>
      </c>
    </row>
    <row r="2886" spans="2:11" ht="41.25" x14ac:dyDescent="0.2">
      <c r="B2886" s="33" t="s">
        <v>3816</v>
      </c>
      <c r="C2886" s="33" t="s">
        <v>1056</v>
      </c>
      <c r="D2886" s="35">
        <f>SUMIFS(D2887:D9015,K2887:K9015,"0",B2887:B9015,"5 1 1 3 1 12 31111 6 M59 20600 000132 0000R 00001 00131 015 2111100 2024 CP1CA380*")-SUMIFS(E2887:E9015,K2887:K9015,"0",B2887:B9015,"5 1 1 3 1 12 31111 6 M59 20600 000132 0000R 00001 00131 015 2111100 2024 CP1CA380*")</f>
        <v>0</v>
      </c>
      <c r="E2886"/>
      <c r="F2886" s="35">
        <f>SUMIFS(F2887:F9015,K2887:K9015,"0",B2887:B9015,"5 1 1 3 1 12 31111 6 M59 20600 000132 0000R 00001 00131 015 2111100 2024 CP1CA380*")</f>
        <v>4620</v>
      </c>
      <c r="G2886" s="35">
        <f>SUMIFS(G2887:G9015,K2887:K9015,"0",B2887:B9015,"5 1 1 3 1 12 31111 6 M59 20600 000132 0000R 00001 00131 015 2111100 2024 CP1CA380*")</f>
        <v>0</v>
      </c>
      <c r="H2886" s="35">
        <f t="shared" si="46"/>
        <v>4620</v>
      </c>
      <c r="I2886" s="35"/>
      <c r="K2886" t="s">
        <v>15</v>
      </c>
    </row>
    <row r="2887" spans="2:11" ht="41.25" x14ac:dyDescent="0.2">
      <c r="B2887" s="33" t="s">
        <v>3817</v>
      </c>
      <c r="C2887" s="33" t="s">
        <v>282</v>
      </c>
      <c r="D2887" s="35">
        <f>SUMIFS(D2888:D9015,K2888:K9015,"0",B2888:B9015,"5 1 1 3 1 12 31111 6 M59 20600 000132 0000R 00001 00131 015 2111100 2024 CP1CA380 001*")-SUMIFS(E2888:E9015,K2888:K9015,"0",B2888:B9015,"5 1 1 3 1 12 31111 6 M59 20600 000132 0000R 00001 00131 015 2111100 2024 CP1CA380 001*")</f>
        <v>0</v>
      </c>
      <c r="E2887"/>
      <c r="F2887" s="35">
        <f>SUMIFS(F2888:F9015,K2888:K9015,"0",B2888:B9015,"5 1 1 3 1 12 31111 6 M59 20600 000132 0000R 00001 00131 015 2111100 2024 CP1CA380 001*")</f>
        <v>4620</v>
      </c>
      <c r="G2887" s="35">
        <f>SUMIFS(G2888:G9015,K2888:K9015,"0",B2888:B9015,"5 1 1 3 1 12 31111 6 M59 20600 000132 0000R 00001 00131 015 2111100 2024 CP1CA380 001*")</f>
        <v>0</v>
      </c>
      <c r="H2887" s="35">
        <f t="shared" si="46"/>
        <v>4620</v>
      </c>
      <c r="I2887" s="35"/>
      <c r="K2887" t="s">
        <v>15</v>
      </c>
    </row>
    <row r="2888" spans="2:11" ht="41.25" x14ac:dyDescent="0.2">
      <c r="B2888" s="31" t="s">
        <v>3818</v>
      </c>
      <c r="C2888" s="31" t="s">
        <v>3785</v>
      </c>
      <c r="D2888" s="34">
        <v>0</v>
      </c>
      <c r="E2888" s="34"/>
      <c r="F2888" s="34">
        <v>4620</v>
      </c>
      <c r="G2888" s="34">
        <v>0</v>
      </c>
      <c r="H2888" s="34">
        <f t="shared" si="46"/>
        <v>4620</v>
      </c>
      <c r="I2888" s="34"/>
      <c r="K2888" t="s">
        <v>38</v>
      </c>
    </row>
    <row r="2889" spans="2:11" ht="16.5" x14ac:dyDescent="0.2">
      <c r="B2889" s="33" t="s">
        <v>3819</v>
      </c>
      <c r="C2889" s="33" t="s">
        <v>3187</v>
      </c>
      <c r="D2889" s="35">
        <f>SUMIFS(D2890:D9015,K2890:K9015,"0",B2890:B9015,"5 1 1 3 1 12 31111 6 M59 23000*")-SUMIFS(E2890:E9015,K2890:K9015,"0",B2890:B9015,"5 1 1 3 1 12 31111 6 M59 23000*")</f>
        <v>0</v>
      </c>
      <c r="E2889"/>
      <c r="F2889" s="35">
        <f>SUMIFS(F2890:F9015,K2890:K9015,"0",B2890:B9015,"5 1 1 3 1 12 31111 6 M59 23000*")</f>
        <v>280</v>
      </c>
      <c r="G2889" s="35">
        <f>SUMIFS(G2890:G9015,K2890:K9015,"0",B2890:B9015,"5 1 1 3 1 12 31111 6 M59 23000*")</f>
        <v>0</v>
      </c>
      <c r="H2889" s="35">
        <f t="shared" si="46"/>
        <v>280</v>
      </c>
      <c r="I2889" s="35"/>
      <c r="K2889" t="s">
        <v>15</v>
      </c>
    </row>
    <row r="2890" spans="2:11" ht="16.5" x14ac:dyDescent="0.2">
      <c r="B2890" s="33" t="s">
        <v>3820</v>
      </c>
      <c r="C2890" s="33" t="s">
        <v>648</v>
      </c>
      <c r="D2890" s="35">
        <f>SUMIFS(D2891:D9015,K2891:K9015,"0",B2891:B9015,"5 1 1 3 1 12 31111 6 M59 23000 000132*")-SUMIFS(E2891:E9015,K2891:K9015,"0",B2891:B9015,"5 1 1 3 1 12 31111 6 M59 23000 000132*")</f>
        <v>0</v>
      </c>
      <c r="E2890"/>
      <c r="F2890" s="35">
        <f>SUMIFS(F2891:F9015,K2891:K9015,"0",B2891:B9015,"5 1 1 3 1 12 31111 6 M59 23000 000132*")</f>
        <v>280</v>
      </c>
      <c r="G2890" s="35">
        <f>SUMIFS(G2891:G9015,K2891:K9015,"0",B2891:B9015,"5 1 1 3 1 12 31111 6 M59 23000 000132*")</f>
        <v>0</v>
      </c>
      <c r="H2890" s="35">
        <f t="shared" si="46"/>
        <v>280</v>
      </c>
      <c r="I2890" s="35"/>
      <c r="K2890" t="s">
        <v>15</v>
      </c>
    </row>
    <row r="2891" spans="2:11" ht="16.5" x14ac:dyDescent="0.2">
      <c r="B2891" s="33" t="s">
        <v>3821</v>
      </c>
      <c r="C2891" s="33" t="s">
        <v>650</v>
      </c>
      <c r="D2891" s="35">
        <f>SUMIFS(D2892:D9015,K2892:K9015,"0",B2892:B9015,"5 1 1 3 1 12 31111 6 M59 23000 000132 0000R*")-SUMIFS(E2892:E9015,K2892:K9015,"0",B2892:B9015,"5 1 1 3 1 12 31111 6 M59 23000 000132 0000R*")</f>
        <v>0</v>
      </c>
      <c r="E2891"/>
      <c r="F2891" s="35">
        <f>SUMIFS(F2892:F9015,K2892:K9015,"0",B2892:B9015,"5 1 1 3 1 12 31111 6 M59 23000 000132 0000R*")</f>
        <v>280</v>
      </c>
      <c r="G2891" s="35">
        <f>SUMIFS(G2892:G9015,K2892:K9015,"0",B2892:B9015,"5 1 1 3 1 12 31111 6 M59 23000 000132 0000R*")</f>
        <v>0</v>
      </c>
      <c r="H2891" s="35">
        <f t="shared" si="46"/>
        <v>280</v>
      </c>
      <c r="I2891" s="35"/>
      <c r="K2891" t="s">
        <v>15</v>
      </c>
    </row>
    <row r="2892" spans="2:11" ht="24.75" x14ac:dyDescent="0.2">
      <c r="B2892" s="33" t="s">
        <v>3822</v>
      </c>
      <c r="C2892" s="33" t="s">
        <v>282</v>
      </c>
      <c r="D2892" s="35">
        <f>SUMIFS(D2893:D9015,K2893:K9015,"0",B2893:B9015,"5 1 1 3 1 12 31111 6 M59 23000 000132 0000R 00001*")-SUMIFS(E2893:E9015,K2893:K9015,"0",B2893:B9015,"5 1 1 3 1 12 31111 6 M59 23000 000132 0000R 00001*")</f>
        <v>0</v>
      </c>
      <c r="E2892"/>
      <c r="F2892" s="35">
        <f>SUMIFS(F2893:F9015,K2893:K9015,"0",B2893:B9015,"5 1 1 3 1 12 31111 6 M59 23000 000132 0000R 00001*")</f>
        <v>280</v>
      </c>
      <c r="G2892" s="35">
        <f>SUMIFS(G2893:G9015,K2893:K9015,"0",B2893:B9015,"5 1 1 3 1 12 31111 6 M59 23000 000132 0000R 00001*")</f>
        <v>0</v>
      </c>
      <c r="H2892" s="35">
        <f t="shared" si="46"/>
        <v>280</v>
      </c>
      <c r="I2892" s="35"/>
      <c r="K2892" t="s">
        <v>15</v>
      </c>
    </row>
    <row r="2893" spans="2:11" ht="24.75" x14ac:dyDescent="0.2">
      <c r="B2893" s="33" t="s">
        <v>3823</v>
      </c>
      <c r="C2893" s="33" t="s">
        <v>3778</v>
      </c>
      <c r="D2893" s="35">
        <f>SUMIFS(D2894:D9015,K2894:K9015,"0",B2894:B9015,"5 1 1 3 1 12 31111 6 M59 23000 000132 0000R 00001 00131*")-SUMIFS(E2894:E9015,K2894:K9015,"0",B2894:B9015,"5 1 1 3 1 12 31111 6 M59 23000 000132 0000R 00001 00131*")</f>
        <v>0</v>
      </c>
      <c r="E2893"/>
      <c r="F2893" s="35">
        <f>SUMIFS(F2894:F9015,K2894:K9015,"0",B2894:B9015,"5 1 1 3 1 12 31111 6 M59 23000 000132 0000R 00001 00131*")</f>
        <v>280</v>
      </c>
      <c r="G2893" s="35">
        <f>SUMIFS(G2894:G9015,K2894:K9015,"0",B2894:B9015,"5 1 1 3 1 12 31111 6 M59 23000 000132 0000R 00001 00131*")</f>
        <v>0</v>
      </c>
      <c r="H2893" s="35">
        <f t="shared" si="46"/>
        <v>280</v>
      </c>
      <c r="I2893" s="35"/>
      <c r="K2893" t="s">
        <v>15</v>
      </c>
    </row>
    <row r="2894" spans="2:11" ht="24.75" x14ac:dyDescent="0.2">
      <c r="B2894" s="33" t="s">
        <v>3824</v>
      </c>
      <c r="C2894" s="33" t="s">
        <v>1051</v>
      </c>
      <c r="D2894" s="35">
        <f>SUMIFS(D2895:D9015,K2895:K9015,"0",B2895:B9015,"5 1 1 3 1 12 31111 6 M59 23000 000132 0000R 00001 00131 015*")-SUMIFS(E2895:E9015,K2895:K9015,"0",B2895:B9015,"5 1 1 3 1 12 31111 6 M59 23000 000132 0000R 00001 00131 015*")</f>
        <v>0</v>
      </c>
      <c r="E2894"/>
      <c r="F2894" s="35">
        <f>SUMIFS(F2895:F9015,K2895:K9015,"0",B2895:B9015,"5 1 1 3 1 12 31111 6 M59 23000 000132 0000R 00001 00131 015*")</f>
        <v>280</v>
      </c>
      <c r="G2894" s="35">
        <f>SUMIFS(G2895:G9015,K2895:K9015,"0",B2895:B9015,"5 1 1 3 1 12 31111 6 M59 23000 000132 0000R 00001 00131 015*")</f>
        <v>0</v>
      </c>
      <c r="H2894" s="35">
        <f t="shared" si="46"/>
        <v>280</v>
      </c>
      <c r="I2894" s="35"/>
      <c r="K2894" t="s">
        <v>15</v>
      </c>
    </row>
    <row r="2895" spans="2:11" ht="33" x14ac:dyDescent="0.2">
      <c r="B2895" s="33" t="s">
        <v>3825</v>
      </c>
      <c r="C2895" s="33" t="s">
        <v>2927</v>
      </c>
      <c r="D2895" s="35">
        <f>SUMIFS(D2896:D9015,K2896:K9015,"0",B2896:B9015,"5 1 1 3 1 12 31111 6 M59 23000 000132 0000R 00001 00131 015 2111100*")-SUMIFS(E2896:E9015,K2896:K9015,"0",B2896:B9015,"5 1 1 3 1 12 31111 6 M59 23000 000132 0000R 00001 00131 015 2111100*")</f>
        <v>0</v>
      </c>
      <c r="E2895"/>
      <c r="F2895" s="35">
        <f>SUMIFS(F2896:F9015,K2896:K9015,"0",B2896:B9015,"5 1 1 3 1 12 31111 6 M59 23000 000132 0000R 00001 00131 015 2111100*")</f>
        <v>280</v>
      </c>
      <c r="G2895" s="35">
        <f>SUMIFS(G2896:G9015,K2896:K9015,"0",B2896:B9015,"5 1 1 3 1 12 31111 6 M59 23000 000132 0000R 00001 00131 015 2111100*")</f>
        <v>0</v>
      </c>
      <c r="H2895" s="35">
        <f t="shared" si="46"/>
        <v>280</v>
      </c>
      <c r="I2895" s="35"/>
      <c r="K2895" t="s">
        <v>15</v>
      </c>
    </row>
    <row r="2896" spans="2:11" ht="33" x14ac:dyDescent="0.2">
      <c r="B2896" s="33" t="s">
        <v>3826</v>
      </c>
      <c r="C2896" s="33" t="s">
        <v>660</v>
      </c>
      <c r="D2896" s="35">
        <f>SUMIFS(D2897:D9015,K2897:K9015,"0",B2897:B9015,"5 1 1 3 1 12 31111 6 M59 23000 000132 0000R 00001 00131 015 2111100 2024*")-SUMIFS(E2897:E9015,K2897:K9015,"0",B2897:B9015,"5 1 1 3 1 12 31111 6 M59 23000 000132 0000R 00001 00131 015 2111100 2024*")</f>
        <v>0</v>
      </c>
      <c r="E2896"/>
      <c r="F2896" s="35">
        <f>SUMIFS(F2897:F9015,K2897:K9015,"0",B2897:B9015,"5 1 1 3 1 12 31111 6 M59 23000 000132 0000R 00001 00131 015 2111100 2024*")</f>
        <v>280</v>
      </c>
      <c r="G2896" s="35">
        <f>SUMIFS(G2897:G9015,K2897:K9015,"0",B2897:B9015,"5 1 1 3 1 12 31111 6 M59 23000 000132 0000R 00001 00131 015 2111100 2024*")</f>
        <v>0</v>
      </c>
      <c r="H2896" s="35">
        <f t="shared" si="46"/>
        <v>280</v>
      </c>
      <c r="I2896" s="35"/>
      <c r="K2896" t="s">
        <v>15</v>
      </c>
    </row>
    <row r="2897" spans="2:11" ht="41.25" x14ac:dyDescent="0.2">
      <c r="B2897" s="33" t="s">
        <v>3827</v>
      </c>
      <c r="C2897" s="33" t="s">
        <v>1056</v>
      </c>
      <c r="D2897" s="35">
        <f>SUMIFS(D2898:D9015,K2898:K9015,"0",B2898:B9015,"5 1 1 3 1 12 31111 6 M59 23000 000132 0000R 00001 00131 015 2111100 2024 CP1ST377*")-SUMIFS(E2898:E9015,K2898:K9015,"0",B2898:B9015,"5 1 1 3 1 12 31111 6 M59 23000 000132 0000R 00001 00131 015 2111100 2024 CP1ST377*")</f>
        <v>0</v>
      </c>
      <c r="E2897"/>
      <c r="F2897" s="35">
        <f>SUMIFS(F2898:F9015,K2898:K9015,"0",B2898:B9015,"5 1 1 3 1 12 31111 6 M59 23000 000132 0000R 00001 00131 015 2111100 2024 CP1ST377*")</f>
        <v>280</v>
      </c>
      <c r="G2897" s="35">
        <f>SUMIFS(G2898:G9015,K2898:K9015,"0",B2898:B9015,"5 1 1 3 1 12 31111 6 M59 23000 000132 0000R 00001 00131 015 2111100 2024 CP1ST377*")</f>
        <v>0</v>
      </c>
      <c r="H2897" s="35">
        <f t="shared" si="46"/>
        <v>280</v>
      </c>
      <c r="I2897" s="35"/>
      <c r="K2897" t="s">
        <v>15</v>
      </c>
    </row>
    <row r="2898" spans="2:11" ht="41.25" x14ac:dyDescent="0.2">
      <c r="B2898" s="33" t="s">
        <v>3828</v>
      </c>
      <c r="C2898" s="33" t="s">
        <v>282</v>
      </c>
      <c r="D2898" s="35">
        <f>SUMIFS(D2899:D9015,K2899:K9015,"0",B2899:B9015,"5 1 1 3 1 12 31111 6 M59 23000 000132 0000R 00001 00131 015 2111100 2024 CP1ST377 001*")-SUMIFS(E2899:E9015,K2899:K9015,"0",B2899:B9015,"5 1 1 3 1 12 31111 6 M59 23000 000132 0000R 00001 00131 015 2111100 2024 CP1ST377 001*")</f>
        <v>0</v>
      </c>
      <c r="E2898"/>
      <c r="F2898" s="35">
        <f>SUMIFS(F2899:F9015,K2899:K9015,"0",B2899:B9015,"5 1 1 3 1 12 31111 6 M59 23000 000132 0000R 00001 00131 015 2111100 2024 CP1ST377 001*")</f>
        <v>280</v>
      </c>
      <c r="G2898" s="35">
        <f>SUMIFS(G2899:G9015,K2899:K9015,"0",B2899:B9015,"5 1 1 3 1 12 31111 6 M59 23000 000132 0000R 00001 00131 015 2111100 2024 CP1ST377 001*")</f>
        <v>0</v>
      </c>
      <c r="H2898" s="35">
        <f t="shared" si="46"/>
        <v>280</v>
      </c>
      <c r="I2898" s="35"/>
      <c r="K2898" t="s">
        <v>15</v>
      </c>
    </row>
    <row r="2899" spans="2:11" ht="41.25" x14ac:dyDescent="0.2">
      <c r="B2899" s="31" t="s">
        <v>3829</v>
      </c>
      <c r="C2899" s="31" t="s">
        <v>3785</v>
      </c>
      <c r="D2899" s="34">
        <v>0</v>
      </c>
      <c r="E2899" s="34"/>
      <c r="F2899" s="34">
        <v>280</v>
      </c>
      <c r="G2899" s="34">
        <v>0</v>
      </c>
      <c r="H2899" s="34">
        <f t="shared" si="46"/>
        <v>280</v>
      </c>
      <c r="I2899" s="34"/>
      <c r="K2899" t="s">
        <v>38</v>
      </c>
    </row>
    <row r="2900" spans="2:11" ht="16.5" x14ac:dyDescent="0.2">
      <c r="B2900" s="33" t="s">
        <v>3830</v>
      </c>
      <c r="C2900" s="33" t="s">
        <v>646</v>
      </c>
      <c r="D2900" s="35">
        <f>SUMIFS(D2901:D9015,K2901:K9015,"0",B2901:B9015,"5 1 1 3 1 12 31111 6 M59 30100*")-SUMIFS(E2901:E9015,K2901:K9015,"0",B2901:B9015,"5 1 1 3 1 12 31111 6 M59 30100*")</f>
        <v>0</v>
      </c>
      <c r="E2900"/>
      <c r="F2900" s="35">
        <f>SUMIFS(F2901:F9015,K2901:K9015,"0",B2901:B9015,"5 1 1 3 1 12 31111 6 M59 30100*")</f>
        <v>5700</v>
      </c>
      <c r="G2900" s="35">
        <f>SUMIFS(G2901:G9015,K2901:K9015,"0",B2901:B9015,"5 1 1 3 1 12 31111 6 M59 30100*")</f>
        <v>0</v>
      </c>
      <c r="H2900" s="35">
        <f t="shared" si="46"/>
        <v>5700</v>
      </c>
      <c r="I2900" s="35"/>
      <c r="K2900" t="s">
        <v>15</v>
      </c>
    </row>
    <row r="2901" spans="2:11" ht="16.5" x14ac:dyDescent="0.2">
      <c r="B2901" s="33" t="s">
        <v>3831</v>
      </c>
      <c r="C2901" s="33" t="s">
        <v>648</v>
      </c>
      <c r="D2901" s="35">
        <f>SUMIFS(D2902:D9015,K2902:K9015,"0",B2902:B9015,"5 1 1 3 1 12 31111 6 M59 30100 000132*")-SUMIFS(E2902:E9015,K2902:K9015,"0",B2902:B9015,"5 1 1 3 1 12 31111 6 M59 30100 000132*")</f>
        <v>0</v>
      </c>
      <c r="E2901"/>
      <c r="F2901" s="35">
        <f>SUMIFS(F2902:F9015,K2902:K9015,"0",B2902:B9015,"5 1 1 3 1 12 31111 6 M59 30100 000132*")</f>
        <v>5700</v>
      </c>
      <c r="G2901" s="35">
        <f>SUMIFS(G2902:G9015,K2902:K9015,"0",B2902:B9015,"5 1 1 3 1 12 31111 6 M59 30100 000132*")</f>
        <v>0</v>
      </c>
      <c r="H2901" s="35">
        <f t="shared" si="46"/>
        <v>5700</v>
      </c>
      <c r="I2901" s="35"/>
      <c r="K2901" t="s">
        <v>15</v>
      </c>
    </row>
    <row r="2902" spans="2:11" ht="16.5" x14ac:dyDescent="0.2">
      <c r="B2902" s="33" t="s">
        <v>3832</v>
      </c>
      <c r="C2902" s="33" t="s">
        <v>650</v>
      </c>
      <c r="D2902" s="35">
        <f>SUMIFS(D2903:D9015,K2903:K9015,"0",B2903:B9015,"5 1 1 3 1 12 31111 6 M59 30100 000132 0000R*")-SUMIFS(E2903:E9015,K2903:K9015,"0",B2903:B9015,"5 1 1 3 1 12 31111 6 M59 30100 000132 0000R*")</f>
        <v>0</v>
      </c>
      <c r="E2902"/>
      <c r="F2902" s="35">
        <f>SUMIFS(F2903:F9015,K2903:K9015,"0",B2903:B9015,"5 1 1 3 1 12 31111 6 M59 30100 000132 0000R*")</f>
        <v>5700</v>
      </c>
      <c r="G2902" s="35">
        <f>SUMIFS(G2903:G9015,K2903:K9015,"0",B2903:B9015,"5 1 1 3 1 12 31111 6 M59 30100 000132 0000R*")</f>
        <v>0</v>
      </c>
      <c r="H2902" s="35">
        <f t="shared" si="46"/>
        <v>5700</v>
      </c>
      <c r="I2902" s="35"/>
      <c r="K2902" t="s">
        <v>15</v>
      </c>
    </row>
    <row r="2903" spans="2:11" ht="24.75" x14ac:dyDescent="0.2">
      <c r="B2903" s="33" t="s">
        <v>3833</v>
      </c>
      <c r="C2903" s="33" t="s">
        <v>282</v>
      </c>
      <c r="D2903" s="35">
        <f>SUMIFS(D2904:D9015,K2904:K9015,"0",B2904:B9015,"5 1 1 3 1 12 31111 6 M59 30100 000132 0000R 00001*")-SUMIFS(E2904:E9015,K2904:K9015,"0",B2904:B9015,"5 1 1 3 1 12 31111 6 M59 30100 000132 0000R 00001*")</f>
        <v>0</v>
      </c>
      <c r="E2903"/>
      <c r="F2903" s="35">
        <f>SUMIFS(F2904:F9015,K2904:K9015,"0",B2904:B9015,"5 1 1 3 1 12 31111 6 M59 30100 000132 0000R 00001*")</f>
        <v>5700</v>
      </c>
      <c r="G2903" s="35">
        <f>SUMIFS(G2904:G9015,K2904:K9015,"0",B2904:B9015,"5 1 1 3 1 12 31111 6 M59 30100 000132 0000R 00001*")</f>
        <v>0</v>
      </c>
      <c r="H2903" s="35">
        <f t="shared" si="46"/>
        <v>5700</v>
      </c>
      <c r="I2903" s="35"/>
      <c r="K2903" t="s">
        <v>15</v>
      </c>
    </row>
    <row r="2904" spans="2:11" ht="24.75" x14ac:dyDescent="0.2">
      <c r="B2904" s="33" t="s">
        <v>3834</v>
      </c>
      <c r="C2904" s="33" t="s">
        <v>3778</v>
      </c>
      <c r="D2904" s="35">
        <f>SUMIFS(D2905:D9015,K2905:K9015,"0",B2905:B9015,"5 1 1 3 1 12 31111 6 M59 30100 000132 0000R 00001 00131*")-SUMIFS(E2905:E9015,K2905:K9015,"0",B2905:B9015,"5 1 1 3 1 12 31111 6 M59 30100 000132 0000R 00001 00131*")</f>
        <v>0</v>
      </c>
      <c r="E2904"/>
      <c r="F2904" s="35">
        <f>SUMIFS(F2905:F9015,K2905:K9015,"0",B2905:B9015,"5 1 1 3 1 12 31111 6 M59 30100 000132 0000R 00001 00131*")</f>
        <v>5700</v>
      </c>
      <c r="G2904" s="35">
        <f>SUMIFS(G2905:G9015,K2905:K9015,"0",B2905:B9015,"5 1 1 3 1 12 31111 6 M59 30100 000132 0000R 00001 00131*")</f>
        <v>0</v>
      </c>
      <c r="H2904" s="35">
        <f t="shared" si="46"/>
        <v>5700</v>
      </c>
      <c r="I2904" s="35"/>
      <c r="K2904" t="s">
        <v>15</v>
      </c>
    </row>
    <row r="2905" spans="2:11" ht="24.75" x14ac:dyDescent="0.2">
      <c r="B2905" s="33" t="s">
        <v>3835</v>
      </c>
      <c r="C2905" s="33" t="s">
        <v>1051</v>
      </c>
      <c r="D2905" s="35">
        <f>SUMIFS(D2906:D9015,K2906:K9015,"0",B2906:B9015,"5 1 1 3 1 12 31111 6 M59 30100 000132 0000R 00001 00131 015*")-SUMIFS(E2906:E9015,K2906:K9015,"0",B2906:B9015,"5 1 1 3 1 12 31111 6 M59 30100 000132 0000R 00001 00131 015*")</f>
        <v>0</v>
      </c>
      <c r="E2905"/>
      <c r="F2905" s="35">
        <f>SUMIFS(F2906:F9015,K2906:K9015,"0",B2906:B9015,"5 1 1 3 1 12 31111 6 M59 30100 000132 0000R 00001 00131 015*")</f>
        <v>5700</v>
      </c>
      <c r="G2905" s="35">
        <f>SUMIFS(G2906:G9015,K2906:K9015,"0",B2906:B9015,"5 1 1 3 1 12 31111 6 M59 30100 000132 0000R 00001 00131 015*")</f>
        <v>0</v>
      </c>
      <c r="H2905" s="35">
        <f t="shared" si="46"/>
        <v>5700</v>
      </c>
      <c r="I2905" s="35"/>
      <c r="K2905" t="s">
        <v>15</v>
      </c>
    </row>
    <row r="2906" spans="2:11" ht="33" x14ac:dyDescent="0.2">
      <c r="B2906" s="33" t="s">
        <v>3836</v>
      </c>
      <c r="C2906" s="33" t="s">
        <v>2927</v>
      </c>
      <c r="D2906" s="35">
        <f>SUMIFS(D2907:D9015,K2907:K9015,"0",B2907:B9015,"5 1 1 3 1 12 31111 6 M59 30100 000132 0000R 00001 00131 015 2111100*")-SUMIFS(E2907:E9015,K2907:K9015,"0",B2907:B9015,"5 1 1 3 1 12 31111 6 M59 30100 000132 0000R 00001 00131 015 2111100*")</f>
        <v>0</v>
      </c>
      <c r="E2906"/>
      <c r="F2906" s="35">
        <f>SUMIFS(F2907:F9015,K2907:K9015,"0",B2907:B9015,"5 1 1 3 1 12 31111 6 M59 30100 000132 0000R 00001 00131 015 2111100*")</f>
        <v>5700</v>
      </c>
      <c r="G2906" s="35">
        <f>SUMIFS(G2907:G9015,K2907:K9015,"0",B2907:B9015,"5 1 1 3 1 12 31111 6 M59 30100 000132 0000R 00001 00131 015 2111100*")</f>
        <v>0</v>
      </c>
      <c r="H2906" s="35">
        <f t="shared" si="46"/>
        <v>5700</v>
      </c>
      <c r="I2906" s="35"/>
      <c r="K2906" t="s">
        <v>15</v>
      </c>
    </row>
    <row r="2907" spans="2:11" ht="33" x14ac:dyDescent="0.2">
      <c r="B2907" s="33" t="s">
        <v>3837</v>
      </c>
      <c r="C2907" s="33" t="s">
        <v>660</v>
      </c>
      <c r="D2907" s="35">
        <f>SUMIFS(D2908:D9015,K2908:K9015,"0",B2908:B9015,"5 1 1 3 1 12 31111 6 M59 30100 000132 0000R 00001 00131 015 2111100 2024*")-SUMIFS(E2908:E9015,K2908:K9015,"0",B2908:B9015,"5 1 1 3 1 12 31111 6 M59 30100 000132 0000R 00001 00131 015 2111100 2024*")</f>
        <v>0</v>
      </c>
      <c r="E2907"/>
      <c r="F2907" s="35">
        <f>SUMIFS(F2908:F9015,K2908:K9015,"0",B2908:B9015,"5 1 1 3 1 12 31111 6 M59 30100 000132 0000R 00001 00131 015 2111100 2024*")</f>
        <v>5700</v>
      </c>
      <c r="G2907" s="35">
        <f>SUMIFS(G2908:G9015,K2908:K9015,"0",B2908:B9015,"5 1 1 3 1 12 31111 6 M59 30100 000132 0000R 00001 00131 015 2111100 2024*")</f>
        <v>0</v>
      </c>
      <c r="H2907" s="35">
        <f t="shared" si="46"/>
        <v>5700</v>
      </c>
      <c r="I2907" s="35"/>
      <c r="K2907" t="s">
        <v>15</v>
      </c>
    </row>
    <row r="2908" spans="2:11" ht="41.25" x14ac:dyDescent="0.2">
      <c r="B2908" s="33" t="s">
        <v>3838</v>
      </c>
      <c r="C2908" s="33" t="s">
        <v>662</v>
      </c>
      <c r="D2908" s="35">
        <f>SUMIFS(D2909:D9015,K2909:K9015,"0",B2909:B9015,"5 1 1 3 1 12 31111 6 M59 30100 000132 0000R 00001 00131 015 2111100 2024 CP1OP405*")-SUMIFS(E2909:E9015,K2909:K9015,"0",B2909:B9015,"5 1 1 3 1 12 31111 6 M59 30100 000132 0000R 00001 00131 015 2111100 2024 CP1OP405*")</f>
        <v>0</v>
      </c>
      <c r="E2908"/>
      <c r="F2908" s="35">
        <f>SUMIFS(F2909:F9015,K2909:K9015,"0",B2909:B9015,"5 1 1 3 1 12 31111 6 M59 30100 000132 0000R 00001 00131 015 2111100 2024 CP1OP405*")</f>
        <v>5700</v>
      </c>
      <c r="G2908" s="35">
        <f>SUMIFS(G2909:G9015,K2909:K9015,"0",B2909:B9015,"5 1 1 3 1 12 31111 6 M59 30100 000132 0000R 00001 00131 015 2111100 2024 CP1OP405*")</f>
        <v>0</v>
      </c>
      <c r="H2908" s="35">
        <f t="shared" si="46"/>
        <v>5700</v>
      </c>
      <c r="I2908" s="35"/>
      <c r="K2908" t="s">
        <v>15</v>
      </c>
    </row>
    <row r="2909" spans="2:11" ht="41.25" x14ac:dyDescent="0.2">
      <c r="B2909" s="33" t="s">
        <v>3839</v>
      </c>
      <c r="C2909" s="33" t="s">
        <v>282</v>
      </c>
      <c r="D2909" s="35">
        <f>SUMIFS(D2910:D9015,K2910:K9015,"0",B2910:B9015,"5 1 1 3 1 12 31111 6 M59 30100 000132 0000R 00001 00131 015 2111100 2024 CP1OP405 001*")-SUMIFS(E2910:E9015,K2910:K9015,"0",B2910:B9015,"5 1 1 3 1 12 31111 6 M59 30100 000132 0000R 00001 00131 015 2111100 2024 CP1OP405 001*")</f>
        <v>0</v>
      </c>
      <c r="E2909"/>
      <c r="F2909" s="35">
        <f>SUMIFS(F2910:F9015,K2910:K9015,"0",B2910:B9015,"5 1 1 3 1 12 31111 6 M59 30100 000132 0000R 00001 00131 015 2111100 2024 CP1OP405 001*")</f>
        <v>5700</v>
      </c>
      <c r="G2909" s="35">
        <f>SUMIFS(G2910:G9015,K2910:K9015,"0",B2910:B9015,"5 1 1 3 1 12 31111 6 M59 30100 000132 0000R 00001 00131 015 2111100 2024 CP1OP405 001*")</f>
        <v>0</v>
      </c>
      <c r="H2909" s="35">
        <f t="shared" si="46"/>
        <v>5700</v>
      </c>
      <c r="I2909" s="35"/>
      <c r="K2909" t="s">
        <v>15</v>
      </c>
    </row>
    <row r="2910" spans="2:11" ht="33" x14ac:dyDescent="0.2">
      <c r="B2910" s="31" t="s">
        <v>3840</v>
      </c>
      <c r="C2910" s="31" t="s">
        <v>3785</v>
      </c>
      <c r="D2910" s="34">
        <v>0</v>
      </c>
      <c r="E2910" s="34"/>
      <c r="F2910" s="34">
        <v>5700</v>
      </c>
      <c r="G2910" s="34">
        <v>0</v>
      </c>
      <c r="H2910" s="34">
        <f t="shared" si="46"/>
        <v>5700</v>
      </c>
      <c r="I2910" s="34"/>
      <c r="K2910" t="s">
        <v>38</v>
      </c>
    </row>
    <row r="2911" spans="2:11" ht="16.5" x14ac:dyDescent="0.2">
      <c r="B2911" s="33" t="s">
        <v>3841</v>
      </c>
      <c r="C2911" s="33" t="s">
        <v>3281</v>
      </c>
      <c r="D2911" s="35">
        <f>SUMIFS(D2912:D9015,K2912:K9015,"0",B2912:B9015,"5 1 1 3 1 12 31111 6 M59 50000*")-SUMIFS(E2912:E9015,K2912:K9015,"0",B2912:B9015,"5 1 1 3 1 12 31111 6 M59 50000*")</f>
        <v>0</v>
      </c>
      <c r="E2911"/>
      <c r="F2911" s="35">
        <f>SUMIFS(F2912:F9015,K2912:K9015,"0",B2912:B9015,"5 1 1 3 1 12 31111 6 M59 50000*")</f>
        <v>15960</v>
      </c>
      <c r="G2911" s="35">
        <f>SUMIFS(G2912:G9015,K2912:K9015,"0",B2912:B9015,"5 1 1 3 1 12 31111 6 M59 50000*")</f>
        <v>0</v>
      </c>
      <c r="H2911" s="35">
        <f t="shared" si="46"/>
        <v>15960</v>
      </c>
      <c r="I2911" s="35"/>
      <c r="K2911" t="s">
        <v>15</v>
      </c>
    </row>
    <row r="2912" spans="2:11" ht="16.5" x14ac:dyDescent="0.2">
      <c r="B2912" s="33" t="s">
        <v>3842</v>
      </c>
      <c r="C2912" s="33" t="s">
        <v>3283</v>
      </c>
      <c r="D2912" s="35">
        <f>SUMIFS(D2913:D9015,K2913:K9015,"0",B2913:B9015,"5 1 1 3 1 12 31111 6 M59 50000 000223*")-SUMIFS(E2913:E9015,K2913:K9015,"0",B2913:B9015,"5 1 1 3 1 12 31111 6 M59 50000 000223*")</f>
        <v>0</v>
      </c>
      <c r="E2912"/>
      <c r="F2912" s="35">
        <f>SUMIFS(F2913:F9015,K2913:K9015,"0",B2913:B9015,"5 1 1 3 1 12 31111 6 M59 50000 000223*")</f>
        <v>15960</v>
      </c>
      <c r="G2912" s="35">
        <f>SUMIFS(G2913:G9015,K2913:K9015,"0",B2913:B9015,"5 1 1 3 1 12 31111 6 M59 50000 000223*")</f>
        <v>0</v>
      </c>
      <c r="H2912" s="35">
        <f t="shared" si="46"/>
        <v>15960</v>
      </c>
      <c r="I2912" s="35"/>
      <c r="K2912" t="s">
        <v>15</v>
      </c>
    </row>
    <row r="2913" spans="2:11" ht="16.5" x14ac:dyDescent="0.2">
      <c r="B2913" s="33" t="s">
        <v>3843</v>
      </c>
      <c r="C2913" s="33" t="s">
        <v>1065</v>
      </c>
      <c r="D2913" s="35">
        <f>SUMIFS(D2914:D9015,K2914:K9015,"0",B2914:B9015,"5 1 1 3 1 12 31111 6 M59 50000 000223 0000E*")-SUMIFS(E2914:E9015,K2914:K9015,"0",B2914:B9015,"5 1 1 3 1 12 31111 6 M59 50000 000223 0000E*")</f>
        <v>0</v>
      </c>
      <c r="E2913"/>
      <c r="F2913" s="35">
        <f>SUMIFS(F2914:F9015,K2914:K9015,"0",B2914:B9015,"5 1 1 3 1 12 31111 6 M59 50000 000223 0000E*")</f>
        <v>15960</v>
      </c>
      <c r="G2913" s="35">
        <f>SUMIFS(G2914:G9015,K2914:K9015,"0",B2914:B9015,"5 1 1 3 1 12 31111 6 M59 50000 000223 0000E*")</f>
        <v>0</v>
      </c>
      <c r="H2913" s="35">
        <f t="shared" si="46"/>
        <v>15960</v>
      </c>
      <c r="I2913" s="35"/>
      <c r="K2913" t="s">
        <v>15</v>
      </c>
    </row>
    <row r="2914" spans="2:11" ht="24.75" x14ac:dyDescent="0.2">
      <c r="B2914" s="33" t="s">
        <v>3844</v>
      </c>
      <c r="C2914" s="33" t="s">
        <v>282</v>
      </c>
      <c r="D2914" s="35">
        <f>SUMIFS(D2915:D9015,K2915:K9015,"0",B2915:B9015,"5 1 1 3 1 12 31111 6 M59 50000 000223 0000E 00001*")-SUMIFS(E2915:E9015,K2915:K9015,"0",B2915:B9015,"5 1 1 3 1 12 31111 6 M59 50000 000223 0000E 00001*")</f>
        <v>0</v>
      </c>
      <c r="E2914"/>
      <c r="F2914" s="35">
        <f>SUMIFS(F2915:F9015,K2915:K9015,"0",B2915:B9015,"5 1 1 3 1 12 31111 6 M59 50000 000223 0000E 00001*")</f>
        <v>15960</v>
      </c>
      <c r="G2914" s="35">
        <f>SUMIFS(G2915:G9015,K2915:K9015,"0",B2915:B9015,"5 1 1 3 1 12 31111 6 M59 50000 000223 0000E 00001*")</f>
        <v>0</v>
      </c>
      <c r="H2914" s="35">
        <f t="shared" si="46"/>
        <v>15960</v>
      </c>
      <c r="I2914" s="35"/>
      <c r="K2914" t="s">
        <v>15</v>
      </c>
    </row>
    <row r="2915" spans="2:11" ht="24.75" x14ac:dyDescent="0.2">
      <c r="B2915" s="33" t="s">
        <v>3845</v>
      </c>
      <c r="C2915" s="33" t="s">
        <v>3778</v>
      </c>
      <c r="D2915" s="35">
        <f>SUMIFS(D2916:D9015,K2916:K9015,"0",B2916:B9015,"5 1 1 3 1 12 31111 6 M59 50000 000223 0000E 00001 00131*")-SUMIFS(E2916:E9015,K2916:K9015,"0",B2916:B9015,"5 1 1 3 1 12 31111 6 M59 50000 000223 0000E 00001 00131*")</f>
        <v>0</v>
      </c>
      <c r="E2915"/>
      <c r="F2915" s="35">
        <f>SUMIFS(F2916:F9015,K2916:K9015,"0",B2916:B9015,"5 1 1 3 1 12 31111 6 M59 50000 000223 0000E 00001 00131*")</f>
        <v>15960</v>
      </c>
      <c r="G2915" s="35">
        <f>SUMIFS(G2916:G9015,K2916:K9015,"0",B2916:B9015,"5 1 1 3 1 12 31111 6 M59 50000 000223 0000E 00001 00131*")</f>
        <v>0</v>
      </c>
      <c r="H2915" s="35">
        <f t="shared" si="46"/>
        <v>15960</v>
      </c>
      <c r="I2915" s="35"/>
      <c r="K2915" t="s">
        <v>15</v>
      </c>
    </row>
    <row r="2916" spans="2:11" ht="24.75" x14ac:dyDescent="0.2">
      <c r="B2916" s="33" t="s">
        <v>3846</v>
      </c>
      <c r="C2916" s="33" t="s">
        <v>1051</v>
      </c>
      <c r="D2916" s="35">
        <f>SUMIFS(D2917:D9015,K2917:K9015,"0",B2917:B9015,"5 1 1 3 1 12 31111 6 M59 50000 000223 0000E 00001 00131 015*")-SUMIFS(E2917:E9015,K2917:K9015,"0",B2917:B9015,"5 1 1 3 1 12 31111 6 M59 50000 000223 0000E 00001 00131 015*")</f>
        <v>0</v>
      </c>
      <c r="E2916"/>
      <c r="F2916" s="35">
        <f>SUMIFS(F2917:F9015,K2917:K9015,"0",B2917:B9015,"5 1 1 3 1 12 31111 6 M59 50000 000223 0000E 00001 00131 015*")</f>
        <v>15960</v>
      </c>
      <c r="G2916" s="35">
        <f>SUMIFS(G2917:G9015,K2917:K9015,"0",B2917:B9015,"5 1 1 3 1 12 31111 6 M59 50000 000223 0000E 00001 00131 015*")</f>
        <v>0</v>
      </c>
      <c r="H2916" s="35">
        <f t="shared" si="46"/>
        <v>15960</v>
      </c>
      <c r="I2916" s="35"/>
      <c r="K2916" t="s">
        <v>15</v>
      </c>
    </row>
    <row r="2917" spans="2:11" ht="33" x14ac:dyDescent="0.2">
      <c r="B2917" s="33" t="s">
        <v>3847</v>
      </c>
      <c r="C2917" s="33" t="s">
        <v>2927</v>
      </c>
      <c r="D2917" s="35">
        <f>SUMIFS(D2918:D9015,K2918:K9015,"0",B2918:B9015,"5 1 1 3 1 12 31111 6 M59 50000 000223 0000E 00001 00131 015 2111100*")-SUMIFS(E2918:E9015,K2918:K9015,"0",B2918:B9015,"5 1 1 3 1 12 31111 6 M59 50000 000223 0000E 00001 00131 015 2111100*")</f>
        <v>0</v>
      </c>
      <c r="E2917"/>
      <c r="F2917" s="35">
        <f>SUMIFS(F2918:F9015,K2918:K9015,"0",B2918:B9015,"5 1 1 3 1 12 31111 6 M59 50000 000223 0000E 00001 00131 015 2111100*")</f>
        <v>15960</v>
      </c>
      <c r="G2917" s="35">
        <f>SUMIFS(G2918:G9015,K2918:K9015,"0",B2918:B9015,"5 1 1 3 1 12 31111 6 M59 50000 000223 0000E 00001 00131 015 2111100*")</f>
        <v>0</v>
      </c>
      <c r="H2917" s="35">
        <f t="shared" si="46"/>
        <v>15960</v>
      </c>
      <c r="I2917" s="35"/>
      <c r="K2917" t="s">
        <v>15</v>
      </c>
    </row>
    <row r="2918" spans="2:11" ht="33" x14ac:dyDescent="0.2">
      <c r="B2918" s="33" t="s">
        <v>3848</v>
      </c>
      <c r="C2918" s="33" t="s">
        <v>660</v>
      </c>
      <c r="D2918" s="35">
        <f>SUMIFS(D2919:D9015,K2919:K9015,"0",B2919:B9015,"5 1 1 3 1 12 31111 6 M59 50000 000223 0000E 00001 00131 015 2111100 2024*")-SUMIFS(E2919:E9015,K2919:K9015,"0",B2919:B9015,"5 1 1 3 1 12 31111 6 M59 50000 000223 0000E 00001 00131 015 2111100 2024*")</f>
        <v>0</v>
      </c>
      <c r="E2918"/>
      <c r="F2918" s="35">
        <f>SUMIFS(F2919:F9015,K2919:K9015,"0",B2919:B9015,"5 1 1 3 1 12 31111 6 M59 50000 000223 0000E 00001 00131 015 2111100 2024*")</f>
        <v>15960</v>
      </c>
      <c r="G2918" s="35">
        <f>SUMIFS(G2919:G9015,K2919:K9015,"0",B2919:B9015,"5 1 1 3 1 12 31111 6 M59 50000 000223 0000E 00001 00131 015 2111100 2024*")</f>
        <v>0</v>
      </c>
      <c r="H2918" s="35">
        <f t="shared" si="46"/>
        <v>15960</v>
      </c>
      <c r="I2918" s="35"/>
      <c r="K2918" t="s">
        <v>15</v>
      </c>
    </row>
    <row r="2919" spans="2:11" ht="41.25" x14ac:dyDescent="0.2">
      <c r="B2919" s="33" t="s">
        <v>3849</v>
      </c>
      <c r="C2919" s="33" t="s">
        <v>662</v>
      </c>
      <c r="D2919" s="35">
        <f>SUMIFS(D2920:D9015,K2920:K9015,"0",B2920:B9015,"5 1 1 3 1 12 31111 6 M59 50000 000223 0000E 00001 00131 015 2111100 2024 CP1DA424*")-SUMIFS(E2920:E9015,K2920:K9015,"0",B2920:B9015,"5 1 1 3 1 12 31111 6 M59 50000 000223 0000E 00001 00131 015 2111100 2024 CP1DA424*")</f>
        <v>0</v>
      </c>
      <c r="E2919"/>
      <c r="F2919" s="35">
        <f>SUMIFS(F2920:F9015,K2920:K9015,"0",B2920:B9015,"5 1 1 3 1 12 31111 6 M59 50000 000223 0000E 00001 00131 015 2111100 2024 CP1DA424*")</f>
        <v>15960</v>
      </c>
      <c r="G2919" s="35">
        <f>SUMIFS(G2920:G9015,K2920:K9015,"0",B2920:B9015,"5 1 1 3 1 12 31111 6 M59 50000 000223 0000E 00001 00131 015 2111100 2024 CP1DA424*")</f>
        <v>0</v>
      </c>
      <c r="H2919" s="35">
        <f t="shared" si="46"/>
        <v>15960</v>
      </c>
      <c r="I2919" s="35"/>
      <c r="K2919" t="s">
        <v>15</v>
      </c>
    </row>
    <row r="2920" spans="2:11" ht="41.25" x14ac:dyDescent="0.2">
      <c r="B2920" s="33" t="s">
        <v>3850</v>
      </c>
      <c r="C2920" s="33" t="s">
        <v>282</v>
      </c>
      <c r="D2920" s="35">
        <f>SUMIFS(D2921:D9015,K2921:K9015,"0",B2921:B9015,"5 1 1 3 1 12 31111 6 M59 50000 000223 0000E 00001 00131 015 2111100 2024 CP1DA424 001*")-SUMIFS(E2921:E9015,K2921:K9015,"0",B2921:B9015,"5 1 1 3 1 12 31111 6 M59 50000 000223 0000E 00001 00131 015 2111100 2024 CP1DA424 001*")</f>
        <v>0</v>
      </c>
      <c r="E2920"/>
      <c r="F2920" s="35">
        <f>SUMIFS(F2921:F9015,K2921:K9015,"0",B2921:B9015,"5 1 1 3 1 12 31111 6 M59 50000 000223 0000E 00001 00131 015 2111100 2024 CP1DA424 001*")</f>
        <v>15960</v>
      </c>
      <c r="G2920" s="35">
        <f>SUMIFS(G2921:G9015,K2921:K9015,"0",B2921:B9015,"5 1 1 3 1 12 31111 6 M59 50000 000223 0000E 00001 00131 015 2111100 2024 CP1DA424 001*")</f>
        <v>0</v>
      </c>
      <c r="H2920" s="35">
        <f t="shared" si="46"/>
        <v>15960</v>
      </c>
      <c r="I2920" s="35"/>
      <c r="K2920" t="s">
        <v>15</v>
      </c>
    </row>
    <row r="2921" spans="2:11" ht="33" x14ac:dyDescent="0.2">
      <c r="B2921" s="31" t="s">
        <v>3851</v>
      </c>
      <c r="C2921" s="31" t="s">
        <v>3785</v>
      </c>
      <c r="D2921" s="34">
        <v>0</v>
      </c>
      <c r="E2921" s="34"/>
      <c r="F2921" s="34">
        <v>15960</v>
      </c>
      <c r="G2921" s="34">
        <v>0</v>
      </c>
      <c r="H2921" s="34">
        <f t="shared" si="46"/>
        <v>15960</v>
      </c>
      <c r="I2921" s="34"/>
      <c r="K2921" t="s">
        <v>38</v>
      </c>
    </row>
    <row r="2922" spans="2:11" ht="16.5" x14ac:dyDescent="0.2">
      <c r="B2922" s="33" t="s">
        <v>3852</v>
      </c>
      <c r="C2922" s="33" t="s">
        <v>1269</v>
      </c>
      <c r="D2922" s="35">
        <f>SUMIFS(D2923:D9015,K2923:K9015,"0",B2923:B9015,"5 1 1 3 1 12 31111 6 M59 60100*")-SUMIFS(E2923:E9015,K2923:K9015,"0",B2923:B9015,"5 1 1 3 1 12 31111 6 M59 60100*")</f>
        <v>0</v>
      </c>
      <c r="E2922"/>
      <c r="F2922" s="35">
        <f>SUMIFS(F2923:F9015,K2923:K9015,"0",B2923:B9015,"5 1 1 3 1 12 31111 6 M59 60100*")</f>
        <v>6120</v>
      </c>
      <c r="G2922" s="35">
        <f>SUMIFS(G2923:G9015,K2923:K9015,"0",B2923:B9015,"5 1 1 3 1 12 31111 6 M59 60100*")</f>
        <v>0</v>
      </c>
      <c r="H2922" s="35">
        <f t="shared" si="46"/>
        <v>6120</v>
      </c>
      <c r="I2922" s="35"/>
      <c r="K2922" t="s">
        <v>15</v>
      </c>
    </row>
    <row r="2923" spans="2:11" ht="16.5" x14ac:dyDescent="0.2">
      <c r="B2923" s="33" t="s">
        <v>3853</v>
      </c>
      <c r="C2923" s="33" t="s">
        <v>648</v>
      </c>
      <c r="D2923" s="35">
        <f>SUMIFS(D2924:D9015,K2924:K9015,"0",B2924:B9015,"5 1 1 3 1 12 31111 6 M59 60100 000132*")-SUMIFS(E2924:E9015,K2924:K9015,"0",B2924:B9015,"5 1 1 3 1 12 31111 6 M59 60100 000132*")</f>
        <v>0</v>
      </c>
      <c r="E2923"/>
      <c r="F2923" s="35">
        <f>SUMIFS(F2924:F9015,K2924:K9015,"0",B2924:B9015,"5 1 1 3 1 12 31111 6 M59 60100 000132*")</f>
        <v>6120</v>
      </c>
      <c r="G2923" s="35">
        <f>SUMIFS(G2924:G9015,K2924:K9015,"0",B2924:B9015,"5 1 1 3 1 12 31111 6 M59 60100 000132*")</f>
        <v>0</v>
      </c>
      <c r="H2923" s="35">
        <f t="shared" si="46"/>
        <v>6120</v>
      </c>
      <c r="I2923" s="35"/>
      <c r="K2923" t="s">
        <v>15</v>
      </c>
    </row>
    <row r="2924" spans="2:11" ht="16.5" x14ac:dyDescent="0.2">
      <c r="B2924" s="33" t="s">
        <v>3854</v>
      </c>
      <c r="C2924" s="33" t="s">
        <v>650</v>
      </c>
      <c r="D2924" s="35">
        <f>SUMIFS(D2925:D9015,K2925:K9015,"0",B2925:B9015,"5 1 1 3 1 12 31111 6 M59 60100 000132 0000R*")-SUMIFS(E2925:E9015,K2925:K9015,"0",B2925:B9015,"5 1 1 3 1 12 31111 6 M59 60100 000132 0000R*")</f>
        <v>0</v>
      </c>
      <c r="E2924"/>
      <c r="F2924" s="35">
        <f>SUMIFS(F2925:F9015,K2925:K9015,"0",B2925:B9015,"5 1 1 3 1 12 31111 6 M59 60100 000132 0000R*")</f>
        <v>6120</v>
      </c>
      <c r="G2924" s="35">
        <f>SUMIFS(G2925:G9015,K2925:K9015,"0",B2925:B9015,"5 1 1 3 1 12 31111 6 M59 60100 000132 0000R*")</f>
        <v>0</v>
      </c>
      <c r="H2924" s="35">
        <f t="shared" si="46"/>
        <v>6120</v>
      </c>
      <c r="I2924" s="35"/>
      <c r="K2924" t="s">
        <v>15</v>
      </c>
    </row>
    <row r="2925" spans="2:11" ht="24.75" x14ac:dyDescent="0.2">
      <c r="B2925" s="33" t="s">
        <v>3855</v>
      </c>
      <c r="C2925" s="33" t="s">
        <v>282</v>
      </c>
      <c r="D2925" s="35">
        <f>SUMIFS(D2926:D9015,K2926:K9015,"0",B2926:B9015,"5 1 1 3 1 12 31111 6 M59 60100 000132 0000R 00001*")-SUMIFS(E2926:E9015,K2926:K9015,"0",B2926:B9015,"5 1 1 3 1 12 31111 6 M59 60100 000132 0000R 00001*")</f>
        <v>0</v>
      </c>
      <c r="E2925"/>
      <c r="F2925" s="35">
        <f>SUMIFS(F2926:F9015,K2926:K9015,"0",B2926:B9015,"5 1 1 3 1 12 31111 6 M59 60100 000132 0000R 00001*")</f>
        <v>6120</v>
      </c>
      <c r="G2925" s="35">
        <f>SUMIFS(G2926:G9015,K2926:K9015,"0",B2926:B9015,"5 1 1 3 1 12 31111 6 M59 60100 000132 0000R 00001*")</f>
        <v>0</v>
      </c>
      <c r="H2925" s="35">
        <f t="shared" si="46"/>
        <v>6120</v>
      </c>
      <c r="I2925" s="35"/>
      <c r="K2925" t="s">
        <v>15</v>
      </c>
    </row>
    <row r="2926" spans="2:11" ht="24.75" x14ac:dyDescent="0.2">
      <c r="B2926" s="33" t="s">
        <v>3856</v>
      </c>
      <c r="C2926" s="33" t="s">
        <v>3778</v>
      </c>
      <c r="D2926" s="35">
        <f>SUMIFS(D2927:D9015,K2927:K9015,"0",B2927:B9015,"5 1 1 3 1 12 31111 6 M59 60100 000132 0000R 00001 00131*")-SUMIFS(E2927:E9015,K2927:K9015,"0",B2927:B9015,"5 1 1 3 1 12 31111 6 M59 60100 000132 0000R 00001 00131*")</f>
        <v>0</v>
      </c>
      <c r="E2926"/>
      <c r="F2926" s="35">
        <f>SUMIFS(F2927:F9015,K2927:K9015,"0",B2927:B9015,"5 1 1 3 1 12 31111 6 M59 60100 000132 0000R 00001 00131*")</f>
        <v>6120</v>
      </c>
      <c r="G2926" s="35">
        <f>SUMIFS(G2927:G9015,K2927:K9015,"0",B2927:B9015,"5 1 1 3 1 12 31111 6 M59 60100 000132 0000R 00001 00131*")</f>
        <v>0</v>
      </c>
      <c r="H2926" s="35">
        <f t="shared" si="46"/>
        <v>6120</v>
      </c>
      <c r="I2926" s="35"/>
      <c r="K2926" t="s">
        <v>15</v>
      </c>
    </row>
    <row r="2927" spans="2:11" ht="24.75" x14ac:dyDescent="0.2">
      <c r="B2927" s="33" t="s">
        <v>3857</v>
      </c>
      <c r="C2927" s="33" t="s">
        <v>1051</v>
      </c>
      <c r="D2927" s="35">
        <f>SUMIFS(D2928:D9015,K2928:K9015,"0",B2928:B9015,"5 1 1 3 1 12 31111 6 M59 60100 000132 0000R 00001 00131 015*")-SUMIFS(E2928:E9015,K2928:K9015,"0",B2928:B9015,"5 1 1 3 1 12 31111 6 M59 60100 000132 0000R 00001 00131 015*")</f>
        <v>0</v>
      </c>
      <c r="E2927"/>
      <c r="F2927" s="35">
        <f>SUMIFS(F2928:F9015,K2928:K9015,"0",B2928:B9015,"5 1 1 3 1 12 31111 6 M59 60100 000132 0000R 00001 00131 015*")</f>
        <v>6120</v>
      </c>
      <c r="G2927" s="35">
        <f>SUMIFS(G2928:G9015,K2928:K9015,"0",B2928:B9015,"5 1 1 3 1 12 31111 6 M59 60100 000132 0000R 00001 00131 015*")</f>
        <v>0</v>
      </c>
      <c r="H2927" s="35">
        <f t="shared" si="46"/>
        <v>6120</v>
      </c>
      <c r="I2927" s="35"/>
      <c r="K2927" t="s">
        <v>15</v>
      </c>
    </row>
    <row r="2928" spans="2:11" ht="33" x14ac:dyDescent="0.2">
      <c r="B2928" s="33" t="s">
        <v>3858</v>
      </c>
      <c r="C2928" s="33" t="s">
        <v>2927</v>
      </c>
      <c r="D2928" s="35">
        <f>SUMIFS(D2929:D9015,K2929:K9015,"0",B2929:B9015,"5 1 1 3 1 12 31111 6 M59 60100 000132 0000R 00001 00131 015 2111100*")-SUMIFS(E2929:E9015,K2929:K9015,"0",B2929:B9015,"5 1 1 3 1 12 31111 6 M59 60100 000132 0000R 00001 00131 015 2111100*")</f>
        <v>0</v>
      </c>
      <c r="E2928"/>
      <c r="F2928" s="35">
        <f>SUMIFS(F2929:F9015,K2929:K9015,"0",B2929:B9015,"5 1 1 3 1 12 31111 6 M59 60100 000132 0000R 00001 00131 015 2111100*")</f>
        <v>6120</v>
      </c>
      <c r="G2928" s="35">
        <f>SUMIFS(G2929:G9015,K2929:K9015,"0",B2929:B9015,"5 1 1 3 1 12 31111 6 M59 60100 000132 0000R 00001 00131 015 2111100*")</f>
        <v>0</v>
      </c>
      <c r="H2928" s="35">
        <f t="shared" si="46"/>
        <v>6120</v>
      </c>
      <c r="I2928" s="35"/>
      <c r="K2928" t="s">
        <v>15</v>
      </c>
    </row>
    <row r="2929" spans="2:11" ht="33" x14ac:dyDescent="0.2">
      <c r="B2929" s="33" t="s">
        <v>3859</v>
      </c>
      <c r="C2929" s="33" t="s">
        <v>660</v>
      </c>
      <c r="D2929" s="35">
        <f>SUMIFS(D2930:D9015,K2930:K9015,"0",B2930:B9015,"5 1 1 3 1 12 31111 6 M59 60100 000132 0000R 00001 00131 015 2111100 2024*")-SUMIFS(E2930:E9015,K2930:K9015,"0",B2930:B9015,"5 1 1 3 1 12 31111 6 M59 60100 000132 0000R 00001 00131 015 2111100 2024*")</f>
        <v>0</v>
      </c>
      <c r="E2929"/>
      <c r="F2929" s="35">
        <f>SUMIFS(F2930:F9015,K2930:K9015,"0",B2930:B9015,"5 1 1 3 1 12 31111 6 M59 60100 000132 0000R 00001 00131 015 2111100 2024*")</f>
        <v>6120</v>
      </c>
      <c r="G2929" s="35">
        <f>SUMIFS(G2930:G9015,K2930:K9015,"0",B2930:B9015,"5 1 1 3 1 12 31111 6 M59 60100 000132 0000R 00001 00131 015 2111100 2024*")</f>
        <v>0</v>
      </c>
      <c r="H2929" s="35">
        <f t="shared" si="46"/>
        <v>6120</v>
      </c>
      <c r="I2929" s="35"/>
      <c r="K2929" t="s">
        <v>15</v>
      </c>
    </row>
    <row r="2930" spans="2:11" ht="41.25" x14ac:dyDescent="0.2">
      <c r="B2930" s="33" t="s">
        <v>3860</v>
      </c>
      <c r="C2930" s="33" t="s">
        <v>1056</v>
      </c>
      <c r="D2930" s="35">
        <f>SUMIFS(D2931:D9015,K2931:K9015,"0",B2931:B9015,"5 1 1 3 1 12 31111 6 M59 60100 000132 0000R 00001 00131 015 2111100 2024 CP1DM394*")-SUMIFS(E2931:E9015,K2931:K9015,"0",B2931:B9015,"5 1 1 3 1 12 31111 6 M59 60100 000132 0000R 00001 00131 015 2111100 2024 CP1DM394*")</f>
        <v>0</v>
      </c>
      <c r="E2930"/>
      <c r="F2930" s="35">
        <f>SUMIFS(F2931:F9015,K2931:K9015,"0",B2931:B9015,"5 1 1 3 1 12 31111 6 M59 60100 000132 0000R 00001 00131 015 2111100 2024 CP1DM394*")</f>
        <v>6120</v>
      </c>
      <c r="G2930" s="35">
        <f>SUMIFS(G2931:G9015,K2931:K9015,"0",B2931:B9015,"5 1 1 3 1 12 31111 6 M59 60100 000132 0000R 00001 00131 015 2111100 2024 CP1DM394*")</f>
        <v>0</v>
      </c>
      <c r="H2930" s="35">
        <f t="shared" si="46"/>
        <v>6120</v>
      </c>
      <c r="I2930" s="35"/>
      <c r="K2930" t="s">
        <v>15</v>
      </c>
    </row>
    <row r="2931" spans="2:11" ht="41.25" x14ac:dyDescent="0.2">
      <c r="B2931" s="33" t="s">
        <v>3861</v>
      </c>
      <c r="C2931" s="33" t="s">
        <v>282</v>
      </c>
      <c r="D2931" s="35">
        <f>SUMIFS(D2932:D9015,K2932:K9015,"0",B2932:B9015,"5 1 1 3 1 12 31111 6 M59 60100 000132 0000R 00001 00131 015 2111100 2024 CP1DM394 001*")-SUMIFS(E2932:E9015,K2932:K9015,"0",B2932:B9015,"5 1 1 3 1 12 31111 6 M59 60100 000132 0000R 00001 00131 015 2111100 2024 CP1DM394 001*")</f>
        <v>0</v>
      </c>
      <c r="E2931"/>
      <c r="F2931" s="35">
        <f>SUMIFS(F2932:F9015,K2932:K9015,"0",B2932:B9015,"5 1 1 3 1 12 31111 6 M59 60100 000132 0000R 00001 00131 015 2111100 2024 CP1DM394 001*")</f>
        <v>6120</v>
      </c>
      <c r="G2931" s="35">
        <f>SUMIFS(G2932:G9015,K2932:K9015,"0",B2932:B9015,"5 1 1 3 1 12 31111 6 M59 60100 000132 0000R 00001 00131 015 2111100 2024 CP1DM394 001*")</f>
        <v>0</v>
      </c>
      <c r="H2931" s="35">
        <f t="shared" si="46"/>
        <v>6120</v>
      </c>
      <c r="I2931" s="35"/>
      <c r="K2931" t="s">
        <v>15</v>
      </c>
    </row>
    <row r="2932" spans="2:11" ht="33" x14ac:dyDescent="0.2">
      <c r="B2932" s="31" t="s">
        <v>3862</v>
      </c>
      <c r="C2932" s="31" t="s">
        <v>3768</v>
      </c>
      <c r="D2932" s="34">
        <v>0</v>
      </c>
      <c r="E2932" s="34"/>
      <c r="F2932" s="34">
        <v>5700</v>
      </c>
      <c r="G2932" s="34">
        <v>0</v>
      </c>
      <c r="H2932" s="34">
        <f t="shared" si="46"/>
        <v>5700</v>
      </c>
      <c r="I2932" s="34"/>
      <c r="K2932" t="s">
        <v>38</v>
      </c>
    </row>
    <row r="2933" spans="2:11" ht="33" x14ac:dyDescent="0.2">
      <c r="B2933" s="31" t="s">
        <v>3863</v>
      </c>
      <c r="C2933" s="31" t="s">
        <v>3785</v>
      </c>
      <c r="D2933" s="34">
        <v>0</v>
      </c>
      <c r="E2933" s="34"/>
      <c r="F2933" s="34">
        <v>420</v>
      </c>
      <c r="G2933" s="34">
        <v>0</v>
      </c>
      <c r="H2933" s="34">
        <f t="shared" si="46"/>
        <v>420</v>
      </c>
      <c r="I2933" s="34"/>
      <c r="K2933" t="s">
        <v>38</v>
      </c>
    </row>
    <row r="2934" spans="2:11" ht="16.5" x14ac:dyDescent="0.2">
      <c r="B2934" s="33" t="s">
        <v>3864</v>
      </c>
      <c r="C2934" s="33" t="s">
        <v>3341</v>
      </c>
      <c r="D2934" s="35">
        <f>SUMIFS(D2935:D9015,K2935:K9015,"0",B2935:B9015,"5 1 1 3 1 12 31111 6 M59 63000*")-SUMIFS(E2935:E9015,K2935:K9015,"0",B2935:B9015,"5 1 1 3 1 12 31111 6 M59 63000*")</f>
        <v>0</v>
      </c>
      <c r="E2934"/>
      <c r="F2934" s="35">
        <f>SUMIFS(F2935:F9015,K2935:K9015,"0",B2935:B9015,"5 1 1 3 1 12 31111 6 M59 63000*")</f>
        <v>4800</v>
      </c>
      <c r="G2934" s="35">
        <f>SUMIFS(G2935:G9015,K2935:K9015,"0",B2935:B9015,"5 1 1 3 1 12 31111 6 M59 63000*")</f>
        <v>0</v>
      </c>
      <c r="H2934" s="35">
        <f t="shared" si="46"/>
        <v>4800</v>
      </c>
      <c r="I2934" s="35"/>
      <c r="K2934" t="s">
        <v>15</v>
      </c>
    </row>
    <row r="2935" spans="2:11" ht="16.5" x14ac:dyDescent="0.2">
      <c r="B2935" s="33" t="s">
        <v>3865</v>
      </c>
      <c r="C2935" s="33" t="s">
        <v>648</v>
      </c>
      <c r="D2935" s="35">
        <f>SUMIFS(D2936:D9015,K2936:K9015,"0",B2936:B9015,"5 1 1 3 1 12 31111 6 M59 63000 000132*")-SUMIFS(E2936:E9015,K2936:K9015,"0",B2936:B9015,"5 1 1 3 1 12 31111 6 M59 63000 000132*")</f>
        <v>0</v>
      </c>
      <c r="E2935"/>
      <c r="F2935" s="35">
        <f>SUMIFS(F2936:F9015,K2936:K9015,"0",B2936:B9015,"5 1 1 3 1 12 31111 6 M59 63000 000132*")</f>
        <v>4800</v>
      </c>
      <c r="G2935" s="35">
        <f>SUMIFS(G2936:G9015,K2936:K9015,"0",B2936:B9015,"5 1 1 3 1 12 31111 6 M59 63000 000132*")</f>
        <v>0</v>
      </c>
      <c r="H2935" s="35">
        <f t="shared" si="46"/>
        <v>4800</v>
      </c>
      <c r="I2935" s="35"/>
      <c r="K2935" t="s">
        <v>15</v>
      </c>
    </row>
    <row r="2936" spans="2:11" ht="16.5" x14ac:dyDescent="0.2">
      <c r="B2936" s="33" t="s">
        <v>3866</v>
      </c>
      <c r="C2936" s="33" t="s">
        <v>650</v>
      </c>
      <c r="D2936" s="35">
        <f>SUMIFS(D2937:D9015,K2937:K9015,"0",B2937:B9015,"5 1 1 3 1 12 31111 6 M59 63000 000132 0000R*")-SUMIFS(E2937:E9015,K2937:K9015,"0",B2937:B9015,"5 1 1 3 1 12 31111 6 M59 63000 000132 0000R*")</f>
        <v>0</v>
      </c>
      <c r="E2936"/>
      <c r="F2936" s="35">
        <f>SUMIFS(F2937:F9015,K2937:K9015,"0",B2937:B9015,"5 1 1 3 1 12 31111 6 M59 63000 000132 0000R*")</f>
        <v>4800</v>
      </c>
      <c r="G2936" s="35">
        <f>SUMIFS(G2937:G9015,K2937:K9015,"0",B2937:B9015,"5 1 1 3 1 12 31111 6 M59 63000 000132 0000R*")</f>
        <v>0</v>
      </c>
      <c r="H2936" s="35">
        <f t="shared" si="46"/>
        <v>4800</v>
      </c>
      <c r="I2936" s="35"/>
      <c r="K2936" t="s">
        <v>15</v>
      </c>
    </row>
    <row r="2937" spans="2:11" ht="24.75" x14ac:dyDescent="0.2">
      <c r="B2937" s="33" t="s">
        <v>3867</v>
      </c>
      <c r="C2937" s="33" t="s">
        <v>282</v>
      </c>
      <c r="D2937" s="35">
        <f>SUMIFS(D2938:D9015,K2938:K9015,"0",B2938:B9015,"5 1 1 3 1 12 31111 6 M59 63000 000132 0000R 00001*")-SUMIFS(E2938:E9015,K2938:K9015,"0",B2938:B9015,"5 1 1 3 1 12 31111 6 M59 63000 000132 0000R 00001*")</f>
        <v>0</v>
      </c>
      <c r="E2937"/>
      <c r="F2937" s="35">
        <f>SUMIFS(F2938:F9015,K2938:K9015,"0",B2938:B9015,"5 1 1 3 1 12 31111 6 M59 63000 000132 0000R 00001*")</f>
        <v>4800</v>
      </c>
      <c r="G2937" s="35">
        <f>SUMIFS(G2938:G9015,K2938:K9015,"0",B2938:B9015,"5 1 1 3 1 12 31111 6 M59 63000 000132 0000R 00001*")</f>
        <v>0</v>
      </c>
      <c r="H2937" s="35">
        <f t="shared" si="46"/>
        <v>4800</v>
      </c>
      <c r="I2937" s="35"/>
      <c r="K2937" t="s">
        <v>15</v>
      </c>
    </row>
    <row r="2938" spans="2:11" ht="24.75" x14ac:dyDescent="0.2">
      <c r="B2938" s="33" t="s">
        <v>3868</v>
      </c>
      <c r="C2938" s="33" t="s">
        <v>3778</v>
      </c>
      <c r="D2938" s="35">
        <f>SUMIFS(D2939:D9015,K2939:K9015,"0",B2939:B9015,"5 1 1 3 1 12 31111 6 M59 63000 000132 0000R 00001 00131*")-SUMIFS(E2939:E9015,K2939:K9015,"0",B2939:B9015,"5 1 1 3 1 12 31111 6 M59 63000 000132 0000R 00001 00131*")</f>
        <v>0</v>
      </c>
      <c r="E2938"/>
      <c r="F2938" s="35">
        <f>SUMIFS(F2939:F9015,K2939:K9015,"0",B2939:B9015,"5 1 1 3 1 12 31111 6 M59 63000 000132 0000R 00001 00131*")</f>
        <v>4800</v>
      </c>
      <c r="G2938" s="35">
        <f>SUMIFS(G2939:G9015,K2939:K9015,"0",B2939:B9015,"5 1 1 3 1 12 31111 6 M59 63000 000132 0000R 00001 00131*")</f>
        <v>0</v>
      </c>
      <c r="H2938" s="35">
        <f t="shared" si="46"/>
        <v>4800</v>
      </c>
      <c r="I2938" s="35"/>
      <c r="K2938" t="s">
        <v>15</v>
      </c>
    </row>
    <row r="2939" spans="2:11" ht="24.75" x14ac:dyDescent="0.2">
      <c r="B2939" s="33" t="s">
        <v>3869</v>
      </c>
      <c r="C2939" s="33" t="s">
        <v>1051</v>
      </c>
      <c r="D2939" s="35">
        <f>SUMIFS(D2940:D9015,K2940:K9015,"0",B2940:B9015,"5 1 1 3 1 12 31111 6 M59 63000 000132 0000R 00001 00131 015*")-SUMIFS(E2940:E9015,K2940:K9015,"0",B2940:B9015,"5 1 1 3 1 12 31111 6 M59 63000 000132 0000R 00001 00131 015*")</f>
        <v>0</v>
      </c>
      <c r="E2939"/>
      <c r="F2939" s="35">
        <f>SUMIFS(F2940:F9015,K2940:K9015,"0",B2940:B9015,"5 1 1 3 1 12 31111 6 M59 63000 000132 0000R 00001 00131 015*")</f>
        <v>4800</v>
      </c>
      <c r="G2939" s="35">
        <f>SUMIFS(G2940:G9015,K2940:K9015,"0",B2940:B9015,"5 1 1 3 1 12 31111 6 M59 63000 000132 0000R 00001 00131 015*")</f>
        <v>0</v>
      </c>
      <c r="H2939" s="35">
        <f t="shared" si="46"/>
        <v>4800</v>
      </c>
      <c r="I2939" s="35"/>
      <c r="K2939" t="s">
        <v>15</v>
      </c>
    </row>
    <row r="2940" spans="2:11" ht="33" x14ac:dyDescent="0.2">
      <c r="B2940" s="33" t="s">
        <v>3870</v>
      </c>
      <c r="C2940" s="33" t="s">
        <v>2927</v>
      </c>
      <c r="D2940" s="35">
        <f>SUMIFS(D2941:D9015,K2941:K9015,"0",B2941:B9015,"5 1 1 3 1 12 31111 6 M59 63000 000132 0000R 00001 00131 015 2111100*")-SUMIFS(E2941:E9015,K2941:K9015,"0",B2941:B9015,"5 1 1 3 1 12 31111 6 M59 63000 000132 0000R 00001 00131 015 2111100*")</f>
        <v>0</v>
      </c>
      <c r="E2940"/>
      <c r="F2940" s="35">
        <f>SUMIFS(F2941:F9015,K2941:K9015,"0",B2941:B9015,"5 1 1 3 1 12 31111 6 M59 63000 000132 0000R 00001 00131 015 2111100*")</f>
        <v>4800</v>
      </c>
      <c r="G2940" s="35">
        <f>SUMIFS(G2941:G9015,K2941:K9015,"0",B2941:B9015,"5 1 1 3 1 12 31111 6 M59 63000 000132 0000R 00001 00131 015 2111100*")</f>
        <v>0</v>
      </c>
      <c r="H2940" s="35">
        <f t="shared" si="46"/>
        <v>4800</v>
      </c>
      <c r="I2940" s="35"/>
      <c r="K2940" t="s">
        <v>15</v>
      </c>
    </row>
    <row r="2941" spans="2:11" ht="33" x14ac:dyDescent="0.2">
      <c r="B2941" s="33" t="s">
        <v>3871</v>
      </c>
      <c r="C2941" s="33" t="s">
        <v>660</v>
      </c>
      <c r="D2941" s="35">
        <f>SUMIFS(D2942:D9015,K2942:K9015,"0",B2942:B9015,"5 1 1 3 1 12 31111 6 M59 63000 000132 0000R 00001 00131 015 2111100 2024*")-SUMIFS(E2942:E9015,K2942:K9015,"0",B2942:B9015,"5 1 1 3 1 12 31111 6 M59 63000 000132 0000R 00001 00131 015 2111100 2024*")</f>
        <v>0</v>
      </c>
      <c r="E2941"/>
      <c r="F2941" s="35">
        <f>SUMIFS(F2942:F9015,K2942:K9015,"0",B2942:B9015,"5 1 1 3 1 12 31111 6 M59 63000 000132 0000R 00001 00131 015 2111100 2024*")</f>
        <v>4800</v>
      </c>
      <c r="G2941" s="35">
        <f>SUMIFS(G2942:G9015,K2942:K9015,"0",B2942:B9015,"5 1 1 3 1 12 31111 6 M59 63000 000132 0000R 00001 00131 015 2111100 2024*")</f>
        <v>0</v>
      </c>
      <c r="H2941" s="35">
        <f t="shared" si="46"/>
        <v>4800</v>
      </c>
      <c r="I2941" s="35"/>
      <c r="K2941" t="s">
        <v>15</v>
      </c>
    </row>
    <row r="2942" spans="2:11" ht="41.25" x14ac:dyDescent="0.2">
      <c r="B2942" s="33" t="s">
        <v>3872</v>
      </c>
      <c r="C2942" s="33" t="s">
        <v>1056</v>
      </c>
      <c r="D2942" s="35">
        <f>SUMIFS(D2943:D9015,K2943:K9015,"0",B2943:B9015,"5 1 1 3 1 12 31111 6 M59 63000 000132 0000R 00001 00131 015 2111100 2024 CP1PR434*")-SUMIFS(E2943:E9015,K2943:K9015,"0",B2943:B9015,"5 1 1 3 1 12 31111 6 M59 63000 000132 0000R 00001 00131 015 2111100 2024 CP1PR434*")</f>
        <v>0</v>
      </c>
      <c r="E2942"/>
      <c r="F2942" s="35">
        <f>SUMIFS(F2943:F9015,K2943:K9015,"0",B2943:B9015,"5 1 1 3 1 12 31111 6 M59 63000 000132 0000R 00001 00131 015 2111100 2024 CP1PR434*")</f>
        <v>4800</v>
      </c>
      <c r="G2942" s="35">
        <f>SUMIFS(G2943:G9015,K2943:K9015,"0",B2943:B9015,"5 1 1 3 1 12 31111 6 M59 63000 000132 0000R 00001 00131 015 2111100 2024 CP1PR434*")</f>
        <v>0</v>
      </c>
      <c r="H2942" s="35">
        <f t="shared" si="46"/>
        <v>4800</v>
      </c>
      <c r="I2942" s="35"/>
      <c r="K2942" t="s">
        <v>15</v>
      </c>
    </row>
    <row r="2943" spans="2:11" ht="41.25" x14ac:dyDescent="0.2">
      <c r="B2943" s="33" t="s">
        <v>3873</v>
      </c>
      <c r="C2943" s="33" t="s">
        <v>282</v>
      </c>
      <c r="D2943" s="35">
        <f>SUMIFS(D2944:D9015,K2944:K9015,"0",B2944:B9015,"5 1 1 3 1 12 31111 6 M59 63000 000132 0000R 00001 00131 015 2111100 2024 CP1PR434 001*")-SUMIFS(E2944:E9015,K2944:K9015,"0",B2944:B9015,"5 1 1 3 1 12 31111 6 M59 63000 000132 0000R 00001 00131 015 2111100 2024 CP1PR434 001*")</f>
        <v>0</v>
      </c>
      <c r="E2943"/>
      <c r="F2943" s="35">
        <f>SUMIFS(F2944:F9015,K2944:K9015,"0",B2944:B9015,"5 1 1 3 1 12 31111 6 M59 63000 000132 0000R 00001 00131 015 2111100 2024 CP1PR434 001*")</f>
        <v>4800</v>
      </c>
      <c r="G2943" s="35">
        <f>SUMIFS(G2944:G9015,K2944:K9015,"0",B2944:B9015,"5 1 1 3 1 12 31111 6 M59 63000 000132 0000R 00001 00131 015 2111100 2024 CP1PR434 001*")</f>
        <v>0</v>
      </c>
      <c r="H2943" s="35">
        <f t="shared" si="46"/>
        <v>4800</v>
      </c>
      <c r="I2943" s="35"/>
      <c r="K2943" t="s">
        <v>15</v>
      </c>
    </row>
    <row r="2944" spans="2:11" ht="41.25" x14ac:dyDescent="0.2">
      <c r="B2944" s="31" t="s">
        <v>3874</v>
      </c>
      <c r="C2944" s="31" t="s">
        <v>3768</v>
      </c>
      <c r="D2944" s="34">
        <v>0</v>
      </c>
      <c r="E2944" s="34"/>
      <c r="F2944" s="34">
        <v>4800</v>
      </c>
      <c r="G2944" s="34">
        <v>0</v>
      </c>
      <c r="H2944" s="34">
        <f t="shared" si="46"/>
        <v>4800</v>
      </c>
      <c r="I2944" s="34"/>
      <c r="K2944" t="s">
        <v>38</v>
      </c>
    </row>
    <row r="2945" spans="2:11" ht="16.5" x14ac:dyDescent="0.2">
      <c r="B2945" s="33" t="s">
        <v>3875</v>
      </c>
      <c r="C2945" s="33" t="s">
        <v>3377</v>
      </c>
      <c r="D2945" s="35">
        <f>SUMIFS(D2946:D9015,K2946:K9015,"0",B2946:B9015,"5 1 1 3 1 12 31111 6 M59 70000*")-SUMIFS(E2946:E9015,K2946:K9015,"0",B2946:B9015,"5 1 1 3 1 12 31111 6 M59 70000*")</f>
        <v>0</v>
      </c>
      <c r="E2945"/>
      <c r="F2945" s="35">
        <f>SUMIFS(F2946:F9015,K2946:K9015,"0",B2946:B9015,"5 1 1 3 1 12 31111 6 M59 70000*")</f>
        <v>8050</v>
      </c>
      <c r="G2945" s="35">
        <f>SUMIFS(G2946:G9015,K2946:K9015,"0",B2946:B9015,"5 1 1 3 1 12 31111 6 M59 70000*")</f>
        <v>0</v>
      </c>
      <c r="H2945" s="35">
        <f t="shared" si="46"/>
        <v>8050</v>
      </c>
      <c r="I2945" s="35"/>
      <c r="K2945" t="s">
        <v>15</v>
      </c>
    </row>
    <row r="2946" spans="2:11" ht="16.5" x14ac:dyDescent="0.2">
      <c r="B2946" s="33" t="s">
        <v>3876</v>
      </c>
      <c r="C2946" s="33" t="s">
        <v>648</v>
      </c>
      <c r="D2946" s="35">
        <f>SUMIFS(D2947:D9015,K2947:K9015,"0",B2947:B9015,"5 1 1 3 1 12 31111 6 M59 70000 000132*")-SUMIFS(E2947:E9015,K2947:K9015,"0",B2947:B9015,"5 1 1 3 1 12 31111 6 M59 70000 000132*")</f>
        <v>0</v>
      </c>
      <c r="E2946"/>
      <c r="F2946" s="35">
        <f>SUMIFS(F2947:F9015,K2947:K9015,"0",B2947:B9015,"5 1 1 3 1 12 31111 6 M59 70000 000132*")</f>
        <v>8050</v>
      </c>
      <c r="G2946" s="35">
        <f>SUMIFS(G2947:G9015,K2947:K9015,"0",B2947:B9015,"5 1 1 3 1 12 31111 6 M59 70000 000132*")</f>
        <v>0</v>
      </c>
      <c r="H2946" s="35">
        <f t="shared" si="46"/>
        <v>8050</v>
      </c>
      <c r="I2946" s="35"/>
      <c r="K2946" t="s">
        <v>15</v>
      </c>
    </row>
    <row r="2947" spans="2:11" ht="16.5" x14ac:dyDescent="0.2">
      <c r="B2947" s="33" t="s">
        <v>3877</v>
      </c>
      <c r="C2947" s="33" t="s">
        <v>650</v>
      </c>
      <c r="D2947" s="35">
        <f>SUMIFS(D2948:D9015,K2948:K9015,"0",B2948:B9015,"5 1 1 3 1 12 31111 6 M59 70000 000132 0000R*")-SUMIFS(E2948:E9015,K2948:K9015,"0",B2948:B9015,"5 1 1 3 1 12 31111 6 M59 70000 000132 0000R*")</f>
        <v>0</v>
      </c>
      <c r="E2947"/>
      <c r="F2947" s="35">
        <f>SUMIFS(F2948:F9015,K2948:K9015,"0",B2948:B9015,"5 1 1 3 1 12 31111 6 M59 70000 000132 0000R*")</f>
        <v>8050</v>
      </c>
      <c r="G2947" s="35">
        <f>SUMIFS(G2948:G9015,K2948:K9015,"0",B2948:B9015,"5 1 1 3 1 12 31111 6 M59 70000 000132 0000R*")</f>
        <v>0</v>
      </c>
      <c r="H2947" s="35">
        <f t="shared" si="46"/>
        <v>8050</v>
      </c>
      <c r="I2947" s="35"/>
      <c r="K2947" t="s">
        <v>15</v>
      </c>
    </row>
    <row r="2948" spans="2:11" ht="24.75" x14ac:dyDescent="0.2">
      <c r="B2948" s="33" t="s">
        <v>3878</v>
      </c>
      <c r="C2948" s="33" t="s">
        <v>282</v>
      </c>
      <c r="D2948" s="35">
        <f>SUMIFS(D2949:D9015,K2949:K9015,"0",B2949:B9015,"5 1 1 3 1 12 31111 6 M59 70000 000132 0000R 00001*")-SUMIFS(E2949:E9015,K2949:K9015,"0",B2949:B9015,"5 1 1 3 1 12 31111 6 M59 70000 000132 0000R 00001*")</f>
        <v>0</v>
      </c>
      <c r="E2948"/>
      <c r="F2948" s="35">
        <f>SUMIFS(F2949:F9015,K2949:K9015,"0",B2949:B9015,"5 1 1 3 1 12 31111 6 M59 70000 000132 0000R 00001*")</f>
        <v>8050</v>
      </c>
      <c r="G2948" s="35">
        <f>SUMIFS(G2949:G9015,K2949:K9015,"0",B2949:B9015,"5 1 1 3 1 12 31111 6 M59 70000 000132 0000R 00001*")</f>
        <v>0</v>
      </c>
      <c r="H2948" s="35">
        <f t="shared" ref="H2948:H3011" si="47">D2948 + F2948 - G2948</f>
        <v>8050</v>
      </c>
      <c r="I2948" s="35"/>
      <c r="K2948" t="s">
        <v>15</v>
      </c>
    </row>
    <row r="2949" spans="2:11" ht="24.75" x14ac:dyDescent="0.2">
      <c r="B2949" s="33" t="s">
        <v>3879</v>
      </c>
      <c r="C2949" s="33" t="s">
        <v>3778</v>
      </c>
      <c r="D2949" s="35">
        <f>SUMIFS(D2950:D9015,K2950:K9015,"0",B2950:B9015,"5 1 1 3 1 12 31111 6 M59 70000 000132 0000R 00001 00131*")-SUMIFS(E2950:E9015,K2950:K9015,"0",B2950:B9015,"5 1 1 3 1 12 31111 6 M59 70000 000132 0000R 00001 00131*")</f>
        <v>0</v>
      </c>
      <c r="E2949"/>
      <c r="F2949" s="35">
        <f>SUMIFS(F2950:F9015,K2950:K9015,"0",B2950:B9015,"5 1 1 3 1 12 31111 6 M59 70000 000132 0000R 00001 00131*")</f>
        <v>8050</v>
      </c>
      <c r="G2949" s="35">
        <f>SUMIFS(G2950:G9015,K2950:K9015,"0",B2950:B9015,"5 1 1 3 1 12 31111 6 M59 70000 000132 0000R 00001 00131*")</f>
        <v>0</v>
      </c>
      <c r="H2949" s="35">
        <f t="shared" si="47"/>
        <v>8050</v>
      </c>
      <c r="I2949" s="35"/>
      <c r="K2949" t="s">
        <v>15</v>
      </c>
    </row>
    <row r="2950" spans="2:11" ht="24.75" x14ac:dyDescent="0.2">
      <c r="B2950" s="33" t="s">
        <v>3880</v>
      </c>
      <c r="C2950" s="33" t="s">
        <v>1051</v>
      </c>
      <c r="D2950" s="35">
        <f>SUMIFS(D2951:D9015,K2951:K9015,"0",B2951:B9015,"5 1 1 3 1 12 31111 6 M59 70000 000132 0000R 00001 00131 015*")-SUMIFS(E2951:E9015,K2951:K9015,"0",B2951:B9015,"5 1 1 3 1 12 31111 6 M59 70000 000132 0000R 00001 00131 015*")</f>
        <v>0</v>
      </c>
      <c r="E2950"/>
      <c r="F2950" s="35">
        <f>SUMIFS(F2951:F9015,K2951:K9015,"0",B2951:B9015,"5 1 1 3 1 12 31111 6 M59 70000 000132 0000R 00001 00131 015*")</f>
        <v>8050</v>
      </c>
      <c r="G2950" s="35">
        <f>SUMIFS(G2951:G9015,K2951:K9015,"0",B2951:B9015,"5 1 1 3 1 12 31111 6 M59 70000 000132 0000R 00001 00131 015*")</f>
        <v>0</v>
      </c>
      <c r="H2950" s="35">
        <f t="shared" si="47"/>
        <v>8050</v>
      </c>
      <c r="I2950" s="35"/>
      <c r="K2950" t="s">
        <v>15</v>
      </c>
    </row>
    <row r="2951" spans="2:11" ht="33" x14ac:dyDescent="0.2">
      <c r="B2951" s="33" t="s">
        <v>3881</v>
      </c>
      <c r="C2951" s="33" t="s">
        <v>2927</v>
      </c>
      <c r="D2951" s="35">
        <f>SUMIFS(D2952:D9015,K2952:K9015,"0",B2952:B9015,"5 1 1 3 1 12 31111 6 M59 70000 000132 0000R 00001 00131 015 2111100*")-SUMIFS(E2952:E9015,K2952:K9015,"0",B2952:B9015,"5 1 1 3 1 12 31111 6 M59 70000 000132 0000R 00001 00131 015 2111100*")</f>
        <v>0</v>
      </c>
      <c r="E2951"/>
      <c r="F2951" s="35">
        <f>SUMIFS(F2952:F9015,K2952:K9015,"0",B2952:B9015,"5 1 1 3 1 12 31111 6 M59 70000 000132 0000R 00001 00131 015 2111100*")</f>
        <v>8050</v>
      </c>
      <c r="G2951" s="35">
        <f>SUMIFS(G2952:G9015,K2952:K9015,"0",B2952:B9015,"5 1 1 3 1 12 31111 6 M59 70000 000132 0000R 00001 00131 015 2111100*")</f>
        <v>0</v>
      </c>
      <c r="H2951" s="35">
        <f t="shared" si="47"/>
        <v>8050</v>
      </c>
      <c r="I2951" s="35"/>
      <c r="K2951" t="s">
        <v>15</v>
      </c>
    </row>
    <row r="2952" spans="2:11" ht="33" x14ac:dyDescent="0.2">
      <c r="B2952" s="33" t="s">
        <v>3882</v>
      </c>
      <c r="C2952" s="33" t="s">
        <v>660</v>
      </c>
      <c r="D2952" s="35">
        <f>SUMIFS(D2953:D9015,K2953:K9015,"0",B2953:B9015,"5 1 1 3 1 12 31111 6 M59 70000 000132 0000R 00001 00131 015 2111100 2024*")-SUMIFS(E2953:E9015,K2953:K9015,"0",B2953:B9015,"5 1 1 3 1 12 31111 6 M59 70000 000132 0000R 00001 00131 015 2111100 2024*")</f>
        <v>0</v>
      </c>
      <c r="E2952"/>
      <c r="F2952" s="35">
        <f>SUMIFS(F2953:F9015,K2953:K9015,"0",B2953:B9015,"5 1 1 3 1 12 31111 6 M59 70000 000132 0000R 00001 00131 015 2111100 2024*")</f>
        <v>8050</v>
      </c>
      <c r="G2952" s="35">
        <f>SUMIFS(G2953:G9015,K2953:K9015,"0",B2953:B9015,"5 1 1 3 1 12 31111 6 M59 70000 000132 0000R 00001 00131 015 2111100 2024*")</f>
        <v>0</v>
      </c>
      <c r="H2952" s="35">
        <f t="shared" si="47"/>
        <v>8050</v>
      </c>
      <c r="I2952" s="35"/>
      <c r="K2952" t="s">
        <v>15</v>
      </c>
    </row>
    <row r="2953" spans="2:11" ht="41.25" x14ac:dyDescent="0.2">
      <c r="B2953" s="33" t="s">
        <v>3883</v>
      </c>
      <c r="C2953" s="33" t="s">
        <v>1056</v>
      </c>
      <c r="D2953" s="35">
        <f>SUMIFS(D2954:D9015,K2954:K9015,"0",B2954:B9015,"5 1 1 3 1 12 31111 6 M59 70000 000132 0000R 00001 00131 015 2111100 2024 CP1DS387*")-SUMIFS(E2954:E9015,K2954:K9015,"0",B2954:B9015,"5 1 1 3 1 12 31111 6 M59 70000 000132 0000R 00001 00131 015 2111100 2024 CP1DS387*")</f>
        <v>0</v>
      </c>
      <c r="E2953"/>
      <c r="F2953" s="35">
        <f>SUMIFS(F2954:F9015,K2954:K9015,"0",B2954:B9015,"5 1 1 3 1 12 31111 6 M59 70000 000132 0000R 00001 00131 015 2111100 2024 CP1DS387*")</f>
        <v>8050</v>
      </c>
      <c r="G2953" s="35">
        <f>SUMIFS(G2954:G9015,K2954:K9015,"0",B2954:B9015,"5 1 1 3 1 12 31111 6 M59 70000 000132 0000R 00001 00131 015 2111100 2024 CP1DS387*")</f>
        <v>0</v>
      </c>
      <c r="H2953" s="35">
        <f t="shared" si="47"/>
        <v>8050</v>
      </c>
      <c r="I2953" s="35"/>
      <c r="K2953" t="s">
        <v>15</v>
      </c>
    </row>
    <row r="2954" spans="2:11" ht="41.25" x14ac:dyDescent="0.2">
      <c r="B2954" s="33" t="s">
        <v>3884</v>
      </c>
      <c r="C2954" s="33" t="s">
        <v>282</v>
      </c>
      <c r="D2954" s="35">
        <f>SUMIFS(D2955:D9015,K2955:K9015,"0",B2955:B9015,"5 1 1 3 1 12 31111 6 M59 70000 000132 0000R 00001 00131 015 2111100 2024 CP1DS387 001*")-SUMIFS(E2955:E9015,K2955:K9015,"0",B2955:B9015,"5 1 1 3 1 12 31111 6 M59 70000 000132 0000R 00001 00131 015 2111100 2024 CP1DS387 001*")</f>
        <v>0</v>
      </c>
      <c r="E2954"/>
      <c r="F2954" s="35">
        <f>SUMIFS(F2955:F9015,K2955:K9015,"0",B2955:B9015,"5 1 1 3 1 12 31111 6 M59 70000 000132 0000R 00001 00131 015 2111100 2024 CP1DS387 001*")</f>
        <v>8050</v>
      </c>
      <c r="G2954" s="35">
        <f>SUMIFS(G2955:G9015,K2955:K9015,"0",B2955:B9015,"5 1 1 3 1 12 31111 6 M59 70000 000132 0000R 00001 00131 015 2111100 2024 CP1DS387 001*")</f>
        <v>0</v>
      </c>
      <c r="H2954" s="35">
        <f t="shared" si="47"/>
        <v>8050</v>
      </c>
      <c r="I2954" s="35"/>
      <c r="K2954" t="s">
        <v>15</v>
      </c>
    </row>
    <row r="2955" spans="2:11" ht="33" x14ac:dyDescent="0.2">
      <c r="B2955" s="31" t="s">
        <v>3885</v>
      </c>
      <c r="C2955" s="31" t="s">
        <v>3785</v>
      </c>
      <c r="D2955" s="34">
        <v>0</v>
      </c>
      <c r="E2955" s="34"/>
      <c r="F2955" s="34">
        <v>8050</v>
      </c>
      <c r="G2955" s="34">
        <v>0</v>
      </c>
      <c r="H2955" s="34">
        <f t="shared" si="47"/>
        <v>8050</v>
      </c>
      <c r="I2955" s="34"/>
      <c r="K2955" t="s">
        <v>38</v>
      </c>
    </row>
    <row r="2956" spans="2:11" ht="16.5" x14ac:dyDescent="0.2">
      <c r="B2956" s="33" t="s">
        <v>3886</v>
      </c>
      <c r="C2956" s="33" t="s">
        <v>3389</v>
      </c>
      <c r="D2956" s="35">
        <f>SUMIFS(D2957:D9015,K2957:K9015,"0",B2957:B9015,"5 1 1 3 1 12 31111 6 M59 70100*")-SUMIFS(E2957:E9015,K2957:K9015,"0",B2957:B9015,"5 1 1 3 1 12 31111 6 M59 70100*")</f>
        <v>0</v>
      </c>
      <c r="E2956"/>
      <c r="F2956" s="35">
        <f>SUMIFS(F2957:F9015,K2957:K9015,"0",B2957:B9015,"5 1 1 3 1 12 31111 6 M59 70100*")</f>
        <v>8500</v>
      </c>
      <c r="G2956" s="35">
        <f>SUMIFS(G2957:G9015,K2957:K9015,"0",B2957:B9015,"5 1 1 3 1 12 31111 6 M59 70100*")</f>
        <v>0</v>
      </c>
      <c r="H2956" s="35">
        <f t="shared" si="47"/>
        <v>8500</v>
      </c>
      <c r="I2956" s="35"/>
      <c r="K2956" t="s">
        <v>15</v>
      </c>
    </row>
    <row r="2957" spans="2:11" ht="16.5" x14ac:dyDescent="0.2">
      <c r="B2957" s="33" t="s">
        <v>3887</v>
      </c>
      <c r="C2957" s="33" t="s">
        <v>648</v>
      </c>
      <c r="D2957" s="35">
        <f>SUMIFS(D2958:D9015,K2958:K9015,"0",B2958:B9015,"5 1 1 3 1 12 31111 6 M59 70100 000132*")-SUMIFS(E2958:E9015,K2958:K9015,"0",B2958:B9015,"5 1 1 3 1 12 31111 6 M59 70100 000132*")</f>
        <v>0</v>
      </c>
      <c r="E2957"/>
      <c r="F2957" s="35">
        <f>SUMIFS(F2958:F9015,K2958:K9015,"0",B2958:B9015,"5 1 1 3 1 12 31111 6 M59 70100 000132*")</f>
        <v>8500</v>
      </c>
      <c r="G2957" s="35">
        <f>SUMIFS(G2958:G9015,K2958:K9015,"0",B2958:B9015,"5 1 1 3 1 12 31111 6 M59 70100 000132*")</f>
        <v>0</v>
      </c>
      <c r="H2957" s="35">
        <f t="shared" si="47"/>
        <v>8500</v>
      </c>
      <c r="I2957" s="35"/>
      <c r="K2957" t="s">
        <v>15</v>
      </c>
    </row>
    <row r="2958" spans="2:11" ht="16.5" x14ac:dyDescent="0.2">
      <c r="B2958" s="33" t="s">
        <v>3888</v>
      </c>
      <c r="C2958" s="33" t="s">
        <v>650</v>
      </c>
      <c r="D2958" s="35">
        <f>SUMIFS(D2959:D9015,K2959:K9015,"0",B2959:B9015,"5 1 1 3 1 12 31111 6 M59 70100 000132 0000R*")-SUMIFS(E2959:E9015,K2959:K9015,"0",B2959:B9015,"5 1 1 3 1 12 31111 6 M59 70100 000132 0000R*")</f>
        <v>0</v>
      </c>
      <c r="E2958"/>
      <c r="F2958" s="35">
        <f>SUMIFS(F2959:F9015,K2959:K9015,"0",B2959:B9015,"5 1 1 3 1 12 31111 6 M59 70100 000132 0000R*")</f>
        <v>8500</v>
      </c>
      <c r="G2958" s="35">
        <f>SUMIFS(G2959:G9015,K2959:K9015,"0",B2959:B9015,"5 1 1 3 1 12 31111 6 M59 70100 000132 0000R*")</f>
        <v>0</v>
      </c>
      <c r="H2958" s="35">
        <f t="shared" si="47"/>
        <v>8500</v>
      </c>
      <c r="I2958" s="35"/>
      <c r="K2958" t="s">
        <v>15</v>
      </c>
    </row>
    <row r="2959" spans="2:11" ht="24.75" x14ac:dyDescent="0.2">
      <c r="B2959" s="33" t="s">
        <v>3889</v>
      </c>
      <c r="C2959" s="33" t="s">
        <v>282</v>
      </c>
      <c r="D2959" s="35">
        <f>SUMIFS(D2960:D9015,K2960:K9015,"0",B2960:B9015,"5 1 1 3 1 12 31111 6 M59 70100 000132 0000R 00001*")-SUMIFS(E2960:E9015,K2960:K9015,"0",B2960:B9015,"5 1 1 3 1 12 31111 6 M59 70100 000132 0000R 00001*")</f>
        <v>0</v>
      </c>
      <c r="E2959"/>
      <c r="F2959" s="35">
        <f>SUMIFS(F2960:F9015,K2960:K9015,"0",B2960:B9015,"5 1 1 3 1 12 31111 6 M59 70100 000132 0000R 00001*")</f>
        <v>8500</v>
      </c>
      <c r="G2959" s="35">
        <f>SUMIFS(G2960:G9015,K2960:K9015,"0",B2960:B9015,"5 1 1 3 1 12 31111 6 M59 70100 000132 0000R 00001*")</f>
        <v>0</v>
      </c>
      <c r="H2959" s="35">
        <f t="shared" si="47"/>
        <v>8500</v>
      </c>
      <c r="I2959" s="35"/>
      <c r="K2959" t="s">
        <v>15</v>
      </c>
    </row>
    <row r="2960" spans="2:11" ht="24.75" x14ac:dyDescent="0.2">
      <c r="B2960" s="33" t="s">
        <v>3890</v>
      </c>
      <c r="C2960" s="33" t="s">
        <v>3778</v>
      </c>
      <c r="D2960" s="35">
        <f>SUMIFS(D2961:D9015,K2961:K9015,"0",B2961:B9015,"5 1 1 3 1 12 31111 6 M59 70100 000132 0000R 00001 00131*")-SUMIFS(E2961:E9015,K2961:K9015,"0",B2961:B9015,"5 1 1 3 1 12 31111 6 M59 70100 000132 0000R 00001 00131*")</f>
        <v>0</v>
      </c>
      <c r="E2960"/>
      <c r="F2960" s="35">
        <f>SUMIFS(F2961:F9015,K2961:K9015,"0",B2961:B9015,"5 1 1 3 1 12 31111 6 M59 70100 000132 0000R 00001 00131*")</f>
        <v>8500</v>
      </c>
      <c r="G2960" s="35">
        <f>SUMIFS(G2961:G9015,K2961:K9015,"0",B2961:B9015,"5 1 1 3 1 12 31111 6 M59 70100 000132 0000R 00001 00131*")</f>
        <v>0</v>
      </c>
      <c r="H2960" s="35">
        <f t="shared" si="47"/>
        <v>8500</v>
      </c>
      <c r="I2960" s="35"/>
      <c r="K2960" t="s">
        <v>15</v>
      </c>
    </row>
    <row r="2961" spans="2:11" ht="24.75" x14ac:dyDescent="0.2">
      <c r="B2961" s="33" t="s">
        <v>3891</v>
      </c>
      <c r="C2961" s="33" t="s">
        <v>1051</v>
      </c>
      <c r="D2961" s="35">
        <f>SUMIFS(D2962:D9015,K2962:K9015,"0",B2962:B9015,"5 1 1 3 1 12 31111 6 M59 70100 000132 0000R 00001 00131 015*")-SUMIFS(E2962:E9015,K2962:K9015,"0",B2962:B9015,"5 1 1 3 1 12 31111 6 M59 70100 000132 0000R 00001 00131 015*")</f>
        <v>0</v>
      </c>
      <c r="E2961"/>
      <c r="F2961" s="35">
        <f>SUMIFS(F2962:F9015,K2962:K9015,"0",B2962:B9015,"5 1 1 3 1 12 31111 6 M59 70100 000132 0000R 00001 00131 015*")</f>
        <v>8500</v>
      </c>
      <c r="G2961" s="35">
        <f>SUMIFS(G2962:G9015,K2962:K9015,"0",B2962:B9015,"5 1 1 3 1 12 31111 6 M59 70100 000132 0000R 00001 00131 015*")</f>
        <v>0</v>
      </c>
      <c r="H2961" s="35">
        <f t="shared" si="47"/>
        <v>8500</v>
      </c>
      <c r="I2961" s="35"/>
      <c r="K2961" t="s">
        <v>15</v>
      </c>
    </row>
    <row r="2962" spans="2:11" ht="33" x14ac:dyDescent="0.2">
      <c r="B2962" s="33" t="s">
        <v>3892</v>
      </c>
      <c r="C2962" s="33" t="s">
        <v>2927</v>
      </c>
      <c r="D2962" s="35">
        <f>SUMIFS(D2963:D9015,K2963:K9015,"0",B2963:B9015,"5 1 1 3 1 12 31111 6 M59 70100 000132 0000R 00001 00131 015 2111100*")-SUMIFS(E2963:E9015,K2963:K9015,"0",B2963:B9015,"5 1 1 3 1 12 31111 6 M59 70100 000132 0000R 00001 00131 015 2111100*")</f>
        <v>0</v>
      </c>
      <c r="E2962"/>
      <c r="F2962" s="35">
        <f>SUMIFS(F2963:F9015,K2963:K9015,"0",B2963:B9015,"5 1 1 3 1 12 31111 6 M59 70100 000132 0000R 00001 00131 015 2111100*")</f>
        <v>8500</v>
      </c>
      <c r="G2962" s="35">
        <f>SUMIFS(G2963:G9015,K2963:K9015,"0",B2963:B9015,"5 1 1 3 1 12 31111 6 M59 70100 000132 0000R 00001 00131 015 2111100*")</f>
        <v>0</v>
      </c>
      <c r="H2962" s="35">
        <f t="shared" si="47"/>
        <v>8500</v>
      </c>
      <c r="I2962" s="35"/>
      <c r="K2962" t="s">
        <v>15</v>
      </c>
    </row>
    <row r="2963" spans="2:11" ht="33" x14ac:dyDescent="0.2">
      <c r="B2963" s="33" t="s">
        <v>3893</v>
      </c>
      <c r="C2963" s="33" t="s">
        <v>660</v>
      </c>
      <c r="D2963" s="35">
        <f>SUMIFS(D2964:D9015,K2964:K9015,"0",B2964:B9015,"5 1 1 3 1 12 31111 6 M59 70100 000132 0000R 00001 00131 015 2111100 2024*")-SUMIFS(E2964:E9015,K2964:K9015,"0",B2964:B9015,"5 1 1 3 1 12 31111 6 M59 70100 000132 0000R 00001 00131 015 2111100 2024*")</f>
        <v>0</v>
      </c>
      <c r="E2963"/>
      <c r="F2963" s="35">
        <f>SUMIFS(F2964:F9015,K2964:K9015,"0",B2964:B9015,"5 1 1 3 1 12 31111 6 M59 70100 000132 0000R 00001 00131 015 2111100 2024*")</f>
        <v>8500</v>
      </c>
      <c r="G2963" s="35">
        <f>SUMIFS(G2964:G9015,K2964:K9015,"0",B2964:B9015,"5 1 1 3 1 12 31111 6 M59 70100 000132 0000R 00001 00131 015 2111100 2024*")</f>
        <v>0</v>
      </c>
      <c r="H2963" s="35">
        <f t="shared" si="47"/>
        <v>8500</v>
      </c>
      <c r="I2963" s="35"/>
      <c r="K2963" t="s">
        <v>15</v>
      </c>
    </row>
    <row r="2964" spans="2:11" ht="41.25" x14ac:dyDescent="0.2">
      <c r="B2964" s="33" t="s">
        <v>3894</v>
      </c>
      <c r="C2964" s="33" t="s">
        <v>1056</v>
      </c>
      <c r="D2964" s="35">
        <f>SUMIFS(D2965:D9015,K2965:K9015,"0",B2965:B9015,"5 1 1 3 1 12 31111 6 M59 70100 000132 0000R 00001 00131 015 2111100 2024 CP1MM393*")-SUMIFS(E2965:E9015,K2965:K9015,"0",B2965:B9015,"5 1 1 3 1 12 31111 6 M59 70100 000132 0000R 00001 00131 015 2111100 2024 CP1MM393*")</f>
        <v>0</v>
      </c>
      <c r="E2964"/>
      <c r="F2964" s="35">
        <f>SUMIFS(F2965:F9015,K2965:K9015,"0",B2965:B9015,"5 1 1 3 1 12 31111 6 M59 70100 000132 0000R 00001 00131 015 2111100 2024 CP1MM393*")</f>
        <v>8500</v>
      </c>
      <c r="G2964" s="35">
        <f>SUMIFS(G2965:G9015,K2965:K9015,"0",B2965:B9015,"5 1 1 3 1 12 31111 6 M59 70100 000132 0000R 00001 00131 015 2111100 2024 CP1MM393*")</f>
        <v>0</v>
      </c>
      <c r="H2964" s="35">
        <f t="shared" si="47"/>
        <v>8500</v>
      </c>
      <c r="I2964" s="35"/>
      <c r="K2964" t="s">
        <v>15</v>
      </c>
    </row>
    <row r="2965" spans="2:11" ht="41.25" x14ac:dyDescent="0.2">
      <c r="B2965" s="33" t="s">
        <v>3895</v>
      </c>
      <c r="C2965" s="33" t="s">
        <v>282</v>
      </c>
      <c r="D2965" s="35">
        <f>SUMIFS(D2966:D9015,K2966:K9015,"0",B2966:B9015,"5 1 1 3 1 12 31111 6 M59 70100 000132 0000R 00001 00131 015 2111100 2024 CP1MM393 001*")-SUMIFS(E2966:E9015,K2966:K9015,"0",B2966:B9015,"5 1 1 3 1 12 31111 6 M59 70100 000132 0000R 00001 00131 015 2111100 2024 CP1MM393 001*")</f>
        <v>0</v>
      </c>
      <c r="E2965"/>
      <c r="F2965" s="35">
        <f>SUMIFS(F2966:F9015,K2966:K9015,"0",B2966:B9015,"5 1 1 3 1 12 31111 6 M59 70100 000132 0000R 00001 00131 015 2111100 2024 CP1MM393 001*")</f>
        <v>8500</v>
      </c>
      <c r="G2965" s="35">
        <f>SUMIFS(G2966:G9015,K2966:K9015,"0",B2966:B9015,"5 1 1 3 1 12 31111 6 M59 70100 000132 0000R 00001 00131 015 2111100 2024 CP1MM393 001*")</f>
        <v>0</v>
      </c>
      <c r="H2965" s="35">
        <f t="shared" si="47"/>
        <v>8500</v>
      </c>
      <c r="I2965" s="35"/>
      <c r="K2965" t="s">
        <v>15</v>
      </c>
    </row>
    <row r="2966" spans="2:11" ht="33" x14ac:dyDescent="0.2">
      <c r="B2966" s="31" t="s">
        <v>3896</v>
      </c>
      <c r="C2966" s="31" t="s">
        <v>3785</v>
      </c>
      <c r="D2966" s="34">
        <v>0</v>
      </c>
      <c r="E2966" s="34"/>
      <c r="F2966" s="34">
        <v>8500</v>
      </c>
      <c r="G2966" s="34">
        <v>0</v>
      </c>
      <c r="H2966" s="34">
        <f t="shared" si="47"/>
        <v>8500</v>
      </c>
      <c r="I2966" s="34"/>
      <c r="K2966" t="s">
        <v>38</v>
      </c>
    </row>
    <row r="2967" spans="2:11" ht="16.5" x14ac:dyDescent="0.2">
      <c r="B2967" s="33" t="s">
        <v>3897</v>
      </c>
      <c r="C2967" s="33" t="s">
        <v>3474</v>
      </c>
      <c r="D2967" s="35">
        <f>SUMIFS(D2968:D9015,K2968:K9015,"0",B2968:B9015,"5 1 1 3 1 12 31111 6 M59 70800*")-SUMIFS(E2968:E9015,K2968:K9015,"0",B2968:B9015,"5 1 1 3 1 12 31111 6 M59 70800*")</f>
        <v>0</v>
      </c>
      <c r="E2967"/>
      <c r="F2967" s="35">
        <f>SUMIFS(F2968:F9015,K2968:K9015,"0",B2968:B9015,"5 1 1 3 1 12 31111 6 M59 70800*")</f>
        <v>280</v>
      </c>
      <c r="G2967" s="35">
        <f>SUMIFS(G2968:G9015,K2968:K9015,"0",B2968:B9015,"5 1 1 3 1 12 31111 6 M59 70800*")</f>
        <v>0</v>
      </c>
      <c r="H2967" s="35">
        <f t="shared" si="47"/>
        <v>280</v>
      </c>
      <c r="I2967" s="35"/>
      <c r="K2967" t="s">
        <v>15</v>
      </c>
    </row>
    <row r="2968" spans="2:11" ht="16.5" x14ac:dyDescent="0.2">
      <c r="B2968" s="33" t="s">
        <v>3898</v>
      </c>
      <c r="C2968" s="33" t="s">
        <v>648</v>
      </c>
      <c r="D2968" s="35">
        <f>SUMIFS(D2969:D9015,K2969:K9015,"0",B2969:B9015,"5 1 1 3 1 12 31111 6 M59 70800 000132*")-SUMIFS(E2969:E9015,K2969:K9015,"0",B2969:B9015,"5 1 1 3 1 12 31111 6 M59 70800 000132*")</f>
        <v>0</v>
      </c>
      <c r="E2968"/>
      <c r="F2968" s="35">
        <f>SUMIFS(F2969:F9015,K2969:K9015,"0",B2969:B9015,"5 1 1 3 1 12 31111 6 M59 70800 000132*")</f>
        <v>280</v>
      </c>
      <c r="G2968" s="35">
        <f>SUMIFS(G2969:G9015,K2969:K9015,"0",B2969:B9015,"5 1 1 3 1 12 31111 6 M59 70800 000132*")</f>
        <v>0</v>
      </c>
      <c r="H2968" s="35">
        <f t="shared" si="47"/>
        <v>280</v>
      </c>
      <c r="I2968" s="35"/>
      <c r="K2968" t="s">
        <v>15</v>
      </c>
    </row>
    <row r="2969" spans="2:11" ht="16.5" x14ac:dyDescent="0.2">
      <c r="B2969" s="33" t="s">
        <v>3899</v>
      </c>
      <c r="C2969" s="33" t="s">
        <v>650</v>
      </c>
      <c r="D2969" s="35">
        <f>SUMIFS(D2970:D9015,K2970:K9015,"0",B2970:B9015,"5 1 1 3 1 12 31111 6 M59 70800 000132 0000R*")-SUMIFS(E2970:E9015,K2970:K9015,"0",B2970:B9015,"5 1 1 3 1 12 31111 6 M59 70800 000132 0000R*")</f>
        <v>0</v>
      </c>
      <c r="E2969"/>
      <c r="F2969" s="35">
        <f>SUMIFS(F2970:F9015,K2970:K9015,"0",B2970:B9015,"5 1 1 3 1 12 31111 6 M59 70800 000132 0000R*")</f>
        <v>280</v>
      </c>
      <c r="G2969" s="35">
        <f>SUMIFS(G2970:G9015,K2970:K9015,"0",B2970:B9015,"5 1 1 3 1 12 31111 6 M59 70800 000132 0000R*")</f>
        <v>0</v>
      </c>
      <c r="H2969" s="35">
        <f t="shared" si="47"/>
        <v>280</v>
      </c>
      <c r="I2969" s="35"/>
      <c r="K2969" t="s">
        <v>15</v>
      </c>
    </row>
    <row r="2970" spans="2:11" ht="24.75" x14ac:dyDescent="0.2">
      <c r="B2970" s="33" t="s">
        <v>3900</v>
      </c>
      <c r="C2970" s="33" t="s">
        <v>282</v>
      </c>
      <c r="D2970" s="35">
        <f>SUMIFS(D2971:D9015,K2971:K9015,"0",B2971:B9015,"5 1 1 3 1 12 31111 6 M59 70800 000132 0000R 00001*")-SUMIFS(E2971:E9015,K2971:K9015,"0",B2971:B9015,"5 1 1 3 1 12 31111 6 M59 70800 000132 0000R 00001*")</f>
        <v>0</v>
      </c>
      <c r="E2970"/>
      <c r="F2970" s="35">
        <f>SUMIFS(F2971:F9015,K2971:K9015,"0",B2971:B9015,"5 1 1 3 1 12 31111 6 M59 70800 000132 0000R 00001*")</f>
        <v>280</v>
      </c>
      <c r="G2970" s="35">
        <f>SUMIFS(G2971:G9015,K2971:K9015,"0",B2971:B9015,"5 1 1 3 1 12 31111 6 M59 70800 000132 0000R 00001*")</f>
        <v>0</v>
      </c>
      <c r="H2970" s="35">
        <f t="shared" si="47"/>
        <v>280</v>
      </c>
      <c r="I2970" s="35"/>
      <c r="K2970" t="s">
        <v>15</v>
      </c>
    </row>
    <row r="2971" spans="2:11" ht="24.75" x14ac:dyDescent="0.2">
      <c r="B2971" s="33" t="s">
        <v>3901</v>
      </c>
      <c r="C2971" s="33" t="s">
        <v>3778</v>
      </c>
      <c r="D2971" s="35">
        <f>SUMIFS(D2972:D9015,K2972:K9015,"0",B2972:B9015,"5 1 1 3 1 12 31111 6 M59 70800 000132 0000R 00001 00131*")-SUMIFS(E2972:E9015,K2972:K9015,"0",B2972:B9015,"5 1 1 3 1 12 31111 6 M59 70800 000132 0000R 00001 00131*")</f>
        <v>0</v>
      </c>
      <c r="E2971"/>
      <c r="F2971" s="35">
        <f>SUMIFS(F2972:F9015,K2972:K9015,"0",B2972:B9015,"5 1 1 3 1 12 31111 6 M59 70800 000132 0000R 00001 00131*")</f>
        <v>280</v>
      </c>
      <c r="G2971" s="35">
        <f>SUMIFS(G2972:G9015,K2972:K9015,"0",B2972:B9015,"5 1 1 3 1 12 31111 6 M59 70800 000132 0000R 00001 00131*")</f>
        <v>0</v>
      </c>
      <c r="H2971" s="35">
        <f t="shared" si="47"/>
        <v>280</v>
      </c>
      <c r="I2971" s="35"/>
      <c r="K2971" t="s">
        <v>15</v>
      </c>
    </row>
    <row r="2972" spans="2:11" ht="24.75" x14ac:dyDescent="0.2">
      <c r="B2972" s="33" t="s">
        <v>3902</v>
      </c>
      <c r="C2972" s="33" t="s">
        <v>1051</v>
      </c>
      <c r="D2972" s="35">
        <f>SUMIFS(D2973:D9015,K2973:K9015,"0",B2973:B9015,"5 1 1 3 1 12 31111 6 M59 70800 000132 0000R 00001 00131 015*")-SUMIFS(E2973:E9015,K2973:K9015,"0",B2973:B9015,"5 1 1 3 1 12 31111 6 M59 70800 000132 0000R 00001 00131 015*")</f>
        <v>0</v>
      </c>
      <c r="E2972"/>
      <c r="F2972" s="35">
        <f>SUMIFS(F2973:F9015,K2973:K9015,"0",B2973:B9015,"5 1 1 3 1 12 31111 6 M59 70800 000132 0000R 00001 00131 015*")</f>
        <v>280</v>
      </c>
      <c r="G2972" s="35">
        <f>SUMIFS(G2973:G9015,K2973:K9015,"0",B2973:B9015,"5 1 1 3 1 12 31111 6 M59 70800 000132 0000R 00001 00131 015*")</f>
        <v>0</v>
      </c>
      <c r="H2972" s="35">
        <f t="shared" si="47"/>
        <v>280</v>
      </c>
      <c r="I2972" s="35"/>
      <c r="K2972" t="s">
        <v>15</v>
      </c>
    </row>
    <row r="2973" spans="2:11" ht="33" x14ac:dyDescent="0.2">
      <c r="B2973" s="33" t="s">
        <v>3903</v>
      </c>
      <c r="C2973" s="33" t="s">
        <v>2927</v>
      </c>
      <c r="D2973" s="35">
        <f>SUMIFS(D2974:D9015,K2974:K9015,"0",B2974:B9015,"5 1 1 3 1 12 31111 6 M59 70800 000132 0000R 00001 00131 015 2111100*")-SUMIFS(E2974:E9015,K2974:K9015,"0",B2974:B9015,"5 1 1 3 1 12 31111 6 M59 70800 000132 0000R 00001 00131 015 2111100*")</f>
        <v>0</v>
      </c>
      <c r="E2973"/>
      <c r="F2973" s="35">
        <f>SUMIFS(F2974:F9015,K2974:K9015,"0",B2974:B9015,"5 1 1 3 1 12 31111 6 M59 70800 000132 0000R 00001 00131 015 2111100*")</f>
        <v>280</v>
      </c>
      <c r="G2973" s="35">
        <f>SUMIFS(G2974:G9015,K2974:K9015,"0",B2974:B9015,"5 1 1 3 1 12 31111 6 M59 70800 000132 0000R 00001 00131 015 2111100*")</f>
        <v>0</v>
      </c>
      <c r="H2973" s="35">
        <f t="shared" si="47"/>
        <v>280</v>
      </c>
      <c r="I2973" s="35"/>
      <c r="K2973" t="s">
        <v>15</v>
      </c>
    </row>
    <row r="2974" spans="2:11" ht="33" x14ac:dyDescent="0.2">
      <c r="B2974" s="33" t="s">
        <v>3904</v>
      </c>
      <c r="C2974" s="33" t="s">
        <v>660</v>
      </c>
      <c r="D2974" s="35">
        <f>SUMIFS(D2975:D9015,K2975:K9015,"0",B2975:B9015,"5 1 1 3 1 12 31111 6 M59 70800 000132 0000R 00001 00131 015 2111100 2024*")-SUMIFS(E2975:E9015,K2975:K9015,"0",B2975:B9015,"5 1 1 3 1 12 31111 6 M59 70800 000132 0000R 00001 00131 015 2111100 2024*")</f>
        <v>0</v>
      </c>
      <c r="E2974"/>
      <c r="F2974" s="35">
        <f>SUMIFS(F2975:F9015,K2975:K9015,"0",B2975:B9015,"5 1 1 3 1 12 31111 6 M59 70800 000132 0000R 00001 00131 015 2111100 2024*")</f>
        <v>280</v>
      </c>
      <c r="G2974" s="35">
        <f>SUMIFS(G2975:G9015,K2975:K9015,"0",B2975:B9015,"5 1 1 3 1 12 31111 6 M59 70800 000132 0000R 00001 00131 015 2111100 2024*")</f>
        <v>0</v>
      </c>
      <c r="H2974" s="35">
        <f t="shared" si="47"/>
        <v>280</v>
      </c>
      <c r="I2974" s="35"/>
      <c r="K2974" t="s">
        <v>15</v>
      </c>
    </row>
    <row r="2975" spans="2:11" ht="41.25" x14ac:dyDescent="0.2">
      <c r="B2975" s="33" t="s">
        <v>3905</v>
      </c>
      <c r="C2975" s="33" t="s">
        <v>662</v>
      </c>
      <c r="D2975" s="35">
        <f>SUMIFS(D2976:D9015,K2976:K9015,"0",B2976:B9015,"5 1 1 3 1 12 31111 6 M59 70800 000132 0000R 00001 00131 015 2111100 2024 CP1ED416*")-SUMIFS(E2976:E9015,K2976:K9015,"0",B2976:B9015,"5 1 1 3 1 12 31111 6 M59 70800 000132 0000R 00001 00131 015 2111100 2024 CP1ED416*")</f>
        <v>0</v>
      </c>
      <c r="E2975"/>
      <c r="F2975" s="35">
        <f>SUMIFS(F2976:F9015,K2976:K9015,"0",B2976:B9015,"5 1 1 3 1 12 31111 6 M59 70800 000132 0000R 00001 00131 015 2111100 2024 CP1ED416*")</f>
        <v>280</v>
      </c>
      <c r="G2975" s="35">
        <f>SUMIFS(G2976:G9015,K2976:K9015,"0",B2976:B9015,"5 1 1 3 1 12 31111 6 M59 70800 000132 0000R 00001 00131 015 2111100 2024 CP1ED416*")</f>
        <v>0</v>
      </c>
      <c r="H2975" s="35">
        <f t="shared" si="47"/>
        <v>280</v>
      </c>
      <c r="I2975" s="35"/>
      <c r="K2975" t="s">
        <v>15</v>
      </c>
    </row>
    <row r="2976" spans="2:11" ht="41.25" x14ac:dyDescent="0.2">
      <c r="B2976" s="33" t="s">
        <v>3906</v>
      </c>
      <c r="C2976" s="33" t="s">
        <v>282</v>
      </c>
      <c r="D2976" s="35">
        <f>SUMIFS(D2977:D9015,K2977:K9015,"0",B2977:B9015,"5 1 1 3 1 12 31111 6 M59 70800 000132 0000R 00001 00131 015 2111100 2024 CP1ED416 001*")-SUMIFS(E2977:E9015,K2977:K9015,"0",B2977:B9015,"5 1 1 3 1 12 31111 6 M59 70800 000132 0000R 00001 00131 015 2111100 2024 CP1ED416 001*")</f>
        <v>0</v>
      </c>
      <c r="E2976"/>
      <c r="F2976" s="35">
        <f>SUMIFS(F2977:F9015,K2977:K9015,"0",B2977:B9015,"5 1 1 3 1 12 31111 6 M59 70800 000132 0000R 00001 00131 015 2111100 2024 CP1ED416 001*")</f>
        <v>280</v>
      </c>
      <c r="G2976" s="35">
        <f>SUMIFS(G2977:G9015,K2977:K9015,"0",B2977:B9015,"5 1 1 3 1 12 31111 6 M59 70800 000132 0000R 00001 00131 015 2111100 2024 CP1ED416 001*")</f>
        <v>0</v>
      </c>
      <c r="H2976" s="35">
        <f t="shared" si="47"/>
        <v>280</v>
      </c>
      <c r="I2976" s="35"/>
      <c r="K2976" t="s">
        <v>15</v>
      </c>
    </row>
    <row r="2977" spans="2:11" ht="33" x14ac:dyDescent="0.2">
      <c r="B2977" s="31" t="s">
        <v>3907</v>
      </c>
      <c r="C2977" s="31" t="s">
        <v>3785</v>
      </c>
      <c r="D2977" s="34">
        <v>0</v>
      </c>
      <c r="E2977" s="34"/>
      <c r="F2977" s="34">
        <v>280</v>
      </c>
      <c r="G2977" s="34">
        <v>0</v>
      </c>
      <c r="H2977" s="34">
        <f t="shared" si="47"/>
        <v>280</v>
      </c>
      <c r="I2977" s="34"/>
      <c r="K2977" t="s">
        <v>38</v>
      </c>
    </row>
    <row r="2978" spans="2:11" ht="16.5" x14ac:dyDescent="0.2">
      <c r="B2978" s="33" t="s">
        <v>3908</v>
      </c>
      <c r="C2978" s="33" t="s">
        <v>3559</v>
      </c>
      <c r="D2978" s="35">
        <f>SUMIFS(D2979:D9015,K2979:K9015,"0",B2979:B9015,"5 1 1 3 1 12 31111 6 M59 80400*")-SUMIFS(E2979:E9015,K2979:K9015,"0",B2979:B9015,"5 1 1 3 1 12 31111 6 M59 80400*")</f>
        <v>0</v>
      </c>
      <c r="E2978"/>
      <c r="F2978" s="35">
        <f>SUMIFS(F2979:F9015,K2979:K9015,"0",B2979:B9015,"5 1 1 3 1 12 31111 6 M59 80400*")</f>
        <v>490</v>
      </c>
      <c r="G2978" s="35">
        <f>SUMIFS(G2979:G9015,K2979:K9015,"0",B2979:B9015,"5 1 1 3 1 12 31111 6 M59 80400*")</f>
        <v>0</v>
      </c>
      <c r="H2978" s="35">
        <f t="shared" si="47"/>
        <v>490</v>
      </c>
      <c r="I2978" s="35"/>
      <c r="K2978" t="s">
        <v>15</v>
      </c>
    </row>
    <row r="2979" spans="2:11" ht="16.5" x14ac:dyDescent="0.2">
      <c r="B2979" s="33" t="s">
        <v>3909</v>
      </c>
      <c r="C2979" s="33" t="s">
        <v>648</v>
      </c>
      <c r="D2979" s="35">
        <f>SUMIFS(D2980:D9015,K2980:K9015,"0",B2980:B9015,"5 1 1 3 1 12 31111 6 M59 80400 000132*")-SUMIFS(E2980:E9015,K2980:K9015,"0",B2980:B9015,"5 1 1 3 1 12 31111 6 M59 80400 000132*")</f>
        <v>0</v>
      </c>
      <c r="E2979"/>
      <c r="F2979" s="35">
        <f>SUMIFS(F2980:F9015,K2980:K9015,"0",B2980:B9015,"5 1 1 3 1 12 31111 6 M59 80400 000132*")</f>
        <v>490</v>
      </c>
      <c r="G2979" s="35">
        <f>SUMIFS(G2980:G9015,K2980:K9015,"0",B2980:B9015,"5 1 1 3 1 12 31111 6 M59 80400 000132*")</f>
        <v>0</v>
      </c>
      <c r="H2979" s="35">
        <f t="shared" si="47"/>
        <v>490</v>
      </c>
      <c r="I2979" s="35"/>
      <c r="K2979" t="s">
        <v>15</v>
      </c>
    </row>
    <row r="2980" spans="2:11" ht="16.5" x14ac:dyDescent="0.2">
      <c r="B2980" s="33" t="s">
        <v>3910</v>
      </c>
      <c r="C2980" s="33" t="s">
        <v>650</v>
      </c>
      <c r="D2980" s="35">
        <f>SUMIFS(D2981:D9015,K2981:K9015,"0",B2981:B9015,"5 1 1 3 1 12 31111 6 M59 80400 000132 0000R*")-SUMIFS(E2981:E9015,K2981:K9015,"0",B2981:B9015,"5 1 1 3 1 12 31111 6 M59 80400 000132 0000R*")</f>
        <v>0</v>
      </c>
      <c r="E2980"/>
      <c r="F2980" s="35">
        <f>SUMIFS(F2981:F9015,K2981:K9015,"0",B2981:B9015,"5 1 1 3 1 12 31111 6 M59 80400 000132 0000R*")</f>
        <v>490</v>
      </c>
      <c r="G2980" s="35">
        <f>SUMIFS(G2981:G9015,K2981:K9015,"0",B2981:B9015,"5 1 1 3 1 12 31111 6 M59 80400 000132 0000R*")</f>
        <v>0</v>
      </c>
      <c r="H2980" s="35">
        <f t="shared" si="47"/>
        <v>490</v>
      </c>
      <c r="I2980" s="35"/>
      <c r="K2980" t="s">
        <v>15</v>
      </c>
    </row>
    <row r="2981" spans="2:11" ht="24.75" x14ac:dyDescent="0.2">
      <c r="B2981" s="33" t="s">
        <v>3911</v>
      </c>
      <c r="C2981" s="33" t="s">
        <v>282</v>
      </c>
      <c r="D2981" s="35">
        <f>SUMIFS(D2982:D9015,K2982:K9015,"0",B2982:B9015,"5 1 1 3 1 12 31111 6 M59 80400 000132 0000R 00001*")-SUMIFS(E2982:E9015,K2982:K9015,"0",B2982:B9015,"5 1 1 3 1 12 31111 6 M59 80400 000132 0000R 00001*")</f>
        <v>0</v>
      </c>
      <c r="E2981"/>
      <c r="F2981" s="35">
        <f>SUMIFS(F2982:F9015,K2982:K9015,"0",B2982:B9015,"5 1 1 3 1 12 31111 6 M59 80400 000132 0000R 00001*")</f>
        <v>490</v>
      </c>
      <c r="G2981" s="35">
        <f>SUMIFS(G2982:G9015,K2982:K9015,"0",B2982:B9015,"5 1 1 3 1 12 31111 6 M59 80400 000132 0000R 00001*")</f>
        <v>0</v>
      </c>
      <c r="H2981" s="35">
        <f t="shared" si="47"/>
        <v>490</v>
      </c>
      <c r="I2981" s="35"/>
      <c r="K2981" t="s">
        <v>15</v>
      </c>
    </row>
    <row r="2982" spans="2:11" ht="24.75" x14ac:dyDescent="0.2">
      <c r="B2982" s="33" t="s">
        <v>3912</v>
      </c>
      <c r="C2982" s="33" t="s">
        <v>3778</v>
      </c>
      <c r="D2982" s="35">
        <f>SUMIFS(D2983:D9015,K2983:K9015,"0",B2983:B9015,"5 1 1 3 1 12 31111 6 M59 80400 000132 0000R 00001 00131*")-SUMIFS(E2983:E9015,K2983:K9015,"0",B2983:B9015,"5 1 1 3 1 12 31111 6 M59 80400 000132 0000R 00001 00131*")</f>
        <v>0</v>
      </c>
      <c r="E2982"/>
      <c r="F2982" s="35">
        <f>SUMIFS(F2983:F9015,K2983:K9015,"0",B2983:B9015,"5 1 1 3 1 12 31111 6 M59 80400 000132 0000R 00001 00131*")</f>
        <v>490</v>
      </c>
      <c r="G2982" s="35">
        <f>SUMIFS(G2983:G9015,K2983:K9015,"0",B2983:B9015,"5 1 1 3 1 12 31111 6 M59 80400 000132 0000R 00001 00131*")</f>
        <v>0</v>
      </c>
      <c r="H2982" s="35">
        <f t="shared" si="47"/>
        <v>490</v>
      </c>
      <c r="I2982" s="35"/>
      <c r="K2982" t="s">
        <v>15</v>
      </c>
    </row>
    <row r="2983" spans="2:11" ht="24.75" x14ac:dyDescent="0.2">
      <c r="B2983" s="33" t="s">
        <v>3913</v>
      </c>
      <c r="C2983" s="33" t="s">
        <v>1051</v>
      </c>
      <c r="D2983" s="35">
        <f>SUMIFS(D2984:D9015,K2984:K9015,"0",B2984:B9015,"5 1 1 3 1 12 31111 6 M59 80400 000132 0000R 00001 00131 015*")-SUMIFS(E2984:E9015,K2984:K9015,"0",B2984:B9015,"5 1 1 3 1 12 31111 6 M59 80400 000132 0000R 00001 00131 015*")</f>
        <v>0</v>
      </c>
      <c r="E2983"/>
      <c r="F2983" s="35">
        <f>SUMIFS(F2984:F9015,K2984:K9015,"0",B2984:B9015,"5 1 1 3 1 12 31111 6 M59 80400 000132 0000R 00001 00131 015*")</f>
        <v>490</v>
      </c>
      <c r="G2983" s="35">
        <f>SUMIFS(G2984:G9015,K2984:K9015,"0",B2984:B9015,"5 1 1 3 1 12 31111 6 M59 80400 000132 0000R 00001 00131 015*")</f>
        <v>0</v>
      </c>
      <c r="H2983" s="35">
        <f t="shared" si="47"/>
        <v>490</v>
      </c>
      <c r="I2983" s="35"/>
      <c r="K2983" t="s">
        <v>15</v>
      </c>
    </row>
    <row r="2984" spans="2:11" ht="33" x14ac:dyDescent="0.2">
      <c r="B2984" s="33" t="s">
        <v>3914</v>
      </c>
      <c r="C2984" s="33" t="s">
        <v>2927</v>
      </c>
      <c r="D2984" s="35">
        <f>SUMIFS(D2985:D9015,K2985:K9015,"0",B2985:B9015,"5 1 1 3 1 12 31111 6 M59 80400 000132 0000R 00001 00131 015 2111100*")-SUMIFS(E2985:E9015,K2985:K9015,"0",B2985:B9015,"5 1 1 3 1 12 31111 6 M59 80400 000132 0000R 00001 00131 015 2111100*")</f>
        <v>0</v>
      </c>
      <c r="E2984"/>
      <c r="F2984" s="35">
        <f>SUMIFS(F2985:F9015,K2985:K9015,"0",B2985:B9015,"5 1 1 3 1 12 31111 6 M59 80400 000132 0000R 00001 00131 015 2111100*")</f>
        <v>490</v>
      </c>
      <c r="G2984" s="35">
        <f>SUMIFS(G2985:G9015,K2985:K9015,"0",B2985:B9015,"5 1 1 3 1 12 31111 6 M59 80400 000132 0000R 00001 00131 015 2111100*")</f>
        <v>0</v>
      </c>
      <c r="H2984" s="35">
        <f t="shared" si="47"/>
        <v>490</v>
      </c>
      <c r="I2984" s="35"/>
      <c r="K2984" t="s">
        <v>15</v>
      </c>
    </row>
    <row r="2985" spans="2:11" ht="33" x14ac:dyDescent="0.2">
      <c r="B2985" s="33" t="s">
        <v>3915</v>
      </c>
      <c r="C2985" s="33" t="s">
        <v>660</v>
      </c>
      <c r="D2985" s="35">
        <f>SUMIFS(D2986:D9015,K2986:K9015,"0",B2986:B9015,"5 1 1 3 1 12 31111 6 M59 80400 000132 0000R 00001 00131 015 2111100 2024*")-SUMIFS(E2986:E9015,K2986:K9015,"0",B2986:B9015,"5 1 1 3 1 12 31111 6 M59 80400 000132 0000R 00001 00131 015 2111100 2024*")</f>
        <v>0</v>
      </c>
      <c r="E2985"/>
      <c r="F2985" s="35">
        <f>SUMIFS(F2986:F9015,K2986:K9015,"0",B2986:B9015,"5 1 1 3 1 12 31111 6 M59 80400 000132 0000R 00001 00131 015 2111100 2024*")</f>
        <v>490</v>
      </c>
      <c r="G2985" s="35">
        <f>SUMIFS(G2986:G9015,K2986:K9015,"0",B2986:B9015,"5 1 1 3 1 12 31111 6 M59 80400 000132 0000R 00001 00131 015 2111100 2024*")</f>
        <v>0</v>
      </c>
      <c r="H2985" s="35">
        <f t="shared" si="47"/>
        <v>490</v>
      </c>
      <c r="I2985" s="35"/>
      <c r="K2985" t="s">
        <v>15</v>
      </c>
    </row>
    <row r="2986" spans="2:11" ht="41.25" x14ac:dyDescent="0.2">
      <c r="B2986" s="33" t="s">
        <v>3916</v>
      </c>
      <c r="C2986" s="33" t="s">
        <v>1056</v>
      </c>
      <c r="D2986" s="35">
        <f>SUMIFS(D2987:D9015,K2987:K9015,"0",B2987:B9015,"5 1 1 3 1 12 31111 6 M59 80400 000132 0000R 00001 00131 015 2111100 2024 CP1DP403*")-SUMIFS(E2987:E9015,K2987:K9015,"0",B2987:B9015,"5 1 1 3 1 12 31111 6 M59 80400 000132 0000R 00001 00131 015 2111100 2024 CP1DP403*")</f>
        <v>0</v>
      </c>
      <c r="E2986"/>
      <c r="F2986" s="35">
        <f>SUMIFS(F2987:F9015,K2987:K9015,"0",B2987:B9015,"5 1 1 3 1 12 31111 6 M59 80400 000132 0000R 00001 00131 015 2111100 2024 CP1DP403*")</f>
        <v>490</v>
      </c>
      <c r="G2986" s="35">
        <f>SUMIFS(G2987:G9015,K2987:K9015,"0",B2987:B9015,"5 1 1 3 1 12 31111 6 M59 80400 000132 0000R 00001 00131 015 2111100 2024 CP1DP403*")</f>
        <v>0</v>
      </c>
      <c r="H2986" s="35">
        <f t="shared" si="47"/>
        <v>490</v>
      </c>
      <c r="I2986" s="35"/>
      <c r="K2986" t="s">
        <v>15</v>
      </c>
    </row>
    <row r="2987" spans="2:11" ht="41.25" x14ac:dyDescent="0.2">
      <c r="B2987" s="33" t="s">
        <v>3917</v>
      </c>
      <c r="C2987" s="33" t="s">
        <v>282</v>
      </c>
      <c r="D2987" s="35">
        <f>SUMIFS(D2988:D9015,K2988:K9015,"0",B2988:B9015,"5 1 1 3 1 12 31111 6 M59 80400 000132 0000R 00001 00131 015 2111100 2024 CP1DP403 001*")-SUMIFS(E2988:E9015,K2988:K9015,"0",B2988:B9015,"5 1 1 3 1 12 31111 6 M59 80400 000132 0000R 00001 00131 015 2111100 2024 CP1DP403 001*")</f>
        <v>0</v>
      </c>
      <c r="E2987"/>
      <c r="F2987" s="35">
        <f>SUMIFS(F2988:F9015,K2988:K9015,"0",B2988:B9015,"5 1 1 3 1 12 31111 6 M59 80400 000132 0000R 00001 00131 015 2111100 2024 CP1DP403 001*")</f>
        <v>490</v>
      </c>
      <c r="G2987" s="35">
        <f>SUMIFS(G2988:G9015,K2988:K9015,"0",B2988:B9015,"5 1 1 3 1 12 31111 6 M59 80400 000132 0000R 00001 00131 015 2111100 2024 CP1DP403 001*")</f>
        <v>0</v>
      </c>
      <c r="H2987" s="35">
        <f t="shared" si="47"/>
        <v>490</v>
      </c>
      <c r="I2987" s="35"/>
      <c r="K2987" t="s">
        <v>15</v>
      </c>
    </row>
    <row r="2988" spans="2:11" ht="41.25" x14ac:dyDescent="0.2">
      <c r="B2988" s="31" t="s">
        <v>3918</v>
      </c>
      <c r="C2988" s="31" t="s">
        <v>3785</v>
      </c>
      <c r="D2988" s="34">
        <v>0</v>
      </c>
      <c r="E2988" s="34"/>
      <c r="F2988" s="34">
        <v>490</v>
      </c>
      <c r="G2988" s="34">
        <v>0</v>
      </c>
      <c r="H2988" s="34">
        <f t="shared" si="47"/>
        <v>490</v>
      </c>
      <c r="I2988" s="34"/>
      <c r="K2988" t="s">
        <v>38</v>
      </c>
    </row>
    <row r="2989" spans="2:11" ht="24.75" x14ac:dyDescent="0.2">
      <c r="B2989" s="33" t="s">
        <v>3919</v>
      </c>
      <c r="C2989" s="33" t="s">
        <v>3571</v>
      </c>
      <c r="D2989" s="35">
        <f>SUMIFS(D2990:D9015,K2990:K9015,"0",B2990:B9015,"5 1 1 3 1 12 31111 6 M59 80500*")-SUMIFS(E2990:E9015,K2990:K9015,"0",B2990:B9015,"5 1 1 3 1 12 31111 6 M59 80500*")</f>
        <v>0</v>
      </c>
      <c r="E2989"/>
      <c r="F2989" s="35">
        <f>SUMIFS(F2990:F9015,K2990:K9015,"0",B2990:B9015,"5 1 1 3 1 12 31111 6 M59 80500*")</f>
        <v>1050</v>
      </c>
      <c r="G2989" s="35">
        <f>SUMIFS(G2990:G9015,K2990:K9015,"0",B2990:B9015,"5 1 1 3 1 12 31111 6 M59 80500*")</f>
        <v>0</v>
      </c>
      <c r="H2989" s="35">
        <f t="shared" si="47"/>
        <v>1050</v>
      </c>
      <c r="I2989" s="35"/>
      <c r="K2989" t="s">
        <v>15</v>
      </c>
    </row>
    <row r="2990" spans="2:11" ht="16.5" x14ac:dyDescent="0.2">
      <c r="B2990" s="33" t="s">
        <v>3920</v>
      </c>
      <c r="C2990" s="33" t="s">
        <v>3573</v>
      </c>
      <c r="D2990" s="35">
        <f>SUMIFS(D2991:D9015,K2991:K9015,"0",B2991:B9015,"5 1 1 3 1 12 31111 6 M59 80500 000216*")-SUMIFS(E2991:E9015,K2991:K9015,"0",B2991:B9015,"5 1 1 3 1 12 31111 6 M59 80500 000216*")</f>
        <v>0</v>
      </c>
      <c r="E2990"/>
      <c r="F2990" s="35">
        <f>SUMIFS(F2991:F9015,K2991:K9015,"0",B2991:B9015,"5 1 1 3 1 12 31111 6 M59 80500 000216*")</f>
        <v>1050</v>
      </c>
      <c r="G2990" s="35">
        <f>SUMIFS(G2991:G9015,K2991:K9015,"0",B2991:B9015,"5 1 1 3 1 12 31111 6 M59 80500 000216*")</f>
        <v>0</v>
      </c>
      <c r="H2990" s="35">
        <f t="shared" si="47"/>
        <v>1050</v>
      </c>
      <c r="I2990" s="35"/>
      <c r="K2990" t="s">
        <v>15</v>
      </c>
    </row>
    <row r="2991" spans="2:11" ht="16.5" x14ac:dyDescent="0.2">
      <c r="B2991" s="33" t="s">
        <v>3921</v>
      </c>
      <c r="C2991" s="33" t="s">
        <v>650</v>
      </c>
      <c r="D2991" s="35">
        <f>SUMIFS(D2992:D9015,K2992:K9015,"0",B2992:B9015,"5 1 1 3 1 12 31111 6 M59 80500 000216 0000R*")-SUMIFS(E2992:E9015,K2992:K9015,"0",B2992:B9015,"5 1 1 3 1 12 31111 6 M59 80500 000216 0000R*")</f>
        <v>0</v>
      </c>
      <c r="E2991"/>
      <c r="F2991" s="35">
        <f>SUMIFS(F2992:F9015,K2992:K9015,"0",B2992:B9015,"5 1 1 3 1 12 31111 6 M59 80500 000216 0000R*")</f>
        <v>1050</v>
      </c>
      <c r="G2991" s="35">
        <f>SUMIFS(G2992:G9015,K2992:K9015,"0",B2992:B9015,"5 1 1 3 1 12 31111 6 M59 80500 000216 0000R*")</f>
        <v>0</v>
      </c>
      <c r="H2991" s="35">
        <f t="shared" si="47"/>
        <v>1050</v>
      </c>
      <c r="I2991" s="35"/>
      <c r="K2991" t="s">
        <v>15</v>
      </c>
    </row>
    <row r="2992" spans="2:11" ht="24.75" x14ac:dyDescent="0.2">
      <c r="B2992" s="33" t="s">
        <v>3922</v>
      </c>
      <c r="C2992" s="33" t="s">
        <v>282</v>
      </c>
      <c r="D2992" s="35">
        <f>SUMIFS(D2993:D9015,K2993:K9015,"0",B2993:B9015,"5 1 1 3 1 12 31111 6 M59 80500 000216 0000R 00001*")-SUMIFS(E2993:E9015,K2993:K9015,"0",B2993:B9015,"5 1 1 3 1 12 31111 6 M59 80500 000216 0000R 00001*")</f>
        <v>0</v>
      </c>
      <c r="E2992"/>
      <c r="F2992" s="35">
        <f>SUMIFS(F2993:F9015,K2993:K9015,"0",B2993:B9015,"5 1 1 3 1 12 31111 6 M59 80500 000216 0000R 00001*")</f>
        <v>1050</v>
      </c>
      <c r="G2992" s="35">
        <f>SUMIFS(G2993:G9015,K2993:K9015,"0",B2993:B9015,"5 1 1 3 1 12 31111 6 M59 80500 000216 0000R 00001*")</f>
        <v>0</v>
      </c>
      <c r="H2992" s="35">
        <f t="shared" si="47"/>
        <v>1050</v>
      </c>
      <c r="I2992" s="35"/>
      <c r="K2992" t="s">
        <v>15</v>
      </c>
    </row>
    <row r="2993" spans="2:11" ht="24.75" x14ac:dyDescent="0.2">
      <c r="B2993" s="33" t="s">
        <v>3923</v>
      </c>
      <c r="C2993" s="33" t="s">
        <v>3778</v>
      </c>
      <c r="D2993" s="35">
        <f>SUMIFS(D2994:D9015,K2994:K9015,"0",B2994:B9015,"5 1 1 3 1 12 31111 6 M59 80500 000216 0000R 00001 00131*")-SUMIFS(E2994:E9015,K2994:K9015,"0",B2994:B9015,"5 1 1 3 1 12 31111 6 M59 80500 000216 0000R 00001 00131*")</f>
        <v>0</v>
      </c>
      <c r="E2993"/>
      <c r="F2993" s="35">
        <f>SUMIFS(F2994:F9015,K2994:K9015,"0",B2994:B9015,"5 1 1 3 1 12 31111 6 M59 80500 000216 0000R 00001 00131*")</f>
        <v>1050</v>
      </c>
      <c r="G2993" s="35">
        <f>SUMIFS(G2994:G9015,K2994:K9015,"0",B2994:B9015,"5 1 1 3 1 12 31111 6 M59 80500 000216 0000R 00001 00131*")</f>
        <v>0</v>
      </c>
      <c r="H2993" s="35">
        <f t="shared" si="47"/>
        <v>1050</v>
      </c>
      <c r="I2993" s="35"/>
      <c r="K2993" t="s">
        <v>15</v>
      </c>
    </row>
    <row r="2994" spans="2:11" ht="24.75" x14ac:dyDescent="0.2">
      <c r="B2994" s="33" t="s">
        <v>3924</v>
      </c>
      <c r="C2994" s="33" t="s">
        <v>1051</v>
      </c>
      <c r="D2994" s="35">
        <f>SUMIFS(D2995:D9015,K2995:K9015,"0",B2995:B9015,"5 1 1 3 1 12 31111 6 M59 80500 000216 0000R 00001 00131 015*")-SUMIFS(E2995:E9015,K2995:K9015,"0",B2995:B9015,"5 1 1 3 1 12 31111 6 M59 80500 000216 0000R 00001 00131 015*")</f>
        <v>0</v>
      </c>
      <c r="E2994"/>
      <c r="F2994" s="35">
        <f>SUMIFS(F2995:F9015,K2995:K9015,"0",B2995:B9015,"5 1 1 3 1 12 31111 6 M59 80500 000216 0000R 00001 00131 015*")</f>
        <v>1050</v>
      </c>
      <c r="G2994" s="35">
        <f>SUMIFS(G2995:G9015,K2995:K9015,"0",B2995:B9015,"5 1 1 3 1 12 31111 6 M59 80500 000216 0000R 00001 00131 015*")</f>
        <v>0</v>
      </c>
      <c r="H2994" s="35">
        <f t="shared" si="47"/>
        <v>1050</v>
      </c>
      <c r="I2994" s="35"/>
      <c r="K2994" t="s">
        <v>15</v>
      </c>
    </row>
    <row r="2995" spans="2:11" ht="33" x14ac:dyDescent="0.2">
      <c r="B2995" s="33" t="s">
        <v>3925</v>
      </c>
      <c r="C2995" s="33" t="s">
        <v>2927</v>
      </c>
      <c r="D2995" s="35">
        <f>SUMIFS(D2996:D9015,K2996:K9015,"0",B2996:B9015,"5 1 1 3 1 12 31111 6 M59 80500 000216 0000R 00001 00131 015 2111100*")-SUMIFS(E2996:E9015,K2996:K9015,"0",B2996:B9015,"5 1 1 3 1 12 31111 6 M59 80500 000216 0000R 00001 00131 015 2111100*")</f>
        <v>0</v>
      </c>
      <c r="E2995"/>
      <c r="F2995" s="35">
        <f>SUMIFS(F2996:F9015,K2996:K9015,"0",B2996:B9015,"5 1 1 3 1 12 31111 6 M59 80500 000216 0000R 00001 00131 015 2111100*")</f>
        <v>1050</v>
      </c>
      <c r="G2995" s="35">
        <f>SUMIFS(G2996:G9015,K2996:K9015,"0",B2996:B9015,"5 1 1 3 1 12 31111 6 M59 80500 000216 0000R 00001 00131 015 2111100*")</f>
        <v>0</v>
      </c>
      <c r="H2995" s="35">
        <f t="shared" si="47"/>
        <v>1050</v>
      </c>
      <c r="I2995" s="35"/>
      <c r="K2995" t="s">
        <v>15</v>
      </c>
    </row>
    <row r="2996" spans="2:11" ht="33" x14ac:dyDescent="0.2">
      <c r="B2996" s="33" t="s">
        <v>3926</v>
      </c>
      <c r="C2996" s="33" t="s">
        <v>660</v>
      </c>
      <c r="D2996" s="35">
        <f>SUMIFS(D2997:D9015,K2997:K9015,"0",B2997:B9015,"5 1 1 3 1 12 31111 6 M59 80500 000216 0000R 00001 00131 015 2111100 2024*")-SUMIFS(E2997:E9015,K2997:K9015,"0",B2997:B9015,"5 1 1 3 1 12 31111 6 M59 80500 000216 0000R 00001 00131 015 2111100 2024*")</f>
        <v>0</v>
      </c>
      <c r="E2996"/>
      <c r="F2996" s="35">
        <f>SUMIFS(F2997:F9015,K2997:K9015,"0",B2997:B9015,"5 1 1 3 1 12 31111 6 M59 80500 000216 0000R 00001 00131 015 2111100 2024*")</f>
        <v>1050</v>
      </c>
      <c r="G2996" s="35">
        <f>SUMIFS(G2997:G9015,K2997:K9015,"0",B2997:B9015,"5 1 1 3 1 12 31111 6 M59 80500 000216 0000R 00001 00131 015 2111100 2024*")</f>
        <v>0</v>
      </c>
      <c r="H2996" s="35">
        <f t="shared" si="47"/>
        <v>1050</v>
      </c>
      <c r="I2996" s="35"/>
      <c r="K2996" t="s">
        <v>15</v>
      </c>
    </row>
    <row r="2997" spans="2:11" ht="41.25" x14ac:dyDescent="0.2">
      <c r="B2997" s="33" t="s">
        <v>3927</v>
      </c>
      <c r="C2997" s="33" t="s">
        <v>1056</v>
      </c>
      <c r="D2997" s="35">
        <f>SUMIFS(D2998:D9015,K2998:K9015,"0",B2998:B9015,"5 1 1 3 1 12 31111 6 M59 80500 000216 0000R 00001 00131 015 2111100 2024 CP1MA417*")-SUMIFS(E2998:E9015,K2998:K9015,"0",B2998:B9015,"5 1 1 3 1 12 31111 6 M59 80500 000216 0000R 00001 00131 015 2111100 2024 CP1MA417*")</f>
        <v>0</v>
      </c>
      <c r="E2997"/>
      <c r="F2997" s="35">
        <f>SUMIFS(F2998:F9015,K2998:K9015,"0",B2998:B9015,"5 1 1 3 1 12 31111 6 M59 80500 000216 0000R 00001 00131 015 2111100 2024 CP1MA417*")</f>
        <v>1050</v>
      </c>
      <c r="G2997" s="35">
        <f>SUMIFS(G2998:G9015,K2998:K9015,"0",B2998:B9015,"5 1 1 3 1 12 31111 6 M59 80500 000216 0000R 00001 00131 015 2111100 2024 CP1MA417*")</f>
        <v>0</v>
      </c>
      <c r="H2997" s="35">
        <f t="shared" si="47"/>
        <v>1050</v>
      </c>
      <c r="I2997" s="35"/>
      <c r="K2997" t="s">
        <v>15</v>
      </c>
    </row>
    <row r="2998" spans="2:11" ht="41.25" x14ac:dyDescent="0.2">
      <c r="B2998" s="33" t="s">
        <v>3928</v>
      </c>
      <c r="C2998" s="33" t="s">
        <v>282</v>
      </c>
      <c r="D2998" s="35">
        <f>SUMIFS(D2999:D9015,K2999:K9015,"0",B2999:B9015,"5 1 1 3 1 12 31111 6 M59 80500 000216 0000R 00001 00131 015 2111100 2024 CP1MA417 001*")-SUMIFS(E2999:E9015,K2999:K9015,"0",B2999:B9015,"5 1 1 3 1 12 31111 6 M59 80500 000216 0000R 00001 00131 015 2111100 2024 CP1MA417 001*")</f>
        <v>0</v>
      </c>
      <c r="E2998"/>
      <c r="F2998" s="35">
        <f>SUMIFS(F2999:F9015,K2999:K9015,"0",B2999:B9015,"5 1 1 3 1 12 31111 6 M59 80500 000216 0000R 00001 00131 015 2111100 2024 CP1MA417 001*")</f>
        <v>1050</v>
      </c>
      <c r="G2998" s="35">
        <f>SUMIFS(G2999:G9015,K2999:K9015,"0",B2999:B9015,"5 1 1 3 1 12 31111 6 M59 80500 000216 0000R 00001 00131 015 2111100 2024 CP1MA417 001*")</f>
        <v>0</v>
      </c>
      <c r="H2998" s="35">
        <f t="shared" si="47"/>
        <v>1050</v>
      </c>
      <c r="I2998" s="35"/>
      <c r="K2998" t="s">
        <v>15</v>
      </c>
    </row>
    <row r="2999" spans="2:11" ht="33" x14ac:dyDescent="0.2">
      <c r="B2999" s="31" t="s">
        <v>3929</v>
      </c>
      <c r="C2999" s="31" t="s">
        <v>3785</v>
      </c>
      <c r="D2999" s="34">
        <v>0</v>
      </c>
      <c r="E2999" s="34"/>
      <c r="F2999" s="34">
        <v>1050</v>
      </c>
      <c r="G2999" s="34">
        <v>0</v>
      </c>
      <c r="H2999" s="34">
        <f t="shared" si="47"/>
        <v>1050</v>
      </c>
      <c r="I2999" s="34"/>
      <c r="K2999" t="s">
        <v>38</v>
      </c>
    </row>
    <row r="3000" spans="2:11" ht="16.5" x14ac:dyDescent="0.2">
      <c r="B3000" s="33" t="s">
        <v>3930</v>
      </c>
      <c r="C3000" s="33" t="s">
        <v>3596</v>
      </c>
      <c r="D3000" s="35">
        <f>SUMIFS(D3001:D9015,K3001:K9015,"0",B3001:B9015,"5 1 1 3 1 12 31111 6 M59 90000*")-SUMIFS(E3001:E9015,K3001:K9015,"0",B3001:B9015,"5 1 1 3 1 12 31111 6 M59 90000*")</f>
        <v>0</v>
      </c>
      <c r="E3000"/>
      <c r="F3000" s="35">
        <f>SUMIFS(F3001:F9015,K3001:K9015,"0",B3001:B9015,"5 1 1 3 1 12 31111 6 M59 90000*")</f>
        <v>5425</v>
      </c>
      <c r="G3000" s="35">
        <f>SUMIFS(G3001:G9015,K3001:K9015,"0",B3001:B9015,"5 1 1 3 1 12 31111 6 M59 90000*")</f>
        <v>0</v>
      </c>
      <c r="H3000" s="35">
        <f t="shared" si="47"/>
        <v>5425</v>
      </c>
      <c r="I3000" s="35"/>
      <c r="K3000" t="s">
        <v>15</v>
      </c>
    </row>
    <row r="3001" spans="2:11" ht="16.5" x14ac:dyDescent="0.2">
      <c r="B3001" s="33" t="s">
        <v>3931</v>
      </c>
      <c r="C3001" s="33" t="s">
        <v>648</v>
      </c>
      <c r="D3001" s="35">
        <f>SUMIFS(D3002:D9015,K3002:K9015,"0",B3002:B9015,"5 1 1 3 1 12 31111 6 M59 90000 000132*")-SUMIFS(E3002:E9015,K3002:K9015,"0",B3002:B9015,"5 1 1 3 1 12 31111 6 M59 90000 000132*")</f>
        <v>0</v>
      </c>
      <c r="E3001"/>
      <c r="F3001" s="35">
        <f>SUMIFS(F3002:F9015,K3002:K9015,"0",B3002:B9015,"5 1 1 3 1 12 31111 6 M59 90000 000132*")</f>
        <v>5425</v>
      </c>
      <c r="G3001" s="35">
        <f>SUMIFS(G3002:G9015,K3002:K9015,"0",B3002:B9015,"5 1 1 3 1 12 31111 6 M59 90000 000132*")</f>
        <v>0</v>
      </c>
      <c r="H3001" s="35">
        <f t="shared" si="47"/>
        <v>5425</v>
      </c>
      <c r="I3001" s="35"/>
      <c r="K3001" t="s">
        <v>15</v>
      </c>
    </row>
    <row r="3002" spans="2:11" ht="16.5" x14ac:dyDescent="0.2">
      <c r="B3002" s="33" t="s">
        <v>3932</v>
      </c>
      <c r="C3002" s="33" t="s">
        <v>650</v>
      </c>
      <c r="D3002" s="35">
        <f>SUMIFS(D3003:D9015,K3003:K9015,"0",B3003:B9015,"5 1 1 3 1 12 31111 6 M59 90000 000132 0000R*")-SUMIFS(E3003:E9015,K3003:K9015,"0",B3003:B9015,"5 1 1 3 1 12 31111 6 M59 90000 000132 0000R*")</f>
        <v>0</v>
      </c>
      <c r="E3002"/>
      <c r="F3002" s="35">
        <f>SUMIFS(F3003:F9015,K3003:K9015,"0",B3003:B9015,"5 1 1 3 1 12 31111 6 M59 90000 000132 0000R*")</f>
        <v>5425</v>
      </c>
      <c r="G3002" s="35">
        <f>SUMIFS(G3003:G9015,K3003:K9015,"0",B3003:B9015,"5 1 1 3 1 12 31111 6 M59 90000 000132 0000R*")</f>
        <v>0</v>
      </c>
      <c r="H3002" s="35">
        <f t="shared" si="47"/>
        <v>5425</v>
      </c>
      <c r="I3002" s="35"/>
      <c r="K3002" t="s">
        <v>15</v>
      </c>
    </row>
    <row r="3003" spans="2:11" ht="24.75" x14ac:dyDescent="0.2">
      <c r="B3003" s="33" t="s">
        <v>3933</v>
      </c>
      <c r="C3003" s="33" t="s">
        <v>282</v>
      </c>
      <c r="D3003" s="35">
        <f>SUMIFS(D3004:D9015,K3004:K9015,"0",B3004:B9015,"5 1 1 3 1 12 31111 6 M59 90000 000132 0000R 00001*")-SUMIFS(E3004:E9015,K3004:K9015,"0",B3004:B9015,"5 1 1 3 1 12 31111 6 M59 90000 000132 0000R 00001*")</f>
        <v>0</v>
      </c>
      <c r="E3003"/>
      <c r="F3003" s="35">
        <f>SUMIFS(F3004:F9015,K3004:K9015,"0",B3004:B9015,"5 1 1 3 1 12 31111 6 M59 90000 000132 0000R 00001*")</f>
        <v>5425</v>
      </c>
      <c r="G3003" s="35">
        <f>SUMIFS(G3004:G9015,K3004:K9015,"0",B3004:B9015,"5 1 1 3 1 12 31111 6 M59 90000 000132 0000R 00001*")</f>
        <v>0</v>
      </c>
      <c r="H3003" s="35">
        <f t="shared" si="47"/>
        <v>5425</v>
      </c>
      <c r="I3003" s="35"/>
      <c r="K3003" t="s">
        <v>15</v>
      </c>
    </row>
    <row r="3004" spans="2:11" ht="24.75" x14ac:dyDescent="0.2">
      <c r="B3004" s="33" t="s">
        <v>3934</v>
      </c>
      <c r="C3004" s="33" t="s">
        <v>3778</v>
      </c>
      <c r="D3004" s="35">
        <f>SUMIFS(D3005:D9015,K3005:K9015,"0",B3005:B9015,"5 1 1 3 1 12 31111 6 M59 90000 000132 0000R 00001 00131*")-SUMIFS(E3005:E9015,K3005:K9015,"0",B3005:B9015,"5 1 1 3 1 12 31111 6 M59 90000 000132 0000R 00001 00131*")</f>
        <v>0</v>
      </c>
      <c r="E3004"/>
      <c r="F3004" s="35">
        <f>SUMIFS(F3005:F9015,K3005:K9015,"0",B3005:B9015,"5 1 1 3 1 12 31111 6 M59 90000 000132 0000R 00001 00131*")</f>
        <v>5425</v>
      </c>
      <c r="G3004" s="35">
        <f>SUMIFS(G3005:G9015,K3005:K9015,"0",B3005:B9015,"5 1 1 3 1 12 31111 6 M59 90000 000132 0000R 00001 00131*")</f>
        <v>0</v>
      </c>
      <c r="H3004" s="35">
        <f t="shared" si="47"/>
        <v>5425</v>
      </c>
      <c r="I3004" s="35"/>
      <c r="K3004" t="s">
        <v>15</v>
      </c>
    </row>
    <row r="3005" spans="2:11" ht="24.75" x14ac:dyDescent="0.2">
      <c r="B3005" s="33" t="s">
        <v>3935</v>
      </c>
      <c r="C3005" s="33" t="s">
        <v>1051</v>
      </c>
      <c r="D3005" s="35">
        <f>SUMIFS(D3006:D9015,K3006:K9015,"0",B3006:B9015,"5 1 1 3 1 12 31111 6 M59 90000 000132 0000R 00001 00131 015*")-SUMIFS(E3006:E9015,K3006:K9015,"0",B3006:B9015,"5 1 1 3 1 12 31111 6 M59 90000 000132 0000R 00001 00131 015*")</f>
        <v>0</v>
      </c>
      <c r="E3005"/>
      <c r="F3005" s="35">
        <f>SUMIFS(F3006:F9015,K3006:K9015,"0",B3006:B9015,"5 1 1 3 1 12 31111 6 M59 90000 000132 0000R 00001 00131 015*")</f>
        <v>5425</v>
      </c>
      <c r="G3005" s="35">
        <f>SUMIFS(G3006:G9015,K3006:K9015,"0",B3006:B9015,"5 1 1 3 1 12 31111 6 M59 90000 000132 0000R 00001 00131 015*")</f>
        <v>0</v>
      </c>
      <c r="H3005" s="35">
        <f t="shared" si="47"/>
        <v>5425</v>
      </c>
      <c r="I3005" s="35"/>
      <c r="K3005" t="s">
        <v>15</v>
      </c>
    </row>
    <row r="3006" spans="2:11" ht="33" x14ac:dyDescent="0.2">
      <c r="B3006" s="33" t="s">
        <v>3936</v>
      </c>
      <c r="C3006" s="33" t="s">
        <v>2927</v>
      </c>
      <c r="D3006" s="35">
        <f>SUMIFS(D3007:D9015,K3007:K9015,"0",B3007:B9015,"5 1 1 3 1 12 31111 6 M59 90000 000132 0000R 00001 00131 015 2111100*")-SUMIFS(E3007:E9015,K3007:K9015,"0",B3007:B9015,"5 1 1 3 1 12 31111 6 M59 90000 000132 0000R 00001 00131 015 2111100*")</f>
        <v>0</v>
      </c>
      <c r="E3006"/>
      <c r="F3006" s="35">
        <f>SUMIFS(F3007:F9015,K3007:K9015,"0",B3007:B9015,"5 1 1 3 1 12 31111 6 M59 90000 000132 0000R 00001 00131 015 2111100*")</f>
        <v>5425</v>
      </c>
      <c r="G3006" s="35">
        <f>SUMIFS(G3007:G9015,K3007:K9015,"0",B3007:B9015,"5 1 1 3 1 12 31111 6 M59 90000 000132 0000R 00001 00131 015 2111100*")</f>
        <v>0</v>
      </c>
      <c r="H3006" s="35">
        <f t="shared" si="47"/>
        <v>5425</v>
      </c>
      <c r="I3006" s="35"/>
      <c r="K3006" t="s">
        <v>15</v>
      </c>
    </row>
    <row r="3007" spans="2:11" ht="33" x14ac:dyDescent="0.2">
      <c r="B3007" s="33" t="s">
        <v>3937</v>
      </c>
      <c r="C3007" s="33" t="s">
        <v>660</v>
      </c>
      <c r="D3007" s="35">
        <f>SUMIFS(D3008:D9015,K3008:K9015,"0",B3008:B9015,"5 1 1 3 1 12 31111 6 M59 90000 000132 0000R 00001 00131 015 2111100 2024*")-SUMIFS(E3008:E9015,K3008:K9015,"0",B3008:B9015,"5 1 1 3 1 12 31111 6 M59 90000 000132 0000R 00001 00131 015 2111100 2024*")</f>
        <v>0</v>
      </c>
      <c r="E3007"/>
      <c r="F3007" s="35">
        <f>SUMIFS(F3008:F9015,K3008:K9015,"0",B3008:B9015,"5 1 1 3 1 12 31111 6 M59 90000 000132 0000R 00001 00131 015 2111100 2024*")</f>
        <v>5425</v>
      </c>
      <c r="G3007" s="35">
        <f>SUMIFS(G3008:G9015,K3008:K9015,"0",B3008:B9015,"5 1 1 3 1 12 31111 6 M59 90000 000132 0000R 00001 00131 015 2111100 2024*")</f>
        <v>0</v>
      </c>
      <c r="H3007" s="35">
        <f t="shared" si="47"/>
        <v>5425</v>
      </c>
      <c r="I3007" s="35"/>
      <c r="K3007" t="s">
        <v>15</v>
      </c>
    </row>
    <row r="3008" spans="2:11" ht="41.25" x14ac:dyDescent="0.2">
      <c r="B3008" s="33" t="s">
        <v>3938</v>
      </c>
      <c r="C3008" s="33" t="s">
        <v>1056</v>
      </c>
      <c r="D3008" s="35">
        <f>SUMIFS(D3009:D9015,K3009:K9015,"0",B3009:B9015,"5 1 1 3 1 12 31111 6 M59 90000 000132 0000R 00001 00131 015 2111100 2024 CP1SG383*")-SUMIFS(E3009:E9015,K3009:K9015,"0",B3009:B9015,"5 1 1 3 1 12 31111 6 M59 90000 000132 0000R 00001 00131 015 2111100 2024 CP1SG383*")</f>
        <v>0</v>
      </c>
      <c r="E3008"/>
      <c r="F3008" s="35">
        <f>SUMIFS(F3009:F9015,K3009:K9015,"0",B3009:B9015,"5 1 1 3 1 12 31111 6 M59 90000 000132 0000R 00001 00131 015 2111100 2024 CP1SG383*")</f>
        <v>5425</v>
      </c>
      <c r="G3008" s="35">
        <f>SUMIFS(G3009:G9015,K3009:K9015,"0",B3009:B9015,"5 1 1 3 1 12 31111 6 M59 90000 000132 0000R 00001 00131 015 2111100 2024 CP1SG383*")</f>
        <v>0</v>
      </c>
      <c r="H3008" s="35">
        <f t="shared" si="47"/>
        <v>5425</v>
      </c>
      <c r="I3008" s="35"/>
      <c r="K3008" t="s">
        <v>15</v>
      </c>
    </row>
    <row r="3009" spans="2:11" ht="41.25" x14ac:dyDescent="0.2">
      <c r="B3009" s="33" t="s">
        <v>3939</v>
      </c>
      <c r="C3009" s="33" t="s">
        <v>282</v>
      </c>
      <c r="D3009" s="35">
        <f>SUMIFS(D3010:D9015,K3010:K9015,"0",B3010:B9015,"5 1 1 3 1 12 31111 6 M59 90000 000132 0000R 00001 00131 015 2111100 2024 CP1SG383 001*")-SUMIFS(E3010:E9015,K3010:K9015,"0",B3010:B9015,"5 1 1 3 1 12 31111 6 M59 90000 000132 0000R 00001 00131 015 2111100 2024 CP1SG383 001*")</f>
        <v>0</v>
      </c>
      <c r="E3009"/>
      <c r="F3009" s="35">
        <f>SUMIFS(F3010:F9015,K3010:K9015,"0",B3010:B9015,"5 1 1 3 1 12 31111 6 M59 90000 000132 0000R 00001 00131 015 2111100 2024 CP1SG383 001*")</f>
        <v>5425</v>
      </c>
      <c r="G3009" s="35">
        <f>SUMIFS(G3010:G9015,K3010:K9015,"0",B3010:B9015,"5 1 1 3 1 12 31111 6 M59 90000 000132 0000R 00001 00131 015 2111100 2024 CP1SG383 001*")</f>
        <v>0</v>
      </c>
      <c r="H3009" s="35">
        <f t="shared" si="47"/>
        <v>5425</v>
      </c>
      <c r="I3009" s="35"/>
      <c r="K3009" t="s">
        <v>15</v>
      </c>
    </row>
    <row r="3010" spans="2:11" ht="41.25" x14ac:dyDescent="0.2">
      <c r="B3010" s="31" t="s">
        <v>3940</v>
      </c>
      <c r="C3010" s="31" t="s">
        <v>3785</v>
      </c>
      <c r="D3010" s="34">
        <v>0</v>
      </c>
      <c r="E3010" s="34"/>
      <c r="F3010" s="34">
        <v>5425</v>
      </c>
      <c r="G3010" s="34">
        <v>0</v>
      </c>
      <c r="H3010" s="34">
        <f t="shared" si="47"/>
        <v>5425</v>
      </c>
      <c r="I3010" s="34"/>
      <c r="K3010" t="s">
        <v>38</v>
      </c>
    </row>
    <row r="3011" spans="2:11" ht="16.5" x14ac:dyDescent="0.2">
      <c r="B3011" s="33" t="s">
        <v>3941</v>
      </c>
      <c r="C3011" s="33" t="s">
        <v>3608</v>
      </c>
      <c r="D3011" s="35">
        <f>SUMIFS(D3012:D9015,K3012:K9015,"0",B3012:B9015,"5 1 1 3 1 12 31111 6 M59 91000*")-SUMIFS(E3012:E9015,K3012:K9015,"0",B3012:B9015,"5 1 1 3 1 12 31111 6 M59 91000*")</f>
        <v>0</v>
      </c>
      <c r="E3011"/>
      <c r="F3011" s="35">
        <f>SUMIFS(F3012:F9015,K3012:K9015,"0",B3012:B9015,"5 1 1 3 1 12 31111 6 M59 91000*")</f>
        <v>10100</v>
      </c>
      <c r="G3011" s="35">
        <f>SUMIFS(G3012:G9015,K3012:K9015,"0",B3012:B9015,"5 1 1 3 1 12 31111 6 M59 91000*")</f>
        <v>0</v>
      </c>
      <c r="H3011" s="35">
        <f t="shared" si="47"/>
        <v>10100</v>
      </c>
      <c r="I3011" s="35"/>
      <c r="K3011" t="s">
        <v>15</v>
      </c>
    </row>
    <row r="3012" spans="2:11" ht="16.5" x14ac:dyDescent="0.2">
      <c r="B3012" s="33" t="s">
        <v>3942</v>
      </c>
      <c r="C3012" s="33" t="s">
        <v>648</v>
      </c>
      <c r="D3012" s="35">
        <f>SUMIFS(D3013:D9015,K3013:K9015,"0",B3013:B9015,"5 1 1 3 1 12 31111 6 M59 91000 000132*")-SUMIFS(E3013:E9015,K3013:K9015,"0",B3013:B9015,"5 1 1 3 1 12 31111 6 M59 91000 000132*")</f>
        <v>0</v>
      </c>
      <c r="E3012"/>
      <c r="F3012" s="35">
        <f>SUMIFS(F3013:F9015,K3013:K9015,"0",B3013:B9015,"5 1 1 3 1 12 31111 6 M59 91000 000132*")</f>
        <v>10100</v>
      </c>
      <c r="G3012" s="35">
        <f>SUMIFS(G3013:G9015,K3013:K9015,"0",B3013:B9015,"5 1 1 3 1 12 31111 6 M59 91000 000132*")</f>
        <v>0</v>
      </c>
      <c r="H3012" s="35">
        <f t="shared" ref="H3012:H3075" si="48">D3012 + F3012 - G3012</f>
        <v>10100</v>
      </c>
      <c r="I3012" s="35"/>
      <c r="K3012" t="s">
        <v>15</v>
      </c>
    </row>
    <row r="3013" spans="2:11" ht="16.5" x14ac:dyDescent="0.2">
      <c r="B3013" s="33" t="s">
        <v>3943</v>
      </c>
      <c r="C3013" s="33" t="s">
        <v>650</v>
      </c>
      <c r="D3013" s="35">
        <f>SUMIFS(D3014:D9015,K3014:K9015,"0",B3014:B9015,"5 1 1 3 1 12 31111 6 M59 91000 000132 0000R*")-SUMIFS(E3014:E9015,K3014:K9015,"0",B3014:B9015,"5 1 1 3 1 12 31111 6 M59 91000 000132 0000R*")</f>
        <v>0</v>
      </c>
      <c r="E3013"/>
      <c r="F3013" s="35">
        <f>SUMIFS(F3014:F9015,K3014:K9015,"0",B3014:B9015,"5 1 1 3 1 12 31111 6 M59 91000 000132 0000R*")</f>
        <v>10100</v>
      </c>
      <c r="G3013" s="35">
        <f>SUMIFS(G3014:G9015,K3014:K9015,"0",B3014:B9015,"5 1 1 3 1 12 31111 6 M59 91000 000132 0000R*")</f>
        <v>0</v>
      </c>
      <c r="H3013" s="35">
        <f t="shared" si="48"/>
        <v>10100</v>
      </c>
      <c r="I3013" s="35"/>
      <c r="K3013" t="s">
        <v>15</v>
      </c>
    </row>
    <row r="3014" spans="2:11" ht="24.75" x14ac:dyDescent="0.2">
      <c r="B3014" s="33" t="s">
        <v>3944</v>
      </c>
      <c r="C3014" s="33" t="s">
        <v>282</v>
      </c>
      <c r="D3014" s="35">
        <f>SUMIFS(D3015:D9015,K3015:K9015,"0",B3015:B9015,"5 1 1 3 1 12 31111 6 M59 91000 000132 0000R 00001*")-SUMIFS(E3015:E9015,K3015:K9015,"0",B3015:B9015,"5 1 1 3 1 12 31111 6 M59 91000 000132 0000R 00001*")</f>
        <v>0</v>
      </c>
      <c r="E3014"/>
      <c r="F3014" s="35">
        <f>SUMIFS(F3015:F9015,K3015:K9015,"0",B3015:B9015,"5 1 1 3 1 12 31111 6 M59 91000 000132 0000R 00001*")</f>
        <v>10100</v>
      </c>
      <c r="G3014" s="35">
        <f>SUMIFS(G3015:G9015,K3015:K9015,"0",B3015:B9015,"5 1 1 3 1 12 31111 6 M59 91000 000132 0000R 00001*")</f>
        <v>0</v>
      </c>
      <c r="H3014" s="35">
        <f t="shared" si="48"/>
        <v>10100</v>
      </c>
      <c r="I3014" s="35"/>
      <c r="K3014" t="s">
        <v>15</v>
      </c>
    </row>
    <row r="3015" spans="2:11" ht="24.75" x14ac:dyDescent="0.2">
      <c r="B3015" s="33" t="s">
        <v>3945</v>
      </c>
      <c r="C3015" s="33" t="s">
        <v>3778</v>
      </c>
      <c r="D3015" s="35">
        <f>SUMIFS(D3016:D9015,K3016:K9015,"0",B3016:B9015,"5 1 1 3 1 12 31111 6 M59 91000 000132 0000R 00001 00131*")-SUMIFS(E3016:E9015,K3016:K9015,"0",B3016:B9015,"5 1 1 3 1 12 31111 6 M59 91000 000132 0000R 00001 00131*")</f>
        <v>0</v>
      </c>
      <c r="E3015"/>
      <c r="F3015" s="35">
        <f>SUMIFS(F3016:F9015,K3016:K9015,"0",B3016:B9015,"5 1 1 3 1 12 31111 6 M59 91000 000132 0000R 00001 00131*")</f>
        <v>10100</v>
      </c>
      <c r="G3015" s="35">
        <f>SUMIFS(G3016:G9015,K3016:K9015,"0",B3016:B9015,"5 1 1 3 1 12 31111 6 M59 91000 000132 0000R 00001 00131*")</f>
        <v>0</v>
      </c>
      <c r="H3015" s="35">
        <f t="shared" si="48"/>
        <v>10100</v>
      </c>
      <c r="I3015" s="35"/>
      <c r="K3015" t="s">
        <v>15</v>
      </c>
    </row>
    <row r="3016" spans="2:11" ht="24.75" x14ac:dyDescent="0.2">
      <c r="B3016" s="33" t="s">
        <v>3946</v>
      </c>
      <c r="C3016" s="33" t="s">
        <v>1051</v>
      </c>
      <c r="D3016" s="35">
        <f>SUMIFS(D3017:D9015,K3017:K9015,"0",B3017:B9015,"5 1 1 3 1 12 31111 6 M59 91000 000132 0000R 00001 00131 015*")-SUMIFS(E3017:E9015,K3017:K9015,"0",B3017:B9015,"5 1 1 3 1 12 31111 6 M59 91000 000132 0000R 00001 00131 015*")</f>
        <v>0</v>
      </c>
      <c r="E3016"/>
      <c r="F3016" s="35">
        <f>SUMIFS(F3017:F9015,K3017:K9015,"0",B3017:B9015,"5 1 1 3 1 12 31111 6 M59 91000 000132 0000R 00001 00131 015*")</f>
        <v>10100</v>
      </c>
      <c r="G3016" s="35">
        <f>SUMIFS(G3017:G9015,K3017:K9015,"0",B3017:B9015,"5 1 1 3 1 12 31111 6 M59 91000 000132 0000R 00001 00131 015*")</f>
        <v>0</v>
      </c>
      <c r="H3016" s="35">
        <f t="shared" si="48"/>
        <v>10100</v>
      </c>
      <c r="I3016" s="35"/>
      <c r="K3016" t="s">
        <v>15</v>
      </c>
    </row>
    <row r="3017" spans="2:11" ht="33" x14ac:dyDescent="0.2">
      <c r="B3017" s="33" t="s">
        <v>3947</v>
      </c>
      <c r="C3017" s="33" t="s">
        <v>2927</v>
      </c>
      <c r="D3017" s="35">
        <f>SUMIFS(D3018:D9015,K3018:K9015,"0",B3018:B9015,"5 1 1 3 1 12 31111 6 M59 91000 000132 0000R 00001 00131 015 2111100*")-SUMIFS(E3018:E9015,K3018:K9015,"0",B3018:B9015,"5 1 1 3 1 12 31111 6 M59 91000 000132 0000R 00001 00131 015 2111100*")</f>
        <v>0</v>
      </c>
      <c r="E3017"/>
      <c r="F3017" s="35">
        <f>SUMIFS(F3018:F9015,K3018:K9015,"0",B3018:B9015,"5 1 1 3 1 12 31111 6 M59 91000 000132 0000R 00001 00131 015 2111100*")</f>
        <v>10100</v>
      </c>
      <c r="G3017" s="35">
        <f>SUMIFS(G3018:G9015,K3018:K9015,"0",B3018:B9015,"5 1 1 3 1 12 31111 6 M59 91000 000132 0000R 00001 00131 015 2111100*")</f>
        <v>0</v>
      </c>
      <c r="H3017" s="35">
        <f t="shared" si="48"/>
        <v>10100</v>
      </c>
      <c r="I3017" s="35"/>
      <c r="K3017" t="s">
        <v>15</v>
      </c>
    </row>
    <row r="3018" spans="2:11" ht="33" x14ac:dyDescent="0.2">
      <c r="B3018" s="33" t="s">
        <v>3948</v>
      </c>
      <c r="C3018" s="33" t="s">
        <v>660</v>
      </c>
      <c r="D3018" s="35">
        <f>SUMIFS(D3019:D9015,K3019:K9015,"0",B3019:B9015,"5 1 1 3 1 12 31111 6 M59 91000 000132 0000R 00001 00131 015 2111100 2024*")-SUMIFS(E3019:E9015,K3019:K9015,"0",B3019:B9015,"5 1 1 3 1 12 31111 6 M59 91000 000132 0000R 00001 00131 015 2111100 2024*")</f>
        <v>0</v>
      </c>
      <c r="E3018"/>
      <c r="F3018" s="35">
        <f>SUMIFS(F3019:F9015,K3019:K9015,"0",B3019:B9015,"5 1 1 3 1 12 31111 6 M59 91000 000132 0000R 00001 00131 015 2111100 2024*")</f>
        <v>10100</v>
      </c>
      <c r="G3018" s="35">
        <f>SUMIFS(G3019:G9015,K3019:K9015,"0",B3019:B9015,"5 1 1 3 1 12 31111 6 M59 91000 000132 0000R 00001 00131 015 2111100 2024*")</f>
        <v>0</v>
      </c>
      <c r="H3018" s="35">
        <f t="shared" si="48"/>
        <v>10100</v>
      </c>
      <c r="I3018" s="35"/>
      <c r="K3018" t="s">
        <v>15</v>
      </c>
    </row>
    <row r="3019" spans="2:11" ht="41.25" x14ac:dyDescent="0.2">
      <c r="B3019" s="33" t="s">
        <v>3949</v>
      </c>
      <c r="C3019" s="33" t="s">
        <v>1056</v>
      </c>
      <c r="D3019" s="35">
        <f>SUMIFS(D3020:D9015,K3020:K9015,"0",B3020:B9015,"5 1 1 3 1 12 31111 6 M59 91000 000132 0000R 00001 00131 015 2111100 2024 CP1RE398*")-SUMIFS(E3020:E9015,K3020:K9015,"0",B3020:B9015,"5 1 1 3 1 12 31111 6 M59 91000 000132 0000R 00001 00131 015 2111100 2024 CP1RE398*")</f>
        <v>0</v>
      </c>
      <c r="E3019"/>
      <c r="F3019" s="35">
        <f>SUMIFS(F3020:F9015,K3020:K9015,"0",B3020:B9015,"5 1 1 3 1 12 31111 6 M59 91000 000132 0000R 00001 00131 015 2111100 2024 CP1RE398*")</f>
        <v>10100</v>
      </c>
      <c r="G3019" s="35">
        <f>SUMIFS(G3020:G9015,K3020:K9015,"0",B3020:B9015,"5 1 1 3 1 12 31111 6 M59 91000 000132 0000R 00001 00131 015 2111100 2024 CP1RE398*")</f>
        <v>0</v>
      </c>
      <c r="H3019" s="35">
        <f t="shared" si="48"/>
        <v>10100</v>
      </c>
      <c r="I3019" s="35"/>
      <c r="K3019" t="s">
        <v>15</v>
      </c>
    </row>
    <row r="3020" spans="2:11" ht="41.25" x14ac:dyDescent="0.2">
      <c r="B3020" s="33" t="s">
        <v>3950</v>
      </c>
      <c r="C3020" s="33" t="s">
        <v>282</v>
      </c>
      <c r="D3020" s="35">
        <f>SUMIFS(D3021:D9015,K3021:K9015,"0",B3021:B9015,"5 1 1 3 1 12 31111 6 M59 91000 000132 0000R 00001 00131 015 2111100 2024 CP1RE398 001*")-SUMIFS(E3021:E9015,K3021:K9015,"0",B3021:B9015,"5 1 1 3 1 12 31111 6 M59 91000 000132 0000R 00001 00131 015 2111100 2024 CP1RE398 001*")</f>
        <v>0</v>
      </c>
      <c r="E3020"/>
      <c r="F3020" s="35">
        <f>SUMIFS(F3021:F9015,K3021:K9015,"0",B3021:B9015,"5 1 1 3 1 12 31111 6 M59 91000 000132 0000R 00001 00131 015 2111100 2024 CP1RE398 001*")</f>
        <v>10100</v>
      </c>
      <c r="G3020" s="35">
        <f>SUMIFS(G3021:G9015,K3021:K9015,"0",B3021:B9015,"5 1 1 3 1 12 31111 6 M59 91000 000132 0000R 00001 00131 015 2111100 2024 CP1RE398 001*")</f>
        <v>0</v>
      </c>
      <c r="H3020" s="35">
        <f t="shared" si="48"/>
        <v>10100</v>
      </c>
      <c r="I3020" s="35"/>
      <c r="K3020" t="s">
        <v>15</v>
      </c>
    </row>
    <row r="3021" spans="2:11" ht="33" x14ac:dyDescent="0.2">
      <c r="B3021" s="31" t="s">
        <v>3951</v>
      </c>
      <c r="C3021" s="31" t="s">
        <v>3785</v>
      </c>
      <c r="D3021" s="34">
        <v>0</v>
      </c>
      <c r="E3021" s="34"/>
      <c r="F3021" s="34">
        <v>10100</v>
      </c>
      <c r="G3021" s="34">
        <v>0</v>
      </c>
      <c r="H3021" s="34">
        <f t="shared" si="48"/>
        <v>10100</v>
      </c>
      <c r="I3021" s="34"/>
      <c r="K3021" t="s">
        <v>38</v>
      </c>
    </row>
    <row r="3022" spans="2:11" ht="16.5" x14ac:dyDescent="0.2">
      <c r="B3022" s="33" t="s">
        <v>3952</v>
      </c>
      <c r="C3022" s="33" t="s">
        <v>3620</v>
      </c>
      <c r="D3022" s="35">
        <f>SUMIFS(D3023:D9015,K3023:K9015,"0",B3023:B9015,"5 1 1 3 1 12 31111 6 M59 92000*")-SUMIFS(E3023:E9015,K3023:K9015,"0",B3023:B9015,"5 1 1 3 1 12 31111 6 M59 92000*")</f>
        <v>0</v>
      </c>
      <c r="E3022"/>
      <c r="F3022" s="35">
        <f>SUMIFS(F3023:F9015,K3023:K9015,"0",B3023:B9015,"5 1 1 3 1 12 31111 6 M59 92000*")</f>
        <v>7525</v>
      </c>
      <c r="G3022" s="35">
        <f>SUMIFS(G3023:G9015,K3023:K9015,"0",B3023:B9015,"5 1 1 3 1 12 31111 6 M59 92000*")</f>
        <v>0</v>
      </c>
      <c r="H3022" s="35">
        <f t="shared" si="48"/>
        <v>7525</v>
      </c>
      <c r="I3022" s="35"/>
      <c r="K3022" t="s">
        <v>15</v>
      </c>
    </row>
    <row r="3023" spans="2:11" ht="24.75" x14ac:dyDescent="0.2">
      <c r="B3023" s="33" t="s">
        <v>3953</v>
      </c>
      <c r="C3023" s="33" t="s">
        <v>3152</v>
      </c>
      <c r="D3023" s="35">
        <f>SUMIFS(D3024:D9015,K3024:K9015,"0",B3024:B9015,"5 1 1 3 1 12 31111 6 M59 92000 000181*")-SUMIFS(E3024:E9015,K3024:K9015,"0",B3024:B9015,"5 1 1 3 1 12 31111 6 M59 92000 000181*")</f>
        <v>0</v>
      </c>
      <c r="E3023"/>
      <c r="F3023" s="35">
        <f>SUMIFS(F3024:F9015,K3024:K9015,"0",B3024:B9015,"5 1 1 3 1 12 31111 6 M59 92000 000181*")</f>
        <v>7525</v>
      </c>
      <c r="G3023" s="35">
        <f>SUMIFS(G3024:G9015,K3024:K9015,"0",B3024:B9015,"5 1 1 3 1 12 31111 6 M59 92000 000181*")</f>
        <v>0</v>
      </c>
      <c r="H3023" s="35">
        <f t="shared" si="48"/>
        <v>7525</v>
      </c>
      <c r="I3023" s="35"/>
      <c r="K3023" t="s">
        <v>15</v>
      </c>
    </row>
    <row r="3024" spans="2:11" ht="16.5" x14ac:dyDescent="0.2">
      <c r="B3024" s="33" t="s">
        <v>3954</v>
      </c>
      <c r="C3024" s="33" t="s">
        <v>1065</v>
      </c>
      <c r="D3024" s="35">
        <f>SUMIFS(D3025:D9015,K3025:K9015,"0",B3025:B9015,"5 1 1 3 1 12 31111 6 M59 92000 000181 0000E*")-SUMIFS(E3025:E9015,K3025:K9015,"0",B3025:B9015,"5 1 1 3 1 12 31111 6 M59 92000 000181 0000E*")</f>
        <v>0</v>
      </c>
      <c r="E3024"/>
      <c r="F3024" s="35">
        <f>SUMIFS(F3025:F9015,K3025:K9015,"0",B3025:B9015,"5 1 1 3 1 12 31111 6 M59 92000 000181 0000E*")</f>
        <v>7525</v>
      </c>
      <c r="G3024" s="35">
        <f>SUMIFS(G3025:G9015,K3025:K9015,"0",B3025:B9015,"5 1 1 3 1 12 31111 6 M59 92000 000181 0000E*")</f>
        <v>0</v>
      </c>
      <c r="H3024" s="35">
        <f t="shared" si="48"/>
        <v>7525</v>
      </c>
      <c r="I3024" s="35"/>
      <c r="K3024" t="s">
        <v>15</v>
      </c>
    </row>
    <row r="3025" spans="2:11" ht="24.75" x14ac:dyDescent="0.2">
      <c r="B3025" s="33" t="s">
        <v>3955</v>
      </c>
      <c r="C3025" s="33" t="s">
        <v>282</v>
      </c>
      <c r="D3025" s="35">
        <f>SUMIFS(D3026:D9015,K3026:K9015,"0",B3026:B9015,"5 1 1 3 1 12 31111 6 M59 92000 000181 0000E 00001*")-SUMIFS(E3026:E9015,K3026:K9015,"0",B3026:B9015,"5 1 1 3 1 12 31111 6 M59 92000 000181 0000E 00001*")</f>
        <v>0</v>
      </c>
      <c r="E3025"/>
      <c r="F3025" s="35">
        <f>SUMIFS(F3026:F9015,K3026:K9015,"0",B3026:B9015,"5 1 1 3 1 12 31111 6 M59 92000 000181 0000E 00001*")</f>
        <v>7525</v>
      </c>
      <c r="G3025" s="35">
        <f>SUMIFS(G3026:G9015,K3026:K9015,"0",B3026:B9015,"5 1 1 3 1 12 31111 6 M59 92000 000181 0000E 00001*")</f>
        <v>0</v>
      </c>
      <c r="H3025" s="35">
        <f t="shared" si="48"/>
        <v>7525</v>
      </c>
      <c r="I3025" s="35"/>
      <c r="K3025" t="s">
        <v>15</v>
      </c>
    </row>
    <row r="3026" spans="2:11" ht="24.75" x14ac:dyDescent="0.2">
      <c r="B3026" s="33" t="s">
        <v>3956</v>
      </c>
      <c r="C3026" s="33" t="s">
        <v>3778</v>
      </c>
      <c r="D3026" s="35">
        <f>SUMIFS(D3027:D9015,K3027:K9015,"0",B3027:B9015,"5 1 1 3 1 12 31111 6 M59 92000 000181 0000E 00001 00131*")-SUMIFS(E3027:E9015,K3027:K9015,"0",B3027:B9015,"5 1 1 3 1 12 31111 6 M59 92000 000181 0000E 00001 00131*")</f>
        <v>0</v>
      </c>
      <c r="E3026"/>
      <c r="F3026" s="35">
        <f>SUMIFS(F3027:F9015,K3027:K9015,"0",B3027:B9015,"5 1 1 3 1 12 31111 6 M59 92000 000181 0000E 00001 00131*")</f>
        <v>7525</v>
      </c>
      <c r="G3026" s="35">
        <f>SUMIFS(G3027:G9015,K3027:K9015,"0",B3027:B9015,"5 1 1 3 1 12 31111 6 M59 92000 000181 0000E 00001 00131*")</f>
        <v>0</v>
      </c>
      <c r="H3026" s="35">
        <f t="shared" si="48"/>
        <v>7525</v>
      </c>
      <c r="I3026" s="35"/>
      <c r="K3026" t="s">
        <v>15</v>
      </c>
    </row>
    <row r="3027" spans="2:11" ht="24.75" x14ac:dyDescent="0.2">
      <c r="B3027" s="33" t="s">
        <v>3957</v>
      </c>
      <c r="C3027" s="33" t="s">
        <v>1051</v>
      </c>
      <c r="D3027" s="35">
        <f>SUMIFS(D3028:D9015,K3028:K9015,"0",B3028:B9015,"5 1 1 3 1 12 31111 6 M59 92000 000181 0000E 00001 00131 015*")-SUMIFS(E3028:E9015,K3028:K9015,"0",B3028:B9015,"5 1 1 3 1 12 31111 6 M59 92000 000181 0000E 00001 00131 015*")</f>
        <v>0</v>
      </c>
      <c r="E3027"/>
      <c r="F3027" s="35">
        <f>SUMIFS(F3028:F9015,K3028:K9015,"0",B3028:B9015,"5 1 1 3 1 12 31111 6 M59 92000 000181 0000E 00001 00131 015*")</f>
        <v>7525</v>
      </c>
      <c r="G3027" s="35">
        <f>SUMIFS(G3028:G9015,K3028:K9015,"0",B3028:B9015,"5 1 1 3 1 12 31111 6 M59 92000 000181 0000E 00001 00131 015*")</f>
        <v>0</v>
      </c>
      <c r="H3027" s="35">
        <f t="shared" si="48"/>
        <v>7525</v>
      </c>
      <c r="I3027" s="35"/>
      <c r="K3027" t="s">
        <v>15</v>
      </c>
    </row>
    <row r="3028" spans="2:11" ht="33" x14ac:dyDescent="0.2">
      <c r="B3028" s="33" t="s">
        <v>3958</v>
      </c>
      <c r="C3028" s="33" t="s">
        <v>2927</v>
      </c>
      <c r="D3028" s="35">
        <f>SUMIFS(D3029:D9015,K3029:K9015,"0",B3029:B9015,"5 1 1 3 1 12 31111 6 M59 92000 000181 0000E 00001 00131 015 2111100*")-SUMIFS(E3029:E9015,K3029:K9015,"0",B3029:B9015,"5 1 1 3 1 12 31111 6 M59 92000 000181 0000E 00001 00131 015 2111100*")</f>
        <v>0</v>
      </c>
      <c r="E3028"/>
      <c r="F3028" s="35">
        <f>SUMIFS(F3029:F9015,K3029:K9015,"0",B3029:B9015,"5 1 1 3 1 12 31111 6 M59 92000 000181 0000E 00001 00131 015 2111100*")</f>
        <v>7525</v>
      </c>
      <c r="G3028" s="35">
        <f>SUMIFS(G3029:G9015,K3029:K9015,"0",B3029:B9015,"5 1 1 3 1 12 31111 6 M59 92000 000181 0000E 00001 00131 015 2111100*")</f>
        <v>0</v>
      </c>
      <c r="H3028" s="35">
        <f t="shared" si="48"/>
        <v>7525</v>
      </c>
      <c r="I3028" s="35"/>
      <c r="K3028" t="s">
        <v>15</v>
      </c>
    </row>
    <row r="3029" spans="2:11" ht="33" x14ac:dyDescent="0.2">
      <c r="B3029" s="33" t="s">
        <v>3959</v>
      </c>
      <c r="C3029" s="33" t="s">
        <v>660</v>
      </c>
      <c r="D3029" s="35">
        <f>SUMIFS(D3030:D9015,K3030:K9015,"0",B3030:B9015,"5 1 1 3 1 12 31111 6 M59 92000 000181 0000E 00001 00131 015 2111100 2024*")-SUMIFS(E3030:E9015,K3030:K9015,"0",B3030:B9015,"5 1 1 3 1 12 31111 6 M59 92000 000181 0000E 00001 00131 015 2111100 2024*")</f>
        <v>0</v>
      </c>
      <c r="E3029"/>
      <c r="F3029" s="35">
        <f>SUMIFS(F3030:F9015,K3030:K9015,"0",B3030:B9015,"5 1 1 3 1 12 31111 6 M59 92000 000181 0000E 00001 00131 015 2111100 2024*")</f>
        <v>7525</v>
      </c>
      <c r="G3029" s="35">
        <f>SUMIFS(G3030:G9015,K3030:K9015,"0",B3030:B9015,"5 1 1 3 1 12 31111 6 M59 92000 000181 0000E 00001 00131 015 2111100 2024*")</f>
        <v>0</v>
      </c>
      <c r="H3029" s="35">
        <f t="shared" si="48"/>
        <v>7525</v>
      </c>
      <c r="I3029" s="35"/>
      <c r="K3029" t="s">
        <v>15</v>
      </c>
    </row>
    <row r="3030" spans="2:11" ht="41.25" x14ac:dyDescent="0.2">
      <c r="B3030" s="33" t="s">
        <v>3960</v>
      </c>
      <c r="C3030" s="33" t="s">
        <v>1056</v>
      </c>
      <c r="D3030" s="35">
        <f>SUMIFS(D3031:D9015,K3031:K9015,"0",B3031:B9015,"5 1 1 3 1 12 31111 6 M59 92000 000181 0000E 00001 00131 015 2111100 2024 CP1RC399*")-SUMIFS(E3031:E9015,K3031:K9015,"0",B3031:B9015,"5 1 1 3 1 12 31111 6 M59 92000 000181 0000E 00001 00131 015 2111100 2024 CP1RC399*")</f>
        <v>0</v>
      </c>
      <c r="E3030"/>
      <c r="F3030" s="35">
        <f>SUMIFS(F3031:F9015,K3031:K9015,"0",B3031:B9015,"5 1 1 3 1 12 31111 6 M59 92000 000181 0000E 00001 00131 015 2111100 2024 CP1RC399*")</f>
        <v>7525</v>
      </c>
      <c r="G3030" s="35">
        <f>SUMIFS(G3031:G9015,K3031:K9015,"0",B3031:B9015,"5 1 1 3 1 12 31111 6 M59 92000 000181 0000E 00001 00131 015 2111100 2024 CP1RC399*")</f>
        <v>0</v>
      </c>
      <c r="H3030" s="35">
        <f t="shared" si="48"/>
        <v>7525</v>
      </c>
      <c r="I3030" s="35"/>
      <c r="K3030" t="s">
        <v>15</v>
      </c>
    </row>
    <row r="3031" spans="2:11" ht="41.25" x14ac:dyDescent="0.2">
      <c r="B3031" s="33" t="s">
        <v>3961</v>
      </c>
      <c r="C3031" s="33" t="s">
        <v>282</v>
      </c>
      <c r="D3031" s="35">
        <f>SUMIFS(D3032:D9015,K3032:K9015,"0",B3032:B9015,"5 1 1 3 1 12 31111 6 M59 92000 000181 0000E 00001 00131 015 2111100 2024 CP1RC399 001*")-SUMIFS(E3032:E9015,K3032:K9015,"0",B3032:B9015,"5 1 1 3 1 12 31111 6 M59 92000 000181 0000E 00001 00131 015 2111100 2024 CP1RC399 001*")</f>
        <v>0</v>
      </c>
      <c r="E3031"/>
      <c r="F3031" s="35">
        <f>SUMIFS(F3032:F9015,K3032:K9015,"0",B3032:B9015,"5 1 1 3 1 12 31111 6 M59 92000 000181 0000E 00001 00131 015 2111100 2024 CP1RC399 001*")</f>
        <v>7525</v>
      </c>
      <c r="G3031" s="35">
        <f>SUMIFS(G3032:G9015,K3032:K9015,"0",B3032:B9015,"5 1 1 3 1 12 31111 6 M59 92000 000181 0000E 00001 00131 015 2111100 2024 CP1RC399 001*")</f>
        <v>0</v>
      </c>
      <c r="H3031" s="35">
        <f t="shared" si="48"/>
        <v>7525</v>
      </c>
      <c r="I3031" s="35"/>
      <c r="K3031" t="s">
        <v>15</v>
      </c>
    </row>
    <row r="3032" spans="2:11" ht="33" x14ac:dyDescent="0.2">
      <c r="B3032" s="31" t="s">
        <v>3962</v>
      </c>
      <c r="C3032" s="31" t="s">
        <v>3785</v>
      </c>
      <c r="D3032" s="34">
        <v>0</v>
      </c>
      <c r="E3032" s="34"/>
      <c r="F3032" s="34">
        <v>7525</v>
      </c>
      <c r="G3032" s="34">
        <v>0</v>
      </c>
      <c r="H3032" s="34">
        <f t="shared" si="48"/>
        <v>7525</v>
      </c>
      <c r="I3032" s="34"/>
      <c r="K3032" t="s">
        <v>38</v>
      </c>
    </row>
    <row r="3033" spans="2:11" ht="16.5" x14ac:dyDescent="0.2">
      <c r="B3033" s="33" t="s">
        <v>3963</v>
      </c>
      <c r="C3033" s="33" t="s">
        <v>3644</v>
      </c>
      <c r="D3033" s="35">
        <f>SUMIFS(D3034:D9015,K3034:K9015,"0",B3034:B9015,"5 1 1 3 1 12 31111 6 M59 94000*")-SUMIFS(E3034:E9015,K3034:K9015,"0",B3034:B9015,"5 1 1 3 1 12 31111 6 M59 94000*")</f>
        <v>0</v>
      </c>
      <c r="E3033"/>
      <c r="F3033" s="35">
        <f>SUMIFS(F3034:F9015,K3034:K9015,"0",B3034:B9015,"5 1 1 3 1 12 31111 6 M59 94000*")</f>
        <v>12005</v>
      </c>
      <c r="G3033" s="35">
        <f>SUMIFS(G3034:G9015,K3034:K9015,"0",B3034:B9015,"5 1 1 3 1 12 31111 6 M59 94000*")</f>
        <v>0</v>
      </c>
      <c r="H3033" s="35">
        <f t="shared" si="48"/>
        <v>12005</v>
      </c>
      <c r="I3033" s="35"/>
      <c r="K3033" t="s">
        <v>15</v>
      </c>
    </row>
    <row r="3034" spans="2:11" ht="24.75" x14ac:dyDescent="0.2">
      <c r="B3034" s="33" t="s">
        <v>3964</v>
      </c>
      <c r="C3034" s="33" t="s">
        <v>3152</v>
      </c>
      <c r="D3034" s="35">
        <f>SUMIFS(D3035:D9015,K3035:K9015,"0",B3035:B9015,"5 1 1 3 1 12 31111 6 M59 94000 000181*")-SUMIFS(E3035:E9015,K3035:K9015,"0",B3035:B9015,"5 1 1 3 1 12 31111 6 M59 94000 000181*")</f>
        <v>0</v>
      </c>
      <c r="E3034"/>
      <c r="F3034" s="35">
        <f>SUMIFS(F3035:F9015,K3035:K9015,"0",B3035:B9015,"5 1 1 3 1 12 31111 6 M59 94000 000181*")</f>
        <v>12005</v>
      </c>
      <c r="G3034" s="35">
        <f>SUMIFS(G3035:G9015,K3035:K9015,"0",B3035:B9015,"5 1 1 3 1 12 31111 6 M59 94000 000181*")</f>
        <v>0</v>
      </c>
      <c r="H3034" s="35">
        <f t="shared" si="48"/>
        <v>12005</v>
      </c>
      <c r="I3034" s="35"/>
      <c r="K3034" t="s">
        <v>15</v>
      </c>
    </row>
    <row r="3035" spans="2:11" ht="16.5" x14ac:dyDescent="0.2">
      <c r="B3035" s="33" t="s">
        <v>3965</v>
      </c>
      <c r="C3035" s="33" t="s">
        <v>650</v>
      </c>
      <c r="D3035" s="35">
        <f>SUMIFS(D3036:D9015,K3036:K9015,"0",B3036:B9015,"5 1 1 3 1 12 31111 6 M59 94000 000181 0000R*")-SUMIFS(E3036:E9015,K3036:K9015,"0",B3036:B9015,"5 1 1 3 1 12 31111 6 M59 94000 000181 0000R*")</f>
        <v>0</v>
      </c>
      <c r="E3035"/>
      <c r="F3035" s="35">
        <f>SUMIFS(F3036:F9015,K3036:K9015,"0",B3036:B9015,"5 1 1 3 1 12 31111 6 M59 94000 000181 0000R*")</f>
        <v>12005</v>
      </c>
      <c r="G3035" s="35">
        <f>SUMIFS(G3036:G9015,K3036:K9015,"0",B3036:B9015,"5 1 1 3 1 12 31111 6 M59 94000 000181 0000R*")</f>
        <v>0</v>
      </c>
      <c r="H3035" s="35">
        <f t="shared" si="48"/>
        <v>12005</v>
      </c>
      <c r="I3035" s="35"/>
      <c r="K3035" t="s">
        <v>15</v>
      </c>
    </row>
    <row r="3036" spans="2:11" ht="24.75" x14ac:dyDescent="0.2">
      <c r="B3036" s="33" t="s">
        <v>3966</v>
      </c>
      <c r="C3036" s="33" t="s">
        <v>282</v>
      </c>
      <c r="D3036" s="35">
        <f>SUMIFS(D3037:D9015,K3037:K9015,"0",B3037:B9015,"5 1 1 3 1 12 31111 6 M59 94000 000181 0000R 00001*")-SUMIFS(E3037:E9015,K3037:K9015,"0",B3037:B9015,"5 1 1 3 1 12 31111 6 M59 94000 000181 0000R 00001*")</f>
        <v>0</v>
      </c>
      <c r="E3036"/>
      <c r="F3036" s="35">
        <f>SUMIFS(F3037:F9015,K3037:K9015,"0",B3037:B9015,"5 1 1 3 1 12 31111 6 M59 94000 000181 0000R 00001*")</f>
        <v>12005</v>
      </c>
      <c r="G3036" s="35">
        <f>SUMIFS(G3037:G9015,K3037:K9015,"0",B3037:B9015,"5 1 1 3 1 12 31111 6 M59 94000 000181 0000R 00001*")</f>
        <v>0</v>
      </c>
      <c r="H3036" s="35">
        <f t="shared" si="48"/>
        <v>12005</v>
      </c>
      <c r="I3036" s="35"/>
      <c r="K3036" t="s">
        <v>15</v>
      </c>
    </row>
    <row r="3037" spans="2:11" ht="24.75" x14ac:dyDescent="0.2">
      <c r="B3037" s="33" t="s">
        <v>3967</v>
      </c>
      <c r="C3037" s="33" t="s">
        <v>3778</v>
      </c>
      <c r="D3037" s="35">
        <f>SUMIFS(D3038:D9015,K3038:K9015,"0",B3038:B9015,"5 1 1 3 1 12 31111 6 M59 94000 000181 0000R 00001 00131*")-SUMIFS(E3038:E9015,K3038:K9015,"0",B3038:B9015,"5 1 1 3 1 12 31111 6 M59 94000 000181 0000R 00001 00131*")</f>
        <v>0</v>
      </c>
      <c r="E3037"/>
      <c r="F3037" s="35">
        <f>SUMIFS(F3038:F9015,K3038:K9015,"0",B3038:B9015,"5 1 1 3 1 12 31111 6 M59 94000 000181 0000R 00001 00131*")</f>
        <v>12005</v>
      </c>
      <c r="G3037" s="35">
        <f>SUMIFS(G3038:G9015,K3038:K9015,"0",B3038:B9015,"5 1 1 3 1 12 31111 6 M59 94000 000181 0000R 00001 00131*")</f>
        <v>0</v>
      </c>
      <c r="H3037" s="35">
        <f t="shared" si="48"/>
        <v>12005</v>
      </c>
      <c r="I3037" s="35"/>
      <c r="K3037" t="s">
        <v>15</v>
      </c>
    </row>
    <row r="3038" spans="2:11" ht="24.75" x14ac:dyDescent="0.2">
      <c r="B3038" s="33" t="s">
        <v>3968</v>
      </c>
      <c r="C3038" s="33" t="s">
        <v>1051</v>
      </c>
      <c r="D3038" s="35">
        <f>SUMIFS(D3039:D9015,K3039:K9015,"0",B3039:B9015,"5 1 1 3 1 12 31111 6 M59 94000 000181 0000R 00001 00131 015*")-SUMIFS(E3039:E9015,K3039:K9015,"0",B3039:B9015,"5 1 1 3 1 12 31111 6 M59 94000 000181 0000R 00001 00131 015*")</f>
        <v>0</v>
      </c>
      <c r="E3038"/>
      <c r="F3038" s="35">
        <f>SUMIFS(F3039:F9015,K3039:K9015,"0",B3039:B9015,"5 1 1 3 1 12 31111 6 M59 94000 000181 0000R 00001 00131 015*")</f>
        <v>12005</v>
      </c>
      <c r="G3038" s="35">
        <f>SUMIFS(G3039:G9015,K3039:K9015,"0",B3039:B9015,"5 1 1 3 1 12 31111 6 M59 94000 000181 0000R 00001 00131 015*")</f>
        <v>0</v>
      </c>
      <c r="H3038" s="35">
        <f t="shared" si="48"/>
        <v>12005</v>
      </c>
      <c r="I3038" s="35"/>
      <c r="K3038" t="s">
        <v>15</v>
      </c>
    </row>
    <row r="3039" spans="2:11" ht="33" x14ac:dyDescent="0.2">
      <c r="B3039" s="33" t="s">
        <v>3969</v>
      </c>
      <c r="C3039" s="33" t="s">
        <v>2927</v>
      </c>
      <c r="D3039" s="35">
        <f>SUMIFS(D3040:D9015,K3040:K9015,"0",B3040:B9015,"5 1 1 3 1 12 31111 6 M59 94000 000181 0000R 00001 00131 015 2111100*")-SUMIFS(E3040:E9015,K3040:K9015,"0",B3040:B9015,"5 1 1 3 1 12 31111 6 M59 94000 000181 0000R 00001 00131 015 2111100*")</f>
        <v>0</v>
      </c>
      <c r="E3039"/>
      <c r="F3039" s="35">
        <f>SUMIFS(F3040:F9015,K3040:K9015,"0",B3040:B9015,"5 1 1 3 1 12 31111 6 M59 94000 000181 0000R 00001 00131 015 2111100*")</f>
        <v>12005</v>
      </c>
      <c r="G3039" s="35">
        <f>SUMIFS(G3040:G9015,K3040:K9015,"0",B3040:B9015,"5 1 1 3 1 12 31111 6 M59 94000 000181 0000R 00001 00131 015 2111100*")</f>
        <v>0</v>
      </c>
      <c r="H3039" s="35">
        <f t="shared" si="48"/>
        <v>12005</v>
      </c>
      <c r="I3039" s="35"/>
      <c r="K3039" t="s">
        <v>15</v>
      </c>
    </row>
    <row r="3040" spans="2:11" ht="33" x14ac:dyDescent="0.2">
      <c r="B3040" s="33" t="s">
        <v>3970</v>
      </c>
      <c r="C3040" s="33" t="s">
        <v>660</v>
      </c>
      <c r="D3040" s="35">
        <f>SUMIFS(D3041:D9015,K3041:K9015,"0",B3041:B9015,"5 1 1 3 1 12 31111 6 M59 94000 000181 0000R 00001 00131 015 2111100 2024*")-SUMIFS(E3041:E9015,K3041:K9015,"0",B3041:B9015,"5 1 1 3 1 12 31111 6 M59 94000 000181 0000R 00001 00131 015 2111100 2024*")</f>
        <v>0</v>
      </c>
      <c r="E3040"/>
      <c r="F3040" s="35">
        <f>SUMIFS(F3041:F9015,K3041:K9015,"0",B3041:B9015,"5 1 1 3 1 12 31111 6 M59 94000 000181 0000R 00001 00131 015 2111100 2024*")</f>
        <v>12005</v>
      </c>
      <c r="G3040" s="35">
        <f>SUMIFS(G3041:G9015,K3041:K9015,"0",B3041:B9015,"5 1 1 3 1 12 31111 6 M59 94000 000181 0000R 00001 00131 015 2111100 2024*")</f>
        <v>0</v>
      </c>
      <c r="H3040" s="35">
        <f t="shared" si="48"/>
        <v>12005</v>
      </c>
      <c r="I3040" s="35"/>
      <c r="K3040" t="s">
        <v>15</v>
      </c>
    </row>
    <row r="3041" spans="2:11" ht="41.25" x14ac:dyDescent="0.2">
      <c r="B3041" s="33" t="s">
        <v>3971</v>
      </c>
      <c r="C3041" s="33" t="s">
        <v>1056</v>
      </c>
      <c r="D3041" s="35">
        <f>SUMIFS(D3042:D9015,K3042:K9015,"0",B3042:B9015,"5 1 1 3 1 12 31111 6 M59 94000 000181 0000R 00001 00131 015 2111100 2024 CP1OM392*")-SUMIFS(E3042:E9015,K3042:K9015,"0",B3042:B9015,"5 1 1 3 1 12 31111 6 M59 94000 000181 0000R 00001 00131 015 2111100 2024 CP1OM392*")</f>
        <v>0</v>
      </c>
      <c r="E3041"/>
      <c r="F3041" s="35">
        <f>SUMIFS(F3042:F9015,K3042:K9015,"0",B3042:B9015,"5 1 1 3 1 12 31111 6 M59 94000 000181 0000R 00001 00131 015 2111100 2024 CP1OM392*")</f>
        <v>12005</v>
      </c>
      <c r="G3041" s="35">
        <f>SUMIFS(G3042:G9015,K3042:K9015,"0",B3042:B9015,"5 1 1 3 1 12 31111 6 M59 94000 000181 0000R 00001 00131 015 2111100 2024 CP1OM392*")</f>
        <v>0</v>
      </c>
      <c r="H3041" s="35">
        <f t="shared" si="48"/>
        <v>12005</v>
      </c>
      <c r="I3041" s="35"/>
      <c r="K3041" t="s">
        <v>15</v>
      </c>
    </row>
    <row r="3042" spans="2:11" ht="41.25" x14ac:dyDescent="0.2">
      <c r="B3042" s="33" t="s">
        <v>3972</v>
      </c>
      <c r="C3042" s="33" t="s">
        <v>282</v>
      </c>
      <c r="D3042" s="35">
        <f>SUMIFS(D3043:D9015,K3043:K9015,"0",B3043:B9015,"5 1 1 3 1 12 31111 6 M59 94000 000181 0000R 00001 00131 015 2111100 2024 CP1OM392 001*")-SUMIFS(E3043:E9015,K3043:K9015,"0",B3043:B9015,"5 1 1 3 1 12 31111 6 M59 94000 000181 0000R 00001 00131 015 2111100 2024 CP1OM392 001*")</f>
        <v>0</v>
      </c>
      <c r="E3042"/>
      <c r="F3042" s="35">
        <f>SUMIFS(F3043:F9015,K3043:K9015,"0",B3043:B9015,"5 1 1 3 1 12 31111 6 M59 94000 000181 0000R 00001 00131 015 2111100 2024 CP1OM392 001*")</f>
        <v>12005</v>
      </c>
      <c r="G3042" s="35">
        <f>SUMIFS(G3043:G9015,K3043:K9015,"0",B3043:B9015,"5 1 1 3 1 12 31111 6 M59 94000 000181 0000R 00001 00131 015 2111100 2024 CP1OM392 001*")</f>
        <v>0</v>
      </c>
      <c r="H3042" s="35">
        <f t="shared" si="48"/>
        <v>12005</v>
      </c>
      <c r="I3042" s="35"/>
      <c r="K3042" t="s">
        <v>15</v>
      </c>
    </row>
    <row r="3043" spans="2:11" ht="33" x14ac:dyDescent="0.2">
      <c r="B3043" s="31" t="s">
        <v>3973</v>
      </c>
      <c r="C3043" s="31" t="s">
        <v>3785</v>
      </c>
      <c r="D3043" s="34">
        <v>0</v>
      </c>
      <c r="E3043" s="34"/>
      <c r="F3043" s="34">
        <v>12005</v>
      </c>
      <c r="G3043" s="34">
        <v>0</v>
      </c>
      <c r="H3043" s="34">
        <f t="shared" si="48"/>
        <v>12005</v>
      </c>
      <c r="I3043" s="34"/>
      <c r="K3043" t="s">
        <v>38</v>
      </c>
    </row>
    <row r="3044" spans="2:11" ht="16.5" x14ac:dyDescent="0.2">
      <c r="B3044" s="33" t="s">
        <v>3974</v>
      </c>
      <c r="C3044" s="33" t="s">
        <v>3656</v>
      </c>
      <c r="D3044" s="35">
        <f>SUMIFS(D3045:D9015,K3045:K9015,"0",B3045:B9015,"5 1 1 3 1 12 31111 6 M59 94100*")-SUMIFS(E3045:E9015,K3045:K9015,"0",B3045:B9015,"5 1 1 3 1 12 31111 6 M59 94100*")</f>
        <v>0</v>
      </c>
      <c r="E3044"/>
      <c r="F3044" s="35">
        <f>SUMIFS(F3045:F9015,K3045:K9015,"0",B3045:B9015,"5 1 1 3 1 12 31111 6 M59 94100*")</f>
        <v>4375</v>
      </c>
      <c r="G3044" s="35">
        <f>SUMIFS(G3045:G9015,K3045:K9015,"0",B3045:B9015,"5 1 1 3 1 12 31111 6 M59 94100*")</f>
        <v>0</v>
      </c>
      <c r="H3044" s="35">
        <f t="shared" si="48"/>
        <v>4375</v>
      </c>
      <c r="I3044" s="35"/>
      <c r="K3044" t="s">
        <v>15</v>
      </c>
    </row>
    <row r="3045" spans="2:11" ht="16.5" x14ac:dyDescent="0.2">
      <c r="B3045" s="33" t="s">
        <v>3975</v>
      </c>
      <c r="C3045" s="33" t="s">
        <v>648</v>
      </c>
      <c r="D3045" s="35">
        <f>SUMIFS(D3046:D9015,K3046:K9015,"0",B3046:B9015,"5 1 1 3 1 12 31111 6 M59 94100 000132*")-SUMIFS(E3046:E9015,K3046:K9015,"0",B3046:B9015,"5 1 1 3 1 12 31111 6 M59 94100 000132*")</f>
        <v>0</v>
      </c>
      <c r="E3045"/>
      <c r="F3045" s="35">
        <f>SUMIFS(F3046:F9015,K3046:K9015,"0",B3046:B9015,"5 1 1 3 1 12 31111 6 M59 94100 000132*")</f>
        <v>4375</v>
      </c>
      <c r="G3045" s="35">
        <f>SUMIFS(G3046:G9015,K3046:K9015,"0",B3046:B9015,"5 1 1 3 1 12 31111 6 M59 94100 000132*")</f>
        <v>0</v>
      </c>
      <c r="H3045" s="35">
        <f t="shared" si="48"/>
        <v>4375</v>
      </c>
      <c r="I3045" s="35"/>
      <c r="K3045" t="s">
        <v>15</v>
      </c>
    </row>
    <row r="3046" spans="2:11" ht="16.5" x14ac:dyDescent="0.2">
      <c r="B3046" s="33" t="s">
        <v>3976</v>
      </c>
      <c r="C3046" s="33" t="s">
        <v>650</v>
      </c>
      <c r="D3046" s="35">
        <f>SUMIFS(D3047:D9015,K3047:K9015,"0",B3047:B9015,"5 1 1 3 1 12 31111 6 M59 94100 000132 0000R*")-SUMIFS(E3047:E9015,K3047:K9015,"0",B3047:B9015,"5 1 1 3 1 12 31111 6 M59 94100 000132 0000R*")</f>
        <v>0</v>
      </c>
      <c r="E3046"/>
      <c r="F3046" s="35">
        <f>SUMIFS(F3047:F9015,K3047:K9015,"0",B3047:B9015,"5 1 1 3 1 12 31111 6 M59 94100 000132 0000R*")</f>
        <v>4375</v>
      </c>
      <c r="G3046" s="35">
        <f>SUMIFS(G3047:G9015,K3047:K9015,"0",B3047:B9015,"5 1 1 3 1 12 31111 6 M59 94100 000132 0000R*")</f>
        <v>0</v>
      </c>
      <c r="H3046" s="35">
        <f t="shared" si="48"/>
        <v>4375</v>
      </c>
      <c r="I3046" s="35"/>
      <c r="K3046" t="s">
        <v>15</v>
      </c>
    </row>
    <row r="3047" spans="2:11" ht="24.75" x14ac:dyDescent="0.2">
      <c r="B3047" s="33" t="s">
        <v>3977</v>
      </c>
      <c r="C3047" s="33" t="s">
        <v>282</v>
      </c>
      <c r="D3047" s="35">
        <f>SUMIFS(D3048:D9015,K3048:K9015,"0",B3048:B9015,"5 1 1 3 1 12 31111 6 M59 94100 000132 0000R 00001*")-SUMIFS(E3048:E9015,K3048:K9015,"0",B3048:B9015,"5 1 1 3 1 12 31111 6 M59 94100 000132 0000R 00001*")</f>
        <v>0</v>
      </c>
      <c r="E3047"/>
      <c r="F3047" s="35">
        <f>SUMIFS(F3048:F9015,K3048:K9015,"0",B3048:B9015,"5 1 1 3 1 12 31111 6 M59 94100 000132 0000R 00001*")</f>
        <v>4375</v>
      </c>
      <c r="G3047" s="35">
        <f>SUMIFS(G3048:G9015,K3048:K9015,"0",B3048:B9015,"5 1 1 3 1 12 31111 6 M59 94100 000132 0000R 00001*")</f>
        <v>0</v>
      </c>
      <c r="H3047" s="35">
        <f t="shared" si="48"/>
        <v>4375</v>
      </c>
      <c r="I3047" s="35"/>
      <c r="K3047" t="s">
        <v>15</v>
      </c>
    </row>
    <row r="3048" spans="2:11" ht="24.75" x14ac:dyDescent="0.2">
      <c r="B3048" s="33" t="s">
        <v>3978</v>
      </c>
      <c r="C3048" s="33" t="s">
        <v>3778</v>
      </c>
      <c r="D3048" s="35">
        <f>SUMIFS(D3049:D9015,K3049:K9015,"0",B3049:B9015,"5 1 1 3 1 12 31111 6 M59 94100 000132 0000R 00001 00131*")-SUMIFS(E3049:E9015,K3049:K9015,"0",B3049:B9015,"5 1 1 3 1 12 31111 6 M59 94100 000132 0000R 00001 00131*")</f>
        <v>0</v>
      </c>
      <c r="E3048"/>
      <c r="F3048" s="35">
        <f>SUMIFS(F3049:F9015,K3049:K9015,"0",B3049:B9015,"5 1 1 3 1 12 31111 6 M59 94100 000132 0000R 00001 00131*")</f>
        <v>4375</v>
      </c>
      <c r="G3048" s="35">
        <f>SUMIFS(G3049:G9015,K3049:K9015,"0",B3049:B9015,"5 1 1 3 1 12 31111 6 M59 94100 000132 0000R 00001 00131*")</f>
        <v>0</v>
      </c>
      <c r="H3048" s="35">
        <f t="shared" si="48"/>
        <v>4375</v>
      </c>
      <c r="I3048" s="35"/>
      <c r="K3048" t="s">
        <v>15</v>
      </c>
    </row>
    <row r="3049" spans="2:11" ht="24.75" x14ac:dyDescent="0.2">
      <c r="B3049" s="33" t="s">
        <v>3979</v>
      </c>
      <c r="C3049" s="33" t="s">
        <v>1051</v>
      </c>
      <c r="D3049" s="35">
        <f>SUMIFS(D3050:D9015,K3050:K9015,"0",B3050:B9015,"5 1 1 3 1 12 31111 6 M59 94100 000132 0000R 00001 00131 015*")-SUMIFS(E3050:E9015,K3050:K9015,"0",B3050:B9015,"5 1 1 3 1 12 31111 6 M59 94100 000132 0000R 00001 00131 015*")</f>
        <v>0</v>
      </c>
      <c r="E3049"/>
      <c r="F3049" s="35">
        <f>SUMIFS(F3050:F9015,K3050:K9015,"0",B3050:B9015,"5 1 1 3 1 12 31111 6 M59 94100 000132 0000R 00001 00131 015*")</f>
        <v>4375</v>
      </c>
      <c r="G3049" s="35">
        <f>SUMIFS(G3050:G9015,K3050:K9015,"0",B3050:B9015,"5 1 1 3 1 12 31111 6 M59 94100 000132 0000R 00001 00131 015*")</f>
        <v>0</v>
      </c>
      <c r="H3049" s="35">
        <f t="shared" si="48"/>
        <v>4375</v>
      </c>
      <c r="I3049" s="35"/>
      <c r="K3049" t="s">
        <v>15</v>
      </c>
    </row>
    <row r="3050" spans="2:11" ht="33" x14ac:dyDescent="0.2">
      <c r="B3050" s="33" t="s">
        <v>3980</v>
      </c>
      <c r="C3050" s="33" t="s">
        <v>2927</v>
      </c>
      <c r="D3050" s="35">
        <f>SUMIFS(D3051:D9015,K3051:K9015,"0",B3051:B9015,"5 1 1 3 1 12 31111 6 M59 94100 000132 0000R 00001 00131 015 2111100*")-SUMIFS(E3051:E9015,K3051:K9015,"0",B3051:B9015,"5 1 1 3 1 12 31111 6 M59 94100 000132 0000R 00001 00131 015 2111100*")</f>
        <v>0</v>
      </c>
      <c r="E3050"/>
      <c r="F3050" s="35">
        <f>SUMIFS(F3051:F9015,K3051:K9015,"0",B3051:B9015,"5 1 1 3 1 12 31111 6 M59 94100 000132 0000R 00001 00131 015 2111100*")</f>
        <v>4375</v>
      </c>
      <c r="G3050" s="35">
        <f>SUMIFS(G3051:G9015,K3051:K9015,"0",B3051:B9015,"5 1 1 3 1 12 31111 6 M59 94100 000132 0000R 00001 00131 015 2111100*")</f>
        <v>0</v>
      </c>
      <c r="H3050" s="35">
        <f t="shared" si="48"/>
        <v>4375</v>
      </c>
      <c r="I3050" s="35"/>
      <c r="K3050" t="s">
        <v>15</v>
      </c>
    </row>
    <row r="3051" spans="2:11" ht="33" x14ac:dyDescent="0.2">
      <c r="B3051" s="33" t="s">
        <v>3981</v>
      </c>
      <c r="C3051" s="33" t="s">
        <v>660</v>
      </c>
      <c r="D3051" s="35">
        <f>SUMIFS(D3052:D9015,K3052:K9015,"0",B3052:B9015,"5 1 1 3 1 12 31111 6 M59 94100 000132 0000R 00001 00131 015 2111100 2024*")-SUMIFS(E3052:E9015,K3052:K9015,"0",B3052:B9015,"5 1 1 3 1 12 31111 6 M59 94100 000132 0000R 00001 00131 015 2111100 2024*")</f>
        <v>0</v>
      </c>
      <c r="E3051"/>
      <c r="F3051" s="35">
        <f>SUMIFS(F3052:F9015,K3052:K9015,"0",B3052:B9015,"5 1 1 3 1 12 31111 6 M59 94100 000132 0000R 00001 00131 015 2111100 2024*")</f>
        <v>4375</v>
      </c>
      <c r="G3051" s="35">
        <f>SUMIFS(G3052:G9015,K3052:K9015,"0",B3052:B9015,"5 1 1 3 1 12 31111 6 M59 94100 000132 0000R 00001 00131 015 2111100 2024*")</f>
        <v>0</v>
      </c>
      <c r="H3051" s="35">
        <f t="shared" si="48"/>
        <v>4375</v>
      </c>
      <c r="I3051" s="35"/>
      <c r="K3051" t="s">
        <v>15</v>
      </c>
    </row>
    <row r="3052" spans="2:11" ht="41.25" x14ac:dyDescent="0.2">
      <c r="B3052" s="33" t="s">
        <v>3982</v>
      </c>
      <c r="C3052" s="33" t="s">
        <v>1056</v>
      </c>
      <c r="D3052" s="35">
        <f>SUMIFS(D3053:D9015,K3053:K9015,"0",B3053:B9015,"5 1 1 3 1 12 31111 6 M59 94100 000132 0000R 00001 00131 015 2111100 2024 CP1AT427*")-SUMIFS(E3053:E9015,K3053:K9015,"0",B3053:B9015,"5 1 1 3 1 12 31111 6 M59 94100 000132 0000R 00001 00131 015 2111100 2024 CP1AT427*")</f>
        <v>0</v>
      </c>
      <c r="E3052"/>
      <c r="F3052" s="35">
        <f>SUMIFS(F3053:F9015,K3053:K9015,"0",B3053:B9015,"5 1 1 3 1 12 31111 6 M59 94100 000132 0000R 00001 00131 015 2111100 2024 CP1AT427*")</f>
        <v>4375</v>
      </c>
      <c r="G3052" s="35">
        <f>SUMIFS(G3053:G9015,K3053:K9015,"0",B3053:B9015,"5 1 1 3 1 12 31111 6 M59 94100 000132 0000R 00001 00131 015 2111100 2024 CP1AT427*")</f>
        <v>0</v>
      </c>
      <c r="H3052" s="35">
        <f t="shared" si="48"/>
        <v>4375</v>
      </c>
      <c r="I3052" s="35"/>
      <c r="K3052" t="s">
        <v>15</v>
      </c>
    </row>
    <row r="3053" spans="2:11" ht="41.25" x14ac:dyDescent="0.2">
      <c r="B3053" s="33" t="s">
        <v>3983</v>
      </c>
      <c r="C3053" s="33" t="s">
        <v>282</v>
      </c>
      <c r="D3053" s="35">
        <f>SUMIFS(D3054:D9015,K3054:K9015,"0",B3054:B9015,"5 1 1 3 1 12 31111 6 M59 94100 000132 0000R 00001 00131 015 2111100 2024 CP1AT427 001*")-SUMIFS(E3054:E9015,K3054:K9015,"0",B3054:B9015,"5 1 1 3 1 12 31111 6 M59 94100 000132 0000R 00001 00131 015 2111100 2024 CP1AT427 001*")</f>
        <v>0</v>
      </c>
      <c r="E3053"/>
      <c r="F3053" s="35">
        <f>SUMIFS(F3054:F9015,K3054:K9015,"0",B3054:B9015,"5 1 1 3 1 12 31111 6 M59 94100 000132 0000R 00001 00131 015 2111100 2024 CP1AT427 001*")</f>
        <v>4375</v>
      </c>
      <c r="G3053" s="35">
        <f>SUMIFS(G3054:G9015,K3054:K9015,"0",B3054:B9015,"5 1 1 3 1 12 31111 6 M59 94100 000132 0000R 00001 00131 015 2111100 2024 CP1AT427 001*")</f>
        <v>0</v>
      </c>
      <c r="H3053" s="35">
        <f t="shared" si="48"/>
        <v>4375</v>
      </c>
      <c r="I3053" s="35"/>
      <c r="K3053" t="s">
        <v>15</v>
      </c>
    </row>
    <row r="3054" spans="2:11" ht="33" x14ac:dyDescent="0.2">
      <c r="B3054" s="31" t="s">
        <v>3984</v>
      </c>
      <c r="C3054" s="31" t="s">
        <v>3785</v>
      </c>
      <c r="D3054" s="34">
        <v>0</v>
      </c>
      <c r="E3054" s="34"/>
      <c r="F3054" s="34">
        <v>4375</v>
      </c>
      <c r="G3054" s="34">
        <v>0</v>
      </c>
      <c r="H3054" s="34">
        <f t="shared" si="48"/>
        <v>4375</v>
      </c>
      <c r="I3054" s="34"/>
      <c r="K3054" t="s">
        <v>38</v>
      </c>
    </row>
    <row r="3055" spans="2:11" ht="16.5" x14ac:dyDescent="0.2">
      <c r="B3055" s="33" t="s">
        <v>3985</v>
      </c>
      <c r="C3055" s="33" t="s">
        <v>3693</v>
      </c>
      <c r="D3055" s="35">
        <f>SUMIFS(D3056:D9015,K3056:K9015,"0",B3056:B9015,"5 1 1 3 1 12 31111 6 M59 96100*")-SUMIFS(E3056:E9015,K3056:K9015,"0",B3056:B9015,"5 1 1 3 1 12 31111 6 M59 96100*")</f>
        <v>0</v>
      </c>
      <c r="E3055"/>
      <c r="F3055" s="35">
        <f>SUMIFS(F3056:F9015,K3056:K9015,"0",B3056:B9015,"5 1 1 3 1 12 31111 6 M59 96100*")</f>
        <v>560</v>
      </c>
      <c r="G3055" s="35">
        <f>SUMIFS(G3056:G9015,K3056:K9015,"0",B3056:B9015,"5 1 1 3 1 12 31111 6 M59 96100*")</f>
        <v>0</v>
      </c>
      <c r="H3055" s="35">
        <f t="shared" si="48"/>
        <v>560</v>
      </c>
      <c r="I3055" s="35"/>
      <c r="K3055" t="s">
        <v>15</v>
      </c>
    </row>
    <row r="3056" spans="2:11" ht="16.5" x14ac:dyDescent="0.2">
      <c r="B3056" s="33" t="s">
        <v>3986</v>
      </c>
      <c r="C3056" s="33" t="s">
        <v>1310</v>
      </c>
      <c r="D3056" s="35">
        <f>SUMIFS(D3057:D9015,K3057:K9015,"0",B3057:B9015,"5 1 1 3 1 12 31111 6 M59 96100 000211*")-SUMIFS(E3057:E9015,K3057:K9015,"0",B3057:B9015,"5 1 1 3 1 12 31111 6 M59 96100 000211*")</f>
        <v>0</v>
      </c>
      <c r="E3056"/>
      <c r="F3056" s="35">
        <f>SUMIFS(F3057:F9015,K3057:K9015,"0",B3057:B9015,"5 1 1 3 1 12 31111 6 M59 96100 000211*")</f>
        <v>560</v>
      </c>
      <c r="G3056" s="35">
        <f>SUMIFS(G3057:G9015,K3057:K9015,"0",B3057:B9015,"5 1 1 3 1 12 31111 6 M59 96100 000211*")</f>
        <v>0</v>
      </c>
      <c r="H3056" s="35">
        <f t="shared" si="48"/>
        <v>560</v>
      </c>
      <c r="I3056" s="35"/>
      <c r="K3056" t="s">
        <v>15</v>
      </c>
    </row>
    <row r="3057" spans="2:11" ht="16.5" x14ac:dyDescent="0.2">
      <c r="B3057" s="33" t="s">
        <v>3987</v>
      </c>
      <c r="C3057" s="33" t="s">
        <v>3696</v>
      </c>
      <c r="D3057" s="35">
        <f>SUMIFS(D3058:D9015,K3058:K9015,"0",B3058:B9015,"5 1 1 3 1 12 31111 6 M59 96100 000211 0000U*")-SUMIFS(E3058:E9015,K3058:K9015,"0",B3058:B9015,"5 1 1 3 1 12 31111 6 M59 96100 000211 0000U*")</f>
        <v>0</v>
      </c>
      <c r="E3057"/>
      <c r="F3057" s="35">
        <f>SUMIFS(F3058:F9015,K3058:K9015,"0",B3058:B9015,"5 1 1 3 1 12 31111 6 M59 96100 000211 0000U*")</f>
        <v>560</v>
      </c>
      <c r="G3057" s="35">
        <f>SUMIFS(G3058:G9015,K3058:K9015,"0",B3058:B9015,"5 1 1 3 1 12 31111 6 M59 96100 000211 0000U*")</f>
        <v>0</v>
      </c>
      <c r="H3057" s="35">
        <f t="shared" si="48"/>
        <v>560</v>
      </c>
      <c r="I3057" s="35"/>
      <c r="K3057" t="s">
        <v>15</v>
      </c>
    </row>
    <row r="3058" spans="2:11" ht="24.75" x14ac:dyDescent="0.2">
      <c r="B3058" s="33" t="s">
        <v>3988</v>
      </c>
      <c r="C3058" s="33" t="s">
        <v>282</v>
      </c>
      <c r="D3058" s="35">
        <f>SUMIFS(D3059:D9015,K3059:K9015,"0",B3059:B9015,"5 1 1 3 1 12 31111 6 M59 96100 000211 0000U 00001*")-SUMIFS(E3059:E9015,K3059:K9015,"0",B3059:B9015,"5 1 1 3 1 12 31111 6 M59 96100 000211 0000U 00001*")</f>
        <v>0</v>
      </c>
      <c r="E3058"/>
      <c r="F3058" s="35">
        <f>SUMIFS(F3059:F9015,K3059:K9015,"0",B3059:B9015,"5 1 1 3 1 12 31111 6 M59 96100 000211 0000U 00001*")</f>
        <v>560</v>
      </c>
      <c r="G3058" s="35">
        <f>SUMIFS(G3059:G9015,K3059:K9015,"0",B3059:B9015,"5 1 1 3 1 12 31111 6 M59 96100 000211 0000U 00001*")</f>
        <v>0</v>
      </c>
      <c r="H3058" s="35">
        <f t="shared" si="48"/>
        <v>560</v>
      </c>
      <c r="I3058" s="35"/>
      <c r="K3058" t="s">
        <v>15</v>
      </c>
    </row>
    <row r="3059" spans="2:11" ht="24.75" x14ac:dyDescent="0.2">
      <c r="B3059" s="33" t="s">
        <v>3989</v>
      </c>
      <c r="C3059" s="33" t="s">
        <v>3778</v>
      </c>
      <c r="D3059" s="35">
        <f>SUMIFS(D3060:D9015,K3060:K9015,"0",B3060:B9015,"5 1 1 3 1 12 31111 6 M59 96100 000211 0000U 00001 00131*")-SUMIFS(E3060:E9015,K3060:K9015,"0",B3060:B9015,"5 1 1 3 1 12 31111 6 M59 96100 000211 0000U 00001 00131*")</f>
        <v>0</v>
      </c>
      <c r="E3059"/>
      <c r="F3059" s="35">
        <f>SUMIFS(F3060:F9015,K3060:K9015,"0",B3060:B9015,"5 1 1 3 1 12 31111 6 M59 96100 000211 0000U 00001 00131*")</f>
        <v>560</v>
      </c>
      <c r="G3059" s="35">
        <f>SUMIFS(G3060:G9015,K3060:K9015,"0",B3060:B9015,"5 1 1 3 1 12 31111 6 M59 96100 000211 0000U 00001 00131*")</f>
        <v>0</v>
      </c>
      <c r="H3059" s="35">
        <f t="shared" si="48"/>
        <v>560</v>
      </c>
      <c r="I3059" s="35"/>
      <c r="K3059" t="s">
        <v>15</v>
      </c>
    </row>
    <row r="3060" spans="2:11" ht="24.75" x14ac:dyDescent="0.2">
      <c r="B3060" s="33" t="s">
        <v>3990</v>
      </c>
      <c r="C3060" s="33" t="s">
        <v>1051</v>
      </c>
      <c r="D3060" s="35">
        <f>SUMIFS(D3061:D9015,K3061:K9015,"0",B3061:B9015,"5 1 1 3 1 12 31111 6 M59 96100 000211 0000U 00001 00131 015*")-SUMIFS(E3061:E9015,K3061:K9015,"0",B3061:B9015,"5 1 1 3 1 12 31111 6 M59 96100 000211 0000U 00001 00131 015*")</f>
        <v>0</v>
      </c>
      <c r="E3060"/>
      <c r="F3060" s="35">
        <f>SUMIFS(F3061:F9015,K3061:K9015,"0",B3061:B9015,"5 1 1 3 1 12 31111 6 M59 96100 000211 0000U 00001 00131 015*")</f>
        <v>560</v>
      </c>
      <c r="G3060" s="35">
        <f>SUMIFS(G3061:G9015,K3061:K9015,"0",B3061:B9015,"5 1 1 3 1 12 31111 6 M59 96100 000211 0000U 00001 00131 015*")</f>
        <v>0</v>
      </c>
      <c r="H3060" s="35">
        <f t="shared" si="48"/>
        <v>560</v>
      </c>
      <c r="I3060" s="35"/>
      <c r="K3060" t="s">
        <v>15</v>
      </c>
    </row>
    <row r="3061" spans="2:11" ht="33" x14ac:dyDescent="0.2">
      <c r="B3061" s="33" t="s">
        <v>3991</v>
      </c>
      <c r="C3061" s="33" t="s">
        <v>2927</v>
      </c>
      <c r="D3061" s="35">
        <f>SUMIFS(D3062:D9015,K3062:K9015,"0",B3062:B9015,"5 1 1 3 1 12 31111 6 M59 96100 000211 0000U 00001 00131 015 2111100*")-SUMIFS(E3062:E9015,K3062:K9015,"0",B3062:B9015,"5 1 1 3 1 12 31111 6 M59 96100 000211 0000U 00001 00131 015 2111100*")</f>
        <v>0</v>
      </c>
      <c r="E3061"/>
      <c r="F3061" s="35">
        <f>SUMIFS(F3062:F9015,K3062:K9015,"0",B3062:B9015,"5 1 1 3 1 12 31111 6 M59 96100 000211 0000U 00001 00131 015 2111100*")</f>
        <v>560</v>
      </c>
      <c r="G3061" s="35">
        <f>SUMIFS(G3062:G9015,K3062:K9015,"0",B3062:B9015,"5 1 1 3 1 12 31111 6 M59 96100 000211 0000U 00001 00131 015 2111100*")</f>
        <v>0</v>
      </c>
      <c r="H3061" s="35">
        <f t="shared" si="48"/>
        <v>560</v>
      </c>
      <c r="I3061" s="35"/>
      <c r="K3061" t="s">
        <v>15</v>
      </c>
    </row>
    <row r="3062" spans="2:11" ht="33" x14ac:dyDescent="0.2">
      <c r="B3062" s="33" t="s">
        <v>3992</v>
      </c>
      <c r="C3062" s="33" t="s">
        <v>660</v>
      </c>
      <c r="D3062" s="35">
        <f>SUMIFS(D3063:D9015,K3063:K9015,"0",B3063:B9015,"5 1 1 3 1 12 31111 6 M59 96100 000211 0000U 00001 00131 015 2111100 2024*")-SUMIFS(E3063:E9015,K3063:K9015,"0",B3063:B9015,"5 1 1 3 1 12 31111 6 M59 96100 000211 0000U 00001 00131 015 2111100 2024*")</f>
        <v>0</v>
      </c>
      <c r="E3062"/>
      <c r="F3062" s="35">
        <f>SUMIFS(F3063:F9015,K3063:K9015,"0",B3063:B9015,"5 1 1 3 1 12 31111 6 M59 96100 000211 0000U 00001 00131 015 2111100 2024*")</f>
        <v>560</v>
      </c>
      <c r="G3062" s="35">
        <f>SUMIFS(G3063:G9015,K3063:K9015,"0",B3063:B9015,"5 1 1 3 1 12 31111 6 M59 96100 000211 0000U 00001 00131 015 2111100 2024*")</f>
        <v>0</v>
      </c>
      <c r="H3062" s="35">
        <f t="shared" si="48"/>
        <v>560</v>
      </c>
      <c r="I3062" s="35"/>
      <c r="K3062" t="s">
        <v>15</v>
      </c>
    </row>
    <row r="3063" spans="2:11" ht="41.25" x14ac:dyDescent="0.2">
      <c r="B3063" s="33" t="s">
        <v>3993</v>
      </c>
      <c r="C3063" s="33" t="s">
        <v>1056</v>
      </c>
      <c r="D3063" s="35">
        <f>SUMIFS(D3064:D9015,K3064:K9015,"0",B3064:B9015,"5 1 1 3 1 12 31111 6 M59 96100 000211 0000U 00001 00131 015 2111100 2024 CP1IU412*")-SUMIFS(E3064:E9015,K3064:K9015,"0",B3064:B9015,"5 1 1 3 1 12 31111 6 M59 96100 000211 0000U 00001 00131 015 2111100 2024 CP1IU412*")</f>
        <v>0</v>
      </c>
      <c r="E3063"/>
      <c r="F3063" s="35">
        <f>SUMIFS(F3064:F9015,K3064:K9015,"0",B3064:B9015,"5 1 1 3 1 12 31111 6 M59 96100 000211 0000U 00001 00131 015 2111100 2024 CP1IU412*")</f>
        <v>560</v>
      </c>
      <c r="G3063" s="35">
        <f>SUMIFS(G3064:G9015,K3064:K9015,"0",B3064:B9015,"5 1 1 3 1 12 31111 6 M59 96100 000211 0000U 00001 00131 015 2111100 2024 CP1IU412*")</f>
        <v>0</v>
      </c>
      <c r="H3063" s="35">
        <f t="shared" si="48"/>
        <v>560</v>
      </c>
      <c r="I3063" s="35"/>
      <c r="K3063" t="s">
        <v>15</v>
      </c>
    </row>
    <row r="3064" spans="2:11" ht="41.25" x14ac:dyDescent="0.2">
      <c r="B3064" s="33" t="s">
        <v>3994</v>
      </c>
      <c r="C3064" s="33" t="s">
        <v>282</v>
      </c>
      <c r="D3064" s="35">
        <f>SUMIFS(D3065:D9015,K3065:K9015,"0",B3065:B9015,"5 1 1 3 1 12 31111 6 M59 96100 000211 0000U 00001 00131 015 2111100 2024 CP1IU412 001*")-SUMIFS(E3065:E9015,K3065:K9015,"0",B3065:B9015,"5 1 1 3 1 12 31111 6 M59 96100 000211 0000U 00001 00131 015 2111100 2024 CP1IU412 001*")</f>
        <v>0</v>
      </c>
      <c r="E3064"/>
      <c r="F3064" s="35">
        <f>SUMIFS(F3065:F9015,K3065:K9015,"0",B3065:B9015,"5 1 1 3 1 12 31111 6 M59 96100 000211 0000U 00001 00131 015 2111100 2024 CP1IU412 001*")</f>
        <v>560</v>
      </c>
      <c r="G3064" s="35">
        <f>SUMIFS(G3065:G9015,K3065:K9015,"0",B3065:B9015,"5 1 1 3 1 12 31111 6 M59 96100 000211 0000U 00001 00131 015 2111100 2024 CP1IU412 001*")</f>
        <v>0</v>
      </c>
      <c r="H3064" s="35">
        <f t="shared" si="48"/>
        <v>560</v>
      </c>
      <c r="I3064" s="35"/>
      <c r="K3064" t="s">
        <v>15</v>
      </c>
    </row>
    <row r="3065" spans="2:11" ht="33" x14ac:dyDescent="0.2">
      <c r="B3065" s="31" t="s">
        <v>3995</v>
      </c>
      <c r="C3065" s="31" t="s">
        <v>3785</v>
      </c>
      <c r="D3065" s="34">
        <v>0</v>
      </c>
      <c r="E3065" s="34"/>
      <c r="F3065" s="34">
        <v>560</v>
      </c>
      <c r="G3065" s="34">
        <v>0</v>
      </c>
      <c r="H3065" s="34">
        <f t="shared" si="48"/>
        <v>560</v>
      </c>
      <c r="I3065" s="34"/>
      <c r="K3065" t="s">
        <v>38</v>
      </c>
    </row>
    <row r="3066" spans="2:11" ht="16.5" x14ac:dyDescent="0.2">
      <c r="B3066" s="33" t="s">
        <v>3996</v>
      </c>
      <c r="C3066" s="33" t="s">
        <v>3706</v>
      </c>
      <c r="D3066" s="35">
        <f>SUMIFS(D3067:D9015,K3067:K9015,"0",B3067:B9015,"5 1 1 3 1 12 31111 6 M59 96200*")-SUMIFS(E3067:E9015,K3067:K9015,"0",B3067:B9015,"5 1 1 3 1 12 31111 6 M59 96200*")</f>
        <v>0</v>
      </c>
      <c r="E3066"/>
      <c r="F3066" s="35">
        <f>SUMIFS(F3067:F9015,K3067:K9015,"0",B3067:B9015,"5 1 1 3 1 12 31111 6 M59 96200*")</f>
        <v>4930</v>
      </c>
      <c r="G3066" s="35">
        <f>SUMIFS(G3067:G9015,K3067:K9015,"0",B3067:B9015,"5 1 1 3 1 12 31111 6 M59 96200*")</f>
        <v>0</v>
      </c>
      <c r="H3066" s="35">
        <f t="shared" si="48"/>
        <v>4930</v>
      </c>
      <c r="I3066" s="35"/>
      <c r="K3066" t="s">
        <v>15</v>
      </c>
    </row>
    <row r="3067" spans="2:11" ht="16.5" x14ac:dyDescent="0.2">
      <c r="B3067" s="33" t="s">
        <v>3997</v>
      </c>
      <c r="C3067" s="33" t="s">
        <v>648</v>
      </c>
      <c r="D3067" s="35">
        <f>SUMIFS(D3068:D9015,K3068:K9015,"0",B3068:B9015,"5 1 1 3 1 12 31111 6 M59 96200 000132*")-SUMIFS(E3068:E9015,K3068:K9015,"0",B3068:B9015,"5 1 1 3 1 12 31111 6 M59 96200 000132*")</f>
        <v>0</v>
      </c>
      <c r="E3067"/>
      <c r="F3067" s="35">
        <f>SUMIFS(F3068:F9015,K3068:K9015,"0",B3068:B9015,"5 1 1 3 1 12 31111 6 M59 96200 000132*")</f>
        <v>4930</v>
      </c>
      <c r="G3067" s="35">
        <f>SUMIFS(G3068:G9015,K3068:K9015,"0",B3068:B9015,"5 1 1 3 1 12 31111 6 M59 96200 000132*")</f>
        <v>0</v>
      </c>
      <c r="H3067" s="35">
        <f t="shared" si="48"/>
        <v>4930</v>
      </c>
      <c r="I3067" s="35"/>
      <c r="K3067" t="s">
        <v>15</v>
      </c>
    </row>
    <row r="3068" spans="2:11" ht="16.5" x14ac:dyDescent="0.2">
      <c r="B3068" s="33" t="s">
        <v>3998</v>
      </c>
      <c r="C3068" s="33" t="s">
        <v>650</v>
      </c>
      <c r="D3068" s="35">
        <f>SUMIFS(D3069:D9015,K3069:K9015,"0",B3069:B9015,"5 1 1 3 1 12 31111 6 M59 96200 000132 0000R*")-SUMIFS(E3069:E9015,K3069:K9015,"0",B3069:B9015,"5 1 1 3 1 12 31111 6 M59 96200 000132 0000R*")</f>
        <v>0</v>
      </c>
      <c r="E3068"/>
      <c r="F3068" s="35">
        <f>SUMIFS(F3069:F9015,K3069:K9015,"0",B3069:B9015,"5 1 1 3 1 12 31111 6 M59 96200 000132 0000R*")</f>
        <v>4930</v>
      </c>
      <c r="G3068" s="35">
        <f>SUMIFS(G3069:G9015,K3069:K9015,"0",B3069:B9015,"5 1 1 3 1 12 31111 6 M59 96200 000132 0000R*")</f>
        <v>0</v>
      </c>
      <c r="H3068" s="35">
        <f t="shared" si="48"/>
        <v>4930</v>
      </c>
      <c r="I3068" s="35"/>
      <c r="K3068" t="s">
        <v>15</v>
      </c>
    </row>
    <row r="3069" spans="2:11" ht="24.75" x14ac:dyDescent="0.2">
      <c r="B3069" s="33" t="s">
        <v>3999</v>
      </c>
      <c r="C3069" s="33" t="s">
        <v>282</v>
      </c>
      <c r="D3069" s="35">
        <f>SUMIFS(D3070:D9015,K3070:K9015,"0",B3070:B9015,"5 1 1 3 1 12 31111 6 M59 96200 000132 0000R 00001*")-SUMIFS(E3070:E9015,K3070:K9015,"0",B3070:B9015,"5 1 1 3 1 12 31111 6 M59 96200 000132 0000R 00001*")</f>
        <v>0</v>
      </c>
      <c r="E3069"/>
      <c r="F3069" s="35">
        <f>SUMIFS(F3070:F9015,K3070:K9015,"0",B3070:B9015,"5 1 1 3 1 12 31111 6 M59 96200 000132 0000R 00001*")</f>
        <v>4930</v>
      </c>
      <c r="G3069" s="35">
        <f>SUMIFS(G3070:G9015,K3070:K9015,"0",B3070:B9015,"5 1 1 3 1 12 31111 6 M59 96200 000132 0000R 00001*")</f>
        <v>0</v>
      </c>
      <c r="H3069" s="35">
        <f t="shared" si="48"/>
        <v>4930</v>
      </c>
      <c r="I3069" s="35"/>
      <c r="K3069" t="s">
        <v>15</v>
      </c>
    </row>
    <row r="3070" spans="2:11" ht="24.75" x14ac:dyDescent="0.2">
      <c r="B3070" s="33" t="s">
        <v>4000</v>
      </c>
      <c r="C3070" s="33" t="s">
        <v>3778</v>
      </c>
      <c r="D3070" s="35">
        <f>SUMIFS(D3071:D9015,K3071:K9015,"0",B3071:B9015,"5 1 1 3 1 12 31111 6 M59 96200 000132 0000R 00001 00131*")-SUMIFS(E3071:E9015,K3071:K9015,"0",B3071:B9015,"5 1 1 3 1 12 31111 6 M59 96200 000132 0000R 00001 00131*")</f>
        <v>0</v>
      </c>
      <c r="E3070"/>
      <c r="F3070" s="35">
        <f>SUMIFS(F3071:F9015,K3071:K9015,"0",B3071:B9015,"5 1 1 3 1 12 31111 6 M59 96200 000132 0000R 00001 00131*")</f>
        <v>4930</v>
      </c>
      <c r="G3070" s="35">
        <f>SUMIFS(G3071:G9015,K3071:K9015,"0",B3071:B9015,"5 1 1 3 1 12 31111 6 M59 96200 000132 0000R 00001 00131*")</f>
        <v>0</v>
      </c>
      <c r="H3070" s="35">
        <f t="shared" si="48"/>
        <v>4930</v>
      </c>
      <c r="I3070" s="35"/>
      <c r="K3070" t="s">
        <v>15</v>
      </c>
    </row>
    <row r="3071" spans="2:11" ht="24.75" x14ac:dyDescent="0.2">
      <c r="B3071" s="33" t="s">
        <v>4001</v>
      </c>
      <c r="C3071" s="33" t="s">
        <v>1051</v>
      </c>
      <c r="D3071" s="35">
        <f>SUMIFS(D3072:D9015,K3072:K9015,"0",B3072:B9015,"5 1 1 3 1 12 31111 6 M59 96200 000132 0000R 00001 00131 015*")-SUMIFS(E3072:E9015,K3072:K9015,"0",B3072:B9015,"5 1 1 3 1 12 31111 6 M59 96200 000132 0000R 00001 00131 015*")</f>
        <v>0</v>
      </c>
      <c r="E3071"/>
      <c r="F3071" s="35">
        <f>SUMIFS(F3072:F9015,K3072:K9015,"0",B3072:B9015,"5 1 1 3 1 12 31111 6 M59 96200 000132 0000R 00001 00131 015*")</f>
        <v>4930</v>
      </c>
      <c r="G3071" s="35">
        <f>SUMIFS(G3072:G9015,K3072:K9015,"0",B3072:B9015,"5 1 1 3 1 12 31111 6 M59 96200 000132 0000R 00001 00131 015*")</f>
        <v>0</v>
      </c>
      <c r="H3071" s="35">
        <f t="shared" si="48"/>
        <v>4930</v>
      </c>
      <c r="I3071" s="35"/>
      <c r="K3071" t="s">
        <v>15</v>
      </c>
    </row>
    <row r="3072" spans="2:11" ht="33" x14ac:dyDescent="0.2">
      <c r="B3072" s="33" t="s">
        <v>4002</v>
      </c>
      <c r="C3072" s="33" t="s">
        <v>2927</v>
      </c>
      <c r="D3072" s="35">
        <f>SUMIFS(D3073:D9015,K3073:K9015,"0",B3073:B9015,"5 1 1 3 1 12 31111 6 M59 96200 000132 0000R 00001 00131 015 2111100*")-SUMIFS(E3073:E9015,K3073:K9015,"0",B3073:B9015,"5 1 1 3 1 12 31111 6 M59 96200 000132 0000R 00001 00131 015 2111100*")</f>
        <v>0</v>
      </c>
      <c r="E3072"/>
      <c r="F3072" s="35">
        <f>SUMIFS(F3073:F9015,K3073:K9015,"0",B3073:B9015,"5 1 1 3 1 12 31111 6 M59 96200 000132 0000R 00001 00131 015 2111100*")</f>
        <v>4930</v>
      </c>
      <c r="G3072" s="35">
        <f>SUMIFS(G3073:G9015,K3073:K9015,"0",B3073:B9015,"5 1 1 3 1 12 31111 6 M59 96200 000132 0000R 00001 00131 015 2111100*")</f>
        <v>0</v>
      </c>
      <c r="H3072" s="35">
        <f t="shared" si="48"/>
        <v>4930</v>
      </c>
      <c r="I3072" s="35"/>
      <c r="K3072" t="s">
        <v>15</v>
      </c>
    </row>
    <row r="3073" spans="2:11" ht="33" x14ac:dyDescent="0.2">
      <c r="B3073" s="33" t="s">
        <v>4003</v>
      </c>
      <c r="C3073" s="33" t="s">
        <v>660</v>
      </c>
      <c r="D3073" s="35">
        <f>SUMIFS(D3074:D9015,K3074:K9015,"0",B3074:B9015,"5 1 1 3 1 12 31111 6 M59 96200 000132 0000R 00001 00131 015 2111100 2024*")-SUMIFS(E3074:E9015,K3074:K9015,"0",B3074:B9015,"5 1 1 3 1 12 31111 6 M59 96200 000132 0000R 00001 00131 015 2111100 2024*")</f>
        <v>0</v>
      </c>
      <c r="E3073"/>
      <c r="F3073" s="35">
        <f>SUMIFS(F3074:F9015,K3074:K9015,"0",B3074:B9015,"5 1 1 3 1 12 31111 6 M59 96200 000132 0000R 00001 00131 015 2111100 2024*")</f>
        <v>4930</v>
      </c>
      <c r="G3073" s="35">
        <f>SUMIFS(G3074:G9015,K3074:K9015,"0",B3074:B9015,"5 1 1 3 1 12 31111 6 M59 96200 000132 0000R 00001 00131 015 2111100 2024*")</f>
        <v>0</v>
      </c>
      <c r="H3073" s="35">
        <f t="shared" si="48"/>
        <v>4930</v>
      </c>
      <c r="I3073" s="35"/>
      <c r="K3073" t="s">
        <v>15</v>
      </c>
    </row>
    <row r="3074" spans="2:11" ht="41.25" x14ac:dyDescent="0.2">
      <c r="B3074" s="33" t="s">
        <v>4004</v>
      </c>
      <c r="C3074" s="33" t="s">
        <v>662</v>
      </c>
      <c r="D3074" s="35">
        <f>SUMIFS(D3075:D9015,K3075:K9015,"0",B3075:B9015,"5 1 1 3 1 12 31111 6 M59 96200 000132 0000R 00001 00131 015 2111100 2024 CP1AL423*")-SUMIFS(E3075:E9015,K3075:K9015,"0",B3075:B9015,"5 1 1 3 1 12 31111 6 M59 96200 000132 0000R 00001 00131 015 2111100 2024 CP1AL423*")</f>
        <v>0</v>
      </c>
      <c r="E3074"/>
      <c r="F3074" s="35">
        <f>SUMIFS(F3075:F9015,K3075:K9015,"0",B3075:B9015,"5 1 1 3 1 12 31111 6 M59 96200 000132 0000R 00001 00131 015 2111100 2024 CP1AL423*")</f>
        <v>4930</v>
      </c>
      <c r="G3074" s="35">
        <f>SUMIFS(G3075:G9015,K3075:K9015,"0",B3075:B9015,"5 1 1 3 1 12 31111 6 M59 96200 000132 0000R 00001 00131 015 2111100 2024 CP1AL423*")</f>
        <v>0</v>
      </c>
      <c r="H3074" s="35">
        <f t="shared" si="48"/>
        <v>4930</v>
      </c>
      <c r="I3074" s="35"/>
      <c r="K3074" t="s">
        <v>15</v>
      </c>
    </row>
    <row r="3075" spans="2:11" ht="41.25" x14ac:dyDescent="0.2">
      <c r="B3075" s="33" t="s">
        <v>4005</v>
      </c>
      <c r="C3075" s="33" t="s">
        <v>282</v>
      </c>
      <c r="D3075" s="35">
        <f>SUMIFS(D3076:D9015,K3076:K9015,"0",B3076:B9015,"5 1 1 3 1 12 31111 6 M59 96200 000132 0000R 00001 00131 015 2111100 2024 CP1AL423 001*")-SUMIFS(E3076:E9015,K3076:K9015,"0",B3076:B9015,"5 1 1 3 1 12 31111 6 M59 96200 000132 0000R 00001 00131 015 2111100 2024 CP1AL423 001*")</f>
        <v>0</v>
      </c>
      <c r="E3075"/>
      <c r="F3075" s="35">
        <f>SUMIFS(F3076:F9015,K3076:K9015,"0",B3076:B9015,"5 1 1 3 1 12 31111 6 M59 96200 000132 0000R 00001 00131 015 2111100 2024 CP1AL423 001*")</f>
        <v>4930</v>
      </c>
      <c r="G3075" s="35">
        <f>SUMIFS(G3076:G9015,K3076:K9015,"0",B3076:B9015,"5 1 1 3 1 12 31111 6 M59 96200 000132 0000R 00001 00131 015 2111100 2024 CP1AL423 001*")</f>
        <v>0</v>
      </c>
      <c r="H3075" s="35">
        <f t="shared" si="48"/>
        <v>4930</v>
      </c>
      <c r="I3075" s="35"/>
      <c r="K3075" t="s">
        <v>15</v>
      </c>
    </row>
    <row r="3076" spans="2:11" ht="41.25" x14ac:dyDescent="0.2">
      <c r="B3076" s="31" t="s">
        <v>4006</v>
      </c>
      <c r="C3076" s="31" t="s">
        <v>3785</v>
      </c>
      <c r="D3076" s="34">
        <v>0</v>
      </c>
      <c r="E3076" s="34"/>
      <c r="F3076" s="34">
        <v>4930</v>
      </c>
      <c r="G3076" s="34">
        <v>0</v>
      </c>
      <c r="H3076" s="34">
        <f t="shared" ref="H3076:H3139" si="49">D3076 + F3076 - G3076</f>
        <v>4930</v>
      </c>
      <c r="I3076" s="34"/>
      <c r="K3076" t="s">
        <v>38</v>
      </c>
    </row>
    <row r="3077" spans="2:11" ht="16.5" x14ac:dyDescent="0.2">
      <c r="B3077" s="33" t="s">
        <v>4007</v>
      </c>
      <c r="C3077" s="33" t="s">
        <v>1308</v>
      </c>
      <c r="D3077" s="35">
        <f>SUMIFS(D3078:D9015,K3078:K9015,"0",B3078:B9015,"5 1 1 3 1 12 31111 6 M59 96300*")-SUMIFS(E3078:E9015,K3078:K9015,"0",B3078:B9015,"5 1 1 3 1 12 31111 6 M59 96300*")</f>
        <v>0</v>
      </c>
      <c r="E3077"/>
      <c r="F3077" s="35">
        <f>SUMIFS(F3078:F9015,K3078:K9015,"0",B3078:B9015,"5 1 1 3 1 12 31111 6 M59 96300*")</f>
        <v>3561</v>
      </c>
      <c r="G3077" s="35">
        <f>SUMIFS(G3078:G9015,K3078:K9015,"0",B3078:B9015,"5 1 1 3 1 12 31111 6 M59 96300*")</f>
        <v>0</v>
      </c>
      <c r="H3077" s="35">
        <f t="shared" si="49"/>
        <v>3561</v>
      </c>
      <c r="I3077" s="35"/>
      <c r="K3077" t="s">
        <v>15</v>
      </c>
    </row>
    <row r="3078" spans="2:11" ht="16.5" x14ac:dyDescent="0.2">
      <c r="B3078" s="33" t="s">
        <v>4008</v>
      </c>
      <c r="C3078" s="33" t="s">
        <v>1310</v>
      </c>
      <c r="D3078" s="35">
        <f>SUMIFS(D3079:D9015,K3079:K9015,"0",B3079:B9015,"5 1 1 3 1 12 31111 6 M59 96300 000211*")-SUMIFS(E3079:E9015,K3079:K9015,"0",B3079:B9015,"5 1 1 3 1 12 31111 6 M59 96300 000211*")</f>
        <v>0</v>
      </c>
      <c r="E3078"/>
      <c r="F3078" s="35">
        <f>SUMIFS(F3079:F9015,K3079:K9015,"0",B3079:B9015,"5 1 1 3 1 12 31111 6 M59 96300 000211*")</f>
        <v>3561</v>
      </c>
      <c r="G3078" s="35">
        <f>SUMIFS(G3079:G9015,K3079:K9015,"0",B3079:B9015,"5 1 1 3 1 12 31111 6 M59 96300 000211*")</f>
        <v>0</v>
      </c>
      <c r="H3078" s="35">
        <f t="shared" si="49"/>
        <v>3561</v>
      </c>
      <c r="I3078" s="35"/>
      <c r="K3078" t="s">
        <v>15</v>
      </c>
    </row>
    <row r="3079" spans="2:11" ht="16.5" x14ac:dyDescent="0.2">
      <c r="B3079" s="33" t="s">
        <v>4009</v>
      </c>
      <c r="C3079" s="33" t="s">
        <v>1065</v>
      </c>
      <c r="D3079" s="35">
        <f>SUMIFS(D3080:D9015,K3080:K9015,"0",B3080:B9015,"5 1 1 3 1 12 31111 6 M59 96300 000211 0000E*")-SUMIFS(E3080:E9015,K3080:K9015,"0",B3080:B9015,"5 1 1 3 1 12 31111 6 M59 96300 000211 0000E*")</f>
        <v>0</v>
      </c>
      <c r="E3079"/>
      <c r="F3079" s="35">
        <f>SUMIFS(F3080:F9015,K3080:K9015,"0",B3080:B9015,"5 1 1 3 1 12 31111 6 M59 96300 000211 0000E*")</f>
        <v>3561</v>
      </c>
      <c r="G3079" s="35">
        <f>SUMIFS(G3080:G9015,K3080:K9015,"0",B3080:B9015,"5 1 1 3 1 12 31111 6 M59 96300 000211 0000E*")</f>
        <v>0</v>
      </c>
      <c r="H3079" s="35">
        <f t="shared" si="49"/>
        <v>3561</v>
      </c>
      <c r="I3079" s="35"/>
      <c r="K3079" t="s">
        <v>15</v>
      </c>
    </row>
    <row r="3080" spans="2:11" ht="24.75" x14ac:dyDescent="0.2">
      <c r="B3080" s="33" t="s">
        <v>4010</v>
      </c>
      <c r="C3080" s="33" t="s">
        <v>282</v>
      </c>
      <c r="D3080" s="35">
        <f>SUMIFS(D3081:D9015,K3081:K9015,"0",B3081:B9015,"5 1 1 3 1 12 31111 6 M59 96300 000211 0000E 00001*")-SUMIFS(E3081:E9015,K3081:K9015,"0",B3081:B9015,"5 1 1 3 1 12 31111 6 M59 96300 000211 0000E 00001*")</f>
        <v>0</v>
      </c>
      <c r="E3080"/>
      <c r="F3080" s="35">
        <f>SUMIFS(F3081:F9015,K3081:K9015,"0",B3081:B9015,"5 1 1 3 1 12 31111 6 M59 96300 000211 0000E 00001*")</f>
        <v>3561</v>
      </c>
      <c r="G3080" s="35">
        <f>SUMIFS(G3081:G9015,K3081:K9015,"0",B3081:B9015,"5 1 1 3 1 12 31111 6 M59 96300 000211 0000E 00001*")</f>
        <v>0</v>
      </c>
      <c r="H3080" s="35">
        <f t="shared" si="49"/>
        <v>3561</v>
      </c>
      <c r="I3080" s="35"/>
      <c r="K3080" t="s">
        <v>15</v>
      </c>
    </row>
    <row r="3081" spans="2:11" ht="24.75" x14ac:dyDescent="0.2">
      <c r="B3081" s="33" t="s">
        <v>4011</v>
      </c>
      <c r="C3081" s="33" t="s">
        <v>3778</v>
      </c>
      <c r="D3081" s="35">
        <f>SUMIFS(D3082:D9015,K3082:K9015,"0",B3082:B9015,"5 1 1 3 1 12 31111 6 M59 96300 000211 0000E 00001 00131*")-SUMIFS(E3082:E9015,K3082:K9015,"0",B3082:B9015,"5 1 1 3 1 12 31111 6 M59 96300 000211 0000E 00001 00131*")</f>
        <v>0</v>
      </c>
      <c r="E3081"/>
      <c r="F3081" s="35">
        <f>SUMIFS(F3082:F9015,K3082:K9015,"0",B3082:B9015,"5 1 1 3 1 12 31111 6 M59 96300 000211 0000E 00001 00131*")</f>
        <v>3561</v>
      </c>
      <c r="G3081" s="35">
        <f>SUMIFS(G3082:G9015,K3082:K9015,"0",B3082:B9015,"5 1 1 3 1 12 31111 6 M59 96300 000211 0000E 00001 00131*")</f>
        <v>0</v>
      </c>
      <c r="H3081" s="35">
        <f t="shared" si="49"/>
        <v>3561</v>
      </c>
      <c r="I3081" s="35"/>
      <c r="K3081" t="s">
        <v>15</v>
      </c>
    </row>
    <row r="3082" spans="2:11" ht="24.75" x14ac:dyDescent="0.2">
      <c r="B3082" s="33" t="s">
        <v>4012</v>
      </c>
      <c r="C3082" s="33" t="s">
        <v>1051</v>
      </c>
      <c r="D3082" s="35">
        <f>SUMIFS(D3083:D9015,K3083:K9015,"0",B3083:B9015,"5 1 1 3 1 12 31111 6 M59 96300 000211 0000E 00001 00131 015*")-SUMIFS(E3083:E9015,K3083:K9015,"0",B3083:B9015,"5 1 1 3 1 12 31111 6 M59 96300 000211 0000E 00001 00131 015*")</f>
        <v>0</v>
      </c>
      <c r="E3082"/>
      <c r="F3082" s="35">
        <f>SUMIFS(F3083:F9015,K3083:K9015,"0",B3083:B9015,"5 1 1 3 1 12 31111 6 M59 96300 000211 0000E 00001 00131 015*")</f>
        <v>3561</v>
      </c>
      <c r="G3082" s="35">
        <f>SUMIFS(G3083:G9015,K3083:K9015,"0",B3083:B9015,"5 1 1 3 1 12 31111 6 M59 96300 000211 0000E 00001 00131 015*")</f>
        <v>0</v>
      </c>
      <c r="H3082" s="35">
        <f t="shared" si="49"/>
        <v>3561</v>
      </c>
      <c r="I3082" s="35"/>
      <c r="K3082" t="s">
        <v>15</v>
      </c>
    </row>
    <row r="3083" spans="2:11" ht="33" x14ac:dyDescent="0.2">
      <c r="B3083" s="33" t="s">
        <v>4013</v>
      </c>
      <c r="C3083" s="33" t="s">
        <v>2927</v>
      </c>
      <c r="D3083" s="35">
        <f>SUMIFS(D3084:D9015,K3084:K9015,"0",B3084:B9015,"5 1 1 3 1 12 31111 6 M59 96300 000211 0000E 00001 00131 015 2111100*")-SUMIFS(E3084:E9015,K3084:K9015,"0",B3084:B9015,"5 1 1 3 1 12 31111 6 M59 96300 000211 0000E 00001 00131 015 2111100*")</f>
        <v>0</v>
      </c>
      <c r="E3083"/>
      <c r="F3083" s="35">
        <f>SUMIFS(F3084:F9015,K3084:K9015,"0",B3084:B9015,"5 1 1 3 1 12 31111 6 M59 96300 000211 0000E 00001 00131 015 2111100*")</f>
        <v>3561</v>
      </c>
      <c r="G3083" s="35">
        <f>SUMIFS(G3084:G9015,K3084:K9015,"0",B3084:B9015,"5 1 1 3 1 12 31111 6 M59 96300 000211 0000E 00001 00131 015 2111100*")</f>
        <v>0</v>
      </c>
      <c r="H3083" s="35">
        <f t="shared" si="49"/>
        <v>3561</v>
      </c>
      <c r="I3083" s="35"/>
      <c r="K3083" t="s">
        <v>15</v>
      </c>
    </row>
    <row r="3084" spans="2:11" ht="33" x14ac:dyDescent="0.2">
      <c r="B3084" s="33" t="s">
        <v>4014</v>
      </c>
      <c r="C3084" s="33" t="s">
        <v>660</v>
      </c>
      <c r="D3084" s="35">
        <f>SUMIFS(D3085:D9015,K3085:K9015,"0",B3085:B9015,"5 1 1 3 1 12 31111 6 M59 96300 000211 0000E 00001 00131 015 2111100 2024*")-SUMIFS(E3085:E9015,K3085:K9015,"0",B3085:B9015,"5 1 1 3 1 12 31111 6 M59 96300 000211 0000E 00001 00131 015 2111100 2024*")</f>
        <v>0</v>
      </c>
      <c r="E3084"/>
      <c r="F3084" s="35">
        <f>SUMIFS(F3085:F9015,K3085:K9015,"0",B3085:B9015,"5 1 1 3 1 12 31111 6 M59 96300 000211 0000E 00001 00131 015 2111100 2024*")</f>
        <v>3561</v>
      </c>
      <c r="G3084" s="35">
        <f>SUMIFS(G3085:G9015,K3085:K9015,"0",B3085:B9015,"5 1 1 3 1 12 31111 6 M59 96300 000211 0000E 00001 00131 015 2111100 2024*")</f>
        <v>0</v>
      </c>
      <c r="H3084" s="35">
        <f t="shared" si="49"/>
        <v>3561</v>
      </c>
      <c r="I3084" s="35"/>
      <c r="K3084" t="s">
        <v>15</v>
      </c>
    </row>
    <row r="3085" spans="2:11" ht="41.25" x14ac:dyDescent="0.2">
      <c r="B3085" s="33" t="s">
        <v>4015</v>
      </c>
      <c r="C3085" s="33" t="s">
        <v>1056</v>
      </c>
      <c r="D3085" s="35">
        <f>SUMIFS(D3086:D9015,K3086:K9015,"0",B3086:B9015,"5 1 1 3 1 12 31111 6 M59 96300 000211 0000E 00001 00131 015 2111100 2024 CP1SB396*")-SUMIFS(E3086:E9015,K3086:K9015,"0",B3086:B9015,"5 1 1 3 1 12 31111 6 M59 96300 000211 0000E 00001 00131 015 2111100 2024 CP1SB396*")</f>
        <v>0</v>
      </c>
      <c r="E3085"/>
      <c r="F3085" s="35">
        <f>SUMIFS(F3086:F9015,K3086:K9015,"0",B3086:B9015,"5 1 1 3 1 12 31111 6 M59 96300 000211 0000E 00001 00131 015 2111100 2024 CP1SB396*")</f>
        <v>3561</v>
      </c>
      <c r="G3085" s="35">
        <f>SUMIFS(G3086:G9015,K3086:K9015,"0",B3086:B9015,"5 1 1 3 1 12 31111 6 M59 96300 000211 0000E 00001 00131 015 2111100 2024 CP1SB396*")</f>
        <v>0</v>
      </c>
      <c r="H3085" s="35">
        <f t="shared" si="49"/>
        <v>3561</v>
      </c>
      <c r="I3085" s="35"/>
      <c r="K3085" t="s">
        <v>15</v>
      </c>
    </row>
    <row r="3086" spans="2:11" ht="41.25" x14ac:dyDescent="0.2">
      <c r="B3086" s="33" t="s">
        <v>4016</v>
      </c>
      <c r="C3086" s="33" t="s">
        <v>282</v>
      </c>
      <c r="D3086" s="35">
        <f>SUMIFS(D3087:D9015,K3087:K9015,"0",B3087:B9015,"5 1 1 3 1 12 31111 6 M59 96300 000211 0000E 00001 00131 015 2111100 2024 CP1SB396 001*")-SUMIFS(E3087:E9015,K3087:K9015,"0",B3087:B9015,"5 1 1 3 1 12 31111 6 M59 96300 000211 0000E 00001 00131 015 2111100 2024 CP1SB396 001*")</f>
        <v>0</v>
      </c>
      <c r="E3086"/>
      <c r="F3086" s="35">
        <f>SUMIFS(F3087:F9015,K3087:K9015,"0",B3087:B9015,"5 1 1 3 1 12 31111 6 M59 96300 000211 0000E 00001 00131 015 2111100 2024 CP1SB396 001*")</f>
        <v>3561</v>
      </c>
      <c r="G3086" s="35">
        <f>SUMIFS(G3087:G9015,K3087:K9015,"0",B3087:B9015,"5 1 1 3 1 12 31111 6 M59 96300 000211 0000E 00001 00131 015 2111100 2024 CP1SB396 001*")</f>
        <v>0</v>
      </c>
      <c r="H3086" s="35">
        <f t="shared" si="49"/>
        <v>3561</v>
      </c>
      <c r="I3086" s="35"/>
      <c r="K3086" t="s">
        <v>15</v>
      </c>
    </row>
    <row r="3087" spans="2:11" ht="33" x14ac:dyDescent="0.2">
      <c r="B3087" s="31" t="s">
        <v>4017</v>
      </c>
      <c r="C3087" s="31" t="s">
        <v>4018</v>
      </c>
      <c r="D3087" s="34">
        <v>0</v>
      </c>
      <c r="E3087" s="34"/>
      <c r="F3087" s="34">
        <v>3561</v>
      </c>
      <c r="G3087" s="34">
        <v>0</v>
      </c>
      <c r="H3087" s="34">
        <f t="shared" si="49"/>
        <v>3561</v>
      </c>
      <c r="I3087" s="34"/>
      <c r="K3087" t="s">
        <v>38</v>
      </c>
    </row>
    <row r="3088" spans="2:11" ht="16.5" x14ac:dyDescent="0.2">
      <c r="B3088" s="33" t="s">
        <v>4019</v>
      </c>
      <c r="C3088" s="33" t="s">
        <v>3729</v>
      </c>
      <c r="D3088" s="35">
        <f>SUMIFS(D3089:D9015,K3089:K9015,"0",B3089:B9015,"5 1 1 3 1 12 31111 6 M59 97000*")-SUMIFS(E3089:E9015,K3089:K9015,"0",B3089:B9015,"5 1 1 3 1 12 31111 6 M59 97000*")</f>
        <v>0</v>
      </c>
      <c r="E3088"/>
      <c r="F3088" s="35">
        <f>SUMIFS(F3089:F9015,K3089:K9015,"0",B3089:B9015,"5 1 1 3 1 12 31111 6 M59 97000*")</f>
        <v>675</v>
      </c>
      <c r="G3088" s="35">
        <f>SUMIFS(G3089:G9015,K3089:K9015,"0",B3089:B9015,"5 1 1 3 1 12 31111 6 M59 97000*")</f>
        <v>0</v>
      </c>
      <c r="H3088" s="35">
        <f t="shared" si="49"/>
        <v>675</v>
      </c>
      <c r="I3088" s="35"/>
      <c r="K3088" t="s">
        <v>15</v>
      </c>
    </row>
    <row r="3089" spans="2:11" ht="16.5" x14ac:dyDescent="0.2">
      <c r="B3089" s="33" t="s">
        <v>4020</v>
      </c>
      <c r="C3089" s="33" t="s">
        <v>648</v>
      </c>
      <c r="D3089" s="35">
        <f>SUMIFS(D3090:D9015,K3090:K9015,"0",B3090:B9015,"5 1 1 3 1 12 31111 6 M59 97000 000132*")-SUMIFS(E3090:E9015,K3090:K9015,"0",B3090:B9015,"5 1 1 3 1 12 31111 6 M59 97000 000132*")</f>
        <v>0</v>
      </c>
      <c r="E3089"/>
      <c r="F3089" s="35">
        <f>SUMIFS(F3090:F9015,K3090:K9015,"0",B3090:B9015,"5 1 1 3 1 12 31111 6 M59 97000 000132*")</f>
        <v>675</v>
      </c>
      <c r="G3089" s="35">
        <f>SUMIFS(G3090:G9015,K3090:K9015,"0",B3090:B9015,"5 1 1 3 1 12 31111 6 M59 97000 000132*")</f>
        <v>0</v>
      </c>
      <c r="H3089" s="35">
        <f t="shared" si="49"/>
        <v>675</v>
      </c>
      <c r="I3089" s="35"/>
      <c r="K3089" t="s">
        <v>15</v>
      </c>
    </row>
    <row r="3090" spans="2:11" ht="16.5" x14ac:dyDescent="0.2">
      <c r="B3090" s="33" t="s">
        <v>4021</v>
      </c>
      <c r="C3090" s="33" t="s">
        <v>650</v>
      </c>
      <c r="D3090" s="35">
        <f>SUMIFS(D3091:D9015,K3091:K9015,"0",B3091:B9015,"5 1 1 3 1 12 31111 6 M59 97000 000132 0000R*")-SUMIFS(E3091:E9015,K3091:K9015,"0",B3091:B9015,"5 1 1 3 1 12 31111 6 M59 97000 000132 0000R*")</f>
        <v>0</v>
      </c>
      <c r="E3090"/>
      <c r="F3090" s="35">
        <f>SUMIFS(F3091:F9015,K3091:K9015,"0",B3091:B9015,"5 1 1 3 1 12 31111 6 M59 97000 000132 0000R*")</f>
        <v>675</v>
      </c>
      <c r="G3090" s="35">
        <f>SUMIFS(G3091:G9015,K3091:K9015,"0",B3091:B9015,"5 1 1 3 1 12 31111 6 M59 97000 000132 0000R*")</f>
        <v>0</v>
      </c>
      <c r="H3090" s="35">
        <f t="shared" si="49"/>
        <v>675</v>
      </c>
      <c r="I3090" s="35"/>
      <c r="K3090" t="s">
        <v>15</v>
      </c>
    </row>
    <row r="3091" spans="2:11" ht="24.75" x14ac:dyDescent="0.2">
      <c r="B3091" s="33" t="s">
        <v>4022</v>
      </c>
      <c r="C3091" s="33" t="s">
        <v>282</v>
      </c>
      <c r="D3091" s="35">
        <f>SUMIFS(D3092:D9015,K3092:K9015,"0",B3092:B9015,"5 1 1 3 1 12 31111 6 M59 97000 000132 0000R 00001*")-SUMIFS(E3092:E9015,K3092:K9015,"0",B3092:B9015,"5 1 1 3 1 12 31111 6 M59 97000 000132 0000R 00001*")</f>
        <v>0</v>
      </c>
      <c r="E3091"/>
      <c r="F3091" s="35">
        <f>SUMIFS(F3092:F9015,K3092:K9015,"0",B3092:B9015,"5 1 1 3 1 12 31111 6 M59 97000 000132 0000R 00001*")</f>
        <v>675</v>
      </c>
      <c r="G3091" s="35">
        <f>SUMIFS(G3092:G9015,K3092:K9015,"0",B3092:B9015,"5 1 1 3 1 12 31111 6 M59 97000 000132 0000R 00001*")</f>
        <v>0</v>
      </c>
      <c r="H3091" s="35">
        <f t="shared" si="49"/>
        <v>675</v>
      </c>
      <c r="I3091" s="35"/>
      <c r="K3091" t="s">
        <v>15</v>
      </c>
    </row>
    <row r="3092" spans="2:11" ht="24.75" x14ac:dyDescent="0.2">
      <c r="B3092" s="33" t="s">
        <v>4023</v>
      </c>
      <c r="C3092" s="33" t="s">
        <v>3778</v>
      </c>
      <c r="D3092" s="35">
        <f>SUMIFS(D3093:D9015,K3093:K9015,"0",B3093:B9015,"5 1 1 3 1 12 31111 6 M59 97000 000132 0000R 00001 00131*")-SUMIFS(E3093:E9015,K3093:K9015,"0",B3093:B9015,"5 1 1 3 1 12 31111 6 M59 97000 000132 0000R 00001 00131*")</f>
        <v>0</v>
      </c>
      <c r="E3092"/>
      <c r="F3092" s="35">
        <f>SUMIFS(F3093:F9015,K3093:K9015,"0",B3093:B9015,"5 1 1 3 1 12 31111 6 M59 97000 000132 0000R 00001 00131*")</f>
        <v>675</v>
      </c>
      <c r="G3092" s="35">
        <f>SUMIFS(G3093:G9015,K3093:K9015,"0",B3093:B9015,"5 1 1 3 1 12 31111 6 M59 97000 000132 0000R 00001 00131*")</f>
        <v>0</v>
      </c>
      <c r="H3092" s="35">
        <f t="shared" si="49"/>
        <v>675</v>
      </c>
      <c r="I3092" s="35"/>
      <c r="K3092" t="s">
        <v>15</v>
      </c>
    </row>
    <row r="3093" spans="2:11" ht="24.75" x14ac:dyDescent="0.2">
      <c r="B3093" s="33" t="s">
        <v>4024</v>
      </c>
      <c r="C3093" s="33" t="s">
        <v>1051</v>
      </c>
      <c r="D3093" s="35">
        <f>SUMIFS(D3094:D9015,K3094:K9015,"0",B3094:B9015,"5 1 1 3 1 12 31111 6 M59 97000 000132 0000R 00001 00131 015*")-SUMIFS(E3094:E9015,K3094:K9015,"0",B3094:B9015,"5 1 1 3 1 12 31111 6 M59 97000 000132 0000R 00001 00131 015*")</f>
        <v>0</v>
      </c>
      <c r="E3093"/>
      <c r="F3093" s="35">
        <f>SUMIFS(F3094:F9015,K3094:K9015,"0",B3094:B9015,"5 1 1 3 1 12 31111 6 M59 97000 000132 0000R 00001 00131 015*")</f>
        <v>675</v>
      </c>
      <c r="G3093" s="35">
        <f>SUMIFS(G3094:G9015,K3094:K9015,"0",B3094:B9015,"5 1 1 3 1 12 31111 6 M59 97000 000132 0000R 00001 00131 015*")</f>
        <v>0</v>
      </c>
      <c r="H3093" s="35">
        <f t="shared" si="49"/>
        <v>675</v>
      </c>
      <c r="I3093" s="35"/>
      <c r="K3093" t="s">
        <v>15</v>
      </c>
    </row>
    <row r="3094" spans="2:11" ht="33" x14ac:dyDescent="0.2">
      <c r="B3094" s="33" t="s">
        <v>4025</v>
      </c>
      <c r="C3094" s="33" t="s">
        <v>2927</v>
      </c>
      <c r="D3094" s="35">
        <f>SUMIFS(D3095:D9015,K3095:K9015,"0",B3095:B9015,"5 1 1 3 1 12 31111 6 M59 97000 000132 0000R 00001 00131 015 2111100*")-SUMIFS(E3095:E9015,K3095:K9015,"0",B3095:B9015,"5 1 1 3 1 12 31111 6 M59 97000 000132 0000R 00001 00131 015 2111100*")</f>
        <v>0</v>
      </c>
      <c r="E3094"/>
      <c r="F3094" s="35">
        <f>SUMIFS(F3095:F9015,K3095:K9015,"0",B3095:B9015,"5 1 1 3 1 12 31111 6 M59 97000 000132 0000R 00001 00131 015 2111100*")</f>
        <v>675</v>
      </c>
      <c r="G3094" s="35">
        <f>SUMIFS(G3095:G9015,K3095:K9015,"0",B3095:B9015,"5 1 1 3 1 12 31111 6 M59 97000 000132 0000R 00001 00131 015 2111100*")</f>
        <v>0</v>
      </c>
      <c r="H3094" s="35">
        <f t="shared" si="49"/>
        <v>675</v>
      </c>
      <c r="I3094" s="35"/>
      <c r="K3094" t="s">
        <v>15</v>
      </c>
    </row>
    <row r="3095" spans="2:11" ht="33" x14ac:dyDescent="0.2">
      <c r="B3095" s="33" t="s">
        <v>4026</v>
      </c>
      <c r="C3095" s="33" t="s">
        <v>660</v>
      </c>
      <c r="D3095" s="35">
        <f>SUMIFS(D3096:D9015,K3096:K9015,"0",B3096:B9015,"5 1 1 3 1 12 31111 6 M59 97000 000132 0000R 00001 00131 015 2111100 2024*")-SUMIFS(E3096:E9015,K3096:K9015,"0",B3096:B9015,"5 1 1 3 1 12 31111 6 M59 97000 000132 0000R 00001 00131 015 2111100 2024*")</f>
        <v>0</v>
      </c>
      <c r="E3095"/>
      <c r="F3095" s="35">
        <f>SUMIFS(F3096:F9015,K3096:K9015,"0",B3096:B9015,"5 1 1 3 1 12 31111 6 M59 97000 000132 0000R 00001 00131 015 2111100 2024*")</f>
        <v>675</v>
      </c>
      <c r="G3095" s="35">
        <f>SUMIFS(G3096:G9015,K3096:K9015,"0",B3096:B9015,"5 1 1 3 1 12 31111 6 M59 97000 000132 0000R 00001 00131 015 2111100 2024*")</f>
        <v>0</v>
      </c>
      <c r="H3095" s="35">
        <f t="shared" si="49"/>
        <v>675</v>
      </c>
      <c r="I3095" s="35"/>
      <c r="K3095" t="s">
        <v>15</v>
      </c>
    </row>
    <row r="3096" spans="2:11" ht="41.25" x14ac:dyDescent="0.2">
      <c r="B3096" s="33" t="s">
        <v>4027</v>
      </c>
      <c r="C3096" s="33" t="s">
        <v>1056</v>
      </c>
      <c r="D3096" s="35">
        <f>SUMIFS(D3097:D9015,K3097:K9015,"0",B3097:B9015,"5 1 1 3 1 12 31111 6 M59 97000 000132 0000R 00001 00131 015 2111100 2024 CP1SP428*")-SUMIFS(E3097:E9015,K3097:K9015,"0",B3097:B9015,"5 1 1 3 1 12 31111 6 M59 97000 000132 0000R 00001 00131 015 2111100 2024 CP1SP428*")</f>
        <v>0</v>
      </c>
      <c r="E3096"/>
      <c r="F3096" s="35">
        <f>SUMIFS(F3097:F9015,K3097:K9015,"0",B3097:B9015,"5 1 1 3 1 12 31111 6 M59 97000 000132 0000R 00001 00131 015 2111100 2024 CP1SP428*")</f>
        <v>675</v>
      </c>
      <c r="G3096" s="35">
        <f>SUMIFS(G3097:G9015,K3097:K9015,"0",B3097:B9015,"5 1 1 3 1 12 31111 6 M59 97000 000132 0000R 00001 00131 015 2111100 2024 CP1SP428*")</f>
        <v>0</v>
      </c>
      <c r="H3096" s="35">
        <f t="shared" si="49"/>
        <v>675</v>
      </c>
      <c r="I3096" s="35"/>
      <c r="K3096" t="s">
        <v>15</v>
      </c>
    </row>
    <row r="3097" spans="2:11" ht="41.25" x14ac:dyDescent="0.2">
      <c r="B3097" s="33" t="s">
        <v>4028</v>
      </c>
      <c r="C3097" s="33" t="s">
        <v>282</v>
      </c>
      <c r="D3097" s="35">
        <f>SUMIFS(D3098:D9015,K3098:K9015,"0",B3098:B9015,"5 1 1 3 1 12 31111 6 M59 97000 000132 0000R 00001 00131 015 2111100 2024 CP1SP428 001*")-SUMIFS(E3098:E9015,K3098:K9015,"0",B3098:B9015,"5 1 1 3 1 12 31111 6 M59 97000 000132 0000R 00001 00131 015 2111100 2024 CP1SP428 001*")</f>
        <v>0</v>
      </c>
      <c r="E3097"/>
      <c r="F3097" s="35">
        <f>SUMIFS(F3098:F9015,K3098:K9015,"0",B3098:B9015,"5 1 1 3 1 12 31111 6 M59 97000 000132 0000R 00001 00131 015 2111100 2024 CP1SP428 001*")</f>
        <v>675</v>
      </c>
      <c r="G3097" s="35">
        <f>SUMIFS(G3098:G9015,K3098:K9015,"0",B3098:B9015,"5 1 1 3 1 12 31111 6 M59 97000 000132 0000R 00001 00131 015 2111100 2024 CP1SP428 001*")</f>
        <v>0</v>
      </c>
      <c r="H3097" s="35">
        <f t="shared" si="49"/>
        <v>675</v>
      </c>
      <c r="I3097" s="35"/>
      <c r="K3097" t="s">
        <v>15</v>
      </c>
    </row>
    <row r="3098" spans="2:11" ht="33" x14ac:dyDescent="0.2">
      <c r="B3098" s="31" t="s">
        <v>4029</v>
      </c>
      <c r="C3098" s="31" t="s">
        <v>3785</v>
      </c>
      <c r="D3098" s="34">
        <v>0</v>
      </c>
      <c r="E3098" s="34"/>
      <c r="F3098" s="34">
        <v>675</v>
      </c>
      <c r="G3098" s="34">
        <v>0</v>
      </c>
      <c r="H3098" s="34">
        <f t="shared" si="49"/>
        <v>675</v>
      </c>
      <c r="I3098" s="34"/>
      <c r="K3098" t="s">
        <v>38</v>
      </c>
    </row>
    <row r="3099" spans="2:11" ht="24.75" x14ac:dyDescent="0.2">
      <c r="B3099" s="33" t="s">
        <v>4030</v>
      </c>
      <c r="C3099" s="33" t="s">
        <v>4031</v>
      </c>
      <c r="D3099" s="35">
        <f>SUMIFS(D3100:D9015,K3100:K9015,"0",B3100:B9015,"5 1 1 3 2*")-SUMIFS(E3100:E9015,K3100:K9015,"0",B3100:B9015,"5 1 1 3 2*")</f>
        <v>0</v>
      </c>
      <c r="E3099"/>
      <c r="F3099" s="35">
        <f>SUMIFS(F3100:F9015,K3100:K9015,"0",B3100:B9015,"5 1 1 3 2*")</f>
        <v>4283086.6400000015</v>
      </c>
      <c r="G3099" s="35">
        <f>SUMIFS(G3100:G9015,K3100:K9015,"0",B3100:B9015,"5 1 1 3 2*")</f>
        <v>0</v>
      </c>
      <c r="H3099" s="35">
        <f t="shared" si="49"/>
        <v>4283086.6400000015</v>
      </c>
      <c r="I3099" s="35"/>
      <c r="K3099" t="s">
        <v>15</v>
      </c>
    </row>
    <row r="3100" spans="2:11" ht="12.75" x14ac:dyDescent="0.2">
      <c r="B3100" s="33" t="s">
        <v>4032</v>
      </c>
      <c r="C3100" s="33" t="s">
        <v>26</v>
      </c>
      <c r="D3100" s="35">
        <f>SUMIFS(D3101:D9015,K3101:K9015,"0",B3101:B9015,"5 1 1 3 2 12*")-SUMIFS(E3101:E9015,K3101:K9015,"0",B3101:B9015,"5 1 1 3 2 12*")</f>
        <v>0</v>
      </c>
      <c r="E3100"/>
      <c r="F3100" s="35">
        <f>SUMIFS(F3101:F9015,K3101:K9015,"0",B3101:B9015,"5 1 1 3 2 12*")</f>
        <v>4283086.6400000015</v>
      </c>
      <c r="G3100" s="35">
        <f>SUMIFS(G3101:G9015,K3101:K9015,"0",B3101:B9015,"5 1 1 3 2 12*")</f>
        <v>0</v>
      </c>
      <c r="H3100" s="35">
        <f t="shared" si="49"/>
        <v>4283086.6400000015</v>
      </c>
      <c r="I3100" s="35"/>
      <c r="K3100" t="s">
        <v>15</v>
      </c>
    </row>
    <row r="3101" spans="2:11" ht="16.5" x14ac:dyDescent="0.2">
      <c r="B3101" s="33" t="s">
        <v>4033</v>
      </c>
      <c r="C3101" s="33" t="s">
        <v>28</v>
      </c>
      <c r="D3101" s="35">
        <f>SUMIFS(D3102:D9015,K3102:K9015,"0",B3102:B9015,"5 1 1 3 2 12 31111*")-SUMIFS(E3102:E9015,K3102:K9015,"0",B3102:B9015,"5 1 1 3 2 12 31111*")</f>
        <v>0</v>
      </c>
      <c r="E3101"/>
      <c r="F3101" s="35">
        <f>SUMIFS(F3102:F9015,K3102:K9015,"0",B3102:B9015,"5 1 1 3 2 12 31111*")</f>
        <v>4283086.6400000015</v>
      </c>
      <c r="G3101" s="35">
        <f>SUMIFS(G3102:G9015,K3102:K9015,"0",B3102:B9015,"5 1 1 3 2 12 31111*")</f>
        <v>0</v>
      </c>
      <c r="H3101" s="35">
        <f t="shared" si="49"/>
        <v>4283086.6400000015</v>
      </c>
      <c r="I3101" s="35"/>
      <c r="K3101" t="s">
        <v>15</v>
      </c>
    </row>
    <row r="3102" spans="2:11" ht="12.75" x14ac:dyDescent="0.2">
      <c r="B3102" s="33" t="s">
        <v>4034</v>
      </c>
      <c r="C3102" s="33" t="s">
        <v>30</v>
      </c>
      <c r="D3102" s="35">
        <f>SUMIFS(D3103:D9015,K3103:K9015,"0",B3103:B9015,"5 1 1 3 2 12 31111 6*")-SUMIFS(E3103:E9015,K3103:K9015,"0",B3103:B9015,"5 1 1 3 2 12 31111 6*")</f>
        <v>0</v>
      </c>
      <c r="E3102"/>
      <c r="F3102" s="35">
        <f>SUMIFS(F3103:F9015,K3103:K9015,"0",B3103:B9015,"5 1 1 3 2 12 31111 6*")</f>
        <v>4283086.6400000015</v>
      </c>
      <c r="G3102" s="35">
        <f>SUMIFS(G3103:G9015,K3103:K9015,"0",B3103:B9015,"5 1 1 3 2 12 31111 6*")</f>
        <v>0</v>
      </c>
      <c r="H3102" s="35">
        <f t="shared" si="49"/>
        <v>4283086.6400000015</v>
      </c>
      <c r="I3102" s="35"/>
      <c r="K3102" t="s">
        <v>15</v>
      </c>
    </row>
    <row r="3103" spans="2:11" ht="16.5" x14ac:dyDescent="0.2">
      <c r="B3103" s="33" t="s">
        <v>4035</v>
      </c>
      <c r="C3103" s="33" t="s">
        <v>2284</v>
      </c>
      <c r="D3103" s="35">
        <f>SUMIFS(D3104:D9015,K3104:K9015,"0",B3104:B9015,"5 1 1 3 2 12 31111 6 M59*")-SUMIFS(E3104:E9015,K3104:K9015,"0",B3104:B9015,"5 1 1 3 2 12 31111 6 M59*")</f>
        <v>0</v>
      </c>
      <c r="E3103"/>
      <c r="F3103" s="35">
        <f>SUMIFS(F3104:F9015,K3104:K9015,"0",B3104:B9015,"5 1 1 3 2 12 31111 6 M59*")</f>
        <v>4283086.6400000015</v>
      </c>
      <c r="G3103" s="35">
        <f>SUMIFS(G3104:G9015,K3104:K9015,"0",B3104:B9015,"5 1 1 3 2 12 31111 6 M59*")</f>
        <v>0</v>
      </c>
      <c r="H3103" s="35">
        <f t="shared" si="49"/>
        <v>4283086.6400000015</v>
      </c>
      <c r="I3103" s="35"/>
      <c r="K3103" t="s">
        <v>15</v>
      </c>
    </row>
    <row r="3104" spans="2:11" ht="16.5" x14ac:dyDescent="0.2">
      <c r="B3104" s="33" t="s">
        <v>4036</v>
      </c>
      <c r="C3104" s="33" t="s">
        <v>1243</v>
      </c>
      <c r="D3104" s="35">
        <f>SUMIFS(D3105:D9015,K3105:K9015,"0",B3105:B9015,"5 1 1 3 2 12 31111 6 M59 10000*")-SUMIFS(E3105:E9015,K3105:K9015,"0",B3105:B9015,"5 1 1 3 2 12 31111 6 M59 10000*")</f>
        <v>0</v>
      </c>
      <c r="E3104"/>
      <c r="F3104" s="35">
        <f>SUMIFS(F3105:F9015,K3105:K9015,"0",B3105:B9015,"5 1 1 3 2 12 31111 6 M59 10000*")</f>
        <v>90280.77</v>
      </c>
      <c r="G3104" s="35">
        <f>SUMIFS(G3105:G9015,K3105:K9015,"0",B3105:B9015,"5 1 1 3 2 12 31111 6 M59 10000*")</f>
        <v>0</v>
      </c>
      <c r="H3104" s="35">
        <f t="shared" si="49"/>
        <v>90280.77</v>
      </c>
      <c r="I3104" s="35"/>
      <c r="K3104" t="s">
        <v>15</v>
      </c>
    </row>
    <row r="3105" spans="2:11" ht="16.5" x14ac:dyDescent="0.2">
      <c r="B3105" s="33" t="s">
        <v>4037</v>
      </c>
      <c r="C3105" s="33" t="s">
        <v>648</v>
      </c>
      <c r="D3105" s="35">
        <f>SUMIFS(D3106:D9015,K3106:K9015,"0",B3106:B9015,"5 1 1 3 2 12 31111 6 M59 10000 000132*")-SUMIFS(E3106:E9015,K3106:K9015,"0",B3106:B9015,"5 1 1 3 2 12 31111 6 M59 10000 000132*")</f>
        <v>0</v>
      </c>
      <c r="E3105"/>
      <c r="F3105" s="35">
        <f>SUMIFS(F3106:F9015,K3106:K9015,"0",B3106:B9015,"5 1 1 3 2 12 31111 6 M59 10000 000132*")</f>
        <v>90280.77</v>
      </c>
      <c r="G3105" s="35">
        <f>SUMIFS(G3106:G9015,K3106:K9015,"0",B3106:B9015,"5 1 1 3 2 12 31111 6 M59 10000 000132*")</f>
        <v>0</v>
      </c>
      <c r="H3105" s="35">
        <f t="shared" si="49"/>
        <v>90280.77</v>
      </c>
      <c r="I3105" s="35"/>
      <c r="K3105" t="s">
        <v>15</v>
      </c>
    </row>
    <row r="3106" spans="2:11" ht="24.75" x14ac:dyDescent="0.2">
      <c r="B3106" s="33" t="s">
        <v>4038</v>
      </c>
      <c r="C3106" s="33" t="s">
        <v>650</v>
      </c>
      <c r="D3106" s="35">
        <f>SUMIFS(D3107:D9015,K3107:K9015,"0",B3107:B9015,"5 1 1 3 2 12 31111 6 M59 10000 000132 0000R*")-SUMIFS(E3107:E9015,K3107:K9015,"0",B3107:B9015,"5 1 1 3 2 12 31111 6 M59 10000 000132 0000R*")</f>
        <v>0</v>
      </c>
      <c r="E3106"/>
      <c r="F3106" s="35">
        <f>SUMIFS(F3107:F9015,K3107:K9015,"0",B3107:B9015,"5 1 1 3 2 12 31111 6 M59 10000 000132 0000R*")</f>
        <v>90280.77</v>
      </c>
      <c r="G3106" s="35">
        <f>SUMIFS(G3107:G9015,K3107:K9015,"0",B3107:B9015,"5 1 1 3 2 12 31111 6 M59 10000 000132 0000R*")</f>
        <v>0</v>
      </c>
      <c r="H3106" s="35">
        <f t="shared" si="49"/>
        <v>90280.77</v>
      </c>
      <c r="I3106" s="35"/>
      <c r="K3106" t="s">
        <v>15</v>
      </c>
    </row>
    <row r="3107" spans="2:11" ht="24.75" x14ac:dyDescent="0.2">
      <c r="B3107" s="33" t="s">
        <v>4039</v>
      </c>
      <c r="C3107" s="33" t="s">
        <v>282</v>
      </c>
      <c r="D3107" s="35">
        <f>SUMIFS(D3108:D9015,K3108:K9015,"0",B3108:B9015,"5 1 1 3 2 12 31111 6 M59 10000 000132 0000R 00001*")-SUMIFS(E3108:E9015,K3108:K9015,"0",B3108:B9015,"5 1 1 3 2 12 31111 6 M59 10000 000132 0000R 00001*")</f>
        <v>0</v>
      </c>
      <c r="E3107"/>
      <c r="F3107" s="35">
        <f>SUMIFS(F3108:F9015,K3108:K9015,"0",B3108:B9015,"5 1 1 3 2 12 31111 6 M59 10000 000132 0000R 00001*")</f>
        <v>90280.77</v>
      </c>
      <c r="G3107" s="35">
        <f>SUMIFS(G3108:G9015,K3108:K9015,"0",B3108:B9015,"5 1 1 3 2 12 31111 6 M59 10000 000132 0000R 00001*")</f>
        <v>0</v>
      </c>
      <c r="H3107" s="35">
        <f t="shared" si="49"/>
        <v>90280.77</v>
      </c>
      <c r="I3107" s="35"/>
      <c r="K3107" t="s">
        <v>15</v>
      </c>
    </row>
    <row r="3108" spans="2:11" ht="24.75" x14ac:dyDescent="0.2">
      <c r="B3108" s="33" t="s">
        <v>4040</v>
      </c>
      <c r="C3108" s="33" t="s">
        <v>4041</v>
      </c>
      <c r="D3108" s="35">
        <f>SUMIFS(D3109:D9015,K3109:K9015,"0",B3109:B9015,"5 1 1 3 2 12 31111 6 M59 10000 000132 0000R 00001 00132*")-SUMIFS(E3109:E9015,K3109:K9015,"0",B3109:B9015,"5 1 1 3 2 12 31111 6 M59 10000 000132 0000R 00001 00132*")</f>
        <v>0</v>
      </c>
      <c r="E3108"/>
      <c r="F3108" s="35">
        <f>SUMIFS(F3109:F9015,K3109:K9015,"0",B3109:B9015,"5 1 1 3 2 12 31111 6 M59 10000 000132 0000R 00001 00132*")</f>
        <v>90280.77</v>
      </c>
      <c r="G3108" s="35">
        <f>SUMIFS(G3109:G9015,K3109:K9015,"0",B3109:B9015,"5 1 1 3 2 12 31111 6 M59 10000 000132 0000R 00001 00132*")</f>
        <v>0</v>
      </c>
      <c r="H3108" s="35">
        <f t="shared" si="49"/>
        <v>90280.77</v>
      </c>
      <c r="I3108" s="35"/>
      <c r="K3108" t="s">
        <v>15</v>
      </c>
    </row>
    <row r="3109" spans="2:11" ht="33" x14ac:dyDescent="0.2">
      <c r="B3109" s="33" t="s">
        <v>4042</v>
      </c>
      <c r="C3109" s="33" t="s">
        <v>1051</v>
      </c>
      <c r="D3109" s="35">
        <f>SUMIFS(D3110:D9015,K3110:K9015,"0",B3110:B9015,"5 1 1 3 2 12 31111 6 M59 10000 000132 0000R 00001 00132 015*")-SUMIFS(E3110:E9015,K3110:K9015,"0",B3110:B9015,"5 1 1 3 2 12 31111 6 M59 10000 000132 0000R 00001 00132 015*")</f>
        <v>0</v>
      </c>
      <c r="E3109"/>
      <c r="F3109" s="35">
        <f>SUMIFS(F3110:F9015,K3110:K9015,"0",B3110:B9015,"5 1 1 3 2 12 31111 6 M59 10000 000132 0000R 00001 00132 015*")</f>
        <v>90280.77</v>
      </c>
      <c r="G3109" s="35">
        <f>SUMIFS(G3110:G9015,K3110:K9015,"0",B3110:B9015,"5 1 1 3 2 12 31111 6 M59 10000 000132 0000R 00001 00132 015*")</f>
        <v>0</v>
      </c>
      <c r="H3109" s="35">
        <f t="shared" si="49"/>
        <v>90280.77</v>
      </c>
      <c r="I3109" s="35"/>
      <c r="K3109" t="s">
        <v>15</v>
      </c>
    </row>
    <row r="3110" spans="2:11" ht="33" x14ac:dyDescent="0.2">
      <c r="B3110" s="33" t="s">
        <v>4043</v>
      </c>
      <c r="C3110" s="33" t="s">
        <v>2927</v>
      </c>
      <c r="D3110" s="35">
        <f>SUMIFS(D3111:D9015,K3111:K9015,"0",B3111:B9015,"5 1 1 3 2 12 31111 6 M59 10000 000132 0000R 00001 00132 015 2111100*")-SUMIFS(E3111:E9015,K3111:K9015,"0",B3111:B9015,"5 1 1 3 2 12 31111 6 M59 10000 000132 0000R 00001 00132 015 2111100*")</f>
        <v>0</v>
      </c>
      <c r="E3110"/>
      <c r="F3110" s="35">
        <f>SUMIFS(F3111:F9015,K3111:K9015,"0",B3111:B9015,"5 1 1 3 2 12 31111 6 M59 10000 000132 0000R 00001 00132 015 2111100*")</f>
        <v>90280.77</v>
      </c>
      <c r="G3110" s="35">
        <f>SUMIFS(G3111:G9015,K3111:K9015,"0",B3111:B9015,"5 1 1 3 2 12 31111 6 M59 10000 000132 0000R 00001 00132 015 2111100*")</f>
        <v>0</v>
      </c>
      <c r="H3110" s="35">
        <f t="shared" si="49"/>
        <v>90280.77</v>
      </c>
      <c r="I3110" s="35"/>
      <c r="K3110" t="s">
        <v>15</v>
      </c>
    </row>
    <row r="3111" spans="2:11" ht="33" x14ac:dyDescent="0.2">
      <c r="B3111" s="33" t="s">
        <v>4044</v>
      </c>
      <c r="C3111" s="33" t="s">
        <v>660</v>
      </c>
      <c r="D3111" s="35">
        <f>SUMIFS(D3112:D9015,K3112:K9015,"0",B3112:B9015,"5 1 1 3 2 12 31111 6 M59 10000 000132 0000R 00001 00132 015 2111100 2024*")-SUMIFS(E3112:E9015,K3112:K9015,"0",B3112:B9015,"5 1 1 3 2 12 31111 6 M59 10000 000132 0000R 00001 00132 015 2111100 2024*")</f>
        <v>0</v>
      </c>
      <c r="E3111"/>
      <c r="F3111" s="35">
        <f>SUMIFS(F3112:F9015,K3112:K9015,"0",B3112:B9015,"5 1 1 3 2 12 31111 6 M59 10000 000132 0000R 00001 00132 015 2111100 2024*")</f>
        <v>90280.77</v>
      </c>
      <c r="G3111" s="35">
        <f>SUMIFS(G3112:G9015,K3112:K9015,"0",B3112:B9015,"5 1 1 3 2 12 31111 6 M59 10000 000132 0000R 00001 00132 015 2111100 2024*")</f>
        <v>0</v>
      </c>
      <c r="H3111" s="35">
        <f t="shared" si="49"/>
        <v>90280.77</v>
      </c>
      <c r="I3111" s="35"/>
      <c r="K3111" t="s">
        <v>15</v>
      </c>
    </row>
    <row r="3112" spans="2:11" ht="41.25" x14ac:dyDescent="0.2">
      <c r="B3112" s="33" t="s">
        <v>4045</v>
      </c>
      <c r="C3112" s="33" t="s">
        <v>662</v>
      </c>
      <c r="D3112" s="35">
        <f>SUMIFS(D3113:D9015,K3113:K9015,"0",B3113:B9015,"5 1 1 3 2 12 31111 6 M59 10000 000132 0000R 00001 00132 015 2111100 2024 CP1PM439*")-SUMIFS(E3113:E9015,K3113:K9015,"0",B3113:B9015,"5 1 1 3 2 12 31111 6 M59 10000 000132 0000R 00001 00132 015 2111100 2024 CP1PM439*")</f>
        <v>0</v>
      </c>
      <c r="E3112"/>
      <c r="F3112" s="35">
        <f>SUMIFS(F3113:F9015,K3113:K9015,"0",B3113:B9015,"5 1 1 3 2 12 31111 6 M59 10000 000132 0000R 00001 00132 015 2111100 2024 CP1PM439*")</f>
        <v>90280.77</v>
      </c>
      <c r="G3112" s="35">
        <f>SUMIFS(G3113:G9015,K3113:K9015,"0",B3113:B9015,"5 1 1 3 2 12 31111 6 M59 10000 000132 0000R 00001 00132 015 2111100 2024 CP1PM439*")</f>
        <v>0</v>
      </c>
      <c r="H3112" s="35">
        <f t="shared" si="49"/>
        <v>90280.77</v>
      </c>
      <c r="I3112" s="35"/>
      <c r="K3112" t="s">
        <v>15</v>
      </c>
    </row>
    <row r="3113" spans="2:11" ht="41.25" x14ac:dyDescent="0.2">
      <c r="B3113" s="33" t="s">
        <v>4046</v>
      </c>
      <c r="C3113" s="33" t="s">
        <v>282</v>
      </c>
      <c r="D3113" s="35">
        <f>SUMIFS(D3114:D9015,K3114:K9015,"0",B3114:B9015,"5 1 1 3 2 12 31111 6 M59 10000 000132 0000R 00001 00132 015 2111100 2024 CP1PM439 001*")-SUMIFS(E3114:E9015,K3114:K9015,"0",B3114:B9015,"5 1 1 3 2 12 31111 6 M59 10000 000132 0000R 00001 00132 015 2111100 2024 CP1PM439 001*")</f>
        <v>0</v>
      </c>
      <c r="E3113"/>
      <c r="F3113" s="35">
        <f>SUMIFS(F3114:F9015,K3114:K9015,"0",B3114:B9015,"5 1 1 3 2 12 31111 6 M59 10000 000132 0000R 00001 00132 015 2111100 2024 CP1PM439 001*")</f>
        <v>90280.77</v>
      </c>
      <c r="G3113" s="35">
        <f>SUMIFS(G3114:G9015,K3114:K9015,"0",B3114:B9015,"5 1 1 3 2 12 31111 6 M59 10000 000132 0000R 00001 00132 015 2111100 2024 CP1PM439 001*")</f>
        <v>0</v>
      </c>
      <c r="H3113" s="35">
        <f t="shared" si="49"/>
        <v>90280.77</v>
      </c>
      <c r="I3113" s="35"/>
      <c r="K3113" t="s">
        <v>15</v>
      </c>
    </row>
    <row r="3114" spans="2:11" ht="33" x14ac:dyDescent="0.2">
      <c r="B3114" s="31" t="s">
        <v>4047</v>
      </c>
      <c r="C3114" s="31" t="s">
        <v>1519</v>
      </c>
      <c r="D3114" s="34">
        <v>0</v>
      </c>
      <c r="E3114" s="34"/>
      <c r="F3114" s="34">
        <v>90280.77</v>
      </c>
      <c r="G3114" s="34">
        <v>0</v>
      </c>
      <c r="H3114" s="34">
        <f t="shared" si="49"/>
        <v>90280.77</v>
      </c>
      <c r="I3114" s="34"/>
      <c r="K3114" t="s">
        <v>38</v>
      </c>
    </row>
    <row r="3115" spans="2:11" ht="16.5" x14ac:dyDescent="0.2">
      <c r="B3115" s="33" t="s">
        <v>4048</v>
      </c>
      <c r="C3115" s="33" t="s">
        <v>2934</v>
      </c>
      <c r="D3115" s="35">
        <f>SUMIFS(D3116:D9015,K3116:K9015,"0",B3116:B9015,"5 1 1 3 2 12 31111 6 M59 10100*")-SUMIFS(E3116:E9015,K3116:K9015,"0",B3116:B9015,"5 1 1 3 2 12 31111 6 M59 10100*")</f>
        <v>0</v>
      </c>
      <c r="E3115"/>
      <c r="F3115" s="35">
        <f>SUMIFS(F3116:F9015,K3116:K9015,"0",B3116:B9015,"5 1 1 3 2 12 31111 6 M59 10100*")</f>
        <v>39836.080000000002</v>
      </c>
      <c r="G3115" s="35">
        <f>SUMIFS(G3116:G9015,K3116:K9015,"0",B3116:B9015,"5 1 1 3 2 12 31111 6 M59 10100*")</f>
        <v>0</v>
      </c>
      <c r="H3115" s="35">
        <f t="shared" si="49"/>
        <v>39836.080000000002</v>
      </c>
      <c r="I3115" s="35"/>
      <c r="K3115" t="s">
        <v>15</v>
      </c>
    </row>
    <row r="3116" spans="2:11" ht="16.5" x14ac:dyDescent="0.2">
      <c r="B3116" s="33" t="s">
        <v>4049</v>
      </c>
      <c r="C3116" s="33" t="s">
        <v>648</v>
      </c>
      <c r="D3116" s="35">
        <f>SUMIFS(D3117:D9015,K3117:K9015,"0",B3117:B9015,"5 1 1 3 2 12 31111 6 M59 10100 000132*")-SUMIFS(E3117:E9015,K3117:K9015,"0",B3117:B9015,"5 1 1 3 2 12 31111 6 M59 10100 000132*")</f>
        <v>0</v>
      </c>
      <c r="E3116"/>
      <c r="F3116" s="35">
        <f>SUMIFS(F3117:F9015,K3117:K9015,"0",B3117:B9015,"5 1 1 3 2 12 31111 6 M59 10100 000132*")</f>
        <v>39836.080000000002</v>
      </c>
      <c r="G3116" s="35">
        <f>SUMIFS(G3117:G9015,K3117:K9015,"0",B3117:B9015,"5 1 1 3 2 12 31111 6 M59 10100 000132*")</f>
        <v>0</v>
      </c>
      <c r="H3116" s="35">
        <f t="shared" si="49"/>
        <v>39836.080000000002</v>
      </c>
      <c r="I3116" s="35"/>
      <c r="K3116" t="s">
        <v>15</v>
      </c>
    </row>
    <row r="3117" spans="2:11" ht="24.75" x14ac:dyDescent="0.2">
      <c r="B3117" s="33" t="s">
        <v>4050</v>
      </c>
      <c r="C3117" s="33" t="s">
        <v>650</v>
      </c>
      <c r="D3117" s="35">
        <f>SUMIFS(D3118:D9015,K3118:K9015,"0",B3118:B9015,"5 1 1 3 2 12 31111 6 M59 10100 000132 0000R*")-SUMIFS(E3118:E9015,K3118:K9015,"0",B3118:B9015,"5 1 1 3 2 12 31111 6 M59 10100 000132 0000R*")</f>
        <v>0</v>
      </c>
      <c r="E3117"/>
      <c r="F3117" s="35">
        <f>SUMIFS(F3118:F9015,K3118:K9015,"0",B3118:B9015,"5 1 1 3 2 12 31111 6 M59 10100 000132 0000R*")</f>
        <v>39836.080000000002</v>
      </c>
      <c r="G3117" s="35">
        <f>SUMIFS(G3118:G9015,K3118:K9015,"0",B3118:B9015,"5 1 1 3 2 12 31111 6 M59 10100 000132 0000R*")</f>
        <v>0</v>
      </c>
      <c r="H3117" s="35">
        <f t="shared" si="49"/>
        <v>39836.080000000002</v>
      </c>
      <c r="I3117" s="35"/>
      <c r="K3117" t="s">
        <v>15</v>
      </c>
    </row>
    <row r="3118" spans="2:11" ht="24.75" x14ac:dyDescent="0.2">
      <c r="B3118" s="33" t="s">
        <v>4051</v>
      </c>
      <c r="C3118" s="33" t="s">
        <v>282</v>
      </c>
      <c r="D3118" s="35">
        <f>SUMIFS(D3119:D9015,K3119:K9015,"0",B3119:B9015,"5 1 1 3 2 12 31111 6 M59 10100 000132 0000R 00001*")-SUMIFS(E3119:E9015,K3119:K9015,"0",B3119:B9015,"5 1 1 3 2 12 31111 6 M59 10100 000132 0000R 00001*")</f>
        <v>0</v>
      </c>
      <c r="E3118"/>
      <c r="F3118" s="35">
        <f>SUMIFS(F3119:F9015,K3119:K9015,"0",B3119:B9015,"5 1 1 3 2 12 31111 6 M59 10100 000132 0000R 00001*")</f>
        <v>39836.080000000002</v>
      </c>
      <c r="G3118" s="35">
        <f>SUMIFS(G3119:G9015,K3119:K9015,"0",B3119:B9015,"5 1 1 3 2 12 31111 6 M59 10100 000132 0000R 00001*")</f>
        <v>0</v>
      </c>
      <c r="H3118" s="35">
        <f t="shared" si="49"/>
        <v>39836.080000000002</v>
      </c>
      <c r="I3118" s="35"/>
      <c r="K3118" t="s">
        <v>15</v>
      </c>
    </row>
    <row r="3119" spans="2:11" ht="24.75" x14ac:dyDescent="0.2">
      <c r="B3119" s="33" t="s">
        <v>4052</v>
      </c>
      <c r="C3119" s="33" t="s">
        <v>4041</v>
      </c>
      <c r="D3119" s="35">
        <f>SUMIFS(D3120:D9015,K3120:K9015,"0",B3120:B9015,"5 1 1 3 2 12 31111 6 M59 10100 000132 0000R 00001 00132*")-SUMIFS(E3120:E9015,K3120:K9015,"0",B3120:B9015,"5 1 1 3 2 12 31111 6 M59 10100 000132 0000R 00001 00132*")</f>
        <v>0</v>
      </c>
      <c r="E3119"/>
      <c r="F3119" s="35">
        <f>SUMIFS(F3120:F9015,K3120:K9015,"0",B3120:B9015,"5 1 1 3 2 12 31111 6 M59 10100 000132 0000R 00001 00132*")</f>
        <v>39836.080000000002</v>
      </c>
      <c r="G3119" s="35">
        <f>SUMIFS(G3120:G9015,K3120:K9015,"0",B3120:B9015,"5 1 1 3 2 12 31111 6 M59 10100 000132 0000R 00001 00132*")</f>
        <v>0</v>
      </c>
      <c r="H3119" s="35">
        <f t="shared" si="49"/>
        <v>39836.080000000002</v>
      </c>
      <c r="I3119" s="35"/>
      <c r="K3119" t="s">
        <v>15</v>
      </c>
    </row>
    <row r="3120" spans="2:11" ht="33" x14ac:dyDescent="0.2">
      <c r="B3120" s="33" t="s">
        <v>4053</v>
      </c>
      <c r="C3120" s="33" t="s">
        <v>1051</v>
      </c>
      <c r="D3120" s="35">
        <f>SUMIFS(D3121:D9015,K3121:K9015,"0",B3121:B9015,"5 1 1 3 2 12 31111 6 M59 10100 000132 0000R 00001 00132 015*")-SUMIFS(E3121:E9015,K3121:K9015,"0",B3121:B9015,"5 1 1 3 2 12 31111 6 M59 10100 000132 0000R 00001 00132 015*")</f>
        <v>0</v>
      </c>
      <c r="E3120"/>
      <c r="F3120" s="35">
        <f>SUMIFS(F3121:F9015,K3121:K9015,"0",B3121:B9015,"5 1 1 3 2 12 31111 6 M59 10100 000132 0000R 00001 00132 015*")</f>
        <v>39836.080000000002</v>
      </c>
      <c r="G3120" s="35">
        <f>SUMIFS(G3121:G9015,K3121:K9015,"0",B3121:B9015,"5 1 1 3 2 12 31111 6 M59 10100 000132 0000R 00001 00132 015*")</f>
        <v>0</v>
      </c>
      <c r="H3120" s="35">
        <f t="shared" si="49"/>
        <v>39836.080000000002</v>
      </c>
      <c r="I3120" s="35"/>
      <c r="K3120" t="s">
        <v>15</v>
      </c>
    </row>
    <row r="3121" spans="2:11" ht="33" x14ac:dyDescent="0.2">
      <c r="B3121" s="33" t="s">
        <v>4054</v>
      </c>
      <c r="C3121" s="33" t="s">
        <v>2927</v>
      </c>
      <c r="D3121" s="35">
        <f>SUMIFS(D3122:D9015,K3122:K9015,"0",B3122:B9015,"5 1 1 3 2 12 31111 6 M59 10100 000132 0000R 00001 00132 015 2111100*")-SUMIFS(E3122:E9015,K3122:K9015,"0",B3122:B9015,"5 1 1 3 2 12 31111 6 M59 10100 000132 0000R 00001 00132 015 2111100*")</f>
        <v>0</v>
      </c>
      <c r="E3121"/>
      <c r="F3121" s="35">
        <f>SUMIFS(F3122:F9015,K3122:K9015,"0",B3122:B9015,"5 1 1 3 2 12 31111 6 M59 10100 000132 0000R 00001 00132 015 2111100*")</f>
        <v>39836.080000000002</v>
      </c>
      <c r="G3121" s="35">
        <f>SUMIFS(G3122:G9015,K3122:K9015,"0",B3122:B9015,"5 1 1 3 2 12 31111 6 M59 10100 000132 0000R 00001 00132 015 2111100*")</f>
        <v>0</v>
      </c>
      <c r="H3121" s="35">
        <f t="shared" si="49"/>
        <v>39836.080000000002</v>
      </c>
      <c r="I3121" s="35"/>
      <c r="K3121" t="s">
        <v>15</v>
      </c>
    </row>
    <row r="3122" spans="2:11" ht="33" x14ac:dyDescent="0.2">
      <c r="B3122" s="33" t="s">
        <v>4055</v>
      </c>
      <c r="C3122" s="33" t="s">
        <v>660</v>
      </c>
      <c r="D3122" s="35">
        <f>SUMIFS(D3123:D9015,K3123:K9015,"0",B3123:B9015,"5 1 1 3 2 12 31111 6 M59 10100 000132 0000R 00001 00132 015 2111100 2024*")-SUMIFS(E3123:E9015,K3123:K9015,"0",B3123:B9015,"5 1 1 3 2 12 31111 6 M59 10100 000132 0000R 00001 00132 015 2111100 2024*")</f>
        <v>0</v>
      </c>
      <c r="E3122"/>
      <c r="F3122" s="35">
        <f>SUMIFS(F3123:F9015,K3123:K9015,"0",B3123:B9015,"5 1 1 3 2 12 31111 6 M59 10100 000132 0000R 00001 00132 015 2111100 2024*")</f>
        <v>39836.080000000002</v>
      </c>
      <c r="G3122" s="35">
        <f>SUMIFS(G3123:G9015,K3123:K9015,"0",B3123:B9015,"5 1 1 3 2 12 31111 6 M59 10100 000132 0000R 00001 00132 015 2111100 2024*")</f>
        <v>0</v>
      </c>
      <c r="H3122" s="35">
        <f t="shared" si="49"/>
        <v>39836.080000000002</v>
      </c>
      <c r="I3122" s="35"/>
      <c r="K3122" t="s">
        <v>15</v>
      </c>
    </row>
    <row r="3123" spans="2:11" ht="41.25" x14ac:dyDescent="0.2">
      <c r="B3123" s="33" t="s">
        <v>4056</v>
      </c>
      <c r="C3123" s="33" t="s">
        <v>1056</v>
      </c>
      <c r="D3123" s="35">
        <f>SUMIFS(D3124:D9015,K3124:K9015,"0",B3124:B9015,"5 1 1 3 2 12 31111 6 M59 10100 000132 0000R 00001 00132 015 2111100 2024 CP1CO438*")-SUMIFS(E3124:E9015,K3124:K9015,"0",B3124:B9015,"5 1 1 3 2 12 31111 6 M59 10100 000132 0000R 00001 00132 015 2111100 2024 CP1CO438*")</f>
        <v>0</v>
      </c>
      <c r="E3123"/>
      <c r="F3123" s="35">
        <f>SUMIFS(F3124:F9015,K3124:K9015,"0",B3124:B9015,"5 1 1 3 2 12 31111 6 M59 10100 000132 0000R 00001 00132 015 2111100 2024 CP1CO438*")</f>
        <v>39836.080000000002</v>
      </c>
      <c r="G3123" s="35">
        <f>SUMIFS(G3124:G9015,K3124:K9015,"0",B3124:B9015,"5 1 1 3 2 12 31111 6 M59 10100 000132 0000R 00001 00132 015 2111100 2024 CP1CO438*")</f>
        <v>0</v>
      </c>
      <c r="H3123" s="35">
        <f t="shared" si="49"/>
        <v>39836.080000000002</v>
      </c>
      <c r="I3123" s="35"/>
      <c r="K3123" t="s">
        <v>15</v>
      </c>
    </row>
    <row r="3124" spans="2:11" ht="41.25" x14ac:dyDescent="0.2">
      <c r="B3124" s="33" t="s">
        <v>4057</v>
      </c>
      <c r="C3124" s="33" t="s">
        <v>282</v>
      </c>
      <c r="D3124" s="35">
        <f>SUMIFS(D3125:D9015,K3125:K9015,"0",B3125:B9015,"5 1 1 3 2 12 31111 6 M59 10100 000132 0000R 00001 00132 015 2111100 2024 CP1CO438 001*")-SUMIFS(E3125:E9015,K3125:K9015,"0",B3125:B9015,"5 1 1 3 2 12 31111 6 M59 10100 000132 0000R 00001 00132 015 2111100 2024 CP1CO438 001*")</f>
        <v>0</v>
      </c>
      <c r="E3124"/>
      <c r="F3124" s="35">
        <f>SUMIFS(F3125:F9015,K3125:K9015,"0",B3125:B9015,"5 1 1 3 2 12 31111 6 M59 10100 000132 0000R 00001 00132 015 2111100 2024 CP1CO438 001*")</f>
        <v>39836.080000000002</v>
      </c>
      <c r="G3124" s="35">
        <f>SUMIFS(G3125:G9015,K3125:K9015,"0",B3125:B9015,"5 1 1 3 2 12 31111 6 M59 10100 000132 0000R 00001 00132 015 2111100 2024 CP1CO438 001*")</f>
        <v>0</v>
      </c>
      <c r="H3124" s="35">
        <f t="shared" si="49"/>
        <v>39836.080000000002</v>
      </c>
      <c r="I3124" s="35"/>
      <c r="K3124" t="s">
        <v>15</v>
      </c>
    </row>
    <row r="3125" spans="2:11" ht="33" x14ac:dyDescent="0.2">
      <c r="B3125" s="31" t="s">
        <v>4058</v>
      </c>
      <c r="C3125" s="31" t="s">
        <v>1519</v>
      </c>
      <c r="D3125" s="34">
        <v>0</v>
      </c>
      <c r="E3125" s="34"/>
      <c r="F3125" s="34">
        <v>39836.080000000002</v>
      </c>
      <c r="G3125" s="34">
        <v>0</v>
      </c>
      <c r="H3125" s="34">
        <f t="shared" si="49"/>
        <v>39836.080000000002</v>
      </c>
      <c r="I3125" s="34"/>
      <c r="K3125" t="s">
        <v>38</v>
      </c>
    </row>
    <row r="3126" spans="2:11" ht="16.5" x14ac:dyDescent="0.2">
      <c r="B3126" s="33" t="s">
        <v>4059</v>
      </c>
      <c r="C3126" s="33" t="s">
        <v>2946</v>
      </c>
      <c r="D3126" s="35">
        <f>SUMIFS(D3127:D9015,K3127:K9015,"0",B3127:B9015,"5 1 1 3 2 12 31111 6 M59 10300*")-SUMIFS(E3127:E9015,K3127:K9015,"0",B3127:B9015,"5 1 1 3 2 12 31111 6 M59 10300*")</f>
        <v>0</v>
      </c>
      <c r="E3126"/>
      <c r="F3126" s="35">
        <f>SUMIFS(F3127:F9015,K3127:K9015,"0",B3127:B9015,"5 1 1 3 2 12 31111 6 M59 10300*")</f>
        <v>38413.75</v>
      </c>
      <c r="G3126" s="35">
        <f>SUMIFS(G3127:G9015,K3127:K9015,"0",B3127:B9015,"5 1 1 3 2 12 31111 6 M59 10300*")</f>
        <v>0</v>
      </c>
      <c r="H3126" s="35">
        <f t="shared" si="49"/>
        <v>38413.75</v>
      </c>
      <c r="I3126" s="35"/>
      <c r="K3126" t="s">
        <v>15</v>
      </c>
    </row>
    <row r="3127" spans="2:11" ht="16.5" x14ac:dyDescent="0.2">
      <c r="B3127" s="33" t="s">
        <v>4060</v>
      </c>
      <c r="C3127" s="33" t="s">
        <v>648</v>
      </c>
      <c r="D3127" s="35">
        <f>SUMIFS(D3128:D9015,K3128:K9015,"0",B3128:B9015,"5 1 1 3 2 12 31111 6 M59 10300 000132*")-SUMIFS(E3128:E9015,K3128:K9015,"0",B3128:B9015,"5 1 1 3 2 12 31111 6 M59 10300 000132*")</f>
        <v>0</v>
      </c>
      <c r="E3127"/>
      <c r="F3127" s="35">
        <f>SUMIFS(F3128:F9015,K3128:K9015,"0",B3128:B9015,"5 1 1 3 2 12 31111 6 M59 10300 000132*")</f>
        <v>38413.75</v>
      </c>
      <c r="G3127" s="35">
        <f>SUMIFS(G3128:G9015,K3128:K9015,"0",B3128:B9015,"5 1 1 3 2 12 31111 6 M59 10300 000132*")</f>
        <v>0</v>
      </c>
      <c r="H3127" s="35">
        <f t="shared" si="49"/>
        <v>38413.75</v>
      </c>
      <c r="I3127" s="35"/>
      <c r="K3127" t="s">
        <v>15</v>
      </c>
    </row>
    <row r="3128" spans="2:11" ht="24.75" x14ac:dyDescent="0.2">
      <c r="B3128" s="33" t="s">
        <v>4061</v>
      </c>
      <c r="C3128" s="33" t="s">
        <v>650</v>
      </c>
      <c r="D3128" s="35">
        <f>SUMIFS(D3129:D9015,K3129:K9015,"0",B3129:B9015,"5 1 1 3 2 12 31111 6 M59 10300 000132 0000R*")-SUMIFS(E3129:E9015,K3129:K9015,"0",B3129:B9015,"5 1 1 3 2 12 31111 6 M59 10300 000132 0000R*")</f>
        <v>0</v>
      </c>
      <c r="E3128"/>
      <c r="F3128" s="35">
        <f>SUMIFS(F3129:F9015,K3129:K9015,"0",B3129:B9015,"5 1 1 3 2 12 31111 6 M59 10300 000132 0000R*")</f>
        <v>38413.75</v>
      </c>
      <c r="G3128" s="35">
        <f>SUMIFS(G3129:G9015,K3129:K9015,"0",B3129:B9015,"5 1 1 3 2 12 31111 6 M59 10300 000132 0000R*")</f>
        <v>0</v>
      </c>
      <c r="H3128" s="35">
        <f t="shared" si="49"/>
        <v>38413.75</v>
      </c>
      <c r="I3128" s="35"/>
      <c r="K3128" t="s">
        <v>15</v>
      </c>
    </row>
    <row r="3129" spans="2:11" ht="24.75" x14ac:dyDescent="0.2">
      <c r="B3129" s="33" t="s">
        <v>4062</v>
      </c>
      <c r="C3129" s="33" t="s">
        <v>282</v>
      </c>
      <c r="D3129" s="35">
        <f>SUMIFS(D3130:D9015,K3130:K9015,"0",B3130:B9015,"5 1 1 3 2 12 31111 6 M59 10300 000132 0000R 00001*")-SUMIFS(E3130:E9015,K3130:K9015,"0",B3130:B9015,"5 1 1 3 2 12 31111 6 M59 10300 000132 0000R 00001*")</f>
        <v>0</v>
      </c>
      <c r="E3129"/>
      <c r="F3129" s="35">
        <f>SUMIFS(F3130:F9015,K3130:K9015,"0",B3130:B9015,"5 1 1 3 2 12 31111 6 M59 10300 000132 0000R 00001*")</f>
        <v>38413.75</v>
      </c>
      <c r="G3129" s="35">
        <f>SUMIFS(G3130:G9015,K3130:K9015,"0",B3130:B9015,"5 1 1 3 2 12 31111 6 M59 10300 000132 0000R 00001*")</f>
        <v>0</v>
      </c>
      <c r="H3129" s="35">
        <f t="shared" si="49"/>
        <v>38413.75</v>
      </c>
      <c r="I3129" s="35"/>
      <c r="K3129" t="s">
        <v>15</v>
      </c>
    </row>
    <row r="3130" spans="2:11" ht="24.75" x14ac:dyDescent="0.2">
      <c r="B3130" s="33" t="s">
        <v>4063</v>
      </c>
      <c r="C3130" s="33" t="s">
        <v>4041</v>
      </c>
      <c r="D3130" s="35">
        <f>SUMIFS(D3131:D9015,K3131:K9015,"0",B3131:B9015,"5 1 1 3 2 12 31111 6 M59 10300 000132 0000R 00001 00132*")-SUMIFS(E3131:E9015,K3131:K9015,"0",B3131:B9015,"5 1 1 3 2 12 31111 6 M59 10300 000132 0000R 00001 00132*")</f>
        <v>0</v>
      </c>
      <c r="E3130"/>
      <c r="F3130" s="35">
        <f>SUMIFS(F3131:F9015,K3131:K9015,"0",B3131:B9015,"5 1 1 3 2 12 31111 6 M59 10300 000132 0000R 00001 00132*")</f>
        <v>38413.75</v>
      </c>
      <c r="G3130" s="35">
        <f>SUMIFS(G3131:G9015,K3131:K9015,"0",B3131:B9015,"5 1 1 3 2 12 31111 6 M59 10300 000132 0000R 00001 00132*")</f>
        <v>0</v>
      </c>
      <c r="H3130" s="35">
        <f t="shared" si="49"/>
        <v>38413.75</v>
      </c>
      <c r="I3130" s="35"/>
      <c r="K3130" t="s">
        <v>15</v>
      </c>
    </row>
    <row r="3131" spans="2:11" ht="33" x14ac:dyDescent="0.2">
      <c r="B3131" s="33" t="s">
        <v>4064</v>
      </c>
      <c r="C3131" s="33" t="s">
        <v>1051</v>
      </c>
      <c r="D3131" s="35">
        <f>SUMIFS(D3132:D9015,K3132:K9015,"0",B3132:B9015,"5 1 1 3 2 12 31111 6 M59 10300 000132 0000R 00001 00132 015*")-SUMIFS(E3132:E9015,K3132:K9015,"0",B3132:B9015,"5 1 1 3 2 12 31111 6 M59 10300 000132 0000R 00001 00132 015*")</f>
        <v>0</v>
      </c>
      <c r="E3131"/>
      <c r="F3131" s="35">
        <f>SUMIFS(F3132:F9015,K3132:K9015,"0",B3132:B9015,"5 1 1 3 2 12 31111 6 M59 10300 000132 0000R 00001 00132 015*")</f>
        <v>38413.75</v>
      </c>
      <c r="G3131" s="35">
        <f>SUMIFS(G3132:G9015,K3132:K9015,"0",B3132:B9015,"5 1 1 3 2 12 31111 6 M59 10300 000132 0000R 00001 00132 015*")</f>
        <v>0</v>
      </c>
      <c r="H3131" s="35">
        <f t="shared" si="49"/>
        <v>38413.75</v>
      </c>
      <c r="I3131" s="35"/>
      <c r="K3131" t="s">
        <v>15</v>
      </c>
    </row>
    <row r="3132" spans="2:11" ht="33" x14ac:dyDescent="0.2">
      <c r="B3132" s="33" t="s">
        <v>4065</v>
      </c>
      <c r="C3132" s="33" t="s">
        <v>2927</v>
      </c>
      <c r="D3132" s="35">
        <f>SUMIFS(D3133:D9015,K3133:K9015,"0",B3133:B9015,"5 1 1 3 2 12 31111 6 M59 10300 000132 0000R 00001 00132 015 2111100*")-SUMIFS(E3133:E9015,K3133:K9015,"0",B3133:B9015,"5 1 1 3 2 12 31111 6 M59 10300 000132 0000R 00001 00132 015 2111100*")</f>
        <v>0</v>
      </c>
      <c r="E3132"/>
      <c r="F3132" s="35">
        <f>SUMIFS(F3133:F9015,K3133:K9015,"0",B3133:B9015,"5 1 1 3 2 12 31111 6 M59 10300 000132 0000R 00001 00132 015 2111100*")</f>
        <v>38413.75</v>
      </c>
      <c r="G3132" s="35">
        <f>SUMIFS(G3133:G9015,K3133:K9015,"0",B3133:B9015,"5 1 1 3 2 12 31111 6 M59 10300 000132 0000R 00001 00132 015 2111100*")</f>
        <v>0</v>
      </c>
      <c r="H3132" s="35">
        <f t="shared" si="49"/>
        <v>38413.75</v>
      </c>
      <c r="I3132" s="35"/>
      <c r="K3132" t="s">
        <v>15</v>
      </c>
    </row>
    <row r="3133" spans="2:11" ht="33" x14ac:dyDescent="0.2">
      <c r="B3133" s="33" t="s">
        <v>4066</v>
      </c>
      <c r="C3133" s="33" t="s">
        <v>660</v>
      </c>
      <c r="D3133" s="35">
        <f>SUMIFS(D3134:D9015,K3134:K9015,"0",B3134:B9015,"5 1 1 3 2 12 31111 6 M59 10300 000132 0000R 00001 00132 015 2111100 2024*")-SUMIFS(E3134:E9015,K3134:K9015,"0",B3134:B9015,"5 1 1 3 2 12 31111 6 M59 10300 000132 0000R 00001 00132 015 2111100 2024*")</f>
        <v>0</v>
      </c>
      <c r="E3133"/>
      <c r="F3133" s="35">
        <f>SUMIFS(F3134:F9015,K3134:K9015,"0",B3134:B9015,"5 1 1 3 2 12 31111 6 M59 10300 000132 0000R 00001 00132 015 2111100 2024*")</f>
        <v>38413.75</v>
      </c>
      <c r="G3133" s="35">
        <f>SUMIFS(G3134:G9015,K3134:K9015,"0",B3134:B9015,"5 1 1 3 2 12 31111 6 M59 10300 000132 0000R 00001 00132 015 2111100 2024*")</f>
        <v>0</v>
      </c>
      <c r="H3133" s="35">
        <f t="shared" si="49"/>
        <v>38413.75</v>
      </c>
      <c r="I3133" s="35"/>
      <c r="K3133" t="s">
        <v>15</v>
      </c>
    </row>
    <row r="3134" spans="2:11" ht="41.25" x14ac:dyDescent="0.2">
      <c r="B3134" s="33" t="s">
        <v>4067</v>
      </c>
      <c r="C3134" s="33" t="s">
        <v>2955</v>
      </c>
      <c r="D3134" s="35">
        <f>SUMIFS(D3135:D9015,K3135:K9015,"0",B3135:B9015,"5 1 1 3 2 12 31111 6 M59 10300 000132 0000R 00001 00132 015 2111100 2024 CP1GE413*")-SUMIFS(E3135:E9015,K3135:K9015,"0",B3135:B9015,"5 1 1 3 2 12 31111 6 M59 10300 000132 0000R 00001 00132 015 2111100 2024 CP1GE413*")</f>
        <v>0</v>
      </c>
      <c r="E3134"/>
      <c r="F3134" s="35">
        <f>SUMIFS(F3135:F9015,K3135:K9015,"0",B3135:B9015,"5 1 1 3 2 12 31111 6 M59 10300 000132 0000R 00001 00132 015 2111100 2024 CP1GE413*")</f>
        <v>38413.75</v>
      </c>
      <c r="G3134" s="35">
        <f>SUMIFS(G3135:G9015,K3135:K9015,"0",B3135:B9015,"5 1 1 3 2 12 31111 6 M59 10300 000132 0000R 00001 00132 015 2111100 2024 CP1GE413*")</f>
        <v>0</v>
      </c>
      <c r="H3134" s="35">
        <f t="shared" si="49"/>
        <v>38413.75</v>
      </c>
      <c r="I3134" s="35"/>
      <c r="K3134" t="s">
        <v>15</v>
      </c>
    </row>
    <row r="3135" spans="2:11" ht="41.25" x14ac:dyDescent="0.2">
      <c r="B3135" s="33" t="s">
        <v>4068</v>
      </c>
      <c r="C3135" s="33" t="s">
        <v>282</v>
      </c>
      <c r="D3135" s="35">
        <f>SUMIFS(D3136:D9015,K3136:K9015,"0",B3136:B9015,"5 1 1 3 2 12 31111 6 M59 10300 000132 0000R 00001 00132 015 2111100 2024 CP1GE413 001*")-SUMIFS(E3136:E9015,K3136:K9015,"0",B3136:B9015,"5 1 1 3 2 12 31111 6 M59 10300 000132 0000R 00001 00132 015 2111100 2024 CP1GE413 001*")</f>
        <v>0</v>
      </c>
      <c r="E3135"/>
      <c r="F3135" s="35">
        <f>SUMIFS(F3136:F9015,K3136:K9015,"0",B3136:B9015,"5 1 1 3 2 12 31111 6 M59 10300 000132 0000R 00001 00132 015 2111100 2024 CP1GE413 001*")</f>
        <v>38413.75</v>
      </c>
      <c r="G3135" s="35">
        <f>SUMIFS(G3136:G9015,K3136:K9015,"0",B3136:B9015,"5 1 1 3 2 12 31111 6 M59 10300 000132 0000R 00001 00132 015 2111100 2024 CP1GE413 001*")</f>
        <v>0</v>
      </c>
      <c r="H3135" s="35">
        <f t="shared" si="49"/>
        <v>38413.75</v>
      </c>
      <c r="I3135" s="35"/>
      <c r="K3135" t="s">
        <v>15</v>
      </c>
    </row>
    <row r="3136" spans="2:11" ht="33" x14ac:dyDescent="0.2">
      <c r="B3136" s="31" t="s">
        <v>4069</v>
      </c>
      <c r="C3136" s="31" t="s">
        <v>1519</v>
      </c>
      <c r="D3136" s="34">
        <v>0</v>
      </c>
      <c r="E3136" s="34"/>
      <c r="F3136" s="34">
        <v>36668.61</v>
      </c>
      <c r="G3136" s="34">
        <v>0</v>
      </c>
      <c r="H3136" s="34">
        <f t="shared" si="49"/>
        <v>36668.61</v>
      </c>
      <c r="I3136" s="34"/>
      <c r="K3136" t="s">
        <v>38</v>
      </c>
    </row>
    <row r="3137" spans="2:11" ht="33" x14ac:dyDescent="0.2">
      <c r="B3137" s="31" t="s">
        <v>4070</v>
      </c>
      <c r="C3137" s="31" t="s">
        <v>4071</v>
      </c>
      <c r="D3137" s="34">
        <v>0</v>
      </c>
      <c r="E3137" s="34"/>
      <c r="F3137" s="34">
        <v>1745.14</v>
      </c>
      <c r="G3137" s="34">
        <v>0</v>
      </c>
      <c r="H3137" s="34">
        <f t="shared" si="49"/>
        <v>1745.14</v>
      </c>
      <c r="I3137" s="34"/>
      <c r="K3137" t="s">
        <v>38</v>
      </c>
    </row>
    <row r="3138" spans="2:11" ht="24.75" x14ac:dyDescent="0.2">
      <c r="B3138" s="33" t="s">
        <v>4072</v>
      </c>
      <c r="C3138" s="33" t="s">
        <v>2959</v>
      </c>
      <c r="D3138" s="35">
        <f>SUMIFS(D3139:D9015,K3139:K9015,"0",B3139:B9015,"5 1 1 3 2 12 31111 6 M59 10400*")-SUMIFS(E3139:E9015,K3139:K9015,"0",B3139:B9015,"5 1 1 3 2 12 31111 6 M59 10400*")</f>
        <v>0</v>
      </c>
      <c r="E3138"/>
      <c r="F3138" s="35">
        <f>SUMIFS(F3139:F9015,K3139:K9015,"0",B3139:B9015,"5 1 1 3 2 12 31111 6 M59 10400*")</f>
        <v>17533.54</v>
      </c>
      <c r="G3138" s="35">
        <f>SUMIFS(G3139:G9015,K3139:K9015,"0",B3139:B9015,"5 1 1 3 2 12 31111 6 M59 10400*")</f>
        <v>0</v>
      </c>
      <c r="H3138" s="35">
        <f t="shared" si="49"/>
        <v>17533.54</v>
      </c>
      <c r="I3138" s="35"/>
      <c r="K3138" t="s">
        <v>15</v>
      </c>
    </row>
    <row r="3139" spans="2:11" ht="16.5" x14ac:dyDescent="0.2">
      <c r="B3139" s="33" t="s">
        <v>4073</v>
      </c>
      <c r="C3139" s="33" t="s">
        <v>648</v>
      </c>
      <c r="D3139" s="35">
        <f>SUMIFS(D3140:D9015,K3140:K9015,"0",B3140:B9015,"5 1 1 3 2 12 31111 6 M59 10400 000132*")-SUMIFS(E3140:E9015,K3140:K9015,"0",B3140:B9015,"5 1 1 3 2 12 31111 6 M59 10400 000132*")</f>
        <v>0</v>
      </c>
      <c r="E3139"/>
      <c r="F3139" s="35">
        <f>SUMIFS(F3140:F9015,K3140:K9015,"0",B3140:B9015,"5 1 1 3 2 12 31111 6 M59 10400 000132*")</f>
        <v>17533.54</v>
      </c>
      <c r="G3139" s="35">
        <f>SUMIFS(G3140:G9015,K3140:K9015,"0",B3140:B9015,"5 1 1 3 2 12 31111 6 M59 10400 000132*")</f>
        <v>0</v>
      </c>
      <c r="H3139" s="35">
        <f t="shared" si="49"/>
        <v>17533.54</v>
      </c>
      <c r="I3139" s="35"/>
      <c r="K3139" t="s">
        <v>15</v>
      </c>
    </row>
    <row r="3140" spans="2:11" ht="24.75" x14ac:dyDescent="0.2">
      <c r="B3140" s="33" t="s">
        <v>4074</v>
      </c>
      <c r="C3140" s="33" t="s">
        <v>650</v>
      </c>
      <c r="D3140" s="35">
        <f>SUMIFS(D3141:D9015,K3141:K9015,"0",B3141:B9015,"5 1 1 3 2 12 31111 6 M59 10400 000132 0000R*")-SUMIFS(E3141:E9015,K3141:K9015,"0",B3141:B9015,"5 1 1 3 2 12 31111 6 M59 10400 000132 0000R*")</f>
        <v>0</v>
      </c>
      <c r="E3140"/>
      <c r="F3140" s="35">
        <f>SUMIFS(F3141:F9015,K3141:K9015,"0",B3141:B9015,"5 1 1 3 2 12 31111 6 M59 10400 000132 0000R*")</f>
        <v>17533.54</v>
      </c>
      <c r="G3140" s="35">
        <f>SUMIFS(G3141:G9015,K3141:K9015,"0",B3141:B9015,"5 1 1 3 2 12 31111 6 M59 10400 000132 0000R*")</f>
        <v>0</v>
      </c>
      <c r="H3140" s="35">
        <f t="shared" ref="H3140:H3203" si="50">D3140 + F3140 - G3140</f>
        <v>17533.54</v>
      </c>
      <c r="I3140" s="35"/>
      <c r="K3140" t="s">
        <v>15</v>
      </c>
    </row>
    <row r="3141" spans="2:11" ht="24.75" x14ac:dyDescent="0.2">
      <c r="B3141" s="33" t="s">
        <v>4075</v>
      </c>
      <c r="C3141" s="33" t="s">
        <v>282</v>
      </c>
      <c r="D3141" s="35">
        <f>SUMIFS(D3142:D9015,K3142:K9015,"0",B3142:B9015,"5 1 1 3 2 12 31111 6 M59 10400 000132 0000R 00001*")-SUMIFS(E3142:E9015,K3142:K9015,"0",B3142:B9015,"5 1 1 3 2 12 31111 6 M59 10400 000132 0000R 00001*")</f>
        <v>0</v>
      </c>
      <c r="E3141"/>
      <c r="F3141" s="35">
        <f>SUMIFS(F3142:F9015,K3142:K9015,"0",B3142:B9015,"5 1 1 3 2 12 31111 6 M59 10400 000132 0000R 00001*")</f>
        <v>17533.54</v>
      </c>
      <c r="G3141" s="35">
        <f>SUMIFS(G3142:G9015,K3142:K9015,"0",B3142:B9015,"5 1 1 3 2 12 31111 6 M59 10400 000132 0000R 00001*")</f>
        <v>0</v>
      </c>
      <c r="H3141" s="35">
        <f t="shared" si="50"/>
        <v>17533.54</v>
      </c>
      <c r="I3141" s="35"/>
      <c r="K3141" t="s">
        <v>15</v>
      </c>
    </row>
    <row r="3142" spans="2:11" ht="24.75" x14ac:dyDescent="0.2">
      <c r="B3142" s="33" t="s">
        <v>4076</v>
      </c>
      <c r="C3142" s="33" t="s">
        <v>4041</v>
      </c>
      <c r="D3142" s="35">
        <f>SUMIFS(D3143:D9015,K3143:K9015,"0",B3143:B9015,"5 1 1 3 2 12 31111 6 M59 10400 000132 0000R 00001 00132*")-SUMIFS(E3143:E9015,K3143:K9015,"0",B3143:B9015,"5 1 1 3 2 12 31111 6 M59 10400 000132 0000R 00001 00132*")</f>
        <v>0</v>
      </c>
      <c r="E3142"/>
      <c r="F3142" s="35">
        <f>SUMIFS(F3143:F9015,K3143:K9015,"0",B3143:B9015,"5 1 1 3 2 12 31111 6 M59 10400 000132 0000R 00001 00132*")</f>
        <v>17533.54</v>
      </c>
      <c r="G3142" s="35">
        <f>SUMIFS(G3143:G9015,K3143:K9015,"0",B3143:B9015,"5 1 1 3 2 12 31111 6 M59 10400 000132 0000R 00001 00132*")</f>
        <v>0</v>
      </c>
      <c r="H3142" s="35">
        <f t="shared" si="50"/>
        <v>17533.54</v>
      </c>
      <c r="I3142" s="35"/>
      <c r="K3142" t="s">
        <v>15</v>
      </c>
    </row>
    <row r="3143" spans="2:11" ht="33" x14ac:dyDescent="0.2">
      <c r="B3143" s="33" t="s">
        <v>4077</v>
      </c>
      <c r="C3143" s="33" t="s">
        <v>1051</v>
      </c>
      <c r="D3143" s="35">
        <f>SUMIFS(D3144:D9015,K3144:K9015,"0",B3144:B9015,"5 1 1 3 2 12 31111 6 M59 10400 000132 0000R 00001 00132 015*")-SUMIFS(E3144:E9015,K3144:K9015,"0",B3144:B9015,"5 1 1 3 2 12 31111 6 M59 10400 000132 0000R 00001 00132 015*")</f>
        <v>0</v>
      </c>
      <c r="E3143"/>
      <c r="F3143" s="35">
        <f>SUMIFS(F3144:F9015,K3144:K9015,"0",B3144:B9015,"5 1 1 3 2 12 31111 6 M59 10400 000132 0000R 00001 00132 015*")</f>
        <v>17533.54</v>
      </c>
      <c r="G3143" s="35">
        <f>SUMIFS(G3144:G9015,K3144:K9015,"0",B3144:B9015,"5 1 1 3 2 12 31111 6 M59 10400 000132 0000R 00001 00132 015*")</f>
        <v>0</v>
      </c>
      <c r="H3143" s="35">
        <f t="shared" si="50"/>
        <v>17533.54</v>
      </c>
      <c r="I3143" s="35"/>
      <c r="K3143" t="s">
        <v>15</v>
      </c>
    </row>
    <row r="3144" spans="2:11" ht="33" x14ac:dyDescent="0.2">
      <c r="B3144" s="33" t="s">
        <v>4078</v>
      </c>
      <c r="C3144" s="33" t="s">
        <v>2927</v>
      </c>
      <c r="D3144" s="35">
        <f>SUMIFS(D3145:D9015,K3145:K9015,"0",B3145:B9015,"5 1 1 3 2 12 31111 6 M59 10400 000132 0000R 00001 00132 015 2111100*")-SUMIFS(E3145:E9015,K3145:K9015,"0",B3145:B9015,"5 1 1 3 2 12 31111 6 M59 10400 000132 0000R 00001 00132 015 2111100*")</f>
        <v>0</v>
      </c>
      <c r="E3144"/>
      <c r="F3144" s="35">
        <f>SUMIFS(F3145:F9015,K3145:K9015,"0",B3145:B9015,"5 1 1 3 2 12 31111 6 M59 10400 000132 0000R 00001 00132 015 2111100*")</f>
        <v>17533.54</v>
      </c>
      <c r="G3144" s="35">
        <f>SUMIFS(G3145:G9015,K3145:K9015,"0",B3145:B9015,"5 1 1 3 2 12 31111 6 M59 10400 000132 0000R 00001 00132 015 2111100*")</f>
        <v>0</v>
      </c>
      <c r="H3144" s="35">
        <f t="shared" si="50"/>
        <v>17533.54</v>
      </c>
      <c r="I3144" s="35"/>
      <c r="K3144" t="s">
        <v>15</v>
      </c>
    </row>
    <row r="3145" spans="2:11" ht="33" x14ac:dyDescent="0.2">
      <c r="B3145" s="33" t="s">
        <v>4079</v>
      </c>
      <c r="C3145" s="33" t="s">
        <v>660</v>
      </c>
      <c r="D3145" s="35">
        <f>SUMIFS(D3146:D9015,K3146:K9015,"0",B3146:B9015,"5 1 1 3 2 12 31111 6 M59 10400 000132 0000R 00001 00132 015 2111100 2024*")-SUMIFS(E3146:E9015,K3146:K9015,"0",B3146:B9015,"5 1 1 3 2 12 31111 6 M59 10400 000132 0000R 00001 00132 015 2111100 2024*")</f>
        <v>0</v>
      </c>
      <c r="E3145"/>
      <c r="F3145" s="35">
        <f>SUMIFS(F3146:F9015,K3146:K9015,"0",B3146:B9015,"5 1 1 3 2 12 31111 6 M59 10400 000132 0000R 00001 00132 015 2111100 2024*")</f>
        <v>17533.54</v>
      </c>
      <c r="G3145" s="35">
        <f>SUMIFS(G3146:G9015,K3146:K9015,"0",B3146:B9015,"5 1 1 3 2 12 31111 6 M59 10400 000132 0000R 00001 00132 015 2111100 2024*")</f>
        <v>0</v>
      </c>
      <c r="H3145" s="35">
        <f t="shared" si="50"/>
        <v>17533.54</v>
      </c>
      <c r="I3145" s="35"/>
      <c r="K3145" t="s">
        <v>15</v>
      </c>
    </row>
    <row r="3146" spans="2:11" ht="41.25" x14ac:dyDescent="0.2">
      <c r="B3146" s="33" t="s">
        <v>4080</v>
      </c>
      <c r="C3146" s="33" t="s">
        <v>1056</v>
      </c>
      <c r="D3146" s="35">
        <f>SUMIFS(D3147:D9015,K3147:K9015,"0",B3147:B9015,"5 1 1 3 2 12 31111 6 M59 10400 000132 0000R 00001 00132 015 2111100 2024 CP1CG432*")-SUMIFS(E3147:E9015,K3147:K9015,"0",B3147:B9015,"5 1 1 3 2 12 31111 6 M59 10400 000132 0000R 00001 00132 015 2111100 2024 CP1CG432*")</f>
        <v>0</v>
      </c>
      <c r="E3146"/>
      <c r="F3146" s="35">
        <f>SUMIFS(F3147:F9015,K3147:K9015,"0",B3147:B9015,"5 1 1 3 2 12 31111 6 M59 10400 000132 0000R 00001 00132 015 2111100 2024 CP1CG432*")</f>
        <v>17533.54</v>
      </c>
      <c r="G3146" s="35">
        <f>SUMIFS(G3147:G9015,K3147:K9015,"0",B3147:B9015,"5 1 1 3 2 12 31111 6 M59 10400 000132 0000R 00001 00132 015 2111100 2024 CP1CG432*")</f>
        <v>0</v>
      </c>
      <c r="H3146" s="35">
        <f t="shared" si="50"/>
        <v>17533.54</v>
      </c>
      <c r="I3146" s="35"/>
      <c r="K3146" t="s">
        <v>15</v>
      </c>
    </row>
    <row r="3147" spans="2:11" ht="41.25" x14ac:dyDescent="0.2">
      <c r="B3147" s="33" t="s">
        <v>4081</v>
      </c>
      <c r="C3147" s="33" t="s">
        <v>282</v>
      </c>
      <c r="D3147" s="35">
        <f>SUMIFS(D3148:D9015,K3148:K9015,"0",B3148:B9015,"5 1 1 3 2 12 31111 6 M59 10400 000132 0000R 00001 00132 015 2111100 2024 CP1CG432 001*")-SUMIFS(E3148:E9015,K3148:K9015,"0",B3148:B9015,"5 1 1 3 2 12 31111 6 M59 10400 000132 0000R 00001 00132 015 2111100 2024 CP1CG432 001*")</f>
        <v>0</v>
      </c>
      <c r="E3147"/>
      <c r="F3147" s="35">
        <f>SUMIFS(F3148:F9015,K3148:K9015,"0",B3148:B9015,"5 1 1 3 2 12 31111 6 M59 10400 000132 0000R 00001 00132 015 2111100 2024 CP1CG432 001*")</f>
        <v>17533.54</v>
      </c>
      <c r="G3147" s="35">
        <f>SUMIFS(G3148:G9015,K3148:K9015,"0",B3148:B9015,"5 1 1 3 2 12 31111 6 M59 10400 000132 0000R 00001 00132 015 2111100 2024 CP1CG432 001*")</f>
        <v>0</v>
      </c>
      <c r="H3147" s="35">
        <f t="shared" si="50"/>
        <v>17533.54</v>
      </c>
      <c r="I3147" s="35"/>
      <c r="K3147" t="s">
        <v>15</v>
      </c>
    </row>
    <row r="3148" spans="2:11" ht="33" x14ac:dyDescent="0.2">
      <c r="B3148" s="31" t="s">
        <v>4082</v>
      </c>
      <c r="C3148" s="31" t="s">
        <v>1519</v>
      </c>
      <c r="D3148" s="34">
        <v>0</v>
      </c>
      <c r="E3148" s="34"/>
      <c r="F3148" s="34">
        <v>17533.54</v>
      </c>
      <c r="G3148" s="34">
        <v>0</v>
      </c>
      <c r="H3148" s="34">
        <f t="shared" si="50"/>
        <v>17533.54</v>
      </c>
      <c r="I3148" s="34"/>
      <c r="K3148" t="s">
        <v>38</v>
      </c>
    </row>
    <row r="3149" spans="2:11" ht="16.5" x14ac:dyDescent="0.2">
      <c r="B3149" s="33" t="s">
        <v>4083</v>
      </c>
      <c r="C3149" s="33" t="s">
        <v>2971</v>
      </c>
      <c r="D3149" s="35">
        <f>SUMIFS(D3150:D9015,K3150:K9015,"0",B3150:B9015,"5 1 1 3 2 12 31111 6 M59 10500*")-SUMIFS(E3150:E9015,K3150:K9015,"0",B3150:B9015,"5 1 1 3 2 12 31111 6 M59 10500*")</f>
        <v>0</v>
      </c>
      <c r="E3149"/>
      <c r="F3149" s="35">
        <f>SUMIFS(F3150:F9015,K3150:K9015,"0",B3150:B9015,"5 1 1 3 2 12 31111 6 M59 10500*")</f>
        <v>124104.69</v>
      </c>
      <c r="G3149" s="35">
        <f>SUMIFS(G3150:G9015,K3150:K9015,"0",B3150:B9015,"5 1 1 3 2 12 31111 6 M59 10500*")</f>
        <v>0</v>
      </c>
      <c r="H3149" s="35">
        <f t="shared" si="50"/>
        <v>124104.69</v>
      </c>
      <c r="I3149" s="35"/>
      <c r="K3149" t="s">
        <v>15</v>
      </c>
    </row>
    <row r="3150" spans="2:11" ht="16.5" x14ac:dyDescent="0.2">
      <c r="B3150" s="33" t="s">
        <v>4084</v>
      </c>
      <c r="C3150" s="33" t="s">
        <v>648</v>
      </c>
      <c r="D3150" s="35">
        <f>SUMIFS(D3151:D9015,K3151:K9015,"0",B3151:B9015,"5 1 1 3 2 12 31111 6 M59 10500 000132*")-SUMIFS(E3151:E9015,K3151:K9015,"0",B3151:B9015,"5 1 1 3 2 12 31111 6 M59 10500 000132*")</f>
        <v>0</v>
      </c>
      <c r="E3150"/>
      <c r="F3150" s="35">
        <f>SUMIFS(F3151:F9015,K3151:K9015,"0",B3151:B9015,"5 1 1 3 2 12 31111 6 M59 10500 000132*")</f>
        <v>124104.69</v>
      </c>
      <c r="G3150" s="35">
        <f>SUMIFS(G3151:G9015,K3151:K9015,"0",B3151:B9015,"5 1 1 3 2 12 31111 6 M59 10500 000132*")</f>
        <v>0</v>
      </c>
      <c r="H3150" s="35">
        <f t="shared" si="50"/>
        <v>124104.69</v>
      </c>
      <c r="I3150" s="35"/>
      <c r="K3150" t="s">
        <v>15</v>
      </c>
    </row>
    <row r="3151" spans="2:11" ht="24.75" x14ac:dyDescent="0.2">
      <c r="B3151" s="33" t="s">
        <v>4085</v>
      </c>
      <c r="C3151" s="33" t="s">
        <v>650</v>
      </c>
      <c r="D3151" s="35">
        <f>SUMIFS(D3152:D9015,K3152:K9015,"0",B3152:B9015,"5 1 1 3 2 12 31111 6 M59 10500 000132 0000R*")-SUMIFS(E3152:E9015,K3152:K9015,"0",B3152:B9015,"5 1 1 3 2 12 31111 6 M59 10500 000132 0000R*")</f>
        <v>0</v>
      </c>
      <c r="E3151"/>
      <c r="F3151" s="35">
        <f>SUMIFS(F3152:F9015,K3152:K9015,"0",B3152:B9015,"5 1 1 3 2 12 31111 6 M59 10500 000132 0000R*")</f>
        <v>124104.69</v>
      </c>
      <c r="G3151" s="35">
        <f>SUMIFS(G3152:G9015,K3152:K9015,"0",B3152:B9015,"5 1 1 3 2 12 31111 6 M59 10500 000132 0000R*")</f>
        <v>0</v>
      </c>
      <c r="H3151" s="35">
        <f t="shared" si="50"/>
        <v>124104.69</v>
      </c>
      <c r="I3151" s="35"/>
      <c r="K3151" t="s">
        <v>15</v>
      </c>
    </row>
    <row r="3152" spans="2:11" ht="24.75" x14ac:dyDescent="0.2">
      <c r="B3152" s="33" t="s">
        <v>4086</v>
      </c>
      <c r="C3152" s="33" t="s">
        <v>282</v>
      </c>
      <c r="D3152" s="35">
        <f>SUMIFS(D3153:D9015,K3153:K9015,"0",B3153:B9015,"5 1 1 3 2 12 31111 6 M59 10500 000132 0000R 00001*")-SUMIFS(E3153:E9015,K3153:K9015,"0",B3153:B9015,"5 1 1 3 2 12 31111 6 M59 10500 000132 0000R 00001*")</f>
        <v>0</v>
      </c>
      <c r="E3152"/>
      <c r="F3152" s="35">
        <f>SUMIFS(F3153:F9015,K3153:K9015,"0",B3153:B9015,"5 1 1 3 2 12 31111 6 M59 10500 000132 0000R 00001*")</f>
        <v>124104.69</v>
      </c>
      <c r="G3152" s="35">
        <f>SUMIFS(G3153:G9015,K3153:K9015,"0",B3153:B9015,"5 1 1 3 2 12 31111 6 M59 10500 000132 0000R 00001*")</f>
        <v>0</v>
      </c>
      <c r="H3152" s="35">
        <f t="shared" si="50"/>
        <v>124104.69</v>
      </c>
      <c r="I3152" s="35"/>
      <c r="K3152" t="s">
        <v>15</v>
      </c>
    </row>
    <row r="3153" spans="2:11" ht="24.75" x14ac:dyDescent="0.2">
      <c r="B3153" s="33" t="s">
        <v>4087</v>
      </c>
      <c r="C3153" s="33" t="s">
        <v>4041</v>
      </c>
      <c r="D3153" s="35">
        <f>SUMIFS(D3154:D9015,K3154:K9015,"0",B3154:B9015,"5 1 1 3 2 12 31111 6 M59 10500 000132 0000R 00001 00132*")-SUMIFS(E3154:E9015,K3154:K9015,"0",B3154:B9015,"5 1 1 3 2 12 31111 6 M59 10500 000132 0000R 00001 00132*")</f>
        <v>0</v>
      </c>
      <c r="E3153"/>
      <c r="F3153" s="35">
        <f>SUMIFS(F3154:F9015,K3154:K9015,"0",B3154:B9015,"5 1 1 3 2 12 31111 6 M59 10500 000132 0000R 00001 00132*")</f>
        <v>124104.69</v>
      </c>
      <c r="G3153" s="35">
        <f>SUMIFS(G3154:G9015,K3154:K9015,"0",B3154:B9015,"5 1 1 3 2 12 31111 6 M59 10500 000132 0000R 00001 00132*")</f>
        <v>0</v>
      </c>
      <c r="H3153" s="35">
        <f t="shared" si="50"/>
        <v>124104.69</v>
      </c>
      <c r="I3153" s="35"/>
      <c r="K3153" t="s">
        <v>15</v>
      </c>
    </row>
    <row r="3154" spans="2:11" ht="33" x14ac:dyDescent="0.2">
      <c r="B3154" s="33" t="s">
        <v>4088</v>
      </c>
      <c r="C3154" s="33" t="s">
        <v>1051</v>
      </c>
      <c r="D3154" s="35">
        <f>SUMIFS(D3155:D9015,K3155:K9015,"0",B3155:B9015,"5 1 1 3 2 12 31111 6 M59 10500 000132 0000R 00001 00132 015*")-SUMIFS(E3155:E9015,K3155:K9015,"0",B3155:B9015,"5 1 1 3 2 12 31111 6 M59 10500 000132 0000R 00001 00132 015*")</f>
        <v>0</v>
      </c>
      <c r="E3154"/>
      <c r="F3154" s="35">
        <f>SUMIFS(F3155:F9015,K3155:K9015,"0",B3155:B9015,"5 1 1 3 2 12 31111 6 M59 10500 000132 0000R 00001 00132 015*")</f>
        <v>124104.69</v>
      </c>
      <c r="G3154" s="35">
        <f>SUMIFS(G3155:G9015,K3155:K9015,"0",B3155:B9015,"5 1 1 3 2 12 31111 6 M59 10500 000132 0000R 00001 00132 015*")</f>
        <v>0</v>
      </c>
      <c r="H3154" s="35">
        <f t="shared" si="50"/>
        <v>124104.69</v>
      </c>
      <c r="I3154" s="35"/>
      <c r="K3154" t="s">
        <v>15</v>
      </c>
    </row>
    <row r="3155" spans="2:11" ht="33" x14ac:dyDescent="0.2">
      <c r="B3155" s="33" t="s">
        <v>4089</v>
      </c>
      <c r="C3155" s="33" t="s">
        <v>2927</v>
      </c>
      <c r="D3155" s="35">
        <f>SUMIFS(D3156:D9015,K3156:K9015,"0",B3156:B9015,"5 1 1 3 2 12 31111 6 M59 10500 000132 0000R 00001 00132 015 2111100*")-SUMIFS(E3156:E9015,K3156:K9015,"0",B3156:B9015,"5 1 1 3 2 12 31111 6 M59 10500 000132 0000R 00001 00132 015 2111100*")</f>
        <v>0</v>
      </c>
      <c r="E3155"/>
      <c r="F3155" s="35">
        <f>SUMIFS(F3156:F9015,K3156:K9015,"0",B3156:B9015,"5 1 1 3 2 12 31111 6 M59 10500 000132 0000R 00001 00132 015 2111100*")</f>
        <v>124104.69</v>
      </c>
      <c r="G3155" s="35">
        <f>SUMIFS(G3156:G9015,K3156:K9015,"0",B3156:B9015,"5 1 1 3 2 12 31111 6 M59 10500 000132 0000R 00001 00132 015 2111100*")</f>
        <v>0</v>
      </c>
      <c r="H3155" s="35">
        <f t="shared" si="50"/>
        <v>124104.69</v>
      </c>
      <c r="I3155" s="35"/>
      <c r="K3155" t="s">
        <v>15</v>
      </c>
    </row>
    <row r="3156" spans="2:11" ht="33" x14ac:dyDescent="0.2">
      <c r="B3156" s="33" t="s">
        <v>4090</v>
      </c>
      <c r="C3156" s="33" t="s">
        <v>660</v>
      </c>
      <c r="D3156" s="35">
        <f>SUMIFS(D3157:D9015,K3157:K9015,"0",B3157:B9015,"5 1 1 3 2 12 31111 6 M59 10500 000132 0000R 00001 00132 015 2111100 2024*")-SUMIFS(E3157:E9015,K3157:K9015,"0",B3157:B9015,"5 1 1 3 2 12 31111 6 M59 10500 000132 0000R 00001 00132 015 2111100 2024*")</f>
        <v>0</v>
      </c>
      <c r="E3156"/>
      <c r="F3156" s="35">
        <f>SUMIFS(F3157:F9015,K3157:K9015,"0",B3157:B9015,"5 1 1 3 2 12 31111 6 M59 10500 000132 0000R 00001 00132 015 2111100 2024*")</f>
        <v>124104.69</v>
      </c>
      <c r="G3156" s="35">
        <f>SUMIFS(G3157:G9015,K3157:K9015,"0",B3157:B9015,"5 1 1 3 2 12 31111 6 M59 10500 000132 0000R 00001 00132 015 2111100 2024*")</f>
        <v>0</v>
      </c>
      <c r="H3156" s="35">
        <f t="shared" si="50"/>
        <v>124104.69</v>
      </c>
      <c r="I3156" s="35"/>
      <c r="K3156" t="s">
        <v>15</v>
      </c>
    </row>
    <row r="3157" spans="2:11" ht="41.25" x14ac:dyDescent="0.2">
      <c r="B3157" s="33" t="s">
        <v>4091</v>
      </c>
      <c r="C3157" s="33" t="s">
        <v>1056</v>
      </c>
      <c r="D3157" s="35">
        <f>SUMIFS(D3158:D9015,K3158:K9015,"0",B3158:B9015,"5 1 1 3 2 12 31111 6 M59 10500 000132 0000R 00001 00132 015 2111100 2024 CP1CS421*")-SUMIFS(E3158:E9015,K3158:K9015,"0",B3158:B9015,"5 1 1 3 2 12 31111 6 M59 10500 000132 0000R 00001 00132 015 2111100 2024 CP1CS421*")</f>
        <v>0</v>
      </c>
      <c r="E3157"/>
      <c r="F3157" s="35">
        <f>SUMIFS(F3158:F9015,K3158:K9015,"0",B3158:B9015,"5 1 1 3 2 12 31111 6 M59 10500 000132 0000R 00001 00132 015 2111100 2024 CP1CS421*")</f>
        <v>124104.69</v>
      </c>
      <c r="G3157" s="35">
        <f>SUMIFS(G3158:G9015,K3158:K9015,"0",B3158:B9015,"5 1 1 3 2 12 31111 6 M59 10500 000132 0000R 00001 00132 015 2111100 2024 CP1CS421*")</f>
        <v>0</v>
      </c>
      <c r="H3157" s="35">
        <f t="shared" si="50"/>
        <v>124104.69</v>
      </c>
      <c r="I3157" s="35"/>
      <c r="K3157" t="s">
        <v>15</v>
      </c>
    </row>
    <row r="3158" spans="2:11" ht="41.25" x14ac:dyDescent="0.2">
      <c r="B3158" s="33" t="s">
        <v>4092</v>
      </c>
      <c r="C3158" s="33" t="s">
        <v>282</v>
      </c>
      <c r="D3158" s="35">
        <f>SUMIFS(D3159:D9015,K3159:K9015,"0",B3159:B9015,"5 1 1 3 2 12 31111 6 M59 10500 000132 0000R 00001 00132 015 2111100 2024 CP1CS421 001*")-SUMIFS(E3159:E9015,K3159:K9015,"0",B3159:B9015,"5 1 1 3 2 12 31111 6 M59 10500 000132 0000R 00001 00132 015 2111100 2024 CP1CS421 001*")</f>
        <v>0</v>
      </c>
      <c r="E3158"/>
      <c r="F3158" s="35">
        <f>SUMIFS(F3159:F9015,K3159:K9015,"0",B3159:B9015,"5 1 1 3 2 12 31111 6 M59 10500 000132 0000R 00001 00132 015 2111100 2024 CP1CS421 001*")</f>
        <v>124104.69</v>
      </c>
      <c r="G3158" s="35">
        <f>SUMIFS(G3159:G9015,K3159:K9015,"0",B3159:B9015,"5 1 1 3 2 12 31111 6 M59 10500 000132 0000R 00001 00132 015 2111100 2024 CP1CS421 001*")</f>
        <v>0</v>
      </c>
      <c r="H3158" s="35">
        <f t="shared" si="50"/>
        <v>124104.69</v>
      </c>
      <c r="I3158" s="35"/>
      <c r="K3158" t="s">
        <v>15</v>
      </c>
    </row>
    <row r="3159" spans="2:11" ht="33" x14ac:dyDescent="0.2">
      <c r="B3159" s="31" t="s">
        <v>4093</v>
      </c>
      <c r="C3159" s="31" t="s">
        <v>1519</v>
      </c>
      <c r="D3159" s="34">
        <v>0</v>
      </c>
      <c r="E3159" s="34"/>
      <c r="F3159" s="34">
        <v>68830.649999999994</v>
      </c>
      <c r="G3159" s="34">
        <v>0</v>
      </c>
      <c r="H3159" s="34">
        <f t="shared" si="50"/>
        <v>68830.649999999994</v>
      </c>
      <c r="I3159" s="34"/>
      <c r="K3159" t="s">
        <v>38</v>
      </c>
    </row>
    <row r="3160" spans="2:11" ht="33" x14ac:dyDescent="0.2">
      <c r="B3160" s="31" t="s">
        <v>4094</v>
      </c>
      <c r="C3160" s="31" t="s">
        <v>4071</v>
      </c>
      <c r="D3160" s="34">
        <v>0</v>
      </c>
      <c r="E3160" s="34"/>
      <c r="F3160" s="34">
        <v>55274.04</v>
      </c>
      <c r="G3160" s="34">
        <v>0</v>
      </c>
      <c r="H3160" s="34">
        <f t="shared" si="50"/>
        <v>55274.04</v>
      </c>
      <c r="I3160" s="34"/>
      <c r="K3160" t="s">
        <v>38</v>
      </c>
    </row>
    <row r="3161" spans="2:11" ht="16.5" x14ac:dyDescent="0.2">
      <c r="B3161" s="33" t="s">
        <v>4095</v>
      </c>
      <c r="C3161" s="33" t="s">
        <v>2983</v>
      </c>
      <c r="D3161" s="35">
        <f>SUMIFS(D3162:D9015,K3162:K9015,"0",B3162:B9015,"5 1 1 3 2 12 31111 6 M59 10600*")-SUMIFS(E3162:E9015,K3162:K9015,"0",B3162:B9015,"5 1 1 3 2 12 31111 6 M59 10600*")</f>
        <v>0</v>
      </c>
      <c r="E3161"/>
      <c r="F3161" s="35">
        <f>SUMIFS(F3162:F9015,K3162:K9015,"0",B3162:B9015,"5 1 1 3 2 12 31111 6 M59 10600*")</f>
        <v>156300</v>
      </c>
      <c r="G3161" s="35">
        <f>SUMIFS(G3162:G9015,K3162:K9015,"0",B3162:B9015,"5 1 1 3 2 12 31111 6 M59 10600*")</f>
        <v>0</v>
      </c>
      <c r="H3161" s="35">
        <f t="shared" si="50"/>
        <v>156300</v>
      </c>
      <c r="I3161" s="35"/>
      <c r="K3161" t="s">
        <v>15</v>
      </c>
    </row>
    <row r="3162" spans="2:11" ht="16.5" x14ac:dyDescent="0.2">
      <c r="B3162" s="33" t="s">
        <v>4096</v>
      </c>
      <c r="C3162" s="33" t="s">
        <v>648</v>
      </c>
      <c r="D3162" s="35">
        <f>SUMIFS(D3163:D9015,K3163:K9015,"0",B3163:B9015,"5 1 1 3 2 12 31111 6 M59 10600 000132*")-SUMIFS(E3163:E9015,K3163:K9015,"0",B3163:B9015,"5 1 1 3 2 12 31111 6 M59 10600 000132*")</f>
        <v>0</v>
      </c>
      <c r="E3162"/>
      <c r="F3162" s="35">
        <f>SUMIFS(F3163:F9015,K3163:K9015,"0",B3163:B9015,"5 1 1 3 2 12 31111 6 M59 10600 000132*")</f>
        <v>156300</v>
      </c>
      <c r="G3162" s="35">
        <f>SUMIFS(G3163:G9015,K3163:K9015,"0",B3163:B9015,"5 1 1 3 2 12 31111 6 M59 10600 000132*")</f>
        <v>0</v>
      </c>
      <c r="H3162" s="35">
        <f t="shared" si="50"/>
        <v>156300</v>
      </c>
      <c r="I3162" s="35"/>
      <c r="K3162" t="s">
        <v>15</v>
      </c>
    </row>
    <row r="3163" spans="2:11" ht="24.75" x14ac:dyDescent="0.2">
      <c r="B3163" s="33" t="s">
        <v>4097</v>
      </c>
      <c r="C3163" s="33" t="s">
        <v>650</v>
      </c>
      <c r="D3163" s="35">
        <f>SUMIFS(D3164:D9015,K3164:K9015,"0",B3164:B9015,"5 1 1 3 2 12 31111 6 M59 10600 000132 0000R*")-SUMIFS(E3164:E9015,K3164:K9015,"0",B3164:B9015,"5 1 1 3 2 12 31111 6 M59 10600 000132 0000R*")</f>
        <v>0</v>
      </c>
      <c r="E3163"/>
      <c r="F3163" s="35">
        <f>SUMIFS(F3164:F9015,K3164:K9015,"0",B3164:B9015,"5 1 1 3 2 12 31111 6 M59 10600 000132 0000R*")</f>
        <v>156300</v>
      </c>
      <c r="G3163" s="35">
        <f>SUMIFS(G3164:G9015,K3164:K9015,"0",B3164:B9015,"5 1 1 3 2 12 31111 6 M59 10600 000132 0000R*")</f>
        <v>0</v>
      </c>
      <c r="H3163" s="35">
        <f t="shared" si="50"/>
        <v>156300</v>
      </c>
      <c r="I3163" s="35"/>
      <c r="K3163" t="s">
        <v>15</v>
      </c>
    </row>
    <row r="3164" spans="2:11" ht="24.75" x14ac:dyDescent="0.2">
      <c r="B3164" s="33" t="s">
        <v>4098</v>
      </c>
      <c r="C3164" s="33" t="s">
        <v>282</v>
      </c>
      <c r="D3164" s="35">
        <f>SUMIFS(D3165:D9015,K3165:K9015,"0",B3165:B9015,"5 1 1 3 2 12 31111 6 M59 10600 000132 0000R 00001*")-SUMIFS(E3165:E9015,K3165:K9015,"0",B3165:B9015,"5 1 1 3 2 12 31111 6 M59 10600 000132 0000R 00001*")</f>
        <v>0</v>
      </c>
      <c r="E3164"/>
      <c r="F3164" s="35">
        <f>SUMIFS(F3165:F9015,K3165:K9015,"0",B3165:B9015,"5 1 1 3 2 12 31111 6 M59 10600 000132 0000R 00001*")</f>
        <v>156300</v>
      </c>
      <c r="G3164" s="35">
        <f>SUMIFS(G3165:G9015,K3165:K9015,"0",B3165:B9015,"5 1 1 3 2 12 31111 6 M59 10600 000132 0000R 00001*")</f>
        <v>0</v>
      </c>
      <c r="H3164" s="35">
        <f t="shared" si="50"/>
        <v>156300</v>
      </c>
      <c r="I3164" s="35"/>
      <c r="K3164" t="s">
        <v>15</v>
      </c>
    </row>
    <row r="3165" spans="2:11" ht="24.75" x14ac:dyDescent="0.2">
      <c r="B3165" s="33" t="s">
        <v>4099</v>
      </c>
      <c r="C3165" s="33" t="s">
        <v>4041</v>
      </c>
      <c r="D3165" s="35">
        <f>SUMIFS(D3166:D9015,K3166:K9015,"0",B3166:B9015,"5 1 1 3 2 12 31111 6 M59 10600 000132 0000R 00001 00132*")-SUMIFS(E3166:E9015,K3166:K9015,"0",B3166:B9015,"5 1 1 3 2 12 31111 6 M59 10600 000132 0000R 00001 00132*")</f>
        <v>0</v>
      </c>
      <c r="E3165"/>
      <c r="F3165" s="35">
        <f>SUMIFS(F3166:F9015,K3166:K9015,"0",B3166:B9015,"5 1 1 3 2 12 31111 6 M59 10600 000132 0000R 00001 00132*")</f>
        <v>156300</v>
      </c>
      <c r="G3165" s="35">
        <f>SUMIFS(G3166:G9015,K3166:K9015,"0",B3166:B9015,"5 1 1 3 2 12 31111 6 M59 10600 000132 0000R 00001 00132*")</f>
        <v>0</v>
      </c>
      <c r="H3165" s="35">
        <f t="shared" si="50"/>
        <v>156300</v>
      </c>
      <c r="I3165" s="35"/>
      <c r="K3165" t="s">
        <v>15</v>
      </c>
    </row>
    <row r="3166" spans="2:11" ht="33" x14ac:dyDescent="0.2">
      <c r="B3166" s="33" t="s">
        <v>4100</v>
      </c>
      <c r="C3166" s="33" t="s">
        <v>1051</v>
      </c>
      <c r="D3166" s="35">
        <f>SUMIFS(D3167:D9015,K3167:K9015,"0",B3167:B9015,"5 1 1 3 2 12 31111 6 M59 10600 000132 0000R 00001 00132 015*")-SUMIFS(E3167:E9015,K3167:K9015,"0",B3167:B9015,"5 1 1 3 2 12 31111 6 M59 10600 000132 0000R 00001 00132 015*")</f>
        <v>0</v>
      </c>
      <c r="E3166"/>
      <c r="F3166" s="35">
        <f>SUMIFS(F3167:F9015,K3167:K9015,"0",B3167:B9015,"5 1 1 3 2 12 31111 6 M59 10600 000132 0000R 00001 00132 015*")</f>
        <v>156300</v>
      </c>
      <c r="G3166" s="35">
        <f>SUMIFS(G3167:G9015,K3167:K9015,"0",B3167:B9015,"5 1 1 3 2 12 31111 6 M59 10600 000132 0000R 00001 00132 015*")</f>
        <v>0</v>
      </c>
      <c r="H3166" s="35">
        <f t="shared" si="50"/>
        <v>156300</v>
      </c>
      <c r="I3166" s="35"/>
      <c r="K3166" t="s">
        <v>15</v>
      </c>
    </row>
    <row r="3167" spans="2:11" ht="33" x14ac:dyDescent="0.2">
      <c r="B3167" s="33" t="s">
        <v>4101</v>
      </c>
      <c r="C3167" s="33" t="s">
        <v>2927</v>
      </c>
      <c r="D3167" s="35">
        <f>SUMIFS(D3168:D9015,K3168:K9015,"0",B3168:B9015,"5 1 1 3 2 12 31111 6 M59 10600 000132 0000R 00001 00132 015 2111100*")-SUMIFS(E3168:E9015,K3168:K9015,"0",B3168:B9015,"5 1 1 3 2 12 31111 6 M59 10600 000132 0000R 00001 00132 015 2111100*")</f>
        <v>0</v>
      </c>
      <c r="E3167"/>
      <c r="F3167" s="35">
        <f>SUMIFS(F3168:F9015,K3168:K9015,"0",B3168:B9015,"5 1 1 3 2 12 31111 6 M59 10600 000132 0000R 00001 00132 015 2111100*")</f>
        <v>156300</v>
      </c>
      <c r="G3167" s="35">
        <f>SUMIFS(G3168:G9015,K3168:K9015,"0",B3168:B9015,"5 1 1 3 2 12 31111 6 M59 10600 000132 0000R 00001 00132 015 2111100*")</f>
        <v>0</v>
      </c>
      <c r="H3167" s="35">
        <f t="shared" si="50"/>
        <v>156300</v>
      </c>
      <c r="I3167" s="35"/>
      <c r="K3167" t="s">
        <v>15</v>
      </c>
    </row>
    <row r="3168" spans="2:11" ht="33" x14ac:dyDescent="0.2">
      <c r="B3168" s="33" t="s">
        <v>4102</v>
      </c>
      <c r="C3168" s="33" t="s">
        <v>660</v>
      </c>
      <c r="D3168" s="35">
        <f>SUMIFS(D3169:D9015,K3169:K9015,"0",B3169:B9015,"5 1 1 3 2 12 31111 6 M59 10600 000132 0000R 00001 00132 015 2111100 2024*")-SUMIFS(E3169:E9015,K3169:K9015,"0",B3169:B9015,"5 1 1 3 2 12 31111 6 M59 10600 000132 0000R 00001 00132 015 2111100 2024*")</f>
        <v>0</v>
      </c>
      <c r="E3168"/>
      <c r="F3168" s="35">
        <f>SUMIFS(F3169:F9015,K3169:K9015,"0",B3169:B9015,"5 1 1 3 2 12 31111 6 M59 10600 000132 0000R 00001 00132 015 2111100 2024*")</f>
        <v>156300</v>
      </c>
      <c r="G3168" s="35">
        <f>SUMIFS(G3169:G9015,K3169:K9015,"0",B3169:B9015,"5 1 1 3 2 12 31111 6 M59 10600 000132 0000R 00001 00132 015 2111100 2024*")</f>
        <v>0</v>
      </c>
      <c r="H3168" s="35">
        <f t="shared" si="50"/>
        <v>156300</v>
      </c>
      <c r="I3168" s="35"/>
      <c r="K3168" t="s">
        <v>15</v>
      </c>
    </row>
    <row r="3169" spans="2:11" ht="41.25" x14ac:dyDescent="0.2">
      <c r="B3169" s="33" t="s">
        <v>4103</v>
      </c>
      <c r="C3169" s="33" t="s">
        <v>2992</v>
      </c>
      <c r="D3169" s="35">
        <f>SUMIFS(D3170:D9015,K3170:K9015,"0",B3170:B9015,"5 1 1 3 2 12 31111 6 M59 10600 000132 0000R 00001 00132 015 2111100 2024 CP1CM436*")-SUMIFS(E3170:E9015,K3170:K9015,"0",B3170:B9015,"5 1 1 3 2 12 31111 6 M59 10600 000132 0000R 00001 00132 015 2111100 2024 CP1CM436*")</f>
        <v>0</v>
      </c>
      <c r="E3169"/>
      <c r="F3169" s="35">
        <f>SUMIFS(F3170:F9015,K3170:K9015,"0",B3170:B9015,"5 1 1 3 2 12 31111 6 M59 10600 000132 0000R 00001 00132 015 2111100 2024 CP1CM436*")</f>
        <v>156300</v>
      </c>
      <c r="G3169" s="35">
        <f>SUMIFS(G3170:G9015,K3170:K9015,"0",B3170:B9015,"5 1 1 3 2 12 31111 6 M59 10600 000132 0000R 00001 00132 015 2111100 2024 CP1CM436*")</f>
        <v>0</v>
      </c>
      <c r="H3169" s="35">
        <f t="shared" si="50"/>
        <v>156300</v>
      </c>
      <c r="I3169" s="35"/>
      <c r="K3169" t="s">
        <v>15</v>
      </c>
    </row>
    <row r="3170" spans="2:11" ht="41.25" x14ac:dyDescent="0.2">
      <c r="B3170" s="33" t="s">
        <v>4104</v>
      </c>
      <c r="C3170" s="33" t="s">
        <v>282</v>
      </c>
      <c r="D3170" s="35">
        <f>SUMIFS(D3171:D9015,K3171:K9015,"0",B3171:B9015,"5 1 1 3 2 12 31111 6 M59 10600 000132 0000R 00001 00132 015 2111100 2024 CP1CM436 001*")-SUMIFS(E3171:E9015,K3171:K9015,"0",B3171:B9015,"5 1 1 3 2 12 31111 6 M59 10600 000132 0000R 00001 00132 015 2111100 2024 CP1CM436 001*")</f>
        <v>0</v>
      </c>
      <c r="E3170"/>
      <c r="F3170" s="35">
        <f>SUMIFS(F3171:F9015,K3171:K9015,"0",B3171:B9015,"5 1 1 3 2 12 31111 6 M59 10600 000132 0000R 00001 00132 015 2111100 2024 CP1CM436 001*")</f>
        <v>156300</v>
      </c>
      <c r="G3170" s="35">
        <f>SUMIFS(G3171:G9015,K3171:K9015,"0",B3171:B9015,"5 1 1 3 2 12 31111 6 M59 10600 000132 0000R 00001 00132 015 2111100 2024 CP1CM436 001*")</f>
        <v>0</v>
      </c>
      <c r="H3170" s="35">
        <f t="shared" si="50"/>
        <v>156300</v>
      </c>
      <c r="I3170" s="35"/>
      <c r="K3170" t="s">
        <v>15</v>
      </c>
    </row>
    <row r="3171" spans="2:11" ht="33" x14ac:dyDescent="0.2">
      <c r="B3171" s="31" t="s">
        <v>4105</v>
      </c>
      <c r="C3171" s="31" t="s">
        <v>1519</v>
      </c>
      <c r="D3171" s="34">
        <v>0</v>
      </c>
      <c r="E3171" s="34"/>
      <c r="F3171" s="34">
        <v>156300</v>
      </c>
      <c r="G3171" s="34">
        <v>0</v>
      </c>
      <c r="H3171" s="34">
        <f t="shared" si="50"/>
        <v>156300</v>
      </c>
      <c r="I3171" s="34"/>
      <c r="K3171" t="s">
        <v>38</v>
      </c>
    </row>
    <row r="3172" spans="2:11" ht="16.5" x14ac:dyDescent="0.2">
      <c r="B3172" s="33" t="s">
        <v>4106</v>
      </c>
      <c r="C3172" s="33" t="s">
        <v>2996</v>
      </c>
      <c r="D3172" s="35">
        <f>SUMIFS(D3173:D9015,K3173:K9015,"0",B3173:B9015,"5 1 1 3 2 12 31111 6 M59 10700*")-SUMIFS(E3173:E9015,K3173:K9015,"0",B3173:B9015,"5 1 1 3 2 12 31111 6 M59 10700*")</f>
        <v>0</v>
      </c>
      <c r="E3172"/>
      <c r="F3172" s="35">
        <f>SUMIFS(F3173:F9015,K3173:K9015,"0",B3173:B9015,"5 1 1 3 2 12 31111 6 M59 10700*")</f>
        <v>15600</v>
      </c>
      <c r="G3172" s="35">
        <f>SUMIFS(G3173:G9015,K3173:K9015,"0",B3173:B9015,"5 1 1 3 2 12 31111 6 M59 10700*")</f>
        <v>0</v>
      </c>
      <c r="H3172" s="35">
        <f t="shared" si="50"/>
        <v>15600</v>
      </c>
      <c r="I3172" s="35"/>
      <c r="K3172" t="s">
        <v>15</v>
      </c>
    </row>
    <row r="3173" spans="2:11" ht="16.5" x14ac:dyDescent="0.2">
      <c r="B3173" s="33" t="s">
        <v>4107</v>
      </c>
      <c r="C3173" s="33" t="s">
        <v>648</v>
      </c>
      <c r="D3173" s="35">
        <f>SUMIFS(D3174:D9015,K3174:K9015,"0",B3174:B9015,"5 1 1 3 2 12 31111 6 M59 10700 000132*")-SUMIFS(E3174:E9015,K3174:K9015,"0",B3174:B9015,"5 1 1 3 2 12 31111 6 M59 10700 000132*")</f>
        <v>0</v>
      </c>
      <c r="E3173"/>
      <c r="F3173" s="35">
        <f>SUMIFS(F3174:F9015,K3174:K9015,"0",B3174:B9015,"5 1 1 3 2 12 31111 6 M59 10700 000132*")</f>
        <v>15600</v>
      </c>
      <c r="G3173" s="35">
        <f>SUMIFS(G3174:G9015,K3174:K9015,"0",B3174:B9015,"5 1 1 3 2 12 31111 6 M59 10700 000132*")</f>
        <v>0</v>
      </c>
      <c r="H3173" s="35">
        <f t="shared" si="50"/>
        <v>15600</v>
      </c>
      <c r="I3173" s="35"/>
      <c r="K3173" t="s">
        <v>15</v>
      </c>
    </row>
    <row r="3174" spans="2:11" ht="24.75" x14ac:dyDescent="0.2">
      <c r="B3174" s="33" t="s">
        <v>4108</v>
      </c>
      <c r="C3174" s="33" t="s">
        <v>650</v>
      </c>
      <c r="D3174" s="35">
        <f>SUMIFS(D3175:D9015,K3175:K9015,"0",B3175:B9015,"5 1 1 3 2 12 31111 6 M59 10700 000132 0000R*")-SUMIFS(E3175:E9015,K3175:K9015,"0",B3175:B9015,"5 1 1 3 2 12 31111 6 M59 10700 000132 0000R*")</f>
        <v>0</v>
      </c>
      <c r="E3174"/>
      <c r="F3174" s="35">
        <f>SUMIFS(F3175:F9015,K3175:K9015,"0",B3175:B9015,"5 1 1 3 2 12 31111 6 M59 10700 000132 0000R*")</f>
        <v>15600</v>
      </c>
      <c r="G3174" s="35">
        <f>SUMIFS(G3175:G9015,K3175:K9015,"0",B3175:B9015,"5 1 1 3 2 12 31111 6 M59 10700 000132 0000R*")</f>
        <v>0</v>
      </c>
      <c r="H3174" s="35">
        <f t="shared" si="50"/>
        <v>15600</v>
      </c>
      <c r="I3174" s="35"/>
      <c r="K3174" t="s">
        <v>15</v>
      </c>
    </row>
    <row r="3175" spans="2:11" ht="24.75" x14ac:dyDescent="0.2">
      <c r="B3175" s="33" t="s">
        <v>4109</v>
      </c>
      <c r="C3175" s="33" t="s">
        <v>282</v>
      </c>
      <c r="D3175" s="35">
        <f>SUMIFS(D3176:D9015,K3176:K9015,"0",B3176:B9015,"5 1 1 3 2 12 31111 6 M59 10700 000132 0000R 00001*")-SUMIFS(E3176:E9015,K3176:K9015,"0",B3176:B9015,"5 1 1 3 2 12 31111 6 M59 10700 000132 0000R 00001*")</f>
        <v>0</v>
      </c>
      <c r="E3175"/>
      <c r="F3175" s="35">
        <f>SUMIFS(F3176:F9015,K3176:K9015,"0",B3176:B9015,"5 1 1 3 2 12 31111 6 M59 10700 000132 0000R 00001*")</f>
        <v>15600</v>
      </c>
      <c r="G3175" s="35">
        <f>SUMIFS(G3176:G9015,K3176:K9015,"0",B3176:B9015,"5 1 1 3 2 12 31111 6 M59 10700 000132 0000R 00001*")</f>
        <v>0</v>
      </c>
      <c r="H3175" s="35">
        <f t="shared" si="50"/>
        <v>15600</v>
      </c>
      <c r="I3175" s="35"/>
      <c r="K3175" t="s">
        <v>15</v>
      </c>
    </row>
    <row r="3176" spans="2:11" ht="24.75" x14ac:dyDescent="0.2">
      <c r="B3176" s="33" t="s">
        <v>4110</v>
      </c>
      <c r="C3176" s="33" t="s">
        <v>4041</v>
      </c>
      <c r="D3176" s="35">
        <f>SUMIFS(D3177:D9015,K3177:K9015,"0",B3177:B9015,"5 1 1 3 2 12 31111 6 M59 10700 000132 0000R 00001 00132*")-SUMIFS(E3177:E9015,K3177:K9015,"0",B3177:B9015,"5 1 1 3 2 12 31111 6 M59 10700 000132 0000R 00001 00132*")</f>
        <v>0</v>
      </c>
      <c r="E3176"/>
      <c r="F3176" s="35">
        <f>SUMIFS(F3177:F9015,K3177:K9015,"0",B3177:B9015,"5 1 1 3 2 12 31111 6 M59 10700 000132 0000R 00001 00132*")</f>
        <v>15600</v>
      </c>
      <c r="G3176" s="35">
        <f>SUMIFS(G3177:G9015,K3177:K9015,"0",B3177:B9015,"5 1 1 3 2 12 31111 6 M59 10700 000132 0000R 00001 00132*")</f>
        <v>0</v>
      </c>
      <c r="H3176" s="35">
        <f t="shared" si="50"/>
        <v>15600</v>
      </c>
      <c r="I3176" s="35"/>
      <c r="K3176" t="s">
        <v>15</v>
      </c>
    </row>
    <row r="3177" spans="2:11" ht="33" x14ac:dyDescent="0.2">
      <c r="B3177" s="33" t="s">
        <v>4111</v>
      </c>
      <c r="C3177" s="33" t="s">
        <v>1051</v>
      </c>
      <c r="D3177" s="35">
        <f>SUMIFS(D3178:D9015,K3178:K9015,"0",B3178:B9015,"5 1 1 3 2 12 31111 6 M59 10700 000132 0000R 00001 00132 015*")-SUMIFS(E3178:E9015,K3178:K9015,"0",B3178:B9015,"5 1 1 3 2 12 31111 6 M59 10700 000132 0000R 00001 00132 015*")</f>
        <v>0</v>
      </c>
      <c r="E3177"/>
      <c r="F3177" s="35">
        <f>SUMIFS(F3178:F9015,K3178:K9015,"0",B3178:B9015,"5 1 1 3 2 12 31111 6 M59 10700 000132 0000R 00001 00132 015*")</f>
        <v>15600</v>
      </c>
      <c r="G3177" s="35">
        <f>SUMIFS(G3178:G9015,K3178:K9015,"0",B3178:B9015,"5 1 1 3 2 12 31111 6 M59 10700 000132 0000R 00001 00132 015*")</f>
        <v>0</v>
      </c>
      <c r="H3177" s="35">
        <f t="shared" si="50"/>
        <v>15600</v>
      </c>
      <c r="I3177" s="35"/>
      <c r="K3177" t="s">
        <v>15</v>
      </c>
    </row>
    <row r="3178" spans="2:11" ht="33" x14ac:dyDescent="0.2">
      <c r="B3178" s="33" t="s">
        <v>4112</v>
      </c>
      <c r="C3178" s="33" t="s">
        <v>2927</v>
      </c>
      <c r="D3178" s="35">
        <f>SUMIFS(D3179:D9015,K3179:K9015,"0",B3179:B9015,"5 1 1 3 2 12 31111 6 M59 10700 000132 0000R 00001 00132 015 2111100*")-SUMIFS(E3179:E9015,K3179:K9015,"0",B3179:B9015,"5 1 1 3 2 12 31111 6 M59 10700 000132 0000R 00001 00132 015 2111100*")</f>
        <v>0</v>
      </c>
      <c r="E3178"/>
      <c r="F3178" s="35">
        <f>SUMIFS(F3179:F9015,K3179:K9015,"0",B3179:B9015,"5 1 1 3 2 12 31111 6 M59 10700 000132 0000R 00001 00132 015 2111100*")</f>
        <v>15600</v>
      </c>
      <c r="G3178" s="35">
        <f>SUMIFS(G3179:G9015,K3179:K9015,"0",B3179:B9015,"5 1 1 3 2 12 31111 6 M59 10700 000132 0000R 00001 00132 015 2111100*")</f>
        <v>0</v>
      </c>
      <c r="H3178" s="35">
        <f t="shared" si="50"/>
        <v>15600</v>
      </c>
      <c r="I3178" s="35"/>
      <c r="K3178" t="s">
        <v>15</v>
      </c>
    </row>
    <row r="3179" spans="2:11" ht="33" x14ac:dyDescent="0.2">
      <c r="B3179" s="33" t="s">
        <v>4113</v>
      </c>
      <c r="C3179" s="33" t="s">
        <v>660</v>
      </c>
      <c r="D3179" s="35">
        <f>SUMIFS(D3180:D9015,K3180:K9015,"0",B3180:B9015,"5 1 1 3 2 12 31111 6 M59 10700 000132 0000R 00001 00132 015 2111100 2024*")-SUMIFS(E3180:E9015,K3180:K9015,"0",B3180:B9015,"5 1 1 3 2 12 31111 6 M59 10700 000132 0000R 00001 00132 015 2111100 2024*")</f>
        <v>0</v>
      </c>
      <c r="E3179"/>
      <c r="F3179" s="35">
        <f>SUMIFS(F3180:F9015,K3180:K9015,"0",B3180:B9015,"5 1 1 3 2 12 31111 6 M59 10700 000132 0000R 00001 00132 015 2111100 2024*")</f>
        <v>15600</v>
      </c>
      <c r="G3179" s="35">
        <f>SUMIFS(G3180:G9015,K3180:K9015,"0",B3180:B9015,"5 1 1 3 2 12 31111 6 M59 10700 000132 0000R 00001 00132 015 2111100 2024*")</f>
        <v>0</v>
      </c>
      <c r="H3179" s="35">
        <f t="shared" si="50"/>
        <v>15600</v>
      </c>
      <c r="I3179" s="35"/>
      <c r="K3179" t="s">
        <v>15</v>
      </c>
    </row>
    <row r="3180" spans="2:11" ht="41.25" x14ac:dyDescent="0.2">
      <c r="B3180" s="33" t="s">
        <v>4114</v>
      </c>
      <c r="C3180" s="33" t="s">
        <v>1056</v>
      </c>
      <c r="D3180" s="35">
        <f>SUMIFS(D3181:D9015,K3181:K9015,"0",B3181:B9015,"5 1 1 3 2 12 31111 6 M59 10700 000132 0000R 00001 00132 015 2111100 2024 CP1GB435*")-SUMIFS(E3181:E9015,K3181:K9015,"0",B3181:B9015,"5 1 1 3 2 12 31111 6 M59 10700 000132 0000R 00001 00132 015 2111100 2024 CP1GB435*")</f>
        <v>0</v>
      </c>
      <c r="E3180"/>
      <c r="F3180" s="35">
        <f>SUMIFS(F3181:F9015,K3181:K9015,"0",B3181:B9015,"5 1 1 3 2 12 31111 6 M59 10700 000132 0000R 00001 00132 015 2111100 2024 CP1GB435*")</f>
        <v>15600</v>
      </c>
      <c r="G3180" s="35">
        <f>SUMIFS(G3181:G9015,K3181:K9015,"0",B3181:B9015,"5 1 1 3 2 12 31111 6 M59 10700 000132 0000R 00001 00132 015 2111100 2024 CP1GB435*")</f>
        <v>0</v>
      </c>
      <c r="H3180" s="35">
        <f t="shared" si="50"/>
        <v>15600</v>
      </c>
      <c r="I3180" s="35"/>
      <c r="K3180" t="s">
        <v>15</v>
      </c>
    </row>
    <row r="3181" spans="2:11" ht="41.25" x14ac:dyDescent="0.2">
      <c r="B3181" s="33" t="s">
        <v>4115</v>
      </c>
      <c r="C3181" s="33" t="s">
        <v>282</v>
      </c>
      <c r="D3181" s="35">
        <f>SUMIFS(D3182:D9015,K3182:K9015,"0",B3182:B9015,"5 1 1 3 2 12 31111 6 M59 10700 000132 0000R 00001 00132 015 2111100 2024 CP1GB435 001*")-SUMIFS(E3182:E9015,K3182:K9015,"0",B3182:B9015,"5 1 1 3 2 12 31111 6 M59 10700 000132 0000R 00001 00132 015 2111100 2024 CP1GB435 001*")</f>
        <v>0</v>
      </c>
      <c r="E3181"/>
      <c r="F3181" s="35">
        <f>SUMIFS(F3182:F9015,K3182:K9015,"0",B3182:B9015,"5 1 1 3 2 12 31111 6 M59 10700 000132 0000R 00001 00132 015 2111100 2024 CP1GB435 001*")</f>
        <v>15600</v>
      </c>
      <c r="G3181" s="35">
        <f>SUMIFS(G3182:G9015,K3182:K9015,"0",B3182:B9015,"5 1 1 3 2 12 31111 6 M59 10700 000132 0000R 00001 00132 015 2111100 2024 CP1GB435 001*")</f>
        <v>0</v>
      </c>
      <c r="H3181" s="35">
        <f t="shared" si="50"/>
        <v>15600</v>
      </c>
      <c r="I3181" s="35"/>
      <c r="K3181" t="s">
        <v>15</v>
      </c>
    </row>
    <row r="3182" spans="2:11" ht="33" x14ac:dyDescent="0.2">
      <c r="B3182" s="31" t="s">
        <v>4116</v>
      </c>
      <c r="C3182" s="31" t="s">
        <v>1519</v>
      </c>
      <c r="D3182" s="34">
        <v>0</v>
      </c>
      <c r="E3182" s="34"/>
      <c r="F3182" s="34">
        <v>15600</v>
      </c>
      <c r="G3182" s="34">
        <v>0</v>
      </c>
      <c r="H3182" s="34">
        <f t="shared" si="50"/>
        <v>15600</v>
      </c>
      <c r="I3182" s="34"/>
      <c r="K3182" t="s">
        <v>38</v>
      </c>
    </row>
    <row r="3183" spans="2:11" ht="16.5" x14ac:dyDescent="0.2">
      <c r="B3183" s="33" t="s">
        <v>4117</v>
      </c>
      <c r="C3183" s="33" t="s">
        <v>3008</v>
      </c>
      <c r="D3183" s="35">
        <f>SUMIFS(D3184:D9015,K3184:K9015,"0",B3184:B9015,"5 1 1 3 2 12 31111 6 M59 10800*")-SUMIFS(E3184:E9015,K3184:K9015,"0",B3184:B9015,"5 1 1 3 2 12 31111 6 M59 10800*")</f>
        <v>0</v>
      </c>
      <c r="E3183"/>
      <c r="F3183" s="35">
        <f>SUMIFS(F3184:F9015,K3184:K9015,"0",B3184:B9015,"5 1 1 3 2 12 31111 6 M59 10800*")</f>
        <v>202783.08</v>
      </c>
      <c r="G3183" s="35">
        <f>SUMIFS(G3184:G9015,K3184:K9015,"0",B3184:B9015,"5 1 1 3 2 12 31111 6 M59 10800*")</f>
        <v>0</v>
      </c>
      <c r="H3183" s="35">
        <f t="shared" si="50"/>
        <v>202783.08</v>
      </c>
      <c r="I3183" s="35"/>
      <c r="K3183" t="s">
        <v>15</v>
      </c>
    </row>
    <row r="3184" spans="2:11" ht="16.5" x14ac:dyDescent="0.2">
      <c r="B3184" s="33" t="s">
        <v>4118</v>
      </c>
      <c r="C3184" s="33" t="s">
        <v>648</v>
      </c>
      <c r="D3184" s="35">
        <f>SUMIFS(D3185:D9015,K3185:K9015,"0",B3185:B9015,"5 1 1 3 2 12 31111 6 M59 10800 000132*")-SUMIFS(E3185:E9015,K3185:K9015,"0",B3185:B9015,"5 1 1 3 2 12 31111 6 M59 10800 000132*")</f>
        <v>0</v>
      </c>
      <c r="E3184"/>
      <c r="F3184" s="35">
        <f>SUMIFS(F3185:F9015,K3185:K9015,"0",B3185:B9015,"5 1 1 3 2 12 31111 6 M59 10800 000132*")</f>
        <v>202783.08</v>
      </c>
      <c r="G3184" s="35">
        <f>SUMIFS(G3185:G9015,K3185:K9015,"0",B3185:B9015,"5 1 1 3 2 12 31111 6 M59 10800 000132*")</f>
        <v>0</v>
      </c>
      <c r="H3184" s="35">
        <f t="shared" si="50"/>
        <v>202783.08</v>
      </c>
      <c r="I3184" s="35"/>
      <c r="K3184" t="s">
        <v>15</v>
      </c>
    </row>
    <row r="3185" spans="2:11" ht="24.75" x14ac:dyDescent="0.2">
      <c r="B3185" s="33" t="s">
        <v>4119</v>
      </c>
      <c r="C3185" s="33" t="s">
        <v>650</v>
      </c>
      <c r="D3185" s="35">
        <f>SUMIFS(D3186:D9015,K3186:K9015,"0",B3186:B9015,"5 1 1 3 2 12 31111 6 M59 10800 000132 0000R*")-SUMIFS(E3186:E9015,K3186:K9015,"0",B3186:B9015,"5 1 1 3 2 12 31111 6 M59 10800 000132 0000R*")</f>
        <v>0</v>
      </c>
      <c r="E3185"/>
      <c r="F3185" s="35">
        <f>SUMIFS(F3186:F9015,K3186:K9015,"0",B3186:B9015,"5 1 1 3 2 12 31111 6 M59 10800 000132 0000R*")</f>
        <v>202783.08</v>
      </c>
      <c r="G3185" s="35">
        <f>SUMIFS(G3186:G9015,K3186:K9015,"0",B3186:B9015,"5 1 1 3 2 12 31111 6 M59 10800 000132 0000R*")</f>
        <v>0</v>
      </c>
      <c r="H3185" s="35">
        <f t="shared" si="50"/>
        <v>202783.08</v>
      </c>
      <c r="I3185" s="35"/>
      <c r="K3185" t="s">
        <v>15</v>
      </c>
    </row>
    <row r="3186" spans="2:11" ht="24.75" x14ac:dyDescent="0.2">
      <c r="B3186" s="33" t="s">
        <v>4120</v>
      </c>
      <c r="C3186" s="33" t="s">
        <v>282</v>
      </c>
      <c r="D3186" s="35">
        <f>SUMIFS(D3187:D9015,K3187:K9015,"0",B3187:B9015,"5 1 1 3 2 12 31111 6 M59 10800 000132 0000R 00001*")-SUMIFS(E3187:E9015,K3187:K9015,"0",B3187:B9015,"5 1 1 3 2 12 31111 6 M59 10800 000132 0000R 00001*")</f>
        <v>0</v>
      </c>
      <c r="E3186"/>
      <c r="F3186" s="35">
        <f>SUMIFS(F3187:F9015,K3187:K9015,"0",B3187:B9015,"5 1 1 3 2 12 31111 6 M59 10800 000132 0000R 00001*")</f>
        <v>202783.08</v>
      </c>
      <c r="G3186" s="35">
        <f>SUMIFS(G3187:G9015,K3187:K9015,"0",B3187:B9015,"5 1 1 3 2 12 31111 6 M59 10800 000132 0000R 00001*")</f>
        <v>0</v>
      </c>
      <c r="H3186" s="35">
        <f t="shared" si="50"/>
        <v>202783.08</v>
      </c>
      <c r="I3186" s="35"/>
      <c r="K3186" t="s">
        <v>15</v>
      </c>
    </row>
    <row r="3187" spans="2:11" ht="24.75" x14ac:dyDescent="0.2">
      <c r="B3187" s="33" t="s">
        <v>4121</v>
      </c>
      <c r="C3187" s="33" t="s">
        <v>4041</v>
      </c>
      <c r="D3187" s="35">
        <f>SUMIFS(D3188:D9015,K3188:K9015,"0",B3188:B9015,"5 1 1 3 2 12 31111 6 M59 10800 000132 0000R 00001 00132*")-SUMIFS(E3188:E9015,K3188:K9015,"0",B3188:B9015,"5 1 1 3 2 12 31111 6 M59 10800 000132 0000R 00001 00132*")</f>
        <v>0</v>
      </c>
      <c r="E3187"/>
      <c r="F3187" s="35">
        <f>SUMIFS(F3188:F9015,K3188:K9015,"0",B3188:B9015,"5 1 1 3 2 12 31111 6 M59 10800 000132 0000R 00001 00132*")</f>
        <v>202783.08</v>
      </c>
      <c r="G3187" s="35">
        <f>SUMIFS(G3188:G9015,K3188:K9015,"0",B3188:B9015,"5 1 1 3 2 12 31111 6 M59 10800 000132 0000R 00001 00132*")</f>
        <v>0</v>
      </c>
      <c r="H3187" s="35">
        <f t="shared" si="50"/>
        <v>202783.08</v>
      </c>
      <c r="I3187" s="35"/>
      <c r="K3187" t="s">
        <v>15</v>
      </c>
    </row>
    <row r="3188" spans="2:11" ht="33" x14ac:dyDescent="0.2">
      <c r="B3188" s="33" t="s">
        <v>4122</v>
      </c>
      <c r="C3188" s="33" t="s">
        <v>1051</v>
      </c>
      <c r="D3188" s="35">
        <f>SUMIFS(D3189:D9015,K3189:K9015,"0",B3189:B9015,"5 1 1 3 2 12 31111 6 M59 10800 000132 0000R 00001 00132 015*")-SUMIFS(E3189:E9015,K3189:K9015,"0",B3189:B9015,"5 1 1 3 2 12 31111 6 M59 10800 000132 0000R 00001 00132 015*")</f>
        <v>0</v>
      </c>
      <c r="E3188"/>
      <c r="F3188" s="35">
        <f>SUMIFS(F3189:F9015,K3189:K9015,"0",B3189:B9015,"5 1 1 3 2 12 31111 6 M59 10800 000132 0000R 00001 00132 015*")</f>
        <v>202783.08</v>
      </c>
      <c r="G3188" s="35">
        <f>SUMIFS(G3189:G9015,K3189:K9015,"0",B3189:B9015,"5 1 1 3 2 12 31111 6 M59 10800 000132 0000R 00001 00132 015*")</f>
        <v>0</v>
      </c>
      <c r="H3188" s="35">
        <f t="shared" si="50"/>
        <v>202783.08</v>
      </c>
      <c r="I3188" s="35"/>
      <c r="K3188" t="s">
        <v>15</v>
      </c>
    </row>
    <row r="3189" spans="2:11" ht="33" x14ac:dyDescent="0.2">
      <c r="B3189" s="33" t="s">
        <v>4123</v>
      </c>
      <c r="C3189" s="33" t="s">
        <v>2927</v>
      </c>
      <c r="D3189" s="35">
        <f>SUMIFS(D3190:D9015,K3190:K9015,"0",B3190:B9015,"5 1 1 3 2 12 31111 6 M59 10800 000132 0000R 00001 00132 015 2111100*")-SUMIFS(E3190:E9015,K3190:K9015,"0",B3190:B9015,"5 1 1 3 2 12 31111 6 M59 10800 000132 0000R 00001 00132 015 2111100*")</f>
        <v>0</v>
      </c>
      <c r="E3189"/>
      <c r="F3189" s="35">
        <f>SUMIFS(F3190:F9015,K3190:K9015,"0",B3190:B9015,"5 1 1 3 2 12 31111 6 M59 10800 000132 0000R 00001 00132 015 2111100*")</f>
        <v>202783.08</v>
      </c>
      <c r="G3189" s="35">
        <f>SUMIFS(G3190:G9015,K3190:K9015,"0",B3190:B9015,"5 1 1 3 2 12 31111 6 M59 10800 000132 0000R 00001 00132 015 2111100*")</f>
        <v>0</v>
      </c>
      <c r="H3189" s="35">
        <f t="shared" si="50"/>
        <v>202783.08</v>
      </c>
      <c r="I3189" s="35"/>
      <c r="K3189" t="s">
        <v>15</v>
      </c>
    </row>
    <row r="3190" spans="2:11" ht="33" x14ac:dyDescent="0.2">
      <c r="B3190" s="33" t="s">
        <v>4124</v>
      </c>
      <c r="C3190" s="33" t="s">
        <v>660</v>
      </c>
      <c r="D3190" s="35">
        <f>SUMIFS(D3191:D9015,K3191:K9015,"0",B3191:B9015,"5 1 1 3 2 12 31111 6 M59 10800 000132 0000R 00001 00132 015 2111100 2024*")-SUMIFS(E3191:E9015,K3191:K9015,"0",B3191:B9015,"5 1 1 3 2 12 31111 6 M59 10800 000132 0000R 00001 00132 015 2111100 2024*")</f>
        <v>0</v>
      </c>
      <c r="E3190"/>
      <c r="F3190" s="35">
        <f>SUMIFS(F3191:F9015,K3191:K9015,"0",B3191:B9015,"5 1 1 3 2 12 31111 6 M59 10800 000132 0000R 00001 00132 015 2111100 2024*")</f>
        <v>202783.08</v>
      </c>
      <c r="G3190" s="35">
        <f>SUMIFS(G3191:G9015,K3191:K9015,"0",B3191:B9015,"5 1 1 3 2 12 31111 6 M59 10800 000132 0000R 00001 00132 015 2111100 2024*")</f>
        <v>0</v>
      </c>
      <c r="H3190" s="35">
        <f t="shared" si="50"/>
        <v>202783.08</v>
      </c>
      <c r="I3190" s="35"/>
      <c r="K3190" t="s">
        <v>15</v>
      </c>
    </row>
    <row r="3191" spans="2:11" ht="41.25" x14ac:dyDescent="0.2">
      <c r="B3191" s="33" t="s">
        <v>4125</v>
      </c>
      <c r="C3191" s="33" t="s">
        <v>662</v>
      </c>
      <c r="D3191" s="35">
        <f>SUMIFS(D3192:D9015,K3192:K9015,"0",B3192:B9015,"5 1 1 3 2 12 31111 6 M59 10800 000132 0000R 00001 00132 015 2111100 2024 CP1SR390*")-SUMIFS(E3192:E9015,K3192:K9015,"0",B3192:B9015,"5 1 1 3 2 12 31111 6 M59 10800 000132 0000R 00001 00132 015 2111100 2024 CP1SR390*")</f>
        <v>0</v>
      </c>
      <c r="E3191"/>
      <c r="F3191" s="35">
        <f>SUMIFS(F3192:F9015,K3192:K9015,"0",B3192:B9015,"5 1 1 3 2 12 31111 6 M59 10800 000132 0000R 00001 00132 015 2111100 2024 CP1SR390*")</f>
        <v>202783.08</v>
      </c>
      <c r="G3191" s="35">
        <f>SUMIFS(G3192:G9015,K3192:K9015,"0",B3192:B9015,"5 1 1 3 2 12 31111 6 M59 10800 000132 0000R 00001 00132 015 2111100 2024 CP1SR390*")</f>
        <v>0</v>
      </c>
      <c r="H3191" s="35">
        <f t="shared" si="50"/>
        <v>202783.08</v>
      </c>
      <c r="I3191" s="35"/>
      <c r="K3191" t="s">
        <v>15</v>
      </c>
    </row>
    <row r="3192" spans="2:11" ht="41.25" x14ac:dyDescent="0.2">
      <c r="B3192" s="33" t="s">
        <v>4126</v>
      </c>
      <c r="C3192" s="33" t="s">
        <v>282</v>
      </c>
      <c r="D3192" s="35">
        <f>SUMIFS(D3193:D9015,K3193:K9015,"0",B3193:B9015,"5 1 1 3 2 12 31111 6 M59 10800 000132 0000R 00001 00132 015 2111100 2024 CP1SR390 001*")-SUMIFS(E3193:E9015,K3193:K9015,"0",B3193:B9015,"5 1 1 3 2 12 31111 6 M59 10800 000132 0000R 00001 00132 015 2111100 2024 CP1SR390 001*")</f>
        <v>0</v>
      </c>
      <c r="E3192"/>
      <c r="F3192" s="35">
        <f>SUMIFS(F3193:F9015,K3193:K9015,"0",B3193:B9015,"5 1 1 3 2 12 31111 6 M59 10800 000132 0000R 00001 00132 015 2111100 2024 CP1SR390 001*")</f>
        <v>202783.08</v>
      </c>
      <c r="G3192" s="35">
        <f>SUMIFS(G3193:G9015,K3193:K9015,"0",B3193:B9015,"5 1 1 3 2 12 31111 6 M59 10800 000132 0000R 00001 00132 015 2111100 2024 CP1SR390 001*")</f>
        <v>0</v>
      </c>
      <c r="H3192" s="35">
        <f t="shared" si="50"/>
        <v>202783.08</v>
      </c>
      <c r="I3192" s="35"/>
      <c r="K3192" t="s">
        <v>15</v>
      </c>
    </row>
    <row r="3193" spans="2:11" ht="33" x14ac:dyDescent="0.2">
      <c r="B3193" s="31" t="s">
        <v>4127</v>
      </c>
      <c r="C3193" s="31" t="s">
        <v>1519</v>
      </c>
      <c r="D3193" s="34">
        <v>0</v>
      </c>
      <c r="E3193" s="34"/>
      <c r="F3193" s="34">
        <v>202783.08</v>
      </c>
      <c r="G3193" s="34">
        <v>0</v>
      </c>
      <c r="H3193" s="34">
        <f t="shared" si="50"/>
        <v>202783.08</v>
      </c>
      <c r="I3193" s="34"/>
      <c r="K3193" t="s">
        <v>38</v>
      </c>
    </row>
    <row r="3194" spans="2:11" ht="16.5" x14ac:dyDescent="0.2">
      <c r="B3194" s="33" t="s">
        <v>4128</v>
      </c>
      <c r="C3194" s="33" t="s">
        <v>3020</v>
      </c>
      <c r="D3194" s="35">
        <f>SUMIFS(D3195:D9015,K3195:K9015,"0",B3195:B9015,"5 1 1 3 2 12 31111 6 M59 11000*")-SUMIFS(E3195:E9015,K3195:K9015,"0",B3195:B9015,"5 1 1 3 2 12 31111 6 M59 11000*")</f>
        <v>0</v>
      </c>
      <c r="E3194"/>
      <c r="F3194" s="35">
        <f>SUMIFS(F3195:F9015,K3195:K9015,"0",B3195:B9015,"5 1 1 3 2 12 31111 6 M59 11000*")</f>
        <v>72279.3</v>
      </c>
      <c r="G3194" s="35">
        <f>SUMIFS(G3195:G9015,K3195:K9015,"0",B3195:B9015,"5 1 1 3 2 12 31111 6 M59 11000*")</f>
        <v>0</v>
      </c>
      <c r="H3194" s="35">
        <f t="shared" si="50"/>
        <v>72279.3</v>
      </c>
      <c r="I3194" s="35"/>
      <c r="K3194" t="s">
        <v>15</v>
      </c>
    </row>
    <row r="3195" spans="2:11" ht="16.5" x14ac:dyDescent="0.2">
      <c r="B3195" s="33" t="s">
        <v>4129</v>
      </c>
      <c r="C3195" s="33" t="s">
        <v>648</v>
      </c>
      <c r="D3195" s="35">
        <f>SUMIFS(D3196:D9015,K3196:K9015,"0",B3196:B9015,"5 1 1 3 2 12 31111 6 M59 11000 000132*")-SUMIFS(E3196:E9015,K3196:K9015,"0",B3196:B9015,"5 1 1 3 2 12 31111 6 M59 11000 000132*")</f>
        <v>0</v>
      </c>
      <c r="E3195"/>
      <c r="F3195" s="35">
        <f>SUMIFS(F3196:F9015,K3196:K9015,"0",B3196:B9015,"5 1 1 3 2 12 31111 6 M59 11000 000132*")</f>
        <v>72279.3</v>
      </c>
      <c r="G3195" s="35">
        <f>SUMIFS(G3196:G9015,K3196:K9015,"0",B3196:B9015,"5 1 1 3 2 12 31111 6 M59 11000 000132*")</f>
        <v>0</v>
      </c>
      <c r="H3195" s="35">
        <f t="shared" si="50"/>
        <v>72279.3</v>
      </c>
      <c r="I3195" s="35"/>
      <c r="K3195" t="s">
        <v>15</v>
      </c>
    </row>
    <row r="3196" spans="2:11" ht="24.75" x14ac:dyDescent="0.2">
      <c r="B3196" s="33" t="s">
        <v>4130</v>
      </c>
      <c r="C3196" s="33" t="s">
        <v>650</v>
      </c>
      <c r="D3196" s="35">
        <f>SUMIFS(D3197:D9015,K3197:K9015,"0",B3197:B9015,"5 1 1 3 2 12 31111 6 M59 11000 000132 0000R*")-SUMIFS(E3197:E9015,K3197:K9015,"0",B3197:B9015,"5 1 1 3 2 12 31111 6 M59 11000 000132 0000R*")</f>
        <v>0</v>
      </c>
      <c r="E3196"/>
      <c r="F3196" s="35">
        <f>SUMIFS(F3197:F9015,K3197:K9015,"0",B3197:B9015,"5 1 1 3 2 12 31111 6 M59 11000 000132 0000R*")</f>
        <v>72279.3</v>
      </c>
      <c r="G3196" s="35">
        <f>SUMIFS(G3197:G9015,K3197:K9015,"0",B3197:B9015,"5 1 1 3 2 12 31111 6 M59 11000 000132 0000R*")</f>
        <v>0</v>
      </c>
      <c r="H3196" s="35">
        <f t="shared" si="50"/>
        <v>72279.3</v>
      </c>
      <c r="I3196" s="35"/>
      <c r="K3196" t="s">
        <v>15</v>
      </c>
    </row>
    <row r="3197" spans="2:11" ht="24.75" x14ac:dyDescent="0.2">
      <c r="B3197" s="33" t="s">
        <v>4131</v>
      </c>
      <c r="C3197" s="33" t="s">
        <v>282</v>
      </c>
      <c r="D3197" s="35">
        <f>SUMIFS(D3198:D9015,K3198:K9015,"0",B3198:B9015,"5 1 1 3 2 12 31111 6 M59 11000 000132 0000R 00001*")-SUMIFS(E3198:E9015,K3198:K9015,"0",B3198:B9015,"5 1 1 3 2 12 31111 6 M59 11000 000132 0000R 00001*")</f>
        <v>0</v>
      </c>
      <c r="E3197"/>
      <c r="F3197" s="35">
        <f>SUMIFS(F3198:F9015,K3198:K9015,"0",B3198:B9015,"5 1 1 3 2 12 31111 6 M59 11000 000132 0000R 00001*")</f>
        <v>72279.3</v>
      </c>
      <c r="G3197" s="35">
        <f>SUMIFS(G3198:G9015,K3198:K9015,"0",B3198:B9015,"5 1 1 3 2 12 31111 6 M59 11000 000132 0000R 00001*")</f>
        <v>0</v>
      </c>
      <c r="H3197" s="35">
        <f t="shared" si="50"/>
        <v>72279.3</v>
      </c>
      <c r="I3197" s="35"/>
      <c r="K3197" t="s">
        <v>15</v>
      </c>
    </row>
    <row r="3198" spans="2:11" ht="24.75" x14ac:dyDescent="0.2">
      <c r="B3198" s="33" t="s">
        <v>4132</v>
      </c>
      <c r="C3198" s="33" t="s">
        <v>4041</v>
      </c>
      <c r="D3198" s="35">
        <f>SUMIFS(D3199:D9015,K3199:K9015,"0",B3199:B9015,"5 1 1 3 2 12 31111 6 M59 11000 000132 0000R 00001 00132*")-SUMIFS(E3199:E9015,K3199:K9015,"0",B3199:B9015,"5 1 1 3 2 12 31111 6 M59 11000 000132 0000R 00001 00132*")</f>
        <v>0</v>
      </c>
      <c r="E3198"/>
      <c r="F3198" s="35">
        <f>SUMIFS(F3199:F9015,K3199:K9015,"0",B3199:B9015,"5 1 1 3 2 12 31111 6 M59 11000 000132 0000R 00001 00132*")</f>
        <v>72279.3</v>
      </c>
      <c r="G3198" s="35">
        <f>SUMIFS(G3199:G9015,K3199:K9015,"0",B3199:B9015,"5 1 1 3 2 12 31111 6 M59 11000 000132 0000R 00001 00132*")</f>
        <v>0</v>
      </c>
      <c r="H3198" s="35">
        <f t="shared" si="50"/>
        <v>72279.3</v>
      </c>
      <c r="I3198" s="35"/>
      <c r="K3198" t="s">
        <v>15</v>
      </c>
    </row>
    <row r="3199" spans="2:11" ht="33" x14ac:dyDescent="0.2">
      <c r="B3199" s="33" t="s">
        <v>4133</v>
      </c>
      <c r="C3199" s="33" t="s">
        <v>1051</v>
      </c>
      <c r="D3199" s="35">
        <f>SUMIFS(D3200:D9015,K3200:K9015,"0",B3200:B9015,"5 1 1 3 2 12 31111 6 M59 11000 000132 0000R 00001 00132 015*")-SUMIFS(E3200:E9015,K3200:K9015,"0",B3200:B9015,"5 1 1 3 2 12 31111 6 M59 11000 000132 0000R 00001 00132 015*")</f>
        <v>0</v>
      </c>
      <c r="E3199"/>
      <c r="F3199" s="35">
        <f>SUMIFS(F3200:F9015,K3200:K9015,"0",B3200:B9015,"5 1 1 3 2 12 31111 6 M59 11000 000132 0000R 00001 00132 015*")</f>
        <v>72279.3</v>
      </c>
      <c r="G3199" s="35">
        <f>SUMIFS(G3200:G9015,K3200:K9015,"0",B3200:B9015,"5 1 1 3 2 12 31111 6 M59 11000 000132 0000R 00001 00132 015*")</f>
        <v>0</v>
      </c>
      <c r="H3199" s="35">
        <f t="shared" si="50"/>
        <v>72279.3</v>
      </c>
      <c r="I3199" s="35"/>
      <c r="K3199" t="s">
        <v>15</v>
      </c>
    </row>
    <row r="3200" spans="2:11" ht="33" x14ac:dyDescent="0.2">
      <c r="B3200" s="33" t="s">
        <v>4134</v>
      </c>
      <c r="C3200" s="33" t="s">
        <v>2927</v>
      </c>
      <c r="D3200" s="35">
        <f>SUMIFS(D3201:D9015,K3201:K9015,"0",B3201:B9015,"5 1 1 3 2 12 31111 6 M59 11000 000132 0000R 00001 00132 015 2111100*")-SUMIFS(E3201:E9015,K3201:K9015,"0",B3201:B9015,"5 1 1 3 2 12 31111 6 M59 11000 000132 0000R 00001 00132 015 2111100*")</f>
        <v>0</v>
      </c>
      <c r="E3200"/>
      <c r="F3200" s="35">
        <f>SUMIFS(F3201:F9015,K3201:K9015,"0",B3201:B9015,"5 1 1 3 2 12 31111 6 M59 11000 000132 0000R 00001 00132 015 2111100*")</f>
        <v>72279.3</v>
      </c>
      <c r="G3200" s="35">
        <f>SUMIFS(G3201:G9015,K3201:K9015,"0",B3201:B9015,"5 1 1 3 2 12 31111 6 M59 11000 000132 0000R 00001 00132 015 2111100*")</f>
        <v>0</v>
      </c>
      <c r="H3200" s="35">
        <f t="shared" si="50"/>
        <v>72279.3</v>
      </c>
      <c r="I3200" s="35"/>
      <c r="K3200" t="s">
        <v>15</v>
      </c>
    </row>
    <row r="3201" spans="2:11" ht="33" x14ac:dyDescent="0.2">
      <c r="B3201" s="33" t="s">
        <v>4135</v>
      </c>
      <c r="C3201" s="33" t="s">
        <v>660</v>
      </c>
      <c r="D3201" s="35">
        <f>SUMIFS(D3202:D9015,K3202:K9015,"0",B3202:B9015,"5 1 1 3 2 12 31111 6 M59 11000 000132 0000R 00001 00132 015 2111100 2024*")-SUMIFS(E3202:E9015,K3202:K9015,"0",B3202:B9015,"5 1 1 3 2 12 31111 6 M59 11000 000132 0000R 00001 00132 015 2111100 2024*")</f>
        <v>0</v>
      </c>
      <c r="E3201"/>
      <c r="F3201" s="35">
        <f>SUMIFS(F3202:F9015,K3202:K9015,"0",B3202:B9015,"5 1 1 3 2 12 31111 6 M59 11000 000132 0000R 00001 00132 015 2111100 2024*")</f>
        <v>72279.3</v>
      </c>
      <c r="G3201" s="35">
        <f>SUMIFS(G3202:G9015,K3202:K9015,"0",B3202:B9015,"5 1 1 3 2 12 31111 6 M59 11000 000132 0000R 00001 00132 015 2111100 2024*")</f>
        <v>0</v>
      </c>
      <c r="H3201" s="35">
        <f t="shared" si="50"/>
        <v>72279.3</v>
      </c>
      <c r="I3201" s="35"/>
      <c r="K3201" t="s">
        <v>15</v>
      </c>
    </row>
    <row r="3202" spans="2:11" ht="41.25" x14ac:dyDescent="0.2">
      <c r="B3202" s="33" t="s">
        <v>4136</v>
      </c>
      <c r="C3202" s="33" t="s">
        <v>1056</v>
      </c>
      <c r="D3202" s="35">
        <f>SUMIFS(D3203:D9015,K3203:K9015,"0",B3203:B9015,"5 1 1 3 2 12 31111 6 M59 11000 000132 0000R 00001 00132 015 2111100 2024 CP1SM382*")-SUMIFS(E3203:E9015,K3203:K9015,"0",B3203:B9015,"5 1 1 3 2 12 31111 6 M59 11000 000132 0000R 00001 00132 015 2111100 2024 CP1SM382*")</f>
        <v>0</v>
      </c>
      <c r="E3202"/>
      <c r="F3202" s="35">
        <f>SUMIFS(F3203:F9015,K3203:K9015,"0",B3203:B9015,"5 1 1 3 2 12 31111 6 M59 11000 000132 0000R 00001 00132 015 2111100 2024 CP1SM382*")</f>
        <v>72279.3</v>
      </c>
      <c r="G3202" s="35">
        <f>SUMIFS(G3203:G9015,K3203:K9015,"0",B3203:B9015,"5 1 1 3 2 12 31111 6 M59 11000 000132 0000R 00001 00132 015 2111100 2024 CP1SM382*")</f>
        <v>0</v>
      </c>
      <c r="H3202" s="35">
        <f t="shared" si="50"/>
        <v>72279.3</v>
      </c>
      <c r="I3202" s="35"/>
      <c r="K3202" t="s">
        <v>15</v>
      </c>
    </row>
    <row r="3203" spans="2:11" ht="41.25" x14ac:dyDescent="0.2">
      <c r="B3203" s="33" t="s">
        <v>4137</v>
      </c>
      <c r="C3203" s="33" t="s">
        <v>282</v>
      </c>
      <c r="D3203" s="35">
        <f>SUMIFS(D3204:D9015,K3204:K9015,"0",B3204:B9015,"5 1 1 3 2 12 31111 6 M59 11000 000132 0000R 00001 00132 015 2111100 2024 CP1SM382 001*")-SUMIFS(E3204:E9015,K3204:K9015,"0",B3204:B9015,"5 1 1 3 2 12 31111 6 M59 11000 000132 0000R 00001 00132 015 2111100 2024 CP1SM382 001*")</f>
        <v>0</v>
      </c>
      <c r="E3203"/>
      <c r="F3203" s="35">
        <f>SUMIFS(F3204:F9015,K3204:K9015,"0",B3204:B9015,"5 1 1 3 2 12 31111 6 M59 11000 000132 0000R 00001 00132 015 2111100 2024 CP1SM382 001*")</f>
        <v>72279.3</v>
      </c>
      <c r="G3203" s="35">
        <f>SUMIFS(G3204:G9015,K3204:K9015,"0",B3204:B9015,"5 1 1 3 2 12 31111 6 M59 11000 000132 0000R 00001 00132 015 2111100 2024 CP1SM382 001*")</f>
        <v>0</v>
      </c>
      <c r="H3203" s="35">
        <f t="shared" si="50"/>
        <v>72279.3</v>
      </c>
      <c r="I3203" s="35"/>
      <c r="K3203" t="s">
        <v>15</v>
      </c>
    </row>
    <row r="3204" spans="2:11" ht="33" x14ac:dyDescent="0.2">
      <c r="B3204" s="31" t="s">
        <v>4138</v>
      </c>
      <c r="C3204" s="31" t="s">
        <v>1519</v>
      </c>
      <c r="D3204" s="34">
        <v>0</v>
      </c>
      <c r="E3204" s="34"/>
      <c r="F3204" s="34">
        <v>67992.55</v>
      </c>
      <c r="G3204" s="34">
        <v>0</v>
      </c>
      <c r="H3204" s="34">
        <f t="shared" ref="H3204:H3267" si="51">D3204 + F3204 - G3204</f>
        <v>67992.55</v>
      </c>
      <c r="I3204" s="34"/>
      <c r="K3204" t="s">
        <v>38</v>
      </c>
    </row>
    <row r="3205" spans="2:11" ht="33" x14ac:dyDescent="0.2">
      <c r="B3205" s="31" t="s">
        <v>4139</v>
      </c>
      <c r="C3205" s="31" t="s">
        <v>4071</v>
      </c>
      <c r="D3205" s="34">
        <v>0</v>
      </c>
      <c r="E3205" s="34"/>
      <c r="F3205" s="34">
        <v>4286.75</v>
      </c>
      <c r="G3205" s="34">
        <v>0</v>
      </c>
      <c r="H3205" s="34">
        <f t="shared" si="51"/>
        <v>4286.75</v>
      </c>
      <c r="I3205" s="34"/>
      <c r="K3205" t="s">
        <v>38</v>
      </c>
    </row>
    <row r="3206" spans="2:11" ht="16.5" x14ac:dyDescent="0.2">
      <c r="B3206" s="33" t="s">
        <v>4140</v>
      </c>
      <c r="C3206" s="33" t="s">
        <v>3032</v>
      </c>
      <c r="D3206" s="35">
        <f>SUMIFS(D3207:D9015,K3207:K9015,"0",B3207:B9015,"5 1 1 3 2 12 31111 6 M59 12000*")-SUMIFS(E3207:E9015,K3207:K9015,"0",B3207:B9015,"5 1 1 3 2 12 31111 6 M59 12000*")</f>
        <v>0</v>
      </c>
      <c r="E3206"/>
      <c r="F3206" s="35">
        <f>SUMIFS(F3207:F9015,K3207:K9015,"0",B3207:B9015,"5 1 1 3 2 12 31111 6 M59 12000*")</f>
        <v>28666.1</v>
      </c>
      <c r="G3206" s="35">
        <f>SUMIFS(G3207:G9015,K3207:K9015,"0",B3207:B9015,"5 1 1 3 2 12 31111 6 M59 12000*")</f>
        <v>0</v>
      </c>
      <c r="H3206" s="35">
        <f t="shared" si="51"/>
        <v>28666.1</v>
      </c>
      <c r="I3206" s="35"/>
      <c r="K3206" t="s">
        <v>15</v>
      </c>
    </row>
    <row r="3207" spans="2:11" ht="16.5" x14ac:dyDescent="0.2">
      <c r="B3207" s="33" t="s">
        <v>4141</v>
      </c>
      <c r="C3207" s="33" t="s">
        <v>3034</v>
      </c>
      <c r="D3207" s="35">
        <f>SUMIFS(D3208:D9015,K3208:K9015,"0",B3208:B9015,"5 1 1 3 2 12 31111 6 M59 12000 000121*")-SUMIFS(E3208:E9015,K3208:K9015,"0",B3208:B9015,"5 1 1 3 2 12 31111 6 M59 12000 000121*")</f>
        <v>0</v>
      </c>
      <c r="E3207"/>
      <c r="F3207" s="35">
        <f>SUMIFS(F3208:F9015,K3208:K9015,"0",B3208:B9015,"5 1 1 3 2 12 31111 6 M59 12000 000121*")</f>
        <v>28666.1</v>
      </c>
      <c r="G3207" s="35">
        <f>SUMIFS(G3208:G9015,K3208:K9015,"0",B3208:B9015,"5 1 1 3 2 12 31111 6 M59 12000 000121*")</f>
        <v>0</v>
      </c>
      <c r="H3207" s="35">
        <f t="shared" si="51"/>
        <v>28666.1</v>
      </c>
      <c r="I3207" s="35"/>
      <c r="K3207" t="s">
        <v>15</v>
      </c>
    </row>
    <row r="3208" spans="2:11" ht="24.75" x14ac:dyDescent="0.2">
      <c r="B3208" s="33" t="s">
        <v>4142</v>
      </c>
      <c r="C3208" s="33" t="s">
        <v>1065</v>
      </c>
      <c r="D3208" s="35">
        <f>SUMIFS(D3209:D9015,K3209:K9015,"0",B3209:B9015,"5 1 1 3 2 12 31111 6 M59 12000 000121 0000E*")-SUMIFS(E3209:E9015,K3209:K9015,"0",B3209:B9015,"5 1 1 3 2 12 31111 6 M59 12000 000121 0000E*")</f>
        <v>0</v>
      </c>
      <c r="E3208"/>
      <c r="F3208" s="35">
        <f>SUMIFS(F3209:F9015,K3209:K9015,"0",B3209:B9015,"5 1 1 3 2 12 31111 6 M59 12000 000121 0000E*")</f>
        <v>28666.1</v>
      </c>
      <c r="G3208" s="35">
        <f>SUMIFS(G3209:G9015,K3209:K9015,"0",B3209:B9015,"5 1 1 3 2 12 31111 6 M59 12000 000121 0000E*")</f>
        <v>0</v>
      </c>
      <c r="H3208" s="35">
        <f t="shared" si="51"/>
        <v>28666.1</v>
      </c>
      <c r="I3208" s="35"/>
      <c r="K3208" t="s">
        <v>15</v>
      </c>
    </row>
    <row r="3209" spans="2:11" ht="24.75" x14ac:dyDescent="0.2">
      <c r="B3209" s="33" t="s">
        <v>4143</v>
      </c>
      <c r="C3209" s="33" t="s">
        <v>282</v>
      </c>
      <c r="D3209" s="35">
        <f>SUMIFS(D3210:D9015,K3210:K9015,"0",B3210:B9015,"5 1 1 3 2 12 31111 6 M59 12000 000121 0000E 00001*")-SUMIFS(E3210:E9015,K3210:K9015,"0",B3210:B9015,"5 1 1 3 2 12 31111 6 M59 12000 000121 0000E 00001*")</f>
        <v>0</v>
      </c>
      <c r="E3209"/>
      <c r="F3209" s="35">
        <f>SUMIFS(F3210:F9015,K3210:K9015,"0",B3210:B9015,"5 1 1 3 2 12 31111 6 M59 12000 000121 0000E 00001*")</f>
        <v>28666.1</v>
      </c>
      <c r="G3209" s="35">
        <f>SUMIFS(G3210:G9015,K3210:K9015,"0",B3210:B9015,"5 1 1 3 2 12 31111 6 M59 12000 000121 0000E 00001*")</f>
        <v>0</v>
      </c>
      <c r="H3209" s="35">
        <f t="shared" si="51"/>
        <v>28666.1</v>
      </c>
      <c r="I3209" s="35"/>
      <c r="K3209" t="s">
        <v>15</v>
      </c>
    </row>
    <row r="3210" spans="2:11" ht="24.75" x14ac:dyDescent="0.2">
      <c r="B3210" s="33" t="s">
        <v>4144</v>
      </c>
      <c r="C3210" s="33" t="s">
        <v>4041</v>
      </c>
      <c r="D3210" s="35">
        <f>SUMIFS(D3211:D9015,K3211:K9015,"0",B3211:B9015,"5 1 1 3 2 12 31111 6 M59 12000 000121 0000E 00001 00132*")-SUMIFS(E3211:E9015,K3211:K9015,"0",B3211:B9015,"5 1 1 3 2 12 31111 6 M59 12000 000121 0000E 00001 00132*")</f>
        <v>0</v>
      </c>
      <c r="E3210"/>
      <c r="F3210" s="35">
        <f>SUMIFS(F3211:F9015,K3211:K9015,"0",B3211:B9015,"5 1 1 3 2 12 31111 6 M59 12000 000121 0000E 00001 00132*")</f>
        <v>28666.1</v>
      </c>
      <c r="G3210" s="35">
        <f>SUMIFS(G3211:G9015,K3211:K9015,"0",B3211:B9015,"5 1 1 3 2 12 31111 6 M59 12000 000121 0000E 00001 00132*")</f>
        <v>0</v>
      </c>
      <c r="H3210" s="35">
        <f t="shared" si="51"/>
        <v>28666.1</v>
      </c>
      <c r="I3210" s="35"/>
      <c r="K3210" t="s">
        <v>15</v>
      </c>
    </row>
    <row r="3211" spans="2:11" ht="33" x14ac:dyDescent="0.2">
      <c r="B3211" s="33" t="s">
        <v>4145</v>
      </c>
      <c r="C3211" s="33" t="s">
        <v>1051</v>
      </c>
      <c r="D3211" s="35">
        <f>SUMIFS(D3212:D9015,K3212:K9015,"0",B3212:B9015,"5 1 1 3 2 12 31111 6 M59 12000 000121 0000E 00001 00132 015*")-SUMIFS(E3212:E9015,K3212:K9015,"0",B3212:B9015,"5 1 1 3 2 12 31111 6 M59 12000 000121 0000E 00001 00132 015*")</f>
        <v>0</v>
      </c>
      <c r="E3211"/>
      <c r="F3211" s="35">
        <f>SUMIFS(F3212:F9015,K3212:K9015,"0",B3212:B9015,"5 1 1 3 2 12 31111 6 M59 12000 000121 0000E 00001 00132 015*")</f>
        <v>28666.1</v>
      </c>
      <c r="G3211" s="35">
        <f>SUMIFS(G3212:G9015,K3212:K9015,"0",B3212:B9015,"5 1 1 3 2 12 31111 6 M59 12000 000121 0000E 00001 00132 015*")</f>
        <v>0</v>
      </c>
      <c r="H3211" s="35">
        <f t="shared" si="51"/>
        <v>28666.1</v>
      </c>
      <c r="I3211" s="35"/>
      <c r="K3211" t="s">
        <v>15</v>
      </c>
    </row>
    <row r="3212" spans="2:11" ht="33" x14ac:dyDescent="0.2">
      <c r="B3212" s="33" t="s">
        <v>4146</v>
      </c>
      <c r="C3212" s="33" t="s">
        <v>2927</v>
      </c>
      <c r="D3212" s="35">
        <f>SUMIFS(D3213:D9015,K3213:K9015,"0",B3213:B9015,"5 1 1 3 2 12 31111 6 M59 12000 000121 0000E 00001 00132 015 2111100*")-SUMIFS(E3213:E9015,K3213:K9015,"0",B3213:B9015,"5 1 1 3 2 12 31111 6 M59 12000 000121 0000E 00001 00132 015 2111100*")</f>
        <v>0</v>
      </c>
      <c r="E3212"/>
      <c r="F3212" s="35">
        <f>SUMIFS(F3213:F9015,K3213:K9015,"0",B3213:B9015,"5 1 1 3 2 12 31111 6 M59 12000 000121 0000E 00001 00132 015 2111100*")</f>
        <v>28666.1</v>
      </c>
      <c r="G3212" s="35">
        <f>SUMIFS(G3213:G9015,K3213:K9015,"0",B3213:B9015,"5 1 1 3 2 12 31111 6 M59 12000 000121 0000E 00001 00132 015 2111100*")</f>
        <v>0</v>
      </c>
      <c r="H3212" s="35">
        <f t="shared" si="51"/>
        <v>28666.1</v>
      </c>
      <c r="I3212" s="35"/>
      <c r="K3212" t="s">
        <v>15</v>
      </c>
    </row>
    <row r="3213" spans="2:11" ht="33" x14ac:dyDescent="0.2">
      <c r="B3213" s="33" t="s">
        <v>4147</v>
      </c>
      <c r="C3213" s="33" t="s">
        <v>660</v>
      </c>
      <c r="D3213" s="35">
        <f>SUMIFS(D3214:D9015,K3214:K9015,"0",B3214:B9015,"5 1 1 3 2 12 31111 6 M59 12000 000121 0000E 00001 00132 015 2111100 2024*")-SUMIFS(E3214:E9015,K3214:K9015,"0",B3214:B9015,"5 1 1 3 2 12 31111 6 M59 12000 000121 0000E 00001 00132 015 2111100 2024*")</f>
        <v>0</v>
      </c>
      <c r="E3213"/>
      <c r="F3213" s="35">
        <f>SUMIFS(F3214:F9015,K3214:K9015,"0",B3214:B9015,"5 1 1 3 2 12 31111 6 M59 12000 000121 0000E 00001 00132 015 2111100 2024*")</f>
        <v>28666.1</v>
      </c>
      <c r="G3213" s="35">
        <f>SUMIFS(G3214:G9015,K3214:K9015,"0",B3214:B9015,"5 1 1 3 2 12 31111 6 M59 12000 000121 0000E 00001 00132 015 2111100 2024*")</f>
        <v>0</v>
      </c>
      <c r="H3213" s="35">
        <f t="shared" si="51"/>
        <v>28666.1</v>
      </c>
      <c r="I3213" s="35"/>
      <c r="K3213" t="s">
        <v>15</v>
      </c>
    </row>
    <row r="3214" spans="2:11" ht="41.25" x14ac:dyDescent="0.2">
      <c r="B3214" s="33" t="s">
        <v>4148</v>
      </c>
      <c r="C3214" s="33" t="s">
        <v>662</v>
      </c>
      <c r="D3214" s="35">
        <f>SUMIFS(D3215:D9015,K3215:K9015,"0",B3215:B9015,"5 1 1 3 2 12 31111 6 M59 12000 000121 0000E 00001 00132 015 2111100 2024 CP1CI591*")-SUMIFS(E3215:E9015,K3215:K9015,"0",B3215:B9015,"5 1 1 3 2 12 31111 6 M59 12000 000121 0000E 00001 00132 015 2111100 2024 CP1CI591*")</f>
        <v>0</v>
      </c>
      <c r="E3214"/>
      <c r="F3214" s="35">
        <f>SUMIFS(F3215:F9015,K3215:K9015,"0",B3215:B9015,"5 1 1 3 2 12 31111 6 M59 12000 000121 0000E 00001 00132 015 2111100 2024 CP1CI591*")</f>
        <v>28666.1</v>
      </c>
      <c r="G3214" s="35">
        <f>SUMIFS(G3215:G9015,K3215:K9015,"0",B3215:B9015,"5 1 1 3 2 12 31111 6 M59 12000 000121 0000E 00001 00132 015 2111100 2024 CP1CI591*")</f>
        <v>0</v>
      </c>
      <c r="H3214" s="35">
        <f t="shared" si="51"/>
        <v>28666.1</v>
      </c>
      <c r="I3214" s="35"/>
      <c r="K3214" t="s">
        <v>15</v>
      </c>
    </row>
    <row r="3215" spans="2:11" ht="41.25" x14ac:dyDescent="0.2">
      <c r="B3215" s="33" t="s">
        <v>4149</v>
      </c>
      <c r="C3215" s="33" t="s">
        <v>282</v>
      </c>
      <c r="D3215" s="35">
        <f>SUMIFS(D3216:D9015,K3216:K9015,"0",B3216:B9015,"5 1 1 3 2 12 31111 6 M59 12000 000121 0000E 00001 00132 015 2111100 2024 CP1CI591 001*")-SUMIFS(E3216:E9015,K3216:K9015,"0",B3216:B9015,"5 1 1 3 2 12 31111 6 M59 12000 000121 0000E 00001 00132 015 2111100 2024 CP1CI591 001*")</f>
        <v>0</v>
      </c>
      <c r="E3215"/>
      <c r="F3215" s="35">
        <f>SUMIFS(F3216:F9015,K3216:K9015,"0",B3216:B9015,"5 1 1 3 2 12 31111 6 M59 12000 000121 0000E 00001 00132 015 2111100 2024 CP1CI591 001*")</f>
        <v>28666.1</v>
      </c>
      <c r="G3215" s="35">
        <f>SUMIFS(G3216:G9015,K3216:K9015,"0",B3216:B9015,"5 1 1 3 2 12 31111 6 M59 12000 000121 0000E 00001 00132 015 2111100 2024 CP1CI591 001*")</f>
        <v>0</v>
      </c>
      <c r="H3215" s="35">
        <f t="shared" si="51"/>
        <v>28666.1</v>
      </c>
      <c r="I3215" s="35"/>
      <c r="K3215" t="s">
        <v>15</v>
      </c>
    </row>
    <row r="3216" spans="2:11" ht="33" x14ac:dyDescent="0.2">
      <c r="B3216" s="31" t="s">
        <v>4150</v>
      </c>
      <c r="C3216" s="31" t="s">
        <v>1519</v>
      </c>
      <c r="D3216" s="34">
        <v>0</v>
      </c>
      <c r="E3216" s="34"/>
      <c r="F3216" s="34">
        <v>28666.1</v>
      </c>
      <c r="G3216" s="34">
        <v>0</v>
      </c>
      <c r="H3216" s="34">
        <f t="shared" si="51"/>
        <v>28666.1</v>
      </c>
      <c r="I3216" s="34"/>
      <c r="K3216" t="s">
        <v>38</v>
      </c>
    </row>
    <row r="3217" spans="2:11" ht="24.75" x14ac:dyDescent="0.2">
      <c r="B3217" s="33" t="s">
        <v>4151</v>
      </c>
      <c r="C3217" s="33" t="s">
        <v>3045</v>
      </c>
      <c r="D3217" s="35">
        <f>SUMIFS(D3218:D9015,K3218:K9015,"0",B3218:B9015,"5 1 1 3 2 12 31111 6 M59 12100*")-SUMIFS(E3218:E9015,K3218:K9015,"0",B3218:B9015,"5 1 1 3 2 12 31111 6 M59 12100*")</f>
        <v>0</v>
      </c>
      <c r="E3217"/>
      <c r="F3217" s="35">
        <f>SUMIFS(F3218:F9015,K3218:K9015,"0",B3218:B9015,"5 1 1 3 2 12 31111 6 M59 12100*")</f>
        <v>10797.72</v>
      </c>
      <c r="G3217" s="35">
        <f>SUMIFS(G3218:G9015,K3218:K9015,"0",B3218:B9015,"5 1 1 3 2 12 31111 6 M59 12100*")</f>
        <v>0</v>
      </c>
      <c r="H3217" s="35">
        <f t="shared" si="51"/>
        <v>10797.72</v>
      </c>
      <c r="I3217" s="35"/>
      <c r="K3217" t="s">
        <v>15</v>
      </c>
    </row>
    <row r="3218" spans="2:11" ht="16.5" x14ac:dyDescent="0.2">
      <c r="B3218" s="33" t="s">
        <v>4152</v>
      </c>
      <c r="C3218" s="33" t="s">
        <v>648</v>
      </c>
      <c r="D3218" s="35">
        <f>SUMIFS(D3219:D9015,K3219:K9015,"0",B3219:B9015,"5 1 1 3 2 12 31111 6 M59 12100 000132*")-SUMIFS(E3219:E9015,K3219:K9015,"0",B3219:B9015,"5 1 1 3 2 12 31111 6 M59 12100 000132*")</f>
        <v>0</v>
      </c>
      <c r="E3218"/>
      <c r="F3218" s="35">
        <f>SUMIFS(F3219:F9015,K3219:K9015,"0",B3219:B9015,"5 1 1 3 2 12 31111 6 M59 12100 000132*")</f>
        <v>10797.72</v>
      </c>
      <c r="G3218" s="35">
        <f>SUMIFS(G3219:G9015,K3219:K9015,"0",B3219:B9015,"5 1 1 3 2 12 31111 6 M59 12100 000132*")</f>
        <v>0</v>
      </c>
      <c r="H3218" s="35">
        <f t="shared" si="51"/>
        <v>10797.72</v>
      </c>
      <c r="I3218" s="35"/>
      <c r="K3218" t="s">
        <v>15</v>
      </c>
    </row>
    <row r="3219" spans="2:11" ht="24.75" x14ac:dyDescent="0.2">
      <c r="B3219" s="33" t="s">
        <v>4153</v>
      </c>
      <c r="C3219" s="33" t="s">
        <v>650</v>
      </c>
      <c r="D3219" s="35">
        <f>SUMIFS(D3220:D9015,K3220:K9015,"0",B3220:B9015,"5 1 1 3 2 12 31111 6 M59 12100 000132 0000R*")-SUMIFS(E3220:E9015,K3220:K9015,"0",B3220:B9015,"5 1 1 3 2 12 31111 6 M59 12100 000132 0000R*")</f>
        <v>0</v>
      </c>
      <c r="E3219"/>
      <c r="F3219" s="35">
        <f>SUMIFS(F3220:F9015,K3220:K9015,"0",B3220:B9015,"5 1 1 3 2 12 31111 6 M59 12100 000132 0000R*")</f>
        <v>10797.72</v>
      </c>
      <c r="G3219" s="35">
        <f>SUMIFS(G3220:G9015,K3220:K9015,"0",B3220:B9015,"5 1 1 3 2 12 31111 6 M59 12100 000132 0000R*")</f>
        <v>0</v>
      </c>
      <c r="H3219" s="35">
        <f t="shared" si="51"/>
        <v>10797.72</v>
      </c>
      <c r="I3219" s="35"/>
      <c r="K3219" t="s">
        <v>15</v>
      </c>
    </row>
    <row r="3220" spans="2:11" ht="24.75" x14ac:dyDescent="0.2">
      <c r="B3220" s="33" t="s">
        <v>4154</v>
      </c>
      <c r="C3220" s="33" t="s">
        <v>282</v>
      </c>
      <c r="D3220" s="35">
        <f>SUMIFS(D3221:D9015,K3221:K9015,"0",B3221:B9015,"5 1 1 3 2 12 31111 6 M59 12100 000132 0000R 00001*")-SUMIFS(E3221:E9015,K3221:K9015,"0",B3221:B9015,"5 1 1 3 2 12 31111 6 M59 12100 000132 0000R 00001*")</f>
        <v>0</v>
      </c>
      <c r="E3220"/>
      <c r="F3220" s="35">
        <f>SUMIFS(F3221:F9015,K3221:K9015,"0",B3221:B9015,"5 1 1 3 2 12 31111 6 M59 12100 000132 0000R 00001*")</f>
        <v>10797.72</v>
      </c>
      <c r="G3220" s="35">
        <f>SUMIFS(G3221:G9015,K3221:K9015,"0",B3221:B9015,"5 1 1 3 2 12 31111 6 M59 12100 000132 0000R 00001*")</f>
        <v>0</v>
      </c>
      <c r="H3220" s="35">
        <f t="shared" si="51"/>
        <v>10797.72</v>
      </c>
      <c r="I3220" s="35"/>
      <c r="K3220" t="s">
        <v>15</v>
      </c>
    </row>
    <row r="3221" spans="2:11" ht="24.75" x14ac:dyDescent="0.2">
      <c r="B3221" s="33" t="s">
        <v>4155</v>
      </c>
      <c r="C3221" s="33" t="s">
        <v>4041</v>
      </c>
      <c r="D3221" s="35">
        <f>SUMIFS(D3222:D9015,K3222:K9015,"0",B3222:B9015,"5 1 1 3 2 12 31111 6 M59 12100 000132 0000R 00001 00132*")-SUMIFS(E3222:E9015,K3222:K9015,"0",B3222:B9015,"5 1 1 3 2 12 31111 6 M59 12100 000132 0000R 00001 00132*")</f>
        <v>0</v>
      </c>
      <c r="E3221"/>
      <c r="F3221" s="35">
        <f>SUMIFS(F3222:F9015,K3222:K9015,"0",B3222:B9015,"5 1 1 3 2 12 31111 6 M59 12100 000132 0000R 00001 00132*")</f>
        <v>10797.72</v>
      </c>
      <c r="G3221" s="35">
        <f>SUMIFS(G3222:G9015,K3222:K9015,"0",B3222:B9015,"5 1 1 3 2 12 31111 6 M59 12100 000132 0000R 00001 00132*")</f>
        <v>0</v>
      </c>
      <c r="H3221" s="35">
        <f t="shared" si="51"/>
        <v>10797.72</v>
      </c>
      <c r="I3221" s="35"/>
      <c r="K3221" t="s">
        <v>15</v>
      </c>
    </row>
    <row r="3222" spans="2:11" ht="33" x14ac:dyDescent="0.2">
      <c r="B3222" s="33" t="s">
        <v>4156</v>
      </c>
      <c r="C3222" s="33" t="s">
        <v>1051</v>
      </c>
      <c r="D3222" s="35">
        <f>SUMIFS(D3223:D9015,K3223:K9015,"0",B3223:B9015,"5 1 1 3 2 12 31111 6 M59 12100 000132 0000R 00001 00132 015*")-SUMIFS(E3223:E9015,K3223:K9015,"0",B3223:B9015,"5 1 1 3 2 12 31111 6 M59 12100 000132 0000R 00001 00132 015*")</f>
        <v>0</v>
      </c>
      <c r="E3222"/>
      <c r="F3222" s="35">
        <f>SUMIFS(F3223:F9015,K3223:K9015,"0",B3223:B9015,"5 1 1 3 2 12 31111 6 M59 12100 000132 0000R 00001 00132 015*")</f>
        <v>10797.72</v>
      </c>
      <c r="G3222" s="35">
        <f>SUMIFS(G3223:G9015,K3223:K9015,"0",B3223:B9015,"5 1 1 3 2 12 31111 6 M59 12100 000132 0000R 00001 00132 015*")</f>
        <v>0</v>
      </c>
      <c r="H3222" s="35">
        <f t="shared" si="51"/>
        <v>10797.72</v>
      </c>
      <c r="I3222" s="35"/>
      <c r="K3222" t="s">
        <v>15</v>
      </c>
    </row>
    <row r="3223" spans="2:11" ht="33" x14ac:dyDescent="0.2">
      <c r="B3223" s="33" t="s">
        <v>4157</v>
      </c>
      <c r="C3223" s="33" t="s">
        <v>2927</v>
      </c>
      <c r="D3223" s="35">
        <f>SUMIFS(D3224:D9015,K3224:K9015,"0",B3224:B9015,"5 1 1 3 2 12 31111 6 M59 12100 000132 0000R 00001 00132 015 2111100*")-SUMIFS(E3224:E9015,K3224:K9015,"0",B3224:B9015,"5 1 1 3 2 12 31111 6 M59 12100 000132 0000R 00001 00132 015 2111100*")</f>
        <v>0</v>
      </c>
      <c r="E3223"/>
      <c r="F3223" s="35">
        <f>SUMIFS(F3224:F9015,K3224:K9015,"0",B3224:B9015,"5 1 1 3 2 12 31111 6 M59 12100 000132 0000R 00001 00132 015 2111100*")</f>
        <v>10797.72</v>
      </c>
      <c r="G3223" s="35">
        <f>SUMIFS(G3224:G9015,K3224:K9015,"0",B3224:B9015,"5 1 1 3 2 12 31111 6 M59 12100 000132 0000R 00001 00132 015 2111100*")</f>
        <v>0</v>
      </c>
      <c r="H3223" s="35">
        <f t="shared" si="51"/>
        <v>10797.72</v>
      </c>
      <c r="I3223" s="35"/>
      <c r="K3223" t="s">
        <v>15</v>
      </c>
    </row>
    <row r="3224" spans="2:11" ht="33" x14ac:dyDescent="0.2">
      <c r="B3224" s="33" t="s">
        <v>4158</v>
      </c>
      <c r="C3224" s="33" t="s">
        <v>660</v>
      </c>
      <c r="D3224" s="35">
        <f>SUMIFS(D3225:D9015,K3225:K9015,"0",B3225:B9015,"5 1 1 3 2 12 31111 6 M59 12100 000132 0000R 00001 00132 015 2111100 2024*")-SUMIFS(E3225:E9015,K3225:K9015,"0",B3225:B9015,"5 1 1 3 2 12 31111 6 M59 12100 000132 0000R 00001 00132 015 2111100 2024*")</f>
        <v>0</v>
      </c>
      <c r="E3224"/>
      <c r="F3224" s="35">
        <f>SUMIFS(F3225:F9015,K3225:K9015,"0",B3225:B9015,"5 1 1 3 2 12 31111 6 M59 12100 000132 0000R 00001 00132 015 2111100 2024*")</f>
        <v>10797.72</v>
      </c>
      <c r="G3224" s="35">
        <f>SUMIFS(G3225:G9015,K3225:K9015,"0",B3225:B9015,"5 1 1 3 2 12 31111 6 M59 12100 000132 0000R 00001 00132 015 2111100 2024*")</f>
        <v>0</v>
      </c>
      <c r="H3224" s="35">
        <f t="shared" si="51"/>
        <v>10797.72</v>
      </c>
      <c r="I3224" s="35"/>
      <c r="K3224" t="s">
        <v>15</v>
      </c>
    </row>
    <row r="3225" spans="2:11" ht="41.25" x14ac:dyDescent="0.2">
      <c r="B3225" s="33" t="s">
        <v>4159</v>
      </c>
      <c r="C3225" s="33" t="s">
        <v>1056</v>
      </c>
      <c r="D3225" s="35">
        <f>SUMIFS(D3226:D9015,K3226:K9015,"0",B3226:B9015,"5 1 1 3 2 12 31111 6 M59 12100 000132 0000R 00001 00132 015 2111100 2024 CP1TR430*")-SUMIFS(E3226:E9015,K3226:K9015,"0",B3226:B9015,"5 1 1 3 2 12 31111 6 M59 12100 000132 0000R 00001 00132 015 2111100 2024 CP1TR430*")</f>
        <v>0</v>
      </c>
      <c r="E3225"/>
      <c r="F3225" s="35">
        <f>SUMIFS(F3226:F9015,K3226:K9015,"0",B3226:B9015,"5 1 1 3 2 12 31111 6 M59 12100 000132 0000R 00001 00132 015 2111100 2024 CP1TR430*")</f>
        <v>10797.72</v>
      </c>
      <c r="G3225" s="35">
        <f>SUMIFS(G3226:G9015,K3226:K9015,"0",B3226:B9015,"5 1 1 3 2 12 31111 6 M59 12100 000132 0000R 00001 00132 015 2111100 2024 CP1TR430*")</f>
        <v>0</v>
      </c>
      <c r="H3225" s="35">
        <f t="shared" si="51"/>
        <v>10797.72</v>
      </c>
      <c r="I3225" s="35"/>
      <c r="K3225" t="s">
        <v>15</v>
      </c>
    </row>
    <row r="3226" spans="2:11" ht="41.25" x14ac:dyDescent="0.2">
      <c r="B3226" s="33" t="s">
        <v>4160</v>
      </c>
      <c r="C3226" s="33" t="s">
        <v>282</v>
      </c>
      <c r="D3226" s="35">
        <f>SUMIFS(D3227:D9015,K3227:K9015,"0",B3227:B9015,"5 1 1 3 2 12 31111 6 M59 12100 000132 0000R 00001 00132 015 2111100 2024 CP1TR430 001*")-SUMIFS(E3227:E9015,K3227:K9015,"0",B3227:B9015,"5 1 1 3 2 12 31111 6 M59 12100 000132 0000R 00001 00132 015 2111100 2024 CP1TR430 001*")</f>
        <v>0</v>
      </c>
      <c r="E3226"/>
      <c r="F3226" s="35">
        <f>SUMIFS(F3227:F9015,K3227:K9015,"0",B3227:B9015,"5 1 1 3 2 12 31111 6 M59 12100 000132 0000R 00001 00132 015 2111100 2024 CP1TR430 001*")</f>
        <v>10797.72</v>
      </c>
      <c r="G3226" s="35">
        <f>SUMIFS(G3227:G9015,K3227:K9015,"0",B3227:B9015,"5 1 1 3 2 12 31111 6 M59 12100 000132 0000R 00001 00132 015 2111100 2024 CP1TR430 001*")</f>
        <v>0</v>
      </c>
      <c r="H3226" s="35">
        <f t="shared" si="51"/>
        <v>10797.72</v>
      </c>
      <c r="I3226" s="35"/>
      <c r="K3226" t="s">
        <v>15</v>
      </c>
    </row>
    <row r="3227" spans="2:11" ht="33" x14ac:dyDescent="0.2">
      <c r="B3227" s="31" t="s">
        <v>4161</v>
      </c>
      <c r="C3227" s="31" t="s">
        <v>1519</v>
      </c>
      <c r="D3227" s="34">
        <v>0</v>
      </c>
      <c r="E3227" s="34"/>
      <c r="F3227" s="34">
        <v>10797.72</v>
      </c>
      <c r="G3227" s="34">
        <v>0</v>
      </c>
      <c r="H3227" s="34">
        <f t="shared" si="51"/>
        <v>10797.72</v>
      </c>
      <c r="I3227" s="34"/>
      <c r="K3227" t="s">
        <v>38</v>
      </c>
    </row>
    <row r="3228" spans="2:11" ht="16.5" x14ac:dyDescent="0.2">
      <c r="B3228" s="33" t="s">
        <v>4162</v>
      </c>
      <c r="C3228" s="33" t="s">
        <v>1044</v>
      </c>
      <c r="D3228" s="35">
        <f>SUMIFS(D3229:D9015,K3229:K9015,"0",B3229:B9015,"5 1 1 3 2 12 31111 6 M59 19000*")-SUMIFS(E3229:E9015,K3229:K9015,"0",B3229:B9015,"5 1 1 3 2 12 31111 6 M59 19000*")</f>
        <v>0</v>
      </c>
      <c r="E3228"/>
      <c r="F3228" s="35">
        <f>SUMIFS(F3229:F9015,K3229:K9015,"0",B3229:B9015,"5 1 1 3 2 12 31111 6 M59 19000*")</f>
        <v>55177.16</v>
      </c>
      <c r="G3228" s="35">
        <f>SUMIFS(G3229:G9015,K3229:K9015,"0",B3229:B9015,"5 1 1 3 2 12 31111 6 M59 19000*")</f>
        <v>0</v>
      </c>
      <c r="H3228" s="35">
        <f t="shared" si="51"/>
        <v>55177.16</v>
      </c>
      <c r="I3228" s="35"/>
      <c r="K3228" t="s">
        <v>15</v>
      </c>
    </row>
    <row r="3229" spans="2:11" ht="16.5" x14ac:dyDescent="0.2">
      <c r="B3229" s="33" t="s">
        <v>4163</v>
      </c>
      <c r="C3229" s="33" t="s">
        <v>648</v>
      </c>
      <c r="D3229" s="35">
        <f>SUMIFS(D3230:D9015,K3230:K9015,"0",B3230:B9015,"5 1 1 3 2 12 31111 6 M59 19000 000132*")-SUMIFS(E3230:E9015,K3230:K9015,"0",B3230:B9015,"5 1 1 3 2 12 31111 6 M59 19000 000132*")</f>
        <v>0</v>
      </c>
      <c r="E3229"/>
      <c r="F3229" s="35">
        <f>SUMIFS(F3230:F9015,K3230:K9015,"0",B3230:B9015,"5 1 1 3 2 12 31111 6 M59 19000 000132*")</f>
        <v>55177.16</v>
      </c>
      <c r="G3229" s="35">
        <f>SUMIFS(G3230:G9015,K3230:K9015,"0",B3230:B9015,"5 1 1 3 2 12 31111 6 M59 19000 000132*")</f>
        <v>0</v>
      </c>
      <c r="H3229" s="35">
        <f t="shared" si="51"/>
        <v>55177.16</v>
      </c>
      <c r="I3229" s="35"/>
      <c r="K3229" t="s">
        <v>15</v>
      </c>
    </row>
    <row r="3230" spans="2:11" ht="24.75" x14ac:dyDescent="0.2">
      <c r="B3230" s="33" t="s">
        <v>4164</v>
      </c>
      <c r="C3230" s="33" t="s">
        <v>650</v>
      </c>
      <c r="D3230" s="35">
        <f>SUMIFS(D3231:D9015,K3231:K9015,"0",B3231:B9015,"5 1 1 3 2 12 31111 6 M59 19000 000132 0000R*")-SUMIFS(E3231:E9015,K3231:K9015,"0",B3231:B9015,"5 1 1 3 2 12 31111 6 M59 19000 000132 0000R*")</f>
        <v>0</v>
      </c>
      <c r="E3230"/>
      <c r="F3230" s="35">
        <f>SUMIFS(F3231:F9015,K3231:K9015,"0",B3231:B9015,"5 1 1 3 2 12 31111 6 M59 19000 000132 0000R*")</f>
        <v>55177.16</v>
      </c>
      <c r="G3230" s="35">
        <f>SUMIFS(G3231:G9015,K3231:K9015,"0",B3231:B9015,"5 1 1 3 2 12 31111 6 M59 19000 000132 0000R*")</f>
        <v>0</v>
      </c>
      <c r="H3230" s="35">
        <f t="shared" si="51"/>
        <v>55177.16</v>
      </c>
      <c r="I3230" s="35"/>
      <c r="K3230" t="s">
        <v>15</v>
      </c>
    </row>
    <row r="3231" spans="2:11" ht="24.75" x14ac:dyDescent="0.2">
      <c r="B3231" s="33" t="s">
        <v>4165</v>
      </c>
      <c r="C3231" s="33" t="s">
        <v>282</v>
      </c>
      <c r="D3231" s="35">
        <f>SUMIFS(D3232:D9015,K3232:K9015,"0",B3232:B9015,"5 1 1 3 2 12 31111 6 M59 19000 000132 0000R 00001*")-SUMIFS(E3232:E9015,K3232:K9015,"0",B3232:B9015,"5 1 1 3 2 12 31111 6 M59 19000 000132 0000R 00001*")</f>
        <v>0</v>
      </c>
      <c r="E3231"/>
      <c r="F3231" s="35">
        <f>SUMIFS(F3232:F9015,K3232:K9015,"0",B3232:B9015,"5 1 1 3 2 12 31111 6 M59 19000 000132 0000R 00001*")</f>
        <v>55177.16</v>
      </c>
      <c r="G3231" s="35">
        <f>SUMIFS(G3232:G9015,K3232:K9015,"0",B3232:B9015,"5 1 1 3 2 12 31111 6 M59 19000 000132 0000R 00001*")</f>
        <v>0</v>
      </c>
      <c r="H3231" s="35">
        <f t="shared" si="51"/>
        <v>55177.16</v>
      </c>
      <c r="I3231" s="35"/>
      <c r="K3231" t="s">
        <v>15</v>
      </c>
    </row>
    <row r="3232" spans="2:11" ht="24.75" x14ac:dyDescent="0.2">
      <c r="B3232" s="33" t="s">
        <v>4166</v>
      </c>
      <c r="C3232" s="33" t="s">
        <v>4041</v>
      </c>
      <c r="D3232" s="35">
        <f>SUMIFS(D3233:D9015,K3233:K9015,"0",B3233:B9015,"5 1 1 3 2 12 31111 6 M59 19000 000132 0000R 00001 00132*")-SUMIFS(E3233:E9015,K3233:K9015,"0",B3233:B9015,"5 1 1 3 2 12 31111 6 M59 19000 000132 0000R 00001 00132*")</f>
        <v>0</v>
      </c>
      <c r="E3232"/>
      <c r="F3232" s="35">
        <f>SUMIFS(F3233:F9015,K3233:K9015,"0",B3233:B9015,"5 1 1 3 2 12 31111 6 M59 19000 000132 0000R 00001 00132*")</f>
        <v>55177.16</v>
      </c>
      <c r="G3232" s="35">
        <f>SUMIFS(G3233:G9015,K3233:K9015,"0",B3233:B9015,"5 1 1 3 2 12 31111 6 M59 19000 000132 0000R 00001 00132*")</f>
        <v>0</v>
      </c>
      <c r="H3232" s="35">
        <f t="shared" si="51"/>
        <v>55177.16</v>
      </c>
      <c r="I3232" s="35"/>
      <c r="K3232" t="s">
        <v>15</v>
      </c>
    </row>
    <row r="3233" spans="2:11" ht="33" x14ac:dyDescent="0.2">
      <c r="B3233" s="33" t="s">
        <v>4167</v>
      </c>
      <c r="C3233" s="33" t="s">
        <v>1051</v>
      </c>
      <c r="D3233" s="35">
        <f>SUMIFS(D3234:D9015,K3234:K9015,"0",B3234:B9015,"5 1 1 3 2 12 31111 6 M59 19000 000132 0000R 00001 00132 015*")-SUMIFS(E3234:E9015,K3234:K9015,"0",B3234:B9015,"5 1 1 3 2 12 31111 6 M59 19000 000132 0000R 00001 00132 015*")</f>
        <v>0</v>
      </c>
      <c r="E3233"/>
      <c r="F3233" s="35">
        <f>SUMIFS(F3234:F9015,K3234:K9015,"0",B3234:B9015,"5 1 1 3 2 12 31111 6 M59 19000 000132 0000R 00001 00132 015*")</f>
        <v>55177.16</v>
      </c>
      <c r="G3233" s="35">
        <f>SUMIFS(G3234:G9015,K3234:K9015,"0",B3234:B9015,"5 1 1 3 2 12 31111 6 M59 19000 000132 0000R 00001 00132 015*")</f>
        <v>0</v>
      </c>
      <c r="H3233" s="35">
        <f t="shared" si="51"/>
        <v>55177.16</v>
      </c>
      <c r="I3233" s="35"/>
      <c r="K3233" t="s">
        <v>15</v>
      </c>
    </row>
    <row r="3234" spans="2:11" ht="33" x14ac:dyDescent="0.2">
      <c r="B3234" s="33" t="s">
        <v>4168</v>
      </c>
      <c r="C3234" s="33" t="s">
        <v>2927</v>
      </c>
      <c r="D3234" s="35">
        <f>SUMIFS(D3235:D9015,K3235:K9015,"0",B3235:B9015,"5 1 1 3 2 12 31111 6 M59 19000 000132 0000R 00001 00132 015 2111100*")-SUMIFS(E3235:E9015,K3235:K9015,"0",B3235:B9015,"5 1 1 3 2 12 31111 6 M59 19000 000132 0000R 00001 00132 015 2111100*")</f>
        <v>0</v>
      </c>
      <c r="E3234"/>
      <c r="F3234" s="35">
        <f>SUMIFS(F3235:F9015,K3235:K9015,"0",B3235:B9015,"5 1 1 3 2 12 31111 6 M59 19000 000132 0000R 00001 00132 015 2111100*")</f>
        <v>55177.16</v>
      </c>
      <c r="G3234" s="35">
        <f>SUMIFS(G3235:G9015,K3235:K9015,"0",B3235:B9015,"5 1 1 3 2 12 31111 6 M59 19000 000132 0000R 00001 00132 015 2111100*")</f>
        <v>0</v>
      </c>
      <c r="H3234" s="35">
        <f t="shared" si="51"/>
        <v>55177.16</v>
      </c>
      <c r="I3234" s="35"/>
      <c r="K3234" t="s">
        <v>15</v>
      </c>
    </row>
    <row r="3235" spans="2:11" ht="33" x14ac:dyDescent="0.2">
      <c r="B3235" s="33" t="s">
        <v>4169</v>
      </c>
      <c r="C3235" s="33" t="s">
        <v>660</v>
      </c>
      <c r="D3235" s="35">
        <f>SUMIFS(D3236:D9015,K3236:K9015,"0",B3236:B9015,"5 1 1 3 2 12 31111 6 M59 19000 000132 0000R 00001 00132 015 2111100 2024*")-SUMIFS(E3236:E9015,K3236:K9015,"0",B3236:B9015,"5 1 1 3 2 12 31111 6 M59 19000 000132 0000R 00001 00132 015 2111100 2024*")</f>
        <v>0</v>
      </c>
      <c r="E3235"/>
      <c r="F3235" s="35">
        <f>SUMIFS(F3236:F9015,K3236:K9015,"0",B3236:B9015,"5 1 1 3 2 12 31111 6 M59 19000 000132 0000R 00001 00132 015 2111100 2024*")</f>
        <v>55177.16</v>
      </c>
      <c r="G3235" s="35">
        <f>SUMIFS(G3236:G9015,K3236:K9015,"0",B3236:B9015,"5 1 1 3 2 12 31111 6 M59 19000 000132 0000R 00001 00132 015 2111100 2024*")</f>
        <v>0</v>
      </c>
      <c r="H3235" s="35">
        <f t="shared" si="51"/>
        <v>55177.16</v>
      </c>
      <c r="I3235" s="35"/>
      <c r="K3235" t="s">
        <v>15</v>
      </c>
    </row>
    <row r="3236" spans="2:11" ht="41.25" x14ac:dyDescent="0.2">
      <c r="B3236" s="33" t="s">
        <v>4170</v>
      </c>
      <c r="C3236" s="33" t="s">
        <v>662</v>
      </c>
      <c r="D3236" s="35">
        <f>SUMIFS(D3237:D9015,K3237:K9015,"0",B3237:B9015,"5 1 1 3 2 12 31111 6 M59 19000 000132 0000R 00001 00132 015 2111100 2024 CP1TM440*")-SUMIFS(E3237:E9015,K3237:K9015,"0",B3237:B9015,"5 1 1 3 2 12 31111 6 M59 19000 000132 0000R 00001 00132 015 2111100 2024 CP1TM440*")</f>
        <v>0</v>
      </c>
      <c r="E3236"/>
      <c r="F3236" s="35">
        <f>SUMIFS(F3237:F9015,K3237:K9015,"0",B3237:B9015,"5 1 1 3 2 12 31111 6 M59 19000 000132 0000R 00001 00132 015 2111100 2024 CP1TM440*")</f>
        <v>55177.16</v>
      </c>
      <c r="G3236" s="35">
        <f>SUMIFS(G3237:G9015,K3237:K9015,"0",B3237:B9015,"5 1 1 3 2 12 31111 6 M59 19000 000132 0000R 00001 00132 015 2111100 2024 CP1TM440*")</f>
        <v>0</v>
      </c>
      <c r="H3236" s="35">
        <f t="shared" si="51"/>
        <v>55177.16</v>
      </c>
      <c r="I3236" s="35"/>
      <c r="K3236" t="s">
        <v>15</v>
      </c>
    </row>
    <row r="3237" spans="2:11" ht="41.25" x14ac:dyDescent="0.2">
      <c r="B3237" s="33" t="s">
        <v>4171</v>
      </c>
      <c r="C3237" s="33" t="s">
        <v>282</v>
      </c>
      <c r="D3237" s="35">
        <f>SUMIFS(D3238:D9015,K3238:K9015,"0",B3238:B9015,"5 1 1 3 2 12 31111 6 M59 19000 000132 0000R 00001 00132 015 2111100 2024 CP1TM440 001*")-SUMIFS(E3238:E9015,K3238:K9015,"0",B3238:B9015,"5 1 1 3 2 12 31111 6 M59 19000 000132 0000R 00001 00132 015 2111100 2024 CP1TM440 001*")</f>
        <v>0</v>
      </c>
      <c r="E3237"/>
      <c r="F3237" s="35">
        <f>SUMIFS(F3238:F9015,K3238:K9015,"0",B3238:B9015,"5 1 1 3 2 12 31111 6 M59 19000 000132 0000R 00001 00132 015 2111100 2024 CP1TM440 001*")</f>
        <v>55177.16</v>
      </c>
      <c r="G3237" s="35">
        <f>SUMIFS(G3238:G9015,K3238:K9015,"0",B3238:B9015,"5 1 1 3 2 12 31111 6 M59 19000 000132 0000R 00001 00132 015 2111100 2024 CP1TM440 001*")</f>
        <v>0</v>
      </c>
      <c r="H3237" s="35">
        <f t="shared" si="51"/>
        <v>55177.16</v>
      </c>
      <c r="I3237" s="35"/>
      <c r="K3237" t="s">
        <v>15</v>
      </c>
    </row>
    <row r="3238" spans="2:11" ht="33" x14ac:dyDescent="0.2">
      <c r="B3238" s="31" t="s">
        <v>4172</v>
      </c>
      <c r="C3238" s="31" t="s">
        <v>1519</v>
      </c>
      <c r="D3238" s="34">
        <v>0</v>
      </c>
      <c r="E3238" s="34"/>
      <c r="F3238" s="34">
        <v>55177.16</v>
      </c>
      <c r="G3238" s="34">
        <v>0</v>
      </c>
      <c r="H3238" s="34">
        <f t="shared" si="51"/>
        <v>55177.16</v>
      </c>
      <c r="I3238" s="34"/>
      <c r="K3238" t="s">
        <v>38</v>
      </c>
    </row>
    <row r="3239" spans="2:11" ht="16.5" x14ac:dyDescent="0.2">
      <c r="B3239" s="33" t="s">
        <v>4173</v>
      </c>
      <c r="C3239" s="33" t="s">
        <v>1044</v>
      </c>
      <c r="D3239" s="35">
        <f>SUMIFS(D3240:D9015,K3240:K9015,"0",B3240:B9015,"5 1 1 3 2 12 31111 6 M59 20000*")-SUMIFS(E3240:E9015,K3240:K9015,"0",B3240:B9015,"5 1 1 3 2 12 31111 6 M59 20000*")</f>
        <v>0</v>
      </c>
      <c r="E3239"/>
      <c r="F3239" s="35">
        <f>SUMIFS(F3240:F9015,K3240:K9015,"0",B3240:B9015,"5 1 1 3 2 12 31111 6 M59 20000*")</f>
        <v>3052</v>
      </c>
      <c r="G3239" s="35">
        <f>SUMIFS(G3240:G9015,K3240:K9015,"0",B3240:B9015,"5 1 1 3 2 12 31111 6 M59 20000*")</f>
        <v>0</v>
      </c>
      <c r="H3239" s="35">
        <f t="shared" si="51"/>
        <v>3052</v>
      </c>
      <c r="I3239" s="35"/>
      <c r="K3239" t="s">
        <v>15</v>
      </c>
    </row>
    <row r="3240" spans="2:11" ht="16.5" x14ac:dyDescent="0.2">
      <c r="B3240" s="33" t="s">
        <v>4174</v>
      </c>
      <c r="C3240" s="33" t="s">
        <v>648</v>
      </c>
      <c r="D3240" s="35">
        <f>SUMIFS(D3241:D9015,K3241:K9015,"0",B3241:B9015,"5 1 1 3 2 12 31111 6 M59 20000 000132*")-SUMIFS(E3241:E9015,K3241:K9015,"0",B3241:B9015,"5 1 1 3 2 12 31111 6 M59 20000 000132*")</f>
        <v>0</v>
      </c>
      <c r="E3240"/>
      <c r="F3240" s="35">
        <f>SUMIFS(F3241:F9015,K3241:K9015,"0",B3241:B9015,"5 1 1 3 2 12 31111 6 M59 20000 000132*")</f>
        <v>3052</v>
      </c>
      <c r="G3240" s="35">
        <f>SUMIFS(G3241:G9015,K3241:K9015,"0",B3241:B9015,"5 1 1 3 2 12 31111 6 M59 20000 000132*")</f>
        <v>0</v>
      </c>
      <c r="H3240" s="35">
        <f t="shared" si="51"/>
        <v>3052</v>
      </c>
      <c r="I3240" s="35"/>
      <c r="K3240" t="s">
        <v>15</v>
      </c>
    </row>
    <row r="3241" spans="2:11" ht="24.75" x14ac:dyDescent="0.2">
      <c r="B3241" s="33" t="s">
        <v>4175</v>
      </c>
      <c r="C3241" s="33" t="s">
        <v>650</v>
      </c>
      <c r="D3241" s="35">
        <f>SUMIFS(D3242:D9015,K3242:K9015,"0",B3242:B9015,"5 1 1 3 2 12 31111 6 M59 20000 000132 0000R*")-SUMIFS(E3242:E9015,K3242:K9015,"0",B3242:B9015,"5 1 1 3 2 12 31111 6 M59 20000 000132 0000R*")</f>
        <v>0</v>
      </c>
      <c r="E3241"/>
      <c r="F3241" s="35">
        <f>SUMIFS(F3242:F9015,K3242:K9015,"0",B3242:B9015,"5 1 1 3 2 12 31111 6 M59 20000 000132 0000R*")</f>
        <v>3052</v>
      </c>
      <c r="G3241" s="35">
        <f>SUMIFS(G3242:G9015,K3242:K9015,"0",B3242:B9015,"5 1 1 3 2 12 31111 6 M59 20000 000132 0000R*")</f>
        <v>0</v>
      </c>
      <c r="H3241" s="35">
        <f t="shared" si="51"/>
        <v>3052</v>
      </c>
      <c r="I3241" s="35"/>
      <c r="K3241" t="s">
        <v>15</v>
      </c>
    </row>
    <row r="3242" spans="2:11" ht="24.75" x14ac:dyDescent="0.2">
      <c r="B3242" s="33" t="s">
        <v>4176</v>
      </c>
      <c r="C3242" s="33" t="s">
        <v>282</v>
      </c>
      <c r="D3242" s="35">
        <f>SUMIFS(D3243:D9015,K3243:K9015,"0",B3243:B9015,"5 1 1 3 2 12 31111 6 M59 20000 000132 0000R 00001*")-SUMIFS(E3243:E9015,K3243:K9015,"0",B3243:B9015,"5 1 1 3 2 12 31111 6 M59 20000 000132 0000R 00001*")</f>
        <v>0</v>
      </c>
      <c r="E3242"/>
      <c r="F3242" s="35">
        <f>SUMIFS(F3243:F9015,K3243:K9015,"0",B3243:B9015,"5 1 1 3 2 12 31111 6 M59 20000 000132 0000R 00001*")</f>
        <v>3052</v>
      </c>
      <c r="G3242" s="35">
        <f>SUMIFS(G3243:G9015,K3243:K9015,"0",B3243:B9015,"5 1 1 3 2 12 31111 6 M59 20000 000132 0000R 00001*")</f>
        <v>0</v>
      </c>
      <c r="H3242" s="35">
        <f t="shared" si="51"/>
        <v>3052</v>
      </c>
      <c r="I3242" s="35"/>
      <c r="K3242" t="s">
        <v>15</v>
      </c>
    </row>
    <row r="3243" spans="2:11" ht="24.75" x14ac:dyDescent="0.2">
      <c r="B3243" s="33" t="s">
        <v>4177</v>
      </c>
      <c r="C3243" s="33" t="s">
        <v>4041</v>
      </c>
      <c r="D3243" s="35">
        <f>SUMIFS(D3244:D9015,K3244:K9015,"0",B3244:B9015,"5 1 1 3 2 12 31111 6 M59 20000 000132 0000R 00001 00132*")-SUMIFS(E3244:E9015,K3244:K9015,"0",B3244:B9015,"5 1 1 3 2 12 31111 6 M59 20000 000132 0000R 00001 00132*")</f>
        <v>0</v>
      </c>
      <c r="E3243"/>
      <c r="F3243" s="35">
        <f>SUMIFS(F3244:F9015,K3244:K9015,"0",B3244:B9015,"5 1 1 3 2 12 31111 6 M59 20000 000132 0000R 00001 00132*")</f>
        <v>3052</v>
      </c>
      <c r="G3243" s="35">
        <f>SUMIFS(G3244:G9015,K3244:K9015,"0",B3244:B9015,"5 1 1 3 2 12 31111 6 M59 20000 000132 0000R 00001 00132*")</f>
        <v>0</v>
      </c>
      <c r="H3243" s="35">
        <f t="shared" si="51"/>
        <v>3052</v>
      </c>
      <c r="I3243" s="35"/>
      <c r="K3243" t="s">
        <v>15</v>
      </c>
    </row>
    <row r="3244" spans="2:11" ht="33" x14ac:dyDescent="0.2">
      <c r="B3244" s="33" t="s">
        <v>4178</v>
      </c>
      <c r="C3244" s="33" t="s">
        <v>1051</v>
      </c>
      <c r="D3244" s="35">
        <f>SUMIFS(D3245:D9015,K3245:K9015,"0",B3245:B9015,"5 1 1 3 2 12 31111 6 M59 20000 000132 0000R 00001 00132 015*")-SUMIFS(E3245:E9015,K3245:K9015,"0",B3245:B9015,"5 1 1 3 2 12 31111 6 M59 20000 000132 0000R 00001 00132 015*")</f>
        <v>0</v>
      </c>
      <c r="E3244"/>
      <c r="F3244" s="35">
        <f>SUMIFS(F3245:F9015,K3245:K9015,"0",B3245:B9015,"5 1 1 3 2 12 31111 6 M59 20000 000132 0000R 00001 00132 015*")</f>
        <v>3052</v>
      </c>
      <c r="G3244" s="35">
        <f>SUMIFS(G3245:G9015,K3245:K9015,"0",B3245:B9015,"5 1 1 3 2 12 31111 6 M59 20000 000132 0000R 00001 00132 015*")</f>
        <v>0</v>
      </c>
      <c r="H3244" s="35">
        <f t="shared" si="51"/>
        <v>3052</v>
      </c>
      <c r="I3244" s="35"/>
      <c r="K3244" t="s">
        <v>15</v>
      </c>
    </row>
    <row r="3245" spans="2:11" ht="33" x14ac:dyDescent="0.2">
      <c r="B3245" s="33" t="s">
        <v>4179</v>
      </c>
      <c r="C3245" s="33" t="s">
        <v>2927</v>
      </c>
      <c r="D3245" s="35">
        <f>SUMIFS(D3246:D9015,K3246:K9015,"0",B3246:B9015,"5 1 1 3 2 12 31111 6 M59 20000 000132 0000R 00001 00132 015 2111100*")-SUMIFS(E3246:E9015,K3246:K9015,"0",B3246:B9015,"5 1 1 3 2 12 31111 6 M59 20000 000132 0000R 00001 00132 015 2111100*")</f>
        <v>0</v>
      </c>
      <c r="E3245"/>
      <c r="F3245" s="35">
        <f>SUMIFS(F3246:F9015,K3246:K9015,"0",B3246:B9015,"5 1 1 3 2 12 31111 6 M59 20000 000132 0000R 00001 00132 015 2111100*")</f>
        <v>3052</v>
      </c>
      <c r="G3245" s="35">
        <f>SUMIFS(G3246:G9015,K3246:K9015,"0",B3246:B9015,"5 1 1 3 2 12 31111 6 M59 20000 000132 0000R 00001 00132 015 2111100*")</f>
        <v>0</v>
      </c>
      <c r="H3245" s="35">
        <f t="shared" si="51"/>
        <v>3052</v>
      </c>
      <c r="I3245" s="35"/>
      <c r="K3245" t="s">
        <v>15</v>
      </c>
    </row>
    <row r="3246" spans="2:11" ht="33" x14ac:dyDescent="0.2">
      <c r="B3246" s="33" t="s">
        <v>4180</v>
      </c>
      <c r="C3246" s="33" t="s">
        <v>660</v>
      </c>
      <c r="D3246" s="35">
        <f>SUMIFS(D3247:D9015,K3247:K9015,"0",B3247:B9015,"5 1 1 3 2 12 31111 6 M59 20000 000132 0000R 00001 00132 015 2111100 2024*")-SUMIFS(E3247:E9015,K3247:K9015,"0",B3247:B9015,"5 1 1 3 2 12 31111 6 M59 20000 000132 0000R 00001 00132 015 2111100 2024*")</f>
        <v>0</v>
      </c>
      <c r="E3246"/>
      <c r="F3246" s="35">
        <f>SUMIFS(F3247:F9015,K3247:K9015,"0",B3247:B9015,"5 1 1 3 2 12 31111 6 M59 20000 000132 0000R 00001 00132 015 2111100 2024*")</f>
        <v>3052</v>
      </c>
      <c r="G3246" s="35">
        <f>SUMIFS(G3247:G9015,K3247:K9015,"0",B3247:B9015,"5 1 1 3 2 12 31111 6 M59 20000 000132 0000R 00001 00132 015 2111100 2024*")</f>
        <v>0</v>
      </c>
      <c r="H3246" s="35">
        <f t="shared" si="51"/>
        <v>3052</v>
      </c>
      <c r="I3246" s="35"/>
      <c r="K3246" t="s">
        <v>15</v>
      </c>
    </row>
    <row r="3247" spans="2:11" ht="41.25" x14ac:dyDescent="0.2">
      <c r="B3247" s="33" t="s">
        <v>4181</v>
      </c>
      <c r="C3247" s="33" t="s">
        <v>1056</v>
      </c>
      <c r="D3247" s="35">
        <f>SUMIFS(D3248:D9015,K3248:K9015,"0",B3248:B9015,"5 1 1 3 2 12 31111 6 M59 20000 000132 0000R 00001 00132 015 2111100 2024 CP1AF389*")-SUMIFS(E3248:E9015,K3248:K9015,"0",B3248:B9015,"5 1 1 3 2 12 31111 6 M59 20000 000132 0000R 00001 00132 015 2111100 2024 CP1AF389*")</f>
        <v>0</v>
      </c>
      <c r="E3247"/>
      <c r="F3247" s="35">
        <f>SUMIFS(F3248:F9015,K3248:K9015,"0",B3248:B9015,"5 1 1 3 2 12 31111 6 M59 20000 000132 0000R 00001 00132 015 2111100 2024 CP1AF389*")</f>
        <v>3052</v>
      </c>
      <c r="G3247" s="35">
        <f>SUMIFS(G3248:G9015,K3248:K9015,"0",B3248:B9015,"5 1 1 3 2 12 31111 6 M59 20000 000132 0000R 00001 00132 015 2111100 2024 CP1AF389*")</f>
        <v>0</v>
      </c>
      <c r="H3247" s="35">
        <f t="shared" si="51"/>
        <v>3052</v>
      </c>
      <c r="I3247" s="35"/>
      <c r="K3247" t="s">
        <v>15</v>
      </c>
    </row>
    <row r="3248" spans="2:11" ht="41.25" x14ac:dyDescent="0.2">
      <c r="B3248" s="33" t="s">
        <v>4182</v>
      </c>
      <c r="C3248" s="33" t="s">
        <v>282</v>
      </c>
      <c r="D3248" s="35">
        <f>SUMIFS(D3249:D9015,K3249:K9015,"0",B3249:B9015,"5 1 1 3 2 12 31111 6 M59 20000 000132 0000R 00001 00132 015 2111100 2024 CP1AF389 001*")-SUMIFS(E3249:E9015,K3249:K9015,"0",B3249:B9015,"5 1 1 3 2 12 31111 6 M59 20000 000132 0000R 00001 00132 015 2111100 2024 CP1AF389 001*")</f>
        <v>0</v>
      </c>
      <c r="E3248"/>
      <c r="F3248" s="35">
        <f>SUMIFS(F3249:F9015,K3249:K9015,"0",B3249:B9015,"5 1 1 3 2 12 31111 6 M59 20000 000132 0000R 00001 00132 015 2111100 2024 CP1AF389 001*")</f>
        <v>3052</v>
      </c>
      <c r="G3248" s="35">
        <f>SUMIFS(G3249:G9015,K3249:K9015,"0",B3249:B9015,"5 1 1 3 2 12 31111 6 M59 20000 000132 0000R 00001 00132 015 2111100 2024 CP1AF389 001*")</f>
        <v>0</v>
      </c>
      <c r="H3248" s="35">
        <f t="shared" si="51"/>
        <v>3052</v>
      </c>
      <c r="I3248" s="35"/>
      <c r="K3248" t="s">
        <v>15</v>
      </c>
    </row>
    <row r="3249" spans="2:11" ht="41.25" x14ac:dyDescent="0.2">
      <c r="B3249" s="31" t="s">
        <v>4183</v>
      </c>
      <c r="C3249" s="31" t="s">
        <v>1519</v>
      </c>
      <c r="D3249" s="34">
        <v>0</v>
      </c>
      <c r="E3249" s="34"/>
      <c r="F3249" s="34">
        <v>3052</v>
      </c>
      <c r="G3249" s="34">
        <v>0</v>
      </c>
      <c r="H3249" s="34">
        <f t="shared" si="51"/>
        <v>3052</v>
      </c>
      <c r="I3249" s="34"/>
      <c r="K3249" t="s">
        <v>38</v>
      </c>
    </row>
    <row r="3250" spans="2:11" ht="16.5" x14ac:dyDescent="0.2">
      <c r="B3250" s="33" t="s">
        <v>4184</v>
      </c>
      <c r="C3250" s="33" t="s">
        <v>3080</v>
      </c>
      <c r="D3250" s="35">
        <f>SUMIFS(D3251:D9015,K3251:K9015,"0",B3251:B9015,"5 1 1 3 2 12 31111 6 M59 20200*")-SUMIFS(E3251:E9015,K3251:K9015,"0",B3251:B9015,"5 1 1 3 2 12 31111 6 M59 20200*")</f>
        <v>0</v>
      </c>
      <c r="E3250"/>
      <c r="F3250" s="35">
        <f>SUMIFS(F3251:F9015,K3251:K9015,"0",B3251:B9015,"5 1 1 3 2 12 31111 6 M59 20200*")</f>
        <v>59344.45</v>
      </c>
      <c r="G3250" s="35">
        <f>SUMIFS(G3251:G9015,K3251:K9015,"0",B3251:B9015,"5 1 1 3 2 12 31111 6 M59 20200*")</f>
        <v>0</v>
      </c>
      <c r="H3250" s="35">
        <f t="shared" si="51"/>
        <v>59344.45</v>
      </c>
      <c r="I3250" s="35"/>
      <c r="K3250" t="s">
        <v>15</v>
      </c>
    </row>
    <row r="3251" spans="2:11" ht="16.5" x14ac:dyDescent="0.2">
      <c r="B3251" s="33" t="s">
        <v>4185</v>
      </c>
      <c r="C3251" s="33" t="s">
        <v>648</v>
      </c>
      <c r="D3251" s="35">
        <f>SUMIFS(D3252:D9015,K3252:K9015,"0",B3252:B9015,"5 1 1 3 2 12 31111 6 M59 20200 000132*")-SUMIFS(E3252:E9015,K3252:K9015,"0",B3252:B9015,"5 1 1 3 2 12 31111 6 M59 20200 000132*")</f>
        <v>0</v>
      </c>
      <c r="E3251"/>
      <c r="F3251" s="35">
        <f>SUMIFS(F3252:F9015,K3252:K9015,"0",B3252:B9015,"5 1 1 3 2 12 31111 6 M59 20200 000132*")</f>
        <v>59344.45</v>
      </c>
      <c r="G3251" s="35">
        <f>SUMIFS(G3252:G9015,K3252:K9015,"0",B3252:B9015,"5 1 1 3 2 12 31111 6 M59 20200 000132*")</f>
        <v>0</v>
      </c>
      <c r="H3251" s="35">
        <f t="shared" si="51"/>
        <v>59344.45</v>
      </c>
      <c r="I3251" s="35"/>
      <c r="K3251" t="s">
        <v>15</v>
      </c>
    </row>
    <row r="3252" spans="2:11" ht="24.75" x14ac:dyDescent="0.2">
      <c r="B3252" s="33" t="s">
        <v>4186</v>
      </c>
      <c r="C3252" s="33" t="s">
        <v>650</v>
      </c>
      <c r="D3252" s="35">
        <f>SUMIFS(D3253:D9015,K3253:K9015,"0",B3253:B9015,"5 1 1 3 2 12 31111 6 M59 20200 000132 0000R*")-SUMIFS(E3253:E9015,K3253:K9015,"0",B3253:B9015,"5 1 1 3 2 12 31111 6 M59 20200 000132 0000R*")</f>
        <v>0</v>
      </c>
      <c r="E3252"/>
      <c r="F3252" s="35">
        <f>SUMIFS(F3253:F9015,K3253:K9015,"0",B3253:B9015,"5 1 1 3 2 12 31111 6 M59 20200 000132 0000R*")</f>
        <v>59344.45</v>
      </c>
      <c r="G3252" s="35">
        <f>SUMIFS(G3253:G9015,K3253:K9015,"0",B3253:B9015,"5 1 1 3 2 12 31111 6 M59 20200 000132 0000R*")</f>
        <v>0</v>
      </c>
      <c r="H3252" s="35">
        <f t="shared" si="51"/>
        <v>59344.45</v>
      </c>
      <c r="I3252" s="35"/>
      <c r="K3252" t="s">
        <v>15</v>
      </c>
    </row>
    <row r="3253" spans="2:11" ht="24.75" x14ac:dyDescent="0.2">
      <c r="B3253" s="33" t="s">
        <v>4187</v>
      </c>
      <c r="C3253" s="33" t="s">
        <v>282</v>
      </c>
      <c r="D3253" s="35">
        <f>SUMIFS(D3254:D9015,K3254:K9015,"0",B3254:B9015,"5 1 1 3 2 12 31111 6 M59 20200 000132 0000R 00001*")-SUMIFS(E3254:E9015,K3254:K9015,"0",B3254:B9015,"5 1 1 3 2 12 31111 6 M59 20200 000132 0000R 00001*")</f>
        <v>0</v>
      </c>
      <c r="E3253"/>
      <c r="F3253" s="35">
        <f>SUMIFS(F3254:F9015,K3254:K9015,"0",B3254:B9015,"5 1 1 3 2 12 31111 6 M59 20200 000132 0000R 00001*")</f>
        <v>59344.45</v>
      </c>
      <c r="G3253" s="35">
        <f>SUMIFS(G3254:G9015,K3254:K9015,"0",B3254:B9015,"5 1 1 3 2 12 31111 6 M59 20200 000132 0000R 00001*")</f>
        <v>0</v>
      </c>
      <c r="H3253" s="35">
        <f t="shared" si="51"/>
        <v>59344.45</v>
      </c>
      <c r="I3253" s="35"/>
      <c r="K3253" t="s">
        <v>15</v>
      </c>
    </row>
    <row r="3254" spans="2:11" ht="24.75" x14ac:dyDescent="0.2">
      <c r="B3254" s="33" t="s">
        <v>4188</v>
      </c>
      <c r="C3254" s="33" t="s">
        <v>4041</v>
      </c>
      <c r="D3254" s="35">
        <f>SUMIFS(D3255:D9015,K3255:K9015,"0",B3255:B9015,"5 1 1 3 2 12 31111 6 M59 20200 000132 0000R 00001 00132*")-SUMIFS(E3255:E9015,K3255:K9015,"0",B3255:B9015,"5 1 1 3 2 12 31111 6 M59 20200 000132 0000R 00001 00132*")</f>
        <v>0</v>
      </c>
      <c r="E3254"/>
      <c r="F3254" s="35">
        <f>SUMIFS(F3255:F9015,K3255:K9015,"0",B3255:B9015,"5 1 1 3 2 12 31111 6 M59 20200 000132 0000R 00001 00132*")</f>
        <v>59344.45</v>
      </c>
      <c r="G3254" s="35">
        <f>SUMIFS(G3255:G9015,K3255:K9015,"0",B3255:B9015,"5 1 1 3 2 12 31111 6 M59 20200 000132 0000R 00001 00132*")</f>
        <v>0</v>
      </c>
      <c r="H3254" s="35">
        <f t="shared" si="51"/>
        <v>59344.45</v>
      </c>
      <c r="I3254" s="35"/>
      <c r="K3254" t="s">
        <v>15</v>
      </c>
    </row>
    <row r="3255" spans="2:11" ht="33" x14ac:dyDescent="0.2">
      <c r="B3255" s="33" t="s">
        <v>4189</v>
      </c>
      <c r="C3255" s="33" t="s">
        <v>1051</v>
      </c>
      <c r="D3255" s="35">
        <f>SUMIFS(D3256:D9015,K3256:K9015,"0",B3256:B9015,"5 1 1 3 2 12 31111 6 M59 20200 000132 0000R 00001 00132 015*")-SUMIFS(E3256:E9015,K3256:K9015,"0",B3256:B9015,"5 1 1 3 2 12 31111 6 M59 20200 000132 0000R 00001 00132 015*")</f>
        <v>0</v>
      </c>
      <c r="E3255"/>
      <c r="F3255" s="35">
        <f>SUMIFS(F3256:F9015,K3256:K9015,"0",B3256:B9015,"5 1 1 3 2 12 31111 6 M59 20200 000132 0000R 00001 00132 015*")</f>
        <v>59344.45</v>
      </c>
      <c r="G3255" s="35">
        <f>SUMIFS(G3256:G9015,K3256:K9015,"0",B3256:B9015,"5 1 1 3 2 12 31111 6 M59 20200 000132 0000R 00001 00132 015*")</f>
        <v>0</v>
      </c>
      <c r="H3255" s="35">
        <f t="shared" si="51"/>
        <v>59344.45</v>
      </c>
      <c r="I3255" s="35"/>
      <c r="K3255" t="s">
        <v>15</v>
      </c>
    </row>
    <row r="3256" spans="2:11" ht="33" x14ac:dyDescent="0.2">
      <c r="B3256" s="33" t="s">
        <v>4190</v>
      </c>
      <c r="C3256" s="33" t="s">
        <v>2927</v>
      </c>
      <c r="D3256" s="35">
        <f>SUMIFS(D3257:D9015,K3257:K9015,"0",B3257:B9015,"5 1 1 3 2 12 31111 6 M59 20200 000132 0000R 00001 00132 015 2111100*")-SUMIFS(E3257:E9015,K3257:K9015,"0",B3257:B9015,"5 1 1 3 2 12 31111 6 M59 20200 000132 0000R 00001 00132 015 2111100*")</f>
        <v>0</v>
      </c>
      <c r="E3256"/>
      <c r="F3256" s="35">
        <f>SUMIFS(F3257:F9015,K3257:K9015,"0",B3257:B9015,"5 1 1 3 2 12 31111 6 M59 20200 000132 0000R 00001 00132 015 2111100*")</f>
        <v>59344.45</v>
      </c>
      <c r="G3256" s="35">
        <f>SUMIFS(G3257:G9015,K3257:K9015,"0",B3257:B9015,"5 1 1 3 2 12 31111 6 M59 20200 000132 0000R 00001 00132 015 2111100*")</f>
        <v>0</v>
      </c>
      <c r="H3256" s="35">
        <f t="shared" si="51"/>
        <v>59344.45</v>
      </c>
      <c r="I3256" s="35"/>
      <c r="K3256" t="s">
        <v>15</v>
      </c>
    </row>
    <row r="3257" spans="2:11" ht="33" x14ac:dyDescent="0.2">
      <c r="B3257" s="33" t="s">
        <v>4191</v>
      </c>
      <c r="C3257" s="33" t="s">
        <v>660</v>
      </c>
      <c r="D3257" s="35">
        <f>SUMIFS(D3258:D9015,K3258:K9015,"0",B3258:B9015,"5 1 1 3 2 12 31111 6 M59 20200 000132 0000R 00001 00132 015 2111100 2024*")-SUMIFS(E3258:E9015,K3258:K9015,"0",B3258:B9015,"5 1 1 3 2 12 31111 6 M59 20200 000132 0000R 00001 00132 015 2111100 2024*")</f>
        <v>0</v>
      </c>
      <c r="E3257"/>
      <c r="F3257" s="35">
        <f>SUMIFS(F3258:F9015,K3258:K9015,"0",B3258:B9015,"5 1 1 3 2 12 31111 6 M59 20200 000132 0000R 00001 00132 015 2111100 2024*")</f>
        <v>59344.45</v>
      </c>
      <c r="G3257" s="35">
        <f>SUMIFS(G3258:G9015,K3258:K9015,"0",B3258:B9015,"5 1 1 3 2 12 31111 6 M59 20200 000132 0000R 00001 00132 015 2111100 2024*")</f>
        <v>0</v>
      </c>
      <c r="H3257" s="35">
        <f t="shared" si="51"/>
        <v>59344.45</v>
      </c>
      <c r="I3257" s="35"/>
      <c r="K3257" t="s">
        <v>15</v>
      </c>
    </row>
    <row r="3258" spans="2:11" ht="41.25" x14ac:dyDescent="0.2">
      <c r="B3258" s="33" t="s">
        <v>4192</v>
      </c>
      <c r="C3258" s="33" t="s">
        <v>662</v>
      </c>
      <c r="D3258" s="35">
        <f>SUMIFS(D3259:D9015,K3259:K9015,"0",B3259:B9015,"5 1 1 3 2 12 31111 6 M59 20200 000132 0000R 00001 00132 015 2111100 2024 CP1DI411*")-SUMIFS(E3259:E9015,K3259:K9015,"0",B3259:B9015,"5 1 1 3 2 12 31111 6 M59 20200 000132 0000R 00001 00132 015 2111100 2024 CP1DI411*")</f>
        <v>0</v>
      </c>
      <c r="E3258"/>
      <c r="F3258" s="35">
        <f>SUMIFS(F3259:F9015,K3259:K9015,"0",B3259:B9015,"5 1 1 3 2 12 31111 6 M59 20200 000132 0000R 00001 00132 015 2111100 2024 CP1DI411*")</f>
        <v>59344.45</v>
      </c>
      <c r="G3258" s="35">
        <f>SUMIFS(G3259:G9015,K3259:K9015,"0",B3259:B9015,"5 1 1 3 2 12 31111 6 M59 20200 000132 0000R 00001 00132 015 2111100 2024 CP1DI411*")</f>
        <v>0</v>
      </c>
      <c r="H3258" s="35">
        <f t="shared" si="51"/>
        <v>59344.45</v>
      </c>
      <c r="I3258" s="35"/>
      <c r="K3258" t="s">
        <v>15</v>
      </c>
    </row>
    <row r="3259" spans="2:11" ht="41.25" x14ac:dyDescent="0.2">
      <c r="B3259" s="33" t="s">
        <v>4193</v>
      </c>
      <c r="C3259" s="33" t="s">
        <v>282</v>
      </c>
      <c r="D3259" s="35">
        <f>SUMIFS(D3260:D9015,K3260:K9015,"0",B3260:B9015,"5 1 1 3 2 12 31111 6 M59 20200 000132 0000R 00001 00132 015 2111100 2024 CP1DI411 001*")-SUMIFS(E3260:E9015,K3260:K9015,"0",B3260:B9015,"5 1 1 3 2 12 31111 6 M59 20200 000132 0000R 00001 00132 015 2111100 2024 CP1DI411 001*")</f>
        <v>0</v>
      </c>
      <c r="E3259"/>
      <c r="F3259" s="35">
        <f>SUMIFS(F3260:F9015,K3260:K9015,"0",B3260:B9015,"5 1 1 3 2 12 31111 6 M59 20200 000132 0000R 00001 00132 015 2111100 2024 CP1DI411 001*")</f>
        <v>59344.45</v>
      </c>
      <c r="G3259" s="35">
        <f>SUMIFS(G3260:G9015,K3260:K9015,"0",B3260:B9015,"5 1 1 3 2 12 31111 6 M59 20200 000132 0000R 00001 00132 015 2111100 2024 CP1DI411 001*")</f>
        <v>0</v>
      </c>
      <c r="H3259" s="35">
        <f t="shared" si="51"/>
        <v>59344.45</v>
      </c>
      <c r="I3259" s="35"/>
      <c r="K3259" t="s">
        <v>15</v>
      </c>
    </row>
    <row r="3260" spans="2:11" ht="33" x14ac:dyDescent="0.2">
      <c r="B3260" s="31" t="s">
        <v>4194</v>
      </c>
      <c r="C3260" s="31" t="s">
        <v>1519</v>
      </c>
      <c r="D3260" s="34">
        <v>0</v>
      </c>
      <c r="E3260" s="34"/>
      <c r="F3260" s="34">
        <v>56921.53</v>
      </c>
      <c r="G3260" s="34">
        <v>0</v>
      </c>
      <c r="H3260" s="34">
        <f t="shared" si="51"/>
        <v>56921.53</v>
      </c>
      <c r="I3260" s="34"/>
      <c r="K3260" t="s">
        <v>38</v>
      </c>
    </row>
    <row r="3261" spans="2:11" ht="33" x14ac:dyDescent="0.2">
      <c r="B3261" s="31" t="s">
        <v>4195</v>
      </c>
      <c r="C3261" s="31" t="s">
        <v>4071</v>
      </c>
      <c r="D3261" s="34">
        <v>0</v>
      </c>
      <c r="E3261" s="34"/>
      <c r="F3261" s="34">
        <v>2422.92</v>
      </c>
      <c r="G3261" s="34">
        <v>0</v>
      </c>
      <c r="H3261" s="34">
        <f t="shared" si="51"/>
        <v>2422.92</v>
      </c>
      <c r="I3261" s="34"/>
      <c r="K3261" t="s">
        <v>38</v>
      </c>
    </row>
    <row r="3262" spans="2:11" ht="16.5" x14ac:dyDescent="0.2">
      <c r="B3262" s="33" t="s">
        <v>4196</v>
      </c>
      <c r="C3262" s="33" t="s">
        <v>1061</v>
      </c>
      <c r="D3262" s="35">
        <f>SUMIFS(D3263:D9015,K3263:K9015,"0",B3263:B9015,"5 1 1 3 2 12 31111 6 M59 20300*")-SUMIFS(E3263:E9015,K3263:K9015,"0",B3263:B9015,"5 1 1 3 2 12 31111 6 M59 20300*")</f>
        <v>0</v>
      </c>
      <c r="E3262"/>
      <c r="F3262" s="35">
        <f>SUMIFS(F3263:F9015,K3263:K9015,"0",B3263:B9015,"5 1 1 3 2 12 31111 6 M59 20300*")</f>
        <v>73455.53</v>
      </c>
      <c r="G3262" s="35">
        <f>SUMIFS(G3263:G9015,K3263:K9015,"0",B3263:B9015,"5 1 1 3 2 12 31111 6 M59 20300*")</f>
        <v>0</v>
      </c>
      <c r="H3262" s="35">
        <f t="shared" si="51"/>
        <v>73455.53</v>
      </c>
      <c r="I3262" s="35"/>
      <c r="K3262" t="s">
        <v>15</v>
      </c>
    </row>
    <row r="3263" spans="2:11" ht="16.5" x14ac:dyDescent="0.2">
      <c r="B3263" s="33" t="s">
        <v>4197</v>
      </c>
      <c r="C3263" s="33" t="s">
        <v>648</v>
      </c>
      <c r="D3263" s="35">
        <f>SUMIFS(D3264:D9015,K3264:K9015,"0",B3264:B9015,"5 1 1 3 2 12 31111 6 M59 20300 000132*")-SUMIFS(E3264:E9015,K3264:K9015,"0",B3264:B9015,"5 1 1 3 2 12 31111 6 M59 20300 000132*")</f>
        <v>0</v>
      </c>
      <c r="E3263"/>
      <c r="F3263" s="35">
        <f>SUMIFS(F3264:F9015,K3264:K9015,"0",B3264:B9015,"5 1 1 3 2 12 31111 6 M59 20300 000132*")</f>
        <v>73455.53</v>
      </c>
      <c r="G3263" s="35">
        <f>SUMIFS(G3264:G9015,K3264:K9015,"0",B3264:B9015,"5 1 1 3 2 12 31111 6 M59 20300 000132*")</f>
        <v>0</v>
      </c>
      <c r="H3263" s="35">
        <f t="shared" si="51"/>
        <v>73455.53</v>
      </c>
      <c r="I3263" s="35"/>
      <c r="K3263" t="s">
        <v>15</v>
      </c>
    </row>
    <row r="3264" spans="2:11" ht="24.75" x14ac:dyDescent="0.2">
      <c r="B3264" s="33" t="s">
        <v>4198</v>
      </c>
      <c r="C3264" s="33" t="s">
        <v>650</v>
      </c>
      <c r="D3264" s="35">
        <f>SUMIFS(D3265:D9015,K3265:K9015,"0",B3265:B9015,"5 1 1 3 2 12 31111 6 M59 20300 000132 0000R*")-SUMIFS(E3265:E9015,K3265:K9015,"0",B3265:B9015,"5 1 1 3 2 12 31111 6 M59 20300 000132 0000R*")</f>
        <v>0</v>
      </c>
      <c r="E3264"/>
      <c r="F3264" s="35">
        <f>SUMIFS(F3265:F9015,K3265:K9015,"0",B3265:B9015,"5 1 1 3 2 12 31111 6 M59 20300 000132 0000R*")</f>
        <v>73455.53</v>
      </c>
      <c r="G3264" s="35">
        <f>SUMIFS(G3265:G9015,K3265:K9015,"0",B3265:B9015,"5 1 1 3 2 12 31111 6 M59 20300 000132 0000R*")</f>
        <v>0</v>
      </c>
      <c r="H3264" s="35">
        <f t="shared" si="51"/>
        <v>73455.53</v>
      </c>
      <c r="I3264" s="35"/>
      <c r="K3264" t="s">
        <v>15</v>
      </c>
    </row>
    <row r="3265" spans="2:11" ht="24.75" x14ac:dyDescent="0.2">
      <c r="B3265" s="33" t="s">
        <v>4199</v>
      </c>
      <c r="C3265" s="33" t="s">
        <v>282</v>
      </c>
      <c r="D3265" s="35">
        <f>SUMIFS(D3266:D9015,K3266:K9015,"0",B3266:B9015,"5 1 1 3 2 12 31111 6 M59 20300 000132 0000R 00001*")-SUMIFS(E3266:E9015,K3266:K9015,"0",B3266:B9015,"5 1 1 3 2 12 31111 6 M59 20300 000132 0000R 00001*")</f>
        <v>0</v>
      </c>
      <c r="E3265"/>
      <c r="F3265" s="35">
        <f>SUMIFS(F3266:F9015,K3266:K9015,"0",B3266:B9015,"5 1 1 3 2 12 31111 6 M59 20300 000132 0000R 00001*")</f>
        <v>73455.53</v>
      </c>
      <c r="G3265" s="35">
        <f>SUMIFS(G3266:G9015,K3266:K9015,"0",B3266:B9015,"5 1 1 3 2 12 31111 6 M59 20300 000132 0000R 00001*")</f>
        <v>0</v>
      </c>
      <c r="H3265" s="35">
        <f t="shared" si="51"/>
        <v>73455.53</v>
      </c>
      <c r="I3265" s="35"/>
      <c r="K3265" t="s">
        <v>15</v>
      </c>
    </row>
    <row r="3266" spans="2:11" ht="24.75" x14ac:dyDescent="0.2">
      <c r="B3266" s="33" t="s">
        <v>4200</v>
      </c>
      <c r="C3266" s="33" t="s">
        <v>4041</v>
      </c>
      <c r="D3266" s="35">
        <f>SUMIFS(D3267:D9015,K3267:K9015,"0",B3267:B9015,"5 1 1 3 2 12 31111 6 M59 20300 000132 0000R 00001 00132*")-SUMIFS(E3267:E9015,K3267:K9015,"0",B3267:B9015,"5 1 1 3 2 12 31111 6 M59 20300 000132 0000R 00001 00132*")</f>
        <v>0</v>
      </c>
      <c r="E3266"/>
      <c r="F3266" s="35">
        <f>SUMIFS(F3267:F9015,K3267:K9015,"0",B3267:B9015,"5 1 1 3 2 12 31111 6 M59 20300 000132 0000R 00001 00132*")</f>
        <v>73455.53</v>
      </c>
      <c r="G3266" s="35">
        <f>SUMIFS(G3267:G9015,K3267:K9015,"0",B3267:B9015,"5 1 1 3 2 12 31111 6 M59 20300 000132 0000R 00001 00132*")</f>
        <v>0</v>
      </c>
      <c r="H3266" s="35">
        <f t="shared" si="51"/>
        <v>73455.53</v>
      </c>
      <c r="I3266" s="35"/>
      <c r="K3266" t="s">
        <v>15</v>
      </c>
    </row>
    <row r="3267" spans="2:11" ht="33" x14ac:dyDescent="0.2">
      <c r="B3267" s="33" t="s">
        <v>4201</v>
      </c>
      <c r="C3267" s="33" t="s">
        <v>1051</v>
      </c>
      <c r="D3267" s="35">
        <f>SUMIFS(D3268:D9015,K3268:K9015,"0",B3268:B9015,"5 1 1 3 2 12 31111 6 M59 20300 000132 0000R 00001 00132 015*")-SUMIFS(E3268:E9015,K3268:K9015,"0",B3268:B9015,"5 1 1 3 2 12 31111 6 M59 20300 000132 0000R 00001 00132 015*")</f>
        <v>0</v>
      </c>
      <c r="E3267"/>
      <c r="F3267" s="35">
        <f>SUMIFS(F3268:F9015,K3268:K9015,"0",B3268:B9015,"5 1 1 3 2 12 31111 6 M59 20300 000132 0000R 00001 00132 015*")</f>
        <v>73455.53</v>
      </c>
      <c r="G3267" s="35">
        <f>SUMIFS(G3268:G9015,K3268:K9015,"0",B3268:B9015,"5 1 1 3 2 12 31111 6 M59 20300 000132 0000R 00001 00132 015*")</f>
        <v>0</v>
      </c>
      <c r="H3267" s="35">
        <f t="shared" si="51"/>
        <v>73455.53</v>
      </c>
      <c r="I3267" s="35"/>
      <c r="K3267" t="s">
        <v>15</v>
      </c>
    </row>
    <row r="3268" spans="2:11" ht="33" x14ac:dyDescent="0.2">
      <c r="B3268" s="33" t="s">
        <v>4202</v>
      </c>
      <c r="C3268" s="33" t="s">
        <v>2927</v>
      </c>
      <c r="D3268" s="35">
        <f>SUMIFS(D3269:D9015,K3269:K9015,"0",B3269:B9015,"5 1 1 3 2 12 31111 6 M59 20300 000132 0000R 00001 00132 015 2111100*")-SUMIFS(E3269:E9015,K3269:K9015,"0",B3269:B9015,"5 1 1 3 2 12 31111 6 M59 20300 000132 0000R 00001 00132 015 2111100*")</f>
        <v>0</v>
      </c>
      <c r="E3268"/>
      <c r="F3268" s="35">
        <f>SUMIFS(F3269:F9015,K3269:K9015,"0",B3269:B9015,"5 1 1 3 2 12 31111 6 M59 20300 000132 0000R 00001 00132 015 2111100*")</f>
        <v>73455.53</v>
      </c>
      <c r="G3268" s="35">
        <f>SUMIFS(G3269:G9015,K3269:K9015,"0",B3269:B9015,"5 1 1 3 2 12 31111 6 M59 20300 000132 0000R 00001 00132 015 2111100*")</f>
        <v>0</v>
      </c>
      <c r="H3268" s="35">
        <f t="shared" ref="H3268:H3331" si="52">D3268 + F3268 - G3268</f>
        <v>73455.53</v>
      </c>
      <c r="I3268" s="35"/>
      <c r="K3268" t="s">
        <v>15</v>
      </c>
    </row>
    <row r="3269" spans="2:11" ht="33" x14ac:dyDescent="0.2">
      <c r="B3269" s="33" t="s">
        <v>4203</v>
      </c>
      <c r="C3269" s="33" t="s">
        <v>660</v>
      </c>
      <c r="D3269" s="35">
        <f>SUMIFS(D3270:D9015,K3270:K9015,"0",B3270:B9015,"5 1 1 3 2 12 31111 6 M59 20300 000132 0000R 00001 00132 015 2111100 2024*")-SUMIFS(E3270:E9015,K3270:K9015,"0",B3270:B9015,"5 1 1 3 2 12 31111 6 M59 20300 000132 0000R 00001 00132 015 2111100 2024*")</f>
        <v>0</v>
      </c>
      <c r="E3269"/>
      <c r="F3269" s="35">
        <f>SUMIFS(F3270:F9015,K3270:K9015,"0",B3270:B9015,"5 1 1 3 2 12 31111 6 M59 20300 000132 0000R 00001 00132 015 2111100 2024*")</f>
        <v>73455.53</v>
      </c>
      <c r="G3269" s="35">
        <f>SUMIFS(G3270:G9015,K3270:K9015,"0",B3270:B9015,"5 1 1 3 2 12 31111 6 M59 20300 000132 0000R 00001 00132 015 2111100 2024*")</f>
        <v>0</v>
      </c>
      <c r="H3269" s="35">
        <f t="shared" si="52"/>
        <v>73455.53</v>
      </c>
      <c r="I3269" s="35"/>
      <c r="K3269" t="s">
        <v>15</v>
      </c>
    </row>
    <row r="3270" spans="2:11" ht="41.25" x14ac:dyDescent="0.2">
      <c r="B3270" s="33" t="s">
        <v>4204</v>
      </c>
      <c r="C3270" s="33" t="s">
        <v>662</v>
      </c>
      <c r="D3270" s="35">
        <f>SUMIFS(D3271:D9015,K3271:K9015,"0",B3271:B9015,"5 1 1 3 2 12 31111 6 M59 20300 000132 0000R 00001 00132 015 2111100 2024 CP1DE415*")-SUMIFS(E3271:E9015,K3271:K9015,"0",B3271:B9015,"5 1 1 3 2 12 31111 6 M59 20300 000132 0000R 00001 00132 015 2111100 2024 CP1DE415*")</f>
        <v>0</v>
      </c>
      <c r="E3270"/>
      <c r="F3270" s="35">
        <f>SUMIFS(F3271:F9015,K3271:K9015,"0",B3271:B9015,"5 1 1 3 2 12 31111 6 M59 20300 000132 0000R 00001 00132 015 2111100 2024 CP1DE415*")</f>
        <v>73455.53</v>
      </c>
      <c r="G3270" s="35">
        <f>SUMIFS(G3271:G9015,K3271:K9015,"0",B3271:B9015,"5 1 1 3 2 12 31111 6 M59 20300 000132 0000R 00001 00132 015 2111100 2024 CP1DE415*")</f>
        <v>0</v>
      </c>
      <c r="H3270" s="35">
        <f t="shared" si="52"/>
        <v>73455.53</v>
      </c>
      <c r="I3270" s="35"/>
      <c r="K3270" t="s">
        <v>15</v>
      </c>
    </row>
    <row r="3271" spans="2:11" ht="41.25" x14ac:dyDescent="0.2">
      <c r="B3271" s="33" t="s">
        <v>4205</v>
      </c>
      <c r="C3271" s="33" t="s">
        <v>282</v>
      </c>
      <c r="D3271" s="35">
        <f>SUMIFS(D3272:D9015,K3272:K9015,"0",B3272:B9015,"5 1 1 3 2 12 31111 6 M59 20300 000132 0000R 00001 00132 015 2111100 2024 CP1DE415 001*")-SUMIFS(E3272:E9015,K3272:K9015,"0",B3272:B9015,"5 1 1 3 2 12 31111 6 M59 20300 000132 0000R 00001 00132 015 2111100 2024 CP1DE415 001*")</f>
        <v>0</v>
      </c>
      <c r="E3271"/>
      <c r="F3271" s="35">
        <f>SUMIFS(F3272:F9015,K3272:K9015,"0",B3272:B9015,"5 1 1 3 2 12 31111 6 M59 20300 000132 0000R 00001 00132 015 2111100 2024 CP1DE415 001*")</f>
        <v>73455.53</v>
      </c>
      <c r="G3271" s="35">
        <f>SUMIFS(G3272:G9015,K3272:K9015,"0",B3272:B9015,"5 1 1 3 2 12 31111 6 M59 20300 000132 0000R 00001 00132 015 2111100 2024 CP1DE415 001*")</f>
        <v>0</v>
      </c>
      <c r="H3271" s="35">
        <f t="shared" si="52"/>
        <v>73455.53</v>
      </c>
      <c r="I3271" s="35"/>
      <c r="K3271" t="s">
        <v>15</v>
      </c>
    </row>
    <row r="3272" spans="2:11" ht="41.25" x14ac:dyDescent="0.2">
      <c r="B3272" s="31" t="s">
        <v>4206</v>
      </c>
      <c r="C3272" s="31" t="s">
        <v>1519</v>
      </c>
      <c r="D3272" s="34">
        <v>0</v>
      </c>
      <c r="E3272" s="34"/>
      <c r="F3272" s="34">
        <v>73455.53</v>
      </c>
      <c r="G3272" s="34">
        <v>0</v>
      </c>
      <c r="H3272" s="34">
        <f t="shared" si="52"/>
        <v>73455.53</v>
      </c>
      <c r="I3272" s="34"/>
      <c r="K3272" t="s">
        <v>38</v>
      </c>
    </row>
    <row r="3273" spans="2:11" ht="16.5" x14ac:dyDescent="0.2">
      <c r="B3273" s="33" t="s">
        <v>4207</v>
      </c>
      <c r="C3273" s="33" t="s">
        <v>3103</v>
      </c>
      <c r="D3273" s="35">
        <f>SUMIFS(D3274:D9015,K3274:K9015,"0",B3274:B9015,"5 1 1 3 2 12 31111 6 M59 20400*")-SUMIFS(E3274:E9015,K3274:K9015,"0",B3274:B9015,"5 1 1 3 2 12 31111 6 M59 20400*")</f>
        <v>0</v>
      </c>
      <c r="E3273"/>
      <c r="F3273" s="35">
        <f>SUMIFS(F3274:F9015,K3274:K9015,"0",B3274:B9015,"5 1 1 3 2 12 31111 6 M59 20400*")</f>
        <v>36410.620000000003</v>
      </c>
      <c r="G3273" s="35">
        <f>SUMIFS(G3274:G9015,K3274:K9015,"0",B3274:B9015,"5 1 1 3 2 12 31111 6 M59 20400*")</f>
        <v>0</v>
      </c>
      <c r="H3273" s="35">
        <f t="shared" si="52"/>
        <v>36410.620000000003</v>
      </c>
      <c r="I3273" s="35"/>
      <c r="K3273" t="s">
        <v>15</v>
      </c>
    </row>
    <row r="3274" spans="2:11" ht="16.5" x14ac:dyDescent="0.2">
      <c r="B3274" s="33" t="s">
        <v>4208</v>
      </c>
      <c r="C3274" s="33" t="s">
        <v>648</v>
      </c>
      <c r="D3274" s="35">
        <f>SUMIFS(D3275:D9015,K3275:K9015,"0",B3275:B9015,"5 1 1 3 2 12 31111 6 M59 20400 000132*")-SUMIFS(E3275:E9015,K3275:K9015,"0",B3275:B9015,"5 1 1 3 2 12 31111 6 M59 20400 000132*")</f>
        <v>0</v>
      </c>
      <c r="E3274"/>
      <c r="F3274" s="35">
        <f>SUMIFS(F3275:F9015,K3275:K9015,"0",B3275:B9015,"5 1 1 3 2 12 31111 6 M59 20400 000132*")</f>
        <v>36410.620000000003</v>
      </c>
      <c r="G3274" s="35">
        <f>SUMIFS(G3275:G9015,K3275:K9015,"0",B3275:B9015,"5 1 1 3 2 12 31111 6 M59 20400 000132*")</f>
        <v>0</v>
      </c>
      <c r="H3274" s="35">
        <f t="shared" si="52"/>
        <v>36410.620000000003</v>
      </c>
      <c r="I3274" s="35"/>
      <c r="K3274" t="s">
        <v>15</v>
      </c>
    </row>
    <row r="3275" spans="2:11" ht="24.75" x14ac:dyDescent="0.2">
      <c r="B3275" s="33" t="s">
        <v>4209</v>
      </c>
      <c r="C3275" s="33" t="s">
        <v>650</v>
      </c>
      <c r="D3275" s="35">
        <f>SUMIFS(D3276:D9015,K3276:K9015,"0",B3276:B9015,"5 1 1 3 2 12 31111 6 M59 20400 000132 0000R*")-SUMIFS(E3276:E9015,K3276:K9015,"0",B3276:B9015,"5 1 1 3 2 12 31111 6 M59 20400 000132 0000R*")</f>
        <v>0</v>
      </c>
      <c r="E3275"/>
      <c r="F3275" s="35">
        <f>SUMIFS(F3276:F9015,K3276:K9015,"0",B3276:B9015,"5 1 1 3 2 12 31111 6 M59 20400 000132 0000R*")</f>
        <v>36410.620000000003</v>
      </c>
      <c r="G3275" s="35">
        <f>SUMIFS(G3276:G9015,K3276:K9015,"0",B3276:B9015,"5 1 1 3 2 12 31111 6 M59 20400 000132 0000R*")</f>
        <v>0</v>
      </c>
      <c r="H3275" s="35">
        <f t="shared" si="52"/>
        <v>36410.620000000003</v>
      </c>
      <c r="I3275" s="35"/>
      <c r="K3275" t="s">
        <v>15</v>
      </c>
    </row>
    <row r="3276" spans="2:11" ht="24.75" x14ac:dyDescent="0.2">
      <c r="B3276" s="33" t="s">
        <v>4210</v>
      </c>
      <c r="C3276" s="33" t="s">
        <v>282</v>
      </c>
      <c r="D3276" s="35">
        <f>SUMIFS(D3277:D9015,K3277:K9015,"0",B3277:B9015,"5 1 1 3 2 12 31111 6 M59 20400 000132 0000R 00001*")-SUMIFS(E3277:E9015,K3277:K9015,"0",B3277:B9015,"5 1 1 3 2 12 31111 6 M59 20400 000132 0000R 00001*")</f>
        <v>0</v>
      </c>
      <c r="E3276"/>
      <c r="F3276" s="35">
        <f>SUMIFS(F3277:F9015,K3277:K9015,"0",B3277:B9015,"5 1 1 3 2 12 31111 6 M59 20400 000132 0000R 00001*")</f>
        <v>36410.620000000003</v>
      </c>
      <c r="G3276" s="35">
        <f>SUMIFS(G3277:G9015,K3277:K9015,"0",B3277:B9015,"5 1 1 3 2 12 31111 6 M59 20400 000132 0000R 00001*")</f>
        <v>0</v>
      </c>
      <c r="H3276" s="35">
        <f t="shared" si="52"/>
        <v>36410.620000000003</v>
      </c>
      <c r="I3276" s="35"/>
      <c r="K3276" t="s">
        <v>15</v>
      </c>
    </row>
    <row r="3277" spans="2:11" ht="24.75" x14ac:dyDescent="0.2">
      <c r="B3277" s="33" t="s">
        <v>4211</v>
      </c>
      <c r="C3277" s="33" t="s">
        <v>4041</v>
      </c>
      <c r="D3277" s="35">
        <f>SUMIFS(D3278:D9015,K3278:K9015,"0",B3278:B9015,"5 1 1 3 2 12 31111 6 M59 20400 000132 0000R 00001 00132*")-SUMIFS(E3278:E9015,K3278:K9015,"0",B3278:B9015,"5 1 1 3 2 12 31111 6 M59 20400 000132 0000R 00001 00132*")</f>
        <v>0</v>
      </c>
      <c r="E3277"/>
      <c r="F3277" s="35">
        <f>SUMIFS(F3278:F9015,K3278:K9015,"0",B3278:B9015,"5 1 1 3 2 12 31111 6 M59 20400 000132 0000R 00001 00132*")</f>
        <v>36410.620000000003</v>
      </c>
      <c r="G3277" s="35">
        <f>SUMIFS(G3278:G9015,K3278:K9015,"0",B3278:B9015,"5 1 1 3 2 12 31111 6 M59 20400 000132 0000R 00001 00132*")</f>
        <v>0</v>
      </c>
      <c r="H3277" s="35">
        <f t="shared" si="52"/>
        <v>36410.620000000003</v>
      </c>
      <c r="I3277" s="35"/>
      <c r="K3277" t="s">
        <v>15</v>
      </c>
    </row>
    <row r="3278" spans="2:11" ht="33" x14ac:dyDescent="0.2">
      <c r="B3278" s="33" t="s">
        <v>4212</v>
      </c>
      <c r="C3278" s="33" t="s">
        <v>1051</v>
      </c>
      <c r="D3278" s="35">
        <f>SUMIFS(D3279:D9015,K3279:K9015,"0",B3279:B9015,"5 1 1 3 2 12 31111 6 M59 20400 000132 0000R 00001 00132 015*")-SUMIFS(E3279:E9015,K3279:K9015,"0",B3279:B9015,"5 1 1 3 2 12 31111 6 M59 20400 000132 0000R 00001 00132 015*")</f>
        <v>0</v>
      </c>
      <c r="E3278"/>
      <c r="F3278" s="35">
        <f>SUMIFS(F3279:F9015,K3279:K9015,"0",B3279:B9015,"5 1 1 3 2 12 31111 6 M59 20400 000132 0000R 00001 00132 015*")</f>
        <v>36410.620000000003</v>
      </c>
      <c r="G3278" s="35">
        <f>SUMIFS(G3279:G9015,K3279:K9015,"0",B3279:B9015,"5 1 1 3 2 12 31111 6 M59 20400 000132 0000R 00001 00132 015*")</f>
        <v>0</v>
      </c>
      <c r="H3278" s="35">
        <f t="shared" si="52"/>
        <v>36410.620000000003</v>
      </c>
      <c r="I3278" s="35"/>
      <c r="K3278" t="s">
        <v>15</v>
      </c>
    </row>
    <row r="3279" spans="2:11" ht="33" x14ac:dyDescent="0.2">
      <c r="B3279" s="33" t="s">
        <v>4213</v>
      </c>
      <c r="C3279" s="33" t="s">
        <v>2927</v>
      </c>
      <c r="D3279" s="35">
        <f>SUMIFS(D3280:D9015,K3280:K9015,"0",B3280:B9015,"5 1 1 3 2 12 31111 6 M59 20400 000132 0000R 00001 00132 015 2111100*")-SUMIFS(E3280:E9015,K3280:K9015,"0",B3280:B9015,"5 1 1 3 2 12 31111 6 M59 20400 000132 0000R 00001 00132 015 2111100*")</f>
        <v>0</v>
      </c>
      <c r="E3279"/>
      <c r="F3279" s="35">
        <f>SUMIFS(F3280:F9015,K3280:K9015,"0",B3280:B9015,"5 1 1 3 2 12 31111 6 M59 20400 000132 0000R 00001 00132 015 2111100*")</f>
        <v>36410.620000000003</v>
      </c>
      <c r="G3279" s="35">
        <f>SUMIFS(G3280:G9015,K3280:K9015,"0",B3280:B9015,"5 1 1 3 2 12 31111 6 M59 20400 000132 0000R 00001 00132 015 2111100*")</f>
        <v>0</v>
      </c>
      <c r="H3279" s="35">
        <f t="shared" si="52"/>
        <v>36410.620000000003</v>
      </c>
      <c r="I3279" s="35"/>
      <c r="K3279" t="s">
        <v>15</v>
      </c>
    </row>
    <row r="3280" spans="2:11" ht="33" x14ac:dyDescent="0.2">
      <c r="B3280" s="33" t="s">
        <v>4214</v>
      </c>
      <c r="C3280" s="33" t="s">
        <v>660</v>
      </c>
      <c r="D3280" s="35">
        <f>SUMIFS(D3281:D9015,K3281:K9015,"0",B3281:B9015,"5 1 1 3 2 12 31111 6 M59 20400 000132 0000R 00001 00132 015 2111100 2024*")-SUMIFS(E3281:E9015,K3281:K9015,"0",B3281:B9015,"5 1 1 3 2 12 31111 6 M59 20400 000132 0000R 00001 00132 015 2111100 2024*")</f>
        <v>0</v>
      </c>
      <c r="E3280"/>
      <c r="F3280" s="35">
        <f>SUMIFS(F3281:F9015,K3281:K9015,"0",B3281:B9015,"5 1 1 3 2 12 31111 6 M59 20400 000132 0000R 00001 00132 015 2111100 2024*")</f>
        <v>36410.620000000003</v>
      </c>
      <c r="G3280" s="35">
        <f>SUMIFS(G3281:G9015,K3281:K9015,"0",B3281:B9015,"5 1 1 3 2 12 31111 6 M59 20400 000132 0000R 00001 00132 015 2111100 2024*")</f>
        <v>0</v>
      </c>
      <c r="H3280" s="35">
        <f t="shared" si="52"/>
        <v>36410.620000000003</v>
      </c>
      <c r="I3280" s="35"/>
      <c r="K3280" t="s">
        <v>15</v>
      </c>
    </row>
    <row r="3281" spans="2:11" ht="41.25" x14ac:dyDescent="0.2">
      <c r="B3281" s="33" t="s">
        <v>4215</v>
      </c>
      <c r="C3281" s="33" t="s">
        <v>1056</v>
      </c>
      <c r="D3281" s="35">
        <f>SUMIFS(D3282:D9015,K3282:K9015,"0",B3282:B9015,"5 1 1 3 2 12 31111 6 M59 20400 000132 0000R 00001 00132 015 2111100 2024 CP1PV404*")-SUMIFS(E3282:E9015,K3282:K9015,"0",B3282:B9015,"5 1 1 3 2 12 31111 6 M59 20400 000132 0000R 00001 00132 015 2111100 2024 CP1PV404*")</f>
        <v>0</v>
      </c>
      <c r="E3281"/>
      <c r="F3281" s="35">
        <f>SUMIFS(F3282:F9015,K3282:K9015,"0",B3282:B9015,"5 1 1 3 2 12 31111 6 M59 20400 000132 0000R 00001 00132 015 2111100 2024 CP1PV404*")</f>
        <v>36410.620000000003</v>
      </c>
      <c r="G3281" s="35">
        <f>SUMIFS(G3282:G9015,K3282:K9015,"0",B3282:B9015,"5 1 1 3 2 12 31111 6 M59 20400 000132 0000R 00001 00132 015 2111100 2024 CP1PV404*")</f>
        <v>0</v>
      </c>
      <c r="H3281" s="35">
        <f t="shared" si="52"/>
        <v>36410.620000000003</v>
      </c>
      <c r="I3281" s="35"/>
      <c r="K3281" t="s">
        <v>15</v>
      </c>
    </row>
    <row r="3282" spans="2:11" ht="41.25" x14ac:dyDescent="0.2">
      <c r="B3282" s="33" t="s">
        <v>4216</v>
      </c>
      <c r="C3282" s="33" t="s">
        <v>282</v>
      </c>
      <c r="D3282" s="35">
        <f>SUMIFS(D3283:D9015,K3283:K9015,"0",B3283:B9015,"5 1 1 3 2 12 31111 6 M59 20400 000132 0000R 00001 00132 015 2111100 2024 CP1PV404 001*")-SUMIFS(E3283:E9015,K3283:K9015,"0",B3283:B9015,"5 1 1 3 2 12 31111 6 M59 20400 000132 0000R 00001 00132 015 2111100 2024 CP1PV404 001*")</f>
        <v>0</v>
      </c>
      <c r="E3282"/>
      <c r="F3282" s="35">
        <f>SUMIFS(F3283:F9015,K3283:K9015,"0",B3283:B9015,"5 1 1 3 2 12 31111 6 M59 20400 000132 0000R 00001 00132 015 2111100 2024 CP1PV404 001*")</f>
        <v>36410.620000000003</v>
      </c>
      <c r="G3282" s="35">
        <f>SUMIFS(G3283:G9015,K3283:K9015,"0",B3283:B9015,"5 1 1 3 2 12 31111 6 M59 20400 000132 0000R 00001 00132 015 2111100 2024 CP1PV404 001*")</f>
        <v>0</v>
      </c>
      <c r="H3282" s="35">
        <f t="shared" si="52"/>
        <v>36410.620000000003</v>
      </c>
      <c r="I3282" s="35"/>
      <c r="K3282" t="s">
        <v>15</v>
      </c>
    </row>
    <row r="3283" spans="2:11" ht="41.25" x14ac:dyDescent="0.2">
      <c r="B3283" s="31" t="s">
        <v>4217</v>
      </c>
      <c r="C3283" s="31" t="s">
        <v>1519</v>
      </c>
      <c r="D3283" s="34">
        <v>0</v>
      </c>
      <c r="E3283" s="34"/>
      <c r="F3283" s="34">
        <v>36410.620000000003</v>
      </c>
      <c r="G3283" s="34">
        <v>0</v>
      </c>
      <c r="H3283" s="34">
        <f t="shared" si="52"/>
        <v>36410.620000000003</v>
      </c>
      <c r="I3283" s="34"/>
      <c r="K3283" t="s">
        <v>38</v>
      </c>
    </row>
    <row r="3284" spans="2:11" ht="16.5" x14ac:dyDescent="0.2">
      <c r="B3284" s="33" t="s">
        <v>4218</v>
      </c>
      <c r="C3284" s="33" t="s">
        <v>1079</v>
      </c>
      <c r="D3284" s="35">
        <f>SUMIFS(D3285:D9015,K3285:K9015,"0",B3285:B9015,"5 1 1 3 2 12 31111 6 M59 20500*")-SUMIFS(E3285:E9015,K3285:K9015,"0",B3285:B9015,"5 1 1 3 2 12 31111 6 M59 20500*")</f>
        <v>0</v>
      </c>
      <c r="E3284"/>
      <c r="F3284" s="35">
        <f>SUMIFS(F3285:F9015,K3285:K9015,"0",B3285:B9015,"5 1 1 3 2 12 31111 6 M59 20500*")</f>
        <v>70880.66</v>
      </c>
      <c r="G3284" s="35">
        <f>SUMIFS(G3285:G9015,K3285:K9015,"0",B3285:B9015,"5 1 1 3 2 12 31111 6 M59 20500*")</f>
        <v>0</v>
      </c>
      <c r="H3284" s="35">
        <f t="shared" si="52"/>
        <v>70880.66</v>
      </c>
      <c r="I3284" s="35"/>
      <c r="K3284" t="s">
        <v>15</v>
      </c>
    </row>
    <row r="3285" spans="2:11" ht="16.5" x14ac:dyDescent="0.2">
      <c r="B3285" s="33" t="s">
        <v>4219</v>
      </c>
      <c r="C3285" s="33" t="s">
        <v>648</v>
      </c>
      <c r="D3285" s="35">
        <f>SUMIFS(D3286:D9015,K3286:K9015,"0",B3286:B9015,"5 1 1 3 2 12 31111 6 M59 20500 000132*")-SUMIFS(E3286:E9015,K3286:K9015,"0",B3286:B9015,"5 1 1 3 2 12 31111 6 M59 20500 000132*")</f>
        <v>0</v>
      </c>
      <c r="E3285"/>
      <c r="F3285" s="35">
        <f>SUMIFS(F3286:F9015,K3286:K9015,"0",B3286:B9015,"5 1 1 3 2 12 31111 6 M59 20500 000132*")</f>
        <v>70880.66</v>
      </c>
      <c r="G3285" s="35">
        <f>SUMIFS(G3286:G9015,K3286:K9015,"0",B3286:B9015,"5 1 1 3 2 12 31111 6 M59 20500 000132*")</f>
        <v>0</v>
      </c>
      <c r="H3285" s="35">
        <f t="shared" si="52"/>
        <v>70880.66</v>
      </c>
      <c r="I3285" s="35"/>
      <c r="K3285" t="s">
        <v>15</v>
      </c>
    </row>
    <row r="3286" spans="2:11" ht="24.75" x14ac:dyDescent="0.2">
      <c r="B3286" s="33" t="s">
        <v>4220</v>
      </c>
      <c r="C3286" s="33" t="s">
        <v>650</v>
      </c>
      <c r="D3286" s="35">
        <f>SUMIFS(D3287:D9015,K3287:K9015,"0",B3287:B9015,"5 1 1 3 2 12 31111 6 M59 20500 000132 0000R*")-SUMIFS(E3287:E9015,K3287:K9015,"0",B3287:B9015,"5 1 1 3 2 12 31111 6 M59 20500 000132 0000R*")</f>
        <v>0</v>
      </c>
      <c r="E3286"/>
      <c r="F3286" s="35">
        <f>SUMIFS(F3287:F9015,K3287:K9015,"0",B3287:B9015,"5 1 1 3 2 12 31111 6 M59 20500 000132 0000R*")</f>
        <v>70880.66</v>
      </c>
      <c r="G3286" s="35">
        <f>SUMIFS(G3287:G9015,K3287:K9015,"0",B3287:B9015,"5 1 1 3 2 12 31111 6 M59 20500 000132 0000R*")</f>
        <v>0</v>
      </c>
      <c r="H3286" s="35">
        <f t="shared" si="52"/>
        <v>70880.66</v>
      </c>
      <c r="I3286" s="35"/>
      <c r="K3286" t="s">
        <v>15</v>
      </c>
    </row>
    <row r="3287" spans="2:11" ht="24.75" x14ac:dyDescent="0.2">
      <c r="B3287" s="33" t="s">
        <v>4221</v>
      </c>
      <c r="C3287" s="33" t="s">
        <v>282</v>
      </c>
      <c r="D3287" s="35">
        <f>SUMIFS(D3288:D9015,K3288:K9015,"0",B3288:B9015,"5 1 1 3 2 12 31111 6 M59 20500 000132 0000R 00001*")-SUMIFS(E3288:E9015,K3288:K9015,"0",B3288:B9015,"5 1 1 3 2 12 31111 6 M59 20500 000132 0000R 00001*")</f>
        <v>0</v>
      </c>
      <c r="E3287"/>
      <c r="F3287" s="35">
        <f>SUMIFS(F3288:F9015,K3288:K9015,"0",B3288:B9015,"5 1 1 3 2 12 31111 6 M59 20500 000132 0000R 00001*")</f>
        <v>70880.66</v>
      </c>
      <c r="G3287" s="35">
        <f>SUMIFS(G3288:G9015,K3288:K9015,"0",B3288:B9015,"5 1 1 3 2 12 31111 6 M59 20500 000132 0000R 00001*")</f>
        <v>0</v>
      </c>
      <c r="H3287" s="35">
        <f t="shared" si="52"/>
        <v>70880.66</v>
      </c>
      <c r="I3287" s="35"/>
      <c r="K3287" t="s">
        <v>15</v>
      </c>
    </row>
    <row r="3288" spans="2:11" ht="24.75" x14ac:dyDescent="0.2">
      <c r="B3288" s="33" t="s">
        <v>4222</v>
      </c>
      <c r="C3288" s="33" t="s">
        <v>4041</v>
      </c>
      <c r="D3288" s="35">
        <f>SUMIFS(D3289:D9015,K3289:K9015,"0",B3289:B9015,"5 1 1 3 2 12 31111 6 M59 20500 000132 0000R 00001 00132*")-SUMIFS(E3289:E9015,K3289:K9015,"0",B3289:B9015,"5 1 1 3 2 12 31111 6 M59 20500 000132 0000R 00001 00132*")</f>
        <v>0</v>
      </c>
      <c r="E3288"/>
      <c r="F3288" s="35">
        <f>SUMIFS(F3289:F9015,K3289:K9015,"0",B3289:B9015,"5 1 1 3 2 12 31111 6 M59 20500 000132 0000R 00001 00132*")</f>
        <v>70880.66</v>
      </c>
      <c r="G3288" s="35">
        <f>SUMIFS(G3289:G9015,K3289:K9015,"0",B3289:B9015,"5 1 1 3 2 12 31111 6 M59 20500 000132 0000R 00001 00132*")</f>
        <v>0</v>
      </c>
      <c r="H3288" s="35">
        <f t="shared" si="52"/>
        <v>70880.66</v>
      </c>
      <c r="I3288" s="35"/>
      <c r="K3288" t="s">
        <v>15</v>
      </c>
    </row>
    <row r="3289" spans="2:11" ht="33" x14ac:dyDescent="0.2">
      <c r="B3289" s="33" t="s">
        <v>4223</v>
      </c>
      <c r="C3289" s="33" t="s">
        <v>1051</v>
      </c>
      <c r="D3289" s="35">
        <f>SUMIFS(D3290:D9015,K3290:K9015,"0",B3290:B9015,"5 1 1 3 2 12 31111 6 M59 20500 000132 0000R 00001 00132 015*")-SUMIFS(E3290:E9015,K3290:K9015,"0",B3290:B9015,"5 1 1 3 2 12 31111 6 M59 20500 000132 0000R 00001 00132 015*")</f>
        <v>0</v>
      </c>
      <c r="E3289"/>
      <c r="F3289" s="35">
        <f>SUMIFS(F3290:F9015,K3290:K9015,"0",B3290:B9015,"5 1 1 3 2 12 31111 6 M59 20500 000132 0000R 00001 00132 015*")</f>
        <v>70880.66</v>
      </c>
      <c r="G3289" s="35">
        <f>SUMIFS(G3290:G9015,K3290:K9015,"0",B3290:B9015,"5 1 1 3 2 12 31111 6 M59 20500 000132 0000R 00001 00132 015*")</f>
        <v>0</v>
      </c>
      <c r="H3289" s="35">
        <f t="shared" si="52"/>
        <v>70880.66</v>
      </c>
      <c r="I3289" s="35"/>
      <c r="K3289" t="s">
        <v>15</v>
      </c>
    </row>
    <row r="3290" spans="2:11" ht="33" x14ac:dyDescent="0.2">
      <c r="B3290" s="33" t="s">
        <v>4224</v>
      </c>
      <c r="C3290" s="33" t="s">
        <v>2927</v>
      </c>
      <c r="D3290" s="35">
        <f>SUMIFS(D3291:D9015,K3291:K9015,"0",B3291:B9015,"5 1 1 3 2 12 31111 6 M59 20500 000132 0000R 00001 00132 015 2111100*")-SUMIFS(E3291:E9015,K3291:K9015,"0",B3291:B9015,"5 1 1 3 2 12 31111 6 M59 20500 000132 0000R 00001 00132 015 2111100*")</f>
        <v>0</v>
      </c>
      <c r="E3290"/>
      <c r="F3290" s="35">
        <f>SUMIFS(F3291:F9015,K3291:K9015,"0",B3291:B9015,"5 1 1 3 2 12 31111 6 M59 20500 000132 0000R 00001 00132 015 2111100*")</f>
        <v>70880.66</v>
      </c>
      <c r="G3290" s="35">
        <f>SUMIFS(G3291:G9015,K3291:K9015,"0",B3291:B9015,"5 1 1 3 2 12 31111 6 M59 20500 000132 0000R 00001 00132 015 2111100*")</f>
        <v>0</v>
      </c>
      <c r="H3290" s="35">
        <f t="shared" si="52"/>
        <v>70880.66</v>
      </c>
      <c r="I3290" s="35"/>
      <c r="K3290" t="s">
        <v>15</v>
      </c>
    </row>
    <row r="3291" spans="2:11" ht="33" x14ac:dyDescent="0.2">
      <c r="B3291" s="33" t="s">
        <v>4225</v>
      </c>
      <c r="C3291" s="33" t="s">
        <v>660</v>
      </c>
      <c r="D3291" s="35">
        <f>SUMIFS(D3292:D9015,K3292:K9015,"0",B3292:B9015,"5 1 1 3 2 12 31111 6 M59 20500 000132 0000R 00001 00132 015 2111100 2024*")-SUMIFS(E3292:E9015,K3292:K9015,"0",B3292:B9015,"5 1 1 3 2 12 31111 6 M59 20500 000132 0000R 00001 00132 015 2111100 2024*")</f>
        <v>0</v>
      </c>
      <c r="E3291"/>
      <c r="F3291" s="35">
        <f>SUMIFS(F3292:F9015,K3292:K9015,"0",B3292:B9015,"5 1 1 3 2 12 31111 6 M59 20500 000132 0000R 00001 00132 015 2111100 2024*")</f>
        <v>70880.66</v>
      </c>
      <c r="G3291" s="35">
        <f>SUMIFS(G3292:G9015,K3292:K9015,"0",B3292:B9015,"5 1 1 3 2 12 31111 6 M59 20500 000132 0000R 00001 00132 015 2111100 2024*")</f>
        <v>0</v>
      </c>
      <c r="H3291" s="35">
        <f t="shared" si="52"/>
        <v>70880.66</v>
      </c>
      <c r="I3291" s="35"/>
      <c r="K3291" t="s">
        <v>15</v>
      </c>
    </row>
    <row r="3292" spans="2:11" ht="41.25" x14ac:dyDescent="0.2">
      <c r="B3292" s="33" t="s">
        <v>4226</v>
      </c>
      <c r="C3292" s="33" t="s">
        <v>1056</v>
      </c>
      <c r="D3292" s="35">
        <f>SUMIFS(D3293:D9015,K3293:K9015,"0",B3293:B9015,"5 1 1 3 2 12 31111 6 M59 20500 000132 0000R 00001 00132 015 2111100 2024 CP1CP420*")-SUMIFS(E3293:E9015,K3293:K9015,"0",B3293:B9015,"5 1 1 3 2 12 31111 6 M59 20500 000132 0000R 00001 00132 015 2111100 2024 CP1CP420*")</f>
        <v>0</v>
      </c>
      <c r="E3292"/>
      <c r="F3292" s="35">
        <f>SUMIFS(F3293:F9015,K3293:K9015,"0",B3293:B9015,"5 1 1 3 2 12 31111 6 M59 20500 000132 0000R 00001 00132 015 2111100 2024 CP1CP420*")</f>
        <v>70880.66</v>
      </c>
      <c r="G3292" s="35">
        <f>SUMIFS(G3293:G9015,K3293:K9015,"0",B3293:B9015,"5 1 1 3 2 12 31111 6 M59 20500 000132 0000R 00001 00132 015 2111100 2024 CP1CP420*")</f>
        <v>0</v>
      </c>
      <c r="H3292" s="35">
        <f t="shared" si="52"/>
        <v>70880.66</v>
      </c>
      <c r="I3292" s="35"/>
      <c r="K3292" t="s">
        <v>15</v>
      </c>
    </row>
    <row r="3293" spans="2:11" ht="41.25" x14ac:dyDescent="0.2">
      <c r="B3293" s="33" t="s">
        <v>4227</v>
      </c>
      <c r="C3293" s="33" t="s">
        <v>282</v>
      </c>
      <c r="D3293" s="35">
        <f>SUMIFS(D3294:D9015,K3294:K9015,"0",B3294:B9015,"5 1 1 3 2 12 31111 6 M59 20500 000132 0000R 00001 00132 015 2111100 2024 CP1CP420 001*")-SUMIFS(E3294:E9015,K3294:K9015,"0",B3294:B9015,"5 1 1 3 2 12 31111 6 M59 20500 000132 0000R 00001 00132 015 2111100 2024 CP1CP420 001*")</f>
        <v>0</v>
      </c>
      <c r="E3293"/>
      <c r="F3293" s="35">
        <f>SUMIFS(F3294:F9015,K3294:K9015,"0",B3294:B9015,"5 1 1 3 2 12 31111 6 M59 20500 000132 0000R 00001 00132 015 2111100 2024 CP1CP420 001*")</f>
        <v>70880.66</v>
      </c>
      <c r="G3293" s="35">
        <f>SUMIFS(G3294:G9015,K3294:K9015,"0",B3294:B9015,"5 1 1 3 2 12 31111 6 M59 20500 000132 0000R 00001 00132 015 2111100 2024 CP1CP420 001*")</f>
        <v>0</v>
      </c>
      <c r="H3293" s="35">
        <f t="shared" si="52"/>
        <v>70880.66</v>
      </c>
      <c r="I3293" s="35"/>
      <c r="K3293" t="s">
        <v>15</v>
      </c>
    </row>
    <row r="3294" spans="2:11" ht="33" x14ac:dyDescent="0.2">
      <c r="B3294" s="31" t="s">
        <v>4228</v>
      </c>
      <c r="C3294" s="31" t="s">
        <v>1519</v>
      </c>
      <c r="D3294" s="34">
        <v>0</v>
      </c>
      <c r="E3294" s="34"/>
      <c r="F3294" s="34">
        <v>66754.33</v>
      </c>
      <c r="G3294" s="34">
        <v>0</v>
      </c>
      <c r="H3294" s="34">
        <f t="shared" si="52"/>
        <v>66754.33</v>
      </c>
      <c r="I3294" s="34"/>
      <c r="K3294" t="s">
        <v>38</v>
      </c>
    </row>
    <row r="3295" spans="2:11" ht="33" x14ac:dyDescent="0.2">
      <c r="B3295" s="31" t="s">
        <v>4229</v>
      </c>
      <c r="C3295" s="31" t="s">
        <v>4071</v>
      </c>
      <c r="D3295" s="34">
        <v>0</v>
      </c>
      <c r="E3295" s="34"/>
      <c r="F3295" s="34">
        <v>4126.33</v>
      </c>
      <c r="G3295" s="34">
        <v>0</v>
      </c>
      <c r="H3295" s="34">
        <f t="shared" si="52"/>
        <v>4126.33</v>
      </c>
      <c r="I3295" s="34"/>
      <c r="K3295" t="s">
        <v>38</v>
      </c>
    </row>
    <row r="3296" spans="2:11" ht="16.5" x14ac:dyDescent="0.2">
      <c r="B3296" s="33" t="s">
        <v>4230</v>
      </c>
      <c r="C3296" s="33" t="s">
        <v>3126</v>
      </c>
      <c r="D3296" s="35">
        <f>SUMIFS(D3297:D9015,K3297:K9015,"0",B3297:B9015,"5 1 1 3 2 12 31111 6 M59 20600*")-SUMIFS(E3297:E9015,K3297:K9015,"0",B3297:B9015,"5 1 1 3 2 12 31111 6 M59 20600*")</f>
        <v>0</v>
      </c>
      <c r="E3296"/>
      <c r="F3296" s="35">
        <f>SUMIFS(F3297:F9015,K3297:K9015,"0",B3297:B9015,"5 1 1 3 2 12 31111 6 M59 20600*")</f>
        <v>58175.88</v>
      </c>
      <c r="G3296" s="35">
        <f>SUMIFS(G3297:G9015,K3297:K9015,"0",B3297:B9015,"5 1 1 3 2 12 31111 6 M59 20600*")</f>
        <v>0</v>
      </c>
      <c r="H3296" s="35">
        <f t="shared" si="52"/>
        <v>58175.88</v>
      </c>
      <c r="I3296" s="35"/>
      <c r="K3296" t="s">
        <v>15</v>
      </c>
    </row>
    <row r="3297" spans="2:11" ht="16.5" x14ac:dyDescent="0.2">
      <c r="B3297" s="33" t="s">
        <v>4231</v>
      </c>
      <c r="C3297" s="33" t="s">
        <v>648</v>
      </c>
      <c r="D3297" s="35">
        <f>SUMIFS(D3298:D9015,K3298:K9015,"0",B3298:B9015,"5 1 1 3 2 12 31111 6 M59 20600 000132*")-SUMIFS(E3298:E9015,K3298:K9015,"0",B3298:B9015,"5 1 1 3 2 12 31111 6 M59 20600 000132*")</f>
        <v>0</v>
      </c>
      <c r="E3297"/>
      <c r="F3297" s="35">
        <f>SUMIFS(F3298:F9015,K3298:K9015,"0",B3298:B9015,"5 1 1 3 2 12 31111 6 M59 20600 000132*")</f>
        <v>58175.88</v>
      </c>
      <c r="G3297" s="35">
        <f>SUMIFS(G3298:G9015,K3298:K9015,"0",B3298:B9015,"5 1 1 3 2 12 31111 6 M59 20600 000132*")</f>
        <v>0</v>
      </c>
      <c r="H3297" s="35">
        <f t="shared" si="52"/>
        <v>58175.88</v>
      </c>
      <c r="I3297" s="35"/>
      <c r="K3297" t="s">
        <v>15</v>
      </c>
    </row>
    <row r="3298" spans="2:11" ht="24.75" x14ac:dyDescent="0.2">
      <c r="B3298" s="33" t="s">
        <v>4232</v>
      </c>
      <c r="C3298" s="33" t="s">
        <v>650</v>
      </c>
      <c r="D3298" s="35">
        <f>SUMIFS(D3299:D9015,K3299:K9015,"0",B3299:B9015,"5 1 1 3 2 12 31111 6 M59 20600 000132 0000R*")-SUMIFS(E3299:E9015,K3299:K9015,"0",B3299:B9015,"5 1 1 3 2 12 31111 6 M59 20600 000132 0000R*")</f>
        <v>0</v>
      </c>
      <c r="E3298"/>
      <c r="F3298" s="35">
        <f>SUMIFS(F3299:F9015,K3299:K9015,"0",B3299:B9015,"5 1 1 3 2 12 31111 6 M59 20600 000132 0000R*")</f>
        <v>58175.88</v>
      </c>
      <c r="G3298" s="35">
        <f>SUMIFS(G3299:G9015,K3299:K9015,"0",B3299:B9015,"5 1 1 3 2 12 31111 6 M59 20600 000132 0000R*")</f>
        <v>0</v>
      </c>
      <c r="H3298" s="35">
        <f t="shared" si="52"/>
        <v>58175.88</v>
      </c>
      <c r="I3298" s="35"/>
      <c r="K3298" t="s">
        <v>15</v>
      </c>
    </row>
    <row r="3299" spans="2:11" ht="24.75" x14ac:dyDescent="0.2">
      <c r="B3299" s="33" t="s">
        <v>4233</v>
      </c>
      <c r="C3299" s="33" t="s">
        <v>282</v>
      </c>
      <c r="D3299" s="35">
        <f>SUMIFS(D3300:D9015,K3300:K9015,"0",B3300:B9015,"5 1 1 3 2 12 31111 6 M59 20600 000132 0000R 00001*")-SUMIFS(E3300:E9015,K3300:K9015,"0",B3300:B9015,"5 1 1 3 2 12 31111 6 M59 20600 000132 0000R 00001*")</f>
        <v>0</v>
      </c>
      <c r="E3299"/>
      <c r="F3299" s="35">
        <f>SUMIFS(F3300:F9015,K3300:K9015,"0",B3300:B9015,"5 1 1 3 2 12 31111 6 M59 20600 000132 0000R 00001*")</f>
        <v>58175.88</v>
      </c>
      <c r="G3299" s="35">
        <f>SUMIFS(G3300:G9015,K3300:K9015,"0",B3300:B9015,"5 1 1 3 2 12 31111 6 M59 20600 000132 0000R 00001*")</f>
        <v>0</v>
      </c>
      <c r="H3299" s="35">
        <f t="shared" si="52"/>
        <v>58175.88</v>
      </c>
      <c r="I3299" s="35"/>
      <c r="K3299" t="s">
        <v>15</v>
      </c>
    </row>
    <row r="3300" spans="2:11" ht="24.75" x14ac:dyDescent="0.2">
      <c r="B3300" s="33" t="s">
        <v>4234</v>
      </c>
      <c r="C3300" s="33" t="s">
        <v>4041</v>
      </c>
      <c r="D3300" s="35">
        <f>SUMIFS(D3301:D9015,K3301:K9015,"0",B3301:B9015,"5 1 1 3 2 12 31111 6 M59 20600 000132 0000R 00001 00132*")-SUMIFS(E3301:E9015,K3301:K9015,"0",B3301:B9015,"5 1 1 3 2 12 31111 6 M59 20600 000132 0000R 00001 00132*")</f>
        <v>0</v>
      </c>
      <c r="E3300"/>
      <c r="F3300" s="35">
        <f>SUMIFS(F3301:F9015,K3301:K9015,"0",B3301:B9015,"5 1 1 3 2 12 31111 6 M59 20600 000132 0000R 00001 00132*")</f>
        <v>58175.88</v>
      </c>
      <c r="G3300" s="35">
        <f>SUMIFS(G3301:G9015,K3301:K9015,"0",B3301:B9015,"5 1 1 3 2 12 31111 6 M59 20600 000132 0000R 00001 00132*")</f>
        <v>0</v>
      </c>
      <c r="H3300" s="35">
        <f t="shared" si="52"/>
        <v>58175.88</v>
      </c>
      <c r="I3300" s="35"/>
      <c r="K3300" t="s">
        <v>15</v>
      </c>
    </row>
    <row r="3301" spans="2:11" ht="33" x14ac:dyDescent="0.2">
      <c r="B3301" s="33" t="s">
        <v>4235</v>
      </c>
      <c r="C3301" s="33" t="s">
        <v>1051</v>
      </c>
      <c r="D3301" s="35">
        <f>SUMIFS(D3302:D9015,K3302:K9015,"0",B3302:B9015,"5 1 1 3 2 12 31111 6 M59 20600 000132 0000R 00001 00132 015*")-SUMIFS(E3302:E9015,K3302:K9015,"0",B3302:B9015,"5 1 1 3 2 12 31111 6 M59 20600 000132 0000R 00001 00132 015*")</f>
        <v>0</v>
      </c>
      <c r="E3301"/>
      <c r="F3301" s="35">
        <f>SUMIFS(F3302:F9015,K3302:K9015,"0",B3302:B9015,"5 1 1 3 2 12 31111 6 M59 20600 000132 0000R 00001 00132 015*")</f>
        <v>58175.88</v>
      </c>
      <c r="G3301" s="35">
        <f>SUMIFS(G3302:G9015,K3302:K9015,"0",B3302:B9015,"5 1 1 3 2 12 31111 6 M59 20600 000132 0000R 00001 00132 015*")</f>
        <v>0</v>
      </c>
      <c r="H3301" s="35">
        <f t="shared" si="52"/>
        <v>58175.88</v>
      </c>
      <c r="I3301" s="35"/>
      <c r="K3301" t="s">
        <v>15</v>
      </c>
    </row>
    <row r="3302" spans="2:11" ht="33" x14ac:dyDescent="0.2">
      <c r="B3302" s="33" t="s">
        <v>4236</v>
      </c>
      <c r="C3302" s="33" t="s">
        <v>2927</v>
      </c>
      <c r="D3302" s="35">
        <f>SUMIFS(D3303:D9015,K3303:K9015,"0",B3303:B9015,"5 1 1 3 2 12 31111 6 M59 20600 000132 0000R 00001 00132 015 2111100*")-SUMIFS(E3303:E9015,K3303:K9015,"0",B3303:B9015,"5 1 1 3 2 12 31111 6 M59 20600 000132 0000R 00001 00132 015 2111100*")</f>
        <v>0</v>
      </c>
      <c r="E3302"/>
      <c r="F3302" s="35">
        <f>SUMIFS(F3303:F9015,K3303:K9015,"0",B3303:B9015,"5 1 1 3 2 12 31111 6 M59 20600 000132 0000R 00001 00132 015 2111100*")</f>
        <v>58175.88</v>
      </c>
      <c r="G3302" s="35">
        <f>SUMIFS(G3303:G9015,K3303:K9015,"0",B3303:B9015,"5 1 1 3 2 12 31111 6 M59 20600 000132 0000R 00001 00132 015 2111100*")</f>
        <v>0</v>
      </c>
      <c r="H3302" s="35">
        <f t="shared" si="52"/>
        <v>58175.88</v>
      </c>
      <c r="I3302" s="35"/>
      <c r="K3302" t="s">
        <v>15</v>
      </c>
    </row>
    <row r="3303" spans="2:11" ht="33" x14ac:dyDescent="0.2">
      <c r="B3303" s="33" t="s">
        <v>4237</v>
      </c>
      <c r="C3303" s="33" t="s">
        <v>660</v>
      </c>
      <c r="D3303" s="35">
        <f>SUMIFS(D3304:D9015,K3304:K9015,"0",B3304:B9015,"5 1 1 3 2 12 31111 6 M59 20600 000132 0000R 00001 00132 015 2111100 2024*")-SUMIFS(E3304:E9015,K3304:K9015,"0",B3304:B9015,"5 1 1 3 2 12 31111 6 M59 20600 000132 0000R 00001 00132 015 2111100 2024*")</f>
        <v>0</v>
      </c>
      <c r="E3303"/>
      <c r="F3303" s="35">
        <f>SUMIFS(F3304:F9015,K3304:K9015,"0",B3304:B9015,"5 1 1 3 2 12 31111 6 M59 20600 000132 0000R 00001 00132 015 2111100 2024*")</f>
        <v>58175.88</v>
      </c>
      <c r="G3303" s="35">
        <f>SUMIFS(G3304:G9015,K3304:K9015,"0",B3304:B9015,"5 1 1 3 2 12 31111 6 M59 20600 000132 0000R 00001 00132 015 2111100 2024*")</f>
        <v>0</v>
      </c>
      <c r="H3303" s="35">
        <f t="shared" si="52"/>
        <v>58175.88</v>
      </c>
      <c r="I3303" s="35"/>
      <c r="K3303" t="s">
        <v>15</v>
      </c>
    </row>
    <row r="3304" spans="2:11" ht="41.25" x14ac:dyDescent="0.2">
      <c r="B3304" s="33" t="s">
        <v>4238</v>
      </c>
      <c r="C3304" s="33" t="s">
        <v>1056</v>
      </c>
      <c r="D3304" s="35">
        <f>SUMIFS(D3305:D9015,K3305:K9015,"0",B3305:B9015,"5 1 1 3 2 12 31111 6 M59 20600 000132 0000R 00001 00132 015 2111100 2024 CP1CA380*")-SUMIFS(E3305:E9015,K3305:K9015,"0",B3305:B9015,"5 1 1 3 2 12 31111 6 M59 20600 000132 0000R 00001 00132 015 2111100 2024 CP1CA380*")</f>
        <v>0</v>
      </c>
      <c r="E3304"/>
      <c r="F3304" s="35">
        <f>SUMIFS(F3305:F9015,K3305:K9015,"0",B3305:B9015,"5 1 1 3 2 12 31111 6 M59 20600 000132 0000R 00001 00132 015 2111100 2024 CP1CA380*")</f>
        <v>58175.88</v>
      </c>
      <c r="G3304" s="35">
        <f>SUMIFS(G3305:G9015,K3305:K9015,"0",B3305:B9015,"5 1 1 3 2 12 31111 6 M59 20600 000132 0000R 00001 00132 015 2111100 2024 CP1CA380*")</f>
        <v>0</v>
      </c>
      <c r="H3304" s="35">
        <f t="shared" si="52"/>
        <v>58175.88</v>
      </c>
      <c r="I3304" s="35"/>
      <c r="K3304" t="s">
        <v>15</v>
      </c>
    </row>
    <row r="3305" spans="2:11" ht="41.25" x14ac:dyDescent="0.2">
      <c r="B3305" s="33" t="s">
        <v>4239</v>
      </c>
      <c r="C3305" s="33" t="s">
        <v>282</v>
      </c>
      <c r="D3305" s="35">
        <f>SUMIFS(D3306:D9015,K3306:K9015,"0",B3306:B9015,"5 1 1 3 2 12 31111 6 M59 20600 000132 0000R 00001 00132 015 2111100 2024 CP1CA380 001*")-SUMIFS(E3306:E9015,K3306:K9015,"0",B3306:B9015,"5 1 1 3 2 12 31111 6 M59 20600 000132 0000R 00001 00132 015 2111100 2024 CP1CA380 001*")</f>
        <v>0</v>
      </c>
      <c r="E3305"/>
      <c r="F3305" s="35">
        <f>SUMIFS(F3306:F9015,K3306:K9015,"0",B3306:B9015,"5 1 1 3 2 12 31111 6 M59 20600 000132 0000R 00001 00132 015 2111100 2024 CP1CA380 001*")</f>
        <v>58175.88</v>
      </c>
      <c r="G3305" s="35">
        <f>SUMIFS(G3306:G9015,K3306:K9015,"0",B3306:B9015,"5 1 1 3 2 12 31111 6 M59 20600 000132 0000R 00001 00132 015 2111100 2024 CP1CA380 001*")</f>
        <v>0</v>
      </c>
      <c r="H3305" s="35">
        <f t="shared" si="52"/>
        <v>58175.88</v>
      </c>
      <c r="I3305" s="35"/>
      <c r="K3305" t="s">
        <v>15</v>
      </c>
    </row>
    <row r="3306" spans="2:11" ht="41.25" x14ac:dyDescent="0.2">
      <c r="B3306" s="31" t="s">
        <v>4240</v>
      </c>
      <c r="C3306" s="31" t="s">
        <v>1519</v>
      </c>
      <c r="D3306" s="34">
        <v>0</v>
      </c>
      <c r="E3306" s="34"/>
      <c r="F3306" s="34">
        <v>56429.84</v>
      </c>
      <c r="G3306" s="34">
        <v>0</v>
      </c>
      <c r="H3306" s="34">
        <f t="shared" si="52"/>
        <v>56429.84</v>
      </c>
      <c r="I3306" s="34"/>
      <c r="K3306" t="s">
        <v>38</v>
      </c>
    </row>
    <row r="3307" spans="2:11" ht="41.25" x14ac:dyDescent="0.2">
      <c r="B3307" s="31" t="s">
        <v>4241</v>
      </c>
      <c r="C3307" s="31" t="s">
        <v>4071</v>
      </c>
      <c r="D3307" s="34">
        <v>0</v>
      </c>
      <c r="E3307" s="34"/>
      <c r="F3307" s="34">
        <v>1746.04</v>
      </c>
      <c r="G3307" s="34">
        <v>0</v>
      </c>
      <c r="H3307" s="34">
        <f t="shared" si="52"/>
        <v>1746.04</v>
      </c>
      <c r="I3307" s="34"/>
      <c r="K3307" t="s">
        <v>38</v>
      </c>
    </row>
    <row r="3308" spans="2:11" ht="16.5" x14ac:dyDescent="0.2">
      <c r="B3308" s="33" t="s">
        <v>4242</v>
      </c>
      <c r="C3308" s="33" t="s">
        <v>3138</v>
      </c>
      <c r="D3308" s="35">
        <f>SUMIFS(D3309:D9015,K3309:K9015,"0",B3309:B9015,"5 1 1 3 2 12 31111 6 M59 20700*")-SUMIFS(E3309:E9015,K3309:K9015,"0",B3309:B9015,"5 1 1 3 2 12 31111 6 M59 20700*")</f>
        <v>0</v>
      </c>
      <c r="E3308"/>
      <c r="F3308" s="35">
        <f>SUMIFS(F3309:F9015,K3309:K9015,"0",B3309:B9015,"5 1 1 3 2 12 31111 6 M59 20700*")</f>
        <v>59382.83</v>
      </c>
      <c r="G3308" s="35">
        <f>SUMIFS(G3309:G9015,K3309:K9015,"0",B3309:B9015,"5 1 1 3 2 12 31111 6 M59 20700*")</f>
        <v>0</v>
      </c>
      <c r="H3308" s="35">
        <f t="shared" si="52"/>
        <v>59382.83</v>
      </c>
      <c r="I3308" s="35"/>
      <c r="K3308" t="s">
        <v>15</v>
      </c>
    </row>
    <row r="3309" spans="2:11" ht="16.5" x14ac:dyDescent="0.2">
      <c r="B3309" s="33" t="s">
        <v>4243</v>
      </c>
      <c r="C3309" s="33" t="s">
        <v>648</v>
      </c>
      <c r="D3309" s="35">
        <f>SUMIFS(D3310:D9015,K3310:K9015,"0",B3310:B9015,"5 1 1 3 2 12 31111 6 M59 20700 000132*")-SUMIFS(E3310:E9015,K3310:K9015,"0",B3310:B9015,"5 1 1 3 2 12 31111 6 M59 20700 000132*")</f>
        <v>0</v>
      </c>
      <c r="E3309"/>
      <c r="F3309" s="35">
        <f>SUMIFS(F3310:F9015,K3310:K9015,"0",B3310:B9015,"5 1 1 3 2 12 31111 6 M59 20700 000132*")</f>
        <v>59382.83</v>
      </c>
      <c r="G3309" s="35">
        <f>SUMIFS(G3310:G9015,K3310:K9015,"0",B3310:B9015,"5 1 1 3 2 12 31111 6 M59 20700 000132*")</f>
        <v>0</v>
      </c>
      <c r="H3309" s="35">
        <f t="shared" si="52"/>
        <v>59382.83</v>
      </c>
      <c r="I3309" s="35"/>
      <c r="K3309" t="s">
        <v>15</v>
      </c>
    </row>
    <row r="3310" spans="2:11" ht="24.75" x14ac:dyDescent="0.2">
      <c r="B3310" s="33" t="s">
        <v>4244</v>
      </c>
      <c r="C3310" s="33" t="s">
        <v>650</v>
      </c>
      <c r="D3310" s="35">
        <f>SUMIFS(D3311:D9015,K3311:K9015,"0",B3311:B9015,"5 1 1 3 2 12 31111 6 M59 20700 000132 0000R*")-SUMIFS(E3311:E9015,K3311:K9015,"0",B3311:B9015,"5 1 1 3 2 12 31111 6 M59 20700 000132 0000R*")</f>
        <v>0</v>
      </c>
      <c r="E3310"/>
      <c r="F3310" s="35">
        <f>SUMIFS(F3311:F9015,K3311:K9015,"0",B3311:B9015,"5 1 1 3 2 12 31111 6 M59 20700 000132 0000R*")</f>
        <v>59382.83</v>
      </c>
      <c r="G3310" s="35">
        <f>SUMIFS(G3311:G9015,K3311:K9015,"0",B3311:B9015,"5 1 1 3 2 12 31111 6 M59 20700 000132 0000R*")</f>
        <v>0</v>
      </c>
      <c r="H3310" s="35">
        <f t="shared" si="52"/>
        <v>59382.83</v>
      </c>
      <c r="I3310" s="35"/>
      <c r="K3310" t="s">
        <v>15</v>
      </c>
    </row>
    <row r="3311" spans="2:11" ht="24.75" x14ac:dyDescent="0.2">
      <c r="B3311" s="33" t="s">
        <v>4245</v>
      </c>
      <c r="C3311" s="33" t="s">
        <v>282</v>
      </c>
      <c r="D3311" s="35">
        <f>SUMIFS(D3312:D9015,K3312:K9015,"0",B3312:B9015,"5 1 1 3 2 12 31111 6 M59 20700 000132 0000R 00001*")-SUMIFS(E3312:E9015,K3312:K9015,"0",B3312:B9015,"5 1 1 3 2 12 31111 6 M59 20700 000132 0000R 00001*")</f>
        <v>0</v>
      </c>
      <c r="E3311"/>
      <c r="F3311" s="35">
        <f>SUMIFS(F3312:F9015,K3312:K9015,"0",B3312:B9015,"5 1 1 3 2 12 31111 6 M59 20700 000132 0000R 00001*")</f>
        <v>59382.83</v>
      </c>
      <c r="G3311" s="35">
        <f>SUMIFS(G3312:G9015,K3312:K9015,"0",B3312:B9015,"5 1 1 3 2 12 31111 6 M59 20700 000132 0000R 00001*")</f>
        <v>0</v>
      </c>
      <c r="H3311" s="35">
        <f t="shared" si="52"/>
        <v>59382.83</v>
      </c>
      <c r="I3311" s="35"/>
      <c r="K3311" t="s">
        <v>15</v>
      </c>
    </row>
    <row r="3312" spans="2:11" ht="24.75" x14ac:dyDescent="0.2">
      <c r="B3312" s="33" t="s">
        <v>4246</v>
      </c>
      <c r="C3312" s="33" t="s">
        <v>4041</v>
      </c>
      <c r="D3312" s="35">
        <f>SUMIFS(D3313:D9015,K3313:K9015,"0",B3313:B9015,"5 1 1 3 2 12 31111 6 M59 20700 000132 0000R 00001 00132*")-SUMIFS(E3313:E9015,K3313:K9015,"0",B3313:B9015,"5 1 1 3 2 12 31111 6 M59 20700 000132 0000R 00001 00132*")</f>
        <v>0</v>
      </c>
      <c r="E3312"/>
      <c r="F3312" s="35">
        <f>SUMIFS(F3313:F9015,K3313:K9015,"0",B3313:B9015,"5 1 1 3 2 12 31111 6 M59 20700 000132 0000R 00001 00132*")</f>
        <v>59382.83</v>
      </c>
      <c r="G3312" s="35">
        <f>SUMIFS(G3313:G9015,K3313:K9015,"0",B3313:B9015,"5 1 1 3 2 12 31111 6 M59 20700 000132 0000R 00001 00132*")</f>
        <v>0</v>
      </c>
      <c r="H3312" s="35">
        <f t="shared" si="52"/>
        <v>59382.83</v>
      </c>
      <c r="I3312" s="35"/>
      <c r="K3312" t="s">
        <v>15</v>
      </c>
    </row>
    <row r="3313" spans="2:11" ht="33" x14ac:dyDescent="0.2">
      <c r="B3313" s="33" t="s">
        <v>4247</v>
      </c>
      <c r="C3313" s="33" t="s">
        <v>1051</v>
      </c>
      <c r="D3313" s="35">
        <f>SUMIFS(D3314:D9015,K3314:K9015,"0",B3314:B9015,"5 1 1 3 2 12 31111 6 M59 20700 000132 0000R 00001 00132 015*")-SUMIFS(E3314:E9015,K3314:K9015,"0",B3314:B9015,"5 1 1 3 2 12 31111 6 M59 20700 000132 0000R 00001 00132 015*")</f>
        <v>0</v>
      </c>
      <c r="E3313"/>
      <c r="F3313" s="35">
        <f>SUMIFS(F3314:F9015,K3314:K9015,"0",B3314:B9015,"5 1 1 3 2 12 31111 6 M59 20700 000132 0000R 00001 00132 015*")</f>
        <v>59382.83</v>
      </c>
      <c r="G3313" s="35">
        <f>SUMIFS(G3314:G9015,K3314:K9015,"0",B3314:B9015,"5 1 1 3 2 12 31111 6 M59 20700 000132 0000R 00001 00132 015*")</f>
        <v>0</v>
      </c>
      <c r="H3313" s="35">
        <f t="shared" si="52"/>
        <v>59382.83</v>
      </c>
      <c r="I3313" s="35"/>
      <c r="K3313" t="s">
        <v>15</v>
      </c>
    </row>
    <row r="3314" spans="2:11" ht="33" x14ac:dyDescent="0.2">
      <c r="B3314" s="33" t="s">
        <v>4248</v>
      </c>
      <c r="C3314" s="33" t="s">
        <v>2927</v>
      </c>
      <c r="D3314" s="35">
        <f>SUMIFS(D3315:D9015,K3315:K9015,"0",B3315:B9015,"5 1 1 3 2 12 31111 6 M59 20700 000132 0000R 00001 00132 015 2111100*")-SUMIFS(E3315:E9015,K3315:K9015,"0",B3315:B9015,"5 1 1 3 2 12 31111 6 M59 20700 000132 0000R 00001 00132 015 2111100*")</f>
        <v>0</v>
      </c>
      <c r="E3314"/>
      <c r="F3314" s="35">
        <f>SUMIFS(F3315:F9015,K3315:K9015,"0",B3315:B9015,"5 1 1 3 2 12 31111 6 M59 20700 000132 0000R 00001 00132 015 2111100*")</f>
        <v>59382.83</v>
      </c>
      <c r="G3314" s="35">
        <f>SUMIFS(G3315:G9015,K3315:K9015,"0",B3315:B9015,"5 1 1 3 2 12 31111 6 M59 20700 000132 0000R 00001 00132 015 2111100*")</f>
        <v>0</v>
      </c>
      <c r="H3314" s="35">
        <f t="shared" si="52"/>
        <v>59382.83</v>
      </c>
      <c r="I3314" s="35"/>
      <c r="K3314" t="s">
        <v>15</v>
      </c>
    </row>
    <row r="3315" spans="2:11" ht="33" x14ac:dyDescent="0.2">
      <c r="B3315" s="33" t="s">
        <v>4249</v>
      </c>
      <c r="C3315" s="33" t="s">
        <v>660</v>
      </c>
      <c r="D3315" s="35">
        <f>SUMIFS(D3316:D9015,K3316:K9015,"0",B3316:B9015,"5 1 1 3 2 12 31111 6 M59 20700 000132 0000R 00001 00132 015 2111100 2024*")-SUMIFS(E3316:E9015,K3316:K9015,"0",B3316:B9015,"5 1 1 3 2 12 31111 6 M59 20700 000132 0000R 00001 00132 015 2111100 2024*")</f>
        <v>0</v>
      </c>
      <c r="E3315"/>
      <c r="F3315" s="35">
        <f>SUMIFS(F3316:F9015,K3316:K9015,"0",B3316:B9015,"5 1 1 3 2 12 31111 6 M59 20700 000132 0000R 00001 00132 015 2111100 2024*")</f>
        <v>59382.83</v>
      </c>
      <c r="G3315" s="35">
        <f>SUMIFS(G3316:G9015,K3316:K9015,"0",B3316:B9015,"5 1 1 3 2 12 31111 6 M59 20700 000132 0000R 00001 00132 015 2111100 2024*")</f>
        <v>0</v>
      </c>
      <c r="H3315" s="35">
        <f t="shared" si="52"/>
        <v>59382.83</v>
      </c>
      <c r="I3315" s="35"/>
      <c r="K3315" t="s">
        <v>15</v>
      </c>
    </row>
    <row r="3316" spans="2:11" ht="41.25" x14ac:dyDescent="0.2">
      <c r="B3316" s="33" t="s">
        <v>4250</v>
      </c>
      <c r="C3316" s="33" t="s">
        <v>662</v>
      </c>
      <c r="D3316" s="35">
        <f>SUMIFS(D3317:D9015,K3317:K9015,"0",B3317:B9015,"5 1 1 3 2 12 31111 6 M59 20700 000132 0000R 00001 00132 015 2111100 2024 CP1RM401*")-SUMIFS(E3317:E9015,K3317:K9015,"0",B3317:B9015,"5 1 1 3 2 12 31111 6 M59 20700 000132 0000R 00001 00132 015 2111100 2024 CP1RM401*")</f>
        <v>0</v>
      </c>
      <c r="E3316"/>
      <c r="F3316" s="35">
        <f>SUMIFS(F3317:F9015,K3317:K9015,"0",B3317:B9015,"5 1 1 3 2 12 31111 6 M59 20700 000132 0000R 00001 00132 015 2111100 2024 CP1RM401*")</f>
        <v>59382.83</v>
      </c>
      <c r="G3316" s="35">
        <f>SUMIFS(G3317:G9015,K3317:K9015,"0",B3317:B9015,"5 1 1 3 2 12 31111 6 M59 20700 000132 0000R 00001 00132 015 2111100 2024 CP1RM401*")</f>
        <v>0</v>
      </c>
      <c r="H3316" s="35">
        <f t="shared" si="52"/>
        <v>59382.83</v>
      </c>
      <c r="I3316" s="35"/>
      <c r="K3316" t="s">
        <v>15</v>
      </c>
    </row>
    <row r="3317" spans="2:11" ht="41.25" x14ac:dyDescent="0.2">
      <c r="B3317" s="33" t="s">
        <v>4251</v>
      </c>
      <c r="C3317" s="33" t="s">
        <v>282</v>
      </c>
      <c r="D3317" s="35">
        <f>SUMIFS(D3318:D9015,K3318:K9015,"0",B3318:B9015,"5 1 1 3 2 12 31111 6 M59 20700 000132 0000R 00001 00132 015 2111100 2024 CP1RM401 001*")-SUMIFS(E3318:E9015,K3318:K9015,"0",B3318:B9015,"5 1 1 3 2 12 31111 6 M59 20700 000132 0000R 00001 00132 015 2111100 2024 CP1RM401 001*")</f>
        <v>0</v>
      </c>
      <c r="E3317"/>
      <c r="F3317" s="35">
        <f>SUMIFS(F3318:F9015,K3318:K9015,"0",B3318:B9015,"5 1 1 3 2 12 31111 6 M59 20700 000132 0000R 00001 00132 015 2111100 2024 CP1RM401 001*")</f>
        <v>59382.83</v>
      </c>
      <c r="G3317" s="35">
        <f>SUMIFS(G3318:G9015,K3318:K9015,"0",B3318:B9015,"5 1 1 3 2 12 31111 6 M59 20700 000132 0000R 00001 00132 015 2111100 2024 CP1RM401 001*")</f>
        <v>0</v>
      </c>
      <c r="H3317" s="35">
        <f t="shared" si="52"/>
        <v>59382.83</v>
      </c>
      <c r="I3317" s="35"/>
      <c r="K3317" t="s">
        <v>15</v>
      </c>
    </row>
    <row r="3318" spans="2:11" ht="33" x14ac:dyDescent="0.2">
      <c r="B3318" s="31" t="s">
        <v>4252</v>
      </c>
      <c r="C3318" s="31" t="s">
        <v>1519</v>
      </c>
      <c r="D3318" s="34">
        <v>0</v>
      </c>
      <c r="E3318" s="34"/>
      <c r="F3318" s="34">
        <v>59382.83</v>
      </c>
      <c r="G3318" s="34">
        <v>0</v>
      </c>
      <c r="H3318" s="34">
        <f t="shared" si="52"/>
        <v>59382.83</v>
      </c>
      <c r="I3318" s="34"/>
      <c r="K3318" t="s">
        <v>38</v>
      </c>
    </row>
    <row r="3319" spans="2:11" ht="16.5" x14ac:dyDescent="0.2">
      <c r="B3319" s="33" t="s">
        <v>4253</v>
      </c>
      <c r="C3319" s="33" t="s">
        <v>3150</v>
      </c>
      <c r="D3319" s="35">
        <f>SUMIFS(D3320:D9015,K3320:K9015,"0",B3320:B9015,"5 1 1 3 2 12 31111 6 M59 20800*")-SUMIFS(E3320:E9015,K3320:K9015,"0",B3320:B9015,"5 1 1 3 2 12 31111 6 M59 20800*")</f>
        <v>0</v>
      </c>
      <c r="E3319"/>
      <c r="F3319" s="35">
        <f>SUMIFS(F3320:F9015,K3320:K9015,"0",B3320:B9015,"5 1 1 3 2 12 31111 6 M59 20800*")</f>
        <v>21781.040000000001</v>
      </c>
      <c r="G3319" s="35">
        <f>SUMIFS(G3320:G9015,K3320:K9015,"0",B3320:B9015,"5 1 1 3 2 12 31111 6 M59 20800*")</f>
        <v>0</v>
      </c>
      <c r="H3319" s="35">
        <f t="shared" si="52"/>
        <v>21781.040000000001</v>
      </c>
      <c r="I3319" s="35"/>
      <c r="K3319" t="s">
        <v>15</v>
      </c>
    </row>
    <row r="3320" spans="2:11" ht="24.75" x14ac:dyDescent="0.2">
      <c r="B3320" s="33" t="s">
        <v>4254</v>
      </c>
      <c r="C3320" s="33" t="s">
        <v>3152</v>
      </c>
      <c r="D3320" s="35">
        <f>SUMIFS(D3321:D9015,K3321:K9015,"0",B3321:B9015,"5 1 1 3 2 12 31111 6 M59 20800 000181*")-SUMIFS(E3321:E9015,K3321:K9015,"0",B3321:B9015,"5 1 1 3 2 12 31111 6 M59 20800 000181*")</f>
        <v>0</v>
      </c>
      <c r="E3320"/>
      <c r="F3320" s="35">
        <f>SUMIFS(F3321:F9015,K3321:K9015,"0",B3321:B9015,"5 1 1 3 2 12 31111 6 M59 20800 000181*")</f>
        <v>21781.040000000001</v>
      </c>
      <c r="G3320" s="35">
        <f>SUMIFS(G3321:G9015,K3321:K9015,"0",B3321:B9015,"5 1 1 3 2 12 31111 6 M59 20800 000181*")</f>
        <v>0</v>
      </c>
      <c r="H3320" s="35">
        <f t="shared" si="52"/>
        <v>21781.040000000001</v>
      </c>
      <c r="I3320" s="35"/>
      <c r="K3320" t="s">
        <v>15</v>
      </c>
    </row>
    <row r="3321" spans="2:11" ht="24.75" x14ac:dyDescent="0.2">
      <c r="B3321" s="33" t="s">
        <v>4255</v>
      </c>
      <c r="C3321" s="33" t="s">
        <v>650</v>
      </c>
      <c r="D3321" s="35">
        <f>SUMIFS(D3322:D9015,K3322:K9015,"0",B3322:B9015,"5 1 1 3 2 12 31111 6 M59 20800 000181 0000R*")-SUMIFS(E3322:E9015,K3322:K9015,"0",B3322:B9015,"5 1 1 3 2 12 31111 6 M59 20800 000181 0000R*")</f>
        <v>0</v>
      </c>
      <c r="E3321"/>
      <c r="F3321" s="35">
        <f>SUMIFS(F3322:F9015,K3322:K9015,"0",B3322:B9015,"5 1 1 3 2 12 31111 6 M59 20800 000181 0000R*")</f>
        <v>21781.040000000001</v>
      </c>
      <c r="G3321" s="35">
        <f>SUMIFS(G3322:G9015,K3322:K9015,"0",B3322:B9015,"5 1 1 3 2 12 31111 6 M59 20800 000181 0000R*")</f>
        <v>0</v>
      </c>
      <c r="H3321" s="35">
        <f t="shared" si="52"/>
        <v>21781.040000000001</v>
      </c>
      <c r="I3321" s="35"/>
      <c r="K3321" t="s">
        <v>15</v>
      </c>
    </row>
    <row r="3322" spans="2:11" ht="24.75" x14ac:dyDescent="0.2">
      <c r="B3322" s="33" t="s">
        <v>4256</v>
      </c>
      <c r="C3322" s="33" t="s">
        <v>282</v>
      </c>
      <c r="D3322" s="35">
        <f>SUMIFS(D3323:D9015,K3323:K9015,"0",B3323:B9015,"5 1 1 3 2 12 31111 6 M59 20800 000181 0000R 00001*")-SUMIFS(E3323:E9015,K3323:K9015,"0",B3323:B9015,"5 1 1 3 2 12 31111 6 M59 20800 000181 0000R 00001*")</f>
        <v>0</v>
      </c>
      <c r="E3322"/>
      <c r="F3322" s="35">
        <f>SUMIFS(F3323:F9015,K3323:K9015,"0",B3323:B9015,"5 1 1 3 2 12 31111 6 M59 20800 000181 0000R 00001*")</f>
        <v>21781.040000000001</v>
      </c>
      <c r="G3322" s="35">
        <f>SUMIFS(G3323:G9015,K3323:K9015,"0",B3323:B9015,"5 1 1 3 2 12 31111 6 M59 20800 000181 0000R 00001*")</f>
        <v>0</v>
      </c>
      <c r="H3322" s="35">
        <f t="shared" si="52"/>
        <v>21781.040000000001</v>
      </c>
      <c r="I3322" s="35"/>
      <c r="K3322" t="s">
        <v>15</v>
      </c>
    </row>
    <row r="3323" spans="2:11" ht="24.75" x14ac:dyDescent="0.2">
      <c r="B3323" s="33" t="s">
        <v>4257</v>
      </c>
      <c r="C3323" s="33" t="s">
        <v>4041</v>
      </c>
      <c r="D3323" s="35">
        <f>SUMIFS(D3324:D9015,K3324:K9015,"0",B3324:B9015,"5 1 1 3 2 12 31111 6 M59 20800 000181 0000R 00001 00132*")-SUMIFS(E3324:E9015,K3324:K9015,"0",B3324:B9015,"5 1 1 3 2 12 31111 6 M59 20800 000181 0000R 00001 00132*")</f>
        <v>0</v>
      </c>
      <c r="E3323"/>
      <c r="F3323" s="35">
        <f>SUMIFS(F3324:F9015,K3324:K9015,"0",B3324:B9015,"5 1 1 3 2 12 31111 6 M59 20800 000181 0000R 00001 00132*")</f>
        <v>21781.040000000001</v>
      </c>
      <c r="G3323" s="35">
        <f>SUMIFS(G3324:G9015,K3324:K9015,"0",B3324:B9015,"5 1 1 3 2 12 31111 6 M59 20800 000181 0000R 00001 00132*")</f>
        <v>0</v>
      </c>
      <c r="H3323" s="35">
        <f t="shared" si="52"/>
        <v>21781.040000000001</v>
      </c>
      <c r="I3323" s="35"/>
      <c r="K3323" t="s">
        <v>15</v>
      </c>
    </row>
    <row r="3324" spans="2:11" ht="33" x14ac:dyDescent="0.2">
      <c r="B3324" s="33" t="s">
        <v>4258</v>
      </c>
      <c r="C3324" s="33" t="s">
        <v>1051</v>
      </c>
      <c r="D3324" s="35">
        <f>SUMIFS(D3325:D9015,K3325:K9015,"0",B3325:B9015,"5 1 1 3 2 12 31111 6 M59 20800 000181 0000R 00001 00132 015*")-SUMIFS(E3325:E9015,K3325:K9015,"0",B3325:B9015,"5 1 1 3 2 12 31111 6 M59 20800 000181 0000R 00001 00132 015*")</f>
        <v>0</v>
      </c>
      <c r="E3324"/>
      <c r="F3324" s="35">
        <f>SUMIFS(F3325:F9015,K3325:K9015,"0",B3325:B9015,"5 1 1 3 2 12 31111 6 M59 20800 000181 0000R 00001 00132 015*")</f>
        <v>21781.040000000001</v>
      </c>
      <c r="G3324" s="35">
        <f>SUMIFS(G3325:G9015,K3325:K9015,"0",B3325:B9015,"5 1 1 3 2 12 31111 6 M59 20800 000181 0000R 00001 00132 015*")</f>
        <v>0</v>
      </c>
      <c r="H3324" s="35">
        <f t="shared" si="52"/>
        <v>21781.040000000001</v>
      </c>
      <c r="I3324" s="35"/>
      <c r="K3324" t="s">
        <v>15</v>
      </c>
    </row>
    <row r="3325" spans="2:11" ht="33" x14ac:dyDescent="0.2">
      <c r="B3325" s="33" t="s">
        <v>4259</v>
      </c>
      <c r="C3325" s="33" t="s">
        <v>2927</v>
      </c>
      <c r="D3325" s="35">
        <f>SUMIFS(D3326:D9015,K3326:K9015,"0",B3326:B9015,"5 1 1 3 2 12 31111 6 M59 20800 000181 0000R 00001 00132 015 2111100*")-SUMIFS(E3326:E9015,K3326:K9015,"0",B3326:B9015,"5 1 1 3 2 12 31111 6 M59 20800 000181 0000R 00001 00132 015 2111100*")</f>
        <v>0</v>
      </c>
      <c r="E3325"/>
      <c r="F3325" s="35">
        <f>SUMIFS(F3326:F9015,K3326:K9015,"0",B3326:B9015,"5 1 1 3 2 12 31111 6 M59 20800 000181 0000R 00001 00132 015 2111100*")</f>
        <v>21781.040000000001</v>
      </c>
      <c r="G3325" s="35">
        <f>SUMIFS(G3326:G9015,K3326:K9015,"0",B3326:B9015,"5 1 1 3 2 12 31111 6 M59 20800 000181 0000R 00001 00132 015 2111100*")</f>
        <v>0</v>
      </c>
      <c r="H3325" s="35">
        <f t="shared" si="52"/>
        <v>21781.040000000001</v>
      </c>
      <c r="I3325" s="35"/>
      <c r="K3325" t="s">
        <v>15</v>
      </c>
    </row>
    <row r="3326" spans="2:11" ht="33" x14ac:dyDescent="0.2">
      <c r="B3326" s="33" t="s">
        <v>4260</v>
      </c>
      <c r="C3326" s="33" t="s">
        <v>660</v>
      </c>
      <c r="D3326" s="35">
        <f>SUMIFS(D3327:D9015,K3327:K9015,"0",B3327:B9015,"5 1 1 3 2 12 31111 6 M59 20800 000181 0000R 00001 00132 015 2111100 2024*")-SUMIFS(E3327:E9015,K3327:K9015,"0",B3327:B9015,"5 1 1 3 2 12 31111 6 M59 20800 000181 0000R 00001 00132 015 2111100 2024*")</f>
        <v>0</v>
      </c>
      <c r="E3326"/>
      <c r="F3326" s="35">
        <f>SUMIFS(F3327:F9015,K3327:K9015,"0",B3327:B9015,"5 1 1 3 2 12 31111 6 M59 20800 000181 0000R 00001 00132 015 2111100 2024*")</f>
        <v>21781.040000000001</v>
      </c>
      <c r="G3326" s="35">
        <f>SUMIFS(G3327:G9015,K3327:K9015,"0",B3327:B9015,"5 1 1 3 2 12 31111 6 M59 20800 000181 0000R 00001 00132 015 2111100 2024*")</f>
        <v>0</v>
      </c>
      <c r="H3326" s="35">
        <f t="shared" si="52"/>
        <v>21781.040000000001</v>
      </c>
      <c r="I3326" s="35"/>
      <c r="K3326" t="s">
        <v>15</v>
      </c>
    </row>
    <row r="3327" spans="2:11" ht="41.25" x14ac:dyDescent="0.2">
      <c r="B3327" s="33" t="s">
        <v>4261</v>
      </c>
      <c r="C3327" s="33" t="s">
        <v>1056</v>
      </c>
      <c r="D3327" s="35">
        <f>SUMIFS(D3328:D9015,K3328:K9015,"0",B3328:B9015,"5 1 1 3 2 12 31111 6 M59 20800 000181 0000R 00001 00132 015 2111100 2024 CP1AA392*")-SUMIFS(E3328:E9015,K3328:K9015,"0",B3328:B9015,"5 1 1 3 2 12 31111 6 M59 20800 000181 0000R 00001 00132 015 2111100 2024 CP1AA392*")</f>
        <v>0</v>
      </c>
      <c r="E3327"/>
      <c r="F3327" s="35">
        <f>SUMIFS(F3328:F9015,K3328:K9015,"0",B3328:B9015,"5 1 1 3 2 12 31111 6 M59 20800 000181 0000R 00001 00132 015 2111100 2024 CP1AA392*")</f>
        <v>21781.040000000001</v>
      </c>
      <c r="G3327" s="35">
        <f>SUMIFS(G3328:G9015,K3328:K9015,"0",B3328:B9015,"5 1 1 3 2 12 31111 6 M59 20800 000181 0000R 00001 00132 015 2111100 2024 CP1AA392*")</f>
        <v>0</v>
      </c>
      <c r="H3327" s="35">
        <f t="shared" si="52"/>
        <v>21781.040000000001</v>
      </c>
      <c r="I3327" s="35"/>
      <c r="K3327" t="s">
        <v>15</v>
      </c>
    </row>
    <row r="3328" spans="2:11" ht="41.25" x14ac:dyDescent="0.2">
      <c r="B3328" s="33" t="s">
        <v>4262</v>
      </c>
      <c r="C3328" s="33" t="s">
        <v>282</v>
      </c>
      <c r="D3328" s="35">
        <f>SUMIFS(D3329:D9015,K3329:K9015,"0",B3329:B9015,"5 1 1 3 2 12 31111 6 M59 20800 000181 0000R 00001 00132 015 2111100 2024 CP1AA392 001*")-SUMIFS(E3329:E9015,K3329:K9015,"0",B3329:B9015,"5 1 1 3 2 12 31111 6 M59 20800 000181 0000R 00001 00132 015 2111100 2024 CP1AA392 001*")</f>
        <v>0</v>
      </c>
      <c r="E3328"/>
      <c r="F3328" s="35">
        <f>SUMIFS(F3329:F9015,K3329:K9015,"0",B3329:B9015,"5 1 1 3 2 12 31111 6 M59 20800 000181 0000R 00001 00132 015 2111100 2024 CP1AA392 001*")</f>
        <v>21781.040000000001</v>
      </c>
      <c r="G3328" s="35">
        <f>SUMIFS(G3329:G9015,K3329:K9015,"0",B3329:B9015,"5 1 1 3 2 12 31111 6 M59 20800 000181 0000R 00001 00132 015 2111100 2024 CP1AA392 001*")</f>
        <v>0</v>
      </c>
      <c r="H3328" s="35">
        <f t="shared" si="52"/>
        <v>21781.040000000001</v>
      </c>
      <c r="I3328" s="35"/>
      <c r="K3328" t="s">
        <v>15</v>
      </c>
    </row>
    <row r="3329" spans="2:11" ht="33" x14ac:dyDescent="0.2">
      <c r="B3329" s="31" t="s">
        <v>4263</v>
      </c>
      <c r="C3329" s="31" t="s">
        <v>1519</v>
      </c>
      <c r="D3329" s="34">
        <v>0</v>
      </c>
      <c r="E3329" s="34"/>
      <c r="F3329" s="34">
        <v>21781.040000000001</v>
      </c>
      <c r="G3329" s="34">
        <v>0</v>
      </c>
      <c r="H3329" s="34">
        <f t="shared" si="52"/>
        <v>21781.040000000001</v>
      </c>
      <c r="I3329" s="34"/>
      <c r="K3329" t="s">
        <v>38</v>
      </c>
    </row>
    <row r="3330" spans="2:11" ht="24.75" x14ac:dyDescent="0.2">
      <c r="B3330" s="33" t="s">
        <v>4264</v>
      </c>
      <c r="C3330" s="33" t="s">
        <v>3175</v>
      </c>
      <c r="D3330" s="35">
        <f>SUMIFS(D3331:D9015,K3331:K9015,"0",B3331:B9015,"5 1 1 3 2 12 31111 6 M59 22000*")-SUMIFS(E3331:E9015,K3331:K9015,"0",B3331:B9015,"5 1 1 3 2 12 31111 6 M59 22000*")</f>
        <v>0</v>
      </c>
      <c r="E3330"/>
      <c r="F3330" s="35">
        <f>SUMIFS(F3331:F9015,K3331:K9015,"0",B3331:B9015,"5 1 1 3 2 12 31111 6 M59 22000*")</f>
        <v>4588.12</v>
      </c>
      <c r="G3330" s="35">
        <f>SUMIFS(G3331:G9015,K3331:K9015,"0",B3331:B9015,"5 1 1 3 2 12 31111 6 M59 22000*")</f>
        <v>0</v>
      </c>
      <c r="H3330" s="35">
        <f t="shared" si="52"/>
        <v>4588.12</v>
      </c>
      <c r="I3330" s="35"/>
      <c r="K3330" t="s">
        <v>15</v>
      </c>
    </row>
    <row r="3331" spans="2:11" ht="16.5" x14ac:dyDescent="0.2">
      <c r="B3331" s="33" t="s">
        <v>4265</v>
      </c>
      <c r="C3331" s="33" t="s">
        <v>648</v>
      </c>
      <c r="D3331" s="35">
        <f>SUMIFS(D3332:D9015,K3332:K9015,"0",B3332:B9015,"5 1 1 3 2 12 31111 6 M59 22000 000132*")-SUMIFS(E3332:E9015,K3332:K9015,"0",B3332:B9015,"5 1 1 3 2 12 31111 6 M59 22000 000132*")</f>
        <v>0</v>
      </c>
      <c r="E3331"/>
      <c r="F3331" s="35">
        <f>SUMIFS(F3332:F9015,K3332:K9015,"0",B3332:B9015,"5 1 1 3 2 12 31111 6 M59 22000 000132*")</f>
        <v>4588.12</v>
      </c>
      <c r="G3331" s="35">
        <f>SUMIFS(G3332:G9015,K3332:K9015,"0",B3332:B9015,"5 1 1 3 2 12 31111 6 M59 22000 000132*")</f>
        <v>0</v>
      </c>
      <c r="H3331" s="35">
        <f t="shared" si="52"/>
        <v>4588.12</v>
      </c>
      <c r="I3331" s="35"/>
      <c r="K3331" t="s">
        <v>15</v>
      </c>
    </row>
    <row r="3332" spans="2:11" ht="24.75" x14ac:dyDescent="0.2">
      <c r="B3332" s="33" t="s">
        <v>4266</v>
      </c>
      <c r="C3332" s="33" t="s">
        <v>650</v>
      </c>
      <c r="D3332" s="35">
        <f>SUMIFS(D3333:D9015,K3333:K9015,"0",B3333:B9015,"5 1 1 3 2 12 31111 6 M59 22000 000132 0000R*")-SUMIFS(E3333:E9015,K3333:K9015,"0",B3333:B9015,"5 1 1 3 2 12 31111 6 M59 22000 000132 0000R*")</f>
        <v>0</v>
      </c>
      <c r="E3332"/>
      <c r="F3332" s="35">
        <f>SUMIFS(F3333:F9015,K3333:K9015,"0",B3333:B9015,"5 1 1 3 2 12 31111 6 M59 22000 000132 0000R*")</f>
        <v>4588.12</v>
      </c>
      <c r="G3332" s="35">
        <f>SUMIFS(G3333:G9015,K3333:K9015,"0",B3333:B9015,"5 1 1 3 2 12 31111 6 M59 22000 000132 0000R*")</f>
        <v>0</v>
      </c>
      <c r="H3332" s="35">
        <f t="shared" ref="H3332:H3395" si="53">D3332 + F3332 - G3332</f>
        <v>4588.12</v>
      </c>
      <c r="I3332" s="35"/>
      <c r="K3332" t="s">
        <v>15</v>
      </c>
    </row>
    <row r="3333" spans="2:11" ht="24.75" x14ac:dyDescent="0.2">
      <c r="B3333" s="33" t="s">
        <v>4267</v>
      </c>
      <c r="C3333" s="33" t="s">
        <v>282</v>
      </c>
      <c r="D3333" s="35">
        <f>SUMIFS(D3334:D9015,K3334:K9015,"0",B3334:B9015,"5 1 1 3 2 12 31111 6 M59 22000 000132 0000R 00001*")-SUMIFS(E3334:E9015,K3334:K9015,"0",B3334:B9015,"5 1 1 3 2 12 31111 6 M59 22000 000132 0000R 00001*")</f>
        <v>0</v>
      </c>
      <c r="E3333"/>
      <c r="F3333" s="35">
        <f>SUMIFS(F3334:F9015,K3334:K9015,"0",B3334:B9015,"5 1 1 3 2 12 31111 6 M59 22000 000132 0000R 00001*")</f>
        <v>4588.12</v>
      </c>
      <c r="G3333" s="35">
        <f>SUMIFS(G3334:G9015,K3334:K9015,"0",B3334:B9015,"5 1 1 3 2 12 31111 6 M59 22000 000132 0000R 00001*")</f>
        <v>0</v>
      </c>
      <c r="H3333" s="35">
        <f t="shared" si="53"/>
        <v>4588.12</v>
      </c>
      <c r="I3333" s="35"/>
      <c r="K3333" t="s">
        <v>15</v>
      </c>
    </row>
    <row r="3334" spans="2:11" ht="24.75" x14ac:dyDescent="0.2">
      <c r="B3334" s="33" t="s">
        <v>4268</v>
      </c>
      <c r="C3334" s="33" t="s">
        <v>4041</v>
      </c>
      <c r="D3334" s="35">
        <f>SUMIFS(D3335:D9015,K3335:K9015,"0",B3335:B9015,"5 1 1 3 2 12 31111 6 M59 22000 000132 0000R 00001 00132*")-SUMIFS(E3335:E9015,K3335:K9015,"0",B3335:B9015,"5 1 1 3 2 12 31111 6 M59 22000 000132 0000R 00001 00132*")</f>
        <v>0</v>
      </c>
      <c r="E3334"/>
      <c r="F3334" s="35">
        <f>SUMIFS(F3335:F9015,K3335:K9015,"0",B3335:B9015,"5 1 1 3 2 12 31111 6 M59 22000 000132 0000R 00001 00132*")</f>
        <v>4588.12</v>
      </c>
      <c r="G3334" s="35">
        <f>SUMIFS(G3335:G9015,K3335:K9015,"0",B3335:B9015,"5 1 1 3 2 12 31111 6 M59 22000 000132 0000R 00001 00132*")</f>
        <v>0</v>
      </c>
      <c r="H3334" s="35">
        <f t="shared" si="53"/>
        <v>4588.12</v>
      </c>
      <c r="I3334" s="35"/>
      <c r="K3334" t="s">
        <v>15</v>
      </c>
    </row>
    <row r="3335" spans="2:11" ht="33" x14ac:dyDescent="0.2">
      <c r="B3335" s="33" t="s">
        <v>4269</v>
      </c>
      <c r="C3335" s="33" t="s">
        <v>1051</v>
      </c>
      <c r="D3335" s="35">
        <f>SUMIFS(D3336:D9015,K3336:K9015,"0",B3336:B9015,"5 1 1 3 2 12 31111 6 M59 22000 000132 0000R 00001 00132 015*")-SUMIFS(E3336:E9015,K3336:K9015,"0",B3336:B9015,"5 1 1 3 2 12 31111 6 M59 22000 000132 0000R 00001 00132 015*")</f>
        <v>0</v>
      </c>
      <c r="E3335"/>
      <c r="F3335" s="35">
        <f>SUMIFS(F3336:F9015,K3336:K9015,"0",B3336:B9015,"5 1 1 3 2 12 31111 6 M59 22000 000132 0000R 00001 00132 015*")</f>
        <v>4588.12</v>
      </c>
      <c r="G3335" s="35">
        <f>SUMIFS(G3336:G9015,K3336:K9015,"0",B3336:B9015,"5 1 1 3 2 12 31111 6 M59 22000 000132 0000R 00001 00132 015*")</f>
        <v>0</v>
      </c>
      <c r="H3335" s="35">
        <f t="shared" si="53"/>
        <v>4588.12</v>
      </c>
      <c r="I3335" s="35"/>
      <c r="K3335" t="s">
        <v>15</v>
      </c>
    </row>
    <row r="3336" spans="2:11" ht="33" x14ac:dyDescent="0.2">
      <c r="B3336" s="33" t="s">
        <v>4270</v>
      </c>
      <c r="C3336" s="33" t="s">
        <v>2927</v>
      </c>
      <c r="D3336" s="35">
        <f>SUMIFS(D3337:D9015,K3337:K9015,"0",B3337:B9015,"5 1 1 3 2 12 31111 6 M59 22000 000132 0000R 00001 00132 015 2111100*")-SUMIFS(E3337:E9015,K3337:K9015,"0",B3337:B9015,"5 1 1 3 2 12 31111 6 M59 22000 000132 0000R 00001 00132 015 2111100*")</f>
        <v>0</v>
      </c>
      <c r="E3336"/>
      <c r="F3336" s="35">
        <f>SUMIFS(F3337:F9015,K3337:K9015,"0",B3337:B9015,"5 1 1 3 2 12 31111 6 M59 22000 000132 0000R 00001 00132 015 2111100*")</f>
        <v>4588.12</v>
      </c>
      <c r="G3336" s="35">
        <f>SUMIFS(G3337:G9015,K3337:K9015,"0",B3337:B9015,"5 1 1 3 2 12 31111 6 M59 22000 000132 0000R 00001 00132 015 2111100*")</f>
        <v>0</v>
      </c>
      <c r="H3336" s="35">
        <f t="shared" si="53"/>
        <v>4588.12</v>
      </c>
      <c r="I3336" s="35"/>
      <c r="K3336" t="s">
        <v>15</v>
      </c>
    </row>
    <row r="3337" spans="2:11" ht="33" x14ac:dyDescent="0.2">
      <c r="B3337" s="33" t="s">
        <v>4271</v>
      </c>
      <c r="C3337" s="33" t="s">
        <v>660</v>
      </c>
      <c r="D3337" s="35">
        <f>SUMIFS(D3338:D9015,K3338:K9015,"0",B3338:B9015,"5 1 1 3 2 12 31111 6 M59 22000 000132 0000R 00001 00132 015 2111100 2024*")-SUMIFS(E3338:E9015,K3338:K9015,"0",B3338:B9015,"5 1 1 3 2 12 31111 6 M59 22000 000132 0000R 00001 00132 015 2111100 2024*")</f>
        <v>0</v>
      </c>
      <c r="E3337"/>
      <c r="F3337" s="35">
        <f>SUMIFS(F3338:F9015,K3338:K9015,"0",B3338:B9015,"5 1 1 3 2 12 31111 6 M59 22000 000132 0000R 00001 00132 015 2111100 2024*")</f>
        <v>4588.12</v>
      </c>
      <c r="G3337" s="35">
        <f>SUMIFS(G3338:G9015,K3338:K9015,"0",B3338:B9015,"5 1 1 3 2 12 31111 6 M59 22000 000132 0000R 00001 00132 015 2111100 2024*")</f>
        <v>0</v>
      </c>
      <c r="H3337" s="35">
        <f t="shared" si="53"/>
        <v>4588.12</v>
      </c>
      <c r="I3337" s="35"/>
      <c r="K3337" t="s">
        <v>15</v>
      </c>
    </row>
    <row r="3338" spans="2:11" ht="41.25" x14ac:dyDescent="0.2">
      <c r="B3338" s="33" t="s">
        <v>4272</v>
      </c>
      <c r="C3338" s="33" t="s">
        <v>1056</v>
      </c>
      <c r="D3338" s="35">
        <f>SUMIFS(D3339:D9015,K3339:K9015,"0",B3339:B9015,"5 1 1 3 2 12 31111 6 M59 22000 000132 0000R 00001 00132 015 2111100 2024 CP1PL384*")-SUMIFS(E3339:E9015,K3339:K9015,"0",B3339:B9015,"5 1 1 3 2 12 31111 6 M59 22000 000132 0000R 00001 00132 015 2111100 2024 CP1PL384*")</f>
        <v>0</v>
      </c>
      <c r="E3338"/>
      <c r="F3338" s="35">
        <f>SUMIFS(F3339:F9015,K3339:K9015,"0",B3339:B9015,"5 1 1 3 2 12 31111 6 M59 22000 000132 0000R 00001 00132 015 2111100 2024 CP1PL384*")</f>
        <v>4588.12</v>
      </c>
      <c r="G3338" s="35">
        <f>SUMIFS(G3339:G9015,K3339:K9015,"0",B3339:B9015,"5 1 1 3 2 12 31111 6 M59 22000 000132 0000R 00001 00132 015 2111100 2024 CP1PL384*")</f>
        <v>0</v>
      </c>
      <c r="H3338" s="35">
        <f t="shared" si="53"/>
        <v>4588.12</v>
      </c>
      <c r="I3338" s="35"/>
      <c r="K3338" t="s">
        <v>15</v>
      </c>
    </row>
    <row r="3339" spans="2:11" ht="41.25" x14ac:dyDescent="0.2">
      <c r="B3339" s="33" t="s">
        <v>4273</v>
      </c>
      <c r="C3339" s="33" t="s">
        <v>282</v>
      </c>
      <c r="D3339" s="35">
        <f>SUMIFS(D3340:D9015,K3340:K9015,"0",B3340:B9015,"5 1 1 3 2 12 31111 6 M59 22000 000132 0000R 00001 00132 015 2111100 2024 CP1PL384 001*")-SUMIFS(E3340:E9015,K3340:K9015,"0",B3340:B9015,"5 1 1 3 2 12 31111 6 M59 22000 000132 0000R 00001 00132 015 2111100 2024 CP1PL384 001*")</f>
        <v>0</v>
      </c>
      <c r="E3339"/>
      <c r="F3339" s="35">
        <f>SUMIFS(F3340:F9015,K3340:K9015,"0",B3340:B9015,"5 1 1 3 2 12 31111 6 M59 22000 000132 0000R 00001 00132 015 2111100 2024 CP1PL384 001*")</f>
        <v>4588.12</v>
      </c>
      <c r="G3339" s="35">
        <f>SUMIFS(G3340:G9015,K3340:K9015,"0",B3340:B9015,"5 1 1 3 2 12 31111 6 M59 22000 000132 0000R 00001 00132 015 2111100 2024 CP1PL384 001*")</f>
        <v>0</v>
      </c>
      <c r="H3339" s="35">
        <f t="shared" si="53"/>
        <v>4588.12</v>
      </c>
      <c r="I3339" s="35"/>
      <c r="K3339" t="s">
        <v>15</v>
      </c>
    </row>
    <row r="3340" spans="2:11" ht="41.25" x14ac:dyDescent="0.2">
      <c r="B3340" s="31" t="s">
        <v>4274</v>
      </c>
      <c r="C3340" s="31" t="s">
        <v>1519</v>
      </c>
      <c r="D3340" s="34">
        <v>0</v>
      </c>
      <c r="E3340" s="34"/>
      <c r="F3340" s="34">
        <v>4588.12</v>
      </c>
      <c r="G3340" s="34">
        <v>0</v>
      </c>
      <c r="H3340" s="34">
        <f t="shared" si="53"/>
        <v>4588.12</v>
      </c>
      <c r="I3340" s="34"/>
      <c r="K3340" t="s">
        <v>38</v>
      </c>
    </row>
    <row r="3341" spans="2:11" ht="16.5" x14ac:dyDescent="0.2">
      <c r="B3341" s="33" t="s">
        <v>4275</v>
      </c>
      <c r="C3341" s="33" t="s">
        <v>3187</v>
      </c>
      <c r="D3341" s="35">
        <f>SUMIFS(D3342:D9015,K3342:K9015,"0",B3342:B9015,"5 1 1 3 2 12 31111 6 M59 23000*")-SUMIFS(E3342:E9015,K3342:K9015,"0",B3342:B9015,"5 1 1 3 2 12 31111 6 M59 23000*")</f>
        <v>0</v>
      </c>
      <c r="E3341"/>
      <c r="F3341" s="35">
        <f>SUMIFS(F3342:F9015,K3342:K9015,"0",B3342:B9015,"5 1 1 3 2 12 31111 6 M59 23000*")</f>
        <v>10270.080000000002</v>
      </c>
      <c r="G3341" s="35">
        <f>SUMIFS(G3342:G9015,K3342:K9015,"0",B3342:B9015,"5 1 1 3 2 12 31111 6 M59 23000*")</f>
        <v>0</v>
      </c>
      <c r="H3341" s="35">
        <f t="shared" si="53"/>
        <v>10270.080000000002</v>
      </c>
      <c r="I3341" s="35"/>
      <c r="K3341" t="s">
        <v>15</v>
      </c>
    </row>
    <row r="3342" spans="2:11" ht="16.5" x14ac:dyDescent="0.2">
      <c r="B3342" s="33" t="s">
        <v>4276</v>
      </c>
      <c r="C3342" s="33" t="s">
        <v>648</v>
      </c>
      <c r="D3342" s="35">
        <f>SUMIFS(D3343:D9015,K3343:K9015,"0",B3343:B9015,"5 1 1 3 2 12 31111 6 M59 23000 000132*")-SUMIFS(E3343:E9015,K3343:K9015,"0",B3343:B9015,"5 1 1 3 2 12 31111 6 M59 23000 000132*")</f>
        <v>0</v>
      </c>
      <c r="E3342"/>
      <c r="F3342" s="35">
        <f>SUMIFS(F3343:F9015,K3343:K9015,"0",B3343:B9015,"5 1 1 3 2 12 31111 6 M59 23000 000132*")</f>
        <v>10270.080000000002</v>
      </c>
      <c r="G3342" s="35">
        <f>SUMIFS(G3343:G9015,K3343:K9015,"0",B3343:B9015,"5 1 1 3 2 12 31111 6 M59 23000 000132*")</f>
        <v>0</v>
      </c>
      <c r="H3342" s="35">
        <f t="shared" si="53"/>
        <v>10270.080000000002</v>
      </c>
      <c r="I3342" s="35"/>
      <c r="K3342" t="s">
        <v>15</v>
      </c>
    </row>
    <row r="3343" spans="2:11" ht="24.75" x14ac:dyDescent="0.2">
      <c r="B3343" s="33" t="s">
        <v>4277</v>
      </c>
      <c r="C3343" s="33" t="s">
        <v>650</v>
      </c>
      <c r="D3343" s="35">
        <f>SUMIFS(D3344:D9015,K3344:K9015,"0",B3344:B9015,"5 1 1 3 2 12 31111 6 M59 23000 000132 0000R*")-SUMIFS(E3344:E9015,K3344:K9015,"0",B3344:B9015,"5 1 1 3 2 12 31111 6 M59 23000 000132 0000R*")</f>
        <v>0</v>
      </c>
      <c r="E3343"/>
      <c r="F3343" s="35">
        <f>SUMIFS(F3344:F9015,K3344:K9015,"0",B3344:B9015,"5 1 1 3 2 12 31111 6 M59 23000 000132 0000R*")</f>
        <v>10270.080000000002</v>
      </c>
      <c r="G3343" s="35">
        <f>SUMIFS(G3344:G9015,K3344:K9015,"0",B3344:B9015,"5 1 1 3 2 12 31111 6 M59 23000 000132 0000R*")</f>
        <v>0</v>
      </c>
      <c r="H3343" s="35">
        <f t="shared" si="53"/>
        <v>10270.080000000002</v>
      </c>
      <c r="I3343" s="35"/>
      <c r="K3343" t="s">
        <v>15</v>
      </c>
    </row>
    <row r="3344" spans="2:11" ht="24.75" x14ac:dyDescent="0.2">
      <c r="B3344" s="33" t="s">
        <v>4278</v>
      </c>
      <c r="C3344" s="33" t="s">
        <v>282</v>
      </c>
      <c r="D3344" s="35">
        <f>SUMIFS(D3345:D9015,K3345:K9015,"0",B3345:B9015,"5 1 1 3 2 12 31111 6 M59 23000 000132 0000R 00001*")-SUMIFS(E3345:E9015,K3345:K9015,"0",B3345:B9015,"5 1 1 3 2 12 31111 6 M59 23000 000132 0000R 00001*")</f>
        <v>0</v>
      </c>
      <c r="E3344"/>
      <c r="F3344" s="35">
        <f>SUMIFS(F3345:F9015,K3345:K9015,"0",B3345:B9015,"5 1 1 3 2 12 31111 6 M59 23000 000132 0000R 00001*")</f>
        <v>10270.080000000002</v>
      </c>
      <c r="G3344" s="35">
        <f>SUMIFS(G3345:G9015,K3345:K9015,"0",B3345:B9015,"5 1 1 3 2 12 31111 6 M59 23000 000132 0000R 00001*")</f>
        <v>0</v>
      </c>
      <c r="H3344" s="35">
        <f t="shared" si="53"/>
        <v>10270.080000000002</v>
      </c>
      <c r="I3344" s="35"/>
      <c r="K3344" t="s">
        <v>15</v>
      </c>
    </row>
    <row r="3345" spans="2:11" ht="24.75" x14ac:dyDescent="0.2">
      <c r="B3345" s="33" t="s">
        <v>4279</v>
      </c>
      <c r="C3345" s="33" t="s">
        <v>4041</v>
      </c>
      <c r="D3345" s="35">
        <f>SUMIFS(D3346:D9015,K3346:K9015,"0",B3346:B9015,"5 1 1 3 2 12 31111 6 M59 23000 000132 0000R 00001 00132*")-SUMIFS(E3346:E9015,K3346:K9015,"0",B3346:B9015,"5 1 1 3 2 12 31111 6 M59 23000 000132 0000R 00001 00132*")</f>
        <v>0</v>
      </c>
      <c r="E3345"/>
      <c r="F3345" s="35">
        <f>SUMIFS(F3346:F9015,K3346:K9015,"0",B3346:B9015,"5 1 1 3 2 12 31111 6 M59 23000 000132 0000R 00001 00132*")</f>
        <v>10270.080000000002</v>
      </c>
      <c r="G3345" s="35">
        <f>SUMIFS(G3346:G9015,K3346:K9015,"0",B3346:B9015,"5 1 1 3 2 12 31111 6 M59 23000 000132 0000R 00001 00132*")</f>
        <v>0</v>
      </c>
      <c r="H3345" s="35">
        <f t="shared" si="53"/>
        <v>10270.080000000002</v>
      </c>
      <c r="I3345" s="35"/>
      <c r="K3345" t="s">
        <v>15</v>
      </c>
    </row>
    <row r="3346" spans="2:11" ht="33" x14ac:dyDescent="0.2">
      <c r="B3346" s="33" t="s">
        <v>4280</v>
      </c>
      <c r="C3346" s="33" t="s">
        <v>1051</v>
      </c>
      <c r="D3346" s="35">
        <f>SUMIFS(D3347:D9015,K3347:K9015,"0",B3347:B9015,"5 1 1 3 2 12 31111 6 M59 23000 000132 0000R 00001 00132 015*")-SUMIFS(E3347:E9015,K3347:K9015,"0",B3347:B9015,"5 1 1 3 2 12 31111 6 M59 23000 000132 0000R 00001 00132 015*")</f>
        <v>0</v>
      </c>
      <c r="E3346"/>
      <c r="F3346" s="35">
        <f>SUMIFS(F3347:F9015,K3347:K9015,"0",B3347:B9015,"5 1 1 3 2 12 31111 6 M59 23000 000132 0000R 00001 00132 015*")</f>
        <v>10270.080000000002</v>
      </c>
      <c r="G3346" s="35">
        <f>SUMIFS(G3347:G9015,K3347:K9015,"0",B3347:B9015,"5 1 1 3 2 12 31111 6 M59 23000 000132 0000R 00001 00132 015*")</f>
        <v>0</v>
      </c>
      <c r="H3346" s="35">
        <f t="shared" si="53"/>
        <v>10270.080000000002</v>
      </c>
      <c r="I3346" s="35"/>
      <c r="K3346" t="s">
        <v>15</v>
      </c>
    </row>
    <row r="3347" spans="2:11" ht="33" x14ac:dyDescent="0.2">
      <c r="B3347" s="33" t="s">
        <v>4281</v>
      </c>
      <c r="C3347" s="33" t="s">
        <v>2927</v>
      </c>
      <c r="D3347" s="35">
        <f>SUMIFS(D3348:D9015,K3348:K9015,"0",B3348:B9015,"5 1 1 3 2 12 31111 6 M59 23000 000132 0000R 00001 00132 015 2111100*")-SUMIFS(E3348:E9015,K3348:K9015,"0",B3348:B9015,"5 1 1 3 2 12 31111 6 M59 23000 000132 0000R 00001 00132 015 2111100*")</f>
        <v>0</v>
      </c>
      <c r="E3347"/>
      <c r="F3347" s="35">
        <f>SUMIFS(F3348:F9015,K3348:K9015,"0",B3348:B9015,"5 1 1 3 2 12 31111 6 M59 23000 000132 0000R 00001 00132 015 2111100*")</f>
        <v>10270.080000000002</v>
      </c>
      <c r="G3347" s="35">
        <f>SUMIFS(G3348:G9015,K3348:K9015,"0",B3348:B9015,"5 1 1 3 2 12 31111 6 M59 23000 000132 0000R 00001 00132 015 2111100*")</f>
        <v>0</v>
      </c>
      <c r="H3347" s="35">
        <f t="shared" si="53"/>
        <v>10270.080000000002</v>
      </c>
      <c r="I3347" s="35"/>
      <c r="K3347" t="s">
        <v>15</v>
      </c>
    </row>
    <row r="3348" spans="2:11" ht="33" x14ac:dyDescent="0.2">
      <c r="B3348" s="33" t="s">
        <v>4282</v>
      </c>
      <c r="C3348" s="33" t="s">
        <v>660</v>
      </c>
      <c r="D3348" s="35">
        <f>SUMIFS(D3349:D9015,K3349:K9015,"0",B3349:B9015,"5 1 1 3 2 12 31111 6 M59 23000 000132 0000R 00001 00132 015 2111100 2024*")-SUMIFS(E3349:E9015,K3349:K9015,"0",B3349:B9015,"5 1 1 3 2 12 31111 6 M59 23000 000132 0000R 00001 00132 015 2111100 2024*")</f>
        <v>0</v>
      </c>
      <c r="E3348"/>
      <c r="F3348" s="35">
        <f>SUMIFS(F3349:F9015,K3349:K9015,"0",B3349:B9015,"5 1 1 3 2 12 31111 6 M59 23000 000132 0000R 00001 00132 015 2111100 2024*")</f>
        <v>10270.080000000002</v>
      </c>
      <c r="G3348" s="35">
        <f>SUMIFS(G3349:G9015,K3349:K9015,"0",B3349:B9015,"5 1 1 3 2 12 31111 6 M59 23000 000132 0000R 00001 00132 015 2111100 2024*")</f>
        <v>0</v>
      </c>
      <c r="H3348" s="35">
        <f t="shared" si="53"/>
        <v>10270.080000000002</v>
      </c>
      <c r="I3348" s="35"/>
      <c r="K3348" t="s">
        <v>15</v>
      </c>
    </row>
    <row r="3349" spans="2:11" ht="41.25" x14ac:dyDescent="0.2">
      <c r="B3349" s="33" t="s">
        <v>4283</v>
      </c>
      <c r="C3349" s="33" t="s">
        <v>1056</v>
      </c>
      <c r="D3349" s="35">
        <f>SUMIFS(D3350:D9015,K3350:K9015,"0",B3350:B9015,"5 1 1 3 2 12 31111 6 M59 23000 000132 0000R 00001 00132 015 2111100 2024 CP1ST377*")-SUMIFS(E3350:E9015,K3350:K9015,"0",B3350:B9015,"5 1 1 3 2 12 31111 6 M59 23000 000132 0000R 00001 00132 015 2111100 2024 CP1ST377*")</f>
        <v>0</v>
      </c>
      <c r="E3349"/>
      <c r="F3349" s="35">
        <f>SUMIFS(F3350:F9015,K3350:K9015,"0",B3350:B9015,"5 1 1 3 2 12 31111 6 M59 23000 000132 0000R 00001 00132 015 2111100 2024 CP1ST377*")</f>
        <v>10270.080000000002</v>
      </c>
      <c r="G3349" s="35">
        <f>SUMIFS(G3350:G9015,K3350:K9015,"0",B3350:B9015,"5 1 1 3 2 12 31111 6 M59 23000 000132 0000R 00001 00132 015 2111100 2024 CP1ST377*")</f>
        <v>0</v>
      </c>
      <c r="H3349" s="35">
        <f t="shared" si="53"/>
        <v>10270.080000000002</v>
      </c>
      <c r="I3349" s="35"/>
      <c r="K3349" t="s">
        <v>15</v>
      </c>
    </row>
    <row r="3350" spans="2:11" ht="41.25" x14ac:dyDescent="0.2">
      <c r="B3350" s="33" t="s">
        <v>4284</v>
      </c>
      <c r="C3350" s="33" t="s">
        <v>282</v>
      </c>
      <c r="D3350" s="35">
        <f>SUMIFS(D3351:D9015,K3351:K9015,"0",B3351:B9015,"5 1 1 3 2 12 31111 6 M59 23000 000132 0000R 00001 00132 015 2111100 2024 CP1ST377 001*")-SUMIFS(E3351:E9015,K3351:K9015,"0",B3351:B9015,"5 1 1 3 2 12 31111 6 M59 23000 000132 0000R 00001 00132 015 2111100 2024 CP1ST377 001*")</f>
        <v>0</v>
      </c>
      <c r="E3350"/>
      <c r="F3350" s="35">
        <f>SUMIFS(F3351:F9015,K3351:K9015,"0",B3351:B9015,"5 1 1 3 2 12 31111 6 M59 23000 000132 0000R 00001 00132 015 2111100 2024 CP1ST377 001*")</f>
        <v>10270.080000000002</v>
      </c>
      <c r="G3350" s="35">
        <f>SUMIFS(G3351:G9015,K3351:K9015,"0",B3351:B9015,"5 1 1 3 2 12 31111 6 M59 23000 000132 0000R 00001 00132 015 2111100 2024 CP1ST377 001*")</f>
        <v>0</v>
      </c>
      <c r="H3350" s="35">
        <f t="shared" si="53"/>
        <v>10270.080000000002</v>
      </c>
      <c r="I3350" s="35"/>
      <c r="K3350" t="s">
        <v>15</v>
      </c>
    </row>
    <row r="3351" spans="2:11" ht="41.25" x14ac:dyDescent="0.2">
      <c r="B3351" s="31" t="s">
        <v>4285</v>
      </c>
      <c r="C3351" s="31" t="s">
        <v>1519</v>
      </c>
      <c r="D3351" s="34">
        <v>0</v>
      </c>
      <c r="E3351" s="34"/>
      <c r="F3351" s="34">
        <v>8517.7000000000007</v>
      </c>
      <c r="G3351" s="34">
        <v>0</v>
      </c>
      <c r="H3351" s="34">
        <f t="shared" si="53"/>
        <v>8517.7000000000007</v>
      </c>
      <c r="I3351" s="34"/>
      <c r="K3351" t="s">
        <v>38</v>
      </c>
    </row>
    <row r="3352" spans="2:11" ht="41.25" x14ac:dyDescent="0.2">
      <c r="B3352" s="31" t="s">
        <v>4286</v>
      </c>
      <c r="C3352" s="31" t="s">
        <v>4071</v>
      </c>
      <c r="D3352" s="34">
        <v>0</v>
      </c>
      <c r="E3352" s="34"/>
      <c r="F3352" s="34">
        <v>1752.38</v>
      </c>
      <c r="G3352" s="34">
        <v>0</v>
      </c>
      <c r="H3352" s="34">
        <f t="shared" si="53"/>
        <v>1752.38</v>
      </c>
      <c r="I3352" s="34"/>
      <c r="K3352" t="s">
        <v>38</v>
      </c>
    </row>
    <row r="3353" spans="2:11" ht="16.5" x14ac:dyDescent="0.2">
      <c r="B3353" s="33" t="s">
        <v>4287</v>
      </c>
      <c r="C3353" s="33" t="s">
        <v>3199</v>
      </c>
      <c r="D3353" s="35">
        <f>SUMIFS(D3354:D9015,K3354:K9015,"0",B3354:B9015,"5 1 1 3 2 12 31111 6 M59 30000*")-SUMIFS(E3354:E9015,K3354:K9015,"0",B3354:B9015,"5 1 1 3 2 12 31111 6 M59 30000*")</f>
        <v>0</v>
      </c>
      <c r="E3353"/>
      <c r="F3353" s="35">
        <f>SUMIFS(F3354:F9015,K3354:K9015,"0",B3354:B9015,"5 1 1 3 2 12 31111 6 M59 30000*")</f>
        <v>8381.19</v>
      </c>
      <c r="G3353" s="35">
        <f>SUMIFS(G3354:G9015,K3354:K9015,"0",B3354:B9015,"5 1 1 3 2 12 31111 6 M59 30000*")</f>
        <v>0</v>
      </c>
      <c r="H3353" s="35">
        <f t="shared" si="53"/>
        <v>8381.19</v>
      </c>
      <c r="I3353" s="35"/>
      <c r="K3353" t="s">
        <v>15</v>
      </c>
    </row>
    <row r="3354" spans="2:11" ht="16.5" x14ac:dyDescent="0.2">
      <c r="B3354" s="33" t="s">
        <v>4288</v>
      </c>
      <c r="C3354" s="33" t="s">
        <v>648</v>
      </c>
      <c r="D3354" s="35">
        <f>SUMIFS(D3355:D9015,K3355:K9015,"0",B3355:B9015,"5 1 1 3 2 12 31111 6 M59 30000 000132*")-SUMIFS(E3355:E9015,K3355:K9015,"0",B3355:B9015,"5 1 1 3 2 12 31111 6 M59 30000 000132*")</f>
        <v>0</v>
      </c>
      <c r="E3354"/>
      <c r="F3354" s="35">
        <f>SUMIFS(F3355:F9015,K3355:K9015,"0",B3355:B9015,"5 1 1 3 2 12 31111 6 M59 30000 000132*")</f>
        <v>8381.19</v>
      </c>
      <c r="G3354" s="35">
        <f>SUMIFS(G3355:G9015,K3355:K9015,"0",B3355:B9015,"5 1 1 3 2 12 31111 6 M59 30000 000132*")</f>
        <v>0</v>
      </c>
      <c r="H3354" s="35">
        <f t="shared" si="53"/>
        <v>8381.19</v>
      </c>
      <c r="I3354" s="35"/>
      <c r="K3354" t="s">
        <v>15</v>
      </c>
    </row>
    <row r="3355" spans="2:11" ht="24.75" x14ac:dyDescent="0.2">
      <c r="B3355" s="33" t="s">
        <v>4289</v>
      </c>
      <c r="C3355" s="33" t="s">
        <v>650</v>
      </c>
      <c r="D3355" s="35">
        <f>SUMIFS(D3356:D9015,K3356:K9015,"0",B3356:B9015,"5 1 1 3 2 12 31111 6 M59 30000 000132 0000R*")-SUMIFS(E3356:E9015,K3356:K9015,"0",B3356:B9015,"5 1 1 3 2 12 31111 6 M59 30000 000132 0000R*")</f>
        <v>0</v>
      </c>
      <c r="E3355"/>
      <c r="F3355" s="35">
        <f>SUMIFS(F3356:F9015,K3356:K9015,"0",B3356:B9015,"5 1 1 3 2 12 31111 6 M59 30000 000132 0000R*")</f>
        <v>8381.19</v>
      </c>
      <c r="G3355" s="35">
        <f>SUMIFS(G3356:G9015,K3356:K9015,"0",B3356:B9015,"5 1 1 3 2 12 31111 6 M59 30000 000132 0000R*")</f>
        <v>0</v>
      </c>
      <c r="H3355" s="35">
        <f t="shared" si="53"/>
        <v>8381.19</v>
      </c>
      <c r="I3355" s="35"/>
      <c r="K3355" t="s">
        <v>15</v>
      </c>
    </row>
    <row r="3356" spans="2:11" ht="24.75" x14ac:dyDescent="0.2">
      <c r="B3356" s="33" t="s">
        <v>4290</v>
      </c>
      <c r="C3356" s="33" t="s">
        <v>282</v>
      </c>
      <c r="D3356" s="35">
        <f>SUMIFS(D3357:D9015,K3357:K9015,"0",B3357:B9015,"5 1 1 3 2 12 31111 6 M59 30000 000132 0000R 00001*")-SUMIFS(E3357:E9015,K3357:K9015,"0",B3357:B9015,"5 1 1 3 2 12 31111 6 M59 30000 000132 0000R 00001*")</f>
        <v>0</v>
      </c>
      <c r="E3356"/>
      <c r="F3356" s="35">
        <f>SUMIFS(F3357:F9015,K3357:K9015,"0",B3357:B9015,"5 1 1 3 2 12 31111 6 M59 30000 000132 0000R 00001*")</f>
        <v>8381.19</v>
      </c>
      <c r="G3356" s="35">
        <f>SUMIFS(G3357:G9015,K3357:K9015,"0",B3357:B9015,"5 1 1 3 2 12 31111 6 M59 30000 000132 0000R 00001*")</f>
        <v>0</v>
      </c>
      <c r="H3356" s="35">
        <f t="shared" si="53"/>
        <v>8381.19</v>
      </c>
      <c r="I3356" s="35"/>
      <c r="K3356" t="s">
        <v>15</v>
      </c>
    </row>
    <row r="3357" spans="2:11" ht="24.75" x14ac:dyDescent="0.2">
      <c r="B3357" s="33" t="s">
        <v>4291</v>
      </c>
      <c r="C3357" s="33" t="s">
        <v>4041</v>
      </c>
      <c r="D3357" s="35">
        <f>SUMIFS(D3358:D9015,K3358:K9015,"0",B3358:B9015,"5 1 1 3 2 12 31111 6 M59 30000 000132 0000R 00001 00132*")-SUMIFS(E3358:E9015,K3358:K9015,"0",B3358:B9015,"5 1 1 3 2 12 31111 6 M59 30000 000132 0000R 00001 00132*")</f>
        <v>0</v>
      </c>
      <c r="E3357"/>
      <c r="F3357" s="35">
        <f>SUMIFS(F3358:F9015,K3358:K9015,"0",B3358:B9015,"5 1 1 3 2 12 31111 6 M59 30000 000132 0000R 00001 00132*")</f>
        <v>8381.19</v>
      </c>
      <c r="G3357" s="35">
        <f>SUMIFS(G3358:G9015,K3358:K9015,"0",B3358:B9015,"5 1 1 3 2 12 31111 6 M59 30000 000132 0000R 00001 00132*")</f>
        <v>0</v>
      </c>
      <c r="H3357" s="35">
        <f t="shared" si="53"/>
        <v>8381.19</v>
      </c>
      <c r="I3357" s="35"/>
      <c r="K3357" t="s">
        <v>15</v>
      </c>
    </row>
    <row r="3358" spans="2:11" ht="33" x14ac:dyDescent="0.2">
      <c r="B3358" s="33" t="s">
        <v>4292</v>
      </c>
      <c r="C3358" s="33" t="s">
        <v>1051</v>
      </c>
      <c r="D3358" s="35">
        <f>SUMIFS(D3359:D9015,K3359:K9015,"0",B3359:B9015,"5 1 1 3 2 12 31111 6 M59 30000 000132 0000R 00001 00132 015*")-SUMIFS(E3359:E9015,K3359:K9015,"0",B3359:B9015,"5 1 1 3 2 12 31111 6 M59 30000 000132 0000R 00001 00132 015*")</f>
        <v>0</v>
      </c>
      <c r="E3358"/>
      <c r="F3358" s="35">
        <f>SUMIFS(F3359:F9015,K3359:K9015,"0",B3359:B9015,"5 1 1 3 2 12 31111 6 M59 30000 000132 0000R 00001 00132 015*")</f>
        <v>8381.19</v>
      </c>
      <c r="G3358" s="35">
        <f>SUMIFS(G3359:G9015,K3359:K9015,"0",B3359:B9015,"5 1 1 3 2 12 31111 6 M59 30000 000132 0000R 00001 00132 015*")</f>
        <v>0</v>
      </c>
      <c r="H3358" s="35">
        <f t="shared" si="53"/>
        <v>8381.19</v>
      </c>
      <c r="I3358" s="35"/>
      <c r="K3358" t="s">
        <v>15</v>
      </c>
    </row>
    <row r="3359" spans="2:11" ht="33" x14ac:dyDescent="0.2">
      <c r="B3359" s="33" t="s">
        <v>4293</v>
      </c>
      <c r="C3359" s="33" t="s">
        <v>2927</v>
      </c>
      <c r="D3359" s="35">
        <f>SUMIFS(D3360:D9015,K3360:K9015,"0",B3360:B9015,"5 1 1 3 2 12 31111 6 M59 30000 000132 0000R 00001 00132 015 2111100*")-SUMIFS(E3360:E9015,K3360:K9015,"0",B3360:B9015,"5 1 1 3 2 12 31111 6 M59 30000 000132 0000R 00001 00132 015 2111100*")</f>
        <v>0</v>
      </c>
      <c r="E3359"/>
      <c r="F3359" s="35">
        <f>SUMIFS(F3360:F9015,K3360:K9015,"0",B3360:B9015,"5 1 1 3 2 12 31111 6 M59 30000 000132 0000R 00001 00132 015 2111100*")</f>
        <v>8381.19</v>
      </c>
      <c r="G3359" s="35">
        <f>SUMIFS(G3360:G9015,K3360:K9015,"0",B3360:B9015,"5 1 1 3 2 12 31111 6 M59 30000 000132 0000R 00001 00132 015 2111100*")</f>
        <v>0</v>
      </c>
      <c r="H3359" s="35">
        <f t="shared" si="53"/>
        <v>8381.19</v>
      </c>
      <c r="I3359" s="35"/>
      <c r="K3359" t="s">
        <v>15</v>
      </c>
    </row>
    <row r="3360" spans="2:11" ht="33" x14ac:dyDescent="0.2">
      <c r="B3360" s="33" t="s">
        <v>4294</v>
      </c>
      <c r="C3360" s="33" t="s">
        <v>660</v>
      </c>
      <c r="D3360" s="35">
        <f>SUMIFS(D3361:D9015,K3361:K9015,"0",B3361:B9015,"5 1 1 3 2 12 31111 6 M59 30000 000132 0000R 00001 00132 015 2111100 2024*")-SUMIFS(E3361:E9015,K3361:K9015,"0",B3361:B9015,"5 1 1 3 2 12 31111 6 M59 30000 000132 0000R 00001 00132 015 2111100 2024*")</f>
        <v>0</v>
      </c>
      <c r="E3360"/>
      <c r="F3360" s="35">
        <f>SUMIFS(F3361:F9015,K3361:K9015,"0",B3361:B9015,"5 1 1 3 2 12 31111 6 M59 30000 000132 0000R 00001 00132 015 2111100 2024*")</f>
        <v>8381.19</v>
      </c>
      <c r="G3360" s="35">
        <f>SUMIFS(G3361:G9015,K3361:K9015,"0",B3361:B9015,"5 1 1 3 2 12 31111 6 M59 30000 000132 0000R 00001 00132 015 2111100 2024*")</f>
        <v>0</v>
      </c>
      <c r="H3360" s="35">
        <f t="shared" si="53"/>
        <v>8381.19</v>
      </c>
      <c r="I3360" s="35"/>
      <c r="K3360" t="s">
        <v>15</v>
      </c>
    </row>
    <row r="3361" spans="2:11" ht="41.25" x14ac:dyDescent="0.2">
      <c r="B3361" s="33" t="s">
        <v>4295</v>
      </c>
      <c r="C3361" s="33" t="s">
        <v>1056</v>
      </c>
      <c r="D3361" s="35">
        <f>SUMIFS(D3362:D9015,K3362:K9015,"0",B3362:B9015,"5 1 1 3 2 12 31111 6 M59 30000 000132 0000R 00001 00132 015 2111100 2024 CP1DU385*")-SUMIFS(E3362:E9015,K3362:K9015,"0",B3362:B9015,"5 1 1 3 2 12 31111 6 M59 30000 000132 0000R 00001 00132 015 2111100 2024 CP1DU385*")</f>
        <v>0</v>
      </c>
      <c r="E3361"/>
      <c r="F3361" s="35">
        <f>SUMIFS(F3362:F9015,K3362:K9015,"0",B3362:B9015,"5 1 1 3 2 12 31111 6 M59 30000 000132 0000R 00001 00132 015 2111100 2024 CP1DU385*")</f>
        <v>8381.19</v>
      </c>
      <c r="G3361" s="35">
        <f>SUMIFS(G3362:G9015,K3362:K9015,"0",B3362:B9015,"5 1 1 3 2 12 31111 6 M59 30000 000132 0000R 00001 00132 015 2111100 2024 CP1DU385*")</f>
        <v>0</v>
      </c>
      <c r="H3361" s="35">
        <f t="shared" si="53"/>
        <v>8381.19</v>
      </c>
      <c r="I3361" s="35"/>
      <c r="K3361" t="s">
        <v>15</v>
      </c>
    </row>
    <row r="3362" spans="2:11" ht="41.25" x14ac:dyDescent="0.2">
      <c r="B3362" s="33" t="s">
        <v>4296</v>
      </c>
      <c r="C3362" s="33" t="s">
        <v>282</v>
      </c>
      <c r="D3362" s="35">
        <f>SUMIFS(D3363:D9015,K3363:K9015,"0",B3363:B9015,"5 1 1 3 2 12 31111 6 M59 30000 000132 0000R 00001 00132 015 2111100 2024 CP1DU385 001*")-SUMIFS(E3363:E9015,K3363:K9015,"0",B3363:B9015,"5 1 1 3 2 12 31111 6 M59 30000 000132 0000R 00001 00132 015 2111100 2024 CP1DU385 001*")</f>
        <v>0</v>
      </c>
      <c r="E3362"/>
      <c r="F3362" s="35">
        <f>SUMIFS(F3363:F9015,K3363:K9015,"0",B3363:B9015,"5 1 1 3 2 12 31111 6 M59 30000 000132 0000R 00001 00132 015 2111100 2024 CP1DU385 001*")</f>
        <v>8381.19</v>
      </c>
      <c r="G3362" s="35">
        <f>SUMIFS(G3363:G9015,K3363:K9015,"0",B3363:B9015,"5 1 1 3 2 12 31111 6 M59 30000 000132 0000R 00001 00132 015 2111100 2024 CP1DU385 001*")</f>
        <v>0</v>
      </c>
      <c r="H3362" s="35">
        <f t="shared" si="53"/>
        <v>8381.19</v>
      </c>
      <c r="I3362" s="35"/>
      <c r="K3362" t="s">
        <v>15</v>
      </c>
    </row>
    <row r="3363" spans="2:11" ht="41.25" x14ac:dyDescent="0.2">
      <c r="B3363" s="31" t="s">
        <v>4297</v>
      </c>
      <c r="C3363" s="31" t="s">
        <v>1519</v>
      </c>
      <c r="D3363" s="34">
        <v>0</v>
      </c>
      <c r="E3363" s="34"/>
      <c r="F3363" s="34">
        <v>8381.19</v>
      </c>
      <c r="G3363" s="34">
        <v>0</v>
      </c>
      <c r="H3363" s="34">
        <f t="shared" si="53"/>
        <v>8381.19</v>
      </c>
      <c r="I3363" s="34"/>
      <c r="K3363" t="s">
        <v>38</v>
      </c>
    </row>
    <row r="3364" spans="2:11" ht="16.5" x14ac:dyDescent="0.2">
      <c r="B3364" s="33" t="s">
        <v>4298</v>
      </c>
      <c r="C3364" s="33" t="s">
        <v>646</v>
      </c>
      <c r="D3364" s="35">
        <f>SUMIFS(D3365:D9015,K3365:K9015,"0",B3365:B9015,"5 1 1 3 2 12 31111 6 M59 30100*")-SUMIFS(E3365:E9015,K3365:K9015,"0",B3365:B9015,"5 1 1 3 2 12 31111 6 M59 30100*")</f>
        <v>0</v>
      </c>
      <c r="E3364"/>
      <c r="F3364" s="35">
        <f>SUMIFS(F3365:F9015,K3365:K9015,"0",B3365:B9015,"5 1 1 3 2 12 31111 6 M59 30100*")</f>
        <v>39340.83</v>
      </c>
      <c r="G3364" s="35">
        <f>SUMIFS(G3365:G9015,K3365:K9015,"0",B3365:B9015,"5 1 1 3 2 12 31111 6 M59 30100*")</f>
        <v>0</v>
      </c>
      <c r="H3364" s="35">
        <f t="shared" si="53"/>
        <v>39340.83</v>
      </c>
      <c r="I3364" s="35"/>
      <c r="K3364" t="s">
        <v>15</v>
      </c>
    </row>
    <row r="3365" spans="2:11" ht="16.5" x14ac:dyDescent="0.2">
      <c r="B3365" s="33" t="s">
        <v>4299</v>
      </c>
      <c r="C3365" s="33" t="s">
        <v>648</v>
      </c>
      <c r="D3365" s="35">
        <f>SUMIFS(D3366:D9015,K3366:K9015,"0",B3366:B9015,"5 1 1 3 2 12 31111 6 M59 30100 000132*")-SUMIFS(E3366:E9015,K3366:K9015,"0",B3366:B9015,"5 1 1 3 2 12 31111 6 M59 30100 000132*")</f>
        <v>0</v>
      </c>
      <c r="E3365"/>
      <c r="F3365" s="35">
        <f>SUMIFS(F3366:F9015,K3366:K9015,"0",B3366:B9015,"5 1 1 3 2 12 31111 6 M59 30100 000132*")</f>
        <v>39340.83</v>
      </c>
      <c r="G3365" s="35">
        <f>SUMIFS(G3366:G9015,K3366:K9015,"0",B3366:B9015,"5 1 1 3 2 12 31111 6 M59 30100 000132*")</f>
        <v>0</v>
      </c>
      <c r="H3365" s="35">
        <f t="shared" si="53"/>
        <v>39340.83</v>
      </c>
      <c r="I3365" s="35"/>
      <c r="K3365" t="s">
        <v>15</v>
      </c>
    </row>
    <row r="3366" spans="2:11" ht="24.75" x14ac:dyDescent="0.2">
      <c r="B3366" s="33" t="s">
        <v>4300</v>
      </c>
      <c r="C3366" s="33" t="s">
        <v>650</v>
      </c>
      <c r="D3366" s="35">
        <f>SUMIFS(D3367:D9015,K3367:K9015,"0",B3367:B9015,"5 1 1 3 2 12 31111 6 M59 30100 000132 0000R*")-SUMIFS(E3367:E9015,K3367:K9015,"0",B3367:B9015,"5 1 1 3 2 12 31111 6 M59 30100 000132 0000R*")</f>
        <v>0</v>
      </c>
      <c r="E3366"/>
      <c r="F3366" s="35">
        <f>SUMIFS(F3367:F9015,K3367:K9015,"0",B3367:B9015,"5 1 1 3 2 12 31111 6 M59 30100 000132 0000R*")</f>
        <v>39340.83</v>
      </c>
      <c r="G3366" s="35">
        <f>SUMIFS(G3367:G9015,K3367:K9015,"0",B3367:B9015,"5 1 1 3 2 12 31111 6 M59 30100 000132 0000R*")</f>
        <v>0</v>
      </c>
      <c r="H3366" s="35">
        <f t="shared" si="53"/>
        <v>39340.83</v>
      </c>
      <c r="I3366" s="35"/>
      <c r="K3366" t="s">
        <v>15</v>
      </c>
    </row>
    <row r="3367" spans="2:11" ht="24.75" x14ac:dyDescent="0.2">
      <c r="B3367" s="33" t="s">
        <v>4301</v>
      </c>
      <c r="C3367" s="33" t="s">
        <v>282</v>
      </c>
      <c r="D3367" s="35">
        <f>SUMIFS(D3368:D9015,K3368:K9015,"0",B3368:B9015,"5 1 1 3 2 12 31111 6 M59 30100 000132 0000R 00001*")-SUMIFS(E3368:E9015,K3368:K9015,"0",B3368:B9015,"5 1 1 3 2 12 31111 6 M59 30100 000132 0000R 00001*")</f>
        <v>0</v>
      </c>
      <c r="E3367"/>
      <c r="F3367" s="35">
        <f>SUMIFS(F3368:F9015,K3368:K9015,"0",B3368:B9015,"5 1 1 3 2 12 31111 6 M59 30100 000132 0000R 00001*")</f>
        <v>39340.83</v>
      </c>
      <c r="G3367" s="35">
        <f>SUMIFS(G3368:G9015,K3368:K9015,"0",B3368:B9015,"5 1 1 3 2 12 31111 6 M59 30100 000132 0000R 00001*")</f>
        <v>0</v>
      </c>
      <c r="H3367" s="35">
        <f t="shared" si="53"/>
        <v>39340.83</v>
      </c>
      <c r="I3367" s="35"/>
      <c r="K3367" t="s">
        <v>15</v>
      </c>
    </row>
    <row r="3368" spans="2:11" ht="24.75" x14ac:dyDescent="0.2">
      <c r="B3368" s="33" t="s">
        <v>4302</v>
      </c>
      <c r="C3368" s="33" t="s">
        <v>4041</v>
      </c>
      <c r="D3368" s="35">
        <f>SUMIFS(D3369:D9015,K3369:K9015,"0",B3369:B9015,"5 1 1 3 2 12 31111 6 M59 30100 000132 0000R 00001 00132*")-SUMIFS(E3369:E9015,K3369:K9015,"0",B3369:B9015,"5 1 1 3 2 12 31111 6 M59 30100 000132 0000R 00001 00132*")</f>
        <v>0</v>
      </c>
      <c r="E3368"/>
      <c r="F3368" s="35">
        <f>SUMIFS(F3369:F9015,K3369:K9015,"0",B3369:B9015,"5 1 1 3 2 12 31111 6 M59 30100 000132 0000R 00001 00132*")</f>
        <v>39340.83</v>
      </c>
      <c r="G3368" s="35">
        <f>SUMIFS(G3369:G9015,K3369:K9015,"0",B3369:B9015,"5 1 1 3 2 12 31111 6 M59 30100 000132 0000R 00001 00132*")</f>
        <v>0</v>
      </c>
      <c r="H3368" s="35">
        <f t="shared" si="53"/>
        <v>39340.83</v>
      </c>
      <c r="I3368" s="35"/>
      <c r="K3368" t="s">
        <v>15</v>
      </c>
    </row>
    <row r="3369" spans="2:11" ht="33" x14ac:dyDescent="0.2">
      <c r="B3369" s="33" t="s">
        <v>4303</v>
      </c>
      <c r="C3369" s="33" t="s">
        <v>1051</v>
      </c>
      <c r="D3369" s="35">
        <f>SUMIFS(D3370:D9015,K3370:K9015,"0",B3370:B9015,"5 1 1 3 2 12 31111 6 M59 30100 000132 0000R 00001 00132 015*")-SUMIFS(E3370:E9015,K3370:K9015,"0",B3370:B9015,"5 1 1 3 2 12 31111 6 M59 30100 000132 0000R 00001 00132 015*")</f>
        <v>0</v>
      </c>
      <c r="E3369"/>
      <c r="F3369" s="35">
        <f>SUMIFS(F3370:F9015,K3370:K9015,"0",B3370:B9015,"5 1 1 3 2 12 31111 6 M59 30100 000132 0000R 00001 00132 015*")</f>
        <v>39340.83</v>
      </c>
      <c r="G3369" s="35">
        <f>SUMIFS(G3370:G9015,K3370:K9015,"0",B3370:B9015,"5 1 1 3 2 12 31111 6 M59 30100 000132 0000R 00001 00132 015*")</f>
        <v>0</v>
      </c>
      <c r="H3369" s="35">
        <f t="shared" si="53"/>
        <v>39340.83</v>
      </c>
      <c r="I3369" s="35"/>
      <c r="K3369" t="s">
        <v>15</v>
      </c>
    </row>
    <row r="3370" spans="2:11" ht="33" x14ac:dyDescent="0.2">
      <c r="B3370" s="33" t="s">
        <v>4304</v>
      </c>
      <c r="C3370" s="33" t="s">
        <v>2927</v>
      </c>
      <c r="D3370" s="35">
        <f>SUMIFS(D3371:D9015,K3371:K9015,"0",B3371:B9015,"5 1 1 3 2 12 31111 6 M59 30100 000132 0000R 00001 00132 015 2111100*")-SUMIFS(E3371:E9015,K3371:K9015,"0",B3371:B9015,"5 1 1 3 2 12 31111 6 M59 30100 000132 0000R 00001 00132 015 2111100*")</f>
        <v>0</v>
      </c>
      <c r="E3370"/>
      <c r="F3370" s="35">
        <f>SUMIFS(F3371:F9015,K3371:K9015,"0",B3371:B9015,"5 1 1 3 2 12 31111 6 M59 30100 000132 0000R 00001 00132 015 2111100*")</f>
        <v>39340.83</v>
      </c>
      <c r="G3370" s="35">
        <f>SUMIFS(G3371:G9015,K3371:K9015,"0",B3371:B9015,"5 1 1 3 2 12 31111 6 M59 30100 000132 0000R 00001 00132 015 2111100*")</f>
        <v>0</v>
      </c>
      <c r="H3370" s="35">
        <f t="shared" si="53"/>
        <v>39340.83</v>
      </c>
      <c r="I3370" s="35"/>
      <c r="K3370" t="s">
        <v>15</v>
      </c>
    </row>
    <row r="3371" spans="2:11" ht="33" x14ac:dyDescent="0.2">
      <c r="B3371" s="33" t="s">
        <v>4305</v>
      </c>
      <c r="C3371" s="33" t="s">
        <v>660</v>
      </c>
      <c r="D3371" s="35">
        <f>SUMIFS(D3372:D9015,K3372:K9015,"0",B3372:B9015,"5 1 1 3 2 12 31111 6 M59 30100 000132 0000R 00001 00132 015 2111100 2024*")-SUMIFS(E3372:E9015,K3372:K9015,"0",B3372:B9015,"5 1 1 3 2 12 31111 6 M59 30100 000132 0000R 00001 00132 015 2111100 2024*")</f>
        <v>0</v>
      </c>
      <c r="E3371"/>
      <c r="F3371" s="35">
        <f>SUMIFS(F3372:F9015,K3372:K9015,"0",B3372:B9015,"5 1 1 3 2 12 31111 6 M59 30100 000132 0000R 00001 00132 015 2111100 2024*")</f>
        <v>39340.83</v>
      </c>
      <c r="G3371" s="35">
        <f>SUMIFS(G3372:G9015,K3372:K9015,"0",B3372:B9015,"5 1 1 3 2 12 31111 6 M59 30100 000132 0000R 00001 00132 015 2111100 2024*")</f>
        <v>0</v>
      </c>
      <c r="H3371" s="35">
        <f t="shared" si="53"/>
        <v>39340.83</v>
      </c>
      <c r="I3371" s="35"/>
      <c r="K3371" t="s">
        <v>15</v>
      </c>
    </row>
    <row r="3372" spans="2:11" ht="41.25" x14ac:dyDescent="0.2">
      <c r="B3372" s="33" t="s">
        <v>4306</v>
      </c>
      <c r="C3372" s="33" t="s">
        <v>662</v>
      </c>
      <c r="D3372" s="35">
        <f>SUMIFS(D3373:D9015,K3373:K9015,"0",B3373:B9015,"5 1 1 3 2 12 31111 6 M59 30100 000132 0000R 00001 00132 015 2111100 2024 CP1OP405*")-SUMIFS(E3373:E9015,K3373:K9015,"0",B3373:B9015,"5 1 1 3 2 12 31111 6 M59 30100 000132 0000R 00001 00132 015 2111100 2024 CP1OP405*")</f>
        <v>0</v>
      </c>
      <c r="E3372"/>
      <c r="F3372" s="35">
        <f>SUMIFS(F3373:F9015,K3373:K9015,"0",B3373:B9015,"5 1 1 3 2 12 31111 6 M59 30100 000132 0000R 00001 00132 015 2111100 2024 CP1OP405*")</f>
        <v>39340.83</v>
      </c>
      <c r="G3372" s="35">
        <f>SUMIFS(G3373:G9015,K3373:K9015,"0",B3373:B9015,"5 1 1 3 2 12 31111 6 M59 30100 000132 0000R 00001 00132 015 2111100 2024 CP1OP405*")</f>
        <v>0</v>
      </c>
      <c r="H3372" s="35">
        <f t="shared" si="53"/>
        <v>39340.83</v>
      </c>
      <c r="I3372" s="35"/>
      <c r="K3372" t="s">
        <v>15</v>
      </c>
    </row>
    <row r="3373" spans="2:11" ht="41.25" x14ac:dyDescent="0.2">
      <c r="B3373" s="33" t="s">
        <v>4307</v>
      </c>
      <c r="C3373" s="33" t="s">
        <v>282</v>
      </c>
      <c r="D3373" s="35">
        <f>SUMIFS(D3374:D9015,K3374:K9015,"0",B3374:B9015,"5 1 1 3 2 12 31111 6 M59 30100 000132 0000R 00001 00132 015 2111100 2024 CP1OP405 001*")-SUMIFS(E3374:E9015,K3374:K9015,"0",B3374:B9015,"5 1 1 3 2 12 31111 6 M59 30100 000132 0000R 00001 00132 015 2111100 2024 CP1OP405 001*")</f>
        <v>0</v>
      </c>
      <c r="E3373"/>
      <c r="F3373" s="35">
        <f>SUMIFS(F3374:F9015,K3374:K9015,"0",B3374:B9015,"5 1 1 3 2 12 31111 6 M59 30100 000132 0000R 00001 00132 015 2111100 2024 CP1OP405 001*")</f>
        <v>39340.83</v>
      </c>
      <c r="G3373" s="35">
        <f>SUMIFS(G3374:G9015,K3374:K9015,"0",B3374:B9015,"5 1 1 3 2 12 31111 6 M59 30100 000132 0000R 00001 00132 015 2111100 2024 CP1OP405 001*")</f>
        <v>0</v>
      </c>
      <c r="H3373" s="35">
        <f t="shared" si="53"/>
        <v>39340.83</v>
      </c>
      <c r="I3373" s="35"/>
      <c r="K3373" t="s">
        <v>15</v>
      </c>
    </row>
    <row r="3374" spans="2:11" ht="33" x14ac:dyDescent="0.2">
      <c r="B3374" s="31" t="s">
        <v>4308</v>
      </c>
      <c r="C3374" s="31" t="s">
        <v>1519</v>
      </c>
      <c r="D3374" s="34">
        <v>0</v>
      </c>
      <c r="E3374" s="34"/>
      <c r="F3374" s="34">
        <v>36778.85</v>
      </c>
      <c r="G3374" s="34">
        <v>0</v>
      </c>
      <c r="H3374" s="34">
        <f t="shared" si="53"/>
        <v>36778.85</v>
      </c>
      <c r="I3374" s="34"/>
      <c r="K3374" t="s">
        <v>38</v>
      </c>
    </row>
    <row r="3375" spans="2:11" ht="33" x14ac:dyDescent="0.2">
      <c r="B3375" s="31" t="s">
        <v>4309</v>
      </c>
      <c r="C3375" s="31" t="s">
        <v>4071</v>
      </c>
      <c r="D3375" s="34">
        <v>0</v>
      </c>
      <c r="E3375" s="34"/>
      <c r="F3375" s="34">
        <v>2561.98</v>
      </c>
      <c r="G3375" s="34">
        <v>0</v>
      </c>
      <c r="H3375" s="34">
        <f t="shared" si="53"/>
        <v>2561.98</v>
      </c>
      <c r="I3375" s="34"/>
      <c r="K3375" t="s">
        <v>38</v>
      </c>
    </row>
    <row r="3376" spans="2:11" ht="24.75" x14ac:dyDescent="0.2">
      <c r="B3376" s="33" t="s">
        <v>4310</v>
      </c>
      <c r="C3376" s="33" t="s">
        <v>3222</v>
      </c>
      <c r="D3376" s="35">
        <f>SUMIFS(D3377:D9015,K3377:K9015,"0",B3377:B9015,"5 1 1 3 2 12 31111 6 M59 30200*")-SUMIFS(E3377:E9015,K3377:K9015,"0",B3377:B9015,"5 1 1 3 2 12 31111 6 M59 30200*")</f>
        <v>0</v>
      </c>
      <c r="E3376"/>
      <c r="F3376" s="35">
        <f>SUMIFS(F3377:F9015,K3377:K9015,"0",B3377:B9015,"5 1 1 3 2 12 31111 6 M59 30200*")</f>
        <v>3353.02</v>
      </c>
      <c r="G3376" s="35">
        <f>SUMIFS(G3377:G9015,K3377:K9015,"0",B3377:B9015,"5 1 1 3 2 12 31111 6 M59 30200*")</f>
        <v>0</v>
      </c>
      <c r="H3376" s="35">
        <f t="shared" si="53"/>
        <v>3353.02</v>
      </c>
      <c r="I3376" s="35"/>
      <c r="K3376" t="s">
        <v>15</v>
      </c>
    </row>
    <row r="3377" spans="2:11" ht="16.5" x14ac:dyDescent="0.2">
      <c r="B3377" s="33" t="s">
        <v>4311</v>
      </c>
      <c r="C3377" s="33" t="s">
        <v>648</v>
      </c>
      <c r="D3377" s="35">
        <f>SUMIFS(D3378:D9015,K3378:K9015,"0",B3378:B9015,"5 1 1 3 2 12 31111 6 M59 30200 000132*")-SUMIFS(E3378:E9015,K3378:K9015,"0",B3378:B9015,"5 1 1 3 2 12 31111 6 M59 30200 000132*")</f>
        <v>0</v>
      </c>
      <c r="E3377"/>
      <c r="F3377" s="35">
        <f>SUMIFS(F3378:F9015,K3378:K9015,"0",B3378:B9015,"5 1 1 3 2 12 31111 6 M59 30200 000132*")</f>
        <v>3353.02</v>
      </c>
      <c r="G3377" s="35">
        <f>SUMIFS(G3378:G9015,K3378:K9015,"0",B3378:B9015,"5 1 1 3 2 12 31111 6 M59 30200 000132*")</f>
        <v>0</v>
      </c>
      <c r="H3377" s="35">
        <f t="shared" si="53"/>
        <v>3353.02</v>
      </c>
      <c r="I3377" s="35"/>
      <c r="K3377" t="s">
        <v>15</v>
      </c>
    </row>
    <row r="3378" spans="2:11" ht="24.75" x14ac:dyDescent="0.2">
      <c r="B3378" s="33" t="s">
        <v>4312</v>
      </c>
      <c r="C3378" s="33" t="s">
        <v>650</v>
      </c>
      <c r="D3378" s="35">
        <f>SUMIFS(D3379:D9015,K3379:K9015,"0",B3379:B9015,"5 1 1 3 2 12 31111 6 M59 30200 000132 0000R*")-SUMIFS(E3379:E9015,K3379:K9015,"0",B3379:B9015,"5 1 1 3 2 12 31111 6 M59 30200 000132 0000R*")</f>
        <v>0</v>
      </c>
      <c r="E3378"/>
      <c r="F3378" s="35">
        <f>SUMIFS(F3379:F9015,K3379:K9015,"0",B3379:B9015,"5 1 1 3 2 12 31111 6 M59 30200 000132 0000R*")</f>
        <v>3353.02</v>
      </c>
      <c r="G3378" s="35">
        <f>SUMIFS(G3379:G9015,K3379:K9015,"0",B3379:B9015,"5 1 1 3 2 12 31111 6 M59 30200 000132 0000R*")</f>
        <v>0</v>
      </c>
      <c r="H3378" s="35">
        <f t="shared" si="53"/>
        <v>3353.02</v>
      </c>
      <c r="I3378" s="35"/>
      <c r="K3378" t="s">
        <v>15</v>
      </c>
    </row>
    <row r="3379" spans="2:11" ht="24.75" x14ac:dyDescent="0.2">
      <c r="B3379" s="33" t="s">
        <v>4313</v>
      </c>
      <c r="C3379" s="33" t="s">
        <v>282</v>
      </c>
      <c r="D3379" s="35">
        <f>SUMIFS(D3380:D9015,K3380:K9015,"0",B3380:B9015,"5 1 1 3 2 12 31111 6 M59 30200 000132 0000R 00001*")-SUMIFS(E3380:E9015,K3380:K9015,"0",B3380:B9015,"5 1 1 3 2 12 31111 6 M59 30200 000132 0000R 00001*")</f>
        <v>0</v>
      </c>
      <c r="E3379"/>
      <c r="F3379" s="35">
        <f>SUMIFS(F3380:F9015,K3380:K9015,"0",B3380:B9015,"5 1 1 3 2 12 31111 6 M59 30200 000132 0000R 00001*")</f>
        <v>3353.02</v>
      </c>
      <c r="G3379" s="35">
        <f>SUMIFS(G3380:G9015,K3380:K9015,"0",B3380:B9015,"5 1 1 3 2 12 31111 6 M59 30200 000132 0000R 00001*")</f>
        <v>0</v>
      </c>
      <c r="H3379" s="35">
        <f t="shared" si="53"/>
        <v>3353.02</v>
      </c>
      <c r="I3379" s="35"/>
      <c r="K3379" t="s">
        <v>15</v>
      </c>
    </row>
    <row r="3380" spans="2:11" ht="24.75" x14ac:dyDescent="0.2">
      <c r="B3380" s="33" t="s">
        <v>4314</v>
      </c>
      <c r="C3380" s="33" t="s">
        <v>4041</v>
      </c>
      <c r="D3380" s="35">
        <f>SUMIFS(D3381:D9015,K3381:K9015,"0",B3381:B9015,"5 1 1 3 2 12 31111 6 M59 30200 000132 0000R 00001 00132*")-SUMIFS(E3381:E9015,K3381:K9015,"0",B3381:B9015,"5 1 1 3 2 12 31111 6 M59 30200 000132 0000R 00001 00132*")</f>
        <v>0</v>
      </c>
      <c r="E3380"/>
      <c r="F3380" s="35">
        <f>SUMIFS(F3381:F9015,K3381:K9015,"0",B3381:B9015,"5 1 1 3 2 12 31111 6 M59 30200 000132 0000R 00001 00132*")</f>
        <v>3353.02</v>
      </c>
      <c r="G3380" s="35">
        <f>SUMIFS(G3381:G9015,K3381:K9015,"0",B3381:B9015,"5 1 1 3 2 12 31111 6 M59 30200 000132 0000R 00001 00132*")</f>
        <v>0</v>
      </c>
      <c r="H3380" s="35">
        <f t="shared" si="53"/>
        <v>3353.02</v>
      </c>
      <c r="I3380" s="35"/>
      <c r="K3380" t="s">
        <v>15</v>
      </c>
    </row>
    <row r="3381" spans="2:11" ht="33" x14ac:dyDescent="0.2">
      <c r="B3381" s="33" t="s">
        <v>4315</v>
      </c>
      <c r="C3381" s="33" t="s">
        <v>1051</v>
      </c>
      <c r="D3381" s="35">
        <f>SUMIFS(D3382:D9015,K3382:K9015,"0",B3382:B9015,"5 1 1 3 2 12 31111 6 M59 30200 000132 0000R 00001 00132 015*")-SUMIFS(E3382:E9015,K3382:K9015,"0",B3382:B9015,"5 1 1 3 2 12 31111 6 M59 30200 000132 0000R 00001 00132 015*")</f>
        <v>0</v>
      </c>
      <c r="E3381"/>
      <c r="F3381" s="35">
        <f>SUMIFS(F3382:F9015,K3382:K9015,"0",B3382:B9015,"5 1 1 3 2 12 31111 6 M59 30200 000132 0000R 00001 00132 015*")</f>
        <v>3353.02</v>
      </c>
      <c r="G3381" s="35">
        <f>SUMIFS(G3382:G9015,K3382:K9015,"0",B3382:B9015,"5 1 1 3 2 12 31111 6 M59 30200 000132 0000R 00001 00132 015*")</f>
        <v>0</v>
      </c>
      <c r="H3381" s="35">
        <f t="shared" si="53"/>
        <v>3353.02</v>
      </c>
      <c r="I3381" s="35"/>
      <c r="K3381" t="s">
        <v>15</v>
      </c>
    </row>
    <row r="3382" spans="2:11" ht="33" x14ac:dyDescent="0.2">
      <c r="B3382" s="33" t="s">
        <v>4316</v>
      </c>
      <c r="C3382" s="33" t="s">
        <v>2927</v>
      </c>
      <c r="D3382" s="35">
        <f>SUMIFS(D3383:D9015,K3383:K9015,"0",B3383:B9015,"5 1 1 3 2 12 31111 6 M59 30200 000132 0000R 00001 00132 015 2111100*")-SUMIFS(E3383:E9015,K3383:K9015,"0",B3383:B9015,"5 1 1 3 2 12 31111 6 M59 30200 000132 0000R 00001 00132 015 2111100*")</f>
        <v>0</v>
      </c>
      <c r="E3382"/>
      <c r="F3382" s="35">
        <f>SUMIFS(F3383:F9015,K3383:K9015,"0",B3383:B9015,"5 1 1 3 2 12 31111 6 M59 30200 000132 0000R 00001 00132 015 2111100*")</f>
        <v>3353.02</v>
      </c>
      <c r="G3382" s="35">
        <f>SUMIFS(G3383:G9015,K3383:K9015,"0",B3383:B9015,"5 1 1 3 2 12 31111 6 M59 30200 000132 0000R 00001 00132 015 2111100*")</f>
        <v>0</v>
      </c>
      <c r="H3382" s="35">
        <f t="shared" si="53"/>
        <v>3353.02</v>
      </c>
      <c r="I3382" s="35"/>
      <c r="K3382" t="s">
        <v>15</v>
      </c>
    </row>
    <row r="3383" spans="2:11" ht="33" x14ac:dyDescent="0.2">
      <c r="B3383" s="33" t="s">
        <v>4317</v>
      </c>
      <c r="C3383" s="33" t="s">
        <v>660</v>
      </c>
      <c r="D3383" s="35">
        <f>SUMIFS(D3384:D9015,K3384:K9015,"0",B3384:B9015,"5 1 1 3 2 12 31111 6 M59 30200 000132 0000R 00001 00132 015 2111100 2024*")-SUMIFS(E3384:E9015,K3384:K9015,"0",B3384:B9015,"5 1 1 3 2 12 31111 6 M59 30200 000132 0000R 00001 00132 015 2111100 2024*")</f>
        <v>0</v>
      </c>
      <c r="E3383"/>
      <c r="F3383" s="35">
        <f>SUMIFS(F3384:F9015,K3384:K9015,"0",B3384:B9015,"5 1 1 3 2 12 31111 6 M59 30200 000132 0000R 00001 00132 015 2111100 2024*")</f>
        <v>3353.02</v>
      </c>
      <c r="G3383" s="35">
        <f>SUMIFS(G3384:G9015,K3384:K9015,"0",B3384:B9015,"5 1 1 3 2 12 31111 6 M59 30200 000132 0000R 00001 00132 015 2111100 2024*")</f>
        <v>0</v>
      </c>
      <c r="H3383" s="35">
        <f t="shared" si="53"/>
        <v>3353.02</v>
      </c>
      <c r="I3383" s="35"/>
      <c r="K3383" t="s">
        <v>15</v>
      </c>
    </row>
    <row r="3384" spans="2:11" ht="41.25" x14ac:dyDescent="0.2">
      <c r="B3384" s="33" t="s">
        <v>4318</v>
      </c>
      <c r="C3384" s="33" t="s">
        <v>1056</v>
      </c>
      <c r="D3384" s="35">
        <f>SUMIFS(D3385:D9015,K3385:K9015,"0",B3385:B9015,"5 1 1 3 2 12 31111 6 M59 30200 000132 0000R 00001 00132 015 2111100 2024 CP1OT378*")-SUMIFS(E3385:E9015,K3385:K9015,"0",B3385:B9015,"5 1 1 3 2 12 31111 6 M59 30200 000132 0000R 00001 00132 015 2111100 2024 CP1OT378*")</f>
        <v>0</v>
      </c>
      <c r="E3384"/>
      <c r="F3384" s="35">
        <f>SUMIFS(F3385:F9015,K3385:K9015,"0",B3385:B9015,"5 1 1 3 2 12 31111 6 M59 30200 000132 0000R 00001 00132 015 2111100 2024 CP1OT378*")</f>
        <v>3353.02</v>
      </c>
      <c r="G3384" s="35">
        <f>SUMIFS(G3385:G9015,K3385:K9015,"0",B3385:B9015,"5 1 1 3 2 12 31111 6 M59 30200 000132 0000R 00001 00132 015 2111100 2024 CP1OT378*")</f>
        <v>0</v>
      </c>
      <c r="H3384" s="35">
        <f t="shared" si="53"/>
        <v>3353.02</v>
      </c>
      <c r="I3384" s="35"/>
      <c r="K3384" t="s">
        <v>15</v>
      </c>
    </row>
    <row r="3385" spans="2:11" ht="41.25" x14ac:dyDescent="0.2">
      <c r="B3385" s="33" t="s">
        <v>4319</v>
      </c>
      <c r="C3385" s="33" t="s">
        <v>282</v>
      </c>
      <c r="D3385" s="35">
        <f>SUMIFS(D3386:D9015,K3386:K9015,"0",B3386:B9015,"5 1 1 3 2 12 31111 6 M59 30200 000132 0000R 00001 00132 015 2111100 2024 CP1OT378 001*")-SUMIFS(E3386:E9015,K3386:K9015,"0",B3386:B9015,"5 1 1 3 2 12 31111 6 M59 30200 000132 0000R 00001 00132 015 2111100 2024 CP1OT378 001*")</f>
        <v>0</v>
      </c>
      <c r="E3385"/>
      <c r="F3385" s="35">
        <f>SUMIFS(F3386:F9015,K3386:K9015,"0",B3386:B9015,"5 1 1 3 2 12 31111 6 M59 30200 000132 0000R 00001 00132 015 2111100 2024 CP1OT378 001*")</f>
        <v>3353.02</v>
      </c>
      <c r="G3385" s="35">
        <f>SUMIFS(G3386:G9015,K3386:K9015,"0",B3386:B9015,"5 1 1 3 2 12 31111 6 M59 30200 000132 0000R 00001 00132 015 2111100 2024 CP1OT378 001*")</f>
        <v>0</v>
      </c>
      <c r="H3385" s="35">
        <f t="shared" si="53"/>
        <v>3353.02</v>
      </c>
      <c r="I3385" s="35"/>
      <c r="K3385" t="s">
        <v>15</v>
      </c>
    </row>
    <row r="3386" spans="2:11" ht="41.25" x14ac:dyDescent="0.2">
      <c r="B3386" s="31" t="s">
        <v>4320</v>
      </c>
      <c r="C3386" s="31" t="s">
        <v>1519</v>
      </c>
      <c r="D3386" s="34">
        <v>0</v>
      </c>
      <c r="E3386" s="34"/>
      <c r="F3386" s="34">
        <v>3353.02</v>
      </c>
      <c r="G3386" s="34">
        <v>0</v>
      </c>
      <c r="H3386" s="34">
        <f t="shared" si="53"/>
        <v>3353.02</v>
      </c>
      <c r="I3386" s="34"/>
      <c r="K3386" t="s">
        <v>38</v>
      </c>
    </row>
    <row r="3387" spans="2:11" ht="16.5" x14ac:dyDescent="0.2">
      <c r="B3387" s="33" t="s">
        <v>4321</v>
      </c>
      <c r="C3387" s="33" t="s">
        <v>1092</v>
      </c>
      <c r="D3387" s="35">
        <f>SUMIFS(D3388:D9015,K3388:K9015,"0",B3388:B9015,"5 1 1 3 2 12 31111 6 M59 40000*")-SUMIFS(E3388:E9015,K3388:K9015,"0",B3388:B9015,"5 1 1 3 2 12 31111 6 M59 40000*")</f>
        <v>0</v>
      </c>
      <c r="E3387"/>
      <c r="F3387" s="35">
        <f>SUMIFS(F3388:F9015,K3388:K9015,"0",B3388:B9015,"5 1 1 3 2 12 31111 6 M59 40000*")</f>
        <v>1829415.15</v>
      </c>
      <c r="G3387" s="35">
        <f>SUMIFS(G3388:G9015,K3388:K9015,"0",B3388:B9015,"5 1 1 3 2 12 31111 6 M59 40000*")</f>
        <v>0</v>
      </c>
      <c r="H3387" s="35">
        <f t="shared" si="53"/>
        <v>1829415.15</v>
      </c>
      <c r="I3387" s="35"/>
      <c r="K3387" t="s">
        <v>15</v>
      </c>
    </row>
    <row r="3388" spans="2:11" ht="16.5" x14ac:dyDescent="0.2">
      <c r="B3388" s="33" t="s">
        <v>4322</v>
      </c>
      <c r="C3388" s="33" t="s">
        <v>1094</v>
      </c>
      <c r="D3388" s="35">
        <f>SUMIFS(D3389:D9015,K3389:K9015,"0",B3389:B9015,"5 1 1 3 2 12 31111 6 M59 40000 000161*")-SUMIFS(E3389:E9015,K3389:K9015,"0",B3389:B9015,"5 1 1 3 2 12 31111 6 M59 40000 000161*")</f>
        <v>0</v>
      </c>
      <c r="E3388"/>
      <c r="F3388" s="35">
        <f>SUMIFS(F3389:F9015,K3389:K9015,"0",B3389:B9015,"5 1 1 3 2 12 31111 6 M59 40000 000161*")</f>
        <v>1829415.15</v>
      </c>
      <c r="G3388" s="35">
        <f>SUMIFS(G3389:G9015,K3389:K9015,"0",B3389:B9015,"5 1 1 3 2 12 31111 6 M59 40000 000161*")</f>
        <v>0</v>
      </c>
      <c r="H3388" s="35">
        <f t="shared" si="53"/>
        <v>1829415.15</v>
      </c>
      <c r="I3388" s="35"/>
      <c r="K3388" t="s">
        <v>15</v>
      </c>
    </row>
    <row r="3389" spans="2:11" ht="24.75" x14ac:dyDescent="0.2">
      <c r="B3389" s="33" t="s">
        <v>4323</v>
      </c>
      <c r="C3389" s="33" t="s">
        <v>1065</v>
      </c>
      <c r="D3389" s="35">
        <f>SUMIFS(D3390:D9015,K3390:K9015,"0",B3390:B9015,"5 1 1 3 2 12 31111 6 M59 40000 000161 0000E*")-SUMIFS(E3390:E9015,K3390:K9015,"0",B3390:B9015,"5 1 1 3 2 12 31111 6 M59 40000 000161 0000E*")</f>
        <v>0</v>
      </c>
      <c r="E3389"/>
      <c r="F3389" s="35">
        <f>SUMIFS(F3390:F9015,K3390:K9015,"0",B3390:B9015,"5 1 1 3 2 12 31111 6 M59 40000 000161 0000E*")</f>
        <v>1829415.15</v>
      </c>
      <c r="G3389" s="35">
        <f>SUMIFS(G3390:G9015,K3390:K9015,"0",B3390:B9015,"5 1 1 3 2 12 31111 6 M59 40000 000161 0000E*")</f>
        <v>0</v>
      </c>
      <c r="H3389" s="35">
        <f t="shared" si="53"/>
        <v>1829415.15</v>
      </c>
      <c r="I3389" s="35"/>
      <c r="K3389" t="s">
        <v>15</v>
      </c>
    </row>
    <row r="3390" spans="2:11" ht="24.75" x14ac:dyDescent="0.2">
      <c r="B3390" s="33" t="s">
        <v>4324</v>
      </c>
      <c r="C3390" s="33" t="s">
        <v>282</v>
      </c>
      <c r="D3390" s="35">
        <f>SUMIFS(D3391:D9015,K3391:K9015,"0",B3391:B9015,"5 1 1 3 2 12 31111 6 M59 40000 000161 0000E 00001*")-SUMIFS(E3391:E9015,K3391:K9015,"0",B3391:B9015,"5 1 1 3 2 12 31111 6 M59 40000 000161 0000E 00001*")</f>
        <v>0</v>
      </c>
      <c r="E3390"/>
      <c r="F3390" s="35">
        <f>SUMIFS(F3391:F9015,K3391:K9015,"0",B3391:B9015,"5 1 1 3 2 12 31111 6 M59 40000 000161 0000E 00001*")</f>
        <v>1829415.15</v>
      </c>
      <c r="G3390" s="35">
        <f>SUMIFS(G3391:G9015,K3391:K9015,"0",B3391:B9015,"5 1 1 3 2 12 31111 6 M59 40000 000161 0000E 00001*")</f>
        <v>0</v>
      </c>
      <c r="H3390" s="35">
        <f t="shared" si="53"/>
        <v>1829415.15</v>
      </c>
      <c r="I3390" s="35"/>
      <c r="K3390" t="s">
        <v>15</v>
      </c>
    </row>
    <row r="3391" spans="2:11" ht="24.75" x14ac:dyDescent="0.2">
      <c r="B3391" s="33" t="s">
        <v>4325</v>
      </c>
      <c r="C3391" s="33" t="s">
        <v>4041</v>
      </c>
      <c r="D3391" s="35">
        <f>SUMIFS(D3392:D9015,K3392:K9015,"0",B3392:B9015,"5 1 1 3 2 12 31111 6 M59 40000 000161 0000E 00001 00132*")-SUMIFS(E3392:E9015,K3392:K9015,"0",B3392:B9015,"5 1 1 3 2 12 31111 6 M59 40000 000161 0000E 00001 00132*")</f>
        <v>0</v>
      </c>
      <c r="E3391"/>
      <c r="F3391" s="35">
        <f>SUMIFS(F3392:F9015,K3392:K9015,"0",B3392:B9015,"5 1 1 3 2 12 31111 6 M59 40000 000161 0000E 00001 00132*")</f>
        <v>1829415.15</v>
      </c>
      <c r="G3391" s="35">
        <f>SUMIFS(G3392:G9015,K3392:K9015,"0",B3392:B9015,"5 1 1 3 2 12 31111 6 M59 40000 000161 0000E 00001 00132*")</f>
        <v>0</v>
      </c>
      <c r="H3391" s="35">
        <f t="shared" si="53"/>
        <v>1829415.15</v>
      </c>
      <c r="I3391" s="35"/>
      <c r="K3391" t="s">
        <v>15</v>
      </c>
    </row>
    <row r="3392" spans="2:11" ht="33" x14ac:dyDescent="0.2">
      <c r="B3392" s="33" t="s">
        <v>4326</v>
      </c>
      <c r="C3392" s="33" t="s">
        <v>656</v>
      </c>
      <c r="D3392" s="35">
        <f>SUMIFS(D3393:D9015,K3393:K9015,"0",B3393:B9015,"5 1 1 3 2 12 31111 6 M59 40000 000161 0000E 00001 00132 025*")-SUMIFS(E3393:E9015,K3393:K9015,"0",B3393:B9015,"5 1 1 3 2 12 31111 6 M59 40000 000161 0000E 00001 00132 025*")</f>
        <v>0</v>
      </c>
      <c r="E3392"/>
      <c r="F3392" s="35">
        <f>SUMIFS(F3393:F9015,K3393:K9015,"0",B3393:B9015,"5 1 1 3 2 12 31111 6 M59 40000 000161 0000E 00001 00132 025*")</f>
        <v>1829415.15</v>
      </c>
      <c r="G3392" s="35">
        <f>SUMIFS(G3393:G9015,K3393:K9015,"0",B3393:B9015,"5 1 1 3 2 12 31111 6 M59 40000 000161 0000E 00001 00132 025*")</f>
        <v>0</v>
      </c>
      <c r="H3392" s="35">
        <f t="shared" si="53"/>
        <v>1829415.15</v>
      </c>
      <c r="I3392" s="35"/>
      <c r="K3392" t="s">
        <v>15</v>
      </c>
    </row>
    <row r="3393" spans="2:11" ht="33" x14ac:dyDescent="0.2">
      <c r="B3393" s="33" t="s">
        <v>4327</v>
      </c>
      <c r="C3393" s="33" t="s">
        <v>2927</v>
      </c>
      <c r="D3393" s="35">
        <f>SUMIFS(D3394:D9015,K3394:K9015,"0",B3394:B9015,"5 1 1 3 2 12 31111 6 M59 40000 000161 0000E 00001 00132 025 2111100*")-SUMIFS(E3394:E9015,K3394:K9015,"0",B3394:B9015,"5 1 1 3 2 12 31111 6 M59 40000 000161 0000E 00001 00132 025 2111100*")</f>
        <v>0</v>
      </c>
      <c r="E3393"/>
      <c r="F3393" s="35">
        <f>SUMIFS(F3394:F9015,K3394:K9015,"0",B3394:B9015,"5 1 1 3 2 12 31111 6 M59 40000 000161 0000E 00001 00132 025 2111100*")</f>
        <v>1829415.15</v>
      </c>
      <c r="G3393" s="35">
        <f>SUMIFS(G3394:G9015,K3394:K9015,"0",B3394:B9015,"5 1 1 3 2 12 31111 6 M59 40000 000161 0000E 00001 00132 025 2111100*")</f>
        <v>0</v>
      </c>
      <c r="H3393" s="35">
        <f t="shared" si="53"/>
        <v>1829415.15</v>
      </c>
      <c r="I3393" s="35"/>
      <c r="K3393" t="s">
        <v>15</v>
      </c>
    </row>
    <row r="3394" spans="2:11" ht="33" x14ac:dyDescent="0.2">
      <c r="B3394" s="33" t="s">
        <v>4328</v>
      </c>
      <c r="C3394" s="33" t="s">
        <v>660</v>
      </c>
      <c r="D3394" s="35">
        <f>SUMIFS(D3395:D9015,K3395:K9015,"0",B3395:B9015,"5 1 1 3 2 12 31111 6 M59 40000 000161 0000E 00001 00132 025 2111100 2024*")-SUMIFS(E3395:E9015,K3395:K9015,"0",B3395:B9015,"5 1 1 3 2 12 31111 6 M59 40000 000161 0000E 00001 00132 025 2111100 2024*")</f>
        <v>0</v>
      </c>
      <c r="E3394"/>
      <c r="F3394" s="35">
        <f>SUMIFS(F3395:F9015,K3395:K9015,"0",B3395:B9015,"5 1 1 3 2 12 31111 6 M59 40000 000161 0000E 00001 00132 025 2111100 2024*")</f>
        <v>1829415.15</v>
      </c>
      <c r="G3394" s="35">
        <f>SUMIFS(G3395:G9015,K3395:K9015,"0",B3395:B9015,"5 1 1 3 2 12 31111 6 M59 40000 000161 0000E 00001 00132 025 2111100 2024*")</f>
        <v>0</v>
      </c>
      <c r="H3394" s="35">
        <f t="shared" si="53"/>
        <v>1829415.15</v>
      </c>
      <c r="I3394" s="35"/>
      <c r="K3394" t="s">
        <v>15</v>
      </c>
    </row>
    <row r="3395" spans="2:11" ht="41.25" x14ac:dyDescent="0.2">
      <c r="B3395" s="33" t="s">
        <v>4329</v>
      </c>
      <c r="C3395" s="33" t="s">
        <v>662</v>
      </c>
      <c r="D3395" s="35">
        <f>SUMIFS(D3396:D9015,K3396:K9015,"0",B3396:B9015,"5 1 1 3 2 12 31111 6 M59 40000 000161 0000E 00001 00132 025 2111100 2024 CP4SP372*")-SUMIFS(E3396:E9015,K3396:K9015,"0",B3396:B9015,"5 1 1 3 2 12 31111 6 M59 40000 000161 0000E 00001 00132 025 2111100 2024 CP4SP372*")</f>
        <v>0</v>
      </c>
      <c r="E3395"/>
      <c r="F3395" s="35">
        <f>SUMIFS(F3396:F9015,K3396:K9015,"0",B3396:B9015,"5 1 1 3 2 12 31111 6 M59 40000 000161 0000E 00001 00132 025 2111100 2024 CP4SP372*")</f>
        <v>1829415.15</v>
      </c>
      <c r="G3395" s="35">
        <f>SUMIFS(G3396:G9015,K3396:K9015,"0",B3396:B9015,"5 1 1 3 2 12 31111 6 M59 40000 000161 0000E 00001 00132 025 2111100 2024 CP4SP372*")</f>
        <v>0</v>
      </c>
      <c r="H3395" s="35">
        <f t="shared" si="53"/>
        <v>1829415.15</v>
      </c>
      <c r="I3395" s="35"/>
      <c r="K3395" t="s">
        <v>15</v>
      </c>
    </row>
    <row r="3396" spans="2:11" ht="41.25" x14ac:dyDescent="0.2">
      <c r="B3396" s="33" t="s">
        <v>4330</v>
      </c>
      <c r="C3396" s="33" t="s">
        <v>664</v>
      </c>
      <c r="D3396" s="35">
        <f>SUMIFS(D3397:D9015,K3397:K9015,"0",B3397:B9015,"5 1 1 3 2 12 31111 6 M59 40000 000161 0000E 00001 00132 025 2111100 2024 CP4SP372 003*")-SUMIFS(E3397:E9015,K3397:K9015,"0",B3397:B9015,"5 1 1 3 2 12 31111 6 M59 40000 000161 0000E 00001 00132 025 2111100 2024 CP4SP372 003*")</f>
        <v>0</v>
      </c>
      <c r="E3396"/>
      <c r="F3396" s="35">
        <f>SUMIFS(F3397:F9015,K3397:K9015,"0",B3397:B9015,"5 1 1 3 2 12 31111 6 M59 40000 000161 0000E 00001 00132 025 2111100 2024 CP4SP372 003*")</f>
        <v>1829415.15</v>
      </c>
      <c r="G3396" s="35">
        <f>SUMIFS(G3397:G9015,K3397:K9015,"0",B3397:B9015,"5 1 1 3 2 12 31111 6 M59 40000 000161 0000E 00001 00132 025 2111100 2024 CP4SP372 003*")</f>
        <v>0</v>
      </c>
      <c r="H3396" s="35">
        <f t="shared" ref="H3396:H3459" si="54">D3396 + F3396 - G3396</f>
        <v>1829415.15</v>
      </c>
      <c r="I3396" s="35"/>
      <c r="K3396" t="s">
        <v>15</v>
      </c>
    </row>
    <row r="3397" spans="2:11" ht="33" x14ac:dyDescent="0.2">
      <c r="B3397" s="31" t="s">
        <v>4331</v>
      </c>
      <c r="C3397" s="31" t="s">
        <v>4332</v>
      </c>
      <c r="D3397" s="34">
        <v>0</v>
      </c>
      <c r="E3397" s="34"/>
      <c r="F3397" s="34">
        <v>1829415.15</v>
      </c>
      <c r="G3397" s="34">
        <v>0</v>
      </c>
      <c r="H3397" s="34">
        <f t="shared" si="54"/>
        <v>1829415.15</v>
      </c>
      <c r="I3397" s="34"/>
      <c r="K3397" t="s">
        <v>38</v>
      </c>
    </row>
    <row r="3398" spans="2:11" ht="16.5" x14ac:dyDescent="0.2">
      <c r="B3398" s="33" t="s">
        <v>4333</v>
      </c>
      <c r="C3398" s="33" t="s">
        <v>1105</v>
      </c>
      <c r="D3398" s="35">
        <f>SUMIFS(D3399:D9015,K3399:K9015,"0",B3399:B9015,"5 1 1 3 2 12 31111 6 M59 40200*")-SUMIFS(E3399:E9015,K3399:K9015,"0",B3399:B9015,"5 1 1 3 2 12 31111 6 M59 40200*")</f>
        <v>0</v>
      </c>
      <c r="E3398"/>
      <c r="F3398" s="35">
        <f>SUMIFS(F3399:F9015,K3399:K9015,"0",B3399:B9015,"5 1 1 3 2 12 31111 6 M59 40200*")</f>
        <v>265918.68</v>
      </c>
      <c r="G3398" s="35">
        <f>SUMIFS(G3399:G9015,K3399:K9015,"0",B3399:B9015,"5 1 1 3 2 12 31111 6 M59 40200*")</f>
        <v>0</v>
      </c>
      <c r="H3398" s="35">
        <f t="shared" si="54"/>
        <v>265918.68</v>
      </c>
      <c r="I3398" s="35"/>
      <c r="K3398" t="s">
        <v>15</v>
      </c>
    </row>
    <row r="3399" spans="2:11" ht="16.5" x14ac:dyDescent="0.2">
      <c r="B3399" s="33" t="s">
        <v>4334</v>
      </c>
      <c r="C3399" s="33" t="s">
        <v>1107</v>
      </c>
      <c r="D3399" s="35">
        <f>SUMIFS(D3400:D9015,K3400:K9015,"0",B3400:B9015,"5 1 1 3 2 12 31111 6 M59 40200 000172*")-SUMIFS(E3400:E9015,K3400:K9015,"0",B3400:B9015,"5 1 1 3 2 12 31111 6 M59 40200 000172*")</f>
        <v>0</v>
      </c>
      <c r="E3399"/>
      <c r="F3399" s="35">
        <f>SUMIFS(F3400:F9015,K3400:K9015,"0",B3400:B9015,"5 1 1 3 2 12 31111 6 M59 40200 000172*")</f>
        <v>265918.68</v>
      </c>
      <c r="G3399" s="35">
        <f>SUMIFS(G3400:G9015,K3400:K9015,"0",B3400:B9015,"5 1 1 3 2 12 31111 6 M59 40200 000172*")</f>
        <v>0</v>
      </c>
      <c r="H3399" s="35">
        <f t="shared" si="54"/>
        <v>265918.68</v>
      </c>
      <c r="I3399" s="35"/>
      <c r="K3399" t="s">
        <v>15</v>
      </c>
    </row>
    <row r="3400" spans="2:11" ht="24.75" x14ac:dyDescent="0.2">
      <c r="B3400" s="33" t="s">
        <v>4335</v>
      </c>
      <c r="C3400" s="33" t="s">
        <v>650</v>
      </c>
      <c r="D3400" s="35">
        <f>SUMIFS(D3401:D9015,K3401:K9015,"0",B3401:B9015,"5 1 1 3 2 12 31111 6 M59 40200 000172 0000R*")-SUMIFS(E3401:E9015,K3401:K9015,"0",B3401:B9015,"5 1 1 3 2 12 31111 6 M59 40200 000172 0000R*")</f>
        <v>0</v>
      </c>
      <c r="E3400"/>
      <c r="F3400" s="35">
        <f>SUMIFS(F3401:F9015,K3401:K9015,"0",B3401:B9015,"5 1 1 3 2 12 31111 6 M59 40200 000172 0000R*")</f>
        <v>265918.68</v>
      </c>
      <c r="G3400" s="35">
        <f>SUMIFS(G3401:G9015,K3401:K9015,"0",B3401:B9015,"5 1 1 3 2 12 31111 6 M59 40200 000172 0000R*")</f>
        <v>0</v>
      </c>
      <c r="H3400" s="35">
        <f t="shared" si="54"/>
        <v>265918.68</v>
      </c>
      <c r="I3400" s="35"/>
      <c r="K3400" t="s">
        <v>15</v>
      </c>
    </row>
    <row r="3401" spans="2:11" ht="24.75" x14ac:dyDescent="0.2">
      <c r="B3401" s="33" t="s">
        <v>4336</v>
      </c>
      <c r="C3401" s="33" t="s">
        <v>282</v>
      </c>
      <c r="D3401" s="35">
        <f>SUMIFS(D3402:D9015,K3402:K9015,"0",B3402:B9015,"5 1 1 3 2 12 31111 6 M59 40200 000172 0000R 00001*")-SUMIFS(E3402:E9015,K3402:K9015,"0",B3402:B9015,"5 1 1 3 2 12 31111 6 M59 40200 000172 0000R 00001*")</f>
        <v>0</v>
      </c>
      <c r="E3401"/>
      <c r="F3401" s="35">
        <f>SUMIFS(F3402:F9015,K3402:K9015,"0",B3402:B9015,"5 1 1 3 2 12 31111 6 M59 40200 000172 0000R 00001*")</f>
        <v>265918.68</v>
      </c>
      <c r="G3401" s="35">
        <f>SUMIFS(G3402:G9015,K3402:K9015,"0",B3402:B9015,"5 1 1 3 2 12 31111 6 M59 40200 000172 0000R 00001*")</f>
        <v>0</v>
      </c>
      <c r="H3401" s="35">
        <f t="shared" si="54"/>
        <v>265918.68</v>
      </c>
      <c r="I3401" s="35"/>
      <c r="K3401" t="s">
        <v>15</v>
      </c>
    </row>
    <row r="3402" spans="2:11" ht="24.75" x14ac:dyDescent="0.2">
      <c r="B3402" s="33" t="s">
        <v>4337</v>
      </c>
      <c r="C3402" s="33" t="s">
        <v>4041</v>
      </c>
      <c r="D3402" s="35">
        <f>SUMIFS(D3403:D9015,K3403:K9015,"0",B3403:B9015,"5 1 1 3 2 12 31111 6 M59 40200 000172 0000R 00001 00132*")-SUMIFS(E3403:E9015,K3403:K9015,"0",B3403:B9015,"5 1 1 3 2 12 31111 6 M59 40200 000172 0000R 00001 00132*")</f>
        <v>0</v>
      </c>
      <c r="E3402"/>
      <c r="F3402" s="35">
        <f>SUMIFS(F3403:F9015,K3403:K9015,"0",B3403:B9015,"5 1 1 3 2 12 31111 6 M59 40200 000172 0000R 00001 00132*")</f>
        <v>265918.68</v>
      </c>
      <c r="G3402" s="35">
        <f>SUMIFS(G3403:G9015,K3403:K9015,"0",B3403:B9015,"5 1 1 3 2 12 31111 6 M59 40200 000172 0000R 00001 00132*")</f>
        <v>0</v>
      </c>
      <c r="H3402" s="35">
        <f t="shared" si="54"/>
        <v>265918.68</v>
      </c>
      <c r="I3402" s="35"/>
      <c r="K3402" t="s">
        <v>15</v>
      </c>
    </row>
    <row r="3403" spans="2:11" ht="33" x14ac:dyDescent="0.2">
      <c r="B3403" s="33" t="s">
        <v>4338</v>
      </c>
      <c r="C3403" s="33" t="s">
        <v>656</v>
      </c>
      <c r="D3403" s="35">
        <f>SUMIFS(D3404:D9015,K3404:K9015,"0",B3404:B9015,"5 1 1 3 2 12 31111 6 M59 40200 000172 0000R 00001 00132 025*")-SUMIFS(E3404:E9015,K3404:K9015,"0",B3404:B9015,"5 1 1 3 2 12 31111 6 M59 40200 000172 0000R 00001 00132 025*")</f>
        <v>0</v>
      </c>
      <c r="E3403"/>
      <c r="F3403" s="35">
        <f>SUMIFS(F3404:F9015,K3404:K9015,"0",B3404:B9015,"5 1 1 3 2 12 31111 6 M59 40200 000172 0000R 00001 00132 025*")</f>
        <v>265918.68</v>
      </c>
      <c r="G3403" s="35">
        <f>SUMIFS(G3404:G9015,K3404:K9015,"0",B3404:B9015,"5 1 1 3 2 12 31111 6 M59 40200 000172 0000R 00001 00132 025*")</f>
        <v>0</v>
      </c>
      <c r="H3403" s="35">
        <f t="shared" si="54"/>
        <v>265918.68</v>
      </c>
      <c r="I3403" s="35"/>
      <c r="K3403" t="s">
        <v>15</v>
      </c>
    </row>
    <row r="3404" spans="2:11" ht="33" x14ac:dyDescent="0.2">
      <c r="B3404" s="33" t="s">
        <v>4339</v>
      </c>
      <c r="C3404" s="33" t="s">
        <v>2927</v>
      </c>
      <c r="D3404" s="35">
        <f>SUMIFS(D3405:D9015,K3405:K9015,"0",B3405:B9015,"5 1 1 3 2 12 31111 6 M59 40200 000172 0000R 00001 00132 025 2111100*")-SUMIFS(E3405:E9015,K3405:K9015,"0",B3405:B9015,"5 1 1 3 2 12 31111 6 M59 40200 000172 0000R 00001 00132 025 2111100*")</f>
        <v>0</v>
      </c>
      <c r="E3404"/>
      <c r="F3404" s="35">
        <f>SUMIFS(F3405:F9015,K3405:K9015,"0",B3405:B9015,"5 1 1 3 2 12 31111 6 M59 40200 000172 0000R 00001 00132 025 2111100*")</f>
        <v>265918.68</v>
      </c>
      <c r="G3404" s="35">
        <f>SUMIFS(G3405:G9015,K3405:K9015,"0",B3405:B9015,"5 1 1 3 2 12 31111 6 M59 40200 000172 0000R 00001 00132 025 2111100*")</f>
        <v>0</v>
      </c>
      <c r="H3404" s="35">
        <f t="shared" si="54"/>
        <v>265918.68</v>
      </c>
      <c r="I3404" s="35"/>
      <c r="K3404" t="s">
        <v>15</v>
      </c>
    </row>
    <row r="3405" spans="2:11" ht="33" x14ac:dyDescent="0.2">
      <c r="B3405" s="33" t="s">
        <v>4340</v>
      </c>
      <c r="C3405" s="33" t="s">
        <v>660</v>
      </c>
      <c r="D3405" s="35">
        <f>SUMIFS(D3406:D9015,K3406:K9015,"0",B3406:B9015,"5 1 1 3 2 12 31111 6 M59 40200 000172 0000R 00001 00132 025 2111100 2024*")-SUMIFS(E3406:E9015,K3406:K9015,"0",B3406:B9015,"5 1 1 3 2 12 31111 6 M59 40200 000172 0000R 00001 00132 025 2111100 2024*")</f>
        <v>0</v>
      </c>
      <c r="E3405"/>
      <c r="F3405" s="35">
        <f>SUMIFS(F3406:F9015,K3406:K9015,"0",B3406:B9015,"5 1 1 3 2 12 31111 6 M59 40200 000172 0000R 00001 00132 025 2111100 2024*")</f>
        <v>265918.68</v>
      </c>
      <c r="G3405" s="35">
        <f>SUMIFS(G3406:G9015,K3406:K9015,"0",B3406:B9015,"5 1 1 3 2 12 31111 6 M59 40200 000172 0000R 00001 00132 025 2111100 2024*")</f>
        <v>0</v>
      </c>
      <c r="H3405" s="35">
        <f t="shared" si="54"/>
        <v>265918.68</v>
      </c>
      <c r="I3405" s="35"/>
      <c r="K3405" t="s">
        <v>15</v>
      </c>
    </row>
    <row r="3406" spans="2:11" ht="41.25" x14ac:dyDescent="0.2">
      <c r="B3406" s="33" t="s">
        <v>4341</v>
      </c>
      <c r="C3406" s="33" t="s">
        <v>1056</v>
      </c>
      <c r="D3406" s="35">
        <f>SUMIFS(D3407:D9015,K3407:K9015,"0",B3407:B9015,"5 1 1 3 2 12 31111 6 M59 40200 000172 0000R 00001 00132 025 2111100 2024 CP4PC370*")-SUMIFS(E3407:E9015,K3407:K9015,"0",B3407:B9015,"5 1 1 3 2 12 31111 6 M59 40200 000172 0000R 00001 00132 025 2111100 2024 CP4PC370*")</f>
        <v>0</v>
      </c>
      <c r="E3406"/>
      <c r="F3406" s="35">
        <f>SUMIFS(F3407:F9015,K3407:K9015,"0",B3407:B9015,"5 1 1 3 2 12 31111 6 M59 40200 000172 0000R 00001 00132 025 2111100 2024 CP4PC370*")</f>
        <v>265918.68</v>
      </c>
      <c r="G3406" s="35">
        <f>SUMIFS(G3407:G9015,K3407:K9015,"0",B3407:B9015,"5 1 1 3 2 12 31111 6 M59 40200 000172 0000R 00001 00132 025 2111100 2024 CP4PC370*")</f>
        <v>0</v>
      </c>
      <c r="H3406" s="35">
        <f t="shared" si="54"/>
        <v>265918.68</v>
      </c>
      <c r="I3406" s="35"/>
      <c r="K3406" t="s">
        <v>15</v>
      </c>
    </row>
    <row r="3407" spans="2:11" ht="41.25" x14ac:dyDescent="0.2">
      <c r="B3407" s="33" t="s">
        <v>4342</v>
      </c>
      <c r="C3407" s="33" t="s">
        <v>664</v>
      </c>
      <c r="D3407" s="35">
        <f>SUMIFS(D3408:D9015,K3408:K9015,"0",B3408:B9015,"5 1 1 3 2 12 31111 6 M59 40200 000172 0000R 00001 00132 025 2111100 2024 CP4PC370 003*")-SUMIFS(E3408:E9015,K3408:K9015,"0",B3408:B9015,"5 1 1 3 2 12 31111 6 M59 40200 000172 0000R 00001 00132 025 2111100 2024 CP4PC370 003*")</f>
        <v>0</v>
      </c>
      <c r="E3407"/>
      <c r="F3407" s="35">
        <f>SUMIFS(F3408:F9015,K3408:K9015,"0",B3408:B9015,"5 1 1 3 2 12 31111 6 M59 40200 000172 0000R 00001 00132 025 2111100 2024 CP4PC370 003*")</f>
        <v>265918.68</v>
      </c>
      <c r="G3407" s="35">
        <f>SUMIFS(G3408:G9015,K3408:K9015,"0",B3408:B9015,"5 1 1 3 2 12 31111 6 M59 40200 000172 0000R 00001 00132 025 2111100 2024 CP4PC370 003*")</f>
        <v>0</v>
      </c>
      <c r="H3407" s="35">
        <f t="shared" si="54"/>
        <v>265918.68</v>
      </c>
      <c r="I3407" s="35"/>
      <c r="K3407" t="s">
        <v>15</v>
      </c>
    </row>
    <row r="3408" spans="2:11" ht="33" x14ac:dyDescent="0.2">
      <c r="B3408" s="31" t="s">
        <v>4343</v>
      </c>
      <c r="C3408" s="31" t="s">
        <v>4332</v>
      </c>
      <c r="D3408" s="34">
        <v>0</v>
      </c>
      <c r="E3408" s="34"/>
      <c r="F3408" s="34">
        <v>265918.68</v>
      </c>
      <c r="G3408" s="34">
        <v>0</v>
      </c>
      <c r="H3408" s="34">
        <f t="shared" si="54"/>
        <v>265918.68</v>
      </c>
      <c r="I3408" s="34"/>
      <c r="K3408" t="s">
        <v>38</v>
      </c>
    </row>
    <row r="3409" spans="2:11" ht="16.5" x14ac:dyDescent="0.2">
      <c r="B3409" s="33" t="s">
        <v>4344</v>
      </c>
      <c r="C3409" s="33" t="s">
        <v>3256</v>
      </c>
      <c r="D3409" s="35">
        <f>SUMIFS(D3410:D9015,K3410:K9015,"0",B3410:B9015,"5 1 1 3 2 12 31111 6 M59 40300*")-SUMIFS(E3410:E9015,K3410:K9015,"0",B3410:B9015,"5 1 1 3 2 12 31111 6 M59 40300*")</f>
        <v>0</v>
      </c>
      <c r="E3409"/>
      <c r="F3409" s="35">
        <f>SUMIFS(F3410:F9015,K3410:K9015,"0",B3410:B9015,"5 1 1 3 2 12 31111 6 M59 40300*")</f>
        <v>238446.05</v>
      </c>
      <c r="G3409" s="35">
        <f>SUMIFS(G3410:G9015,K3410:K9015,"0",B3410:B9015,"5 1 1 3 2 12 31111 6 M59 40300*")</f>
        <v>0</v>
      </c>
      <c r="H3409" s="35">
        <f t="shared" si="54"/>
        <v>238446.05</v>
      </c>
      <c r="I3409" s="35"/>
      <c r="K3409" t="s">
        <v>15</v>
      </c>
    </row>
    <row r="3410" spans="2:11" ht="16.5" x14ac:dyDescent="0.2">
      <c r="B3410" s="33" t="s">
        <v>4345</v>
      </c>
      <c r="C3410" s="33" t="s">
        <v>1063</v>
      </c>
      <c r="D3410" s="35">
        <f>SUMIFS(D3411:D9015,K3411:K9015,"0",B3411:B9015,"5 1 1 3 2 12 31111 6 M59 40300 000185*")-SUMIFS(E3411:E9015,K3411:K9015,"0",B3411:B9015,"5 1 1 3 2 12 31111 6 M59 40300 000185*")</f>
        <v>0</v>
      </c>
      <c r="E3410"/>
      <c r="F3410" s="35">
        <f>SUMIFS(F3411:F9015,K3411:K9015,"0",B3411:B9015,"5 1 1 3 2 12 31111 6 M59 40300 000185*")</f>
        <v>238446.05</v>
      </c>
      <c r="G3410" s="35">
        <f>SUMIFS(G3411:G9015,K3411:K9015,"0",B3411:B9015,"5 1 1 3 2 12 31111 6 M59 40300 000185*")</f>
        <v>0</v>
      </c>
      <c r="H3410" s="35">
        <f t="shared" si="54"/>
        <v>238446.05</v>
      </c>
      <c r="I3410" s="35"/>
      <c r="K3410" t="s">
        <v>15</v>
      </c>
    </row>
    <row r="3411" spans="2:11" ht="24.75" x14ac:dyDescent="0.2">
      <c r="B3411" s="33" t="s">
        <v>4346</v>
      </c>
      <c r="C3411" s="33" t="s">
        <v>650</v>
      </c>
      <c r="D3411" s="35">
        <f>SUMIFS(D3412:D9015,K3412:K9015,"0",B3412:B9015,"5 1 1 3 2 12 31111 6 M59 40300 000185 0000R*")-SUMIFS(E3412:E9015,K3412:K9015,"0",B3412:B9015,"5 1 1 3 2 12 31111 6 M59 40300 000185 0000R*")</f>
        <v>0</v>
      </c>
      <c r="E3411"/>
      <c r="F3411" s="35">
        <f>SUMIFS(F3412:F9015,K3412:K9015,"0",B3412:B9015,"5 1 1 3 2 12 31111 6 M59 40300 000185 0000R*")</f>
        <v>238446.05</v>
      </c>
      <c r="G3411" s="35">
        <f>SUMIFS(G3412:G9015,K3412:K9015,"0",B3412:B9015,"5 1 1 3 2 12 31111 6 M59 40300 000185 0000R*")</f>
        <v>0</v>
      </c>
      <c r="H3411" s="35">
        <f t="shared" si="54"/>
        <v>238446.05</v>
      </c>
      <c r="I3411" s="35"/>
      <c r="K3411" t="s">
        <v>15</v>
      </c>
    </row>
    <row r="3412" spans="2:11" ht="24.75" x14ac:dyDescent="0.2">
      <c r="B3412" s="33" t="s">
        <v>4347</v>
      </c>
      <c r="C3412" s="33" t="s">
        <v>282</v>
      </c>
      <c r="D3412" s="35">
        <f>SUMIFS(D3413:D9015,K3413:K9015,"0",B3413:B9015,"5 1 1 3 2 12 31111 6 M59 40300 000185 0000R 00001*")-SUMIFS(E3413:E9015,K3413:K9015,"0",B3413:B9015,"5 1 1 3 2 12 31111 6 M59 40300 000185 0000R 00001*")</f>
        <v>0</v>
      </c>
      <c r="E3412"/>
      <c r="F3412" s="35">
        <f>SUMIFS(F3413:F9015,K3413:K9015,"0",B3413:B9015,"5 1 1 3 2 12 31111 6 M59 40300 000185 0000R 00001*")</f>
        <v>238446.05</v>
      </c>
      <c r="G3412" s="35">
        <f>SUMIFS(G3413:G9015,K3413:K9015,"0",B3413:B9015,"5 1 1 3 2 12 31111 6 M59 40300 000185 0000R 00001*")</f>
        <v>0</v>
      </c>
      <c r="H3412" s="35">
        <f t="shared" si="54"/>
        <v>238446.05</v>
      </c>
      <c r="I3412" s="35"/>
      <c r="K3412" t="s">
        <v>15</v>
      </c>
    </row>
    <row r="3413" spans="2:11" ht="24.75" x14ac:dyDescent="0.2">
      <c r="B3413" s="33" t="s">
        <v>4348</v>
      </c>
      <c r="C3413" s="33" t="s">
        <v>4041</v>
      </c>
      <c r="D3413" s="35">
        <f>SUMIFS(D3414:D9015,K3414:K9015,"0",B3414:B9015,"5 1 1 3 2 12 31111 6 M59 40300 000185 0000R 00001 00132*")-SUMIFS(E3414:E9015,K3414:K9015,"0",B3414:B9015,"5 1 1 3 2 12 31111 6 M59 40300 000185 0000R 00001 00132*")</f>
        <v>0</v>
      </c>
      <c r="E3413"/>
      <c r="F3413" s="35">
        <f>SUMIFS(F3414:F9015,K3414:K9015,"0",B3414:B9015,"5 1 1 3 2 12 31111 6 M59 40300 000185 0000R 00001 00132*")</f>
        <v>238446.05</v>
      </c>
      <c r="G3413" s="35">
        <f>SUMIFS(G3414:G9015,K3414:K9015,"0",B3414:B9015,"5 1 1 3 2 12 31111 6 M59 40300 000185 0000R 00001 00132*")</f>
        <v>0</v>
      </c>
      <c r="H3413" s="35">
        <f t="shared" si="54"/>
        <v>238446.05</v>
      </c>
      <c r="I3413" s="35"/>
      <c r="K3413" t="s">
        <v>15</v>
      </c>
    </row>
    <row r="3414" spans="2:11" ht="33" x14ac:dyDescent="0.2">
      <c r="B3414" s="33" t="s">
        <v>4349</v>
      </c>
      <c r="C3414" s="33" t="s">
        <v>656</v>
      </c>
      <c r="D3414" s="35">
        <f>SUMIFS(D3415:D9015,K3415:K9015,"0",B3415:B9015,"5 1 1 3 2 12 31111 6 M59 40300 000185 0000R 00001 00132 025*")-SUMIFS(E3415:E9015,K3415:K9015,"0",B3415:B9015,"5 1 1 3 2 12 31111 6 M59 40300 000185 0000R 00001 00132 025*")</f>
        <v>0</v>
      </c>
      <c r="E3414"/>
      <c r="F3414" s="35">
        <f>SUMIFS(F3415:F9015,K3415:K9015,"0",B3415:B9015,"5 1 1 3 2 12 31111 6 M59 40300 000185 0000R 00001 00132 025*")</f>
        <v>238446.05</v>
      </c>
      <c r="G3414" s="35">
        <f>SUMIFS(G3415:G9015,K3415:K9015,"0",B3415:B9015,"5 1 1 3 2 12 31111 6 M59 40300 000185 0000R 00001 00132 025*")</f>
        <v>0</v>
      </c>
      <c r="H3414" s="35">
        <f t="shared" si="54"/>
        <v>238446.05</v>
      </c>
      <c r="I3414" s="35"/>
      <c r="K3414" t="s">
        <v>15</v>
      </c>
    </row>
    <row r="3415" spans="2:11" ht="33" x14ac:dyDescent="0.2">
      <c r="B3415" s="33" t="s">
        <v>4350</v>
      </c>
      <c r="C3415" s="33" t="s">
        <v>2927</v>
      </c>
      <c r="D3415" s="35">
        <f>SUMIFS(D3416:D9015,K3416:K9015,"0",B3416:B9015,"5 1 1 3 2 12 31111 6 M59 40300 000185 0000R 00001 00132 025 2111100*")-SUMIFS(E3416:E9015,K3416:K9015,"0",B3416:B9015,"5 1 1 3 2 12 31111 6 M59 40300 000185 0000R 00001 00132 025 2111100*")</f>
        <v>0</v>
      </c>
      <c r="E3415"/>
      <c r="F3415" s="35">
        <f>SUMIFS(F3416:F9015,K3416:K9015,"0",B3416:B9015,"5 1 1 3 2 12 31111 6 M59 40300 000185 0000R 00001 00132 025 2111100*")</f>
        <v>238446.05</v>
      </c>
      <c r="G3415" s="35">
        <f>SUMIFS(G3416:G9015,K3416:K9015,"0",B3416:B9015,"5 1 1 3 2 12 31111 6 M59 40300 000185 0000R 00001 00132 025 2111100*")</f>
        <v>0</v>
      </c>
      <c r="H3415" s="35">
        <f t="shared" si="54"/>
        <v>238446.05</v>
      </c>
      <c r="I3415" s="35"/>
      <c r="K3415" t="s">
        <v>15</v>
      </c>
    </row>
    <row r="3416" spans="2:11" ht="33" x14ac:dyDescent="0.2">
      <c r="B3416" s="33" t="s">
        <v>4351</v>
      </c>
      <c r="C3416" s="33" t="s">
        <v>660</v>
      </c>
      <c r="D3416" s="35">
        <f>SUMIFS(D3417:D9015,K3417:K9015,"0",B3417:B9015,"5 1 1 3 2 12 31111 6 M59 40300 000185 0000R 00001 00132 025 2111100 2024*")-SUMIFS(E3417:E9015,K3417:K9015,"0",B3417:B9015,"5 1 1 3 2 12 31111 6 M59 40300 000185 0000R 00001 00132 025 2111100 2024*")</f>
        <v>0</v>
      </c>
      <c r="E3416"/>
      <c r="F3416" s="35">
        <f>SUMIFS(F3417:F9015,K3417:K9015,"0",B3417:B9015,"5 1 1 3 2 12 31111 6 M59 40300 000185 0000R 00001 00132 025 2111100 2024*")</f>
        <v>238446.05</v>
      </c>
      <c r="G3416" s="35">
        <f>SUMIFS(G3417:G9015,K3417:K9015,"0",B3417:B9015,"5 1 1 3 2 12 31111 6 M59 40300 000185 0000R 00001 00132 025 2111100 2024*")</f>
        <v>0</v>
      </c>
      <c r="H3416" s="35">
        <f t="shared" si="54"/>
        <v>238446.05</v>
      </c>
      <c r="I3416" s="35"/>
      <c r="K3416" t="s">
        <v>15</v>
      </c>
    </row>
    <row r="3417" spans="2:11" ht="41.25" x14ac:dyDescent="0.2">
      <c r="B3417" s="33" t="s">
        <v>4352</v>
      </c>
      <c r="C3417" s="33" t="s">
        <v>662</v>
      </c>
      <c r="D3417" s="35">
        <f>SUMIFS(D3418:D9015,K3418:K9015,"0",B3418:B9015,"5 1 1 3 2 12 31111 6 M59 40300 000185 0000R 00001 00132 025 2111100 2024 CP4TV371*")-SUMIFS(E3418:E9015,K3418:K9015,"0",B3418:B9015,"5 1 1 3 2 12 31111 6 M59 40300 000185 0000R 00001 00132 025 2111100 2024 CP4TV371*")</f>
        <v>0</v>
      </c>
      <c r="E3417"/>
      <c r="F3417" s="35">
        <f>SUMIFS(F3418:F9015,K3418:K9015,"0",B3418:B9015,"5 1 1 3 2 12 31111 6 M59 40300 000185 0000R 00001 00132 025 2111100 2024 CP4TV371*")</f>
        <v>238446.05</v>
      </c>
      <c r="G3417" s="35">
        <f>SUMIFS(G3418:G9015,K3418:K9015,"0",B3418:B9015,"5 1 1 3 2 12 31111 6 M59 40300 000185 0000R 00001 00132 025 2111100 2024 CP4TV371*")</f>
        <v>0</v>
      </c>
      <c r="H3417" s="35">
        <f t="shared" si="54"/>
        <v>238446.05</v>
      </c>
      <c r="I3417" s="35"/>
      <c r="K3417" t="s">
        <v>15</v>
      </c>
    </row>
    <row r="3418" spans="2:11" ht="41.25" x14ac:dyDescent="0.2">
      <c r="B3418" s="33" t="s">
        <v>4353</v>
      </c>
      <c r="C3418" s="33" t="s">
        <v>664</v>
      </c>
      <c r="D3418" s="35">
        <f>SUMIFS(D3419:D9015,K3419:K9015,"0",B3419:B9015,"5 1 1 3 2 12 31111 6 M59 40300 000185 0000R 00001 00132 025 2111100 2024 CP4TV371 003*")-SUMIFS(E3419:E9015,K3419:K9015,"0",B3419:B9015,"5 1 1 3 2 12 31111 6 M59 40300 000185 0000R 00001 00132 025 2111100 2024 CP4TV371 003*")</f>
        <v>0</v>
      </c>
      <c r="E3418"/>
      <c r="F3418" s="35">
        <f>SUMIFS(F3419:F9015,K3419:K9015,"0",B3419:B9015,"5 1 1 3 2 12 31111 6 M59 40300 000185 0000R 00001 00132 025 2111100 2024 CP4TV371 003*")</f>
        <v>238446.05</v>
      </c>
      <c r="G3418" s="35">
        <f>SUMIFS(G3419:G9015,K3419:K9015,"0",B3419:B9015,"5 1 1 3 2 12 31111 6 M59 40300 000185 0000R 00001 00132 025 2111100 2024 CP4TV371 003*")</f>
        <v>0</v>
      </c>
      <c r="H3418" s="35">
        <f t="shared" si="54"/>
        <v>238446.05</v>
      </c>
      <c r="I3418" s="35"/>
      <c r="K3418" t="s">
        <v>15</v>
      </c>
    </row>
    <row r="3419" spans="2:11" ht="33" x14ac:dyDescent="0.2">
      <c r="B3419" s="31" t="s">
        <v>4354</v>
      </c>
      <c r="C3419" s="31" t="s">
        <v>4332</v>
      </c>
      <c r="D3419" s="34">
        <v>0</v>
      </c>
      <c r="E3419" s="34"/>
      <c r="F3419" s="34">
        <v>238446.05</v>
      </c>
      <c r="G3419" s="34">
        <v>0</v>
      </c>
      <c r="H3419" s="34">
        <f t="shared" si="54"/>
        <v>238446.05</v>
      </c>
      <c r="I3419" s="34"/>
      <c r="K3419" t="s">
        <v>38</v>
      </c>
    </row>
    <row r="3420" spans="2:11" ht="16.5" x14ac:dyDescent="0.2">
      <c r="B3420" s="33" t="s">
        <v>4355</v>
      </c>
      <c r="C3420" s="33" t="s">
        <v>3268</v>
      </c>
      <c r="D3420" s="35">
        <f>SUMIFS(D3421:D9015,K3421:K9015,"0",B3421:B9015,"5 1 1 3 2 12 31111 6 M59 40400*")-SUMIFS(E3421:E9015,K3421:K9015,"0",B3421:B9015,"5 1 1 3 2 12 31111 6 M59 40400*")</f>
        <v>0</v>
      </c>
      <c r="E3420"/>
      <c r="F3420" s="35">
        <f>SUMIFS(F3421:F9015,K3421:K9015,"0",B3421:B9015,"5 1 1 3 2 12 31111 6 M59 40400*")</f>
        <v>15661</v>
      </c>
      <c r="G3420" s="35">
        <f>SUMIFS(G3421:G9015,K3421:K9015,"0",B3421:B9015,"5 1 1 3 2 12 31111 6 M59 40400*")</f>
        <v>0</v>
      </c>
      <c r="H3420" s="35">
        <f t="shared" si="54"/>
        <v>15661</v>
      </c>
      <c r="I3420" s="35"/>
      <c r="K3420" t="s">
        <v>15</v>
      </c>
    </row>
    <row r="3421" spans="2:11" ht="16.5" x14ac:dyDescent="0.2">
      <c r="B3421" s="33" t="s">
        <v>4356</v>
      </c>
      <c r="C3421" s="33" t="s">
        <v>3270</v>
      </c>
      <c r="D3421" s="35">
        <f>SUMIFS(D3422:D9015,K3422:K9015,"0",B3422:B9015,"5 1 1 3 2 12 31111 6 M59 40400 000173*")-SUMIFS(E3422:E9015,K3422:K9015,"0",B3422:B9015,"5 1 1 3 2 12 31111 6 M59 40400 000173*")</f>
        <v>0</v>
      </c>
      <c r="E3421"/>
      <c r="F3421" s="35">
        <f>SUMIFS(F3422:F9015,K3422:K9015,"0",B3422:B9015,"5 1 1 3 2 12 31111 6 M59 40400 000173*")</f>
        <v>15661</v>
      </c>
      <c r="G3421" s="35">
        <f>SUMIFS(G3422:G9015,K3422:K9015,"0",B3422:B9015,"5 1 1 3 2 12 31111 6 M59 40400 000173*")</f>
        <v>0</v>
      </c>
      <c r="H3421" s="35">
        <f t="shared" si="54"/>
        <v>15661</v>
      </c>
      <c r="I3421" s="35"/>
      <c r="K3421" t="s">
        <v>15</v>
      </c>
    </row>
    <row r="3422" spans="2:11" ht="24.75" x14ac:dyDescent="0.2">
      <c r="B3422" s="33" t="s">
        <v>4357</v>
      </c>
      <c r="C3422" s="33" t="s">
        <v>650</v>
      </c>
      <c r="D3422" s="35">
        <f>SUMIFS(D3423:D9015,K3423:K9015,"0",B3423:B9015,"5 1 1 3 2 12 31111 6 M59 40400 000173 0000R*")-SUMIFS(E3423:E9015,K3423:K9015,"0",B3423:B9015,"5 1 1 3 2 12 31111 6 M59 40400 000173 0000R*")</f>
        <v>0</v>
      </c>
      <c r="E3422"/>
      <c r="F3422" s="35">
        <f>SUMIFS(F3423:F9015,K3423:K9015,"0",B3423:B9015,"5 1 1 3 2 12 31111 6 M59 40400 000173 0000R*")</f>
        <v>15661</v>
      </c>
      <c r="G3422" s="35">
        <f>SUMIFS(G3423:G9015,K3423:K9015,"0",B3423:B9015,"5 1 1 3 2 12 31111 6 M59 40400 000173 0000R*")</f>
        <v>0</v>
      </c>
      <c r="H3422" s="35">
        <f t="shared" si="54"/>
        <v>15661</v>
      </c>
      <c r="I3422" s="35"/>
      <c r="K3422" t="s">
        <v>15</v>
      </c>
    </row>
    <row r="3423" spans="2:11" ht="24.75" x14ac:dyDescent="0.2">
      <c r="B3423" s="33" t="s">
        <v>4358</v>
      </c>
      <c r="C3423" s="33" t="s">
        <v>282</v>
      </c>
      <c r="D3423" s="35">
        <f>SUMIFS(D3424:D9015,K3424:K9015,"0",B3424:B9015,"5 1 1 3 2 12 31111 6 M59 40400 000173 0000R 00001*")-SUMIFS(E3424:E9015,K3424:K9015,"0",B3424:B9015,"5 1 1 3 2 12 31111 6 M59 40400 000173 0000R 00001*")</f>
        <v>0</v>
      </c>
      <c r="E3423"/>
      <c r="F3423" s="35">
        <f>SUMIFS(F3424:F9015,K3424:K9015,"0",B3424:B9015,"5 1 1 3 2 12 31111 6 M59 40400 000173 0000R 00001*")</f>
        <v>15661</v>
      </c>
      <c r="G3423" s="35">
        <f>SUMIFS(G3424:G9015,K3424:K9015,"0",B3424:B9015,"5 1 1 3 2 12 31111 6 M59 40400 000173 0000R 00001*")</f>
        <v>0</v>
      </c>
      <c r="H3423" s="35">
        <f t="shared" si="54"/>
        <v>15661</v>
      </c>
      <c r="I3423" s="35"/>
      <c r="K3423" t="s">
        <v>15</v>
      </c>
    </row>
    <row r="3424" spans="2:11" ht="24.75" x14ac:dyDescent="0.2">
      <c r="B3424" s="33" t="s">
        <v>4359</v>
      </c>
      <c r="C3424" s="33" t="s">
        <v>4041</v>
      </c>
      <c r="D3424" s="35">
        <f>SUMIFS(D3425:D9015,K3425:K9015,"0",B3425:B9015,"5 1 1 3 2 12 31111 6 M59 40400 000173 0000R 00001 00132*")-SUMIFS(E3425:E9015,K3425:K9015,"0",B3425:B9015,"5 1 1 3 2 12 31111 6 M59 40400 000173 0000R 00001 00132*")</f>
        <v>0</v>
      </c>
      <c r="E3424"/>
      <c r="F3424" s="35">
        <f>SUMIFS(F3425:F9015,K3425:K9015,"0",B3425:B9015,"5 1 1 3 2 12 31111 6 M59 40400 000173 0000R 00001 00132*")</f>
        <v>15661</v>
      </c>
      <c r="G3424" s="35">
        <f>SUMIFS(G3425:G9015,K3425:K9015,"0",B3425:B9015,"5 1 1 3 2 12 31111 6 M59 40400 000173 0000R 00001 00132*")</f>
        <v>0</v>
      </c>
      <c r="H3424" s="35">
        <f t="shared" si="54"/>
        <v>15661</v>
      </c>
      <c r="I3424" s="35"/>
      <c r="K3424" t="s">
        <v>15</v>
      </c>
    </row>
    <row r="3425" spans="2:11" ht="33" x14ac:dyDescent="0.2">
      <c r="B3425" s="33" t="s">
        <v>4360</v>
      </c>
      <c r="C3425" s="33" t="s">
        <v>656</v>
      </c>
      <c r="D3425" s="35">
        <f>SUMIFS(D3426:D9015,K3426:K9015,"0",B3426:B9015,"5 1 1 3 2 12 31111 6 M59 40400 000173 0000R 00001 00132 025*")-SUMIFS(E3426:E9015,K3426:K9015,"0",B3426:B9015,"5 1 1 3 2 12 31111 6 M59 40400 000173 0000R 00001 00132 025*")</f>
        <v>0</v>
      </c>
      <c r="E3425"/>
      <c r="F3425" s="35">
        <f>SUMIFS(F3426:F9015,K3426:K9015,"0",B3426:B9015,"5 1 1 3 2 12 31111 6 M59 40400 000173 0000R 00001 00132 025*")</f>
        <v>15661</v>
      </c>
      <c r="G3425" s="35">
        <f>SUMIFS(G3426:G9015,K3426:K9015,"0",B3426:B9015,"5 1 1 3 2 12 31111 6 M59 40400 000173 0000R 00001 00132 025*")</f>
        <v>0</v>
      </c>
      <c r="H3425" s="35">
        <f t="shared" si="54"/>
        <v>15661</v>
      </c>
      <c r="I3425" s="35"/>
      <c r="K3425" t="s">
        <v>15</v>
      </c>
    </row>
    <row r="3426" spans="2:11" ht="33" x14ac:dyDescent="0.2">
      <c r="B3426" s="33" t="s">
        <v>4361</v>
      </c>
      <c r="C3426" s="33" t="s">
        <v>2927</v>
      </c>
      <c r="D3426" s="35">
        <f>SUMIFS(D3427:D9015,K3427:K9015,"0",B3427:B9015,"5 1 1 3 2 12 31111 6 M59 40400 000173 0000R 00001 00132 025 2111100*")-SUMIFS(E3427:E9015,K3427:K9015,"0",B3427:B9015,"5 1 1 3 2 12 31111 6 M59 40400 000173 0000R 00001 00132 025 2111100*")</f>
        <v>0</v>
      </c>
      <c r="E3426"/>
      <c r="F3426" s="35">
        <f>SUMIFS(F3427:F9015,K3427:K9015,"0",B3427:B9015,"5 1 1 3 2 12 31111 6 M59 40400 000173 0000R 00001 00132 025 2111100*")</f>
        <v>15661</v>
      </c>
      <c r="G3426" s="35">
        <f>SUMIFS(G3427:G9015,K3427:K9015,"0",B3427:B9015,"5 1 1 3 2 12 31111 6 M59 40400 000173 0000R 00001 00132 025 2111100*")</f>
        <v>0</v>
      </c>
      <c r="H3426" s="35">
        <f t="shared" si="54"/>
        <v>15661</v>
      </c>
      <c r="I3426" s="35"/>
      <c r="K3426" t="s">
        <v>15</v>
      </c>
    </row>
    <row r="3427" spans="2:11" ht="33" x14ac:dyDescent="0.2">
      <c r="B3427" s="33" t="s">
        <v>4362</v>
      </c>
      <c r="C3427" s="33" t="s">
        <v>660</v>
      </c>
      <c r="D3427" s="35">
        <f>SUMIFS(D3428:D9015,K3428:K9015,"0",B3428:B9015,"5 1 1 3 2 12 31111 6 M59 40400 000173 0000R 00001 00132 025 2111100 2024*")-SUMIFS(E3428:E9015,K3428:K9015,"0",B3428:B9015,"5 1 1 3 2 12 31111 6 M59 40400 000173 0000R 00001 00132 025 2111100 2024*")</f>
        <v>0</v>
      </c>
      <c r="E3427"/>
      <c r="F3427" s="35">
        <f>SUMIFS(F3428:F9015,K3428:K9015,"0",B3428:B9015,"5 1 1 3 2 12 31111 6 M59 40400 000173 0000R 00001 00132 025 2111100 2024*")</f>
        <v>15661</v>
      </c>
      <c r="G3427" s="35">
        <f>SUMIFS(G3428:G9015,K3428:K9015,"0",B3428:B9015,"5 1 1 3 2 12 31111 6 M59 40400 000173 0000R 00001 00132 025 2111100 2024*")</f>
        <v>0</v>
      </c>
      <c r="H3427" s="35">
        <f t="shared" si="54"/>
        <v>15661</v>
      </c>
      <c r="I3427" s="35"/>
      <c r="K3427" t="s">
        <v>15</v>
      </c>
    </row>
    <row r="3428" spans="2:11" ht="41.25" x14ac:dyDescent="0.2">
      <c r="B3428" s="33" t="s">
        <v>4363</v>
      </c>
      <c r="C3428" s="33" t="s">
        <v>662</v>
      </c>
      <c r="D3428" s="35">
        <f>SUMIFS(D3429:D9015,K3429:K9015,"0",B3429:B9015,"5 1 1 3 2 12 31111 6 M59 40400 000173 0000R 00001 00132 025 2111100 2024 CP4PD369*")-SUMIFS(E3429:E9015,K3429:K9015,"0",B3429:B9015,"5 1 1 3 2 12 31111 6 M59 40400 000173 0000R 00001 00132 025 2111100 2024 CP4PD369*")</f>
        <v>0</v>
      </c>
      <c r="E3428"/>
      <c r="F3428" s="35">
        <f>SUMIFS(F3429:F9015,K3429:K9015,"0",B3429:B9015,"5 1 1 3 2 12 31111 6 M59 40400 000173 0000R 00001 00132 025 2111100 2024 CP4PD369*")</f>
        <v>15661</v>
      </c>
      <c r="G3428" s="35">
        <f>SUMIFS(G3429:G9015,K3429:K9015,"0",B3429:B9015,"5 1 1 3 2 12 31111 6 M59 40400 000173 0000R 00001 00132 025 2111100 2024 CP4PD369*")</f>
        <v>0</v>
      </c>
      <c r="H3428" s="35">
        <f t="shared" si="54"/>
        <v>15661</v>
      </c>
      <c r="I3428" s="35"/>
      <c r="K3428" t="s">
        <v>15</v>
      </c>
    </row>
    <row r="3429" spans="2:11" ht="41.25" x14ac:dyDescent="0.2">
      <c r="B3429" s="33" t="s">
        <v>4364</v>
      </c>
      <c r="C3429" s="33" t="s">
        <v>664</v>
      </c>
      <c r="D3429" s="35">
        <f>SUMIFS(D3430:D9015,K3430:K9015,"0",B3430:B9015,"5 1 1 3 2 12 31111 6 M59 40400 000173 0000R 00001 00132 025 2111100 2024 CP4PD369 003*")-SUMIFS(E3430:E9015,K3430:K9015,"0",B3430:B9015,"5 1 1 3 2 12 31111 6 M59 40400 000173 0000R 00001 00132 025 2111100 2024 CP4PD369 003*")</f>
        <v>0</v>
      </c>
      <c r="E3429"/>
      <c r="F3429" s="35">
        <f>SUMIFS(F3430:F9015,K3430:K9015,"0",B3430:B9015,"5 1 1 3 2 12 31111 6 M59 40400 000173 0000R 00001 00132 025 2111100 2024 CP4PD369 003*")</f>
        <v>15661</v>
      </c>
      <c r="G3429" s="35">
        <f>SUMIFS(G3430:G9015,K3430:K9015,"0",B3430:B9015,"5 1 1 3 2 12 31111 6 M59 40400 000173 0000R 00001 00132 025 2111100 2024 CP4PD369 003*")</f>
        <v>0</v>
      </c>
      <c r="H3429" s="35">
        <f t="shared" si="54"/>
        <v>15661</v>
      </c>
      <c r="I3429" s="35"/>
      <c r="K3429" t="s">
        <v>15</v>
      </c>
    </row>
    <row r="3430" spans="2:11" ht="33" x14ac:dyDescent="0.2">
      <c r="B3430" s="31" t="s">
        <v>4365</v>
      </c>
      <c r="C3430" s="31" t="s">
        <v>4332</v>
      </c>
      <c r="D3430" s="34">
        <v>0</v>
      </c>
      <c r="E3430" s="34"/>
      <c r="F3430" s="34">
        <v>15661</v>
      </c>
      <c r="G3430" s="34">
        <v>0</v>
      </c>
      <c r="H3430" s="34">
        <f t="shared" si="54"/>
        <v>15661</v>
      </c>
      <c r="I3430" s="34"/>
      <c r="K3430" t="s">
        <v>38</v>
      </c>
    </row>
    <row r="3431" spans="2:11" ht="16.5" x14ac:dyDescent="0.2">
      <c r="B3431" s="33" t="s">
        <v>4366</v>
      </c>
      <c r="C3431" s="33" t="s">
        <v>3281</v>
      </c>
      <c r="D3431" s="35">
        <f>SUMIFS(D3432:D9015,K3432:K9015,"0",B3432:B9015,"5 1 1 3 2 12 31111 6 M59 50000*")-SUMIFS(E3432:E9015,K3432:K9015,"0",B3432:B9015,"5 1 1 3 2 12 31111 6 M59 50000*")</f>
        <v>0</v>
      </c>
      <c r="E3431"/>
      <c r="F3431" s="35">
        <f>SUMIFS(F3432:F9015,K3432:K9015,"0",B3432:B9015,"5 1 1 3 2 12 31111 6 M59 50000*")</f>
        <v>68164.7</v>
      </c>
      <c r="G3431" s="35">
        <f>SUMIFS(G3432:G9015,K3432:K9015,"0",B3432:B9015,"5 1 1 3 2 12 31111 6 M59 50000*")</f>
        <v>0</v>
      </c>
      <c r="H3431" s="35">
        <f t="shared" si="54"/>
        <v>68164.7</v>
      </c>
      <c r="I3431" s="35"/>
      <c r="K3431" t="s">
        <v>15</v>
      </c>
    </row>
    <row r="3432" spans="2:11" ht="16.5" x14ac:dyDescent="0.2">
      <c r="B3432" s="33" t="s">
        <v>4367</v>
      </c>
      <c r="C3432" s="33" t="s">
        <v>3283</v>
      </c>
      <c r="D3432" s="35">
        <f>SUMIFS(D3433:D9015,K3433:K9015,"0",B3433:B9015,"5 1 1 3 2 12 31111 6 M59 50000 000223*")-SUMIFS(E3433:E9015,K3433:K9015,"0",B3433:B9015,"5 1 1 3 2 12 31111 6 M59 50000 000223*")</f>
        <v>0</v>
      </c>
      <c r="E3432"/>
      <c r="F3432" s="35">
        <f>SUMIFS(F3433:F9015,K3433:K9015,"0",B3433:B9015,"5 1 1 3 2 12 31111 6 M59 50000 000223*")</f>
        <v>68164.7</v>
      </c>
      <c r="G3432" s="35">
        <f>SUMIFS(G3433:G9015,K3433:K9015,"0",B3433:B9015,"5 1 1 3 2 12 31111 6 M59 50000 000223*")</f>
        <v>0</v>
      </c>
      <c r="H3432" s="35">
        <f t="shared" si="54"/>
        <v>68164.7</v>
      </c>
      <c r="I3432" s="35"/>
      <c r="K3432" t="s">
        <v>15</v>
      </c>
    </row>
    <row r="3433" spans="2:11" ht="24.75" x14ac:dyDescent="0.2">
      <c r="B3433" s="33" t="s">
        <v>4368</v>
      </c>
      <c r="C3433" s="33" t="s">
        <v>1065</v>
      </c>
      <c r="D3433" s="35">
        <f>SUMIFS(D3434:D9015,K3434:K9015,"0",B3434:B9015,"5 1 1 3 2 12 31111 6 M59 50000 000223 0000E*")-SUMIFS(E3434:E9015,K3434:K9015,"0",B3434:B9015,"5 1 1 3 2 12 31111 6 M59 50000 000223 0000E*")</f>
        <v>0</v>
      </c>
      <c r="E3433"/>
      <c r="F3433" s="35">
        <f>SUMIFS(F3434:F9015,K3434:K9015,"0",B3434:B9015,"5 1 1 3 2 12 31111 6 M59 50000 000223 0000E*")</f>
        <v>68164.7</v>
      </c>
      <c r="G3433" s="35">
        <f>SUMIFS(G3434:G9015,K3434:K9015,"0",B3434:B9015,"5 1 1 3 2 12 31111 6 M59 50000 000223 0000E*")</f>
        <v>0</v>
      </c>
      <c r="H3433" s="35">
        <f t="shared" si="54"/>
        <v>68164.7</v>
      </c>
      <c r="I3433" s="35"/>
      <c r="K3433" t="s">
        <v>15</v>
      </c>
    </row>
    <row r="3434" spans="2:11" ht="24.75" x14ac:dyDescent="0.2">
      <c r="B3434" s="33" t="s">
        <v>4369</v>
      </c>
      <c r="C3434" s="33" t="s">
        <v>282</v>
      </c>
      <c r="D3434" s="35">
        <f>SUMIFS(D3435:D9015,K3435:K9015,"0",B3435:B9015,"5 1 1 3 2 12 31111 6 M59 50000 000223 0000E 00001*")-SUMIFS(E3435:E9015,K3435:K9015,"0",B3435:B9015,"5 1 1 3 2 12 31111 6 M59 50000 000223 0000E 00001*")</f>
        <v>0</v>
      </c>
      <c r="E3434"/>
      <c r="F3434" s="35">
        <f>SUMIFS(F3435:F9015,K3435:K9015,"0",B3435:B9015,"5 1 1 3 2 12 31111 6 M59 50000 000223 0000E 00001*")</f>
        <v>68164.7</v>
      </c>
      <c r="G3434" s="35">
        <f>SUMIFS(G3435:G9015,K3435:K9015,"0",B3435:B9015,"5 1 1 3 2 12 31111 6 M59 50000 000223 0000E 00001*")</f>
        <v>0</v>
      </c>
      <c r="H3434" s="35">
        <f t="shared" si="54"/>
        <v>68164.7</v>
      </c>
      <c r="I3434" s="35"/>
      <c r="K3434" t="s">
        <v>15</v>
      </c>
    </row>
    <row r="3435" spans="2:11" ht="24.75" x14ac:dyDescent="0.2">
      <c r="B3435" s="33" t="s">
        <v>4370</v>
      </c>
      <c r="C3435" s="33" t="s">
        <v>4041</v>
      </c>
      <c r="D3435" s="35">
        <f>SUMIFS(D3436:D9015,K3436:K9015,"0",B3436:B9015,"5 1 1 3 2 12 31111 6 M59 50000 000223 0000E 00001 00132*")-SUMIFS(E3436:E9015,K3436:K9015,"0",B3436:B9015,"5 1 1 3 2 12 31111 6 M59 50000 000223 0000E 00001 00132*")</f>
        <v>0</v>
      </c>
      <c r="E3435"/>
      <c r="F3435" s="35">
        <f>SUMIFS(F3436:F9015,K3436:K9015,"0",B3436:B9015,"5 1 1 3 2 12 31111 6 M59 50000 000223 0000E 00001 00132*")</f>
        <v>68164.7</v>
      </c>
      <c r="G3435" s="35">
        <f>SUMIFS(G3436:G9015,K3436:K9015,"0",B3436:B9015,"5 1 1 3 2 12 31111 6 M59 50000 000223 0000E 00001 00132*")</f>
        <v>0</v>
      </c>
      <c r="H3435" s="35">
        <f t="shared" si="54"/>
        <v>68164.7</v>
      </c>
      <c r="I3435" s="35"/>
      <c r="K3435" t="s">
        <v>15</v>
      </c>
    </row>
    <row r="3436" spans="2:11" ht="33" x14ac:dyDescent="0.2">
      <c r="B3436" s="33" t="s">
        <v>4371</v>
      </c>
      <c r="C3436" s="33" t="s">
        <v>1051</v>
      </c>
      <c r="D3436" s="35">
        <f>SUMIFS(D3437:D9015,K3437:K9015,"0",B3437:B9015,"5 1 1 3 2 12 31111 6 M59 50000 000223 0000E 00001 00132 015*")-SUMIFS(E3437:E9015,K3437:K9015,"0",B3437:B9015,"5 1 1 3 2 12 31111 6 M59 50000 000223 0000E 00001 00132 015*")</f>
        <v>0</v>
      </c>
      <c r="E3436"/>
      <c r="F3436" s="35">
        <f>SUMIFS(F3437:F9015,K3437:K9015,"0",B3437:B9015,"5 1 1 3 2 12 31111 6 M59 50000 000223 0000E 00001 00132 015*")</f>
        <v>68164.7</v>
      </c>
      <c r="G3436" s="35">
        <f>SUMIFS(G3437:G9015,K3437:K9015,"0",B3437:B9015,"5 1 1 3 2 12 31111 6 M59 50000 000223 0000E 00001 00132 015*")</f>
        <v>0</v>
      </c>
      <c r="H3436" s="35">
        <f t="shared" si="54"/>
        <v>68164.7</v>
      </c>
      <c r="I3436" s="35"/>
      <c r="K3436" t="s">
        <v>15</v>
      </c>
    </row>
    <row r="3437" spans="2:11" ht="33" x14ac:dyDescent="0.2">
      <c r="B3437" s="33" t="s">
        <v>4372</v>
      </c>
      <c r="C3437" s="33" t="s">
        <v>2927</v>
      </c>
      <c r="D3437" s="35">
        <f>SUMIFS(D3438:D9015,K3438:K9015,"0",B3438:B9015,"5 1 1 3 2 12 31111 6 M59 50000 000223 0000E 00001 00132 015 2111100*")-SUMIFS(E3438:E9015,K3438:K9015,"0",B3438:B9015,"5 1 1 3 2 12 31111 6 M59 50000 000223 0000E 00001 00132 015 2111100*")</f>
        <v>0</v>
      </c>
      <c r="E3437"/>
      <c r="F3437" s="35">
        <f>SUMIFS(F3438:F9015,K3438:K9015,"0",B3438:B9015,"5 1 1 3 2 12 31111 6 M59 50000 000223 0000E 00001 00132 015 2111100*")</f>
        <v>68164.7</v>
      </c>
      <c r="G3437" s="35">
        <f>SUMIFS(G3438:G9015,K3438:K9015,"0",B3438:B9015,"5 1 1 3 2 12 31111 6 M59 50000 000223 0000E 00001 00132 015 2111100*")</f>
        <v>0</v>
      </c>
      <c r="H3437" s="35">
        <f t="shared" si="54"/>
        <v>68164.7</v>
      </c>
      <c r="I3437" s="35"/>
      <c r="K3437" t="s">
        <v>15</v>
      </c>
    </row>
    <row r="3438" spans="2:11" ht="33" x14ac:dyDescent="0.2">
      <c r="B3438" s="33" t="s">
        <v>4373</v>
      </c>
      <c r="C3438" s="33" t="s">
        <v>660</v>
      </c>
      <c r="D3438" s="35">
        <f>SUMIFS(D3439:D9015,K3439:K9015,"0",B3439:B9015,"5 1 1 3 2 12 31111 6 M59 50000 000223 0000E 00001 00132 015 2111100 2024*")-SUMIFS(E3439:E9015,K3439:K9015,"0",B3439:B9015,"5 1 1 3 2 12 31111 6 M59 50000 000223 0000E 00001 00132 015 2111100 2024*")</f>
        <v>0</v>
      </c>
      <c r="E3438"/>
      <c r="F3438" s="35">
        <f>SUMIFS(F3439:F9015,K3439:K9015,"0",B3439:B9015,"5 1 1 3 2 12 31111 6 M59 50000 000223 0000E 00001 00132 015 2111100 2024*")</f>
        <v>68164.7</v>
      </c>
      <c r="G3438" s="35">
        <f>SUMIFS(G3439:G9015,K3439:K9015,"0",B3439:B9015,"5 1 1 3 2 12 31111 6 M59 50000 000223 0000E 00001 00132 015 2111100 2024*")</f>
        <v>0</v>
      </c>
      <c r="H3438" s="35">
        <f t="shared" si="54"/>
        <v>68164.7</v>
      </c>
      <c r="I3438" s="35"/>
      <c r="K3438" t="s">
        <v>15</v>
      </c>
    </row>
    <row r="3439" spans="2:11" ht="41.25" x14ac:dyDescent="0.2">
      <c r="B3439" s="33" t="s">
        <v>4374</v>
      </c>
      <c r="C3439" s="33" t="s">
        <v>662</v>
      </c>
      <c r="D3439" s="35">
        <f>SUMIFS(D3440:D9015,K3440:K9015,"0",B3440:B9015,"5 1 1 3 2 12 31111 6 M59 50000 000223 0000E 00001 00132 015 2111100 2024 CP1DA424*")-SUMIFS(E3440:E9015,K3440:K9015,"0",B3440:B9015,"5 1 1 3 2 12 31111 6 M59 50000 000223 0000E 00001 00132 015 2111100 2024 CP1DA424*")</f>
        <v>0</v>
      </c>
      <c r="E3439"/>
      <c r="F3439" s="35">
        <f>SUMIFS(F3440:F9015,K3440:K9015,"0",B3440:B9015,"5 1 1 3 2 12 31111 6 M59 50000 000223 0000E 00001 00132 015 2111100 2024 CP1DA424*")</f>
        <v>68164.7</v>
      </c>
      <c r="G3439" s="35">
        <f>SUMIFS(G3440:G9015,K3440:K9015,"0",B3440:B9015,"5 1 1 3 2 12 31111 6 M59 50000 000223 0000E 00001 00132 015 2111100 2024 CP1DA424*")</f>
        <v>0</v>
      </c>
      <c r="H3439" s="35">
        <f t="shared" si="54"/>
        <v>68164.7</v>
      </c>
      <c r="I3439" s="35"/>
      <c r="K3439" t="s">
        <v>15</v>
      </c>
    </row>
    <row r="3440" spans="2:11" ht="41.25" x14ac:dyDescent="0.2">
      <c r="B3440" s="33" t="s">
        <v>4375</v>
      </c>
      <c r="C3440" s="33" t="s">
        <v>282</v>
      </c>
      <c r="D3440" s="35">
        <f>SUMIFS(D3441:D9015,K3441:K9015,"0",B3441:B9015,"5 1 1 3 2 12 31111 6 M59 50000 000223 0000E 00001 00132 015 2111100 2024 CP1DA424 001*")-SUMIFS(E3441:E9015,K3441:K9015,"0",B3441:B9015,"5 1 1 3 2 12 31111 6 M59 50000 000223 0000E 00001 00132 015 2111100 2024 CP1DA424 001*")</f>
        <v>0</v>
      </c>
      <c r="E3440"/>
      <c r="F3440" s="35">
        <f>SUMIFS(F3441:F9015,K3441:K9015,"0",B3441:B9015,"5 1 1 3 2 12 31111 6 M59 50000 000223 0000E 00001 00132 015 2111100 2024 CP1DA424 001*")</f>
        <v>68164.7</v>
      </c>
      <c r="G3440" s="35">
        <f>SUMIFS(G3441:G9015,K3441:K9015,"0",B3441:B9015,"5 1 1 3 2 12 31111 6 M59 50000 000223 0000E 00001 00132 015 2111100 2024 CP1DA424 001*")</f>
        <v>0</v>
      </c>
      <c r="H3440" s="35">
        <f t="shared" si="54"/>
        <v>68164.7</v>
      </c>
      <c r="I3440" s="35"/>
      <c r="K3440" t="s">
        <v>15</v>
      </c>
    </row>
    <row r="3441" spans="2:11" ht="41.25" x14ac:dyDescent="0.2">
      <c r="B3441" s="31" t="s">
        <v>4376</v>
      </c>
      <c r="C3441" s="31" t="s">
        <v>1519</v>
      </c>
      <c r="D3441" s="34">
        <v>0</v>
      </c>
      <c r="E3441" s="34"/>
      <c r="F3441" s="34">
        <v>61282.34</v>
      </c>
      <c r="G3441" s="34">
        <v>0</v>
      </c>
      <c r="H3441" s="34">
        <f t="shared" si="54"/>
        <v>61282.34</v>
      </c>
      <c r="I3441" s="34"/>
      <c r="K3441" t="s">
        <v>38</v>
      </c>
    </row>
    <row r="3442" spans="2:11" ht="41.25" x14ac:dyDescent="0.2">
      <c r="B3442" s="31" t="s">
        <v>4377</v>
      </c>
      <c r="C3442" s="31" t="s">
        <v>4071</v>
      </c>
      <c r="D3442" s="34">
        <v>0</v>
      </c>
      <c r="E3442" s="34"/>
      <c r="F3442" s="34">
        <v>6882.36</v>
      </c>
      <c r="G3442" s="34">
        <v>0</v>
      </c>
      <c r="H3442" s="34">
        <f t="shared" si="54"/>
        <v>6882.36</v>
      </c>
      <c r="I3442" s="34"/>
      <c r="K3442" t="s">
        <v>38</v>
      </c>
    </row>
    <row r="3443" spans="2:11" ht="16.5" x14ac:dyDescent="0.2">
      <c r="B3443" s="33" t="s">
        <v>4378</v>
      </c>
      <c r="C3443" s="33" t="s">
        <v>3294</v>
      </c>
      <c r="D3443" s="35">
        <f>SUMIFS(D3444:D9015,K3444:K9015,"0",B3444:B9015,"5 1 1 3 2 12 31111 6 M59 50100*")-SUMIFS(E3444:E9015,K3444:K9015,"0",B3444:B9015,"5 1 1 3 2 12 31111 6 M59 50100*")</f>
        <v>0</v>
      </c>
      <c r="E3443"/>
      <c r="F3443" s="35">
        <f>SUMIFS(F3444:F9015,K3444:K9015,"0",B3444:B9015,"5 1 1 3 2 12 31111 6 M59 50100*")</f>
        <v>4240.47</v>
      </c>
      <c r="G3443" s="35">
        <f>SUMIFS(G3444:G9015,K3444:K9015,"0",B3444:B9015,"5 1 1 3 2 12 31111 6 M59 50100*")</f>
        <v>0</v>
      </c>
      <c r="H3443" s="35">
        <f t="shared" si="54"/>
        <v>4240.47</v>
      </c>
      <c r="I3443" s="35"/>
      <c r="K3443" t="s">
        <v>15</v>
      </c>
    </row>
    <row r="3444" spans="2:11" ht="16.5" x14ac:dyDescent="0.2">
      <c r="B3444" s="33" t="s">
        <v>4379</v>
      </c>
      <c r="C3444" s="33" t="s">
        <v>648</v>
      </c>
      <c r="D3444" s="35">
        <f>SUMIFS(D3445:D9015,K3445:K9015,"0",B3445:B9015,"5 1 1 3 2 12 31111 6 M59 50100 000132*")-SUMIFS(E3445:E9015,K3445:K9015,"0",B3445:B9015,"5 1 1 3 2 12 31111 6 M59 50100 000132*")</f>
        <v>0</v>
      </c>
      <c r="E3444"/>
      <c r="F3444" s="35">
        <f>SUMIFS(F3445:F9015,K3445:K9015,"0",B3445:B9015,"5 1 1 3 2 12 31111 6 M59 50100 000132*")</f>
        <v>4240.47</v>
      </c>
      <c r="G3444" s="35">
        <f>SUMIFS(G3445:G9015,K3445:K9015,"0",B3445:B9015,"5 1 1 3 2 12 31111 6 M59 50100 000132*")</f>
        <v>0</v>
      </c>
      <c r="H3444" s="35">
        <f t="shared" si="54"/>
        <v>4240.47</v>
      </c>
      <c r="I3444" s="35"/>
      <c r="K3444" t="s">
        <v>15</v>
      </c>
    </row>
    <row r="3445" spans="2:11" ht="24.75" x14ac:dyDescent="0.2">
      <c r="B3445" s="33" t="s">
        <v>4380</v>
      </c>
      <c r="C3445" s="33" t="s">
        <v>650</v>
      </c>
      <c r="D3445" s="35">
        <f>SUMIFS(D3446:D9015,K3446:K9015,"0",B3446:B9015,"5 1 1 3 2 12 31111 6 M59 50100 000132 0000R*")-SUMIFS(E3446:E9015,K3446:K9015,"0",B3446:B9015,"5 1 1 3 2 12 31111 6 M59 50100 000132 0000R*")</f>
        <v>0</v>
      </c>
      <c r="E3445"/>
      <c r="F3445" s="35">
        <f>SUMIFS(F3446:F9015,K3446:K9015,"0",B3446:B9015,"5 1 1 3 2 12 31111 6 M59 50100 000132 0000R*")</f>
        <v>4240.47</v>
      </c>
      <c r="G3445" s="35">
        <f>SUMIFS(G3446:G9015,K3446:K9015,"0",B3446:B9015,"5 1 1 3 2 12 31111 6 M59 50100 000132 0000R*")</f>
        <v>0</v>
      </c>
      <c r="H3445" s="35">
        <f t="shared" si="54"/>
        <v>4240.47</v>
      </c>
      <c r="I3445" s="35"/>
      <c r="K3445" t="s">
        <v>15</v>
      </c>
    </row>
    <row r="3446" spans="2:11" ht="24.75" x14ac:dyDescent="0.2">
      <c r="B3446" s="33" t="s">
        <v>4381</v>
      </c>
      <c r="C3446" s="33" t="s">
        <v>282</v>
      </c>
      <c r="D3446" s="35">
        <f>SUMIFS(D3447:D9015,K3447:K9015,"0",B3447:B9015,"5 1 1 3 2 12 31111 6 M59 50100 000132 0000R 00001*")-SUMIFS(E3447:E9015,K3447:K9015,"0",B3447:B9015,"5 1 1 3 2 12 31111 6 M59 50100 000132 0000R 00001*")</f>
        <v>0</v>
      </c>
      <c r="E3446"/>
      <c r="F3446" s="35">
        <f>SUMIFS(F3447:F9015,K3447:K9015,"0",B3447:B9015,"5 1 1 3 2 12 31111 6 M59 50100 000132 0000R 00001*")</f>
        <v>4240.47</v>
      </c>
      <c r="G3446" s="35">
        <f>SUMIFS(G3447:G9015,K3447:K9015,"0",B3447:B9015,"5 1 1 3 2 12 31111 6 M59 50100 000132 0000R 00001*")</f>
        <v>0</v>
      </c>
      <c r="H3446" s="35">
        <f t="shared" si="54"/>
        <v>4240.47</v>
      </c>
      <c r="I3446" s="35"/>
      <c r="K3446" t="s">
        <v>15</v>
      </c>
    </row>
    <row r="3447" spans="2:11" ht="24.75" x14ac:dyDescent="0.2">
      <c r="B3447" s="33" t="s">
        <v>4382</v>
      </c>
      <c r="C3447" s="33" t="s">
        <v>4041</v>
      </c>
      <c r="D3447" s="35">
        <f>SUMIFS(D3448:D9015,K3448:K9015,"0",B3448:B9015,"5 1 1 3 2 12 31111 6 M59 50100 000132 0000R 00001 00132*")-SUMIFS(E3448:E9015,K3448:K9015,"0",B3448:B9015,"5 1 1 3 2 12 31111 6 M59 50100 000132 0000R 00001 00132*")</f>
        <v>0</v>
      </c>
      <c r="E3447"/>
      <c r="F3447" s="35">
        <f>SUMIFS(F3448:F9015,K3448:K9015,"0",B3448:B9015,"5 1 1 3 2 12 31111 6 M59 50100 000132 0000R 00001 00132*")</f>
        <v>4240.47</v>
      </c>
      <c r="G3447" s="35">
        <f>SUMIFS(G3448:G9015,K3448:K9015,"0",B3448:B9015,"5 1 1 3 2 12 31111 6 M59 50100 000132 0000R 00001 00132*")</f>
        <v>0</v>
      </c>
      <c r="H3447" s="35">
        <f t="shared" si="54"/>
        <v>4240.47</v>
      </c>
      <c r="I3447" s="35"/>
      <c r="K3447" t="s">
        <v>15</v>
      </c>
    </row>
    <row r="3448" spans="2:11" ht="33" x14ac:dyDescent="0.2">
      <c r="B3448" s="33" t="s">
        <v>4383</v>
      </c>
      <c r="C3448" s="33" t="s">
        <v>1051</v>
      </c>
      <c r="D3448" s="35">
        <f>SUMIFS(D3449:D9015,K3449:K9015,"0",B3449:B9015,"5 1 1 3 2 12 31111 6 M59 50100 000132 0000R 00001 00132 015*")-SUMIFS(E3449:E9015,K3449:K9015,"0",B3449:B9015,"5 1 1 3 2 12 31111 6 M59 50100 000132 0000R 00001 00132 015*")</f>
        <v>0</v>
      </c>
      <c r="E3448"/>
      <c r="F3448" s="35">
        <f>SUMIFS(F3449:F9015,K3449:K9015,"0",B3449:B9015,"5 1 1 3 2 12 31111 6 M59 50100 000132 0000R 00001 00132 015*")</f>
        <v>4240.47</v>
      </c>
      <c r="G3448" s="35">
        <f>SUMIFS(G3449:G9015,K3449:K9015,"0",B3449:B9015,"5 1 1 3 2 12 31111 6 M59 50100 000132 0000R 00001 00132 015*")</f>
        <v>0</v>
      </c>
      <c r="H3448" s="35">
        <f t="shared" si="54"/>
        <v>4240.47</v>
      </c>
      <c r="I3448" s="35"/>
      <c r="K3448" t="s">
        <v>15</v>
      </c>
    </row>
    <row r="3449" spans="2:11" ht="33" x14ac:dyDescent="0.2">
      <c r="B3449" s="33" t="s">
        <v>4384</v>
      </c>
      <c r="C3449" s="33" t="s">
        <v>2927</v>
      </c>
      <c r="D3449" s="35">
        <f>SUMIFS(D3450:D9015,K3450:K9015,"0",B3450:B9015,"5 1 1 3 2 12 31111 6 M59 50100 000132 0000R 00001 00132 015 2111100*")-SUMIFS(E3450:E9015,K3450:K9015,"0",B3450:B9015,"5 1 1 3 2 12 31111 6 M59 50100 000132 0000R 00001 00132 015 2111100*")</f>
        <v>0</v>
      </c>
      <c r="E3449"/>
      <c r="F3449" s="35">
        <f>SUMIFS(F3450:F9015,K3450:K9015,"0",B3450:B9015,"5 1 1 3 2 12 31111 6 M59 50100 000132 0000R 00001 00132 015 2111100*")</f>
        <v>4240.47</v>
      </c>
      <c r="G3449" s="35">
        <f>SUMIFS(G3450:G9015,K3450:K9015,"0",B3450:B9015,"5 1 1 3 2 12 31111 6 M59 50100 000132 0000R 00001 00132 015 2111100*")</f>
        <v>0</v>
      </c>
      <c r="H3449" s="35">
        <f t="shared" si="54"/>
        <v>4240.47</v>
      </c>
      <c r="I3449" s="35"/>
      <c r="K3449" t="s">
        <v>15</v>
      </c>
    </row>
    <row r="3450" spans="2:11" ht="33" x14ac:dyDescent="0.2">
      <c r="B3450" s="33" t="s">
        <v>4385</v>
      </c>
      <c r="C3450" s="33" t="s">
        <v>660</v>
      </c>
      <c r="D3450" s="35">
        <f>SUMIFS(D3451:D9015,K3451:K9015,"0",B3451:B9015,"5 1 1 3 2 12 31111 6 M59 50100 000132 0000R 00001 00132 015 2111100 2024*")-SUMIFS(E3451:E9015,K3451:K9015,"0",B3451:B9015,"5 1 1 3 2 12 31111 6 M59 50100 000132 0000R 00001 00132 015 2111100 2024*")</f>
        <v>0</v>
      </c>
      <c r="E3450"/>
      <c r="F3450" s="35">
        <f>SUMIFS(F3451:F9015,K3451:K9015,"0",B3451:B9015,"5 1 1 3 2 12 31111 6 M59 50100 000132 0000R 00001 00132 015 2111100 2024*")</f>
        <v>4240.47</v>
      </c>
      <c r="G3450" s="35">
        <f>SUMIFS(G3451:G9015,K3451:K9015,"0",B3451:B9015,"5 1 1 3 2 12 31111 6 M59 50100 000132 0000R 00001 00132 015 2111100 2024*")</f>
        <v>0</v>
      </c>
      <c r="H3450" s="35">
        <f t="shared" si="54"/>
        <v>4240.47</v>
      </c>
      <c r="I3450" s="35"/>
      <c r="K3450" t="s">
        <v>15</v>
      </c>
    </row>
    <row r="3451" spans="2:11" ht="41.25" x14ac:dyDescent="0.2">
      <c r="B3451" s="33" t="s">
        <v>4386</v>
      </c>
      <c r="C3451" s="33" t="s">
        <v>1056</v>
      </c>
      <c r="D3451" s="35">
        <f>SUMIFS(D3452:D9015,K3452:K9015,"0",B3452:B9015,"5 1 1 3 2 12 31111 6 M59 50100 000132 0000R 00001 00132 015 2111100 2024 CP1AG431*")-SUMIFS(E3452:E9015,K3452:K9015,"0",B3452:B9015,"5 1 1 3 2 12 31111 6 M59 50100 000132 0000R 00001 00132 015 2111100 2024 CP1AG431*")</f>
        <v>0</v>
      </c>
      <c r="E3451"/>
      <c r="F3451" s="35">
        <f>SUMIFS(F3452:F9015,K3452:K9015,"0",B3452:B9015,"5 1 1 3 2 12 31111 6 M59 50100 000132 0000R 00001 00132 015 2111100 2024 CP1AG431*")</f>
        <v>4240.47</v>
      </c>
      <c r="G3451" s="35">
        <f>SUMIFS(G3452:G9015,K3452:K9015,"0",B3452:B9015,"5 1 1 3 2 12 31111 6 M59 50100 000132 0000R 00001 00132 015 2111100 2024 CP1AG431*")</f>
        <v>0</v>
      </c>
      <c r="H3451" s="35">
        <f t="shared" si="54"/>
        <v>4240.47</v>
      </c>
      <c r="I3451" s="35"/>
      <c r="K3451" t="s">
        <v>15</v>
      </c>
    </row>
    <row r="3452" spans="2:11" ht="41.25" x14ac:dyDescent="0.2">
      <c r="B3452" s="33" t="s">
        <v>4387</v>
      </c>
      <c r="C3452" s="33" t="s">
        <v>282</v>
      </c>
      <c r="D3452" s="35">
        <f>SUMIFS(D3453:D9015,K3453:K9015,"0",B3453:B9015,"5 1 1 3 2 12 31111 6 M59 50100 000132 0000R 00001 00132 015 2111100 2024 CP1AG431 001*")-SUMIFS(E3453:E9015,K3453:K9015,"0",B3453:B9015,"5 1 1 3 2 12 31111 6 M59 50100 000132 0000R 00001 00132 015 2111100 2024 CP1AG431 001*")</f>
        <v>0</v>
      </c>
      <c r="E3452"/>
      <c r="F3452" s="35">
        <f>SUMIFS(F3453:F9015,K3453:K9015,"0",B3453:B9015,"5 1 1 3 2 12 31111 6 M59 50100 000132 0000R 00001 00132 015 2111100 2024 CP1AG431 001*")</f>
        <v>4240.47</v>
      </c>
      <c r="G3452" s="35">
        <f>SUMIFS(G3453:G9015,K3453:K9015,"0",B3453:B9015,"5 1 1 3 2 12 31111 6 M59 50100 000132 0000R 00001 00132 015 2111100 2024 CP1AG431 001*")</f>
        <v>0</v>
      </c>
      <c r="H3452" s="35">
        <f t="shared" si="54"/>
        <v>4240.47</v>
      </c>
      <c r="I3452" s="35"/>
      <c r="K3452" t="s">
        <v>15</v>
      </c>
    </row>
    <row r="3453" spans="2:11" ht="33" x14ac:dyDescent="0.2">
      <c r="B3453" s="31" t="s">
        <v>4388</v>
      </c>
      <c r="C3453" s="31" t="s">
        <v>1519</v>
      </c>
      <c r="D3453" s="34">
        <v>0</v>
      </c>
      <c r="E3453" s="34"/>
      <c r="F3453" s="34">
        <v>4240.47</v>
      </c>
      <c r="G3453" s="34">
        <v>0</v>
      </c>
      <c r="H3453" s="34">
        <f t="shared" si="54"/>
        <v>4240.47</v>
      </c>
      <c r="I3453" s="34"/>
      <c r="K3453" t="s">
        <v>38</v>
      </c>
    </row>
    <row r="3454" spans="2:11" ht="16.5" x14ac:dyDescent="0.2">
      <c r="B3454" s="33" t="s">
        <v>4389</v>
      </c>
      <c r="C3454" s="33" t="s">
        <v>1269</v>
      </c>
      <c r="D3454" s="35">
        <f>SUMIFS(D3455:D9015,K3455:K9015,"0",B3455:B9015,"5 1 1 3 2 12 31111 6 M59 60100*")-SUMIFS(E3455:E9015,K3455:K9015,"0",B3455:B9015,"5 1 1 3 2 12 31111 6 M59 60100*")</f>
        <v>0</v>
      </c>
      <c r="E3454"/>
      <c r="F3454" s="35">
        <f>SUMIFS(F3455:F9015,K3455:K9015,"0",B3455:B9015,"5 1 1 3 2 12 31111 6 M59 60100*")</f>
        <v>94839.4</v>
      </c>
      <c r="G3454" s="35">
        <f>SUMIFS(G3455:G9015,K3455:K9015,"0",B3455:B9015,"5 1 1 3 2 12 31111 6 M59 60100*")</f>
        <v>0</v>
      </c>
      <c r="H3454" s="35">
        <f t="shared" si="54"/>
        <v>94839.4</v>
      </c>
      <c r="I3454" s="35"/>
      <c r="K3454" t="s">
        <v>15</v>
      </c>
    </row>
    <row r="3455" spans="2:11" ht="16.5" x14ac:dyDescent="0.2">
      <c r="B3455" s="33" t="s">
        <v>4390</v>
      </c>
      <c r="C3455" s="33" t="s">
        <v>648</v>
      </c>
      <c r="D3455" s="35">
        <f>SUMIFS(D3456:D9015,K3456:K9015,"0",B3456:B9015,"5 1 1 3 2 12 31111 6 M59 60100 000132*")-SUMIFS(E3456:E9015,K3456:K9015,"0",B3456:B9015,"5 1 1 3 2 12 31111 6 M59 60100 000132*")</f>
        <v>0</v>
      </c>
      <c r="E3455"/>
      <c r="F3455" s="35">
        <f>SUMIFS(F3456:F9015,K3456:K9015,"0",B3456:B9015,"5 1 1 3 2 12 31111 6 M59 60100 000132*")</f>
        <v>94839.4</v>
      </c>
      <c r="G3455" s="35">
        <f>SUMIFS(G3456:G9015,K3456:K9015,"0",B3456:B9015,"5 1 1 3 2 12 31111 6 M59 60100 000132*")</f>
        <v>0</v>
      </c>
      <c r="H3455" s="35">
        <f t="shared" si="54"/>
        <v>94839.4</v>
      </c>
      <c r="I3455" s="35"/>
      <c r="K3455" t="s">
        <v>15</v>
      </c>
    </row>
    <row r="3456" spans="2:11" ht="24.75" x14ac:dyDescent="0.2">
      <c r="B3456" s="33" t="s">
        <v>4391</v>
      </c>
      <c r="C3456" s="33" t="s">
        <v>650</v>
      </c>
      <c r="D3456" s="35">
        <f>SUMIFS(D3457:D9015,K3457:K9015,"0",B3457:B9015,"5 1 1 3 2 12 31111 6 M59 60100 000132 0000R*")-SUMIFS(E3457:E9015,K3457:K9015,"0",B3457:B9015,"5 1 1 3 2 12 31111 6 M59 60100 000132 0000R*")</f>
        <v>0</v>
      </c>
      <c r="E3456"/>
      <c r="F3456" s="35">
        <f>SUMIFS(F3457:F9015,K3457:K9015,"0",B3457:B9015,"5 1 1 3 2 12 31111 6 M59 60100 000132 0000R*")</f>
        <v>94839.4</v>
      </c>
      <c r="G3456" s="35">
        <f>SUMIFS(G3457:G9015,K3457:K9015,"0",B3457:B9015,"5 1 1 3 2 12 31111 6 M59 60100 000132 0000R*")</f>
        <v>0</v>
      </c>
      <c r="H3456" s="35">
        <f t="shared" si="54"/>
        <v>94839.4</v>
      </c>
      <c r="I3456" s="35"/>
      <c r="K3456" t="s">
        <v>15</v>
      </c>
    </row>
    <row r="3457" spans="2:11" ht="24.75" x14ac:dyDescent="0.2">
      <c r="B3457" s="33" t="s">
        <v>4392</v>
      </c>
      <c r="C3457" s="33" t="s">
        <v>282</v>
      </c>
      <c r="D3457" s="35">
        <f>SUMIFS(D3458:D9015,K3458:K9015,"0",B3458:B9015,"5 1 1 3 2 12 31111 6 M59 60100 000132 0000R 00001*")-SUMIFS(E3458:E9015,K3458:K9015,"0",B3458:B9015,"5 1 1 3 2 12 31111 6 M59 60100 000132 0000R 00001*")</f>
        <v>0</v>
      </c>
      <c r="E3457"/>
      <c r="F3457" s="35">
        <f>SUMIFS(F3458:F9015,K3458:K9015,"0",B3458:B9015,"5 1 1 3 2 12 31111 6 M59 60100 000132 0000R 00001*")</f>
        <v>94839.4</v>
      </c>
      <c r="G3457" s="35">
        <f>SUMIFS(G3458:G9015,K3458:K9015,"0",B3458:B9015,"5 1 1 3 2 12 31111 6 M59 60100 000132 0000R 00001*")</f>
        <v>0</v>
      </c>
      <c r="H3457" s="35">
        <f t="shared" si="54"/>
        <v>94839.4</v>
      </c>
      <c r="I3457" s="35"/>
      <c r="K3457" t="s">
        <v>15</v>
      </c>
    </row>
    <row r="3458" spans="2:11" ht="24.75" x14ac:dyDescent="0.2">
      <c r="B3458" s="33" t="s">
        <v>4393</v>
      </c>
      <c r="C3458" s="33" t="s">
        <v>4041</v>
      </c>
      <c r="D3458" s="35">
        <f>SUMIFS(D3459:D9015,K3459:K9015,"0",B3459:B9015,"5 1 1 3 2 12 31111 6 M59 60100 000132 0000R 00001 00132*")-SUMIFS(E3459:E9015,K3459:K9015,"0",B3459:B9015,"5 1 1 3 2 12 31111 6 M59 60100 000132 0000R 00001 00132*")</f>
        <v>0</v>
      </c>
      <c r="E3458"/>
      <c r="F3458" s="35">
        <f>SUMIFS(F3459:F9015,K3459:K9015,"0",B3459:B9015,"5 1 1 3 2 12 31111 6 M59 60100 000132 0000R 00001 00132*")</f>
        <v>94839.4</v>
      </c>
      <c r="G3458" s="35">
        <f>SUMIFS(G3459:G9015,K3459:K9015,"0",B3459:B9015,"5 1 1 3 2 12 31111 6 M59 60100 000132 0000R 00001 00132*")</f>
        <v>0</v>
      </c>
      <c r="H3458" s="35">
        <f t="shared" si="54"/>
        <v>94839.4</v>
      </c>
      <c r="I3458" s="35"/>
      <c r="K3458" t="s">
        <v>15</v>
      </c>
    </row>
    <row r="3459" spans="2:11" ht="33" x14ac:dyDescent="0.2">
      <c r="B3459" s="33" t="s">
        <v>4394</v>
      </c>
      <c r="C3459" s="33" t="s">
        <v>1051</v>
      </c>
      <c r="D3459" s="35">
        <f>SUMIFS(D3460:D9015,K3460:K9015,"0",B3460:B9015,"5 1 1 3 2 12 31111 6 M59 60100 000132 0000R 00001 00132 015*")-SUMIFS(E3460:E9015,K3460:K9015,"0",B3460:B9015,"5 1 1 3 2 12 31111 6 M59 60100 000132 0000R 00001 00132 015*")</f>
        <v>0</v>
      </c>
      <c r="E3459"/>
      <c r="F3459" s="35">
        <f>SUMIFS(F3460:F9015,K3460:K9015,"0",B3460:B9015,"5 1 1 3 2 12 31111 6 M59 60100 000132 0000R 00001 00132 015*")</f>
        <v>94839.4</v>
      </c>
      <c r="G3459" s="35">
        <f>SUMIFS(G3460:G9015,K3460:K9015,"0",B3460:B9015,"5 1 1 3 2 12 31111 6 M59 60100 000132 0000R 00001 00132 015*")</f>
        <v>0</v>
      </c>
      <c r="H3459" s="35">
        <f t="shared" si="54"/>
        <v>94839.4</v>
      </c>
      <c r="I3459" s="35"/>
      <c r="K3459" t="s">
        <v>15</v>
      </c>
    </row>
    <row r="3460" spans="2:11" ht="33" x14ac:dyDescent="0.2">
      <c r="B3460" s="33" t="s">
        <v>4395</v>
      </c>
      <c r="C3460" s="33" t="s">
        <v>2927</v>
      </c>
      <c r="D3460" s="35">
        <f>SUMIFS(D3461:D9015,K3461:K9015,"0",B3461:B9015,"5 1 1 3 2 12 31111 6 M59 60100 000132 0000R 00001 00132 015 2111100*")-SUMIFS(E3461:E9015,K3461:K9015,"0",B3461:B9015,"5 1 1 3 2 12 31111 6 M59 60100 000132 0000R 00001 00132 015 2111100*")</f>
        <v>0</v>
      </c>
      <c r="E3460"/>
      <c r="F3460" s="35">
        <f>SUMIFS(F3461:F9015,K3461:K9015,"0",B3461:B9015,"5 1 1 3 2 12 31111 6 M59 60100 000132 0000R 00001 00132 015 2111100*")</f>
        <v>94839.4</v>
      </c>
      <c r="G3460" s="35">
        <f>SUMIFS(G3461:G9015,K3461:K9015,"0",B3461:B9015,"5 1 1 3 2 12 31111 6 M59 60100 000132 0000R 00001 00132 015 2111100*")</f>
        <v>0</v>
      </c>
      <c r="H3460" s="35">
        <f t="shared" ref="H3460:H3523" si="55">D3460 + F3460 - G3460</f>
        <v>94839.4</v>
      </c>
      <c r="I3460" s="35"/>
      <c r="K3460" t="s">
        <v>15</v>
      </c>
    </row>
    <row r="3461" spans="2:11" ht="33" x14ac:dyDescent="0.2">
      <c r="B3461" s="33" t="s">
        <v>4396</v>
      </c>
      <c r="C3461" s="33" t="s">
        <v>660</v>
      </c>
      <c r="D3461" s="35">
        <f>SUMIFS(D3462:D9015,K3462:K9015,"0",B3462:B9015,"5 1 1 3 2 12 31111 6 M59 60100 000132 0000R 00001 00132 015 2111100 2024*")-SUMIFS(E3462:E9015,K3462:K9015,"0",B3462:B9015,"5 1 1 3 2 12 31111 6 M59 60100 000132 0000R 00001 00132 015 2111100 2024*")</f>
        <v>0</v>
      </c>
      <c r="E3461"/>
      <c r="F3461" s="35">
        <f>SUMIFS(F3462:F9015,K3462:K9015,"0",B3462:B9015,"5 1 1 3 2 12 31111 6 M59 60100 000132 0000R 00001 00132 015 2111100 2024*")</f>
        <v>94839.4</v>
      </c>
      <c r="G3461" s="35">
        <f>SUMIFS(G3462:G9015,K3462:K9015,"0",B3462:B9015,"5 1 1 3 2 12 31111 6 M59 60100 000132 0000R 00001 00132 015 2111100 2024*")</f>
        <v>0</v>
      </c>
      <c r="H3461" s="35">
        <f t="shared" si="55"/>
        <v>94839.4</v>
      </c>
      <c r="I3461" s="35"/>
      <c r="K3461" t="s">
        <v>15</v>
      </c>
    </row>
    <row r="3462" spans="2:11" ht="41.25" x14ac:dyDescent="0.2">
      <c r="B3462" s="33" t="s">
        <v>4397</v>
      </c>
      <c r="C3462" s="33" t="s">
        <v>1056</v>
      </c>
      <c r="D3462" s="35">
        <f>SUMIFS(D3463:D9015,K3463:K9015,"0",B3463:B9015,"5 1 1 3 2 12 31111 6 M59 60100 000132 0000R 00001 00132 015 2111100 2024 CP1DM394*")-SUMIFS(E3463:E9015,K3463:K9015,"0",B3463:B9015,"5 1 1 3 2 12 31111 6 M59 60100 000132 0000R 00001 00132 015 2111100 2024 CP1DM394*")</f>
        <v>0</v>
      </c>
      <c r="E3462"/>
      <c r="F3462" s="35">
        <f>SUMIFS(F3463:F9015,K3463:K9015,"0",B3463:B9015,"5 1 1 3 2 12 31111 6 M59 60100 000132 0000R 00001 00132 015 2111100 2024 CP1DM394*")</f>
        <v>94839.4</v>
      </c>
      <c r="G3462" s="35">
        <f>SUMIFS(G3463:G9015,K3463:K9015,"0",B3463:B9015,"5 1 1 3 2 12 31111 6 M59 60100 000132 0000R 00001 00132 015 2111100 2024 CP1DM394*")</f>
        <v>0</v>
      </c>
      <c r="H3462" s="35">
        <f t="shared" si="55"/>
        <v>94839.4</v>
      </c>
      <c r="I3462" s="35"/>
      <c r="K3462" t="s">
        <v>15</v>
      </c>
    </row>
    <row r="3463" spans="2:11" ht="41.25" x14ac:dyDescent="0.2">
      <c r="B3463" s="33" t="s">
        <v>4398</v>
      </c>
      <c r="C3463" s="33" t="s">
        <v>282</v>
      </c>
      <c r="D3463" s="35">
        <f>SUMIFS(D3464:D9015,K3464:K9015,"0",B3464:B9015,"5 1 1 3 2 12 31111 6 M59 60100 000132 0000R 00001 00132 015 2111100 2024 CP1DM394 001*")-SUMIFS(E3464:E9015,K3464:K9015,"0",B3464:B9015,"5 1 1 3 2 12 31111 6 M59 60100 000132 0000R 00001 00132 015 2111100 2024 CP1DM394 001*")</f>
        <v>0</v>
      </c>
      <c r="E3463"/>
      <c r="F3463" s="35">
        <f>SUMIFS(F3464:F9015,K3464:K9015,"0",B3464:B9015,"5 1 1 3 2 12 31111 6 M59 60100 000132 0000R 00001 00132 015 2111100 2024 CP1DM394 001*")</f>
        <v>94839.4</v>
      </c>
      <c r="G3463" s="35">
        <f>SUMIFS(G3464:G9015,K3464:K9015,"0",B3464:B9015,"5 1 1 3 2 12 31111 6 M59 60100 000132 0000R 00001 00132 015 2111100 2024 CP1DM394 001*")</f>
        <v>0</v>
      </c>
      <c r="H3463" s="35">
        <f t="shared" si="55"/>
        <v>94839.4</v>
      </c>
      <c r="I3463" s="35"/>
      <c r="K3463" t="s">
        <v>15</v>
      </c>
    </row>
    <row r="3464" spans="2:11" ht="33" x14ac:dyDescent="0.2">
      <c r="B3464" s="31" t="s">
        <v>4399</v>
      </c>
      <c r="C3464" s="31" t="s">
        <v>1519</v>
      </c>
      <c r="D3464" s="34">
        <v>0</v>
      </c>
      <c r="E3464" s="34"/>
      <c r="F3464" s="34">
        <v>90856.65</v>
      </c>
      <c r="G3464" s="34">
        <v>0</v>
      </c>
      <c r="H3464" s="34">
        <f t="shared" si="55"/>
        <v>90856.65</v>
      </c>
      <c r="I3464" s="34"/>
      <c r="K3464" t="s">
        <v>38</v>
      </c>
    </row>
    <row r="3465" spans="2:11" ht="33" x14ac:dyDescent="0.2">
      <c r="B3465" s="31" t="s">
        <v>4400</v>
      </c>
      <c r="C3465" s="31" t="s">
        <v>4071</v>
      </c>
      <c r="D3465" s="34">
        <v>0</v>
      </c>
      <c r="E3465" s="34"/>
      <c r="F3465" s="34">
        <v>3982.75</v>
      </c>
      <c r="G3465" s="34">
        <v>0</v>
      </c>
      <c r="H3465" s="34">
        <f t="shared" si="55"/>
        <v>3982.75</v>
      </c>
      <c r="I3465" s="34"/>
      <c r="K3465" t="s">
        <v>38</v>
      </c>
    </row>
    <row r="3466" spans="2:11" ht="24.75" x14ac:dyDescent="0.2">
      <c r="B3466" s="33" t="s">
        <v>4401</v>
      </c>
      <c r="C3466" s="33" t="s">
        <v>3317</v>
      </c>
      <c r="D3466" s="35">
        <f>SUMIFS(D3467:D9015,K3467:K9015,"0",B3467:B9015,"5 1 1 3 2 12 31111 6 M59 61000*")-SUMIFS(E3467:E9015,K3467:K9015,"0",B3467:B9015,"5 1 1 3 2 12 31111 6 M59 61000*")</f>
        <v>0</v>
      </c>
      <c r="E3466"/>
      <c r="F3466" s="35">
        <f>SUMIFS(F3467:F9015,K3467:K9015,"0",B3467:B9015,"5 1 1 3 2 12 31111 6 M59 61000*")</f>
        <v>1726.81</v>
      </c>
      <c r="G3466" s="35">
        <f>SUMIFS(G3467:G9015,K3467:K9015,"0",B3467:B9015,"5 1 1 3 2 12 31111 6 M59 61000*")</f>
        <v>0</v>
      </c>
      <c r="H3466" s="35">
        <f t="shared" si="55"/>
        <v>1726.81</v>
      </c>
      <c r="I3466" s="35"/>
      <c r="K3466" t="s">
        <v>15</v>
      </c>
    </row>
    <row r="3467" spans="2:11" ht="16.5" x14ac:dyDescent="0.2">
      <c r="B3467" s="33" t="s">
        <v>4402</v>
      </c>
      <c r="C3467" s="33" t="s">
        <v>648</v>
      </c>
      <c r="D3467" s="35">
        <f>SUMIFS(D3468:D9015,K3468:K9015,"0",B3468:B9015,"5 1 1 3 2 12 31111 6 M59 61000 000132*")-SUMIFS(E3468:E9015,K3468:K9015,"0",B3468:B9015,"5 1 1 3 2 12 31111 6 M59 61000 000132*")</f>
        <v>0</v>
      </c>
      <c r="E3467"/>
      <c r="F3467" s="35">
        <f>SUMIFS(F3468:F9015,K3468:K9015,"0",B3468:B9015,"5 1 1 3 2 12 31111 6 M59 61000 000132*")</f>
        <v>1726.81</v>
      </c>
      <c r="G3467" s="35">
        <f>SUMIFS(G3468:G9015,K3468:K9015,"0",B3468:B9015,"5 1 1 3 2 12 31111 6 M59 61000 000132*")</f>
        <v>0</v>
      </c>
      <c r="H3467" s="35">
        <f t="shared" si="55"/>
        <v>1726.81</v>
      </c>
      <c r="I3467" s="35"/>
      <c r="K3467" t="s">
        <v>15</v>
      </c>
    </row>
    <row r="3468" spans="2:11" ht="24.75" x14ac:dyDescent="0.2">
      <c r="B3468" s="33" t="s">
        <v>4403</v>
      </c>
      <c r="C3468" s="33" t="s">
        <v>650</v>
      </c>
      <c r="D3468" s="35">
        <f>SUMIFS(D3469:D9015,K3469:K9015,"0",B3469:B9015,"5 1 1 3 2 12 31111 6 M59 61000 000132 0000R*")-SUMIFS(E3469:E9015,K3469:K9015,"0",B3469:B9015,"5 1 1 3 2 12 31111 6 M59 61000 000132 0000R*")</f>
        <v>0</v>
      </c>
      <c r="E3468"/>
      <c r="F3468" s="35">
        <f>SUMIFS(F3469:F9015,K3469:K9015,"0",B3469:B9015,"5 1 1 3 2 12 31111 6 M59 61000 000132 0000R*")</f>
        <v>1726.81</v>
      </c>
      <c r="G3468" s="35">
        <f>SUMIFS(G3469:G9015,K3469:K9015,"0",B3469:B9015,"5 1 1 3 2 12 31111 6 M59 61000 000132 0000R*")</f>
        <v>0</v>
      </c>
      <c r="H3468" s="35">
        <f t="shared" si="55"/>
        <v>1726.81</v>
      </c>
      <c r="I3468" s="35"/>
      <c r="K3468" t="s">
        <v>15</v>
      </c>
    </row>
    <row r="3469" spans="2:11" ht="24.75" x14ac:dyDescent="0.2">
      <c r="B3469" s="33" t="s">
        <v>4404</v>
      </c>
      <c r="C3469" s="33" t="s">
        <v>282</v>
      </c>
      <c r="D3469" s="35">
        <f>SUMIFS(D3470:D9015,K3470:K9015,"0",B3470:B9015,"5 1 1 3 2 12 31111 6 M59 61000 000132 0000R 00001*")-SUMIFS(E3470:E9015,K3470:K9015,"0",B3470:B9015,"5 1 1 3 2 12 31111 6 M59 61000 000132 0000R 00001*")</f>
        <v>0</v>
      </c>
      <c r="E3469"/>
      <c r="F3469" s="35">
        <f>SUMIFS(F3470:F9015,K3470:K9015,"0",B3470:B9015,"5 1 1 3 2 12 31111 6 M59 61000 000132 0000R 00001*")</f>
        <v>1726.81</v>
      </c>
      <c r="G3469" s="35">
        <f>SUMIFS(G3470:G9015,K3470:K9015,"0",B3470:B9015,"5 1 1 3 2 12 31111 6 M59 61000 000132 0000R 00001*")</f>
        <v>0</v>
      </c>
      <c r="H3469" s="35">
        <f t="shared" si="55"/>
        <v>1726.81</v>
      </c>
      <c r="I3469" s="35"/>
      <c r="K3469" t="s">
        <v>15</v>
      </c>
    </row>
    <row r="3470" spans="2:11" ht="24.75" x14ac:dyDescent="0.2">
      <c r="B3470" s="33" t="s">
        <v>4405</v>
      </c>
      <c r="C3470" s="33" t="s">
        <v>4041</v>
      </c>
      <c r="D3470" s="35">
        <f>SUMIFS(D3471:D9015,K3471:K9015,"0",B3471:B9015,"5 1 1 3 2 12 31111 6 M59 61000 000132 0000R 00001 00132*")-SUMIFS(E3471:E9015,K3471:K9015,"0",B3471:B9015,"5 1 1 3 2 12 31111 6 M59 61000 000132 0000R 00001 00132*")</f>
        <v>0</v>
      </c>
      <c r="E3470"/>
      <c r="F3470" s="35">
        <f>SUMIFS(F3471:F9015,K3471:K9015,"0",B3471:B9015,"5 1 1 3 2 12 31111 6 M59 61000 000132 0000R 00001 00132*")</f>
        <v>1726.81</v>
      </c>
      <c r="G3470" s="35">
        <f>SUMIFS(G3471:G9015,K3471:K9015,"0",B3471:B9015,"5 1 1 3 2 12 31111 6 M59 61000 000132 0000R 00001 00132*")</f>
        <v>0</v>
      </c>
      <c r="H3470" s="35">
        <f t="shared" si="55"/>
        <v>1726.81</v>
      </c>
      <c r="I3470" s="35"/>
      <c r="K3470" t="s">
        <v>15</v>
      </c>
    </row>
    <row r="3471" spans="2:11" ht="33" x14ac:dyDescent="0.2">
      <c r="B3471" s="33" t="s">
        <v>4406</v>
      </c>
      <c r="C3471" s="33" t="s">
        <v>1051</v>
      </c>
      <c r="D3471" s="35">
        <f>SUMIFS(D3472:D9015,K3472:K9015,"0",B3472:B9015,"5 1 1 3 2 12 31111 6 M59 61000 000132 0000R 00001 00132 015*")-SUMIFS(E3472:E9015,K3472:K9015,"0",B3472:B9015,"5 1 1 3 2 12 31111 6 M59 61000 000132 0000R 00001 00132 015*")</f>
        <v>0</v>
      </c>
      <c r="E3471"/>
      <c r="F3471" s="35">
        <f>SUMIFS(F3472:F9015,K3472:K9015,"0",B3472:B9015,"5 1 1 3 2 12 31111 6 M59 61000 000132 0000R 00001 00132 015*")</f>
        <v>1726.81</v>
      </c>
      <c r="G3471" s="35">
        <f>SUMIFS(G3472:G9015,K3472:K9015,"0",B3472:B9015,"5 1 1 3 2 12 31111 6 M59 61000 000132 0000R 00001 00132 015*")</f>
        <v>0</v>
      </c>
      <c r="H3471" s="35">
        <f t="shared" si="55"/>
        <v>1726.81</v>
      </c>
      <c r="I3471" s="35"/>
      <c r="K3471" t="s">
        <v>15</v>
      </c>
    </row>
    <row r="3472" spans="2:11" ht="33" x14ac:dyDescent="0.2">
      <c r="B3472" s="33" t="s">
        <v>4407</v>
      </c>
      <c r="C3472" s="33" t="s">
        <v>2927</v>
      </c>
      <c r="D3472" s="35">
        <f>SUMIFS(D3473:D9015,K3473:K9015,"0",B3473:B9015,"5 1 1 3 2 12 31111 6 M59 61000 000132 0000R 00001 00132 015 2111100*")-SUMIFS(E3473:E9015,K3473:K9015,"0",B3473:B9015,"5 1 1 3 2 12 31111 6 M59 61000 000132 0000R 00001 00132 015 2111100*")</f>
        <v>0</v>
      </c>
      <c r="E3472"/>
      <c r="F3472" s="35">
        <f>SUMIFS(F3473:F9015,K3473:K9015,"0",B3473:B9015,"5 1 1 3 2 12 31111 6 M59 61000 000132 0000R 00001 00132 015 2111100*")</f>
        <v>1726.81</v>
      </c>
      <c r="G3472" s="35">
        <f>SUMIFS(G3473:G9015,K3473:K9015,"0",B3473:B9015,"5 1 1 3 2 12 31111 6 M59 61000 000132 0000R 00001 00132 015 2111100*")</f>
        <v>0</v>
      </c>
      <c r="H3472" s="35">
        <f t="shared" si="55"/>
        <v>1726.81</v>
      </c>
      <c r="I3472" s="35"/>
      <c r="K3472" t="s">
        <v>15</v>
      </c>
    </row>
    <row r="3473" spans="2:11" ht="33" x14ac:dyDescent="0.2">
      <c r="B3473" s="33" t="s">
        <v>4408</v>
      </c>
      <c r="C3473" s="33" t="s">
        <v>660</v>
      </c>
      <c r="D3473" s="35">
        <f>SUMIFS(D3474:D9015,K3474:K9015,"0",B3474:B9015,"5 1 1 3 2 12 31111 6 M59 61000 000132 0000R 00001 00132 015 2111100 2024*")-SUMIFS(E3474:E9015,K3474:K9015,"0",B3474:B9015,"5 1 1 3 2 12 31111 6 M59 61000 000132 0000R 00001 00132 015 2111100 2024*")</f>
        <v>0</v>
      </c>
      <c r="E3473"/>
      <c r="F3473" s="35">
        <f>SUMIFS(F3474:F9015,K3474:K9015,"0",B3474:B9015,"5 1 1 3 2 12 31111 6 M59 61000 000132 0000R 00001 00132 015 2111100 2024*")</f>
        <v>1726.81</v>
      </c>
      <c r="G3473" s="35">
        <f>SUMIFS(G3474:G9015,K3474:K9015,"0",B3474:B9015,"5 1 1 3 2 12 31111 6 M59 61000 000132 0000R 00001 00132 015 2111100 2024*")</f>
        <v>0</v>
      </c>
      <c r="H3473" s="35">
        <f t="shared" si="55"/>
        <v>1726.81</v>
      </c>
      <c r="I3473" s="35"/>
      <c r="K3473" t="s">
        <v>15</v>
      </c>
    </row>
    <row r="3474" spans="2:11" ht="41.25" x14ac:dyDescent="0.2">
      <c r="B3474" s="33" t="s">
        <v>4409</v>
      </c>
      <c r="C3474" s="33" t="s">
        <v>1056</v>
      </c>
      <c r="D3474" s="35">
        <f>SUMIFS(D3475:D9015,K3475:K9015,"0",B3475:B9015,"5 1 1 3 2 12 31111 6 M59 61000 000132 0000R 00001 00132 015 2111100 2024 CP1MI406*")-SUMIFS(E3475:E9015,K3475:K9015,"0",B3475:B9015,"5 1 1 3 2 12 31111 6 M59 61000 000132 0000R 00001 00132 015 2111100 2024 CP1MI406*")</f>
        <v>0</v>
      </c>
      <c r="E3474"/>
      <c r="F3474" s="35">
        <f>SUMIFS(F3475:F9015,K3475:K9015,"0",B3475:B9015,"5 1 1 3 2 12 31111 6 M59 61000 000132 0000R 00001 00132 015 2111100 2024 CP1MI406*")</f>
        <v>1726.81</v>
      </c>
      <c r="G3474" s="35">
        <f>SUMIFS(G3475:G9015,K3475:K9015,"0",B3475:B9015,"5 1 1 3 2 12 31111 6 M59 61000 000132 0000R 00001 00132 015 2111100 2024 CP1MI406*")</f>
        <v>0</v>
      </c>
      <c r="H3474" s="35">
        <f t="shared" si="55"/>
        <v>1726.81</v>
      </c>
      <c r="I3474" s="35"/>
      <c r="K3474" t="s">
        <v>15</v>
      </c>
    </row>
    <row r="3475" spans="2:11" ht="41.25" x14ac:dyDescent="0.2">
      <c r="B3475" s="33" t="s">
        <v>4410</v>
      </c>
      <c r="C3475" s="33" t="s">
        <v>282</v>
      </c>
      <c r="D3475" s="35">
        <f>SUMIFS(D3476:D9015,K3476:K9015,"0",B3476:B9015,"5 1 1 3 2 12 31111 6 M59 61000 000132 0000R 00001 00132 015 2111100 2024 CP1MI406 001*")-SUMIFS(E3476:E9015,K3476:K9015,"0",B3476:B9015,"5 1 1 3 2 12 31111 6 M59 61000 000132 0000R 00001 00132 015 2111100 2024 CP1MI406 001*")</f>
        <v>0</v>
      </c>
      <c r="E3475"/>
      <c r="F3475" s="35">
        <f>SUMIFS(F3476:F9015,K3476:K9015,"0",B3476:B9015,"5 1 1 3 2 12 31111 6 M59 61000 000132 0000R 00001 00132 015 2111100 2024 CP1MI406 001*")</f>
        <v>1726.81</v>
      </c>
      <c r="G3475" s="35">
        <f>SUMIFS(G3476:G9015,K3476:K9015,"0",B3476:B9015,"5 1 1 3 2 12 31111 6 M59 61000 000132 0000R 00001 00132 015 2111100 2024 CP1MI406 001*")</f>
        <v>0</v>
      </c>
      <c r="H3475" s="35">
        <f t="shared" si="55"/>
        <v>1726.81</v>
      </c>
      <c r="I3475" s="35"/>
      <c r="K3475" t="s">
        <v>15</v>
      </c>
    </row>
    <row r="3476" spans="2:11" ht="33" x14ac:dyDescent="0.2">
      <c r="B3476" s="31" t="s">
        <v>4411</v>
      </c>
      <c r="C3476" s="31" t="s">
        <v>1519</v>
      </c>
      <c r="D3476" s="34">
        <v>0</v>
      </c>
      <c r="E3476" s="34"/>
      <c r="F3476" s="34">
        <v>1726.81</v>
      </c>
      <c r="G3476" s="34">
        <v>0</v>
      </c>
      <c r="H3476" s="34">
        <f t="shared" si="55"/>
        <v>1726.81</v>
      </c>
      <c r="I3476" s="34"/>
      <c r="K3476" t="s">
        <v>38</v>
      </c>
    </row>
    <row r="3477" spans="2:11" ht="16.5" x14ac:dyDescent="0.2">
      <c r="B3477" s="33" t="s">
        <v>4412</v>
      </c>
      <c r="C3477" s="33" t="s">
        <v>3329</v>
      </c>
      <c r="D3477" s="35">
        <f>SUMIFS(D3478:D9015,K3478:K9015,"0",B3478:B9015,"5 1 1 3 2 12 31111 6 M59 62000*")-SUMIFS(E3478:E9015,K3478:K9015,"0",B3478:B9015,"5 1 1 3 2 12 31111 6 M59 62000*")</f>
        <v>0</v>
      </c>
      <c r="E3477"/>
      <c r="F3477" s="35">
        <f>SUMIFS(F3478:F9015,K3478:K9015,"0",B3478:B9015,"5 1 1 3 2 12 31111 6 M59 62000*")</f>
        <v>2059.61</v>
      </c>
      <c r="G3477" s="35">
        <f>SUMIFS(G3478:G9015,K3478:K9015,"0",B3478:B9015,"5 1 1 3 2 12 31111 6 M59 62000*")</f>
        <v>0</v>
      </c>
      <c r="H3477" s="35">
        <f t="shared" si="55"/>
        <v>2059.61</v>
      </c>
      <c r="I3477" s="35"/>
      <c r="K3477" t="s">
        <v>15</v>
      </c>
    </row>
    <row r="3478" spans="2:11" ht="16.5" x14ac:dyDescent="0.2">
      <c r="B3478" s="33" t="s">
        <v>4413</v>
      </c>
      <c r="C3478" s="33" t="s">
        <v>648</v>
      </c>
      <c r="D3478" s="35">
        <f>SUMIFS(D3479:D9015,K3479:K9015,"0",B3479:B9015,"5 1 1 3 2 12 31111 6 M59 62000 000132*")-SUMIFS(E3479:E9015,K3479:K9015,"0",B3479:B9015,"5 1 1 3 2 12 31111 6 M59 62000 000132*")</f>
        <v>0</v>
      </c>
      <c r="E3478"/>
      <c r="F3478" s="35">
        <f>SUMIFS(F3479:F9015,K3479:K9015,"0",B3479:B9015,"5 1 1 3 2 12 31111 6 M59 62000 000132*")</f>
        <v>2059.61</v>
      </c>
      <c r="G3478" s="35">
        <f>SUMIFS(G3479:G9015,K3479:K9015,"0",B3479:B9015,"5 1 1 3 2 12 31111 6 M59 62000 000132*")</f>
        <v>0</v>
      </c>
      <c r="H3478" s="35">
        <f t="shared" si="55"/>
        <v>2059.61</v>
      </c>
      <c r="I3478" s="35"/>
      <c r="K3478" t="s">
        <v>15</v>
      </c>
    </row>
    <row r="3479" spans="2:11" ht="24.75" x14ac:dyDescent="0.2">
      <c r="B3479" s="33" t="s">
        <v>4414</v>
      </c>
      <c r="C3479" s="33" t="s">
        <v>650</v>
      </c>
      <c r="D3479" s="35">
        <f>SUMIFS(D3480:D9015,K3480:K9015,"0",B3480:B9015,"5 1 1 3 2 12 31111 6 M59 62000 000132 0000R*")-SUMIFS(E3480:E9015,K3480:K9015,"0",B3480:B9015,"5 1 1 3 2 12 31111 6 M59 62000 000132 0000R*")</f>
        <v>0</v>
      </c>
      <c r="E3479"/>
      <c r="F3479" s="35">
        <f>SUMIFS(F3480:F9015,K3480:K9015,"0",B3480:B9015,"5 1 1 3 2 12 31111 6 M59 62000 000132 0000R*")</f>
        <v>2059.61</v>
      </c>
      <c r="G3479" s="35">
        <f>SUMIFS(G3480:G9015,K3480:K9015,"0",B3480:B9015,"5 1 1 3 2 12 31111 6 M59 62000 000132 0000R*")</f>
        <v>0</v>
      </c>
      <c r="H3479" s="35">
        <f t="shared" si="55"/>
        <v>2059.61</v>
      </c>
      <c r="I3479" s="35"/>
      <c r="K3479" t="s">
        <v>15</v>
      </c>
    </row>
    <row r="3480" spans="2:11" ht="24.75" x14ac:dyDescent="0.2">
      <c r="B3480" s="33" t="s">
        <v>4415</v>
      </c>
      <c r="C3480" s="33" t="s">
        <v>282</v>
      </c>
      <c r="D3480" s="35">
        <f>SUMIFS(D3481:D9015,K3481:K9015,"0",B3481:B9015,"5 1 1 3 2 12 31111 6 M59 62000 000132 0000R 00001*")-SUMIFS(E3481:E9015,K3481:K9015,"0",B3481:B9015,"5 1 1 3 2 12 31111 6 M59 62000 000132 0000R 00001*")</f>
        <v>0</v>
      </c>
      <c r="E3480"/>
      <c r="F3480" s="35">
        <f>SUMIFS(F3481:F9015,K3481:K9015,"0",B3481:B9015,"5 1 1 3 2 12 31111 6 M59 62000 000132 0000R 00001*")</f>
        <v>2059.61</v>
      </c>
      <c r="G3480" s="35">
        <f>SUMIFS(G3481:G9015,K3481:K9015,"0",B3481:B9015,"5 1 1 3 2 12 31111 6 M59 62000 000132 0000R 00001*")</f>
        <v>0</v>
      </c>
      <c r="H3480" s="35">
        <f t="shared" si="55"/>
        <v>2059.61</v>
      </c>
      <c r="I3480" s="35"/>
      <c r="K3480" t="s">
        <v>15</v>
      </c>
    </row>
    <row r="3481" spans="2:11" ht="24.75" x14ac:dyDescent="0.2">
      <c r="B3481" s="33" t="s">
        <v>4416</v>
      </c>
      <c r="C3481" s="33" t="s">
        <v>4041</v>
      </c>
      <c r="D3481" s="35">
        <f>SUMIFS(D3482:D9015,K3482:K9015,"0",B3482:B9015,"5 1 1 3 2 12 31111 6 M59 62000 000132 0000R 00001 00132*")-SUMIFS(E3482:E9015,K3482:K9015,"0",B3482:B9015,"5 1 1 3 2 12 31111 6 M59 62000 000132 0000R 00001 00132*")</f>
        <v>0</v>
      </c>
      <c r="E3481"/>
      <c r="F3481" s="35">
        <f>SUMIFS(F3482:F9015,K3482:K9015,"0",B3482:B9015,"5 1 1 3 2 12 31111 6 M59 62000 000132 0000R 00001 00132*")</f>
        <v>2059.61</v>
      </c>
      <c r="G3481" s="35">
        <f>SUMIFS(G3482:G9015,K3482:K9015,"0",B3482:B9015,"5 1 1 3 2 12 31111 6 M59 62000 000132 0000R 00001 00132*")</f>
        <v>0</v>
      </c>
      <c r="H3481" s="35">
        <f t="shared" si="55"/>
        <v>2059.61</v>
      </c>
      <c r="I3481" s="35"/>
      <c r="K3481" t="s">
        <v>15</v>
      </c>
    </row>
    <row r="3482" spans="2:11" ht="33" x14ac:dyDescent="0.2">
      <c r="B3482" s="33" t="s">
        <v>4417</v>
      </c>
      <c r="C3482" s="33" t="s">
        <v>1051</v>
      </c>
      <c r="D3482" s="35">
        <f>SUMIFS(D3483:D9015,K3483:K9015,"0",B3483:B9015,"5 1 1 3 2 12 31111 6 M59 62000 000132 0000R 00001 00132 015*")-SUMIFS(E3483:E9015,K3483:K9015,"0",B3483:B9015,"5 1 1 3 2 12 31111 6 M59 62000 000132 0000R 00001 00132 015*")</f>
        <v>0</v>
      </c>
      <c r="E3482"/>
      <c r="F3482" s="35">
        <f>SUMIFS(F3483:F9015,K3483:K9015,"0",B3483:B9015,"5 1 1 3 2 12 31111 6 M59 62000 000132 0000R 00001 00132 015*")</f>
        <v>2059.61</v>
      </c>
      <c r="G3482" s="35">
        <f>SUMIFS(G3483:G9015,K3483:K9015,"0",B3483:B9015,"5 1 1 3 2 12 31111 6 M59 62000 000132 0000R 00001 00132 015*")</f>
        <v>0</v>
      </c>
      <c r="H3482" s="35">
        <f t="shared" si="55"/>
        <v>2059.61</v>
      </c>
      <c r="I3482" s="35"/>
      <c r="K3482" t="s">
        <v>15</v>
      </c>
    </row>
    <row r="3483" spans="2:11" ht="33" x14ac:dyDescent="0.2">
      <c r="B3483" s="33" t="s">
        <v>4418</v>
      </c>
      <c r="C3483" s="33" t="s">
        <v>2927</v>
      </c>
      <c r="D3483" s="35">
        <f>SUMIFS(D3484:D9015,K3484:K9015,"0",B3484:B9015,"5 1 1 3 2 12 31111 6 M59 62000 000132 0000R 00001 00132 015 2111100*")-SUMIFS(E3484:E9015,K3484:K9015,"0",B3484:B9015,"5 1 1 3 2 12 31111 6 M59 62000 000132 0000R 00001 00132 015 2111100*")</f>
        <v>0</v>
      </c>
      <c r="E3483"/>
      <c r="F3483" s="35">
        <f>SUMIFS(F3484:F9015,K3484:K9015,"0",B3484:B9015,"5 1 1 3 2 12 31111 6 M59 62000 000132 0000R 00001 00132 015 2111100*")</f>
        <v>2059.61</v>
      </c>
      <c r="G3483" s="35">
        <f>SUMIFS(G3484:G9015,K3484:K9015,"0",B3484:B9015,"5 1 1 3 2 12 31111 6 M59 62000 000132 0000R 00001 00132 015 2111100*")</f>
        <v>0</v>
      </c>
      <c r="H3483" s="35">
        <f t="shared" si="55"/>
        <v>2059.61</v>
      </c>
      <c r="I3483" s="35"/>
      <c r="K3483" t="s">
        <v>15</v>
      </c>
    </row>
    <row r="3484" spans="2:11" ht="33" x14ac:dyDescent="0.2">
      <c r="B3484" s="33" t="s">
        <v>4419</v>
      </c>
      <c r="C3484" s="33" t="s">
        <v>660</v>
      </c>
      <c r="D3484" s="35">
        <f>SUMIFS(D3485:D9015,K3485:K9015,"0",B3485:B9015,"5 1 1 3 2 12 31111 6 M59 62000 000132 0000R 00001 00132 015 2111100 2024*")-SUMIFS(E3485:E9015,K3485:K9015,"0",B3485:B9015,"5 1 1 3 2 12 31111 6 M59 62000 000132 0000R 00001 00132 015 2111100 2024*")</f>
        <v>0</v>
      </c>
      <c r="E3484"/>
      <c r="F3484" s="35">
        <f>SUMIFS(F3485:F9015,K3485:K9015,"0",B3485:B9015,"5 1 1 3 2 12 31111 6 M59 62000 000132 0000R 00001 00132 015 2111100 2024*")</f>
        <v>2059.61</v>
      </c>
      <c r="G3484" s="35">
        <f>SUMIFS(G3485:G9015,K3485:K9015,"0",B3485:B9015,"5 1 1 3 2 12 31111 6 M59 62000 000132 0000R 00001 00132 015 2111100 2024*")</f>
        <v>0</v>
      </c>
      <c r="H3484" s="35">
        <f t="shared" si="55"/>
        <v>2059.61</v>
      </c>
      <c r="I3484" s="35"/>
      <c r="K3484" t="s">
        <v>15</v>
      </c>
    </row>
    <row r="3485" spans="2:11" ht="41.25" x14ac:dyDescent="0.2">
      <c r="B3485" s="33" t="s">
        <v>4420</v>
      </c>
      <c r="C3485" s="33" t="s">
        <v>1056</v>
      </c>
      <c r="D3485" s="35">
        <f>SUMIFS(D3486:D9015,K3486:K9015,"0",B3486:B9015,"5 1 1 3 2 12 31111 6 M59 62000 000132 0000R 00001 00132 015 2111100 2024 CP1AM426*")-SUMIFS(E3486:E9015,K3486:K9015,"0",B3486:B9015,"5 1 1 3 2 12 31111 6 M59 62000 000132 0000R 00001 00132 015 2111100 2024 CP1AM426*")</f>
        <v>0</v>
      </c>
      <c r="E3485"/>
      <c r="F3485" s="35">
        <f>SUMIFS(F3486:F9015,K3486:K9015,"0",B3486:B9015,"5 1 1 3 2 12 31111 6 M59 62000 000132 0000R 00001 00132 015 2111100 2024 CP1AM426*")</f>
        <v>2059.61</v>
      </c>
      <c r="G3485" s="35">
        <f>SUMIFS(G3486:G9015,K3486:K9015,"0",B3486:B9015,"5 1 1 3 2 12 31111 6 M59 62000 000132 0000R 00001 00132 015 2111100 2024 CP1AM426*")</f>
        <v>0</v>
      </c>
      <c r="H3485" s="35">
        <f t="shared" si="55"/>
        <v>2059.61</v>
      </c>
      <c r="I3485" s="35"/>
      <c r="K3485" t="s">
        <v>15</v>
      </c>
    </row>
    <row r="3486" spans="2:11" ht="41.25" x14ac:dyDescent="0.2">
      <c r="B3486" s="33" t="s">
        <v>4421</v>
      </c>
      <c r="C3486" s="33" t="s">
        <v>282</v>
      </c>
      <c r="D3486" s="35">
        <f>SUMIFS(D3487:D9015,K3487:K9015,"0",B3487:B9015,"5 1 1 3 2 12 31111 6 M59 62000 000132 0000R 00001 00132 015 2111100 2024 CP1AM426 001*")-SUMIFS(E3487:E9015,K3487:K9015,"0",B3487:B9015,"5 1 1 3 2 12 31111 6 M59 62000 000132 0000R 00001 00132 015 2111100 2024 CP1AM426 001*")</f>
        <v>0</v>
      </c>
      <c r="E3486"/>
      <c r="F3486" s="35">
        <f>SUMIFS(F3487:F9015,K3487:K9015,"0",B3487:B9015,"5 1 1 3 2 12 31111 6 M59 62000 000132 0000R 00001 00132 015 2111100 2024 CP1AM426 001*")</f>
        <v>2059.61</v>
      </c>
      <c r="G3486" s="35">
        <f>SUMIFS(G3487:G9015,K3487:K9015,"0",B3487:B9015,"5 1 1 3 2 12 31111 6 M59 62000 000132 0000R 00001 00132 015 2111100 2024 CP1AM426 001*")</f>
        <v>0</v>
      </c>
      <c r="H3486" s="35">
        <f t="shared" si="55"/>
        <v>2059.61</v>
      </c>
      <c r="I3486" s="35"/>
      <c r="K3486" t="s">
        <v>15</v>
      </c>
    </row>
    <row r="3487" spans="2:11" ht="41.25" x14ac:dyDescent="0.2">
      <c r="B3487" s="31" t="s">
        <v>4422</v>
      </c>
      <c r="C3487" s="31" t="s">
        <v>1519</v>
      </c>
      <c r="D3487" s="34">
        <v>0</v>
      </c>
      <c r="E3487" s="34"/>
      <c r="F3487" s="34">
        <v>2059.61</v>
      </c>
      <c r="G3487" s="34">
        <v>0</v>
      </c>
      <c r="H3487" s="34">
        <f t="shared" si="55"/>
        <v>2059.61</v>
      </c>
      <c r="I3487" s="34"/>
      <c r="K3487" t="s">
        <v>38</v>
      </c>
    </row>
    <row r="3488" spans="2:11" ht="16.5" x14ac:dyDescent="0.2">
      <c r="B3488" s="33" t="s">
        <v>4423</v>
      </c>
      <c r="C3488" s="33" t="s">
        <v>3377</v>
      </c>
      <c r="D3488" s="35">
        <f>SUMIFS(D3489:D9015,K3489:K9015,"0",B3489:B9015,"5 1 1 3 2 12 31111 6 M59 70000*")-SUMIFS(E3489:E9015,K3489:K9015,"0",B3489:B9015,"5 1 1 3 2 12 31111 6 M59 70000*")</f>
        <v>0</v>
      </c>
      <c r="E3488"/>
      <c r="F3488" s="35">
        <f>SUMIFS(F3489:F9015,K3489:K9015,"0",B3489:B9015,"5 1 1 3 2 12 31111 6 M59 70000*")</f>
        <v>13537.919999999998</v>
      </c>
      <c r="G3488" s="35">
        <f>SUMIFS(G3489:G9015,K3489:K9015,"0",B3489:B9015,"5 1 1 3 2 12 31111 6 M59 70000*")</f>
        <v>0</v>
      </c>
      <c r="H3488" s="35">
        <f t="shared" si="55"/>
        <v>13537.919999999998</v>
      </c>
      <c r="I3488" s="35"/>
      <c r="K3488" t="s">
        <v>15</v>
      </c>
    </row>
    <row r="3489" spans="2:11" ht="16.5" x14ac:dyDescent="0.2">
      <c r="B3489" s="33" t="s">
        <v>4424</v>
      </c>
      <c r="C3489" s="33" t="s">
        <v>648</v>
      </c>
      <c r="D3489" s="35">
        <f>SUMIFS(D3490:D9015,K3490:K9015,"0",B3490:B9015,"5 1 1 3 2 12 31111 6 M59 70000 000132*")-SUMIFS(E3490:E9015,K3490:K9015,"0",B3490:B9015,"5 1 1 3 2 12 31111 6 M59 70000 000132*")</f>
        <v>0</v>
      </c>
      <c r="E3489"/>
      <c r="F3489" s="35">
        <f>SUMIFS(F3490:F9015,K3490:K9015,"0",B3490:B9015,"5 1 1 3 2 12 31111 6 M59 70000 000132*")</f>
        <v>13537.919999999998</v>
      </c>
      <c r="G3489" s="35">
        <f>SUMIFS(G3490:G9015,K3490:K9015,"0",B3490:B9015,"5 1 1 3 2 12 31111 6 M59 70000 000132*")</f>
        <v>0</v>
      </c>
      <c r="H3489" s="35">
        <f t="shared" si="55"/>
        <v>13537.919999999998</v>
      </c>
      <c r="I3489" s="35"/>
      <c r="K3489" t="s">
        <v>15</v>
      </c>
    </row>
    <row r="3490" spans="2:11" ht="24.75" x14ac:dyDescent="0.2">
      <c r="B3490" s="33" t="s">
        <v>4425</v>
      </c>
      <c r="C3490" s="33" t="s">
        <v>650</v>
      </c>
      <c r="D3490" s="35">
        <f>SUMIFS(D3491:D9015,K3491:K9015,"0",B3491:B9015,"5 1 1 3 2 12 31111 6 M59 70000 000132 0000R*")-SUMIFS(E3491:E9015,K3491:K9015,"0",B3491:B9015,"5 1 1 3 2 12 31111 6 M59 70000 000132 0000R*")</f>
        <v>0</v>
      </c>
      <c r="E3490"/>
      <c r="F3490" s="35">
        <f>SUMIFS(F3491:F9015,K3491:K9015,"0",B3491:B9015,"5 1 1 3 2 12 31111 6 M59 70000 000132 0000R*")</f>
        <v>13537.919999999998</v>
      </c>
      <c r="G3490" s="35">
        <f>SUMIFS(G3491:G9015,K3491:K9015,"0",B3491:B9015,"5 1 1 3 2 12 31111 6 M59 70000 000132 0000R*")</f>
        <v>0</v>
      </c>
      <c r="H3490" s="35">
        <f t="shared" si="55"/>
        <v>13537.919999999998</v>
      </c>
      <c r="I3490" s="35"/>
      <c r="K3490" t="s">
        <v>15</v>
      </c>
    </row>
    <row r="3491" spans="2:11" ht="24.75" x14ac:dyDescent="0.2">
      <c r="B3491" s="33" t="s">
        <v>4426</v>
      </c>
      <c r="C3491" s="33" t="s">
        <v>282</v>
      </c>
      <c r="D3491" s="35">
        <f>SUMIFS(D3492:D9015,K3492:K9015,"0",B3492:B9015,"5 1 1 3 2 12 31111 6 M59 70000 000132 0000R 00001*")-SUMIFS(E3492:E9015,K3492:K9015,"0",B3492:B9015,"5 1 1 3 2 12 31111 6 M59 70000 000132 0000R 00001*")</f>
        <v>0</v>
      </c>
      <c r="E3491"/>
      <c r="F3491" s="35">
        <f>SUMIFS(F3492:F9015,K3492:K9015,"0",B3492:B9015,"5 1 1 3 2 12 31111 6 M59 70000 000132 0000R 00001*")</f>
        <v>13537.919999999998</v>
      </c>
      <c r="G3491" s="35">
        <f>SUMIFS(G3492:G9015,K3492:K9015,"0",B3492:B9015,"5 1 1 3 2 12 31111 6 M59 70000 000132 0000R 00001*")</f>
        <v>0</v>
      </c>
      <c r="H3491" s="35">
        <f t="shared" si="55"/>
        <v>13537.919999999998</v>
      </c>
      <c r="I3491" s="35"/>
      <c r="K3491" t="s">
        <v>15</v>
      </c>
    </row>
    <row r="3492" spans="2:11" ht="24.75" x14ac:dyDescent="0.2">
      <c r="B3492" s="33" t="s">
        <v>4427</v>
      </c>
      <c r="C3492" s="33" t="s">
        <v>4041</v>
      </c>
      <c r="D3492" s="35">
        <f>SUMIFS(D3493:D9015,K3493:K9015,"0",B3493:B9015,"5 1 1 3 2 12 31111 6 M59 70000 000132 0000R 00001 00132*")-SUMIFS(E3493:E9015,K3493:K9015,"0",B3493:B9015,"5 1 1 3 2 12 31111 6 M59 70000 000132 0000R 00001 00132*")</f>
        <v>0</v>
      </c>
      <c r="E3492"/>
      <c r="F3492" s="35">
        <f>SUMIFS(F3493:F9015,K3493:K9015,"0",B3493:B9015,"5 1 1 3 2 12 31111 6 M59 70000 000132 0000R 00001 00132*")</f>
        <v>13537.919999999998</v>
      </c>
      <c r="G3492" s="35">
        <f>SUMIFS(G3493:G9015,K3493:K9015,"0",B3493:B9015,"5 1 1 3 2 12 31111 6 M59 70000 000132 0000R 00001 00132*")</f>
        <v>0</v>
      </c>
      <c r="H3492" s="35">
        <f t="shared" si="55"/>
        <v>13537.919999999998</v>
      </c>
      <c r="I3492" s="35"/>
      <c r="K3492" t="s">
        <v>15</v>
      </c>
    </row>
    <row r="3493" spans="2:11" ht="33" x14ac:dyDescent="0.2">
      <c r="B3493" s="33" t="s">
        <v>4428</v>
      </c>
      <c r="C3493" s="33" t="s">
        <v>1051</v>
      </c>
      <c r="D3493" s="35">
        <f>SUMIFS(D3494:D9015,K3494:K9015,"0",B3494:B9015,"5 1 1 3 2 12 31111 6 M59 70000 000132 0000R 00001 00132 015*")-SUMIFS(E3494:E9015,K3494:K9015,"0",B3494:B9015,"5 1 1 3 2 12 31111 6 M59 70000 000132 0000R 00001 00132 015*")</f>
        <v>0</v>
      </c>
      <c r="E3493"/>
      <c r="F3493" s="35">
        <f>SUMIFS(F3494:F9015,K3494:K9015,"0",B3494:B9015,"5 1 1 3 2 12 31111 6 M59 70000 000132 0000R 00001 00132 015*")</f>
        <v>13537.919999999998</v>
      </c>
      <c r="G3493" s="35">
        <f>SUMIFS(G3494:G9015,K3494:K9015,"0",B3494:B9015,"5 1 1 3 2 12 31111 6 M59 70000 000132 0000R 00001 00132 015*")</f>
        <v>0</v>
      </c>
      <c r="H3493" s="35">
        <f t="shared" si="55"/>
        <v>13537.919999999998</v>
      </c>
      <c r="I3493" s="35"/>
      <c r="K3493" t="s">
        <v>15</v>
      </c>
    </row>
    <row r="3494" spans="2:11" ht="33" x14ac:dyDescent="0.2">
      <c r="B3494" s="33" t="s">
        <v>4429</v>
      </c>
      <c r="C3494" s="33" t="s">
        <v>2927</v>
      </c>
      <c r="D3494" s="35">
        <f>SUMIFS(D3495:D9015,K3495:K9015,"0",B3495:B9015,"5 1 1 3 2 12 31111 6 M59 70000 000132 0000R 00001 00132 015 2111100*")-SUMIFS(E3495:E9015,K3495:K9015,"0",B3495:B9015,"5 1 1 3 2 12 31111 6 M59 70000 000132 0000R 00001 00132 015 2111100*")</f>
        <v>0</v>
      </c>
      <c r="E3494"/>
      <c r="F3494" s="35">
        <f>SUMIFS(F3495:F9015,K3495:K9015,"0",B3495:B9015,"5 1 1 3 2 12 31111 6 M59 70000 000132 0000R 00001 00132 015 2111100*")</f>
        <v>13537.919999999998</v>
      </c>
      <c r="G3494" s="35">
        <f>SUMIFS(G3495:G9015,K3495:K9015,"0",B3495:B9015,"5 1 1 3 2 12 31111 6 M59 70000 000132 0000R 00001 00132 015 2111100*")</f>
        <v>0</v>
      </c>
      <c r="H3494" s="35">
        <f t="shared" si="55"/>
        <v>13537.919999999998</v>
      </c>
      <c r="I3494" s="35"/>
      <c r="K3494" t="s">
        <v>15</v>
      </c>
    </row>
    <row r="3495" spans="2:11" ht="33" x14ac:dyDescent="0.2">
      <c r="B3495" s="33" t="s">
        <v>4430</v>
      </c>
      <c r="C3495" s="33" t="s">
        <v>660</v>
      </c>
      <c r="D3495" s="35">
        <f>SUMIFS(D3496:D9015,K3496:K9015,"0",B3496:B9015,"5 1 1 3 2 12 31111 6 M59 70000 000132 0000R 00001 00132 015 2111100 2024*")-SUMIFS(E3496:E9015,K3496:K9015,"0",B3496:B9015,"5 1 1 3 2 12 31111 6 M59 70000 000132 0000R 00001 00132 015 2111100 2024*")</f>
        <v>0</v>
      </c>
      <c r="E3495"/>
      <c r="F3495" s="35">
        <f>SUMIFS(F3496:F9015,K3496:K9015,"0",B3496:B9015,"5 1 1 3 2 12 31111 6 M59 70000 000132 0000R 00001 00132 015 2111100 2024*")</f>
        <v>13537.919999999998</v>
      </c>
      <c r="G3495" s="35">
        <f>SUMIFS(G3496:G9015,K3496:K9015,"0",B3496:B9015,"5 1 1 3 2 12 31111 6 M59 70000 000132 0000R 00001 00132 015 2111100 2024*")</f>
        <v>0</v>
      </c>
      <c r="H3495" s="35">
        <f t="shared" si="55"/>
        <v>13537.919999999998</v>
      </c>
      <c r="I3495" s="35"/>
      <c r="K3495" t="s">
        <v>15</v>
      </c>
    </row>
    <row r="3496" spans="2:11" ht="41.25" x14ac:dyDescent="0.2">
      <c r="B3496" s="33" t="s">
        <v>4431</v>
      </c>
      <c r="C3496" s="33" t="s">
        <v>1056</v>
      </c>
      <c r="D3496" s="35">
        <f>SUMIFS(D3497:D9015,K3497:K9015,"0",B3497:B9015,"5 1 1 3 2 12 31111 6 M59 70000 000132 0000R 00001 00132 015 2111100 2024 CP1DS387*")-SUMIFS(E3497:E9015,K3497:K9015,"0",B3497:B9015,"5 1 1 3 2 12 31111 6 M59 70000 000132 0000R 00001 00132 015 2111100 2024 CP1DS387*")</f>
        <v>0</v>
      </c>
      <c r="E3496"/>
      <c r="F3496" s="35">
        <f>SUMIFS(F3497:F9015,K3497:K9015,"0",B3497:B9015,"5 1 1 3 2 12 31111 6 M59 70000 000132 0000R 00001 00132 015 2111100 2024 CP1DS387*")</f>
        <v>13537.919999999998</v>
      </c>
      <c r="G3496" s="35">
        <f>SUMIFS(G3497:G9015,K3497:K9015,"0",B3497:B9015,"5 1 1 3 2 12 31111 6 M59 70000 000132 0000R 00001 00132 015 2111100 2024 CP1DS387*")</f>
        <v>0</v>
      </c>
      <c r="H3496" s="35">
        <f t="shared" si="55"/>
        <v>13537.919999999998</v>
      </c>
      <c r="I3496" s="35"/>
      <c r="K3496" t="s">
        <v>15</v>
      </c>
    </row>
    <row r="3497" spans="2:11" ht="41.25" x14ac:dyDescent="0.2">
      <c r="B3497" s="33" t="s">
        <v>4432</v>
      </c>
      <c r="C3497" s="33" t="s">
        <v>282</v>
      </c>
      <c r="D3497" s="35">
        <f>SUMIFS(D3498:D9015,K3498:K9015,"0",B3498:B9015,"5 1 1 3 2 12 31111 6 M59 70000 000132 0000R 00001 00132 015 2111100 2024 CP1DS387 001*")-SUMIFS(E3498:E9015,K3498:K9015,"0",B3498:B9015,"5 1 1 3 2 12 31111 6 M59 70000 000132 0000R 00001 00132 015 2111100 2024 CP1DS387 001*")</f>
        <v>0</v>
      </c>
      <c r="E3497"/>
      <c r="F3497" s="35">
        <f>SUMIFS(F3498:F9015,K3498:K9015,"0",B3498:B9015,"5 1 1 3 2 12 31111 6 M59 70000 000132 0000R 00001 00132 015 2111100 2024 CP1DS387 001*")</f>
        <v>13537.919999999998</v>
      </c>
      <c r="G3497" s="35">
        <f>SUMIFS(G3498:G9015,K3498:K9015,"0",B3498:B9015,"5 1 1 3 2 12 31111 6 M59 70000 000132 0000R 00001 00132 015 2111100 2024 CP1DS387 001*")</f>
        <v>0</v>
      </c>
      <c r="H3497" s="35">
        <f t="shared" si="55"/>
        <v>13537.919999999998</v>
      </c>
      <c r="I3497" s="35"/>
      <c r="K3497" t="s">
        <v>15</v>
      </c>
    </row>
    <row r="3498" spans="2:11" ht="33" x14ac:dyDescent="0.2">
      <c r="B3498" s="31" t="s">
        <v>4433</v>
      </c>
      <c r="C3498" s="31" t="s">
        <v>1519</v>
      </c>
      <c r="D3498" s="34">
        <v>0</v>
      </c>
      <c r="E3498" s="34"/>
      <c r="F3498" s="34">
        <v>11788.71</v>
      </c>
      <c r="G3498" s="34">
        <v>0</v>
      </c>
      <c r="H3498" s="34">
        <f t="shared" si="55"/>
        <v>11788.71</v>
      </c>
      <c r="I3498" s="34"/>
      <c r="K3498" t="s">
        <v>38</v>
      </c>
    </row>
    <row r="3499" spans="2:11" ht="33" x14ac:dyDescent="0.2">
      <c r="B3499" s="31" t="s">
        <v>4434</v>
      </c>
      <c r="C3499" s="31" t="s">
        <v>4435</v>
      </c>
      <c r="D3499" s="34">
        <v>0</v>
      </c>
      <c r="E3499" s="34"/>
      <c r="F3499" s="34">
        <v>1749.21</v>
      </c>
      <c r="G3499" s="34">
        <v>0</v>
      </c>
      <c r="H3499" s="34">
        <f t="shared" si="55"/>
        <v>1749.21</v>
      </c>
      <c r="I3499" s="34"/>
      <c r="K3499" t="s">
        <v>38</v>
      </c>
    </row>
    <row r="3500" spans="2:11" ht="16.5" x14ac:dyDescent="0.2">
      <c r="B3500" s="33" t="s">
        <v>4436</v>
      </c>
      <c r="C3500" s="33" t="s">
        <v>3389</v>
      </c>
      <c r="D3500" s="35">
        <f>SUMIFS(D3501:D9015,K3501:K9015,"0",B3501:B9015,"5 1 1 3 2 12 31111 6 M59 70100*")-SUMIFS(E3501:E9015,K3501:K9015,"0",B3501:B9015,"5 1 1 3 2 12 31111 6 M59 70100*")</f>
        <v>0</v>
      </c>
      <c r="E3500"/>
      <c r="F3500" s="35">
        <f>SUMIFS(F3501:F9015,K3501:K9015,"0",B3501:B9015,"5 1 1 3 2 12 31111 6 M59 70100*")</f>
        <v>4907.1400000000003</v>
      </c>
      <c r="G3500" s="35">
        <f>SUMIFS(G3501:G9015,K3501:K9015,"0",B3501:B9015,"5 1 1 3 2 12 31111 6 M59 70100*")</f>
        <v>0</v>
      </c>
      <c r="H3500" s="35">
        <f t="shared" si="55"/>
        <v>4907.1400000000003</v>
      </c>
      <c r="I3500" s="35"/>
      <c r="K3500" t="s">
        <v>15</v>
      </c>
    </row>
    <row r="3501" spans="2:11" ht="16.5" x14ac:dyDescent="0.2">
      <c r="B3501" s="33" t="s">
        <v>4437</v>
      </c>
      <c r="C3501" s="33" t="s">
        <v>648</v>
      </c>
      <c r="D3501" s="35">
        <f>SUMIFS(D3502:D9015,K3502:K9015,"0",B3502:B9015,"5 1 1 3 2 12 31111 6 M59 70100 000132*")-SUMIFS(E3502:E9015,K3502:K9015,"0",B3502:B9015,"5 1 1 3 2 12 31111 6 M59 70100 000132*")</f>
        <v>0</v>
      </c>
      <c r="E3501"/>
      <c r="F3501" s="35">
        <f>SUMIFS(F3502:F9015,K3502:K9015,"0",B3502:B9015,"5 1 1 3 2 12 31111 6 M59 70100 000132*")</f>
        <v>4907.1400000000003</v>
      </c>
      <c r="G3501" s="35">
        <f>SUMIFS(G3502:G9015,K3502:K9015,"0",B3502:B9015,"5 1 1 3 2 12 31111 6 M59 70100 000132*")</f>
        <v>0</v>
      </c>
      <c r="H3501" s="35">
        <f t="shared" si="55"/>
        <v>4907.1400000000003</v>
      </c>
      <c r="I3501" s="35"/>
      <c r="K3501" t="s">
        <v>15</v>
      </c>
    </row>
    <row r="3502" spans="2:11" ht="24.75" x14ac:dyDescent="0.2">
      <c r="B3502" s="33" t="s">
        <v>4438</v>
      </c>
      <c r="C3502" s="33" t="s">
        <v>650</v>
      </c>
      <c r="D3502" s="35">
        <f>SUMIFS(D3503:D9015,K3503:K9015,"0",B3503:B9015,"5 1 1 3 2 12 31111 6 M59 70100 000132 0000R*")-SUMIFS(E3503:E9015,K3503:K9015,"0",B3503:B9015,"5 1 1 3 2 12 31111 6 M59 70100 000132 0000R*")</f>
        <v>0</v>
      </c>
      <c r="E3502"/>
      <c r="F3502" s="35">
        <f>SUMIFS(F3503:F9015,K3503:K9015,"0",B3503:B9015,"5 1 1 3 2 12 31111 6 M59 70100 000132 0000R*")</f>
        <v>4907.1400000000003</v>
      </c>
      <c r="G3502" s="35">
        <f>SUMIFS(G3503:G9015,K3503:K9015,"0",B3503:B9015,"5 1 1 3 2 12 31111 6 M59 70100 000132 0000R*")</f>
        <v>0</v>
      </c>
      <c r="H3502" s="35">
        <f t="shared" si="55"/>
        <v>4907.1400000000003</v>
      </c>
      <c r="I3502" s="35"/>
      <c r="K3502" t="s">
        <v>15</v>
      </c>
    </row>
    <row r="3503" spans="2:11" ht="24.75" x14ac:dyDescent="0.2">
      <c r="B3503" s="33" t="s">
        <v>4439</v>
      </c>
      <c r="C3503" s="33" t="s">
        <v>282</v>
      </c>
      <c r="D3503" s="35">
        <f>SUMIFS(D3504:D9015,K3504:K9015,"0",B3504:B9015,"5 1 1 3 2 12 31111 6 M59 70100 000132 0000R 00001*")-SUMIFS(E3504:E9015,K3504:K9015,"0",B3504:B9015,"5 1 1 3 2 12 31111 6 M59 70100 000132 0000R 00001*")</f>
        <v>0</v>
      </c>
      <c r="E3503"/>
      <c r="F3503" s="35">
        <f>SUMIFS(F3504:F9015,K3504:K9015,"0",B3504:B9015,"5 1 1 3 2 12 31111 6 M59 70100 000132 0000R 00001*")</f>
        <v>4907.1400000000003</v>
      </c>
      <c r="G3503" s="35">
        <f>SUMIFS(G3504:G9015,K3504:K9015,"0",B3504:B9015,"5 1 1 3 2 12 31111 6 M59 70100 000132 0000R 00001*")</f>
        <v>0</v>
      </c>
      <c r="H3503" s="35">
        <f t="shared" si="55"/>
        <v>4907.1400000000003</v>
      </c>
      <c r="I3503" s="35"/>
      <c r="K3503" t="s">
        <v>15</v>
      </c>
    </row>
    <row r="3504" spans="2:11" ht="24.75" x14ac:dyDescent="0.2">
      <c r="B3504" s="33" t="s">
        <v>4440</v>
      </c>
      <c r="C3504" s="33" t="s">
        <v>4041</v>
      </c>
      <c r="D3504" s="35">
        <f>SUMIFS(D3505:D9015,K3505:K9015,"0",B3505:B9015,"5 1 1 3 2 12 31111 6 M59 70100 000132 0000R 00001 00132*")-SUMIFS(E3505:E9015,K3505:K9015,"0",B3505:B9015,"5 1 1 3 2 12 31111 6 M59 70100 000132 0000R 00001 00132*")</f>
        <v>0</v>
      </c>
      <c r="E3504"/>
      <c r="F3504" s="35">
        <f>SUMIFS(F3505:F9015,K3505:K9015,"0",B3505:B9015,"5 1 1 3 2 12 31111 6 M59 70100 000132 0000R 00001 00132*")</f>
        <v>4907.1400000000003</v>
      </c>
      <c r="G3504" s="35">
        <f>SUMIFS(G3505:G9015,K3505:K9015,"0",B3505:B9015,"5 1 1 3 2 12 31111 6 M59 70100 000132 0000R 00001 00132*")</f>
        <v>0</v>
      </c>
      <c r="H3504" s="35">
        <f t="shared" si="55"/>
        <v>4907.1400000000003</v>
      </c>
      <c r="I3504" s="35"/>
      <c r="K3504" t="s">
        <v>15</v>
      </c>
    </row>
    <row r="3505" spans="2:11" ht="33" x14ac:dyDescent="0.2">
      <c r="B3505" s="33" t="s">
        <v>4441</v>
      </c>
      <c r="C3505" s="33" t="s">
        <v>1051</v>
      </c>
      <c r="D3505" s="35">
        <f>SUMIFS(D3506:D9015,K3506:K9015,"0",B3506:B9015,"5 1 1 3 2 12 31111 6 M59 70100 000132 0000R 00001 00132 015*")-SUMIFS(E3506:E9015,K3506:K9015,"0",B3506:B9015,"5 1 1 3 2 12 31111 6 M59 70100 000132 0000R 00001 00132 015*")</f>
        <v>0</v>
      </c>
      <c r="E3505"/>
      <c r="F3505" s="35">
        <f>SUMIFS(F3506:F9015,K3506:K9015,"0",B3506:B9015,"5 1 1 3 2 12 31111 6 M59 70100 000132 0000R 00001 00132 015*")</f>
        <v>4907.1400000000003</v>
      </c>
      <c r="G3505" s="35">
        <f>SUMIFS(G3506:G9015,K3506:K9015,"0",B3506:B9015,"5 1 1 3 2 12 31111 6 M59 70100 000132 0000R 00001 00132 015*")</f>
        <v>0</v>
      </c>
      <c r="H3505" s="35">
        <f t="shared" si="55"/>
        <v>4907.1400000000003</v>
      </c>
      <c r="I3505" s="35"/>
      <c r="K3505" t="s">
        <v>15</v>
      </c>
    </row>
    <row r="3506" spans="2:11" ht="33" x14ac:dyDescent="0.2">
      <c r="B3506" s="33" t="s">
        <v>4442</v>
      </c>
      <c r="C3506" s="33" t="s">
        <v>2927</v>
      </c>
      <c r="D3506" s="35">
        <f>SUMIFS(D3507:D9015,K3507:K9015,"0",B3507:B9015,"5 1 1 3 2 12 31111 6 M59 70100 000132 0000R 00001 00132 015 2111100*")-SUMIFS(E3507:E9015,K3507:K9015,"0",B3507:B9015,"5 1 1 3 2 12 31111 6 M59 70100 000132 0000R 00001 00132 015 2111100*")</f>
        <v>0</v>
      </c>
      <c r="E3506"/>
      <c r="F3506" s="35">
        <f>SUMIFS(F3507:F9015,K3507:K9015,"0",B3507:B9015,"5 1 1 3 2 12 31111 6 M59 70100 000132 0000R 00001 00132 015 2111100*")</f>
        <v>4907.1400000000003</v>
      </c>
      <c r="G3506" s="35">
        <f>SUMIFS(G3507:G9015,K3507:K9015,"0",B3507:B9015,"5 1 1 3 2 12 31111 6 M59 70100 000132 0000R 00001 00132 015 2111100*")</f>
        <v>0</v>
      </c>
      <c r="H3506" s="35">
        <f t="shared" si="55"/>
        <v>4907.1400000000003</v>
      </c>
      <c r="I3506" s="35"/>
      <c r="K3506" t="s">
        <v>15</v>
      </c>
    </row>
    <row r="3507" spans="2:11" ht="33" x14ac:dyDescent="0.2">
      <c r="B3507" s="33" t="s">
        <v>4443</v>
      </c>
      <c r="C3507" s="33" t="s">
        <v>660</v>
      </c>
      <c r="D3507" s="35">
        <f>SUMIFS(D3508:D9015,K3508:K9015,"0",B3508:B9015,"5 1 1 3 2 12 31111 6 M59 70100 000132 0000R 00001 00132 015 2111100 2024*")-SUMIFS(E3508:E9015,K3508:K9015,"0",B3508:B9015,"5 1 1 3 2 12 31111 6 M59 70100 000132 0000R 00001 00132 015 2111100 2024*")</f>
        <v>0</v>
      </c>
      <c r="E3507"/>
      <c r="F3507" s="35">
        <f>SUMIFS(F3508:F9015,K3508:K9015,"0",B3508:B9015,"5 1 1 3 2 12 31111 6 M59 70100 000132 0000R 00001 00132 015 2111100 2024*")</f>
        <v>4907.1400000000003</v>
      </c>
      <c r="G3507" s="35">
        <f>SUMIFS(G3508:G9015,K3508:K9015,"0",B3508:B9015,"5 1 1 3 2 12 31111 6 M59 70100 000132 0000R 00001 00132 015 2111100 2024*")</f>
        <v>0</v>
      </c>
      <c r="H3507" s="35">
        <f t="shared" si="55"/>
        <v>4907.1400000000003</v>
      </c>
      <c r="I3507" s="35"/>
      <c r="K3507" t="s">
        <v>15</v>
      </c>
    </row>
    <row r="3508" spans="2:11" ht="41.25" x14ac:dyDescent="0.2">
      <c r="B3508" s="33" t="s">
        <v>4444</v>
      </c>
      <c r="C3508" s="33" t="s">
        <v>1056</v>
      </c>
      <c r="D3508" s="35">
        <f>SUMIFS(D3509:D9015,K3509:K9015,"0",B3509:B9015,"5 1 1 3 2 12 31111 6 M59 70100 000132 0000R 00001 00132 015 2111100 2024 CP1MM393*")-SUMIFS(E3509:E9015,K3509:K9015,"0",B3509:B9015,"5 1 1 3 2 12 31111 6 M59 70100 000132 0000R 00001 00132 015 2111100 2024 CP1MM393*")</f>
        <v>0</v>
      </c>
      <c r="E3508"/>
      <c r="F3508" s="35">
        <f>SUMIFS(F3509:F9015,K3509:K9015,"0",B3509:B9015,"5 1 1 3 2 12 31111 6 M59 70100 000132 0000R 00001 00132 015 2111100 2024 CP1MM393*")</f>
        <v>4907.1400000000003</v>
      </c>
      <c r="G3508" s="35">
        <f>SUMIFS(G3509:G9015,K3509:K9015,"0",B3509:B9015,"5 1 1 3 2 12 31111 6 M59 70100 000132 0000R 00001 00132 015 2111100 2024 CP1MM393*")</f>
        <v>0</v>
      </c>
      <c r="H3508" s="35">
        <f t="shared" si="55"/>
        <v>4907.1400000000003</v>
      </c>
      <c r="I3508" s="35"/>
      <c r="K3508" t="s">
        <v>15</v>
      </c>
    </row>
    <row r="3509" spans="2:11" ht="41.25" x14ac:dyDescent="0.2">
      <c r="B3509" s="33" t="s">
        <v>4445</v>
      </c>
      <c r="C3509" s="33" t="s">
        <v>282</v>
      </c>
      <c r="D3509" s="35">
        <f>SUMIFS(D3510:D9015,K3510:K9015,"0",B3510:B9015,"5 1 1 3 2 12 31111 6 M59 70100 000132 0000R 00001 00132 015 2111100 2024 CP1MM393 001*")-SUMIFS(E3510:E9015,K3510:K9015,"0",B3510:B9015,"5 1 1 3 2 12 31111 6 M59 70100 000132 0000R 00001 00132 015 2111100 2024 CP1MM393 001*")</f>
        <v>0</v>
      </c>
      <c r="E3509"/>
      <c r="F3509" s="35">
        <f>SUMIFS(F3510:F9015,K3510:K9015,"0",B3510:B9015,"5 1 1 3 2 12 31111 6 M59 70100 000132 0000R 00001 00132 015 2111100 2024 CP1MM393 001*")</f>
        <v>4907.1400000000003</v>
      </c>
      <c r="G3509" s="35">
        <f>SUMIFS(G3510:G9015,K3510:K9015,"0",B3510:B9015,"5 1 1 3 2 12 31111 6 M59 70100 000132 0000R 00001 00132 015 2111100 2024 CP1MM393 001*")</f>
        <v>0</v>
      </c>
      <c r="H3509" s="35">
        <f t="shared" si="55"/>
        <v>4907.1400000000003</v>
      </c>
      <c r="I3509" s="35"/>
      <c r="K3509" t="s">
        <v>15</v>
      </c>
    </row>
    <row r="3510" spans="2:11" ht="33" x14ac:dyDescent="0.2">
      <c r="B3510" s="31" t="s">
        <v>4446</v>
      </c>
      <c r="C3510" s="31" t="s">
        <v>1519</v>
      </c>
      <c r="D3510" s="34">
        <v>0</v>
      </c>
      <c r="E3510" s="34"/>
      <c r="F3510" s="34">
        <v>4907.1400000000003</v>
      </c>
      <c r="G3510" s="34">
        <v>0</v>
      </c>
      <c r="H3510" s="34">
        <f t="shared" si="55"/>
        <v>4907.1400000000003</v>
      </c>
      <c r="I3510" s="34"/>
      <c r="K3510" t="s">
        <v>38</v>
      </c>
    </row>
    <row r="3511" spans="2:11" ht="16.5" x14ac:dyDescent="0.2">
      <c r="B3511" s="33" t="s">
        <v>4447</v>
      </c>
      <c r="C3511" s="33" t="s">
        <v>3401</v>
      </c>
      <c r="D3511" s="35">
        <f>SUMIFS(D3512:D9015,K3512:K9015,"0",B3512:B9015,"5 1 1 3 2 12 31111 6 M59 70200*")-SUMIFS(E3512:E9015,K3512:K9015,"0",B3512:B9015,"5 1 1 3 2 12 31111 6 M59 70200*")</f>
        <v>0</v>
      </c>
      <c r="E3511"/>
      <c r="F3511" s="35">
        <f>SUMIFS(F3512:F9015,K3512:K9015,"0",B3512:B9015,"5 1 1 3 2 12 31111 6 M59 70200*")</f>
        <v>2450.2199999999998</v>
      </c>
      <c r="G3511" s="35">
        <f>SUMIFS(G3512:G9015,K3512:K9015,"0",B3512:B9015,"5 1 1 3 2 12 31111 6 M59 70200*")</f>
        <v>0</v>
      </c>
      <c r="H3511" s="35">
        <f t="shared" si="55"/>
        <v>2450.2199999999998</v>
      </c>
      <c r="I3511" s="35"/>
      <c r="K3511" t="s">
        <v>15</v>
      </c>
    </row>
    <row r="3512" spans="2:11" ht="16.5" x14ac:dyDescent="0.2">
      <c r="B3512" s="33" t="s">
        <v>4448</v>
      </c>
      <c r="C3512" s="33" t="s">
        <v>648</v>
      </c>
      <c r="D3512" s="35">
        <f>SUMIFS(D3513:D9015,K3513:K9015,"0",B3513:B9015,"5 1 1 3 2 12 31111 6 M59 70200 000132*")-SUMIFS(E3513:E9015,K3513:K9015,"0",B3513:B9015,"5 1 1 3 2 12 31111 6 M59 70200 000132*")</f>
        <v>0</v>
      </c>
      <c r="E3512"/>
      <c r="F3512" s="35">
        <f>SUMIFS(F3513:F9015,K3513:K9015,"0",B3513:B9015,"5 1 1 3 2 12 31111 6 M59 70200 000132*")</f>
        <v>2450.2199999999998</v>
      </c>
      <c r="G3512" s="35">
        <f>SUMIFS(G3513:G9015,K3513:K9015,"0",B3513:B9015,"5 1 1 3 2 12 31111 6 M59 70200 000132*")</f>
        <v>0</v>
      </c>
      <c r="H3512" s="35">
        <f t="shared" si="55"/>
        <v>2450.2199999999998</v>
      </c>
      <c r="I3512" s="35"/>
      <c r="K3512" t="s">
        <v>15</v>
      </c>
    </row>
    <row r="3513" spans="2:11" ht="24.75" x14ac:dyDescent="0.2">
      <c r="B3513" s="33" t="s">
        <v>4449</v>
      </c>
      <c r="C3513" s="33" t="s">
        <v>650</v>
      </c>
      <c r="D3513" s="35">
        <f>SUMIFS(D3514:D9015,K3514:K9015,"0",B3514:B9015,"5 1 1 3 2 12 31111 6 M59 70200 000132 0000R*")-SUMIFS(E3514:E9015,K3514:K9015,"0",B3514:B9015,"5 1 1 3 2 12 31111 6 M59 70200 000132 0000R*")</f>
        <v>0</v>
      </c>
      <c r="E3513"/>
      <c r="F3513" s="35">
        <f>SUMIFS(F3514:F9015,K3514:K9015,"0",B3514:B9015,"5 1 1 3 2 12 31111 6 M59 70200 000132 0000R*")</f>
        <v>2450.2199999999998</v>
      </c>
      <c r="G3513" s="35">
        <f>SUMIFS(G3514:G9015,K3514:K9015,"0",B3514:B9015,"5 1 1 3 2 12 31111 6 M59 70200 000132 0000R*")</f>
        <v>0</v>
      </c>
      <c r="H3513" s="35">
        <f t="shared" si="55"/>
        <v>2450.2199999999998</v>
      </c>
      <c r="I3513" s="35"/>
      <c r="K3513" t="s">
        <v>15</v>
      </c>
    </row>
    <row r="3514" spans="2:11" ht="24.75" x14ac:dyDescent="0.2">
      <c r="B3514" s="33" t="s">
        <v>4450</v>
      </c>
      <c r="C3514" s="33" t="s">
        <v>282</v>
      </c>
      <c r="D3514" s="35">
        <f>SUMIFS(D3515:D9015,K3515:K9015,"0",B3515:B9015,"5 1 1 3 2 12 31111 6 M59 70200 000132 0000R 00001*")-SUMIFS(E3515:E9015,K3515:K9015,"0",B3515:B9015,"5 1 1 3 2 12 31111 6 M59 70200 000132 0000R 00001*")</f>
        <v>0</v>
      </c>
      <c r="E3514"/>
      <c r="F3514" s="35">
        <f>SUMIFS(F3515:F9015,K3515:K9015,"0",B3515:B9015,"5 1 1 3 2 12 31111 6 M59 70200 000132 0000R 00001*")</f>
        <v>2450.2199999999998</v>
      </c>
      <c r="G3514" s="35">
        <f>SUMIFS(G3515:G9015,K3515:K9015,"0",B3515:B9015,"5 1 1 3 2 12 31111 6 M59 70200 000132 0000R 00001*")</f>
        <v>0</v>
      </c>
      <c r="H3514" s="35">
        <f t="shared" si="55"/>
        <v>2450.2199999999998</v>
      </c>
      <c r="I3514" s="35"/>
      <c r="K3514" t="s">
        <v>15</v>
      </c>
    </row>
    <row r="3515" spans="2:11" ht="24.75" x14ac:dyDescent="0.2">
      <c r="B3515" s="33" t="s">
        <v>4451</v>
      </c>
      <c r="C3515" s="33" t="s">
        <v>4041</v>
      </c>
      <c r="D3515" s="35">
        <f>SUMIFS(D3516:D9015,K3516:K9015,"0",B3516:B9015,"5 1 1 3 2 12 31111 6 M59 70200 000132 0000R 00001 00132*")-SUMIFS(E3516:E9015,K3516:K9015,"0",B3516:B9015,"5 1 1 3 2 12 31111 6 M59 70200 000132 0000R 00001 00132*")</f>
        <v>0</v>
      </c>
      <c r="E3515"/>
      <c r="F3515" s="35">
        <f>SUMIFS(F3516:F9015,K3516:K9015,"0",B3516:B9015,"5 1 1 3 2 12 31111 6 M59 70200 000132 0000R 00001 00132*")</f>
        <v>2450.2199999999998</v>
      </c>
      <c r="G3515" s="35">
        <f>SUMIFS(G3516:G9015,K3516:K9015,"0",B3516:B9015,"5 1 1 3 2 12 31111 6 M59 70200 000132 0000R 00001 00132*")</f>
        <v>0</v>
      </c>
      <c r="H3515" s="35">
        <f t="shared" si="55"/>
        <v>2450.2199999999998</v>
      </c>
      <c r="I3515" s="35"/>
      <c r="K3515" t="s">
        <v>15</v>
      </c>
    </row>
    <row r="3516" spans="2:11" ht="33" x14ac:dyDescent="0.2">
      <c r="B3516" s="33" t="s">
        <v>4452</v>
      </c>
      <c r="C3516" s="33" t="s">
        <v>1051</v>
      </c>
      <c r="D3516" s="35">
        <f>SUMIFS(D3517:D9015,K3517:K9015,"0",B3517:B9015,"5 1 1 3 2 12 31111 6 M59 70200 000132 0000R 00001 00132 015*")-SUMIFS(E3517:E9015,K3517:K9015,"0",B3517:B9015,"5 1 1 3 2 12 31111 6 M59 70200 000132 0000R 00001 00132 015*")</f>
        <v>0</v>
      </c>
      <c r="E3516"/>
      <c r="F3516" s="35">
        <f>SUMIFS(F3517:F9015,K3517:K9015,"0",B3517:B9015,"5 1 1 3 2 12 31111 6 M59 70200 000132 0000R 00001 00132 015*")</f>
        <v>2450.2199999999998</v>
      </c>
      <c r="G3516" s="35">
        <f>SUMIFS(G3517:G9015,K3517:K9015,"0",B3517:B9015,"5 1 1 3 2 12 31111 6 M59 70200 000132 0000R 00001 00132 015*")</f>
        <v>0</v>
      </c>
      <c r="H3516" s="35">
        <f t="shared" si="55"/>
        <v>2450.2199999999998</v>
      </c>
      <c r="I3516" s="35"/>
      <c r="K3516" t="s">
        <v>15</v>
      </c>
    </row>
    <row r="3517" spans="2:11" ht="33" x14ac:dyDescent="0.2">
      <c r="B3517" s="33" t="s">
        <v>4453</v>
      </c>
      <c r="C3517" s="33" t="s">
        <v>2927</v>
      </c>
      <c r="D3517" s="35">
        <f>SUMIFS(D3518:D9015,K3518:K9015,"0",B3518:B9015,"5 1 1 3 2 12 31111 6 M59 70200 000132 0000R 00001 00132 015 2111100*")-SUMIFS(E3518:E9015,K3518:K9015,"0",B3518:B9015,"5 1 1 3 2 12 31111 6 M59 70200 000132 0000R 00001 00132 015 2111100*")</f>
        <v>0</v>
      </c>
      <c r="E3517"/>
      <c r="F3517" s="35">
        <f>SUMIFS(F3518:F9015,K3518:K9015,"0",B3518:B9015,"5 1 1 3 2 12 31111 6 M59 70200 000132 0000R 00001 00132 015 2111100*")</f>
        <v>2450.2199999999998</v>
      </c>
      <c r="G3517" s="35">
        <f>SUMIFS(G3518:G9015,K3518:K9015,"0",B3518:B9015,"5 1 1 3 2 12 31111 6 M59 70200 000132 0000R 00001 00132 015 2111100*")</f>
        <v>0</v>
      </c>
      <c r="H3517" s="35">
        <f t="shared" si="55"/>
        <v>2450.2199999999998</v>
      </c>
      <c r="I3517" s="35"/>
      <c r="K3517" t="s">
        <v>15</v>
      </c>
    </row>
    <row r="3518" spans="2:11" ht="33" x14ac:dyDescent="0.2">
      <c r="B3518" s="33" t="s">
        <v>4454</v>
      </c>
      <c r="C3518" s="33" t="s">
        <v>660</v>
      </c>
      <c r="D3518" s="35">
        <f>SUMIFS(D3519:D9015,K3519:K9015,"0",B3519:B9015,"5 1 1 3 2 12 31111 6 M59 70200 000132 0000R 00001 00132 015 2111100 2024*")-SUMIFS(E3519:E9015,K3519:K9015,"0",B3519:B9015,"5 1 1 3 2 12 31111 6 M59 70200 000132 0000R 00001 00132 015 2111100 2024*")</f>
        <v>0</v>
      </c>
      <c r="E3518"/>
      <c r="F3518" s="35">
        <f>SUMIFS(F3519:F9015,K3519:K9015,"0",B3519:B9015,"5 1 1 3 2 12 31111 6 M59 70200 000132 0000R 00001 00132 015 2111100 2024*")</f>
        <v>2450.2199999999998</v>
      </c>
      <c r="G3518" s="35">
        <f>SUMIFS(G3519:G9015,K3519:K9015,"0",B3519:B9015,"5 1 1 3 2 12 31111 6 M59 70200 000132 0000R 00001 00132 015 2111100 2024*")</f>
        <v>0</v>
      </c>
      <c r="H3518" s="35">
        <f t="shared" si="55"/>
        <v>2450.2199999999998</v>
      </c>
      <c r="I3518" s="35"/>
      <c r="K3518" t="s">
        <v>15</v>
      </c>
    </row>
    <row r="3519" spans="2:11" ht="41.25" x14ac:dyDescent="0.2">
      <c r="B3519" s="33" t="s">
        <v>4455</v>
      </c>
      <c r="C3519" s="33" t="s">
        <v>1056</v>
      </c>
      <c r="D3519" s="35">
        <f>SUMIFS(D3520:D9015,K3520:K9015,"0",B3520:B9015,"5 1 1 3 2 12 31111 6 M59 70200 000132 0000R 00001 00132 015 2111100 2024 CP1SE410*")-SUMIFS(E3520:E9015,K3520:K9015,"0",B3520:B9015,"5 1 1 3 2 12 31111 6 M59 70200 000132 0000R 00001 00132 015 2111100 2024 CP1SE410*")</f>
        <v>0</v>
      </c>
      <c r="E3519"/>
      <c r="F3519" s="35">
        <f>SUMIFS(F3520:F9015,K3520:K9015,"0",B3520:B9015,"5 1 1 3 2 12 31111 6 M59 70200 000132 0000R 00001 00132 015 2111100 2024 CP1SE410*")</f>
        <v>2450.2199999999998</v>
      </c>
      <c r="G3519" s="35">
        <f>SUMIFS(G3520:G9015,K3520:K9015,"0",B3520:B9015,"5 1 1 3 2 12 31111 6 M59 70200 000132 0000R 00001 00132 015 2111100 2024 CP1SE410*")</f>
        <v>0</v>
      </c>
      <c r="H3519" s="35">
        <f t="shared" si="55"/>
        <v>2450.2199999999998</v>
      </c>
      <c r="I3519" s="35"/>
      <c r="K3519" t="s">
        <v>15</v>
      </c>
    </row>
    <row r="3520" spans="2:11" ht="41.25" x14ac:dyDescent="0.2">
      <c r="B3520" s="33" t="s">
        <v>4456</v>
      </c>
      <c r="C3520" s="33" t="s">
        <v>282</v>
      </c>
      <c r="D3520" s="35">
        <f>SUMIFS(D3521:D9015,K3521:K9015,"0",B3521:B9015,"5 1 1 3 2 12 31111 6 M59 70200 000132 0000R 00001 00132 015 2111100 2024 CP1SE410 001*")-SUMIFS(E3521:E9015,K3521:K9015,"0",B3521:B9015,"5 1 1 3 2 12 31111 6 M59 70200 000132 0000R 00001 00132 015 2111100 2024 CP1SE410 001*")</f>
        <v>0</v>
      </c>
      <c r="E3520"/>
      <c r="F3520" s="35">
        <f>SUMIFS(F3521:F9015,K3521:K9015,"0",B3521:B9015,"5 1 1 3 2 12 31111 6 M59 70200 000132 0000R 00001 00132 015 2111100 2024 CP1SE410 001*")</f>
        <v>2450.2199999999998</v>
      </c>
      <c r="G3520" s="35">
        <f>SUMIFS(G3521:G9015,K3521:K9015,"0",B3521:B9015,"5 1 1 3 2 12 31111 6 M59 70200 000132 0000R 00001 00132 015 2111100 2024 CP1SE410 001*")</f>
        <v>0</v>
      </c>
      <c r="H3520" s="35">
        <f t="shared" si="55"/>
        <v>2450.2199999999998</v>
      </c>
      <c r="I3520" s="35"/>
      <c r="K3520" t="s">
        <v>15</v>
      </c>
    </row>
    <row r="3521" spans="2:11" ht="33" x14ac:dyDescent="0.2">
      <c r="B3521" s="31" t="s">
        <v>4457</v>
      </c>
      <c r="C3521" s="31" t="s">
        <v>1519</v>
      </c>
      <c r="D3521" s="34">
        <v>0</v>
      </c>
      <c r="E3521" s="34"/>
      <c r="F3521" s="34">
        <v>2450.2199999999998</v>
      </c>
      <c r="G3521" s="34">
        <v>0</v>
      </c>
      <c r="H3521" s="34">
        <f t="shared" si="55"/>
        <v>2450.2199999999998</v>
      </c>
      <c r="I3521" s="34"/>
      <c r="K3521" t="s">
        <v>38</v>
      </c>
    </row>
    <row r="3522" spans="2:11" ht="16.5" x14ac:dyDescent="0.2">
      <c r="B3522" s="33" t="s">
        <v>4458</v>
      </c>
      <c r="C3522" s="33" t="s">
        <v>3413</v>
      </c>
      <c r="D3522" s="35">
        <f>SUMIFS(D3523:D9015,K3523:K9015,"0",B3523:B9015,"5 1 1 3 2 12 31111 6 M59 70300*")-SUMIFS(E3523:E9015,K3523:K9015,"0",B3523:B9015,"5 1 1 3 2 12 31111 6 M59 70300*")</f>
        <v>0</v>
      </c>
      <c r="E3522"/>
      <c r="F3522" s="35">
        <f>SUMIFS(F3523:F9015,K3523:K9015,"0",B3523:B9015,"5 1 1 3 2 12 31111 6 M59 70300*")</f>
        <v>15670.49</v>
      </c>
      <c r="G3522" s="35">
        <f>SUMIFS(G3523:G9015,K3523:K9015,"0",B3523:B9015,"5 1 1 3 2 12 31111 6 M59 70300*")</f>
        <v>0</v>
      </c>
      <c r="H3522" s="35">
        <f t="shared" si="55"/>
        <v>15670.49</v>
      </c>
      <c r="I3522" s="35"/>
      <c r="K3522" t="s">
        <v>15</v>
      </c>
    </row>
    <row r="3523" spans="2:11" ht="16.5" x14ac:dyDescent="0.2">
      <c r="B3523" s="33" t="s">
        <v>4459</v>
      </c>
      <c r="C3523" s="33" t="s">
        <v>648</v>
      </c>
      <c r="D3523" s="35">
        <f>SUMIFS(D3524:D9015,K3524:K9015,"0",B3524:B9015,"5 1 1 3 2 12 31111 6 M59 70300 000132*")-SUMIFS(E3524:E9015,K3524:K9015,"0",B3524:B9015,"5 1 1 3 2 12 31111 6 M59 70300 000132*")</f>
        <v>0</v>
      </c>
      <c r="E3523"/>
      <c r="F3523" s="35">
        <f>SUMIFS(F3524:F9015,K3524:K9015,"0",B3524:B9015,"5 1 1 3 2 12 31111 6 M59 70300 000132*")</f>
        <v>15670.49</v>
      </c>
      <c r="G3523" s="35">
        <f>SUMIFS(G3524:G9015,K3524:K9015,"0",B3524:B9015,"5 1 1 3 2 12 31111 6 M59 70300 000132*")</f>
        <v>0</v>
      </c>
      <c r="H3523" s="35">
        <f t="shared" si="55"/>
        <v>15670.49</v>
      </c>
      <c r="I3523" s="35"/>
      <c r="K3523" t="s">
        <v>15</v>
      </c>
    </row>
    <row r="3524" spans="2:11" ht="24.75" x14ac:dyDescent="0.2">
      <c r="B3524" s="33" t="s">
        <v>4460</v>
      </c>
      <c r="C3524" s="33" t="s">
        <v>650</v>
      </c>
      <c r="D3524" s="35">
        <f>SUMIFS(D3525:D9015,K3525:K9015,"0",B3525:B9015,"5 1 1 3 2 12 31111 6 M59 70300 000132 0000R*")-SUMIFS(E3525:E9015,K3525:K9015,"0",B3525:B9015,"5 1 1 3 2 12 31111 6 M59 70300 000132 0000R*")</f>
        <v>0</v>
      </c>
      <c r="E3524"/>
      <c r="F3524" s="35">
        <f>SUMIFS(F3525:F9015,K3525:K9015,"0",B3525:B9015,"5 1 1 3 2 12 31111 6 M59 70300 000132 0000R*")</f>
        <v>15670.49</v>
      </c>
      <c r="G3524" s="35">
        <f>SUMIFS(G3525:G9015,K3525:K9015,"0",B3525:B9015,"5 1 1 3 2 12 31111 6 M59 70300 000132 0000R*")</f>
        <v>0</v>
      </c>
      <c r="H3524" s="35">
        <f t="shared" ref="H3524:H3587" si="56">D3524 + F3524 - G3524</f>
        <v>15670.49</v>
      </c>
      <c r="I3524" s="35"/>
      <c r="K3524" t="s">
        <v>15</v>
      </c>
    </row>
    <row r="3525" spans="2:11" ht="24.75" x14ac:dyDescent="0.2">
      <c r="B3525" s="33" t="s">
        <v>4461</v>
      </c>
      <c r="C3525" s="33" t="s">
        <v>282</v>
      </c>
      <c r="D3525" s="35">
        <f>SUMIFS(D3526:D9015,K3526:K9015,"0",B3526:B9015,"5 1 1 3 2 12 31111 6 M59 70300 000132 0000R 00001*")-SUMIFS(E3526:E9015,K3526:K9015,"0",B3526:B9015,"5 1 1 3 2 12 31111 6 M59 70300 000132 0000R 00001*")</f>
        <v>0</v>
      </c>
      <c r="E3525"/>
      <c r="F3525" s="35">
        <f>SUMIFS(F3526:F9015,K3526:K9015,"0",B3526:B9015,"5 1 1 3 2 12 31111 6 M59 70300 000132 0000R 00001*")</f>
        <v>15670.49</v>
      </c>
      <c r="G3525" s="35">
        <f>SUMIFS(G3526:G9015,K3526:K9015,"0",B3526:B9015,"5 1 1 3 2 12 31111 6 M59 70300 000132 0000R 00001*")</f>
        <v>0</v>
      </c>
      <c r="H3525" s="35">
        <f t="shared" si="56"/>
        <v>15670.49</v>
      </c>
      <c r="I3525" s="35"/>
      <c r="K3525" t="s">
        <v>15</v>
      </c>
    </row>
    <row r="3526" spans="2:11" ht="24.75" x14ac:dyDescent="0.2">
      <c r="B3526" s="33" t="s">
        <v>4462</v>
      </c>
      <c r="C3526" s="33" t="s">
        <v>4041</v>
      </c>
      <c r="D3526" s="35">
        <f>SUMIFS(D3527:D9015,K3527:K9015,"0",B3527:B9015,"5 1 1 3 2 12 31111 6 M59 70300 000132 0000R 00001 00132*")-SUMIFS(E3527:E9015,K3527:K9015,"0",B3527:B9015,"5 1 1 3 2 12 31111 6 M59 70300 000132 0000R 00001 00132*")</f>
        <v>0</v>
      </c>
      <c r="E3526"/>
      <c r="F3526" s="35">
        <f>SUMIFS(F3527:F9015,K3527:K9015,"0",B3527:B9015,"5 1 1 3 2 12 31111 6 M59 70300 000132 0000R 00001 00132*")</f>
        <v>15670.49</v>
      </c>
      <c r="G3526" s="35">
        <f>SUMIFS(G3527:G9015,K3527:K9015,"0",B3527:B9015,"5 1 1 3 2 12 31111 6 M59 70300 000132 0000R 00001 00132*")</f>
        <v>0</v>
      </c>
      <c r="H3526" s="35">
        <f t="shared" si="56"/>
        <v>15670.49</v>
      </c>
      <c r="I3526" s="35"/>
      <c r="K3526" t="s">
        <v>15</v>
      </c>
    </row>
    <row r="3527" spans="2:11" ht="33" x14ac:dyDescent="0.2">
      <c r="B3527" s="33" t="s">
        <v>4463</v>
      </c>
      <c r="C3527" s="33" t="s">
        <v>1051</v>
      </c>
      <c r="D3527" s="35">
        <f>SUMIFS(D3528:D9015,K3528:K9015,"0",B3528:B9015,"5 1 1 3 2 12 31111 6 M59 70300 000132 0000R 00001 00132 015*")-SUMIFS(E3528:E9015,K3528:K9015,"0",B3528:B9015,"5 1 1 3 2 12 31111 6 M59 70300 000132 0000R 00001 00132 015*")</f>
        <v>0</v>
      </c>
      <c r="E3527"/>
      <c r="F3527" s="35">
        <f>SUMIFS(F3528:F9015,K3528:K9015,"0",B3528:B9015,"5 1 1 3 2 12 31111 6 M59 70300 000132 0000R 00001 00132 015*")</f>
        <v>15670.49</v>
      </c>
      <c r="G3527" s="35">
        <f>SUMIFS(G3528:G9015,K3528:K9015,"0",B3528:B9015,"5 1 1 3 2 12 31111 6 M59 70300 000132 0000R 00001 00132 015*")</f>
        <v>0</v>
      </c>
      <c r="H3527" s="35">
        <f t="shared" si="56"/>
        <v>15670.49</v>
      </c>
      <c r="I3527" s="35"/>
      <c r="K3527" t="s">
        <v>15</v>
      </c>
    </row>
    <row r="3528" spans="2:11" ht="33" x14ac:dyDescent="0.2">
      <c r="B3528" s="33" t="s">
        <v>4464</v>
      </c>
      <c r="C3528" s="33" t="s">
        <v>2927</v>
      </c>
      <c r="D3528" s="35">
        <f>SUMIFS(D3529:D9015,K3529:K9015,"0",B3529:B9015,"5 1 1 3 2 12 31111 6 M59 70300 000132 0000R 00001 00132 015 2111100*")-SUMIFS(E3529:E9015,K3529:K9015,"0",B3529:B9015,"5 1 1 3 2 12 31111 6 M59 70300 000132 0000R 00001 00132 015 2111100*")</f>
        <v>0</v>
      </c>
      <c r="E3528"/>
      <c r="F3528" s="35">
        <f>SUMIFS(F3529:F9015,K3529:K9015,"0",B3529:B9015,"5 1 1 3 2 12 31111 6 M59 70300 000132 0000R 00001 00132 015 2111100*")</f>
        <v>15670.49</v>
      </c>
      <c r="G3528" s="35">
        <f>SUMIFS(G3529:G9015,K3529:K9015,"0",B3529:B9015,"5 1 1 3 2 12 31111 6 M59 70300 000132 0000R 00001 00132 015 2111100*")</f>
        <v>0</v>
      </c>
      <c r="H3528" s="35">
        <f t="shared" si="56"/>
        <v>15670.49</v>
      </c>
      <c r="I3528" s="35"/>
      <c r="K3528" t="s">
        <v>15</v>
      </c>
    </row>
    <row r="3529" spans="2:11" ht="33" x14ac:dyDescent="0.2">
      <c r="B3529" s="33" t="s">
        <v>4465</v>
      </c>
      <c r="C3529" s="33" t="s">
        <v>660</v>
      </c>
      <c r="D3529" s="35">
        <f>SUMIFS(D3530:D9015,K3530:K9015,"0",B3530:B9015,"5 1 1 3 2 12 31111 6 M59 70300 000132 0000R 00001 00132 015 2111100 2024*")-SUMIFS(E3530:E9015,K3530:K9015,"0",B3530:B9015,"5 1 1 3 2 12 31111 6 M59 70300 000132 0000R 00001 00132 015 2111100 2024*")</f>
        <v>0</v>
      </c>
      <c r="E3529"/>
      <c r="F3529" s="35">
        <f>SUMIFS(F3530:F9015,K3530:K9015,"0",B3530:B9015,"5 1 1 3 2 12 31111 6 M59 70300 000132 0000R 00001 00132 015 2111100 2024*")</f>
        <v>15670.49</v>
      </c>
      <c r="G3529" s="35">
        <f>SUMIFS(G3530:G9015,K3530:K9015,"0",B3530:B9015,"5 1 1 3 2 12 31111 6 M59 70300 000132 0000R 00001 00132 015 2111100 2024*")</f>
        <v>0</v>
      </c>
      <c r="H3529" s="35">
        <f t="shared" si="56"/>
        <v>15670.49</v>
      </c>
      <c r="I3529" s="35"/>
      <c r="K3529" t="s">
        <v>15</v>
      </c>
    </row>
    <row r="3530" spans="2:11" ht="41.25" x14ac:dyDescent="0.2">
      <c r="B3530" s="33" t="s">
        <v>4466</v>
      </c>
      <c r="C3530" s="33" t="s">
        <v>1056</v>
      </c>
      <c r="D3530" s="35">
        <f>SUMIFS(D3531:D9015,K3531:K9015,"0",B3531:B9015,"5 1 1 3 2 12 31111 6 M59 70300 000132 0000R 00001 00132 015 2111100 2024 CP1CU419*")-SUMIFS(E3531:E9015,K3531:K9015,"0",B3531:B9015,"5 1 1 3 2 12 31111 6 M59 70300 000132 0000R 00001 00132 015 2111100 2024 CP1CU419*")</f>
        <v>0</v>
      </c>
      <c r="E3530"/>
      <c r="F3530" s="35">
        <f>SUMIFS(F3531:F9015,K3531:K9015,"0",B3531:B9015,"5 1 1 3 2 12 31111 6 M59 70300 000132 0000R 00001 00132 015 2111100 2024 CP1CU419*")</f>
        <v>15670.49</v>
      </c>
      <c r="G3530" s="35">
        <f>SUMIFS(G3531:G9015,K3531:K9015,"0",B3531:B9015,"5 1 1 3 2 12 31111 6 M59 70300 000132 0000R 00001 00132 015 2111100 2024 CP1CU419*")</f>
        <v>0</v>
      </c>
      <c r="H3530" s="35">
        <f t="shared" si="56"/>
        <v>15670.49</v>
      </c>
      <c r="I3530" s="35"/>
      <c r="K3530" t="s">
        <v>15</v>
      </c>
    </row>
    <row r="3531" spans="2:11" ht="41.25" x14ac:dyDescent="0.2">
      <c r="B3531" s="33" t="s">
        <v>4467</v>
      </c>
      <c r="C3531" s="33" t="s">
        <v>282</v>
      </c>
      <c r="D3531" s="35">
        <f>SUMIFS(D3532:D9015,K3532:K9015,"0",B3532:B9015,"5 1 1 3 2 12 31111 6 M59 70300 000132 0000R 00001 00132 015 2111100 2024 CP1CU419 001*")-SUMIFS(E3532:E9015,K3532:K9015,"0",B3532:B9015,"5 1 1 3 2 12 31111 6 M59 70300 000132 0000R 00001 00132 015 2111100 2024 CP1CU419 001*")</f>
        <v>0</v>
      </c>
      <c r="E3531"/>
      <c r="F3531" s="35">
        <f>SUMIFS(F3532:F9015,K3532:K9015,"0",B3532:B9015,"5 1 1 3 2 12 31111 6 M59 70300 000132 0000R 00001 00132 015 2111100 2024 CP1CU419 001*")</f>
        <v>15670.49</v>
      </c>
      <c r="G3531" s="35">
        <f>SUMIFS(G3532:G9015,K3532:K9015,"0",B3532:B9015,"5 1 1 3 2 12 31111 6 M59 70300 000132 0000R 00001 00132 015 2111100 2024 CP1CU419 001*")</f>
        <v>0</v>
      </c>
      <c r="H3531" s="35">
        <f t="shared" si="56"/>
        <v>15670.49</v>
      </c>
      <c r="I3531" s="35"/>
      <c r="K3531" t="s">
        <v>15</v>
      </c>
    </row>
    <row r="3532" spans="2:11" ht="33" x14ac:dyDescent="0.2">
      <c r="B3532" s="31" t="s">
        <v>4468</v>
      </c>
      <c r="C3532" s="31" t="s">
        <v>1519</v>
      </c>
      <c r="D3532" s="34">
        <v>0</v>
      </c>
      <c r="E3532" s="34"/>
      <c r="F3532" s="34">
        <v>15670.49</v>
      </c>
      <c r="G3532" s="34">
        <v>0</v>
      </c>
      <c r="H3532" s="34">
        <f t="shared" si="56"/>
        <v>15670.49</v>
      </c>
      <c r="I3532" s="34"/>
      <c r="K3532" t="s">
        <v>38</v>
      </c>
    </row>
    <row r="3533" spans="2:11" ht="16.5" x14ac:dyDescent="0.2">
      <c r="B3533" s="33" t="s">
        <v>4469</v>
      </c>
      <c r="C3533" s="33" t="s">
        <v>3425</v>
      </c>
      <c r="D3533" s="35">
        <f>SUMIFS(D3534:D9015,K3534:K9015,"0",B3534:B9015,"5 1 1 3 2 12 31111 6 M59 70400*")-SUMIFS(E3534:E9015,K3534:K9015,"0",B3534:B9015,"5 1 1 3 2 12 31111 6 M59 70400*")</f>
        <v>0</v>
      </c>
      <c r="E3533"/>
      <c r="F3533" s="35">
        <f>SUMIFS(F3534:F9015,K3534:K9015,"0",B3534:B9015,"5 1 1 3 2 12 31111 6 M59 70400*")</f>
        <v>7663.4</v>
      </c>
      <c r="G3533" s="35">
        <f>SUMIFS(G3534:G9015,K3534:K9015,"0",B3534:B9015,"5 1 1 3 2 12 31111 6 M59 70400*")</f>
        <v>0</v>
      </c>
      <c r="H3533" s="35">
        <f t="shared" si="56"/>
        <v>7663.4</v>
      </c>
      <c r="I3533" s="35"/>
      <c r="K3533" t="s">
        <v>15</v>
      </c>
    </row>
    <row r="3534" spans="2:11" ht="16.5" x14ac:dyDescent="0.2">
      <c r="B3534" s="33" t="s">
        <v>4470</v>
      </c>
      <c r="C3534" s="33" t="s">
        <v>3427</v>
      </c>
      <c r="D3534" s="35">
        <f>SUMIFS(D3535:D9015,K3535:K9015,"0",B3535:B9015,"5 1 1 3 2 12 31111 6 M59 70400 000241*")-SUMIFS(E3535:E9015,K3535:K9015,"0",B3535:B9015,"5 1 1 3 2 12 31111 6 M59 70400 000241*")</f>
        <v>0</v>
      </c>
      <c r="E3534"/>
      <c r="F3534" s="35">
        <f>SUMIFS(F3535:F9015,K3535:K9015,"0",B3535:B9015,"5 1 1 3 2 12 31111 6 M59 70400 000241*")</f>
        <v>7663.4</v>
      </c>
      <c r="G3534" s="35">
        <f>SUMIFS(G3535:G9015,K3535:K9015,"0",B3535:B9015,"5 1 1 3 2 12 31111 6 M59 70400 000241*")</f>
        <v>0</v>
      </c>
      <c r="H3534" s="35">
        <f t="shared" si="56"/>
        <v>7663.4</v>
      </c>
      <c r="I3534" s="35"/>
      <c r="K3534" t="s">
        <v>15</v>
      </c>
    </row>
    <row r="3535" spans="2:11" ht="24.75" x14ac:dyDescent="0.2">
      <c r="B3535" s="33" t="s">
        <v>4471</v>
      </c>
      <c r="C3535" s="33" t="s">
        <v>650</v>
      </c>
      <c r="D3535" s="35">
        <f>SUMIFS(D3536:D9015,K3536:K9015,"0",B3536:B9015,"5 1 1 3 2 12 31111 6 M59 70400 000241 0000R*")-SUMIFS(E3536:E9015,K3536:K9015,"0",B3536:B9015,"5 1 1 3 2 12 31111 6 M59 70400 000241 0000R*")</f>
        <v>0</v>
      </c>
      <c r="E3535"/>
      <c r="F3535" s="35">
        <f>SUMIFS(F3536:F9015,K3536:K9015,"0",B3536:B9015,"5 1 1 3 2 12 31111 6 M59 70400 000241 0000R*")</f>
        <v>7663.4</v>
      </c>
      <c r="G3535" s="35">
        <f>SUMIFS(G3536:G9015,K3536:K9015,"0",B3536:B9015,"5 1 1 3 2 12 31111 6 M59 70400 000241 0000R*")</f>
        <v>0</v>
      </c>
      <c r="H3535" s="35">
        <f t="shared" si="56"/>
        <v>7663.4</v>
      </c>
      <c r="I3535" s="35"/>
      <c r="K3535" t="s">
        <v>15</v>
      </c>
    </row>
    <row r="3536" spans="2:11" ht="24.75" x14ac:dyDescent="0.2">
      <c r="B3536" s="33" t="s">
        <v>4472</v>
      </c>
      <c r="C3536" s="33" t="s">
        <v>282</v>
      </c>
      <c r="D3536" s="35">
        <f>SUMIFS(D3537:D9015,K3537:K9015,"0",B3537:B9015,"5 1 1 3 2 12 31111 6 M59 70400 000241 0000R 00001*")-SUMIFS(E3537:E9015,K3537:K9015,"0",B3537:B9015,"5 1 1 3 2 12 31111 6 M59 70400 000241 0000R 00001*")</f>
        <v>0</v>
      </c>
      <c r="E3536"/>
      <c r="F3536" s="35">
        <f>SUMIFS(F3537:F9015,K3537:K9015,"0",B3537:B9015,"5 1 1 3 2 12 31111 6 M59 70400 000241 0000R 00001*")</f>
        <v>7663.4</v>
      </c>
      <c r="G3536" s="35">
        <f>SUMIFS(G3537:G9015,K3537:K9015,"0",B3537:B9015,"5 1 1 3 2 12 31111 6 M59 70400 000241 0000R 00001*")</f>
        <v>0</v>
      </c>
      <c r="H3536" s="35">
        <f t="shared" si="56"/>
        <v>7663.4</v>
      </c>
      <c r="I3536" s="35"/>
      <c r="K3536" t="s">
        <v>15</v>
      </c>
    </row>
    <row r="3537" spans="2:11" ht="24.75" x14ac:dyDescent="0.2">
      <c r="B3537" s="33" t="s">
        <v>4473</v>
      </c>
      <c r="C3537" s="33" t="s">
        <v>4041</v>
      </c>
      <c r="D3537" s="35">
        <f>SUMIFS(D3538:D9015,K3538:K9015,"0",B3538:B9015,"5 1 1 3 2 12 31111 6 M59 70400 000241 0000R 00001 00132*")-SUMIFS(E3538:E9015,K3538:K9015,"0",B3538:B9015,"5 1 1 3 2 12 31111 6 M59 70400 000241 0000R 00001 00132*")</f>
        <v>0</v>
      </c>
      <c r="E3537"/>
      <c r="F3537" s="35">
        <f>SUMIFS(F3538:F9015,K3538:K9015,"0",B3538:B9015,"5 1 1 3 2 12 31111 6 M59 70400 000241 0000R 00001 00132*")</f>
        <v>7663.4</v>
      </c>
      <c r="G3537" s="35">
        <f>SUMIFS(G3538:G9015,K3538:K9015,"0",B3538:B9015,"5 1 1 3 2 12 31111 6 M59 70400 000241 0000R 00001 00132*")</f>
        <v>0</v>
      </c>
      <c r="H3537" s="35">
        <f t="shared" si="56"/>
        <v>7663.4</v>
      </c>
      <c r="I3537" s="35"/>
      <c r="K3537" t="s">
        <v>15</v>
      </c>
    </row>
    <row r="3538" spans="2:11" ht="33" x14ac:dyDescent="0.2">
      <c r="B3538" s="33" t="s">
        <v>4474</v>
      </c>
      <c r="C3538" s="33" t="s">
        <v>1051</v>
      </c>
      <c r="D3538" s="35">
        <f>SUMIFS(D3539:D9015,K3539:K9015,"0",B3539:B9015,"5 1 1 3 2 12 31111 6 M59 70400 000241 0000R 00001 00132 015*")-SUMIFS(E3539:E9015,K3539:K9015,"0",B3539:B9015,"5 1 1 3 2 12 31111 6 M59 70400 000241 0000R 00001 00132 015*")</f>
        <v>0</v>
      </c>
      <c r="E3538"/>
      <c r="F3538" s="35">
        <f>SUMIFS(F3539:F9015,K3539:K9015,"0",B3539:B9015,"5 1 1 3 2 12 31111 6 M59 70400 000241 0000R 00001 00132 015*")</f>
        <v>7663.4</v>
      </c>
      <c r="G3538" s="35">
        <f>SUMIFS(G3539:G9015,K3539:K9015,"0",B3539:B9015,"5 1 1 3 2 12 31111 6 M59 70400 000241 0000R 00001 00132 015*")</f>
        <v>0</v>
      </c>
      <c r="H3538" s="35">
        <f t="shared" si="56"/>
        <v>7663.4</v>
      </c>
      <c r="I3538" s="35"/>
      <c r="K3538" t="s">
        <v>15</v>
      </c>
    </row>
    <row r="3539" spans="2:11" ht="33" x14ac:dyDescent="0.2">
      <c r="B3539" s="33" t="s">
        <v>4475</v>
      </c>
      <c r="C3539" s="33" t="s">
        <v>2927</v>
      </c>
      <c r="D3539" s="35">
        <f>SUMIFS(D3540:D9015,K3540:K9015,"0",B3540:B9015,"5 1 1 3 2 12 31111 6 M59 70400 000241 0000R 00001 00132 015 2111100*")-SUMIFS(E3540:E9015,K3540:K9015,"0",B3540:B9015,"5 1 1 3 2 12 31111 6 M59 70400 000241 0000R 00001 00132 015 2111100*")</f>
        <v>0</v>
      </c>
      <c r="E3539"/>
      <c r="F3539" s="35">
        <f>SUMIFS(F3540:F9015,K3540:K9015,"0",B3540:B9015,"5 1 1 3 2 12 31111 6 M59 70400 000241 0000R 00001 00132 015 2111100*")</f>
        <v>7663.4</v>
      </c>
      <c r="G3539" s="35">
        <f>SUMIFS(G3540:G9015,K3540:K9015,"0",B3540:B9015,"5 1 1 3 2 12 31111 6 M59 70400 000241 0000R 00001 00132 015 2111100*")</f>
        <v>0</v>
      </c>
      <c r="H3539" s="35">
        <f t="shared" si="56"/>
        <v>7663.4</v>
      </c>
      <c r="I3539" s="35"/>
      <c r="K3539" t="s">
        <v>15</v>
      </c>
    </row>
    <row r="3540" spans="2:11" ht="33" x14ac:dyDescent="0.2">
      <c r="B3540" s="33" t="s">
        <v>4476</v>
      </c>
      <c r="C3540" s="33" t="s">
        <v>660</v>
      </c>
      <c r="D3540" s="35">
        <f>SUMIFS(D3541:D9015,K3541:K9015,"0",B3541:B9015,"5 1 1 3 2 12 31111 6 M59 70400 000241 0000R 00001 00132 015 2111100 2024*")-SUMIFS(E3541:E9015,K3541:K9015,"0",B3541:B9015,"5 1 1 3 2 12 31111 6 M59 70400 000241 0000R 00001 00132 015 2111100 2024*")</f>
        <v>0</v>
      </c>
      <c r="E3540"/>
      <c r="F3540" s="35">
        <f>SUMIFS(F3541:F9015,K3541:K9015,"0",B3541:B9015,"5 1 1 3 2 12 31111 6 M59 70400 000241 0000R 00001 00132 015 2111100 2024*")</f>
        <v>7663.4</v>
      </c>
      <c r="G3540" s="35">
        <f>SUMIFS(G3541:G9015,K3541:K9015,"0",B3541:B9015,"5 1 1 3 2 12 31111 6 M59 70400 000241 0000R 00001 00132 015 2111100 2024*")</f>
        <v>0</v>
      </c>
      <c r="H3540" s="35">
        <f t="shared" si="56"/>
        <v>7663.4</v>
      </c>
      <c r="I3540" s="35"/>
      <c r="K3540" t="s">
        <v>15</v>
      </c>
    </row>
    <row r="3541" spans="2:11" ht="41.25" x14ac:dyDescent="0.2">
      <c r="B3541" s="33" t="s">
        <v>4477</v>
      </c>
      <c r="C3541" s="33" t="s">
        <v>662</v>
      </c>
      <c r="D3541" s="35">
        <f>SUMIFS(D3542:D9015,K3542:K9015,"0",B3542:B9015,"5 1 1 3 2 12 31111 6 M59 70400 000241 0000R 00001 00132 015 2111100 2024 CP1DD418*")-SUMIFS(E3542:E9015,K3542:K9015,"0",B3542:B9015,"5 1 1 3 2 12 31111 6 M59 70400 000241 0000R 00001 00132 015 2111100 2024 CP1DD418*")</f>
        <v>0</v>
      </c>
      <c r="E3541"/>
      <c r="F3541" s="35">
        <f>SUMIFS(F3542:F9015,K3542:K9015,"0",B3542:B9015,"5 1 1 3 2 12 31111 6 M59 70400 000241 0000R 00001 00132 015 2111100 2024 CP1DD418*")</f>
        <v>7663.4</v>
      </c>
      <c r="G3541" s="35">
        <f>SUMIFS(G3542:G9015,K3542:K9015,"0",B3542:B9015,"5 1 1 3 2 12 31111 6 M59 70400 000241 0000R 00001 00132 015 2111100 2024 CP1DD418*")</f>
        <v>0</v>
      </c>
      <c r="H3541" s="35">
        <f t="shared" si="56"/>
        <v>7663.4</v>
      </c>
      <c r="I3541" s="35"/>
      <c r="K3541" t="s">
        <v>15</v>
      </c>
    </row>
    <row r="3542" spans="2:11" ht="41.25" x14ac:dyDescent="0.2">
      <c r="B3542" s="33" t="s">
        <v>4478</v>
      </c>
      <c r="C3542" s="33" t="s">
        <v>282</v>
      </c>
      <c r="D3542" s="35">
        <f>SUMIFS(D3543:D9015,K3543:K9015,"0",B3543:B9015,"5 1 1 3 2 12 31111 6 M59 70400 000241 0000R 00001 00132 015 2111100 2024 CP1DD418 001*")-SUMIFS(E3543:E9015,K3543:K9015,"0",B3543:B9015,"5 1 1 3 2 12 31111 6 M59 70400 000241 0000R 00001 00132 015 2111100 2024 CP1DD418 001*")</f>
        <v>0</v>
      </c>
      <c r="E3542"/>
      <c r="F3542" s="35">
        <f>SUMIFS(F3543:F9015,K3543:K9015,"0",B3543:B9015,"5 1 1 3 2 12 31111 6 M59 70400 000241 0000R 00001 00132 015 2111100 2024 CP1DD418 001*")</f>
        <v>7663.4</v>
      </c>
      <c r="G3542" s="35">
        <f>SUMIFS(G3543:G9015,K3543:K9015,"0",B3543:B9015,"5 1 1 3 2 12 31111 6 M59 70400 000241 0000R 00001 00132 015 2111100 2024 CP1DD418 001*")</f>
        <v>0</v>
      </c>
      <c r="H3542" s="35">
        <f t="shared" si="56"/>
        <v>7663.4</v>
      </c>
      <c r="I3542" s="35"/>
      <c r="K3542" t="s">
        <v>15</v>
      </c>
    </row>
    <row r="3543" spans="2:11" ht="33" x14ac:dyDescent="0.2">
      <c r="B3543" s="31" t="s">
        <v>4479</v>
      </c>
      <c r="C3543" s="31" t="s">
        <v>1519</v>
      </c>
      <c r="D3543" s="34">
        <v>0</v>
      </c>
      <c r="E3543" s="34"/>
      <c r="F3543" s="34">
        <v>7663.4</v>
      </c>
      <c r="G3543" s="34">
        <v>0</v>
      </c>
      <c r="H3543" s="34">
        <f t="shared" si="56"/>
        <v>7663.4</v>
      </c>
      <c r="I3543" s="34"/>
      <c r="K3543" t="s">
        <v>38</v>
      </c>
    </row>
    <row r="3544" spans="2:11" ht="16.5" x14ac:dyDescent="0.2">
      <c r="B3544" s="33" t="s">
        <v>4480</v>
      </c>
      <c r="C3544" s="33" t="s">
        <v>3438</v>
      </c>
      <c r="D3544" s="35">
        <f>SUMIFS(D3545:D9015,K3545:K9015,"0",B3545:B9015,"5 1 1 3 2 12 31111 6 M59 70500*")-SUMIFS(E3545:E9015,K3545:K9015,"0",B3545:B9015,"5 1 1 3 2 12 31111 6 M59 70500*")</f>
        <v>0</v>
      </c>
      <c r="E3544"/>
      <c r="F3544" s="35">
        <f>SUMIFS(F3545:F9015,K3545:K9015,"0",B3545:B9015,"5 1 1 3 2 12 31111 6 M59 70500*")</f>
        <v>4588.13</v>
      </c>
      <c r="G3544" s="35">
        <f>SUMIFS(G3545:G9015,K3545:K9015,"0",B3545:B9015,"5 1 1 3 2 12 31111 6 M59 70500*")</f>
        <v>0</v>
      </c>
      <c r="H3544" s="35">
        <f t="shared" si="56"/>
        <v>4588.13</v>
      </c>
      <c r="I3544" s="35"/>
      <c r="K3544" t="s">
        <v>15</v>
      </c>
    </row>
    <row r="3545" spans="2:11" ht="16.5" x14ac:dyDescent="0.2">
      <c r="B3545" s="33" t="s">
        <v>4481</v>
      </c>
      <c r="C3545" s="33" t="s">
        <v>648</v>
      </c>
      <c r="D3545" s="35">
        <f>SUMIFS(D3546:D9015,K3546:K9015,"0",B3546:B9015,"5 1 1 3 2 12 31111 6 M59 70500 000132*")-SUMIFS(E3546:E9015,K3546:K9015,"0",B3546:B9015,"5 1 1 3 2 12 31111 6 M59 70500 000132*")</f>
        <v>0</v>
      </c>
      <c r="E3545"/>
      <c r="F3545" s="35">
        <f>SUMIFS(F3546:F9015,K3546:K9015,"0",B3546:B9015,"5 1 1 3 2 12 31111 6 M59 70500 000132*")</f>
        <v>4588.13</v>
      </c>
      <c r="G3545" s="35">
        <f>SUMIFS(G3546:G9015,K3546:K9015,"0",B3546:B9015,"5 1 1 3 2 12 31111 6 M59 70500 000132*")</f>
        <v>0</v>
      </c>
      <c r="H3545" s="35">
        <f t="shared" si="56"/>
        <v>4588.13</v>
      </c>
      <c r="I3545" s="35"/>
      <c r="K3545" t="s">
        <v>15</v>
      </c>
    </row>
    <row r="3546" spans="2:11" ht="24.75" x14ac:dyDescent="0.2">
      <c r="B3546" s="33" t="s">
        <v>4482</v>
      </c>
      <c r="C3546" s="33" t="s">
        <v>650</v>
      </c>
      <c r="D3546" s="35">
        <f>SUMIFS(D3547:D9015,K3547:K9015,"0",B3547:B9015,"5 1 1 3 2 12 31111 6 M59 70500 000132 0000R*")-SUMIFS(E3547:E9015,K3547:K9015,"0",B3547:B9015,"5 1 1 3 2 12 31111 6 M59 70500 000132 0000R*")</f>
        <v>0</v>
      </c>
      <c r="E3546"/>
      <c r="F3546" s="35">
        <f>SUMIFS(F3547:F9015,K3547:K9015,"0",B3547:B9015,"5 1 1 3 2 12 31111 6 M59 70500 000132 0000R*")</f>
        <v>4588.13</v>
      </c>
      <c r="G3546" s="35">
        <f>SUMIFS(G3547:G9015,K3547:K9015,"0",B3547:B9015,"5 1 1 3 2 12 31111 6 M59 70500 000132 0000R*")</f>
        <v>0</v>
      </c>
      <c r="H3546" s="35">
        <f t="shared" si="56"/>
        <v>4588.13</v>
      </c>
      <c r="I3546" s="35"/>
      <c r="K3546" t="s">
        <v>15</v>
      </c>
    </row>
    <row r="3547" spans="2:11" ht="24.75" x14ac:dyDescent="0.2">
      <c r="B3547" s="33" t="s">
        <v>4483</v>
      </c>
      <c r="C3547" s="33" t="s">
        <v>282</v>
      </c>
      <c r="D3547" s="35">
        <f>SUMIFS(D3548:D9015,K3548:K9015,"0",B3548:B9015,"5 1 1 3 2 12 31111 6 M59 70500 000132 0000R 00001*")-SUMIFS(E3548:E9015,K3548:K9015,"0",B3548:B9015,"5 1 1 3 2 12 31111 6 M59 70500 000132 0000R 00001*")</f>
        <v>0</v>
      </c>
      <c r="E3547"/>
      <c r="F3547" s="35">
        <f>SUMIFS(F3548:F9015,K3548:K9015,"0",B3548:B9015,"5 1 1 3 2 12 31111 6 M59 70500 000132 0000R 00001*")</f>
        <v>4588.13</v>
      </c>
      <c r="G3547" s="35">
        <f>SUMIFS(G3548:G9015,K3548:K9015,"0",B3548:B9015,"5 1 1 3 2 12 31111 6 M59 70500 000132 0000R 00001*")</f>
        <v>0</v>
      </c>
      <c r="H3547" s="35">
        <f t="shared" si="56"/>
        <v>4588.13</v>
      </c>
      <c r="I3547" s="35"/>
      <c r="K3547" t="s">
        <v>15</v>
      </c>
    </row>
    <row r="3548" spans="2:11" ht="24.75" x14ac:dyDescent="0.2">
      <c r="B3548" s="33" t="s">
        <v>4484</v>
      </c>
      <c r="C3548" s="33" t="s">
        <v>4041</v>
      </c>
      <c r="D3548" s="35">
        <f>SUMIFS(D3549:D9015,K3549:K9015,"0",B3549:B9015,"5 1 1 3 2 12 31111 6 M59 70500 000132 0000R 00001 00132*")-SUMIFS(E3549:E9015,K3549:K9015,"0",B3549:B9015,"5 1 1 3 2 12 31111 6 M59 70500 000132 0000R 00001 00132*")</f>
        <v>0</v>
      </c>
      <c r="E3548"/>
      <c r="F3548" s="35">
        <f>SUMIFS(F3549:F9015,K3549:K9015,"0",B3549:B9015,"5 1 1 3 2 12 31111 6 M59 70500 000132 0000R 00001 00132*")</f>
        <v>4588.13</v>
      </c>
      <c r="G3548" s="35">
        <f>SUMIFS(G3549:G9015,K3549:K9015,"0",B3549:B9015,"5 1 1 3 2 12 31111 6 M59 70500 000132 0000R 00001 00132*")</f>
        <v>0</v>
      </c>
      <c r="H3548" s="35">
        <f t="shared" si="56"/>
        <v>4588.13</v>
      </c>
      <c r="I3548" s="35"/>
      <c r="K3548" t="s">
        <v>15</v>
      </c>
    </row>
    <row r="3549" spans="2:11" ht="33" x14ac:dyDescent="0.2">
      <c r="B3549" s="33" t="s">
        <v>4485</v>
      </c>
      <c r="C3549" s="33" t="s">
        <v>1051</v>
      </c>
      <c r="D3549" s="35">
        <f>SUMIFS(D3550:D9015,K3550:K9015,"0",B3550:B9015,"5 1 1 3 2 12 31111 6 M59 70500 000132 0000R 00001 00132 015*")-SUMIFS(E3550:E9015,K3550:K9015,"0",B3550:B9015,"5 1 1 3 2 12 31111 6 M59 70500 000132 0000R 00001 00132 015*")</f>
        <v>0</v>
      </c>
      <c r="E3549"/>
      <c r="F3549" s="35">
        <f>SUMIFS(F3550:F9015,K3550:K9015,"0",B3550:B9015,"5 1 1 3 2 12 31111 6 M59 70500 000132 0000R 00001 00132 015*")</f>
        <v>4588.13</v>
      </c>
      <c r="G3549" s="35">
        <f>SUMIFS(G3550:G9015,K3550:K9015,"0",B3550:B9015,"5 1 1 3 2 12 31111 6 M59 70500 000132 0000R 00001 00132 015*")</f>
        <v>0</v>
      </c>
      <c r="H3549" s="35">
        <f t="shared" si="56"/>
        <v>4588.13</v>
      </c>
      <c r="I3549" s="35"/>
      <c r="K3549" t="s">
        <v>15</v>
      </c>
    </row>
    <row r="3550" spans="2:11" ht="33" x14ac:dyDescent="0.2">
      <c r="B3550" s="33" t="s">
        <v>4486</v>
      </c>
      <c r="C3550" s="33" t="s">
        <v>2927</v>
      </c>
      <c r="D3550" s="35">
        <f>SUMIFS(D3551:D9015,K3551:K9015,"0",B3551:B9015,"5 1 1 3 2 12 31111 6 M59 70500 000132 0000R 00001 00132 015 2111100*")-SUMIFS(E3551:E9015,K3551:K9015,"0",B3551:B9015,"5 1 1 3 2 12 31111 6 M59 70500 000132 0000R 00001 00132 015 2111100*")</f>
        <v>0</v>
      </c>
      <c r="E3550"/>
      <c r="F3550" s="35">
        <f>SUMIFS(F3551:F9015,K3551:K9015,"0",B3551:B9015,"5 1 1 3 2 12 31111 6 M59 70500 000132 0000R 00001 00132 015 2111100*")</f>
        <v>4588.13</v>
      </c>
      <c r="G3550" s="35">
        <f>SUMIFS(G3551:G9015,K3551:K9015,"0",B3551:B9015,"5 1 1 3 2 12 31111 6 M59 70500 000132 0000R 00001 00132 015 2111100*")</f>
        <v>0</v>
      </c>
      <c r="H3550" s="35">
        <f t="shared" si="56"/>
        <v>4588.13</v>
      </c>
      <c r="I3550" s="35"/>
      <c r="K3550" t="s">
        <v>15</v>
      </c>
    </row>
    <row r="3551" spans="2:11" ht="33" x14ac:dyDescent="0.2">
      <c r="B3551" s="33" t="s">
        <v>4487</v>
      </c>
      <c r="C3551" s="33" t="s">
        <v>660</v>
      </c>
      <c r="D3551" s="35">
        <f>SUMIFS(D3552:D9015,K3552:K9015,"0",B3552:B9015,"5 1 1 3 2 12 31111 6 M59 70500 000132 0000R 00001 00132 015 2111100 2024*")-SUMIFS(E3552:E9015,K3552:K9015,"0",B3552:B9015,"5 1 1 3 2 12 31111 6 M59 70500 000132 0000R 00001 00132 015 2111100 2024*")</f>
        <v>0</v>
      </c>
      <c r="E3551"/>
      <c r="F3551" s="35">
        <f>SUMIFS(F3552:F9015,K3552:K9015,"0",B3552:B9015,"5 1 1 3 2 12 31111 6 M59 70500 000132 0000R 00001 00132 015 2111100 2024*")</f>
        <v>4588.13</v>
      </c>
      <c r="G3551" s="35">
        <f>SUMIFS(G3552:G9015,K3552:K9015,"0",B3552:B9015,"5 1 1 3 2 12 31111 6 M59 70500 000132 0000R 00001 00132 015 2111100 2024*")</f>
        <v>0</v>
      </c>
      <c r="H3551" s="35">
        <f t="shared" si="56"/>
        <v>4588.13</v>
      </c>
      <c r="I3551" s="35"/>
      <c r="K3551" t="s">
        <v>15</v>
      </c>
    </row>
    <row r="3552" spans="2:11" ht="41.25" x14ac:dyDescent="0.2">
      <c r="B3552" s="33" t="s">
        <v>4488</v>
      </c>
      <c r="C3552" s="33" t="s">
        <v>1056</v>
      </c>
      <c r="D3552" s="35">
        <f>SUMIFS(D3553:D9015,K3553:K9015,"0",B3553:B9015,"5 1 1 3 2 12 31111 6 M59 70500 000132 0000R 00001 00132 015 2111100 2024 CP1DT395*")-SUMIFS(E3553:E9015,K3553:K9015,"0",B3553:B9015,"5 1 1 3 2 12 31111 6 M59 70500 000132 0000R 00001 00132 015 2111100 2024 CP1DT395*")</f>
        <v>0</v>
      </c>
      <c r="E3552"/>
      <c r="F3552" s="35">
        <f>SUMIFS(F3553:F9015,K3553:K9015,"0",B3553:B9015,"5 1 1 3 2 12 31111 6 M59 70500 000132 0000R 00001 00132 015 2111100 2024 CP1DT395*")</f>
        <v>4588.13</v>
      </c>
      <c r="G3552" s="35">
        <f>SUMIFS(G3553:G9015,K3553:K9015,"0",B3553:B9015,"5 1 1 3 2 12 31111 6 M59 70500 000132 0000R 00001 00132 015 2111100 2024 CP1DT395*")</f>
        <v>0</v>
      </c>
      <c r="H3552" s="35">
        <f t="shared" si="56"/>
        <v>4588.13</v>
      </c>
      <c r="I3552" s="35"/>
      <c r="K3552" t="s">
        <v>15</v>
      </c>
    </row>
    <row r="3553" spans="2:11" ht="41.25" x14ac:dyDescent="0.2">
      <c r="B3553" s="33" t="s">
        <v>4489</v>
      </c>
      <c r="C3553" s="33" t="s">
        <v>282</v>
      </c>
      <c r="D3553" s="35">
        <f>SUMIFS(D3554:D9015,K3554:K9015,"0",B3554:B9015,"5 1 1 3 2 12 31111 6 M59 70500 000132 0000R 00001 00132 015 2111100 2024 CP1DT395 001*")-SUMIFS(E3554:E9015,K3554:K9015,"0",B3554:B9015,"5 1 1 3 2 12 31111 6 M59 70500 000132 0000R 00001 00132 015 2111100 2024 CP1DT395 001*")</f>
        <v>0</v>
      </c>
      <c r="E3553"/>
      <c r="F3553" s="35">
        <f>SUMIFS(F3554:F9015,K3554:K9015,"0",B3554:B9015,"5 1 1 3 2 12 31111 6 M59 70500 000132 0000R 00001 00132 015 2111100 2024 CP1DT395 001*")</f>
        <v>4588.13</v>
      </c>
      <c r="G3553" s="35">
        <f>SUMIFS(G3554:G9015,K3554:K9015,"0",B3554:B9015,"5 1 1 3 2 12 31111 6 M59 70500 000132 0000R 00001 00132 015 2111100 2024 CP1DT395 001*")</f>
        <v>0</v>
      </c>
      <c r="H3553" s="35">
        <f t="shared" si="56"/>
        <v>4588.13</v>
      </c>
      <c r="I3553" s="35"/>
      <c r="K3553" t="s">
        <v>15</v>
      </c>
    </row>
    <row r="3554" spans="2:11" ht="33" x14ac:dyDescent="0.2">
      <c r="B3554" s="31" t="s">
        <v>4490</v>
      </c>
      <c r="C3554" s="31" t="s">
        <v>1519</v>
      </c>
      <c r="D3554" s="34">
        <v>0</v>
      </c>
      <c r="E3554" s="34"/>
      <c r="F3554" s="34">
        <v>4588.13</v>
      </c>
      <c r="G3554" s="34">
        <v>0</v>
      </c>
      <c r="H3554" s="34">
        <f t="shared" si="56"/>
        <v>4588.13</v>
      </c>
      <c r="I3554" s="34"/>
      <c r="K3554" t="s">
        <v>38</v>
      </c>
    </row>
    <row r="3555" spans="2:11" ht="16.5" x14ac:dyDescent="0.2">
      <c r="B3555" s="33" t="s">
        <v>4491</v>
      </c>
      <c r="C3555" s="33" t="s">
        <v>3450</v>
      </c>
      <c r="D3555" s="35">
        <f>SUMIFS(D3556:D9015,K3556:K9015,"0",B3556:B9015,"5 1 1 3 2 12 31111 6 M59 70600*")-SUMIFS(E3556:E9015,K3556:K9015,"0",B3556:B9015,"5 1 1 3 2 12 31111 6 M59 70600*")</f>
        <v>0</v>
      </c>
      <c r="E3555"/>
      <c r="F3555" s="35">
        <f>SUMIFS(F3556:F9015,K3556:K9015,"0",B3556:B9015,"5 1 1 3 2 12 31111 6 M59 70600*")</f>
        <v>4119.22</v>
      </c>
      <c r="G3555" s="35">
        <f>SUMIFS(G3556:G9015,K3556:K9015,"0",B3556:B9015,"5 1 1 3 2 12 31111 6 M59 70600*")</f>
        <v>0</v>
      </c>
      <c r="H3555" s="35">
        <f t="shared" si="56"/>
        <v>4119.22</v>
      </c>
      <c r="I3555" s="35"/>
      <c r="K3555" t="s">
        <v>15</v>
      </c>
    </row>
    <row r="3556" spans="2:11" ht="16.5" x14ac:dyDescent="0.2">
      <c r="B3556" s="33" t="s">
        <v>4492</v>
      </c>
      <c r="C3556" s="33" t="s">
        <v>648</v>
      </c>
      <c r="D3556" s="35">
        <f>SUMIFS(D3557:D9015,K3557:K9015,"0",B3557:B9015,"5 1 1 3 2 12 31111 6 M59 70600 000132*")-SUMIFS(E3557:E9015,K3557:K9015,"0",B3557:B9015,"5 1 1 3 2 12 31111 6 M59 70600 000132*")</f>
        <v>0</v>
      </c>
      <c r="E3556"/>
      <c r="F3556" s="35">
        <f>SUMIFS(F3557:F9015,K3557:K9015,"0",B3557:B9015,"5 1 1 3 2 12 31111 6 M59 70600 000132*")</f>
        <v>4119.22</v>
      </c>
      <c r="G3556" s="35">
        <f>SUMIFS(G3557:G9015,K3557:K9015,"0",B3557:B9015,"5 1 1 3 2 12 31111 6 M59 70600 000132*")</f>
        <v>0</v>
      </c>
      <c r="H3556" s="35">
        <f t="shared" si="56"/>
        <v>4119.22</v>
      </c>
      <c r="I3556" s="35"/>
      <c r="K3556" t="s">
        <v>15</v>
      </c>
    </row>
    <row r="3557" spans="2:11" ht="24.75" x14ac:dyDescent="0.2">
      <c r="B3557" s="33" t="s">
        <v>4493</v>
      </c>
      <c r="C3557" s="33" t="s">
        <v>650</v>
      </c>
      <c r="D3557" s="35">
        <f>SUMIFS(D3558:D9015,K3558:K9015,"0",B3558:B9015,"5 1 1 3 2 12 31111 6 M59 70600 000132 0000R*")-SUMIFS(E3558:E9015,K3558:K9015,"0",B3558:B9015,"5 1 1 3 2 12 31111 6 M59 70600 000132 0000R*")</f>
        <v>0</v>
      </c>
      <c r="E3557"/>
      <c r="F3557" s="35">
        <f>SUMIFS(F3558:F9015,K3558:K9015,"0",B3558:B9015,"5 1 1 3 2 12 31111 6 M59 70600 000132 0000R*")</f>
        <v>4119.22</v>
      </c>
      <c r="G3557" s="35">
        <f>SUMIFS(G3558:G9015,K3558:K9015,"0",B3558:B9015,"5 1 1 3 2 12 31111 6 M59 70600 000132 0000R*")</f>
        <v>0</v>
      </c>
      <c r="H3557" s="35">
        <f t="shared" si="56"/>
        <v>4119.22</v>
      </c>
      <c r="I3557" s="35"/>
      <c r="K3557" t="s">
        <v>15</v>
      </c>
    </row>
    <row r="3558" spans="2:11" ht="24.75" x14ac:dyDescent="0.2">
      <c r="B3558" s="33" t="s">
        <v>4494</v>
      </c>
      <c r="C3558" s="33" t="s">
        <v>282</v>
      </c>
      <c r="D3558" s="35">
        <f>SUMIFS(D3559:D9015,K3559:K9015,"0",B3559:B9015,"5 1 1 3 2 12 31111 6 M59 70600 000132 0000R 00001*")-SUMIFS(E3559:E9015,K3559:K9015,"0",B3559:B9015,"5 1 1 3 2 12 31111 6 M59 70600 000132 0000R 00001*")</f>
        <v>0</v>
      </c>
      <c r="E3558"/>
      <c r="F3558" s="35">
        <f>SUMIFS(F3559:F9015,K3559:K9015,"0",B3559:B9015,"5 1 1 3 2 12 31111 6 M59 70600 000132 0000R 00001*")</f>
        <v>4119.22</v>
      </c>
      <c r="G3558" s="35">
        <f>SUMIFS(G3559:G9015,K3559:K9015,"0",B3559:B9015,"5 1 1 3 2 12 31111 6 M59 70600 000132 0000R 00001*")</f>
        <v>0</v>
      </c>
      <c r="H3558" s="35">
        <f t="shared" si="56"/>
        <v>4119.22</v>
      </c>
      <c r="I3558" s="35"/>
      <c r="K3558" t="s">
        <v>15</v>
      </c>
    </row>
    <row r="3559" spans="2:11" ht="24.75" x14ac:dyDescent="0.2">
      <c r="B3559" s="33" t="s">
        <v>4495</v>
      </c>
      <c r="C3559" s="33" t="s">
        <v>4041</v>
      </c>
      <c r="D3559" s="35">
        <f>SUMIFS(D3560:D9015,K3560:K9015,"0",B3560:B9015,"5 1 1 3 2 12 31111 6 M59 70600 000132 0000R 00001 00132*")-SUMIFS(E3560:E9015,K3560:K9015,"0",B3560:B9015,"5 1 1 3 2 12 31111 6 M59 70600 000132 0000R 00001 00132*")</f>
        <v>0</v>
      </c>
      <c r="E3559"/>
      <c r="F3559" s="35">
        <f>SUMIFS(F3560:F9015,K3560:K9015,"0",B3560:B9015,"5 1 1 3 2 12 31111 6 M59 70600 000132 0000R 00001 00132*")</f>
        <v>4119.22</v>
      </c>
      <c r="G3559" s="35">
        <f>SUMIFS(G3560:G9015,K3560:K9015,"0",B3560:B9015,"5 1 1 3 2 12 31111 6 M59 70600 000132 0000R 00001 00132*")</f>
        <v>0</v>
      </c>
      <c r="H3559" s="35">
        <f t="shared" si="56"/>
        <v>4119.22</v>
      </c>
      <c r="I3559" s="35"/>
      <c r="K3559" t="s">
        <v>15</v>
      </c>
    </row>
    <row r="3560" spans="2:11" ht="33" x14ac:dyDescent="0.2">
      <c r="B3560" s="33" t="s">
        <v>4496</v>
      </c>
      <c r="C3560" s="33" t="s">
        <v>1051</v>
      </c>
      <c r="D3560" s="35">
        <f>SUMIFS(D3561:D9015,K3561:K9015,"0",B3561:B9015,"5 1 1 3 2 12 31111 6 M59 70600 000132 0000R 00001 00132 015*")-SUMIFS(E3561:E9015,K3561:K9015,"0",B3561:B9015,"5 1 1 3 2 12 31111 6 M59 70600 000132 0000R 00001 00132 015*")</f>
        <v>0</v>
      </c>
      <c r="E3560"/>
      <c r="F3560" s="35">
        <f>SUMIFS(F3561:F9015,K3561:K9015,"0",B3561:B9015,"5 1 1 3 2 12 31111 6 M59 70600 000132 0000R 00001 00132 015*")</f>
        <v>4119.22</v>
      </c>
      <c r="G3560" s="35">
        <f>SUMIFS(G3561:G9015,K3561:K9015,"0",B3561:B9015,"5 1 1 3 2 12 31111 6 M59 70600 000132 0000R 00001 00132 015*")</f>
        <v>0</v>
      </c>
      <c r="H3560" s="35">
        <f t="shared" si="56"/>
        <v>4119.22</v>
      </c>
      <c r="I3560" s="35"/>
      <c r="K3560" t="s">
        <v>15</v>
      </c>
    </row>
    <row r="3561" spans="2:11" ht="33" x14ac:dyDescent="0.2">
      <c r="B3561" s="33" t="s">
        <v>4497</v>
      </c>
      <c r="C3561" s="33" t="s">
        <v>2927</v>
      </c>
      <c r="D3561" s="35">
        <f>SUMIFS(D3562:D9015,K3562:K9015,"0",B3562:B9015,"5 1 1 3 2 12 31111 6 M59 70600 000132 0000R 00001 00132 015 2111100*")-SUMIFS(E3562:E9015,K3562:K9015,"0",B3562:B9015,"5 1 1 3 2 12 31111 6 M59 70600 000132 0000R 00001 00132 015 2111100*")</f>
        <v>0</v>
      </c>
      <c r="E3561"/>
      <c r="F3561" s="35">
        <f>SUMIFS(F3562:F9015,K3562:K9015,"0",B3562:B9015,"5 1 1 3 2 12 31111 6 M59 70600 000132 0000R 00001 00132 015 2111100*")</f>
        <v>4119.22</v>
      </c>
      <c r="G3561" s="35">
        <f>SUMIFS(G3562:G9015,K3562:K9015,"0",B3562:B9015,"5 1 1 3 2 12 31111 6 M59 70600 000132 0000R 00001 00132 015 2111100*")</f>
        <v>0</v>
      </c>
      <c r="H3561" s="35">
        <f t="shared" si="56"/>
        <v>4119.22</v>
      </c>
      <c r="I3561" s="35"/>
      <c r="K3561" t="s">
        <v>15</v>
      </c>
    </row>
    <row r="3562" spans="2:11" ht="33" x14ac:dyDescent="0.2">
      <c r="B3562" s="33" t="s">
        <v>4498</v>
      </c>
      <c r="C3562" s="33" t="s">
        <v>660</v>
      </c>
      <c r="D3562" s="35">
        <f>SUMIFS(D3563:D9015,K3563:K9015,"0",B3563:B9015,"5 1 1 3 2 12 31111 6 M59 70600 000132 0000R 00001 00132 015 2111100 2024*")-SUMIFS(E3563:E9015,K3563:K9015,"0",B3563:B9015,"5 1 1 3 2 12 31111 6 M59 70600 000132 0000R 00001 00132 015 2111100 2024*")</f>
        <v>0</v>
      </c>
      <c r="E3562"/>
      <c r="F3562" s="35">
        <f>SUMIFS(F3563:F9015,K3563:K9015,"0",B3563:B9015,"5 1 1 3 2 12 31111 6 M59 70600 000132 0000R 00001 00132 015 2111100 2024*")</f>
        <v>4119.22</v>
      </c>
      <c r="G3562" s="35">
        <f>SUMIFS(G3563:G9015,K3563:K9015,"0",B3563:B9015,"5 1 1 3 2 12 31111 6 M59 70600 000132 0000R 00001 00132 015 2111100 2024*")</f>
        <v>0</v>
      </c>
      <c r="H3562" s="35">
        <f t="shared" si="56"/>
        <v>4119.22</v>
      </c>
      <c r="I3562" s="35"/>
      <c r="K3562" t="s">
        <v>15</v>
      </c>
    </row>
    <row r="3563" spans="2:11" ht="41.25" x14ac:dyDescent="0.2">
      <c r="B3563" s="33" t="s">
        <v>4499</v>
      </c>
      <c r="C3563" s="33" t="s">
        <v>1056</v>
      </c>
      <c r="D3563" s="35">
        <f>SUMIFS(D3564:D9015,K3564:K9015,"0",B3564:B9015,"5 1 1 3 2 12 31111 6 M59 70600 000132 0000R 00001 00132 015 2111100 2024 CP1DJ409*")-SUMIFS(E3564:E9015,K3564:K9015,"0",B3564:B9015,"5 1 1 3 2 12 31111 6 M59 70600 000132 0000R 00001 00132 015 2111100 2024 CP1DJ409*")</f>
        <v>0</v>
      </c>
      <c r="E3563"/>
      <c r="F3563" s="35">
        <f>SUMIFS(F3564:F9015,K3564:K9015,"0",B3564:B9015,"5 1 1 3 2 12 31111 6 M59 70600 000132 0000R 00001 00132 015 2111100 2024 CP1DJ409*")</f>
        <v>4119.22</v>
      </c>
      <c r="G3563" s="35">
        <f>SUMIFS(G3564:G9015,K3564:K9015,"0",B3564:B9015,"5 1 1 3 2 12 31111 6 M59 70600 000132 0000R 00001 00132 015 2111100 2024 CP1DJ409*")</f>
        <v>0</v>
      </c>
      <c r="H3563" s="35">
        <f t="shared" si="56"/>
        <v>4119.22</v>
      </c>
      <c r="I3563" s="35"/>
      <c r="K3563" t="s">
        <v>15</v>
      </c>
    </row>
    <row r="3564" spans="2:11" ht="41.25" x14ac:dyDescent="0.2">
      <c r="B3564" s="33" t="s">
        <v>4500</v>
      </c>
      <c r="C3564" s="33" t="s">
        <v>282</v>
      </c>
      <c r="D3564" s="35">
        <f>SUMIFS(D3565:D9015,K3565:K9015,"0",B3565:B9015,"5 1 1 3 2 12 31111 6 M59 70600 000132 0000R 00001 00132 015 2111100 2024 CP1DJ409 001*")-SUMIFS(E3565:E9015,K3565:K9015,"0",B3565:B9015,"5 1 1 3 2 12 31111 6 M59 70600 000132 0000R 00001 00132 015 2111100 2024 CP1DJ409 001*")</f>
        <v>0</v>
      </c>
      <c r="E3564"/>
      <c r="F3564" s="35">
        <f>SUMIFS(F3565:F9015,K3565:K9015,"0",B3565:B9015,"5 1 1 3 2 12 31111 6 M59 70600 000132 0000R 00001 00132 015 2111100 2024 CP1DJ409 001*")</f>
        <v>4119.22</v>
      </c>
      <c r="G3564" s="35">
        <f>SUMIFS(G3565:G9015,K3565:K9015,"0",B3565:B9015,"5 1 1 3 2 12 31111 6 M59 70600 000132 0000R 00001 00132 015 2111100 2024 CP1DJ409 001*")</f>
        <v>0</v>
      </c>
      <c r="H3564" s="35">
        <f t="shared" si="56"/>
        <v>4119.22</v>
      </c>
      <c r="I3564" s="35"/>
      <c r="K3564" t="s">
        <v>15</v>
      </c>
    </row>
    <row r="3565" spans="2:11" ht="33" x14ac:dyDescent="0.2">
      <c r="B3565" s="31" t="s">
        <v>4501</v>
      </c>
      <c r="C3565" s="31" t="s">
        <v>1519</v>
      </c>
      <c r="D3565" s="34">
        <v>0</v>
      </c>
      <c r="E3565" s="34"/>
      <c r="F3565" s="34">
        <v>4119.22</v>
      </c>
      <c r="G3565" s="34">
        <v>0</v>
      </c>
      <c r="H3565" s="34">
        <f t="shared" si="56"/>
        <v>4119.22</v>
      </c>
      <c r="I3565" s="34"/>
      <c r="K3565" t="s">
        <v>38</v>
      </c>
    </row>
    <row r="3566" spans="2:11" ht="16.5" x14ac:dyDescent="0.2">
      <c r="B3566" s="33" t="s">
        <v>4502</v>
      </c>
      <c r="C3566" s="33" t="s">
        <v>3462</v>
      </c>
      <c r="D3566" s="35">
        <f>SUMIFS(D3567:D9015,K3567:K9015,"0",B3567:B9015,"5 1 1 3 2 12 31111 6 M59 70700*")-SUMIFS(E3567:E9015,K3567:K9015,"0",B3567:B9015,"5 1 1 3 2 12 31111 6 M59 70700*")</f>
        <v>0</v>
      </c>
      <c r="E3566"/>
      <c r="F3566" s="35">
        <f>SUMIFS(F3567:F9015,K3567:K9015,"0",B3567:B9015,"5 1 1 3 2 12 31111 6 M59 70700*")</f>
        <v>4240.47</v>
      </c>
      <c r="G3566" s="35">
        <f>SUMIFS(G3567:G9015,K3567:K9015,"0",B3567:B9015,"5 1 1 3 2 12 31111 6 M59 70700*")</f>
        <v>0</v>
      </c>
      <c r="H3566" s="35">
        <f t="shared" si="56"/>
        <v>4240.47</v>
      </c>
      <c r="I3566" s="35"/>
      <c r="K3566" t="s">
        <v>15</v>
      </c>
    </row>
    <row r="3567" spans="2:11" ht="16.5" x14ac:dyDescent="0.2">
      <c r="B3567" s="33" t="s">
        <v>4503</v>
      </c>
      <c r="C3567" s="33" t="s">
        <v>648</v>
      </c>
      <c r="D3567" s="35">
        <f>SUMIFS(D3568:D9015,K3568:K9015,"0",B3568:B9015,"5 1 1 3 2 12 31111 6 M59 70700 000132*")-SUMIFS(E3568:E9015,K3568:K9015,"0",B3568:B9015,"5 1 1 3 2 12 31111 6 M59 70700 000132*")</f>
        <v>0</v>
      </c>
      <c r="E3567"/>
      <c r="F3567" s="35">
        <f>SUMIFS(F3568:F9015,K3568:K9015,"0",B3568:B9015,"5 1 1 3 2 12 31111 6 M59 70700 000132*")</f>
        <v>4240.47</v>
      </c>
      <c r="G3567" s="35">
        <f>SUMIFS(G3568:G9015,K3568:K9015,"0",B3568:B9015,"5 1 1 3 2 12 31111 6 M59 70700 000132*")</f>
        <v>0</v>
      </c>
      <c r="H3567" s="35">
        <f t="shared" si="56"/>
        <v>4240.47</v>
      </c>
      <c r="I3567" s="35"/>
      <c r="K3567" t="s">
        <v>15</v>
      </c>
    </row>
    <row r="3568" spans="2:11" ht="24.75" x14ac:dyDescent="0.2">
      <c r="B3568" s="33" t="s">
        <v>4504</v>
      </c>
      <c r="C3568" s="33" t="s">
        <v>650</v>
      </c>
      <c r="D3568" s="35">
        <f>SUMIFS(D3569:D9015,K3569:K9015,"0",B3569:B9015,"5 1 1 3 2 12 31111 6 M59 70700 000132 0000R*")-SUMIFS(E3569:E9015,K3569:K9015,"0",B3569:B9015,"5 1 1 3 2 12 31111 6 M59 70700 000132 0000R*")</f>
        <v>0</v>
      </c>
      <c r="E3568"/>
      <c r="F3568" s="35">
        <f>SUMIFS(F3569:F9015,K3569:K9015,"0",B3569:B9015,"5 1 1 3 2 12 31111 6 M59 70700 000132 0000R*")</f>
        <v>4240.47</v>
      </c>
      <c r="G3568" s="35">
        <f>SUMIFS(G3569:G9015,K3569:K9015,"0",B3569:B9015,"5 1 1 3 2 12 31111 6 M59 70700 000132 0000R*")</f>
        <v>0</v>
      </c>
      <c r="H3568" s="35">
        <f t="shared" si="56"/>
        <v>4240.47</v>
      </c>
      <c r="I3568" s="35"/>
      <c r="K3568" t="s">
        <v>15</v>
      </c>
    </row>
    <row r="3569" spans="2:11" ht="24.75" x14ac:dyDescent="0.2">
      <c r="B3569" s="33" t="s">
        <v>4505</v>
      </c>
      <c r="C3569" s="33" t="s">
        <v>282</v>
      </c>
      <c r="D3569" s="35">
        <f>SUMIFS(D3570:D9015,K3570:K9015,"0",B3570:B9015,"5 1 1 3 2 12 31111 6 M59 70700 000132 0000R 00001*")-SUMIFS(E3570:E9015,K3570:K9015,"0",B3570:B9015,"5 1 1 3 2 12 31111 6 M59 70700 000132 0000R 00001*")</f>
        <v>0</v>
      </c>
      <c r="E3569"/>
      <c r="F3569" s="35">
        <f>SUMIFS(F3570:F9015,K3570:K9015,"0",B3570:B9015,"5 1 1 3 2 12 31111 6 M59 70700 000132 0000R 00001*")</f>
        <v>4240.47</v>
      </c>
      <c r="G3569" s="35">
        <f>SUMIFS(G3570:G9015,K3570:K9015,"0",B3570:B9015,"5 1 1 3 2 12 31111 6 M59 70700 000132 0000R 00001*")</f>
        <v>0</v>
      </c>
      <c r="H3569" s="35">
        <f t="shared" si="56"/>
        <v>4240.47</v>
      </c>
      <c r="I3569" s="35"/>
      <c r="K3569" t="s">
        <v>15</v>
      </c>
    </row>
    <row r="3570" spans="2:11" ht="24.75" x14ac:dyDescent="0.2">
      <c r="B3570" s="33" t="s">
        <v>4506</v>
      </c>
      <c r="C3570" s="33" t="s">
        <v>4041</v>
      </c>
      <c r="D3570" s="35">
        <f>SUMIFS(D3571:D9015,K3571:K9015,"0",B3571:B9015,"5 1 1 3 2 12 31111 6 M59 70700 000132 0000R 00001 00132*")-SUMIFS(E3571:E9015,K3571:K9015,"0",B3571:B9015,"5 1 1 3 2 12 31111 6 M59 70700 000132 0000R 00001 00132*")</f>
        <v>0</v>
      </c>
      <c r="E3570"/>
      <c r="F3570" s="35">
        <f>SUMIFS(F3571:F9015,K3571:K9015,"0",B3571:B9015,"5 1 1 3 2 12 31111 6 M59 70700 000132 0000R 00001 00132*")</f>
        <v>4240.47</v>
      </c>
      <c r="G3570" s="35">
        <f>SUMIFS(G3571:G9015,K3571:K9015,"0",B3571:B9015,"5 1 1 3 2 12 31111 6 M59 70700 000132 0000R 00001 00132*")</f>
        <v>0</v>
      </c>
      <c r="H3570" s="35">
        <f t="shared" si="56"/>
        <v>4240.47</v>
      </c>
      <c r="I3570" s="35"/>
      <c r="K3570" t="s">
        <v>15</v>
      </c>
    </row>
    <row r="3571" spans="2:11" ht="33" x14ac:dyDescent="0.2">
      <c r="B3571" s="33" t="s">
        <v>4507</v>
      </c>
      <c r="C3571" s="33" t="s">
        <v>1051</v>
      </c>
      <c r="D3571" s="35">
        <f>SUMIFS(D3572:D9015,K3572:K9015,"0",B3572:B9015,"5 1 1 3 2 12 31111 6 M59 70700 000132 0000R 00001 00132 015*")-SUMIFS(E3572:E9015,K3572:K9015,"0",B3572:B9015,"5 1 1 3 2 12 31111 6 M59 70700 000132 0000R 00001 00132 015*")</f>
        <v>0</v>
      </c>
      <c r="E3571"/>
      <c r="F3571" s="35">
        <f>SUMIFS(F3572:F9015,K3572:K9015,"0",B3572:B9015,"5 1 1 3 2 12 31111 6 M59 70700 000132 0000R 00001 00132 015*")</f>
        <v>4240.47</v>
      </c>
      <c r="G3571" s="35">
        <f>SUMIFS(G3572:G9015,K3572:K9015,"0",B3572:B9015,"5 1 1 3 2 12 31111 6 M59 70700 000132 0000R 00001 00132 015*")</f>
        <v>0</v>
      </c>
      <c r="H3571" s="35">
        <f t="shared" si="56"/>
        <v>4240.47</v>
      </c>
      <c r="I3571" s="35"/>
      <c r="K3571" t="s">
        <v>15</v>
      </c>
    </row>
    <row r="3572" spans="2:11" ht="33" x14ac:dyDescent="0.2">
      <c r="B3572" s="33" t="s">
        <v>4508</v>
      </c>
      <c r="C3572" s="33" t="s">
        <v>2927</v>
      </c>
      <c r="D3572" s="35">
        <f>SUMIFS(D3573:D9015,K3573:K9015,"0",B3573:B9015,"5 1 1 3 2 12 31111 6 M59 70700 000132 0000R 00001 00132 015 2111100*")-SUMIFS(E3573:E9015,K3573:K9015,"0",B3573:B9015,"5 1 1 3 2 12 31111 6 M59 70700 000132 0000R 00001 00132 015 2111100*")</f>
        <v>0</v>
      </c>
      <c r="E3572"/>
      <c r="F3572" s="35">
        <f>SUMIFS(F3573:F9015,K3573:K9015,"0",B3573:B9015,"5 1 1 3 2 12 31111 6 M59 70700 000132 0000R 00001 00132 015 2111100*")</f>
        <v>4240.47</v>
      </c>
      <c r="G3572" s="35">
        <f>SUMIFS(G3573:G9015,K3573:K9015,"0",B3573:B9015,"5 1 1 3 2 12 31111 6 M59 70700 000132 0000R 00001 00132 015 2111100*")</f>
        <v>0</v>
      </c>
      <c r="H3572" s="35">
        <f t="shared" si="56"/>
        <v>4240.47</v>
      </c>
      <c r="I3572" s="35"/>
      <c r="K3572" t="s">
        <v>15</v>
      </c>
    </row>
    <row r="3573" spans="2:11" ht="33" x14ac:dyDescent="0.2">
      <c r="B3573" s="33" t="s">
        <v>4509</v>
      </c>
      <c r="C3573" s="33" t="s">
        <v>660</v>
      </c>
      <c r="D3573" s="35">
        <f>SUMIFS(D3574:D9015,K3574:K9015,"0",B3574:B9015,"5 1 1 3 2 12 31111 6 M59 70700 000132 0000R 00001 00132 015 2111100 2024*")-SUMIFS(E3574:E9015,K3574:K9015,"0",B3574:B9015,"5 1 1 3 2 12 31111 6 M59 70700 000132 0000R 00001 00132 015 2111100 2024*")</f>
        <v>0</v>
      </c>
      <c r="E3573"/>
      <c r="F3573" s="35">
        <f>SUMIFS(F3574:F9015,K3574:K9015,"0",B3574:B9015,"5 1 1 3 2 12 31111 6 M59 70700 000132 0000R 00001 00132 015 2111100 2024*")</f>
        <v>4240.47</v>
      </c>
      <c r="G3573" s="35">
        <f>SUMIFS(G3574:G9015,K3574:K9015,"0",B3574:B9015,"5 1 1 3 2 12 31111 6 M59 70700 000132 0000R 00001 00132 015 2111100 2024*")</f>
        <v>0</v>
      </c>
      <c r="H3573" s="35">
        <f t="shared" si="56"/>
        <v>4240.47</v>
      </c>
      <c r="I3573" s="35"/>
      <c r="K3573" t="s">
        <v>15</v>
      </c>
    </row>
    <row r="3574" spans="2:11" ht="41.25" x14ac:dyDescent="0.2">
      <c r="B3574" s="33" t="s">
        <v>4510</v>
      </c>
      <c r="C3574" s="33" t="s">
        <v>1056</v>
      </c>
      <c r="D3574" s="35">
        <f>SUMIFS(D3575:D9015,K3575:K9015,"0",B3575:B9015,"5 1 1 3 2 12 31111 6 M59 70700 000132 0000R 00001 00132 015 2111100 2024 CP1SA397*")-SUMIFS(E3575:E9015,K3575:K9015,"0",B3575:B9015,"5 1 1 3 2 12 31111 6 M59 70700 000132 0000R 00001 00132 015 2111100 2024 CP1SA397*")</f>
        <v>0</v>
      </c>
      <c r="E3574"/>
      <c r="F3574" s="35">
        <f>SUMIFS(F3575:F9015,K3575:K9015,"0",B3575:B9015,"5 1 1 3 2 12 31111 6 M59 70700 000132 0000R 00001 00132 015 2111100 2024 CP1SA397*")</f>
        <v>4240.47</v>
      </c>
      <c r="G3574" s="35">
        <f>SUMIFS(G3575:G9015,K3575:K9015,"0",B3575:B9015,"5 1 1 3 2 12 31111 6 M59 70700 000132 0000R 00001 00132 015 2111100 2024 CP1SA397*")</f>
        <v>0</v>
      </c>
      <c r="H3574" s="35">
        <f t="shared" si="56"/>
        <v>4240.47</v>
      </c>
      <c r="I3574" s="35"/>
      <c r="K3574" t="s">
        <v>15</v>
      </c>
    </row>
    <row r="3575" spans="2:11" ht="41.25" x14ac:dyDescent="0.2">
      <c r="B3575" s="33" t="s">
        <v>4511</v>
      </c>
      <c r="C3575" s="33" t="s">
        <v>282</v>
      </c>
      <c r="D3575" s="35">
        <f>SUMIFS(D3576:D9015,K3576:K9015,"0",B3576:B9015,"5 1 1 3 2 12 31111 6 M59 70700 000132 0000R 00001 00132 015 2111100 2024 CP1SA397 001*")-SUMIFS(E3576:E9015,K3576:K9015,"0",B3576:B9015,"5 1 1 3 2 12 31111 6 M59 70700 000132 0000R 00001 00132 015 2111100 2024 CP1SA397 001*")</f>
        <v>0</v>
      </c>
      <c r="E3575"/>
      <c r="F3575" s="35">
        <f>SUMIFS(F3576:F9015,K3576:K9015,"0",B3576:B9015,"5 1 1 3 2 12 31111 6 M59 70700 000132 0000R 00001 00132 015 2111100 2024 CP1SA397 001*")</f>
        <v>4240.47</v>
      </c>
      <c r="G3575" s="35">
        <f>SUMIFS(G3576:G9015,K3576:K9015,"0",B3576:B9015,"5 1 1 3 2 12 31111 6 M59 70700 000132 0000R 00001 00132 015 2111100 2024 CP1SA397 001*")</f>
        <v>0</v>
      </c>
      <c r="H3575" s="35">
        <f t="shared" si="56"/>
        <v>4240.47</v>
      </c>
      <c r="I3575" s="35"/>
      <c r="K3575" t="s">
        <v>15</v>
      </c>
    </row>
    <row r="3576" spans="2:11" ht="33" x14ac:dyDescent="0.2">
      <c r="B3576" s="31" t="s">
        <v>4512</v>
      </c>
      <c r="C3576" s="31" t="s">
        <v>1519</v>
      </c>
      <c r="D3576" s="34">
        <v>0</v>
      </c>
      <c r="E3576" s="34"/>
      <c r="F3576" s="34">
        <v>4240.47</v>
      </c>
      <c r="G3576" s="34">
        <v>0</v>
      </c>
      <c r="H3576" s="34">
        <f t="shared" si="56"/>
        <v>4240.47</v>
      </c>
      <c r="I3576" s="34"/>
      <c r="K3576" t="s">
        <v>38</v>
      </c>
    </row>
    <row r="3577" spans="2:11" ht="16.5" x14ac:dyDescent="0.2">
      <c r="B3577" s="33" t="s">
        <v>4513</v>
      </c>
      <c r="C3577" s="33" t="s">
        <v>3474</v>
      </c>
      <c r="D3577" s="35">
        <f>SUMIFS(D3578:D9015,K3578:K9015,"0",B3578:B9015,"5 1 1 3 2 12 31111 6 M59 70800*")-SUMIFS(E3578:E9015,K3578:K9015,"0",B3578:B9015,"5 1 1 3 2 12 31111 6 M59 70800*")</f>
        <v>0</v>
      </c>
      <c r="E3577"/>
      <c r="F3577" s="35">
        <f>SUMIFS(F3578:F9015,K3578:K9015,"0",B3578:B9015,"5 1 1 3 2 12 31111 6 M59 70800*")</f>
        <v>18286.32</v>
      </c>
      <c r="G3577" s="35">
        <f>SUMIFS(G3578:G9015,K3578:K9015,"0",B3578:B9015,"5 1 1 3 2 12 31111 6 M59 70800*")</f>
        <v>0</v>
      </c>
      <c r="H3577" s="35">
        <f t="shared" si="56"/>
        <v>18286.32</v>
      </c>
      <c r="I3577" s="35"/>
      <c r="K3577" t="s">
        <v>15</v>
      </c>
    </row>
    <row r="3578" spans="2:11" ht="16.5" x14ac:dyDescent="0.2">
      <c r="B3578" s="33" t="s">
        <v>4514</v>
      </c>
      <c r="C3578" s="33" t="s">
        <v>648</v>
      </c>
      <c r="D3578" s="35">
        <f>SUMIFS(D3579:D9015,K3579:K9015,"0",B3579:B9015,"5 1 1 3 2 12 31111 6 M59 70800 000132*")-SUMIFS(E3579:E9015,K3579:K9015,"0",B3579:B9015,"5 1 1 3 2 12 31111 6 M59 70800 000132*")</f>
        <v>0</v>
      </c>
      <c r="E3578"/>
      <c r="F3578" s="35">
        <f>SUMIFS(F3579:F9015,K3579:K9015,"0",B3579:B9015,"5 1 1 3 2 12 31111 6 M59 70800 000132*")</f>
        <v>18286.32</v>
      </c>
      <c r="G3578" s="35">
        <f>SUMIFS(G3579:G9015,K3579:K9015,"0",B3579:B9015,"5 1 1 3 2 12 31111 6 M59 70800 000132*")</f>
        <v>0</v>
      </c>
      <c r="H3578" s="35">
        <f t="shared" si="56"/>
        <v>18286.32</v>
      </c>
      <c r="I3578" s="35"/>
      <c r="K3578" t="s">
        <v>15</v>
      </c>
    </row>
    <row r="3579" spans="2:11" ht="24.75" x14ac:dyDescent="0.2">
      <c r="B3579" s="33" t="s">
        <v>4515</v>
      </c>
      <c r="C3579" s="33" t="s">
        <v>650</v>
      </c>
      <c r="D3579" s="35">
        <f>SUMIFS(D3580:D9015,K3580:K9015,"0",B3580:B9015,"5 1 1 3 2 12 31111 6 M59 70800 000132 0000R*")-SUMIFS(E3580:E9015,K3580:K9015,"0",B3580:B9015,"5 1 1 3 2 12 31111 6 M59 70800 000132 0000R*")</f>
        <v>0</v>
      </c>
      <c r="E3579"/>
      <c r="F3579" s="35">
        <f>SUMIFS(F3580:F9015,K3580:K9015,"0",B3580:B9015,"5 1 1 3 2 12 31111 6 M59 70800 000132 0000R*")</f>
        <v>18286.32</v>
      </c>
      <c r="G3579" s="35">
        <f>SUMIFS(G3580:G9015,K3580:K9015,"0",B3580:B9015,"5 1 1 3 2 12 31111 6 M59 70800 000132 0000R*")</f>
        <v>0</v>
      </c>
      <c r="H3579" s="35">
        <f t="shared" si="56"/>
        <v>18286.32</v>
      </c>
      <c r="I3579" s="35"/>
      <c r="K3579" t="s">
        <v>15</v>
      </c>
    </row>
    <row r="3580" spans="2:11" ht="24.75" x14ac:dyDescent="0.2">
      <c r="B3580" s="33" t="s">
        <v>4516</v>
      </c>
      <c r="C3580" s="33" t="s">
        <v>282</v>
      </c>
      <c r="D3580" s="35">
        <f>SUMIFS(D3581:D9015,K3581:K9015,"0",B3581:B9015,"5 1 1 3 2 12 31111 6 M59 70800 000132 0000R 00001*")-SUMIFS(E3581:E9015,K3581:K9015,"0",B3581:B9015,"5 1 1 3 2 12 31111 6 M59 70800 000132 0000R 00001*")</f>
        <v>0</v>
      </c>
      <c r="E3580"/>
      <c r="F3580" s="35">
        <f>SUMIFS(F3581:F9015,K3581:K9015,"0",B3581:B9015,"5 1 1 3 2 12 31111 6 M59 70800 000132 0000R 00001*")</f>
        <v>18286.32</v>
      </c>
      <c r="G3580" s="35">
        <f>SUMIFS(G3581:G9015,K3581:K9015,"0",B3581:B9015,"5 1 1 3 2 12 31111 6 M59 70800 000132 0000R 00001*")</f>
        <v>0</v>
      </c>
      <c r="H3580" s="35">
        <f t="shared" si="56"/>
        <v>18286.32</v>
      </c>
      <c r="I3580" s="35"/>
      <c r="K3580" t="s">
        <v>15</v>
      </c>
    </row>
    <row r="3581" spans="2:11" ht="24.75" x14ac:dyDescent="0.2">
      <c r="B3581" s="33" t="s">
        <v>4517</v>
      </c>
      <c r="C3581" s="33" t="s">
        <v>4041</v>
      </c>
      <c r="D3581" s="35">
        <f>SUMIFS(D3582:D9015,K3582:K9015,"0",B3582:B9015,"5 1 1 3 2 12 31111 6 M59 70800 000132 0000R 00001 00132*")-SUMIFS(E3582:E9015,K3582:K9015,"0",B3582:B9015,"5 1 1 3 2 12 31111 6 M59 70800 000132 0000R 00001 00132*")</f>
        <v>0</v>
      </c>
      <c r="E3581"/>
      <c r="F3581" s="35">
        <f>SUMIFS(F3582:F9015,K3582:K9015,"0",B3582:B9015,"5 1 1 3 2 12 31111 6 M59 70800 000132 0000R 00001 00132*")</f>
        <v>18286.32</v>
      </c>
      <c r="G3581" s="35">
        <f>SUMIFS(G3582:G9015,K3582:K9015,"0",B3582:B9015,"5 1 1 3 2 12 31111 6 M59 70800 000132 0000R 00001 00132*")</f>
        <v>0</v>
      </c>
      <c r="H3581" s="35">
        <f t="shared" si="56"/>
        <v>18286.32</v>
      </c>
      <c r="I3581" s="35"/>
      <c r="K3581" t="s">
        <v>15</v>
      </c>
    </row>
    <row r="3582" spans="2:11" ht="33" x14ac:dyDescent="0.2">
      <c r="B3582" s="33" t="s">
        <v>4518</v>
      </c>
      <c r="C3582" s="33" t="s">
        <v>1051</v>
      </c>
      <c r="D3582" s="35">
        <f>SUMIFS(D3583:D9015,K3583:K9015,"0",B3583:B9015,"5 1 1 3 2 12 31111 6 M59 70800 000132 0000R 00001 00132 015*")-SUMIFS(E3583:E9015,K3583:K9015,"0",B3583:B9015,"5 1 1 3 2 12 31111 6 M59 70800 000132 0000R 00001 00132 015*")</f>
        <v>0</v>
      </c>
      <c r="E3582"/>
      <c r="F3582" s="35">
        <f>SUMIFS(F3583:F9015,K3583:K9015,"0",B3583:B9015,"5 1 1 3 2 12 31111 6 M59 70800 000132 0000R 00001 00132 015*")</f>
        <v>18286.32</v>
      </c>
      <c r="G3582" s="35">
        <f>SUMIFS(G3583:G9015,K3583:K9015,"0",B3583:B9015,"5 1 1 3 2 12 31111 6 M59 70800 000132 0000R 00001 00132 015*")</f>
        <v>0</v>
      </c>
      <c r="H3582" s="35">
        <f t="shared" si="56"/>
        <v>18286.32</v>
      </c>
      <c r="I3582" s="35"/>
      <c r="K3582" t="s">
        <v>15</v>
      </c>
    </row>
    <row r="3583" spans="2:11" ht="33" x14ac:dyDescent="0.2">
      <c r="B3583" s="33" t="s">
        <v>4519</v>
      </c>
      <c r="C3583" s="33" t="s">
        <v>2927</v>
      </c>
      <c r="D3583" s="35">
        <f>SUMIFS(D3584:D9015,K3584:K9015,"0",B3584:B9015,"5 1 1 3 2 12 31111 6 M59 70800 000132 0000R 00001 00132 015 2111100*")-SUMIFS(E3584:E9015,K3584:K9015,"0",B3584:B9015,"5 1 1 3 2 12 31111 6 M59 70800 000132 0000R 00001 00132 015 2111100*")</f>
        <v>0</v>
      </c>
      <c r="E3583"/>
      <c r="F3583" s="35">
        <f>SUMIFS(F3584:F9015,K3584:K9015,"0",B3584:B9015,"5 1 1 3 2 12 31111 6 M59 70800 000132 0000R 00001 00132 015 2111100*")</f>
        <v>18286.32</v>
      </c>
      <c r="G3583" s="35">
        <f>SUMIFS(G3584:G9015,K3584:K9015,"0",B3584:B9015,"5 1 1 3 2 12 31111 6 M59 70800 000132 0000R 00001 00132 015 2111100*")</f>
        <v>0</v>
      </c>
      <c r="H3583" s="35">
        <f t="shared" si="56"/>
        <v>18286.32</v>
      </c>
      <c r="I3583" s="35"/>
      <c r="K3583" t="s">
        <v>15</v>
      </c>
    </row>
    <row r="3584" spans="2:11" ht="33" x14ac:dyDescent="0.2">
      <c r="B3584" s="33" t="s">
        <v>4520</v>
      </c>
      <c r="C3584" s="33" t="s">
        <v>660</v>
      </c>
      <c r="D3584" s="35">
        <f>SUMIFS(D3585:D9015,K3585:K9015,"0",B3585:B9015,"5 1 1 3 2 12 31111 6 M59 70800 000132 0000R 00001 00132 015 2111100 2024*")-SUMIFS(E3585:E9015,K3585:K9015,"0",B3585:B9015,"5 1 1 3 2 12 31111 6 M59 70800 000132 0000R 00001 00132 015 2111100 2024*")</f>
        <v>0</v>
      </c>
      <c r="E3584"/>
      <c r="F3584" s="35">
        <f>SUMIFS(F3585:F9015,K3585:K9015,"0",B3585:B9015,"5 1 1 3 2 12 31111 6 M59 70800 000132 0000R 00001 00132 015 2111100 2024*")</f>
        <v>18286.32</v>
      </c>
      <c r="G3584" s="35">
        <f>SUMIFS(G3585:G9015,K3585:K9015,"0",B3585:B9015,"5 1 1 3 2 12 31111 6 M59 70800 000132 0000R 00001 00132 015 2111100 2024*")</f>
        <v>0</v>
      </c>
      <c r="H3584" s="35">
        <f t="shared" si="56"/>
        <v>18286.32</v>
      </c>
      <c r="I3584" s="35"/>
      <c r="K3584" t="s">
        <v>15</v>
      </c>
    </row>
    <row r="3585" spans="2:11" ht="41.25" x14ac:dyDescent="0.2">
      <c r="B3585" s="33" t="s">
        <v>4521</v>
      </c>
      <c r="C3585" s="33" t="s">
        <v>662</v>
      </c>
      <c r="D3585" s="35">
        <f>SUMIFS(D3586:D9015,K3586:K9015,"0",B3586:B9015,"5 1 1 3 2 12 31111 6 M59 70800 000132 0000R 00001 00132 015 2111100 2024 CP1ED416*")-SUMIFS(E3586:E9015,K3586:K9015,"0",B3586:B9015,"5 1 1 3 2 12 31111 6 M59 70800 000132 0000R 00001 00132 015 2111100 2024 CP1ED416*")</f>
        <v>0</v>
      </c>
      <c r="E3585"/>
      <c r="F3585" s="35">
        <f>SUMIFS(F3586:F9015,K3586:K9015,"0",B3586:B9015,"5 1 1 3 2 12 31111 6 M59 70800 000132 0000R 00001 00132 015 2111100 2024 CP1ED416*")</f>
        <v>18286.32</v>
      </c>
      <c r="G3585" s="35">
        <f>SUMIFS(G3586:G9015,K3586:K9015,"0",B3586:B9015,"5 1 1 3 2 12 31111 6 M59 70800 000132 0000R 00001 00132 015 2111100 2024 CP1ED416*")</f>
        <v>0</v>
      </c>
      <c r="H3585" s="35">
        <f t="shared" si="56"/>
        <v>18286.32</v>
      </c>
      <c r="I3585" s="35"/>
      <c r="K3585" t="s">
        <v>15</v>
      </c>
    </row>
    <row r="3586" spans="2:11" ht="41.25" x14ac:dyDescent="0.2">
      <c r="B3586" s="33" t="s">
        <v>4522</v>
      </c>
      <c r="C3586" s="33" t="s">
        <v>282</v>
      </c>
      <c r="D3586" s="35">
        <f>SUMIFS(D3587:D9015,K3587:K9015,"0",B3587:B9015,"5 1 1 3 2 12 31111 6 M59 70800 000132 0000R 00001 00132 015 2111100 2024 CP1ED416 001*")-SUMIFS(E3587:E9015,K3587:K9015,"0",B3587:B9015,"5 1 1 3 2 12 31111 6 M59 70800 000132 0000R 00001 00132 015 2111100 2024 CP1ED416 001*")</f>
        <v>0</v>
      </c>
      <c r="E3586"/>
      <c r="F3586" s="35">
        <f>SUMIFS(F3587:F9015,K3587:K9015,"0",B3587:B9015,"5 1 1 3 2 12 31111 6 M59 70800 000132 0000R 00001 00132 015 2111100 2024 CP1ED416 001*")</f>
        <v>18286.32</v>
      </c>
      <c r="G3586" s="35">
        <f>SUMIFS(G3587:G9015,K3587:K9015,"0",B3587:B9015,"5 1 1 3 2 12 31111 6 M59 70800 000132 0000R 00001 00132 015 2111100 2024 CP1ED416 001*")</f>
        <v>0</v>
      </c>
      <c r="H3586" s="35">
        <f t="shared" si="56"/>
        <v>18286.32</v>
      </c>
      <c r="I3586" s="35"/>
      <c r="K3586" t="s">
        <v>15</v>
      </c>
    </row>
    <row r="3587" spans="2:11" ht="33" x14ac:dyDescent="0.2">
      <c r="B3587" s="31" t="s">
        <v>4523</v>
      </c>
      <c r="C3587" s="31" t="s">
        <v>1519</v>
      </c>
      <c r="D3587" s="34">
        <v>0</v>
      </c>
      <c r="E3587" s="34"/>
      <c r="F3587" s="34">
        <v>16703.18</v>
      </c>
      <c r="G3587" s="34">
        <v>0</v>
      </c>
      <c r="H3587" s="34">
        <f t="shared" si="56"/>
        <v>16703.18</v>
      </c>
      <c r="I3587" s="34"/>
      <c r="K3587" t="s">
        <v>38</v>
      </c>
    </row>
    <row r="3588" spans="2:11" ht="33" x14ac:dyDescent="0.2">
      <c r="B3588" s="31" t="s">
        <v>4524</v>
      </c>
      <c r="C3588" s="31" t="s">
        <v>4071</v>
      </c>
      <c r="D3588" s="34">
        <v>0</v>
      </c>
      <c r="E3588" s="34"/>
      <c r="F3588" s="34">
        <v>1583.14</v>
      </c>
      <c r="G3588" s="34">
        <v>0</v>
      </c>
      <c r="H3588" s="34">
        <f t="shared" ref="H3588:H3651" si="57">D3588 + F3588 - G3588</f>
        <v>1583.14</v>
      </c>
      <c r="I3588" s="34"/>
      <c r="K3588" t="s">
        <v>38</v>
      </c>
    </row>
    <row r="3589" spans="2:11" ht="16.5" x14ac:dyDescent="0.2">
      <c r="B3589" s="33" t="s">
        <v>4525</v>
      </c>
      <c r="C3589" s="33" t="s">
        <v>3486</v>
      </c>
      <c r="D3589" s="35">
        <f>SUMIFS(D3590:D9015,K3590:K9015,"0",B3590:B9015,"5 1 1 3 2 12 31111 6 M59 70900*")-SUMIFS(E3590:E9015,K3590:K9015,"0",B3590:B9015,"5 1 1 3 2 12 31111 6 M59 70900*")</f>
        <v>0</v>
      </c>
      <c r="E3589"/>
      <c r="F3589" s="35">
        <f>SUMIFS(F3590:F9015,K3590:K9015,"0",B3590:B9015,"5 1 1 3 2 12 31111 6 M59 70900*")</f>
        <v>3016.4</v>
      </c>
      <c r="G3589" s="35">
        <f>SUMIFS(G3590:G9015,K3590:K9015,"0",B3590:B9015,"5 1 1 3 2 12 31111 6 M59 70900*")</f>
        <v>0</v>
      </c>
      <c r="H3589" s="35">
        <f t="shared" si="57"/>
        <v>3016.4</v>
      </c>
      <c r="I3589" s="35"/>
      <c r="K3589" t="s">
        <v>15</v>
      </c>
    </row>
    <row r="3590" spans="2:11" ht="24.75" x14ac:dyDescent="0.2">
      <c r="B3590" s="33" t="s">
        <v>4526</v>
      </c>
      <c r="C3590" s="33" t="s">
        <v>3152</v>
      </c>
      <c r="D3590" s="35">
        <f>SUMIFS(D3591:D9015,K3591:K9015,"0",B3591:B9015,"5 1 1 3 2 12 31111 6 M59 70900 000181*")-SUMIFS(E3591:E9015,K3591:K9015,"0",B3591:B9015,"5 1 1 3 2 12 31111 6 M59 70900 000181*")</f>
        <v>0</v>
      </c>
      <c r="E3590"/>
      <c r="F3590" s="35">
        <f>SUMIFS(F3591:F9015,K3591:K9015,"0",B3591:B9015,"5 1 1 3 2 12 31111 6 M59 70900 000181*")</f>
        <v>3016.4</v>
      </c>
      <c r="G3590" s="35">
        <f>SUMIFS(G3591:G9015,K3591:K9015,"0",B3591:B9015,"5 1 1 3 2 12 31111 6 M59 70900 000181*")</f>
        <v>0</v>
      </c>
      <c r="H3590" s="35">
        <f t="shared" si="57"/>
        <v>3016.4</v>
      </c>
      <c r="I3590" s="35"/>
      <c r="K3590" t="s">
        <v>15</v>
      </c>
    </row>
    <row r="3591" spans="2:11" ht="24.75" x14ac:dyDescent="0.2">
      <c r="B3591" s="33" t="s">
        <v>4527</v>
      </c>
      <c r="C3591" s="33" t="s">
        <v>650</v>
      </c>
      <c r="D3591" s="35">
        <f>SUMIFS(D3592:D9015,K3592:K9015,"0",B3592:B9015,"5 1 1 3 2 12 31111 6 M59 70900 000181 0000R*")-SUMIFS(E3592:E9015,K3592:K9015,"0",B3592:B9015,"5 1 1 3 2 12 31111 6 M59 70900 000181 0000R*")</f>
        <v>0</v>
      </c>
      <c r="E3591"/>
      <c r="F3591" s="35">
        <f>SUMIFS(F3592:F9015,K3592:K9015,"0",B3592:B9015,"5 1 1 3 2 12 31111 6 M59 70900 000181 0000R*")</f>
        <v>3016.4</v>
      </c>
      <c r="G3591" s="35">
        <f>SUMIFS(G3592:G9015,K3592:K9015,"0",B3592:B9015,"5 1 1 3 2 12 31111 6 M59 70900 000181 0000R*")</f>
        <v>0</v>
      </c>
      <c r="H3591" s="35">
        <f t="shared" si="57"/>
        <v>3016.4</v>
      </c>
      <c r="I3591" s="35"/>
      <c r="K3591" t="s">
        <v>15</v>
      </c>
    </row>
    <row r="3592" spans="2:11" ht="24.75" x14ac:dyDescent="0.2">
      <c r="B3592" s="33" t="s">
        <v>4528</v>
      </c>
      <c r="C3592" s="33" t="s">
        <v>282</v>
      </c>
      <c r="D3592" s="35">
        <f>SUMIFS(D3593:D9015,K3593:K9015,"0",B3593:B9015,"5 1 1 3 2 12 31111 6 M59 70900 000181 0000R 00001*")-SUMIFS(E3593:E9015,K3593:K9015,"0",B3593:B9015,"5 1 1 3 2 12 31111 6 M59 70900 000181 0000R 00001*")</f>
        <v>0</v>
      </c>
      <c r="E3592"/>
      <c r="F3592" s="35">
        <f>SUMIFS(F3593:F9015,K3593:K9015,"0",B3593:B9015,"5 1 1 3 2 12 31111 6 M59 70900 000181 0000R 00001*")</f>
        <v>3016.4</v>
      </c>
      <c r="G3592" s="35">
        <f>SUMIFS(G3593:G9015,K3593:K9015,"0",B3593:B9015,"5 1 1 3 2 12 31111 6 M59 70900 000181 0000R 00001*")</f>
        <v>0</v>
      </c>
      <c r="H3592" s="35">
        <f t="shared" si="57"/>
        <v>3016.4</v>
      </c>
      <c r="I3592" s="35"/>
      <c r="K3592" t="s">
        <v>15</v>
      </c>
    </row>
    <row r="3593" spans="2:11" ht="24.75" x14ac:dyDescent="0.2">
      <c r="B3593" s="33" t="s">
        <v>4529</v>
      </c>
      <c r="C3593" s="33" t="s">
        <v>4041</v>
      </c>
      <c r="D3593" s="35">
        <f>SUMIFS(D3594:D9015,K3594:K9015,"0",B3594:B9015,"5 1 1 3 2 12 31111 6 M59 70900 000181 0000R 00001 00132*")-SUMIFS(E3594:E9015,K3594:K9015,"0",B3594:B9015,"5 1 1 3 2 12 31111 6 M59 70900 000181 0000R 00001 00132*")</f>
        <v>0</v>
      </c>
      <c r="E3593"/>
      <c r="F3593" s="35">
        <f>SUMIFS(F3594:F9015,K3594:K9015,"0",B3594:B9015,"5 1 1 3 2 12 31111 6 M59 70900 000181 0000R 00001 00132*")</f>
        <v>3016.4</v>
      </c>
      <c r="G3593" s="35">
        <f>SUMIFS(G3594:G9015,K3594:K9015,"0",B3594:B9015,"5 1 1 3 2 12 31111 6 M59 70900 000181 0000R 00001 00132*")</f>
        <v>0</v>
      </c>
      <c r="H3593" s="35">
        <f t="shared" si="57"/>
        <v>3016.4</v>
      </c>
      <c r="I3593" s="35"/>
      <c r="K3593" t="s">
        <v>15</v>
      </c>
    </row>
    <row r="3594" spans="2:11" ht="33" x14ac:dyDescent="0.2">
      <c r="B3594" s="33" t="s">
        <v>4530</v>
      </c>
      <c r="C3594" s="33" t="s">
        <v>1051</v>
      </c>
      <c r="D3594" s="35">
        <f>SUMIFS(D3595:D9015,K3595:K9015,"0",B3595:B9015,"5 1 1 3 2 12 31111 6 M59 70900 000181 0000R 00001 00132 015*")-SUMIFS(E3595:E9015,K3595:K9015,"0",B3595:B9015,"5 1 1 3 2 12 31111 6 M59 70900 000181 0000R 00001 00132 015*")</f>
        <v>0</v>
      </c>
      <c r="E3594"/>
      <c r="F3594" s="35">
        <f>SUMIFS(F3595:F9015,K3595:K9015,"0",B3595:B9015,"5 1 1 3 2 12 31111 6 M59 70900 000181 0000R 00001 00132 015*")</f>
        <v>3016.4</v>
      </c>
      <c r="G3594" s="35">
        <f>SUMIFS(G3595:G9015,K3595:K9015,"0",B3595:B9015,"5 1 1 3 2 12 31111 6 M59 70900 000181 0000R 00001 00132 015*")</f>
        <v>0</v>
      </c>
      <c r="H3594" s="35">
        <f t="shared" si="57"/>
        <v>3016.4</v>
      </c>
      <c r="I3594" s="35"/>
      <c r="K3594" t="s">
        <v>15</v>
      </c>
    </row>
    <row r="3595" spans="2:11" ht="33" x14ac:dyDescent="0.2">
      <c r="B3595" s="33" t="s">
        <v>4531</v>
      </c>
      <c r="C3595" s="33" t="s">
        <v>2927</v>
      </c>
      <c r="D3595" s="35">
        <f>SUMIFS(D3596:D9015,K3596:K9015,"0",B3596:B9015,"5 1 1 3 2 12 31111 6 M59 70900 000181 0000R 00001 00132 015 2111100*")-SUMIFS(E3596:E9015,K3596:K9015,"0",B3596:B9015,"5 1 1 3 2 12 31111 6 M59 70900 000181 0000R 00001 00132 015 2111100*")</f>
        <v>0</v>
      </c>
      <c r="E3595"/>
      <c r="F3595" s="35">
        <f>SUMIFS(F3596:F9015,K3596:K9015,"0",B3596:B9015,"5 1 1 3 2 12 31111 6 M59 70900 000181 0000R 00001 00132 015 2111100*")</f>
        <v>3016.4</v>
      </c>
      <c r="G3595" s="35">
        <f>SUMIFS(G3596:G9015,K3596:K9015,"0",B3596:B9015,"5 1 1 3 2 12 31111 6 M59 70900 000181 0000R 00001 00132 015 2111100*")</f>
        <v>0</v>
      </c>
      <c r="H3595" s="35">
        <f t="shared" si="57"/>
        <v>3016.4</v>
      </c>
      <c r="I3595" s="35"/>
      <c r="K3595" t="s">
        <v>15</v>
      </c>
    </row>
    <row r="3596" spans="2:11" ht="33" x14ac:dyDescent="0.2">
      <c r="B3596" s="33" t="s">
        <v>4532</v>
      </c>
      <c r="C3596" s="33" t="s">
        <v>660</v>
      </c>
      <c r="D3596" s="35">
        <f>SUMIFS(D3597:D9015,K3597:K9015,"0",B3597:B9015,"5 1 1 3 2 12 31111 6 M59 70900 000181 0000R 00001 00132 015 2111100 2024*")-SUMIFS(E3597:E9015,K3597:K9015,"0",B3597:B9015,"5 1 1 3 2 12 31111 6 M59 70900 000181 0000R 00001 00132 015 2111100 2024*")</f>
        <v>0</v>
      </c>
      <c r="E3596"/>
      <c r="F3596" s="35">
        <f>SUMIFS(F3597:F9015,K3597:K9015,"0",B3597:B9015,"5 1 1 3 2 12 31111 6 M59 70900 000181 0000R 00001 00132 015 2111100 2024*")</f>
        <v>3016.4</v>
      </c>
      <c r="G3596" s="35">
        <f>SUMIFS(G3597:G9015,K3597:K9015,"0",B3597:B9015,"5 1 1 3 2 12 31111 6 M59 70900 000181 0000R 00001 00132 015 2111100 2024*")</f>
        <v>0</v>
      </c>
      <c r="H3596" s="35">
        <f t="shared" si="57"/>
        <v>3016.4</v>
      </c>
      <c r="I3596" s="35"/>
      <c r="K3596" t="s">
        <v>15</v>
      </c>
    </row>
    <row r="3597" spans="2:11" ht="41.25" x14ac:dyDescent="0.2">
      <c r="B3597" s="33" t="s">
        <v>4533</v>
      </c>
      <c r="C3597" s="33" t="s">
        <v>3495</v>
      </c>
      <c r="D3597" s="35">
        <f>SUMIFS(D3598:D9015,K3598:K9015,"0",B3598:B9015,"5 1 1 3 2 12 31111 6 M59 70900 000181 0000R 00001 00132 015 2111100 2024 CP1EM392*")-SUMIFS(E3598:E9015,K3598:K9015,"0",B3598:B9015,"5 1 1 3 2 12 31111 6 M59 70900 000181 0000R 00001 00132 015 2111100 2024 CP1EM392*")</f>
        <v>0</v>
      </c>
      <c r="E3597"/>
      <c r="F3597" s="35">
        <f>SUMIFS(F3598:F9015,K3598:K9015,"0",B3598:B9015,"5 1 1 3 2 12 31111 6 M59 70900 000181 0000R 00001 00132 015 2111100 2024 CP1EM392*")</f>
        <v>3016.4</v>
      </c>
      <c r="G3597" s="35">
        <f>SUMIFS(G3598:G9015,K3598:K9015,"0",B3598:B9015,"5 1 1 3 2 12 31111 6 M59 70900 000181 0000R 00001 00132 015 2111100 2024 CP1EM392*")</f>
        <v>0</v>
      </c>
      <c r="H3597" s="35">
        <f t="shared" si="57"/>
        <v>3016.4</v>
      </c>
      <c r="I3597" s="35"/>
      <c r="K3597" t="s">
        <v>15</v>
      </c>
    </row>
    <row r="3598" spans="2:11" ht="41.25" x14ac:dyDescent="0.2">
      <c r="B3598" s="33" t="s">
        <v>4534</v>
      </c>
      <c r="C3598" s="33" t="s">
        <v>282</v>
      </c>
      <c r="D3598" s="35">
        <f>SUMIFS(D3599:D9015,K3599:K9015,"0",B3599:B9015,"5 1 1 3 2 12 31111 6 M59 70900 000181 0000R 00001 00132 015 2111100 2024 CP1EM392 001*")-SUMIFS(E3599:E9015,K3599:K9015,"0",B3599:B9015,"5 1 1 3 2 12 31111 6 M59 70900 000181 0000R 00001 00132 015 2111100 2024 CP1EM392 001*")</f>
        <v>0</v>
      </c>
      <c r="E3598"/>
      <c r="F3598" s="35">
        <f>SUMIFS(F3599:F9015,K3599:K9015,"0",B3599:B9015,"5 1 1 3 2 12 31111 6 M59 70900 000181 0000R 00001 00132 015 2111100 2024 CP1EM392 001*")</f>
        <v>3016.4</v>
      </c>
      <c r="G3598" s="35">
        <f>SUMIFS(G3599:G9015,K3599:K9015,"0",B3599:B9015,"5 1 1 3 2 12 31111 6 M59 70900 000181 0000R 00001 00132 015 2111100 2024 CP1EM392 001*")</f>
        <v>0</v>
      </c>
      <c r="H3598" s="35">
        <f t="shared" si="57"/>
        <v>3016.4</v>
      </c>
      <c r="I3598" s="35"/>
      <c r="K3598" t="s">
        <v>15</v>
      </c>
    </row>
    <row r="3599" spans="2:11" ht="33" x14ac:dyDescent="0.2">
      <c r="B3599" s="31" t="s">
        <v>4535</v>
      </c>
      <c r="C3599" s="31" t="s">
        <v>1519</v>
      </c>
      <c r="D3599" s="34">
        <v>0</v>
      </c>
      <c r="E3599" s="34"/>
      <c r="F3599" s="34">
        <v>3016.4</v>
      </c>
      <c r="G3599" s="34">
        <v>0</v>
      </c>
      <c r="H3599" s="34">
        <f t="shared" si="57"/>
        <v>3016.4</v>
      </c>
      <c r="I3599" s="34"/>
      <c r="K3599" t="s">
        <v>38</v>
      </c>
    </row>
    <row r="3600" spans="2:11" ht="16.5" x14ac:dyDescent="0.2">
      <c r="B3600" s="33" t="s">
        <v>4536</v>
      </c>
      <c r="C3600" s="33" t="s">
        <v>3499</v>
      </c>
      <c r="D3600" s="35">
        <f>SUMIFS(D3601:D9015,K3601:K9015,"0",B3601:B9015,"5 1 1 3 2 12 31111 6 M59 71000*")-SUMIFS(E3601:E9015,K3601:K9015,"0",B3601:B9015,"5 1 1 3 2 12 31111 6 M59 71000*")</f>
        <v>0</v>
      </c>
      <c r="E3600"/>
      <c r="F3600" s="35">
        <f>SUMIFS(F3601:F9015,K3601:K9015,"0",B3601:B9015,"5 1 1 3 2 12 31111 6 M59 71000*")</f>
        <v>3316.44</v>
      </c>
      <c r="G3600" s="35">
        <f>SUMIFS(G3601:G9015,K3601:K9015,"0",B3601:B9015,"5 1 1 3 2 12 31111 6 M59 71000*")</f>
        <v>0</v>
      </c>
      <c r="H3600" s="35">
        <f t="shared" si="57"/>
        <v>3316.44</v>
      </c>
      <c r="I3600" s="35"/>
      <c r="K3600" t="s">
        <v>15</v>
      </c>
    </row>
    <row r="3601" spans="2:11" ht="16.5" x14ac:dyDescent="0.2">
      <c r="B3601" s="33" t="s">
        <v>4537</v>
      </c>
      <c r="C3601" s="33" t="s">
        <v>648</v>
      </c>
      <c r="D3601" s="35">
        <f>SUMIFS(D3602:D9015,K3602:K9015,"0",B3602:B9015,"5 1 1 3 2 12 31111 6 M59 71000 000132*")-SUMIFS(E3602:E9015,K3602:K9015,"0",B3602:B9015,"5 1 1 3 2 12 31111 6 M59 71000 000132*")</f>
        <v>0</v>
      </c>
      <c r="E3601"/>
      <c r="F3601" s="35">
        <f>SUMIFS(F3602:F9015,K3602:K9015,"0",B3602:B9015,"5 1 1 3 2 12 31111 6 M59 71000 000132*")</f>
        <v>3316.44</v>
      </c>
      <c r="G3601" s="35">
        <f>SUMIFS(G3602:G9015,K3602:K9015,"0",B3602:B9015,"5 1 1 3 2 12 31111 6 M59 71000 000132*")</f>
        <v>0</v>
      </c>
      <c r="H3601" s="35">
        <f t="shared" si="57"/>
        <v>3316.44</v>
      </c>
      <c r="I3601" s="35"/>
      <c r="K3601" t="s">
        <v>15</v>
      </c>
    </row>
    <row r="3602" spans="2:11" ht="24.75" x14ac:dyDescent="0.2">
      <c r="B3602" s="33" t="s">
        <v>4538</v>
      </c>
      <c r="C3602" s="33" t="s">
        <v>650</v>
      </c>
      <c r="D3602" s="35">
        <f>SUMIFS(D3603:D9015,K3603:K9015,"0",B3603:B9015,"5 1 1 3 2 12 31111 6 M59 71000 000132 0000R*")-SUMIFS(E3603:E9015,K3603:K9015,"0",B3603:B9015,"5 1 1 3 2 12 31111 6 M59 71000 000132 0000R*")</f>
        <v>0</v>
      </c>
      <c r="E3602"/>
      <c r="F3602" s="35">
        <f>SUMIFS(F3603:F9015,K3603:K9015,"0",B3603:B9015,"5 1 1 3 2 12 31111 6 M59 71000 000132 0000R*")</f>
        <v>3316.44</v>
      </c>
      <c r="G3602" s="35">
        <f>SUMIFS(G3603:G9015,K3603:K9015,"0",B3603:B9015,"5 1 1 3 2 12 31111 6 M59 71000 000132 0000R*")</f>
        <v>0</v>
      </c>
      <c r="H3602" s="35">
        <f t="shared" si="57"/>
        <v>3316.44</v>
      </c>
      <c r="I3602" s="35"/>
      <c r="K3602" t="s">
        <v>15</v>
      </c>
    </row>
    <row r="3603" spans="2:11" ht="24.75" x14ac:dyDescent="0.2">
      <c r="B3603" s="33" t="s">
        <v>4539</v>
      </c>
      <c r="C3603" s="33" t="s">
        <v>282</v>
      </c>
      <c r="D3603" s="35">
        <f>SUMIFS(D3604:D9015,K3604:K9015,"0",B3604:B9015,"5 1 1 3 2 12 31111 6 M59 71000 000132 0000R 00001*")-SUMIFS(E3604:E9015,K3604:K9015,"0",B3604:B9015,"5 1 1 3 2 12 31111 6 M59 71000 000132 0000R 00001*")</f>
        <v>0</v>
      </c>
      <c r="E3603"/>
      <c r="F3603" s="35">
        <f>SUMIFS(F3604:F9015,K3604:K9015,"0",B3604:B9015,"5 1 1 3 2 12 31111 6 M59 71000 000132 0000R 00001*")</f>
        <v>3316.44</v>
      </c>
      <c r="G3603" s="35">
        <f>SUMIFS(G3604:G9015,K3604:K9015,"0",B3604:B9015,"5 1 1 3 2 12 31111 6 M59 71000 000132 0000R 00001*")</f>
        <v>0</v>
      </c>
      <c r="H3603" s="35">
        <f t="shared" si="57"/>
        <v>3316.44</v>
      </c>
      <c r="I3603" s="35"/>
      <c r="K3603" t="s">
        <v>15</v>
      </c>
    </row>
    <row r="3604" spans="2:11" ht="24.75" x14ac:dyDescent="0.2">
      <c r="B3604" s="33" t="s">
        <v>4540</v>
      </c>
      <c r="C3604" s="33" t="s">
        <v>4041</v>
      </c>
      <c r="D3604" s="35">
        <f>SUMIFS(D3605:D9015,K3605:K9015,"0",B3605:B9015,"5 1 1 3 2 12 31111 6 M59 71000 000132 0000R 00001 00132*")-SUMIFS(E3605:E9015,K3605:K9015,"0",B3605:B9015,"5 1 1 3 2 12 31111 6 M59 71000 000132 0000R 00001 00132*")</f>
        <v>0</v>
      </c>
      <c r="E3604"/>
      <c r="F3604" s="35">
        <f>SUMIFS(F3605:F9015,K3605:K9015,"0",B3605:B9015,"5 1 1 3 2 12 31111 6 M59 71000 000132 0000R 00001 00132*")</f>
        <v>3316.44</v>
      </c>
      <c r="G3604" s="35">
        <f>SUMIFS(G3605:G9015,K3605:K9015,"0",B3605:B9015,"5 1 1 3 2 12 31111 6 M59 71000 000132 0000R 00001 00132*")</f>
        <v>0</v>
      </c>
      <c r="H3604" s="35">
        <f t="shared" si="57"/>
        <v>3316.44</v>
      </c>
      <c r="I3604" s="35"/>
      <c r="K3604" t="s">
        <v>15</v>
      </c>
    </row>
    <row r="3605" spans="2:11" ht="33" x14ac:dyDescent="0.2">
      <c r="B3605" s="33" t="s">
        <v>4541</v>
      </c>
      <c r="C3605" s="33" t="s">
        <v>1051</v>
      </c>
      <c r="D3605" s="35">
        <f>SUMIFS(D3606:D9015,K3606:K9015,"0",B3606:B9015,"5 1 1 3 2 12 31111 6 M59 71000 000132 0000R 00001 00132 015*")-SUMIFS(E3606:E9015,K3606:K9015,"0",B3606:B9015,"5 1 1 3 2 12 31111 6 M59 71000 000132 0000R 00001 00132 015*")</f>
        <v>0</v>
      </c>
      <c r="E3605"/>
      <c r="F3605" s="35">
        <f>SUMIFS(F3606:F9015,K3606:K9015,"0",B3606:B9015,"5 1 1 3 2 12 31111 6 M59 71000 000132 0000R 00001 00132 015*")</f>
        <v>3316.44</v>
      </c>
      <c r="G3605" s="35">
        <f>SUMIFS(G3606:G9015,K3606:K9015,"0",B3606:B9015,"5 1 1 3 2 12 31111 6 M59 71000 000132 0000R 00001 00132 015*")</f>
        <v>0</v>
      </c>
      <c r="H3605" s="35">
        <f t="shared" si="57"/>
        <v>3316.44</v>
      </c>
      <c r="I3605" s="35"/>
      <c r="K3605" t="s">
        <v>15</v>
      </c>
    </row>
    <row r="3606" spans="2:11" ht="33" x14ac:dyDescent="0.2">
      <c r="B3606" s="33" t="s">
        <v>4542</v>
      </c>
      <c r="C3606" s="33" t="s">
        <v>2927</v>
      </c>
      <c r="D3606" s="35">
        <f>SUMIFS(D3607:D9015,K3607:K9015,"0",B3607:B9015,"5 1 1 3 2 12 31111 6 M59 71000 000132 0000R 00001 00132 015 2111100*")-SUMIFS(E3607:E9015,K3607:K9015,"0",B3607:B9015,"5 1 1 3 2 12 31111 6 M59 71000 000132 0000R 00001 00132 015 2111100*")</f>
        <v>0</v>
      </c>
      <c r="E3606"/>
      <c r="F3606" s="35">
        <f>SUMIFS(F3607:F9015,K3607:K9015,"0",B3607:B9015,"5 1 1 3 2 12 31111 6 M59 71000 000132 0000R 00001 00132 015 2111100*")</f>
        <v>3316.44</v>
      </c>
      <c r="G3606" s="35">
        <f>SUMIFS(G3607:G9015,K3607:K9015,"0",B3607:B9015,"5 1 1 3 2 12 31111 6 M59 71000 000132 0000R 00001 00132 015 2111100*")</f>
        <v>0</v>
      </c>
      <c r="H3606" s="35">
        <f t="shared" si="57"/>
        <v>3316.44</v>
      </c>
      <c r="I3606" s="35"/>
      <c r="K3606" t="s">
        <v>15</v>
      </c>
    </row>
    <row r="3607" spans="2:11" ht="33" x14ac:dyDescent="0.2">
      <c r="B3607" s="33" t="s">
        <v>4543</v>
      </c>
      <c r="C3607" s="33" t="s">
        <v>660</v>
      </c>
      <c r="D3607" s="35">
        <f>SUMIFS(D3608:D9015,K3608:K9015,"0",B3608:B9015,"5 1 1 3 2 12 31111 6 M59 71000 000132 0000R 00001 00132 015 2111100 2024*")-SUMIFS(E3608:E9015,K3608:K9015,"0",B3608:B9015,"5 1 1 3 2 12 31111 6 M59 71000 000132 0000R 00001 00132 015 2111100 2024*")</f>
        <v>0</v>
      </c>
      <c r="E3607"/>
      <c r="F3607" s="35">
        <f>SUMIFS(F3608:F9015,K3608:K9015,"0",B3608:B9015,"5 1 1 3 2 12 31111 6 M59 71000 000132 0000R 00001 00132 015 2111100 2024*")</f>
        <v>3316.44</v>
      </c>
      <c r="G3607" s="35">
        <f>SUMIFS(G3608:G9015,K3608:K9015,"0",B3608:B9015,"5 1 1 3 2 12 31111 6 M59 71000 000132 0000R 00001 00132 015 2111100 2024*")</f>
        <v>0</v>
      </c>
      <c r="H3607" s="35">
        <f t="shared" si="57"/>
        <v>3316.44</v>
      </c>
      <c r="I3607" s="35"/>
      <c r="K3607" t="s">
        <v>15</v>
      </c>
    </row>
    <row r="3608" spans="2:11" ht="41.25" x14ac:dyDescent="0.2">
      <c r="B3608" s="33" t="s">
        <v>4544</v>
      </c>
      <c r="C3608" s="33" t="s">
        <v>662</v>
      </c>
      <c r="D3608" s="35">
        <f>SUMIFS(D3609:D9015,K3609:K9015,"0",B3609:B9015,"5 1 1 3 2 12 31111 6 M59 71000 000132 0000R 00001 00132 015 2111100 2024 CP1AP422*")-SUMIFS(E3609:E9015,K3609:K9015,"0",B3609:B9015,"5 1 1 3 2 12 31111 6 M59 71000 000132 0000R 00001 00132 015 2111100 2024 CP1AP422*")</f>
        <v>0</v>
      </c>
      <c r="E3608"/>
      <c r="F3608" s="35">
        <f>SUMIFS(F3609:F9015,K3609:K9015,"0",B3609:B9015,"5 1 1 3 2 12 31111 6 M59 71000 000132 0000R 00001 00132 015 2111100 2024 CP1AP422*")</f>
        <v>3316.44</v>
      </c>
      <c r="G3608" s="35">
        <f>SUMIFS(G3609:G9015,K3609:K9015,"0",B3609:B9015,"5 1 1 3 2 12 31111 6 M59 71000 000132 0000R 00001 00132 015 2111100 2024 CP1AP422*")</f>
        <v>0</v>
      </c>
      <c r="H3608" s="35">
        <f t="shared" si="57"/>
        <v>3316.44</v>
      </c>
      <c r="I3608" s="35"/>
      <c r="K3608" t="s">
        <v>15</v>
      </c>
    </row>
    <row r="3609" spans="2:11" ht="41.25" x14ac:dyDescent="0.2">
      <c r="B3609" s="33" t="s">
        <v>4545</v>
      </c>
      <c r="C3609" s="33" t="s">
        <v>282</v>
      </c>
      <c r="D3609" s="35">
        <f>SUMIFS(D3610:D9015,K3610:K9015,"0",B3610:B9015,"5 1 1 3 2 12 31111 6 M59 71000 000132 0000R 00001 00132 015 2111100 2024 CP1AP422 001*")-SUMIFS(E3610:E9015,K3610:K9015,"0",B3610:B9015,"5 1 1 3 2 12 31111 6 M59 71000 000132 0000R 00001 00132 015 2111100 2024 CP1AP422 001*")</f>
        <v>0</v>
      </c>
      <c r="E3609"/>
      <c r="F3609" s="35">
        <f>SUMIFS(F3610:F9015,K3610:K9015,"0",B3610:B9015,"5 1 1 3 2 12 31111 6 M59 71000 000132 0000R 00001 00132 015 2111100 2024 CP1AP422 001*")</f>
        <v>3316.44</v>
      </c>
      <c r="G3609" s="35">
        <f>SUMIFS(G3610:G9015,K3610:K9015,"0",B3610:B9015,"5 1 1 3 2 12 31111 6 M59 71000 000132 0000R 00001 00132 015 2111100 2024 CP1AP422 001*")</f>
        <v>0</v>
      </c>
      <c r="H3609" s="35">
        <f t="shared" si="57"/>
        <v>3316.44</v>
      </c>
      <c r="I3609" s="35"/>
      <c r="K3609" t="s">
        <v>15</v>
      </c>
    </row>
    <row r="3610" spans="2:11" ht="33" x14ac:dyDescent="0.2">
      <c r="B3610" s="31" t="s">
        <v>4546</v>
      </c>
      <c r="C3610" s="31" t="s">
        <v>1519</v>
      </c>
      <c r="D3610" s="34">
        <v>0</v>
      </c>
      <c r="E3610" s="34"/>
      <c r="F3610" s="34">
        <v>3316.44</v>
      </c>
      <c r="G3610" s="34">
        <v>0</v>
      </c>
      <c r="H3610" s="34">
        <f t="shared" si="57"/>
        <v>3316.44</v>
      </c>
      <c r="I3610" s="34"/>
      <c r="K3610" t="s">
        <v>38</v>
      </c>
    </row>
    <row r="3611" spans="2:11" ht="16.5" x14ac:dyDescent="0.2">
      <c r="B3611" s="33" t="s">
        <v>4547</v>
      </c>
      <c r="C3611" s="33" t="s">
        <v>3523</v>
      </c>
      <c r="D3611" s="35">
        <f>SUMIFS(D3612:D9015,K3612:K9015,"0",B3612:B9015,"5 1 1 3 2 12 31111 6 M59 80000*")-SUMIFS(E3612:E9015,K3612:K9015,"0",B3612:B9015,"5 1 1 3 2 12 31111 6 M59 80000*")</f>
        <v>0</v>
      </c>
      <c r="E3611"/>
      <c r="F3611" s="35">
        <f>SUMIFS(F3612:F9015,K3612:K9015,"0",B3612:B9015,"5 1 1 3 2 12 31111 6 M59 80000*")</f>
        <v>10297.6</v>
      </c>
      <c r="G3611" s="35">
        <f>SUMIFS(G3612:G9015,K3612:K9015,"0",B3612:B9015,"5 1 1 3 2 12 31111 6 M59 80000*")</f>
        <v>0</v>
      </c>
      <c r="H3611" s="35">
        <f t="shared" si="57"/>
        <v>10297.6</v>
      </c>
      <c r="I3611" s="35"/>
      <c r="K3611" t="s">
        <v>15</v>
      </c>
    </row>
    <row r="3612" spans="2:11" ht="16.5" x14ac:dyDescent="0.2">
      <c r="B3612" s="33" t="s">
        <v>4548</v>
      </c>
      <c r="C3612" s="33" t="s">
        <v>648</v>
      </c>
      <c r="D3612" s="35">
        <f>SUMIFS(D3613:D9015,K3613:K9015,"0",B3613:B9015,"5 1 1 3 2 12 31111 6 M59 80000 000132*")-SUMIFS(E3613:E9015,K3613:K9015,"0",B3613:B9015,"5 1 1 3 2 12 31111 6 M59 80000 000132*")</f>
        <v>0</v>
      </c>
      <c r="E3612"/>
      <c r="F3612" s="35">
        <f>SUMIFS(F3613:F9015,K3613:K9015,"0",B3613:B9015,"5 1 1 3 2 12 31111 6 M59 80000 000132*")</f>
        <v>10297.6</v>
      </c>
      <c r="G3612" s="35">
        <f>SUMIFS(G3613:G9015,K3613:K9015,"0",B3613:B9015,"5 1 1 3 2 12 31111 6 M59 80000 000132*")</f>
        <v>0</v>
      </c>
      <c r="H3612" s="35">
        <f t="shared" si="57"/>
        <v>10297.6</v>
      </c>
      <c r="I3612" s="35"/>
      <c r="K3612" t="s">
        <v>15</v>
      </c>
    </row>
    <row r="3613" spans="2:11" ht="24.75" x14ac:dyDescent="0.2">
      <c r="B3613" s="33" t="s">
        <v>4549</v>
      </c>
      <c r="C3613" s="33" t="s">
        <v>650</v>
      </c>
      <c r="D3613" s="35">
        <f>SUMIFS(D3614:D9015,K3614:K9015,"0",B3614:B9015,"5 1 1 3 2 12 31111 6 M59 80000 000132 0000R*")-SUMIFS(E3614:E9015,K3614:K9015,"0",B3614:B9015,"5 1 1 3 2 12 31111 6 M59 80000 000132 0000R*")</f>
        <v>0</v>
      </c>
      <c r="E3613"/>
      <c r="F3613" s="35">
        <f>SUMIFS(F3614:F9015,K3614:K9015,"0",B3614:B9015,"5 1 1 3 2 12 31111 6 M59 80000 000132 0000R*")</f>
        <v>10297.6</v>
      </c>
      <c r="G3613" s="35">
        <f>SUMIFS(G3614:G9015,K3614:K9015,"0",B3614:B9015,"5 1 1 3 2 12 31111 6 M59 80000 000132 0000R*")</f>
        <v>0</v>
      </c>
      <c r="H3613" s="35">
        <f t="shared" si="57"/>
        <v>10297.6</v>
      </c>
      <c r="I3613" s="35"/>
      <c r="K3613" t="s">
        <v>15</v>
      </c>
    </row>
    <row r="3614" spans="2:11" ht="24.75" x14ac:dyDescent="0.2">
      <c r="B3614" s="33" t="s">
        <v>4550</v>
      </c>
      <c r="C3614" s="33" t="s">
        <v>282</v>
      </c>
      <c r="D3614" s="35">
        <f>SUMIFS(D3615:D9015,K3615:K9015,"0",B3615:B9015,"5 1 1 3 2 12 31111 6 M59 80000 000132 0000R 00001*")-SUMIFS(E3615:E9015,K3615:K9015,"0",B3615:B9015,"5 1 1 3 2 12 31111 6 M59 80000 000132 0000R 00001*")</f>
        <v>0</v>
      </c>
      <c r="E3614"/>
      <c r="F3614" s="35">
        <f>SUMIFS(F3615:F9015,K3615:K9015,"0",B3615:B9015,"5 1 1 3 2 12 31111 6 M59 80000 000132 0000R 00001*")</f>
        <v>10297.6</v>
      </c>
      <c r="G3614" s="35">
        <f>SUMIFS(G3615:G9015,K3615:K9015,"0",B3615:B9015,"5 1 1 3 2 12 31111 6 M59 80000 000132 0000R 00001*")</f>
        <v>0</v>
      </c>
      <c r="H3614" s="35">
        <f t="shared" si="57"/>
        <v>10297.6</v>
      </c>
      <c r="I3614" s="35"/>
      <c r="K3614" t="s">
        <v>15</v>
      </c>
    </row>
    <row r="3615" spans="2:11" ht="24.75" x14ac:dyDescent="0.2">
      <c r="B3615" s="33" t="s">
        <v>4551</v>
      </c>
      <c r="C3615" s="33" t="s">
        <v>4041</v>
      </c>
      <c r="D3615" s="35">
        <f>SUMIFS(D3616:D9015,K3616:K9015,"0",B3616:B9015,"5 1 1 3 2 12 31111 6 M59 80000 000132 0000R 00001 00132*")-SUMIFS(E3616:E9015,K3616:K9015,"0",B3616:B9015,"5 1 1 3 2 12 31111 6 M59 80000 000132 0000R 00001 00132*")</f>
        <v>0</v>
      </c>
      <c r="E3615"/>
      <c r="F3615" s="35">
        <f>SUMIFS(F3616:F9015,K3616:K9015,"0",B3616:B9015,"5 1 1 3 2 12 31111 6 M59 80000 000132 0000R 00001 00132*")</f>
        <v>10297.6</v>
      </c>
      <c r="G3615" s="35">
        <f>SUMIFS(G3616:G9015,K3616:K9015,"0",B3616:B9015,"5 1 1 3 2 12 31111 6 M59 80000 000132 0000R 00001 00132*")</f>
        <v>0</v>
      </c>
      <c r="H3615" s="35">
        <f t="shared" si="57"/>
        <v>10297.6</v>
      </c>
      <c r="I3615" s="35"/>
      <c r="K3615" t="s">
        <v>15</v>
      </c>
    </row>
    <row r="3616" spans="2:11" ht="33" x14ac:dyDescent="0.2">
      <c r="B3616" s="33" t="s">
        <v>4552</v>
      </c>
      <c r="C3616" s="33" t="s">
        <v>1051</v>
      </c>
      <c r="D3616" s="35">
        <f>SUMIFS(D3617:D9015,K3617:K9015,"0",B3617:B9015,"5 1 1 3 2 12 31111 6 M59 80000 000132 0000R 00001 00132 015*")-SUMIFS(E3617:E9015,K3617:K9015,"0",B3617:B9015,"5 1 1 3 2 12 31111 6 M59 80000 000132 0000R 00001 00132 015*")</f>
        <v>0</v>
      </c>
      <c r="E3616"/>
      <c r="F3616" s="35">
        <f>SUMIFS(F3617:F9015,K3617:K9015,"0",B3617:B9015,"5 1 1 3 2 12 31111 6 M59 80000 000132 0000R 00001 00132 015*")</f>
        <v>10297.6</v>
      </c>
      <c r="G3616" s="35">
        <f>SUMIFS(G3617:G9015,K3617:K9015,"0",B3617:B9015,"5 1 1 3 2 12 31111 6 M59 80000 000132 0000R 00001 00132 015*")</f>
        <v>0</v>
      </c>
      <c r="H3616" s="35">
        <f t="shared" si="57"/>
        <v>10297.6</v>
      </c>
      <c r="I3616" s="35"/>
      <c r="K3616" t="s">
        <v>15</v>
      </c>
    </row>
    <row r="3617" spans="2:11" ht="33" x14ac:dyDescent="0.2">
      <c r="B3617" s="33" t="s">
        <v>4553</v>
      </c>
      <c r="C3617" s="33" t="s">
        <v>2927</v>
      </c>
      <c r="D3617" s="35">
        <f>SUMIFS(D3618:D9015,K3618:K9015,"0",B3618:B9015,"5 1 1 3 2 12 31111 6 M59 80000 000132 0000R 00001 00132 015 2111100*")-SUMIFS(E3618:E9015,K3618:K9015,"0",B3618:B9015,"5 1 1 3 2 12 31111 6 M59 80000 000132 0000R 00001 00132 015 2111100*")</f>
        <v>0</v>
      </c>
      <c r="E3617"/>
      <c r="F3617" s="35">
        <f>SUMIFS(F3618:F9015,K3618:K9015,"0",B3618:B9015,"5 1 1 3 2 12 31111 6 M59 80000 000132 0000R 00001 00132 015 2111100*")</f>
        <v>10297.6</v>
      </c>
      <c r="G3617" s="35">
        <f>SUMIFS(G3618:G9015,K3618:K9015,"0",B3618:B9015,"5 1 1 3 2 12 31111 6 M59 80000 000132 0000R 00001 00132 015 2111100*")</f>
        <v>0</v>
      </c>
      <c r="H3617" s="35">
        <f t="shared" si="57"/>
        <v>10297.6</v>
      </c>
      <c r="I3617" s="35"/>
      <c r="K3617" t="s">
        <v>15</v>
      </c>
    </row>
    <row r="3618" spans="2:11" ht="33" x14ac:dyDescent="0.2">
      <c r="B3618" s="33" t="s">
        <v>4554</v>
      </c>
      <c r="C3618" s="33" t="s">
        <v>660</v>
      </c>
      <c r="D3618" s="35">
        <f>SUMIFS(D3619:D9015,K3619:K9015,"0",B3619:B9015,"5 1 1 3 2 12 31111 6 M59 80000 000132 0000R 00001 00132 015 2111100 2024*")-SUMIFS(E3619:E9015,K3619:K9015,"0",B3619:B9015,"5 1 1 3 2 12 31111 6 M59 80000 000132 0000R 00001 00132 015 2111100 2024*")</f>
        <v>0</v>
      </c>
      <c r="E3618"/>
      <c r="F3618" s="35">
        <f>SUMIFS(F3619:F9015,K3619:K9015,"0",B3619:B9015,"5 1 1 3 2 12 31111 6 M59 80000 000132 0000R 00001 00132 015 2111100 2024*")</f>
        <v>10297.6</v>
      </c>
      <c r="G3618" s="35">
        <f>SUMIFS(G3619:G9015,K3619:K9015,"0",B3619:B9015,"5 1 1 3 2 12 31111 6 M59 80000 000132 0000R 00001 00132 015 2111100 2024*")</f>
        <v>0</v>
      </c>
      <c r="H3618" s="35">
        <f t="shared" si="57"/>
        <v>10297.6</v>
      </c>
      <c r="I3618" s="35"/>
      <c r="K3618" t="s">
        <v>15</v>
      </c>
    </row>
    <row r="3619" spans="2:11" ht="41.25" x14ac:dyDescent="0.2">
      <c r="B3619" s="33" t="s">
        <v>4555</v>
      </c>
      <c r="C3619" s="33" t="s">
        <v>1056</v>
      </c>
      <c r="D3619" s="35">
        <f>SUMIFS(D3620:D9015,K3620:K9015,"0",B3620:B9015,"5 1 1 3 2 12 31111 6 M59 80000 000132 0000R 00001 00132 015 2111100 2024 CP1DR388*")-SUMIFS(E3620:E9015,K3620:K9015,"0",B3620:B9015,"5 1 1 3 2 12 31111 6 M59 80000 000132 0000R 00001 00132 015 2111100 2024 CP1DR388*")</f>
        <v>0</v>
      </c>
      <c r="E3619"/>
      <c r="F3619" s="35">
        <f>SUMIFS(F3620:F9015,K3620:K9015,"0",B3620:B9015,"5 1 1 3 2 12 31111 6 M59 80000 000132 0000R 00001 00132 015 2111100 2024 CP1DR388*")</f>
        <v>10297.6</v>
      </c>
      <c r="G3619" s="35">
        <f>SUMIFS(G3620:G9015,K3620:K9015,"0",B3620:B9015,"5 1 1 3 2 12 31111 6 M59 80000 000132 0000R 00001 00132 015 2111100 2024 CP1DR388*")</f>
        <v>0</v>
      </c>
      <c r="H3619" s="35">
        <f t="shared" si="57"/>
        <v>10297.6</v>
      </c>
      <c r="I3619" s="35"/>
      <c r="K3619" t="s">
        <v>15</v>
      </c>
    </row>
    <row r="3620" spans="2:11" ht="41.25" x14ac:dyDescent="0.2">
      <c r="B3620" s="33" t="s">
        <v>4556</v>
      </c>
      <c r="C3620" s="33" t="s">
        <v>282</v>
      </c>
      <c r="D3620" s="35">
        <f>SUMIFS(D3621:D9015,K3621:K9015,"0",B3621:B9015,"5 1 1 3 2 12 31111 6 M59 80000 000132 0000R 00001 00132 015 2111100 2024 CP1DR388 001*")-SUMIFS(E3621:E9015,K3621:K9015,"0",B3621:B9015,"5 1 1 3 2 12 31111 6 M59 80000 000132 0000R 00001 00132 015 2111100 2024 CP1DR388 001*")</f>
        <v>0</v>
      </c>
      <c r="E3620"/>
      <c r="F3620" s="35">
        <f>SUMIFS(F3621:F9015,K3621:K9015,"0",B3621:B9015,"5 1 1 3 2 12 31111 6 M59 80000 000132 0000R 00001 00132 015 2111100 2024 CP1DR388 001*")</f>
        <v>10297.6</v>
      </c>
      <c r="G3620" s="35">
        <f>SUMIFS(G3621:G9015,K3621:K9015,"0",B3621:B9015,"5 1 1 3 2 12 31111 6 M59 80000 000132 0000R 00001 00132 015 2111100 2024 CP1DR388 001*")</f>
        <v>0</v>
      </c>
      <c r="H3620" s="35">
        <f t="shared" si="57"/>
        <v>10297.6</v>
      </c>
      <c r="I3620" s="35"/>
      <c r="K3620" t="s">
        <v>15</v>
      </c>
    </row>
    <row r="3621" spans="2:11" ht="41.25" x14ac:dyDescent="0.2">
      <c r="B3621" s="31" t="s">
        <v>4557</v>
      </c>
      <c r="C3621" s="31" t="s">
        <v>1519</v>
      </c>
      <c r="D3621" s="34">
        <v>0</v>
      </c>
      <c r="E3621" s="34"/>
      <c r="F3621" s="34">
        <v>10297.6</v>
      </c>
      <c r="G3621" s="34">
        <v>0</v>
      </c>
      <c r="H3621" s="34">
        <f t="shared" si="57"/>
        <v>10297.6</v>
      </c>
      <c r="I3621" s="34"/>
      <c r="K3621" t="s">
        <v>38</v>
      </c>
    </row>
    <row r="3622" spans="2:11" ht="16.5" x14ac:dyDescent="0.2">
      <c r="B3622" s="33" t="s">
        <v>4558</v>
      </c>
      <c r="C3622" s="33" t="s">
        <v>3535</v>
      </c>
      <c r="D3622" s="35">
        <f>SUMIFS(D3623:D9015,K3623:K9015,"0",B3623:B9015,"5 1 1 3 2 12 31111 6 M59 80100*")-SUMIFS(E3623:E9015,K3623:K9015,"0",B3623:B9015,"5 1 1 3 2 12 31111 6 M59 80100*")</f>
        <v>0</v>
      </c>
      <c r="E3622"/>
      <c r="F3622" s="35">
        <f>SUMIFS(F3623:F9015,K3623:K9015,"0",B3623:B9015,"5 1 1 3 2 12 31111 6 M59 80100*")</f>
        <v>3519.12</v>
      </c>
      <c r="G3622" s="35">
        <f>SUMIFS(G3623:G9015,K3623:K9015,"0",B3623:B9015,"5 1 1 3 2 12 31111 6 M59 80100*")</f>
        <v>0</v>
      </c>
      <c r="H3622" s="35">
        <f t="shared" si="57"/>
        <v>3519.12</v>
      </c>
      <c r="I3622" s="35"/>
      <c r="K3622" t="s">
        <v>15</v>
      </c>
    </row>
    <row r="3623" spans="2:11" ht="16.5" x14ac:dyDescent="0.2">
      <c r="B3623" s="33" t="s">
        <v>4559</v>
      </c>
      <c r="C3623" s="33" t="s">
        <v>648</v>
      </c>
      <c r="D3623" s="35">
        <f>SUMIFS(D3624:D9015,K3624:K9015,"0",B3624:B9015,"5 1 1 3 2 12 31111 6 M59 80100 000132*")-SUMIFS(E3624:E9015,K3624:K9015,"0",B3624:B9015,"5 1 1 3 2 12 31111 6 M59 80100 000132*")</f>
        <v>0</v>
      </c>
      <c r="E3623"/>
      <c r="F3623" s="35">
        <f>SUMIFS(F3624:F9015,K3624:K9015,"0",B3624:B9015,"5 1 1 3 2 12 31111 6 M59 80100 000132*")</f>
        <v>3519.12</v>
      </c>
      <c r="G3623" s="35">
        <f>SUMIFS(G3624:G9015,K3624:K9015,"0",B3624:B9015,"5 1 1 3 2 12 31111 6 M59 80100 000132*")</f>
        <v>0</v>
      </c>
      <c r="H3623" s="35">
        <f t="shared" si="57"/>
        <v>3519.12</v>
      </c>
      <c r="I3623" s="35"/>
      <c r="K3623" t="s">
        <v>15</v>
      </c>
    </row>
    <row r="3624" spans="2:11" ht="24.75" x14ac:dyDescent="0.2">
      <c r="B3624" s="33" t="s">
        <v>4560</v>
      </c>
      <c r="C3624" s="33" t="s">
        <v>650</v>
      </c>
      <c r="D3624" s="35">
        <f>SUMIFS(D3625:D9015,K3625:K9015,"0",B3625:B9015,"5 1 1 3 2 12 31111 6 M59 80100 000132 0000R*")-SUMIFS(E3625:E9015,K3625:K9015,"0",B3625:B9015,"5 1 1 3 2 12 31111 6 M59 80100 000132 0000R*")</f>
        <v>0</v>
      </c>
      <c r="E3624"/>
      <c r="F3624" s="35">
        <f>SUMIFS(F3625:F9015,K3625:K9015,"0",B3625:B9015,"5 1 1 3 2 12 31111 6 M59 80100 000132 0000R*")</f>
        <v>3519.12</v>
      </c>
      <c r="G3624" s="35">
        <f>SUMIFS(G3625:G9015,K3625:K9015,"0",B3625:B9015,"5 1 1 3 2 12 31111 6 M59 80100 000132 0000R*")</f>
        <v>0</v>
      </c>
      <c r="H3624" s="35">
        <f t="shared" si="57"/>
        <v>3519.12</v>
      </c>
      <c r="I3624" s="35"/>
      <c r="K3624" t="s">
        <v>15</v>
      </c>
    </row>
    <row r="3625" spans="2:11" ht="24.75" x14ac:dyDescent="0.2">
      <c r="B3625" s="33" t="s">
        <v>4561</v>
      </c>
      <c r="C3625" s="33" t="s">
        <v>282</v>
      </c>
      <c r="D3625" s="35">
        <f>SUMIFS(D3626:D9015,K3626:K9015,"0",B3626:B9015,"5 1 1 3 2 12 31111 6 M59 80100 000132 0000R 00001*")-SUMIFS(E3626:E9015,K3626:K9015,"0",B3626:B9015,"5 1 1 3 2 12 31111 6 M59 80100 000132 0000R 00001*")</f>
        <v>0</v>
      </c>
      <c r="E3625"/>
      <c r="F3625" s="35">
        <f>SUMIFS(F3626:F9015,K3626:K9015,"0",B3626:B9015,"5 1 1 3 2 12 31111 6 M59 80100 000132 0000R 00001*")</f>
        <v>3519.12</v>
      </c>
      <c r="G3625" s="35">
        <f>SUMIFS(G3626:G9015,K3626:K9015,"0",B3626:B9015,"5 1 1 3 2 12 31111 6 M59 80100 000132 0000R 00001*")</f>
        <v>0</v>
      </c>
      <c r="H3625" s="35">
        <f t="shared" si="57"/>
        <v>3519.12</v>
      </c>
      <c r="I3625" s="35"/>
      <c r="K3625" t="s">
        <v>15</v>
      </c>
    </row>
    <row r="3626" spans="2:11" ht="24.75" x14ac:dyDescent="0.2">
      <c r="B3626" s="33" t="s">
        <v>4562</v>
      </c>
      <c r="C3626" s="33" t="s">
        <v>4041</v>
      </c>
      <c r="D3626" s="35">
        <f>SUMIFS(D3627:D9015,K3627:K9015,"0",B3627:B9015,"5 1 1 3 2 12 31111 6 M59 80100 000132 0000R 00001 00132*")-SUMIFS(E3627:E9015,K3627:K9015,"0",B3627:B9015,"5 1 1 3 2 12 31111 6 M59 80100 000132 0000R 00001 00132*")</f>
        <v>0</v>
      </c>
      <c r="E3626"/>
      <c r="F3626" s="35">
        <f>SUMIFS(F3627:F9015,K3627:K9015,"0",B3627:B9015,"5 1 1 3 2 12 31111 6 M59 80100 000132 0000R 00001 00132*")</f>
        <v>3519.12</v>
      </c>
      <c r="G3626" s="35">
        <f>SUMIFS(G3627:G9015,K3627:K9015,"0",B3627:B9015,"5 1 1 3 2 12 31111 6 M59 80100 000132 0000R 00001 00132*")</f>
        <v>0</v>
      </c>
      <c r="H3626" s="35">
        <f t="shared" si="57"/>
        <v>3519.12</v>
      </c>
      <c r="I3626" s="35"/>
      <c r="K3626" t="s">
        <v>15</v>
      </c>
    </row>
    <row r="3627" spans="2:11" ht="33" x14ac:dyDescent="0.2">
      <c r="B3627" s="33" t="s">
        <v>4563</v>
      </c>
      <c r="C3627" s="33" t="s">
        <v>1051</v>
      </c>
      <c r="D3627" s="35">
        <f>SUMIFS(D3628:D9015,K3628:K9015,"0",B3628:B9015,"5 1 1 3 2 12 31111 6 M59 80100 000132 0000R 00001 00132 015*")-SUMIFS(E3628:E9015,K3628:K9015,"0",B3628:B9015,"5 1 1 3 2 12 31111 6 M59 80100 000132 0000R 00001 00132 015*")</f>
        <v>0</v>
      </c>
      <c r="E3627"/>
      <c r="F3627" s="35">
        <f>SUMIFS(F3628:F9015,K3628:K9015,"0",B3628:B9015,"5 1 1 3 2 12 31111 6 M59 80100 000132 0000R 00001 00132 015*")</f>
        <v>3519.12</v>
      </c>
      <c r="G3627" s="35">
        <f>SUMIFS(G3628:G9015,K3628:K9015,"0",B3628:B9015,"5 1 1 3 2 12 31111 6 M59 80100 000132 0000R 00001 00132 015*")</f>
        <v>0</v>
      </c>
      <c r="H3627" s="35">
        <f t="shared" si="57"/>
        <v>3519.12</v>
      </c>
      <c r="I3627" s="35"/>
      <c r="K3627" t="s">
        <v>15</v>
      </c>
    </row>
    <row r="3628" spans="2:11" ht="33" x14ac:dyDescent="0.2">
      <c r="B3628" s="33" t="s">
        <v>4564</v>
      </c>
      <c r="C3628" s="33" t="s">
        <v>2927</v>
      </c>
      <c r="D3628" s="35">
        <f>SUMIFS(D3629:D9015,K3629:K9015,"0",B3629:B9015,"5 1 1 3 2 12 31111 6 M59 80100 000132 0000R 00001 00132 015 2111100*")-SUMIFS(E3629:E9015,K3629:K9015,"0",B3629:B9015,"5 1 1 3 2 12 31111 6 M59 80100 000132 0000R 00001 00132 015 2111100*")</f>
        <v>0</v>
      </c>
      <c r="E3628"/>
      <c r="F3628" s="35">
        <f>SUMIFS(F3629:F9015,K3629:K9015,"0",B3629:B9015,"5 1 1 3 2 12 31111 6 M59 80100 000132 0000R 00001 00132 015 2111100*")</f>
        <v>3519.12</v>
      </c>
      <c r="G3628" s="35">
        <f>SUMIFS(G3629:G9015,K3629:K9015,"0",B3629:B9015,"5 1 1 3 2 12 31111 6 M59 80100 000132 0000R 00001 00132 015 2111100*")</f>
        <v>0</v>
      </c>
      <c r="H3628" s="35">
        <f t="shared" si="57"/>
        <v>3519.12</v>
      </c>
      <c r="I3628" s="35"/>
      <c r="K3628" t="s">
        <v>15</v>
      </c>
    </row>
    <row r="3629" spans="2:11" ht="33" x14ac:dyDescent="0.2">
      <c r="B3629" s="33" t="s">
        <v>4565</v>
      </c>
      <c r="C3629" s="33" t="s">
        <v>660</v>
      </c>
      <c r="D3629" s="35">
        <f>SUMIFS(D3630:D9015,K3630:K9015,"0",B3630:B9015,"5 1 1 3 2 12 31111 6 M59 80100 000132 0000R 00001 00132 015 2111100 2024*")-SUMIFS(E3630:E9015,K3630:K9015,"0",B3630:B9015,"5 1 1 3 2 12 31111 6 M59 80100 000132 0000R 00001 00132 015 2111100 2024*")</f>
        <v>0</v>
      </c>
      <c r="E3629"/>
      <c r="F3629" s="35">
        <f>SUMIFS(F3630:F9015,K3630:K9015,"0",B3630:B9015,"5 1 1 3 2 12 31111 6 M59 80100 000132 0000R 00001 00132 015 2111100 2024*")</f>
        <v>3519.12</v>
      </c>
      <c r="G3629" s="35">
        <f>SUMIFS(G3630:G9015,K3630:K9015,"0",B3630:B9015,"5 1 1 3 2 12 31111 6 M59 80100 000132 0000R 00001 00132 015 2111100 2024*")</f>
        <v>0</v>
      </c>
      <c r="H3629" s="35">
        <f t="shared" si="57"/>
        <v>3519.12</v>
      </c>
      <c r="I3629" s="35"/>
      <c r="K3629" t="s">
        <v>15</v>
      </c>
    </row>
    <row r="3630" spans="2:11" ht="41.25" x14ac:dyDescent="0.2">
      <c r="B3630" s="33" t="s">
        <v>4566</v>
      </c>
      <c r="C3630" s="33" t="s">
        <v>1056</v>
      </c>
      <c r="D3630" s="35">
        <f>SUMIFS(D3631:D9015,K3631:K9015,"0",B3631:B9015,"5 1 1 3 2 12 31111 6 M59 80100 000132 0000R 00001 00132 015 2111100 2024 CP1AC425*")-SUMIFS(E3631:E9015,K3631:K9015,"0",B3631:B9015,"5 1 1 3 2 12 31111 6 M59 80100 000132 0000R 00001 00132 015 2111100 2024 CP1AC425*")</f>
        <v>0</v>
      </c>
      <c r="E3630"/>
      <c r="F3630" s="35">
        <f>SUMIFS(F3631:F9015,K3631:K9015,"0",B3631:B9015,"5 1 1 3 2 12 31111 6 M59 80100 000132 0000R 00001 00132 015 2111100 2024 CP1AC425*")</f>
        <v>3519.12</v>
      </c>
      <c r="G3630" s="35">
        <f>SUMIFS(G3631:G9015,K3631:K9015,"0",B3631:B9015,"5 1 1 3 2 12 31111 6 M59 80100 000132 0000R 00001 00132 015 2111100 2024 CP1AC425*")</f>
        <v>0</v>
      </c>
      <c r="H3630" s="35">
        <f t="shared" si="57"/>
        <v>3519.12</v>
      </c>
      <c r="I3630" s="35"/>
      <c r="K3630" t="s">
        <v>15</v>
      </c>
    </row>
    <row r="3631" spans="2:11" ht="41.25" x14ac:dyDescent="0.2">
      <c r="B3631" s="33" t="s">
        <v>4567</v>
      </c>
      <c r="C3631" s="33" t="s">
        <v>282</v>
      </c>
      <c r="D3631" s="35">
        <f>SUMIFS(D3632:D9015,K3632:K9015,"0",B3632:B9015,"5 1 1 3 2 12 31111 6 M59 80100 000132 0000R 00001 00132 015 2111100 2024 CP1AC425 001*")-SUMIFS(E3632:E9015,K3632:K9015,"0",B3632:B9015,"5 1 1 3 2 12 31111 6 M59 80100 000132 0000R 00001 00132 015 2111100 2024 CP1AC425 001*")</f>
        <v>0</v>
      </c>
      <c r="E3631"/>
      <c r="F3631" s="35">
        <f>SUMIFS(F3632:F9015,K3632:K9015,"0",B3632:B9015,"5 1 1 3 2 12 31111 6 M59 80100 000132 0000R 00001 00132 015 2111100 2024 CP1AC425 001*")</f>
        <v>3519.12</v>
      </c>
      <c r="G3631" s="35">
        <f>SUMIFS(G3632:G9015,K3632:K9015,"0",B3632:B9015,"5 1 1 3 2 12 31111 6 M59 80100 000132 0000R 00001 00132 015 2111100 2024 CP1AC425 001*")</f>
        <v>0</v>
      </c>
      <c r="H3631" s="35">
        <f t="shared" si="57"/>
        <v>3519.12</v>
      </c>
      <c r="I3631" s="35"/>
      <c r="K3631" t="s">
        <v>15</v>
      </c>
    </row>
    <row r="3632" spans="2:11" ht="33" x14ac:dyDescent="0.2">
      <c r="B3632" s="31" t="s">
        <v>4568</v>
      </c>
      <c r="C3632" s="31" t="s">
        <v>1519</v>
      </c>
      <c r="D3632" s="34">
        <v>0</v>
      </c>
      <c r="E3632" s="34"/>
      <c r="F3632" s="34">
        <v>3519.12</v>
      </c>
      <c r="G3632" s="34">
        <v>0</v>
      </c>
      <c r="H3632" s="34">
        <f t="shared" si="57"/>
        <v>3519.12</v>
      </c>
      <c r="I3632" s="34"/>
      <c r="K3632" t="s">
        <v>38</v>
      </c>
    </row>
    <row r="3633" spans="2:11" ht="16.5" x14ac:dyDescent="0.2">
      <c r="B3633" s="33" t="s">
        <v>4569</v>
      </c>
      <c r="C3633" s="33" t="s">
        <v>3547</v>
      </c>
      <c r="D3633" s="35">
        <f>SUMIFS(D3634:D9015,K3634:K9015,"0",B3634:B9015,"5 1 1 3 2 12 31111 6 M59 80300*")-SUMIFS(E3634:E9015,K3634:K9015,"0",B3634:B9015,"5 1 1 3 2 12 31111 6 M59 80300*")</f>
        <v>0</v>
      </c>
      <c r="E3633"/>
      <c r="F3633" s="35">
        <f>SUMIFS(F3634:F9015,K3634:K9015,"0",B3634:B9015,"5 1 1 3 2 12 31111 6 M59 80300*")</f>
        <v>3567.81</v>
      </c>
      <c r="G3633" s="35">
        <f>SUMIFS(G3634:G9015,K3634:K9015,"0",B3634:B9015,"5 1 1 3 2 12 31111 6 M59 80300*")</f>
        <v>0</v>
      </c>
      <c r="H3633" s="35">
        <f t="shared" si="57"/>
        <v>3567.81</v>
      </c>
      <c r="I3633" s="35"/>
      <c r="K3633" t="s">
        <v>15</v>
      </c>
    </row>
    <row r="3634" spans="2:11" ht="16.5" x14ac:dyDescent="0.2">
      <c r="B3634" s="33" t="s">
        <v>4570</v>
      </c>
      <c r="C3634" s="33" t="s">
        <v>648</v>
      </c>
      <c r="D3634" s="35">
        <f>SUMIFS(D3635:D9015,K3635:K9015,"0",B3635:B9015,"5 1 1 3 2 12 31111 6 M59 80300 000132*")-SUMIFS(E3635:E9015,K3635:K9015,"0",B3635:B9015,"5 1 1 3 2 12 31111 6 M59 80300 000132*")</f>
        <v>0</v>
      </c>
      <c r="E3634"/>
      <c r="F3634" s="35">
        <f>SUMIFS(F3635:F9015,K3635:K9015,"0",B3635:B9015,"5 1 1 3 2 12 31111 6 M59 80300 000132*")</f>
        <v>3567.81</v>
      </c>
      <c r="G3634" s="35">
        <f>SUMIFS(G3635:G9015,K3635:K9015,"0",B3635:B9015,"5 1 1 3 2 12 31111 6 M59 80300 000132*")</f>
        <v>0</v>
      </c>
      <c r="H3634" s="35">
        <f t="shared" si="57"/>
        <v>3567.81</v>
      </c>
      <c r="I3634" s="35"/>
      <c r="K3634" t="s">
        <v>15</v>
      </c>
    </row>
    <row r="3635" spans="2:11" ht="24.75" x14ac:dyDescent="0.2">
      <c r="B3635" s="33" t="s">
        <v>4571</v>
      </c>
      <c r="C3635" s="33" t="s">
        <v>650</v>
      </c>
      <c r="D3635" s="35">
        <f>SUMIFS(D3636:D9015,K3636:K9015,"0",B3636:B9015,"5 1 1 3 2 12 31111 6 M59 80300 000132 0000R*")-SUMIFS(E3636:E9015,K3636:K9015,"0",B3636:B9015,"5 1 1 3 2 12 31111 6 M59 80300 000132 0000R*")</f>
        <v>0</v>
      </c>
      <c r="E3635"/>
      <c r="F3635" s="35">
        <f>SUMIFS(F3636:F9015,K3636:K9015,"0",B3636:B9015,"5 1 1 3 2 12 31111 6 M59 80300 000132 0000R*")</f>
        <v>3567.81</v>
      </c>
      <c r="G3635" s="35">
        <f>SUMIFS(G3636:G9015,K3636:K9015,"0",B3636:B9015,"5 1 1 3 2 12 31111 6 M59 80300 000132 0000R*")</f>
        <v>0</v>
      </c>
      <c r="H3635" s="35">
        <f t="shared" si="57"/>
        <v>3567.81</v>
      </c>
      <c r="I3635" s="35"/>
      <c r="K3635" t="s">
        <v>15</v>
      </c>
    </row>
    <row r="3636" spans="2:11" ht="24.75" x14ac:dyDescent="0.2">
      <c r="B3636" s="33" t="s">
        <v>4572</v>
      </c>
      <c r="C3636" s="33" t="s">
        <v>282</v>
      </c>
      <c r="D3636" s="35">
        <f>SUMIFS(D3637:D9015,K3637:K9015,"0",B3637:B9015,"5 1 1 3 2 12 31111 6 M59 80300 000132 0000R 00001*")-SUMIFS(E3637:E9015,K3637:K9015,"0",B3637:B9015,"5 1 1 3 2 12 31111 6 M59 80300 000132 0000R 00001*")</f>
        <v>0</v>
      </c>
      <c r="E3636"/>
      <c r="F3636" s="35">
        <f>SUMIFS(F3637:F9015,K3637:K9015,"0",B3637:B9015,"5 1 1 3 2 12 31111 6 M59 80300 000132 0000R 00001*")</f>
        <v>3567.81</v>
      </c>
      <c r="G3636" s="35">
        <f>SUMIFS(G3637:G9015,K3637:K9015,"0",B3637:B9015,"5 1 1 3 2 12 31111 6 M59 80300 000132 0000R 00001*")</f>
        <v>0</v>
      </c>
      <c r="H3636" s="35">
        <f t="shared" si="57"/>
        <v>3567.81</v>
      </c>
      <c r="I3636" s="35"/>
      <c r="K3636" t="s">
        <v>15</v>
      </c>
    </row>
    <row r="3637" spans="2:11" ht="24.75" x14ac:dyDescent="0.2">
      <c r="B3637" s="33" t="s">
        <v>4573</v>
      </c>
      <c r="C3637" s="33" t="s">
        <v>4041</v>
      </c>
      <c r="D3637" s="35">
        <f>SUMIFS(D3638:D9015,K3638:K9015,"0",B3638:B9015,"5 1 1 3 2 12 31111 6 M59 80300 000132 0000R 00001 00132*")-SUMIFS(E3638:E9015,K3638:K9015,"0",B3638:B9015,"5 1 1 3 2 12 31111 6 M59 80300 000132 0000R 00001 00132*")</f>
        <v>0</v>
      </c>
      <c r="E3637"/>
      <c r="F3637" s="35">
        <f>SUMIFS(F3638:F9015,K3638:K9015,"0",B3638:B9015,"5 1 1 3 2 12 31111 6 M59 80300 000132 0000R 00001 00132*")</f>
        <v>3567.81</v>
      </c>
      <c r="G3637" s="35">
        <f>SUMIFS(G3638:G9015,K3638:K9015,"0",B3638:B9015,"5 1 1 3 2 12 31111 6 M59 80300 000132 0000R 00001 00132*")</f>
        <v>0</v>
      </c>
      <c r="H3637" s="35">
        <f t="shared" si="57"/>
        <v>3567.81</v>
      </c>
      <c r="I3637" s="35"/>
      <c r="K3637" t="s">
        <v>15</v>
      </c>
    </row>
    <row r="3638" spans="2:11" ht="33" x14ac:dyDescent="0.2">
      <c r="B3638" s="33" t="s">
        <v>4574</v>
      </c>
      <c r="C3638" s="33" t="s">
        <v>1051</v>
      </c>
      <c r="D3638" s="35">
        <f>SUMIFS(D3639:D9015,K3639:K9015,"0",B3639:B9015,"5 1 1 3 2 12 31111 6 M59 80300 000132 0000R 00001 00132 015*")-SUMIFS(E3639:E9015,K3639:K9015,"0",B3639:B9015,"5 1 1 3 2 12 31111 6 M59 80300 000132 0000R 00001 00132 015*")</f>
        <v>0</v>
      </c>
      <c r="E3638"/>
      <c r="F3638" s="35">
        <f>SUMIFS(F3639:F9015,K3639:K9015,"0",B3639:B9015,"5 1 1 3 2 12 31111 6 M59 80300 000132 0000R 00001 00132 015*")</f>
        <v>3567.81</v>
      </c>
      <c r="G3638" s="35">
        <f>SUMIFS(G3639:G9015,K3639:K9015,"0",B3639:B9015,"5 1 1 3 2 12 31111 6 M59 80300 000132 0000R 00001 00132 015*")</f>
        <v>0</v>
      </c>
      <c r="H3638" s="35">
        <f t="shared" si="57"/>
        <v>3567.81</v>
      </c>
      <c r="I3638" s="35"/>
      <c r="K3638" t="s">
        <v>15</v>
      </c>
    </row>
    <row r="3639" spans="2:11" ht="33" x14ac:dyDescent="0.2">
      <c r="B3639" s="33" t="s">
        <v>4575</v>
      </c>
      <c r="C3639" s="33" t="s">
        <v>2927</v>
      </c>
      <c r="D3639" s="35">
        <f>SUMIFS(D3640:D9015,K3640:K9015,"0",B3640:B9015,"5 1 1 3 2 12 31111 6 M59 80300 000132 0000R 00001 00132 015 2111100*")-SUMIFS(E3640:E9015,K3640:K9015,"0",B3640:B9015,"5 1 1 3 2 12 31111 6 M59 80300 000132 0000R 00001 00132 015 2111100*")</f>
        <v>0</v>
      </c>
      <c r="E3639"/>
      <c r="F3639" s="35">
        <f>SUMIFS(F3640:F9015,K3640:K9015,"0",B3640:B9015,"5 1 1 3 2 12 31111 6 M59 80300 000132 0000R 00001 00132 015 2111100*")</f>
        <v>3567.81</v>
      </c>
      <c r="G3639" s="35">
        <f>SUMIFS(G3640:G9015,K3640:K9015,"0",B3640:B9015,"5 1 1 3 2 12 31111 6 M59 80300 000132 0000R 00001 00132 015 2111100*")</f>
        <v>0</v>
      </c>
      <c r="H3639" s="35">
        <f t="shared" si="57"/>
        <v>3567.81</v>
      </c>
      <c r="I3639" s="35"/>
      <c r="K3639" t="s">
        <v>15</v>
      </c>
    </row>
    <row r="3640" spans="2:11" ht="33" x14ac:dyDescent="0.2">
      <c r="B3640" s="33" t="s">
        <v>4576</v>
      </c>
      <c r="C3640" s="33" t="s">
        <v>660</v>
      </c>
      <c r="D3640" s="35">
        <f>SUMIFS(D3641:D9015,K3641:K9015,"0",B3641:B9015,"5 1 1 3 2 12 31111 6 M59 80300 000132 0000R 00001 00132 015 2111100 2024*")-SUMIFS(E3641:E9015,K3641:K9015,"0",B3641:B9015,"5 1 1 3 2 12 31111 6 M59 80300 000132 0000R 00001 00132 015 2111100 2024*")</f>
        <v>0</v>
      </c>
      <c r="E3640"/>
      <c r="F3640" s="35">
        <f>SUMIFS(F3641:F9015,K3641:K9015,"0",B3641:B9015,"5 1 1 3 2 12 31111 6 M59 80300 000132 0000R 00001 00132 015 2111100 2024*")</f>
        <v>3567.81</v>
      </c>
      <c r="G3640" s="35">
        <f>SUMIFS(G3641:G9015,K3641:K9015,"0",B3641:B9015,"5 1 1 3 2 12 31111 6 M59 80300 000132 0000R 00001 00132 015 2111100 2024*")</f>
        <v>0</v>
      </c>
      <c r="H3640" s="35">
        <f t="shared" si="57"/>
        <v>3567.81</v>
      </c>
      <c r="I3640" s="35"/>
      <c r="K3640" t="s">
        <v>15</v>
      </c>
    </row>
    <row r="3641" spans="2:11" ht="41.25" x14ac:dyDescent="0.2">
      <c r="B3641" s="33" t="s">
        <v>4577</v>
      </c>
      <c r="C3641" s="33" t="s">
        <v>1056</v>
      </c>
      <c r="D3641" s="35">
        <f>SUMIFS(D3642:D9015,K3642:K9015,"0",B3642:B9015,"5 1 1 3 2 12 31111 6 M59 80300 000132 0000R 00001 00132 015 2111100 2024 CP1GA414*")-SUMIFS(E3642:E9015,K3642:K9015,"0",B3642:B9015,"5 1 1 3 2 12 31111 6 M59 80300 000132 0000R 00001 00132 015 2111100 2024 CP1GA414*")</f>
        <v>0</v>
      </c>
      <c r="E3641"/>
      <c r="F3641" s="35">
        <f>SUMIFS(F3642:F9015,K3642:K9015,"0",B3642:B9015,"5 1 1 3 2 12 31111 6 M59 80300 000132 0000R 00001 00132 015 2111100 2024 CP1GA414*")</f>
        <v>3567.81</v>
      </c>
      <c r="G3641" s="35">
        <f>SUMIFS(G3642:G9015,K3642:K9015,"0",B3642:B9015,"5 1 1 3 2 12 31111 6 M59 80300 000132 0000R 00001 00132 015 2111100 2024 CP1GA414*")</f>
        <v>0</v>
      </c>
      <c r="H3641" s="35">
        <f t="shared" si="57"/>
        <v>3567.81</v>
      </c>
      <c r="I3641" s="35"/>
      <c r="K3641" t="s">
        <v>15</v>
      </c>
    </row>
    <row r="3642" spans="2:11" ht="41.25" x14ac:dyDescent="0.2">
      <c r="B3642" s="33" t="s">
        <v>4578</v>
      </c>
      <c r="C3642" s="33" t="s">
        <v>282</v>
      </c>
      <c r="D3642" s="35">
        <f>SUMIFS(D3643:D9015,K3643:K9015,"0",B3643:B9015,"5 1 1 3 2 12 31111 6 M59 80300 000132 0000R 00001 00132 015 2111100 2024 CP1GA414 001*")-SUMIFS(E3643:E9015,K3643:K9015,"0",B3643:B9015,"5 1 1 3 2 12 31111 6 M59 80300 000132 0000R 00001 00132 015 2111100 2024 CP1GA414 001*")</f>
        <v>0</v>
      </c>
      <c r="E3642"/>
      <c r="F3642" s="35">
        <f>SUMIFS(F3643:F9015,K3643:K9015,"0",B3643:B9015,"5 1 1 3 2 12 31111 6 M59 80300 000132 0000R 00001 00132 015 2111100 2024 CP1GA414 001*")</f>
        <v>3567.81</v>
      </c>
      <c r="G3642" s="35">
        <f>SUMIFS(G3643:G9015,K3643:K9015,"0",B3643:B9015,"5 1 1 3 2 12 31111 6 M59 80300 000132 0000R 00001 00132 015 2111100 2024 CP1GA414 001*")</f>
        <v>0</v>
      </c>
      <c r="H3642" s="35">
        <f t="shared" si="57"/>
        <v>3567.81</v>
      </c>
      <c r="I3642" s="35"/>
      <c r="K3642" t="s">
        <v>15</v>
      </c>
    </row>
    <row r="3643" spans="2:11" ht="41.25" x14ac:dyDescent="0.2">
      <c r="B3643" s="31" t="s">
        <v>4579</v>
      </c>
      <c r="C3643" s="31" t="s">
        <v>1519</v>
      </c>
      <c r="D3643" s="34">
        <v>0</v>
      </c>
      <c r="E3643" s="34"/>
      <c r="F3643" s="34">
        <v>3567.81</v>
      </c>
      <c r="G3643" s="34">
        <v>0</v>
      </c>
      <c r="H3643" s="34">
        <f t="shared" si="57"/>
        <v>3567.81</v>
      </c>
      <c r="I3643" s="34"/>
      <c r="K3643" t="s">
        <v>38</v>
      </c>
    </row>
    <row r="3644" spans="2:11" ht="16.5" x14ac:dyDescent="0.2">
      <c r="B3644" s="33" t="s">
        <v>4580</v>
      </c>
      <c r="C3644" s="33" t="s">
        <v>3559</v>
      </c>
      <c r="D3644" s="35">
        <f>SUMIFS(D3645:D9015,K3645:K9015,"0",B3645:B9015,"5 1 1 3 2 12 31111 6 M59 80400*")-SUMIFS(E3645:E9015,K3645:K9015,"0",B3645:B9015,"5 1 1 3 2 12 31111 6 M59 80400*")</f>
        <v>0</v>
      </c>
      <c r="E3644"/>
      <c r="F3644" s="35">
        <f>SUMIFS(F3645:F9015,K3645:K9015,"0",B3645:B9015,"5 1 1 3 2 12 31111 6 M59 80400*")</f>
        <v>16549.63</v>
      </c>
      <c r="G3644" s="35">
        <f>SUMIFS(G3645:G9015,K3645:K9015,"0",B3645:B9015,"5 1 1 3 2 12 31111 6 M59 80400*")</f>
        <v>0</v>
      </c>
      <c r="H3644" s="35">
        <f t="shared" si="57"/>
        <v>16549.63</v>
      </c>
      <c r="I3644" s="35"/>
      <c r="K3644" t="s">
        <v>15</v>
      </c>
    </row>
    <row r="3645" spans="2:11" ht="16.5" x14ac:dyDescent="0.2">
      <c r="B3645" s="33" t="s">
        <v>4581</v>
      </c>
      <c r="C3645" s="33" t="s">
        <v>648</v>
      </c>
      <c r="D3645" s="35">
        <f>SUMIFS(D3646:D9015,K3646:K9015,"0",B3646:B9015,"5 1 1 3 2 12 31111 6 M59 80400 000132*")-SUMIFS(E3646:E9015,K3646:K9015,"0",B3646:B9015,"5 1 1 3 2 12 31111 6 M59 80400 000132*")</f>
        <v>0</v>
      </c>
      <c r="E3645"/>
      <c r="F3645" s="35">
        <f>SUMIFS(F3646:F9015,K3646:K9015,"0",B3646:B9015,"5 1 1 3 2 12 31111 6 M59 80400 000132*")</f>
        <v>16549.63</v>
      </c>
      <c r="G3645" s="35">
        <f>SUMIFS(G3646:G9015,K3646:K9015,"0",B3646:B9015,"5 1 1 3 2 12 31111 6 M59 80400 000132*")</f>
        <v>0</v>
      </c>
      <c r="H3645" s="35">
        <f t="shared" si="57"/>
        <v>16549.63</v>
      </c>
      <c r="I3645" s="35"/>
      <c r="K3645" t="s">
        <v>15</v>
      </c>
    </row>
    <row r="3646" spans="2:11" ht="24.75" x14ac:dyDescent="0.2">
      <c r="B3646" s="33" t="s">
        <v>4582</v>
      </c>
      <c r="C3646" s="33" t="s">
        <v>650</v>
      </c>
      <c r="D3646" s="35">
        <f>SUMIFS(D3647:D9015,K3647:K9015,"0",B3647:B9015,"5 1 1 3 2 12 31111 6 M59 80400 000132 0000R*")-SUMIFS(E3647:E9015,K3647:K9015,"0",B3647:B9015,"5 1 1 3 2 12 31111 6 M59 80400 000132 0000R*")</f>
        <v>0</v>
      </c>
      <c r="E3646"/>
      <c r="F3646" s="35">
        <f>SUMIFS(F3647:F9015,K3647:K9015,"0",B3647:B9015,"5 1 1 3 2 12 31111 6 M59 80400 000132 0000R*")</f>
        <v>16549.63</v>
      </c>
      <c r="G3646" s="35">
        <f>SUMIFS(G3647:G9015,K3647:K9015,"0",B3647:B9015,"5 1 1 3 2 12 31111 6 M59 80400 000132 0000R*")</f>
        <v>0</v>
      </c>
      <c r="H3646" s="35">
        <f t="shared" si="57"/>
        <v>16549.63</v>
      </c>
      <c r="I3646" s="35"/>
      <c r="K3646" t="s">
        <v>15</v>
      </c>
    </row>
    <row r="3647" spans="2:11" ht="24.75" x14ac:dyDescent="0.2">
      <c r="B3647" s="33" t="s">
        <v>4583</v>
      </c>
      <c r="C3647" s="33" t="s">
        <v>282</v>
      </c>
      <c r="D3647" s="35">
        <f>SUMIFS(D3648:D9015,K3648:K9015,"0",B3648:B9015,"5 1 1 3 2 12 31111 6 M59 80400 000132 0000R 00001*")-SUMIFS(E3648:E9015,K3648:K9015,"0",B3648:B9015,"5 1 1 3 2 12 31111 6 M59 80400 000132 0000R 00001*")</f>
        <v>0</v>
      </c>
      <c r="E3647"/>
      <c r="F3647" s="35">
        <f>SUMIFS(F3648:F9015,K3648:K9015,"0",B3648:B9015,"5 1 1 3 2 12 31111 6 M59 80400 000132 0000R 00001*")</f>
        <v>16549.63</v>
      </c>
      <c r="G3647" s="35">
        <f>SUMIFS(G3648:G9015,K3648:K9015,"0",B3648:B9015,"5 1 1 3 2 12 31111 6 M59 80400 000132 0000R 00001*")</f>
        <v>0</v>
      </c>
      <c r="H3647" s="35">
        <f t="shared" si="57"/>
        <v>16549.63</v>
      </c>
      <c r="I3647" s="35"/>
      <c r="K3647" t="s">
        <v>15</v>
      </c>
    </row>
    <row r="3648" spans="2:11" ht="24.75" x14ac:dyDescent="0.2">
      <c r="B3648" s="33" t="s">
        <v>4584</v>
      </c>
      <c r="C3648" s="33" t="s">
        <v>4041</v>
      </c>
      <c r="D3648" s="35">
        <f>SUMIFS(D3649:D9015,K3649:K9015,"0",B3649:B9015,"5 1 1 3 2 12 31111 6 M59 80400 000132 0000R 00001 00132*")-SUMIFS(E3649:E9015,K3649:K9015,"0",B3649:B9015,"5 1 1 3 2 12 31111 6 M59 80400 000132 0000R 00001 00132*")</f>
        <v>0</v>
      </c>
      <c r="E3648"/>
      <c r="F3648" s="35">
        <f>SUMIFS(F3649:F9015,K3649:K9015,"0",B3649:B9015,"5 1 1 3 2 12 31111 6 M59 80400 000132 0000R 00001 00132*")</f>
        <v>16549.63</v>
      </c>
      <c r="G3648" s="35">
        <f>SUMIFS(G3649:G9015,K3649:K9015,"0",B3649:B9015,"5 1 1 3 2 12 31111 6 M59 80400 000132 0000R 00001 00132*")</f>
        <v>0</v>
      </c>
      <c r="H3648" s="35">
        <f t="shared" si="57"/>
        <v>16549.63</v>
      </c>
      <c r="I3648" s="35"/>
      <c r="K3648" t="s">
        <v>15</v>
      </c>
    </row>
    <row r="3649" spans="2:11" ht="33" x14ac:dyDescent="0.2">
      <c r="B3649" s="33" t="s">
        <v>4585</v>
      </c>
      <c r="C3649" s="33" t="s">
        <v>1051</v>
      </c>
      <c r="D3649" s="35">
        <f>SUMIFS(D3650:D9015,K3650:K9015,"0",B3650:B9015,"5 1 1 3 2 12 31111 6 M59 80400 000132 0000R 00001 00132 015*")-SUMIFS(E3650:E9015,K3650:K9015,"0",B3650:B9015,"5 1 1 3 2 12 31111 6 M59 80400 000132 0000R 00001 00132 015*")</f>
        <v>0</v>
      </c>
      <c r="E3649"/>
      <c r="F3649" s="35">
        <f>SUMIFS(F3650:F9015,K3650:K9015,"0",B3650:B9015,"5 1 1 3 2 12 31111 6 M59 80400 000132 0000R 00001 00132 015*")</f>
        <v>16549.63</v>
      </c>
      <c r="G3649" s="35">
        <f>SUMIFS(G3650:G9015,K3650:K9015,"0",B3650:B9015,"5 1 1 3 2 12 31111 6 M59 80400 000132 0000R 00001 00132 015*")</f>
        <v>0</v>
      </c>
      <c r="H3649" s="35">
        <f t="shared" si="57"/>
        <v>16549.63</v>
      </c>
      <c r="I3649" s="35"/>
      <c r="K3649" t="s">
        <v>15</v>
      </c>
    </row>
    <row r="3650" spans="2:11" ht="33" x14ac:dyDescent="0.2">
      <c r="B3650" s="33" t="s">
        <v>4586</v>
      </c>
      <c r="C3650" s="33" t="s">
        <v>2927</v>
      </c>
      <c r="D3650" s="35">
        <f>SUMIFS(D3651:D9015,K3651:K9015,"0",B3651:B9015,"5 1 1 3 2 12 31111 6 M59 80400 000132 0000R 00001 00132 015 2111100*")-SUMIFS(E3651:E9015,K3651:K9015,"0",B3651:B9015,"5 1 1 3 2 12 31111 6 M59 80400 000132 0000R 00001 00132 015 2111100*")</f>
        <v>0</v>
      </c>
      <c r="E3650"/>
      <c r="F3650" s="35">
        <f>SUMIFS(F3651:F9015,K3651:K9015,"0",B3651:B9015,"5 1 1 3 2 12 31111 6 M59 80400 000132 0000R 00001 00132 015 2111100*")</f>
        <v>16549.63</v>
      </c>
      <c r="G3650" s="35">
        <f>SUMIFS(G3651:G9015,K3651:K9015,"0",B3651:B9015,"5 1 1 3 2 12 31111 6 M59 80400 000132 0000R 00001 00132 015 2111100*")</f>
        <v>0</v>
      </c>
      <c r="H3650" s="35">
        <f t="shared" si="57"/>
        <v>16549.63</v>
      </c>
      <c r="I3650" s="35"/>
      <c r="K3650" t="s">
        <v>15</v>
      </c>
    </row>
    <row r="3651" spans="2:11" ht="33" x14ac:dyDescent="0.2">
      <c r="B3651" s="33" t="s">
        <v>4587</v>
      </c>
      <c r="C3651" s="33" t="s">
        <v>660</v>
      </c>
      <c r="D3651" s="35">
        <f>SUMIFS(D3652:D9015,K3652:K9015,"0",B3652:B9015,"5 1 1 3 2 12 31111 6 M59 80400 000132 0000R 00001 00132 015 2111100 2024*")-SUMIFS(E3652:E9015,K3652:K9015,"0",B3652:B9015,"5 1 1 3 2 12 31111 6 M59 80400 000132 0000R 00001 00132 015 2111100 2024*")</f>
        <v>0</v>
      </c>
      <c r="E3651"/>
      <c r="F3651" s="35">
        <f>SUMIFS(F3652:F9015,K3652:K9015,"0",B3652:B9015,"5 1 1 3 2 12 31111 6 M59 80400 000132 0000R 00001 00132 015 2111100 2024*")</f>
        <v>16549.63</v>
      </c>
      <c r="G3651" s="35">
        <f>SUMIFS(G3652:G9015,K3652:K9015,"0",B3652:B9015,"5 1 1 3 2 12 31111 6 M59 80400 000132 0000R 00001 00132 015 2111100 2024*")</f>
        <v>0</v>
      </c>
      <c r="H3651" s="35">
        <f t="shared" si="57"/>
        <v>16549.63</v>
      </c>
      <c r="I3651" s="35"/>
      <c r="K3651" t="s">
        <v>15</v>
      </c>
    </row>
    <row r="3652" spans="2:11" ht="41.25" x14ac:dyDescent="0.2">
      <c r="B3652" s="33" t="s">
        <v>4588</v>
      </c>
      <c r="C3652" s="33" t="s">
        <v>1056</v>
      </c>
      <c r="D3652" s="35">
        <f>SUMIFS(D3653:D9015,K3653:K9015,"0",B3653:B9015,"5 1 1 3 2 12 31111 6 M59 80400 000132 0000R 00001 00132 015 2111100 2024 CP1DP403*")-SUMIFS(E3653:E9015,K3653:K9015,"0",B3653:B9015,"5 1 1 3 2 12 31111 6 M59 80400 000132 0000R 00001 00132 015 2111100 2024 CP1DP403*")</f>
        <v>0</v>
      </c>
      <c r="E3652"/>
      <c r="F3652" s="35">
        <f>SUMIFS(F3653:F9015,K3653:K9015,"0",B3653:B9015,"5 1 1 3 2 12 31111 6 M59 80400 000132 0000R 00001 00132 015 2111100 2024 CP1DP403*")</f>
        <v>16549.63</v>
      </c>
      <c r="G3652" s="35">
        <f>SUMIFS(G3653:G9015,K3653:K9015,"0",B3653:B9015,"5 1 1 3 2 12 31111 6 M59 80400 000132 0000R 00001 00132 015 2111100 2024 CP1DP403*")</f>
        <v>0</v>
      </c>
      <c r="H3652" s="35">
        <f t="shared" ref="H3652:H3715" si="58">D3652 + F3652 - G3652</f>
        <v>16549.63</v>
      </c>
      <c r="I3652" s="35"/>
      <c r="K3652" t="s">
        <v>15</v>
      </c>
    </row>
    <row r="3653" spans="2:11" ht="41.25" x14ac:dyDescent="0.2">
      <c r="B3653" s="33" t="s">
        <v>4589</v>
      </c>
      <c r="C3653" s="33" t="s">
        <v>282</v>
      </c>
      <c r="D3653" s="35">
        <f>SUMIFS(D3654:D9015,K3654:K9015,"0",B3654:B9015,"5 1 1 3 2 12 31111 6 M59 80400 000132 0000R 00001 00132 015 2111100 2024 CP1DP403 001*")-SUMIFS(E3654:E9015,K3654:K9015,"0",B3654:B9015,"5 1 1 3 2 12 31111 6 M59 80400 000132 0000R 00001 00132 015 2111100 2024 CP1DP403 001*")</f>
        <v>0</v>
      </c>
      <c r="E3653"/>
      <c r="F3653" s="35">
        <f>SUMIFS(F3654:F9015,K3654:K9015,"0",B3654:B9015,"5 1 1 3 2 12 31111 6 M59 80400 000132 0000R 00001 00132 015 2111100 2024 CP1DP403 001*")</f>
        <v>16549.63</v>
      </c>
      <c r="G3653" s="35">
        <f>SUMIFS(G3654:G9015,K3654:K9015,"0",B3654:B9015,"5 1 1 3 2 12 31111 6 M59 80400 000132 0000R 00001 00132 015 2111100 2024 CP1DP403 001*")</f>
        <v>0</v>
      </c>
      <c r="H3653" s="35">
        <f t="shared" si="58"/>
        <v>16549.63</v>
      </c>
      <c r="I3653" s="35"/>
      <c r="K3653" t="s">
        <v>15</v>
      </c>
    </row>
    <row r="3654" spans="2:11" ht="41.25" x14ac:dyDescent="0.2">
      <c r="B3654" s="31" t="s">
        <v>4590</v>
      </c>
      <c r="C3654" s="31" t="s">
        <v>1519</v>
      </c>
      <c r="D3654" s="34">
        <v>0</v>
      </c>
      <c r="E3654" s="34"/>
      <c r="F3654" s="34">
        <v>14693.64</v>
      </c>
      <c r="G3654" s="34">
        <v>0</v>
      </c>
      <c r="H3654" s="34">
        <f t="shared" si="58"/>
        <v>14693.64</v>
      </c>
      <c r="I3654" s="34"/>
      <c r="K3654" t="s">
        <v>38</v>
      </c>
    </row>
    <row r="3655" spans="2:11" ht="41.25" x14ac:dyDescent="0.2">
      <c r="B3655" s="31" t="s">
        <v>4591</v>
      </c>
      <c r="C3655" s="31" t="s">
        <v>4071</v>
      </c>
      <c r="D3655" s="34">
        <v>0</v>
      </c>
      <c r="E3655" s="34"/>
      <c r="F3655" s="34">
        <v>1855.99</v>
      </c>
      <c r="G3655" s="34">
        <v>0</v>
      </c>
      <c r="H3655" s="34">
        <f t="shared" si="58"/>
        <v>1855.99</v>
      </c>
      <c r="I3655" s="34"/>
      <c r="K3655" t="s">
        <v>38</v>
      </c>
    </row>
    <row r="3656" spans="2:11" ht="24.75" x14ac:dyDescent="0.2">
      <c r="B3656" s="33" t="s">
        <v>4592</v>
      </c>
      <c r="C3656" s="33" t="s">
        <v>3571</v>
      </c>
      <c r="D3656" s="35">
        <f>SUMIFS(D3657:D9015,K3657:K9015,"0",B3657:B9015,"5 1 1 3 2 12 31111 6 M59 80500*")-SUMIFS(E3657:E9015,K3657:K9015,"0",B3657:B9015,"5 1 1 3 2 12 31111 6 M59 80500*")</f>
        <v>0</v>
      </c>
      <c r="E3656"/>
      <c r="F3656" s="35">
        <f>SUMIFS(F3657:F9015,K3657:K9015,"0",B3657:B9015,"5 1 1 3 2 12 31111 6 M59 80500*")</f>
        <v>27665.920000000002</v>
      </c>
      <c r="G3656" s="35">
        <f>SUMIFS(G3657:G9015,K3657:K9015,"0",B3657:B9015,"5 1 1 3 2 12 31111 6 M59 80500*")</f>
        <v>0</v>
      </c>
      <c r="H3656" s="35">
        <f t="shared" si="58"/>
        <v>27665.920000000002</v>
      </c>
      <c r="I3656" s="35"/>
      <c r="K3656" t="s">
        <v>15</v>
      </c>
    </row>
    <row r="3657" spans="2:11" ht="16.5" x14ac:dyDescent="0.2">
      <c r="B3657" s="33" t="s">
        <v>4593</v>
      </c>
      <c r="C3657" s="33" t="s">
        <v>3573</v>
      </c>
      <c r="D3657" s="35">
        <f>SUMIFS(D3658:D9015,K3658:K9015,"0",B3658:B9015,"5 1 1 3 2 12 31111 6 M59 80500 000216*")-SUMIFS(E3658:E9015,K3658:K9015,"0",B3658:B9015,"5 1 1 3 2 12 31111 6 M59 80500 000216*")</f>
        <v>0</v>
      </c>
      <c r="E3657"/>
      <c r="F3657" s="35">
        <f>SUMIFS(F3658:F9015,K3658:K9015,"0",B3658:B9015,"5 1 1 3 2 12 31111 6 M59 80500 000216*")</f>
        <v>27665.920000000002</v>
      </c>
      <c r="G3657" s="35">
        <f>SUMIFS(G3658:G9015,K3658:K9015,"0",B3658:B9015,"5 1 1 3 2 12 31111 6 M59 80500 000216*")</f>
        <v>0</v>
      </c>
      <c r="H3657" s="35">
        <f t="shared" si="58"/>
        <v>27665.920000000002</v>
      </c>
      <c r="I3657" s="35"/>
      <c r="K3657" t="s">
        <v>15</v>
      </c>
    </row>
    <row r="3658" spans="2:11" ht="24.75" x14ac:dyDescent="0.2">
      <c r="B3658" s="33" t="s">
        <v>4594</v>
      </c>
      <c r="C3658" s="33" t="s">
        <v>650</v>
      </c>
      <c r="D3658" s="35">
        <f>SUMIFS(D3659:D9015,K3659:K9015,"0",B3659:B9015,"5 1 1 3 2 12 31111 6 M59 80500 000216 0000R*")-SUMIFS(E3659:E9015,K3659:K9015,"0",B3659:B9015,"5 1 1 3 2 12 31111 6 M59 80500 000216 0000R*")</f>
        <v>0</v>
      </c>
      <c r="E3658"/>
      <c r="F3658" s="35">
        <f>SUMIFS(F3659:F9015,K3659:K9015,"0",B3659:B9015,"5 1 1 3 2 12 31111 6 M59 80500 000216 0000R*")</f>
        <v>27665.920000000002</v>
      </c>
      <c r="G3658" s="35">
        <f>SUMIFS(G3659:G9015,K3659:K9015,"0",B3659:B9015,"5 1 1 3 2 12 31111 6 M59 80500 000216 0000R*")</f>
        <v>0</v>
      </c>
      <c r="H3658" s="35">
        <f t="shared" si="58"/>
        <v>27665.920000000002</v>
      </c>
      <c r="I3658" s="35"/>
      <c r="K3658" t="s">
        <v>15</v>
      </c>
    </row>
    <row r="3659" spans="2:11" ht="24.75" x14ac:dyDescent="0.2">
      <c r="B3659" s="33" t="s">
        <v>4595</v>
      </c>
      <c r="C3659" s="33" t="s">
        <v>282</v>
      </c>
      <c r="D3659" s="35">
        <f>SUMIFS(D3660:D9015,K3660:K9015,"0",B3660:B9015,"5 1 1 3 2 12 31111 6 M59 80500 000216 0000R 00001*")-SUMIFS(E3660:E9015,K3660:K9015,"0",B3660:B9015,"5 1 1 3 2 12 31111 6 M59 80500 000216 0000R 00001*")</f>
        <v>0</v>
      </c>
      <c r="E3659"/>
      <c r="F3659" s="35">
        <f>SUMIFS(F3660:F9015,K3660:K9015,"0",B3660:B9015,"5 1 1 3 2 12 31111 6 M59 80500 000216 0000R 00001*")</f>
        <v>27665.920000000002</v>
      </c>
      <c r="G3659" s="35">
        <f>SUMIFS(G3660:G9015,K3660:K9015,"0",B3660:B9015,"5 1 1 3 2 12 31111 6 M59 80500 000216 0000R 00001*")</f>
        <v>0</v>
      </c>
      <c r="H3659" s="35">
        <f t="shared" si="58"/>
        <v>27665.920000000002</v>
      </c>
      <c r="I3659" s="35"/>
      <c r="K3659" t="s">
        <v>15</v>
      </c>
    </row>
    <row r="3660" spans="2:11" ht="24.75" x14ac:dyDescent="0.2">
      <c r="B3660" s="33" t="s">
        <v>4596</v>
      </c>
      <c r="C3660" s="33" t="s">
        <v>4041</v>
      </c>
      <c r="D3660" s="35">
        <f>SUMIFS(D3661:D9015,K3661:K9015,"0",B3661:B9015,"5 1 1 3 2 12 31111 6 M59 80500 000216 0000R 00001 00132*")-SUMIFS(E3661:E9015,K3661:K9015,"0",B3661:B9015,"5 1 1 3 2 12 31111 6 M59 80500 000216 0000R 00001 00132*")</f>
        <v>0</v>
      </c>
      <c r="E3660"/>
      <c r="F3660" s="35">
        <f>SUMIFS(F3661:F9015,K3661:K9015,"0",B3661:B9015,"5 1 1 3 2 12 31111 6 M59 80500 000216 0000R 00001 00132*")</f>
        <v>27665.920000000002</v>
      </c>
      <c r="G3660" s="35">
        <f>SUMIFS(G3661:G9015,K3661:K9015,"0",B3661:B9015,"5 1 1 3 2 12 31111 6 M59 80500 000216 0000R 00001 00132*")</f>
        <v>0</v>
      </c>
      <c r="H3660" s="35">
        <f t="shared" si="58"/>
        <v>27665.920000000002</v>
      </c>
      <c r="I3660" s="35"/>
      <c r="K3660" t="s">
        <v>15</v>
      </c>
    </row>
    <row r="3661" spans="2:11" ht="33" x14ac:dyDescent="0.2">
      <c r="B3661" s="33" t="s">
        <v>4597</v>
      </c>
      <c r="C3661" s="33" t="s">
        <v>1051</v>
      </c>
      <c r="D3661" s="35">
        <f>SUMIFS(D3662:D9015,K3662:K9015,"0",B3662:B9015,"5 1 1 3 2 12 31111 6 M59 80500 000216 0000R 00001 00132 015*")-SUMIFS(E3662:E9015,K3662:K9015,"0",B3662:B9015,"5 1 1 3 2 12 31111 6 M59 80500 000216 0000R 00001 00132 015*")</f>
        <v>0</v>
      </c>
      <c r="E3661"/>
      <c r="F3661" s="35">
        <f>SUMIFS(F3662:F9015,K3662:K9015,"0",B3662:B9015,"5 1 1 3 2 12 31111 6 M59 80500 000216 0000R 00001 00132 015*")</f>
        <v>27665.920000000002</v>
      </c>
      <c r="G3661" s="35">
        <f>SUMIFS(G3662:G9015,K3662:K9015,"0",B3662:B9015,"5 1 1 3 2 12 31111 6 M59 80500 000216 0000R 00001 00132 015*")</f>
        <v>0</v>
      </c>
      <c r="H3661" s="35">
        <f t="shared" si="58"/>
        <v>27665.920000000002</v>
      </c>
      <c r="I3661" s="35"/>
      <c r="K3661" t="s">
        <v>15</v>
      </c>
    </row>
    <row r="3662" spans="2:11" ht="33" x14ac:dyDescent="0.2">
      <c r="B3662" s="33" t="s">
        <v>4598</v>
      </c>
      <c r="C3662" s="33" t="s">
        <v>2927</v>
      </c>
      <c r="D3662" s="35">
        <f>SUMIFS(D3663:D9015,K3663:K9015,"0",B3663:B9015,"5 1 1 3 2 12 31111 6 M59 80500 000216 0000R 00001 00132 015 2111100*")-SUMIFS(E3663:E9015,K3663:K9015,"0",B3663:B9015,"5 1 1 3 2 12 31111 6 M59 80500 000216 0000R 00001 00132 015 2111100*")</f>
        <v>0</v>
      </c>
      <c r="E3662"/>
      <c r="F3662" s="35">
        <f>SUMIFS(F3663:F9015,K3663:K9015,"0",B3663:B9015,"5 1 1 3 2 12 31111 6 M59 80500 000216 0000R 00001 00132 015 2111100*")</f>
        <v>27665.920000000002</v>
      </c>
      <c r="G3662" s="35">
        <f>SUMIFS(G3663:G9015,K3663:K9015,"0",B3663:B9015,"5 1 1 3 2 12 31111 6 M59 80500 000216 0000R 00001 00132 015 2111100*")</f>
        <v>0</v>
      </c>
      <c r="H3662" s="35">
        <f t="shared" si="58"/>
        <v>27665.920000000002</v>
      </c>
      <c r="I3662" s="35"/>
      <c r="K3662" t="s">
        <v>15</v>
      </c>
    </row>
    <row r="3663" spans="2:11" ht="33" x14ac:dyDescent="0.2">
      <c r="B3663" s="33" t="s">
        <v>4599</v>
      </c>
      <c r="C3663" s="33" t="s">
        <v>660</v>
      </c>
      <c r="D3663" s="35">
        <f>SUMIFS(D3664:D9015,K3664:K9015,"0",B3664:B9015,"5 1 1 3 2 12 31111 6 M59 80500 000216 0000R 00001 00132 015 2111100 2024*")-SUMIFS(E3664:E9015,K3664:K9015,"0",B3664:B9015,"5 1 1 3 2 12 31111 6 M59 80500 000216 0000R 00001 00132 015 2111100 2024*")</f>
        <v>0</v>
      </c>
      <c r="E3663"/>
      <c r="F3663" s="35">
        <f>SUMIFS(F3664:F9015,K3664:K9015,"0",B3664:B9015,"5 1 1 3 2 12 31111 6 M59 80500 000216 0000R 00001 00132 015 2111100 2024*")</f>
        <v>27665.920000000002</v>
      </c>
      <c r="G3663" s="35">
        <f>SUMIFS(G3664:G9015,K3664:K9015,"0",B3664:B9015,"5 1 1 3 2 12 31111 6 M59 80500 000216 0000R 00001 00132 015 2111100 2024*")</f>
        <v>0</v>
      </c>
      <c r="H3663" s="35">
        <f t="shared" si="58"/>
        <v>27665.920000000002</v>
      </c>
      <c r="I3663" s="35"/>
      <c r="K3663" t="s">
        <v>15</v>
      </c>
    </row>
    <row r="3664" spans="2:11" ht="41.25" x14ac:dyDescent="0.2">
      <c r="B3664" s="33" t="s">
        <v>4600</v>
      </c>
      <c r="C3664" s="33" t="s">
        <v>1056</v>
      </c>
      <c r="D3664" s="35">
        <f>SUMIFS(D3665:D9015,K3665:K9015,"0",B3665:B9015,"5 1 1 3 2 12 31111 6 M59 80500 000216 0000R 00001 00132 015 2111100 2024 CP1MA417*")-SUMIFS(E3665:E9015,K3665:K9015,"0",B3665:B9015,"5 1 1 3 2 12 31111 6 M59 80500 000216 0000R 00001 00132 015 2111100 2024 CP1MA417*")</f>
        <v>0</v>
      </c>
      <c r="E3664"/>
      <c r="F3664" s="35">
        <f>SUMIFS(F3665:F9015,K3665:K9015,"0",B3665:B9015,"5 1 1 3 2 12 31111 6 M59 80500 000216 0000R 00001 00132 015 2111100 2024 CP1MA417*")</f>
        <v>27665.920000000002</v>
      </c>
      <c r="G3664" s="35">
        <f>SUMIFS(G3665:G9015,K3665:K9015,"0",B3665:B9015,"5 1 1 3 2 12 31111 6 M59 80500 000216 0000R 00001 00132 015 2111100 2024 CP1MA417*")</f>
        <v>0</v>
      </c>
      <c r="H3664" s="35">
        <f t="shared" si="58"/>
        <v>27665.920000000002</v>
      </c>
      <c r="I3664" s="35"/>
      <c r="K3664" t="s">
        <v>15</v>
      </c>
    </row>
    <row r="3665" spans="2:11" ht="41.25" x14ac:dyDescent="0.2">
      <c r="B3665" s="33" t="s">
        <v>4601</v>
      </c>
      <c r="C3665" s="33" t="s">
        <v>282</v>
      </c>
      <c r="D3665" s="35">
        <f>SUMIFS(D3666:D9015,K3666:K9015,"0",B3666:B9015,"5 1 1 3 2 12 31111 6 M59 80500 000216 0000R 00001 00132 015 2111100 2024 CP1MA417 001*")-SUMIFS(E3666:E9015,K3666:K9015,"0",B3666:B9015,"5 1 1 3 2 12 31111 6 M59 80500 000216 0000R 00001 00132 015 2111100 2024 CP1MA417 001*")</f>
        <v>0</v>
      </c>
      <c r="E3665"/>
      <c r="F3665" s="35">
        <f>SUMIFS(F3666:F9015,K3666:K9015,"0",B3666:B9015,"5 1 1 3 2 12 31111 6 M59 80500 000216 0000R 00001 00132 015 2111100 2024 CP1MA417 001*")</f>
        <v>27665.920000000002</v>
      </c>
      <c r="G3665" s="35">
        <f>SUMIFS(G3666:G9015,K3666:K9015,"0",B3666:B9015,"5 1 1 3 2 12 31111 6 M59 80500 000216 0000R 00001 00132 015 2111100 2024 CP1MA417 001*")</f>
        <v>0</v>
      </c>
      <c r="H3665" s="35">
        <f t="shared" si="58"/>
        <v>27665.920000000002</v>
      </c>
      <c r="I3665" s="35"/>
      <c r="K3665" t="s">
        <v>15</v>
      </c>
    </row>
    <row r="3666" spans="2:11" ht="33" x14ac:dyDescent="0.2">
      <c r="B3666" s="31" t="s">
        <v>4602</v>
      </c>
      <c r="C3666" s="31" t="s">
        <v>1519</v>
      </c>
      <c r="D3666" s="34">
        <v>0</v>
      </c>
      <c r="E3666" s="34"/>
      <c r="F3666" s="34">
        <v>23276.33</v>
      </c>
      <c r="G3666" s="34">
        <v>0</v>
      </c>
      <c r="H3666" s="34">
        <f t="shared" si="58"/>
        <v>23276.33</v>
      </c>
      <c r="I3666" s="34"/>
      <c r="K3666" t="s">
        <v>38</v>
      </c>
    </row>
    <row r="3667" spans="2:11" ht="33" x14ac:dyDescent="0.2">
      <c r="B3667" s="31" t="s">
        <v>4603</v>
      </c>
      <c r="C3667" s="31" t="s">
        <v>4071</v>
      </c>
      <c r="D3667" s="34">
        <v>0</v>
      </c>
      <c r="E3667" s="34"/>
      <c r="F3667" s="34">
        <v>4389.59</v>
      </c>
      <c r="G3667" s="34">
        <v>0</v>
      </c>
      <c r="H3667" s="34">
        <f t="shared" si="58"/>
        <v>4389.59</v>
      </c>
      <c r="I3667" s="34"/>
      <c r="K3667" t="s">
        <v>38</v>
      </c>
    </row>
    <row r="3668" spans="2:11" ht="16.5" x14ac:dyDescent="0.2">
      <c r="B3668" s="33" t="s">
        <v>4604</v>
      </c>
      <c r="C3668" s="33" t="s">
        <v>3596</v>
      </c>
      <c r="D3668" s="35">
        <f>SUMIFS(D3669:D9015,K3669:K9015,"0",B3669:B9015,"5 1 1 3 2 12 31111 6 M59 90000*")-SUMIFS(E3669:E9015,K3669:K9015,"0",B3669:B9015,"5 1 1 3 2 12 31111 6 M59 90000*")</f>
        <v>0</v>
      </c>
      <c r="E3668"/>
      <c r="F3668" s="35">
        <f>SUMIFS(F3669:F9015,K3669:K9015,"0",B3669:B9015,"5 1 1 3 2 12 31111 6 M59 90000*")</f>
        <v>47713.97</v>
      </c>
      <c r="G3668" s="35">
        <f>SUMIFS(G3669:G9015,K3669:K9015,"0",B3669:B9015,"5 1 1 3 2 12 31111 6 M59 90000*")</f>
        <v>0</v>
      </c>
      <c r="H3668" s="35">
        <f t="shared" si="58"/>
        <v>47713.97</v>
      </c>
      <c r="I3668" s="35"/>
      <c r="K3668" t="s">
        <v>15</v>
      </c>
    </row>
    <row r="3669" spans="2:11" ht="16.5" x14ac:dyDescent="0.2">
      <c r="B3669" s="33" t="s">
        <v>4605</v>
      </c>
      <c r="C3669" s="33" t="s">
        <v>648</v>
      </c>
      <c r="D3669" s="35">
        <f>SUMIFS(D3670:D9015,K3670:K9015,"0",B3670:B9015,"5 1 1 3 2 12 31111 6 M59 90000 000132*")-SUMIFS(E3670:E9015,K3670:K9015,"0",B3670:B9015,"5 1 1 3 2 12 31111 6 M59 90000 000132*")</f>
        <v>0</v>
      </c>
      <c r="E3669"/>
      <c r="F3669" s="35">
        <f>SUMIFS(F3670:F9015,K3670:K9015,"0",B3670:B9015,"5 1 1 3 2 12 31111 6 M59 90000 000132*")</f>
        <v>47713.97</v>
      </c>
      <c r="G3669" s="35">
        <f>SUMIFS(G3670:G9015,K3670:K9015,"0",B3670:B9015,"5 1 1 3 2 12 31111 6 M59 90000 000132*")</f>
        <v>0</v>
      </c>
      <c r="H3669" s="35">
        <f t="shared" si="58"/>
        <v>47713.97</v>
      </c>
      <c r="I3669" s="35"/>
      <c r="K3669" t="s">
        <v>15</v>
      </c>
    </row>
    <row r="3670" spans="2:11" ht="24.75" x14ac:dyDescent="0.2">
      <c r="B3670" s="33" t="s">
        <v>4606</v>
      </c>
      <c r="C3670" s="33" t="s">
        <v>650</v>
      </c>
      <c r="D3670" s="35">
        <f>SUMIFS(D3671:D9015,K3671:K9015,"0",B3671:B9015,"5 1 1 3 2 12 31111 6 M59 90000 000132 0000R*")-SUMIFS(E3671:E9015,K3671:K9015,"0",B3671:B9015,"5 1 1 3 2 12 31111 6 M59 90000 000132 0000R*")</f>
        <v>0</v>
      </c>
      <c r="E3670"/>
      <c r="F3670" s="35">
        <f>SUMIFS(F3671:F9015,K3671:K9015,"0",B3671:B9015,"5 1 1 3 2 12 31111 6 M59 90000 000132 0000R*")</f>
        <v>47713.97</v>
      </c>
      <c r="G3670" s="35">
        <f>SUMIFS(G3671:G9015,K3671:K9015,"0",B3671:B9015,"5 1 1 3 2 12 31111 6 M59 90000 000132 0000R*")</f>
        <v>0</v>
      </c>
      <c r="H3670" s="35">
        <f t="shared" si="58"/>
        <v>47713.97</v>
      </c>
      <c r="I3670" s="35"/>
      <c r="K3670" t="s">
        <v>15</v>
      </c>
    </row>
    <row r="3671" spans="2:11" ht="24.75" x14ac:dyDescent="0.2">
      <c r="B3671" s="33" t="s">
        <v>4607</v>
      </c>
      <c r="C3671" s="33" t="s">
        <v>282</v>
      </c>
      <c r="D3671" s="35">
        <f>SUMIFS(D3672:D9015,K3672:K9015,"0",B3672:B9015,"5 1 1 3 2 12 31111 6 M59 90000 000132 0000R 00001*")-SUMIFS(E3672:E9015,K3672:K9015,"0",B3672:B9015,"5 1 1 3 2 12 31111 6 M59 90000 000132 0000R 00001*")</f>
        <v>0</v>
      </c>
      <c r="E3671"/>
      <c r="F3671" s="35">
        <f>SUMIFS(F3672:F9015,K3672:K9015,"0",B3672:B9015,"5 1 1 3 2 12 31111 6 M59 90000 000132 0000R 00001*")</f>
        <v>47713.97</v>
      </c>
      <c r="G3671" s="35">
        <f>SUMIFS(G3672:G9015,K3672:K9015,"0",B3672:B9015,"5 1 1 3 2 12 31111 6 M59 90000 000132 0000R 00001*")</f>
        <v>0</v>
      </c>
      <c r="H3671" s="35">
        <f t="shared" si="58"/>
        <v>47713.97</v>
      </c>
      <c r="I3671" s="35"/>
      <c r="K3671" t="s">
        <v>15</v>
      </c>
    </row>
    <row r="3672" spans="2:11" ht="24.75" x14ac:dyDescent="0.2">
      <c r="B3672" s="33" t="s">
        <v>4608</v>
      </c>
      <c r="C3672" s="33" t="s">
        <v>4041</v>
      </c>
      <c r="D3672" s="35">
        <f>SUMIFS(D3673:D9015,K3673:K9015,"0",B3673:B9015,"5 1 1 3 2 12 31111 6 M59 90000 000132 0000R 00001 00132*")-SUMIFS(E3673:E9015,K3673:K9015,"0",B3673:B9015,"5 1 1 3 2 12 31111 6 M59 90000 000132 0000R 00001 00132*")</f>
        <v>0</v>
      </c>
      <c r="E3672"/>
      <c r="F3672" s="35">
        <f>SUMIFS(F3673:F9015,K3673:K9015,"0",B3673:B9015,"5 1 1 3 2 12 31111 6 M59 90000 000132 0000R 00001 00132*")</f>
        <v>47713.97</v>
      </c>
      <c r="G3672" s="35">
        <f>SUMIFS(G3673:G9015,K3673:K9015,"0",B3673:B9015,"5 1 1 3 2 12 31111 6 M59 90000 000132 0000R 00001 00132*")</f>
        <v>0</v>
      </c>
      <c r="H3672" s="35">
        <f t="shared" si="58"/>
        <v>47713.97</v>
      </c>
      <c r="I3672" s="35"/>
      <c r="K3672" t="s">
        <v>15</v>
      </c>
    </row>
    <row r="3673" spans="2:11" ht="33" x14ac:dyDescent="0.2">
      <c r="B3673" s="33" t="s">
        <v>4609</v>
      </c>
      <c r="C3673" s="33" t="s">
        <v>1051</v>
      </c>
      <c r="D3673" s="35">
        <f>SUMIFS(D3674:D9015,K3674:K9015,"0",B3674:B9015,"5 1 1 3 2 12 31111 6 M59 90000 000132 0000R 00001 00132 015*")-SUMIFS(E3674:E9015,K3674:K9015,"0",B3674:B9015,"5 1 1 3 2 12 31111 6 M59 90000 000132 0000R 00001 00132 015*")</f>
        <v>0</v>
      </c>
      <c r="E3673"/>
      <c r="F3673" s="35">
        <f>SUMIFS(F3674:F9015,K3674:K9015,"0",B3674:B9015,"5 1 1 3 2 12 31111 6 M59 90000 000132 0000R 00001 00132 015*")</f>
        <v>47713.97</v>
      </c>
      <c r="G3673" s="35">
        <f>SUMIFS(G3674:G9015,K3674:K9015,"0",B3674:B9015,"5 1 1 3 2 12 31111 6 M59 90000 000132 0000R 00001 00132 015*")</f>
        <v>0</v>
      </c>
      <c r="H3673" s="35">
        <f t="shared" si="58"/>
        <v>47713.97</v>
      </c>
      <c r="I3673" s="35"/>
      <c r="K3673" t="s">
        <v>15</v>
      </c>
    </row>
    <row r="3674" spans="2:11" ht="33" x14ac:dyDescent="0.2">
      <c r="B3674" s="33" t="s">
        <v>4610</v>
      </c>
      <c r="C3674" s="33" t="s">
        <v>2927</v>
      </c>
      <c r="D3674" s="35">
        <f>SUMIFS(D3675:D9015,K3675:K9015,"0",B3675:B9015,"5 1 1 3 2 12 31111 6 M59 90000 000132 0000R 00001 00132 015 2111100*")-SUMIFS(E3675:E9015,K3675:K9015,"0",B3675:B9015,"5 1 1 3 2 12 31111 6 M59 90000 000132 0000R 00001 00132 015 2111100*")</f>
        <v>0</v>
      </c>
      <c r="E3674"/>
      <c r="F3674" s="35">
        <f>SUMIFS(F3675:F9015,K3675:K9015,"0",B3675:B9015,"5 1 1 3 2 12 31111 6 M59 90000 000132 0000R 00001 00132 015 2111100*")</f>
        <v>47713.97</v>
      </c>
      <c r="G3674" s="35">
        <f>SUMIFS(G3675:G9015,K3675:K9015,"0",B3675:B9015,"5 1 1 3 2 12 31111 6 M59 90000 000132 0000R 00001 00132 015 2111100*")</f>
        <v>0</v>
      </c>
      <c r="H3674" s="35">
        <f t="shared" si="58"/>
        <v>47713.97</v>
      </c>
      <c r="I3674" s="35"/>
      <c r="K3674" t="s">
        <v>15</v>
      </c>
    </row>
    <row r="3675" spans="2:11" ht="33" x14ac:dyDescent="0.2">
      <c r="B3675" s="33" t="s">
        <v>4611</v>
      </c>
      <c r="C3675" s="33" t="s">
        <v>660</v>
      </c>
      <c r="D3675" s="35">
        <f>SUMIFS(D3676:D9015,K3676:K9015,"0",B3676:B9015,"5 1 1 3 2 12 31111 6 M59 90000 000132 0000R 00001 00132 015 2111100 2024*")-SUMIFS(E3676:E9015,K3676:K9015,"0",B3676:B9015,"5 1 1 3 2 12 31111 6 M59 90000 000132 0000R 00001 00132 015 2111100 2024*")</f>
        <v>0</v>
      </c>
      <c r="E3675"/>
      <c r="F3675" s="35">
        <f>SUMIFS(F3676:F9015,K3676:K9015,"0",B3676:B9015,"5 1 1 3 2 12 31111 6 M59 90000 000132 0000R 00001 00132 015 2111100 2024*")</f>
        <v>47713.97</v>
      </c>
      <c r="G3675" s="35">
        <f>SUMIFS(G3676:G9015,K3676:K9015,"0",B3676:B9015,"5 1 1 3 2 12 31111 6 M59 90000 000132 0000R 00001 00132 015 2111100 2024*")</f>
        <v>0</v>
      </c>
      <c r="H3675" s="35">
        <f t="shared" si="58"/>
        <v>47713.97</v>
      </c>
      <c r="I3675" s="35"/>
      <c r="K3675" t="s">
        <v>15</v>
      </c>
    </row>
    <row r="3676" spans="2:11" ht="41.25" x14ac:dyDescent="0.2">
      <c r="B3676" s="33" t="s">
        <v>4612</v>
      </c>
      <c r="C3676" s="33" t="s">
        <v>1056</v>
      </c>
      <c r="D3676" s="35">
        <f>SUMIFS(D3677:D9015,K3677:K9015,"0",B3677:B9015,"5 1 1 3 2 12 31111 6 M59 90000 000132 0000R 00001 00132 015 2111100 2024 CP1SG383*")-SUMIFS(E3677:E9015,K3677:K9015,"0",B3677:B9015,"5 1 1 3 2 12 31111 6 M59 90000 000132 0000R 00001 00132 015 2111100 2024 CP1SG383*")</f>
        <v>0</v>
      </c>
      <c r="E3676"/>
      <c r="F3676" s="35">
        <f>SUMIFS(F3677:F9015,K3677:K9015,"0",B3677:B9015,"5 1 1 3 2 12 31111 6 M59 90000 000132 0000R 00001 00132 015 2111100 2024 CP1SG383*")</f>
        <v>47713.97</v>
      </c>
      <c r="G3676" s="35">
        <f>SUMIFS(G3677:G9015,K3677:K9015,"0",B3677:B9015,"5 1 1 3 2 12 31111 6 M59 90000 000132 0000R 00001 00132 015 2111100 2024 CP1SG383*")</f>
        <v>0</v>
      </c>
      <c r="H3676" s="35">
        <f t="shared" si="58"/>
        <v>47713.97</v>
      </c>
      <c r="I3676" s="35"/>
      <c r="K3676" t="s">
        <v>15</v>
      </c>
    </row>
    <row r="3677" spans="2:11" ht="41.25" x14ac:dyDescent="0.2">
      <c r="B3677" s="33" t="s">
        <v>4613</v>
      </c>
      <c r="C3677" s="33" t="s">
        <v>282</v>
      </c>
      <c r="D3677" s="35">
        <f>SUMIFS(D3678:D9015,K3678:K9015,"0",B3678:B9015,"5 1 1 3 2 12 31111 6 M59 90000 000132 0000R 00001 00132 015 2111100 2024 CP1SG383 001*")-SUMIFS(E3678:E9015,K3678:K9015,"0",B3678:B9015,"5 1 1 3 2 12 31111 6 M59 90000 000132 0000R 00001 00132 015 2111100 2024 CP1SG383 001*")</f>
        <v>0</v>
      </c>
      <c r="E3677"/>
      <c r="F3677" s="35">
        <f>SUMIFS(F3678:F9015,K3678:K9015,"0",B3678:B9015,"5 1 1 3 2 12 31111 6 M59 90000 000132 0000R 00001 00132 015 2111100 2024 CP1SG383 001*")</f>
        <v>47713.97</v>
      </c>
      <c r="G3677" s="35">
        <f>SUMIFS(G3678:G9015,K3678:K9015,"0",B3678:B9015,"5 1 1 3 2 12 31111 6 M59 90000 000132 0000R 00001 00132 015 2111100 2024 CP1SG383 001*")</f>
        <v>0</v>
      </c>
      <c r="H3677" s="35">
        <f t="shared" si="58"/>
        <v>47713.97</v>
      </c>
      <c r="I3677" s="35"/>
      <c r="K3677" t="s">
        <v>15</v>
      </c>
    </row>
    <row r="3678" spans="2:11" ht="41.25" x14ac:dyDescent="0.2">
      <c r="B3678" s="31" t="s">
        <v>4614</v>
      </c>
      <c r="C3678" s="31" t="s">
        <v>1519</v>
      </c>
      <c r="D3678" s="34">
        <v>0</v>
      </c>
      <c r="E3678" s="34"/>
      <c r="F3678" s="34">
        <v>44116.46</v>
      </c>
      <c r="G3678" s="34">
        <v>0</v>
      </c>
      <c r="H3678" s="34">
        <f t="shared" si="58"/>
        <v>44116.46</v>
      </c>
      <c r="I3678" s="34"/>
      <c r="K3678" t="s">
        <v>38</v>
      </c>
    </row>
    <row r="3679" spans="2:11" ht="41.25" x14ac:dyDescent="0.2">
      <c r="B3679" s="31" t="s">
        <v>4615</v>
      </c>
      <c r="C3679" s="31" t="s">
        <v>4435</v>
      </c>
      <c r="D3679" s="34">
        <v>0</v>
      </c>
      <c r="E3679" s="34"/>
      <c r="F3679" s="34">
        <v>3597.51</v>
      </c>
      <c r="G3679" s="34">
        <v>0</v>
      </c>
      <c r="H3679" s="34">
        <f t="shared" si="58"/>
        <v>3597.51</v>
      </c>
      <c r="I3679" s="34"/>
      <c r="K3679" t="s">
        <v>38</v>
      </c>
    </row>
    <row r="3680" spans="2:11" ht="16.5" x14ac:dyDescent="0.2">
      <c r="B3680" s="33" t="s">
        <v>4616</v>
      </c>
      <c r="C3680" s="33" t="s">
        <v>3608</v>
      </c>
      <c r="D3680" s="35">
        <f>SUMIFS(D3681:D9015,K3681:K9015,"0",B3681:B9015,"5 1 1 3 2 12 31111 6 M59 91000*")-SUMIFS(E3681:E9015,K3681:K9015,"0",B3681:B9015,"5 1 1 3 2 12 31111 6 M59 91000*")</f>
        <v>0</v>
      </c>
      <c r="E3680"/>
      <c r="F3680" s="35">
        <f>SUMIFS(F3681:F9015,K3681:K9015,"0",B3681:B9015,"5 1 1 3 2 12 31111 6 M59 91000*")</f>
        <v>18985.960000000003</v>
      </c>
      <c r="G3680" s="35">
        <f>SUMIFS(G3681:G9015,K3681:K9015,"0",B3681:B9015,"5 1 1 3 2 12 31111 6 M59 91000*")</f>
        <v>0</v>
      </c>
      <c r="H3680" s="35">
        <f t="shared" si="58"/>
        <v>18985.960000000003</v>
      </c>
      <c r="I3680" s="35"/>
      <c r="K3680" t="s">
        <v>15</v>
      </c>
    </row>
    <row r="3681" spans="2:11" ht="16.5" x14ac:dyDescent="0.2">
      <c r="B3681" s="33" t="s">
        <v>4617</v>
      </c>
      <c r="C3681" s="33" t="s">
        <v>648</v>
      </c>
      <c r="D3681" s="35">
        <f>SUMIFS(D3682:D9015,K3682:K9015,"0",B3682:B9015,"5 1 1 3 2 12 31111 6 M59 91000 000132*")-SUMIFS(E3682:E9015,K3682:K9015,"0",B3682:B9015,"5 1 1 3 2 12 31111 6 M59 91000 000132*")</f>
        <v>0</v>
      </c>
      <c r="E3681"/>
      <c r="F3681" s="35">
        <f>SUMIFS(F3682:F9015,K3682:K9015,"0",B3682:B9015,"5 1 1 3 2 12 31111 6 M59 91000 000132*")</f>
        <v>18985.960000000003</v>
      </c>
      <c r="G3681" s="35">
        <f>SUMIFS(G3682:G9015,K3682:K9015,"0",B3682:B9015,"5 1 1 3 2 12 31111 6 M59 91000 000132*")</f>
        <v>0</v>
      </c>
      <c r="H3681" s="35">
        <f t="shared" si="58"/>
        <v>18985.960000000003</v>
      </c>
      <c r="I3681" s="35"/>
      <c r="K3681" t="s">
        <v>15</v>
      </c>
    </row>
    <row r="3682" spans="2:11" ht="24.75" x14ac:dyDescent="0.2">
      <c r="B3682" s="33" t="s">
        <v>4618</v>
      </c>
      <c r="C3682" s="33" t="s">
        <v>650</v>
      </c>
      <c r="D3682" s="35">
        <f>SUMIFS(D3683:D9015,K3683:K9015,"0",B3683:B9015,"5 1 1 3 2 12 31111 6 M59 91000 000132 0000R*")-SUMIFS(E3683:E9015,K3683:K9015,"0",B3683:B9015,"5 1 1 3 2 12 31111 6 M59 91000 000132 0000R*")</f>
        <v>0</v>
      </c>
      <c r="E3682"/>
      <c r="F3682" s="35">
        <f>SUMIFS(F3683:F9015,K3683:K9015,"0",B3683:B9015,"5 1 1 3 2 12 31111 6 M59 91000 000132 0000R*")</f>
        <v>18985.960000000003</v>
      </c>
      <c r="G3682" s="35">
        <f>SUMIFS(G3683:G9015,K3683:K9015,"0",B3683:B9015,"5 1 1 3 2 12 31111 6 M59 91000 000132 0000R*")</f>
        <v>0</v>
      </c>
      <c r="H3682" s="35">
        <f t="shared" si="58"/>
        <v>18985.960000000003</v>
      </c>
      <c r="I3682" s="35"/>
      <c r="K3682" t="s">
        <v>15</v>
      </c>
    </row>
    <row r="3683" spans="2:11" ht="24.75" x14ac:dyDescent="0.2">
      <c r="B3683" s="33" t="s">
        <v>4619</v>
      </c>
      <c r="C3683" s="33" t="s">
        <v>282</v>
      </c>
      <c r="D3683" s="35">
        <f>SUMIFS(D3684:D9015,K3684:K9015,"0",B3684:B9015,"5 1 1 3 2 12 31111 6 M59 91000 000132 0000R 00001*")-SUMIFS(E3684:E9015,K3684:K9015,"0",B3684:B9015,"5 1 1 3 2 12 31111 6 M59 91000 000132 0000R 00001*")</f>
        <v>0</v>
      </c>
      <c r="E3683"/>
      <c r="F3683" s="35">
        <f>SUMIFS(F3684:F9015,K3684:K9015,"0",B3684:B9015,"5 1 1 3 2 12 31111 6 M59 91000 000132 0000R 00001*")</f>
        <v>18985.960000000003</v>
      </c>
      <c r="G3683" s="35">
        <f>SUMIFS(G3684:G9015,K3684:K9015,"0",B3684:B9015,"5 1 1 3 2 12 31111 6 M59 91000 000132 0000R 00001*")</f>
        <v>0</v>
      </c>
      <c r="H3683" s="35">
        <f t="shared" si="58"/>
        <v>18985.960000000003</v>
      </c>
      <c r="I3683" s="35"/>
      <c r="K3683" t="s">
        <v>15</v>
      </c>
    </row>
    <row r="3684" spans="2:11" ht="24.75" x14ac:dyDescent="0.2">
      <c r="B3684" s="33" t="s">
        <v>4620</v>
      </c>
      <c r="C3684" s="33" t="s">
        <v>4041</v>
      </c>
      <c r="D3684" s="35">
        <f>SUMIFS(D3685:D9015,K3685:K9015,"0",B3685:B9015,"5 1 1 3 2 12 31111 6 M59 91000 000132 0000R 00001 00132*")-SUMIFS(E3685:E9015,K3685:K9015,"0",B3685:B9015,"5 1 1 3 2 12 31111 6 M59 91000 000132 0000R 00001 00132*")</f>
        <v>0</v>
      </c>
      <c r="E3684"/>
      <c r="F3684" s="35">
        <f>SUMIFS(F3685:F9015,K3685:K9015,"0",B3685:B9015,"5 1 1 3 2 12 31111 6 M59 91000 000132 0000R 00001 00132*")</f>
        <v>18985.960000000003</v>
      </c>
      <c r="G3684" s="35">
        <f>SUMIFS(G3685:G9015,K3685:K9015,"0",B3685:B9015,"5 1 1 3 2 12 31111 6 M59 91000 000132 0000R 00001 00132*")</f>
        <v>0</v>
      </c>
      <c r="H3684" s="35">
        <f t="shared" si="58"/>
        <v>18985.960000000003</v>
      </c>
      <c r="I3684" s="35"/>
      <c r="K3684" t="s">
        <v>15</v>
      </c>
    </row>
    <row r="3685" spans="2:11" ht="33" x14ac:dyDescent="0.2">
      <c r="B3685" s="33" t="s">
        <v>4621</v>
      </c>
      <c r="C3685" s="33" t="s">
        <v>1051</v>
      </c>
      <c r="D3685" s="35">
        <f>SUMIFS(D3686:D9015,K3686:K9015,"0",B3686:B9015,"5 1 1 3 2 12 31111 6 M59 91000 000132 0000R 00001 00132 015*")-SUMIFS(E3686:E9015,K3686:K9015,"0",B3686:B9015,"5 1 1 3 2 12 31111 6 M59 91000 000132 0000R 00001 00132 015*")</f>
        <v>0</v>
      </c>
      <c r="E3685"/>
      <c r="F3685" s="35">
        <f>SUMIFS(F3686:F9015,K3686:K9015,"0",B3686:B9015,"5 1 1 3 2 12 31111 6 M59 91000 000132 0000R 00001 00132 015*")</f>
        <v>18985.960000000003</v>
      </c>
      <c r="G3685" s="35">
        <f>SUMIFS(G3686:G9015,K3686:K9015,"0",B3686:B9015,"5 1 1 3 2 12 31111 6 M59 91000 000132 0000R 00001 00132 015*")</f>
        <v>0</v>
      </c>
      <c r="H3685" s="35">
        <f t="shared" si="58"/>
        <v>18985.960000000003</v>
      </c>
      <c r="I3685" s="35"/>
      <c r="K3685" t="s">
        <v>15</v>
      </c>
    </row>
    <row r="3686" spans="2:11" ht="33" x14ac:dyDescent="0.2">
      <c r="B3686" s="33" t="s">
        <v>4622</v>
      </c>
      <c r="C3686" s="33" t="s">
        <v>2927</v>
      </c>
      <c r="D3686" s="35">
        <f>SUMIFS(D3687:D9015,K3687:K9015,"0",B3687:B9015,"5 1 1 3 2 12 31111 6 M59 91000 000132 0000R 00001 00132 015 2111100*")-SUMIFS(E3687:E9015,K3687:K9015,"0",B3687:B9015,"5 1 1 3 2 12 31111 6 M59 91000 000132 0000R 00001 00132 015 2111100*")</f>
        <v>0</v>
      </c>
      <c r="E3686"/>
      <c r="F3686" s="35">
        <f>SUMIFS(F3687:F9015,K3687:K9015,"0",B3687:B9015,"5 1 1 3 2 12 31111 6 M59 91000 000132 0000R 00001 00132 015 2111100*")</f>
        <v>18985.960000000003</v>
      </c>
      <c r="G3686" s="35">
        <f>SUMIFS(G3687:G9015,K3687:K9015,"0",B3687:B9015,"5 1 1 3 2 12 31111 6 M59 91000 000132 0000R 00001 00132 015 2111100*")</f>
        <v>0</v>
      </c>
      <c r="H3686" s="35">
        <f t="shared" si="58"/>
        <v>18985.960000000003</v>
      </c>
      <c r="I3686" s="35"/>
      <c r="K3686" t="s">
        <v>15</v>
      </c>
    </row>
    <row r="3687" spans="2:11" ht="33" x14ac:dyDescent="0.2">
      <c r="B3687" s="33" t="s">
        <v>4623</v>
      </c>
      <c r="C3687" s="33" t="s">
        <v>660</v>
      </c>
      <c r="D3687" s="35">
        <f>SUMIFS(D3688:D9015,K3688:K9015,"0",B3688:B9015,"5 1 1 3 2 12 31111 6 M59 91000 000132 0000R 00001 00132 015 2111100 2024*")-SUMIFS(E3688:E9015,K3688:K9015,"0",B3688:B9015,"5 1 1 3 2 12 31111 6 M59 91000 000132 0000R 00001 00132 015 2111100 2024*")</f>
        <v>0</v>
      </c>
      <c r="E3687"/>
      <c r="F3687" s="35">
        <f>SUMIFS(F3688:F9015,K3688:K9015,"0",B3688:B9015,"5 1 1 3 2 12 31111 6 M59 91000 000132 0000R 00001 00132 015 2111100 2024*")</f>
        <v>18985.960000000003</v>
      </c>
      <c r="G3687" s="35">
        <f>SUMIFS(G3688:G9015,K3688:K9015,"0",B3688:B9015,"5 1 1 3 2 12 31111 6 M59 91000 000132 0000R 00001 00132 015 2111100 2024*")</f>
        <v>0</v>
      </c>
      <c r="H3687" s="35">
        <f t="shared" si="58"/>
        <v>18985.960000000003</v>
      </c>
      <c r="I3687" s="35"/>
      <c r="K3687" t="s">
        <v>15</v>
      </c>
    </row>
    <row r="3688" spans="2:11" ht="41.25" x14ac:dyDescent="0.2">
      <c r="B3688" s="33" t="s">
        <v>4624</v>
      </c>
      <c r="C3688" s="33" t="s">
        <v>1056</v>
      </c>
      <c r="D3688" s="35">
        <f>SUMIFS(D3689:D9015,K3689:K9015,"0",B3689:B9015,"5 1 1 3 2 12 31111 6 M59 91000 000132 0000R 00001 00132 015 2111100 2024 CP1RE398*")-SUMIFS(E3689:E9015,K3689:K9015,"0",B3689:B9015,"5 1 1 3 2 12 31111 6 M59 91000 000132 0000R 00001 00132 015 2111100 2024 CP1RE398*")</f>
        <v>0</v>
      </c>
      <c r="E3688"/>
      <c r="F3688" s="35">
        <f>SUMIFS(F3689:F9015,K3689:K9015,"0",B3689:B9015,"5 1 1 3 2 12 31111 6 M59 91000 000132 0000R 00001 00132 015 2111100 2024 CP1RE398*")</f>
        <v>18985.960000000003</v>
      </c>
      <c r="G3688" s="35">
        <f>SUMIFS(G3689:G9015,K3689:K9015,"0",B3689:B9015,"5 1 1 3 2 12 31111 6 M59 91000 000132 0000R 00001 00132 015 2111100 2024 CP1RE398*")</f>
        <v>0</v>
      </c>
      <c r="H3688" s="35">
        <f t="shared" si="58"/>
        <v>18985.960000000003</v>
      </c>
      <c r="I3688" s="35"/>
      <c r="K3688" t="s">
        <v>15</v>
      </c>
    </row>
    <row r="3689" spans="2:11" ht="41.25" x14ac:dyDescent="0.2">
      <c r="B3689" s="33" t="s">
        <v>4625</v>
      </c>
      <c r="C3689" s="33" t="s">
        <v>282</v>
      </c>
      <c r="D3689" s="35">
        <f>SUMIFS(D3690:D9015,K3690:K9015,"0",B3690:B9015,"5 1 1 3 2 12 31111 6 M59 91000 000132 0000R 00001 00132 015 2111100 2024 CP1RE398 001*")-SUMIFS(E3690:E9015,K3690:K9015,"0",B3690:B9015,"5 1 1 3 2 12 31111 6 M59 91000 000132 0000R 00001 00132 015 2111100 2024 CP1RE398 001*")</f>
        <v>0</v>
      </c>
      <c r="E3689"/>
      <c r="F3689" s="35">
        <f>SUMIFS(F3690:F9015,K3690:K9015,"0",B3690:B9015,"5 1 1 3 2 12 31111 6 M59 91000 000132 0000R 00001 00132 015 2111100 2024 CP1RE398 001*")</f>
        <v>18985.960000000003</v>
      </c>
      <c r="G3689" s="35">
        <f>SUMIFS(G3690:G9015,K3690:K9015,"0",B3690:B9015,"5 1 1 3 2 12 31111 6 M59 91000 000132 0000R 00001 00132 015 2111100 2024 CP1RE398 001*")</f>
        <v>0</v>
      </c>
      <c r="H3689" s="35">
        <f t="shared" si="58"/>
        <v>18985.960000000003</v>
      </c>
      <c r="I3689" s="35"/>
      <c r="K3689" t="s">
        <v>15</v>
      </c>
    </row>
    <row r="3690" spans="2:11" ht="33" x14ac:dyDescent="0.2">
      <c r="B3690" s="31" t="s">
        <v>4626</v>
      </c>
      <c r="C3690" s="31" t="s">
        <v>1519</v>
      </c>
      <c r="D3690" s="34">
        <v>0</v>
      </c>
      <c r="E3690" s="34"/>
      <c r="F3690" s="34">
        <v>17466.22</v>
      </c>
      <c r="G3690" s="34">
        <v>0</v>
      </c>
      <c r="H3690" s="34">
        <f t="shared" si="58"/>
        <v>17466.22</v>
      </c>
      <c r="I3690" s="34"/>
      <c r="K3690" t="s">
        <v>38</v>
      </c>
    </row>
    <row r="3691" spans="2:11" ht="33" x14ac:dyDescent="0.2">
      <c r="B3691" s="31" t="s">
        <v>4627</v>
      </c>
      <c r="C3691" s="31" t="s">
        <v>4435</v>
      </c>
      <c r="D3691" s="34">
        <v>0</v>
      </c>
      <c r="E3691" s="34"/>
      <c r="F3691" s="34">
        <v>1519.74</v>
      </c>
      <c r="G3691" s="34">
        <v>0</v>
      </c>
      <c r="H3691" s="34">
        <f t="shared" si="58"/>
        <v>1519.74</v>
      </c>
      <c r="I3691" s="34"/>
      <c r="K3691" t="s">
        <v>38</v>
      </c>
    </row>
    <row r="3692" spans="2:11" ht="16.5" x14ac:dyDescent="0.2">
      <c r="B3692" s="33" t="s">
        <v>4628</v>
      </c>
      <c r="C3692" s="33" t="s">
        <v>3620</v>
      </c>
      <c r="D3692" s="35">
        <f>SUMIFS(D3693:D9015,K3693:K9015,"0",B3693:B9015,"5 1 1 3 2 12 31111 6 M59 92000*")-SUMIFS(E3693:E9015,K3693:K9015,"0",B3693:B9015,"5 1 1 3 2 12 31111 6 M59 92000*")</f>
        <v>0</v>
      </c>
      <c r="E3692"/>
      <c r="F3692" s="35">
        <f>SUMIFS(F3693:F9015,K3693:K9015,"0",B3693:B9015,"5 1 1 3 2 12 31111 6 M59 92000*")</f>
        <v>27263.43</v>
      </c>
      <c r="G3692" s="35">
        <f>SUMIFS(G3693:G9015,K3693:K9015,"0",B3693:B9015,"5 1 1 3 2 12 31111 6 M59 92000*")</f>
        <v>0</v>
      </c>
      <c r="H3692" s="35">
        <f t="shared" si="58"/>
        <v>27263.43</v>
      </c>
      <c r="I3692" s="35"/>
      <c r="K3692" t="s">
        <v>15</v>
      </c>
    </row>
    <row r="3693" spans="2:11" ht="24.75" x14ac:dyDescent="0.2">
      <c r="B3693" s="33" t="s">
        <v>4629</v>
      </c>
      <c r="C3693" s="33" t="s">
        <v>3152</v>
      </c>
      <c r="D3693" s="35">
        <f>SUMIFS(D3694:D9015,K3694:K9015,"0",B3694:B9015,"5 1 1 3 2 12 31111 6 M59 92000 000181*")-SUMIFS(E3694:E9015,K3694:K9015,"0",B3694:B9015,"5 1 1 3 2 12 31111 6 M59 92000 000181*")</f>
        <v>0</v>
      </c>
      <c r="E3693"/>
      <c r="F3693" s="35">
        <f>SUMIFS(F3694:F9015,K3694:K9015,"0",B3694:B9015,"5 1 1 3 2 12 31111 6 M59 92000 000181*")</f>
        <v>27263.43</v>
      </c>
      <c r="G3693" s="35">
        <f>SUMIFS(G3694:G9015,K3694:K9015,"0",B3694:B9015,"5 1 1 3 2 12 31111 6 M59 92000 000181*")</f>
        <v>0</v>
      </c>
      <c r="H3693" s="35">
        <f t="shared" si="58"/>
        <v>27263.43</v>
      </c>
      <c r="I3693" s="35"/>
      <c r="K3693" t="s">
        <v>15</v>
      </c>
    </row>
    <row r="3694" spans="2:11" ht="24.75" x14ac:dyDescent="0.2">
      <c r="B3694" s="33" t="s">
        <v>4630</v>
      </c>
      <c r="C3694" s="33" t="s">
        <v>1065</v>
      </c>
      <c r="D3694" s="35">
        <f>SUMIFS(D3695:D9015,K3695:K9015,"0",B3695:B9015,"5 1 1 3 2 12 31111 6 M59 92000 000181 0000E*")-SUMIFS(E3695:E9015,K3695:K9015,"0",B3695:B9015,"5 1 1 3 2 12 31111 6 M59 92000 000181 0000E*")</f>
        <v>0</v>
      </c>
      <c r="E3694"/>
      <c r="F3694" s="35">
        <f>SUMIFS(F3695:F9015,K3695:K9015,"0",B3695:B9015,"5 1 1 3 2 12 31111 6 M59 92000 000181 0000E*")</f>
        <v>27263.43</v>
      </c>
      <c r="G3694" s="35">
        <f>SUMIFS(G3695:G9015,K3695:K9015,"0",B3695:B9015,"5 1 1 3 2 12 31111 6 M59 92000 000181 0000E*")</f>
        <v>0</v>
      </c>
      <c r="H3694" s="35">
        <f t="shared" si="58"/>
        <v>27263.43</v>
      </c>
      <c r="I3694" s="35"/>
      <c r="K3694" t="s">
        <v>15</v>
      </c>
    </row>
    <row r="3695" spans="2:11" ht="24.75" x14ac:dyDescent="0.2">
      <c r="B3695" s="33" t="s">
        <v>4631</v>
      </c>
      <c r="C3695" s="33" t="s">
        <v>282</v>
      </c>
      <c r="D3695" s="35">
        <f>SUMIFS(D3696:D9015,K3696:K9015,"0",B3696:B9015,"5 1 1 3 2 12 31111 6 M59 92000 000181 0000E 00001*")-SUMIFS(E3696:E9015,K3696:K9015,"0",B3696:B9015,"5 1 1 3 2 12 31111 6 M59 92000 000181 0000E 00001*")</f>
        <v>0</v>
      </c>
      <c r="E3695"/>
      <c r="F3695" s="35">
        <f>SUMIFS(F3696:F9015,K3696:K9015,"0",B3696:B9015,"5 1 1 3 2 12 31111 6 M59 92000 000181 0000E 00001*")</f>
        <v>27263.43</v>
      </c>
      <c r="G3695" s="35">
        <f>SUMIFS(G3696:G9015,K3696:K9015,"0",B3696:B9015,"5 1 1 3 2 12 31111 6 M59 92000 000181 0000E 00001*")</f>
        <v>0</v>
      </c>
      <c r="H3695" s="35">
        <f t="shared" si="58"/>
        <v>27263.43</v>
      </c>
      <c r="I3695" s="35"/>
      <c r="K3695" t="s">
        <v>15</v>
      </c>
    </row>
    <row r="3696" spans="2:11" ht="24.75" x14ac:dyDescent="0.2">
      <c r="B3696" s="33" t="s">
        <v>4632</v>
      </c>
      <c r="C3696" s="33" t="s">
        <v>4041</v>
      </c>
      <c r="D3696" s="35">
        <f>SUMIFS(D3697:D9015,K3697:K9015,"0",B3697:B9015,"5 1 1 3 2 12 31111 6 M59 92000 000181 0000E 00001 00132*")-SUMIFS(E3697:E9015,K3697:K9015,"0",B3697:B9015,"5 1 1 3 2 12 31111 6 M59 92000 000181 0000E 00001 00132*")</f>
        <v>0</v>
      </c>
      <c r="E3696"/>
      <c r="F3696" s="35">
        <f>SUMIFS(F3697:F9015,K3697:K9015,"0",B3697:B9015,"5 1 1 3 2 12 31111 6 M59 92000 000181 0000E 00001 00132*")</f>
        <v>27263.43</v>
      </c>
      <c r="G3696" s="35">
        <f>SUMIFS(G3697:G9015,K3697:K9015,"0",B3697:B9015,"5 1 1 3 2 12 31111 6 M59 92000 000181 0000E 00001 00132*")</f>
        <v>0</v>
      </c>
      <c r="H3696" s="35">
        <f t="shared" si="58"/>
        <v>27263.43</v>
      </c>
      <c r="I3696" s="35"/>
      <c r="K3696" t="s">
        <v>15</v>
      </c>
    </row>
    <row r="3697" spans="2:11" ht="33" x14ac:dyDescent="0.2">
      <c r="B3697" s="33" t="s">
        <v>4633</v>
      </c>
      <c r="C3697" s="33" t="s">
        <v>1051</v>
      </c>
      <c r="D3697" s="35">
        <f>SUMIFS(D3698:D9015,K3698:K9015,"0",B3698:B9015,"5 1 1 3 2 12 31111 6 M59 92000 000181 0000E 00001 00132 015*")-SUMIFS(E3698:E9015,K3698:K9015,"0",B3698:B9015,"5 1 1 3 2 12 31111 6 M59 92000 000181 0000E 00001 00132 015*")</f>
        <v>0</v>
      </c>
      <c r="E3697"/>
      <c r="F3697" s="35">
        <f>SUMIFS(F3698:F9015,K3698:K9015,"0",B3698:B9015,"5 1 1 3 2 12 31111 6 M59 92000 000181 0000E 00001 00132 015*")</f>
        <v>27263.43</v>
      </c>
      <c r="G3697" s="35">
        <f>SUMIFS(G3698:G9015,K3698:K9015,"0",B3698:B9015,"5 1 1 3 2 12 31111 6 M59 92000 000181 0000E 00001 00132 015*")</f>
        <v>0</v>
      </c>
      <c r="H3697" s="35">
        <f t="shared" si="58"/>
        <v>27263.43</v>
      </c>
      <c r="I3697" s="35"/>
      <c r="K3697" t="s">
        <v>15</v>
      </c>
    </row>
    <row r="3698" spans="2:11" ht="33" x14ac:dyDescent="0.2">
      <c r="B3698" s="33" t="s">
        <v>4634</v>
      </c>
      <c r="C3698" s="33" t="s">
        <v>2927</v>
      </c>
      <c r="D3698" s="35">
        <f>SUMIFS(D3699:D9015,K3699:K9015,"0",B3699:B9015,"5 1 1 3 2 12 31111 6 M59 92000 000181 0000E 00001 00132 015 2111100*")-SUMIFS(E3699:E9015,K3699:K9015,"0",B3699:B9015,"5 1 1 3 2 12 31111 6 M59 92000 000181 0000E 00001 00132 015 2111100*")</f>
        <v>0</v>
      </c>
      <c r="E3698"/>
      <c r="F3698" s="35">
        <f>SUMIFS(F3699:F9015,K3699:K9015,"0",B3699:B9015,"5 1 1 3 2 12 31111 6 M59 92000 000181 0000E 00001 00132 015 2111100*")</f>
        <v>27263.43</v>
      </c>
      <c r="G3698" s="35">
        <f>SUMIFS(G3699:G9015,K3699:K9015,"0",B3699:B9015,"5 1 1 3 2 12 31111 6 M59 92000 000181 0000E 00001 00132 015 2111100*")</f>
        <v>0</v>
      </c>
      <c r="H3698" s="35">
        <f t="shared" si="58"/>
        <v>27263.43</v>
      </c>
      <c r="I3698" s="35"/>
      <c r="K3698" t="s">
        <v>15</v>
      </c>
    </row>
    <row r="3699" spans="2:11" ht="33" x14ac:dyDescent="0.2">
      <c r="B3699" s="33" t="s">
        <v>4635</v>
      </c>
      <c r="C3699" s="33" t="s">
        <v>660</v>
      </c>
      <c r="D3699" s="35">
        <f>SUMIFS(D3700:D9015,K3700:K9015,"0",B3700:B9015,"5 1 1 3 2 12 31111 6 M59 92000 000181 0000E 00001 00132 015 2111100 2024*")-SUMIFS(E3700:E9015,K3700:K9015,"0",B3700:B9015,"5 1 1 3 2 12 31111 6 M59 92000 000181 0000E 00001 00132 015 2111100 2024*")</f>
        <v>0</v>
      </c>
      <c r="E3699"/>
      <c r="F3699" s="35">
        <f>SUMIFS(F3700:F9015,K3700:K9015,"0",B3700:B9015,"5 1 1 3 2 12 31111 6 M59 92000 000181 0000E 00001 00132 015 2111100 2024*")</f>
        <v>27263.43</v>
      </c>
      <c r="G3699" s="35">
        <f>SUMIFS(G3700:G9015,K3700:K9015,"0",B3700:B9015,"5 1 1 3 2 12 31111 6 M59 92000 000181 0000E 00001 00132 015 2111100 2024*")</f>
        <v>0</v>
      </c>
      <c r="H3699" s="35">
        <f t="shared" si="58"/>
        <v>27263.43</v>
      </c>
      <c r="I3699" s="35"/>
      <c r="K3699" t="s">
        <v>15</v>
      </c>
    </row>
    <row r="3700" spans="2:11" ht="41.25" x14ac:dyDescent="0.2">
      <c r="B3700" s="33" t="s">
        <v>4636</v>
      </c>
      <c r="C3700" s="33" t="s">
        <v>1056</v>
      </c>
      <c r="D3700" s="35">
        <f>SUMIFS(D3701:D9015,K3701:K9015,"0",B3701:B9015,"5 1 1 3 2 12 31111 6 M59 92000 000181 0000E 00001 00132 015 2111100 2024 CP1RC399*")-SUMIFS(E3701:E9015,K3701:K9015,"0",B3701:B9015,"5 1 1 3 2 12 31111 6 M59 92000 000181 0000E 00001 00132 015 2111100 2024 CP1RC399*")</f>
        <v>0</v>
      </c>
      <c r="E3700"/>
      <c r="F3700" s="35">
        <f>SUMIFS(F3701:F9015,K3701:K9015,"0",B3701:B9015,"5 1 1 3 2 12 31111 6 M59 92000 000181 0000E 00001 00132 015 2111100 2024 CP1RC399*")</f>
        <v>27263.43</v>
      </c>
      <c r="G3700" s="35">
        <f>SUMIFS(G3701:G9015,K3701:K9015,"0",B3701:B9015,"5 1 1 3 2 12 31111 6 M59 92000 000181 0000E 00001 00132 015 2111100 2024 CP1RC399*")</f>
        <v>0</v>
      </c>
      <c r="H3700" s="35">
        <f t="shared" si="58"/>
        <v>27263.43</v>
      </c>
      <c r="I3700" s="35"/>
      <c r="K3700" t="s">
        <v>15</v>
      </c>
    </row>
    <row r="3701" spans="2:11" ht="41.25" x14ac:dyDescent="0.2">
      <c r="B3701" s="33" t="s">
        <v>4637</v>
      </c>
      <c r="C3701" s="33" t="s">
        <v>282</v>
      </c>
      <c r="D3701" s="35">
        <f>SUMIFS(D3702:D9015,K3702:K9015,"0",B3702:B9015,"5 1 1 3 2 12 31111 6 M59 92000 000181 0000E 00001 00132 015 2111100 2024 CP1RC399 001*")-SUMIFS(E3702:E9015,K3702:K9015,"0",B3702:B9015,"5 1 1 3 2 12 31111 6 M59 92000 000181 0000E 00001 00132 015 2111100 2024 CP1RC399 001*")</f>
        <v>0</v>
      </c>
      <c r="E3701"/>
      <c r="F3701" s="35">
        <f>SUMIFS(F3702:F9015,K3702:K9015,"0",B3702:B9015,"5 1 1 3 2 12 31111 6 M59 92000 000181 0000E 00001 00132 015 2111100 2024 CP1RC399 001*")</f>
        <v>27263.43</v>
      </c>
      <c r="G3701" s="35">
        <f>SUMIFS(G3702:G9015,K3702:K9015,"0",B3702:B9015,"5 1 1 3 2 12 31111 6 M59 92000 000181 0000E 00001 00132 015 2111100 2024 CP1RC399 001*")</f>
        <v>0</v>
      </c>
      <c r="H3701" s="35">
        <f t="shared" si="58"/>
        <v>27263.43</v>
      </c>
      <c r="I3701" s="35"/>
      <c r="K3701" t="s">
        <v>15</v>
      </c>
    </row>
    <row r="3702" spans="2:11" ht="33" x14ac:dyDescent="0.2">
      <c r="B3702" s="31" t="s">
        <v>4638</v>
      </c>
      <c r="C3702" s="31" t="s">
        <v>1519</v>
      </c>
      <c r="D3702" s="34">
        <v>0</v>
      </c>
      <c r="E3702" s="34"/>
      <c r="F3702" s="34">
        <v>24848.2</v>
      </c>
      <c r="G3702" s="34">
        <v>0</v>
      </c>
      <c r="H3702" s="34">
        <f t="shared" si="58"/>
        <v>24848.2</v>
      </c>
      <c r="I3702" s="34"/>
      <c r="K3702" t="s">
        <v>38</v>
      </c>
    </row>
    <row r="3703" spans="2:11" ht="33" x14ac:dyDescent="0.2">
      <c r="B3703" s="31" t="s">
        <v>4639</v>
      </c>
      <c r="C3703" s="31" t="s">
        <v>4435</v>
      </c>
      <c r="D3703" s="34">
        <v>0</v>
      </c>
      <c r="E3703" s="34"/>
      <c r="F3703" s="34">
        <v>2415.23</v>
      </c>
      <c r="G3703" s="34">
        <v>0</v>
      </c>
      <c r="H3703" s="34">
        <f t="shared" si="58"/>
        <v>2415.23</v>
      </c>
      <c r="I3703" s="34"/>
      <c r="K3703" t="s">
        <v>38</v>
      </c>
    </row>
    <row r="3704" spans="2:11" ht="24.75" x14ac:dyDescent="0.2">
      <c r="B3704" s="33" t="s">
        <v>4640</v>
      </c>
      <c r="C3704" s="33" t="s">
        <v>3632</v>
      </c>
      <c r="D3704" s="35">
        <f>SUMIFS(D3705:D9015,K3705:K9015,"0",B3705:B9015,"5 1 1 3 2 12 31111 6 M59 93000*")-SUMIFS(E3705:E9015,K3705:K9015,"0",B3705:B9015,"5 1 1 3 2 12 31111 6 M59 93000*")</f>
        <v>0</v>
      </c>
      <c r="E3704"/>
      <c r="F3704" s="35">
        <f>SUMIFS(F3705:F9015,K3705:K9015,"0",B3705:B9015,"5 1 1 3 2 12 31111 6 M59 93000*")</f>
        <v>3416.99</v>
      </c>
      <c r="G3704" s="35">
        <f>SUMIFS(G3705:G9015,K3705:K9015,"0",B3705:B9015,"5 1 1 3 2 12 31111 6 M59 93000*")</f>
        <v>0</v>
      </c>
      <c r="H3704" s="35">
        <f t="shared" si="58"/>
        <v>3416.99</v>
      </c>
      <c r="I3704" s="35"/>
      <c r="K3704" t="s">
        <v>15</v>
      </c>
    </row>
    <row r="3705" spans="2:11" ht="16.5" x14ac:dyDescent="0.2">
      <c r="B3705" s="33" t="s">
        <v>4641</v>
      </c>
      <c r="C3705" s="33" t="s">
        <v>648</v>
      </c>
      <c r="D3705" s="35">
        <f>SUMIFS(D3706:D9015,K3706:K9015,"0",B3706:B9015,"5 1 1 3 2 12 31111 6 M59 93000 000132*")-SUMIFS(E3706:E9015,K3706:K9015,"0",B3706:B9015,"5 1 1 3 2 12 31111 6 M59 93000 000132*")</f>
        <v>0</v>
      </c>
      <c r="E3705"/>
      <c r="F3705" s="35">
        <f>SUMIFS(F3706:F9015,K3706:K9015,"0",B3706:B9015,"5 1 1 3 2 12 31111 6 M59 93000 000132*")</f>
        <v>3416.99</v>
      </c>
      <c r="G3705" s="35">
        <f>SUMIFS(G3706:G9015,K3706:K9015,"0",B3706:B9015,"5 1 1 3 2 12 31111 6 M59 93000 000132*")</f>
        <v>0</v>
      </c>
      <c r="H3705" s="35">
        <f t="shared" si="58"/>
        <v>3416.99</v>
      </c>
      <c r="I3705" s="35"/>
      <c r="K3705" t="s">
        <v>15</v>
      </c>
    </row>
    <row r="3706" spans="2:11" ht="24.75" x14ac:dyDescent="0.2">
      <c r="B3706" s="33" t="s">
        <v>4642</v>
      </c>
      <c r="C3706" s="33" t="s">
        <v>650</v>
      </c>
      <c r="D3706" s="35">
        <f>SUMIFS(D3707:D9015,K3707:K9015,"0",B3707:B9015,"5 1 1 3 2 12 31111 6 M59 93000 000132 0000R*")-SUMIFS(E3707:E9015,K3707:K9015,"0",B3707:B9015,"5 1 1 3 2 12 31111 6 M59 93000 000132 0000R*")</f>
        <v>0</v>
      </c>
      <c r="E3706"/>
      <c r="F3706" s="35">
        <f>SUMIFS(F3707:F9015,K3707:K9015,"0",B3707:B9015,"5 1 1 3 2 12 31111 6 M59 93000 000132 0000R*")</f>
        <v>3416.99</v>
      </c>
      <c r="G3706" s="35">
        <f>SUMIFS(G3707:G9015,K3707:K9015,"0",B3707:B9015,"5 1 1 3 2 12 31111 6 M59 93000 000132 0000R*")</f>
        <v>0</v>
      </c>
      <c r="H3706" s="35">
        <f t="shared" si="58"/>
        <v>3416.99</v>
      </c>
      <c r="I3706" s="35"/>
      <c r="K3706" t="s">
        <v>15</v>
      </c>
    </row>
    <row r="3707" spans="2:11" ht="24.75" x14ac:dyDescent="0.2">
      <c r="B3707" s="33" t="s">
        <v>4643</v>
      </c>
      <c r="C3707" s="33" t="s">
        <v>282</v>
      </c>
      <c r="D3707" s="35">
        <f>SUMIFS(D3708:D9015,K3708:K9015,"0",B3708:B9015,"5 1 1 3 2 12 31111 6 M59 93000 000132 0000R 00001*")-SUMIFS(E3708:E9015,K3708:K9015,"0",B3708:B9015,"5 1 1 3 2 12 31111 6 M59 93000 000132 0000R 00001*")</f>
        <v>0</v>
      </c>
      <c r="E3707"/>
      <c r="F3707" s="35">
        <f>SUMIFS(F3708:F9015,K3708:K9015,"0",B3708:B9015,"5 1 1 3 2 12 31111 6 M59 93000 000132 0000R 00001*")</f>
        <v>3416.99</v>
      </c>
      <c r="G3707" s="35">
        <f>SUMIFS(G3708:G9015,K3708:K9015,"0",B3708:B9015,"5 1 1 3 2 12 31111 6 M59 93000 000132 0000R 00001*")</f>
        <v>0</v>
      </c>
      <c r="H3707" s="35">
        <f t="shared" si="58"/>
        <v>3416.99</v>
      </c>
      <c r="I3707" s="35"/>
      <c r="K3707" t="s">
        <v>15</v>
      </c>
    </row>
    <row r="3708" spans="2:11" ht="24.75" x14ac:dyDescent="0.2">
      <c r="B3708" s="33" t="s">
        <v>4644</v>
      </c>
      <c r="C3708" s="33" t="s">
        <v>4041</v>
      </c>
      <c r="D3708" s="35">
        <f>SUMIFS(D3709:D9015,K3709:K9015,"0",B3709:B9015,"5 1 1 3 2 12 31111 6 M59 93000 000132 0000R 00001 00132*")-SUMIFS(E3709:E9015,K3709:K9015,"0",B3709:B9015,"5 1 1 3 2 12 31111 6 M59 93000 000132 0000R 00001 00132*")</f>
        <v>0</v>
      </c>
      <c r="E3708"/>
      <c r="F3708" s="35">
        <f>SUMIFS(F3709:F9015,K3709:K9015,"0",B3709:B9015,"5 1 1 3 2 12 31111 6 M59 93000 000132 0000R 00001 00132*")</f>
        <v>3416.99</v>
      </c>
      <c r="G3708" s="35">
        <f>SUMIFS(G3709:G9015,K3709:K9015,"0",B3709:B9015,"5 1 1 3 2 12 31111 6 M59 93000 000132 0000R 00001 00132*")</f>
        <v>0</v>
      </c>
      <c r="H3708" s="35">
        <f t="shared" si="58"/>
        <v>3416.99</v>
      </c>
      <c r="I3708" s="35"/>
      <c r="K3708" t="s">
        <v>15</v>
      </c>
    </row>
    <row r="3709" spans="2:11" ht="33" x14ac:dyDescent="0.2">
      <c r="B3709" s="33" t="s">
        <v>4645</v>
      </c>
      <c r="C3709" s="33" t="s">
        <v>1051</v>
      </c>
      <c r="D3709" s="35">
        <f>SUMIFS(D3710:D9015,K3710:K9015,"0",B3710:B9015,"5 1 1 3 2 12 31111 6 M59 93000 000132 0000R 00001 00132 015*")-SUMIFS(E3710:E9015,K3710:K9015,"0",B3710:B9015,"5 1 1 3 2 12 31111 6 M59 93000 000132 0000R 00001 00132 015*")</f>
        <v>0</v>
      </c>
      <c r="E3709"/>
      <c r="F3709" s="35">
        <f>SUMIFS(F3710:F9015,K3710:K9015,"0",B3710:B9015,"5 1 1 3 2 12 31111 6 M59 93000 000132 0000R 00001 00132 015*")</f>
        <v>3416.99</v>
      </c>
      <c r="G3709" s="35">
        <f>SUMIFS(G3710:G9015,K3710:K9015,"0",B3710:B9015,"5 1 1 3 2 12 31111 6 M59 93000 000132 0000R 00001 00132 015*")</f>
        <v>0</v>
      </c>
      <c r="H3709" s="35">
        <f t="shared" si="58"/>
        <v>3416.99</v>
      </c>
      <c r="I3709" s="35"/>
      <c r="K3709" t="s">
        <v>15</v>
      </c>
    </row>
    <row r="3710" spans="2:11" ht="33" x14ac:dyDescent="0.2">
      <c r="B3710" s="33" t="s">
        <v>4646</v>
      </c>
      <c r="C3710" s="33" t="s">
        <v>2927</v>
      </c>
      <c r="D3710" s="35">
        <f>SUMIFS(D3711:D9015,K3711:K9015,"0",B3711:B9015,"5 1 1 3 2 12 31111 6 M59 93000 000132 0000R 00001 00132 015 2111100*")-SUMIFS(E3711:E9015,K3711:K9015,"0",B3711:B9015,"5 1 1 3 2 12 31111 6 M59 93000 000132 0000R 00001 00132 015 2111100*")</f>
        <v>0</v>
      </c>
      <c r="E3710"/>
      <c r="F3710" s="35">
        <f>SUMIFS(F3711:F9015,K3711:K9015,"0",B3711:B9015,"5 1 1 3 2 12 31111 6 M59 93000 000132 0000R 00001 00132 015 2111100*")</f>
        <v>3416.99</v>
      </c>
      <c r="G3710" s="35">
        <f>SUMIFS(G3711:G9015,K3711:K9015,"0",B3711:B9015,"5 1 1 3 2 12 31111 6 M59 93000 000132 0000R 00001 00132 015 2111100*")</f>
        <v>0</v>
      </c>
      <c r="H3710" s="35">
        <f t="shared" si="58"/>
        <v>3416.99</v>
      </c>
      <c r="I3710" s="35"/>
      <c r="K3710" t="s">
        <v>15</v>
      </c>
    </row>
    <row r="3711" spans="2:11" ht="33" x14ac:dyDescent="0.2">
      <c r="B3711" s="33" t="s">
        <v>4647</v>
      </c>
      <c r="C3711" s="33" t="s">
        <v>660</v>
      </c>
      <c r="D3711" s="35">
        <f>SUMIFS(D3712:D9015,K3712:K9015,"0",B3712:B9015,"5 1 1 3 2 12 31111 6 M59 93000 000132 0000R 00001 00132 015 2111100 2024*")-SUMIFS(E3712:E9015,K3712:K9015,"0",B3712:B9015,"5 1 1 3 2 12 31111 6 M59 93000 000132 0000R 00001 00132 015 2111100 2024*")</f>
        <v>0</v>
      </c>
      <c r="E3711"/>
      <c r="F3711" s="35">
        <f>SUMIFS(F3712:F9015,K3712:K9015,"0",B3712:B9015,"5 1 1 3 2 12 31111 6 M59 93000 000132 0000R 00001 00132 015 2111100 2024*")</f>
        <v>3416.99</v>
      </c>
      <c r="G3711" s="35">
        <f>SUMIFS(G3712:G9015,K3712:K9015,"0",B3712:B9015,"5 1 1 3 2 12 31111 6 M59 93000 000132 0000R 00001 00132 015 2111100 2024*")</f>
        <v>0</v>
      </c>
      <c r="H3711" s="35">
        <f t="shared" si="58"/>
        <v>3416.99</v>
      </c>
      <c r="I3711" s="35"/>
      <c r="K3711" t="s">
        <v>15</v>
      </c>
    </row>
    <row r="3712" spans="2:11" ht="41.25" x14ac:dyDescent="0.2">
      <c r="B3712" s="33" t="s">
        <v>4648</v>
      </c>
      <c r="C3712" s="33" t="s">
        <v>1056</v>
      </c>
      <c r="D3712" s="35">
        <f>SUMIFS(D3713:D9015,K3713:K9015,"0",B3713:B9015,"5 1 1 3 2 12 31111 6 M59 93000 000132 0000R 00001 00132 015 2111100 2024 CP1RS429*")-SUMIFS(E3713:E9015,K3713:K9015,"0",B3713:B9015,"5 1 1 3 2 12 31111 6 M59 93000 000132 0000R 00001 00132 015 2111100 2024 CP1RS429*")</f>
        <v>0</v>
      </c>
      <c r="E3712"/>
      <c r="F3712" s="35">
        <f>SUMIFS(F3713:F9015,K3713:K9015,"0",B3713:B9015,"5 1 1 3 2 12 31111 6 M59 93000 000132 0000R 00001 00132 015 2111100 2024 CP1RS429*")</f>
        <v>3416.99</v>
      </c>
      <c r="G3712" s="35">
        <f>SUMIFS(G3713:G9015,K3713:K9015,"0",B3713:B9015,"5 1 1 3 2 12 31111 6 M59 93000 000132 0000R 00001 00132 015 2111100 2024 CP1RS429*")</f>
        <v>0</v>
      </c>
      <c r="H3712" s="35">
        <f t="shared" si="58"/>
        <v>3416.99</v>
      </c>
      <c r="I3712" s="35"/>
      <c r="K3712" t="s">
        <v>15</v>
      </c>
    </row>
    <row r="3713" spans="2:11" ht="41.25" x14ac:dyDescent="0.2">
      <c r="B3713" s="33" t="s">
        <v>4649</v>
      </c>
      <c r="C3713" s="33" t="s">
        <v>282</v>
      </c>
      <c r="D3713" s="35">
        <f>SUMIFS(D3714:D9015,K3714:K9015,"0",B3714:B9015,"5 1 1 3 2 12 31111 6 M59 93000 000132 0000R 00001 00132 015 2111100 2024 CP1RS429 001*")-SUMIFS(E3714:E9015,K3714:K9015,"0",B3714:B9015,"5 1 1 3 2 12 31111 6 M59 93000 000132 0000R 00001 00132 015 2111100 2024 CP1RS429 001*")</f>
        <v>0</v>
      </c>
      <c r="E3713"/>
      <c r="F3713" s="35">
        <f>SUMIFS(F3714:F9015,K3714:K9015,"0",B3714:B9015,"5 1 1 3 2 12 31111 6 M59 93000 000132 0000R 00001 00132 015 2111100 2024 CP1RS429 001*")</f>
        <v>3416.99</v>
      </c>
      <c r="G3713" s="35">
        <f>SUMIFS(G3714:G9015,K3714:K9015,"0",B3714:B9015,"5 1 1 3 2 12 31111 6 M59 93000 000132 0000R 00001 00132 015 2111100 2024 CP1RS429 001*")</f>
        <v>0</v>
      </c>
      <c r="H3713" s="35">
        <f t="shared" si="58"/>
        <v>3416.99</v>
      </c>
      <c r="I3713" s="35"/>
      <c r="K3713" t="s">
        <v>15</v>
      </c>
    </row>
    <row r="3714" spans="2:11" ht="41.25" x14ac:dyDescent="0.2">
      <c r="B3714" s="31" t="s">
        <v>4650</v>
      </c>
      <c r="C3714" s="31" t="s">
        <v>1519</v>
      </c>
      <c r="D3714" s="34">
        <v>0</v>
      </c>
      <c r="E3714" s="34"/>
      <c r="F3714" s="34">
        <v>3416.99</v>
      </c>
      <c r="G3714" s="34">
        <v>0</v>
      </c>
      <c r="H3714" s="34">
        <f t="shared" si="58"/>
        <v>3416.99</v>
      </c>
      <c r="I3714" s="34"/>
      <c r="K3714" t="s">
        <v>38</v>
      </c>
    </row>
    <row r="3715" spans="2:11" ht="16.5" x14ac:dyDescent="0.2">
      <c r="B3715" s="33" t="s">
        <v>4651</v>
      </c>
      <c r="C3715" s="33" t="s">
        <v>3644</v>
      </c>
      <c r="D3715" s="35">
        <f>SUMIFS(D3716:D9015,K3716:K9015,"0",B3716:B9015,"5 1 1 3 2 12 31111 6 M59 94000*")-SUMIFS(E3716:E9015,K3716:K9015,"0",B3716:B9015,"5 1 1 3 2 12 31111 6 M59 94000*")</f>
        <v>0</v>
      </c>
      <c r="E3715"/>
      <c r="F3715" s="35">
        <f>SUMIFS(F3716:F9015,K3716:K9015,"0",B3716:B9015,"5 1 1 3 2 12 31111 6 M59 94000*")</f>
        <v>12647.28</v>
      </c>
      <c r="G3715" s="35">
        <f>SUMIFS(G3716:G9015,K3716:K9015,"0",B3716:B9015,"5 1 1 3 2 12 31111 6 M59 94000*")</f>
        <v>0</v>
      </c>
      <c r="H3715" s="35">
        <f t="shared" si="58"/>
        <v>12647.28</v>
      </c>
      <c r="I3715" s="35"/>
      <c r="K3715" t="s">
        <v>15</v>
      </c>
    </row>
    <row r="3716" spans="2:11" ht="24.75" x14ac:dyDescent="0.2">
      <c r="B3716" s="33" t="s">
        <v>4652</v>
      </c>
      <c r="C3716" s="33" t="s">
        <v>3152</v>
      </c>
      <c r="D3716" s="35">
        <f>SUMIFS(D3717:D9015,K3717:K9015,"0",B3717:B9015,"5 1 1 3 2 12 31111 6 M59 94000 000181*")-SUMIFS(E3717:E9015,K3717:K9015,"0",B3717:B9015,"5 1 1 3 2 12 31111 6 M59 94000 000181*")</f>
        <v>0</v>
      </c>
      <c r="E3716"/>
      <c r="F3716" s="35">
        <f>SUMIFS(F3717:F9015,K3717:K9015,"0",B3717:B9015,"5 1 1 3 2 12 31111 6 M59 94000 000181*")</f>
        <v>12647.28</v>
      </c>
      <c r="G3716" s="35">
        <f>SUMIFS(G3717:G9015,K3717:K9015,"0",B3717:B9015,"5 1 1 3 2 12 31111 6 M59 94000 000181*")</f>
        <v>0</v>
      </c>
      <c r="H3716" s="35">
        <f t="shared" ref="H3716:H3779" si="59">D3716 + F3716 - G3716</f>
        <v>12647.28</v>
      </c>
      <c r="I3716" s="35"/>
      <c r="K3716" t="s">
        <v>15</v>
      </c>
    </row>
    <row r="3717" spans="2:11" ht="24.75" x14ac:dyDescent="0.2">
      <c r="B3717" s="33" t="s">
        <v>4653</v>
      </c>
      <c r="C3717" s="33" t="s">
        <v>650</v>
      </c>
      <c r="D3717" s="35">
        <f>SUMIFS(D3718:D9015,K3718:K9015,"0",B3718:B9015,"5 1 1 3 2 12 31111 6 M59 94000 000181 0000R*")-SUMIFS(E3718:E9015,K3718:K9015,"0",B3718:B9015,"5 1 1 3 2 12 31111 6 M59 94000 000181 0000R*")</f>
        <v>0</v>
      </c>
      <c r="E3717"/>
      <c r="F3717" s="35">
        <f>SUMIFS(F3718:F9015,K3718:K9015,"0",B3718:B9015,"5 1 1 3 2 12 31111 6 M59 94000 000181 0000R*")</f>
        <v>12647.28</v>
      </c>
      <c r="G3717" s="35">
        <f>SUMIFS(G3718:G9015,K3718:K9015,"0",B3718:B9015,"5 1 1 3 2 12 31111 6 M59 94000 000181 0000R*")</f>
        <v>0</v>
      </c>
      <c r="H3717" s="35">
        <f t="shared" si="59"/>
        <v>12647.28</v>
      </c>
      <c r="I3717" s="35"/>
      <c r="K3717" t="s">
        <v>15</v>
      </c>
    </row>
    <row r="3718" spans="2:11" ht="24.75" x14ac:dyDescent="0.2">
      <c r="B3718" s="33" t="s">
        <v>4654</v>
      </c>
      <c r="C3718" s="33" t="s">
        <v>282</v>
      </c>
      <c r="D3718" s="35">
        <f>SUMIFS(D3719:D9015,K3719:K9015,"0",B3719:B9015,"5 1 1 3 2 12 31111 6 M59 94000 000181 0000R 00001*")-SUMIFS(E3719:E9015,K3719:K9015,"0",B3719:B9015,"5 1 1 3 2 12 31111 6 M59 94000 000181 0000R 00001*")</f>
        <v>0</v>
      </c>
      <c r="E3718"/>
      <c r="F3718" s="35">
        <f>SUMIFS(F3719:F9015,K3719:K9015,"0",B3719:B9015,"5 1 1 3 2 12 31111 6 M59 94000 000181 0000R 00001*")</f>
        <v>12647.28</v>
      </c>
      <c r="G3718" s="35">
        <f>SUMIFS(G3719:G9015,K3719:K9015,"0",B3719:B9015,"5 1 1 3 2 12 31111 6 M59 94000 000181 0000R 00001*")</f>
        <v>0</v>
      </c>
      <c r="H3718" s="35">
        <f t="shared" si="59"/>
        <v>12647.28</v>
      </c>
      <c r="I3718" s="35"/>
      <c r="K3718" t="s">
        <v>15</v>
      </c>
    </row>
    <row r="3719" spans="2:11" ht="24.75" x14ac:dyDescent="0.2">
      <c r="B3719" s="33" t="s">
        <v>4655</v>
      </c>
      <c r="C3719" s="33" t="s">
        <v>4041</v>
      </c>
      <c r="D3719" s="35">
        <f>SUMIFS(D3720:D9015,K3720:K9015,"0",B3720:B9015,"5 1 1 3 2 12 31111 6 M59 94000 000181 0000R 00001 00132*")-SUMIFS(E3720:E9015,K3720:K9015,"0",B3720:B9015,"5 1 1 3 2 12 31111 6 M59 94000 000181 0000R 00001 00132*")</f>
        <v>0</v>
      </c>
      <c r="E3719"/>
      <c r="F3719" s="35">
        <f>SUMIFS(F3720:F9015,K3720:K9015,"0",B3720:B9015,"5 1 1 3 2 12 31111 6 M59 94000 000181 0000R 00001 00132*")</f>
        <v>12647.28</v>
      </c>
      <c r="G3719" s="35">
        <f>SUMIFS(G3720:G9015,K3720:K9015,"0",B3720:B9015,"5 1 1 3 2 12 31111 6 M59 94000 000181 0000R 00001 00132*")</f>
        <v>0</v>
      </c>
      <c r="H3719" s="35">
        <f t="shared" si="59"/>
        <v>12647.28</v>
      </c>
      <c r="I3719" s="35"/>
      <c r="K3719" t="s">
        <v>15</v>
      </c>
    </row>
    <row r="3720" spans="2:11" ht="33" x14ac:dyDescent="0.2">
      <c r="B3720" s="33" t="s">
        <v>4656</v>
      </c>
      <c r="C3720" s="33" t="s">
        <v>1051</v>
      </c>
      <c r="D3720" s="35">
        <f>SUMIFS(D3721:D9015,K3721:K9015,"0",B3721:B9015,"5 1 1 3 2 12 31111 6 M59 94000 000181 0000R 00001 00132 015*")-SUMIFS(E3721:E9015,K3721:K9015,"0",B3721:B9015,"5 1 1 3 2 12 31111 6 M59 94000 000181 0000R 00001 00132 015*")</f>
        <v>0</v>
      </c>
      <c r="E3720"/>
      <c r="F3720" s="35">
        <f>SUMIFS(F3721:F9015,K3721:K9015,"0",B3721:B9015,"5 1 1 3 2 12 31111 6 M59 94000 000181 0000R 00001 00132 015*")</f>
        <v>12647.28</v>
      </c>
      <c r="G3720" s="35">
        <f>SUMIFS(G3721:G9015,K3721:K9015,"0",B3721:B9015,"5 1 1 3 2 12 31111 6 M59 94000 000181 0000R 00001 00132 015*")</f>
        <v>0</v>
      </c>
      <c r="H3720" s="35">
        <f t="shared" si="59"/>
        <v>12647.28</v>
      </c>
      <c r="I3720" s="35"/>
      <c r="K3720" t="s">
        <v>15</v>
      </c>
    </row>
    <row r="3721" spans="2:11" ht="33" x14ac:dyDescent="0.2">
      <c r="B3721" s="33" t="s">
        <v>4657</v>
      </c>
      <c r="C3721" s="33" t="s">
        <v>2927</v>
      </c>
      <c r="D3721" s="35">
        <f>SUMIFS(D3722:D9015,K3722:K9015,"0",B3722:B9015,"5 1 1 3 2 12 31111 6 M59 94000 000181 0000R 00001 00132 015 2111100*")-SUMIFS(E3722:E9015,K3722:K9015,"0",B3722:B9015,"5 1 1 3 2 12 31111 6 M59 94000 000181 0000R 00001 00132 015 2111100*")</f>
        <v>0</v>
      </c>
      <c r="E3721"/>
      <c r="F3721" s="35">
        <f>SUMIFS(F3722:F9015,K3722:K9015,"0",B3722:B9015,"5 1 1 3 2 12 31111 6 M59 94000 000181 0000R 00001 00132 015 2111100*")</f>
        <v>12647.28</v>
      </c>
      <c r="G3721" s="35">
        <f>SUMIFS(G3722:G9015,K3722:K9015,"0",B3722:B9015,"5 1 1 3 2 12 31111 6 M59 94000 000181 0000R 00001 00132 015 2111100*")</f>
        <v>0</v>
      </c>
      <c r="H3721" s="35">
        <f t="shared" si="59"/>
        <v>12647.28</v>
      </c>
      <c r="I3721" s="35"/>
      <c r="K3721" t="s">
        <v>15</v>
      </c>
    </row>
    <row r="3722" spans="2:11" ht="33" x14ac:dyDescent="0.2">
      <c r="B3722" s="33" t="s">
        <v>4658</v>
      </c>
      <c r="C3722" s="33" t="s">
        <v>660</v>
      </c>
      <c r="D3722" s="35">
        <f>SUMIFS(D3723:D9015,K3723:K9015,"0",B3723:B9015,"5 1 1 3 2 12 31111 6 M59 94000 000181 0000R 00001 00132 015 2111100 2024*")-SUMIFS(E3723:E9015,K3723:K9015,"0",B3723:B9015,"5 1 1 3 2 12 31111 6 M59 94000 000181 0000R 00001 00132 015 2111100 2024*")</f>
        <v>0</v>
      </c>
      <c r="E3722"/>
      <c r="F3722" s="35">
        <f>SUMIFS(F3723:F9015,K3723:K9015,"0",B3723:B9015,"5 1 1 3 2 12 31111 6 M59 94000 000181 0000R 00001 00132 015 2111100 2024*")</f>
        <v>12647.28</v>
      </c>
      <c r="G3722" s="35">
        <f>SUMIFS(G3723:G9015,K3723:K9015,"0",B3723:B9015,"5 1 1 3 2 12 31111 6 M59 94000 000181 0000R 00001 00132 015 2111100 2024*")</f>
        <v>0</v>
      </c>
      <c r="H3722" s="35">
        <f t="shared" si="59"/>
        <v>12647.28</v>
      </c>
      <c r="I3722" s="35"/>
      <c r="K3722" t="s">
        <v>15</v>
      </c>
    </row>
    <row r="3723" spans="2:11" ht="41.25" x14ac:dyDescent="0.2">
      <c r="B3723" s="33" t="s">
        <v>4659</v>
      </c>
      <c r="C3723" s="33" t="s">
        <v>1056</v>
      </c>
      <c r="D3723" s="35">
        <f>SUMIFS(D3724:D9015,K3724:K9015,"0",B3724:B9015,"5 1 1 3 2 12 31111 6 M59 94000 000181 0000R 00001 00132 015 2111100 2024 CP1OM392*")-SUMIFS(E3724:E9015,K3724:K9015,"0",B3724:B9015,"5 1 1 3 2 12 31111 6 M59 94000 000181 0000R 00001 00132 015 2111100 2024 CP1OM392*")</f>
        <v>0</v>
      </c>
      <c r="E3723"/>
      <c r="F3723" s="35">
        <f>SUMIFS(F3724:F9015,K3724:K9015,"0",B3724:B9015,"5 1 1 3 2 12 31111 6 M59 94000 000181 0000R 00001 00132 015 2111100 2024 CP1OM392*")</f>
        <v>12647.28</v>
      </c>
      <c r="G3723" s="35">
        <f>SUMIFS(G3724:G9015,K3724:K9015,"0",B3724:B9015,"5 1 1 3 2 12 31111 6 M59 94000 000181 0000R 00001 00132 015 2111100 2024 CP1OM392*")</f>
        <v>0</v>
      </c>
      <c r="H3723" s="35">
        <f t="shared" si="59"/>
        <v>12647.28</v>
      </c>
      <c r="I3723" s="35"/>
      <c r="K3723" t="s">
        <v>15</v>
      </c>
    </row>
    <row r="3724" spans="2:11" ht="41.25" x14ac:dyDescent="0.2">
      <c r="B3724" s="33" t="s">
        <v>4660</v>
      </c>
      <c r="C3724" s="33" t="s">
        <v>282</v>
      </c>
      <c r="D3724" s="35">
        <f>SUMIFS(D3725:D9015,K3725:K9015,"0",B3725:B9015,"5 1 1 3 2 12 31111 6 M59 94000 000181 0000R 00001 00132 015 2111100 2024 CP1OM392 001*")-SUMIFS(E3725:E9015,K3725:K9015,"0",B3725:B9015,"5 1 1 3 2 12 31111 6 M59 94000 000181 0000R 00001 00132 015 2111100 2024 CP1OM392 001*")</f>
        <v>0</v>
      </c>
      <c r="E3724"/>
      <c r="F3724" s="35">
        <f>SUMIFS(F3725:F9015,K3725:K9015,"0",B3725:B9015,"5 1 1 3 2 12 31111 6 M59 94000 000181 0000R 00001 00132 015 2111100 2024 CP1OM392 001*")</f>
        <v>12647.28</v>
      </c>
      <c r="G3724" s="35">
        <f>SUMIFS(G3725:G9015,K3725:K9015,"0",B3725:B9015,"5 1 1 3 2 12 31111 6 M59 94000 000181 0000R 00001 00132 015 2111100 2024 CP1OM392 001*")</f>
        <v>0</v>
      </c>
      <c r="H3724" s="35">
        <f t="shared" si="59"/>
        <v>12647.28</v>
      </c>
      <c r="I3724" s="35"/>
      <c r="K3724" t="s">
        <v>15</v>
      </c>
    </row>
    <row r="3725" spans="2:11" ht="33" x14ac:dyDescent="0.2">
      <c r="B3725" s="31" t="s">
        <v>4661</v>
      </c>
      <c r="C3725" s="31" t="s">
        <v>1519</v>
      </c>
      <c r="D3725" s="34">
        <v>0</v>
      </c>
      <c r="E3725" s="34"/>
      <c r="F3725" s="34">
        <v>11663.92</v>
      </c>
      <c r="G3725" s="34">
        <v>0</v>
      </c>
      <c r="H3725" s="34">
        <f t="shared" si="59"/>
        <v>11663.92</v>
      </c>
      <c r="I3725" s="34"/>
      <c r="K3725" t="s">
        <v>38</v>
      </c>
    </row>
    <row r="3726" spans="2:11" ht="33" x14ac:dyDescent="0.2">
      <c r="B3726" s="31" t="s">
        <v>4662</v>
      </c>
      <c r="C3726" s="31" t="s">
        <v>4435</v>
      </c>
      <c r="D3726" s="34">
        <v>0</v>
      </c>
      <c r="E3726" s="34"/>
      <c r="F3726" s="34">
        <v>983.36</v>
      </c>
      <c r="G3726" s="34">
        <v>0</v>
      </c>
      <c r="H3726" s="34">
        <f t="shared" si="59"/>
        <v>983.36</v>
      </c>
      <c r="I3726" s="34"/>
      <c r="K3726" t="s">
        <v>38</v>
      </c>
    </row>
    <row r="3727" spans="2:11" ht="16.5" x14ac:dyDescent="0.2">
      <c r="B3727" s="33" t="s">
        <v>4663</v>
      </c>
      <c r="C3727" s="33" t="s">
        <v>3656</v>
      </c>
      <c r="D3727" s="35">
        <f>SUMIFS(D3728:D9015,K3728:K9015,"0",B3728:B9015,"5 1 1 3 2 12 31111 6 M59 94100*")-SUMIFS(E3728:E9015,K3728:K9015,"0",B3728:B9015,"5 1 1 3 2 12 31111 6 M59 94100*")</f>
        <v>0</v>
      </c>
      <c r="E3727"/>
      <c r="F3727" s="35">
        <f>SUMIFS(F3728:F9015,K3728:K9015,"0",B3728:B9015,"5 1 1 3 2 12 31111 6 M59 94100*")</f>
        <v>3331.86</v>
      </c>
      <c r="G3727" s="35">
        <f>SUMIFS(G3728:G9015,K3728:K9015,"0",B3728:B9015,"5 1 1 3 2 12 31111 6 M59 94100*")</f>
        <v>0</v>
      </c>
      <c r="H3727" s="35">
        <f t="shared" si="59"/>
        <v>3331.86</v>
      </c>
      <c r="I3727" s="35"/>
      <c r="K3727" t="s">
        <v>15</v>
      </c>
    </row>
    <row r="3728" spans="2:11" ht="16.5" x14ac:dyDescent="0.2">
      <c r="B3728" s="33" t="s">
        <v>4664</v>
      </c>
      <c r="C3728" s="33" t="s">
        <v>648</v>
      </c>
      <c r="D3728" s="35">
        <f>SUMIFS(D3729:D9015,K3729:K9015,"0",B3729:B9015,"5 1 1 3 2 12 31111 6 M59 94100 000132*")-SUMIFS(E3729:E9015,K3729:K9015,"0",B3729:B9015,"5 1 1 3 2 12 31111 6 M59 94100 000132*")</f>
        <v>0</v>
      </c>
      <c r="E3728"/>
      <c r="F3728" s="35">
        <f>SUMIFS(F3729:F9015,K3729:K9015,"0",B3729:B9015,"5 1 1 3 2 12 31111 6 M59 94100 000132*")</f>
        <v>3331.86</v>
      </c>
      <c r="G3728" s="35">
        <f>SUMIFS(G3729:G9015,K3729:K9015,"0",B3729:B9015,"5 1 1 3 2 12 31111 6 M59 94100 000132*")</f>
        <v>0</v>
      </c>
      <c r="H3728" s="35">
        <f t="shared" si="59"/>
        <v>3331.86</v>
      </c>
      <c r="I3728" s="35"/>
      <c r="K3728" t="s">
        <v>15</v>
      </c>
    </row>
    <row r="3729" spans="2:11" ht="24.75" x14ac:dyDescent="0.2">
      <c r="B3729" s="33" t="s">
        <v>4665</v>
      </c>
      <c r="C3729" s="33" t="s">
        <v>650</v>
      </c>
      <c r="D3729" s="35">
        <f>SUMIFS(D3730:D9015,K3730:K9015,"0",B3730:B9015,"5 1 1 3 2 12 31111 6 M59 94100 000132 0000R*")-SUMIFS(E3730:E9015,K3730:K9015,"0",B3730:B9015,"5 1 1 3 2 12 31111 6 M59 94100 000132 0000R*")</f>
        <v>0</v>
      </c>
      <c r="E3729"/>
      <c r="F3729" s="35">
        <f>SUMIFS(F3730:F9015,K3730:K9015,"0",B3730:B9015,"5 1 1 3 2 12 31111 6 M59 94100 000132 0000R*")</f>
        <v>3331.86</v>
      </c>
      <c r="G3729" s="35">
        <f>SUMIFS(G3730:G9015,K3730:K9015,"0",B3730:B9015,"5 1 1 3 2 12 31111 6 M59 94100 000132 0000R*")</f>
        <v>0</v>
      </c>
      <c r="H3729" s="35">
        <f t="shared" si="59"/>
        <v>3331.86</v>
      </c>
      <c r="I3729" s="35"/>
      <c r="K3729" t="s">
        <v>15</v>
      </c>
    </row>
    <row r="3730" spans="2:11" ht="24.75" x14ac:dyDescent="0.2">
      <c r="B3730" s="33" t="s">
        <v>4666</v>
      </c>
      <c r="C3730" s="33" t="s">
        <v>282</v>
      </c>
      <c r="D3730" s="35">
        <f>SUMIFS(D3731:D9015,K3731:K9015,"0",B3731:B9015,"5 1 1 3 2 12 31111 6 M59 94100 000132 0000R 00001*")-SUMIFS(E3731:E9015,K3731:K9015,"0",B3731:B9015,"5 1 1 3 2 12 31111 6 M59 94100 000132 0000R 00001*")</f>
        <v>0</v>
      </c>
      <c r="E3730"/>
      <c r="F3730" s="35">
        <f>SUMIFS(F3731:F9015,K3731:K9015,"0",B3731:B9015,"5 1 1 3 2 12 31111 6 M59 94100 000132 0000R 00001*")</f>
        <v>3331.86</v>
      </c>
      <c r="G3730" s="35">
        <f>SUMIFS(G3731:G9015,K3731:K9015,"0",B3731:B9015,"5 1 1 3 2 12 31111 6 M59 94100 000132 0000R 00001*")</f>
        <v>0</v>
      </c>
      <c r="H3730" s="35">
        <f t="shared" si="59"/>
        <v>3331.86</v>
      </c>
      <c r="I3730" s="35"/>
      <c r="K3730" t="s">
        <v>15</v>
      </c>
    </row>
    <row r="3731" spans="2:11" ht="24.75" x14ac:dyDescent="0.2">
      <c r="B3731" s="33" t="s">
        <v>4667</v>
      </c>
      <c r="C3731" s="33" t="s">
        <v>4041</v>
      </c>
      <c r="D3731" s="35">
        <f>SUMIFS(D3732:D9015,K3732:K9015,"0",B3732:B9015,"5 1 1 3 2 12 31111 6 M59 94100 000132 0000R 00001 00132*")-SUMIFS(E3732:E9015,K3732:K9015,"0",B3732:B9015,"5 1 1 3 2 12 31111 6 M59 94100 000132 0000R 00001 00132*")</f>
        <v>0</v>
      </c>
      <c r="E3731"/>
      <c r="F3731" s="35">
        <f>SUMIFS(F3732:F9015,K3732:K9015,"0",B3732:B9015,"5 1 1 3 2 12 31111 6 M59 94100 000132 0000R 00001 00132*")</f>
        <v>3331.86</v>
      </c>
      <c r="G3731" s="35">
        <f>SUMIFS(G3732:G9015,K3732:K9015,"0",B3732:B9015,"5 1 1 3 2 12 31111 6 M59 94100 000132 0000R 00001 00132*")</f>
        <v>0</v>
      </c>
      <c r="H3731" s="35">
        <f t="shared" si="59"/>
        <v>3331.86</v>
      </c>
      <c r="I3731" s="35"/>
      <c r="K3731" t="s">
        <v>15</v>
      </c>
    </row>
    <row r="3732" spans="2:11" ht="33" x14ac:dyDescent="0.2">
      <c r="B3732" s="33" t="s">
        <v>4668</v>
      </c>
      <c r="C3732" s="33" t="s">
        <v>1051</v>
      </c>
      <c r="D3732" s="35">
        <f>SUMIFS(D3733:D9015,K3733:K9015,"0",B3733:B9015,"5 1 1 3 2 12 31111 6 M59 94100 000132 0000R 00001 00132 015*")-SUMIFS(E3733:E9015,K3733:K9015,"0",B3733:B9015,"5 1 1 3 2 12 31111 6 M59 94100 000132 0000R 00001 00132 015*")</f>
        <v>0</v>
      </c>
      <c r="E3732"/>
      <c r="F3732" s="35">
        <f>SUMIFS(F3733:F9015,K3733:K9015,"0",B3733:B9015,"5 1 1 3 2 12 31111 6 M59 94100 000132 0000R 00001 00132 015*")</f>
        <v>3331.86</v>
      </c>
      <c r="G3732" s="35">
        <f>SUMIFS(G3733:G9015,K3733:K9015,"0",B3733:B9015,"5 1 1 3 2 12 31111 6 M59 94100 000132 0000R 00001 00132 015*")</f>
        <v>0</v>
      </c>
      <c r="H3732" s="35">
        <f t="shared" si="59"/>
        <v>3331.86</v>
      </c>
      <c r="I3732" s="35"/>
      <c r="K3732" t="s">
        <v>15</v>
      </c>
    </row>
    <row r="3733" spans="2:11" ht="33" x14ac:dyDescent="0.2">
      <c r="B3733" s="33" t="s">
        <v>4669</v>
      </c>
      <c r="C3733" s="33" t="s">
        <v>2927</v>
      </c>
      <c r="D3733" s="35">
        <f>SUMIFS(D3734:D9015,K3734:K9015,"0",B3734:B9015,"5 1 1 3 2 12 31111 6 M59 94100 000132 0000R 00001 00132 015 2111100*")-SUMIFS(E3734:E9015,K3734:K9015,"0",B3734:B9015,"5 1 1 3 2 12 31111 6 M59 94100 000132 0000R 00001 00132 015 2111100*")</f>
        <v>0</v>
      </c>
      <c r="E3733"/>
      <c r="F3733" s="35">
        <f>SUMIFS(F3734:F9015,K3734:K9015,"0",B3734:B9015,"5 1 1 3 2 12 31111 6 M59 94100 000132 0000R 00001 00132 015 2111100*")</f>
        <v>3331.86</v>
      </c>
      <c r="G3733" s="35">
        <f>SUMIFS(G3734:G9015,K3734:K9015,"0",B3734:B9015,"5 1 1 3 2 12 31111 6 M59 94100 000132 0000R 00001 00132 015 2111100*")</f>
        <v>0</v>
      </c>
      <c r="H3733" s="35">
        <f t="shared" si="59"/>
        <v>3331.86</v>
      </c>
      <c r="I3733" s="35"/>
      <c r="K3733" t="s">
        <v>15</v>
      </c>
    </row>
    <row r="3734" spans="2:11" ht="33" x14ac:dyDescent="0.2">
      <c r="B3734" s="33" t="s">
        <v>4670</v>
      </c>
      <c r="C3734" s="33" t="s">
        <v>660</v>
      </c>
      <c r="D3734" s="35">
        <f>SUMIFS(D3735:D9015,K3735:K9015,"0",B3735:B9015,"5 1 1 3 2 12 31111 6 M59 94100 000132 0000R 00001 00132 015 2111100 2024*")-SUMIFS(E3735:E9015,K3735:K9015,"0",B3735:B9015,"5 1 1 3 2 12 31111 6 M59 94100 000132 0000R 00001 00132 015 2111100 2024*")</f>
        <v>0</v>
      </c>
      <c r="E3734"/>
      <c r="F3734" s="35">
        <f>SUMIFS(F3735:F9015,K3735:K9015,"0",B3735:B9015,"5 1 1 3 2 12 31111 6 M59 94100 000132 0000R 00001 00132 015 2111100 2024*")</f>
        <v>3331.86</v>
      </c>
      <c r="G3734" s="35">
        <f>SUMIFS(G3735:G9015,K3735:K9015,"0",B3735:B9015,"5 1 1 3 2 12 31111 6 M59 94100 000132 0000R 00001 00132 015 2111100 2024*")</f>
        <v>0</v>
      </c>
      <c r="H3734" s="35">
        <f t="shared" si="59"/>
        <v>3331.86</v>
      </c>
      <c r="I3734" s="35"/>
      <c r="K3734" t="s">
        <v>15</v>
      </c>
    </row>
    <row r="3735" spans="2:11" ht="41.25" x14ac:dyDescent="0.2">
      <c r="B3735" s="33" t="s">
        <v>4671</v>
      </c>
      <c r="C3735" s="33" t="s">
        <v>1056</v>
      </c>
      <c r="D3735" s="35">
        <f>SUMIFS(D3736:D9015,K3736:K9015,"0",B3736:B9015,"5 1 1 3 2 12 31111 6 M59 94100 000132 0000R 00001 00132 015 2111100 2024 CP1AT427*")-SUMIFS(E3736:E9015,K3736:K9015,"0",B3736:B9015,"5 1 1 3 2 12 31111 6 M59 94100 000132 0000R 00001 00132 015 2111100 2024 CP1AT427*")</f>
        <v>0</v>
      </c>
      <c r="E3735"/>
      <c r="F3735" s="35">
        <f>SUMIFS(F3736:F9015,K3736:K9015,"0",B3736:B9015,"5 1 1 3 2 12 31111 6 M59 94100 000132 0000R 00001 00132 015 2111100 2024 CP1AT427*")</f>
        <v>3331.86</v>
      </c>
      <c r="G3735" s="35">
        <f>SUMIFS(G3736:G9015,K3736:K9015,"0",B3736:B9015,"5 1 1 3 2 12 31111 6 M59 94100 000132 0000R 00001 00132 015 2111100 2024 CP1AT427*")</f>
        <v>0</v>
      </c>
      <c r="H3735" s="35">
        <f t="shared" si="59"/>
        <v>3331.86</v>
      </c>
      <c r="I3735" s="35"/>
      <c r="K3735" t="s">
        <v>15</v>
      </c>
    </row>
    <row r="3736" spans="2:11" ht="41.25" x14ac:dyDescent="0.2">
      <c r="B3736" s="33" t="s">
        <v>4672</v>
      </c>
      <c r="C3736" s="33" t="s">
        <v>282</v>
      </c>
      <c r="D3736" s="35">
        <f>SUMIFS(D3737:D9015,K3737:K9015,"0",B3737:B9015,"5 1 1 3 2 12 31111 6 M59 94100 000132 0000R 00001 00132 015 2111100 2024 CP1AT427 001*")-SUMIFS(E3737:E9015,K3737:K9015,"0",B3737:B9015,"5 1 1 3 2 12 31111 6 M59 94100 000132 0000R 00001 00132 015 2111100 2024 CP1AT427 001*")</f>
        <v>0</v>
      </c>
      <c r="E3736"/>
      <c r="F3736" s="35">
        <f>SUMIFS(F3737:F9015,K3737:K9015,"0",B3737:B9015,"5 1 1 3 2 12 31111 6 M59 94100 000132 0000R 00001 00132 015 2111100 2024 CP1AT427 001*")</f>
        <v>3331.86</v>
      </c>
      <c r="G3736" s="35">
        <f>SUMIFS(G3737:G9015,K3737:K9015,"0",B3737:B9015,"5 1 1 3 2 12 31111 6 M59 94100 000132 0000R 00001 00132 015 2111100 2024 CP1AT427 001*")</f>
        <v>0</v>
      </c>
      <c r="H3736" s="35">
        <f t="shared" si="59"/>
        <v>3331.86</v>
      </c>
      <c r="I3736" s="35"/>
      <c r="K3736" t="s">
        <v>15</v>
      </c>
    </row>
    <row r="3737" spans="2:11" ht="33" x14ac:dyDescent="0.2">
      <c r="B3737" s="31" t="s">
        <v>4673</v>
      </c>
      <c r="C3737" s="31" t="s">
        <v>1519</v>
      </c>
      <c r="D3737" s="34">
        <v>0</v>
      </c>
      <c r="E3737" s="34"/>
      <c r="F3737" s="34">
        <v>3331.86</v>
      </c>
      <c r="G3737" s="34">
        <v>0</v>
      </c>
      <c r="H3737" s="34">
        <f t="shared" si="59"/>
        <v>3331.86</v>
      </c>
      <c r="I3737" s="34"/>
      <c r="K3737" t="s">
        <v>38</v>
      </c>
    </row>
    <row r="3738" spans="2:11" ht="16.5" x14ac:dyDescent="0.2">
      <c r="B3738" s="33" t="s">
        <v>4674</v>
      </c>
      <c r="C3738" s="33" t="s">
        <v>3668</v>
      </c>
      <c r="D3738" s="35">
        <f>SUMIFS(D3739:D9015,K3739:K9015,"0",B3739:B9015,"5 1 1 3 2 12 31111 6 M59 95000*")-SUMIFS(E3739:E9015,K3739:K9015,"0",B3739:B9015,"5 1 1 3 2 12 31111 6 M59 95000*")</f>
        <v>0</v>
      </c>
      <c r="E3738"/>
      <c r="F3738" s="35">
        <f>SUMIFS(F3739:F9015,K3739:K9015,"0",B3739:B9015,"5 1 1 3 2 12 31111 6 M59 95000*")</f>
        <v>9607.4500000000007</v>
      </c>
      <c r="G3738" s="35">
        <f>SUMIFS(G3739:G9015,K3739:K9015,"0",B3739:B9015,"5 1 1 3 2 12 31111 6 M59 95000*")</f>
        <v>0</v>
      </c>
      <c r="H3738" s="35">
        <f t="shared" si="59"/>
        <v>9607.4500000000007</v>
      </c>
      <c r="I3738" s="35"/>
      <c r="K3738" t="s">
        <v>15</v>
      </c>
    </row>
    <row r="3739" spans="2:11" ht="16.5" x14ac:dyDescent="0.2">
      <c r="B3739" s="33" t="s">
        <v>4675</v>
      </c>
      <c r="C3739" s="33" t="s">
        <v>1063</v>
      </c>
      <c r="D3739" s="35">
        <f>SUMIFS(D3740:D9015,K3740:K9015,"0",B3740:B9015,"5 1 1 3 2 12 31111 6 M59 95000 000139*")-SUMIFS(E3740:E9015,K3740:K9015,"0",B3740:B9015,"5 1 1 3 2 12 31111 6 M59 95000 000139*")</f>
        <v>0</v>
      </c>
      <c r="E3739"/>
      <c r="F3739" s="35">
        <f>SUMIFS(F3740:F9015,K3740:K9015,"0",B3740:B9015,"5 1 1 3 2 12 31111 6 M59 95000 000139*")</f>
        <v>9607.4500000000007</v>
      </c>
      <c r="G3739" s="35">
        <f>SUMIFS(G3740:G9015,K3740:K9015,"0",B3740:B9015,"5 1 1 3 2 12 31111 6 M59 95000 000139*")</f>
        <v>0</v>
      </c>
      <c r="H3739" s="35">
        <f t="shared" si="59"/>
        <v>9607.4500000000007</v>
      </c>
      <c r="I3739" s="35"/>
      <c r="K3739" t="s">
        <v>15</v>
      </c>
    </row>
    <row r="3740" spans="2:11" ht="24.75" x14ac:dyDescent="0.2">
      <c r="B3740" s="33" t="s">
        <v>4676</v>
      </c>
      <c r="C3740" s="33" t="s">
        <v>3671</v>
      </c>
      <c r="D3740" s="35">
        <f>SUMIFS(D3741:D9015,K3741:K9015,"0",B3741:B9015,"5 1 1 3 2 12 31111 6 M59 95000 000139 0000L*")-SUMIFS(E3741:E9015,K3741:K9015,"0",B3741:B9015,"5 1 1 3 2 12 31111 6 M59 95000 000139 0000L*")</f>
        <v>0</v>
      </c>
      <c r="E3740"/>
      <c r="F3740" s="35">
        <f>SUMIFS(F3741:F9015,K3741:K9015,"0",B3741:B9015,"5 1 1 3 2 12 31111 6 M59 95000 000139 0000L*")</f>
        <v>9607.4500000000007</v>
      </c>
      <c r="G3740" s="35">
        <f>SUMIFS(G3741:G9015,K3741:K9015,"0",B3741:B9015,"5 1 1 3 2 12 31111 6 M59 95000 000139 0000L*")</f>
        <v>0</v>
      </c>
      <c r="H3740" s="35">
        <f t="shared" si="59"/>
        <v>9607.4500000000007</v>
      </c>
      <c r="I3740" s="35"/>
      <c r="K3740" t="s">
        <v>15</v>
      </c>
    </row>
    <row r="3741" spans="2:11" ht="24.75" x14ac:dyDescent="0.2">
      <c r="B3741" s="33" t="s">
        <v>4677</v>
      </c>
      <c r="C3741" s="33" t="s">
        <v>282</v>
      </c>
      <c r="D3741" s="35">
        <f>SUMIFS(D3742:D9015,K3742:K9015,"0",B3742:B9015,"5 1 1 3 2 12 31111 6 M59 95000 000139 0000L 00001*")-SUMIFS(E3742:E9015,K3742:K9015,"0",B3742:B9015,"5 1 1 3 2 12 31111 6 M59 95000 000139 0000L 00001*")</f>
        <v>0</v>
      </c>
      <c r="E3741"/>
      <c r="F3741" s="35">
        <f>SUMIFS(F3742:F9015,K3742:K9015,"0",B3742:B9015,"5 1 1 3 2 12 31111 6 M59 95000 000139 0000L 00001*")</f>
        <v>9607.4500000000007</v>
      </c>
      <c r="G3741" s="35">
        <f>SUMIFS(G3742:G9015,K3742:K9015,"0",B3742:B9015,"5 1 1 3 2 12 31111 6 M59 95000 000139 0000L 00001*")</f>
        <v>0</v>
      </c>
      <c r="H3741" s="35">
        <f t="shared" si="59"/>
        <v>9607.4500000000007</v>
      </c>
      <c r="I3741" s="35"/>
      <c r="K3741" t="s">
        <v>15</v>
      </c>
    </row>
    <row r="3742" spans="2:11" ht="24.75" x14ac:dyDescent="0.2">
      <c r="B3742" s="33" t="s">
        <v>4678</v>
      </c>
      <c r="C3742" s="33" t="s">
        <v>4041</v>
      </c>
      <c r="D3742" s="35">
        <f>SUMIFS(D3743:D9015,K3743:K9015,"0",B3743:B9015,"5 1 1 3 2 12 31111 6 M59 95000 000139 0000L 00001 00132*")-SUMIFS(E3743:E9015,K3743:K9015,"0",B3743:B9015,"5 1 1 3 2 12 31111 6 M59 95000 000139 0000L 00001 00132*")</f>
        <v>0</v>
      </c>
      <c r="E3742"/>
      <c r="F3742" s="35">
        <f>SUMIFS(F3743:F9015,K3743:K9015,"0",B3743:B9015,"5 1 1 3 2 12 31111 6 M59 95000 000139 0000L 00001 00132*")</f>
        <v>9607.4500000000007</v>
      </c>
      <c r="G3742" s="35">
        <f>SUMIFS(G3743:G9015,K3743:K9015,"0",B3743:B9015,"5 1 1 3 2 12 31111 6 M59 95000 000139 0000L 00001 00132*")</f>
        <v>0</v>
      </c>
      <c r="H3742" s="35">
        <f t="shared" si="59"/>
        <v>9607.4500000000007</v>
      </c>
      <c r="I3742" s="35"/>
      <c r="K3742" t="s">
        <v>15</v>
      </c>
    </row>
    <row r="3743" spans="2:11" ht="33" x14ac:dyDescent="0.2">
      <c r="B3743" s="33" t="s">
        <v>4679</v>
      </c>
      <c r="C3743" s="33" t="s">
        <v>1051</v>
      </c>
      <c r="D3743" s="35">
        <f>SUMIFS(D3744:D9015,K3744:K9015,"0",B3744:B9015,"5 1 1 3 2 12 31111 6 M59 95000 000139 0000L 00001 00132 015*")-SUMIFS(E3744:E9015,K3744:K9015,"0",B3744:B9015,"5 1 1 3 2 12 31111 6 M59 95000 000139 0000L 00001 00132 015*")</f>
        <v>0</v>
      </c>
      <c r="E3743"/>
      <c r="F3743" s="35">
        <f>SUMIFS(F3744:F9015,K3744:K9015,"0",B3744:B9015,"5 1 1 3 2 12 31111 6 M59 95000 000139 0000L 00001 00132 015*")</f>
        <v>9607.4500000000007</v>
      </c>
      <c r="G3743" s="35">
        <f>SUMIFS(G3744:G9015,K3744:K9015,"0",B3744:B9015,"5 1 1 3 2 12 31111 6 M59 95000 000139 0000L 00001 00132 015*")</f>
        <v>0</v>
      </c>
      <c r="H3743" s="35">
        <f t="shared" si="59"/>
        <v>9607.4500000000007</v>
      </c>
      <c r="I3743" s="35"/>
      <c r="K3743" t="s">
        <v>15</v>
      </c>
    </row>
    <row r="3744" spans="2:11" ht="33" x14ac:dyDescent="0.2">
      <c r="B3744" s="33" t="s">
        <v>4680</v>
      </c>
      <c r="C3744" s="33" t="s">
        <v>2927</v>
      </c>
      <c r="D3744" s="35">
        <f>SUMIFS(D3745:D9015,K3745:K9015,"0",B3745:B9015,"5 1 1 3 2 12 31111 6 M59 95000 000139 0000L 00001 00132 015 2111100*")-SUMIFS(E3745:E9015,K3745:K9015,"0",B3745:B9015,"5 1 1 3 2 12 31111 6 M59 95000 000139 0000L 00001 00132 015 2111100*")</f>
        <v>0</v>
      </c>
      <c r="E3744"/>
      <c r="F3744" s="35">
        <f>SUMIFS(F3745:F9015,K3745:K9015,"0",B3745:B9015,"5 1 1 3 2 12 31111 6 M59 95000 000139 0000L 00001 00132 015 2111100*")</f>
        <v>9607.4500000000007</v>
      </c>
      <c r="G3744" s="35">
        <f>SUMIFS(G3745:G9015,K3745:K9015,"0",B3745:B9015,"5 1 1 3 2 12 31111 6 M59 95000 000139 0000L 00001 00132 015 2111100*")</f>
        <v>0</v>
      </c>
      <c r="H3744" s="35">
        <f t="shared" si="59"/>
        <v>9607.4500000000007</v>
      </c>
      <c r="I3744" s="35"/>
      <c r="K3744" t="s">
        <v>15</v>
      </c>
    </row>
    <row r="3745" spans="2:11" ht="33" x14ac:dyDescent="0.2">
      <c r="B3745" s="33" t="s">
        <v>4681</v>
      </c>
      <c r="C3745" s="33" t="s">
        <v>660</v>
      </c>
      <c r="D3745" s="35">
        <f>SUMIFS(D3746:D9015,K3746:K9015,"0",B3746:B9015,"5 1 1 3 2 12 31111 6 M59 95000 000139 0000L 00001 00132 015 2111100 2024*")-SUMIFS(E3746:E9015,K3746:K9015,"0",B3746:B9015,"5 1 1 3 2 12 31111 6 M59 95000 000139 0000L 00001 00132 015 2111100 2024*")</f>
        <v>0</v>
      </c>
      <c r="E3745"/>
      <c r="F3745" s="35">
        <f>SUMIFS(F3746:F9015,K3746:K9015,"0",B3746:B9015,"5 1 1 3 2 12 31111 6 M59 95000 000139 0000L 00001 00132 015 2111100 2024*")</f>
        <v>9607.4500000000007</v>
      </c>
      <c r="G3745" s="35">
        <f>SUMIFS(G3746:G9015,K3746:K9015,"0",B3746:B9015,"5 1 1 3 2 12 31111 6 M59 95000 000139 0000L 00001 00132 015 2111100 2024*")</f>
        <v>0</v>
      </c>
      <c r="H3745" s="35">
        <f t="shared" si="59"/>
        <v>9607.4500000000007</v>
      </c>
      <c r="I3745" s="35"/>
      <c r="K3745" t="s">
        <v>15</v>
      </c>
    </row>
    <row r="3746" spans="2:11" ht="41.25" x14ac:dyDescent="0.2">
      <c r="B3746" s="33" t="s">
        <v>4682</v>
      </c>
      <c r="C3746" s="33" t="s">
        <v>1056</v>
      </c>
      <c r="D3746" s="35">
        <f>SUMIFS(D3747:D9015,K3747:K9015,"0",B3747:B9015,"5 1 1 3 2 12 31111 6 M59 95000 000139 0000L 00001 00132 015 2111100 2024 CP1AJ437*")-SUMIFS(E3747:E9015,K3747:K9015,"0",B3747:B9015,"5 1 1 3 2 12 31111 6 M59 95000 000139 0000L 00001 00132 015 2111100 2024 CP1AJ437*")</f>
        <v>0</v>
      </c>
      <c r="E3746"/>
      <c r="F3746" s="35">
        <f>SUMIFS(F3747:F9015,K3747:K9015,"0",B3747:B9015,"5 1 1 3 2 12 31111 6 M59 95000 000139 0000L 00001 00132 015 2111100 2024 CP1AJ437*")</f>
        <v>9607.4500000000007</v>
      </c>
      <c r="G3746" s="35">
        <f>SUMIFS(G3747:G9015,K3747:K9015,"0",B3747:B9015,"5 1 1 3 2 12 31111 6 M59 95000 000139 0000L 00001 00132 015 2111100 2024 CP1AJ437*")</f>
        <v>0</v>
      </c>
      <c r="H3746" s="35">
        <f t="shared" si="59"/>
        <v>9607.4500000000007</v>
      </c>
      <c r="I3746" s="35"/>
      <c r="K3746" t="s">
        <v>15</v>
      </c>
    </row>
    <row r="3747" spans="2:11" ht="41.25" x14ac:dyDescent="0.2">
      <c r="B3747" s="33" t="s">
        <v>4683</v>
      </c>
      <c r="C3747" s="33" t="s">
        <v>282</v>
      </c>
      <c r="D3747" s="35">
        <f>SUMIFS(D3748:D9015,K3748:K9015,"0",B3748:B9015,"5 1 1 3 2 12 31111 6 M59 95000 000139 0000L 00001 00132 015 2111100 2024 CP1AJ437 001*")-SUMIFS(E3748:E9015,K3748:K9015,"0",B3748:B9015,"5 1 1 3 2 12 31111 6 M59 95000 000139 0000L 00001 00132 015 2111100 2024 CP1AJ437 001*")</f>
        <v>0</v>
      </c>
      <c r="E3747"/>
      <c r="F3747" s="35">
        <f>SUMIFS(F3748:F9015,K3748:K9015,"0",B3748:B9015,"5 1 1 3 2 12 31111 6 M59 95000 000139 0000L 00001 00132 015 2111100 2024 CP1AJ437 001*")</f>
        <v>9607.4500000000007</v>
      </c>
      <c r="G3747" s="35">
        <f>SUMIFS(G3748:G9015,K3748:K9015,"0",B3748:B9015,"5 1 1 3 2 12 31111 6 M59 95000 000139 0000L 00001 00132 015 2111100 2024 CP1AJ437 001*")</f>
        <v>0</v>
      </c>
      <c r="H3747" s="35">
        <f t="shared" si="59"/>
        <v>9607.4500000000007</v>
      </c>
      <c r="I3747" s="35"/>
      <c r="K3747" t="s">
        <v>15</v>
      </c>
    </row>
    <row r="3748" spans="2:11" ht="33" x14ac:dyDescent="0.2">
      <c r="B3748" s="31" t="s">
        <v>4684</v>
      </c>
      <c r="C3748" s="31" t="s">
        <v>1519</v>
      </c>
      <c r="D3748" s="34">
        <v>0</v>
      </c>
      <c r="E3748" s="34"/>
      <c r="F3748" s="34">
        <v>9607.4500000000007</v>
      </c>
      <c r="G3748" s="34">
        <v>0</v>
      </c>
      <c r="H3748" s="34">
        <f t="shared" si="59"/>
        <v>9607.4500000000007</v>
      </c>
      <c r="I3748" s="34"/>
      <c r="K3748" t="s">
        <v>38</v>
      </c>
    </row>
    <row r="3749" spans="2:11" ht="16.5" x14ac:dyDescent="0.2">
      <c r="B3749" s="33" t="s">
        <v>4685</v>
      </c>
      <c r="C3749" s="33" t="s">
        <v>3681</v>
      </c>
      <c r="D3749" s="35">
        <f>SUMIFS(D3750:D9015,K3750:K9015,"0",B3750:B9015,"5 1 1 3 2 12 31111 6 M59 96000*")-SUMIFS(E3750:E9015,K3750:K9015,"0",B3750:B9015,"5 1 1 3 2 12 31111 6 M59 96000*")</f>
        <v>0</v>
      </c>
      <c r="E3749"/>
      <c r="F3749" s="35">
        <f>SUMIFS(F3750:F9015,K3750:K9015,"0",B3750:B9015,"5 1 1 3 2 12 31111 6 M59 96000*")</f>
        <v>6934.51</v>
      </c>
      <c r="G3749" s="35">
        <f>SUMIFS(G3750:G9015,K3750:K9015,"0",B3750:B9015,"5 1 1 3 2 12 31111 6 M59 96000*")</f>
        <v>0</v>
      </c>
      <c r="H3749" s="35">
        <f t="shared" si="59"/>
        <v>6934.51</v>
      </c>
      <c r="I3749" s="35"/>
      <c r="K3749" t="s">
        <v>15</v>
      </c>
    </row>
    <row r="3750" spans="2:11" ht="16.5" x14ac:dyDescent="0.2">
      <c r="B3750" s="33" t="s">
        <v>4686</v>
      </c>
      <c r="C3750" s="33" t="s">
        <v>648</v>
      </c>
      <c r="D3750" s="35">
        <f>SUMIFS(D3751:D9015,K3751:K9015,"0",B3751:B9015,"5 1 1 3 2 12 31111 6 M59 96000 000132*")-SUMIFS(E3751:E9015,K3751:K9015,"0",B3751:B9015,"5 1 1 3 2 12 31111 6 M59 96000 000132*")</f>
        <v>0</v>
      </c>
      <c r="E3750"/>
      <c r="F3750" s="35">
        <f>SUMIFS(F3751:F9015,K3751:K9015,"0",B3751:B9015,"5 1 1 3 2 12 31111 6 M59 96000 000132*")</f>
        <v>6934.51</v>
      </c>
      <c r="G3750" s="35">
        <f>SUMIFS(G3751:G9015,K3751:K9015,"0",B3751:B9015,"5 1 1 3 2 12 31111 6 M59 96000 000132*")</f>
        <v>0</v>
      </c>
      <c r="H3750" s="35">
        <f t="shared" si="59"/>
        <v>6934.51</v>
      </c>
      <c r="I3750" s="35"/>
      <c r="K3750" t="s">
        <v>15</v>
      </c>
    </row>
    <row r="3751" spans="2:11" ht="24.75" x14ac:dyDescent="0.2">
      <c r="B3751" s="33" t="s">
        <v>4687</v>
      </c>
      <c r="C3751" s="33" t="s">
        <v>650</v>
      </c>
      <c r="D3751" s="35">
        <f>SUMIFS(D3752:D9015,K3752:K9015,"0",B3752:B9015,"5 1 1 3 2 12 31111 6 M59 96000 000132 0000R*")-SUMIFS(E3752:E9015,K3752:K9015,"0",B3752:B9015,"5 1 1 3 2 12 31111 6 M59 96000 000132 0000R*")</f>
        <v>0</v>
      </c>
      <c r="E3751"/>
      <c r="F3751" s="35">
        <f>SUMIFS(F3752:F9015,K3752:K9015,"0",B3752:B9015,"5 1 1 3 2 12 31111 6 M59 96000 000132 0000R*")</f>
        <v>6934.51</v>
      </c>
      <c r="G3751" s="35">
        <f>SUMIFS(G3752:G9015,K3752:K9015,"0",B3752:B9015,"5 1 1 3 2 12 31111 6 M59 96000 000132 0000R*")</f>
        <v>0</v>
      </c>
      <c r="H3751" s="35">
        <f t="shared" si="59"/>
        <v>6934.51</v>
      </c>
      <c r="I3751" s="35"/>
      <c r="K3751" t="s">
        <v>15</v>
      </c>
    </row>
    <row r="3752" spans="2:11" ht="24.75" x14ac:dyDescent="0.2">
      <c r="B3752" s="33" t="s">
        <v>4688</v>
      </c>
      <c r="C3752" s="33" t="s">
        <v>282</v>
      </c>
      <c r="D3752" s="35">
        <f>SUMIFS(D3753:D9015,K3753:K9015,"0",B3753:B9015,"5 1 1 3 2 12 31111 6 M59 96000 000132 0000R 00001*")-SUMIFS(E3753:E9015,K3753:K9015,"0",B3753:B9015,"5 1 1 3 2 12 31111 6 M59 96000 000132 0000R 00001*")</f>
        <v>0</v>
      </c>
      <c r="E3752"/>
      <c r="F3752" s="35">
        <f>SUMIFS(F3753:F9015,K3753:K9015,"0",B3753:B9015,"5 1 1 3 2 12 31111 6 M59 96000 000132 0000R 00001*")</f>
        <v>6934.51</v>
      </c>
      <c r="G3752" s="35">
        <f>SUMIFS(G3753:G9015,K3753:K9015,"0",B3753:B9015,"5 1 1 3 2 12 31111 6 M59 96000 000132 0000R 00001*")</f>
        <v>0</v>
      </c>
      <c r="H3752" s="35">
        <f t="shared" si="59"/>
        <v>6934.51</v>
      </c>
      <c r="I3752" s="35"/>
      <c r="K3752" t="s">
        <v>15</v>
      </c>
    </row>
    <row r="3753" spans="2:11" ht="24.75" x14ac:dyDescent="0.2">
      <c r="B3753" s="33" t="s">
        <v>4689</v>
      </c>
      <c r="C3753" s="33" t="s">
        <v>4041</v>
      </c>
      <c r="D3753" s="35">
        <f>SUMIFS(D3754:D9015,K3754:K9015,"0",B3754:B9015,"5 1 1 3 2 12 31111 6 M59 96000 000132 0000R 00001 00132*")-SUMIFS(E3754:E9015,K3754:K9015,"0",B3754:B9015,"5 1 1 3 2 12 31111 6 M59 96000 000132 0000R 00001 00132*")</f>
        <v>0</v>
      </c>
      <c r="E3753"/>
      <c r="F3753" s="35">
        <f>SUMIFS(F3754:F9015,K3754:K9015,"0",B3754:B9015,"5 1 1 3 2 12 31111 6 M59 96000 000132 0000R 00001 00132*")</f>
        <v>6934.51</v>
      </c>
      <c r="G3753" s="35">
        <f>SUMIFS(G3754:G9015,K3754:K9015,"0",B3754:B9015,"5 1 1 3 2 12 31111 6 M59 96000 000132 0000R 00001 00132*")</f>
        <v>0</v>
      </c>
      <c r="H3753" s="35">
        <f t="shared" si="59"/>
        <v>6934.51</v>
      </c>
      <c r="I3753" s="35"/>
      <c r="K3753" t="s">
        <v>15</v>
      </c>
    </row>
    <row r="3754" spans="2:11" ht="33" x14ac:dyDescent="0.2">
      <c r="B3754" s="33" t="s">
        <v>4690</v>
      </c>
      <c r="C3754" s="33" t="s">
        <v>1051</v>
      </c>
      <c r="D3754" s="35">
        <f>SUMIFS(D3755:D9015,K3755:K9015,"0",B3755:B9015,"5 1 1 3 2 12 31111 6 M59 96000 000132 0000R 00001 00132 015*")-SUMIFS(E3755:E9015,K3755:K9015,"0",B3755:B9015,"5 1 1 3 2 12 31111 6 M59 96000 000132 0000R 00001 00132 015*")</f>
        <v>0</v>
      </c>
      <c r="E3754"/>
      <c r="F3754" s="35">
        <f>SUMIFS(F3755:F9015,K3755:K9015,"0",B3755:B9015,"5 1 1 3 2 12 31111 6 M59 96000 000132 0000R 00001 00132 015*")</f>
        <v>6934.51</v>
      </c>
      <c r="G3754" s="35">
        <f>SUMIFS(G3755:G9015,K3755:K9015,"0",B3755:B9015,"5 1 1 3 2 12 31111 6 M59 96000 000132 0000R 00001 00132 015*")</f>
        <v>0</v>
      </c>
      <c r="H3754" s="35">
        <f t="shared" si="59"/>
        <v>6934.51</v>
      </c>
      <c r="I3754" s="35"/>
      <c r="K3754" t="s">
        <v>15</v>
      </c>
    </row>
    <row r="3755" spans="2:11" ht="33" x14ac:dyDescent="0.2">
      <c r="B3755" s="33" t="s">
        <v>4691</v>
      </c>
      <c r="C3755" s="33" t="s">
        <v>2927</v>
      </c>
      <c r="D3755" s="35">
        <f>SUMIFS(D3756:D9015,K3756:K9015,"0",B3756:B9015,"5 1 1 3 2 12 31111 6 M59 96000 000132 0000R 00001 00132 015 2111100*")-SUMIFS(E3756:E9015,K3756:K9015,"0",B3756:B9015,"5 1 1 3 2 12 31111 6 M59 96000 000132 0000R 00001 00132 015 2111100*")</f>
        <v>0</v>
      </c>
      <c r="E3755"/>
      <c r="F3755" s="35">
        <f>SUMIFS(F3756:F9015,K3756:K9015,"0",B3756:B9015,"5 1 1 3 2 12 31111 6 M59 96000 000132 0000R 00001 00132 015 2111100*")</f>
        <v>6934.51</v>
      </c>
      <c r="G3755" s="35">
        <f>SUMIFS(G3756:G9015,K3756:K9015,"0",B3756:B9015,"5 1 1 3 2 12 31111 6 M59 96000 000132 0000R 00001 00132 015 2111100*")</f>
        <v>0</v>
      </c>
      <c r="H3755" s="35">
        <f t="shared" si="59"/>
        <v>6934.51</v>
      </c>
      <c r="I3755" s="35"/>
      <c r="K3755" t="s">
        <v>15</v>
      </c>
    </row>
    <row r="3756" spans="2:11" ht="33" x14ac:dyDescent="0.2">
      <c r="B3756" s="33" t="s">
        <v>4692</v>
      </c>
      <c r="C3756" s="33" t="s">
        <v>660</v>
      </c>
      <c r="D3756" s="35">
        <f>SUMIFS(D3757:D9015,K3757:K9015,"0",B3757:B9015,"5 1 1 3 2 12 31111 6 M59 96000 000132 0000R 00001 00132 015 2111100 2024*")-SUMIFS(E3757:E9015,K3757:K9015,"0",B3757:B9015,"5 1 1 3 2 12 31111 6 M59 96000 000132 0000R 00001 00132 015 2111100 2024*")</f>
        <v>0</v>
      </c>
      <c r="E3756"/>
      <c r="F3756" s="35">
        <f>SUMIFS(F3757:F9015,K3757:K9015,"0",B3757:B9015,"5 1 1 3 2 12 31111 6 M59 96000 000132 0000R 00001 00132 015 2111100 2024*")</f>
        <v>6934.51</v>
      </c>
      <c r="G3756" s="35">
        <f>SUMIFS(G3757:G9015,K3757:K9015,"0",B3757:B9015,"5 1 1 3 2 12 31111 6 M59 96000 000132 0000R 00001 00132 015 2111100 2024*")</f>
        <v>0</v>
      </c>
      <c r="H3756" s="35">
        <f t="shared" si="59"/>
        <v>6934.51</v>
      </c>
      <c r="I3756" s="35"/>
      <c r="K3756" t="s">
        <v>15</v>
      </c>
    </row>
    <row r="3757" spans="2:11" ht="41.25" x14ac:dyDescent="0.2">
      <c r="B3757" s="33" t="s">
        <v>4693</v>
      </c>
      <c r="C3757" s="33" t="s">
        <v>662</v>
      </c>
      <c r="D3757" s="35">
        <f>SUMIFS(D3758:D9015,K3758:K9015,"0",B3758:B9015,"5 1 1 3 2 12 31111 6 M59 96000 000132 0000R 00001 00132 015 2111100 2024 CP1PA379*")-SUMIFS(E3758:E9015,K3758:K9015,"0",B3758:B9015,"5 1 1 3 2 12 31111 6 M59 96000 000132 0000R 00001 00132 015 2111100 2024 CP1PA379*")</f>
        <v>0</v>
      </c>
      <c r="E3757"/>
      <c r="F3757" s="35">
        <f>SUMIFS(F3758:F9015,K3758:K9015,"0",B3758:B9015,"5 1 1 3 2 12 31111 6 M59 96000 000132 0000R 00001 00132 015 2111100 2024 CP1PA379*")</f>
        <v>6934.51</v>
      </c>
      <c r="G3757" s="35">
        <f>SUMIFS(G3758:G9015,K3758:K9015,"0",B3758:B9015,"5 1 1 3 2 12 31111 6 M59 96000 000132 0000R 00001 00132 015 2111100 2024 CP1PA379*")</f>
        <v>0</v>
      </c>
      <c r="H3757" s="35">
        <f t="shared" si="59"/>
        <v>6934.51</v>
      </c>
      <c r="I3757" s="35"/>
      <c r="K3757" t="s">
        <v>15</v>
      </c>
    </row>
    <row r="3758" spans="2:11" ht="41.25" x14ac:dyDescent="0.2">
      <c r="B3758" s="33" t="s">
        <v>4694</v>
      </c>
      <c r="C3758" s="33" t="s">
        <v>282</v>
      </c>
      <c r="D3758" s="35">
        <f>SUMIFS(D3759:D9015,K3759:K9015,"0",B3759:B9015,"5 1 1 3 2 12 31111 6 M59 96000 000132 0000R 00001 00132 015 2111100 2024 CP1PA379 001*")-SUMIFS(E3759:E9015,K3759:K9015,"0",B3759:B9015,"5 1 1 3 2 12 31111 6 M59 96000 000132 0000R 00001 00132 015 2111100 2024 CP1PA379 001*")</f>
        <v>0</v>
      </c>
      <c r="E3758"/>
      <c r="F3758" s="35">
        <f>SUMIFS(F3759:F9015,K3759:K9015,"0",B3759:B9015,"5 1 1 3 2 12 31111 6 M59 96000 000132 0000R 00001 00132 015 2111100 2024 CP1PA379 001*")</f>
        <v>6934.51</v>
      </c>
      <c r="G3758" s="35">
        <f>SUMIFS(G3759:G9015,K3759:K9015,"0",B3759:B9015,"5 1 1 3 2 12 31111 6 M59 96000 000132 0000R 00001 00132 015 2111100 2024 CP1PA379 001*")</f>
        <v>0</v>
      </c>
      <c r="H3758" s="35">
        <f t="shared" si="59"/>
        <v>6934.51</v>
      </c>
      <c r="I3758" s="35"/>
      <c r="K3758" t="s">
        <v>15</v>
      </c>
    </row>
    <row r="3759" spans="2:11" ht="41.25" x14ac:dyDescent="0.2">
      <c r="B3759" s="31" t="s">
        <v>4695</v>
      </c>
      <c r="C3759" s="31" t="s">
        <v>1519</v>
      </c>
      <c r="D3759" s="34">
        <v>0</v>
      </c>
      <c r="E3759" s="34"/>
      <c r="F3759" s="34">
        <v>6934.51</v>
      </c>
      <c r="G3759" s="34">
        <v>0</v>
      </c>
      <c r="H3759" s="34">
        <f t="shared" si="59"/>
        <v>6934.51</v>
      </c>
      <c r="I3759" s="34"/>
      <c r="K3759" t="s">
        <v>38</v>
      </c>
    </row>
    <row r="3760" spans="2:11" ht="16.5" x14ac:dyDescent="0.2">
      <c r="B3760" s="33" t="s">
        <v>4696</v>
      </c>
      <c r="C3760" s="33" t="s">
        <v>3693</v>
      </c>
      <c r="D3760" s="35">
        <f>SUMIFS(D3761:D9015,K3761:K9015,"0",B3761:B9015,"5 1 1 3 2 12 31111 6 M59 96100*")-SUMIFS(E3761:E9015,K3761:K9015,"0",B3761:B9015,"5 1 1 3 2 12 31111 6 M59 96100*")</f>
        <v>0</v>
      </c>
      <c r="E3760"/>
      <c r="F3760" s="35">
        <f>SUMIFS(F3761:F9015,K3761:K9015,"0",B3761:B9015,"5 1 1 3 2 12 31111 6 M59 96100*")</f>
        <v>55820.5</v>
      </c>
      <c r="G3760" s="35">
        <f>SUMIFS(G3761:G9015,K3761:K9015,"0",B3761:B9015,"5 1 1 3 2 12 31111 6 M59 96100*")</f>
        <v>0</v>
      </c>
      <c r="H3760" s="35">
        <f t="shared" si="59"/>
        <v>55820.5</v>
      </c>
      <c r="I3760" s="35"/>
      <c r="K3760" t="s">
        <v>15</v>
      </c>
    </row>
    <row r="3761" spans="2:11" ht="16.5" x14ac:dyDescent="0.2">
      <c r="B3761" s="33" t="s">
        <v>4697</v>
      </c>
      <c r="C3761" s="33" t="s">
        <v>1310</v>
      </c>
      <c r="D3761" s="35">
        <f>SUMIFS(D3762:D9015,K3762:K9015,"0",B3762:B9015,"5 1 1 3 2 12 31111 6 M59 96100 000211*")-SUMIFS(E3762:E9015,K3762:K9015,"0",B3762:B9015,"5 1 1 3 2 12 31111 6 M59 96100 000211*")</f>
        <v>0</v>
      </c>
      <c r="E3761"/>
      <c r="F3761" s="35">
        <f>SUMIFS(F3762:F9015,K3762:K9015,"0",B3762:B9015,"5 1 1 3 2 12 31111 6 M59 96100 000211*")</f>
        <v>55820.5</v>
      </c>
      <c r="G3761" s="35">
        <f>SUMIFS(G3762:G9015,K3762:K9015,"0",B3762:B9015,"5 1 1 3 2 12 31111 6 M59 96100 000211*")</f>
        <v>0</v>
      </c>
      <c r="H3761" s="35">
        <f t="shared" si="59"/>
        <v>55820.5</v>
      </c>
      <c r="I3761" s="35"/>
      <c r="K3761" t="s">
        <v>15</v>
      </c>
    </row>
    <row r="3762" spans="2:11" ht="24.75" x14ac:dyDescent="0.2">
      <c r="B3762" s="33" t="s">
        <v>4698</v>
      </c>
      <c r="C3762" s="33" t="s">
        <v>3696</v>
      </c>
      <c r="D3762" s="35">
        <f>SUMIFS(D3763:D9015,K3763:K9015,"0",B3763:B9015,"5 1 1 3 2 12 31111 6 M59 96100 000211 0000U*")-SUMIFS(E3763:E9015,K3763:K9015,"0",B3763:B9015,"5 1 1 3 2 12 31111 6 M59 96100 000211 0000U*")</f>
        <v>0</v>
      </c>
      <c r="E3762"/>
      <c r="F3762" s="35">
        <f>SUMIFS(F3763:F9015,K3763:K9015,"0",B3763:B9015,"5 1 1 3 2 12 31111 6 M59 96100 000211 0000U*")</f>
        <v>55820.5</v>
      </c>
      <c r="G3762" s="35">
        <f>SUMIFS(G3763:G9015,K3763:K9015,"0",B3763:B9015,"5 1 1 3 2 12 31111 6 M59 96100 000211 0000U*")</f>
        <v>0</v>
      </c>
      <c r="H3762" s="35">
        <f t="shared" si="59"/>
        <v>55820.5</v>
      </c>
      <c r="I3762" s="35"/>
      <c r="K3762" t="s">
        <v>15</v>
      </c>
    </row>
    <row r="3763" spans="2:11" ht="24.75" x14ac:dyDescent="0.2">
      <c r="B3763" s="33" t="s">
        <v>4699</v>
      </c>
      <c r="C3763" s="33" t="s">
        <v>282</v>
      </c>
      <c r="D3763" s="35">
        <f>SUMIFS(D3764:D9015,K3764:K9015,"0",B3764:B9015,"5 1 1 3 2 12 31111 6 M59 96100 000211 0000U 00001*")-SUMIFS(E3764:E9015,K3764:K9015,"0",B3764:B9015,"5 1 1 3 2 12 31111 6 M59 96100 000211 0000U 00001*")</f>
        <v>0</v>
      </c>
      <c r="E3763"/>
      <c r="F3763" s="35">
        <f>SUMIFS(F3764:F9015,K3764:K9015,"0",B3764:B9015,"5 1 1 3 2 12 31111 6 M59 96100 000211 0000U 00001*")</f>
        <v>55820.5</v>
      </c>
      <c r="G3763" s="35">
        <f>SUMIFS(G3764:G9015,K3764:K9015,"0",B3764:B9015,"5 1 1 3 2 12 31111 6 M59 96100 000211 0000U 00001*")</f>
        <v>0</v>
      </c>
      <c r="H3763" s="35">
        <f t="shared" si="59"/>
        <v>55820.5</v>
      </c>
      <c r="I3763" s="35"/>
      <c r="K3763" t="s">
        <v>15</v>
      </c>
    </row>
    <row r="3764" spans="2:11" ht="24.75" x14ac:dyDescent="0.2">
      <c r="B3764" s="33" t="s">
        <v>4700</v>
      </c>
      <c r="C3764" s="33" t="s">
        <v>4041</v>
      </c>
      <c r="D3764" s="35">
        <f>SUMIFS(D3765:D9015,K3765:K9015,"0",B3765:B9015,"5 1 1 3 2 12 31111 6 M59 96100 000211 0000U 00001 00132*")-SUMIFS(E3765:E9015,K3765:K9015,"0",B3765:B9015,"5 1 1 3 2 12 31111 6 M59 96100 000211 0000U 00001 00132*")</f>
        <v>0</v>
      </c>
      <c r="E3764"/>
      <c r="F3764" s="35">
        <f>SUMIFS(F3765:F9015,K3765:K9015,"0",B3765:B9015,"5 1 1 3 2 12 31111 6 M59 96100 000211 0000U 00001 00132*")</f>
        <v>55820.5</v>
      </c>
      <c r="G3764" s="35">
        <f>SUMIFS(G3765:G9015,K3765:K9015,"0",B3765:B9015,"5 1 1 3 2 12 31111 6 M59 96100 000211 0000U 00001 00132*")</f>
        <v>0</v>
      </c>
      <c r="H3764" s="35">
        <f t="shared" si="59"/>
        <v>55820.5</v>
      </c>
      <c r="I3764" s="35"/>
      <c r="K3764" t="s">
        <v>15</v>
      </c>
    </row>
    <row r="3765" spans="2:11" ht="33" x14ac:dyDescent="0.2">
      <c r="B3765" s="33" t="s">
        <v>4701</v>
      </c>
      <c r="C3765" s="33" t="s">
        <v>1051</v>
      </c>
      <c r="D3765" s="35">
        <f>SUMIFS(D3766:D9015,K3766:K9015,"0",B3766:B9015,"5 1 1 3 2 12 31111 6 M59 96100 000211 0000U 00001 00132 015*")-SUMIFS(E3766:E9015,K3766:K9015,"0",B3766:B9015,"5 1 1 3 2 12 31111 6 M59 96100 000211 0000U 00001 00132 015*")</f>
        <v>0</v>
      </c>
      <c r="E3765"/>
      <c r="F3765" s="35">
        <f>SUMIFS(F3766:F9015,K3766:K9015,"0",B3766:B9015,"5 1 1 3 2 12 31111 6 M59 96100 000211 0000U 00001 00132 015*")</f>
        <v>55820.5</v>
      </c>
      <c r="G3765" s="35">
        <f>SUMIFS(G3766:G9015,K3766:K9015,"0",B3766:B9015,"5 1 1 3 2 12 31111 6 M59 96100 000211 0000U 00001 00132 015*")</f>
        <v>0</v>
      </c>
      <c r="H3765" s="35">
        <f t="shared" si="59"/>
        <v>55820.5</v>
      </c>
      <c r="I3765" s="35"/>
      <c r="K3765" t="s">
        <v>15</v>
      </c>
    </row>
    <row r="3766" spans="2:11" ht="33" x14ac:dyDescent="0.2">
      <c r="B3766" s="33" t="s">
        <v>4702</v>
      </c>
      <c r="C3766" s="33" t="s">
        <v>2927</v>
      </c>
      <c r="D3766" s="35">
        <f>SUMIFS(D3767:D9015,K3767:K9015,"0",B3767:B9015,"5 1 1 3 2 12 31111 6 M59 96100 000211 0000U 00001 00132 015 2111100*")-SUMIFS(E3767:E9015,K3767:K9015,"0",B3767:B9015,"5 1 1 3 2 12 31111 6 M59 96100 000211 0000U 00001 00132 015 2111100*")</f>
        <v>0</v>
      </c>
      <c r="E3766"/>
      <c r="F3766" s="35">
        <f>SUMIFS(F3767:F9015,K3767:K9015,"0",B3767:B9015,"5 1 1 3 2 12 31111 6 M59 96100 000211 0000U 00001 00132 015 2111100*")</f>
        <v>55820.5</v>
      </c>
      <c r="G3766" s="35">
        <f>SUMIFS(G3767:G9015,K3767:K9015,"0",B3767:B9015,"5 1 1 3 2 12 31111 6 M59 96100 000211 0000U 00001 00132 015 2111100*")</f>
        <v>0</v>
      </c>
      <c r="H3766" s="35">
        <f t="shared" si="59"/>
        <v>55820.5</v>
      </c>
      <c r="I3766" s="35"/>
      <c r="K3766" t="s">
        <v>15</v>
      </c>
    </row>
    <row r="3767" spans="2:11" ht="33" x14ac:dyDescent="0.2">
      <c r="B3767" s="33" t="s">
        <v>4703</v>
      </c>
      <c r="C3767" s="33" t="s">
        <v>660</v>
      </c>
      <c r="D3767" s="35">
        <f>SUMIFS(D3768:D9015,K3768:K9015,"0",B3768:B9015,"5 1 1 3 2 12 31111 6 M59 96100 000211 0000U 00001 00132 015 2111100 2024*")-SUMIFS(E3768:E9015,K3768:K9015,"0",B3768:B9015,"5 1 1 3 2 12 31111 6 M59 96100 000211 0000U 00001 00132 015 2111100 2024*")</f>
        <v>0</v>
      </c>
      <c r="E3767"/>
      <c r="F3767" s="35">
        <f>SUMIFS(F3768:F9015,K3768:K9015,"0",B3768:B9015,"5 1 1 3 2 12 31111 6 M59 96100 000211 0000U 00001 00132 015 2111100 2024*")</f>
        <v>55820.5</v>
      </c>
      <c r="G3767" s="35">
        <f>SUMIFS(G3768:G9015,K3768:K9015,"0",B3768:B9015,"5 1 1 3 2 12 31111 6 M59 96100 000211 0000U 00001 00132 015 2111100 2024*")</f>
        <v>0</v>
      </c>
      <c r="H3767" s="35">
        <f t="shared" si="59"/>
        <v>55820.5</v>
      </c>
      <c r="I3767" s="35"/>
      <c r="K3767" t="s">
        <v>15</v>
      </c>
    </row>
    <row r="3768" spans="2:11" ht="41.25" x14ac:dyDescent="0.2">
      <c r="B3768" s="33" t="s">
        <v>4704</v>
      </c>
      <c r="C3768" s="33" t="s">
        <v>1056</v>
      </c>
      <c r="D3768" s="35">
        <f>SUMIFS(D3769:D9015,K3769:K9015,"0",B3769:B9015,"5 1 1 3 2 12 31111 6 M59 96100 000211 0000U 00001 00132 015 2111100 2024 CP1IU412*")-SUMIFS(E3769:E9015,K3769:K9015,"0",B3769:B9015,"5 1 1 3 2 12 31111 6 M59 96100 000211 0000U 00001 00132 015 2111100 2024 CP1IU412*")</f>
        <v>0</v>
      </c>
      <c r="E3768"/>
      <c r="F3768" s="35">
        <f>SUMIFS(F3769:F9015,K3769:K9015,"0",B3769:B9015,"5 1 1 3 2 12 31111 6 M59 96100 000211 0000U 00001 00132 015 2111100 2024 CP1IU412*")</f>
        <v>55820.5</v>
      </c>
      <c r="G3768" s="35">
        <f>SUMIFS(G3769:G9015,K3769:K9015,"0",B3769:B9015,"5 1 1 3 2 12 31111 6 M59 96100 000211 0000U 00001 00132 015 2111100 2024 CP1IU412*")</f>
        <v>0</v>
      </c>
      <c r="H3768" s="35">
        <f t="shared" si="59"/>
        <v>55820.5</v>
      </c>
      <c r="I3768" s="35"/>
      <c r="K3768" t="s">
        <v>15</v>
      </c>
    </row>
    <row r="3769" spans="2:11" ht="41.25" x14ac:dyDescent="0.2">
      <c r="B3769" s="33" t="s">
        <v>4705</v>
      </c>
      <c r="C3769" s="33" t="s">
        <v>282</v>
      </c>
      <c r="D3769" s="35">
        <f>SUMIFS(D3770:D9015,K3770:K9015,"0",B3770:B9015,"5 1 1 3 2 12 31111 6 M59 96100 000211 0000U 00001 00132 015 2111100 2024 CP1IU412 001*")-SUMIFS(E3770:E9015,K3770:K9015,"0",B3770:B9015,"5 1 1 3 2 12 31111 6 M59 96100 000211 0000U 00001 00132 015 2111100 2024 CP1IU412 001*")</f>
        <v>0</v>
      </c>
      <c r="E3769"/>
      <c r="F3769" s="35">
        <f>SUMIFS(F3770:F9015,K3770:K9015,"0",B3770:B9015,"5 1 1 3 2 12 31111 6 M59 96100 000211 0000U 00001 00132 015 2111100 2024 CP1IU412 001*")</f>
        <v>55820.5</v>
      </c>
      <c r="G3769" s="35">
        <f>SUMIFS(G3770:G9015,K3770:K9015,"0",B3770:B9015,"5 1 1 3 2 12 31111 6 M59 96100 000211 0000U 00001 00132 015 2111100 2024 CP1IU412 001*")</f>
        <v>0</v>
      </c>
      <c r="H3769" s="35">
        <f t="shared" si="59"/>
        <v>55820.5</v>
      </c>
      <c r="I3769" s="35"/>
      <c r="K3769" t="s">
        <v>15</v>
      </c>
    </row>
    <row r="3770" spans="2:11" ht="33" x14ac:dyDescent="0.2">
      <c r="B3770" s="31" t="s">
        <v>4706</v>
      </c>
      <c r="C3770" s="31" t="s">
        <v>1519</v>
      </c>
      <c r="D3770" s="34">
        <v>0</v>
      </c>
      <c r="E3770" s="34"/>
      <c r="F3770" s="34">
        <v>47290.39</v>
      </c>
      <c r="G3770" s="34">
        <v>0</v>
      </c>
      <c r="H3770" s="34">
        <f t="shared" si="59"/>
        <v>47290.39</v>
      </c>
      <c r="I3770" s="34"/>
      <c r="K3770" t="s">
        <v>38</v>
      </c>
    </row>
    <row r="3771" spans="2:11" ht="33" x14ac:dyDescent="0.2">
      <c r="B3771" s="31" t="s">
        <v>4707</v>
      </c>
      <c r="C3771" s="31" t="s">
        <v>4435</v>
      </c>
      <c r="D3771" s="34">
        <v>0</v>
      </c>
      <c r="E3771" s="34"/>
      <c r="F3771" s="34">
        <v>8530.11</v>
      </c>
      <c r="G3771" s="34">
        <v>0</v>
      </c>
      <c r="H3771" s="34">
        <f t="shared" si="59"/>
        <v>8530.11</v>
      </c>
      <c r="I3771" s="34"/>
      <c r="K3771" t="s">
        <v>38</v>
      </c>
    </row>
    <row r="3772" spans="2:11" ht="16.5" x14ac:dyDescent="0.2">
      <c r="B3772" s="33" t="s">
        <v>4708</v>
      </c>
      <c r="C3772" s="33" t="s">
        <v>3706</v>
      </c>
      <c r="D3772" s="35">
        <f>SUMIFS(D3773:D9015,K3773:K9015,"0",B3773:B9015,"5 1 1 3 2 12 31111 6 M59 96200*")-SUMIFS(E3773:E9015,K3773:K9015,"0",B3773:B9015,"5 1 1 3 2 12 31111 6 M59 96200*")</f>
        <v>0</v>
      </c>
      <c r="E3772"/>
      <c r="F3772" s="35">
        <f>SUMIFS(F3773:F9015,K3773:K9015,"0",B3773:B9015,"5 1 1 3 2 12 31111 6 M59 96200*")</f>
        <v>13637.29</v>
      </c>
      <c r="G3772" s="35">
        <f>SUMIFS(G3773:G9015,K3773:K9015,"0",B3773:B9015,"5 1 1 3 2 12 31111 6 M59 96200*")</f>
        <v>0</v>
      </c>
      <c r="H3772" s="35">
        <f t="shared" si="59"/>
        <v>13637.29</v>
      </c>
      <c r="I3772" s="35"/>
      <c r="K3772" t="s">
        <v>15</v>
      </c>
    </row>
    <row r="3773" spans="2:11" ht="16.5" x14ac:dyDescent="0.2">
      <c r="B3773" s="33" t="s">
        <v>4709</v>
      </c>
      <c r="C3773" s="33" t="s">
        <v>648</v>
      </c>
      <c r="D3773" s="35">
        <f>SUMIFS(D3774:D9015,K3774:K9015,"0",B3774:B9015,"5 1 1 3 2 12 31111 6 M59 96200 000132*")-SUMIFS(E3774:E9015,K3774:K9015,"0",B3774:B9015,"5 1 1 3 2 12 31111 6 M59 96200 000132*")</f>
        <v>0</v>
      </c>
      <c r="E3773"/>
      <c r="F3773" s="35">
        <f>SUMIFS(F3774:F9015,K3774:K9015,"0",B3774:B9015,"5 1 1 3 2 12 31111 6 M59 96200 000132*")</f>
        <v>13637.29</v>
      </c>
      <c r="G3773" s="35">
        <f>SUMIFS(G3774:G9015,K3774:K9015,"0",B3774:B9015,"5 1 1 3 2 12 31111 6 M59 96200 000132*")</f>
        <v>0</v>
      </c>
      <c r="H3773" s="35">
        <f t="shared" si="59"/>
        <v>13637.29</v>
      </c>
      <c r="I3773" s="35"/>
      <c r="K3773" t="s">
        <v>15</v>
      </c>
    </row>
    <row r="3774" spans="2:11" ht="24.75" x14ac:dyDescent="0.2">
      <c r="B3774" s="33" t="s">
        <v>4710</v>
      </c>
      <c r="C3774" s="33" t="s">
        <v>650</v>
      </c>
      <c r="D3774" s="35">
        <f>SUMIFS(D3775:D9015,K3775:K9015,"0",B3775:B9015,"5 1 1 3 2 12 31111 6 M59 96200 000132 0000R*")-SUMIFS(E3775:E9015,K3775:K9015,"0",B3775:B9015,"5 1 1 3 2 12 31111 6 M59 96200 000132 0000R*")</f>
        <v>0</v>
      </c>
      <c r="E3774"/>
      <c r="F3774" s="35">
        <f>SUMIFS(F3775:F9015,K3775:K9015,"0",B3775:B9015,"5 1 1 3 2 12 31111 6 M59 96200 000132 0000R*")</f>
        <v>13637.29</v>
      </c>
      <c r="G3774" s="35">
        <f>SUMIFS(G3775:G9015,K3775:K9015,"0",B3775:B9015,"5 1 1 3 2 12 31111 6 M59 96200 000132 0000R*")</f>
        <v>0</v>
      </c>
      <c r="H3774" s="35">
        <f t="shared" si="59"/>
        <v>13637.29</v>
      </c>
      <c r="I3774" s="35"/>
      <c r="K3774" t="s">
        <v>15</v>
      </c>
    </row>
    <row r="3775" spans="2:11" ht="24.75" x14ac:dyDescent="0.2">
      <c r="B3775" s="33" t="s">
        <v>4711</v>
      </c>
      <c r="C3775" s="33" t="s">
        <v>282</v>
      </c>
      <c r="D3775" s="35">
        <f>SUMIFS(D3776:D9015,K3776:K9015,"0",B3776:B9015,"5 1 1 3 2 12 31111 6 M59 96200 000132 0000R 00001*")-SUMIFS(E3776:E9015,K3776:K9015,"0",B3776:B9015,"5 1 1 3 2 12 31111 6 M59 96200 000132 0000R 00001*")</f>
        <v>0</v>
      </c>
      <c r="E3775"/>
      <c r="F3775" s="35">
        <f>SUMIFS(F3776:F9015,K3776:K9015,"0",B3776:B9015,"5 1 1 3 2 12 31111 6 M59 96200 000132 0000R 00001*")</f>
        <v>13637.29</v>
      </c>
      <c r="G3775" s="35">
        <f>SUMIFS(G3776:G9015,K3776:K9015,"0",B3776:B9015,"5 1 1 3 2 12 31111 6 M59 96200 000132 0000R 00001*")</f>
        <v>0</v>
      </c>
      <c r="H3775" s="35">
        <f t="shared" si="59"/>
        <v>13637.29</v>
      </c>
      <c r="I3775" s="35"/>
      <c r="K3775" t="s">
        <v>15</v>
      </c>
    </row>
    <row r="3776" spans="2:11" ht="24.75" x14ac:dyDescent="0.2">
      <c r="B3776" s="33" t="s">
        <v>4712</v>
      </c>
      <c r="C3776" s="33" t="s">
        <v>4041</v>
      </c>
      <c r="D3776" s="35">
        <f>SUMIFS(D3777:D9015,K3777:K9015,"0",B3777:B9015,"5 1 1 3 2 12 31111 6 M59 96200 000132 0000R 00001 00132*")-SUMIFS(E3777:E9015,K3777:K9015,"0",B3777:B9015,"5 1 1 3 2 12 31111 6 M59 96200 000132 0000R 00001 00132*")</f>
        <v>0</v>
      </c>
      <c r="E3776"/>
      <c r="F3776" s="35">
        <f>SUMIFS(F3777:F9015,K3777:K9015,"0",B3777:B9015,"5 1 1 3 2 12 31111 6 M59 96200 000132 0000R 00001 00132*")</f>
        <v>13637.29</v>
      </c>
      <c r="G3776" s="35">
        <f>SUMIFS(G3777:G9015,K3777:K9015,"0",B3777:B9015,"5 1 1 3 2 12 31111 6 M59 96200 000132 0000R 00001 00132*")</f>
        <v>0</v>
      </c>
      <c r="H3776" s="35">
        <f t="shared" si="59"/>
        <v>13637.29</v>
      </c>
      <c r="I3776" s="35"/>
      <c r="K3776" t="s">
        <v>15</v>
      </c>
    </row>
    <row r="3777" spans="2:11" ht="33" x14ac:dyDescent="0.2">
      <c r="B3777" s="33" t="s">
        <v>4713</v>
      </c>
      <c r="C3777" s="33" t="s">
        <v>1051</v>
      </c>
      <c r="D3777" s="35">
        <f>SUMIFS(D3778:D9015,K3778:K9015,"0",B3778:B9015,"5 1 1 3 2 12 31111 6 M59 96200 000132 0000R 00001 00132 015*")-SUMIFS(E3778:E9015,K3778:K9015,"0",B3778:B9015,"5 1 1 3 2 12 31111 6 M59 96200 000132 0000R 00001 00132 015*")</f>
        <v>0</v>
      </c>
      <c r="E3777"/>
      <c r="F3777" s="35">
        <f>SUMIFS(F3778:F9015,K3778:K9015,"0",B3778:B9015,"5 1 1 3 2 12 31111 6 M59 96200 000132 0000R 00001 00132 015*")</f>
        <v>13637.29</v>
      </c>
      <c r="G3777" s="35">
        <f>SUMIFS(G3778:G9015,K3778:K9015,"0",B3778:B9015,"5 1 1 3 2 12 31111 6 M59 96200 000132 0000R 00001 00132 015*")</f>
        <v>0</v>
      </c>
      <c r="H3777" s="35">
        <f t="shared" si="59"/>
        <v>13637.29</v>
      </c>
      <c r="I3777" s="35"/>
      <c r="K3777" t="s">
        <v>15</v>
      </c>
    </row>
    <row r="3778" spans="2:11" ht="33" x14ac:dyDescent="0.2">
      <c r="B3778" s="33" t="s">
        <v>4714</v>
      </c>
      <c r="C3778" s="33" t="s">
        <v>2927</v>
      </c>
      <c r="D3778" s="35">
        <f>SUMIFS(D3779:D9015,K3779:K9015,"0",B3779:B9015,"5 1 1 3 2 12 31111 6 M59 96200 000132 0000R 00001 00132 015 2111100*")-SUMIFS(E3779:E9015,K3779:K9015,"0",B3779:B9015,"5 1 1 3 2 12 31111 6 M59 96200 000132 0000R 00001 00132 015 2111100*")</f>
        <v>0</v>
      </c>
      <c r="E3778"/>
      <c r="F3778" s="35">
        <f>SUMIFS(F3779:F9015,K3779:K9015,"0",B3779:B9015,"5 1 1 3 2 12 31111 6 M59 96200 000132 0000R 00001 00132 015 2111100*")</f>
        <v>13637.29</v>
      </c>
      <c r="G3778" s="35">
        <f>SUMIFS(G3779:G9015,K3779:K9015,"0",B3779:B9015,"5 1 1 3 2 12 31111 6 M59 96200 000132 0000R 00001 00132 015 2111100*")</f>
        <v>0</v>
      </c>
      <c r="H3778" s="35">
        <f t="shared" si="59"/>
        <v>13637.29</v>
      </c>
      <c r="I3778" s="35"/>
      <c r="K3778" t="s">
        <v>15</v>
      </c>
    </row>
    <row r="3779" spans="2:11" ht="33" x14ac:dyDescent="0.2">
      <c r="B3779" s="33" t="s">
        <v>4715</v>
      </c>
      <c r="C3779" s="33" t="s">
        <v>660</v>
      </c>
      <c r="D3779" s="35">
        <f>SUMIFS(D3780:D9015,K3780:K9015,"0",B3780:B9015,"5 1 1 3 2 12 31111 6 M59 96200 000132 0000R 00001 00132 015 2111100 2024*")-SUMIFS(E3780:E9015,K3780:K9015,"0",B3780:B9015,"5 1 1 3 2 12 31111 6 M59 96200 000132 0000R 00001 00132 015 2111100 2024*")</f>
        <v>0</v>
      </c>
      <c r="E3779"/>
      <c r="F3779" s="35">
        <f>SUMIFS(F3780:F9015,K3780:K9015,"0",B3780:B9015,"5 1 1 3 2 12 31111 6 M59 96200 000132 0000R 00001 00132 015 2111100 2024*")</f>
        <v>13637.29</v>
      </c>
      <c r="G3779" s="35">
        <f>SUMIFS(G3780:G9015,K3780:K9015,"0",B3780:B9015,"5 1 1 3 2 12 31111 6 M59 96200 000132 0000R 00001 00132 015 2111100 2024*")</f>
        <v>0</v>
      </c>
      <c r="H3779" s="35">
        <f t="shared" si="59"/>
        <v>13637.29</v>
      </c>
      <c r="I3779" s="35"/>
      <c r="K3779" t="s">
        <v>15</v>
      </c>
    </row>
    <row r="3780" spans="2:11" ht="41.25" x14ac:dyDescent="0.2">
      <c r="B3780" s="33" t="s">
        <v>4716</v>
      </c>
      <c r="C3780" s="33" t="s">
        <v>662</v>
      </c>
      <c r="D3780" s="35">
        <f>SUMIFS(D3781:D9015,K3781:K9015,"0",B3781:B9015,"5 1 1 3 2 12 31111 6 M59 96200 000132 0000R 00001 00132 015 2111100 2024 CP1AL423*")-SUMIFS(E3781:E9015,K3781:K9015,"0",B3781:B9015,"5 1 1 3 2 12 31111 6 M59 96200 000132 0000R 00001 00132 015 2111100 2024 CP1AL423*")</f>
        <v>0</v>
      </c>
      <c r="E3780"/>
      <c r="F3780" s="35">
        <f>SUMIFS(F3781:F9015,K3781:K9015,"0",B3781:B9015,"5 1 1 3 2 12 31111 6 M59 96200 000132 0000R 00001 00132 015 2111100 2024 CP1AL423*")</f>
        <v>13637.29</v>
      </c>
      <c r="G3780" s="35">
        <f>SUMIFS(G3781:G9015,K3781:K9015,"0",B3781:B9015,"5 1 1 3 2 12 31111 6 M59 96200 000132 0000R 00001 00132 015 2111100 2024 CP1AL423*")</f>
        <v>0</v>
      </c>
      <c r="H3780" s="35">
        <f t="shared" ref="H3780:H3843" si="60">D3780 + F3780 - G3780</f>
        <v>13637.29</v>
      </c>
      <c r="I3780" s="35"/>
      <c r="K3780" t="s">
        <v>15</v>
      </c>
    </row>
    <row r="3781" spans="2:11" ht="41.25" x14ac:dyDescent="0.2">
      <c r="B3781" s="33" t="s">
        <v>4717</v>
      </c>
      <c r="C3781" s="33" t="s">
        <v>282</v>
      </c>
      <c r="D3781" s="35">
        <f>SUMIFS(D3782:D9015,K3782:K9015,"0",B3782:B9015,"5 1 1 3 2 12 31111 6 M59 96200 000132 0000R 00001 00132 015 2111100 2024 CP1AL423 001*")-SUMIFS(E3782:E9015,K3782:K9015,"0",B3782:B9015,"5 1 1 3 2 12 31111 6 M59 96200 000132 0000R 00001 00132 015 2111100 2024 CP1AL423 001*")</f>
        <v>0</v>
      </c>
      <c r="E3781"/>
      <c r="F3781" s="35">
        <f>SUMIFS(F3782:F9015,K3782:K9015,"0",B3782:B9015,"5 1 1 3 2 12 31111 6 M59 96200 000132 0000R 00001 00132 015 2111100 2024 CP1AL423 001*")</f>
        <v>13637.29</v>
      </c>
      <c r="G3781" s="35">
        <f>SUMIFS(G3782:G9015,K3782:K9015,"0",B3782:B9015,"5 1 1 3 2 12 31111 6 M59 96200 000132 0000R 00001 00132 015 2111100 2024 CP1AL423 001*")</f>
        <v>0</v>
      </c>
      <c r="H3781" s="35">
        <f t="shared" si="60"/>
        <v>13637.29</v>
      </c>
      <c r="I3781" s="35"/>
      <c r="K3781" t="s">
        <v>15</v>
      </c>
    </row>
    <row r="3782" spans="2:11" ht="41.25" x14ac:dyDescent="0.2">
      <c r="B3782" s="31" t="s">
        <v>4718</v>
      </c>
      <c r="C3782" s="31" t="s">
        <v>1519</v>
      </c>
      <c r="D3782" s="34">
        <v>0</v>
      </c>
      <c r="E3782" s="34"/>
      <c r="F3782" s="34">
        <v>13637.29</v>
      </c>
      <c r="G3782" s="34">
        <v>0</v>
      </c>
      <c r="H3782" s="34">
        <f t="shared" si="60"/>
        <v>13637.29</v>
      </c>
      <c r="I3782" s="34"/>
      <c r="K3782" t="s">
        <v>38</v>
      </c>
    </row>
    <row r="3783" spans="2:11" ht="16.5" x14ac:dyDescent="0.2">
      <c r="B3783" s="33" t="s">
        <v>4719</v>
      </c>
      <c r="C3783" s="33" t="s">
        <v>1308</v>
      </c>
      <c r="D3783" s="35">
        <f>SUMIFS(D3784:D9015,K3784:K9015,"0",B3784:B9015,"5 1 1 3 2 12 31111 6 M59 96300*")-SUMIFS(E3784:E9015,K3784:K9015,"0",B3784:B9015,"5 1 1 3 2 12 31111 6 M59 96300*")</f>
        <v>0</v>
      </c>
      <c r="E3783"/>
      <c r="F3783" s="35">
        <f>SUMIFS(F3784:F9015,K3784:K9015,"0",B3784:B9015,"5 1 1 3 2 12 31111 6 M59 96300*")</f>
        <v>100815.06</v>
      </c>
      <c r="G3783" s="35">
        <f>SUMIFS(G3784:G9015,K3784:K9015,"0",B3784:B9015,"5 1 1 3 2 12 31111 6 M59 96300*")</f>
        <v>0</v>
      </c>
      <c r="H3783" s="35">
        <f t="shared" si="60"/>
        <v>100815.06</v>
      </c>
      <c r="I3783" s="35"/>
      <c r="K3783" t="s">
        <v>15</v>
      </c>
    </row>
    <row r="3784" spans="2:11" ht="16.5" x14ac:dyDescent="0.2">
      <c r="B3784" s="33" t="s">
        <v>4720</v>
      </c>
      <c r="C3784" s="33" t="s">
        <v>1310</v>
      </c>
      <c r="D3784" s="35">
        <f>SUMIFS(D3785:D9015,K3785:K9015,"0",B3785:B9015,"5 1 1 3 2 12 31111 6 M59 96300 000211*")-SUMIFS(E3785:E9015,K3785:K9015,"0",B3785:B9015,"5 1 1 3 2 12 31111 6 M59 96300 000211*")</f>
        <v>0</v>
      </c>
      <c r="E3784"/>
      <c r="F3784" s="35">
        <f>SUMIFS(F3785:F9015,K3785:K9015,"0",B3785:B9015,"5 1 1 3 2 12 31111 6 M59 96300 000211*")</f>
        <v>100815.06</v>
      </c>
      <c r="G3784" s="35">
        <f>SUMIFS(G3785:G9015,K3785:K9015,"0",B3785:B9015,"5 1 1 3 2 12 31111 6 M59 96300 000211*")</f>
        <v>0</v>
      </c>
      <c r="H3784" s="35">
        <f t="shared" si="60"/>
        <v>100815.06</v>
      </c>
      <c r="I3784" s="35"/>
      <c r="K3784" t="s">
        <v>15</v>
      </c>
    </row>
    <row r="3785" spans="2:11" ht="24.75" x14ac:dyDescent="0.2">
      <c r="B3785" s="33" t="s">
        <v>4721</v>
      </c>
      <c r="C3785" s="33" t="s">
        <v>1065</v>
      </c>
      <c r="D3785" s="35">
        <f>SUMIFS(D3786:D9015,K3786:K9015,"0",B3786:B9015,"5 1 1 3 2 12 31111 6 M59 96300 000211 0000E*")-SUMIFS(E3786:E9015,K3786:K9015,"0",B3786:B9015,"5 1 1 3 2 12 31111 6 M59 96300 000211 0000E*")</f>
        <v>0</v>
      </c>
      <c r="E3785"/>
      <c r="F3785" s="35">
        <f>SUMIFS(F3786:F9015,K3786:K9015,"0",B3786:B9015,"5 1 1 3 2 12 31111 6 M59 96300 000211 0000E*")</f>
        <v>100815.06</v>
      </c>
      <c r="G3785" s="35">
        <f>SUMIFS(G3786:G9015,K3786:K9015,"0",B3786:B9015,"5 1 1 3 2 12 31111 6 M59 96300 000211 0000E*")</f>
        <v>0</v>
      </c>
      <c r="H3785" s="35">
        <f t="shared" si="60"/>
        <v>100815.06</v>
      </c>
      <c r="I3785" s="35"/>
      <c r="K3785" t="s">
        <v>15</v>
      </c>
    </row>
    <row r="3786" spans="2:11" ht="24.75" x14ac:dyDescent="0.2">
      <c r="B3786" s="33" t="s">
        <v>4722</v>
      </c>
      <c r="C3786" s="33" t="s">
        <v>282</v>
      </c>
      <c r="D3786" s="35">
        <f>SUMIFS(D3787:D9015,K3787:K9015,"0",B3787:B9015,"5 1 1 3 2 12 31111 6 M59 96300 000211 0000E 00001*")-SUMIFS(E3787:E9015,K3787:K9015,"0",B3787:B9015,"5 1 1 3 2 12 31111 6 M59 96300 000211 0000E 00001*")</f>
        <v>0</v>
      </c>
      <c r="E3786"/>
      <c r="F3786" s="35">
        <f>SUMIFS(F3787:F9015,K3787:K9015,"0",B3787:B9015,"5 1 1 3 2 12 31111 6 M59 96300 000211 0000E 00001*")</f>
        <v>100815.06</v>
      </c>
      <c r="G3786" s="35">
        <f>SUMIFS(G3787:G9015,K3787:K9015,"0",B3787:B9015,"5 1 1 3 2 12 31111 6 M59 96300 000211 0000E 00001*")</f>
        <v>0</v>
      </c>
      <c r="H3786" s="35">
        <f t="shared" si="60"/>
        <v>100815.06</v>
      </c>
      <c r="I3786" s="35"/>
      <c r="K3786" t="s">
        <v>15</v>
      </c>
    </row>
    <row r="3787" spans="2:11" ht="24.75" x14ac:dyDescent="0.2">
      <c r="B3787" s="33" t="s">
        <v>4723</v>
      </c>
      <c r="C3787" s="33" t="s">
        <v>4041</v>
      </c>
      <c r="D3787" s="35">
        <f>SUMIFS(D3788:D9015,K3788:K9015,"0",B3788:B9015,"5 1 1 3 2 12 31111 6 M59 96300 000211 0000E 00001 00132*")-SUMIFS(E3788:E9015,K3788:K9015,"0",B3788:B9015,"5 1 1 3 2 12 31111 6 M59 96300 000211 0000E 00001 00132*")</f>
        <v>0</v>
      </c>
      <c r="E3787"/>
      <c r="F3787" s="35">
        <f>SUMIFS(F3788:F9015,K3788:K9015,"0",B3788:B9015,"5 1 1 3 2 12 31111 6 M59 96300 000211 0000E 00001 00132*")</f>
        <v>100815.06</v>
      </c>
      <c r="G3787" s="35">
        <f>SUMIFS(G3788:G9015,K3788:K9015,"0",B3788:B9015,"5 1 1 3 2 12 31111 6 M59 96300 000211 0000E 00001 00132*")</f>
        <v>0</v>
      </c>
      <c r="H3787" s="35">
        <f t="shared" si="60"/>
        <v>100815.06</v>
      </c>
      <c r="I3787" s="35"/>
      <c r="K3787" t="s">
        <v>15</v>
      </c>
    </row>
    <row r="3788" spans="2:11" ht="33" x14ac:dyDescent="0.2">
      <c r="B3788" s="33" t="s">
        <v>4724</v>
      </c>
      <c r="C3788" s="33" t="s">
        <v>1051</v>
      </c>
      <c r="D3788" s="35">
        <f>SUMIFS(D3789:D9015,K3789:K9015,"0",B3789:B9015,"5 1 1 3 2 12 31111 6 M59 96300 000211 0000E 00001 00132 015*")-SUMIFS(E3789:E9015,K3789:K9015,"0",B3789:B9015,"5 1 1 3 2 12 31111 6 M59 96300 000211 0000E 00001 00132 015*")</f>
        <v>0</v>
      </c>
      <c r="E3788"/>
      <c r="F3788" s="35">
        <f>SUMIFS(F3789:F9015,K3789:K9015,"0",B3789:B9015,"5 1 1 3 2 12 31111 6 M59 96300 000211 0000E 00001 00132 015*")</f>
        <v>100815.06</v>
      </c>
      <c r="G3788" s="35">
        <f>SUMIFS(G3789:G9015,K3789:K9015,"0",B3789:B9015,"5 1 1 3 2 12 31111 6 M59 96300 000211 0000E 00001 00132 015*")</f>
        <v>0</v>
      </c>
      <c r="H3788" s="35">
        <f t="shared" si="60"/>
        <v>100815.06</v>
      </c>
      <c r="I3788" s="35"/>
      <c r="K3788" t="s">
        <v>15</v>
      </c>
    </row>
    <row r="3789" spans="2:11" ht="33" x14ac:dyDescent="0.2">
      <c r="B3789" s="33" t="s">
        <v>4725</v>
      </c>
      <c r="C3789" s="33" t="s">
        <v>2927</v>
      </c>
      <c r="D3789" s="35">
        <f>SUMIFS(D3790:D9015,K3790:K9015,"0",B3790:B9015,"5 1 1 3 2 12 31111 6 M59 96300 000211 0000E 00001 00132 015 2111100*")-SUMIFS(E3790:E9015,K3790:K9015,"0",B3790:B9015,"5 1 1 3 2 12 31111 6 M59 96300 000211 0000E 00001 00132 015 2111100*")</f>
        <v>0</v>
      </c>
      <c r="E3789"/>
      <c r="F3789" s="35">
        <f>SUMIFS(F3790:F9015,K3790:K9015,"0",B3790:B9015,"5 1 1 3 2 12 31111 6 M59 96300 000211 0000E 00001 00132 015 2111100*")</f>
        <v>100815.06</v>
      </c>
      <c r="G3789" s="35">
        <f>SUMIFS(G3790:G9015,K3790:K9015,"0",B3790:B9015,"5 1 1 3 2 12 31111 6 M59 96300 000211 0000E 00001 00132 015 2111100*")</f>
        <v>0</v>
      </c>
      <c r="H3789" s="35">
        <f t="shared" si="60"/>
        <v>100815.06</v>
      </c>
      <c r="I3789" s="35"/>
      <c r="K3789" t="s">
        <v>15</v>
      </c>
    </row>
    <row r="3790" spans="2:11" ht="33" x14ac:dyDescent="0.2">
      <c r="B3790" s="33" t="s">
        <v>4726</v>
      </c>
      <c r="C3790" s="33" t="s">
        <v>660</v>
      </c>
      <c r="D3790" s="35">
        <f>SUMIFS(D3791:D9015,K3791:K9015,"0",B3791:B9015,"5 1 1 3 2 12 31111 6 M59 96300 000211 0000E 00001 00132 015 2111100 2024*")-SUMIFS(E3791:E9015,K3791:K9015,"0",B3791:B9015,"5 1 1 3 2 12 31111 6 M59 96300 000211 0000E 00001 00132 015 2111100 2024*")</f>
        <v>0</v>
      </c>
      <c r="E3790"/>
      <c r="F3790" s="35">
        <f>SUMIFS(F3791:F9015,K3791:K9015,"0",B3791:B9015,"5 1 1 3 2 12 31111 6 M59 96300 000211 0000E 00001 00132 015 2111100 2024*")</f>
        <v>100815.06</v>
      </c>
      <c r="G3790" s="35">
        <f>SUMIFS(G3791:G9015,K3791:K9015,"0",B3791:B9015,"5 1 1 3 2 12 31111 6 M59 96300 000211 0000E 00001 00132 015 2111100 2024*")</f>
        <v>0</v>
      </c>
      <c r="H3790" s="35">
        <f t="shared" si="60"/>
        <v>100815.06</v>
      </c>
      <c r="I3790" s="35"/>
      <c r="K3790" t="s">
        <v>15</v>
      </c>
    </row>
    <row r="3791" spans="2:11" ht="41.25" x14ac:dyDescent="0.2">
      <c r="B3791" s="33" t="s">
        <v>4727</v>
      </c>
      <c r="C3791" s="33" t="s">
        <v>1056</v>
      </c>
      <c r="D3791" s="35">
        <f>SUMIFS(D3792:D9015,K3792:K9015,"0",B3792:B9015,"5 1 1 3 2 12 31111 6 M59 96300 000211 0000E 00001 00132 015 2111100 2024 CP1SB396*")-SUMIFS(E3792:E9015,K3792:K9015,"0",B3792:B9015,"5 1 1 3 2 12 31111 6 M59 96300 000211 0000E 00001 00132 015 2111100 2024 CP1SB396*")</f>
        <v>0</v>
      </c>
      <c r="E3791"/>
      <c r="F3791" s="35">
        <f>SUMIFS(F3792:F9015,K3792:K9015,"0",B3792:B9015,"5 1 1 3 2 12 31111 6 M59 96300 000211 0000E 00001 00132 015 2111100 2024 CP1SB396*")</f>
        <v>100815.06</v>
      </c>
      <c r="G3791" s="35">
        <f>SUMIFS(G3792:G9015,K3792:K9015,"0",B3792:B9015,"5 1 1 3 2 12 31111 6 M59 96300 000211 0000E 00001 00132 015 2111100 2024 CP1SB396*")</f>
        <v>0</v>
      </c>
      <c r="H3791" s="35">
        <f t="shared" si="60"/>
        <v>100815.06</v>
      </c>
      <c r="I3791" s="35"/>
      <c r="K3791" t="s">
        <v>15</v>
      </c>
    </row>
    <row r="3792" spans="2:11" ht="41.25" x14ac:dyDescent="0.2">
      <c r="B3792" s="33" t="s">
        <v>4728</v>
      </c>
      <c r="C3792" s="33" t="s">
        <v>282</v>
      </c>
      <c r="D3792" s="35">
        <f>SUMIFS(D3793:D9015,K3793:K9015,"0",B3793:B9015,"5 1 1 3 2 12 31111 6 M59 96300 000211 0000E 00001 00132 015 2111100 2024 CP1SB396 001*")-SUMIFS(E3793:E9015,K3793:K9015,"0",B3793:B9015,"5 1 1 3 2 12 31111 6 M59 96300 000211 0000E 00001 00132 015 2111100 2024 CP1SB396 001*")</f>
        <v>0</v>
      </c>
      <c r="E3792"/>
      <c r="F3792" s="35">
        <f>SUMIFS(F3793:F9015,K3793:K9015,"0",B3793:B9015,"5 1 1 3 2 12 31111 6 M59 96300 000211 0000E 00001 00132 015 2111100 2024 CP1SB396 001*")</f>
        <v>100815.06</v>
      </c>
      <c r="G3792" s="35">
        <f>SUMIFS(G3793:G9015,K3793:K9015,"0",B3793:B9015,"5 1 1 3 2 12 31111 6 M59 96300 000211 0000E 00001 00132 015 2111100 2024 CP1SB396 001*")</f>
        <v>0</v>
      </c>
      <c r="H3792" s="35">
        <f t="shared" si="60"/>
        <v>100815.06</v>
      </c>
      <c r="I3792" s="35"/>
      <c r="K3792" t="s">
        <v>15</v>
      </c>
    </row>
    <row r="3793" spans="2:11" ht="33" x14ac:dyDescent="0.2">
      <c r="B3793" s="31" t="s">
        <v>4729</v>
      </c>
      <c r="C3793" s="31" t="s">
        <v>1519</v>
      </c>
      <c r="D3793" s="34">
        <v>0</v>
      </c>
      <c r="E3793" s="34"/>
      <c r="F3793" s="34">
        <v>94732.160000000003</v>
      </c>
      <c r="G3793" s="34">
        <v>0</v>
      </c>
      <c r="H3793" s="34">
        <f t="shared" si="60"/>
        <v>94732.160000000003</v>
      </c>
      <c r="I3793" s="34"/>
      <c r="K3793" t="s">
        <v>38</v>
      </c>
    </row>
    <row r="3794" spans="2:11" ht="33" x14ac:dyDescent="0.2">
      <c r="B3794" s="31" t="s">
        <v>4730</v>
      </c>
      <c r="C3794" s="31" t="s">
        <v>4435</v>
      </c>
      <c r="D3794" s="34">
        <v>0</v>
      </c>
      <c r="E3794" s="34"/>
      <c r="F3794" s="34">
        <v>6082.9</v>
      </c>
      <c r="G3794" s="34">
        <v>0</v>
      </c>
      <c r="H3794" s="34">
        <f t="shared" si="60"/>
        <v>6082.9</v>
      </c>
      <c r="I3794" s="34"/>
      <c r="K3794" t="s">
        <v>38</v>
      </c>
    </row>
    <row r="3795" spans="2:11" ht="16.5" x14ac:dyDescent="0.2">
      <c r="B3795" s="33" t="s">
        <v>4731</v>
      </c>
      <c r="C3795" s="33" t="s">
        <v>3729</v>
      </c>
      <c r="D3795" s="35">
        <f>SUMIFS(D3796:D9015,K3796:K9015,"0",B3796:B9015,"5 1 1 3 2 12 31111 6 M59 97000*")-SUMIFS(E3796:E9015,K3796:K9015,"0",B3796:B9015,"5 1 1 3 2 12 31111 6 M59 97000*")</f>
        <v>0</v>
      </c>
      <c r="E3795"/>
      <c r="F3795" s="35">
        <f>SUMIFS(F3796:F9015,K3796:K9015,"0",B3796:B9015,"5 1 1 3 2 12 31111 6 M59 97000*")</f>
        <v>10447.93</v>
      </c>
      <c r="G3795" s="35">
        <f>SUMIFS(G3796:G9015,K3796:K9015,"0",B3796:B9015,"5 1 1 3 2 12 31111 6 M59 97000*")</f>
        <v>0</v>
      </c>
      <c r="H3795" s="35">
        <f t="shared" si="60"/>
        <v>10447.93</v>
      </c>
      <c r="I3795" s="35"/>
      <c r="K3795" t="s">
        <v>15</v>
      </c>
    </row>
    <row r="3796" spans="2:11" ht="16.5" x14ac:dyDescent="0.2">
      <c r="B3796" s="33" t="s">
        <v>4732</v>
      </c>
      <c r="C3796" s="33" t="s">
        <v>648</v>
      </c>
      <c r="D3796" s="35">
        <f>SUMIFS(D3797:D9015,K3797:K9015,"0",B3797:B9015,"5 1 1 3 2 12 31111 6 M59 97000 000132*")-SUMIFS(E3797:E9015,K3797:K9015,"0",B3797:B9015,"5 1 1 3 2 12 31111 6 M59 97000 000132*")</f>
        <v>0</v>
      </c>
      <c r="E3796"/>
      <c r="F3796" s="35">
        <f>SUMIFS(F3797:F9015,K3797:K9015,"0",B3797:B9015,"5 1 1 3 2 12 31111 6 M59 97000 000132*")</f>
        <v>10447.93</v>
      </c>
      <c r="G3796" s="35">
        <f>SUMIFS(G3797:G9015,K3797:K9015,"0",B3797:B9015,"5 1 1 3 2 12 31111 6 M59 97000 000132*")</f>
        <v>0</v>
      </c>
      <c r="H3796" s="35">
        <f t="shared" si="60"/>
        <v>10447.93</v>
      </c>
      <c r="I3796" s="35"/>
      <c r="K3796" t="s">
        <v>15</v>
      </c>
    </row>
    <row r="3797" spans="2:11" ht="24.75" x14ac:dyDescent="0.2">
      <c r="B3797" s="33" t="s">
        <v>4733</v>
      </c>
      <c r="C3797" s="33" t="s">
        <v>650</v>
      </c>
      <c r="D3797" s="35">
        <f>SUMIFS(D3798:D9015,K3798:K9015,"0",B3798:B9015,"5 1 1 3 2 12 31111 6 M59 97000 000132 0000R*")-SUMIFS(E3798:E9015,K3798:K9015,"0",B3798:B9015,"5 1 1 3 2 12 31111 6 M59 97000 000132 0000R*")</f>
        <v>0</v>
      </c>
      <c r="E3797"/>
      <c r="F3797" s="35">
        <f>SUMIFS(F3798:F9015,K3798:K9015,"0",B3798:B9015,"5 1 1 3 2 12 31111 6 M59 97000 000132 0000R*")</f>
        <v>10447.93</v>
      </c>
      <c r="G3797" s="35">
        <f>SUMIFS(G3798:G9015,K3798:K9015,"0",B3798:B9015,"5 1 1 3 2 12 31111 6 M59 97000 000132 0000R*")</f>
        <v>0</v>
      </c>
      <c r="H3797" s="35">
        <f t="shared" si="60"/>
        <v>10447.93</v>
      </c>
      <c r="I3797" s="35"/>
      <c r="K3797" t="s">
        <v>15</v>
      </c>
    </row>
    <row r="3798" spans="2:11" ht="24.75" x14ac:dyDescent="0.2">
      <c r="B3798" s="33" t="s">
        <v>4734</v>
      </c>
      <c r="C3798" s="33" t="s">
        <v>282</v>
      </c>
      <c r="D3798" s="35">
        <f>SUMIFS(D3799:D9015,K3799:K9015,"0",B3799:B9015,"5 1 1 3 2 12 31111 6 M59 97000 000132 0000R 00001*")-SUMIFS(E3799:E9015,K3799:K9015,"0",B3799:B9015,"5 1 1 3 2 12 31111 6 M59 97000 000132 0000R 00001*")</f>
        <v>0</v>
      </c>
      <c r="E3798"/>
      <c r="F3798" s="35">
        <f>SUMIFS(F3799:F9015,K3799:K9015,"0",B3799:B9015,"5 1 1 3 2 12 31111 6 M59 97000 000132 0000R 00001*")</f>
        <v>10447.93</v>
      </c>
      <c r="G3798" s="35">
        <f>SUMIFS(G3799:G9015,K3799:K9015,"0",B3799:B9015,"5 1 1 3 2 12 31111 6 M59 97000 000132 0000R 00001*")</f>
        <v>0</v>
      </c>
      <c r="H3798" s="35">
        <f t="shared" si="60"/>
        <v>10447.93</v>
      </c>
      <c r="I3798" s="35"/>
      <c r="K3798" t="s">
        <v>15</v>
      </c>
    </row>
    <row r="3799" spans="2:11" ht="24.75" x14ac:dyDescent="0.2">
      <c r="B3799" s="33" t="s">
        <v>4735</v>
      </c>
      <c r="C3799" s="33" t="s">
        <v>4041</v>
      </c>
      <c r="D3799" s="35">
        <f>SUMIFS(D3800:D9015,K3800:K9015,"0",B3800:B9015,"5 1 1 3 2 12 31111 6 M59 97000 000132 0000R 00001 00132*")-SUMIFS(E3800:E9015,K3800:K9015,"0",B3800:B9015,"5 1 1 3 2 12 31111 6 M59 97000 000132 0000R 00001 00132*")</f>
        <v>0</v>
      </c>
      <c r="E3799"/>
      <c r="F3799" s="35">
        <f>SUMIFS(F3800:F9015,K3800:K9015,"0",B3800:B9015,"5 1 1 3 2 12 31111 6 M59 97000 000132 0000R 00001 00132*")</f>
        <v>10447.93</v>
      </c>
      <c r="G3799" s="35">
        <f>SUMIFS(G3800:G9015,K3800:K9015,"0",B3800:B9015,"5 1 1 3 2 12 31111 6 M59 97000 000132 0000R 00001 00132*")</f>
        <v>0</v>
      </c>
      <c r="H3799" s="35">
        <f t="shared" si="60"/>
        <v>10447.93</v>
      </c>
      <c r="I3799" s="35"/>
      <c r="K3799" t="s">
        <v>15</v>
      </c>
    </row>
    <row r="3800" spans="2:11" ht="33" x14ac:dyDescent="0.2">
      <c r="B3800" s="33" t="s">
        <v>4736</v>
      </c>
      <c r="C3800" s="33" t="s">
        <v>1051</v>
      </c>
      <c r="D3800" s="35">
        <f>SUMIFS(D3801:D9015,K3801:K9015,"0",B3801:B9015,"5 1 1 3 2 12 31111 6 M59 97000 000132 0000R 00001 00132 015*")-SUMIFS(E3801:E9015,K3801:K9015,"0",B3801:B9015,"5 1 1 3 2 12 31111 6 M59 97000 000132 0000R 00001 00132 015*")</f>
        <v>0</v>
      </c>
      <c r="E3800"/>
      <c r="F3800" s="35">
        <f>SUMIFS(F3801:F9015,K3801:K9015,"0",B3801:B9015,"5 1 1 3 2 12 31111 6 M59 97000 000132 0000R 00001 00132 015*")</f>
        <v>10447.93</v>
      </c>
      <c r="G3800" s="35">
        <f>SUMIFS(G3801:G9015,K3801:K9015,"0",B3801:B9015,"5 1 1 3 2 12 31111 6 M59 97000 000132 0000R 00001 00132 015*")</f>
        <v>0</v>
      </c>
      <c r="H3800" s="35">
        <f t="shared" si="60"/>
        <v>10447.93</v>
      </c>
      <c r="I3800" s="35"/>
      <c r="K3800" t="s">
        <v>15</v>
      </c>
    </row>
    <row r="3801" spans="2:11" ht="33" x14ac:dyDescent="0.2">
      <c r="B3801" s="33" t="s">
        <v>4737</v>
      </c>
      <c r="C3801" s="33" t="s">
        <v>2927</v>
      </c>
      <c r="D3801" s="35">
        <f>SUMIFS(D3802:D9015,K3802:K9015,"0",B3802:B9015,"5 1 1 3 2 12 31111 6 M59 97000 000132 0000R 00001 00132 015 2111100*")-SUMIFS(E3802:E9015,K3802:K9015,"0",B3802:B9015,"5 1 1 3 2 12 31111 6 M59 97000 000132 0000R 00001 00132 015 2111100*")</f>
        <v>0</v>
      </c>
      <c r="E3801"/>
      <c r="F3801" s="35">
        <f>SUMIFS(F3802:F9015,K3802:K9015,"0",B3802:B9015,"5 1 1 3 2 12 31111 6 M59 97000 000132 0000R 00001 00132 015 2111100*")</f>
        <v>10447.93</v>
      </c>
      <c r="G3801" s="35">
        <f>SUMIFS(G3802:G9015,K3802:K9015,"0",B3802:B9015,"5 1 1 3 2 12 31111 6 M59 97000 000132 0000R 00001 00132 015 2111100*")</f>
        <v>0</v>
      </c>
      <c r="H3801" s="35">
        <f t="shared" si="60"/>
        <v>10447.93</v>
      </c>
      <c r="I3801" s="35"/>
      <c r="K3801" t="s">
        <v>15</v>
      </c>
    </row>
    <row r="3802" spans="2:11" ht="33" x14ac:dyDescent="0.2">
      <c r="B3802" s="33" t="s">
        <v>4738</v>
      </c>
      <c r="C3802" s="33" t="s">
        <v>660</v>
      </c>
      <c r="D3802" s="35">
        <f>SUMIFS(D3803:D9015,K3803:K9015,"0",B3803:B9015,"5 1 1 3 2 12 31111 6 M59 97000 000132 0000R 00001 00132 015 2111100 2024*")-SUMIFS(E3803:E9015,K3803:K9015,"0",B3803:B9015,"5 1 1 3 2 12 31111 6 M59 97000 000132 0000R 00001 00132 015 2111100 2024*")</f>
        <v>0</v>
      </c>
      <c r="E3802"/>
      <c r="F3802" s="35">
        <f>SUMIFS(F3803:F9015,K3803:K9015,"0",B3803:B9015,"5 1 1 3 2 12 31111 6 M59 97000 000132 0000R 00001 00132 015 2111100 2024*")</f>
        <v>10447.93</v>
      </c>
      <c r="G3802" s="35">
        <f>SUMIFS(G3803:G9015,K3803:K9015,"0",B3803:B9015,"5 1 1 3 2 12 31111 6 M59 97000 000132 0000R 00001 00132 015 2111100 2024*")</f>
        <v>0</v>
      </c>
      <c r="H3802" s="35">
        <f t="shared" si="60"/>
        <v>10447.93</v>
      </c>
      <c r="I3802" s="35"/>
      <c r="K3802" t="s">
        <v>15</v>
      </c>
    </row>
    <row r="3803" spans="2:11" ht="41.25" x14ac:dyDescent="0.2">
      <c r="B3803" s="33" t="s">
        <v>4739</v>
      </c>
      <c r="C3803" s="33" t="s">
        <v>1056</v>
      </c>
      <c r="D3803" s="35">
        <f>SUMIFS(D3804:D9015,K3804:K9015,"0",B3804:B9015,"5 1 1 3 2 12 31111 6 M59 97000 000132 0000R 00001 00132 015 2111100 2024 CP1SP428*")-SUMIFS(E3804:E9015,K3804:K9015,"0",B3804:B9015,"5 1 1 3 2 12 31111 6 M59 97000 000132 0000R 00001 00132 015 2111100 2024 CP1SP428*")</f>
        <v>0</v>
      </c>
      <c r="E3803"/>
      <c r="F3803" s="35">
        <f>SUMIFS(F3804:F9015,K3804:K9015,"0",B3804:B9015,"5 1 1 3 2 12 31111 6 M59 97000 000132 0000R 00001 00132 015 2111100 2024 CP1SP428*")</f>
        <v>10447.93</v>
      </c>
      <c r="G3803" s="35">
        <f>SUMIFS(G3804:G9015,K3804:K9015,"0",B3804:B9015,"5 1 1 3 2 12 31111 6 M59 97000 000132 0000R 00001 00132 015 2111100 2024 CP1SP428*")</f>
        <v>0</v>
      </c>
      <c r="H3803" s="35">
        <f t="shared" si="60"/>
        <v>10447.93</v>
      </c>
      <c r="I3803" s="35"/>
      <c r="K3803" t="s">
        <v>15</v>
      </c>
    </row>
    <row r="3804" spans="2:11" ht="41.25" x14ac:dyDescent="0.2">
      <c r="B3804" s="33" t="s">
        <v>4740</v>
      </c>
      <c r="C3804" s="33" t="s">
        <v>282</v>
      </c>
      <c r="D3804" s="35">
        <f>SUMIFS(D3805:D9015,K3805:K9015,"0",B3805:B9015,"5 1 1 3 2 12 31111 6 M59 97000 000132 0000R 00001 00132 015 2111100 2024 CP1SP428 001*")-SUMIFS(E3805:E9015,K3805:K9015,"0",B3805:B9015,"5 1 1 3 2 12 31111 6 M59 97000 000132 0000R 00001 00132 015 2111100 2024 CP1SP428 001*")</f>
        <v>0</v>
      </c>
      <c r="E3804"/>
      <c r="F3804" s="35">
        <f>SUMIFS(F3805:F9015,K3805:K9015,"0",B3805:B9015,"5 1 1 3 2 12 31111 6 M59 97000 000132 0000R 00001 00132 015 2111100 2024 CP1SP428 001*")</f>
        <v>10447.93</v>
      </c>
      <c r="G3804" s="35">
        <f>SUMIFS(G3805:G9015,K3805:K9015,"0",B3805:B9015,"5 1 1 3 2 12 31111 6 M59 97000 000132 0000R 00001 00132 015 2111100 2024 CP1SP428 001*")</f>
        <v>0</v>
      </c>
      <c r="H3804" s="35">
        <f t="shared" si="60"/>
        <v>10447.93</v>
      </c>
      <c r="I3804" s="35"/>
      <c r="K3804" t="s">
        <v>15</v>
      </c>
    </row>
    <row r="3805" spans="2:11" ht="33" x14ac:dyDescent="0.2">
      <c r="B3805" s="31" t="s">
        <v>4741</v>
      </c>
      <c r="C3805" s="31" t="s">
        <v>1519</v>
      </c>
      <c r="D3805" s="34">
        <v>0</v>
      </c>
      <c r="E3805" s="34"/>
      <c r="F3805" s="34">
        <v>8911.35</v>
      </c>
      <c r="G3805" s="34">
        <v>0</v>
      </c>
      <c r="H3805" s="34">
        <f t="shared" si="60"/>
        <v>8911.35</v>
      </c>
      <c r="I3805" s="34"/>
      <c r="K3805" t="s">
        <v>38</v>
      </c>
    </row>
    <row r="3806" spans="2:11" ht="33" x14ac:dyDescent="0.2">
      <c r="B3806" s="31" t="s">
        <v>4742</v>
      </c>
      <c r="C3806" s="31" t="s">
        <v>4435</v>
      </c>
      <c r="D3806" s="34">
        <v>0</v>
      </c>
      <c r="E3806" s="34"/>
      <c r="F3806" s="34">
        <v>1536.58</v>
      </c>
      <c r="G3806" s="34">
        <v>0</v>
      </c>
      <c r="H3806" s="34">
        <f t="shared" si="60"/>
        <v>1536.58</v>
      </c>
      <c r="I3806" s="34"/>
      <c r="K3806" t="s">
        <v>38</v>
      </c>
    </row>
    <row r="3807" spans="2:11" ht="16.5" x14ac:dyDescent="0.2">
      <c r="B3807" s="33" t="s">
        <v>4743</v>
      </c>
      <c r="C3807" s="33" t="s">
        <v>3741</v>
      </c>
      <c r="D3807" s="35">
        <f>SUMIFS(D3808:D9015,K3808:K9015,"0",B3808:B9015,"5 1 1 3 2 12 31111 6 M59 98000*")-SUMIFS(E3808:E9015,K3808:K9015,"0",B3808:B9015,"5 1 1 3 2 12 31111 6 M59 98000*")</f>
        <v>0</v>
      </c>
      <c r="E3807"/>
      <c r="F3807" s="35">
        <f>SUMIFS(F3808:F9015,K3808:K9015,"0",B3808:B9015,"5 1 1 3 2 12 31111 6 M59 98000*")</f>
        <v>3331.86</v>
      </c>
      <c r="G3807" s="35">
        <f>SUMIFS(G3808:G9015,K3808:K9015,"0",B3808:B9015,"5 1 1 3 2 12 31111 6 M59 98000*")</f>
        <v>0</v>
      </c>
      <c r="H3807" s="35">
        <f t="shared" si="60"/>
        <v>3331.86</v>
      </c>
      <c r="I3807" s="35"/>
      <c r="K3807" t="s">
        <v>15</v>
      </c>
    </row>
    <row r="3808" spans="2:11" ht="24.75" x14ac:dyDescent="0.2">
      <c r="B3808" s="33" t="s">
        <v>4744</v>
      </c>
      <c r="C3808" s="33" t="s">
        <v>3152</v>
      </c>
      <c r="D3808" s="35">
        <f>SUMIFS(D3809:D9015,K3809:K9015,"0",B3809:B9015,"5 1 1 3 2 12 31111 6 M59 98000 000181*")-SUMIFS(E3809:E9015,K3809:K9015,"0",B3809:B9015,"5 1 1 3 2 12 31111 6 M59 98000 000181*")</f>
        <v>0</v>
      </c>
      <c r="E3808"/>
      <c r="F3808" s="35">
        <f>SUMIFS(F3809:F9015,K3809:K9015,"0",B3809:B9015,"5 1 1 3 2 12 31111 6 M59 98000 000181*")</f>
        <v>3331.86</v>
      </c>
      <c r="G3808" s="35">
        <f>SUMIFS(G3809:G9015,K3809:K9015,"0",B3809:B9015,"5 1 1 3 2 12 31111 6 M59 98000 000181*")</f>
        <v>0</v>
      </c>
      <c r="H3808" s="35">
        <f t="shared" si="60"/>
        <v>3331.86</v>
      </c>
      <c r="I3808" s="35"/>
      <c r="K3808" t="s">
        <v>15</v>
      </c>
    </row>
    <row r="3809" spans="2:11" ht="24.75" x14ac:dyDescent="0.2">
      <c r="B3809" s="33" t="s">
        <v>4745</v>
      </c>
      <c r="C3809" s="33" t="s">
        <v>650</v>
      </c>
      <c r="D3809" s="35">
        <f>SUMIFS(D3810:D9015,K3810:K9015,"0",B3810:B9015,"5 1 1 3 2 12 31111 6 M59 98000 000181 0000R*")-SUMIFS(E3810:E9015,K3810:K9015,"0",B3810:B9015,"5 1 1 3 2 12 31111 6 M59 98000 000181 0000R*")</f>
        <v>0</v>
      </c>
      <c r="E3809"/>
      <c r="F3809" s="35">
        <f>SUMIFS(F3810:F9015,K3810:K9015,"0",B3810:B9015,"5 1 1 3 2 12 31111 6 M59 98000 000181 0000R*")</f>
        <v>3331.86</v>
      </c>
      <c r="G3809" s="35">
        <f>SUMIFS(G3810:G9015,K3810:K9015,"0",B3810:B9015,"5 1 1 3 2 12 31111 6 M59 98000 000181 0000R*")</f>
        <v>0</v>
      </c>
      <c r="H3809" s="35">
        <f t="shared" si="60"/>
        <v>3331.86</v>
      </c>
      <c r="I3809" s="35"/>
      <c r="K3809" t="s">
        <v>15</v>
      </c>
    </row>
    <row r="3810" spans="2:11" ht="24.75" x14ac:dyDescent="0.2">
      <c r="B3810" s="33" t="s">
        <v>4746</v>
      </c>
      <c r="C3810" s="33" t="s">
        <v>282</v>
      </c>
      <c r="D3810" s="35">
        <f>SUMIFS(D3811:D9015,K3811:K9015,"0",B3811:B9015,"5 1 1 3 2 12 31111 6 M59 98000 000181 0000R 00001*")-SUMIFS(E3811:E9015,K3811:K9015,"0",B3811:B9015,"5 1 1 3 2 12 31111 6 M59 98000 000181 0000R 00001*")</f>
        <v>0</v>
      </c>
      <c r="E3810"/>
      <c r="F3810" s="35">
        <f>SUMIFS(F3811:F9015,K3811:K9015,"0",B3811:B9015,"5 1 1 3 2 12 31111 6 M59 98000 000181 0000R 00001*")</f>
        <v>3331.86</v>
      </c>
      <c r="G3810" s="35">
        <f>SUMIFS(G3811:G9015,K3811:K9015,"0",B3811:B9015,"5 1 1 3 2 12 31111 6 M59 98000 000181 0000R 00001*")</f>
        <v>0</v>
      </c>
      <c r="H3810" s="35">
        <f t="shared" si="60"/>
        <v>3331.86</v>
      </c>
      <c r="I3810" s="35"/>
      <c r="K3810" t="s">
        <v>15</v>
      </c>
    </row>
    <row r="3811" spans="2:11" ht="24.75" x14ac:dyDescent="0.2">
      <c r="B3811" s="33" t="s">
        <v>4747</v>
      </c>
      <c r="C3811" s="33" t="s">
        <v>4041</v>
      </c>
      <c r="D3811" s="35">
        <f>SUMIFS(D3812:D9015,K3812:K9015,"0",B3812:B9015,"5 1 1 3 2 12 31111 6 M59 98000 000181 0000R 00001 00132*")-SUMIFS(E3812:E9015,K3812:K9015,"0",B3812:B9015,"5 1 1 3 2 12 31111 6 M59 98000 000181 0000R 00001 00132*")</f>
        <v>0</v>
      </c>
      <c r="E3811"/>
      <c r="F3811" s="35">
        <f>SUMIFS(F3812:F9015,K3812:K9015,"0",B3812:B9015,"5 1 1 3 2 12 31111 6 M59 98000 000181 0000R 00001 00132*")</f>
        <v>3331.86</v>
      </c>
      <c r="G3811" s="35">
        <f>SUMIFS(G3812:G9015,K3812:K9015,"0",B3812:B9015,"5 1 1 3 2 12 31111 6 M59 98000 000181 0000R 00001 00132*")</f>
        <v>0</v>
      </c>
      <c r="H3811" s="35">
        <f t="shared" si="60"/>
        <v>3331.86</v>
      </c>
      <c r="I3811" s="35"/>
      <c r="K3811" t="s">
        <v>15</v>
      </c>
    </row>
    <row r="3812" spans="2:11" ht="33" x14ac:dyDescent="0.2">
      <c r="B3812" s="33" t="s">
        <v>4748</v>
      </c>
      <c r="C3812" s="33" t="s">
        <v>1051</v>
      </c>
      <c r="D3812" s="35">
        <f>SUMIFS(D3813:D9015,K3813:K9015,"0",B3813:B9015,"5 1 1 3 2 12 31111 6 M59 98000 000181 0000R 00001 00132 015*")-SUMIFS(E3813:E9015,K3813:K9015,"0",B3813:B9015,"5 1 1 3 2 12 31111 6 M59 98000 000181 0000R 00001 00132 015*")</f>
        <v>0</v>
      </c>
      <c r="E3812"/>
      <c r="F3812" s="35">
        <f>SUMIFS(F3813:F9015,K3813:K9015,"0",B3813:B9015,"5 1 1 3 2 12 31111 6 M59 98000 000181 0000R 00001 00132 015*")</f>
        <v>3331.86</v>
      </c>
      <c r="G3812" s="35">
        <f>SUMIFS(G3813:G9015,K3813:K9015,"0",B3813:B9015,"5 1 1 3 2 12 31111 6 M59 98000 000181 0000R 00001 00132 015*")</f>
        <v>0</v>
      </c>
      <c r="H3812" s="35">
        <f t="shared" si="60"/>
        <v>3331.86</v>
      </c>
      <c r="I3812" s="35"/>
      <c r="K3812" t="s">
        <v>15</v>
      </c>
    </row>
    <row r="3813" spans="2:11" ht="33" x14ac:dyDescent="0.2">
      <c r="B3813" s="33" t="s">
        <v>4749</v>
      </c>
      <c r="C3813" s="33" t="s">
        <v>2927</v>
      </c>
      <c r="D3813" s="35">
        <f>SUMIFS(D3814:D9015,K3814:K9015,"0",B3814:B9015,"5 1 1 3 2 12 31111 6 M59 98000 000181 0000R 00001 00132 015 2111100*")-SUMIFS(E3814:E9015,K3814:K9015,"0",B3814:B9015,"5 1 1 3 2 12 31111 6 M59 98000 000181 0000R 00001 00132 015 2111100*")</f>
        <v>0</v>
      </c>
      <c r="E3813"/>
      <c r="F3813" s="35">
        <f>SUMIFS(F3814:F9015,K3814:K9015,"0",B3814:B9015,"5 1 1 3 2 12 31111 6 M59 98000 000181 0000R 00001 00132 015 2111100*")</f>
        <v>3331.86</v>
      </c>
      <c r="G3813" s="35">
        <f>SUMIFS(G3814:G9015,K3814:K9015,"0",B3814:B9015,"5 1 1 3 2 12 31111 6 M59 98000 000181 0000R 00001 00132 015 2111100*")</f>
        <v>0</v>
      </c>
      <c r="H3813" s="35">
        <f t="shared" si="60"/>
        <v>3331.86</v>
      </c>
      <c r="I3813" s="35"/>
      <c r="K3813" t="s">
        <v>15</v>
      </c>
    </row>
    <row r="3814" spans="2:11" ht="33" x14ac:dyDescent="0.2">
      <c r="B3814" s="33" t="s">
        <v>4750</v>
      </c>
      <c r="C3814" s="33" t="s">
        <v>660</v>
      </c>
      <c r="D3814" s="35">
        <f>SUMIFS(D3815:D9015,K3815:K9015,"0",B3815:B9015,"5 1 1 3 2 12 31111 6 M59 98000 000181 0000R 00001 00132 015 2111100 2024*")-SUMIFS(E3815:E9015,K3815:K9015,"0",B3815:B9015,"5 1 1 3 2 12 31111 6 M59 98000 000181 0000R 00001 00132 015 2111100 2024*")</f>
        <v>0</v>
      </c>
      <c r="E3814"/>
      <c r="F3814" s="35">
        <f>SUMIFS(F3815:F9015,K3815:K9015,"0",B3815:B9015,"5 1 1 3 2 12 31111 6 M59 98000 000181 0000R 00001 00132 015 2111100 2024*")</f>
        <v>3331.86</v>
      </c>
      <c r="G3814" s="35">
        <f>SUMIFS(G3815:G9015,K3815:K9015,"0",B3815:B9015,"5 1 1 3 2 12 31111 6 M59 98000 000181 0000R 00001 00132 015 2111100 2024*")</f>
        <v>0</v>
      </c>
      <c r="H3814" s="35">
        <f t="shared" si="60"/>
        <v>3331.86</v>
      </c>
      <c r="I3814" s="35"/>
      <c r="K3814" t="s">
        <v>15</v>
      </c>
    </row>
    <row r="3815" spans="2:11" ht="41.25" x14ac:dyDescent="0.2">
      <c r="B3815" s="33" t="s">
        <v>4751</v>
      </c>
      <c r="C3815" s="33" t="s">
        <v>3495</v>
      </c>
      <c r="D3815" s="35">
        <f>SUMIFS(D3816:D9015,K3816:K9015,"0",B3816:B9015,"5 1 1 3 2 12 31111 6 M59 98000 000181 0000R 00001 00132 015 2111100 2024 CP1RH392*")-SUMIFS(E3816:E9015,K3816:K9015,"0",B3816:B9015,"5 1 1 3 2 12 31111 6 M59 98000 000181 0000R 00001 00132 015 2111100 2024 CP1RH392*")</f>
        <v>0</v>
      </c>
      <c r="E3815"/>
      <c r="F3815" s="35">
        <f>SUMIFS(F3816:F9015,K3816:K9015,"0",B3816:B9015,"5 1 1 3 2 12 31111 6 M59 98000 000181 0000R 00001 00132 015 2111100 2024 CP1RH392*")</f>
        <v>3331.86</v>
      </c>
      <c r="G3815" s="35">
        <f>SUMIFS(G3816:G9015,K3816:K9015,"0",B3816:B9015,"5 1 1 3 2 12 31111 6 M59 98000 000181 0000R 00001 00132 015 2111100 2024 CP1RH392*")</f>
        <v>0</v>
      </c>
      <c r="H3815" s="35">
        <f t="shared" si="60"/>
        <v>3331.86</v>
      </c>
      <c r="I3815" s="35"/>
      <c r="K3815" t="s">
        <v>15</v>
      </c>
    </row>
    <row r="3816" spans="2:11" ht="41.25" x14ac:dyDescent="0.2">
      <c r="B3816" s="33" t="s">
        <v>4752</v>
      </c>
      <c r="C3816" s="33" t="s">
        <v>282</v>
      </c>
      <c r="D3816" s="35">
        <f>SUMIFS(D3817:D9015,K3817:K9015,"0",B3817:B9015,"5 1 1 3 2 12 31111 6 M59 98000 000181 0000R 00001 00132 015 2111100 2024 CP1RH392 001*")-SUMIFS(E3817:E9015,K3817:K9015,"0",B3817:B9015,"5 1 1 3 2 12 31111 6 M59 98000 000181 0000R 00001 00132 015 2111100 2024 CP1RH392 001*")</f>
        <v>0</v>
      </c>
      <c r="E3816"/>
      <c r="F3816" s="35">
        <f>SUMIFS(F3817:F9015,K3817:K9015,"0",B3817:B9015,"5 1 1 3 2 12 31111 6 M59 98000 000181 0000R 00001 00132 015 2111100 2024 CP1RH392 001*")</f>
        <v>3331.86</v>
      </c>
      <c r="G3816" s="35">
        <f>SUMIFS(G3817:G9015,K3817:K9015,"0",B3817:B9015,"5 1 1 3 2 12 31111 6 M59 98000 000181 0000R 00001 00132 015 2111100 2024 CP1RH392 001*")</f>
        <v>0</v>
      </c>
      <c r="H3816" s="35">
        <f t="shared" si="60"/>
        <v>3331.86</v>
      </c>
      <c r="I3816" s="35"/>
      <c r="K3816" t="s">
        <v>15</v>
      </c>
    </row>
    <row r="3817" spans="2:11" ht="33" x14ac:dyDescent="0.2">
      <c r="B3817" s="31" t="s">
        <v>4753</v>
      </c>
      <c r="C3817" s="31" t="s">
        <v>1519</v>
      </c>
      <c r="D3817" s="34">
        <v>0</v>
      </c>
      <c r="E3817" s="34"/>
      <c r="F3817" s="34">
        <v>3331.86</v>
      </c>
      <c r="G3817" s="34">
        <v>0</v>
      </c>
      <c r="H3817" s="34">
        <f t="shared" si="60"/>
        <v>3331.86</v>
      </c>
      <c r="I3817" s="34"/>
      <c r="K3817" t="s">
        <v>38</v>
      </c>
    </row>
    <row r="3818" spans="2:11" ht="16.5" x14ac:dyDescent="0.2">
      <c r="B3818" s="33" t="s">
        <v>4754</v>
      </c>
      <c r="C3818" s="33" t="s">
        <v>3754</v>
      </c>
      <c r="D3818" s="35">
        <f>SUMIFS(D3819:D9015,K3819:K9015,"0",B3819:B9015,"5 1 1 3 2 12 31111 6 M59 99000*")-SUMIFS(E3819:E9015,K3819:K9015,"0",B3819:B9015,"5 1 1 3 2 12 31111 6 M59 99000*")</f>
        <v>0</v>
      </c>
      <c r="E3818"/>
      <c r="F3818" s="35">
        <f>SUMIFS(F3819:F9015,K3819:K9015,"0",B3819:B9015,"5 1 1 3 2 12 31111 6 M59 99000*")</f>
        <v>5076.01</v>
      </c>
      <c r="G3818" s="35">
        <f>SUMIFS(G3819:G9015,K3819:K9015,"0",B3819:B9015,"5 1 1 3 2 12 31111 6 M59 99000*")</f>
        <v>0</v>
      </c>
      <c r="H3818" s="35">
        <f t="shared" si="60"/>
        <v>5076.01</v>
      </c>
      <c r="I3818" s="35"/>
      <c r="K3818" t="s">
        <v>15</v>
      </c>
    </row>
    <row r="3819" spans="2:11" ht="16.5" x14ac:dyDescent="0.2">
      <c r="B3819" s="33" t="s">
        <v>4755</v>
      </c>
      <c r="C3819" s="33" t="s">
        <v>648</v>
      </c>
      <c r="D3819" s="35">
        <f>SUMIFS(D3820:D9015,K3820:K9015,"0",B3820:B9015,"5 1 1 3 2 12 31111 6 M59 99000 000132*")-SUMIFS(E3820:E9015,K3820:K9015,"0",B3820:B9015,"5 1 1 3 2 12 31111 6 M59 99000 000132*")</f>
        <v>0</v>
      </c>
      <c r="E3819"/>
      <c r="F3819" s="35">
        <f>SUMIFS(F3820:F9015,K3820:K9015,"0",B3820:B9015,"5 1 1 3 2 12 31111 6 M59 99000 000132*")</f>
        <v>5076.01</v>
      </c>
      <c r="G3819" s="35">
        <f>SUMIFS(G3820:G9015,K3820:K9015,"0",B3820:B9015,"5 1 1 3 2 12 31111 6 M59 99000 000132*")</f>
        <v>0</v>
      </c>
      <c r="H3819" s="35">
        <f t="shared" si="60"/>
        <v>5076.01</v>
      </c>
      <c r="I3819" s="35"/>
      <c r="K3819" t="s">
        <v>15</v>
      </c>
    </row>
    <row r="3820" spans="2:11" ht="24.75" x14ac:dyDescent="0.2">
      <c r="B3820" s="33" t="s">
        <v>4756</v>
      </c>
      <c r="C3820" s="33" t="s">
        <v>650</v>
      </c>
      <c r="D3820" s="35">
        <f>SUMIFS(D3821:D9015,K3821:K9015,"0",B3821:B9015,"5 1 1 3 2 12 31111 6 M59 99000 000132 0000R*")-SUMIFS(E3821:E9015,K3821:K9015,"0",B3821:B9015,"5 1 1 3 2 12 31111 6 M59 99000 000132 0000R*")</f>
        <v>0</v>
      </c>
      <c r="E3820"/>
      <c r="F3820" s="35">
        <f>SUMIFS(F3821:F9015,K3821:K9015,"0",B3821:B9015,"5 1 1 3 2 12 31111 6 M59 99000 000132 0000R*")</f>
        <v>5076.01</v>
      </c>
      <c r="G3820" s="35">
        <f>SUMIFS(G3821:G9015,K3821:K9015,"0",B3821:B9015,"5 1 1 3 2 12 31111 6 M59 99000 000132 0000R*")</f>
        <v>0</v>
      </c>
      <c r="H3820" s="35">
        <f t="shared" si="60"/>
        <v>5076.01</v>
      </c>
      <c r="I3820" s="35"/>
      <c r="K3820" t="s">
        <v>15</v>
      </c>
    </row>
    <row r="3821" spans="2:11" ht="24.75" x14ac:dyDescent="0.2">
      <c r="B3821" s="33" t="s">
        <v>4757</v>
      </c>
      <c r="C3821" s="33" t="s">
        <v>282</v>
      </c>
      <c r="D3821" s="35">
        <f>SUMIFS(D3822:D9015,K3822:K9015,"0",B3822:B9015,"5 1 1 3 2 12 31111 6 M59 99000 000132 0000R 00001*")-SUMIFS(E3822:E9015,K3822:K9015,"0",B3822:B9015,"5 1 1 3 2 12 31111 6 M59 99000 000132 0000R 00001*")</f>
        <v>0</v>
      </c>
      <c r="E3821"/>
      <c r="F3821" s="35">
        <f>SUMIFS(F3822:F9015,K3822:K9015,"0",B3822:B9015,"5 1 1 3 2 12 31111 6 M59 99000 000132 0000R 00001*")</f>
        <v>5076.01</v>
      </c>
      <c r="G3821" s="35">
        <f>SUMIFS(G3822:G9015,K3822:K9015,"0",B3822:B9015,"5 1 1 3 2 12 31111 6 M59 99000 000132 0000R 00001*")</f>
        <v>0</v>
      </c>
      <c r="H3821" s="35">
        <f t="shared" si="60"/>
        <v>5076.01</v>
      </c>
      <c r="I3821" s="35"/>
      <c r="K3821" t="s">
        <v>15</v>
      </c>
    </row>
    <row r="3822" spans="2:11" ht="24.75" x14ac:dyDescent="0.2">
      <c r="B3822" s="33" t="s">
        <v>4758</v>
      </c>
      <c r="C3822" s="33" t="s">
        <v>4041</v>
      </c>
      <c r="D3822" s="35">
        <f>SUMIFS(D3823:D9015,K3823:K9015,"0",B3823:B9015,"5 1 1 3 2 12 31111 6 M59 99000 000132 0000R 00001 00132*")-SUMIFS(E3823:E9015,K3823:K9015,"0",B3823:B9015,"5 1 1 3 2 12 31111 6 M59 99000 000132 0000R 00001 00132*")</f>
        <v>0</v>
      </c>
      <c r="E3822"/>
      <c r="F3822" s="35">
        <f>SUMIFS(F3823:F9015,K3823:K9015,"0",B3823:B9015,"5 1 1 3 2 12 31111 6 M59 99000 000132 0000R 00001 00132*")</f>
        <v>5076.01</v>
      </c>
      <c r="G3822" s="35">
        <f>SUMIFS(G3823:G9015,K3823:K9015,"0",B3823:B9015,"5 1 1 3 2 12 31111 6 M59 99000 000132 0000R 00001 00132*")</f>
        <v>0</v>
      </c>
      <c r="H3822" s="35">
        <f t="shared" si="60"/>
        <v>5076.01</v>
      </c>
      <c r="I3822" s="35"/>
      <c r="K3822" t="s">
        <v>15</v>
      </c>
    </row>
    <row r="3823" spans="2:11" ht="33" x14ac:dyDescent="0.2">
      <c r="B3823" s="33" t="s">
        <v>4759</v>
      </c>
      <c r="C3823" s="33" t="s">
        <v>1051</v>
      </c>
      <c r="D3823" s="35">
        <f>SUMIFS(D3824:D9015,K3824:K9015,"0",B3824:B9015,"5 1 1 3 2 12 31111 6 M59 99000 000132 0000R 00001 00132 015*")-SUMIFS(E3824:E9015,K3824:K9015,"0",B3824:B9015,"5 1 1 3 2 12 31111 6 M59 99000 000132 0000R 00001 00132 015*")</f>
        <v>0</v>
      </c>
      <c r="E3823"/>
      <c r="F3823" s="35">
        <f>SUMIFS(F3824:F9015,K3824:K9015,"0",B3824:B9015,"5 1 1 3 2 12 31111 6 M59 99000 000132 0000R 00001 00132 015*")</f>
        <v>5076.01</v>
      </c>
      <c r="G3823" s="35">
        <f>SUMIFS(G3824:G9015,K3824:K9015,"0",B3824:B9015,"5 1 1 3 2 12 31111 6 M59 99000 000132 0000R 00001 00132 015*")</f>
        <v>0</v>
      </c>
      <c r="H3823" s="35">
        <f t="shared" si="60"/>
        <v>5076.01</v>
      </c>
      <c r="I3823" s="35"/>
      <c r="K3823" t="s">
        <v>15</v>
      </c>
    </row>
    <row r="3824" spans="2:11" ht="33" x14ac:dyDescent="0.2">
      <c r="B3824" s="33" t="s">
        <v>4760</v>
      </c>
      <c r="C3824" s="33" t="s">
        <v>2927</v>
      </c>
      <c r="D3824" s="35">
        <f>SUMIFS(D3825:D9015,K3825:K9015,"0",B3825:B9015,"5 1 1 3 2 12 31111 6 M59 99000 000132 0000R 00001 00132 015 2111100*")-SUMIFS(E3825:E9015,K3825:K9015,"0",B3825:B9015,"5 1 1 3 2 12 31111 6 M59 99000 000132 0000R 00001 00132 015 2111100*")</f>
        <v>0</v>
      </c>
      <c r="E3824"/>
      <c r="F3824" s="35">
        <f>SUMIFS(F3825:F9015,K3825:K9015,"0",B3825:B9015,"5 1 1 3 2 12 31111 6 M59 99000 000132 0000R 00001 00132 015 2111100*")</f>
        <v>5076.01</v>
      </c>
      <c r="G3824" s="35">
        <f>SUMIFS(G3825:G9015,K3825:K9015,"0",B3825:B9015,"5 1 1 3 2 12 31111 6 M59 99000 000132 0000R 00001 00132 015 2111100*")</f>
        <v>0</v>
      </c>
      <c r="H3824" s="35">
        <f t="shared" si="60"/>
        <v>5076.01</v>
      </c>
      <c r="I3824" s="35"/>
      <c r="K3824" t="s">
        <v>15</v>
      </c>
    </row>
    <row r="3825" spans="2:11" ht="33" x14ac:dyDescent="0.2">
      <c r="B3825" s="33" t="s">
        <v>4761</v>
      </c>
      <c r="C3825" s="33" t="s">
        <v>660</v>
      </c>
      <c r="D3825" s="35">
        <f>SUMIFS(D3826:D9015,K3826:K9015,"0",B3826:B9015,"5 1 1 3 2 12 31111 6 M59 99000 000132 0000R 00001 00132 015 2111100 2024*")-SUMIFS(E3826:E9015,K3826:K9015,"0",B3826:B9015,"5 1 1 3 2 12 31111 6 M59 99000 000132 0000R 00001 00132 015 2111100 2024*")</f>
        <v>0</v>
      </c>
      <c r="E3825"/>
      <c r="F3825" s="35">
        <f>SUMIFS(F3826:F9015,K3826:K9015,"0",B3826:B9015,"5 1 1 3 2 12 31111 6 M59 99000 000132 0000R 00001 00132 015 2111100 2024*")</f>
        <v>5076.01</v>
      </c>
      <c r="G3825" s="35">
        <f>SUMIFS(G3826:G9015,K3826:K9015,"0",B3826:B9015,"5 1 1 3 2 12 31111 6 M59 99000 000132 0000R 00001 00132 015 2111100 2024*")</f>
        <v>0</v>
      </c>
      <c r="H3825" s="35">
        <f t="shared" si="60"/>
        <v>5076.01</v>
      </c>
      <c r="I3825" s="35"/>
      <c r="K3825" t="s">
        <v>15</v>
      </c>
    </row>
    <row r="3826" spans="2:11" ht="41.25" x14ac:dyDescent="0.2">
      <c r="B3826" s="33" t="s">
        <v>4762</v>
      </c>
      <c r="C3826" s="33" t="s">
        <v>1056</v>
      </c>
      <c r="D3826" s="35">
        <f>SUMIFS(D3827:D9015,K3827:K9015,"0",B3827:B9015,"5 1 1 3 2 12 31111 6 M59 99000 000132 0000R 00001 00132 015 2111100 2024 CP1MG408*")-SUMIFS(E3827:E9015,K3827:K9015,"0",B3827:B9015,"5 1 1 3 2 12 31111 6 M59 99000 000132 0000R 00001 00132 015 2111100 2024 CP1MG408*")</f>
        <v>0</v>
      </c>
      <c r="E3826"/>
      <c r="F3826" s="35">
        <f>SUMIFS(F3827:F9015,K3827:K9015,"0",B3827:B9015,"5 1 1 3 2 12 31111 6 M59 99000 000132 0000R 00001 00132 015 2111100 2024 CP1MG408*")</f>
        <v>5076.01</v>
      </c>
      <c r="G3826" s="35">
        <f>SUMIFS(G3827:G9015,K3827:K9015,"0",B3827:B9015,"5 1 1 3 2 12 31111 6 M59 99000 000132 0000R 00001 00132 015 2111100 2024 CP1MG408*")</f>
        <v>0</v>
      </c>
      <c r="H3826" s="35">
        <f t="shared" si="60"/>
        <v>5076.01</v>
      </c>
      <c r="I3826" s="35"/>
      <c r="K3826" t="s">
        <v>15</v>
      </c>
    </row>
    <row r="3827" spans="2:11" ht="41.25" x14ac:dyDescent="0.2">
      <c r="B3827" s="33" t="s">
        <v>4763</v>
      </c>
      <c r="C3827" s="33" t="s">
        <v>282</v>
      </c>
      <c r="D3827" s="35">
        <f>SUMIFS(D3828:D9015,K3828:K9015,"0",B3828:B9015,"5 1 1 3 2 12 31111 6 M59 99000 000132 0000R 00001 00132 015 2111100 2024 CP1MG408 001*")-SUMIFS(E3828:E9015,K3828:K9015,"0",B3828:B9015,"5 1 1 3 2 12 31111 6 M59 99000 000132 0000R 00001 00132 015 2111100 2024 CP1MG408 001*")</f>
        <v>0</v>
      </c>
      <c r="E3827"/>
      <c r="F3827" s="35">
        <f>SUMIFS(F3828:F9015,K3828:K9015,"0",B3828:B9015,"5 1 1 3 2 12 31111 6 M59 99000 000132 0000R 00001 00132 015 2111100 2024 CP1MG408 001*")</f>
        <v>5076.01</v>
      </c>
      <c r="G3827" s="35">
        <f>SUMIFS(G3828:G9015,K3828:K9015,"0",B3828:B9015,"5 1 1 3 2 12 31111 6 M59 99000 000132 0000R 00001 00132 015 2111100 2024 CP1MG408 001*")</f>
        <v>0</v>
      </c>
      <c r="H3827" s="35">
        <f t="shared" si="60"/>
        <v>5076.01</v>
      </c>
      <c r="I3827" s="35"/>
      <c r="K3827" t="s">
        <v>15</v>
      </c>
    </row>
    <row r="3828" spans="2:11" ht="41.25" x14ac:dyDescent="0.2">
      <c r="B3828" s="31" t="s">
        <v>4764</v>
      </c>
      <c r="C3828" s="31" t="s">
        <v>1519</v>
      </c>
      <c r="D3828" s="34">
        <v>0</v>
      </c>
      <c r="E3828" s="34"/>
      <c r="F3828" s="34">
        <v>5076.01</v>
      </c>
      <c r="G3828" s="34">
        <v>0</v>
      </c>
      <c r="H3828" s="34">
        <f t="shared" si="60"/>
        <v>5076.01</v>
      </c>
      <c r="I3828" s="34"/>
      <c r="K3828" t="s">
        <v>38</v>
      </c>
    </row>
    <row r="3829" spans="2:11" ht="12.75" x14ac:dyDescent="0.2">
      <c r="B3829" s="33" t="s">
        <v>4765</v>
      </c>
      <c r="C3829" s="33" t="s">
        <v>4766</v>
      </c>
      <c r="D3829" s="35">
        <f>SUMIFS(D3830:D9015,K3830:K9015,"0",B3830:B9015,"5 1 1 3 4*")-SUMIFS(E3830:E9015,K3830:K9015,"0",B3830:B9015,"5 1 1 3 4*")</f>
        <v>0</v>
      </c>
      <c r="E3829"/>
      <c r="F3829" s="35">
        <f>SUMIFS(F3830:F9015,K3830:K9015,"0",B3830:B9015,"5 1 1 3 4*")</f>
        <v>3460430.01</v>
      </c>
      <c r="G3829" s="35">
        <f>SUMIFS(G3830:G9015,K3830:K9015,"0",B3830:B9015,"5 1 1 3 4*")</f>
        <v>0</v>
      </c>
      <c r="H3829" s="35">
        <f t="shared" si="60"/>
        <v>3460430.01</v>
      </c>
      <c r="I3829" s="35"/>
      <c r="K3829" t="s">
        <v>15</v>
      </c>
    </row>
    <row r="3830" spans="2:11" ht="12.75" x14ac:dyDescent="0.2">
      <c r="B3830" s="33" t="s">
        <v>4767</v>
      </c>
      <c r="C3830" s="33" t="s">
        <v>26</v>
      </c>
      <c r="D3830" s="35">
        <f>SUMIFS(D3831:D9015,K3831:K9015,"0",B3831:B9015,"5 1 1 3 4 12*")-SUMIFS(E3831:E9015,K3831:K9015,"0",B3831:B9015,"5 1 1 3 4 12*")</f>
        <v>0</v>
      </c>
      <c r="E3830"/>
      <c r="F3830" s="35">
        <f>SUMIFS(F3831:F9015,K3831:K9015,"0",B3831:B9015,"5 1 1 3 4 12*")</f>
        <v>3460430.01</v>
      </c>
      <c r="G3830" s="35">
        <f>SUMIFS(G3831:G9015,K3831:K9015,"0",B3831:B9015,"5 1 1 3 4 12*")</f>
        <v>0</v>
      </c>
      <c r="H3830" s="35">
        <f t="shared" si="60"/>
        <v>3460430.01</v>
      </c>
      <c r="I3830" s="35"/>
      <c r="K3830" t="s">
        <v>15</v>
      </c>
    </row>
    <row r="3831" spans="2:11" ht="16.5" x14ac:dyDescent="0.2">
      <c r="B3831" s="33" t="s">
        <v>4768</v>
      </c>
      <c r="C3831" s="33" t="s">
        <v>28</v>
      </c>
      <c r="D3831" s="35">
        <f>SUMIFS(D3832:D9015,K3832:K9015,"0",B3832:B9015,"5 1 1 3 4 12 31111*")-SUMIFS(E3832:E9015,K3832:K9015,"0",B3832:B9015,"5 1 1 3 4 12 31111*")</f>
        <v>0</v>
      </c>
      <c r="E3831"/>
      <c r="F3831" s="35">
        <f>SUMIFS(F3832:F9015,K3832:K9015,"0",B3832:B9015,"5 1 1 3 4 12 31111*")</f>
        <v>3460430.01</v>
      </c>
      <c r="G3831" s="35">
        <f>SUMIFS(G3832:G9015,K3832:K9015,"0",B3832:B9015,"5 1 1 3 4 12 31111*")</f>
        <v>0</v>
      </c>
      <c r="H3831" s="35">
        <f t="shared" si="60"/>
        <v>3460430.01</v>
      </c>
      <c r="I3831" s="35"/>
      <c r="K3831" t="s">
        <v>15</v>
      </c>
    </row>
    <row r="3832" spans="2:11" ht="12.75" x14ac:dyDescent="0.2">
      <c r="B3832" s="33" t="s">
        <v>4769</v>
      </c>
      <c r="C3832" s="33" t="s">
        <v>30</v>
      </c>
      <c r="D3832" s="35">
        <f>SUMIFS(D3833:D9015,K3833:K9015,"0",B3833:B9015,"5 1 1 3 4 12 31111 6*")-SUMIFS(E3833:E9015,K3833:K9015,"0",B3833:B9015,"5 1 1 3 4 12 31111 6*")</f>
        <v>0</v>
      </c>
      <c r="E3832"/>
      <c r="F3832" s="35">
        <f>SUMIFS(F3833:F9015,K3833:K9015,"0",B3833:B9015,"5 1 1 3 4 12 31111 6*")</f>
        <v>3460430.01</v>
      </c>
      <c r="G3832" s="35">
        <f>SUMIFS(G3833:G9015,K3833:K9015,"0",B3833:B9015,"5 1 1 3 4 12 31111 6*")</f>
        <v>0</v>
      </c>
      <c r="H3832" s="35">
        <f t="shared" si="60"/>
        <v>3460430.01</v>
      </c>
      <c r="I3832" s="35"/>
      <c r="K3832" t="s">
        <v>15</v>
      </c>
    </row>
    <row r="3833" spans="2:11" ht="16.5" x14ac:dyDescent="0.2">
      <c r="B3833" s="33" t="s">
        <v>4770</v>
      </c>
      <c r="C3833" s="33" t="s">
        <v>2284</v>
      </c>
      <c r="D3833" s="35">
        <f>SUMIFS(D3834:D9015,K3834:K9015,"0",B3834:B9015,"5 1 1 3 4 12 31111 6 M59*")-SUMIFS(E3834:E9015,K3834:K9015,"0",B3834:B9015,"5 1 1 3 4 12 31111 6 M59*")</f>
        <v>0</v>
      </c>
      <c r="E3833"/>
      <c r="F3833" s="35">
        <f>SUMIFS(F3834:F9015,K3834:K9015,"0",B3834:B9015,"5 1 1 3 4 12 31111 6 M59*")</f>
        <v>3460430.01</v>
      </c>
      <c r="G3833" s="35">
        <f>SUMIFS(G3834:G9015,K3834:K9015,"0",B3834:B9015,"5 1 1 3 4 12 31111 6 M59*")</f>
        <v>0</v>
      </c>
      <c r="H3833" s="35">
        <f t="shared" si="60"/>
        <v>3460430.01</v>
      </c>
      <c r="I3833" s="35"/>
      <c r="K3833" t="s">
        <v>15</v>
      </c>
    </row>
    <row r="3834" spans="2:11" ht="16.5" x14ac:dyDescent="0.2">
      <c r="B3834" s="33" t="s">
        <v>4771</v>
      </c>
      <c r="C3834" s="33" t="s">
        <v>1243</v>
      </c>
      <c r="D3834" s="35">
        <f>SUMIFS(D3835:D9015,K3835:K9015,"0",B3835:B9015,"5 1 1 3 4 12 31111 6 M59 10000*")-SUMIFS(E3835:E9015,K3835:K9015,"0",B3835:B9015,"5 1 1 3 4 12 31111 6 M59 10000*")</f>
        <v>0</v>
      </c>
      <c r="E3834"/>
      <c r="F3834" s="35">
        <f>SUMIFS(F3835:F9015,K3835:K9015,"0",B3835:B9015,"5 1 1 3 4 12 31111 6 M59 10000*")</f>
        <v>182052.96</v>
      </c>
      <c r="G3834" s="35">
        <f>SUMIFS(G3835:G9015,K3835:K9015,"0",B3835:B9015,"5 1 1 3 4 12 31111 6 M59 10000*")</f>
        <v>0</v>
      </c>
      <c r="H3834" s="35">
        <f t="shared" si="60"/>
        <v>182052.96</v>
      </c>
      <c r="I3834" s="35"/>
      <c r="K3834" t="s">
        <v>15</v>
      </c>
    </row>
    <row r="3835" spans="2:11" ht="16.5" x14ac:dyDescent="0.2">
      <c r="B3835" s="33" t="s">
        <v>4772</v>
      </c>
      <c r="C3835" s="33" t="s">
        <v>648</v>
      </c>
      <c r="D3835" s="35">
        <f>SUMIFS(D3836:D9015,K3836:K9015,"0",B3836:B9015,"5 1 1 3 4 12 31111 6 M59 10000 000132*")-SUMIFS(E3836:E9015,K3836:K9015,"0",B3836:B9015,"5 1 1 3 4 12 31111 6 M59 10000 000132*")</f>
        <v>0</v>
      </c>
      <c r="E3835"/>
      <c r="F3835" s="35">
        <f>SUMIFS(F3836:F9015,K3836:K9015,"0",B3836:B9015,"5 1 1 3 4 12 31111 6 M59 10000 000132*")</f>
        <v>182052.96</v>
      </c>
      <c r="G3835" s="35">
        <f>SUMIFS(G3836:G9015,K3836:K9015,"0",B3836:B9015,"5 1 1 3 4 12 31111 6 M59 10000 000132*")</f>
        <v>0</v>
      </c>
      <c r="H3835" s="35">
        <f t="shared" si="60"/>
        <v>182052.96</v>
      </c>
      <c r="I3835" s="35"/>
      <c r="K3835" t="s">
        <v>15</v>
      </c>
    </row>
    <row r="3836" spans="2:11" ht="24.75" x14ac:dyDescent="0.2">
      <c r="B3836" s="33" t="s">
        <v>4773</v>
      </c>
      <c r="C3836" s="33" t="s">
        <v>650</v>
      </c>
      <c r="D3836" s="35">
        <f>SUMIFS(D3837:D9015,K3837:K9015,"0",B3837:B9015,"5 1 1 3 4 12 31111 6 M59 10000 000132 0000R*")-SUMIFS(E3837:E9015,K3837:K9015,"0",B3837:B9015,"5 1 1 3 4 12 31111 6 M59 10000 000132 0000R*")</f>
        <v>0</v>
      </c>
      <c r="E3836"/>
      <c r="F3836" s="35">
        <f>SUMIFS(F3837:F9015,K3837:K9015,"0",B3837:B9015,"5 1 1 3 4 12 31111 6 M59 10000 000132 0000R*")</f>
        <v>182052.96</v>
      </c>
      <c r="G3836" s="35">
        <f>SUMIFS(G3837:G9015,K3837:K9015,"0",B3837:B9015,"5 1 1 3 4 12 31111 6 M59 10000 000132 0000R*")</f>
        <v>0</v>
      </c>
      <c r="H3836" s="35">
        <f t="shared" si="60"/>
        <v>182052.96</v>
      </c>
      <c r="I3836" s="35"/>
      <c r="K3836" t="s">
        <v>15</v>
      </c>
    </row>
    <row r="3837" spans="2:11" ht="24.75" x14ac:dyDescent="0.2">
      <c r="B3837" s="33" t="s">
        <v>4774</v>
      </c>
      <c r="C3837" s="33" t="s">
        <v>282</v>
      </c>
      <c r="D3837" s="35">
        <f>SUMIFS(D3838:D9015,K3838:K9015,"0",B3838:B9015,"5 1 1 3 4 12 31111 6 M59 10000 000132 0000R 00001*")-SUMIFS(E3838:E9015,K3838:K9015,"0",B3838:B9015,"5 1 1 3 4 12 31111 6 M59 10000 000132 0000R 00001*")</f>
        <v>0</v>
      </c>
      <c r="E3837"/>
      <c r="F3837" s="35">
        <f>SUMIFS(F3838:F9015,K3838:K9015,"0",B3838:B9015,"5 1 1 3 4 12 31111 6 M59 10000 000132 0000R 00001*")</f>
        <v>182052.96</v>
      </c>
      <c r="G3837" s="35">
        <f>SUMIFS(G3838:G9015,K3838:K9015,"0",B3838:B9015,"5 1 1 3 4 12 31111 6 M59 10000 000132 0000R 00001*")</f>
        <v>0</v>
      </c>
      <c r="H3837" s="35">
        <f t="shared" si="60"/>
        <v>182052.96</v>
      </c>
      <c r="I3837" s="35"/>
      <c r="K3837" t="s">
        <v>15</v>
      </c>
    </row>
    <row r="3838" spans="2:11" ht="24.75" x14ac:dyDescent="0.2">
      <c r="B3838" s="33" t="s">
        <v>4775</v>
      </c>
      <c r="C3838" s="33" t="s">
        <v>4776</v>
      </c>
      <c r="D3838" s="35">
        <f>SUMIFS(D3839:D9015,K3839:K9015,"0",B3839:B9015,"5 1 1 3 4 12 31111 6 M59 10000 000132 0000R 00001 00134*")-SUMIFS(E3839:E9015,K3839:K9015,"0",B3839:B9015,"5 1 1 3 4 12 31111 6 M59 10000 000132 0000R 00001 00134*")</f>
        <v>0</v>
      </c>
      <c r="E3838"/>
      <c r="F3838" s="35">
        <f>SUMIFS(F3839:F9015,K3839:K9015,"0",B3839:B9015,"5 1 1 3 4 12 31111 6 M59 10000 000132 0000R 00001 00134*")</f>
        <v>182052.96</v>
      </c>
      <c r="G3838" s="35">
        <f>SUMIFS(G3839:G9015,K3839:K9015,"0",B3839:B9015,"5 1 1 3 4 12 31111 6 M59 10000 000132 0000R 00001 00134*")</f>
        <v>0</v>
      </c>
      <c r="H3838" s="35">
        <f t="shared" si="60"/>
        <v>182052.96</v>
      </c>
      <c r="I3838" s="35"/>
      <c r="K3838" t="s">
        <v>15</v>
      </c>
    </row>
    <row r="3839" spans="2:11" ht="33" x14ac:dyDescent="0.2">
      <c r="B3839" s="33" t="s">
        <v>4777</v>
      </c>
      <c r="C3839" s="33" t="s">
        <v>1051</v>
      </c>
      <c r="D3839" s="35">
        <f>SUMIFS(D3840:D9015,K3840:K9015,"0",B3840:B9015,"5 1 1 3 4 12 31111 6 M59 10000 000132 0000R 00001 00134 015*")-SUMIFS(E3840:E9015,K3840:K9015,"0",B3840:B9015,"5 1 1 3 4 12 31111 6 M59 10000 000132 0000R 00001 00134 015*")</f>
        <v>0</v>
      </c>
      <c r="E3839"/>
      <c r="F3839" s="35">
        <f>SUMIFS(F3840:F9015,K3840:K9015,"0",B3840:B9015,"5 1 1 3 4 12 31111 6 M59 10000 000132 0000R 00001 00134 015*")</f>
        <v>182052.96</v>
      </c>
      <c r="G3839" s="35">
        <f>SUMIFS(G3840:G9015,K3840:K9015,"0",B3840:B9015,"5 1 1 3 4 12 31111 6 M59 10000 000132 0000R 00001 00134 015*")</f>
        <v>0</v>
      </c>
      <c r="H3839" s="35">
        <f t="shared" si="60"/>
        <v>182052.96</v>
      </c>
      <c r="I3839" s="35"/>
      <c r="K3839" t="s">
        <v>15</v>
      </c>
    </row>
    <row r="3840" spans="2:11" ht="33" x14ac:dyDescent="0.2">
      <c r="B3840" s="33" t="s">
        <v>4778</v>
      </c>
      <c r="C3840" s="33" t="s">
        <v>2927</v>
      </c>
      <c r="D3840" s="35">
        <f>SUMIFS(D3841:D9015,K3841:K9015,"0",B3841:B9015,"5 1 1 3 4 12 31111 6 M59 10000 000132 0000R 00001 00134 015 2111100*")-SUMIFS(E3841:E9015,K3841:K9015,"0",B3841:B9015,"5 1 1 3 4 12 31111 6 M59 10000 000132 0000R 00001 00134 015 2111100*")</f>
        <v>0</v>
      </c>
      <c r="E3840"/>
      <c r="F3840" s="35">
        <f>SUMIFS(F3841:F9015,K3841:K9015,"0",B3841:B9015,"5 1 1 3 4 12 31111 6 M59 10000 000132 0000R 00001 00134 015 2111100*")</f>
        <v>182052.96</v>
      </c>
      <c r="G3840" s="35">
        <f>SUMIFS(G3841:G9015,K3841:K9015,"0",B3841:B9015,"5 1 1 3 4 12 31111 6 M59 10000 000132 0000R 00001 00134 015 2111100*")</f>
        <v>0</v>
      </c>
      <c r="H3840" s="35">
        <f t="shared" si="60"/>
        <v>182052.96</v>
      </c>
      <c r="I3840" s="35"/>
      <c r="K3840" t="s">
        <v>15</v>
      </c>
    </row>
    <row r="3841" spans="2:11" ht="33" x14ac:dyDescent="0.2">
      <c r="B3841" s="33" t="s">
        <v>4779</v>
      </c>
      <c r="C3841" s="33" t="s">
        <v>660</v>
      </c>
      <c r="D3841" s="35">
        <f>SUMIFS(D3842:D9015,K3842:K9015,"0",B3842:B9015,"5 1 1 3 4 12 31111 6 M59 10000 000132 0000R 00001 00134 015 2111100 2024*")-SUMIFS(E3842:E9015,K3842:K9015,"0",B3842:B9015,"5 1 1 3 4 12 31111 6 M59 10000 000132 0000R 00001 00134 015 2111100 2024*")</f>
        <v>0</v>
      </c>
      <c r="E3841"/>
      <c r="F3841" s="35">
        <f>SUMIFS(F3842:F9015,K3842:K9015,"0",B3842:B9015,"5 1 1 3 4 12 31111 6 M59 10000 000132 0000R 00001 00134 015 2111100 2024*")</f>
        <v>182052.96</v>
      </c>
      <c r="G3841" s="35">
        <f>SUMIFS(G3842:G9015,K3842:K9015,"0",B3842:B9015,"5 1 1 3 4 12 31111 6 M59 10000 000132 0000R 00001 00134 015 2111100 2024*")</f>
        <v>0</v>
      </c>
      <c r="H3841" s="35">
        <f t="shared" si="60"/>
        <v>182052.96</v>
      </c>
      <c r="I3841" s="35"/>
      <c r="K3841" t="s">
        <v>15</v>
      </c>
    </row>
    <row r="3842" spans="2:11" ht="41.25" x14ac:dyDescent="0.2">
      <c r="B3842" s="33" t="s">
        <v>4780</v>
      </c>
      <c r="C3842" s="33" t="s">
        <v>662</v>
      </c>
      <c r="D3842" s="35">
        <f>SUMIFS(D3843:D9015,K3843:K9015,"0",B3843:B9015,"5 1 1 3 4 12 31111 6 M59 10000 000132 0000R 00001 00134 015 2111100 2024 CP1PM439*")-SUMIFS(E3843:E9015,K3843:K9015,"0",B3843:B9015,"5 1 1 3 4 12 31111 6 M59 10000 000132 0000R 00001 00134 015 2111100 2024 CP1PM439*")</f>
        <v>0</v>
      </c>
      <c r="E3842"/>
      <c r="F3842" s="35">
        <f>SUMIFS(F3843:F9015,K3843:K9015,"0",B3843:B9015,"5 1 1 3 4 12 31111 6 M59 10000 000132 0000R 00001 00134 015 2111100 2024 CP1PM439*")</f>
        <v>182052.96</v>
      </c>
      <c r="G3842" s="35">
        <f>SUMIFS(G3843:G9015,K3843:K9015,"0",B3843:B9015,"5 1 1 3 4 12 31111 6 M59 10000 000132 0000R 00001 00134 015 2111100 2024 CP1PM439*")</f>
        <v>0</v>
      </c>
      <c r="H3842" s="35">
        <f t="shared" si="60"/>
        <v>182052.96</v>
      </c>
      <c r="I3842" s="35"/>
      <c r="K3842" t="s">
        <v>15</v>
      </c>
    </row>
    <row r="3843" spans="2:11" ht="41.25" x14ac:dyDescent="0.2">
      <c r="B3843" s="33" t="s">
        <v>4781</v>
      </c>
      <c r="C3843" s="33" t="s">
        <v>282</v>
      </c>
      <c r="D3843" s="35">
        <f>SUMIFS(D3844:D9015,K3844:K9015,"0",B3844:B9015,"5 1 1 3 4 12 31111 6 M59 10000 000132 0000R 00001 00134 015 2111100 2024 CP1PM439 001*")-SUMIFS(E3844:E9015,K3844:K9015,"0",B3844:B9015,"5 1 1 3 4 12 31111 6 M59 10000 000132 0000R 00001 00134 015 2111100 2024 CP1PM439 001*")</f>
        <v>0</v>
      </c>
      <c r="E3843"/>
      <c r="F3843" s="35">
        <f>SUMIFS(F3844:F9015,K3844:K9015,"0",B3844:B9015,"5 1 1 3 4 12 31111 6 M59 10000 000132 0000R 00001 00134 015 2111100 2024 CP1PM439 001*")</f>
        <v>182052.96</v>
      </c>
      <c r="G3843" s="35">
        <f>SUMIFS(G3844:G9015,K3844:K9015,"0",B3844:B9015,"5 1 1 3 4 12 31111 6 M59 10000 000132 0000R 00001 00134 015 2111100 2024 CP1PM439 001*")</f>
        <v>0</v>
      </c>
      <c r="H3843" s="35">
        <f t="shared" si="60"/>
        <v>182052.96</v>
      </c>
      <c r="I3843" s="35"/>
      <c r="K3843" t="s">
        <v>15</v>
      </c>
    </row>
    <row r="3844" spans="2:11" ht="33" x14ac:dyDescent="0.2">
      <c r="B3844" s="31" t="s">
        <v>4782</v>
      </c>
      <c r="C3844" s="31" t="s">
        <v>4783</v>
      </c>
      <c r="D3844" s="34">
        <v>0</v>
      </c>
      <c r="E3844" s="34"/>
      <c r="F3844" s="34">
        <v>182052.96</v>
      </c>
      <c r="G3844" s="34">
        <v>0</v>
      </c>
      <c r="H3844" s="34">
        <f t="shared" ref="H3844:H3907" si="61">D3844 + F3844 - G3844</f>
        <v>182052.96</v>
      </c>
      <c r="I3844" s="34"/>
      <c r="K3844" t="s">
        <v>38</v>
      </c>
    </row>
    <row r="3845" spans="2:11" ht="16.5" x14ac:dyDescent="0.2">
      <c r="B3845" s="33" t="s">
        <v>4784</v>
      </c>
      <c r="C3845" s="33" t="s">
        <v>2934</v>
      </c>
      <c r="D3845" s="35">
        <f>SUMIFS(D3846:D9015,K3846:K9015,"0",B3846:B9015,"5 1 1 3 4 12 31111 6 M59 10100*")-SUMIFS(E3846:E9015,K3846:K9015,"0",B3846:B9015,"5 1 1 3 4 12 31111 6 M59 10100*")</f>
        <v>0</v>
      </c>
      <c r="E3845"/>
      <c r="F3845" s="35">
        <f>SUMIFS(F3846:F9015,K3846:K9015,"0",B3846:B9015,"5 1 1 3 4 12 31111 6 M59 10100*")</f>
        <v>104748.08</v>
      </c>
      <c r="G3845" s="35">
        <f>SUMIFS(G3846:G9015,K3846:K9015,"0",B3846:B9015,"5 1 1 3 4 12 31111 6 M59 10100*")</f>
        <v>0</v>
      </c>
      <c r="H3845" s="35">
        <f t="shared" si="61"/>
        <v>104748.08</v>
      </c>
      <c r="I3845" s="35"/>
      <c r="K3845" t="s">
        <v>15</v>
      </c>
    </row>
    <row r="3846" spans="2:11" ht="16.5" x14ac:dyDescent="0.2">
      <c r="B3846" s="33" t="s">
        <v>4785</v>
      </c>
      <c r="C3846" s="33" t="s">
        <v>648</v>
      </c>
      <c r="D3846" s="35">
        <f>SUMIFS(D3847:D9015,K3847:K9015,"0",B3847:B9015,"5 1 1 3 4 12 31111 6 M59 10100 000132*")-SUMIFS(E3847:E9015,K3847:K9015,"0",B3847:B9015,"5 1 1 3 4 12 31111 6 M59 10100 000132*")</f>
        <v>0</v>
      </c>
      <c r="E3846"/>
      <c r="F3846" s="35">
        <f>SUMIFS(F3847:F9015,K3847:K9015,"0",B3847:B9015,"5 1 1 3 4 12 31111 6 M59 10100 000132*")</f>
        <v>104748.08</v>
      </c>
      <c r="G3846" s="35">
        <f>SUMIFS(G3847:G9015,K3847:K9015,"0",B3847:B9015,"5 1 1 3 4 12 31111 6 M59 10100 000132*")</f>
        <v>0</v>
      </c>
      <c r="H3846" s="35">
        <f t="shared" si="61"/>
        <v>104748.08</v>
      </c>
      <c r="I3846" s="35"/>
      <c r="K3846" t="s">
        <v>15</v>
      </c>
    </row>
    <row r="3847" spans="2:11" ht="24.75" x14ac:dyDescent="0.2">
      <c r="B3847" s="33" t="s">
        <v>4786</v>
      </c>
      <c r="C3847" s="33" t="s">
        <v>650</v>
      </c>
      <c r="D3847" s="35">
        <f>SUMIFS(D3848:D9015,K3848:K9015,"0",B3848:B9015,"5 1 1 3 4 12 31111 6 M59 10100 000132 0000R*")-SUMIFS(E3848:E9015,K3848:K9015,"0",B3848:B9015,"5 1 1 3 4 12 31111 6 M59 10100 000132 0000R*")</f>
        <v>0</v>
      </c>
      <c r="E3847"/>
      <c r="F3847" s="35">
        <f>SUMIFS(F3848:F9015,K3848:K9015,"0",B3848:B9015,"5 1 1 3 4 12 31111 6 M59 10100 000132 0000R*")</f>
        <v>104748.08</v>
      </c>
      <c r="G3847" s="35">
        <f>SUMIFS(G3848:G9015,K3848:K9015,"0",B3848:B9015,"5 1 1 3 4 12 31111 6 M59 10100 000132 0000R*")</f>
        <v>0</v>
      </c>
      <c r="H3847" s="35">
        <f t="shared" si="61"/>
        <v>104748.08</v>
      </c>
      <c r="I3847" s="35"/>
      <c r="K3847" t="s">
        <v>15</v>
      </c>
    </row>
    <row r="3848" spans="2:11" ht="24.75" x14ac:dyDescent="0.2">
      <c r="B3848" s="33" t="s">
        <v>4787</v>
      </c>
      <c r="C3848" s="33" t="s">
        <v>282</v>
      </c>
      <c r="D3848" s="35">
        <f>SUMIFS(D3849:D9015,K3849:K9015,"0",B3849:B9015,"5 1 1 3 4 12 31111 6 M59 10100 000132 0000R 00001*")-SUMIFS(E3849:E9015,K3849:K9015,"0",B3849:B9015,"5 1 1 3 4 12 31111 6 M59 10100 000132 0000R 00001*")</f>
        <v>0</v>
      </c>
      <c r="E3848"/>
      <c r="F3848" s="35">
        <f>SUMIFS(F3849:F9015,K3849:K9015,"0",B3849:B9015,"5 1 1 3 4 12 31111 6 M59 10100 000132 0000R 00001*")</f>
        <v>104748.08</v>
      </c>
      <c r="G3848" s="35">
        <f>SUMIFS(G3849:G9015,K3849:K9015,"0",B3849:B9015,"5 1 1 3 4 12 31111 6 M59 10100 000132 0000R 00001*")</f>
        <v>0</v>
      </c>
      <c r="H3848" s="35">
        <f t="shared" si="61"/>
        <v>104748.08</v>
      </c>
      <c r="I3848" s="35"/>
      <c r="K3848" t="s">
        <v>15</v>
      </c>
    </row>
    <row r="3849" spans="2:11" ht="24.75" x14ac:dyDescent="0.2">
      <c r="B3849" s="33" t="s">
        <v>4788</v>
      </c>
      <c r="C3849" s="33" t="s">
        <v>4776</v>
      </c>
      <c r="D3849" s="35">
        <f>SUMIFS(D3850:D9015,K3850:K9015,"0",B3850:B9015,"5 1 1 3 4 12 31111 6 M59 10100 000132 0000R 00001 00134*")-SUMIFS(E3850:E9015,K3850:K9015,"0",B3850:B9015,"5 1 1 3 4 12 31111 6 M59 10100 000132 0000R 00001 00134*")</f>
        <v>0</v>
      </c>
      <c r="E3849"/>
      <c r="F3849" s="35">
        <f>SUMIFS(F3850:F9015,K3850:K9015,"0",B3850:B9015,"5 1 1 3 4 12 31111 6 M59 10100 000132 0000R 00001 00134*")</f>
        <v>104748.08</v>
      </c>
      <c r="G3849" s="35">
        <f>SUMIFS(G3850:G9015,K3850:K9015,"0",B3850:B9015,"5 1 1 3 4 12 31111 6 M59 10100 000132 0000R 00001 00134*")</f>
        <v>0</v>
      </c>
      <c r="H3849" s="35">
        <f t="shared" si="61"/>
        <v>104748.08</v>
      </c>
      <c r="I3849" s="35"/>
      <c r="K3849" t="s">
        <v>15</v>
      </c>
    </row>
    <row r="3850" spans="2:11" ht="33" x14ac:dyDescent="0.2">
      <c r="B3850" s="33" t="s">
        <v>4789</v>
      </c>
      <c r="C3850" s="33" t="s">
        <v>1051</v>
      </c>
      <c r="D3850" s="35">
        <f>SUMIFS(D3851:D9015,K3851:K9015,"0",B3851:B9015,"5 1 1 3 4 12 31111 6 M59 10100 000132 0000R 00001 00134 015*")-SUMIFS(E3851:E9015,K3851:K9015,"0",B3851:B9015,"5 1 1 3 4 12 31111 6 M59 10100 000132 0000R 00001 00134 015*")</f>
        <v>0</v>
      </c>
      <c r="E3850"/>
      <c r="F3850" s="35">
        <f>SUMIFS(F3851:F9015,K3851:K9015,"0",B3851:B9015,"5 1 1 3 4 12 31111 6 M59 10100 000132 0000R 00001 00134 015*")</f>
        <v>104748.08</v>
      </c>
      <c r="G3850" s="35">
        <f>SUMIFS(G3851:G9015,K3851:K9015,"0",B3851:B9015,"5 1 1 3 4 12 31111 6 M59 10100 000132 0000R 00001 00134 015*")</f>
        <v>0</v>
      </c>
      <c r="H3850" s="35">
        <f t="shared" si="61"/>
        <v>104748.08</v>
      </c>
      <c r="I3850" s="35"/>
      <c r="K3850" t="s">
        <v>15</v>
      </c>
    </row>
    <row r="3851" spans="2:11" ht="33" x14ac:dyDescent="0.2">
      <c r="B3851" s="33" t="s">
        <v>4790</v>
      </c>
      <c r="C3851" s="33" t="s">
        <v>2927</v>
      </c>
      <c r="D3851" s="35">
        <f>SUMIFS(D3852:D9015,K3852:K9015,"0",B3852:B9015,"5 1 1 3 4 12 31111 6 M59 10100 000132 0000R 00001 00134 015 2111100*")-SUMIFS(E3852:E9015,K3852:K9015,"0",B3852:B9015,"5 1 1 3 4 12 31111 6 M59 10100 000132 0000R 00001 00134 015 2111100*")</f>
        <v>0</v>
      </c>
      <c r="E3851"/>
      <c r="F3851" s="35">
        <f>SUMIFS(F3852:F9015,K3852:K9015,"0",B3852:B9015,"5 1 1 3 4 12 31111 6 M59 10100 000132 0000R 00001 00134 015 2111100*")</f>
        <v>104748.08</v>
      </c>
      <c r="G3851" s="35">
        <f>SUMIFS(G3852:G9015,K3852:K9015,"0",B3852:B9015,"5 1 1 3 4 12 31111 6 M59 10100 000132 0000R 00001 00134 015 2111100*")</f>
        <v>0</v>
      </c>
      <c r="H3851" s="35">
        <f t="shared" si="61"/>
        <v>104748.08</v>
      </c>
      <c r="I3851" s="35"/>
      <c r="K3851" t="s">
        <v>15</v>
      </c>
    </row>
    <row r="3852" spans="2:11" ht="33" x14ac:dyDescent="0.2">
      <c r="B3852" s="33" t="s">
        <v>4791</v>
      </c>
      <c r="C3852" s="33" t="s">
        <v>660</v>
      </c>
      <c r="D3852" s="35">
        <f>SUMIFS(D3853:D9015,K3853:K9015,"0",B3853:B9015,"5 1 1 3 4 12 31111 6 M59 10100 000132 0000R 00001 00134 015 2111100 2024*")-SUMIFS(E3853:E9015,K3853:K9015,"0",B3853:B9015,"5 1 1 3 4 12 31111 6 M59 10100 000132 0000R 00001 00134 015 2111100 2024*")</f>
        <v>0</v>
      </c>
      <c r="E3852"/>
      <c r="F3852" s="35">
        <f>SUMIFS(F3853:F9015,K3853:K9015,"0",B3853:B9015,"5 1 1 3 4 12 31111 6 M59 10100 000132 0000R 00001 00134 015 2111100 2024*")</f>
        <v>104748.08</v>
      </c>
      <c r="G3852" s="35">
        <f>SUMIFS(G3853:G9015,K3853:K9015,"0",B3853:B9015,"5 1 1 3 4 12 31111 6 M59 10100 000132 0000R 00001 00134 015 2111100 2024*")</f>
        <v>0</v>
      </c>
      <c r="H3852" s="35">
        <f t="shared" si="61"/>
        <v>104748.08</v>
      </c>
      <c r="I3852" s="35"/>
      <c r="K3852" t="s">
        <v>15</v>
      </c>
    </row>
    <row r="3853" spans="2:11" ht="41.25" x14ac:dyDescent="0.2">
      <c r="B3853" s="33" t="s">
        <v>4792</v>
      </c>
      <c r="C3853" s="33" t="s">
        <v>1056</v>
      </c>
      <c r="D3853" s="35">
        <f>SUMIFS(D3854:D9015,K3854:K9015,"0",B3854:B9015,"5 1 1 3 4 12 31111 6 M59 10100 000132 0000R 00001 00134 015 2111100 2024 CP1CO438*")-SUMIFS(E3854:E9015,K3854:K9015,"0",B3854:B9015,"5 1 1 3 4 12 31111 6 M59 10100 000132 0000R 00001 00134 015 2111100 2024 CP1CO438*")</f>
        <v>0</v>
      </c>
      <c r="E3853"/>
      <c r="F3853" s="35">
        <f>SUMIFS(F3854:F9015,K3854:K9015,"0",B3854:B9015,"5 1 1 3 4 12 31111 6 M59 10100 000132 0000R 00001 00134 015 2111100 2024 CP1CO438*")</f>
        <v>104748.08</v>
      </c>
      <c r="G3853" s="35">
        <f>SUMIFS(G3854:G9015,K3854:K9015,"0",B3854:B9015,"5 1 1 3 4 12 31111 6 M59 10100 000132 0000R 00001 00134 015 2111100 2024 CP1CO438*")</f>
        <v>0</v>
      </c>
      <c r="H3853" s="35">
        <f t="shared" si="61"/>
        <v>104748.08</v>
      </c>
      <c r="I3853" s="35"/>
      <c r="K3853" t="s">
        <v>15</v>
      </c>
    </row>
    <row r="3854" spans="2:11" ht="41.25" x14ac:dyDescent="0.2">
      <c r="B3854" s="33" t="s">
        <v>4793</v>
      </c>
      <c r="C3854" s="33" t="s">
        <v>282</v>
      </c>
      <c r="D3854" s="35">
        <f>SUMIFS(D3855:D9015,K3855:K9015,"0",B3855:B9015,"5 1 1 3 4 12 31111 6 M59 10100 000132 0000R 00001 00134 015 2111100 2024 CP1CO438 001*")-SUMIFS(E3855:E9015,K3855:K9015,"0",B3855:B9015,"5 1 1 3 4 12 31111 6 M59 10100 000132 0000R 00001 00134 015 2111100 2024 CP1CO438 001*")</f>
        <v>0</v>
      </c>
      <c r="E3854"/>
      <c r="F3854" s="35">
        <f>SUMIFS(F3855:F9015,K3855:K9015,"0",B3855:B9015,"5 1 1 3 4 12 31111 6 M59 10100 000132 0000R 00001 00134 015 2111100 2024 CP1CO438 001*")</f>
        <v>104748.08</v>
      </c>
      <c r="G3854" s="35">
        <f>SUMIFS(G3855:G9015,K3855:K9015,"0",B3855:B9015,"5 1 1 3 4 12 31111 6 M59 10100 000132 0000R 00001 00134 015 2111100 2024 CP1CO438 001*")</f>
        <v>0</v>
      </c>
      <c r="H3854" s="35">
        <f t="shared" si="61"/>
        <v>104748.08</v>
      </c>
      <c r="I3854" s="35"/>
      <c r="K3854" t="s">
        <v>15</v>
      </c>
    </row>
    <row r="3855" spans="2:11" ht="33" x14ac:dyDescent="0.2">
      <c r="B3855" s="31" t="s">
        <v>4794</v>
      </c>
      <c r="C3855" s="31" t="s">
        <v>4783</v>
      </c>
      <c r="D3855" s="34">
        <v>0</v>
      </c>
      <c r="E3855" s="34"/>
      <c r="F3855" s="34">
        <v>104748.08</v>
      </c>
      <c r="G3855" s="34">
        <v>0</v>
      </c>
      <c r="H3855" s="34">
        <f t="shared" si="61"/>
        <v>104748.08</v>
      </c>
      <c r="I3855" s="34"/>
      <c r="K3855" t="s">
        <v>38</v>
      </c>
    </row>
    <row r="3856" spans="2:11" ht="16.5" x14ac:dyDescent="0.2">
      <c r="B3856" s="33" t="s">
        <v>4795</v>
      </c>
      <c r="C3856" s="33" t="s">
        <v>2946</v>
      </c>
      <c r="D3856" s="35">
        <f>SUMIFS(D3857:D9015,K3857:K9015,"0",B3857:B9015,"5 1 1 3 4 12 31111 6 M59 10300*")-SUMIFS(E3857:E9015,K3857:K9015,"0",B3857:B9015,"5 1 1 3 4 12 31111 6 M59 10300*")</f>
        <v>0</v>
      </c>
      <c r="E3856"/>
      <c r="F3856" s="35">
        <f>SUMIFS(F3857:F9015,K3857:K9015,"0",B3857:B9015,"5 1 1 3 4 12 31111 6 M59 10300*")</f>
        <v>1500</v>
      </c>
      <c r="G3856" s="35">
        <f>SUMIFS(G3857:G9015,K3857:K9015,"0",B3857:B9015,"5 1 1 3 4 12 31111 6 M59 10300*")</f>
        <v>0</v>
      </c>
      <c r="H3856" s="35">
        <f t="shared" si="61"/>
        <v>1500</v>
      </c>
      <c r="I3856" s="35"/>
      <c r="K3856" t="s">
        <v>15</v>
      </c>
    </row>
    <row r="3857" spans="2:11" ht="16.5" x14ac:dyDescent="0.2">
      <c r="B3857" s="33" t="s">
        <v>4796</v>
      </c>
      <c r="C3857" s="33" t="s">
        <v>648</v>
      </c>
      <c r="D3857" s="35">
        <f>SUMIFS(D3858:D9015,K3858:K9015,"0",B3858:B9015,"5 1 1 3 4 12 31111 6 M59 10300 000132*")-SUMIFS(E3858:E9015,K3858:K9015,"0",B3858:B9015,"5 1 1 3 4 12 31111 6 M59 10300 000132*")</f>
        <v>0</v>
      </c>
      <c r="E3857"/>
      <c r="F3857" s="35">
        <f>SUMIFS(F3858:F9015,K3858:K9015,"0",B3858:B9015,"5 1 1 3 4 12 31111 6 M59 10300 000132*")</f>
        <v>1500</v>
      </c>
      <c r="G3857" s="35">
        <f>SUMIFS(G3858:G9015,K3858:K9015,"0",B3858:B9015,"5 1 1 3 4 12 31111 6 M59 10300 000132*")</f>
        <v>0</v>
      </c>
      <c r="H3857" s="35">
        <f t="shared" si="61"/>
        <v>1500</v>
      </c>
      <c r="I3857" s="35"/>
      <c r="K3857" t="s">
        <v>15</v>
      </c>
    </row>
    <row r="3858" spans="2:11" ht="24.75" x14ac:dyDescent="0.2">
      <c r="B3858" s="33" t="s">
        <v>4797</v>
      </c>
      <c r="C3858" s="33" t="s">
        <v>650</v>
      </c>
      <c r="D3858" s="35">
        <f>SUMIFS(D3859:D9015,K3859:K9015,"0",B3859:B9015,"5 1 1 3 4 12 31111 6 M59 10300 000132 0000R*")-SUMIFS(E3859:E9015,K3859:K9015,"0",B3859:B9015,"5 1 1 3 4 12 31111 6 M59 10300 000132 0000R*")</f>
        <v>0</v>
      </c>
      <c r="E3858"/>
      <c r="F3858" s="35">
        <f>SUMIFS(F3859:F9015,K3859:K9015,"0",B3859:B9015,"5 1 1 3 4 12 31111 6 M59 10300 000132 0000R*")</f>
        <v>1500</v>
      </c>
      <c r="G3858" s="35">
        <f>SUMIFS(G3859:G9015,K3859:K9015,"0",B3859:B9015,"5 1 1 3 4 12 31111 6 M59 10300 000132 0000R*")</f>
        <v>0</v>
      </c>
      <c r="H3858" s="35">
        <f t="shared" si="61"/>
        <v>1500</v>
      </c>
      <c r="I3858" s="35"/>
      <c r="K3858" t="s">
        <v>15</v>
      </c>
    </row>
    <row r="3859" spans="2:11" ht="24.75" x14ac:dyDescent="0.2">
      <c r="B3859" s="33" t="s">
        <v>4798</v>
      </c>
      <c r="C3859" s="33" t="s">
        <v>282</v>
      </c>
      <c r="D3859" s="35">
        <f>SUMIFS(D3860:D9015,K3860:K9015,"0",B3860:B9015,"5 1 1 3 4 12 31111 6 M59 10300 000132 0000R 00001*")-SUMIFS(E3860:E9015,K3860:K9015,"0",B3860:B9015,"5 1 1 3 4 12 31111 6 M59 10300 000132 0000R 00001*")</f>
        <v>0</v>
      </c>
      <c r="E3859"/>
      <c r="F3859" s="35">
        <f>SUMIFS(F3860:F9015,K3860:K9015,"0",B3860:B9015,"5 1 1 3 4 12 31111 6 M59 10300 000132 0000R 00001*")</f>
        <v>1500</v>
      </c>
      <c r="G3859" s="35">
        <f>SUMIFS(G3860:G9015,K3860:K9015,"0",B3860:B9015,"5 1 1 3 4 12 31111 6 M59 10300 000132 0000R 00001*")</f>
        <v>0</v>
      </c>
      <c r="H3859" s="35">
        <f t="shared" si="61"/>
        <v>1500</v>
      </c>
      <c r="I3859" s="35"/>
      <c r="K3859" t="s">
        <v>15</v>
      </c>
    </row>
    <row r="3860" spans="2:11" ht="24.75" x14ac:dyDescent="0.2">
      <c r="B3860" s="33" t="s">
        <v>4799</v>
      </c>
      <c r="C3860" s="33" t="s">
        <v>4776</v>
      </c>
      <c r="D3860" s="35">
        <f>SUMIFS(D3861:D9015,K3861:K9015,"0",B3861:B9015,"5 1 1 3 4 12 31111 6 M59 10300 000132 0000R 00001 00134*")-SUMIFS(E3861:E9015,K3861:K9015,"0",B3861:B9015,"5 1 1 3 4 12 31111 6 M59 10300 000132 0000R 00001 00134*")</f>
        <v>0</v>
      </c>
      <c r="E3860"/>
      <c r="F3860" s="35">
        <f>SUMIFS(F3861:F9015,K3861:K9015,"0",B3861:B9015,"5 1 1 3 4 12 31111 6 M59 10300 000132 0000R 00001 00134*")</f>
        <v>1500</v>
      </c>
      <c r="G3860" s="35">
        <f>SUMIFS(G3861:G9015,K3861:K9015,"0",B3861:B9015,"5 1 1 3 4 12 31111 6 M59 10300 000132 0000R 00001 00134*")</f>
        <v>0</v>
      </c>
      <c r="H3860" s="35">
        <f t="shared" si="61"/>
        <v>1500</v>
      </c>
      <c r="I3860" s="35"/>
      <c r="K3860" t="s">
        <v>15</v>
      </c>
    </row>
    <row r="3861" spans="2:11" ht="33" x14ac:dyDescent="0.2">
      <c r="B3861" s="33" t="s">
        <v>4800</v>
      </c>
      <c r="C3861" s="33" t="s">
        <v>1051</v>
      </c>
      <c r="D3861" s="35">
        <f>SUMIFS(D3862:D9015,K3862:K9015,"0",B3862:B9015,"5 1 1 3 4 12 31111 6 M59 10300 000132 0000R 00001 00134 015*")-SUMIFS(E3862:E9015,K3862:K9015,"0",B3862:B9015,"5 1 1 3 4 12 31111 6 M59 10300 000132 0000R 00001 00134 015*")</f>
        <v>0</v>
      </c>
      <c r="E3861"/>
      <c r="F3861" s="35">
        <f>SUMIFS(F3862:F9015,K3862:K9015,"0",B3862:B9015,"5 1 1 3 4 12 31111 6 M59 10300 000132 0000R 00001 00134 015*")</f>
        <v>1500</v>
      </c>
      <c r="G3861" s="35">
        <f>SUMIFS(G3862:G9015,K3862:K9015,"0",B3862:B9015,"5 1 1 3 4 12 31111 6 M59 10300 000132 0000R 00001 00134 015*")</f>
        <v>0</v>
      </c>
      <c r="H3861" s="35">
        <f t="shared" si="61"/>
        <v>1500</v>
      </c>
      <c r="I3861" s="35"/>
      <c r="K3861" t="s">
        <v>15</v>
      </c>
    </row>
    <row r="3862" spans="2:11" ht="33" x14ac:dyDescent="0.2">
      <c r="B3862" s="33" t="s">
        <v>4801</v>
      </c>
      <c r="C3862" s="33" t="s">
        <v>2927</v>
      </c>
      <c r="D3862" s="35">
        <f>SUMIFS(D3863:D9015,K3863:K9015,"0",B3863:B9015,"5 1 1 3 4 12 31111 6 M59 10300 000132 0000R 00001 00134 015 2111100*")-SUMIFS(E3863:E9015,K3863:K9015,"0",B3863:B9015,"5 1 1 3 4 12 31111 6 M59 10300 000132 0000R 00001 00134 015 2111100*")</f>
        <v>0</v>
      </c>
      <c r="E3862"/>
      <c r="F3862" s="35">
        <f>SUMIFS(F3863:F9015,K3863:K9015,"0",B3863:B9015,"5 1 1 3 4 12 31111 6 M59 10300 000132 0000R 00001 00134 015 2111100*")</f>
        <v>1500</v>
      </c>
      <c r="G3862" s="35">
        <f>SUMIFS(G3863:G9015,K3863:K9015,"0",B3863:B9015,"5 1 1 3 4 12 31111 6 M59 10300 000132 0000R 00001 00134 015 2111100*")</f>
        <v>0</v>
      </c>
      <c r="H3862" s="35">
        <f t="shared" si="61"/>
        <v>1500</v>
      </c>
      <c r="I3862" s="35"/>
      <c r="K3862" t="s">
        <v>15</v>
      </c>
    </row>
    <row r="3863" spans="2:11" ht="33" x14ac:dyDescent="0.2">
      <c r="B3863" s="33" t="s">
        <v>4802</v>
      </c>
      <c r="C3863" s="33" t="s">
        <v>660</v>
      </c>
      <c r="D3863" s="35">
        <f>SUMIFS(D3864:D9015,K3864:K9015,"0",B3864:B9015,"5 1 1 3 4 12 31111 6 M59 10300 000132 0000R 00001 00134 015 2111100 2024*")-SUMIFS(E3864:E9015,K3864:K9015,"0",B3864:B9015,"5 1 1 3 4 12 31111 6 M59 10300 000132 0000R 00001 00134 015 2111100 2024*")</f>
        <v>0</v>
      </c>
      <c r="E3863"/>
      <c r="F3863" s="35">
        <f>SUMIFS(F3864:F9015,K3864:K9015,"0",B3864:B9015,"5 1 1 3 4 12 31111 6 M59 10300 000132 0000R 00001 00134 015 2111100 2024*")</f>
        <v>1500</v>
      </c>
      <c r="G3863" s="35">
        <f>SUMIFS(G3864:G9015,K3864:K9015,"0",B3864:B9015,"5 1 1 3 4 12 31111 6 M59 10300 000132 0000R 00001 00134 015 2111100 2024*")</f>
        <v>0</v>
      </c>
      <c r="H3863" s="35">
        <f t="shared" si="61"/>
        <v>1500</v>
      </c>
      <c r="I3863" s="35"/>
      <c r="K3863" t="s">
        <v>15</v>
      </c>
    </row>
    <row r="3864" spans="2:11" ht="41.25" x14ac:dyDescent="0.2">
      <c r="B3864" s="33" t="s">
        <v>4803</v>
      </c>
      <c r="C3864" s="33" t="s">
        <v>2955</v>
      </c>
      <c r="D3864" s="35">
        <f>SUMIFS(D3865:D9015,K3865:K9015,"0",B3865:B9015,"5 1 1 3 4 12 31111 6 M59 10300 000132 0000R 00001 00134 015 2111100 2024 CP1GE413*")-SUMIFS(E3865:E9015,K3865:K9015,"0",B3865:B9015,"5 1 1 3 4 12 31111 6 M59 10300 000132 0000R 00001 00134 015 2111100 2024 CP1GE413*")</f>
        <v>0</v>
      </c>
      <c r="E3864"/>
      <c r="F3864" s="35">
        <f>SUMIFS(F3865:F9015,K3865:K9015,"0",B3865:B9015,"5 1 1 3 4 12 31111 6 M59 10300 000132 0000R 00001 00134 015 2111100 2024 CP1GE413*")</f>
        <v>1500</v>
      </c>
      <c r="G3864" s="35">
        <f>SUMIFS(G3865:G9015,K3865:K9015,"0",B3865:B9015,"5 1 1 3 4 12 31111 6 M59 10300 000132 0000R 00001 00134 015 2111100 2024 CP1GE413*")</f>
        <v>0</v>
      </c>
      <c r="H3864" s="35">
        <f t="shared" si="61"/>
        <v>1500</v>
      </c>
      <c r="I3864" s="35"/>
      <c r="K3864" t="s">
        <v>15</v>
      </c>
    </row>
    <row r="3865" spans="2:11" ht="41.25" x14ac:dyDescent="0.2">
      <c r="B3865" s="33" t="s">
        <v>4804</v>
      </c>
      <c r="C3865" s="33" t="s">
        <v>282</v>
      </c>
      <c r="D3865" s="35">
        <f>SUMIFS(D3866:D9015,K3866:K9015,"0",B3866:B9015,"5 1 1 3 4 12 31111 6 M59 10300 000132 0000R 00001 00134 015 2111100 2024 CP1GE413 001*")-SUMIFS(E3866:E9015,K3866:K9015,"0",B3866:B9015,"5 1 1 3 4 12 31111 6 M59 10300 000132 0000R 00001 00134 015 2111100 2024 CP1GE413 001*")</f>
        <v>0</v>
      </c>
      <c r="E3865"/>
      <c r="F3865" s="35">
        <f>SUMIFS(F3866:F9015,K3866:K9015,"0",B3866:B9015,"5 1 1 3 4 12 31111 6 M59 10300 000132 0000R 00001 00134 015 2111100 2024 CP1GE413 001*")</f>
        <v>1500</v>
      </c>
      <c r="G3865" s="35">
        <f>SUMIFS(G3866:G9015,K3866:K9015,"0",B3866:B9015,"5 1 1 3 4 12 31111 6 M59 10300 000132 0000R 00001 00134 015 2111100 2024 CP1GE413 001*")</f>
        <v>0</v>
      </c>
      <c r="H3865" s="35">
        <f t="shared" si="61"/>
        <v>1500</v>
      </c>
      <c r="I3865" s="35"/>
      <c r="K3865" t="s">
        <v>15</v>
      </c>
    </row>
    <row r="3866" spans="2:11" ht="33" x14ac:dyDescent="0.2">
      <c r="B3866" s="31" t="s">
        <v>4805</v>
      </c>
      <c r="C3866" s="31" t="s">
        <v>4806</v>
      </c>
      <c r="D3866" s="34">
        <v>0</v>
      </c>
      <c r="E3866" s="34"/>
      <c r="F3866" s="34">
        <v>1500</v>
      </c>
      <c r="G3866" s="34">
        <v>0</v>
      </c>
      <c r="H3866" s="34">
        <f t="shared" si="61"/>
        <v>1500</v>
      </c>
      <c r="I3866" s="34"/>
      <c r="K3866" t="s">
        <v>38</v>
      </c>
    </row>
    <row r="3867" spans="2:11" ht="16.5" x14ac:dyDescent="0.2">
      <c r="B3867" s="33" t="s">
        <v>4807</v>
      </c>
      <c r="C3867" s="33" t="s">
        <v>2971</v>
      </c>
      <c r="D3867" s="35">
        <f>SUMIFS(D3868:D9015,K3868:K9015,"0",B3868:B9015,"5 1 1 3 4 12 31111 6 M59 10500*")-SUMIFS(E3868:E9015,K3868:K9015,"0",B3868:B9015,"5 1 1 3 4 12 31111 6 M59 10500*")</f>
        <v>0</v>
      </c>
      <c r="E3867"/>
      <c r="F3867" s="35">
        <f>SUMIFS(F3868:F9015,K3868:K9015,"0",B3868:B9015,"5 1 1 3 4 12 31111 6 M59 10500*")</f>
        <v>107103.36</v>
      </c>
      <c r="G3867" s="35">
        <f>SUMIFS(G3868:G9015,K3868:K9015,"0",B3868:B9015,"5 1 1 3 4 12 31111 6 M59 10500*")</f>
        <v>0</v>
      </c>
      <c r="H3867" s="35">
        <f t="shared" si="61"/>
        <v>107103.36</v>
      </c>
      <c r="I3867" s="35"/>
      <c r="K3867" t="s">
        <v>15</v>
      </c>
    </row>
    <row r="3868" spans="2:11" ht="16.5" x14ac:dyDescent="0.2">
      <c r="B3868" s="33" t="s">
        <v>4808</v>
      </c>
      <c r="C3868" s="33" t="s">
        <v>648</v>
      </c>
      <c r="D3868" s="35">
        <f>SUMIFS(D3869:D9015,K3869:K9015,"0",B3869:B9015,"5 1 1 3 4 12 31111 6 M59 10500 000132*")-SUMIFS(E3869:E9015,K3869:K9015,"0",B3869:B9015,"5 1 1 3 4 12 31111 6 M59 10500 000132*")</f>
        <v>0</v>
      </c>
      <c r="E3868"/>
      <c r="F3868" s="35">
        <f>SUMIFS(F3869:F9015,K3869:K9015,"0",B3869:B9015,"5 1 1 3 4 12 31111 6 M59 10500 000132*")</f>
        <v>107103.36</v>
      </c>
      <c r="G3868" s="35">
        <f>SUMIFS(G3869:G9015,K3869:K9015,"0",B3869:B9015,"5 1 1 3 4 12 31111 6 M59 10500 000132*")</f>
        <v>0</v>
      </c>
      <c r="H3868" s="35">
        <f t="shared" si="61"/>
        <v>107103.36</v>
      </c>
      <c r="I3868" s="35"/>
      <c r="K3868" t="s">
        <v>15</v>
      </c>
    </row>
    <row r="3869" spans="2:11" ht="24.75" x14ac:dyDescent="0.2">
      <c r="B3869" s="33" t="s">
        <v>4809</v>
      </c>
      <c r="C3869" s="33" t="s">
        <v>650</v>
      </c>
      <c r="D3869" s="35">
        <f>SUMIFS(D3870:D9015,K3870:K9015,"0",B3870:B9015,"5 1 1 3 4 12 31111 6 M59 10500 000132 0000R*")-SUMIFS(E3870:E9015,K3870:K9015,"0",B3870:B9015,"5 1 1 3 4 12 31111 6 M59 10500 000132 0000R*")</f>
        <v>0</v>
      </c>
      <c r="E3869"/>
      <c r="F3869" s="35">
        <f>SUMIFS(F3870:F9015,K3870:K9015,"0",B3870:B9015,"5 1 1 3 4 12 31111 6 M59 10500 000132 0000R*")</f>
        <v>107103.36</v>
      </c>
      <c r="G3869" s="35">
        <f>SUMIFS(G3870:G9015,K3870:K9015,"0",B3870:B9015,"5 1 1 3 4 12 31111 6 M59 10500 000132 0000R*")</f>
        <v>0</v>
      </c>
      <c r="H3869" s="35">
        <f t="shared" si="61"/>
        <v>107103.36</v>
      </c>
      <c r="I3869" s="35"/>
      <c r="K3869" t="s">
        <v>15</v>
      </c>
    </row>
    <row r="3870" spans="2:11" ht="24.75" x14ac:dyDescent="0.2">
      <c r="B3870" s="33" t="s">
        <v>4810</v>
      </c>
      <c r="C3870" s="33" t="s">
        <v>282</v>
      </c>
      <c r="D3870" s="35">
        <f>SUMIFS(D3871:D9015,K3871:K9015,"0",B3871:B9015,"5 1 1 3 4 12 31111 6 M59 10500 000132 0000R 00001*")-SUMIFS(E3871:E9015,K3871:K9015,"0",B3871:B9015,"5 1 1 3 4 12 31111 6 M59 10500 000132 0000R 00001*")</f>
        <v>0</v>
      </c>
      <c r="E3870"/>
      <c r="F3870" s="35">
        <f>SUMIFS(F3871:F9015,K3871:K9015,"0",B3871:B9015,"5 1 1 3 4 12 31111 6 M59 10500 000132 0000R 00001*")</f>
        <v>107103.36</v>
      </c>
      <c r="G3870" s="35">
        <f>SUMIFS(G3871:G9015,K3871:K9015,"0",B3871:B9015,"5 1 1 3 4 12 31111 6 M59 10500 000132 0000R 00001*")</f>
        <v>0</v>
      </c>
      <c r="H3870" s="35">
        <f t="shared" si="61"/>
        <v>107103.36</v>
      </c>
      <c r="I3870" s="35"/>
      <c r="K3870" t="s">
        <v>15</v>
      </c>
    </row>
    <row r="3871" spans="2:11" ht="24.75" x14ac:dyDescent="0.2">
      <c r="B3871" s="33" t="s">
        <v>4811</v>
      </c>
      <c r="C3871" s="33" t="s">
        <v>4776</v>
      </c>
      <c r="D3871" s="35">
        <f>SUMIFS(D3872:D9015,K3872:K9015,"0",B3872:B9015,"5 1 1 3 4 12 31111 6 M59 10500 000132 0000R 00001 00134*")-SUMIFS(E3872:E9015,K3872:K9015,"0",B3872:B9015,"5 1 1 3 4 12 31111 6 M59 10500 000132 0000R 00001 00134*")</f>
        <v>0</v>
      </c>
      <c r="E3871"/>
      <c r="F3871" s="35">
        <f>SUMIFS(F3872:F9015,K3872:K9015,"0",B3872:B9015,"5 1 1 3 4 12 31111 6 M59 10500 000132 0000R 00001 00134*")</f>
        <v>107103.36</v>
      </c>
      <c r="G3871" s="35">
        <f>SUMIFS(G3872:G9015,K3872:K9015,"0",B3872:B9015,"5 1 1 3 4 12 31111 6 M59 10500 000132 0000R 00001 00134*")</f>
        <v>0</v>
      </c>
      <c r="H3871" s="35">
        <f t="shared" si="61"/>
        <v>107103.36</v>
      </c>
      <c r="I3871" s="35"/>
      <c r="K3871" t="s">
        <v>15</v>
      </c>
    </row>
    <row r="3872" spans="2:11" ht="33" x14ac:dyDescent="0.2">
      <c r="B3872" s="33" t="s">
        <v>4812</v>
      </c>
      <c r="C3872" s="33" t="s">
        <v>1051</v>
      </c>
      <c r="D3872" s="35">
        <f>SUMIFS(D3873:D9015,K3873:K9015,"0",B3873:B9015,"5 1 1 3 4 12 31111 6 M59 10500 000132 0000R 00001 00134 015*")-SUMIFS(E3873:E9015,K3873:K9015,"0",B3873:B9015,"5 1 1 3 4 12 31111 6 M59 10500 000132 0000R 00001 00134 015*")</f>
        <v>0</v>
      </c>
      <c r="E3872"/>
      <c r="F3872" s="35">
        <f>SUMIFS(F3873:F9015,K3873:K9015,"0",B3873:B9015,"5 1 1 3 4 12 31111 6 M59 10500 000132 0000R 00001 00134 015*")</f>
        <v>107103.36</v>
      </c>
      <c r="G3872" s="35">
        <f>SUMIFS(G3873:G9015,K3873:K9015,"0",B3873:B9015,"5 1 1 3 4 12 31111 6 M59 10500 000132 0000R 00001 00134 015*")</f>
        <v>0</v>
      </c>
      <c r="H3872" s="35">
        <f t="shared" si="61"/>
        <v>107103.36</v>
      </c>
      <c r="I3872" s="35"/>
      <c r="K3872" t="s">
        <v>15</v>
      </c>
    </row>
    <row r="3873" spans="2:11" ht="33" x14ac:dyDescent="0.2">
      <c r="B3873" s="33" t="s">
        <v>4813</v>
      </c>
      <c r="C3873" s="33" t="s">
        <v>2927</v>
      </c>
      <c r="D3873" s="35">
        <f>SUMIFS(D3874:D9015,K3874:K9015,"0",B3874:B9015,"5 1 1 3 4 12 31111 6 M59 10500 000132 0000R 00001 00134 015 2111100*")-SUMIFS(E3874:E9015,K3874:K9015,"0",B3874:B9015,"5 1 1 3 4 12 31111 6 M59 10500 000132 0000R 00001 00134 015 2111100*")</f>
        <v>0</v>
      </c>
      <c r="E3873"/>
      <c r="F3873" s="35">
        <f>SUMIFS(F3874:F9015,K3874:K9015,"0",B3874:B9015,"5 1 1 3 4 12 31111 6 M59 10500 000132 0000R 00001 00134 015 2111100*")</f>
        <v>107103.36</v>
      </c>
      <c r="G3873" s="35">
        <f>SUMIFS(G3874:G9015,K3874:K9015,"0",B3874:B9015,"5 1 1 3 4 12 31111 6 M59 10500 000132 0000R 00001 00134 015 2111100*")</f>
        <v>0</v>
      </c>
      <c r="H3873" s="35">
        <f t="shared" si="61"/>
        <v>107103.36</v>
      </c>
      <c r="I3873" s="35"/>
      <c r="K3873" t="s">
        <v>15</v>
      </c>
    </row>
    <row r="3874" spans="2:11" ht="33" x14ac:dyDescent="0.2">
      <c r="B3874" s="33" t="s">
        <v>4814</v>
      </c>
      <c r="C3874" s="33" t="s">
        <v>660</v>
      </c>
      <c r="D3874" s="35">
        <f>SUMIFS(D3875:D9015,K3875:K9015,"0",B3875:B9015,"5 1 1 3 4 12 31111 6 M59 10500 000132 0000R 00001 00134 015 2111100 2024*")-SUMIFS(E3875:E9015,K3875:K9015,"0",B3875:B9015,"5 1 1 3 4 12 31111 6 M59 10500 000132 0000R 00001 00134 015 2111100 2024*")</f>
        <v>0</v>
      </c>
      <c r="E3874"/>
      <c r="F3874" s="35">
        <f>SUMIFS(F3875:F9015,K3875:K9015,"0",B3875:B9015,"5 1 1 3 4 12 31111 6 M59 10500 000132 0000R 00001 00134 015 2111100 2024*")</f>
        <v>107103.36</v>
      </c>
      <c r="G3874" s="35">
        <f>SUMIFS(G3875:G9015,K3875:K9015,"0",B3875:B9015,"5 1 1 3 4 12 31111 6 M59 10500 000132 0000R 00001 00134 015 2111100 2024*")</f>
        <v>0</v>
      </c>
      <c r="H3874" s="35">
        <f t="shared" si="61"/>
        <v>107103.36</v>
      </c>
      <c r="I3874" s="35"/>
      <c r="K3874" t="s">
        <v>15</v>
      </c>
    </row>
    <row r="3875" spans="2:11" ht="41.25" x14ac:dyDescent="0.2">
      <c r="B3875" s="33" t="s">
        <v>4815</v>
      </c>
      <c r="C3875" s="33" t="s">
        <v>1056</v>
      </c>
      <c r="D3875" s="35">
        <f>SUMIFS(D3876:D9015,K3876:K9015,"0",B3876:B9015,"5 1 1 3 4 12 31111 6 M59 10500 000132 0000R 00001 00134 015 2111100 2024 CP1CS421*")-SUMIFS(E3876:E9015,K3876:K9015,"0",B3876:B9015,"5 1 1 3 4 12 31111 6 M59 10500 000132 0000R 00001 00134 015 2111100 2024 CP1CS421*")</f>
        <v>0</v>
      </c>
      <c r="E3875"/>
      <c r="F3875" s="35">
        <f>SUMIFS(F3876:F9015,K3876:K9015,"0",B3876:B9015,"5 1 1 3 4 12 31111 6 M59 10500 000132 0000R 00001 00134 015 2111100 2024 CP1CS421*")</f>
        <v>107103.36</v>
      </c>
      <c r="G3875" s="35">
        <f>SUMIFS(G3876:G9015,K3876:K9015,"0",B3876:B9015,"5 1 1 3 4 12 31111 6 M59 10500 000132 0000R 00001 00134 015 2111100 2024 CP1CS421*")</f>
        <v>0</v>
      </c>
      <c r="H3875" s="35">
        <f t="shared" si="61"/>
        <v>107103.36</v>
      </c>
      <c r="I3875" s="35"/>
      <c r="K3875" t="s">
        <v>15</v>
      </c>
    </row>
    <row r="3876" spans="2:11" ht="41.25" x14ac:dyDescent="0.2">
      <c r="B3876" s="33" t="s">
        <v>4816</v>
      </c>
      <c r="C3876" s="33" t="s">
        <v>282</v>
      </c>
      <c r="D3876" s="35">
        <f>SUMIFS(D3877:D9015,K3877:K9015,"0",B3877:B9015,"5 1 1 3 4 12 31111 6 M59 10500 000132 0000R 00001 00134 015 2111100 2024 CP1CS421 001*")-SUMIFS(E3877:E9015,K3877:K9015,"0",B3877:B9015,"5 1 1 3 4 12 31111 6 M59 10500 000132 0000R 00001 00134 015 2111100 2024 CP1CS421 001*")</f>
        <v>0</v>
      </c>
      <c r="E3876"/>
      <c r="F3876" s="35">
        <f>SUMIFS(F3877:F9015,K3877:K9015,"0",B3877:B9015,"5 1 1 3 4 12 31111 6 M59 10500 000132 0000R 00001 00134 015 2111100 2024 CP1CS421 001*")</f>
        <v>107103.36</v>
      </c>
      <c r="G3876" s="35">
        <f>SUMIFS(G3877:G9015,K3877:K9015,"0",B3877:B9015,"5 1 1 3 4 12 31111 6 M59 10500 000132 0000R 00001 00134 015 2111100 2024 CP1CS421 001*")</f>
        <v>0</v>
      </c>
      <c r="H3876" s="35">
        <f t="shared" si="61"/>
        <v>107103.36</v>
      </c>
      <c r="I3876" s="35"/>
      <c r="K3876" t="s">
        <v>15</v>
      </c>
    </row>
    <row r="3877" spans="2:11" ht="33" x14ac:dyDescent="0.2">
      <c r="B3877" s="31" t="s">
        <v>4817</v>
      </c>
      <c r="C3877" s="31" t="s">
        <v>4783</v>
      </c>
      <c r="D3877" s="34">
        <v>0</v>
      </c>
      <c r="E3877" s="34"/>
      <c r="F3877" s="34">
        <v>107103.36</v>
      </c>
      <c r="G3877" s="34">
        <v>0</v>
      </c>
      <c r="H3877" s="34">
        <f t="shared" si="61"/>
        <v>107103.36</v>
      </c>
      <c r="I3877" s="34"/>
      <c r="K3877" t="s">
        <v>38</v>
      </c>
    </row>
    <row r="3878" spans="2:11" ht="16.5" x14ac:dyDescent="0.2">
      <c r="B3878" s="33" t="s">
        <v>4818</v>
      </c>
      <c r="C3878" s="33" t="s">
        <v>2996</v>
      </c>
      <c r="D3878" s="35">
        <f>SUMIFS(D3879:D9015,K3879:K9015,"0",B3879:B9015,"5 1 1 3 4 12 31111 6 M59 10700*")-SUMIFS(E3879:E9015,K3879:K9015,"0",B3879:B9015,"5 1 1 3 4 12 31111 6 M59 10700*")</f>
        <v>0</v>
      </c>
      <c r="E3878"/>
      <c r="F3878" s="35">
        <f>SUMIFS(F3879:F9015,K3879:K9015,"0",B3879:B9015,"5 1 1 3 4 12 31111 6 M59 10700*")</f>
        <v>117100</v>
      </c>
      <c r="G3878" s="35">
        <f>SUMIFS(G3879:G9015,K3879:K9015,"0",B3879:B9015,"5 1 1 3 4 12 31111 6 M59 10700*")</f>
        <v>0</v>
      </c>
      <c r="H3878" s="35">
        <f t="shared" si="61"/>
        <v>117100</v>
      </c>
      <c r="I3878" s="35"/>
      <c r="K3878" t="s">
        <v>15</v>
      </c>
    </row>
    <row r="3879" spans="2:11" ht="16.5" x14ac:dyDescent="0.2">
      <c r="B3879" s="33" t="s">
        <v>4819</v>
      </c>
      <c r="C3879" s="33" t="s">
        <v>648</v>
      </c>
      <c r="D3879" s="35">
        <f>SUMIFS(D3880:D9015,K3880:K9015,"0",B3880:B9015,"5 1 1 3 4 12 31111 6 M59 10700 000132*")-SUMIFS(E3880:E9015,K3880:K9015,"0",B3880:B9015,"5 1 1 3 4 12 31111 6 M59 10700 000132*")</f>
        <v>0</v>
      </c>
      <c r="E3879"/>
      <c r="F3879" s="35">
        <f>SUMIFS(F3880:F9015,K3880:K9015,"0",B3880:B9015,"5 1 1 3 4 12 31111 6 M59 10700 000132*")</f>
        <v>117100</v>
      </c>
      <c r="G3879" s="35">
        <f>SUMIFS(G3880:G9015,K3880:K9015,"0",B3880:B9015,"5 1 1 3 4 12 31111 6 M59 10700 000132*")</f>
        <v>0</v>
      </c>
      <c r="H3879" s="35">
        <f t="shared" si="61"/>
        <v>117100</v>
      </c>
      <c r="I3879" s="35"/>
      <c r="K3879" t="s">
        <v>15</v>
      </c>
    </row>
    <row r="3880" spans="2:11" ht="24.75" x14ac:dyDescent="0.2">
      <c r="B3880" s="33" t="s">
        <v>4820</v>
      </c>
      <c r="C3880" s="33" t="s">
        <v>650</v>
      </c>
      <c r="D3880" s="35">
        <f>SUMIFS(D3881:D9015,K3881:K9015,"0",B3881:B9015,"5 1 1 3 4 12 31111 6 M59 10700 000132 0000R*")-SUMIFS(E3881:E9015,K3881:K9015,"0",B3881:B9015,"5 1 1 3 4 12 31111 6 M59 10700 000132 0000R*")</f>
        <v>0</v>
      </c>
      <c r="E3880"/>
      <c r="F3880" s="35">
        <f>SUMIFS(F3881:F9015,K3881:K9015,"0",B3881:B9015,"5 1 1 3 4 12 31111 6 M59 10700 000132 0000R*")</f>
        <v>117100</v>
      </c>
      <c r="G3880" s="35">
        <f>SUMIFS(G3881:G9015,K3881:K9015,"0",B3881:B9015,"5 1 1 3 4 12 31111 6 M59 10700 000132 0000R*")</f>
        <v>0</v>
      </c>
      <c r="H3880" s="35">
        <f t="shared" si="61"/>
        <v>117100</v>
      </c>
      <c r="I3880" s="35"/>
      <c r="K3880" t="s">
        <v>15</v>
      </c>
    </row>
    <row r="3881" spans="2:11" ht="24.75" x14ac:dyDescent="0.2">
      <c r="B3881" s="33" t="s">
        <v>4821</v>
      </c>
      <c r="C3881" s="33" t="s">
        <v>282</v>
      </c>
      <c r="D3881" s="35">
        <f>SUMIFS(D3882:D9015,K3882:K9015,"0",B3882:B9015,"5 1 1 3 4 12 31111 6 M59 10700 000132 0000R 00001*")-SUMIFS(E3882:E9015,K3882:K9015,"0",B3882:B9015,"5 1 1 3 4 12 31111 6 M59 10700 000132 0000R 00001*")</f>
        <v>0</v>
      </c>
      <c r="E3881"/>
      <c r="F3881" s="35">
        <f>SUMIFS(F3882:F9015,K3882:K9015,"0",B3882:B9015,"5 1 1 3 4 12 31111 6 M59 10700 000132 0000R 00001*")</f>
        <v>117100</v>
      </c>
      <c r="G3881" s="35">
        <f>SUMIFS(G3882:G9015,K3882:K9015,"0",B3882:B9015,"5 1 1 3 4 12 31111 6 M59 10700 000132 0000R 00001*")</f>
        <v>0</v>
      </c>
      <c r="H3881" s="35">
        <f t="shared" si="61"/>
        <v>117100</v>
      </c>
      <c r="I3881" s="35"/>
      <c r="K3881" t="s">
        <v>15</v>
      </c>
    </row>
    <row r="3882" spans="2:11" ht="24.75" x14ac:dyDescent="0.2">
      <c r="B3882" s="33" t="s">
        <v>4822</v>
      </c>
      <c r="C3882" s="33" t="s">
        <v>4776</v>
      </c>
      <c r="D3882" s="35">
        <f>SUMIFS(D3883:D9015,K3883:K9015,"0",B3883:B9015,"5 1 1 3 4 12 31111 6 M59 10700 000132 0000R 00001 00134*")-SUMIFS(E3883:E9015,K3883:K9015,"0",B3883:B9015,"5 1 1 3 4 12 31111 6 M59 10700 000132 0000R 00001 00134*")</f>
        <v>0</v>
      </c>
      <c r="E3882"/>
      <c r="F3882" s="35">
        <f>SUMIFS(F3883:F9015,K3883:K9015,"0",B3883:B9015,"5 1 1 3 4 12 31111 6 M59 10700 000132 0000R 00001 00134*")</f>
        <v>117100</v>
      </c>
      <c r="G3882" s="35">
        <f>SUMIFS(G3883:G9015,K3883:K9015,"0",B3883:B9015,"5 1 1 3 4 12 31111 6 M59 10700 000132 0000R 00001 00134*")</f>
        <v>0</v>
      </c>
      <c r="H3882" s="35">
        <f t="shared" si="61"/>
        <v>117100</v>
      </c>
      <c r="I3882" s="35"/>
      <c r="K3882" t="s">
        <v>15</v>
      </c>
    </row>
    <row r="3883" spans="2:11" ht="33" x14ac:dyDescent="0.2">
      <c r="B3883" s="33" t="s">
        <v>4823</v>
      </c>
      <c r="C3883" s="33" t="s">
        <v>1051</v>
      </c>
      <c r="D3883" s="35">
        <f>SUMIFS(D3884:D9015,K3884:K9015,"0",B3884:B9015,"5 1 1 3 4 12 31111 6 M59 10700 000132 0000R 00001 00134 015*")-SUMIFS(E3884:E9015,K3884:K9015,"0",B3884:B9015,"5 1 1 3 4 12 31111 6 M59 10700 000132 0000R 00001 00134 015*")</f>
        <v>0</v>
      </c>
      <c r="E3883"/>
      <c r="F3883" s="35">
        <f>SUMIFS(F3884:F9015,K3884:K9015,"0",B3884:B9015,"5 1 1 3 4 12 31111 6 M59 10700 000132 0000R 00001 00134 015*")</f>
        <v>117100</v>
      </c>
      <c r="G3883" s="35">
        <f>SUMIFS(G3884:G9015,K3884:K9015,"0",B3884:B9015,"5 1 1 3 4 12 31111 6 M59 10700 000132 0000R 00001 00134 015*")</f>
        <v>0</v>
      </c>
      <c r="H3883" s="35">
        <f t="shared" si="61"/>
        <v>117100</v>
      </c>
      <c r="I3883" s="35"/>
      <c r="K3883" t="s">
        <v>15</v>
      </c>
    </row>
    <row r="3884" spans="2:11" ht="33" x14ac:dyDescent="0.2">
      <c r="B3884" s="33" t="s">
        <v>4824</v>
      </c>
      <c r="C3884" s="33" t="s">
        <v>2927</v>
      </c>
      <c r="D3884" s="35">
        <f>SUMIFS(D3885:D9015,K3885:K9015,"0",B3885:B9015,"5 1 1 3 4 12 31111 6 M59 10700 000132 0000R 00001 00134 015 2111100*")-SUMIFS(E3885:E9015,K3885:K9015,"0",B3885:B9015,"5 1 1 3 4 12 31111 6 M59 10700 000132 0000R 00001 00134 015 2111100*")</f>
        <v>0</v>
      </c>
      <c r="E3884"/>
      <c r="F3884" s="35">
        <f>SUMIFS(F3885:F9015,K3885:K9015,"0",B3885:B9015,"5 1 1 3 4 12 31111 6 M59 10700 000132 0000R 00001 00134 015 2111100*")</f>
        <v>117100</v>
      </c>
      <c r="G3884" s="35">
        <f>SUMIFS(G3885:G9015,K3885:K9015,"0",B3885:B9015,"5 1 1 3 4 12 31111 6 M59 10700 000132 0000R 00001 00134 015 2111100*")</f>
        <v>0</v>
      </c>
      <c r="H3884" s="35">
        <f t="shared" si="61"/>
        <v>117100</v>
      </c>
      <c r="I3884" s="35"/>
      <c r="K3884" t="s">
        <v>15</v>
      </c>
    </row>
    <row r="3885" spans="2:11" ht="33" x14ac:dyDescent="0.2">
      <c r="B3885" s="33" t="s">
        <v>4825</v>
      </c>
      <c r="C3885" s="33" t="s">
        <v>660</v>
      </c>
      <c r="D3885" s="35">
        <f>SUMIFS(D3886:D9015,K3886:K9015,"0",B3886:B9015,"5 1 1 3 4 12 31111 6 M59 10700 000132 0000R 00001 00134 015 2111100 2024*")-SUMIFS(E3886:E9015,K3886:K9015,"0",B3886:B9015,"5 1 1 3 4 12 31111 6 M59 10700 000132 0000R 00001 00134 015 2111100 2024*")</f>
        <v>0</v>
      </c>
      <c r="E3885"/>
      <c r="F3885" s="35">
        <f>SUMIFS(F3886:F9015,K3886:K9015,"0",B3886:B9015,"5 1 1 3 4 12 31111 6 M59 10700 000132 0000R 00001 00134 015 2111100 2024*")</f>
        <v>117100</v>
      </c>
      <c r="G3885" s="35">
        <f>SUMIFS(G3886:G9015,K3886:K9015,"0",B3886:B9015,"5 1 1 3 4 12 31111 6 M59 10700 000132 0000R 00001 00134 015 2111100 2024*")</f>
        <v>0</v>
      </c>
      <c r="H3885" s="35">
        <f t="shared" si="61"/>
        <v>117100</v>
      </c>
      <c r="I3885" s="35"/>
      <c r="K3885" t="s">
        <v>15</v>
      </c>
    </row>
    <row r="3886" spans="2:11" ht="41.25" x14ac:dyDescent="0.2">
      <c r="B3886" s="33" t="s">
        <v>4826</v>
      </c>
      <c r="C3886" s="33" t="s">
        <v>1056</v>
      </c>
      <c r="D3886" s="35">
        <f>SUMIFS(D3887:D9015,K3887:K9015,"0",B3887:B9015,"5 1 1 3 4 12 31111 6 M59 10700 000132 0000R 00001 00134 015 2111100 2024 CP1GB435*")-SUMIFS(E3887:E9015,K3887:K9015,"0",B3887:B9015,"5 1 1 3 4 12 31111 6 M59 10700 000132 0000R 00001 00134 015 2111100 2024 CP1GB435*")</f>
        <v>0</v>
      </c>
      <c r="E3886"/>
      <c r="F3886" s="35">
        <f>SUMIFS(F3887:F9015,K3887:K9015,"0",B3887:B9015,"5 1 1 3 4 12 31111 6 M59 10700 000132 0000R 00001 00134 015 2111100 2024 CP1GB435*")</f>
        <v>117100</v>
      </c>
      <c r="G3886" s="35">
        <f>SUMIFS(G3887:G9015,K3887:K9015,"0",B3887:B9015,"5 1 1 3 4 12 31111 6 M59 10700 000132 0000R 00001 00134 015 2111100 2024 CP1GB435*")</f>
        <v>0</v>
      </c>
      <c r="H3886" s="35">
        <f t="shared" si="61"/>
        <v>117100</v>
      </c>
      <c r="I3886" s="35"/>
      <c r="K3886" t="s">
        <v>15</v>
      </c>
    </row>
    <row r="3887" spans="2:11" ht="41.25" x14ac:dyDescent="0.2">
      <c r="B3887" s="33" t="s">
        <v>4827</v>
      </c>
      <c r="C3887" s="33" t="s">
        <v>282</v>
      </c>
      <c r="D3887" s="35">
        <f>SUMIFS(D3888:D9015,K3888:K9015,"0",B3888:B9015,"5 1 1 3 4 12 31111 6 M59 10700 000132 0000R 00001 00134 015 2111100 2024 CP1GB435 001*")-SUMIFS(E3888:E9015,K3888:K9015,"0",B3888:B9015,"5 1 1 3 4 12 31111 6 M59 10700 000132 0000R 00001 00134 015 2111100 2024 CP1GB435 001*")</f>
        <v>0</v>
      </c>
      <c r="E3887"/>
      <c r="F3887" s="35">
        <f>SUMIFS(F3888:F9015,K3888:K9015,"0",B3888:B9015,"5 1 1 3 4 12 31111 6 M59 10700 000132 0000R 00001 00134 015 2111100 2024 CP1GB435 001*")</f>
        <v>117100</v>
      </c>
      <c r="G3887" s="35">
        <f>SUMIFS(G3888:G9015,K3888:K9015,"0",B3888:B9015,"5 1 1 3 4 12 31111 6 M59 10700 000132 0000R 00001 00134 015 2111100 2024 CP1GB435 001*")</f>
        <v>0</v>
      </c>
      <c r="H3887" s="35">
        <f t="shared" si="61"/>
        <v>117100</v>
      </c>
      <c r="I3887" s="35"/>
      <c r="K3887" t="s">
        <v>15</v>
      </c>
    </row>
    <row r="3888" spans="2:11" ht="33" x14ac:dyDescent="0.2">
      <c r="B3888" s="31" t="s">
        <v>4828</v>
      </c>
      <c r="C3888" s="31" t="s">
        <v>4783</v>
      </c>
      <c r="D3888" s="34">
        <v>0</v>
      </c>
      <c r="E3888" s="34"/>
      <c r="F3888" s="34">
        <v>117100</v>
      </c>
      <c r="G3888" s="34">
        <v>0</v>
      </c>
      <c r="H3888" s="34">
        <f t="shared" si="61"/>
        <v>117100</v>
      </c>
      <c r="I3888" s="34"/>
      <c r="K3888" t="s">
        <v>38</v>
      </c>
    </row>
    <row r="3889" spans="2:11" ht="16.5" x14ac:dyDescent="0.2">
      <c r="B3889" s="33" t="s">
        <v>4829</v>
      </c>
      <c r="C3889" s="33" t="s">
        <v>3008</v>
      </c>
      <c r="D3889" s="35">
        <f>SUMIFS(D3890:D9015,K3890:K9015,"0",B3890:B9015,"5 1 1 3 4 12 31111 6 M59 10800*")-SUMIFS(E3890:E9015,K3890:K9015,"0",B3890:B9015,"5 1 1 3 4 12 31111 6 M59 10800*")</f>
        <v>0</v>
      </c>
      <c r="E3889"/>
      <c r="F3889" s="35">
        <f>SUMIFS(F3890:F9015,K3890:K9015,"0",B3890:B9015,"5 1 1 3 4 12 31111 6 M59 10800*")</f>
        <v>148000</v>
      </c>
      <c r="G3889" s="35">
        <f>SUMIFS(G3890:G9015,K3890:K9015,"0",B3890:B9015,"5 1 1 3 4 12 31111 6 M59 10800*")</f>
        <v>0</v>
      </c>
      <c r="H3889" s="35">
        <f t="shared" si="61"/>
        <v>148000</v>
      </c>
      <c r="I3889" s="35"/>
      <c r="K3889" t="s">
        <v>15</v>
      </c>
    </row>
    <row r="3890" spans="2:11" ht="16.5" x14ac:dyDescent="0.2">
      <c r="B3890" s="33" t="s">
        <v>4830</v>
      </c>
      <c r="C3890" s="33" t="s">
        <v>648</v>
      </c>
      <c r="D3890" s="35">
        <f>SUMIFS(D3891:D9015,K3891:K9015,"0",B3891:B9015,"5 1 1 3 4 12 31111 6 M59 10800 000132*")-SUMIFS(E3891:E9015,K3891:K9015,"0",B3891:B9015,"5 1 1 3 4 12 31111 6 M59 10800 000132*")</f>
        <v>0</v>
      </c>
      <c r="E3890"/>
      <c r="F3890" s="35">
        <f>SUMIFS(F3891:F9015,K3891:K9015,"0",B3891:B9015,"5 1 1 3 4 12 31111 6 M59 10800 000132*")</f>
        <v>148000</v>
      </c>
      <c r="G3890" s="35">
        <f>SUMIFS(G3891:G9015,K3891:K9015,"0",B3891:B9015,"5 1 1 3 4 12 31111 6 M59 10800 000132*")</f>
        <v>0</v>
      </c>
      <c r="H3890" s="35">
        <f t="shared" si="61"/>
        <v>148000</v>
      </c>
      <c r="I3890" s="35"/>
      <c r="K3890" t="s">
        <v>15</v>
      </c>
    </row>
    <row r="3891" spans="2:11" ht="24.75" x14ac:dyDescent="0.2">
      <c r="B3891" s="33" t="s">
        <v>4831</v>
      </c>
      <c r="C3891" s="33" t="s">
        <v>650</v>
      </c>
      <c r="D3891" s="35">
        <f>SUMIFS(D3892:D9015,K3892:K9015,"0",B3892:B9015,"5 1 1 3 4 12 31111 6 M59 10800 000132 0000R*")-SUMIFS(E3892:E9015,K3892:K9015,"0",B3892:B9015,"5 1 1 3 4 12 31111 6 M59 10800 000132 0000R*")</f>
        <v>0</v>
      </c>
      <c r="E3891"/>
      <c r="F3891" s="35">
        <f>SUMIFS(F3892:F9015,K3892:K9015,"0",B3892:B9015,"5 1 1 3 4 12 31111 6 M59 10800 000132 0000R*")</f>
        <v>148000</v>
      </c>
      <c r="G3891" s="35">
        <f>SUMIFS(G3892:G9015,K3892:K9015,"0",B3892:B9015,"5 1 1 3 4 12 31111 6 M59 10800 000132 0000R*")</f>
        <v>0</v>
      </c>
      <c r="H3891" s="35">
        <f t="shared" si="61"/>
        <v>148000</v>
      </c>
      <c r="I3891" s="35"/>
      <c r="K3891" t="s">
        <v>15</v>
      </c>
    </row>
    <row r="3892" spans="2:11" ht="24.75" x14ac:dyDescent="0.2">
      <c r="B3892" s="33" t="s">
        <v>4832</v>
      </c>
      <c r="C3892" s="33" t="s">
        <v>282</v>
      </c>
      <c r="D3892" s="35">
        <f>SUMIFS(D3893:D9015,K3893:K9015,"0",B3893:B9015,"5 1 1 3 4 12 31111 6 M59 10800 000132 0000R 00001*")-SUMIFS(E3893:E9015,K3893:K9015,"0",B3893:B9015,"5 1 1 3 4 12 31111 6 M59 10800 000132 0000R 00001*")</f>
        <v>0</v>
      </c>
      <c r="E3892"/>
      <c r="F3892" s="35">
        <f>SUMIFS(F3893:F9015,K3893:K9015,"0",B3893:B9015,"5 1 1 3 4 12 31111 6 M59 10800 000132 0000R 00001*")</f>
        <v>148000</v>
      </c>
      <c r="G3892" s="35">
        <f>SUMIFS(G3893:G9015,K3893:K9015,"0",B3893:B9015,"5 1 1 3 4 12 31111 6 M59 10800 000132 0000R 00001*")</f>
        <v>0</v>
      </c>
      <c r="H3892" s="35">
        <f t="shared" si="61"/>
        <v>148000</v>
      </c>
      <c r="I3892" s="35"/>
      <c r="K3892" t="s">
        <v>15</v>
      </c>
    </row>
    <row r="3893" spans="2:11" ht="24.75" x14ac:dyDescent="0.2">
      <c r="B3893" s="33" t="s">
        <v>4833</v>
      </c>
      <c r="C3893" s="33" t="s">
        <v>4776</v>
      </c>
      <c r="D3893" s="35">
        <f>SUMIFS(D3894:D9015,K3894:K9015,"0",B3894:B9015,"5 1 1 3 4 12 31111 6 M59 10800 000132 0000R 00001 00134*")-SUMIFS(E3894:E9015,K3894:K9015,"0",B3894:B9015,"5 1 1 3 4 12 31111 6 M59 10800 000132 0000R 00001 00134*")</f>
        <v>0</v>
      </c>
      <c r="E3893"/>
      <c r="F3893" s="35">
        <f>SUMIFS(F3894:F9015,K3894:K9015,"0",B3894:B9015,"5 1 1 3 4 12 31111 6 M59 10800 000132 0000R 00001 00134*")</f>
        <v>148000</v>
      </c>
      <c r="G3893" s="35">
        <f>SUMIFS(G3894:G9015,K3894:K9015,"0",B3894:B9015,"5 1 1 3 4 12 31111 6 M59 10800 000132 0000R 00001 00134*")</f>
        <v>0</v>
      </c>
      <c r="H3893" s="35">
        <f t="shared" si="61"/>
        <v>148000</v>
      </c>
      <c r="I3893" s="35"/>
      <c r="K3893" t="s">
        <v>15</v>
      </c>
    </row>
    <row r="3894" spans="2:11" ht="33" x14ac:dyDescent="0.2">
      <c r="B3894" s="33" t="s">
        <v>4834</v>
      </c>
      <c r="C3894" s="33" t="s">
        <v>1051</v>
      </c>
      <c r="D3894" s="35">
        <f>SUMIFS(D3895:D9015,K3895:K9015,"0",B3895:B9015,"5 1 1 3 4 12 31111 6 M59 10800 000132 0000R 00001 00134 015*")-SUMIFS(E3895:E9015,K3895:K9015,"0",B3895:B9015,"5 1 1 3 4 12 31111 6 M59 10800 000132 0000R 00001 00134 015*")</f>
        <v>0</v>
      </c>
      <c r="E3894"/>
      <c r="F3894" s="35">
        <f>SUMIFS(F3895:F9015,K3895:K9015,"0",B3895:B9015,"5 1 1 3 4 12 31111 6 M59 10800 000132 0000R 00001 00134 015*")</f>
        <v>148000</v>
      </c>
      <c r="G3894" s="35">
        <f>SUMIFS(G3895:G9015,K3895:K9015,"0",B3895:B9015,"5 1 1 3 4 12 31111 6 M59 10800 000132 0000R 00001 00134 015*")</f>
        <v>0</v>
      </c>
      <c r="H3894" s="35">
        <f t="shared" si="61"/>
        <v>148000</v>
      </c>
      <c r="I3894" s="35"/>
      <c r="K3894" t="s">
        <v>15</v>
      </c>
    </row>
    <row r="3895" spans="2:11" ht="33" x14ac:dyDescent="0.2">
      <c r="B3895" s="33" t="s">
        <v>4835</v>
      </c>
      <c r="C3895" s="33" t="s">
        <v>2927</v>
      </c>
      <c r="D3895" s="35">
        <f>SUMIFS(D3896:D9015,K3896:K9015,"0",B3896:B9015,"5 1 1 3 4 12 31111 6 M59 10800 000132 0000R 00001 00134 015 2111100*")-SUMIFS(E3896:E9015,K3896:K9015,"0",B3896:B9015,"5 1 1 3 4 12 31111 6 M59 10800 000132 0000R 00001 00134 015 2111100*")</f>
        <v>0</v>
      </c>
      <c r="E3895"/>
      <c r="F3895" s="35">
        <f>SUMIFS(F3896:F9015,K3896:K9015,"0",B3896:B9015,"5 1 1 3 4 12 31111 6 M59 10800 000132 0000R 00001 00134 015 2111100*")</f>
        <v>148000</v>
      </c>
      <c r="G3895" s="35">
        <f>SUMIFS(G3896:G9015,K3896:K9015,"0",B3896:B9015,"5 1 1 3 4 12 31111 6 M59 10800 000132 0000R 00001 00134 015 2111100*")</f>
        <v>0</v>
      </c>
      <c r="H3895" s="35">
        <f t="shared" si="61"/>
        <v>148000</v>
      </c>
      <c r="I3895" s="35"/>
      <c r="K3895" t="s">
        <v>15</v>
      </c>
    </row>
    <row r="3896" spans="2:11" ht="33" x14ac:dyDescent="0.2">
      <c r="B3896" s="33" t="s">
        <v>4836</v>
      </c>
      <c r="C3896" s="33" t="s">
        <v>660</v>
      </c>
      <c r="D3896" s="35">
        <f>SUMIFS(D3897:D9015,K3897:K9015,"0",B3897:B9015,"5 1 1 3 4 12 31111 6 M59 10800 000132 0000R 00001 00134 015 2111100 2024*")-SUMIFS(E3897:E9015,K3897:K9015,"0",B3897:B9015,"5 1 1 3 4 12 31111 6 M59 10800 000132 0000R 00001 00134 015 2111100 2024*")</f>
        <v>0</v>
      </c>
      <c r="E3896"/>
      <c r="F3896" s="35">
        <f>SUMIFS(F3897:F9015,K3897:K9015,"0",B3897:B9015,"5 1 1 3 4 12 31111 6 M59 10800 000132 0000R 00001 00134 015 2111100 2024*")</f>
        <v>148000</v>
      </c>
      <c r="G3896" s="35">
        <f>SUMIFS(G3897:G9015,K3897:K9015,"0",B3897:B9015,"5 1 1 3 4 12 31111 6 M59 10800 000132 0000R 00001 00134 015 2111100 2024*")</f>
        <v>0</v>
      </c>
      <c r="H3896" s="35">
        <f t="shared" si="61"/>
        <v>148000</v>
      </c>
      <c r="I3896" s="35"/>
      <c r="K3896" t="s">
        <v>15</v>
      </c>
    </row>
    <row r="3897" spans="2:11" ht="41.25" x14ac:dyDescent="0.2">
      <c r="B3897" s="33" t="s">
        <v>4837</v>
      </c>
      <c r="C3897" s="33" t="s">
        <v>662</v>
      </c>
      <c r="D3897" s="35">
        <f>SUMIFS(D3898:D9015,K3898:K9015,"0",B3898:B9015,"5 1 1 3 4 12 31111 6 M59 10800 000132 0000R 00001 00134 015 2111100 2024 CP1SR390*")-SUMIFS(E3898:E9015,K3898:K9015,"0",B3898:B9015,"5 1 1 3 4 12 31111 6 M59 10800 000132 0000R 00001 00134 015 2111100 2024 CP1SR390*")</f>
        <v>0</v>
      </c>
      <c r="E3897"/>
      <c r="F3897" s="35">
        <f>SUMIFS(F3898:F9015,K3898:K9015,"0",B3898:B9015,"5 1 1 3 4 12 31111 6 M59 10800 000132 0000R 00001 00134 015 2111100 2024 CP1SR390*")</f>
        <v>148000</v>
      </c>
      <c r="G3897" s="35">
        <f>SUMIFS(G3898:G9015,K3898:K9015,"0",B3898:B9015,"5 1 1 3 4 12 31111 6 M59 10800 000132 0000R 00001 00134 015 2111100 2024 CP1SR390*")</f>
        <v>0</v>
      </c>
      <c r="H3897" s="35">
        <f t="shared" si="61"/>
        <v>148000</v>
      </c>
      <c r="I3897" s="35"/>
      <c r="K3897" t="s">
        <v>15</v>
      </c>
    </row>
    <row r="3898" spans="2:11" ht="41.25" x14ac:dyDescent="0.2">
      <c r="B3898" s="33" t="s">
        <v>4838</v>
      </c>
      <c r="C3898" s="33" t="s">
        <v>282</v>
      </c>
      <c r="D3898" s="35">
        <f>SUMIFS(D3899:D9015,K3899:K9015,"0",B3899:B9015,"5 1 1 3 4 12 31111 6 M59 10800 000132 0000R 00001 00134 015 2111100 2024 CP1SR390 001*")-SUMIFS(E3899:E9015,K3899:K9015,"0",B3899:B9015,"5 1 1 3 4 12 31111 6 M59 10800 000132 0000R 00001 00134 015 2111100 2024 CP1SR390 001*")</f>
        <v>0</v>
      </c>
      <c r="E3898"/>
      <c r="F3898" s="35">
        <f>SUMIFS(F3899:F9015,K3899:K9015,"0",B3899:B9015,"5 1 1 3 4 12 31111 6 M59 10800 000132 0000R 00001 00134 015 2111100 2024 CP1SR390 001*")</f>
        <v>148000</v>
      </c>
      <c r="G3898" s="35">
        <f>SUMIFS(G3899:G9015,K3899:K9015,"0",B3899:B9015,"5 1 1 3 4 12 31111 6 M59 10800 000132 0000R 00001 00134 015 2111100 2024 CP1SR390 001*")</f>
        <v>0</v>
      </c>
      <c r="H3898" s="35">
        <f t="shared" si="61"/>
        <v>148000</v>
      </c>
      <c r="I3898" s="35"/>
      <c r="K3898" t="s">
        <v>15</v>
      </c>
    </row>
    <row r="3899" spans="2:11" ht="33" x14ac:dyDescent="0.2">
      <c r="B3899" s="31" t="s">
        <v>4839</v>
      </c>
      <c r="C3899" s="31" t="s">
        <v>4840</v>
      </c>
      <c r="D3899" s="34">
        <v>0</v>
      </c>
      <c r="E3899" s="34"/>
      <c r="F3899" s="34">
        <v>148000</v>
      </c>
      <c r="G3899" s="34">
        <v>0</v>
      </c>
      <c r="H3899" s="34">
        <f t="shared" si="61"/>
        <v>148000</v>
      </c>
      <c r="I3899" s="34"/>
      <c r="K3899" t="s">
        <v>38</v>
      </c>
    </row>
    <row r="3900" spans="2:11" ht="16.5" x14ac:dyDescent="0.2">
      <c r="B3900" s="33" t="s">
        <v>4841</v>
      </c>
      <c r="C3900" s="33" t="s">
        <v>3020</v>
      </c>
      <c r="D3900" s="35">
        <f>SUMIFS(D3901:D9015,K3901:K9015,"0",B3901:B9015,"5 1 1 3 4 12 31111 6 M59 11000*")-SUMIFS(E3901:E9015,K3901:K9015,"0",B3901:B9015,"5 1 1 3 4 12 31111 6 M59 11000*")</f>
        <v>0</v>
      </c>
      <c r="E3900"/>
      <c r="F3900" s="35">
        <f>SUMIFS(F3901:F9015,K3901:K9015,"0",B3901:B9015,"5 1 1 3 4 12 31111 6 M59 11000*")</f>
        <v>84000</v>
      </c>
      <c r="G3900" s="35">
        <f>SUMIFS(G3901:G9015,K3901:K9015,"0",B3901:B9015,"5 1 1 3 4 12 31111 6 M59 11000*")</f>
        <v>0</v>
      </c>
      <c r="H3900" s="35">
        <f t="shared" si="61"/>
        <v>84000</v>
      </c>
      <c r="I3900" s="35"/>
      <c r="K3900" t="s">
        <v>15</v>
      </c>
    </row>
    <row r="3901" spans="2:11" ht="16.5" x14ac:dyDescent="0.2">
      <c r="B3901" s="33" t="s">
        <v>4842</v>
      </c>
      <c r="C3901" s="33" t="s">
        <v>648</v>
      </c>
      <c r="D3901" s="35">
        <f>SUMIFS(D3902:D9015,K3902:K9015,"0",B3902:B9015,"5 1 1 3 4 12 31111 6 M59 11000 000132*")-SUMIFS(E3902:E9015,K3902:K9015,"0",B3902:B9015,"5 1 1 3 4 12 31111 6 M59 11000 000132*")</f>
        <v>0</v>
      </c>
      <c r="E3901"/>
      <c r="F3901" s="35">
        <f>SUMIFS(F3902:F9015,K3902:K9015,"0",B3902:B9015,"5 1 1 3 4 12 31111 6 M59 11000 000132*")</f>
        <v>84000</v>
      </c>
      <c r="G3901" s="35">
        <f>SUMIFS(G3902:G9015,K3902:K9015,"0",B3902:B9015,"5 1 1 3 4 12 31111 6 M59 11000 000132*")</f>
        <v>0</v>
      </c>
      <c r="H3901" s="35">
        <f t="shared" si="61"/>
        <v>84000</v>
      </c>
      <c r="I3901" s="35"/>
      <c r="K3901" t="s">
        <v>15</v>
      </c>
    </row>
    <row r="3902" spans="2:11" ht="24.75" x14ac:dyDescent="0.2">
      <c r="B3902" s="33" t="s">
        <v>4843</v>
      </c>
      <c r="C3902" s="33" t="s">
        <v>650</v>
      </c>
      <c r="D3902" s="35">
        <f>SUMIFS(D3903:D9015,K3903:K9015,"0",B3903:B9015,"5 1 1 3 4 12 31111 6 M59 11000 000132 0000R*")-SUMIFS(E3903:E9015,K3903:K9015,"0",B3903:B9015,"5 1 1 3 4 12 31111 6 M59 11000 000132 0000R*")</f>
        <v>0</v>
      </c>
      <c r="E3902"/>
      <c r="F3902" s="35">
        <f>SUMIFS(F3903:F9015,K3903:K9015,"0",B3903:B9015,"5 1 1 3 4 12 31111 6 M59 11000 000132 0000R*")</f>
        <v>84000</v>
      </c>
      <c r="G3902" s="35">
        <f>SUMIFS(G3903:G9015,K3903:K9015,"0",B3903:B9015,"5 1 1 3 4 12 31111 6 M59 11000 000132 0000R*")</f>
        <v>0</v>
      </c>
      <c r="H3902" s="35">
        <f t="shared" si="61"/>
        <v>84000</v>
      </c>
      <c r="I3902" s="35"/>
      <c r="K3902" t="s">
        <v>15</v>
      </c>
    </row>
    <row r="3903" spans="2:11" ht="24.75" x14ac:dyDescent="0.2">
      <c r="B3903" s="33" t="s">
        <v>4844</v>
      </c>
      <c r="C3903" s="33" t="s">
        <v>282</v>
      </c>
      <c r="D3903" s="35">
        <f>SUMIFS(D3904:D9015,K3904:K9015,"0",B3904:B9015,"5 1 1 3 4 12 31111 6 M59 11000 000132 0000R 00001*")-SUMIFS(E3904:E9015,K3904:K9015,"0",B3904:B9015,"5 1 1 3 4 12 31111 6 M59 11000 000132 0000R 00001*")</f>
        <v>0</v>
      </c>
      <c r="E3903"/>
      <c r="F3903" s="35">
        <f>SUMIFS(F3904:F9015,K3904:K9015,"0",B3904:B9015,"5 1 1 3 4 12 31111 6 M59 11000 000132 0000R 00001*")</f>
        <v>84000</v>
      </c>
      <c r="G3903" s="35">
        <f>SUMIFS(G3904:G9015,K3904:K9015,"0",B3904:B9015,"5 1 1 3 4 12 31111 6 M59 11000 000132 0000R 00001*")</f>
        <v>0</v>
      </c>
      <c r="H3903" s="35">
        <f t="shared" si="61"/>
        <v>84000</v>
      </c>
      <c r="I3903" s="35"/>
      <c r="K3903" t="s">
        <v>15</v>
      </c>
    </row>
    <row r="3904" spans="2:11" ht="24.75" x14ac:dyDescent="0.2">
      <c r="B3904" s="33" t="s">
        <v>4845</v>
      </c>
      <c r="C3904" s="33" t="s">
        <v>4776</v>
      </c>
      <c r="D3904" s="35">
        <f>SUMIFS(D3905:D9015,K3905:K9015,"0",B3905:B9015,"5 1 1 3 4 12 31111 6 M59 11000 000132 0000R 00001 00134*")-SUMIFS(E3905:E9015,K3905:K9015,"0",B3905:B9015,"5 1 1 3 4 12 31111 6 M59 11000 000132 0000R 00001 00134*")</f>
        <v>0</v>
      </c>
      <c r="E3904"/>
      <c r="F3904" s="35">
        <f>SUMIFS(F3905:F9015,K3905:K9015,"0",B3905:B9015,"5 1 1 3 4 12 31111 6 M59 11000 000132 0000R 00001 00134*")</f>
        <v>84000</v>
      </c>
      <c r="G3904" s="35">
        <f>SUMIFS(G3905:G9015,K3905:K9015,"0",B3905:B9015,"5 1 1 3 4 12 31111 6 M59 11000 000132 0000R 00001 00134*")</f>
        <v>0</v>
      </c>
      <c r="H3904" s="35">
        <f t="shared" si="61"/>
        <v>84000</v>
      </c>
      <c r="I3904" s="35"/>
      <c r="K3904" t="s">
        <v>15</v>
      </c>
    </row>
    <row r="3905" spans="2:11" ht="33" x14ac:dyDescent="0.2">
      <c r="B3905" s="33" t="s">
        <v>4846</v>
      </c>
      <c r="C3905" s="33" t="s">
        <v>1051</v>
      </c>
      <c r="D3905" s="35">
        <f>SUMIFS(D3906:D9015,K3906:K9015,"0",B3906:B9015,"5 1 1 3 4 12 31111 6 M59 11000 000132 0000R 00001 00134 015*")-SUMIFS(E3906:E9015,K3906:K9015,"0",B3906:B9015,"5 1 1 3 4 12 31111 6 M59 11000 000132 0000R 00001 00134 015*")</f>
        <v>0</v>
      </c>
      <c r="E3905"/>
      <c r="F3905" s="35">
        <f>SUMIFS(F3906:F9015,K3906:K9015,"0",B3906:B9015,"5 1 1 3 4 12 31111 6 M59 11000 000132 0000R 00001 00134 015*")</f>
        <v>84000</v>
      </c>
      <c r="G3905" s="35">
        <f>SUMIFS(G3906:G9015,K3906:K9015,"0",B3906:B9015,"5 1 1 3 4 12 31111 6 M59 11000 000132 0000R 00001 00134 015*")</f>
        <v>0</v>
      </c>
      <c r="H3905" s="35">
        <f t="shared" si="61"/>
        <v>84000</v>
      </c>
      <c r="I3905" s="35"/>
      <c r="K3905" t="s">
        <v>15</v>
      </c>
    </row>
    <row r="3906" spans="2:11" ht="33" x14ac:dyDescent="0.2">
      <c r="B3906" s="33" t="s">
        <v>4847</v>
      </c>
      <c r="C3906" s="33" t="s">
        <v>2927</v>
      </c>
      <c r="D3906" s="35">
        <f>SUMIFS(D3907:D9015,K3907:K9015,"0",B3907:B9015,"5 1 1 3 4 12 31111 6 M59 11000 000132 0000R 00001 00134 015 2111100*")-SUMIFS(E3907:E9015,K3907:K9015,"0",B3907:B9015,"5 1 1 3 4 12 31111 6 M59 11000 000132 0000R 00001 00134 015 2111100*")</f>
        <v>0</v>
      </c>
      <c r="E3906"/>
      <c r="F3906" s="35">
        <f>SUMIFS(F3907:F9015,K3907:K9015,"0",B3907:B9015,"5 1 1 3 4 12 31111 6 M59 11000 000132 0000R 00001 00134 015 2111100*")</f>
        <v>84000</v>
      </c>
      <c r="G3906" s="35">
        <f>SUMIFS(G3907:G9015,K3907:K9015,"0",B3907:B9015,"5 1 1 3 4 12 31111 6 M59 11000 000132 0000R 00001 00134 015 2111100*")</f>
        <v>0</v>
      </c>
      <c r="H3906" s="35">
        <f t="shared" si="61"/>
        <v>84000</v>
      </c>
      <c r="I3906" s="35"/>
      <c r="K3906" t="s">
        <v>15</v>
      </c>
    </row>
    <row r="3907" spans="2:11" ht="33" x14ac:dyDescent="0.2">
      <c r="B3907" s="33" t="s">
        <v>4848</v>
      </c>
      <c r="C3907" s="33" t="s">
        <v>660</v>
      </c>
      <c r="D3907" s="35">
        <f>SUMIFS(D3908:D9015,K3908:K9015,"0",B3908:B9015,"5 1 1 3 4 12 31111 6 M59 11000 000132 0000R 00001 00134 015 2111100 2024*")-SUMIFS(E3908:E9015,K3908:K9015,"0",B3908:B9015,"5 1 1 3 4 12 31111 6 M59 11000 000132 0000R 00001 00134 015 2111100 2024*")</f>
        <v>0</v>
      </c>
      <c r="E3907"/>
      <c r="F3907" s="35">
        <f>SUMIFS(F3908:F9015,K3908:K9015,"0",B3908:B9015,"5 1 1 3 4 12 31111 6 M59 11000 000132 0000R 00001 00134 015 2111100 2024*")</f>
        <v>84000</v>
      </c>
      <c r="G3907" s="35">
        <f>SUMIFS(G3908:G9015,K3908:K9015,"0",B3908:B9015,"5 1 1 3 4 12 31111 6 M59 11000 000132 0000R 00001 00134 015 2111100 2024*")</f>
        <v>0</v>
      </c>
      <c r="H3907" s="35">
        <f t="shared" si="61"/>
        <v>84000</v>
      </c>
      <c r="I3907" s="35"/>
      <c r="K3907" t="s">
        <v>15</v>
      </c>
    </row>
    <row r="3908" spans="2:11" ht="41.25" x14ac:dyDescent="0.2">
      <c r="B3908" s="33" t="s">
        <v>4849</v>
      </c>
      <c r="C3908" s="33" t="s">
        <v>1056</v>
      </c>
      <c r="D3908" s="35">
        <f>SUMIFS(D3909:D9015,K3909:K9015,"0",B3909:B9015,"5 1 1 3 4 12 31111 6 M59 11000 000132 0000R 00001 00134 015 2111100 2024 CP1SM382*")-SUMIFS(E3909:E9015,K3909:K9015,"0",B3909:B9015,"5 1 1 3 4 12 31111 6 M59 11000 000132 0000R 00001 00134 015 2111100 2024 CP1SM382*")</f>
        <v>0</v>
      </c>
      <c r="E3908"/>
      <c r="F3908" s="35">
        <f>SUMIFS(F3909:F9015,K3909:K9015,"0",B3909:B9015,"5 1 1 3 4 12 31111 6 M59 11000 000132 0000R 00001 00134 015 2111100 2024 CP1SM382*")</f>
        <v>84000</v>
      </c>
      <c r="G3908" s="35">
        <f>SUMIFS(G3909:G9015,K3909:K9015,"0",B3909:B9015,"5 1 1 3 4 12 31111 6 M59 11000 000132 0000R 00001 00134 015 2111100 2024 CP1SM382*")</f>
        <v>0</v>
      </c>
      <c r="H3908" s="35">
        <f t="shared" ref="H3908:H3971" si="62">D3908 + F3908 - G3908</f>
        <v>84000</v>
      </c>
      <c r="I3908" s="35"/>
      <c r="K3908" t="s">
        <v>15</v>
      </c>
    </row>
    <row r="3909" spans="2:11" ht="41.25" x14ac:dyDescent="0.2">
      <c r="B3909" s="33" t="s">
        <v>4850</v>
      </c>
      <c r="C3909" s="33" t="s">
        <v>282</v>
      </c>
      <c r="D3909" s="35">
        <f>SUMIFS(D3910:D9015,K3910:K9015,"0",B3910:B9015,"5 1 1 3 4 12 31111 6 M59 11000 000132 0000R 00001 00134 015 2111100 2024 CP1SM382 001*")-SUMIFS(E3910:E9015,K3910:K9015,"0",B3910:B9015,"5 1 1 3 4 12 31111 6 M59 11000 000132 0000R 00001 00134 015 2111100 2024 CP1SM382 001*")</f>
        <v>0</v>
      </c>
      <c r="E3909"/>
      <c r="F3909" s="35">
        <f>SUMIFS(F3910:F9015,K3910:K9015,"0",B3910:B9015,"5 1 1 3 4 12 31111 6 M59 11000 000132 0000R 00001 00134 015 2111100 2024 CP1SM382 001*")</f>
        <v>84000</v>
      </c>
      <c r="G3909" s="35">
        <f>SUMIFS(G3910:G9015,K3910:K9015,"0",B3910:B9015,"5 1 1 3 4 12 31111 6 M59 11000 000132 0000R 00001 00134 015 2111100 2024 CP1SM382 001*")</f>
        <v>0</v>
      </c>
      <c r="H3909" s="35">
        <f t="shared" si="62"/>
        <v>84000</v>
      </c>
      <c r="I3909" s="35"/>
      <c r="K3909" t="s">
        <v>15</v>
      </c>
    </row>
    <row r="3910" spans="2:11" ht="33" x14ac:dyDescent="0.2">
      <c r="B3910" s="31" t="s">
        <v>4851</v>
      </c>
      <c r="C3910" s="31" t="s">
        <v>4840</v>
      </c>
      <c r="D3910" s="34">
        <v>0</v>
      </c>
      <c r="E3910" s="34"/>
      <c r="F3910" s="34">
        <v>84000</v>
      </c>
      <c r="G3910" s="34">
        <v>0</v>
      </c>
      <c r="H3910" s="34">
        <f t="shared" si="62"/>
        <v>84000</v>
      </c>
      <c r="I3910" s="34"/>
      <c r="K3910" t="s">
        <v>38</v>
      </c>
    </row>
    <row r="3911" spans="2:11" ht="16.5" x14ac:dyDescent="0.2">
      <c r="B3911" s="33" t="s">
        <v>4852</v>
      </c>
      <c r="C3911" s="33" t="s">
        <v>3032</v>
      </c>
      <c r="D3911" s="35">
        <f>SUMIFS(D3912:D9015,K3912:K9015,"0",B3912:B9015,"5 1 1 3 4 12 31111 6 M59 12000*")-SUMIFS(E3912:E9015,K3912:K9015,"0",B3912:B9015,"5 1 1 3 4 12 31111 6 M59 12000*")</f>
        <v>0</v>
      </c>
      <c r="E3911"/>
      <c r="F3911" s="35">
        <f>SUMIFS(F3912:F9015,K3912:K9015,"0",B3912:B9015,"5 1 1 3 4 12 31111 6 M59 12000*")</f>
        <v>99000</v>
      </c>
      <c r="G3911" s="35">
        <f>SUMIFS(G3912:G9015,K3912:K9015,"0",B3912:B9015,"5 1 1 3 4 12 31111 6 M59 12000*")</f>
        <v>0</v>
      </c>
      <c r="H3911" s="35">
        <f t="shared" si="62"/>
        <v>99000</v>
      </c>
      <c r="I3911" s="35"/>
      <c r="K3911" t="s">
        <v>15</v>
      </c>
    </row>
    <row r="3912" spans="2:11" ht="16.5" x14ac:dyDescent="0.2">
      <c r="B3912" s="33" t="s">
        <v>4853</v>
      </c>
      <c r="C3912" s="33" t="s">
        <v>3034</v>
      </c>
      <c r="D3912" s="35">
        <f>SUMIFS(D3913:D9015,K3913:K9015,"0",B3913:B9015,"5 1 1 3 4 12 31111 6 M59 12000 000121*")-SUMIFS(E3913:E9015,K3913:K9015,"0",B3913:B9015,"5 1 1 3 4 12 31111 6 M59 12000 000121*")</f>
        <v>0</v>
      </c>
      <c r="E3912"/>
      <c r="F3912" s="35">
        <f>SUMIFS(F3913:F9015,K3913:K9015,"0",B3913:B9015,"5 1 1 3 4 12 31111 6 M59 12000 000121*")</f>
        <v>99000</v>
      </c>
      <c r="G3912" s="35">
        <f>SUMIFS(G3913:G9015,K3913:K9015,"0",B3913:B9015,"5 1 1 3 4 12 31111 6 M59 12000 000121*")</f>
        <v>0</v>
      </c>
      <c r="H3912" s="35">
        <f t="shared" si="62"/>
        <v>99000</v>
      </c>
      <c r="I3912" s="35"/>
      <c r="K3912" t="s">
        <v>15</v>
      </c>
    </row>
    <row r="3913" spans="2:11" ht="24.75" x14ac:dyDescent="0.2">
      <c r="B3913" s="33" t="s">
        <v>4854</v>
      </c>
      <c r="C3913" s="33" t="s">
        <v>1065</v>
      </c>
      <c r="D3913" s="35">
        <f>SUMIFS(D3914:D9015,K3914:K9015,"0",B3914:B9015,"5 1 1 3 4 12 31111 6 M59 12000 000121 0000E*")-SUMIFS(E3914:E9015,K3914:K9015,"0",B3914:B9015,"5 1 1 3 4 12 31111 6 M59 12000 000121 0000E*")</f>
        <v>0</v>
      </c>
      <c r="E3913"/>
      <c r="F3913" s="35">
        <f>SUMIFS(F3914:F9015,K3914:K9015,"0",B3914:B9015,"5 1 1 3 4 12 31111 6 M59 12000 000121 0000E*")</f>
        <v>99000</v>
      </c>
      <c r="G3913" s="35">
        <f>SUMIFS(G3914:G9015,K3914:K9015,"0",B3914:B9015,"5 1 1 3 4 12 31111 6 M59 12000 000121 0000E*")</f>
        <v>0</v>
      </c>
      <c r="H3913" s="35">
        <f t="shared" si="62"/>
        <v>99000</v>
      </c>
      <c r="I3913" s="35"/>
      <c r="K3913" t="s">
        <v>15</v>
      </c>
    </row>
    <row r="3914" spans="2:11" ht="24.75" x14ac:dyDescent="0.2">
      <c r="B3914" s="33" t="s">
        <v>4855</v>
      </c>
      <c r="C3914" s="33" t="s">
        <v>282</v>
      </c>
      <c r="D3914" s="35">
        <f>SUMIFS(D3915:D9015,K3915:K9015,"0",B3915:B9015,"5 1 1 3 4 12 31111 6 M59 12000 000121 0000E 00001*")-SUMIFS(E3915:E9015,K3915:K9015,"0",B3915:B9015,"5 1 1 3 4 12 31111 6 M59 12000 000121 0000E 00001*")</f>
        <v>0</v>
      </c>
      <c r="E3914"/>
      <c r="F3914" s="35">
        <f>SUMIFS(F3915:F9015,K3915:K9015,"0",B3915:B9015,"5 1 1 3 4 12 31111 6 M59 12000 000121 0000E 00001*")</f>
        <v>99000</v>
      </c>
      <c r="G3914" s="35">
        <f>SUMIFS(G3915:G9015,K3915:K9015,"0",B3915:B9015,"5 1 1 3 4 12 31111 6 M59 12000 000121 0000E 00001*")</f>
        <v>0</v>
      </c>
      <c r="H3914" s="35">
        <f t="shared" si="62"/>
        <v>99000</v>
      </c>
      <c r="I3914" s="35"/>
      <c r="K3914" t="s">
        <v>15</v>
      </c>
    </row>
    <row r="3915" spans="2:11" ht="24.75" x14ac:dyDescent="0.2">
      <c r="B3915" s="33" t="s">
        <v>4856</v>
      </c>
      <c r="C3915" s="33" t="s">
        <v>4776</v>
      </c>
      <c r="D3915" s="35">
        <f>SUMIFS(D3916:D9015,K3916:K9015,"0",B3916:B9015,"5 1 1 3 4 12 31111 6 M59 12000 000121 0000E 00001 00134*")-SUMIFS(E3916:E9015,K3916:K9015,"0",B3916:B9015,"5 1 1 3 4 12 31111 6 M59 12000 000121 0000E 00001 00134*")</f>
        <v>0</v>
      </c>
      <c r="E3915"/>
      <c r="F3915" s="35">
        <f>SUMIFS(F3916:F9015,K3916:K9015,"0",B3916:B9015,"5 1 1 3 4 12 31111 6 M59 12000 000121 0000E 00001 00134*")</f>
        <v>99000</v>
      </c>
      <c r="G3915" s="35">
        <f>SUMIFS(G3916:G9015,K3916:K9015,"0",B3916:B9015,"5 1 1 3 4 12 31111 6 M59 12000 000121 0000E 00001 00134*")</f>
        <v>0</v>
      </c>
      <c r="H3915" s="35">
        <f t="shared" si="62"/>
        <v>99000</v>
      </c>
      <c r="I3915" s="35"/>
      <c r="K3915" t="s">
        <v>15</v>
      </c>
    </row>
    <row r="3916" spans="2:11" ht="33" x14ac:dyDescent="0.2">
      <c r="B3916" s="33" t="s">
        <v>4857</v>
      </c>
      <c r="C3916" s="33" t="s">
        <v>1051</v>
      </c>
      <c r="D3916" s="35">
        <f>SUMIFS(D3917:D9015,K3917:K9015,"0",B3917:B9015,"5 1 1 3 4 12 31111 6 M59 12000 000121 0000E 00001 00134 015*")-SUMIFS(E3917:E9015,K3917:K9015,"0",B3917:B9015,"5 1 1 3 4 12 31111 6 M59 12000 000121 0000E 00001 00134 015*")</f>
        <v>0</v>
      </c>
      <c r="E3916"/>
      <c r="F3916" s="35">
        <f>SUMIFS(F3917:F9015,K3917:K9015,"0",B3917:B9015,"5 1 1 3 4 12 31111 6 M59 12000 000121 0000E 00001 00134 015*")</f>
        <v>99000</v>
      </c>
      <c r="G3916" s="35">
        <f>SUMIFS(G3917:G9015,K3917:K9015,"0",B3917:B9015,"5 1 1 3 4 12 31111 6 M59 12000 000121 0000E 00001 00134 015*")</f>
        <v>0</v>
      </c>
      <c r="H3916" s="35">
        <f t="shared" si="62"/>
        <v>99000</v>
      </c>
      <c r="I3916" s="35"/>
      <c r="K3916" t="s">
        <v>15</v>
      </c>
    </row>
    <row r="3917" spans="2:11" ht="33" x14ac:dyDescent="0.2">
      <c r="B3917" s="33" t="s">
        <v>4858</v>
      </c>
      <c r="C3917" s="33" t="s">
        <v>2927</v>
      </c>
      <c r="D3917" s="35">
        <f>SUMIFS(D3918:D9015,K3918:K9015,"0",B3918:B9015,"5 1 1 3 4 12 31111 6 M59 12000 000121 0000E 00001 00134 015 2111100*")-SUMIFS(E3918:E9015,K3918:K9015,"0",B3918:B9015,"5 1 1 3 4 12 31111 6 M59 12000 000121 0000E 00001 00134 015 2111100*")</f>
        <v>0</v>
      </c>
      <c r="E3917"/>
      <c r="F3917" s="35">
        <f>SUMIFS(F3918:F9015,K3918:K9015,"0",B3918:B9015,"5 1 1 3 4 12 31111 6 M59 12000 000121 0000E 00001 00134 015 2111100*")</f>
        <v>99000</v>
      </c>
      <c r="G3917" s="35">
        <f>SUMIFS(G3918:G9015,K3918:K9015,"0",B3918:B9015,"5 1 1 3 4 12 31111 6 M59 12000 000121 0000E 00001 00134 015 2111100*")</f>
        <v>0</v>
      </c>
      <c r="H3917" s="35">
        <f t="shared" si="62"/>
        <v>99000</v>
      </c>
      <c r="I3917" s="35"/>
      <c r="K3917" t="s">
        <v>15</v>
      </c>
    </row>
    <row r="3918" spans="2:11" ht="33" x14ac:dyDescent="0.2">
      <c r="B3918" s="33" t="s">
        <v>4859</v>
      </c>
      <c r="C3918" s="33" t="s">
        <v>660</v>
      </c>
      <c r="D3918" s="35">
        <f>SUMIFS(D3919:D9015,K3919:K9015,"0",B3919:B9015,"5 1 1 3 4 12 31111 6 M59 12000 000121 0000E 00001 00134 015 2111100 2024*")-SUMIFS(E3919:E9015,K3919:K9015,"0",B3919:B9015,"5 1 1 3 4 12 31111 6 M59 12000 000121 0000E 00001 00134 015 2111100 2024*")</f>
        <v>0</v>
      </c>
      <c r="E3918"/>
      <c r="F3918" s="35">
        <f>SUMIFS(F3919:F9015,K3919:K9015,"0",B3919:B9015,"5 1 1 3 4 12 31111 6 M59 12000 000121 0000E 00001 00134 015 2111100 2024*")</f>
        <v>99000</v>
      </c>
      <c r="G3918" s="35">
        <f>SUMIFS(G3919:G9015,K3919:K9015,"0",B3919:B9015,"5 1 1 3 4 12 31111 6 M59 12000 000121 0000E 00001 00134 015 2111100 2024*")</f>
        <v>0</v>
      </c>
      <c r="H3918" s="35">
        <f t="shared" si="62"/>
        <v>99000</v>
      </c>
      <c r="I3918" s="35"/>
      <c r="K3918" t="s">
        <v>15</v>
      </c>
    </row>
    <row r="3919" spans="2:11" ht="41.25" x14ac:dyDescent="0.2">
      <c r="B3919" s="33" t="s">
        <v>4860</v>
      </c>
      <c r="C3919" s="33" t="s">
        <v>662</v>
      </c>
      <c r="D3919" s="35">
        <f>SUMIFS(D3920:D9015,K3920:K9015,"0",B3920:B9015,"5 1 1 3 4 12 31111 6 M59 12000 000121 0000E 00001 00134 015 2111100 2024 CP1CI591*")-SUMIFS(E3920:E9015,K3920:K9015,"0",B3920:B9015,"5 1 1 3 4 12 31111 6 M59 12000 000121 0000E 00001 00134 015 2111100 2024 CP1CI591*")</f>
        <v>0</v>
      </c>
      <c r="E3919"/>
      <c r="F3919" s="35">
        <f>SUMIFS(F3920:F9015,K3920:K9015,"0",B3920:B9015,"5 1 1 3 4 12 31111 6 M59 12000 000121 0000E 00001 00134 015 2111100 2024 CP1CI591*")</f>
        <v>99000</v>
      </c>
      <c r="G3919" s="35">
        <f>SUMIFS(G3920:G9015,K3920:K9015,"0",B3920:B9015,"5 1 1 3 4 12 31111 6 M59 12000 000121 0000E 00001 00134 015 2111100 2024 CP1CI591*")</f>
        <v>0</v>
      </c>
      <c r="H3919" s="35">
        <f t="shared" si="62"/>
        <v>99000</v>
      </c>
      <c r="I3919" s="35"/>
      <c r="K3919" t="s">
        <v>15</v>
      </c>
    </row>
    <row r="3920" spans="2:11" ht="41.25" x14ac:dyDescent="0.2">
      <c r="B3920" s="33" t="s">
        <v>4861</v>
      </c>
      <c r="C3920" s="33" t="s">
        <v>282</v>
      </c>
      <c r="D3920" s="35">
        <f>SUMIFS(D3921:D9015,K3921:K9015,"0",B3921:B9015,"5 1 1 3 4 12 31111 6 M59 12000 000121 0000E 00001 00134 015 2111100 2024 CP1CI591 001*")-SUMIFS(E3921:E9015,K3921:K9015,"0",B3921:B9015,"5 1 1 3 4 12 31111 6 M59 12000 000121 0000E 00001 00134 015 2111100 2024 CP1CI591 001*")</f>
        <v>0</v>
      </c>
      <c r="E3920"/>
      <c r="F3920" s="35">
        <f>SUMIFS(F3921:F9015,K3921:K9015,"0",B3921:B9015,"5 1 1 3 4 12 31111 6 M59 12000 000121 0000E 00001 00134 015 2111100 2024 CP1CI591 001*")</f>
        <v>99000</v>
      </c>
      <c r="G3920" s="35">
        <f>SUMIFS(G3921:G9015,K3921:K9015,"0",B3921:B9015,"5 1 1 3 4 12 31111 6 M59 12000 000121 0000E 00001 00134 015 2111100 2024 CP1CI591 001*")</f>
        <v>0</v>
      </c>
      <c r="H3920" s="35">
        <f t="shared" si="62"/>
        <v>99000</v>
      </c>
      <c r="I3920" s="35"/>
      <c r="K3920" t="s">
        <v>15</v>
      </c>
    </row>
    <row r="3921" spans="2:11" ht="33" x14ac:dyDescent="0.2">
      <c r="B3921" s="31" t="s">
        <v>4862</v>
      </c>
      <c r="C3921" s="31" t="s">
        <v>4840</v>
      </c>
      <c r="D3921" s="34">
        <v>0</v>
      </c>
      <c r="E3921" s="34"/>
      <c r="F3921" s="34">
        <v>99000</v>
      </c>
      <c r="G3921" s="34">
        <v>0</v>
      </c>
      <c r="H3921" s="34">
        <f t="shared" si="62"/>
        <v>99000</v>
      </c>
      <c r="I3921" s="34"/>
      <c r="K3921" t="s">
        <v>38</v>
      </c>
    </row>
    <row r="3922" spans="2:11" ht="16.5" x14ac:dyDescent="0.2">
      <c r="B3922" s="33" t="s">
        <v>4863</v>
      </c>
      <c r="C3922" s="33" t="s">
        <v>1044</v>
      </c>
      <c r="D3922" s="35">
        <f>SUMIFS(D3923:D9015,K3923:K9015,"0",B3923:B9015,"5 1 1 3 4 12 31111 6 M59 19000*")-SUMIFS(E3923:E9015,K3923:K9015,"0",B3923:B9015,"5 1 1 3 4 12 31111 6 M59 19000*")</f>
        <v>0</v>
      </c>
      <c r="E3922"/>
      <c r="F3922" s="35">
        <f>SUMIFS(F3923:F9015,K3923:K9015,"0",B3923:B9015,"5 1 1 3 4 12 31111 6 M59 19000*")</f>
        <v>215500</v>
      </c>
      <c r="G3922" s="35">
        <f>SUMIFS(G3923:G9015,K3923:K9015,"0",B3923:B9015,"5 1 1 3 4 12 31111 6 M59 19000*")</f>
        <v>0</v>
      </c>
      <c r="H3922" s="35">
        <f t="shared" si="62"/>
        <v>215500</v>
      </c>
      <c r="I3922" s="35"/>
      <c r="K3922" t="s">
        <v>15</v>
      </c>
    </row>
    <row r="3923" spans="2:11" ht="16.5" x14ac:dyDescent="0.2">
      <c r="B3923" s="33" t="s">
        <v>4864</v>
      </c>
      <c r="C3923" s="33" t="s">
        <v>648</v>
      </c>
      <c r="D3923" s="35">
        <f>SUMIFS(D3924:D9015,K3924:K9015,"0",B3924:B9015,"5 1 1 3 4 12 31111 6 M59 19000 000132*")-SUMIFS(E3924:E9015,K3924:K9015,"0",B3924:B9015,"5 1 1 3 4 12 31111 6 M59 19000 000132*")</f>
        <v>0</v>
      </c>
      <c r="E3923"/>
      <c r="F3923" s="35">
        <f>SUMIFS(F3924:F9015,K3924:K9015,"0",B3924:B9015,"5 1 1 3 4 12 31111 6 M59 19000 000132*")</f>
        <v>215500</v>
      </c>
      <c r="G3923" s="35">
        <f>SUMIFS(G3924:G9015,K3924:K9015,"0",B3924:B9015,"5 1 1 3 4 12 31111 6 M59 19000 000132*")</f>
        <v>0</v>
      </c>
      <c r="H3923" s="35">
        <f t="shared" si="62"/>
        <v>215500</v>
      </c>
      <c r="I3923" s="35"/>
      <c r="K3923" t="s">
        <v>15</v>
      </c>
    </row>
    <row r="3924" spans="2:11" ht="24.75" x14ac:dyDescent="0.2">
      <c r="B3924" s="33" t="s">
        <v>4865</v>
      </c>
      <c r="C3924" s="33" t="s">
        <v>650</v>
      </c>
      <c r="D3924" s="35">
        <f>SUMIFS(D3925:D9015,K3925:K9015,"0",B3925:B9015,"5 1 1 3 4 12 31111 6 M59 19000 000132 0000R*")-SUMIFS(E3925:E9015,K3925:K9015,"0",B3925:B9015,"5 1 1 3 4 12 31111 6 M59 19000 000132 0000R*")</f>
        <v>0</v>
      </c>
      <c r="E3924"/>
      <c r="F3924" s="35">
        <f>SUMIFS(F3925:F9015,K3925:K9015,"0",B3925:B9015,"5 1 1 3 4 12 31111 6 M59 19000 000132 0000R*")</f>
        <v>215500</v>
      </c>
      <c r="G3924" s="35">
        <f>SUMIFS(G3925:G9015,K3925:K9015,"0",B3925:B9015,"5 1 1 3 4 12 31111 6 M59 19000 000132 0000R*")</f>
        <v>0</v>
      </c>
      <c r="H3924" s="35">
        <f t="shared" si="62"/>
        <v>215500</v>
      </c>
      <c r="I3924" s="35"/>
      <c r="K3924" t="s">
        <v>15</v>
      </c>
    </row>
    <row r="3925" spans="2:11" ht="24.75" x14ac:dyDescent="0.2">
      <c r="B3925" s="33" t="s">
        <v>4866</v>
      </c>
      <c r="C3925" s="33" t="s">
        <v>282</v>
      </c>
      <c r="D3925" s="35">
        <f>SUMIFS(D3926:D9015,K3926:K9015,"0",B3926:B9015,"5 1 1 3 4 12 31111 6 M59 19000 000132 0000R 00001*")-SUMIFS(E3926:E9015,K3926:K9015,"0",B3926:B9015,"5 1 1 3 4 12 31111 6 M59 19000 000132 0000R 00001*")</f>
        <v>0</v>
      </c>
      <c r="E3925"/>
      <c r="F3925" s="35">
        <f>SUMIFS(F3926:F9015,K3926:K9015,"0",B3926:B9015,"5 1 1 3 4 12 31111 6 M59 19000 000132 0000R 00001*")</f>
        <v>215500</v>
      </c>
      <c r="G3925" s="35">
        <f>SUMIFS(G3926:G9015,K3926:K9015,"0",B3926:B9015,"5 1 1 3 4 12 31111 6 M59 19000 000132 0000R 00001*")</f>
        <v>0</v>
      </c>
      <c r="H3925" s="35">
        <f t="shared" si="62"/>
        <v>215500</v>
      </c>
      <c r="I3925" s="35"/>
      <c r="K3925" t="s">
        <v>15</v>
      </c>
    </row>
    <row r="3926" spans="2:11" ht="24.75" x14ac:dyDescent="0.2">
      <c r="B3926" s="33" t="s">
        <v>4867</v>
      </c>
      <c r="C3926" s="33" t="s">
        <v>4776</v>
      </c>
      <c r="D3926" s="35">
        <f>SUMIFS(D3927:D9015,K3927:K9015,"0",B3927:B9015,"5 1 1 3 4 12 31111 6 M59 19000 000132 0000R 00001 00134*")-SUMIFS(E3927:E9015,K3927:K9015,"0",B3927:B9015,"5 1 1 3 4 12 31111 6 M59 19000 000132 0000R 00001 00134*")</f>
        <v>0</v>
      </c>
      <c r="E3926"/>
      <c r="F3926" s="35">
        <f>SUMIFS(F3927:F9015,K3927:K9015,"0",B3927:B9015,"5 1 1 3 4 12 31111 6 M59 19000 000132 0000R 00001 00134*")</f>
        <v>215500</v>
      </c>
      <c r="G3926" s="35">
        <f>SUMIFS(G3927:G9015,K3927:K9015,"0",B3927:B9015,"5 1 1 3 4 12 31111 6 M59 19000 000132 0000R 00001 00134*")</f>
        <v>0</v>
      </c>
      <c r="H3926" s="35">
        <f t="shared" si="62"/>
        <v>215500</v>
      </c>
      <c r="I3926" s="35"/>
      <c r="K3926" t="s">
        <v>15</v>
      </c>
    </row>
    <row r="3927" spans="2:11" ht="33" x14ac:dyDescent="0.2">
      <c r="B3927" s="33" t="s">
        <v>4868</v>
      </c>
      <c r="C3927" s="33" t="s">
        <v>1051</v>
      </c>
      <c r="D3927" s="35">
        <f>SUMIFS(D3928:D9015,K3928:K9015,"0",B3928:B9015,"5 1 1 3 4 12 31111 6 M59 19000 000132 0000R 00001 00134 015*")-SUMIFS(E3928:E9015,K3928:K9015,"0",B3928:B9015,"5 1 1 3 4 12 31111 6 M59 19000 000132 0000R 00001 00134 015*")</f>
        <v>0</v>
      </c>
      <c r="E3927"/>
      <c r="F3927" s="35">
        <f>SUMIFS(F3928:F9015,K3928:K9015,"0",B3928:B9015,"5 1 1 3 4 12 31111 6 M59 19000 000132 0000R 00001 00134 015*")</f>
        <v>215500</v>
      </c>
      <c r="G3927" s="35">
        <f>SUMIFS(G3928:G9015,K3928:K9015,"0",B3928:B9015,"5 1 1 3 4 12 31111 6 M59 19000 000132 0000R 00001 00134 015*")</f>
        <v>0</v>
      </c>
      <c r="H3927" s="35">
        <f t="shared" si="62"/>
        <v>215500</v>
      </c>
      <c r="I3927" s="35"/>
      <c r="K3927" t="s">
        <v>15</v>
      </c>
    </row>
    <row r="3928" spans="2:11" ht="33" x14ac:dyDescent="0.2">
      <c r="B3928" s="33" t="s">
        <v>4869</v>
      </c>
      <c r="C3928" s="33" t="s">
        <v>2927</v>
      </c>
      <c r="D3928" s="35">
        <f>SUMIFS(D3929:D9015,K3929:K9015,"0",B3929:B9015,"5 1 1 3 4 12 31111 6 M59 19000 000132 0000R 00001 00134 015 2111100*")-SUMIFS(E3929:E9015,K3929:K9015,"0",B3929:B9015,"5 1 1 3 4 12 31111 6 M59 19000 000132 0000R 00001 00134 015 2111100*")</f>
        <v>0</v>
      </c>
      <c r="E3928"/>
      <c r="F3928" s="35">
        <f>SUMIFS(F3929:F9015,K3929:K9015,"0",B3929:B9015,"5 1 1 3 4 12 31111 6 M59 19000 000132 0000R 00001 00134 015 2111100*")</f>
        <v>215500</v>
      </c>
      <c r="G3928" s="35">
        <f>SUMIFS(G3929:G9015,K3929:K9015,"0",B3929:B9015,"5 1 1 3 4 12 31111 6 M59 19000 000132 0000R 00001 00134 015 2111100*")</f>
        <v>0</v>
      </c>
      <c r="H3928" s="35">
        <f t="shared" si="62"/>
        <v>215500</v>
      </c>
      <c r="I3928" s="35"/>
      <c r="K3928" t="s">
        <v>15</v>
      </c>
    </row>
    <row r="3929" spans="2:11" ht="33" x14ac:dyDescent="0.2">
      <c r="B3929" s="33" t="s">
        <v>4870</v>
      </c>
      <c r="C3929" s="33" t="s">
        <v>660</v>
      </c>
      <c r="D3929" s="35">
        <f>SUMIFS(D3930:D9015,K3930:K9015,"0",B3930:B9015,"5 1 1 3 4 12 31111 6 M59 19000 000132 0000R 00001 00134 015 2111100 2024*")-SUMIFS(E3930:E9015,K3930:K9015,"0",B3930:B9015,"5 1 1 3 4 12 31111 6 M59 19000 000132 0000R 00001 00134 015 2111100 2024*")</f>
        <v>0</v>
      </c>
      <c r="E3929"/>
      <c r="F3929" s="35">
        <f>SUMIFS(F3930:F9015,K3930:K9015,"0",B3930:B9015,"5 1 1 3 4 12 31111 6 M59 19000 000132 0000R 00001 00134 015 2111100 2024*")</f>
        <v>215500</v>
      </c>
      <c r="G3929" s="35">
        <f>SUMIFS(G3930:G9015,K3930:K9015,"0",B3930:B9015,"5 1 1 3 4 12 31111 6 M59 19000 000132 0000R 00001 00134 015 2111100 2024*")</f>
        <v>0</v>
      </c>
      <c r="H3929" s="35">
        <f t="shared" si="62"/>
        <v>215500</v>
      </c>
      <c r="I3929" s="35"/>
      <c r="K3929" t="s">
        <v>15</v>
      </c>
    </row>
    <row r="3930" spans="2:11" ht="41.25" x14ac:dyDescent="0.2">
      <c r="B3930" s="33" t="s">
        <v>4871</v>
      </c>
      <c r="C3930" s="33" t="s">
        <v>662</v>
      </c>
      <c r="D3930" s="35">
        <f>SUMIFS(D3931:D9015,K3931:K9015,"0",B3931:B9015,"5 1 1 3 4 12 31111 6 M59 19000 000132 0000R 00001 00134 015 2111100 2024 CP1TM440*")-SUMIFS(E3931:E9015,K3931:K9015,"0",B3931:B9015,"5 1 1 3 4 12 31111 6 M59 19000 000132 0000R 00001 00134 015 2111100 2024 CP1TM440*")</f>
        <v>0</v>
      </c>
      <c r="E3930"/>
      <c r="F3930" s="35">
        <f>SUMIFS(F3931:F9015,K3931:K9015,"0",B3931:B9015,"5 1 1 3 4 12 31111 6 M59 19000 000132 0000R 00001 00134 015 2111100 2024 CP1TM440*")</f>
        <v>215500</v>
      </c>
      <c r="G3930" s="35">
        <f>SUMIFS(G3931:G9015,K3931:K9015,"0",B3931:B9015,"5 1 1 3 4 12 31111 6 M59 19000 000132 0000R 00001 00134 015 2111100 2024 CP1TM440*")</f>
        <v>0</v>
      </c>
      <c r="H3930" s="35">
        <f t="shared" si="62"/>
        <v>215500</v>
      </c>
      <c r="I3930" s="35"/>
      <c r="K3930" t="s">
        <v>15</v>
      </c>
    </row>
    <row r="3931" spans="2:11" ht="41.25" x14ac:dyDescent="0.2">
      <c r="B3931" s="33" t="s">
        <v>4872</v>
      </c>
      <c r="C3931" s="33" t="s">
        <v>282</v>
      </c>
      <c r="D3931" s="35">
        <f>SUMIFS(D3932:D9015,K3932:K9015,"0",B3932:B9015,"5 1 1 3 4 12 31111 6 M59 19000 000132 0000R 00001 00134 015 2111100 2024 CP1TM440 001*")-SUMIFS(E3932:E9015,K3932:K9015,"0",B3932:B9015,"5 1 1 3 4 12 31111 6 M59 19000 000132 0000R 00001 00134 015 2111100 2024 CP1TM440 001*")</f>
        <v>0</v>
      </c>
      <c r="E3931"/>
      <c r="F3931" s="35">
        <f>SUMIFS(F3932:F9015,K3932:K9015,"0",B3932:B9015,"5 1 1 3 4 12 31111 6 M59 19000 000132 0000R 00001 00134 015 2111100 2024 CP1TM440 001*")</f>
        <v>215500</v>
      </c>
      <c r="G3931" s="35">
        <f>SUMIFS(G3932:G9015,K3932:K9015,"0",B3932:B9015,"5 1 1 3 4 12 31111 6 M59 19000 000132 0000R 00001 00134 015 2111100 2024 CP1TM440 001*")</f>
        <v>0</v>
      </c>
      <c r="H3931" s="35">
        <f t="shared" si="62"/>
        <v>215500</v>
      </c>
      <c r="I3931" s="35"/>
      <c r="K3931" t="s">
        <v>15</v>
      </c>
    </row>
    <row r="3932" spans="2:11" ht="33" x14ac:dyDescent="0.2">
      <c r="B3932" s="31" t="s">
        <v>4873</v>
      </c>
      <c r="C3932" s="31" t="s">
        <v>4766</v>
      </c>
      <c r="D3932" s="34">
        <v>0</v>
      </c>
      <c r="E3932" s="34"/>
      <c r="F3932" s="34">
        <v>215500</v>
      </c>
      <c r="G3932" s="34">
        <v>0</v>
      </c>
      <c r="H3932" s="34">
        <f t="shared" si="62"/>
        <v>215500</v>
      </c>
      <c r="I3932" s="34"/>
      <c r="K3932" t="s">
        <v>38</v>
      </c>
    </row>
    <row r="3933" spans="2:11" ht="16.5" x14ac:dyDescent="0.2">
      <c r="B3933" s="33" t="s">
        <v>4874</v>
      </c>
      <c r="C3933" s="33" t="s">
        <v>3080</v>
      </c>
      <c r="D3933" s="35">
        <f>SUMIFS(D3934:D9015,K3934:K9015,"0",B3934:B9015,"5 1 1 3 4 12 31111 6 M59 20200*")-SUMIFS(E3934:E9015,K3934:K9015,"0",B3934:B9015,"5 1 1 3 4 12 31111 6 M59 20200*")</f>
        <v>0</v>
      </c>
      <c r="E3933"/>
      <c r="F3933" s="35">
        <f>SUMIFS(F3934:F9015,K3934:K9015,"0",B3934:B9015,"5 1 1 3 4 12 31111 6 M59 20200*")</f>
        <v>120192.64</v>
      </c>
      <c r="G3933" s="35">
        <f>SUMIFS(G3934:G9015,K3934:K9015,"0",B3934:B9015,"5 1 1 3 4 12 31111 6 M59 20200*")</f>
        <v>0</v>
      </c>
      <c r="H3933" s="35">
        <f t="shared" si="62"/>
        <v>120192.64</v>
      </c>
      <c r="I3933" s="35"/>
      <c r="K3933" t="s">
        <v>15</v>
      </c>
    </row>
    <row r="3934" spans="2:11" ht="16.5" x14ac:dyDescent="0.2">
      <c r="B3934" s="33" t="s">
        <v>4875</v>
      </c>
      <c r="C3934" s="33" t="s">
        <v>648</v>
      </c>
      <c r="D3934" s="35">
        <f>SUMIFS(D3935:D9015,K3935:K9015,"0",B3935:B9015,"5 1 1 3 4 12 31111 6 M59 20200 000132*")-SUMIFS(E3935:E9015,K3935:K9015,"0",B3935:B9015,"5 1 1 3 4 12 31111 6 M59 20200 000132*")</f>
        <v>0</v>
      </c>
      <c r="E3934"/>
      <c r="F3934" s="35">
        <f>SUMIFS(F3935:F9015,K3935:K9015,"0",B3935:B9015,"5 1 1 3 4 12 31111 6 M59 20200 000132*")</f>
        <v>120192.64</v>
      </c>
      <c r="G3934" s="35">
        <f>SUMIFS(G3935:G9015,K3935:K9015,"0",B3935:B9015,"5 1 1 3 4 12 31111 6 M59 20200 000132*")</f>
        <v>0</v>
      </c>
      <c r="H3934" s="35">
        <f t="shared" si="62"/>
        <v>120192.64</v>
      </c>
      <c r="I3934" s="35"/>
      <c r="K3934" t="s">
        <v>15</v>
      </c>
    </row>
    <row r="3935" spans="2:11" ht="24.75" x14ac:dyDescent="0.2">
      <c r="B3935" s="33" t="s">
        <v>4876</v>
      </c>
      <c r="C3935" s="33" t="s">
        <v>650</v>
      </c>
      <c r="D3935" s="35">
        <f>SUMIFS(D3936:D9015,K3936:K9015,"0",B3936:B9015,"5 1 1 3 4 12 31111 6 M59 20200 000132 0000R*")-SUMIFS(E3936:E9015,K3936:K9015,"0",B3936:B9015,"5 1 1 3 4 12 31111 6 M59 20200 000132 0000R*")</f>
        <v>0</v>
      </c>
      <c r="E3935"/>
      <c r="F3935" s="35">
        <f>SUMIFS(F3936:F9015,K3936:K9015,"0",B3936:B9015,"5 1 1 3 4 12 31111 6 M59 20200 000132 0000R*")</f>
        <v>120192.64</v>
      </c>
      <c r="G3935" s="35">
        <f>SUMIFS(G3936:G9015,K3936:K9015,"0",B3936:B9015,"5 1 1 3 4 12 31111 6 M59 20200 000132 0000R*")</f>
        <v>0</v>
      </c>
      <c r="H3935" s="35">
        <f t="shared" si="62"/>
        <v>120192.64</v>
      </c>
      <c r="I3935" s="35"/>
      <c r="K3935" t="s">
        <v>15</v>
      </c>
    </row>
    <row r="3936" spans="2:11" ht="24.75" x14ac:dyDescent="0.2">
      <c r="B3936" s="33" t="s">
        <v>4877</v>
      </c>
      <c r="C3936" s="33" t="s">
        <v>282</v>
      </c>
      <c r="D3936" s="35">
        <f>SUMIFS(D3937:D9015,K3937:K9015,"0",B3937:B9015,"5 1 1 3 4 12 31111 6 M59 20200 000132 0000R 00001*")-SUMIFS(E3937:E9015,K3937:K9015,"0",B3937:B9015,"5 1 1 3 4 12 31111 6 M59 20200 000132 0000R 00001*")</f>
        <v>0</v>
      </c>
      <c r="E3936"/>
      <c r="F3936" s="35">
        <f>SUMIFS(F3937:F9015,K3937:K9015,"0",B3937:B9015,"5 1 1 3 4 12 31111 6 M59 20200 000132 0000R 00001*")</f>
        <v>120192.64</v>
      </c>
      <c r="G3936" s="35">
        <f>SUMIFS(G3937:G9015,K3937:K9015,"0",B3937:B9015,"5 1 1 3 4 12 31111 6 M59 20200 000132 0000R 00001*")</f>
        <v>0</v>
      </c>
      <c r="H3936" s="35">
        <f t="shared" si="62"/>
        <v>120192.64</v>
      </c>
      <c r="I3936" s="35"/>
      <c r="K3936" t="s">
        <v>15</v>
      </c>
    </row>
    <row r="3937" spans="2:11" ht="24.75" x14ac:dyDescent="0.2">
      <c r="B3937" s="33" t="s">
        <v>4878</v>
      </c>
      <c r="C3937" s="33" t="s">
        <v>4776</v>
      </c>
      <c r="D3937" s="35">
        <f>SUMIFS(D3938:D9015,K3938:K9015,"0",B3938:B9015,"5 1 1 3 4 12 31111 6 M59 20200 000132 0000R 00001 00134*")-SUMIFS(E3938:E9015,K3938:K9015,"0",B3938:B9015,"5 1 1 3 4 12 31111 6 M59 20200 000132 0000R 00001 00134*")</f>
        <v>0</v>
      </c>
      <c r="E3937"/>
      <c r="F3937" s="35">
        <f>SUMIFS(F3938:F9015,K3938:K9015,"0",B3938:B9015,"5 1 1 3 4 12 31111 6 M59 20200 000132 0000R 00001 00134*")</f>
        <v>120192.64</v>
      </c>
      <c r="G3937" s="35">
        <f>SUMIFS(G3938:G9015,K3938:K9015,"0",B3938:B9015,"5 1 1 3 4 12 31111 6 M59 20200 000132 0000R 00001 00134*")</f>
        <v>0</v>
      </c>
      <c r="H3937" s="35">
        <f t="shared" si="62"/>
        <v>120192.64</v>
      </c>
      <c r="I3937" s="35"/>
      <c r="K3937" t="s">
        <v>15</v>
      </c>
    </row>
    <row r="3938" spans="2:11" ht="33" x14ac:dyDescent="0.2">
      <c r="B3938" s="33" t="s">
        <v>4879</v>
      </c>
      <c r="C3938" s="33" t="s">
        <v>1051</v>
      </c>
      <c r="D3938" s="35">
        <f>SUMIFS(D3939:D9015,K3939:K9015,"0",B3939:B9015,"5 1 1 3 4 12 31111 6 M59 20200 000132 0000R 00001 00134 015*")-SUMIFS(E3939:E9015,K3939:K9015,"0",B3939:B9015,"5 1 1 3 4 12 31111 6 M59 20200 000132 0000R 00001 00134 015*")</f>
        <v>0</v>
      </c>
      <c r="E3938"/>
      <c r="F3938" s="35">
        <f>SUMIFS(F3939:F9015,K3939:K9015,"0",B3939:B9015,"5 1 1 3 4 12 31111 6 M59 20200 000132 0000R 00001 00134 015*")</f>
        <v>120192.64</v>
      </c>
      <c r="G3938" s="35">
        <f>SUMIFS(G3939:G9015,K3939:K9015,"0",B3939:B9015,"5 1 1 3 4 12 31111 6 M59 20200 000132 0000R 00001 00134 015*")</f>
        <v>0</v>
      </c>
      <c r="H3938" s="35">
        <f t="shared" si="62"/>
        <v>120192.64</v>
      </c>
      <c r="I3938" s="35"/>
      <c r="K3938" t="s">
        <v>15</v>
      </c>
    </row>
    <row r="3939" spans="2:11" ht="33" x14ac:dyDescent="0.2">
      <c r="B3939" s="33" t="s">
        <v>4880</v>
      </c>
      <c r="C3939" s="33" t="s">
        <v>2927</v>
      </c>
      <c r="D3939" s="35">
        <f>SUMIFS(D3940:D9015,K3940:K9015,"0",B3940:B9015,"5 1 1 3 4 12 31111 6 M59 20200 000132 0000R 00001 00134 015 2111100*")-SUMIFS(E3940:E9015,K3940:K9015,"0",B3940:B9015,"5 1 1 3 4 12 31111 6 M59 20200 000132 0000R 00001 00134 015 2111100*")</f>
        <v>0</v>
      </c>
      <c r="E3939"/>
      <c r="F3939" s="35">
        <f>SUMIFS(F3940:F9015,K3940:K9015,"0",B3940:B9015,"5 1 1 3 4 12 31111 6 M59 20200 000132 0000R 00001 00134 015 2111100*")</f>
        <v>120192.64</v>
      </c>
      <c r="G3939" s="35">
        <f>SUMIFS(G3940:G9015,K3940:K9015,"0",B3940:B9015,"5 1 1 3 4 12 31111 6 M59 20200 000132 0000R 00001 00134 015 2111100*")</f>
        <v>0</v>
      </c>
      <c r="H3939" s="35">
        <f t="shared" si="62"/>
        <v>120192.64</v>
      </c>
      <c r="I3939" s="35"/>
      <c r="K3939" t="s">
        <v>15</v>
      </c>
    </row>
    <row r="3940" spans="2:11" ht="33" x14ac:dyDescent="0.2">
      <c r="B3940" s="33" t="s">
        <v>4881</v>
      </c>
      <c r="C3940" s="33" t="s">
        <v>660</v>
      </c>
      <c r="D3940" s="35">
        <f>SUMIFS(D3941:D9015,K3941:K9015,"0",B3941:B9015,"5 1 1 3 4 12 31111 6 M59 20200 000132 0000R 00001 00134 015 2111100 2024*")-SUMIFS(E3941:E9015,K3941:K9015,"0",B3941:B9015,"5 1 1 3 4 12 31111 6 M59 20200 000132 0000R 00001 00134 015 2111100 2024*")</f>
        <v>0</v>
      </c>
      <c r="E3940"/>
      <c r="F3940" s="35">
        <f>SUMIFS(F3941:F9015,K3941:K9015,"0",B3941:B9015,"5 1 1 3 4 12 31111 6 M59 20200 000132 0000R 00001 00134 015 2111100 2024*")</f>
        <v>120192.64</v>
      </c>
      <c r="G3940" s="35">
        <f>SUMIFS(G3941:G9015,K3941:K9015,"0",B3941:B9015,"5 1 1 3 4 12 31111 6 M59 20200 000132 0000R 00001 00134 015 2111100 2024*")</f>
        <v>0</v>
      </c>
      <c r="H3940" s="35">
        <f t="shared" si="62"/>
        <v>120192.64</v>
      </c>
      <c r="I3940" s="35"/>
      <c r="K3940" t="s">
        <v>15</v>
      </c>
    </row>
    <row r="3941" spans="2:11" ht="41.25" x14ac:dyDescent="0.2">
      <c r="B3941" s="33" t="s">
        <v>4882</v>
      </c>
      <c r="C3941" s="33" t="s">
        <v>662</v>
      </c>
      <c r="D3941" s="35">
        <f>SUMIFS(D3942:D9015,K3942:K9015,"0",B3942:B9015,"5 1 1 3 4 12 31111 6 M59 20200 000132 0000R 00001 00134 015 2111100 2024 CP1DI411*")-SUMIFS(E3942:E9015,K3942:K9015,"0",B3942:B9015,"5 1 1 3 4 12 31111 6 M59 20200 000132 0000R 00001 00134 015 2111100 2024 CP1DI411*")</f>
        <v>0</v>
      </c>
      <c r="E3941"/>
      <c r="F3941" s="35">
        <f>SUMIFS(F3942:F9015,K3942:K9015,"0",B3942:B9015,"5 1 1 3 4 12 31111 6 M59 20200 000132 0000R 00001 00134 015 2111100 2024 CP1DI411*")</f>
        <v>120192.64</v>
      </c>
      <c r="G3941" s="35">
        <f>SUMIFS(G3942:G9015,K3942:K9015,"0",B3942:B9015,"5 1 1 3 4 12 31111 6 M59 20200 000132 0000R 00001 00134 015 2111100 2024 CP1DI411*")</f>
        <v>0</v>
      </c>
      <c r="H3941" s="35">
        <f t="shared" si="62"/>
        <v>120192.64</v>
      </c>
      <c r="I3941" s="35"/>
      <c r="K3941" t="s">
        <v>15</v>
      </c>
    </row>
    <row r="3942" spans="2:11" ht="41.25" x14ac:dyDescent="0.2">
      <c r="B3942" s="33" t="s">
        <v>4883</v>
      </c>
      <c r="C3942" s="33" t="s">
        <v>282</v>
      </c>
      <c r="D3942" s="35">
        <f>SUMIFS(D3943:D9015,K3943:K9015,"0",B3943:B9015,"5 1 1 3 4 12 31111 6 M59 20200 000132 0000R 00001 00134 015 2111100 2024 CP1DI411 001*")-SUMIFS(E3943:E9015,K3943:K9015,"0",B3943:B9015,"5 1 1 3 4 12 31111 6 M59 20200 000132 0000R 00001 00134 015 2111100 2024 CP1DI411 001*")</f>
        <v>0</v>
      </c>
      <c r="E3942"/>
      <c r="F3942" s="35">
        <f>SUMIFS(F3943:F9015,K3943:K9015,"0",B3943:B9015,"5 1 1 3 4 12 31111 6 M59 20200 000132 0000R 00001 00134 015 2111100 2024 CP1DI411 001*")</f>
        <v>120192.64</v>
      </c>
      <c r="G3942" s="35">
        <f>SUMIFS(G3943:G9015,K3943:K9015,"0",B3943:B9015,"5 1 1 3 4 12 31111 6 M59 20200 000132 0000R 00001 00134 015 2111100 2024 CP1DI411 001*")</f>
        <v>0</v>
      </c>
      <c r="H3942" s="35">
        <f t="shared" si="62"/>
        <v>120192.64</v>
      </c>
      <c r="I3942" s="35"/>
      <c r="K3942" t="s">
        <v>15</v>
      </c>
    </row>
    <row r="3943" spans="2:11" ht="33" x14ac:dyDescent="0.2">
      <c r="B3943" s="31" t="s">
        <v>4884</v>
      </c>
      <c r="C3943" s="31" t="s">
        <v>4783</v>
      </c>
      <c r="D3943" s="34">
        <v>0</v>
      </c>
      <c r="E3943" s="34"/>
      <c r="F3943" s="34">
        <v>120192.64</v>
      </c>
      <c r="G3943" s="34">
        <v>0</v>
      </c>
      <c r="H3943" s="34">
        <f t="shared" si="62"/>
        <v>120192.64</v>
      </c>
      <c r="I3943" s="34"/>
      <c r="K3943" t="s">
        <v>38</v>
      </c>
    </row>
    <row r="3944" spans="2:11" ht="16.5" x14ac:dyDescent="0.2">
      <c r="B3944" s="33" t="s">
        <v>4885</v>
      </c>
      <c r="C3944" s="33" t="s">
        <v>1061</v>
      </c>
      <c r="D3944" s="35">
        <f>SUMIFS(D3945:D9015,K3945:K9015,"0",B3945:B9015,"5 1 1 3 4 12 31111 6 M59 20300*")-SUMIFS(E3945:E9015,K3945:K9015,"0",B3945:B9015,"5 1 1 3 4 12 31111 6 M59 20300*")</f>
        <v>0</v>
      </c>
      <c r="E3944"/>
      <c r="F3944" s="35">
        <f>SUMIFS(F3945:F9015,K3945:K9015,"0",B3945:B9015,"5 1 1 3 4 12 31111 6 M59 20300*")</f>
        <v>273899.03999999998</v>
      </c>
      <c r="G3944" s="35">
        <f>SUMIFS(G3945:G9015,K3945:K9015,"0",B3945:B9015,"5 1 1 3 4 12 31111 6 M59 20300*")</f>
        <v>0</v>
      </c>
      <c r="H3944" s="35">
        <f t="shared" si="62"/>
        <v>273899.03999999998</v>
      </c>
      <c r="I3944" s="35"/>
      <c r="K3944" t="s">
        <v>15</v>
      </c>
    </row>
    <row r="3945" spans="2:11" ht="16.5" x14ac:dyDescent="0.2">
      <c r="B3945" s="33" t="s">
        <v>4886</v>
      </c>
      <c r="C3945" s="33" t="s">
        <v>648</v>
      </c>
      <c r="D3945" s="35">
        <f>SUMIFS(D3946:D9015,K3946:K9015,"0",B3946:B9015,"5 1 1 3 4 12 31111 6 M59 20300 000132*")-SUMIFS(E3946:E9015,K3946:K9015,"0",B3946:B9015,"5 1 1 3 4 12 31111 6 M59 20300 000132*")</f>
        <v>0</v>
      </c>
      <c r="E3945"/>
      <c r="F3945" s="35">
        <f>SUMIFS(F3946:F9015,K3946:K9015,"0",B3946:B9015,"5 1 1 3 4 12 31111 6 M59 20300 000132*")</f>
        <v>273899.03999999998</v>
      </c>
      <c r="G3945" s="35">
        <f>SUMIFS(G3946:G9015,K3946:K9015,"0",B3946:B9015,"5 1 1 3 4 12 31111 6 M59 20300 000132*")</f>
        <v>0</v>
      </c>
      <c r="H3945" s="35">
        <f t="shared" si="62"/>
        <v>273899.03999999998</v>
      </c>
      <c r="I3945" s="35"/>
      <c r="K3945" t="s">
        <v>15</v>
      </c>
    </row>
    <row r="3946" spans="2:11" ht="24.75" x14ac:dyDescent="0.2">
      <c r="B3946" s="33" t="s">
        <v>4887</v>
      </c>
      <c r="C3946" s="33" t="s">
        <v>650</v>
      </c>
      <c r="D3946" s="35">
        <f>SUMIFS(D3947:D9015,K3947:K9015,"0",B3947:B9015,"5 1 1 3 4 12 31111 6 M59 20300 000132 0000R*")-SUMIFS(E3947:E9015,K3947:K9015,"0",B3947:B9015,"5 1 1 3 4 12 31111 6 M59 20300 000132 0000R*")</f>
        <v>0</v>
      </c>
      <c r="E3946"/>
      <c r="F3946" s="35">
        <f>SUMIFS(F3947:F9015,K3947:K9015,"0",B3947:B9015,"5 1 1 3 4 12 31111 6 M59 20300 000132 0000R*")</f>
        <v>273899.03999999998</v>
      </c>
      <c r="G3946" s="35">
        <f>SUMIFS(G3947:G9015,K3947:K9015,"0",B3947:B9015,"5 1 1 3 4 12 31111 6 M59 20300 000132 0000R*")</f>
        <v>0</v>
      </c>
      <c r="H3946" s="35">
        <f t="shared" si="62"/>
        <v>273899.03999999998</v>
      </c>
      <c r="I3946" s="35"/>
      <c r="K3946" t="s">
        <v>15</v>
      </c>
    </row>
    <row r="3947" spans="2:11" ht="24.75" x14ac:dyDescent="0.2">
      <c r="B3947" s="33" t="s">
        <v>4888</v>
      </c>
      <c r="C3947" s="33" t="s">
        <v>282</v>
      </c>
      <c r="D3947" s="35">
        <f>SUMIFS(D3948:D9015,K3948:K9015,"0",B3948:B9015,"5 1 1 3 4 12 31111 6 M59 20300 000132 0000R 00001*")-SUMIFS(E3948:E9015,K3948:K9015,"0",B3948:B9015,"5 1 1 3 4 12 31111 6 M59 20300 000132 0000R 00001*")</f>
        <v>0</v>
      </c>
      <c r="E3947"/>
      <c r="F3947" s="35">
        <f>SUMIFS(F3948:F9015,K3948:K9015,"0",B3948:B9015,"5 1 1 3 4 12 31111 6 M59 20300 000132 0000R 00001*")</f>
        <v>273899.03999999998</v>
      </c>
      <c r="G3947" s="35">
        <f>SUMIFS(G3948:G9015,K3948:K9015,"0",B3948:B9015,"5 1 1 3 4 12 31111 6 M59 20300 000132 0000R 00001*")</f>
        <v>0</v>
      </c>
      <c r="H3947" s="35">
        <f t="shared" si="62"/>
        <v>273899.03999999998</v>
      </c>
      <c r="I3947" s="35"/>
      <c r="K3947" t="s">
        <v>15</v>
      </c>
    </row>
    <row r="3948" spans="2:11" ht="24.75" x14ac:dyDescent="0.2">
      <c r="B3948" s="33" t="s">
        <v>4889</v>
      </c>
      <c r="C3948" s="33" t="s">
        <v>4776</v>
      </c>
      <c r="D3948" s="35">
        <f>SUMIFS(D3949:D9015,K3949:K9015,"0",B3949:B9015,"5 1 1 3 4 12 31111 6 M59 20300 000132 0000R 00001 00134*")-SUMIFS(E3949:E9015,K3949:K9015,"0",B3949:B9015,"5 1 1 3 4 12 31111 6 M59 20300 000132 0000R 00001 00134*")</f>
        <v>0</v>
      </c>
      <c r="E3948"/>
      <c r="F3948" s="35">
        <f>SUMIFS(F3949:F9015,K3949:K9015,"0",B3949:B9015,"5 1 1 3 4 12 31111 6 M59 20300 000132 0000R 00001 00134*")</f>
        <v>273899.03999999998</v>
      </c>
      <c r="G3948" s="35">
        <f>SUMIFS(G3949:G9015,K3949:K9015,"0",B3949:B9015,"5 1 1 3 4 12 31111 6 M59 20300 000132 0000R 00001 00134*")</f>
        <v>0</v>
      </c>
      <c r="H3948" s="35">
        <f t="shared" si="62"/>
        <v>273899.03999999998</v>
      </c>
      <c r="I3948" s="35"/>
      <c r="K3948" t="s">
        <v>15</v>
      </c>
    </row>
    <row r="3949" spans="2:11" ht="33" x14ac:dyDescent="0.2">
      <c r="B3949" s="33" t="s">
        <v>4890</v>
      </c>
      <c r="C3949" s="33" t="s">
        <v>1051</v>
      </c>
      <c r="D3949" s="35">
        <f>SUMIFS(D3950:D9015,K3950:K9015,"0",B3950:B9015,"5 1 1 3 4 12 31111 6 M59 20300 000132 0000R 00001 00134 015*")-SUMIFS(E3950:E9015,K3950:K9015,"0",B3950:B9015,"5 1 1 3 4 12 31111 6 M59 20300 000132 0000R 00001 00134 015*")</f>
        <v>0</v>
      </c>
      <c r="E3949"/>
      <c r="F3949" s="35">
        <f>SUMIFS(F3950:F9015,K3950:K9015,"0",B3950:B9015,"5 1 1 3 4 12 31111 6 M59 20300 000132 0000R 00001 00134 015*")</f>
        <v>273899.03999999998</v>
      </c>
      <c r="G3949" s="35">
        <f>SUMIFS(G3950:G9015,K3950:K9015,"0",B3950:B9015,"5 1 1 3 4 12 31111 6 M59 20300 000132 0000R 00001 00134 015*")</f>
        <v>0</v>
      </c>
      <c r="H3949" s="35">
        <f t="shared" si="62"/>
        <v>273899.03999999998</v>
      </c>
      <c r="I3949" s="35"/>
      <c r="K3949" t="s">
        <v>15</v>
      </c>
    </row>
    <row r="3950" spans="2:11" ht="33" x14ac:dyDescent="0.2">
      <c r="B3950" s="33" t="s">
        <v>4891</v>
      </c>
      <c r="C3950" s="33" t="s">
        <v>2927</v>
      </c>
      <c r="D3950" s="35">
        <f>SUMIFS(D3951:D9015,K3951:K9015,"0",B3951:B9015,"5 1 1 3 4 12 31111 6 M59 20300 000132 0000R 00001 00134 015 2111100*")-SUMIFS(E3951:E9015,K3951:K9015,"0",B3951:B9015,"5 1 1 3 4 12 31111 6 M59 20300 000132 0000R 00001 00134 015 2111100*")</f>
        <v>0</v>
      </c>
      <c r="E3950"/>
      <c r="F3950" s="35">
        <f>SUMIFS(F3951:F9015,K3951:K9015,"0",B3951:B9015,"5 1 1 3 4 12 31111 6 M59 20300 000132 0000R 00001 00134 015 2111100*")</f>
        <v>273899.03999999998</v>
      </c>
      <c r="G3950" s="35">
        <f>SUMIFS(G3951:G9015,K3951:K9015,"0",B3951:B9015,"5 1 1 3 4 12 31111 6 M59 20300 000132 0000R 00001 00134 015 2111100*")</f>
        <v>0</v>
      </c>
      <c r="H3950" s="35">
        <f t="shared" si="62"/>
        <v>273899.03999999998</v>
      </c>
      <c r="I3950" s="35"/>
      <c r="K3950" t="s">
        <v>15</v>
      </c>
    </row>
    <row r="3951" spans="2:11" ht="33" x14ac:dyDescent="0.2">
      <c r="B3951" s="33" t="s">
        <v>4892</v>
      </c>
      <c r="C3951" s="33" t="s">
        <v>660</v>
      </c>
      <c r="D3951" s="35">
        <f>SUMIFS(D3952:D9015,K3952:K9015,"0",B3952:B9015,"5 1 1 3 4 12 31111 6 M59 20300 000132 0000R 00001 00134 015 2111100 2024*")-SUMIFS(E3952:E9015,K3952:K9015,"0",B3952:B9015,"5 1 1 3 4 12 31111 6 M59 20300 000132 0000R 00001 00134 015 2111100 2024*")</f>
        <v>0</v>
      </c>
      <c r="E3951"/>
      <c r="F3951" s="35">
        <f>SUMIFS(F3952:F9015,K3952:K9015,"0",B3952:B9015,"5 1 1 3 4 12 31111 6 M59 20300 000132 0000R 00001 00134 015 2111100 2024*")</f>
        <v>273899.03999999998</v>
      </c>
      <c r="G3951" s="35">
        <f>SUMIFS(G3952:G9015,K3952:K9015,"0",B3952:B9015,"5 1 1 3 4 12 31111 6 M59 20300 000132 0000R 00001 00134 015 2111100 2024*")</f>
        <v>0</v>
      </c>
      <c r="H3951" s="35">
        <f t="shared" si="62"/>
        <v>273899.03999999998</v>
      </c>
      <c r="I3951" s="35"/>
      <c r="K3951" t="s">
        <v>15</v>
      </c>
    </row>
    <row r="3952" spans="2:11" ht="41.25" x14ac:dyDescent="0.2">
      <c r="B3952" s="33" t="s">
        <v>4893</v>
      </c>
      <c r="C3952" s="33" t="s">
        <v>662</v>
      </c>
      <c r="D3952" s="35">
        <f>SUMIFS(D3953:D9015,K3953:K9015,"0",B3953:B9015,"5 1 1 3 4 12 31111 6 M59 20300 000132 0000R 00001 00134 015 2111100 2024 CP1DE415*")-SUMIFS(E3953:E9015,K3953:K9015,"0",B3953:B9015,"5 1 1 3 4 12 31111 6 M59 20300 000132 0000R 00001 00134 015 2111100 2024 CP1DE415*")</f>
        <v>0</v>
      </c>
      <c r="E3952"/>
      <c r="F3952" s="35">
        <f>SUMIFS(F3953:F9015,K3953:K9015,"0",B3953:B9015,"5 1 1 3 4 12 31111 6 M59 20300 000132 0000R 00001 00134 015 2111100 2024 CP1DE415*")</f>
        <v>273899.03999999998</v>
      </c>
      <c r="G3952" s="35">
        <f>SUMIFS(G3953:G9015,K3953:K9015,"0",B3953:B9015,"5 1 1 3 4 12 31111 6 M59 20300 000132 0000R 00001 00134 015 2111100 2024 CP1DE415*")</f>
        <v>0</v>
      </c>
      <c r="H3952" s="35">
        <f t="shared" si="62"/>
        <v>273899.03999999998</v>
      </c>
      <c r="I3952" s="35"/>
      <c r="K3952" t="s">
        <v>15</v>
      </c>
    </row>
    <row r="3953" spans="2:11" ht="41.25" x14ac:dyDescent="0.2">
      <c r="B3953" s="33" t="s">
        <v>4894</v>
      </c>
      <c r="C3953" s="33" t="s">
        <v>282</v>
      </c>
      <c r="D3953" s="35">
        <f>SUMIFS(D3954:D9015,K3954:K9015,"0",B3954:B9015,"5 1 1 3 4 12 31111 6 M59 20300 000132 0000R 00001 00134 015 2111100 2024 CP1DE415 001*")-SUMIFS(E3954:E9015,K3954:K9015,"0",B3954:B9015,"5 1 1 3 4 12 31111 6 M59 20300 000132 0000R 00001 00134 015 2111100 2024 CP1DE415 001*")</f>
        <v>0</v>
      </c>
      <c r="E3953"/>
      <c r="F3953" s="35">
        <f>SUMIFS(F3954:F9015,K3954:K9015,"0",B3954:B9015,"5 1 1 3 4 12 31111 6 M59 20300 000132 0000R 00001 00134 015 2111100 2024 CP1DE415 001*")</f>
        <v>273899.03999999998</v>
      </c>
      <c r="G3953" s="35">
        <f>SUMIFS(G3954:G9015,K3954:K9015,"0",B3954:B9015,"5 1 1 3 4 12 31111 6 M59 20300 000132 0000R 00001 00134 015 2111100 2024 CP1DE415 001*")</f>
        <v>0</v>
      </c>
      <c r="H3953" s="35">
        <f t="shared" si="62"/>
        <v>273899.03999999998</v>
      </c>
      <c r="I3953" s="35"/>
      <c r="K3953" t="s">
        <v>15</v>
      </c>
    </row>
    <row r="3954" spans="2:11" ht="41.25" x14ac:dyDescent="0.2">
      <c r="B3954" s="31" t="s">
        <v>4895</v>
      </c>
      <c r="C3954" s="31" t="s">
        <v>4783</v>
      </c>
      <c r="D3954" s="34">
        <v>0</v>
      </c>
      <c r="E3954" s="34"/>
      <c r="F3954" s="34">
        <v>273899.03999999998</v>
      </c>
      <c r="G3954" s="34">
        <v>0</v>
      </c>
      <c r="H3954" s="34">
        <f t="shared" si="62"/>
        <v>273899.03999999998</v>
      </c>
      <c r="I3954" s="34"/>
      <c r="K3954" t="s">
        <v>38</v>
      </c>
    </row>
    <row r="3955" spans="2:11" ht="16.5" x14ac:dyDescent="0.2">
      <c r="B3955" s="33" t="s">
        <v>4896</v>
      </c>
      <c r="C3955" s="33" t="s">
        <v>3126</v>
      </c>
      <c r="D3955" s="35">
        <f>SUMIFS(D3956:D9015,K3956:K9015,"0",B3956:B9015,"5 1 1 3 4 12 31111 6 M59 20600*")-SUMIFS(E3956:E9015,K3956:K9015,"0",B3956:B9015,"5 1 1 3 4 12 31111 6 M59 20600*")</f>
        <v>0</v>
      </c>
      <c r="E3955"/>
      <c r="F3955" s="35">
        <f>SUMIFS(F3956:F9015,K3956:K9015,"0",B3956:B9015,"5 1 1 3 4 12 31111 6 M59 20600*")</f>
        <v>46798.8</v>
      </c>
      <c r="G3955" s="35">
        <f>SUMIFS(G3956:G9015,K3956:K9015,"0",B3956:B9015,"5 1 1 3 4 12 31111 6 M59 20600*")</f>
        <v>0</v>
      </c>
      <c r="H3955" s="35">
        <f t="shared" si="62"/>
        <v>46798.8</v>
      </c>
      <c r="I3955" s="35"/>
      <c r="K3955" t="s">
        <v>15</v>
      </c>
    </row>
    <row r="3956" spans="2:11" ht="16.5" x14ac:dyDescent="0.2">
      <c r="B3956" s="33" t="s">
        <v>4897</v>
      </c>
      <c r="C3956" s="33" t="s">
        <v>648</v>
      </c>
      <c r="D3956" s="35">
        <f>SUMIFS(D3957:D9015,K3957:K9015,"0",B3957:B9015,"5 1 1 3 4 12 31111 6 M59 20600 000132*")-SUMIFS(E3957:E9015,K3957:K9015,"0",B3957:B9015,"5 1 1 3 4 12 31111 6 M59 20600 000132*")</f>
        <v>0</v>
      </c>
      <c r="E3956"/>
      <c r="F3956" s="35">
        <f>SUMIFS(F3957:F9015,K3957:K9015,"0",B3957:B9015,"5 1 1 3 4 12 31111 6 M59 20600 000132*")</f>
        <v>46798.8</v>
      </c>
      <c r="G3956" s="35">
        <f>SUMIFS(G3957:G9015,K3957:K9015,"0",B3957:B9015,"5 1 1 3 4 12 31111 6 M59 20600 000132*")</f>
        <v>0</v>
      </c>
      <c r="H3956" s="35">
        <f t="shared" si="62"/>
        <v>46798.8</v>
      </c>
      <c r="I3956" s="35"/>
      <c r="K3956" t="s">
        <v>15</v>
      </c>
    </row>
    <row r="3957" spans="2:11" ht="24.75" x14ac:dyDescent="0.2">
      <c r="B3957" s="33" t="s">
        <v>4898</v>
      </c>
      <c r="C3957" s="33" t="s">
        <v>650</v>
      </c>
      <c r="D3957" s="35">
        <f>SUMIFS(D3958:D9015,K3958:K9015,"0",B3958:B9015,"5 1 1 3 4 12 31111 6 M59 20600 000132 0000R*")-SUMIFS(E3958:E9015,K3958:K9015,"0",B3958:B9015,"5 1 1 3 4 12 31111 6 M59 20600 000132 0000R*")</f>
        <v>0</v>
      </c>
      <c r="E3957"/>
      <c r="F3957" s="35">
        <f>SUMIFS(F3958:F9015,K3958:K9015,"0",B3958:B9015,"5 1 1 3 4 12 31111 6 M59 20600 000132 0000R*")</f>
        <v>46798.8</v>
      </c>
      <c r="G3957" s="35">
        <f>SUMIFS(G3958:G9015,K3958:K9015,"0",B3958:B9015,"5 1 1 3 4 12 31111 6 M59 20600 000132 0000R*")</f>
        <v>0</v>
      </c>
      <c r="H3957" s="35">
        <f t="shared" si="62"/>
        <v>46798.8</v>
      </c>
      <c r="I3957" s="35"/>
      <c r="K3957" t="s">
        <v>15</v>
      </c>
    </row>
    <row r="3958" spans="2:11" ht="24.75" x14ac:dyDescent="0.2">
      <c r="B3958" s="33" t="s">
        <v>4899</v>
      </c>
      <c r="C3958" s="33" t="s">
        <v>282</v>
      </c>
      <c r="D3958" s="35">
        <f>SUMIFS(D3959:D9015,K3959:K9015,"0",B3959:B9015,"5 1 1 3 4 12 31111 6 M59 20600 000132 0000R 00001*")-SUMIFS(E3959:E9015,K3959:K9015,"0",B3959:B9015,"5 1 1 3 4 12 31111 6 M59 20600 000132 0000R 00001*")</f>
        <v>0</v>
      </c>
      <c r="E3958"/>
      <c r="F3958" s="35">
        <f>SUMIFS(F3959:F9015,K3959:K9015,"0",B3959:B9015,"5 1 1 3 4 12 31111 6 M59 20600 000132 0000R 00001*")</f>
        <v>46798.8</v>
      </c>
      <c r="G3958" s="35">
        <f>SUMIFS(G3959:G9015,K3959:K9015,"0",B3959:B9015,"5 1 1 3 4 12 31111 6 M59 20600 000132 0000R 00001*")</f>
        <v>0</v>
      </c>
      <c r="H3958" s="35">
        <f t="shared" si="62"/>
        <v>46798.8</v>
      </c>
      <c r="I3958" s="35"/>
      <c r="K3958" t="s">
        <v>15</v>
      </c>
    </row>
    <row r="3959" spans="2:11" ht="24.75" x14ac:dyDescent="0.2">
      <c r="B3959" s="33" t="s">
        <v>4900</v>
      </c>
      <c r="C3959" s="33" t="s">
        <v>4776</v>
      </c>
      <c r="D3959" s="35">
        <f>SUMIFS(D3960:D9015,K3960:K9015,"0",B3960:B9015,"5 1 1 3 4 12 31111 6 M59 20600 000132 0000R 00001 00134*")-SUMIFS(E3960:E9015,K3960:K9015,"0",B3960:B9015,"5 1 1 3 4 12 31111 6 M59 20600 000132 0000R 00001 00134*")</f>
        <v>0</v>
      </c>
      <c r="E3959"/>
      <c r="F3959" s="35">
        <f>SUMIFS(F3960:F9015,K3960:K9015,"0",B3960:B9015,"5 1 1 3 4 12 31111 6 M59 20600 000132 0000R 00001 00134*")</f>
        <v>46798.8</v>
      </c>
      <c r="G3959" s="35">
        <f>SUMIFS(G3960:G9015,K3960:K9015,"0",B3960:B9015,"5 1 1 3 4 12 31111 6 M59 20600 000132 0000R 00001 00134*")</f>
        <v>0</v>
      </c>
      <c r="H3959" s="35">
        <f t="shared" si="62"/>
        <v>46798.8</v>
      </c>
      <c r="I3959" s="35"/>
      <c r="K3959" t="s">
        <v>15</v>
      </c>
    </row>
    <row r="3960" spans="2:11" ht="33" x14ac:dyDescent="0.2">
      <c r="B3960" s="33" t="s">
        <v>4901</v>
      </c>
      <c r="C3960" s="33" t="s">
        <v>1051</v>
      </c>
      <c r="D3960" s="35">
        <f>SUMIFS(D3961:D9015,K3961:K9015,"0",B3961:B9015,"5 1 1 3 4 12 31111 6 M59 20600 000132 0000R 00001 00134 015*")-SUMIFS(E3961:E9015,K3961:K9015,"0",B3961:B9015,"5 1 1 3 4 12 31111 6 M59 20600 000132 0000R 00001 00134 015*")</f>
        <v>0</v>
      </c>
      <c r="E3960"/>
      <c r="F3960" s="35">
        <f>SUMIFS(F3961:F9015,K3961:K9015,"0",B3961:B9015,"5 1 1 3 4 12 31111 6 M59 20600 000132 0000R 00001 00134 015*")</f>
        <v>46798.8</v>
      </c>
      <c r="G3960" s="35">
        <f>SUMIFS(G3961:G9015,K3961:K9015,"0",B3961:B9015,"5 1 1 3 4 12 31111 6 M59 20600 000132 0000R 00001 00134 015*")</f>
        <v>0</v>
      </c>
      <c r="H3960" s="35">
        <f t="shared" si="62"/>
        <v>46798.8</v>
      </c>
      <c r="I3960" s="35"/>
      <c r="K3960" t="s">
        <v>15</v>
      </c>
    </row>
    <row r="3961" spans="2:11" ht="33" x14ac:dyDescent="0.2">
      <c r="B3961" s="33" t="s">
        <v>4902</v>
      </c>
      <c r="C3961" s="33" t="s">
        <v>2927</v>
      </c>
      <c r="D3961" s="35">
        <f>SUMIFS(D3962:D9015,K3962:K9015,"0",B3962:B9015,"5 1 1 3 4 12 31111 6 M59 20600 000132 0000R 00001 00134 015 2111100*")-SUMIFS(E3962:E9015,K3962:K9015,"0",B3962:B9015,"5 1 1 3 4 12 31111 6 M59 20600 000132 0000R 00001 00134 015 2111100*")</f>
        <v>0</v>
      </c>
      <c r="E3961"/>
      <c r="F3961" s="35">
        <f>SUMIFS(F3962:F9015,K3962:K9015,"0",B3962:B9015,"5 1 1 3 4 12 31111 6 M59 20600 000132 0000R 00001 00134 015 2111100*")</f>
        <v>46798.8</v>
      </c>
      <c r="G3961" s="35">
        <f>SUMIFS(G3962:G9015,K3962:K9015,"0",B3962:B9015,"5 1 1 3 4 12 31111 6 M59 20600 000132 0000R 00001 00134 015 2111100*")</f>
        <v>0</v>
      </c>
      <c r="H3961" s="35">
        <f t="shared" si="62"/>
        <v>46798.8</v>
      </c>
      <c r="I3961" s="35"/>
      <c r="K3961" t="s">
        <v>15</v>
      </c>
    </row>
    <row r="3962" spans="2:11" ht="33" x14ac:dyDescent="0.2">
      <c r="B3962" s="33" t="s">
        <v>4903</v>
      </c>
      <c r="C3962" s="33" t="s">
        <v>660</v>
      </c>
      <c r="D3962" s="35">
        <f>SUMIFS(D3963:D9015,K3963:K9015,"0",B3963:B9015,"5 1 1 3 4 12 31111 6 M59 20600 000132 0000R 00001 00134 015 2111100 2024*")-SUMIFS(E3963:E9015,K3963:K9015,"0",B3963:B9015,"5 1 1 3 4 12 31111 6 M59 20600 000132 0000R 00001 00134 015 2111100 2024*")</f>
        <v>0</v>
      </c>
      <c r="E3962"/>
      <c r="F3962" s="35">
        <f>SUMIFS(F3963:F9015,K3963:K9015,"0",B3963:B9015,"5 1 1 3 4 12 31111 6 M59 20600 000132 0000R 00001 00134 015 2111100 2024*")</f>
        <v>46798.8</v>
      </c>
      <c r="G3962" s="35">
        <f>SUMIFS(G3963:G9015,K3963:K9015,"0",B3963:B9015,"5 1 1 3 4 12 31111 6 M59 20600 000132 0000R 00001 00134 015 2111100 2024*")</f>
        <v>0</v>
      </c>
      <c r="H3962" s="35">
        <f t="shared" si="62"/>
        <v>46798.8</v>
      </c>
      <c r="I3962" s="35"/>
      <c r="K3962" t="s">
        <v>15</v>
      </c>
    </row>
    <row r="3963" spans="2:11" ht="41.25" x14ac:dyDescent="0.2">
      <c r="B3963" s="33" t="s">
        <v>4904</v>
      </c>
      <c r="C3963" s="33" t="s">
        <v>1056</v>
      </c>
      <c r="D3963" s="35">
        <f>SUMIFS(D3964:D9015,K3964:K9015,"0",B3964:B9015,"5 1 1 3 4 12 31111 6 M59 20600 000132 0000R 00001 00134 015 2111100 2024 CP1CA380*")-SUMIFS(E3964:E9015,K3964:K9015,"0",B3964:B9015,"5 1 1 3 4 12 31111 6 M59 20600 000132 0000R 00001 00134 015 2111100 2024 CP1CA380*")</f>
        <v>0</v>
      </c>
      <c r="E3963"/>
      <c r="F3963" s="35">
        <f>SUMIFS(F3964:F9015,K3964:K9015,"0",B3964:B9015,"5 1 1 3 4 12 31111 6 M59 20600 000132 0000R 00001 00134 015 2111100 2024 CP1CA380*")</f>
        <v>46798.8</v>
      </c>
      <c r="G3963" s="35">
        <f>SUMIFS(G3964:G9015,K3964:K9015,"0",B3964:B9015,"5 1 1 3 4 12 31111 6 M59 20600 000132 0000R 00001 00134 015 2111100 2024 CP1CA380*")</f>
        <v>0</v>
      </c>
      <c r="H3963" s="35">
        <f t="shared" si="62"/>
        <v>46798.8</v>
      </c>
      <c r="I3963" s="35"/>
      <c r="K3963" t="s">
        <v>15</v>
      </c>
    </row>
    <row r="3964" spans="2:11" ht="41.25" x14ac:dyDescent="0.2">
      <c r="B3964" s="33" t="s">
        <v>4905</v>
      </c>
      <c r="C3964" s="33" t="s">
        <v>282</v>
      </c>
      <c r="D3964" s="35">
        <f>SUMIFS(D3965:D9015,K3965:K9015,"0",B3965:B9015,"5 1 1 3 4 12 31111 6 M59 20600 000132 0000R 00001 00134 015 2111100 2024 CP1CA380 001*")-SUMIFS(E3965:E9015,K3965:K9015,"0",B3965:B9015,"5 1 1 3 4 12 31111 6 M59 20600 000132 0000R 00001 00134 015 2111100 2024 CP1CA380 001*")</f>
        <v>0</v>
      </c>
      <c r="E3964"/>
      <c r="F3964" s="35">
        <f>SUMIFS(F3965:F9015,K3965:K9015,"0",B3965:B9015,"5 1 1 3 4 12 31111 6 M59 20600 000132 0000R 00001 00134 015 2111100 2024 CP1CA380 001*")</f>
        <v>46798.8</v>
      </c>
      <c r="G3964" s="35">
        <f>SUMIFS(G3965:G9015,K3965:K9015,"0",B3965:B9015,"5 1 1 3 4 12 31111 6 M59 20600 000132 0000R 00001 00134 015 2111100 2024 CP1CA380 001*")</f>
        <v>0</v>
      </c>
      <c r="H3964" s="35">
        <f t="shared" si="62"/>
        <v>46798.8</v>
      </c>
      <c r="I3964" s="35"/>
      <c r="K3964" t="s">
        <v>15</v>
      </c>
    </row>
    <row r="3965" spans="2:11" ht="41.25" x14ac:dyDescent="0.2">
      <c r="B3965" s="31" t="s">
        <v>4906</v>
      </c>
      <c r="C3965" s="31" t="s">
        <v>4783</v>
      </c>
      <c r="D3965" s="34">
        <v>0</v>
      </c>
      <c r="E3965" s="34"/>
      <c r="F3965" s="34">
        <v>46798.8</v>
      </c>
      <c r="G3965" s="34">
        <v>0</v>
      </c>
      <c r="H3965" s="34">
        <f t="shared" si="62"/>
        <v>46798.8</v>
      </c>
      <c r="I3965" s="34"/>
      <c r="K3965" t="s">
        <v>38</v>
      </c>
    </row>
    <row r="3966" spans="2:11" ht="16.5" x14ac:dyDescent="0.2">
      <c r="B3966" s="33" t="s">
        <v>4907</v>
      </c>
      <c r="C3966" s="33" t="s">
        <v>3150</v>
      </c>
      <c r="D3966" s="35">
        <f>SUMIFS(D3967:D9015,K3967:K9015,"0",B3967:B9015,"5 1 1 3 4 12 31111 6 M59 20800*")-SUMIFS(E3967:E9015,K3967:K9015,"0",B3967:B9015,"5 1 1 3 4 12 31111 6 M59 20800*")</f>
        <v>0</v>
      </c>
      <c r="E3966"/>
      <c r="F3966" s="35">
        <f>SUMIFS(F3967:F9015,K3967:K9015,"0",B3967:B9015,"5 1 1 3 4 12 31111 6 M59 20800*")</f>
        <v>153500</v>
      </c>
      <c r="G3966" s="35">
        <f>SUMIFS(G3967:G9015,K3967:K9015,"0",B3967:B9015,"5 1 1 3 4 12 31111 6 M59 20800*")</f>
        <v>0</v>
      </c>
      <c r="H3966" s="35">
        <f t="shared" si="62"/>
        <v>153500</v>
      </c>
      <c r="I3966" s="35"/>
      <c r="K3966" t="s">
        <v>15</v>
      </c>
    </row>
    <row r="3967" spans="2:11" ht="24.75" x14ac:dyDescent="0.2">
      <c r="B3967" s="33" t="s">
        <v>4908</v>
      </c>
      <c r="C3967" s="33" t="s">
        <v>3152</v>
      </c>
      <c r="D3967" s="35">
        <f>SUMIFS(D3968:D9015,K3968:K9015,"0",B3968:B9015,"5 1 1 3 4 12 31111 6 M59 20800 000181*")-SUMIFS(E3968:E9015,K3968:K9015,"0",B3968:B9015,"5 1 1 3 4 12 31111 6 M59 20800 000181*")</f>
        <v>0</v>
      </c>
      <c r="E3967"/>
      <c r="F3967" s="35">
        <f>SUMIFS(F3968:F9015,K3968:K9015,"0",B3968:B9015,"5 1 1 3 4 12 31111 6 M59 20800 000181*")</f>
        <v>153500</v>
      </c>
      <c r="G3967" s="35">
        <f>SUMIFS(G3968:G9015,K3968:K9015,"0",B3968:B9015,"5 1 1 3 4 12 31111 6 M59 20800 000181*")</f>
        <v>0</v>
      </c>
      <c r="H3967" s="35">
        <f t="shared" si="62"/>
        <v>153500</v>
      </c>
      <c r="I3967" s="35"/>
      <c r="K3967" t="s">
        <v>15</v>
      </c>
    </row>
    <row r="3968" spans="2:11" ht="24.75" x14ac:dyDescent="0.2">
      <c r="B3968" s="33" t="s">
        <v>4909</v>
      </c>
      <c r="C3968" s="33" t="s">
        <v>650</v>
      </c>
      <c r="D3968" s="35">
        <f>SUMIFS(D3969:D9015,K3969:K9015,"0",B3969:B9015,"5 1 1 3 4 12 31111 6 M59 20800 000181 0000R*")-SUMIFS(E3969:E9015,K3969:K9015,"0",B3969:B9015,"5 1 1 3 4 12 31111 6 M59 20800 000181 0000R*")</f>
        <v>0</v>
      </c>
      <c r="E3968"/>
      <c r="F3968" s="35">
        <f>SUMIFS(F3969:F9015,K3969:K9015,"0",B3969:B9015,"5 1 1 3 4 12 31111 6 M59 20800 000181 0000R*")</f>
        <v>153500</v>
      </c>
      <c r="G3968" s="35">
        <f>SUMIFS(G3969:G9015,K3969:K9015,"0",B3969:B9015,"5 1 1 3 4 12 31111 6 M59 20800 000181 0000R*")</f>
        <v>0</v>
      </c>
      <c r="H3968" s="35">
        <f t="shared" si="62"/>
        <v>153500</v>
      </c>
      <c r="I3968" s="35"/>
      <c r="K3968" t="s">
        <v>15</v>
      </c>
    </row>
    <row r="3969" spans="2:11" ht="24.75" x14ac:dyDescent="0.2">
      <c r="B3969" s="33" t="s">
        <v>4910</v>
      </c>
      <c r="C3969" s="33" t="s">
        <v>282</v>
      </c>
      <c r="D3969" s="35">
        <f>SUMIFS(D3970:D9015,K3970:K9015,"0",B3970:B9015,"5 1 1 3 4 12 31111 6 M59 20800 000181 0000R 00001*")-SUMIFS(E3970:E9015,K3970:K9015,"0",B3970:B9015,"5 1 1 3 4 12 31111 6 M59 20800 000181 0000R 00001*")</f>
        <v>0</v>
      </c>
      <c r="E3969"/>
      <c r="F3969" s="35">
        <f>SUMIFS(F3970:F9015,K3970:K9015,"0",B3970:B9015,"5 1 1 3 4 12 31111 6 M59 20800 000181 0000R 00001*")</f>
        <v>153500</v>
      </c>
      <c r="G3969" s="35">
        <f>SUMIFS(G3970:G9015,K3970:K9015,"0",B3970:B9015,"5 1 1 3 4 12 31111 6 M59 20800 000181 0000R 00001*")</f>
        <v>0</v>
      </c>
      <c r="H3969" s="35">
        <f t="shared" si="62"/>
        <v>153500</v>
      </c>
      <c r="I3969" s="35"/>
      <c r="K3969" t="s">
        <v>15</v>
      </c>
    </row>
    <row r="3970" spans="2:11" ht="24.75" x14ac:dyDescent="0.2">
      <c r="B3970" s="33" t="s">
        <v>4911</v>
      </c>
      <c r="C3970" s="33" t="s">
        <v>4776</v>
      </c>
      <c r="D3970" s="35">
        <f>SUMIFS(D3971:D9015,K3971:K9015,"0",B3971:B9015,"5 1 1 3 4 12 31111 6 M59 20800 000181 0000R 00001 00134*")-SUMIFS(E3971:E9015,K3971:K9015,"0",B3971:B9015,"5 1 1 3 4 12 31111 6 M59 20800 000181 0000R 00001 00134*")</f>
        <v>0</v>
      </c>
      <c r="E3970"/>
      <c r="F3970" s="35">
        <f>SUMIFS(F3971:F9015,K3971:K9015,"0",B3971:B9015,"5 1 1 3 4 12 31111 6 M59 20800 000181 0000R 00001 00134*")</f>
        <v>153500</v>
      </c>
      <c r="G3970" s="35">
        <f>SUMIFS(G3971:G9015,K3971:K9015,"0",B3971:B9015,"5 1 1 3 4 12 31111 6 M59 20800 000181 0000R 00001 00134*")</f>
        <v>0</v>
      </c>
      <c r="H3970" s="35">
        <f t="shared" si="62"/>
        <v>153500</v>
      </c>
      <c r="I3970" s="35"/>
      <c r="K3970" t="s">
        <v>15</v>
      </c>
    </row>
    <row r="3971" spans="2:11" ht="33" x14ac:dyDescent="0.2">
      <c r="B3971" s="33" t="s">
        <v>4912</v>
      </c>
      <c r="C3971" s="33" t="s">
        <v>1051</v>
      </c>
      <c r="D3971" s="35">
        <f>SUMIFS(D3972:D9015,K3972:K9015,"0",B3972:B9015,"5 1 1 3 4 12 31111 6 M59 20800 000181 0000R 00001 00134 015*")-SUMIFS(E3972:E9015,K3972:K9015,"0",B3972:B9015,"5 1 1 3 4 12 31111 6 M59 20800 000181 0000R 00001 00134 015*")</f>
        <v>0</v>
      </c>
      <c r="E3971"/>
      <c r="F3971" s="35">
        <f>SUMIFS(F3972:F9015,K3972:K9015,"0",B3972:B9015,"5 1 1 3 4 12 31111 6 M59 20800 000181 0000R 00001 00134 015*")</f>
        <v>153500</v>
      </c>
      <c r="G3971" s="35">
        <f>SUMIFS(G3972:G9015,K3972:K9015,"0",B3972:B9015,"5 1 1 3 4 12 31111 6 M59 20800 000181 0000R 00001 00134 015*")</f>
        <v>0</v>
      </c>
      <c r="H3971" s="35">
        <f t="shared" si="62"/>
        <v>153500</v>
      </c>
      <c r="I3971" s="35"/>
      <c r="K3971" t="s">
        <v>15</v>
      </c>
    </row>
    <row r="3972" spans="2:11" ht="33" x14ac:dyDescent="0.2">
      <c r="B3972" s="33" t="s">
        <v>4913</v>
      </c>
      <c r="C3972" s="33" t="s">
        <v>2927</v>
      </c>
      <c r="D3972" s="35">
        <f>SUMIFS(D3973:D9015,K3973:K9015,"0",B3973:B9015,"5 1 1 3 4 12 31111 6 M59 20800 000181 0000R 00001 00134 015 2111100*")-SUMIFS(E3973:E9015,K3973:K9015,"0",B3973:B9015,"5 1 1 3 4 12 31111 6 M59 20800 000181 0000R 00001 00134 015 2111100*")</f>
        <v>0</v>
      </c>
      <c r="E3972"/>
      <c r="F3972" s="35">
        <f>SUMIFS(F3973:F9015,K3973:K9015,"0",B3973:B9015,"5 1 1 3 4 12 31111 6 M59 20800 000181 0000R 00001 00134 015 2111100*")</f>
        <v>153500</v>
      </c>
      <c r="G3972" s="35">
        <f>SUMIFS(G3973:G9015,K3973:K9015,"0",B3973:B9015,"5 1 1 3 4 12 31111 6 M59 20800 000181 0000R 00001 00134 015 2111100*")</f>
        <v>0</v>
      </c>
      <c r="H3972" s="35">
        <f t="shared" ref="H3972:H4035" si="63">D3972 + F3972 - G3972</f>
        <v>153500</v>
      </c>
      <c r="I3972" s="35"/>
      <c r="K3972" t="s">
        <v>15</v>
      </c>
    </row>
    <row r="3973" spans="2:11" ht="33" x14ac:dyDescent="0.2">
      <c r="B3973" s="33" t="s">
        <v>4914</v>
      </c>
      <c r="C3973" s="33" t="s">
        <v>660</v>
      </c>
      <c r="D3973" s="35">
        <f>SUMIFS(D3974:D9015,K3974:K9015,"0",B3974:B9015,"5 1 1 3 4 12 31111 6 M59 20800 000181 0000R 00001 00134 015 2111100 2024*")-SUMIFS(E3974:E9015,K3974:K9015,"0",B3974:B9015,"5 1 1 3 4 12 31111 6 M59 20800 000181 0000R 00001 00134 015 2111100 2024*")</f>
        <v>0</v>
      </c>
      <c r="E3973"/>
      <c r="F3973" s="35">
        <f>SUMIFS(F3974:F9015,K3974:K9015,"0",B3974:B9015,"5 1 1 3 4 12 31111 6 M59 20800 000181 0000R 00001 00134 015 2111100 2024*")</f>
        <v>153500</v>
      </c>
      <c r="G3973" s="35">
        <f>SUMIFS(G3974:G9015,K3974:K9015,"0",B3974:B9015,"5 1 1 3 4 12 31111 6 M59 20800 000181 0000R 00001 00134 015 2111100 2024*")</f>
        <v>0</v>
      </c>
      <c r="H3973" s="35">
        <f t="shared" si="63"/>
        <v>153500</v>
      </c>
      <c r="I3973" s="35"/>
      <c r="K3973" t="s">
        <v>15</v>
      </c>
    </row>
    <row r="3974" spans="2:11" ht="41.25" x14ac:dyDescent="0.2">
      <c r="B3974" s="33" t="s">
        <v>4915</v>
      </c>
      <c r="C3974" s="33" t="s">
        <v>1056</v>
      </c>
      <c r="D3974" s="35">
        <f>SUMIFS(D3975:D9015,K3975:K9015,"0",B3975:B9015,"5 1 1 3 4 12 31111 6 M59 20800 000181 0000R 00001 00134 015 2111100 2024 CP1AA392*")-SUMIFS(E3975:E9015,K3975:K9015,"0",B3975:B9015,"5 1 1 3 4 12 31111 6 M59 20800 000181 0000R 00001 00134 015 2111100 2024 CP1AA392*")</f>
        <v>0</v>
      </c>
      <c r="E3974"/>
      <c r="F3974" s="35">
        <f>SUMIFS(F3975:F9015,K3975:K9015,"0",B3975:B9015,"5 1 1 3 4 12 31111 6 M59 20800 000181 0000R 00001 00134 015 2111100 2024 CP1AA392*")</f>
        <v>153500</v>
      </c>
      <c r="G3974" s="35">
        <f>SUMIFS(G3975:G9015,K3975:K9015,"0",B3975:B9015,"5 1 1 3 4 12 31111 6 M59 20800 000181 0000R 00001 00134 015 2111100 2024 CP1AA392*")</f>
        <v>0</v>
      </c>
      <c r="H3974" s="35">
        <f t="shared" si="63"/>
        <v>153500</v>
      </c>
      <c r="I3974" s="35"/>
      <c r="K3974" t="s">
        <v>15</v>
      </c>
    </row>
    <row r="3975" spans="2:11" ht="41.25" x14ac:dyDescent="0.2">
      <c r="B3975" s="33" t="s">
        <v>4916</v>
      </c>
      <c r="C3975" s="33" t="s">
        <v>282</v>
      </c>
      <c r="D3975" s="35">
        <f>SUMIFS(D3976:D9015,K3976:K9015,"0",B3976:B9015,"5 1 1 3 4 12 31111 6 M59 20800 000181 0000R 00001 00134 015 2111100 2024 CP1AA392 001*")-SUMIFS(E3976:E9015,K3976:K9015,"0",B3976:B9015,"5 1 1 3 4 12 31111 6 M59 20800 000181 0000R 00001 00134 015 2111100 2024 CP1AA392 001*")</f>
        <v>0</v>
      </c>
      <c r="E3975"/>
      <c r="F3975" s="35">
        <f>SUMIFS(F3976:F9015,K3976:K9015,"0",B3976:B9015,"5 1 1 3 4 12 31111 6 M59 20800 000181 0000R 00001 00134 015 2111100 2024 CP1AA392 001*")</f>
        <v>153500</v>
      </c>
      <c r="G3975" s="35">
        <f>SUMIFS(G3976:G9015,K3976:K9015,"0",B3976:B9015,"5 1 1 3 4 12 31111 6 M59 20800 000181 0000R 00001 00134 015 2111100 2024 CP1AA392 001*")</f>
        <v>0</v>
      </c>
      <c r="H3975" s="35">
        <f t="shared" si="63"/>
        <v>153500</v>
      </c>
      <c r="I3975" s="35"/>
      <c r="K3975" t="s">
        <v>15</v>
      </c>
    </row>
    <row r="3976" spans="2:11" ht="33" x14ac:dyDescent="0.2">
      <c r="B3976" s="31" t="s">
        <v>4917</v>
      </c>
      <c r="C3976" s="31" t="s">
        <v>4766</v>
      </c>
      <c r="D3976" s="34">
        <v>0</v>
      </c>
      <c r="E3976" s="34"/>
      <c r="F3976" s="34">
        <v>153500</v>
      </c>
      <c r="G3976" s="34">
        <v>0</v>
      </c>
      <c r="H3976" s="34">
        <f t="shared" si="63"/>
        <v>153500</v>
      </c>
      <c r="I3976" s="34"/>
      <c r="K3976" t="s">
        <v>38</v>
      </c>
    </row>
    <row r="3977" spans="2:11" ht="16.5" x14ac:dyDescent="0.2">
      <c r="B3977" s="33" t="s">
        <v>4918</v>
      </c>
      <c r="C3977" s="33" t="s">
        <v>3199</v>
      </c>
      <c r="D3977" s="35">
        <f>SUMIFS(D3978:D9015,K3978:K9015,"0",B3978:B9015,"5 1 1 3 4 12 31111 6 M59 30000*")-SUMIFS(E3978:E9015,K3978:K9015,"0",B3978:B9015,"5 1 1 3 4 12 31111 6 M59 30000*")</f>
        <v>0</v>
      </c>
      <c r="E3977"/>
      <c r="F3977" s="35">
        <f>SUMIFS(F3978:F9015,K3978:K9015,"0",B3978:B9015,"5 1 1 3 4 12 31111 6 M59 30000*")</f>
        <v>48000</v>
      </c>
      <c r="G3977" s="35">
        <f>SUMIFS(G3978:G9015,K3978:K9015,"0",B3978:B9015,"5 1 1 3 4 12 31111 6 M59 30000*")</f>
        <v>0</v>
      </c>
      <c r="H3977" s="35">
        <f t="shared" si="63"/>
        <v>48000</v>
      </c>
      <c r="I3977" s="35"/>
      <c r="K3977" t="s">
        <v>15</v>
      </c>
    </row>
    <row r="3978" spans="2:11" ht="16.5" x14ac:dyDescent="0.2">
      <c r="B3978" s="33" t="s">
        <v>4919</v>
      </c>
      <c r="C3978" s="33" t="s">
        <v>648</v>
      </c>
      <c r="D3978" s="35">
        <f>SUMIFS(D3979:D9015,K3979:K9015,"0",B3979:B9015,"5 1 1 3 4 12 31111 6 M59 30000 000132*")-SUMIFS(E3979:E9015,K3979:K9015,"0",B3979:B9015,"5 1 1 3 4 12 31111 6 M59 30000 000132*")</f>
        <v>0</v>
      </c>
      <c r="E3978"/>
      <c r="F3978" s="35">
        <f>SUMIFS(F3979:F9015,K3979:K9015,"0",B3979:B9015,"5 1 1 3 4 12 31111 6 M59 30000 000132*")</f>
        <v>48000</v>
      </c>
      <c r="G3978" s="35">
        <f>SUMIFS(G3979:G9015,K3979:K9015,"0",B3979:B9015,"5 1 1 3 4 12 31111 6 M59 30000 000132*")</f>
        <v>0</v>
      </c>
      <c r="H3978" s="35">
        <f t="shared" si="63"/>
        <v>48000</v>
      </c>
      <c r="I3978" s="35"/>
      <c r="K3978" t="s">
        <v>15</v>
      </c>
    </row>
    <row r="3979" spans="2:11" ht="24.75" x14ac:dyDescent="0.2">
      <c r="B3979" s="33" t="s">
        <v>4920</v>
      </c>
      <c r="C3979" s="33" t="s">
        <v>650</v>
      </c>
      <c r="D3979" s="35">
        <f>SUMIFS(D3980:D9015,K3980:K9015,"0",B3980:B9015,"5 1 1 3 4 12 31111 6 M59 30000 000132 0000R*")-SUMIFS(E3980:E9015,K3980:K9015,"0",B3980:B9015,"5 1 1 3 4 12 31111 6 M59 30000 000132 0000R*")</f>
        <v>0</v>
      </c>
      <c r="E3979"/>
      <c r="F3979" s="35">
        <f>SUMIFS(F3980:F9015,K3980:K9015,"0",B3980:B9015,"5 1 1 3 4 12 31111 6 M59 30000 000132 0000R*")</f>
        <v>48000</v>
      </c>
      <c r="G3979" s="35">
        <f>SUMIFS(G3980:G9015,K3980:K9015,"0",B3980:B9015,"5 1 1 3 4 12 31111 6 M59 30000 000132 0000R*")</f>
        <v>0</v>
      </c>
      <c r="H3979" s="35">
        <f t="shared" si="63"/>
        <v>48000</v>
      </c>
      <c r="I3979" s="35"/>
      <c r="K3979" t="s">
        <v>15</v>
      </c>
    </row>
    <row r="3980" spans="2:11" ht="24.75" x14ac:dyDescent="0.2">
      <c r="B3980" s="33" t="s">
        <v>4921</v>
      </c>
      <c r="C3980" s="33" t="s">
        <v>282</v>
      </c>
      <c r="D3980" s="35">
        <f>SUMIFS(D3981:D9015,K3981:K9015,"0",B3981:B9015,"5 1 1 3 4 12 31111 6 M59 30000 000132 0000R 00001*")-SUMIFS(E3981:E9015,K3981:K9015,"0",B3981:B9015,"5 1 1 3 4 12 31111 6 M59 30000 000132 0000R 00001*")</f>
        <v>0</v>
      </c>
      <c r="E3980"/>
      <c r="F3980" s="35">
        <f>SUMIFS(F3981:F9015,K3981:K9015,"0",B3981:B9015,"5 1 1 3 4 12 31111 6 M59 30000 000132 0000R 00001*")</f>
        <v>48000</v>
      </c>
      <c r="G3980" s="35">
        <f>SUMIFS(G3981:G9015,K3981:K9015,"0",B3981:B9015,"5 1 1 3 4 12 31111 6 M59 30000 000132 0000R 00001*")</f>
        <v>0</v>
      </c>
      <c r="H3980" s="35">
        <f t="shared" si="63"/>
        <v>48000</v>
      </c>
      <c r="I3980" s="35"/>
      <c r="K3980" t="s">
        <v>15</v>
      </c>
    </row>
    <row r="3981" spans="2:11" ht="24.75" x14ac:dyDescent="0.2">
      <c r="B3981" s="33" t="s">
        <v>4922</v>
      </c>
      <c r="C3981" s="33" t="s">
        <v>4776</v>
      </c>
      <c r="D3981" s="35">
        <f>SUMIFS(D3982:D9015,K3982:K9015,"0",B3982:B9015,"5 1 1 3 4 12 31111 6 M59 30000 000132 0000R 00001 00134*")-SUMIFS(E3982:E9015,K3982:K9015,"0",B3982:B9015,"5 1 1 3 4 12 31111 6 M59 30000 000132 0000R 00001 00134*")</f>
        <v>0</v>
      </c>
      <c r="E3981"/>
      <c r="F3981" s="35">
        <f>SUMIFS(F3982:F9015,K3982:K9015,"0",B3982:B9015,"5 1 1 3 4 12 31111 6 M59 30000 000132 0000R 00001 00134*")</f>
        <v>48000</v>
      </c>
      <c r="G3981" s="35">
        <f>SUMIFS(G3982:G9015,K3982:K9015,"0",B3982:B9015,"5 1 1 3 4 12 31111 6 M59 30000 000132 0000R 00001 00134*")</f>
        <v>0</v>
      </c>
      <c r="H3981" s="35">
        <f t="shared" si="63"/>
        <v>48000</v>
      </c>
      <c r="I3981" s="35"/>
      <c r="K3981" t="s">
        <v>15</v>
      </c>
    </row>
    <row r="3982" spans="2:11" ht="33" x14ac:dyDescent="0.2">
      <c r="B3982" s="33" t="s">
        <v>4923</v>
      </c>
      <c r="C3982" s="33" t="s">
        <v>1051</v>
      </c>
      <c r="D3982" s="35">
        <f>SUMIFS(D3983:D9015,K3983:K9015,"0",B3983:B9015,"5 1 1 3 4 12 31111 6 M59 30000 000132 0000R 00001 00134 015*")-SUMIFS(E3983:E9015,K3983:K9015,"0",B3983:B9015,"5 1 1 3 4 12 31111 6 M59 30000 000132 0000R 00001 00134 015*")</f>
        <v>0</v>
      </c>
      <c r="E3982"/>
      <c r="F3982" s="35">
        <f>SUMIFS(F3983:F9015,K3983:K9015,"0",B3983:B9015,"5 1 1 3 4 12 31111 6 M59 30000 000132 0000R 00001 00134 015*")</f>
        <v>48000</v>
      </c>
      <c r="G3982" s="35">
        <f>SUMIFS(G3983:G9015,K3983:K9015,"0",B3983:B9015,"5 1 1 3 4 12 31111 6 M59 30000 000132 0000R 00001 00134 015*")</f>
        <v>0</v>
      </c>
      <c r="H3982" s="35">
        <f t="shared" si="63"/>
        <v>48000</v>
      </c>
      <c r="I3982" s="35"/>
      <c r="K3982" t="s">
        <v>15</v>
      </c>
    </row>
    <row r="3983" spans="2:11" ht="33" x14ac:dyDescent="0.2">
      <c r="B3983" s="33" t="s">
        <v>4924</v>
      </c>
      <c r="C3983" s="33" t="s">
        <v>2927</v>
      </c>
      <c r="D3983" s="35">
        <f>SUMIFS(D3984:D9015,K3984:K9015,"0",B3984:B9015,"5 1 1 3 4 12 31111 6 M59 30000 000132 0000R 00001 00134 015 2111100*")-SUMIFS(E3984:E9015,K3984:K9015,"0",B3984:B9015,"5 1 1 3 4 12 31111 6 M59 30000 000132 0000R 00001 00134 015 2111100*")</f>
        <v>0</v>
      </c>
      <c r="E3983"/>
      <c r="F3983" s="35">
        <f>SUMIFS(F3984:F9015,K3984:K9015,"0",B3984:B9015,"5 1 1 3 4 12 31111 6 M59 30000 000132 0000R 00001 00134 015 2111100*")</f>
        <v>48000</v>
      </c>
      <c r="G3983" s="35">
        <f>SUMIFS(G3984:G9015,K3984:K9015,"0",B3984:B9015,"5 1 1 3 4 12 31111 6 M59 30000 000132 0000R 00001 00134 015 2111100*")</f>
        <v>0</v>
      </c>
      <c r="H3983" s="35">
        <f t="shared" si="63"/>
        <v>48000</v>
      </c>
      <c r="I3983" s="35"/>
      <c r="K3983" t="s">
        <v>15</v>
      </c>
    </row>
    <row r="3984" spans="2:11" ht="33" x14ac:dyDescent="0.2">
      <c r="B3984" s="33" t="s">
        <v>4925</v>
      </c>
      <c r="C3984" s="33" t="s">
        <v>660</v>
      </c>
      <c r="D3984" s="35">
        <f>SUMIFS(D3985:D9015,K3985:K9015,"0",B3985:B9015,"5 1 1 3 4 12 31111 6 M59 30000 000132 0000R 00001 00134 015 2111100 2024*")-SUMIFS(E3985:E9015,K3985:K9015,"0",B3985:B9015,"5 1 1 3 4 12 31111 6 M59 30000 000132 0000R 00001 00134 015 2111100 2024*")</f>
        <v>0</v>
      </c>
      <c r="E3984"/>
      <c r="F3984" s="35">
        <f>SUMIFS(F3985:F9015,K3985:K9015,"0",B3985:B9015,"5 1 1 3 4 12 31111 6 M59 30000 000132 0000R 00001 00134 015 2111100 2024*")</f>
        <v>48000</v>
      </c>
      <c r="G3984" s="35">
        <f>SUMIFS(G3985:G9015,K3985:K9015,"0",B3985:B9015,"5 1 1 3 4 12 31111 6 M59 30000 000132 0000R 00001 00134 015 2111100 2024*")</f>
        <v>0</v>
      </c>
      <c r="H3984" s="35">
        <f t="shared" si="63"/>
        <v>48000</v>
      </c>
      <c r="I3984" s="35"/>
      <c r="K3984" t="s">
        <v>15</v>
      </c>
    </row>
    <row r="3985" spans="2:11" ht="41.25" x14ac:dyDescent="0.2">
      <c r="B3985" s="33" t="s">
        <v>4926</v>
      </c>
      <c r="C3985" s="33" t="s">
        <v>1056</v>
      </c>
      <c r="D3985" s="35">
        <f>SUMIFS(D3986:D9015,K3986:K9015,"0",B3986:B9015,"5 1 1 3 4 12 31111 6 M59 30000 000132 0000R 00001 00134 015 2111100 2024 CP1DU385*")-SUMIFS(E3986:E9015,K3986:K9015,"0",B3986:B9015,"5 1 1 3 4 12 31111 6 M59 30000 000132 0000R 00001 00134 015 2111100 2024 CP1DU385*")</f>
        <v>0</v>
      </c>
      <c r="E3985"/>
      <c r="F3985" s="35">
        <f>SUMIFS(F3986:F9015,K3986:K9015,"0",B3986:B9015,"5 1 1 3 4 12 31111 6 M59 30000 000132 0000R 00001 00134 015 2111100 2024 CP1DU385*")</f>
        <v>48000</v>
      </c>
      <c r="G3985" s="35">
        <f>SUMIFS(G3986:G9015,K3986:K9015,"0",B3986:B9015,"5 1 1 3 4 12 31111 6 M59 30000 000132 0000R 00001 00134 015 2111100 2024 CP1DU385*")</f>
        <v>0</v>
      </c>
      <c r="H3985" s="35">
        <f t="shared" si="63"/>
        <v>48000</v>
      </c>
      <c r="I3985" s="35"/>
      <c r="K3985" t="s">
        <v>15</v>
      </c>
    </row>
    <row r="3986" spans="2:11" ht="41.25" x14ac:dyDescent="0.2">
      <c r="B3986" s="33" t="s">
        <v>4927</v>
      </c>
      <c r="C3986" s="33" t="s">
        <v>282</v>
      </c>
      <c r="D3986" s="35">
        <f>SUMIFS(D3987:D9015,K3987:K9015,"0",B3987:B9015,"5 1 1 3 4 12 31111 6 M59 30000 000132 0000R 00001 00134 015 2111100 2024 CP1DU385 001*")-SUMIFS(E3987:E9015,K3987:K9015,"0",B3987:B9015,"5 1 1 3 4 12 31111 6 M59 30000 000132 0000R 00001 00134 015 2111100 2024 CP1DU385 001*")</f>
        <v>0</v>
      </c>
      <c r="E3986"/>
      <c r="F3986" s="35">
        <f>SUMIFS(F3987:F9015,K3987:K9015,"0",B3987:B9015,"5 1 1 3 4 12 31111 6 M59 30000 000132 0000R 00001 00134 015 2111100 2024 CP1DU385 001*")</f>
        <v>48000</v>
      </c>
      <c r="G3986" s="35">
        <f>SUMIFS(G3987:G9015,K3987:K9015,"0",B3987:B9015,"5 1 1 3 4 12 31111 6 M59 30000 000132 0000R 00001 00134 015 2111100 2024 CP1DU385 001*")</f>
        <v>0</v>
      </c>
      <c r="H3986" s="35">
        <f t="shared" si="63"/>
        <v>48000</v>
      </c>
      <c r="I3986" s="35"/>
      <c r="K3986" t="s">
        <v>15</v>
      </c>
    </row>
    <row r="3987" spans="2:11" ht="41.25" x14ac:dyDescent="0.2">
      <c r="B3987" s="31" t="s">
        <v>4928</v>
      </c>
      <c r="C3987" s="31" t="s">
        <v>4766</v>
      </c>
      <c r="D3987" s="34">
        <v>0</v>
      </c>
      <c r="E3987" s="34"/>
      <c r="F3987" s="34">
        <v>48000</v>
      </c>
      <c r="G3987" s="34">
        <v>0</v>
      </c>
      <c r="H3987" s="34">
        <f t="shared" si="63"/>
        <v>48000</v>
      </c>
      <c r="I3987" s="34"/>
      <c r="K3987" t="s">
        <v>38</v>
      </c>
    </row>
    <row r="3988" spans="2:11" ht="16.5" x14ac:dyDescent="0.2">
      <c r="B3988" s="33" t="s">
        <v>4929</v>
      </c>
      <c r="C3988" s="33" t="s">
        <v>646</v>
      </c>
      <c r="D3988" s="35">
        <f>SUMIFS(D3989:D9015,K3989:K9015,"0",B3989:B9015,"5 1 1 3 4 12 31111 6 M59 30100*")-SUMIFS(E3989:E9015,K3989:K9015,"0",B3989:B9015,"5 1 1 3 4 12 31111 6 M59 30100*")</f>
        <v>0</v>
      </c>
      <c r="E3988"/>
      <c r="F3988" s="35">
        <f>SUMIFS(F3989:F9015,K3989:K9015,"0",B3989:B9015,"5 1 1 3 4 12 31111 6 M59 30100*")</f>
        <v>54500</v>
      </c>
      <c r="G3988" s="35">
        <f>SUMIFS(G3989:G9015,K3989:K9015,"0",B3989:B9015,"5 1 1 3 4 12 31111 6 M59 30100*")</f>
        <v>0</v>
      </c>
      <c r="H3988" s="35">
        <f t="shared" si="63"/>
        <v>54500</v>
      </c>
      <c r="I3988" s="35"/>
      <c r="K3988" t="s">
        <v>15</v>
      </c>
    </row>
    <row r="3989" spans="2:11" ht="16.5" x14ac:dyDescent="0.2">
      <c r="B3989" s="33" t="s">
        <v>4930</v>
      </c>
      <c r="C3989" s="33" t="s">
        <v>648</v>
      </c>
      <c r="D3989" s="35">
        <f>SUMIFS(D3990:D9015,K3990:K9015,"0",B3990:B9015,"5 1 1 3 4 12 31111 6 M59 30100 000132*")-SUMIFS(E3990:E9015,K3990:K9015,"0",B3990:B9015,"5 1 1 3 4 12 31111 6 M59 30100 000132*")</f>
        <v>0</v>
      </c>
      <c r="E3989"/>
      <c r="F3989" s="35">
        <f>SUMIFS(F3990:F9015,K3990:K9015,"0",B3990:B9015,"5 1 1 3 4 12 31111 6 M59 30100 000132*")</f>
        <v>54500</v>
      </c>
      <c r="G3989" s="35">
        <f>SUMIFS(G3990:G9015,K3990:K9015,"0",B3990:B9015,"5 1 1 3 4 12 31111 6 M59 30100 000132*")</f>
        <v>0</v>
      </c>
      <c r="H3989" s="35">
        <f t="shared" si="63"/>
        <v>54500</v>
      </c>
      <c r="I3989" s="35"/>
      <c r="K3989" t="s">
        <v>15</v>
      </c>
    </row>
    <row r="3990" spans="2:11" ht="24.75" x14ac:dyDescent="0.2">
      <c r="B3990" s="33" t="s">
        <v>4931</v>
      </c>
      <c r="C3990" s="33" t="s">
        <v>650</v>
      </c>
      <c r="D3990" s="35">
        <f>SUMIFS(D3991:D9015,K3991:K9015,"0",B3991:B9015,"5 1 1 3 4 12 31111 6 M59 30100 000132 0000R*")-SUMIFS(E3991:E9015,K3991:K9015,"0",B3991:B9015,"5 1 1 3 4 12 31111 6 M59 30100 000132 0000R*")</f>
        <v>0</v>
      </c>
      <c r="E3990"/>
      <c r="F3990" s="35">
        <f>SUMIFS(F3991:F9015,K3991:K9015,"0",B3991:B9015,"5 1 1 3 4 12 31111 6 M59 30100 000132 0000R*")</f>
        <v>54500</v>
      </c>
      <c r="G3990" s="35">
        <f>SUMIFS(G3991:G9015,K3991:K9015,"0",B3991:B9015,"5 1 1 3 4 12 31111 6 M59 30100 000132 0000R*")</f>
        <v>0</v>
      </c>
      <c r="H3990" s="35">
        <f t="shared" si="63"/>
        <v>54500</v>
      </c>
      <c r="I3990" s="35"/>
      <c r="K3990" t="s">
        <v>15</v>
      </c>
    </row>
    <row r="3991" spans="2:11" ht="24.75" x14ac:dyDescent="0.2">
      <c r="B3991" s="33" t="s">
        <v>4932</v>
      </c>
      <c r="C3991" s="33" t="s">
        <v>282</v>
      </c>
      <c r="D3991" s="35">
        <f>SUMIFS(D3992:D9015,K3992:K9015,"0",B3992:B9015,"5 1 1 3 4 12 31111 6 M59 30100 000132 0000R 00001*")-SUMIFS(E3992:E9015,K3992:K9015,"0",B3992:B9015,"5 1 1 3 4 12 31111 6 M59 30100 000132 0000R 00001*")</f>
        <v>0</v>
      </c>
      <c r="E3991"/>
      <c r="F3991" s="35">
        <f>SUMIFS(F3992:F9015,K3992:K9015,"0",B3992:B9015,"5 1 1 3 4 12 31111 6 M59 30100 000132 0000R 00001*")</f>
        <v>54500</v>
      </c>
      <c r="G3991" s="35">
        <f>SUMIFS(G3992:G9015,K3992:K9015,"0",B3992:B9015,"5 1 1 3 4 12 31111 6 M59 30100 000132 0000R 00001*")</f>
        <v>0</v>
      </c>
      <c r="H3991" s="35">
        <f t="shared" si="63"/>
        <v>54500</v>
      </c>
      <c r="I3991" s="35"/>
      <c r="K3991" t="s">
        <v>15</v>
      </c>
    </row>
    <row r="3992" spans="2:11" ht="24.75" x14ac:dyDescent="0.2">
      <c r="B3992" s="33" t="s">
        <v>4933</v>
      </c>
      <c r="C3992" s="33" t="s">
        <v>4776</v>
      </c>
      <c r="D3992" s="35">
        <f>SUMIFS(D3993:D9015,K3993:K9015,"0",B3993:B9015,"5 1 1 3 4 12 31111 6 M59 30100 000132 0000R 00001 00134*")-SUMIFS(E3993:E9015,K3993:K9015,"0",B3993:B9015,"5 1 1 3 4 12 31111 6 M59 30100 000132 0000R 00001 00134*")</f>
        <v>0</v>
      </c>
      <c r="E3992"/>
      <c r="F3992" s="35">
        <f>SUMIFS(F3993:F9015,K3993:K9015,"0",B3993:B9015,"5 1 1 3 4 12 31111 6 M59 30100 000132 0000R 00001 00134*")</f>
        <v>54500</v>
      </c>
      <c r="G3992" s="35">
        <f>SUMIFS(G3993:G9015,K3993:K9015,"0",B3993:B9015,"5 1 1 3 4 12 31111 6 M59 30100 000132 0000R 00001 00134*")</f>
        <v>0</v>
      </c>
      <c r="H3992" s="35">
        <f t="shared" si="63"/>
        <v>54500</v>
      </c>
      <c r="I3992" s="35"/>
      <c r="K3992" t="s">
        <v>15</v>
      </c>
    </row>
    <row r="3993" spans="2:11" ht="33" x14ac:dyDescent="0.2">
      <c r="B3993" s="33" t="s">
        <v>4934</v>
      </c>
      <c r="C3993" s="33" t="s">
        <v>1051</v>
      </c>
      <c r="D3993" s="35">
        <f>SUMIFS(D3994:D9015,K3994:K9015,"0",B3994:B9015,"5 1 1 3 4 12 31111 6 M59 30100 000132 0000R 00001 00134 015*")-SUMIFS(E3994:E9015,K3994:K9015,"0",B3994:B9015,"5 1 1 3 4 12 31111 6 M59 30100 000132 0000R 00001 00134 015*")</f>
        <v>0</v>
      </c>
      <c r="E3993"/>
      <c r="F3993" s="35">
        <f>SUMIFS(F3994:F9015,K3994:K9015,"0",B3994:B9015,"5 1 1 3 4 12 31111 6 M59 30100 000132 0000R 00001 00134 015*")</f>
        <v>54500</v>
      </c>
      <c r="G3993" s="35">
        <f>SUMIFS(G3994:G9015,K3994:K9015,"0",B3994:B9015,"5 1 1 3 4 12 31111 6 M59 30100 000132 0000R 00001 00134 015*")</f>
        <v>0</v>
      </c>
      <c r="H3993" s="35">
        <f t="shared" si="63"/>
        <v>54500</v>
      </c>
      <c r="I3993" s="35"/>
      <c r="K3993" t="s">
        <v>15</v>
      </c>
    </row>
    <row r="3994" spans="2:11" ht="33" x14ac:dyDescent="0.2">
      <c r="B3994" s="33" t="s">
        <v>4935</v>
      </c>
      <c r="C3994" s="33" t="s">
        <v>2927</v>
      </c>
      <c r="D3994" s="35">
        <f>SUMIFS(D3995:D9015,K3995:K9015,"0",B3995:B9015,"5 1 1 3 4 12 31111 6 M59 30100 000132 0000R 00001 00134 015 2111100*")-SUMIFS(E3995:E9015,K3995:K9015,"0",B3995:B9015,"5 1 1 3 4 12 31111 6 M59 30100 000132 0000R 00001 00134 015 2111100*")</f>
        <v>0</v>
      </c>
      <c r="E3994"/>
      <c r="F3994" s="35">
        <f>SUMIFS(F3995:F9015,K3995:K9015,"0",B3995:B9015,"5 1 1 3 4 12 31111 6 M59 30100 000132 0000R 00001 00134 015 2111100*")</f>
        <v>54500</v>
      </c>
      <c r="G3994" s="35">
        <f>SUMIFS(G3995:G9015,K3995:K9015,"0",B3995:B9015,"5 1 1 3 4 12 31111 6 M59 30100 000132 0000R 00001 00134 015 2111100*")</f>
        <v>0</v>
      </c>
      <c r="H3994" s="35">
        <f t="shared" si="63"/>
        <v>54500</v>
      </c>
      <c r="I3994" s="35"/>
      <c r="K3994" t="s">
        <v>15</v>
      </c>
    </row>
    <row r="3995" spans="2:11" ht="33" x14ac:dyDescent="0.2">
      <c r="B3995" s="33" t="s">
        <v>4936</v>
      </c>
      <c r="C3995" s="33" t="s">
        <v>660</v>
      </c>
      <c r="D3995" s="35">
        <f>SUMIFS(D3996:D9015,K3996:K9015,"0",B3996:B9015,"5 1 1 3 4 12 31111 6 M59 30100 000132 0000R 00001 00134 015 2111100 2024*")-SUMIFS(E3996:E9015,K3996:K9015,"0",B3996:B9015,"5 1 1 3 4 12 31111 6 M59 30100 000132 0000R 00001 00134 015 2111100 2024*")</f>
        <v>0</v>
      </c>
      <c r="E3995"/>
      <c r="F3995" s="35">
        <f>SUMIFS(F3996:F9015,K3996:K9015,"0",B3996:B9015,"5 1 1 3 4 12 31111 6 M59 30100 000132 0000R 00001 00134 015 2111100 2024*")</f>
        <v>54500</v>
      </c>
      <c r="G3995" s="35">
        <f>SUMIFS(G3996:G9015,K3996:K9015,"0",B3996:B9015,"5 1 1 3 4 12 31111 6 M59 30100 000132 0000R 00001 00134 015 2111100 2024*")</f>
        <v>0</v>
      </c>
      <c r="H3995" s="35">
        <f t="shared" si="63"/>
        <v>54500</v>
      </c>
      <c r="I3995" s="35"/>
      <c r="K3995" t="s">
        <v>15</v>
      </c>
    </row>
    <row r="3996" spans="2:11" ht="41.25" x14ac:dyDescent="0.2">
      <c r="B3996" s="33" t="s">
        <v>4937</v>
      </c>
      <c r="C3996" s="33" t="s">
        <v>662</v>
      </c>
      <c r="D3996" s="35">
        <f>SUMIFS(D3997:D9015,K3997:K9015,"0",B3997:B9015,"5 1 1 3 4 12 31111 6 M59 30100 000132 0000R 00001 00134 015 2111100 2024 CP1OP405*")-SUMIFS(E3997:E9015,K3997:K9015,"0",B3997:B9015,"5 1 1 3 4 12 31111 6 M59 30100 000132 0000R 00001 00134 015 2111100 2024 CP1OP405*")</f>
        <v>0</v>
      </c>
      <c r="E3996"/>
      <c r="F3996" s="35">
        <f>SUMIFS(F3997:F9015,K3997:K9015,"0",B3997:B9015,"5 1 1 3 4 12 31111 6 M59 30100 000132 0000R 00001 00134 015 2111100 2024 CP1OP405*")</f>
        <v>54500</v>
      </c>
      <c r="G3996" s="35">
        <f>SUMIFS(G3997:G9015,K3997:K9015,"0",B3997:B9015,"5 1 1 3 4 12 31111 6 M59 30100 000132 0000R 00001 00134 015 2111100 2024 CP1OP405*")</f>
        <v>0</v>
      </c>
      <c r="H3996" s="35">
        <f t="shared" si="63"/>
        <v>54500</v>
      </c>
      <c r="I3996" s="35"/>
      <c r="K3996" t="s">
        <v>15</v>
      </c>
    </row>
    <row r="3997" spans="2:11" ht="41.25" x14ac:dyDescent="0.2">
      <c r="B3997" s="33" t="s">
        <v>4938</v>
      </c>
      <c r="C3997" s="33" t="s">
        <v>282</v>
      </c>
      <c r="D3997" s="35">
        <f>SUMIFS(D3998:D9015,K3998:K9015,"0",B3998:B9015,"5 1 1 3 4 12 31111 6 M59 30100 000132 0000R 00001 00134 015 2111100 2024 CP1OP405 001*")-SUMIFS(E3998:E9015,K3998:K9015,"0",B3998:B9015,"5 1 1 3 4 12 31111 6 M59 30100 000132 0000R 00001 00134 015 2111100 2024 CP1OP405 001*")</f>
        <v>0</v>
      </c>
      <c r="E3997"/>
      <c r="F3997" s="35">
        <f>SUMIFS(F3998:F9015,K3998:K9015,"0",B3998:B9015,"5 1 1 3 4 12 31111 6 M59 30100 000132 0000R 00001 00134 015 2111100 2024 CP1OP405 001*")</f>
        <v>54500</v>
      </c>
      <c r="G3997" s="35">
        <f>SUMIFS(G3998:G9015,K3998:K9015,"0",B3998:B9015,"5 1 1 3 4 12 31111 6 M59 30100 000132 0000R 00001 00134 015 2111100 2024 CP1OP405 001*")</f>
        <v>0</v>
      </c>
      <c r="H3997" s="35">
        <f t="shared" si="63"/>
        <v>54500</v>
      </c>
      <c r="I3997" s="35"/>
      <c r="K3997" t="s">
        <v>15</v>
      </c>
    </row>
    <row r="3998" spans="2:11" ht="33" x14ac:dyDescent="0.2">
      <c r="B3998" s="31" t="s">
        <v>4939</v>
      </c>
      <c r="C3998" s="31" t="s">
        <v>4840</v>
      </c>
      <c r="D3998" s="34">
        <v>0</v>
      </c>
      <c r="E3998" s="34"/>
      <c r="F3998" s="34">
        <v>54500</v>
      </c>
      <c r="G3998" s="34">
        <v>0</v>
      </c>
      <c r="H3998" s="34">
        <f t="shared" si="63"/>
        <v>54500</v>
      </c>
      <c r="I3998" s="34"/>
      <c r="K3998" t="s">
        <v>38</v>
      </c>
    </row>
    <row r="3999" spans="2:11" ht="24.75" x14ac:dyDescent="0.2">
      <c r="B3999" s="33" t="s">
        <v>4940</v>
      </c>
      <c r="C3999" s="33" t="s">
        <v>3222</v>
      </c>
      <c r="D3999" s="35">
        <f>SUMIFS(D4000:D9015,K4000:K9015,"0",B4000:B9015,"5 1 1 3 4 12 31111 6 M59 30200*")-SUMIFS(E4000:E9015,K4000:K9015,"0",B4000:B9015,"5 1 1 3 4 12 31111 6 M59 30200*")</f>
        <v>0</v>
      </c>
      <c r="E3999"/>
      <c r="F3999" s="35">
        <f>SUMIFS(F4000:F9015,K4000:K9015,"0",B4000:B9015,"5 1 1 3 4 12 31111 6 M59 30200*")</f>
        <v>5000</v>
      </c>
      <c r="G3999" s="35">
        <f>SUMIFS(G4000:G9015,K4000:K9015,"0",B4000:B9015,"5 1 1 3 4 12 31111 6 M59 30200*")</f>
        <v>0</v>
      </c>
      <c r="H3999" s="35">
        <f t="shared" si="63"/>
        <v>5000</v>
      </c>
      <c r="I3999" s="35"/>
      <c r="K3999" t="s">
        <v>15</v>
      </c>
    </row>
    <row r="4000" spans="2:11" ht="16.5" x14ac:dyDescent="0.2">
      <c r="B4000" s="33" t="s">
        <v>4941</v>
      </c>
      <c r="C4000" s="33" t="s">
        <v>648</v>
      </c>
      <c r="D4000" s="35">
        <f>SUMIFS(D4001:D9015,K4001:K9015,"0",B4001:B9015,"5 1 1 3 4 12 31111 6 M59 30200 000132*")-SUMIFS(E4001:E9015,K4001:K9015,"0",B4001:B9015,"5 1 1 3 4 12 31111 6 M59 30200 000132*")</f>
        <v>0</v>
      </c>
      <c r="E4000"/>
      <c r="F4000" s="35">
        <f>SUMIFS(F4001:F9015,K4001:K9015,"0",B4001:B9015,"5 1 1 3 4 12 31111 6 M59 30200 000132*")</f>
        <v>5000</v>
      </c>
      <c r="G4000" s="35">
        <f>SUMIFS(G4001:G9015,K4001:K9015,"0",B4001:B9015,"5 1 1 3 4 12 31111 6 M59 30200 000132*")</f>
        <v>0</v>
      </c>
      <c r="H4000" s="35">
        <f t="shared" si="63"/>
        <v>5000</v>
      </c>
      <c r="I4000" s="35"/>
      <c r="K4000" t="s">
        <v>15</v>
      </c>
    </row>
    <row r="4001" spans="2:11" ht="24.75" x14ac:dyDescent="0.2">
      <c r="B4001" s="33" t="s">
        <v>4942</v>
      </c>
      <c r="C4001" s="33" t="s">
        <v>650</v>
      </c>
      <c r="D4001" s="35">
        <f>SUMIFS(D4002:D9015,K4002:K9015,"0",B4002:B9015,"5 1 1 3 4 12 31111 6 M59 30200 000132 0000R*")-SUMIFS(E4002:E9015,K4002:K9015,"0",B4002:B9015,"5 1 1 3 4 12 31111 6 M59 30200 000132 0000R*")</f>
        <v>0</v>
      </c>
      <c r="E4001"/>
      <c r="F4001" s="35">
        <f>SUMIFS(F4002:F9015,K4002:K9015,"0",B4002:B9015,"5 1 1 3 4 12 31111 6 M59 30200 000132 0000R*")</f>
        <v>5000</v>
      </c>
      <c r="G4001" s="35">
        <f>SUMIFS(G4002:G9015,K4002:K9015,"0",B4002:B9015,"5 1 1 3 4 12 31111 6 M59 30200 000132 0000R*")</f>
        <v>0</v>
      </c>
      <c r="H4001" s="35">
        <f t="shared" si="63"/>
        <v>5000</v>
      </c>
      <c r="I4001" s="35"/>
      <c r="K4001" t="s">
        <v>15</v>
      </c>
    </row>
    <row r="4002" spans="2:11" ht="24.75" x14ac:dyDescent="0.2">
      <c r="B4002" s="33" t="s">
        <v>4943</v>
      </c>
      <c r="C4002" s="33" t="s">
        <v>282</v>
      </c>
      <c r="D4002" s="35">
        <f>SUMIFS(D4003:D9015,K4003:K9015,"0",B4003:B9015,"5 1 1 3 4 12 31111 6 M59 30200 000132 0000R 00001*")-SUMIFS(E4003:E9015,K4003:K9015,"0",B4003:B9015,"5 1 1 3 4 12 31111 6 M59 30200 000132 0000R 00001*")</f>
        <v>0</v>
      </c>
      <c r="E4002"/>
      <c r="F4002" s="35">
        <f>SUMIFS(F4003:F9015,K4003:K9015,"0",B4003:B9015,"5 1 1 3 4 12 31111 6 M59 30200 000132 0000R 00001*")</f>
        <v>5000</v>
      </c>
      <c r="G4002" s="35">
        <f>SUMIFS(G4003:G9015,K4003:K9015,"0",B4003:B9015,"5 1 1 3 4 12 31111 6 M59 30200 000132 0000R 00001*")</f>
        <v>0</v>
      </c>
      <c r="H4002" s="35">
        <f t="shared" si="63"/>
        <v>5000</v>
      </c>
      <c r="I4002" s="35"/>
      <c r="K4002" t="s">
        <v>15</v>
      </c>
    </row>
    <row r="4003" spans="2:11" ht="24.75" x14ac:dyDescent="0.2">
      <c r="B4003" s="33" t="s">
        <v>4944</v>
      </c>
      <c r="C4003" s="33" t="s">
        <v>4776</v>
      </c>
      <c r="D4003" s="35">
        <f>SUMIFS(D4004:D9015,K4004:K9015,"0",B4004:B9015,"5 1 1 3 4 12 31111 6 M59 30200 000132 0000R 00001 00134*")-SUMIFS(E4004:E9015,K4004:K9015,"0",B4004:B9015,"5 1 1 3 4 12 31111 6 M59 30200 000132 0000R 00001 00134*")</f>
        <v>0</v>
      </c>
      <c r="E4003"/>
      <c r="F4003" s="35">
        <f>SUMIFS(F4004:F9015,K4004:K9015,"0",B4004:B9015,"5 1 1 3 4 12 31111 6 M59 30200 000132 0000R 00001 00134*")</f>
        <v>5000</v>
      </c>
      <c r="G4003" s="35">
        <f>SUMIFS(G4004:G9015,K4004:K9015,"0",B4004:B9015,"5 1 1 3 4 12 31111 6 M59 30200 000132 0000R 00001 00134*")</f>
        <v>0</v>
      </c>
      <c r="H4003" s="35">
        <f t="shared" si="63"/>
        <v>5000</v>
      </c>
      <c r="I4003" s="35"/>
      <c r="K4003" t="s">
        <v>15</v>
      </c>
    </row>
    <row r="4004" spans="2:11" ht="33" x14ac:dyDescent="0.2">
      <c r="B4004" s="33" t="s">
        <v>4945</v>
      </c>
      <c r="C4004" s="33" t="s">
        <v>1051</v>
      </c>
      <c r="D4004" s="35">
        <f>SUMIFS(D4005:D9015,K4005:K9015,"0",B4005:B9015,"5 1 1 3 4 12 31111 6 M59 30200 000132 0000R 00001 00134 015*")-SUMIFS(E4005:E9015,K4005:K9015,"0",B4005:B9015,"5 1 1 3 4 12 31111 6 M59 30200 000132 0000R 00001 00134 015*")</f>
        <v>0</v>
      </c>
      <c r="E4004"/>
      <c r="F4004" s="35">
        <f>SUMIFS(F4005:F9015,K4005:K9015,"0",B4005:B9015,"5 1 1 3 4 12 31111 6 M59 30200 000132 0000R 00001 00134 015*")</f>
        <v>5000</v>
      </c>
      <c r="G4004" s="35">
        <f>SUMIFS(G4005:G9015,K4005:K9015,"0",B4005:B9015,"5 1 1 3 4 12 31111 6 M59 30200 000132 0000R 00001 00134 015*")</f>
        <v>0</v>
      </c>
      <c r="H4004" s="35">
        <f t="shared" si="63"/>
        <v>5000</v>
      </c>
      <c r="I4004" s="35"/>
      <c r="K4004" t="s">
        <v>15</v>
      </c>
    </row>
    <row r="4005" spans="2:11" ht="33" x14ac:dyDescent="0.2">
      <c r="B4005" s="33" t="s">
        <v>4946</v>
      </c>
      <c r="C4005" s="33" t="s">
        <v>2927</v>
      </c>
      <c r="D4005" s="35">
        <f>SUMIFS(D4006:D9015,K4006:K9015,"0",B4006:B9015,"5 1 1 3 4 12 31111 6 M59 30200 000132 0000R 00001 00134 015 2111100*")-SUMIFS(E4006:E9015,K4006:K9015,"0",B4006:B9015,"5 1 1 3 4 12 31111 6 M59 30200 000132 0000R 00001 00134 015 2111100*")</f>
        <v>0</v>
      </c>
      <c r="E4005"/>
      <c r="F4005" s="35">
        <f>SUMIFS(F4006:F9015,K4006:K9015,"0",B4006:B9015,"5 1 1 3 4 12 31111 6 M59 30200 000132 0000R 00001 00134 015 2111100*")</f>
        <v>5000</v>
      </c>
      <c r="G4005" s="35">
        <f>SUMIFS(G4006:G9015,K4006:K9015,"0",B4006:B9015,"5 1 1 3 4 12 31111 6 M59 30200 000132 0000R 00001 00134 015 2111100*")</f>
        <v>0</v>
      </c>
      <c r="H4005" s="35">
        <f t="shared" si="63"/>
        <v>5000</v>
      </c>
      <c r="I4005" s="35"/>
      <c r="K4005" t="s">
        <v>15</v>
      </c>
    </row>
    <row r="4006" spans="2:11" ht="33" x14ac:dyDescent="0.2">
      <c r="B4006" s="33" t="s">
        <v>4947</v>
      </c>
      <c r="C4006" s="33" t="s">
        <v>660</v>
      </c>
      <c r="D4006" s="35">
        <f>SUMIFS(D4007:D9015,K4007:K9015,"0",B4007:B9015,"5 1 1 3 4 12 31111 6 M59 30200 000132 0000R 00001 00134 015 2111100 2024*")-SUMIFS(E4007:E9015,K4007:K9015,"0",B4007:B9015,"5 1 1 3 4 12 31111 6 M59 30200 000132 0000R 00001 00134 015 2111100 2024*")</f>
        <v>0</v>
      </c>
      <c r="E4006"/>
      <c r="F4006" s="35">
        <f>SUMIFS(F4007:F9015,K4007:K9015,"0",B4007:B9015,"5 1 1 3 4 12 31111 6 M59 30200 000132 0000R 00001 00134 015 2111100 2024*")</f>
        <v>5000</v>
      </c>
      <c r="G4006" s="35">
        <f>SUMIFS(G4007:G9015,K4007:K9015,"0",B4007:B9015,"5 1 1 3 4 12 31111 6 M59 30200 000132 0000R 00001 00134 015 2111100 2024*")</f>
        <v>0</v>
      </c>
      <c r="H4006" s="35">
        <f t="shared" si="63"/>
        <v>5000</v>
      </c>
      <c r="I4006" s="35"/>
      <c r="K4006" t="s">
        <v>15</v>
      </c>
    </row>
    <row r="4007" spans="2:11" ht="41.25" x14ac:dyDescent="0.2">
      <c r="B4007" s="33" t="s">
        <v>4948</v>
      </c>
      <c r="C4007" s="33" t="s">
        <v>1056</v>
      </c>
      <c r="D4007" s="35">
        <f>SUMIFS(D4008:D9015,K4008:K9015,"0",B4008:B9015,"5 1 1 3 4 12 31111 6 M59 30200 000132 0000R 00001 00134 015 2111100 2024 CP1OT378*")-SUMIFS(E4008:E9015,K4008:K9015,"0",B4008:B9015,"5 1 1 3 4 12 31111 6 M59 30200 000132 0000R 00001 00134 015 2111100 2024 CP1OT378*")</f>
        <v>0</v>
      </c>
      <c r="E4007"/>
      <c r="F4007" s="35">
        <f>SUMIFS(F4008:F9015,K4008:K9015,"0",B4008:B9015,"5 1 1 3 4 12 31111 6 M59 30200 000132 0000R 00001 00134 015 2111100 2024 CP1OT378*")</f>
        <v>5000</v>
      </c>
      <c r="G4007" s="35">
        <f>SUMIFS(G4008:G9015,K4008:K9015,"0",B4008:B9015,"5 1 1 3 4 12 31111 6 M59 30200 000132 0000R 00001 00134 015 2111100 2024 CP1OT378*")</f>
        <v>0</v>
      </c>
      <c r="H4007" s="35">
        <f t="shared" si="63"/>
        <v>5000</v>
      </c>
      <c r="I4007" s="35"/>
      <c r="K4007" t="s">
        <v>15</v>
      </c>
    </row>
    <row r="4008" spans="2:11" ht="41.25" x14ac:dyDescent="0.2">
      <c r="B4008" s="33" t="s">
        <v>4949</v>
      </c>
      <c r="C4008" s="33" t="s">
        <v>282</v>
      </c>
      <c r="D4008" s="35">
        <f>SUMIFS(D4009:D9015,K4009:K9015,"0",B4009:B9015,"5 1 1 3 4 12 31111 6 M59 30200 000132 0000R 00001 00134 015 2111100 2024 CP1OT378 001*")-SUMIFS(E4009:E9015,K4009:K9015,"0",B4009:B9015,"5 1 1 3 4 12 31111 6 M59 30200 000132 0000R 00001 00134 015 2111100 2024 CP1OT378 001*")</f>
        <v>0</v>
      </c>
      <c r="E4008"/>
      <c r="F4008" s="35">
        <f>SUMIFS(F4009:F9015,K4009:K9015,"0",B4009:B9015,"5 1 1 3 4 12 31111 6 M59 30200 000132 0000R 00001 00134 015 2111100 2024 CP1OT378 001*")</f>
        <v>5000</v>
      </c>
      <c r="G4008" s="35">
        <f>SUMIFS(G4009:G9015,K4009:K9015,"0",B4009:B9015,"5 1 1 3 4 12 31111 6 M59 30200 000132 0000R 00001 00134 015 2111100 2024 CP1OT378 001*")</f>
        <v>0</v>
      </c>
      <c r="H4008" s="35">
        <f t="shared" si="63"/>
        <v>5000</v>
      </c>
      <c r="I4008" s="35"/>
      <c r="K4008" t="s">
        <v>15</v>
      </c>
    </row>
    <row r="4009" spans="2:11" ht="41.25" x14ac:dyDescent="0.2">
      <c r="B4009" s="31" t="s">
        <v>4950</v>
      </c>
      <c r="C4009" s="31" t="s">
        <v>4766</v>
      </c>
      <c r="D4009" s="34">
        <v>0</v>
      </c>
      <c r="E4009" s="34"/>
      <c r="F4009" s="34">
        <v>5000</v>
      </c>
      <c r="G4009" s="34">
        <v>0</v>
      </c>
      <c r="H4009" s="34">
        <f t="shared" si="63"/>
        <v>5000</v>
      </c>
      <c r="I4009" s="34"/>
      <c r="K4009" t="s">
        <v>38</v>
      </c>
    </row>
    <row r="4010" spans="2:11" ht="16.5" x14ac:dyDescent="0.2">
      <c r="B4010" s="33" t="s">
        <v>4951</v>
      </c>
      <c r="C4010" s="33" t="s">
        <v>1092</v>
      </c>
      <c r="D4010" s="35">
        <f>SUMIFS(D4011:D9015,K4011:K9015,"0",B4011:B9015,"5 1 1 3 4 12 31111 6 M59 40000*")-SUMIFS(E4011:E9015,K4011:K9015,"0",B4011:B9015,"5 1 1 3 4 12 31111 6 M59 40000*")</f>
        <v>0</v>
      </c>
      <c r="E4010"/>
      <c r="F4010" s="35">
        <f>SUMIFS(F4011:F9015,K4011:K9015,"0",B4011:B9015,"5 1 1 3 4 12 31111 6 M59 40000*")</f>
        <v>680898.48</v>
      </c>
      <c r="G4010" s="35">
        <f>SUMIFS(G4011:G9015,K4011:K9015,"0",B4011:B9015,"5 1 1 3 4 12 31111 6 M59 40000*")</f>
        <v>0</v>
      </c>
      <c r="H4010" s="35">
        <f t="shared" si="63"/>
        <v>680898.48</v>
      </c>
      <c r="I4010" s="35"/>
      <c r="K4010" t="s">
        <v>15</v>
      </c>
    </row>
    <row r="4011" spans="2:11" ht="16.5" x14ac:dyDescent="0.2">
      <c r="B4011" s="33" t="s">
        <v>4952</v>
      </c>
      <c r="C4011" s="33" t="s">
        <v>1094</v>
      </c>
      <c r="D4011" s="35">
        <f>SUMIFS(D4012:D9015,K4012:K9015,"0",B4012:B9015,"5 1 1 3 4 12 31111 6 M59 40000 000161*")-SUMIFS(E4012:E9015,K4012:K9015,"0",B4012:B9015,"5 1 1 3 4 12 31111 6 M59 40000 000161*")</f>
        <v>0</v>
      </c>
      <c r="E4011"/>
      <c r="F4011" s="35">
        <f>SUMIFS(F4012:F9015,K4012:K9015,"0",B4012:B9015,"5 1 1 3 4 12 31111 6 M59 40000 000161*")</f>
        <v>680898.48</v>
      </c>
      <c r="G4011" s="35">
        <f>SUMIFS(G4012:G9015,K4012:K9015,"0",B4012:B9015,"5 1 1 3 4 12 31111 6 M59 40000 000161*")</f>
        <v>0</v>
      </c>
      <c r="H4011" s="35">
        <f t="shared" si="63"/>
        <v>680898.48</v>
      </c>
      <c r="I4011" s="35"/>
      <c r="K4011" t="s">
        <v>15</v>
      </c>
    </row>
    <row r="4012" spans="2:11" ht="24.75" x14ac:dyDescent="0.2">
      <c r="B4012" s="33" t="s">
        <v>4953</v>
      </c>
      <c r="C4012" s="33" t="s">
        <v>1065</v>
      </c>
      <c r="D4012" s="35">
        <f>SUMIFS(D4013:D9015,K4013:K9015,"0",B4013:B9015,"5 1 1 3 4 12 31111 6 M59 40000 000161 0000E*")-SUMIFS(E4013:E9015,K4013:K9015,"0",B4013:B9015,"5 1 1 3 4 12 31111 6 M59 40000 000161 0000E*")</f>
        <v>0</v>
      </c>
      <c r="E4012"/>
      <c r="F4012" s="35">
        <f>SUMIFS(F4013:F9015,K4013:K9015,"0",B4013:B9015,"5 1 1 3 4 12 31111 6 M59 40000 000161 0000E*")</f>
        <v>680898.48</v>
      </c>
      <c r="G4012" s="35">
        <f>SUMIFS(G4013:G9015,K4013:K9015,"0",B4013:B9015,"5 1 1 3 4 12 31111 6 M59 40000 000161 0000E*")</f>
        <v>0</v>
      </c>
      <c r="H4012" s="35">
        <f t="shared" si="63"/>
        <v>680898.48</v>
      </c>
      <c r="I4012" s="35"/>
      <c r="K4012" t="s">
        <v>15</v>
      </c>
    </row>
    <row r="4013" spans="2:11" ht="24.75" x14ac:dyDescent="0.2">
      <c r="B4013" s="33" t="s">
        <v>4954</v>
      </c>
      <c r="C4013" s="33" t="s">
        <v>282</v>
      </c>
      <c r="D4013" s="35">
        <f>SUMIFS(D4014:D9015,K4014:K9015,"0",B4014:B9015,"5 1 1 3 4 12 31111 6 M59 40000 000161 0000E 00001*")-SUMIFS(E4014:E9015,K4014:K9015,"0",B4014:B9015,"5 1 1 3 4 12 31111 6 M59 40000 000161 0000E 00001*")</f>
        <v>0</v>
      </c>
      <c r="E4013"/>
      <c r="F4013" s="35">
        <f>SUMIFS(F4014:F9015,K4014:K9015,"0",B4014:B9015,"5 1 1 3 4 12 31111 6 M59 40000 000161 0000E 00001*")</f>
        <v>680898.48</v>
      </c>
      <c r="G4013" s="35">
        <f>SUMIFS(G4014:G9015,K4014:K9015,"0",B4014:B9015,"5 1 1 3 4 12 31111 6 M59 40000 000161 0000E 00001*")</f>
        <v>0</v>
      </c>
      <c r="H4013" s="35">
        <f t="shared" si="63"/>
        <v>680898.48</v>
      </c>
      <c r="I4013" s="35"/>
      <c r="K4013" t="s">
        <v>15</v>
      </c>
    </row>
    <row r="4014" spans="2:11" ht="24.75" x14ac:dyDescent="0.2">
      <c r="B4014" s="33" t="s">
        <v>4955</v>
      </c>
      <c r="C4014" s="33" t="s">
        <v>4776</v>
      </c>
      <c r="D4014" s="35">
        <f>SUMIFS(D4015:D9015,K4015:K9015,"0",B4015:B9015,"5 1 1 3 4 12 31111 6 M59 40000 000161 0000E 00001 00134*")-SUMIFS(E4015:E9015,K4015:K9015,"0",B4015:B9015,"5 1 1 3 4 12 31111 6 M59 40000 000161 0000E 00001 00134*")</f>
        <v>0</v>
      </c>
      <c r="E4014"/>
      <c r="F4014" s="35">
        <f>SUMIFS(F4015:F9015,K4015:K9015,"0",B4015:B9015,"5 1 1 3 4 12 31111 6 M59 40000 000161 0000E 00001 00134*")</f>
        <v>680898.48</v>
      </c>
      <c r="G4014" s="35">
        <f>SUMIFS(G4015:G9015,K4015:K9015,"0",B4015:B9015,"5 1 1 3 4 12 31111 6 M59 40000 000161 0000E 00001 00134*")</f>
        <v>0</v>
      </c>
      <c r="H4014" s="35">
        <f t="shared" si="63"/>
        <v>680898.48</v>
      </c>
      <c r="I4014" s="35"/>
      <c r="K4014" t="s">
        <v>15</v>
      </c>
    </row>
    <row r="4015" spans="2:11" ht="33" x14ac:dyDescent="0.2">
      <c r="B4015" s="33" t="s">
        <v>4956</v>
      </c>
      <c r="C4015" s="33" t="s">
        <v>656</v>
      </c>
      <c r="D4015" s="35">
        <f>SUMIFS(D4016:D9015,K4016:K9015,"0",B4016:B9015,"5 1 1 3 4 12 31111 6 M59 40000 000161 0000E 00001 00134 025*")-SUMIFS(E4016:E9015,K4016:K9015,"0",B4016:B9015,"5 1 1 3 4 12 31111 6 M59 40000 000161 0000E 00001 00134 025*")</f>
        <v>0</v>
      </c>
      <c r="E4015"/>
      <c r="F4015" s="35">
        <f>SUMIFS(F4016:F9015,K4016:K9015,"0",B4016:B9015,"5 1 1 3 4 12 31111 6 M59 40000 000161 0000E 00001 00134 025*")</f>
        <v>680898.48</v>
      </c>
      <c r="G4015" s="35">
        <f>SUMIFS(G4016:G9015,K4016:K9015,"0",B4016:B9015,"5 1 1 3 4 12 31111 6 M59 40000 000161 0000E 00001 00134 025*")</f>
        <v>0</v>
      </c>
      <c r="H4015" s="35">
        <f t="shared" si="63"/>
        <v>680898.48</v>
      </c>
      <c r="I4015" s="35"/>
      <c r="K4015" t="s">
        <v>15</v>
      </c>
    </row>
    <row r="4016" spans="2:11" ht="33" x14ac:dyDescent="0.2">
      <c r="B4016" s="33" t="s">
        <v>4957</v>
      </c>
      <c r="C4016" s="33" t="s">
        <v>2927</v>
      </c>
      <c r="D4016" s="35">
        <f>SUMIFS(D4017:D9015,K4017:K9015,"0",B4017:B9015,"5 1 1 3 4 12 31111 6 M59 40000 000161 0000E 00001 00134 025 2111100*")-SUMIFS(E4017:E9015,K4017:K9015,"0",B4017:B9015,"5 1 1 3 4 12 31111 6 M59 40000 000161 0000E 00001 00134 025 2111100*")</f>
        <v>0</v>
      </c>
      <c r="E4016"/>
      <c r="F4016" s="35">
        <f>SUMIFS(F4017:F9015,K4017:K9015,"0",B4017:B9015,"5 1 1 3 4 12 31111 6 M59 40000 000161 0000E 00001 00134 025 2111100*")</f>
        <v>680898.48</v>
      </c>
      <c r="G4016" s="35">
        <f>SUMIFS(G4017:G9015,K4017:K9015,"0",B4017:B9015,"5 1 1 3 4 12 31111 6 M59 40000 000161 0000E 00001 00134 025 2111100*")</f>
        <v>0</v>
      </c>
      <c r="H4016" s="35">
        <f t="shared" si="63"/>
        <v>680898.48</v>
      </c>
      <c r="I4016" s="35"/>
      <c r="K4016" t="s">
        <v>15</v>
      </c>
    </row>
    <row r="4017" spans="2:11" ht="33" x14ac:dyDescent="0.2">
      <c r="B4017" s="33" t="s">
        <v>4958</v>
      </c>
      <c r="C4017" s="33" t="s">
        <v>660</v>
      </c>
      <c r="D4017" s="35">
        <f>SUMIFS(D4018:D9015,K4018:K9015,"0",B4018:B9015,"5 1 1 3 4 12 31111 6 M59 40000 000161 0000E 00001 00134 025 2111100 2024*")-SUMIFS(E4018:E9015,K4018:K9015,"0",B4018:B9015,"5 1 1 3 4 12 31111 6 M59 40000 000161 0000E 00001 00134 025 2111100 2024*")</f>
        <v>0</v>
      </c>
      <c r="E4017"/>
      <c r="F4017" s="35">
        <f>SUMIFS(F4018:F9015,K4018:K9015,"0",B4018:B9015,"5 1 1 3 4 12 31111 6 M59 40000 000161 0000E 00001 00134 025 2111100 2024*")</f>
        <v>680898.48</v>
      </c>
      <c r="G4017" s="35">
        <f>SUMIFS(G4018:G9015,K4018:K9015,"0",B4018:B9015,"5 1 1 3 4 12 31111 6 M59 40000 000161 0000E 00001 00134 025 2111100 2024*")</f>
        <v>0</v>
      </c>
      <c r="H4017" s="35">
        <f t="shared" si="63"/>
        <v>680898.48</v>
      </c>
      <c r="I4017" s="35"/>
      <c r="K4017" t="s">
        <v>15</v>
      </c>
    </row>
    <row r="4018" spans="2:11" ht="41.25" x14ac:dyDescent="0.2">
      <c r="B4018" s="33" t="s">
        <v>4959</v>
      </c>
      <c r="C4018" s="33" t="s">
        <v>662</v>
      </c>
      <c r="D4018" s="35">
        <f>SUMIFS(D4019:D9015,K4019:K9015,"0",B4019:B9015,"5 1 1 3 4 12 31111 6 M59 40000 000161 0000E 00001 00134 025 2111100 2024 CP4SP372*")-SUMIFS(E4019:E9015,K4019:K9015,"0",B4019:B9015,"5 1 1 3 4 12 31111 6 M59 40000 000161 0000E 00001 00134 025 2111100 2024 CP4SP372*")</f>
        <v>0</v>
      </c>
      <c r="E4018"/>
      <c r="F4018" s="35">
        <f>SUMIFS(F4019:F9015,K4019:K9015,"0",B4019:B9015,"5 1 1 3 4 12 31111 6 M59 40000 000161 0000E 00001 00134 025 2111100 2024 CP4SP372*")</f>
        <v>680898.48</v>
      </c>
      <c r="G4018" s="35">
        <f>SUMIFS(G4019:G9015,K4019:K9015,"0",B4019:B9015,"5 1 1 3 4 12 31111 6 M59 40000 000161 0000E 00001 00134 025 2111100 2024 CP4SP372*")</f>
        <v>0</v>
      </c>
      <c r="H4018" s="35">
        <f t="shared" si="63"/>
        <v>680898.48</v>
      </c>
      <c r="I4018" s="35"/>
      <c r="K4018" t="s">
        <v>15</v>
      </c>
    </row>
    <row r="4019" spans="2:11" ht="41.25" x14ac:dyDescent="0.2">
      <c r="B4019" s="33" t="s">
        <v>4960</v>
      </c>
      <c r="C4019" s="33" t="s">
        <v>664</v>
      </c>
      <c r="D4019" s="35">
        <f>SUMIFS(D4020:D9015,K4020:K9015,"0",B4020:B9015,"5 1 1 3 4 12 31111 6 M59 40000 000161 0000E 00001 00134 025 2111100 2024 CP4SP372 003*")-SUMIFS(E4020:E9015,K4020:K9015,"0",B4020:B9015,"5 1 1 3 4 12 31111 6 M59 40000 000161 0000E 00001 00134 025 2111100 2024 CP4SP372 003*")</f>
        <v>0</v>
      </c>
      <c r="E4019"/>
      <c r="F4019" s="35">
        <f>SUMIFS(F4020:F9015,K4020:K9015,"0",B4020:B9015,"5 1 1 3 4 12 31111 6 M59 40000 000161 0000E 00001 00134 025 2111100 2024 CP4SP372 003*")</f>
        <v>680898.48</v>
      </c>
      <c r="G4019" s="35">
        <f>SUMIFS(G4020:G9015,K4020:K9015,"0",B4020:B9015,"5 1 1 3 4 12 31111 6 M59 40000 000161 0000E 00001 00134 025 2111100 2024 CP4SP372 003*")</f>
        <v>0</v>
      </c>
      <c r="H4019" s="35">
        <f t="shared" si="63"/>
        <v>680898.48</v>
      </c>
      <c r="I4019" s="35"/>
      <c r="K4019" t="s">
        <v>15</v>
      </c>
    </row>
    <row r="4020" spans="2:11" ht="33" x14ac:dyDescent="0.2">
      <c r="B4020" s="31" t="s">
        <v>4961</v>
      </c>
      <c r="C4020" s="31" t="s">
        <v>4783</v>
      </c>
      <c r="D4020" s="34">
        <v>0</v>
      </c>
      <c r="E4020" s="34"/>
      <c r="F4020" s="34">
        <v>680898.48</v>
      </c>
      <c r="G4020" s="34">
        <v>0</v>
      </c>
      <c r="H4020" s="34">
        <f t="shared" si="63"/>
        <v>680898.48</v>
      </c>
      <c r="I4020" s="34"/>
      <c r="K4020" t="s">
        <v>38</v>
      </c>
    </row>
    <row r="4021" spans="2:11" ht="16.5" x14ac:dyDescent="0.2">
      <c r="B4021" s="33" t="s">
        <v>4962</v>
      </c>
      <c r="C4021" s="33" t="s">
        <v>1105</v>
      </c>
      <c r="D4021" s="35">
        <f>SUMIFS(D4022:D9015,K4022:K9015,"0",B4022:B9015,"5 1 1 3 4 12 31111 6 M59 40200*")-SUMIFS(E4022:E9015,K4022:K9015,"0",B4022:B9015,"5 1 1 3 4 12 31111 6 M59 40200*")</f>
        <v>0</v>
      </c>
      <c r="E4021"/>
      <c r="F4021" s="35">
        <f>SUMIFS(F4022:F9015,K4022:K9015,"0",B4022:B9015,"5 1 1 3 4 12 31111 6 M59 40200*")</f>
        <v>82692.3</v>
      </c>
      <c r="G4021" s="35">
        <f>SUMIFS(G4022:G9015,K4022:K9015,"0",B4022:B9015,"5 1 1 3 4 12 31111 6 M59 40200*")</f>
        <v>0</v>
      </c>
      <c r="H4021" s="35">
        <f t="shared" si="63"/>
        <v>82692.3</v>
      </c>
      <c r="I4021" s="35"/>
      <c r="K4021" t="s">
        <v>15</v>
      </c>
    </row>
    <row r="4022" spans="2:11" ht="16.5" x14ac:dyDescent="0.2">
      <c r="B4022" s="33" t="s">
        <v>4963</v>
      </c>
      <c r="C4022" s="33" t="s">
        <v>1107</v>
      </c>
      <c r="D4022" s="35">
        <f>SUMIFS(D4023:D9015,K4023:K9015,"0",B4023:B9015,"5 1 1 3 4 12 31111 6 M59 40200 000172*")-SUMIFS(E4023:E9015,K4023:K9015,"0",B4023:B9015,"5 1 1 3 4 12 31111 6 M59 40200 000172*")</f>
        <v>0</v>
      </c>
      <c r="E4022"/>
      <c r="F4022" s="35">
        <f>SUMIFS(F4023:F9015,K4023:K9015,"0",B4023:B9015,"5 1 1 3 4 12 31111 6 M59 40200 000172*")</f>
        <v>82692.3</v>
      </c>
      <c r="G4022" s="35">
        <f>SUMIFS(G4023:G9015,K4023:K9015,"0",B4023:B9015,"5 1 1 3 4 12 31111 6 M59 40200 000172*")</f>
        <v>0</v>
      </c>
      <c r="H4022" s="35">
        <f t="shared" si="63"/>
        <v>82692.3</v>
      </c>
      <c r="I4022" s="35"/>
      <c r="K4022" t="s">
        <v>15</v>
      </c>
    </row>
    <row r="4023" spans="2:11" ht="24.75" x14ac:dyDescent="0.2">
      <c r="B4023" s="33" t="s">
        <v>4964</v>
      </c>
      <c r="C4023" s="33" t="s">
        <v>650</v>
      </c>
      <c r="D4023" s="35">
        <f>SUMIFS(D4024:D9015,K4024:K9015,"0",B4024:B9015,"5 1 1 3 4 12 31111 6 M59 40200 000172 0000R*")-SUMIFS(E4024:E9015,K4024:K9015,"0",B4024:B9015,"5 1 1 3 4 12 31111 6 M59 40200 000172 0000R*")</f>
        <v>0</v>
      </c>
      <c r="E4023"/>
      <c r="F4023" s="35">
        <f>SUMIFS(F4024:F9015,K4024:K9015,"0",B4024:B9015,"5 1 1 3 4 12 31111 6 M59 40200 000172 0000R*")</f>
        <v>82692.3</v>
      </c>
      <c r="G4023" s="35">
        <f>SUMIFS(G4024:G9015,K4024:K9015,"0",B4024:B9015,"5 1 1 3 4 12 31111 6 M59 40200 000172 0000R*")</f>
        <v>0</v>
      </c>
      <c r="H4023" s="35">
        <f t="shared" si="63"/>
        <v>82692.3</v>
      </c>
      <c r="I4023" s="35"/>
      <c r="K4023" t="s">
        <v>15</v>
      </c>
    </row>
    <row r="4024" spans="2:11" ht="24.75" x14ac:dyDescent="0.2">
      <c r="B4024" s="33" t="s">
        <v>4965</v>
      </c>
      <c r="C4024" s="33" t="s">
        <v>282</v>
      </c>
      <c r="D4024" s="35">
        <f>SUMIFS(D4025:D9015,K4025:K9015,"0",B4025:B9015,"5 1 1 3 4 12 31111 6 M59 40200 000172 0000R 00001*")-SUMIFS(E4025:E9015,K4025:K9015,"0",B4025:B9015,"5 1 1 3 4 12 31111 6 M59 40200 000172 0000R 00001*")</f>
        <v>0</v>
      </c>
      <c r="E4024"/>
      <c r="F4024" s="35">
        <f>SUMIFS(F4025:F9015,K4025:K9015,"0",B4025:B9015,"5 1 1 3 4 12 31111 6 M59 40200 000172 0000R 00001*")</f>
        <v>82692.3</v>
      </c>
      <c r="G4024" s="35">
        <f>SUMIFS(G4025:G9015,K4025:K9015,"0",B4025:B9015,"5 1 1 3 4 12 31111 6 M59 40200 000172 0000R 00001*")</f>
        <v>0</v>
      </c>
      <c r="H4024" s="35">
        <f t="shared" si="63"/>
        <v>82692.3</v>
      </c>
      <c r="I4024" s="35"/>
      <c r="K4024" t="s">
        <v>15</v>
      </c>
    </row>
    <row r="4025" spans="2:11" ht="24.75" x14ac:dyDescent="0.2">
      <c r="B4025" s="33" t="s">
        <v>4966</v>
      </c>
      <c r="C4025" s="33" t="s">
        <v>4776</v>
      </c>
      <c r="D4025" s="35">
        <f>SUMIFS(D4026:D9015,K4026:K9015,"0",B4026:B9015,"5 1 1 3 4 12 31111 6 M59 40200 000172 0000R 00001 00134*")-SUMIFS(E4026:E9015,K4026:K9015,"0",B4026:B9015,"5 1 1 3 4 12 31111 6 M59 40200 000172 0000R 00001 00134*")</f>
        <v>0</v>
      </c>
      <c r="E4025"/>
      <c r="F4025" s="35">
        <f>SUMIFS(F4026:F9015,K4026:K9015,"0",B4026:B9015,"5 1 1 3 4 12 31111 6 M59 40200 000172 0000R 00001 00134*")</f>
        <v>82692.3</v>
      </c>
      <c r="G4025" s="35">
        <f>SUMIFS(G4026:G9015,K4026:K9015,"0",B4026:B9015,"5 1 1 3 4 12 31111 6 M59 40200 000172 0000R 00001 00134*")</f>
        <v>0</v>
      </c>
      <c r="H4025" s="35">
        <f t="shared" si="63"/>
        <v>82692.3</v>
      </c>
      <c r="I4025" s="35"/>
      <c r="K4025" t="s">
        <v>15</v>
      </c>
    </row>
    <row r="4026" spans="2:11" ht="33" x14ac:dyDescent="0.2">
      <c r="B4026" s="33" t="s">
        <v>4967</v>
      </c>
      <c r="C4026" s="33" t="s">
        <v>656</v>
      </c>
      <c r="D4026" s="35">
        <f>SUMIFS(D4027:D9015,K4027:K9015,"0",B4027:B9015,"5 1 1 3 4 12 31111 6 M59 40200 000172 0000R 00001 00134 025*")-SUMIFS(E4027:E9015,K4027:K9015,"0",B4027:B9015,"5 1 1 3 4 12 31111 6 M59 40200 000172 0000R 00001 00134 025*")</f>
        <v>0</v>
      </c>
      <c r="E4026"/>
      <c r="F4026" s="35">
        <f>SUMIFS(F4027:F9015,K4027:K9015,"0",B4027:B9015,"5 1 1 3 4 12 31111 6 M59 40200 000172 0000R 00001 00134 025*")</f>
        <v>82692.3</v>
      </c>
      <c r="G4026" s="35">
        <f>SUMIFS(G4027:G9015,K4027:K9015,"0",B4027:B9015,"5 1 1 3 4 12 31111 6 M59 40200 000172 0000R 00001 00134 025*")</f>
        <v>0</v>
      </c>
      <c r="H4026" s="35">
        <f t="shared" si="63"/>
        <v>82692.3</v>
      </c>
      <c r="I4026" s="35"/>
      <c r="K4026" t="s">
        <v>15</v>
      </c>
    </row>
    <row r="4027" spans="2:11" ht="33" x14ac:dyDescent="0.2">
      <c r="B4027" s="33" t="s">
        <v>4968</v>
      </c>
      <c r="C4027" s="33" t="s">
        <v>2927</v>
      </c>
      <c r="D4027" s="35">
        <f>SUMIFS(D4028:D9015,K4028:K9015,"0",B4028:B9015,"5 1 1 3 4 12 31111 6 M59 40200 000172 0000R 00001 00134 025 2111100*")-SUMIFS(E4028:E9015,K4028:K9015,"0",B4028:B9015,"5 1 1 3 4 12 31111 6 M59 40200 000172 0000R 00001 00134 025 2111100*")</f>
        <v>0</v>
      </c>
      <c r="E4027"/>
      <c r="F4027" s="35">
        <f>SUMIFS(F4028:F9015,K4028:K9015,"0",B4028:B9015,"5 1 1 3 4 12 31111 6 M59 40200 000172 0000R 00001 00134 025 2111100*")</f>
        <v>82692.3</v>
      </c>
      <c r="G4027" s="35">
        <f>SUMIFS(G4028:G9015,K4028:K9015,"0",B4028:B9015,"5 1 1 3 4 12 31111 6 M59 40200 000172 0000R 00001 00134 025 2111100*")</f>
        <v>0</v>
      </c>
      <c r="H4027" s="35">
        <f t="shared" si="63"/>
        <v>82692.3</v>
      </c>
      <c r="I4027" s="35"/>
      <c r="K4027" t="s">
        <v>15</v>
      </c>
    </row>
    <row r="4028" spans="2:11" ht="33" x14ac:dyDescent="0.2">
      <c r="B4028" s="33" t="s">
        <v>4969</v>
      </c>
      <c r="C4028" s="33" t="s">
        <v>660</v>
      </c>
      <c r="D4028" s="35">
        <f>SUMIFS(D4029:D9015,K4029:K9015,"0",B4029:B9015,"5 1 1 3 4 12 31111 6 M59 40200 000172 0000R 00001 00134 025 2111100 2024*")-SUMIFS(E4029:E9015,K4029:K9015,"0",B4029:B9015,"5 1 1 3 4 12 31111 6 M59 40200 000172 0000R 00001 00134 025 2111100 2024*")</f>
        <v>0</v>
      </c>
      <c r="E4028"/>
      <c r="F4028" s="35">
        <f>SUMIFS(F4029:F9015,K4029:K9015,"0",B4029:B9015,"5 1 1 3 4 12 31111 6 M59 40200 000172 0000R 00001 00134 025 2111100 2024*")</f>
        <v>82692.3</v>
      </c>
      <c r="G4028" s="35">
        <f>SUMIFS(G4029:G9015,K4029:K9015,"0",B4029:B9015,"5 1 1 3 4 12 31111 6 M59 40200 000172 0000R 00001 00134 025 2111100 2024*")</f>
        <v>0</v>
      </c>
      <c r="H4028" s="35">
        <f t="shared" si="63"/>
        <v>82692.3</v>
      </c>
      <c r="I4028" s="35"/>
      <c r="K4028" t="s">
        <v>15</v>
      </c>
    </row>
    <row r="4029" spans="2:11" ht="41.25" x14ac:dyDescent="0.2">
      <c r="B4029" s="33" t="s">
        <v>4970</v>
      </c>
      <c r="C4029" s="33" t="s">
        <v>1056</v>
      </c>
      <c r="D4029" s="35">
        <f>SUMIFS(D4030:D9015,K4030:K9015,"0",B4030:B9015,"5 1 1 3 4 12 31111 6 M59 40200 000172 0000R 00001 00134 025 2111100 2024 CP4PC370*")-SUMIFS(E4030:E9015,K4030:K9015,"0",B4030:B9015,"5 1 1 3 4 12 31111 6 M59 40200 000172 0000R 00001 00134 025 2111100 2024 CP4PC370*")</f>
        <v>0</v>
      </c>
      <c r="E4029"/>
      <c r="F4029" s="35">
        <f>SUMIFS(F4030:F9015,K4030:K9015,"0",B4030:B9015,"5 1 1 3 4 12 31111 6 M59 40200 000172 0000R 00001 00134 025 2111100 2024 CP4PC370*")</f>
        <v>82692.3</v>
      </c>
      <c r="G4029" s="35">
        <f>SUMIFS(G4030:G9015,K4030:K9015,"0",B4030:B9015,"5 1 1 3 4 12 31111 6 M59 40200 000172 0000R 00001 00134 025 2111100 2024 CP4PC370*")</f>
        <v>0</v>
      </c>
      <c r="H4029" s="35">
        <f t="shared" si="63"/>
        <v>82692.3</v>
      </c>
      <c r="I4029" s="35"/>
      <c r="K4029" t="s">
        <v>15</v>
      </c>
    </row>
    <row r="4030" spans="2:11" ht="41.25" x14ac:dyDescent="0.2">
      <c r="B4030" s="33" t="s">
        <v>4971</v>
      </c>
      <c r="C4030" s="33" t="s">
        <v>664</v>
      </c>
      <c r="D4030" s="35">
        <f>SUMIFS(D4031:D9015,K4031:K9015,"0",B4031:B9015,"5 1 1 3 4 12 31111 6 M59 40200 000172 0000R 00001 00134 025 2111100 2024 CP4PC370 003*")-SUMIFS(E4031:E9015,K4031:K9015,"0",B4031:B9015,"5 1 1 3 4 12 31111 6 M59 40200 000172 0000R 00001 00134 025 2111100 2024 CP4PC370 003*")</f>
        <v>0</v>
      </c>
      <c r="E4030"/>
      <c r="F4030" s="35">
        <f>SUMIFS(F4031:F9015,K4031:K9015,"0",B4031:B9015,"5 1 1 3 4 12 31111 6 M59 40200 000172 0000R 00001 00134 025 2111100 2024 CP4PC370 003*")</f>
        <v>82692.3</v>
      </c>
      <c r="G4030" s="35">
        <f>SUMIFS(G4031:G9015,K4031:K9015,"0",B4031:B9015,"5 1 1 3 4 12 31111 6 M59 40200 000172 0000R 00001 00134 025 2111100 2024 CP4PC370 003*")</f>
        <v>0</v>
      </c>
      <c r="H4030" s="35">
        <f t="shared" si="63"/>
        <v>82692.3</v>
      </c>
      <c r="I4030" s="35"/>
      <c r="K4030" t="s">
        <v>15</v>
      </c>
    </row>
    <row r="4031" spans="2:11" ht="33" x14ac:dyDescent="0.2">
      <c r="B4031" s="31" t="s">
        <v>4972</v>
      </c>
      <c r="C4031" s="31" t="s">
        <v>4783</v>
      </c>
      <c r="D4031" s="34">
        <v>0</v>
      </c>
      <c r="E4031" s="34"/>
      <c r="F4031" s="34">
        <v>82692.3</v>
      </c>
      <c r="G4031" s="34">
        <v>0</v>
      </c>
      <c r="H4031" s="34">
        <f t="shared" si="63"/>
        <v>82692.3</v>
      </c>
      <c r="I4031" s="34"/>
      <c r="K4031" t="s">
        <v>38</v>
      </c>
    </row>
    <row r="4032" spans="2:11" ht="16.5" x14ac:dyDescent="0.2">
      <c r="B4032" s="33" t="s">
        <v>4973</v>
      </c>
      <c r="C4032" s="33" t="s">
        <v>3281</v>
      </c>
      <c r="D4032" s="35">
        <f>SUMIFS(D4033:D9015,K4033:K9015,"0",B4033:B9015,"5 1 1 3 4 12 31111 6 M59 50000*")-SUMIFS(E4033:E9015,K4033:K9015,"0",B4033:B9015,"5 1 1 3 4 12 31111 6 M59 50000*")</f>
        <v>0</v>
      </c>
      <c r="E4032"/>
      <c r="F4032" s="35">
        <f>SUMIFS(F4033:F9015,K4033:K9015,"0",B4033:B9015,"5 1 1 3 4 12 31111 6 M59 50000*")</f>
        <v>134765.20000000001</v>
      </c>
      <c r="G4032" s="35">
        <f>SUMIFS(G4033:G9015,K4033:K9015,"0",B4033:B9015,"5 1 1 3 4 12 31111 6 M59 50000*")</f>
        <v>0</v>
      </c>
      <c r="H4032" s="35">
        <f t="shared" si="63"/>
        <v>134765.20000000001</v>
      </c>
      <c r="I4032" s="35"/>
      <c r="K4032" t="s">
        <v>15</v>
      </c>
    </row>
    <row r="4033" spans="2:11" ht="16.5" x14ac:dyDescent="0.2">
      <c r="B4033" s="33" t="s">
        <v>4974</v>
      </c>
      <c r="C4033" s="33" t="s">
        <v>3283</v>
      </c>
      <c r="D4033" s="35">
        <f>SUMIFS(D4034:D9015,K4034:K9015,"0",B4034:B9015,"5 1 1 3 4 12 31111 6 M59 50000 000223*")-SUMIFS(E4034:E9015,K4034:K9015,"0",B4034:B9015,"5 1 1 3 4 12 31111 6 M59 50000 000223*")</f>
        <v>0</v>
      </c>
      <c r="E4033"/>
      <c r="F4033" s="35">
        <f>SUMIFS(F4034:F9015,K4034:K9015,"0",B4034:B9015,"5 1 1 3 4 12 31111 6 M59 50000 000223*")</f>
        <v>134765.20000000001</v>
      </c>
      <c r="G4033" s="35">
        <f>SUMIFS(G4034:G9015,K4034:K9015,"0",B4034:B9015,"5 1 1 3 4 12 31111 6 M59 50000 000223*")</f>
        <v>0</v>
      </c>
      <c r="H4033" s="35">
        <f t="shared" si="63"/>
        <v>134765.20000000001</v>
      </c>
      <c r="I4033" s="35"/>
      <c r="K4033" t="s">
        <v>15</v>
      </c>
    </row>
    <row r="4034" spans="2:11" ht="24.75" x14ac:dyDescent="0.2">
      <c r="B4034" s="33" t="s">
        <v>4975</v>
      </c>
      <c r="C4034" s="33" t="s">
        <v>1065</v>
      </c>
      <c r="D4034" s="35">
        <f>SUMIFS(D4035:D9015,K4035:K9015,"0",B4035:B9015,"5 1 1 3 4 12 31111 6 M59 50000 000223 0000E*")-SUMIFS(E4035:E9015,K4035:K9015,"0",B4035:B9015,"5 1 1 3 4 12 31111 6 M59 50000 000223 0000E*")</f>
        <v>0</v>
      </c>
      <c r="E4034"/>
      <c r="F4034" s="35">
        <f>SUMIFS(F4035:F9015,K4035:K9015,"0",B4035:B9015,"5 1 1 3 4 12 31111 6 M59 50000 000223 0000E*")</f>
        <v>134765.20000000001</v>
      </c>
      <c r="G4034" s="35">
        <f>SUMIFS(G4035:G9015,K4035:K9015,"0",B4035:B9015,"5 1 1 3 4 12 31111 6 M59 50000 000223 0000E*")</f>
        <v>0</v>
      </c>
      <c r="H4034" s="35">
        <f t="shared" si="63"/>
        <v>134765.20000000001</v>
      </c>
      <c r="I4034" s="35"/>
      <c r="K4034" t="s">
        <v>15</v>
      </c>
    </row>
    <row r="4035" spans="2:11" ht="24.75" x14ac:dyDescent="0.2">
      <c r="B4035" s="33" t="s">
        <v>4976</v>
      </c>
      <c r="C4035" s="33" t="s">
        <v>282</v>
      </c>
      <c r="D4035" s="35">
        <f>SUMIFS(D4036:D9015,K4036:K9015,"0",B4036:B9015,"5 1 1 3 4 12 31111 6 M59 50000 000223 0000E 00001*")-SUMIFS(E4036:E9015,K4036:K9015,"0",B4036:B9015,"5 1 1 3 4 12 31111 6 M59 50000 000223 0000E 00001*")</f>
        <v>0</v>
      </c>
      <c r="E4035"/>
      <c r="F4035" s="35">
        <f>SUMIFS(F4036:F9015,K4036:K9015,"0",B4036:B9015,"5 1 1 3 4 12 31111 6 M59 50000 000223 0000E 00001*")</f>
        <v>134765.20000000001</v>
      </c>
      <c r="G4035" s="35">
        <f>SUMIFS(G4036:G9015,K4036:K9015,"0",B4036:B9015,"5 1 1 3 4 12 31111 6 M59 50000 000223 0000E 00001*")</f>
        <v>0</v>
      </c>
      <c r="H4035" s="35">
        <f t="shared" si="63"/>
        <v>134765.20000000001</v>
      </c>
      <c r="I4035" s="35"/>
      <c r="K4035" t="s">
        <v>15</v>
      </c>
    </row>
    <row r="4036" spans="2:11" ht="24.75" x14ac:dyDescent="0.2">
      <c r="B4036" s="33" t="s">
        <v>4977</v>
      </c>
      <c r="C4036" s="33" t="s">
        <v>4776</v>
      </c>
      <c r="D4036" s="35">
        <f>SUMIFS(D4037:D9015,K4037:K9015,"0",B4037:B9015,"5 1 1 3 4 12 31111 6 M59 50000 000223 0000E 00001 00134*")-SUMIFS(E4037:E9015,K4037:K9015,"0",B4037:B9015,"5 1 1 3 4 12 31111 6 M59 50000 000223 0000E 00001 00134*")</f>
        <v>0</v>
      </c>
      <c r="E4036"/>
      <c r="F4036" s="35">
        <f>SUMIFS(F4037:F9015,K4037:K9015,"0",B4037:B9015,"5 1 1 3 4 12 31111 6 M59 50000 000223 0000E 00001 00134*")</f>
        <v>134765.20000000001</v>
      </c>
      <c r="G4036" s="35">
        <f>SUMIFS(G4037:G9015,K4037:K9015,"0",B4037:B9015,"5 1 1 3 4 12 31111 6 M59 50000 000223 0000E 00001 00134*")</f>
        <v>0</v>
      </c>
      <c r="H4036" s="35">
        <f t="shared" ref="H4036:H4099" si="64">D4036 + F4036 - G4036</f>
        <v>134765.20000000001</v>
      </c>
      <c r="I4036" s="35"/>
      <c r="K4036" t="s">
        <v>15</v>
      </c>
    </row>
    <row r="4037" spans="2:11" ht="33" x14ac:dyDescent="0.2">
      <c r="B4037" s="33" t="s">
        <v>4978</v>
      </c>
      <c r="C4037" s="33" t="s">
        <v>1051</v>
      </c>
      <c r="D4037" s="35">
        <f>SUMIFS(D4038:D9015,K4038:K9015,"0",B4038:B9015,"5 1 1 3 4 12 31111 6 M59 50000 000223 0000E 00001 00134 015*")-SUMIFS(E4038:E9015,K4038:K9015,"0",B4038:B9015,"5 1 1 3 4 12 31111 6 M59 50000 000223 0000E 00001 00134 015*")</f>
        <v>0</v>
      </c>
      <c r="E4037"/>
      <c r="F4037" s="35">
        <f>SUMIFS(F4038:F9015,K4038:K9015,"0",B4038:B9015,"5 1 1 3 4 12 31111 6 M59 50000 000223 0000E 00001 00134 015*")</f>
        <v>134765.20000000001</v>
      </c>
      <c r="G4037" s="35">
        <f>SUMIFS(G4038:G9015,K4038:K9015,"0",B4038:B9015,"5 1 1 3 4 12 31111 6 M59 50000 000223 0000E 00001 00134 015*")</f>
        <v>0</v>
      </c>
      <c r="H4037" s="35">
        <f t="shared" si="64"/>
        <v>134765.20000000001</v>
      </c>
      <c r="I4037" s="35"/>
      <c r="K4037" t="s">
        <v>15</v>
      </c>
    </row>
    <row r="4038" spans="2:11" ht="33" x14ac:dyDescent="0.2">
      <c r="B4038" s="33" t="s">
        <v>4979</v>
      </c>
      <c r="C4038" s="33" t="s">
        <v>2927</v>
      </c>
      <c r="D4038" s="35">
        <f>SUMIFS(D4039:D9015,K4039:K9015,"0",B4039:B9015,"5 1 1 3 4 12 31111 6 M59 50000 000223 0000E 00001 00134 015 2111100*")-SUMIFS(E4039:E9015,K4039:K9015,"0",B4039:B9015,"5 1 1 3 4 12 31111 6 M59 50000 000223 0000E 00001 00134 015 2111100*")</f>
        <v>0</v>
      </c>
      <c r="E4038"/>
      <c r="F4038" s="35">
        <f>SUMIFS(F4039:F9015,K4039:K9015,"0",B4039:B9015,"5 1 1 3 4 12 31111 6 M59 50000 000223 0000E 00001 00134 015 2111100*")</f>
        <v>134765.20000000001</v>
      </c>
      <c r="G4038" s="35">
        <f>SUMIFS(G4039:G9015,K4039:K9015,"0",B4039:B9015,"5 1 1 3 4 12 31111 6 M59 50000 000223 0000E 00001 00134 015 2111100*")</f>
        <v>0</v>
      </c>
      <c r="H4038" s="35">
        <f t="shared" si="64"/>
        <v>134765.20000000001</v>
      </c>
      <c r="I4038" s="35"/>
      <c r="K4038" t="s">
        <v>15</v>
      </c>
    </row>
    <row r="4039" spans="2:11" ht="33" x14ac:dyDescent="0.2">
      <c r="B4039" s="33" t="s">
        <v>4980</v>
      </c>
      <c r="C4039" s="33" t="s">
        <v>660</v>
      </c>
      <c r="D4039" s="35">
        <f>SUMIFS(D4040:D9015,K4040:K9015,"0",B4040:B9015,"5 1 1 3 4 12 31111 6 M59 50000 000223 0000E 00001 00134 015 2111100 2024*")-SUMIFS(E4040:E9015,K4040:K9015,"0",B4040:B9015,"5 1 1 3 4 12 31111 6 M59 50000 000223 0000E 00001 00134 015 2111100 2024*")</f>
        <v>0</v>
      </c>
      <c r="E4039"/>
      <c r="F4039" s="35">
        <f>SUMIFS(F4040:F9015,K4040:K9015,"0",B4040:B9015,"5 1 1 3 4 12 31111 6 M59 50000 000223 0000E 00001 00134 015 2111100 2024*")</f>
        <v>134765.20000000001</v>
      </c>
      <c r="G4039" s="35">
        <f>SUMIFS(G4040:G9015,K4040:K9015,"0",B4040:B9015,"5 1 1 3 4 12 31111 6 M59 50000 000223 0000E 00001 00134 015 2111100 2024*")</f>
        <v>0</v>
      </c>
      <c r="H4039" s="35">
        <f t="shared" si="64"/>
        <v>134765.20000000001</v>
      </c>
      <c r="I4039" s="35"/>
      <c r="K4039" t="s">
        <v>15</v>
      </c>
    </row>
    <row r="4040" spans="2:11" ht="41.25" x14ac:dyDescent="0.2">
      <c r="B4040" s="33" t="s">
        <v>4981</v>
      </c>
      <c r="C4040" s="33" t="s">
        <v>662</v>
      </c>
      <c r="D4040" s="35">
        <f>SUMIFS(D4041:D9015,K4041:K9015,"0",B4041:B9015,"5 1 1 3 4 12 31111 6 M59 50000 000223 0000E 00001 00134 015 2111100 2024 CP1DA424*")-SUMIFS(E4041:E9015,K4041:K9015,"0",B4041:B9015,"5 1 1 3 4 12 31111 6 M59 50000 000223 0000E 00001 00134 015 2111100 2024 CP1DA424*")</f>
        <v>0</v>
      </c>
      <c r="E4040"/>
      <c r="F4040" s="35">
        <f>SUMIFS(F4041:F9015,K4041:K9015,"0",B4041:B9015,"5 1 1 3 4 12 31111 6 M59 50000 000223 0000E 00001 00134 015 2111100 2024 CP1DA424*")</f>
        <v>134765.20000000001</v>
      </c>
      <c r="G4040" s="35">
        <f>SUMIFS(G4041:G9015,K4041:K9015,"0",B4041:B9015,"5 1 1 3 4 12 31111 6 M59 50000 000223 0000E 00001 00134 015 2111100 2024 CP1DA424*")</f>
        <v>0</v>
      </c>
      <c r="H4040" s="35">
        <f t="shared" si="64"/>
        <v>134765.20000000001</v>
      </c>
      <c r="I4040" s="35"/>
      <c r="K4040" t="s">
        <v>15</v>
      </c>
    </row>
    <row r="4041" spans="2:11" ht="41.25" x14ac:dyDescent="0.2">
      <c r="B4041" s="33" t="s">
        <v>4982</v>
      </c>
      <c r="C4041" s="33" t="s">
        <v>282</v>
      </c>
      <c r="D4041" s="35">
        <f>SUMIFS(D4042:D9015,K4042:K9015,"0",B4042:B9015,"5 1 1 3 4 12 31111 6 M59 50000 000223 0000E 00001 00134 015 2111100 2024 CP1DA424 001*")-SUMIFS(E4042:E9015,K4042:K9015,"0",B4042:B9015,"5 1 1 3 4 12 31111 6 M59 50000 000223 0000E 00001 00134 015 2111100 2024 CP1DA424 001*")</f>
        <v>0</v>
      </c>
      <c r="E4041"/>
      <c r="F4041" s="35">
        <f>SUMIFS(F4042:F9015,K4042:K9015,"0",B4042:B9015,"5 1 1 3 4 12 31111 6 M59 50000 000223 0000E 00001 00134 015 2111100 2024 CP1DA424 001*")</f>
        <v>134765.20000000001</v>
      </c>
      <c r="G4041" s="35">
        <f>SUMIFS(G4042:G9015,K4042:K9015,"0",B4042:B9015,"5 1 1 3 4 12 31111 6 M59 50000 000223 0000E 00001 00134 015 2111100 2024 CP1DA424 001*")</f>
        <v>0</v>
      </c>
      <c r="H4041" s="35">
        <f t="shared" si="64"/>
        <v>134765.20000000001</v>
      </c>
      <c r="I4041" s="35"/>
      <c r="K4041" t="s">
        <v>15</v>
      </c>
    </row>
    <row r="4042" spans="2:11" ht="41.25" x14ac:dyDescent="0.2">
      <c r="B4042" s="31" t="s">
        <v>4983</v>
      </c>
      <c r="C4042" s="31" t="s">
        <v>4783</v>
      </c>
      <c r="D4042" s="34">
        <v>0</v>
      </c>
      <c r="E4042" s="34"/>
      <c r="F4042" s="34">
        <v>134765.20000000001</v>
      </c>
      <c r="G4042" s="34">
        <v>0</v>
      </c>
      <c r="H4042" s="34">
        <f t="shared" si="64"/>
        <v>134765.20000000001</v>
      </c>
      <c r="I4042" s="34"/>
      <c r="K4042" t="s">
        <v>38</v>
      </c>
    </row>
    <row r="4043" spans="2:11" ht="16.5" x14ac:dyDescent="0.2">
      <c r="B4043" s="33" t="s">
        <v>4984</v>
      </c>
      <c r="C4043" s="33" t="s">
        <v>1269</v>
      </c>
      <c r="D4043" s="35">
        <f>SUMIFS(D4044:D9015,K4044:K9015,"0",B4044:B9015,"5 1 1 3 4 12 31111 6 M59 60100*")-SUMIFS(E4044:E9015,K4044:K9015,"0",B4044:B9015,"5 1 1 3 4 12 31111 6 M59 60100*")</f>
        <v>0</v>
      </c>
      <c r="E4043"/>
      <c r="F4043" s="35">
        <f>SUMIFS(F4044:F9015,K4044:K9015,"0",B4044:B9015,"5 1 1 3 4 12 31111 6 M59 60100*")</f>
        <v>208852.56</v>
      </c>
      <c r="G4043" s="35">
        <f>SUMIFS(G4044:G9015,K4044:K9015,"0",B4044:B9015,"5 1 1 3 4 12 31111 6 M59 60100*")</f>
        <v>0</v>
      </c>
      <c r="H4043" s="35">
        <f t="shared" si="64"/>
        <v>208852.56</v>
      </c>
      <c r="I4043" s="35"/>
      <c r="K4043" t="s">
        <v>15</v>
      </c>
    </row>
    <row r="4044" spans="2:11" ht="16.5" x14ac:dyDescent="0.2">
      <c r="B4044" s="33" t="s">
        <v>4985</v>
      </c>
      <c r="C4044" s="33" t="s">
        <v>648</v>
      </c>
      <c r="D4044" s="35">
        <f>SUMIFS(D4045:D9015,K4045:K9015,"0",B4045:B9015,"5 1 1 3 4 12 31111 6 M59 60100 000132*")-SUMIFS(E4045:E9015,K4045:K9015,"0",B4045:B9015,"5 1 1 3 4 12 31111 6 M59 60100 000132*")</f>
        <v>0</v>
      </c>
      <c r="E4044"/>
      <c r="F4044" s="35">
        <f>SUMIFS(F4045:F9015,K4045:K9015,"0",B4045:B9015,"5 1 1 3 4 12 31111 6 M59 60100 000132*")</f>
        <v>208852.56</v>
      </c>
      <c r="G4044" s="35">
        <f>SUMIFS(G4045:G9015,K4045:K9015,"0",B4045:B9015,"5 1 1 3 4 12 31111 6 M59 60100 000132*")</f>
        <v>0</v>
      </c>
      <c r="H4044" s="35">
        <f t="shared" si="64"/>
        <v>208852.56</v>
      </c>
      <c r="I4044" s="35"/>
      <c r="K4044" t="s">
        <v>15</v>
      </c>
    </row>
    <row r="4045" spans="2:11" ht="24.75" x14ac:dyDescent="0.2">
      <c r="B4045" s="33" t="s">
        <v>4986</v>
      </c>
      <c r="C4045" s="33" t="s">
        <v>650</v>
      </c>
      <c r="D4045" s="35">
        <f>SUMIFS(D4046:D9015,K4046:K9015,"0",B4046:B9015,"5 1 1 3 4 12 31111 6 M59 60100 000132 0000R*")-SUMIFS(E4046:E9015,K4046:K9015,"0",B4046:B9015,"5 1 1 3 4 12 31111 6 M59 60100 000132 0000R*")</f>
        <v>0</v>
      </c>
      <c r="E4045"/>
      <c r="F4045" s="35">
        <f>SUMIFS(F4046:F9015,K4046:K9015,"0",B4046:B9015,"5 1 1 3 4 12 31111 6 M59 60100 000132 0000R*")</f>
        <v>208852.56</v>
      </c>
      <c r="G4045" s="35">
        <f>SUMIFS(G4046:G9015,K4046:K9015,"0",B4046:B9015,"5 1 1 3 4 12 31111 6 M59 60100 000132 0000R*")</f>
        <v>0</v>
      </c>
      <c r="H4045" s="35">
        <f t="shared" si="64"/>
        <v>208852.56</v>
      </c>
      <c r="I4045" s="35"/>
      <c r="K4045" t="s">
        <v>15</v>
      </c>
    </row>
    <row r="4046" spans="2:11" ht="24.75" x14ac:dyDescent="0.2">
      <c r="B4046" s="33" t="s">
        <v>4987</v>
      </c>
      <c r="C4046" s="33" t="s">
        <v>282</v>
      </c>
      <c r="D4046" s="35">
        <f>SUMIFS(D4047:D9015,K4047:K9015,"0",B4047:B9015,"5 1 1 3 4 12 31111 6 M59 60100 000132 0000R 00001*")-SUMIFS(E4047:E9015,K4047:K9015,"0",B4047:B9015,"5 1 1 3 4 12 31111 6 M59 60100 000132 0000R 00001*")</f>
        <v>0</v>
      </c>
      <c r="E4046"/>
      <c r="F4046" s="35">
        <f>SUMIFS(F4047:F9015,K4047:K9015,"0",B4047:B9015,"5 1 1 3 4 12 31111 6 M59 60100 000132 0000R 00001*")</f>
        <v>208852.56</v>
      </c>
      <c r="G4046" s="35">
        <f>SUMIFS(G4047:G9015,K4047:K9015,"0",B4047:B9015,"5 1 1 3 4 12 31111 6 M59 60100 000132 0000R 00001*")</f>
        <v>0</v>
      </c>
      <c r="H4046" s="35">
        <f t="shared" si="64"/>
        <v>208852.56</v>
      </c>
      <c r="I4046" s="35"/>
      <c r="K4046" t="s">
        <v>15</v>
      </c>
    </row>
    <row r="4047" spans="2:11" ht="24.75" x14ac:dyDescent="0.2">
      <c r="B4047" s="33" t="s">
        <v>4988</v>
      </c>
      <c r="C4047" s="33" t="s">
        <v>4776</v>
      </c>
      <c r="D4047" s="35">
        <f>SUMIFS(D4048:D9015,K4048:K9015,"0",B4048:B9015,"5 1 1 3 4 12 31111 6 M59 60100 000132 0000R 00001 00134*")-SUMIFS(E4048:E9015,K4048:K9015,"0",B4048:B9015,"5 1 1 3 4 12 31111 6 M59 60100 000132 0000R 00001 00134*")</f>
        <v>0</v>
      </c>
      <c r="E4047"/>
      <c r="F4047" s="35">
        <f>SUMIFS(F4048:F9015,K4048:K9015,"0",B4048:B9015,"5 1 1 3 4 12 31111 6 M59 60100 000132 0000R 00001 00134*")</f>
        <v>208852.56</v>
      </c>
      <c r="G4047" s="35">
        <f>SUMIFS(G4048:G9015,K4048:K9015,"0",B4048:B9015,"5 1 1 3 4 12 31111 6 M59 60100 000132 0000R 00001 00134*")</f>
        <v>0</v>
      </c>
      <c r="H4047" s="35">
        <f t="shared" si="64"/>
        <v>208852.56</v>
      </c>
      <c r="I4047" s="35"/>
      <c r="K4047" t="s">
        <v>15</v>
      </c>
    </row>
    <row r="4048" spans="2:11" ht="33" x14ac:dyDescent="0.2">
      <c r="B4048" s="33" t="s">
        <v>4989</v>
      </c>
      <c r="C4048" s="33" t="s">
        <v>1051</v>
      </c>
      <c r="D4048" s="35">
        <f>SUMIFS(D4049:D9015,K4049:K9015,"0",B4049:B9015,"5 1 1 3 4 12 31111 6 M59 60100 000132 0000R 00001 00134 015*")-SUMIFS(E4049:E9015,K4049:K9015,"0",B4049:B9015,"5 1 1 3 4 12 31111 6 M59 60100 000132 0000R 00001 00134 015*")</f>
        <v>0</v>
      </c>
      <c r="E4048"/>
      <c r="F4048" s="35">
        <f>SUMIFS(F4049:F9015,K4049:K9015,"0",B4049:B9015,"5 1 1 3 4 12 31111 6 M59 60100 000132 0000R 00001 00134 015*")</f>
        <v>208852.56</v>
      </c>
      <c r="G4048" s="35">
        <f>SUMIFS(G4049:G9015,K4049:K9015,"0",B4049:B9015,"5 1 1 3 4 12 31111 6 M59 60100 000132 0000R 00001 00134 015*")</f>
        <v>0</v>
      </c>
      <c r="H4048" s="35">
        <f t="shared" si="64"/>
        <v>208852.56</v>
      </c>
      <c r="I4048" s="35"/>
      <c r="K4048" t="s">
        <v>15</v>
      </c>
    </row>
    <row r="4049" spans="2:11" ht="33" x14ac:dyDescent="0.2">
      <c r="B4049" s="33" t="s">
        <v>4990</v>
      </c>
      <c r="C4049" s="33" t="s">
        <v>2927</v>
      </c>
      <c r="D4049" s="35">
        <f>SUMIFS(D4050:D9015,K4050:K9015,"0",B4050:B9015,"5 1 1 3 4 12 31111 6 M59 60100 000132 0000R 00001 00134 015 2111100*")-SUMIFS(E4050:E9015,K4050:K9015,"0",B4050:B9015,"5 1 1 3 4 12 31111 6 M59 60100 000132 0000R 00001 00134 015 2111100*")</f>
        <v>0</v>
      </c>
      <c r="E4049"/>
      <c r="F4049" s="35">
        <f>SUMIFS(F4050:F9015,K4050:K9015,"0",B4050:B9015,"5 1 1 3 4 12 31111 6 M59 60100 000132 0000R 00001 00134 015 2111100*")</f>
        <v>208852.56</v>
      </c>
      <c r="G4049" s="35">
        <f>SUMIFS(G4050:G9015,K4050:K9015,"0",B4050:B9015,"5 1 1 3 4 12 31111 6 M59 60100 000132 0000R 00001 00134 015 2111100*")</f>
        <v>0</v>
      </c>
      <c r="H4049" s="35">
        <f t="shared" si="64"/>
        <v>208852.56</v>
      </c>
      <c r="I4049" s="35"/>
      <c r="K4049" t="s">
        <v>15</v>
      </c>
    </row>
    <row r="4050" spans="2:11" ht="33" x14ac:dyDescent="0.2">
      <c r="B4050" s="33" t="s">
        <v>4991</v>
      </c>
      <c r="C4050" s="33" t="s">
        <v>660</v>
      </c>
      <c r="D4050" s="35">
        <f>SUMIFS(D4051:D9015,K4051:K9015,"0",B4051:B9015,"5 1 1 3 4 12 31111 6 M59 60100 000132 0000R 00001 00134 015 2111100 2024*")-SUMIFS(E4051:E9015,K4051:K9015,"0",B4051:B9015,"5 1 1 3 4 12 31111 6 M59 60100 000132 0000R 00001 00134 015 2111100 2024*")</f>
        <v>0</v>
      </c>
      <c r="E4050"/>
      <c r="F4050" s="35">
        <f>SUMIFS(F4051:F9015,K4051:K9015,"0",B4051:B9015,"5 1 1 3 4 12 31111 6 M59 60100 000132 0000R 00001 00134 015 2111100 2024*")</f>
        <v>208852.56</v>
      </c>
      <c r="G4050" s="35">
        <f>SUMIFS(G4051:G9015,K4051:K9015,"0",B4051:B9015,"5 1 1 3 4 12 31111 6 M59 60100 000132 0000R 00001 00134 015 2111100 2024*")</f>
        <v>0</v>
      </c>
      <c r="H4050" s="35">
        <f t="shared" si="64"/>
        <v>208852.56</v>
      </c>
      <c r="I4050" s="35"/>
      <c r="K4050" t="s">
        <v>15</v>
      </c>
    </row>
    <row r="4051" spans="2:11" ht="41.25" x14ac:dyDescent="0.2">
      <c r="B4051" s="33" t="s">
        <v>4992</v>
      </c>
      <c r="C4051" s="33" t="s">
        <v>1056</v>
      </c>
      <c r="D4051" s="35">
        <f>SUMIFS(D4052:D9015,K4052:K9015,"0",B4052:B9015,"5 1 1 3 4 12 31111 6 M59 60100 000132 0000R 00001 00134 015 2111100 2024 CP1DM394*")-SUMIFS(E4052:E9015,K4052:K9015,"0",B4052:B9015,"5 1 1 3 4 12 31111 6 M59 60100 000132 0000R 00001 00134 015 2111100 2024 CP1DM394*")</f>
        <v>0</v>
      </c>
      <c r="E4051"/>
      <c r="F4051" s="35">
        <f>SUMIFS(F4052:F9015,K4052:K9015,"0",B4052:B9015,"5 1 1 3 4 12 31111 6 M59 60100 000132 0000R 00001 00134 015 2111100 2024 CP1DM394*")</f>
        <v>208852.56</v>
      </c>
      <c r="G4051" s="35">
        <f>SUMIFS(G4052:G9015,K4052:K9015,"0",B4052:B9015,"5 1 1 3 4 12 31111 6 M59 60100 000132 0000R 00001 00134 015 2111100 2024 CP1DM394*")</f>
        <v>0</v>
      </c>
      <c r="H4051" s="35">
        <f t="shared" si="64"/>
        <v>208852.56</v>
      </c>
      <c r="I4051" s="35"/>
      <c r="K4051" t="s">
        <v>15</v>
      </c>
    </row>
    <row r="4052" spans="2:11" ht="41.25" x14ac:dyDescent="0.2">
      <c r="B4052" s="33" t="s">
        <v>4993</v>
      </c>
      <c r="C4052" s="33" t="s">
        <v>282</v>
      </c>
      <c r="D4052" s="35">
        <f>SUMIFS(D4053:D9015,K4053:K9015,"0",B4053:B9015,"5 1 1 3 4 12 31111 6 M59 60100 000132 0000R 00001 00134 015 2111100 2024 CP1DM394 001*")-SUMIFS(E4053:E9015,K4053:K9015,"0",B4053:B9015,"5 1 1 3 4 12 31111 6 M59 60100 000132 0000R 00001 00134 015 2111100 2024 CP1DM394 001*")</f>
        <v>0</v>
      </c>
      <c r="E4052"/>
      <c r="F4052" s="35">
        <f>SUMIFS(F4053:F9015,K4053:K9015,"0",B4053:B9015,"5 1 1 3 4 12 31111 6 M59 60100 000132 0000R 00001 00134 015 2111100 2024 CP1DM394 001*")</f>
        <v>208852.56</v>
      </c>
      <c r="G4052" s="35">
        <f>SUMIFS(G4053:G9015,K4053:K9015,"0",B4053:B9015,"5 1 1 3 4 12 31111 6 M59 60100 000132 0000R 00001 00134 015 2111100 2024 CP1DM394 001*")</f>
        <v>0</v>
      </c>
      <c r="H4052" s="35">
        <f t="shared" si="64"/>
        <v>208852.56</v>
      </c>
      <c r="I4052" s="35"/>
      <c r="K4052" t="s">
        <v>15</v>
      </c>
    </row>
    <row r="4053" spans="2:11" ht="33" x14ac:dyDescent="0.2">
      <c r="B4053" s="31" t="s">
        <v>4994</v>
      </c>
      <c r="C4053" s="31" t="s">
        <v>4783</v>
      </c>
      <c r="D4053" s="34">
        <v>0</v>
      </c>
      <c r="E4053" s="34"/>
      <c r="F4053" s="34">
        <v>208852.56</v>
      </c>
      <c r="G4053" s="34">
        <v>0</v>
      </c>
      <c r="H4053" s="34">
        <f t="shared" si="64"/>
        <v>208852.56</v>
      </c>
      <c r="I4053" s="34"/>
      <c r="K4053" t="s">
        <v>38</v>
      </c>
    </row>
    <row r="4054" spans="2:11" ht="24.75" x14ac:dyDescent="0.2">
      <c r="B4054" s="33" t="s">
        <v>4995</v>
      </c>
      <c r="C4054" s="33" t="s">
        <v>3317</v>
      </c>
      <c r="D4054" s="35">
        <f>SUMIFS(D4055:D9015,K4055:K9015,"0",B4055:B9015,"5 1 1 3 4 12 31111 6 M59 61000*")-SUMIFS(E4055:E9015,K4055:K9015,"0",B4055:B9015,"5 1 1 3 4 12 31111 6 M59 61000*")</f>
        <v>0</v>
      </c>
      <c r="E4054"/>
      <c r="F4054" s="35">
        <f>SUMIFS(F4055:F9015,K4055:K9015,"0",B4055:B9015,"5 1 1 3 4 12 31111 6 M59 61000*")</f>
        <v>12000</v>
      </c>
      <c r="G4054" s="35">
        <f>SUMIFS(G4055:G9015,K4055:K9015,"0",B4055:B9015,"5 1 1 3 4 12 31111 6 M59 61000*")</f>
        <v>0</v>
      </c>
      <c r="H4054" s="35">
        <f t="shared" si="64"/>
        <v>12000</v>
      </c>
      <c r="I4054" s="35"/>
      <c r="K4054" t="s">
        <v>15</v>
      </c>
    </row>
    <row r="4055" spans="2:11" ht="16.5" x14ac:dyDescent="0.2">
      <c r="B4055" s="33" t="s">
        <v>4996</v>
      </c>
      <c r="C4055" s="33" t="s">
        <v>648</v>
      </c>
      <c r="D4055" s="35">
        <f>SUMIFS(D4056:D9015,K4056:K9015,"0",B4056:B9015,"5 1 1 3 4 12 31111 6 M59 61000 000132*")-SUMIFS(E4056:E9015,K4056:K9015,"0",B4056:B9015,"5 1 1 3 4 12 31111 6 M59 61000 000132*")</f>
        <v>0</v>
      </c>
      <c r="E4055"/>
      <c r="F4055" s="35">
        <f>SUMIFS(F4056:F9015,K4056:K9015,"0",B4056:B9015,"5 1 1 3 4 12 31111 6 M59 61000 000132*")</f>
        <v>12000</v>
      </c>
      <c r="G4055" s="35">
        <f>SUMIFS(G4056:G9015,K4056:K9015,"0",B4056:B9015,"5 1 1 3 4 12 31111 6 M59 61000 000132*")</f>
        <v>0</v>
      </c>
      <c r="H4055" s="35">
        <f t="shared" si="64"/>
        <v>12000</v>
      </c>
      <c r="I4055" s="35"/>
      <c r="K4055" t="s">
        <v>15</v>
      </c>
    </row>
    <row r="4056" spans="2:11" ht="24.75" x14ac:dyDescent="0.2">
      <c r="B4056" s="33" t="s">
        <v>4997</v>
      </c>
      <c r="C4056" s="33" t="s">
        <v>650</v>
      </c>
      <c r="D4056" s="35">
        <f>SUMIFS(D4057:D9015,K4057:K9015,"0",B4057:B9015,"5 1 1 3 4 12 31111 6 M59 61000 000132 0000R*")-SUMIFS(E4057:E9015,K4057:K9015,"0",B4057:B9015,"5 1 1 3 4 12 31111 6 M59 61000 000132 0000R*")</f>
        <v>0</v>
      </c>
      <c r="E4056"/>
      <c r="F4056" s="35">
        <f>SUMIFS(F4057:F9015,K4057:K9015,"0",B4057:B9015,"5 1 1 3 4 12 31111 6 M59 61000 000132 0000R*")</f>
        <v>12000</v>
      </c>
      <c r="G4056" s="35">
        <f>SUMIFS(G4057:G9015,K4057:K9015,"0",B4057:B9015,"5 1 1 3 4 12 31111 6 M59 61000 000132 0000R*")</f>
        <v>0</v>
      </c>
      <c r="H4056" s="35">
        <f t="shared" si="64"/>
        <v>12000</v>
      </c>
      <c r="I4056" s="35"/>
      <c r="K4056" t="s">
        <v>15</v>
      </c>
    </row>
    <row r="4057" spans="2:11" ht="24.75" x14ac:dyDescent="0.2">
      <c r="B4057" s="33" t="s">
        <v>4998</v>
      </c>
      <c r="C4057" s="33" t="s">
        <v>282</v>
      </c>
      <c r="D4057" s="35">
        <f>SUMIFS(D4058:D9015,K4058:K9015,"0",B4058:B9015,"5 1 1 3 4 12 31111 6 M59 61000 000132 0000R 00001*")-SUMIFS(E4058:E9015,K4058:K9015,"0",B4058:B9015,"5 1 1 3 4 12 31111 6 M59 61000 000132 0000R 00001*")</f>
        <v>0</v>
      </c>
      <c r="E4057"/>
      <c r="F4057" s="35">
        <f>SUMIFS(F4058:F9015,K4058:K9015,"0",B4058:B9015,"5 1 1 3 4 12 31111 6 M59 61000 000132 0000R 00001*")</f>
        <v>12000</v>
      </c>
      <c r="G4057" s="35">
        <f>SUMIFS(G4058:G9015,K4058:K9015,"0",B4058:B9015,"5 1 1 3 4 12 31111 6 M59 61000 000132 0000R 00001*")</f>
        <v>0</v>
      </c>
      <c r="H4057" s="35">
        <f t="shared" si="64"/>
        <v>12000</v>
      </c>
      <c r="I4057" s="35"/>
      <c r="K4057" t="s">
        <v>15</v>
      </c>
    </row>
    <row r="4058" spans="2:11" ht="24.75" x14ac:dyDescent="0.2">
      <c r="B4058" s="33" t="s">
        <v>4999</v>
      </c>
      <c r="C4058" s="33" t="s">
        <v>4776</v>
      </c>
      <c r="D4058" s="35">
        <f>SUMIFS(D4059:D9015,K4059:K9015,"0",B4059:B9015,"5 1 1 3 4 12 31111 6 M59 61000 000132 0000R 00001 00134*")-SUMIFS(E4059:E9015,K4059:K9015,"0",B4059:B9015,"5 1 1 3 4 12 31111 6 M59 61000 000132 0000R 00001 00134*")</f>
        <v>0</v>
      </c>
      <c r="E4058"/>
      <c r="F4058" s="35">
        <f>SUMIFS(F4059:F9015,K4059:K9015,"0",B4059:B9015,"5 1 1 3 4 12 31111 6 M59 61000 000132 0000R 00001 00134*")</f>
        <v>12000</v>
      </c>
      <c r="G4058" s="35">
        <f>SUMIFS(G4059:G9015,K4059:K9015,"0",B4059:B9015,"5 1 1 3 4 12 31111 6 M59 61000 000132 0000R 00001 00134*")</f>
        <v>0</v>
      </c>
      <c r="H4058" s="35">
        <f t="shared" si="64"/>
        <v>12000</v>
      </c>
      <c r="I4058" s="35"/>
      <c r="K4058" t="s">
        <v>15</v>
      </c>
    </row>
    <row r="4059" spans="2:11" ht="33" x14ac:dyDescent="0.2">
      <c r="B4059" s="33" t="s">
        <v>5000</v>
      </c>
      <c r="C4059" s="33" t="s">
        <v>1051</v>
      </c>
      <c r="D4059" s="35">
        <f>SUMIFS(D4060:D9015,K4060:K9015,"0",B4060:B9015,"5 1 1 3 4 12 31111 6 M59 61000 000132 0000R 00001 00134 015*")-SUMIFS(E4060:E9015,K4060:K9015,"0",B4060:B9015,"5 1 1 3 4 12 31111 6 M59 61000 000132 0000R 00001 00134 015*")</f>
        <v>0</v>
      </c>
      <c r="E4059"/>
      <c r="F4059" s="35">
        <f>SUMIFS(F4060:F9015,K4060:K9015,"0",B4060:B9015,"5 1 1 3 4 12 31111 6 M59 61000 000132 0000R 00001 00134 015*")</f>
        <v>12000</v>
      </c>
      <c r="G4059" s="35">
        <f>SUMIFS(G4060:G9015,K4060:K9015,"0",B4060:B9015,"5 1 1 3 4 12 31111 6 M59 61000 000132 0000R 00001 00134 015*")</f>
        <v>0</v>
      </c>
      <c r="H4059" s="35">
        <f t="shared" si="64"/>
        <v>12000</v>
      </c>
      <c r="I4059" s="35"/>
      <c r="K4059" t="s">
        <v>15</v>
      </c>
    </row>
    <row r="4060" spans="2:11" ht="33" x14ac:dyDescent="0.2">
      <c r="B4060" s="33" t="s">
        <v>5001</v>
      </c>
      <c r="C4060" s="33" t="s">
        <v>2927</v>
      </c>
      <c r="D4060" s="35">
        <f>SUMIFS(D4061:D9015,K4061:K9015,"0",B4061:B9015,"5 1 1 3 4 12 31111 6 M59 61000 000132 0000R 00001 00134 015 2111100*")-SUMIFS(E4061:E9015,K4061:K9015,"0",B4061:B9015,"5 1 1 3 4 12 31111 6 M59 61000 000132 0000R 00001 00134 015 2111100*")</f>
        <v>0</v>
      </c>
      <c r="E4060"/>
      <c r="F4060" s="35">
        <f>SUMIFS(F4061:F9015,K4061:K9015,"0",B4061:B9015,"5 1 1 3 4 12 31111 6 M59 61000 000132 0000R 00001 00134 015 2111100*")</f>
        <v>12000</v>
      </c>
      <c r="G4060" s="35">
        <f>SUMIFS(G4061:G9015,K4061:K9015,"0",B4061:B9015,"5 1 1 3 4 12 31111 6 M59 61000 000132 0000R 00001 00134 015 2111100*")</f>
        <v>0</v>
      </c>
      <c r="H4060" s="35">
        <f t="shared" si="64"/>
        <v>12000</v>
      </c>
      <c r="I4060" s="35"/>
      <c r="K4060" t="s">
        <v>15</v>
      </c>
    </row>
    <row r="4061" spans="2:11" ht="33" x14ac:dyDescent="0.2">
      <c r="B4061" s="33" t="s">
        <v>5002</v>
      </c>
      <c r="C4061" s="33" t="s">
        <v>660</v>
      </c>
      <c r="D4061" s="35">
        <f>SUMIFS(D4062:D9015,K4062:K9015,"0",B4062:B9015,"5 1 1 3 4 12 31111 6 M59 61000 000132 0000R 00001 00134 015 2111100 2024*")-SUMIFS(E4062:E9015,K4062:K9015,"0",B4062:B9015,"5 1 1 3 4 12 31111 6 M59 61000 000132 0000R 00001 00134 015 2111100 2024*")</f>
        <v>0</v>
      </c>
      <c r="E4061"/>
      <c r="F4061" s="35">
        <f>SUMIFS(F4062:F9015,K4062:K9015,"0",B4062:B9015,"5 1 1 3 4 12 31111 6 M59 61000 000132 0000R 00001 00134 015 2111100 2024*")</f>
        <v>12000</v>
      </c>
      <c r="G4061" s="35">
        <f>SUMIFS(G4062:G9015,K4062:K9015,"0",B4062:B9015,"5 1 1 3 4 12 31111 6 M59 61000 000132 0000R 00001 00134 015 2111100 2024*")</f>
        <v>0</v>
      </c>
      <c r="H4061" s="35">
        <f t="shared" si="64"/>
        <v>12000</v>
      </c>
      <c r="I4061" s="35"/>
      <c r="K4061" t="s">
        <v>15</v>
      </c>
    </row>
    <row r="4062" spans="2:11" ht="41.25" x14ac:dyDescent="0.2">
      <c r="B4062" s="33" t="s">
        <v>5003</v>
      </c>
      <c r="C4062" s="33" t="s">
        <v>1056</v>
      </c>
      <c r="D4062" s="35">
        <f>SUMIFS(D4063:D9015,K4063:K9015,"0",B4063:B9015,"5 1 1 3 4 12 31111 6 M59 61000 000132 0000R 00001 00134 015 2111100 2024 CP1MI406*")-SUMIFS(E4063:E9015,K4063:K9015,"0",B4063:B9015,"5 1 1 3 4 12 31111 6 M59 61000 000132 0000R 00001 00134 015 2111100 2024 CP1MI406*")</f>
        <v>0</v>
      </c>
      <c r="E4062"/>
      <c r="F4062" s="35">
        <f>SUMIFS(F4063:F9015,K4063:K9015,"0",B4063:B9015,"5 1 1 3 4 12 31111 6 M59 61000 000132 0000R 00001 00134 015 2111100 2024 CP1MI406*")</f>
        <v>12000</v>
      </c>
      <c r="G4062" s="35">
        <f>SUMIFS(G4063:G9015,K4063:K9015,"0",B4063:B9015,"5 1 1 3 4 12 31111 6 M59 61000 000132 0000R 00001 00134 015 2111100 2024 CP1MI406*")</f>
        <v>0</v>
      </c>
      <c r="H4062" s="35">
        <f t="shared" si="64"/>
        <v>12000</v>
      </c>
      <c r="I4062" s="35"/>
      <c r="K4062" t="s">
        <v>15</v>
      </c>
    </row>
    <row r="4063" spans="2:11" ht="41.25" x14ac:dyDescent="0.2">
      <c r="B4063" s="33" t="s">
        <v>5004</v>
      </c>
      <c r="C4063" s="33" t="s">
        <v>282</v>
      </c>
      <c r="D4063" s="35">
        <f>SUMIFS(D4064:D9015,K4064:K9015,"0",B4064:B9015,"5 1 1 3 4 12 31111 6 M59 61000 000132 0000R 00001 00134 015 2111100 2024 CP1MI406 001*")-SUMIFS(E4064:E9015,K4064:K9015,"0",B4064:B9015,"5 1 1 3 4 12 31111 6 M59 61000 000132 0000R 00001 00134 015 2111100 2024 CP1MI406 001*")</f>
        <v>0</v>
      </c>
      <c r="E4063"/>
      <c r="F4063" s="35">
        <f>SUMIFS(F4064:F9015,K4064:K9015,"0",B4064:B9015,"5 1 1 3 4 12 31111 6 M59 61000 000132 0000R 00001 00134 015 2111100 2024 CP1MI406 001*")</f>
        <v>12000</v>
      </c>
      <c r="G4063" s="35">
        <f>SUMIFS(G4064:G9015,K4064:K9015,"0",B4064:B9015,"5 1 1 3 4 12 31111 6 M59 61000 000132 0000R 00001 00134 015 2111100 2024 CP1MI406 001*")</f>
        <v>0</v>
      </c>
      <c r="H4063" s="35">
        <f t="shared" si="64"/>
        <v>12000</v>
      </c>
      <c r="I4063" s="35"/>
      <c r="K4063" t="s">
        <v>15</v>
      </c>
    </row>
    <row r="4064" spans="2:11" ht="33" x14ac:dyDescent="0.2">
      <c r="B4064" s="31" t="s">
        <v>5005</v>
      </c>
      <c r="C4064" s="31" t="s">
        <v>4840</v>
      </c>
      <c r="D4064" s="34">
        <v>0</v>
      </c>
      <c r="E4064" s="34"/>
      <c r="F4064" s="34">
        <v>12000</v>
      </c>
      <c r="G4064" s="34">
        <v>0</v>
      </c>
      <c r="H4064" s="34">
        <f t="shared" si="64"/>
        <v>12000</v>
      </c>
      <c r="I4064" s="34"/>
      <c r="K4064" t="s">
        <v>38</v>
      </c>
    </row>
    <row r="4065" spans="2:11" ht="16.5" x14ac:dyDescent="0.2">
      <c r="B4065" s="33" t="s">
        <v>5006</v>
      </c>
      <c r="C4065" s="33" t="s">
        <v>3425</v>
      </c>
      <c r="D4065" s="35">
        <f>SUMIFS(D4066:D9015,K4066:K9015,"0",B4066:B9015,"5 1 1 3 4 12 31111 6 M59 70400*")-SUMIFS(E4066:E9015,K4066:K9015,"0",B4066:B9015,"5 1 1 3 4 12 31111 6 M59 70400*")</f>
        <v>0</v>
      </c>
      <c r="E4065"/>
      <c r="F4065" s="35">
        <f>SUMIFS(F4066:F9015,K4066:K9015,"0",B4066:B9015,"5 1 1 3 4 12 31111 6 M59 70400*")</f>
        <v>3000</v>
      </c>
      <c r="G4065" s="35">
        <f>SUMIFS(G4066:G9015,K4066:K9015,"0",B4066:B9015,"5 1 1 3 4 12 31111 6 M59 70400*")</f>
        <v>0</v>
      </c>
      <c r="H4065" s="35">
        <f t="shared" si="64"/>
        <v>3000</v>
      </c>
      <c r="I4065" s="35"/>
      <c r="K4065" t="s">
        <v>15</v>
      </c>
    </row>
    <row r="4066" spans="2:11" ht="16.5" x14ac:dyDescent="0.2">
      <c r="B4066" s="33" t="s">
        <v>5007</v>
      </c>
      <c r="C4066" s="33" t="s">
        <v>3427</v>
      </c>
      <c r="D4066" s="35">
        <f>SUMIFS(D4067:D9015,K4067:K9015,"0",B4067:B9015,"5 1 1 3 4 12 31111 6 M59 70400 000241*")-SUMIFS(E4067:E9015,K4067:K9015,"0",B4067:B9015,"5 1 1 3 4 12 31111 6 M59 70400 000241*")</f>
        <v>0</v>
      </c>
      <c r="E4066"/>
      <c r="F4066" s="35">
        <f>SUMIFS(F4067:F9015,K4067:K9015,"0",B4067:B9015,"5 1 1 3 4 12 31111 6 M59 70400 000241*")</f>
        <v>3000</v>
      </c>
      <c r="G4066" s="35">
        <f>SUMIFS(G4067:G9015,K4067:K9015,"0",B4067:B9015,"5 1 1 3 4 12 31111 6 M59 70400 000241*")</f>
        <v>0</v>
      </c>
      <c r="H4066" s="35">
        <f t="shared" si="64"/>
        <v>3000</v>
      </c>
      <c r="I4066" s="35"/>
      <c r="K4066" t="s">
        <v>15</v>
      </c>
    </row>
    <row r="4067" spans="2:11" ht="24.75" x14ac:dyDescent="0.2">
      <c r="B4067" s="33" t="s">
        <v>5008</v>
      </c>
      <c r="C4067" s="33" t="s">
        <v>650</v>
      </c>
      <c r="D4067" s="35">
        <f>SUMIFS(D4068:D9015,K4068:K9015,"0",B4068:B9015,"5 1 1 3 4 12 31111 6 M59 70400 000241 0000R*")-SUMIFS(E4068:E9015,K4068:K9015,"0",B4068:B9015,"5 1 1 3 4 12 31111 6 M59 70400 000241 0000R*")</f>
        <v>0</v>
      </c>
      <c r="E4067"/>
      <c r="F4067" s="35">
        <f>SUMIFS(F4068:F9015,K4068:K9015,"0",B4068:B9015,"5 1 1 3 4 12 31111 6 M59 70400 000241 0000R*")</f>
        <v>3000</v>
      </c>
      <c r="G4067" s="35">
        <f>SUMIFS(G4068:G9015,K4068:K9015,"0",B4068:B9015,"5 1 1 3 4 12 31111 6 M59 70400 000241 0000R*")</f>
        <v>0</v>
      </c>
      <c r="H4067" s="35">
        <f t="shared" si="64"/>
        <v>3000</v>
      </c>
      <c r="I4067" s="35"/>
      <c r="K4067" t="s">
        <v>15</v>
      </c>
    </row>
    <row r="4068" spans="2:11" ht="24.75" x14ac:dyDescent="0.2">
      <c r="B4068" s="33" t="s">
        <v>5009</v>
      </c>
      <c r="C4068" s="33" t="s">
        <v>282</v>
      </c>
      <c r="D4068" s="35">
        <f>SUMIFS(D4069:D9015,K4069:K9015,"0",B4069:B9015,"5 1 1 3 4 12 31111 6 M59 70400 000241 0000R 00001*")-SUMIFS(E4069:E9015,K4069:K9015,"0",B4069:B9015,"5 1 1 3 4 12 31111 6 M59 70400 000241 0000R 00001*")</f>
        <v>0</v>
      </c>
      <c r="E4068"/>
      <c r="F4068" s="35">
        <f>SUMIFS(F4069:F9015,K4069:K9015,"0",B4069:B9015,"5 1 1 3 4 12 31111 6 M59 70400 000241 0000R 00001*")</f>
        <v>3000</v>
      </c>
      <c r="G4068" s="35">
        <f>SUMIFS(G4069:G9015,K4069:K9015,"0",B4069:B9015,"5 1 1 3 4 12 31111 6 M59 70400 000241 0000R 00001*")</f>
        <v>0</v>
      </c>
      <c r="H4068" s="35">
        <f t="shared" si="64"/>
        <v>3000</v>
      </c>
      <c r="I4068" s="35"/>
      <c r="K4068" t="s">
        <v>15</v>
      </c>
    </row>
    <row r="4069" spans="2:11" ht="24.75" x14ac:dyDescent="0.2">
      <c r="B4069" s="33" t="s">
        <v>5010</v>
      </c>
      <c r="C4069" s="33" t="s">
        <v>4776</v>
      </c>
      <c r="D4069" s="35">
        <f>SUMIFS(D4070:D9015,K4070:K9015,"0",B4070:B9015,"5 1 1 3 4 12 31111 6 M59 70400 000241 0000R 00001 00134*")-SUMIFS(E4070:E9015,K4070:K9015,"0",B4070:B9015,"5 1 1 3 4 12 31111 6 M59 70400 000241 0000R 00001 00134*")</f>
        <v>0</v>
      </c>
      <c r="E4069"/>
      <c r="F4069" s="35">
        <f>SUMIFS(F4070:F9015,K4070:K9015,"0",B4070:B9015,"5 1 1 3 4 12 31111 6 M59 70400 000241 0000R 00001 00134*")</f>
        <v>3000</v>
      </c>
      <c r="G4069" s="35">
        <f>SUMIFS(G4070:G9015,K4070:K9015,"0",B4070:B9015,"5 1 1 3 4 12 31111 6 M59 70400 000241 0000R 00001 00134*")</f>
        <v>0</v>
      </c>
      <c r="H4069" s="35">
        <f t="shared" si="64"/>
        <v>3000</v>
      </c>
      <c r="I4069" s="35"/>
      <c r="K4069" t="s">
        <v>15</v>
      </c>
    </row>
    <row r="4070" spans="2:11" ht="33" x14ac:dyDescent="0.2">
      <c r="B4070" s="33" t="s">
        <v>5011</v>
      </c>
      <c r="C4070" s="33" t="s">
        <v>1051</v>
      </c>
      <c r="D4070" s="35">
        <f>SUMIFS(D4071:D9015,K4071:K9015,"0",B4071:B9015,"5 1 1 3 4 12 31111 6 M59 70400 000241 0000R 00001 00134 015*")-SUMIFS(E4071:E9015,K4071:K9015,"0",B4071:B9015,"5 1 1 3 4 12 31111 6 M59 70400 000241 0000R 00001 00134 015*")</f>
        <v>0</v>
      </c>
      <c r="E4070"/>
      <c r="F4070" s="35">
        <f>SUMIFS(F4071:F9015,K4071:K9015,"0",B4071:B9015,"5 1 1 3 4 12 31111 6 M59 70400 000241 0000R 00001 00134 015*")</f>
        <v>3000</v>
      </c>
      <c r="G4070" s="35">
        <f>SUMIFS(G4071:G9015,K4071:K9015,"0",B4071:B9015,"5 1 1 3 4 12 31111 6 M59 70400 000241 0000R 00001 00134 015*")</f>
        <v>0</v>
      </c>
      <c r="H4070" s="35">
        <f t="shared" si="64"/>
        <v>3000</v>
      </c>
      <c r="I4070" s="35"/>
      <c r="K4070" t="s">
        <v>15</v>
      </c>
    </row>
    <row r="4071" spans="2:11" ht="33" x14ac:dyDescent="0.2">
      <c r="B4071" s="33" t="s">
        <v>5012</v>
      </c>
      <c r="C4071" s="33" t="s">
        <v>2927</v>
      </c>
      <c r="D4071" s="35">
        <f>SUMIFS(D4072:D9015,K4072:K9015,"0",B4072:B9015,"5 1 1 3 4 12 31111 6 M59 70400 000241 0000R 00001 00134 015 2111100*")-SUMIFS(E4072:E9015,K4072:K9015,"0",B4072:B9015,"5 1 1 3 4 12 31111 6 M59 70400 000241 0000R 00001 00134 015 2111100*")</f>
        <v>0</v>
      </c>
      <c r="E4071"/>
      <c r="F4071" s="35">
        <f>SUMIFS(F4072:F9015,K4072:K9015,"0",B4072:B9015,"5 1 1 3 4 12 31111 6 M59 70400 000241 0000R 00001 00134 015 2111100*")</f>
        <v>3000</v>
      </c>
      <c r="G4071" s="35">
        <f>SUMIFS(G4072:G9015,K4072:K9015,"0",B4072:B9015,"5 1 1 3 4 12 31111 6 M59 70400 000241 0000R 00001 00134 015 2111100*")</f>
        <v>0</v>
      </c>
      <c r="H4071" s="35">
        <f t="shared" si="64"/>
        <v>3000</v>
      </c>
      <c r="I4071" s="35"/>
      <c r="K4071" t="s">
        <v>15</v>
      </c>
    </row>
    <row r="4072" spans="2:11" ht="33" x14ac:dyDescent="0.2">
      <c r="B4072" s="33" t="s">
        <v>5013</v>
      </c>
      <c r="C4072" s="33" t="s">
        <v>660</v>
      </c>
      <c r="D4072" s="35">
        <f>SUMIFS(D4073:D9015,K4073:K9015,"0",B4073:B9015,"5 1 1 3 4 12 31111 6 M59 70400 000241 0000R 00001 00134 015 2111100 2024*")-SUMIFS(E4073:E9015,K4073:K9015,"0",B4073:B9015,"5 1 1 3 4 12 31111 6 M59 70400 000241 0000R 00001 00134 015 2111100 2024*")</f>
        <v>0</v>
      </c>
      <c r="E4072"/>
      <c r="F4072" s="35">
        <f>SUMIFS(F4073:F9015,K4073:K9015,"0",B4073:B9015,"5 1 1 3 4 12 31111 6 M59 70400 000241 0000R 00001 00134 015 2111100 2024*")</f>
        <v>3000</v>
      </c>
      <c r="G4072" s="35">
        <f>SUMIFS(G4073:G9015,K4073:K9015,"0",B4073:B9015,"5 1 1 3 4 12 31111 6 M59 70400 000241 0000R 00001 00134 015 2111100 2024*")</f>
        <v>0</v>
      </c>
      <c r="H4072" s="35">
        <f t="shared" si="64"/>
        <v>3000</v>
      </c>
      <c r="I4072" s="35"/>
      <c r="K4072" t="s">
        <v>15</v>
      </c>
    </row>
    <row r="4073" spans="2:11" ht="41.25" x14ac:dyDescent="0.2">
      <c r="B4073" s="33" t="s">
        <v>5014</v>
      </c>
      <c r="C4073" s="33" t="s">
        <v>662</v>
      </c>
      <c r="D4073" s="35">
        <f>SUMIFS(D4074:D9015,K4074:K9015,"0",B4074:B9015,"5 1 1 3 4 12 31111 6 M59 70400 000241 0000R 00001 00134 015 2111100 2024 CP1DD418*")-SUMIFS(E4074:E9015,K4074:K9015,"0",B4074:B9015,"5 1 1 3 4 12 31111 6 M59 70400 000241 0000R 00001 00134 015 2111100 2024 CP1DD418*")</f>
        <v>0</v>
      </c>
      <c r="E4073"/>
      <c r="F4073" s="35">
        <f>SUMIFS(F4074:F9015,K4074:K9015,"0",B4074:B9015,"5 1 1 3 4 12 31111 6 M59 70400 000241 0000R 00001 00134 015 2111100 2024 CP1DD418*")</f>
        <v>3000</v>
      </c>
      <c r="G4073" s="35">
        <f>SUMIFS(G4074:G9015,K4074:K9015,"0",B4074:B9015,"5 1 1 3 4 12 31111 6 M59 70400 000241 0000R 00001 00134 015 2111100 2024 CP1DD418*")</f>
        <v>0</v>
      </c>
      <c r="H4073" s="35">
        <f t="shared" si="64"/>
        <v>3000</v>
      </c>
      <c r="I4073" s="35"/>
      <c r="K4073" t="s">
        <v>15</v>
      </c>
    </row>
    <row r="4074" spans="2:11" ht="41.25" x14ac:dyDescent="0.2">
      <c r="B4074" s="33" t="s">
        <v>5015</v>
      </c>
      <c r="C4074" s="33" t="s">
        <v>282</v>
      </c>
      <c r="D4074" s="35">
        <f>SUMIFS(D4075:D9015,K4075:K9015,"0",B4075:B9015,"5 1 1 3 4 12 31111 6 M59 70400 000241 0000R 00001 00134 015 2111100 2024 CP1DD418 001*")-SUMIFS(E4075:E9015,K4075:K9015,"0",B4075:B9015,"5 1 1 3 4 12 31111 6 M59 70400 000241 0000R 00001 00134 015 2111100 2024 CP1DD418 001*")</f>
        <v>0</v>
      </c>
      <c r="E4074"/>
      <c r="F4074" s="35">
        <f>SUMIFS(F4075:F9015,K4075:K9015,"0",B4075:B9015,"5 1 1 3 4 12 31111 6 M59 70400 000241 0000R 00001 00134 015 2111100 2024 CP1DD418 001*")</f>
        <v>3000</v>
      </c>
      <c r="G4074" s="35">
        <f>SUMIFS(G4075:G9015,K4075:K9015,"0",B4075:B9015,"5 1 1 3 4 12 31111 6 M59 70400 000241 0000R 00001 00134 015 2111100 2024 CP1DD418 001*")</f>
        <v>0</v>
      </c>
      <c r="H4074" s="35">
        <f t="shared" si="64"/>
        <v>3000</v>
      </c>
      <c r="I4074" s="35"/>
      <c r="K4074" t="s">
        <v>15</v>
      </c>
    </row>
    <row r="4075" spans="2:11" ht="33" x14ac:dyDescent="0.2">
      <c r="B4075" s="31" t="s">
        <v>5016</v>
      </c>
      <c r="C4075" s="31" t="s">
        <v>4840</v>
      </c>
      <c r="D4075" s="34">
        <v>0</v>
      </c>
      <c r="E4075" s="34"/>
      <c r="F4075" s="34">
        <v>3000</v>
      </c>
      <c r="G4075" s="34">
        <v>0</v>
      </c>
      <c r="H4075" s="34">
        <f t="shared" si="64"/>
        <v>3000</v>
      </c>
      <c r="I4075" s="34"/>
      <c r="K4075" t="s">
        <v>38</v>
      </c>
    </row>
    <row r="4076" spans="2:11" ht="16.5" x14ac:dyDescent="0.2">
      <c r="B4076" s="33" t="s">
        <v>5017</v>
      </c>
      <c r="C4076" s="33" t="s">
        <v>3438</v>
      </c>
      <c r="D4076" s="35">
        <f>SUMIFS(D4077:D9015,K4077:K9015,"0",B4077:B9015,"5 1 1 3 4 12 31111 6 M59 70500*")-SUMIFS(E4077:E9015,K4077:K9015,"0",B4077:B9015,"5 1 1 3 4 12 31111 6 M59 70500*")</f>
        <v>0</v>
      </c>
      <c r="E4076"/>
      <c r="F4076" s="35">
        <f>SUMIFS(F4077:F9015,K4077:K9015,"0",B4077:B9015,"5 1 1 3 4 12 31111 6 M59 70500*")</f>
        <v>18000</v>
      </c>
      <c r="G4076" s="35">
        <f>SUMIFS(G4077:G9015,K4077:K9015,"0",B4077:B9015,"5 1 1 3 4 12 31111 6 M59 70500*")</f>
        <v>0</v>
      </c>
      <c r="H4076" s="35">
        <f t="shared" si="64"/>
        <v>18000</v>
      </c>
      <c r="I4076" s="35"/>
      <c r="K4076" t="s">
        <v>15</v>
      </c>
    </row>
    <row r="4077" spans="2:11" ht="16.5" x14ac:dyDescent="0.2">
      <c r="B4077" s="33" t="s">
        <v>5018</v>
      </c>
      <c r="C4077" s="33" t="s">
        <v>648</v>
      </c>
      <c r="D4077" s="35">
        <f>SUMIFS(D4078:D9015,K4078:K9015,"0",B4078:B9015,"5 1 1 3 4 12 31111 6 M59 70500 000132*")-SUMIFS(E4078:E9015,K4078:K9015,"0",B4078:B9015,"5 1 1 3 4 12 31111 6 M59 70500 000132*")</f>
        <v>0</v>
      </c>
      <c r="E4077"/>
      <c r="F4077" s="35">
        <f>SUMIFS(F4078:F9015,K4078:K9015,"0",B4078:B9015,"5 1 1 3 4 12 31111 6 M59 70500 000132*")</f>
        <v>18000</v>
      </c>
      <c r="G4077" s="35">
        <f>SUMIFS(G4078:G9015,K4078:K9015,"0",B4078:B9015,"5 1 1 3 4 12 31111 6 M59 70500 000132*")</f>
        <v>0</v>
      </c>
      <c r="H4077" s="35">
        <f t="shared" si="64"/>
        <v>18000</v>
      </c>
      <c r="I4077" s="35"/>
      <c r="K4077" t="s">
        <v>15</v>
      </c>
    </row>
    <row r="4078" spans="2:11" ht="24.75" x14ac:dyDescent="0.2">
      <c r="B4078" s="33" t="s">
        <v>5019</v>
      </c>
      <c r="C4078" s="33" t="s">
        <v>650</v>
      </c>
      <c r="D4078" s="35">
        <f>SUMIFS(D4079:D9015,K4079:K9015,"0",B4079:B9015,"5 1 1 3 4 12 31111 6 M59 70500 000132 0000R*")-SUMIFS(E4079:E9015,K4079:K9015,"0",B4079:B9015,"5 1 1 3 4 12 31111 6 M59 70500 000132 0000R*")</f>
        <v>0</v>
      </c>
      <c r="E4078"/>
      <c r="F4078" s="35">
        <f>SUMIFS(F4079:F9015,K4079:K9015,"0",B4079:B9015,"5 1 1 3 4 12 31111 6 M59 70500 000132 0000R*")</f>
        <v>18000</v>
      </c>
      <c r="G4078" s="35">
        <f>SUMIFS(G4079:G9015,K4079:K9015,"0",B4079:B9015,"5 1 1 3 4 12 31111 6 M59 70500 000132 0000R*")</f>
        <v>0</v>
      </c>
      <c r="H4078" s="35">
        <f t="shared" si="64"/>
        <v>18000</v>
      </c>
      <c r="I4078" s="35"/>
      <c r="K4078" t="s">
        <v>15</v>
      </c>
    </row>
    <row r="4079" spans="2:11" ht="24.75" x14ac:dyDescent="0.2">
      <c r="B4079" s="33" t="s">
        <v>5020</v>
      </c>
      <c r="C4079" s="33" t="s">
        <v>282</v>
      </c>
      <c r="D4079" s="35">
        <f>SUMIFS(D4080:D9015,K4080:K9015,"0",B4080:B9015,"5 1 1 3 4 12 31111 6 M59 70500 000132 0000R 00001*")-SUMIFS(E4080:E9015,K4080:K9015,"0",B4080:B9015,"5 1 1 3 4 12 31111 6 M59 70500 000132 0000R 00001*")</f>
        <v>0</v>
      </c>
      <c r="E4079"/>
      <c r="F4079" s="35">
        <f>SUMIFS(F4080:F9015,K4080:K9015,"0",B4080:B9015,"5 1 1 3 4 12 31111 6 M59 70500 000132 0000R 00001*")</f>
        <v>18000</v>
      </c>
      <c r="G4079" s="35">
        <f>SUMIFS(G4080:G9015,K4080:K9015,"0",B4080:B9015,"5 1 1 3 4 12 31111 6 M59 70500 000132 0000R 00001*")</f>
        <v>0</v>
      </c>
      <c r="H4079" s="35">
        <f t="shared" si="64"/>
        <v>18000</v>
      </c>
      <c r="I4079" s="35"/>
      <c r="K4079" t="s">
        <v>15</v>
      </c>
    </row>
    <row r="4080" spans="2:11" ht="24.75" x14ac:dyDescent="0.2">
      <c r="B4080" s="33" t="s">
        <v>5021</v>
      </c>
      <c r="C4080" s="33" t="s">
        <v>4776</v>
      </c>
      <c r="D4080" s="35">
        <f>SUMIFS(D4081:D9015,K4081:K9015,"0",B4081:B9015,"5 1 1 3 4 12 31111 6 M59 70500 000132 0000R 00001 00134*")-SUMIFS(E4081:E9015,K4081:K9015,"0",B4081:B9015,"5 1 1 3 4 12 31111 6 M59 70500 000132 0000R 00001 00134*")</f>
        <v>0</v>
      </c>
      <c r="E4080"/>
      <c r="F4080" s="35">
        <f>SUMIFS(F4081:F9015,K4081:K9015,"0",B4081:B9015,"5 1 1 3 4 12 31111 6 M59 70500 000132 0000R 00001 00134*")</f>
        <v>18000</v>
      </c>
      <c r="G4080" s="35">
        <f>SUMIFS(G4081:G9015,K4081:K9015,"0",B4081:B9015,"5 1 1 3 4 12 31111 6 M59 70500 000132 0000R 00001 00134*")</f>
        <v>0</v>
      </c>
      <c r="H4080" s="35">
        <f t="shared" si="64"/>
        <v>18000</v>
      </c>
      <c r="I4080" s="35"/>
      <c r="K4080" t="s">
        <v>15</v>
      </c>
    </row>
    <row r="4081" spans="2:11" ht="33" x14ac:dyDescent="0.2">
      <c r="B4081" s="33" t="s">
        <v>5022</v>
      </c>
      <c r="C4081" s="33" t="s">
        <v>1051</v>
      </c>
      <c r="D4081" s="35">
        <f>SUMIFS(D4082:D9015,K4082:K9015,"0",B4082:B9015,"5 1 1 3 4 12 31111 6 M59 70500 000132 0000R 00001 00134 015*")-SUMIFS(E4082:E9015,K4082:K9015,"0",B4082:B9015,"5 1 1 3 4 12 31111 6 M59 70500 000132 0000R 00001 00134 015*")</f>
        <v>0</v>
      </c>
      <c r="E4081"/>
      <c r="F4081" s="35">
        <f>SUMIFS(F4082:F9015,K4082:K9015,"0",B4082:B9015,"5 1 1 3 4 12 31111 6 M59 70500 000132 0000R 00001 00134 015*")</f>
        <v>18000</v>
      </c>
      <c r="G4081" s="35">
        <f>SUMIFS(G4082:G9015,K4082:K9015,"0",B4082:B9015,"5 1 1 3 4 12 31111 6 M59 70500 000132 0000R 00001 00134 015*")</f>
        <v>0</v>
      </c>
      <c r="H4081" s="35">
        <f t="shared" si="64"/>
        <v>18000</v>
      </c>
      <c r="I4081" s="35"/>
      <c r="K4081" t="s">
        <v>15</v>
      </c>
    </row>
    <row r="4082" spans="2:11" ht="33" x14ac:dyDescent="0.2">
      <c r="B4082" s="33" t="s">
        <v>5023</v>
      </c>
      <c r="C4082" s="33" t="s">
        <v>2927</v>
      </c>
      <c r="D4082" s="35">
        <f>SUMIFS(D4083:D9015,K4083:K9015,"0",B4083:B9015,"5 1 1 3 4 12 31111 6 M59 70500 000132 0000R 00001 00134 015 2111100*")-SUMIFS(E4083:E9015,K4083:K9015,"0",B4083:B9015,"5 1 1 3 4 12 31111 6 M59 70500 000132 0000R 00001 00134 015 2111100*")</f>
        <v>0</v>
      </c>
      <c r="E4082"/>
      <c r="F4082" s="35">
        <f>SUMIFS(F4083:F9015,K4083:K9015,"0",B4083:B9015,"5 1 1 3 4 12 31111 6 M59 70500 000132 0000R 00001 00134 015 2111100*")</f>
        <v>18000</v>
      </c>
      <c r="G4082" s="35">
        <f>SUMIFS(G4083:G9015,K4083:K9015,"0",B4083:B9015,"5 1 1 3 4 12 31111 6 M59 70500 000132 0000R 00001 00134 015 2111100*")</f>
        <v>0</v>
      </c>
      <c r="H4082" s="35">
        <f t="shared" si="64"/>
        <v>18000</v>
      </c>
      <c r="I4082" s="35"/>
      <c r="K4082" t="s">
        <v>15</v>
      </c>
    </row>
    <row r="4083" spans="2:11" ht="33" x14ac:dyDescent="0.2">
      <c r="B4083" s="33" t="s">
        <v>5024</v>
      </c>
      <c r="C4083" s="33" t="s">
        <v>660</v>
      </c>
      <c r="D4083" s="35">
        <f>SUMIFS(D4084:D9015,K4084:K9015,"0",B4084:B9015,"5 1 1 3 4 12 31111 6 M59 70500 000132 0000R 00001 00134 015 2111100 2024*")-SUMIFS(E4084:E9015,K4084:K9015,"0",B4084:B9015,"5 1 1 3 4 12 31111 6 M59 70500 000132 0000R 00001 00134 015 2111100 2024*")</f>
        <v>0</v>
      </c>
      <c r="E4083"/>
      <c r="F4083" s="35">
        <f>SUMIFS(F4084:F9015,K4084:K9015,"0",B4084:B9015,"5 1 1 3 4 12 31111 6 M59 70500 000132 0000R 00001 00134 015 2111100 2024*")</f>
        <v>18000</v>
      </c>
      <c r="G4083" s="35">
        <f>SUMIFS(G4084:G9015,K4084:K9015,"0",B4084:B9015,"5 1 1 3 4 12 31111 6 M59 70500 000132 0000R 00001 00134 015 2111100 2024*")</f>
        <v>0</v>
      </c>
      <c r="H4083" s="35">
        <f t="shared" si="64"/>
        <v>18000</v>
      </c>
      <c r="I4083" s="35"/>
      <c r="K4083" t="s">
        <v>15</v>
      </c>
    </row>
    <row r="4084" spans="2:11" ht="41.25" x14ac:dyDescent="0.2">
      <c r="B4084" s="33" t="s">
        <v>5025</v>
      </c>
      <c r="C4084" s="33" t="s">
        <v>1056</v>
      </c>
      <c r="D4084" s="35">
        <f>SUMIFS(D4085:D9015,K4085:K9015,"0",B4085:B9015,"5 1 1 3 4 12 31111 6 M59 70500 000132 0000R 00001 00134 015 2111100 2024 CP1DT395*")-SUMIFS(E4085:E9015,K4085:K9015,"0",B4085:B9015,"5 1 1 3 4 12 31111 6 M59 70500 000132 0000R 00001 00134 015 2111100 2024 CP1DT395*")</f>
        <v>0</v>
      </c>
      <c r="E4084"/>
      <c r="F4084" s="35">
        <f>SUMIFS(F4085:F9015,K4085:K9015,"0",B4085:B9015,"5 1 1 3 4 12 31111 6 M59 70500 000132 0000R 00001 00134 015 2111100 2024 CP1DT395*")</f>
        <v>18000</v>
      </c>
      <c r="G4084" s="35">
        <f>SUMIFS(G4085:G9015,K4085:K9015,"0",B4085:B9015,"5 1 1 3 4 12 31111 6 M59 70500 000132 0000R 00001 00134 015 2111100 2024 CP1DT395*")</f>
        <v>0</v>
      </c>
      <c r="H4084" s="35">
        <f t="shared" si="64"/>
        <v>18000</v>
      </c>
      <c r="I4084" s="35"/>
      <c r="K4084" t="s">
        <v>15</v>
      </c>
    </row>
    <row r="4085" spans="2:11" ht="41.25" x14ac:dyDescent="0.2">
      <c r="B4085" s="33" t="s">
        <v>5026</v>
      </c>
      <c r="C4085" s="33" t="s">
        <v>282</v>
      </c>
      <c r="D4085" s="35">
        <f>SUMIFS(D4086:D9015,K4086:K9015,"0",B4086:B9015,"5 1 1 3 4 12 31111 6 M59 70500 000132 0000R 00001 00134 015 2111100 2024 CP1DT395 001*")-SUMIFS(E4086:E9015,K4086:K9015,"0",B4086:B9015,"5 1 1 3 4 12 31111 6 M59 70500 000132 0000R 00001 00134 015 2111100 2024 CP1DT395 001*")</f>
        <v>0</v>
      </c>
      <c r="E4085"/>
      <c r="F4085" s="35">
        <f>SUMIFS(F4086:F9015,K4086:K9015,"0",B4086:B9015,"5 1 1 3 4 12 31111 6 M59 70500 000132 0000R 00001 00134 015 2111100 2024 CP1DT395 001*")</f>
        <v>18000</v>
      </c>
      <c r="G4085" s="35">
        <f>SUMIFS(G4086:G9015,K4086:K9015,"0",B4086:B9015,"5 1 1 3 4 12 31111 6 M59 70500 000132 0000R 00001 00134 015 2111100 2024 CP1DT395 001*")</f>
        <v>0</v>
      </c>
      <c r="H4085" s="35">
        <f t="shared" si="64"/>
        <v>18000</v>
      </c>
      <c r="I4085" s="35"/>
      <c r="K4085" t="s">
        <v>15</v>
      </c>
    </row>
    <row r="4086" spans="2:11" ht="33" x14ac:dyDescent="0.2">
      <c r="B4086" s="31" t="s">
        <v>5027</v>
      </c>
      <c r="C4086" s="31" t="s">
        <v>4840</v>
      </c>
      <c r="D4086" s="34">
        <v>0</v>
      </c>
      <c r="E4086" s="34"/>
      <c r="F4086" s="34">
        <v>18000</v>
      </c>
      <c r="G4086" s="34">
        <v>0</v>
      </c>
      <c r="H4086" s="34">
        <f t="shared" si="64"/>
        <v>18000</v>
      </c>
      <c r="I4086" s="34"/>
      <c r="K4086" t="s">
        <v>38</v>
      </c>
    </row>
    <row r="4087" spans="2:11" ht="16.5" x14ac:dyDescent="0.2">
      <c r="B4087" s="33" t="s">
        <v>5028</v>
      </c>
      <c r="C4087" s="33" t="s">
        <v>3474</v>
      </c>
      <c r="D4087" s="35">
        <f>SUMIFS(D4088:D9015,K4088:K9015,"0",B4088:B9015,"5 1 1 3 4 12 31111 6 M59 70800*")-SUMIFS(E4088:E9015,K4088:K9015,"0",B4088:B9015,"5 1 1 3 4 12 31111 6 M59 70800*")</f>
        <v>0</v>
      </c>
      <c r="E4087"/>
      <c r="F4087" s="35">
        <f>SUMIFS(F4088:F9015,K4088:K9015,"0",B4088:B9015,"5 1 1 3 4 12 31111 6 M59 70800*")</f>
        <v>21673.439999999999</v>
      </c>
      <c r="G4087" s="35">
        <f>SUMIFS(G4088:G9015,K4088:K9015,"0",B4088:B9015,"5 1 1 3 4 12 31111 6 M59 70800*")</f>
        <v>0</v>
      </c>
      <c r="H4087" s="35">
        <f t="shared" si="64"/>
        <v>21673.439999999999</v>
      </c>
      <c r="I4087" s="35"/>
      <c r="K4087" t="s">
        <v>15</v>
      </c>
    </row>
    <row r="4088" spans="2:11" ht="16.5" x14ac:dyDescent="0.2">
      <c r="B4088" s="33" t="s">
        <v>5029</v>
      </c>
      <c r="C4088" s="33" t="s">
        <v>648</v>
      </c>
      <c r="D4088" s="35">
        <f>SUMIFS(D4089:D9015,K4089:K9015,"0",B4089:B9015,"5 1 1 3 4 12 31111 6 M59 70800 000132*")-SUMIFS(E4089:E9015,K4089:K9015,"0",B4089:B9015,"5 1 1 3 4 12 31111 6 M59 70800 000132*")</f>
        <v>0</v>
      </c>
      <c r="E4088"/>
      <c r="F4088" s="35">
        <f>SUMIFS(F4089:F9015,K4089:K9015,"0",B4089:B9015,"5 1 1 3 4 12 31111 6 M59 70800 000132*")</f>
        <v>21673.439999999999</v>
      </c>
      <c r="G4088" s="35">
        <f>SUMIFS(G4089:G9015,K4089:K9015,"0",B4089:B9015,"5 1 1 3 4 12 31111 6 M59 70800 000132*")</f>
        <v>0</v>
      </c>
      <c r="H4088" s="35">
        <f t="shared" si="64"/>
        <v>21673.439999999999</v>
      </c>
      <c r="I4088" s="35"/>
      <c r="K4088" t="s">
        <v>15</v>
      </c>
    </row>
    <row r="4089" spans="2:11" ht="24.75" x14ac:dyDescent="0.2">
      <c r="B4089" s="33" t="s">
        <v>5030</v>
      </c>
      <c r="C4089" s="33" t="s">
        <v>650</v>
      </c>
      <c r="D4089" s="35">
        <f>SUMIFS(D4090:D9015,K4090:K9015,"0",B4090:B9015,"5 1 1 3 4 12 31111 6 M59 70800 000132 0000R*")-SUMIFS(E4090:E9015,K4090:K9015,"0",B4090:B9015,"5 1 1 3 4 12 31111 6 M59 70800 000132 0000R*")</f>
        <v>0</v>
      </c>
      <c r="E4089"/>
      <c r="F4089" s="35">
        <f>SUMIFS(F4090:F9015,K4090:K9015,"0",B4090:B9015,"5 1 1 3 4 12 31111 6 M59 70800 000132 0000R*")</f>
        <v>21673.439999999999</v>
      </c>
      <c r="G4089" s="35">
        <f>SUMIFS(G4090:G9015,K4090:K9015,"0",B4090:B9015,"5 1 1 3 4 12 31111 6 M59 70800 000132 0000R*")</f>
        <v>0</v>
      </c>
      <c r="H4089" s="35">
        <f t="shared" si="64"/>
        <v>21673.439999999999</v>
      </c>
      <c r="I4089" s="35"/>
      <c r="K4089" t="s">
        <v>15</v>
      </c>
    </row>
    <row r="4090" spans="2:11" ht="24.75" x14ac:dyDescent="0.2">
      <c r="B4090" s="33" t="s">
        <v>5031</v>
      </c>
      <c r="C4090" s="33" t="s">
        <v>282</v>
      </c>
      <c r="D4090" s="35">
        <f>SUMIFS(D4091:D9015,K4091:K9015,"0",B4091:B9015,"5 1 1 3 4 12 31111 6 M59 70800 000132 0000R 00001*")-SUMIFS(E4091:E9015,K4091:K9015,"0",B4091:B9015,"5 1 1 3 4 12 31111 6 M59 70800 000132 0000R 00001*")</f>
        <v>0</v>
      </c>
      <c r="E4090"/>
      <c r="F4090" s="35">
        <f>SUMIFS(F4091:F9015,K4091:K9015,"0",B4091:B9015,"5 1 1 3 4 12 31111 6 M59 70800 000132 0000R 00001*")</f>
        <v>21673.439999999999</v>
      </c>
      <c r="G4090" s="35">
        <f>SUMIFS(G4091:G9015,K4091:K9015,"0",B4091:B9015,"5 1 1 3 4 12 31111 6 M59 70800 000132 0000R 00001*")</f>
        <v>0</v>
      </c>
      <c r="H4090" s="35">
        <f t="shared" si="64"/>
        <v>21673.439999999999</v>
      </c>
      <c r="I4090" s="35"/>
      <c r="K4090" t="s">
        <v>15</v>
      </c>
    </row>
    <row r="4091" spans="2:11" ht="24.75" x14ac:dyDescent="0.2">
      <c r="B4091" s="33" t="s">
        <v>5032</v>
      </c>
      <c r="C4091" s="33" t="s">
        <v>4776</v>
      </c>
      <c r="D4091" s="35">
        <f>SUMIFS(D4092:D9015,K4092:K9015,"0",B4092:B9015,"5 1 1 3 4 12 31111 6 M59 70800 000132 0000R 00001 00134*")-SUMIFS(E4092:E9015,K4092:K9015,"0",B4092:B9015,"5 1 1 3 4 12 31111 6 M59 70800 000132 0000R 00001 00134*")</f>
        <v>0</v>
      </c>
      <c r="E4091"/>
      <c r="F4091" s="35">
        <f>SUMIFS(F4092:F9015,K4092:K9015,"0",B4092:B9015,"5 1 1 3 4 12 31111 6 M59 70800 000132 0000R 00001 00134*")</f>
        <v>21673.439999999999</v>
      </c>
      <c r="G4091" s="35">
        <f>SUMIFS(G4092:G9015,K4092:K9015,"0",B4092:B9015,"5 1 1 3 4 12 31111 6 M59 70800 000132 0000R 00001 00134*")</f>
        <v>0</v>
      </c>
      <c r="H4091" s="35">
        <f t="shared" si="64"/>
        <v>21673.439999999999</v>
      </c>
      <c r="I4091" s="35"/>
      <c r="K4091" t="s">
        <v>15</v>
      </c>
    </row>
    <row r="4092" spans="2:11" ht="33" x14ac:dyDescent="0.2">
      <c r="B4092" s="33" t="s">
        <v>5033</v>
      </c>
      <c r="C4092" s="33" t="s">
        <v>1051</v>
      </c>
      <c r="D4092" s="35">
        <f>SUMIFS(D4093:D9015,K4093:K9015,"0",B4093:B9015,"5 1 1 3 4 12 31111 6 M59 70800 000132 0000R 00001 00134 015*")-SUMIFS(E4093:E9015,K4093:K9015,"0",B4093:B9015,"5 1 1 3 4 12 31111 6 M59 70800 000132 0000R 00001 00134 015*")</f>
        <v>0</v>
      </c>
      <c r="E4092"/>
      <c r="F4092" s="35">
        <f>SUMIFS(F4093:F9015,K4093:K9015,"0",B4093:B9015,"5 1 1 3 4 12 31111 6 M59 70800 000132 0000R 00001 00134 015*")</f>
        <v>21673.439999999999</v>
      </c>
      <c r="G4092" s="35">
        <f>SUMIFS(G4093:G9015,K4093:K9015,"0",B4093:B9015,"5 1 1 3 4 12 31111 6 M59 70800 000132 0000R 00001 00134 015*")</f>
        <v>0</v>
      </c>
      <c r="H4092" s="35">
        <f t="shared" si="64"/>
        <v>21673.439999999999</v>
      </c>
      <c r="I4092" s="35"/>
      <c r="K4092" t="s">
        <v>15</v>
      </c>
    </row>
    <row r="4093" spans="2:11" ht="33" x14ac:dyDescent="0.2">
      <c r="B4093" s="33" t="s">
        <v>5034</v>
      </c>
      <c r="C4093" s="33" t="s">
        <v>2927</v>
      </c>
      <c r="D4093" s="35">
        <f>SUMIFS(D4094:D9015,K4094:K9015,"0",B4094:B9015,"5 1 1 3 4 12 31111 6 M59 70800 000132 0000R 00001 00134 015 2111100*")-SUMIFS(E4094:E9015,K4094:K9015,"0",B4094:B9015,"5 1 1 3 4 12 31111 6 M59 70800 000132 0000R 00001 00134 015 2111100*")</f>
        <v>0</v>
      </c>
      <c r="E4093"/>
      <c r="F4093" s="35">
        <f>SUMIFS(F4094:F9015,K4094:K9015,"0",B4094:B9015,"5 1 1 3 4 12 31111 6 M59 70800 000132 0000R 00001 00134 015 2111100*")</f>
        <v>21673.439999999999</v>
      </c>
      <c r="G4093" s="35">
        <f>SUMIFS(G4094:G9015,K4094:K9015,"0",B4094:B9015,"5 1 1 3 4 12 31111 6 M59 70800 000132 0000R 00001 00134 015 2111100*")</f>
        <v>0</v>
      </c>
      <c r="H4093" s="35">
        <f t="shared" si="64"/>
        <v>21673.439999999999</v>
      </c>
      <c r="I4093" s="35"/>
      <c r="K4093" t="s">
        <v>15</v>
      </c>
    </row>
    <row r="4094" spans="2:11" ht="33" x14ac:dyDescent="0.2">
      <c r="B4094" s="33" t="s">
        <v>5035</v>
      </c>
      <c r="C4094" s="33" t="s">
        <v>660</v>
      </c>
      <c r="D4094" s="35">
        <f>SUMIFS(D4095:D9015,K4095:K9015,"0",B4095:B9015,"5 1 1 3 4 12 31111 6 M59 70800 000132 0000R 00001 00134 015 2111100 2024*")-SUMIFS(E4095:E9015,K4095:K9015,"0",B4095:B9015,"5 1 1 3 4 12 31111 6 M59 70800 000132 0000R 00001 00134 015 2111100 2024*")</f>
        <v>0</v>
      </c>
      <c r="E4094"/>
      <c r="F4094" s="35">
        <f>SUMIFS(F4095:F9015,K4095:K9015,"0",B4095:B9015,"5 1 1 3 4 12 31111 6 M59 70800 000132 0000R 00001 00134 015 2111100 2024*")</f>
        <v>21673.439999999999</v>
      </c>
      <c r="G4094" s="35">
        <f>SUMIFS(G4095:G9015,K4095:K9015,"0",B4095:B9015,"5 1 1 3 4 12 31111 6 M59 70800 000132 0000R 00001 00134 015 2111100 2024*")</f>
        <v>0</v>
      </c>
      <c r="H4094" s="35">
        <f t="shared" si="64"/>
        <v>21673.439999999999</v>
      </c>
      <c r="I4094" s="35"/>
      <c r="K4094" t="s">
        <v>15</v>
      </c>
    </row>
    <row r="4095" spans="2:11" ht="41.25" x14ac:dyDescent="0.2">
      <c r="B4095" s="33" t="s">
        <v>5036</v>
      </c>
      <c r="C4095" s="33" t="s">
        <v>662</v>
      </c>
      <c r="D4095" s="35">
        <f>SUMIFS(D4096:D9015,K4096:K9015,"0",B4096:B9015,"5 1 1 3 4 12 31111 6 M59 70800 000132 0000R 00001 00134 015 2111100 2024 CP1ED416*")-SUMIFS(E4096:E9015,K4096:K9015,"0",B4096:B9015,"5 1 1 3 4 12 31111 6 M59 70800 000132 0000R 00001 00134 015 2111100 2024 CP1ED416*")</f>
        <v>0</v>
      </c>
      <c r="E4095"/>
      <c r="F4095" s="35">
        <f>SUMIFS(F4096:F9015,K4096:K9015,"0",B4096:B9015,"5 1 1 3 4 12 31111 6 M59 70800 000132 0000R 00001 00134 015 2111100 2024 CP1ED416*")</f>
        <v>21673.439999999999</v>
      </c>
      <c r="G4095" s="35">
        <f>SUMIFS(G4096:G9015,K4096:K9015,"0",B4096:B9015,"5 1 1 3 4 12 31111 6 M59 70800 000132 0000R 00001 00134 015 2111100 2024 CP1ED416*")</f>
        <v>0</v>
      </c>
      <c r="H4095" s="35">
        <f t="shared" si="64"/>
        <v>21673.439999999999</v>
      </c>
      <c r="I4095" s="35"/>
      <c r="K4095" t="s">
        <v>15</v>
      </c>
    </row>
    <row r="4096" spans="2:11" ht="41.25" x14ac:dyDescent="0.2">
      <c r="B4096" s="33" t="s">
        <v>5037</v>
      </c>
      <c r="C4096" s="33" t="s">
        <v>282</v>
      </c>
      <c r="D4096" s="35">
        <f>SUMIFS(D4097:D9015,K4097:K9015,"0",B4097:B9015,"5 1 1 3 4 12 31111 6 M59 70800 000132 0000R 00001 00134 015 2111100 2024 CP1ED416 001*")-SUMIFS(E4097:E9015,K4097:K9015,"0",B4097:B9015,"5 1 1 3 4 12 31111 6 M59 70800 000132 0000R 00001 00134 015 2111100 2024 CP1ED416 001*")</f>
        <v>0</v>
      </c>
      <c r="E4096"/>
      <c r="F4096" s="35">
        <f>SUMIFS(F4097:F9015,K4097:K9015,"0",B4097:B9015,"5 1 1 3 4 12 31111 6 M59 70800 000132 0000R 00001 00134 015 2111100 2024 CP1ED416 001*")</f>
        <v>21673.439999999999</v>
      </c>
      <c r="G4096" s="35">
        <f>SUMIFS(G4097:G9015,K4097:K9015,"0",B4097:B9015,"5 1 1 3 4 12 31111 6 M59 70800 000132 0000R 00001 00134 015 2111100 2024 CP1ED416 001*")</f>
        <v>0</v>
      </c>
      <c r="H4096" s="35">
        <f t="shared" si="64"/>
        <v>21673.439999999999</v>
      </c>
      <c r="I4096" s="35"/>
      <c r="K4096" t="s">
        <v>15</v>
      </c>
    </row>
    <row r="4097" spans="2:11" ht="33" x14ac:dyDescent="0.2">
      <c r="B4097" s="31" t="s">
        <v>5038</v>
      </c>
      <c r="C4097" s="31" t="s">
        <v>4783</v>
      </c>
      <c r="D4097" s="34">
        <v>0</v>
      </c>
      <c r="E4097" s="34"/>
      <c r="F4097" s="34">
        <v>21673.439999999999</v>
      </c>
      <c r="G4097" s="34">
        <v>0</v>
      </c>
      <c r="H4097" s="34">
        <f t="shared" si="64"/>
        <v>21673.439999999999</v>
      </c>
      <c r="I4097" s="34"/>
      <c r="K4097" t="s">
        <v>38</v>
      </c>
    </row>
    <row r="4098" spans="2:11" ht="16.5" x14ac:dyDescent="0.2">
      <c r="B4098" s="33" t="s">
        <v>5039</v>
      </c>
      <c r="C4098" s="33" t="s">
        <v>3523</v>
      </c>
      <c r="D4098" s="35">
        <f>SUMIFS(D4099:D9015,K4099:K9015,"0",B4099:B9015,"5 1 1 3 4 12 31111 6 M59 80000*")-SUMIFS(E4099:E9015,K4099:K9015,"0",B4099:B9015,"5 1 1 3 4 12 31111 6 M59 80000*")</f>
        <v>0</v>
      </c>
      <c r="E4098"/>
      <c r="F4098" s="35">
        <f>SUMIFS(F4099:F9015,K4099:K9015,"0",B4099:B9015,"5 1 1 3 4 12 31111 6 M59 80000*")</f>
        <v>6000</v>
      </c>
      <c r="G4098" s="35">
        <f>SUMIFS(G4099:G9015,K4099:K9015,"0",B4099:B9015,"5 1 1 3 4 12 31111 6 M59 80000*")</f>
        <v>0</v>
      </c>
      <c r="H4098" s="35">
        <f t="shared" si="64"/>
        <v>6000</v>
      </c>
      <c r="I4098" s="35"/>
      <c r="K4098" t="s">
        <v>15</v>
      </c>
    </row>
    <row r="4099" spans="2:11" ht="16.5" x14ac:dyDescent="0.2">
      <c r="B4099" s="33" t="s">
        <v>5040</v>
      </c>
      <c r="C4099" s="33" t="s">
        <v>648</v>
      </c>
      <c r="D4099" s="35">
        <f>SUMIFS(D4100:D9015,K4100:K9015,"0",B4100:B9015,"5 1 1 3 4 12 31111 6 M59 80000 000132*")-SUMIFS(E4100:E9015,K4100:K9015,"0",B4100:B9015,"5 1 1 3 4 12 31111 6 M59 80000 000132*")</f>
        <v>0</v>
      </c>
      <c r="E4099"/>
      <c r="F4099" s="35">
        <f>SUMIFS(F4100:F9015,K4100:K9015,"0",B4100:B9015,"5 1 1 3 4 12 31111 6 M59 80000 000132*")</f>
        <v>6000</v>
      </c>
      <c r="G4099" s="35">
        <f>SUMIFS(G4100:G9015,K4100:K9015,"0",B4100:B9015,"5 1 1 3 4 12 31111 6 M59 80000 000132*")</f>
        <v>0</v>
      </c>
      <c r="H4099" s="35">
        <f t="shared" si="64"/>
        <v>6000</v>
      </c>
      <c r="I4099" s="35"/>
      <c r="K4099" t="s">
        <v>15</v>
      </c>
    </row>
    <row r="4100" spans="2:11" ht="24.75" x14ac:dyDescent="0.2">
      <c r="B4100" s="33" t="s">
        <v>5041</v>
      </c>
      <c r="C4100" s="33" t="s">
        <v>650</v>
      </c>
      <c r="D4100" s="35">
        <f>SUMIFS(D4101:D9015,K4101:K9015,"0",B4101:B9015,"5 1 1 3 4 12 31111 6 M59 80000 000132 0000R*")-SUMIFS(E4101:E9015,K4101:K9015,"0",B4101:B9015,"5 1 1 3 4 12 31111 6 M59 80000 000132 0000R*")</f>
        <v>0</v>
      </c>
      <c r="E4100"/>
      <c r="F4100" s="35">
        <f>SUMIFS(F4101:F9015,K4101:K9015,"0",B4101:B9015,"5 1 1 3 4 12 31111 6 M59 80000 000132 0000R*")</f>
        <v>6000</v>
      </c>
      <c r="G4100" s="35">
        <f>SUMIFS(G4101:G9015,K4101:K9015,"0",B4101:B9015,"5 1 1 3 4 12 31111 6 M59 80000 000132 0000R*")</f>
        <v>0</v>
      </c>
      <c r="H4100" s="35">
        <f t="shared" ref="H4100:H4163" si="65">D4100 + F4100 - G4100</f>
        <v>6000</v>
      </c>
      <c r="I4100" s="35"/>
      <c r="K4100" t="s">
        <v>15</v>
      </c>
    </row>
    <row r="4101" spans="2:11" ht="24.75" x14ac:dyDescent="0.2">
      <c r="B4101" s="33" t="s">
        <v>5042</v>
      </c>
      <c r="C4101" s="33" t="s">
        <v>282</v>
      </c>
      <c r="D4101" s="35">
        <f>SUMIFS(D4102:D9015,K4102:K9015,"0",B4102:B9015,"5 1 1 3 4 12 31111 6 M59 80000 000132 0000R 00001*")-SUMIFS(E4102:E9015,K4102:K9015,"0",B4102:B9015,"5 1 1 3 4 12 31111 6 M59 80000 000132 0000R 00001*")</f>
        <v>0</v>
      </c>
      <c r="E4101"/>
      <c r="F4101" s="35">
        <f>SUMIFS(F4102:F9015,K4102:K9015,"0",B4102:B9015,"5 1 1 3 4 12 31111 6 M59 80000 000132 0000R 00001*")</f>
        <v>6000</v>
      </c>
      <c r="G4101" s="35">
        <f>SUMIFS(G4102:G9015,K4102:K9015,"0",B4102:B9015,"5 1 1 3 4 12 31111 6 M59 80000 000132 0000R 00001*")</f>
        <v>0</v>
      </c>
      <c r="H4101" s="35">
        <f t="shared" si="65"/>
        <v>6000</v>
      </c>
      <c r="I4101" s="35"/>
      <c r="K4101" t="s">
        <v>15</v>
      </c>
    </row>
    <row r="4102" spans="2:11" ht="24.75" x14ac:dyDescent="0.2">
      <c r="B4102" s="33" t="s">
        <v>5043</v>
      </c>
      <c r="C4102" s="33" t="s">
        <v>4776</v>
      </c>
      <c r="D4102" s="35">
        <f>SUMIFS(D4103:D9015,K4103:K9015,"0",B4103:B9015,"5 1 1 3 4 12 31111 6 M59 80000 000132 0000R 00001 00134*")-SUMIFS(E4103:E9015,K4103:K9015,"0",B4103:B9015,"5 1 1 3 4 12 31111 6 M59 80000 000132 0000R 00001 00134*")</f>
        <v>0</v>
      </c>
      <c r="E4102"/>
      <c r="F4102" s="35">
        <f>SUMIFS(F4103:F9015,K4103:K9015,"0",B4103:B9015,"5 1 1 3 4 12 31111 6 M59 80000 000132 0000R 00001 00134*")</f>
        <v>6000</v>
      </c>
      <c r="G4102" s="35">
        <f>SUMIFS(G4103:G9015,K4103:K9015,"0",B4103:B9015,"5 1 1 3 4 12 31111 6 M59 80000 000132 0000R 00001 00134*")</f>
        <v>0</v>
      </c>
      <c r="H4102" s="35">
        <f t="shared" si="65"/>
        <v>6000</v>
      </c>
      <c r="I4102" s="35"/>
      <c r="K4102" t="s">
        <v>15</v>
      </c>
    </row>
    <row r="4103" spans="2:11" ht="33" x14ac:dyDescent="0.2">
      <c r="B4103" s="33" t="s">
        <v>5044</v>
      </c>
      <c r="C4103" s="33" t="s">
        <v>1051</v>
      </c>
      <c r="D4103" s="35">
        <f>SUMIFS(D4104:D9015,K4104:K9015,"0",B4104:B9015,"5 1 1 3 4 12 31111 6 M59 80000 000132 0000R 00001 00134 015*")-SUMIFS(E4104:E9015,K4104:K9015,"0",B4104:B9015,"5 1 1 3 4 12 31111 6 M59 80000 000132 0000R 00001 00134 015*")</f>
        <v>0</v>
      </c>
      <c r="E4103"/>
      <c r="F4103" s="35">
        <f>SUMIFS(F4104:F9015,K4104:K9015,"0",B4104:B9015,"5 1 1 3 4 12 31111 6 M59 80000 000132 0000R 00001 00134 015*")</f>
        <v>6000</v>
      </c>
      <c r="G4103" s="35">
        <f>SUMIFS(G4104:G9015,K4104:K9015,"0",B4104:B9015,"5 1 1 3 4 12 31111 6 M59 80000 000132 0000R 00001 00134 015*")</f>
        <v>0</v>
      </c>
      <c r="H4103" s="35">
        <f t="shared" si="65"/>
        <v>6000</v>
      </c>
      <c r="I4103" s="35"/>
      <c r="K4103" t="s">
        <v>15</v>
      </c>
    </row>
    <row r="4104" spans="2:11" ht="33" x14ac:dyDescent="0.2">
      <c r="B4104" s="33" t="s">
        <v>5045</v>
      </c>
      <c r="C4104" s="33" t="s">
        <v>2927</v>
      </c>
      <c r="D4104" s="35">
        <f>SUMIFS(D4105:D9015,K4105:K9015,"0",B4105:B9015,"5 1 1 3 4 12 31111 6 M59 80000 000132 0000R 00001 00134 015 2111100*")-SUMIFS(E4105:E9015,K4105:K9015,"0",B4105:B9015,"5 1 1 3 4 12 31111 6 M59 80000 000132 0000R 00001 00134 015 2111100*")</f>
        <v>0</v>
      </c>
      <c r="E4104"/>
      <c r="F4104" s="35">
        <f>SUMIFS(F4105:F9015,K4105:K9015,"0",B4105:B9015,"5 1 1 3 4 12 31111 6 M59 80000 000132 0000R 00001 00134 015 2111100*")</f>
        <v>6000</v>
      </c>
      <c r="G4104" s="35">
        <f>SUMIFS(G4105:G9015,K4105:K9015,"0",B4105:B9015,"5 1 1 3 4 12 31111 6 M59 80000 000132 0000R 00001 00134 015 2111100*")</f>
        <v>0</v>
      </c>
      <c r="H4104" s="35">
        <f t="shared" si="65"/>
        <v>6000</v>
      </c>
      <c r="I4104" s="35"/>
      <c r="K4104" t="s">
        <v>15</v>
      </c>
    </row>
    <row r="4105" spans="2:11" ht="33" x14ac:dyDescent="0.2">
      <c r="B4105" s="33" t="s">
        <v>5046</v>
      </c>
      <c r="C4105" s="33" t="s">
        <v>660</v>
      </c>
      <c r="D4105" s="35">
        <f>SUMIFS(D4106:D9015,K4106:K9015,"0",B4106:B9015,"5 1 1 3 4 12 31111 6 M59 80000 000132 0000R 00001 00134 015 2111100 2024*")-SUMIFS(E4106:E9015,K4106:K9015,"0",B4106:B9015,"5 1 1 3 4 12 31111 6 M59 80000 000132 0000R 00001 00134 015 2111100 2024*")</f>
        <v>0</v>
      </c>
      <c r="E4105"/>
      <c r="F4105" s="35">
        <f>SUMIFS(F4106:F9015,K4106:K9015,"0",B4106:B9015,"5 1 1 3 4 12 31111 6 M59 80000 000132 0000R 00001 00134 015 2111100 2024*")</f>
        <v>6000</v>
      </c>
      <c r="G4105" s="35">
        <f>SUMIFS(G4106:G9015,K4106:K9015,"0",B4106:B9015,"5 1 1 3 4 12 31111 6 M59 80000 000132 0000R 00001 00134 015 2111100 2024*")</f>
        <v>0</v>
      </c>
      <c r="H4105" s="35">
        <f t="shared" si="65"/>
        <v>6000</v>
      </c>
      <c r="I4105" s="35"/>
      <c r="K4105" t="s">
        <v>15</v>
      </c>
    </row>
    <row r="4106" spans="2:11" ht="41.25" x14ac:dyDescent="0.2">
      <c r="B4106" s="33" t="s">
        <v>5047</v>
      </c>
      <c r="C4106" s="33" t="s">
        <v>1056</v>
      </c>
      <c r="D4106" s="35">
        <f>SUMIFS(D4107:D9015,K4107:K9015,"0",B4107:B9015,"5 1 1 3 4 12 31111 6 M59 80000 000132 0000R 00001 00134 015 2111100 2024 CP1DR388*")-SUMIFS(E4107:E9015,K4107:K9015,"0",B4107:B9015,"5 1 1 3 4 12 31111 6 M59 80000 000132 0000R 00001 00134 015 2111100 2024 CP1DR388*")</f>
        <v>0</v>
      </c>
      <c r="E4106"/>
      <c r="F4106" s="35">
        <f>SUMIFS(F4107:F9015,K4107:K9015,"0",B4107:B9015,"5 1 1 3 4 12 31111 6 M59 80000 000132 0000R 00001 00134 015 2111100 2024 CP1DR388*")</f>
        <v>6000</v>
      </c>
      <c r="G4106" s="35">
        <f>SUMIFS(G4107:G9015,K4107:K9015,"0",B4107:B9015,"5 1 1 3 4 12 31111 6 M59 80000 000132 0000R 00001 00134 015 2111100 2024 CP1DR388*")</f>
        <v>0</v>
      </c>
      <c r="H4106" s="35">
        <f t="shared" si="65"/>
        <v>6000</v>
      </c>
      <c r="I4106" s="35"/>
      <c r="K4106" t="s">
        <v>15</v>
      </c>
    </row>
    <row r="4107" spans="2:11" ht="41.25" x14ac:dyDescent="0.2">
      <c r="B4107" s="33" t="s">
        <v>5048</v>
      </c>
      <c r="C4107" s="33" t="s">
        <v>282</v>
      </c>
      <c r="D4107" s="35">
        <f>SUMIFS(D4108:D9015,K4108:K9015,"0",B4108:B9015,"5 1 1 3 4 12 31111 6 M59 80000 000132 0000R 00001 00134 015 2111100 2024 CP1DR388 001*")-SUMIFS(E4108:E9015,K4108:K9015,"0",B4108:B9015,"5 1 1 3 4 12 31111 6 M59 80000 000132 0000R 00001 00134 015 2111100 2024 CP1DR388 001*")</f>
        <v>0</v>
      </c>
      <c r="E4107"/>
      <c r="F4107" s="35">
        <f>SUMIFS(F4108:F9015,K4108:K9015,"0",B4108:B9015,"5 1 1 3 4 12 31111 6 M59 80000 000132 0000R 00001 00134 015 2111100 2024 CP1DR388 001*")</f>
        <v>6000</v>
      </c>
      <c r="G4107" s="35">
        <f>SUMIFS(G4108:G9015,K4108:K9015,"0",B4108:B9015,"5 1 1 3 4 12 31111 6 M59 80000 000132 0000R 00001 00134 015 2111100 2024 CP1DR388 001*")</f>
        <v>0</v>
      </c>
      <c r="H4107" s="35">
        <f t="shared" si="65"/>
        <v>6000</v>
      </c>
      <c r="I4107" s="35"/>
      <c r="K4107" t="s">
        <v>15</v>
      </c>
    </row>
    <row r="4108" spans="2:11" ht="41.25" x14ac:dyDescent="0.2">
      <c r="B4108" s="31" t="s">
        <v>5049</v>
      </c>
      <c r="C4108" s="31" t="s">
        <v>4840</v>
      </c>
      <c r="D4108" s="34">
        <v>0</v>
      </c>
      <c r="E4108" s="34"/>
      <c r="F4108" s="34">
        <v>6000</v>
      </c>
      <c r="G4108" s="34">
        <v>0</v>
      </c>
      <c r="H4108" s="34">
        <f t="shared" si="65"/>
        <v>6000</v>
      </c>
      <c r="I4108" s="34"/>
      <c r="K4108" t="s">
        <v>38</v>
      </c>
    </row>
    <row r="4109" spans="2:11" ht="16.5" x14ac:dyDescent="0.2">
      <c r="B4109" s="33" t="s">
        <v>5050</v>
      </c>
      <c r="C4109" s="33" t="s">
        <v>3559</v>
      </c>
      <c r="D4109" s="35">
        <f>SUMIFS(D4110:D9015,K4110:K9015,"0",B4110:B9015,"5 1 1 3 4 12 31111 6 M59 80400*")-SUMIFS(E4110:E9015,K4110:K9015,"0",B4110:B9015,"5 1 1 3 4 12 31111 6 M59 80400*")</f>
        <v>0</v>
      </c>
      <c r="E4109"/>
      <c r="F4109" s="35">
        <f>SUMIFS(F4110:F9015,K4110:K9015,"0",B4110:B9015,"5 1 1 3 4 12 31111 6 M59 80400*")</f>
        <v>48457</v>
      </c>
      <c r="G4109" s="35">
        <f>SUMIFS(G4110:G9015,K4110:K9015,"0",B4110:B9015,"5 1 1 3 4 12 31111 6 M59 80400*")</f>
        <v>0</v>
      </c>
      <c r="H4109" s="35">
        <f t="shared" si="65"/>
        <v>48457</v>
      </c>
      <c r="I4109" s="35"/>
      <c r="K4109" t="s">
        <v>15</v>
      </c>
    </row>
    <row r="4110" spans="2:11" ht="16.5" x14ac:dyDescent="0.2">
      <c r="B4110" s="33" t="s">
        <v>5051</v>
      </c>
      <c r="C4110" s="33" t="s">
        <v>648</v>
      </c>
      <c r="D4110" s="35">
        <f>SUMIFS(D4111:D9015,K4111:K9015,"0",B4111:B9015,"5 1 1 3 4 12 31111 6 M59 80400 000132*")-SUMIFS(E4111:E9015,K4111:K9015,"0",B4111:B9015,"5 1 1 3 4 12 31111 6 M59 80400 000132*")</f>
        <v>0</v>
      </c>
      <c r="E4110"/>
      <c r="F4110" s="35">
        <f>SUMIFS(F4111:F9015,K4111:K9015,"0",B4111:B9015,"5 1 1 3 4 12 31111 6 M59 80400 000132*")</f>
        <v>48457</v>
      </c>
      <c r="G4110" s="35">
        <f>SUMIFS(G4111:G9015,K4111:K9015,"0",B4111:B9015,"5 1 1 3 4 12 31111 6 M59 80400 000132*")</f>
        <v>0</v>
      </c>
      <c r="H4110" s="35">
        <f t="shared" si="65"/>
        <v>48457</v>
      </c>
      <c r="I4110" s="35"/>
      <c r="K4110" t="s">
        <v>15</v>
      </c>
    </row>
    <row r="4111" spans="2:11" ht="24.75" x14ac:dyDescent="0.2">
      <c r="B4111" s="33" t="s">
        <v>5052</v>
      </c>
      <c r="C4111" s="33" t="s">
        <v>650</v>
      </c>
      <c r="D4111" s="35">
        <f>SUMIFS(D4112:D9015,K4112:K9015,"0",B4112:B9015,"5 1 1 3 4 12 31111 6 M59 80400 000132 0000R*")-SUMIFS(E4112:E9015,K4112:K9015,"0",B4112:B9015,"5 1 1 3 4 12 31111 6 M59 80400 000132 0000R*")</f>
        <v>0</v>
      </c>
      <c r="E4111"/>
      <c r="F4111" s="35">
        <f>SUMIFS(F4112:F9015,K4112:K9015,"0",B4112:B9015,"5 1 1 3 4 12 31111 6 M59 80400 000132 0000R*")</f>
        <v>48457</v>
      </c>
      <c r="G4111" s="35">
        <f>SUMIFS(G4112:G9015,K4112:K9015,"0",B4112:B9015,"5 1 1 3 4 12 31111 6 M59 80400 000132 0000R*")</f>
        <v>0</v>
      </c>
      <c r="H4111" s="35">
        <f t="shared" si="65"/>
        <v>48457</v>
      </c>
      <c r="I4111" s="35"/>
      <c r="K4111" t="s">
        <v>15</v>
      </c>
    </row>
    <row r="4112" spans="2:11" ht="24.75" x14ac:dyDescent="0.2">
      <c r="B4112" s="33" t="s">
        <v>5053</v>
      </c>
      <c r="C4112" s="33" t="s">
        <v>282</v>
      </c>
      <c r="D4112" s="35">
        <f>SUMIFS(D4113:D9015,K4113:K9015,"0",B4113:B9015,"5 1 1 3 4 12 31111 6 M59 80400 000132 0000R 00001*")-SUMIFS(E4113:E9015,K4113:K9015,"0",B4113:B9015,"5 1 1 3 4 12 31111 6 M59 80400 000132 0000R 00001*")</f>
        <v>0</v>
      </c>
      <c r="E4112"/>
      <c r="F4112" s="35">
        <f>SUMIFS(F4113:F9015,K4113:K9015,"0",B4113:B9015,"5 1 1 3 4 12 31111 6 M59 80400 000132 0000R 00001*")</f>
        <v>48457</v>
      </c>
      <c r="G4112" s="35">
        <f>SUMIFS(G4113:G9015,K4113:K9015,"0",B4113:B9015,"5 1 1 3 4 12 31111 6 M59 80400 000132 0000R 00001*")</f>
        <v>0</v>
      </c>
      <c r="H4112" s="35">
        <f t="shared" si="65"/>
        <v>48457</v>
      </c>
      <c r="I4112" s="35"/>
      <c r="K4112" t="s">
        <v>15</v>
      </c>
    </row>
    <row r="4113" spans="2:11" ht="24.75" x14ac:dyDescent="0.2">
      <c r="B4113" s="33" t="s">
        <v>5054</v>
      </c>
      <c r="C4113" s="33" t="s">
        <v>4776</v>
      </c>
      <c r="D4113" s="35">
        <f>SUMIFS(D4114:D9015,K4114:K9015,"0",B4114:B9015,"5 1 1 3 4 12 31111 6 M59 80400 000132 0000R 00001 00134*")-SUMIFS(E4114:E9015,K4114:K9015,"0",B4114:B9015,"5 1 1 3 4 12 31111 6 M59 80400 000132 0000R 00001 00134*")</f>
        <v>0</v>
      </c>
      <c r="E4113"/>
      <c r="F4113" s="35">
        <f>SUMIFS(F4114:F9015,K4114:K9015,"0",B4114:B9015,"5 1 1 3 4 12 31111 6 M59 80400 000132 0000R 00001 00134*")</f>
        <v>48457</v>
      </c>
      <c r="G4113" s="35">
        <f>SUMIFS(G4114:G9015,K4114:K9015,"0",B4114:B9015,"5 1 1 3 4 12 31111 6 M59 80400 000132 0000R 00001 00134*")</f>
        <v>0</v>
      </c>
      <c r="H4113" s="35">
        <f t="shared" si="65"/>
        <v>48457</v>
      </c>
      <c r="I4113" s="35"/>
      <c r="K4113" t="s">
        <v>15</v>
      </c>
    </row>
    <row r="4114" spans="2:11" ht="33" x14ac:dyDescent="0.2">
      <c r="B4114" s="33" t="s">
        <v>5055</v>
      </c>
      <c r="C4114" s="33" t="s">
        <v>1051</v>
      </c>
      <c r="D4114" s="35">
        <f>SUMIFS(D4115:D9015,K4115:K9015,"0",B4115:B9015,"5 1 1 3 4 12 31111 6 M59 80400 000132 0000R 00001 00134 015*")-SUMIFS(E4115:E9015,K4115:K9015,"0",B4115:B9015,"5 1 1 3 4 12 31111 6 M59 80400 000132 0000R 00001 00134 015*")</f>
        <v>0</v>
      </c>
      <c r="E4114"/>
      <c r="F4114" s="35">
        <f>SUMIFS(F4115:F9015,K4115:K9015,"0",B4115:B9015,"5 1 1 3 4 12 31111 6 M59 80400 000132 0000R 00001 00134 015*")</f>
        <v>48457</v>
      </c>
      <c r="G4114" s="35">
        <f>SUMIFS(G4115:G9015,K4115:K9015,"0",B4115:B9015,"5 1 1 3 4 12 31111 6 M59 80400 000132 0000R 00001 00134 015*")</f>
        <v>0</v>
      </c>
      <c r="H4114" s="35">
        <f t="shared" si="65"/>
        <v>48457</v>
      </c>
      <c r="I4114" s="35"/>
      <c r="K4114" t="s">
        <v>15</v>
      </c>
    </row>
    <row r="4115" spans="2:11" ht="33" x14ac:dyDescent="0.2">
      <c r="B4115" s="33" t="s">
        <v>5056</v>
      </c>
      <c r="C4115" s="33" t="s">
        <v>2927</v>
      </c>
      <c r="D4115" s="35">
        <f>SUMIFS(D4116:D9015,K4116:K9015,"0",B4116:B9015,"5 1 1 3 4 12 31111 6 M59 80400 000132 0000R 00001 00134 015 2111100*")-SUMIFS(E4116:E9015,K4116:K9015,"0",B4116:B9015,"5 1 1 3 4 12 31111 6 M59 80400 000132 0000R 00001 00134 015 2111100*")</f>
        <v>0</v>
      </c>
      <c r="E4115"/>
      <c r="F4115" s="35">
        <f>SUMIFS(F4116:F9015,K4116:K9015,"0",B4116:B9015,"5 1 1 3 4 12 31111 6 M59 80400 000132 0000R 00001 00134 015 2111100*")</f>
        <v>48457</v>
      </c>
      <c r="G4115" s="35">
        <f>SUMIFS(G4116:G9015,K4116:K9015,"0",B4116:B9015,"5 1 1 3 4 12 31111 6 M59 80400 000132 0000R 00001 00134 015 2111100*")</f>
        <v>0</v>
      </c>
      <c r="H4115" s="35">
        <f t="shared" si="65"/>
        <v>48457</v>
      </c>
      <c r="I4115" s="35"/>
      <c r="K4115" t="s">
        <v>15</v>
      </c>
    </row>
    <row r="4116" spans="2:11" ht="33" x14ac:dyDescent="0.2">
      <c r="B4116" s="33" t="s">
        <v>5057</v>
      </c>
      <c r="C4116" s="33" t="s">
        <v>660</v>
      </c>
      <c r="D4116" s="35">
        <f>SUMIFS(D4117:D9015,K4117:K9015,"0",B4117:B9015,"5 1 1 3 4 12 31111 6 M59 80400 000132 0000R 00001 00134 015 2111100 2024*")-SUMIFS(E4117:E9015,K4117:K9015,"0",B4117:B9015,"5 1 1 3 4 12 31111 6 M59 80400 000132 0000R 00001 00134 015 2111100 2024*")</f>
        <v>0</v>
      </c>
      <c r="E4116"/>
      <c r="F4116" s="35">
        <f>SUMIFS(F4117:F9015,K4117:K9015,"0",B4117:B9015,"5 1 1 3 4 12 31111 6 M59 80400 000132 0000R 00001 00134 015 2111100 2024*")</f>
        <v>48457</v>
      </c>
      <c r="G4116" s="35">
        <f>SUMIFS(G4117:G9015,K4117:K9015,"0",B4117:B9015,"5 1 1 3 4 12 31111 6 M59 80400 000132 0000R 00001 00134 015 2111100 2024*")</f>
        <v>0</v>
      </c>
      <c r="H4116" s="35">
        <f t="shared" si="65"/>
        <v>48457</v>
      </c>
      <c r="I4116" s="35"/>
      <c r="K4116" t="s">
        <v>15</v>
      </c>
    </row>
    <row r="4117" spans="2:11" ht="41.25" x14ac:dyDescent="0.2">
      <c r="B4117" s="33" t="s">
        <v>5058</v>
      </c>
      <c r="C4117" s="33" t="s">
        <v>1056</v>
      </c>
      <c r="D4117" s="35">
        <f>SUMIFS(D4118:D9015,K4118:K9015,"0",B4118:B9015,"5 1 1 3 4 12 31111 6 M59 80400 000132 0000R 00001 00134 015 2111100 2024 CP1DP403*")-SUMIFS(E4118:E9015,K4118:K9015,"0",B4118:B9015,"5 1 1 3 4 12 31111 6 M59 80400 000132 0000R 00001 00134 015 2111100 2024 CP1DP403*")</f>
        <v>0</v>
      </c>
      <c r="E4117"/>
      <c r="F4117" s="35">
        <f>SUMIFS(F4118:F9015,K4118:K9015,"0",B4118:B9015,"5 1 1 3 4 12 31111 6 M59 80400 000132 0000R 00001 00134 015 2111100 2024 CP1DP403*")</f>
        <v>48457</v>
      </c>
      <c r="G4117" s="35">
        <f>SUMIFS(G4118:G9015,K4118:K9015,"0",B4118:B9015,"5 1 1 3 4 12 31111 6 M59 80400 000132 0000R 00001 00134 015 2111100 2024 CP1DP403*")</f>
        <v>0</v>
      </c>
      <c r="H4117" s="35">
        <f t="shared" si="65"/>
        <v>48457</v>
      </c>
      <c r="I4117" s="35"/>
      <c r="K4117" t="s">
        <v>15</v>
      </c>
    </row>
    <row r="4118" spans="2:11" ht="41.25" x14ac:dyDescent="0.2">
      <c r="B4118" s="33" t="s">
        <v>5059</v>
      </c>
      <c r="C4118" s="33" t="s">
        <v>282</v>
      </c>
      <c r="D4118" s="35">
        <f>SUMIFS(D4119:D9015,K4119:K9015,"0",B4119:B9015,"5 1 1 3 4 12 31111 6 M59 80400 000132 0000R 00001 00134 015 2111100 2024 CP1DP403 001*")-SUMIFS(E4119:E9015,K4119:K9015,"0",B4119:B9015,"5 1 1 3 4 12 31111 6 M59 80400 000132 0000R 00001 00134 015 2111100 2024 CP1DP403 001*")</f>
        <v>0</v>
      </c>
      <c r="E4118"/>
      <c r="F4118" s="35">
        <f>SUMIFS(F4119:F9015,K4119:K9015,"0",B4119:B9015,"5 1 1 3 4 12 31111 6 M59 80400 000132 0000R 00001 00134 015 2111100 2024 CP1DP403 001*")</f>
        <v>48457</v>
      </c>
      <c r="G4118" s="35">
        <f>SUMIFS(G4119:G9015,K4119:K9015,"0",B4119:B9015,"5 1 1 3 4 12 31111 6 M59 80400 000132 0000R 00001 00134 015 2111100 2024 CP1DP403 001*")</f>
        <v>0</v>
      </c>
      <c r="H4118" s="35">
        <f t="shared" si="65"/>
        <v>48457</v>
      </c>
      <c r="I4118" s="35"/>
      <c r="K4118" t="s">
        <v>15</v>
      </c>
    </row>
    <row r="4119" spans="2:11" ht="41.25" x14ac:dyDescent="0.2">
      <c r="B4119" s="31" t="s">
        <v>5060</v>
      </c>
      <c r="C4119" s="31" t="s">
        <v>4840</v>
      </c>
      <c r="D4119" s="34">
        <v>0</v>
      </c>
      <c r="E4119" s="34"/>
      <c r="F4119" s="34">
        <v>48457</v>
      </c>
      <c r="G4119" s="34">
        <v>0</v>
      </c>
      <c r="H4119" s="34">
        <f t="shared" si="65"/>
        <v>48457</v>
      </c>
      <c r="I4119" s="34"/>
      <c r="K4119" t="s">
        <v>38</v>
      </c>
    </row>
    <row r="4120" spans="2:11" ht="16.5" x14ac:dyDescent="0.2">
      <c r="B4120" s="33" t="s">
        <v>5061</v>
      </c>
      <c r="C4120" s="33" t="s">
        <v>3596</v>
      </c>
      <c r="D4120" s="35">
        <f>SUMIFS(D4121:D9015,K4121:K9015,"0",B4121:B9015,"5 1 1 3 4 12 31111 6 M59 90000*")-SUMIFS(E4121:E9015,K4121:K9015,"0",B4121:B9015,"5 1 1 3 4 12 31111 6 M59 90000*")</f>
        <v>0</v>
      </c>
      <c r="E4120"/>
      <c r="F4120" s="35">
        <f>SUMIFS(F4121:F9015,K4121:K9015,"0",B4121:B9015,"5 1 1 3 4 12 31111 6 M59 90000*")</f>
        <v>138000</v>
      </c>
      <c r="G4120" s="35">
        <f>SUMIFS(G4121:G9015,K4121:K9015,"0",B4121:B9015,"5 1 1 3 4 12 31111 6 M59 90000*")</f>
        <v>0</v>
      </c>
      <c r="H4120" s="35">
        <f t="shared" si="65"/>
        <v>138000</v>
      </c>
      <c r="I4120" s="35"/>
      <c r="K4120" t="s">
        <v>15</v>
      </c>
    </row>
    <row r="4121" spans="2:11" ht="16.5" x14ac:dyDescent="0.2">
      <c r="B4121" s="33" t="s">
        <v>5062</v>
      </c>
      <c r="C4121" s="33" t="s">
        <v>648</v>
      </c>
      <c r="D4121" s="35">
        <f>SUMIFS(D4122:D9015,K4122:K9015,"0",B4122:B9015,"5 1 1 3 4 12 31111 6 M59 90000 000132*")-SUMIFS(E4122:E9015,K4122:K9015,"0",B4122:B9015,"5 1 1 3 4 12 31111 6 M59 90000 000132*")</f>
        <v>0</v>
      </c>
      <c r="E4121"/>
      <c r="F4121" s="35">
        <f>SUMIFS(F4122:F9015,K4122:K9015,"0",B4122:B9015,"5 1 1 3 4 12 31111 6 M59 90000 000132*")</f>
        <v>138000</v>
      </c>
      <c r="G4121" s="35">
        <f>SUMIFS(G4122:G9015,K4122:K9015,"0",B4122:B9015,"5 1 1 3 4 12 31111 6 M59 90000 000132*")</f>
        <v>0</v>
      </c>
      <c r="H4121" s="35">
        <f t="shared" si="65"/>
        <v>138000</v>
      </c>
      <c r="I4121" s="35"/>
      <c r="K4121" t="s">
        <v>15</v>
      </c>
    </row>
    <row r="4122" spans="2:11" ht="24.75" x14ac:dyDescent="0.2">
      <c r="B4122" s="33" t="s">
        <v>5063</v>
      </c>
      <c r="C4122" s="33" t="s">
        <v>650</v>
      </c>
      <c r="D4122" s="35">
        <f>SUMIFS(D4123:D9015,K4123:K9015,"0",B4123:B9015,"5 1 1 3 4 12 31111 6 M59 90000 000132 0000R*")-SUMIFS(E4123:E9015,K4123:K9015,"0",B4123:B9015,"5 1 1 3 4 12 31111 6 M59 90000 000132 0000R*")</f>
        <v>0</v>
      </c>
      <c r="E4122"/>
      <c r="F4122" s="35">
        <f>SUMIFS(F4123:F9015,K4123:K9015,"0",B4123:B9015,"5 1 1 3 4 12 31111 6 M59 90000 000132 0000R*")</f>
        <v>138000</v>
      </c>
      <c r="G4122" s="35">
        <f>SUMIFS(G4123:G9015,K4123:K9015,"0",B4123:B9015,"5 1 1 3 4 12 31111 6 M59 90000 000132 0000R*")</f>
        <v>0</v>
      </c>
      <c r="H4122" s="35">
        <f t="shared" si="65"/>
        <v>138000</v>
      </c>
      <c r="I4122" s="35"/>
      <c r="K4122" t="s">
        <v>15</v>
      </c>
    </row>
    <row r="4123" spans="2:11" ht="24.75" x14ac:dyDescent="0.2">
      <c r="B4123" s="33" t="s">
        <v>5064</v>
      </c>
      <c r="C4123" s="33" t="s">
        <v>282</v>
      </c>
      <c r="D4123" s="35">
        <f>SUMIFS(D4124:D9015,K4124:K9015,"0",B4124:B9015,"5 1 1 3 4 12 31111 6 M59 90000 000132 0000R 00001*")-SUMIFS(E4124:E9015,K4124:K9015,"0",B4124:B9015,"5 1 1 3 4 12 31111 6 M59 90000 000132 0000R 00001*")</f>
        <v>0</v>
      </c>
      <c r="E4123"/>
      <c r="F4123" s="35">
        <f>SUMIFS(F4124:F9015,K4124:K9015,"0",B4124:B9015,"5 1 1 3 4 12 31111 6 M59 90000 000132 0000R 00001*")</f>
        <v>138000</v>
      </c>
      <c r="G4123" s="35">
        <f>SUMIFS(G4124:G9015,K4124:K9015,"0",B4124:B9015,"5 1 1 3 4 12 31111 6 M59 90000 000132 0000R 00001*")</f>
        <v>0</v>
      </c>
      <c r="H4123" s="35">
        <f t="shared" si="65"/>
        <v>138000</v>
      </c>
      <c r="I4123" s="35"/>
      <c r="K4123" t="s">
        <v>15</v>
      </c>
    </row>
    <row r="4124" spans="2:11" ht="24.75" x14ac:dyDescent="0.2">
      <c r="B4124" s="33" t="s">
        <v>5065</v>
      </c>
      <c r="C4124" s="33" t="s">
        <v>4776</v>
      </c>
      <c r="D4124" s="35">
        <f>SUMIFS(D4125:D9015,K4125:K9015,"0",B4125:B9015,"5 1 1 3 4 12 31111 6 M59 90000 000132 0000R 00001 00134*")-SUMIFS(E4125:E9015,K4125:K9015,"0",B4125:B9015,"5 1 1 3 4 12 31111 6 M59 90000 000132 0000R 00001 00134*")</f>
        <v>0</v>
      </c>
      <c r="E4124"/>
      <c r="F4124" s="35">
        <f>SUMIFS(F4125:F9015,K4125:K9015,"0",B4125:B9015,"5 1 1 3 4 12 31111 6 M59 90000 000132 0000R 00001 00134*")</f>
        <v>138000</v>
      </c>
      <c r="G4124" s="35">
        <f>SUMIFS(G4125:G9015,K4125:K9015,"0",B4125:B9015,"5 1 1 3 4 12 31111 6 M59 90000 000132 0000R 00001 00134*")</f>
        <v>0</v>
      </c>
      <c r="H4124" s="35">
        <f t="shared" si="65"/>
        <v>138000</v>
      </c>
      <c r="I4124" s="35"/>
      <c r="K4124" t="s">
        <v>15</v>
      </c>
    </row>
    <row r="4125" spans="2:11" ht="33" x14ac:dyDescent="0.2">
      <c r="B4125" s="33" t="s">
        <v>5066</v>
      </c>
      <c r="C4125" s="33" t="s">
        <v>1051</v>
      </c>
      <c r="D4125" s="35">
        <f>SUMIFS(D4126:D9015,K4126:K9015,"0",B4126:B9015,"5 1 1 3 4 12 31111 6 M59 90000 000132 0000R 00001 00134 015*")-SUMIFS(E4126:E9015,K4126:K9015,"0",B4126:B9015,"5 1 1 3 4 12 31111 6 M59 90000 000132 0000R 00001 00134 015*")</f>
        <v>0</v>
      </c>
      <c r="E4125"/>
      <c r="F4125" s="35">
        <f>SUMIFS(F4126:F9015,K4126:K9015,"0",B4126:B9015,"5 1 1 3 4 12 31111 6 M59 90000 000132 0000R 00001 00134 015*")</f>
        <v>138000</v>
      </c>
      <c r="G4125" s="35">
        <f>SUMIFS(G4126:G9015,K4126:K9015,"0",B4126:B9015,"5 1 1 3 4 12 31111 6 M59 90000 000132 0000R 00001 00134 015*")</f>
        <v>0</v>
      </c>
      <c r="H4125" s="35">
        <f t="shared" si="65"/>
        <v>138000</v>
      </c>
      <c r="I4125" s="35"/>
      <c r="K4125" t="s">
        <v>15</v>
      </c>
    </row>
    <row r="4126" spans="2:11" ht="33" x14ac:dyDescent="0.2">
      <c r="B4126" s="33" t="s">
        <v>5067</v>
      </c>
      <c r="C4126" s="33" t="s">
        <v>2927</v>
      </c>
      <c r="D4126" s="35">
        <f>SUMIFS(D4127:D9015,K4127:K9015,"0",B4127:B9015,"5 1 1 3 4 12 31111 6 M59 90000 000132 0000R 00001 00134 015 2111100*")-SUMIFS(E4127:E9015,K4127:K9015,"0",B4127:B9015,"5 1 1 3 4 12 31111 6 M59 90000 000132 0000R 00001 00134 015 2111100*")</f>
        <v>0</v>
      </c>
      <c r="E4126"/>
      <c r="F4126" s="35">
        <f>SUMIFS(F4127:F9015,K4127:K9015,"0",B4127:B9015,"5 1 1 3 4 12 31111 6 M59 90000 000132 0000R 00001 00134 015 2111100*")</f>
        <v>138000</v>
      </c>
      <c r="G4126" s="35">
        <f>SUMIFS(G4127:G9015,K4127:K9015,"0",B4127:B9015,"5 1 1 3 4 12 31111 6 M59 90000 000132 0000R 00001 00134 015 2111100*")</f>
        <v>0</v>
      </c>
      <c r="H4126" s="35">
        <f t="shared" si="65"/>
        <v>138000</v>
      </c>
      <c r="I4126" s="35"/>
      <c r="K4126" t="s">
        <v>15</v>
      </c>
    </row>
    <row r="4127" spans="2:11" ht="33" x14ac:dyDescent="0.2">
      <c r="B4127" s="33" t="s">
        <v>5068</v>
      </c>
      <c r="C4127" s="33" t="s">
        <v>660</v>
      </c>
      <c r="D4127" s="35">
        <f>SUMIFS(D4128:D9015,K4128:K9015,"0",B4128:B9015,"5 1 1 3 4 12 31111 6 M59 90000 000132 0000R 00001 00134 015 2111100 2024*")-SUMIFS(E4128:E9015,K4128:K9015,"0",B4128:B9015,"5 1 1 3 4 12 31111 6 M59 90000 000132 0000R 00001 00134 015 2111100 2024*")</f>
        <v>0</v>
      </c>
      <c r="E4127"/>
      <c r="F4127" s="35">
        <f>SUMIFS(F4128:F9015,K4128:K9015,"0",B4128:B9015,"5 1 1 3 4 12 31111 6 M59 90000 000132 0000R 00001 00134 015 2111100 2024*")</f>
        <v>138000</v>
      </c>
      <c r="G4127" s="35">
        <f>SUMIFS(G4128:G9015,K4128:K9015,"0",B4128:B9015,"5 1 1 3 4 12 31111 6 M59 90000 000132 0000R 00001 00134 015 2111100 2024*")</f>
        <v>0</v>
      </c>
      <c r="H4127" s="35">
        <f t="shared" si="65"/>
        <v>138000</v>
      </c>
      <c r="I4127" s="35"/>
      <c r="K4127" t="s">
        <v>15</v>
      </c>
    </row>
    <row r="4128" spans="2:11" ht="41.25" x14ac:dyDescent="0.2">
      <c r="B4128" s="33" t="s">
        <v>5069</v>
      </c>
      <c r="C4128" s="33" t="s">
        <v>1056</v>
      </c>
      <c r="D4128" s="35">
        <f>SUMIFS(D4129:D9015,K4129:K9015,"0",B4129:B9015,"5 1 1 3 4 12 31111 6 M59 90000 000132 0000R 00001 00134 015 2111100 2024 CP1SG383*")-SUMIFS(E4129:E9015,K4129:K9015,"0",B4129:B9015,"5 1 1 3 4 12 31111 6 M59 90000 000132 0000R 00001 00134 015 2111100 2024 CP1SG383*")</f>
        <v>0</v>
      </c>
      <c r="E4128"/>
      <c r="F4128" s="35">
        <f>SUMIFS(F4129:F9015,K4129:K9015,"0",B4129:B9015,"5 1 1 3 4 12 31111 6 M59 90000 000132 0000R 00001 00134 015 2111100 2024 CP1SG383*")</f>
        <v>138000</v>
      </c>
      <c r="G4128" s="35">
        <f>SUMIFS(G4129:G9015,K4129:K9015,"0",B4129:B9015,"5 1 1 3 4 12 31111 6 M59 90000 000132 0000R 00001 00134 015 2111100 2024 CP1SG383*")</f>
        <v>0</v>
      </c>
      <c r="H4128" s="35">
        <f t="shared" si="65"/>
        <v>138000</v>
      </c>
      <c r="I4128" s="35"/>
      <c r="K4128" t="s">
        <v>15</v>
      </c>
    </row>
    <row r="4129" spans="2:11" ht="41.25" x14ac:dyDescent="0.2">
      <c r="B4129" s="33" t="s">
        <v>5070</v>
      </c>
      <c r="C4129" s="33" t="s">
        <v>5071</v>
      </c>
      <c r="D4129" s="35">
        <f>SUMIFS(D4130:D9015,K4130:K9015,"0",B4130:B9015,"5 1 1 3 4 12 31111 6 M59 90000 000132 0000R 00001 00134 015 2111100 2024 CP1SG383 001*")-SUMIFS(E4130:E9015,K4130:K9015,"0",B4130:B9015,"5 1 1 3 4 12 31111 6 M59 90000 000132 0000R 00001 00134 015 2111100 2024 CP1SG383 001*")</f>
        <v>0</v>
      </c>
      <c r="E4129"/>
      <c r="F4129" s="35">
        <f>SUMIFS(F4130:F9015,K4130:K9015,"0",B4130:B9015,"5 1 1 3 4 12 31111 6 M59 90000 000132 0000R 00001 00134 015 2111100 2024 CP1SG383 001*")</f>
        <v>138000</v>
      </c>
      <c r="G4129" s="35">
        <f>SUMIFS(G4130:G9015,K4130:K9015,"0",B4130:B9015,"5 1 1 3 4 12 31111 6 M59 90000 000132 0000R 00001 00134 015 2111100 2024 CP1SG383 001*")</f>
        <v>0</v>
      </c>
      <c r="H4129" s="35">
        <f t="shared" si="65"/>
        <v>138000</v>
      </c>
      <c r="I4129" s="35"/>
      <c r="K4129" t="s">
        <v>15</v>
      </c>
    </row>
    <row r="4130" spans="2:11" ht="41.25" x14ac:dyDescent="0.2">
      <c r="B4130" s="31" t="s">
        <v>5072</v>
      </c>
      <c r="C4130" s="31" t="s">
        <v>4840</v>
      </c>
      <c r="D4130" s="34">
        <v>0</v>
      </c>
      <c r="E4130" s="34"/>
      <c r="F4130" s="34">
        <v>138000</v>
      </c>
      <c r="G4130" s="34">
        <v>0</v>
      </c>
      <c r="H4130" s="34">
        <f t="shared" si="65"/>
        <v>138000</v>
      </c>
      <c r="I4130" s="34"/>
      <c r="K4130" t="s">
        <v>38</v>
      </c>
    </row>
    <row r="4131" spans="2:11" ht="16.5" x14ac:dyDescent="0.2">
      <c r="B4131" s="33" t="s">
        <v>5073</v>
      </c>
      <c r="C4131" s="33" t="s">
        <v>3608</v>
      </c>
      <c r="D4131" s="35">
        <f>SUMIFS(D4132:D9015,K4132:K9015,"0",B4132:B9015,"5 1 1 3 4 12 31111 6 M59 91000*")-SUMIFS(E4132:E9015,K4132:K9015,"0",B4132:B9015,"5 1 1 3 4 12 31111 6 M59 91000*")</f>
        <v>0</v>
      </c>
      <c r="E4131"/>
      <c r="F4131" s="35">
        <f>SUMIFS(F4132:F9015,K4132:K9015,"0",B4132:B9015,"5 1 1 3 4 12 31111 6 M59 91000*")</f>
        <v>72000</v>
      </c>
      <c r="G4131" s="35">
        <f>SUMIFS(G4132:G9015,K4132:K9015,"0",B4132:B9015,"5 1 1 3 4 12 31111 6 M59 91000*")</f>
        <v>0</v>
      </c>
      <c r="H4131" s="35">
        <f t="shared" si="65"/>
        <v>72000</v>
      </c>
      <c r="I4131" s="35"/>
      <c r="K4131" t="s">
        <v>15</v>
      </c>
    </row>
    <row r="4132" spans="2:11" ht="16.5" x14ac:dyDescent="0.2">
      <c r="B4132" s="33" t="s">
        <v>5074</v>
      </c>
      <c r="C4132" s="33" t="s">
        <v>648</v>
      </c>
      <c r="D4132" s="35">
        <f>SUMIFS(D4133:D9015,K4133:K9015,"0",B4133:B9015,"5 1 1 3 4 12 31111 6 M59 91000 000132*")-SUMIFS(E4133:E9015,K4133:K9015,"0",B4133:B9015,"5 1 1 3 4 12 31111 6 M59 91000 000132*")</f>
        <v>0</v>
      </c>
      <c r="E4132"/>
      <c r="F4132" s="35">
        <f>SUMIFS(F4133:F9015,K4133:K9015,"0",B4133:B9015,"5 1 1 3 4 12 31111 6 M59 91000 000132*")</f>
        <v>72000</v>
      </c>
      <c r="G4132" s="35">
        <f>SUMIFS(G4133:G9015,K4133:K9015,"0",B4133:B9015,"5 1 1 3 4 12 31111 6 M59 91000 000132*")</f>
        <v>0</v>
      </c>
      <c r="H4132" s="35">
        <f t="shared" si="65"/>
        <v>72000</v>
      </c>
      <c r="I4132" s="35"/>
      <c r="K4132" t="s">
        <v>15</v>
      </c>
    </row>
    <row r="4133" spans="2:11" ht="24.75" x14ac:dyDescent="0.2">
      <c r="B4133" s="33" t="s">
        <v>5075</v>
      </c>
      <c r="C4133" s="33" t="s">
        <v>650</v>
      </c>
      <c r="D4133" s="35">
        <f>SUMIFS(D4134:D9015,K4134:K9015,"0",B4134:B9015,"5 1 1 3 4 12 31111 6 M59 91000 000132 0000R*")-SUMIFS(E4134:E9015,K4134:K9015,"0",B4134:B9015,"5 1 1 3 4 12 31111 6 M59 91000 000132 0000R*")</f>
        <v>0</v>
      </c>
      <c r="E4133"/>
      <c r="F4133" s="35">
        <f>SUMIFS(F4134:F9015,K4134:K9015,"0",B4134:B9015,"5 1 1 3 4 12 31111 6 M59 91000 000132 0000R*")</f>
        <v>72000</v>
      </c>
      <c r="G4133" s="35">
        <f>SUMIFS(G4134:G9015,K4134:K9015,"0",B4134:B9015,"5 1 1 3 4 12 31111 6 M59 91000 000132 0000R*")</f>
        <v>0</v>
      </c>
      <c r="H4133" s="35">
        <f t="shared" si="65"/>
        <v>72000</v>
      </c>
      <c r="I4133" s="35"/>
      <c r="K4133" t="s">
        <v>15</v>
      </c>
    </row>
    <row r="4134" spans="2:11" ht="24.75" x14ac:dyDescent="0.2">
      <c r="B4134" s="33" t="s">
        <v>5076</v>
      </c>
      <c r="C4134" s="33" t="s">
        <v>282</v>
      </c>
      <c r="D4134" s="35">
        <f>SUMIFS(D4135:D9015,K4135:K9015,"0",B4135:B9015,"5 1 1 3 4 12 31111 6 M59 91000 000132 0000R 00001*")-SUMIFS(E4135:E9015,K4135:K9015,"0",B4135:B9015,"5 1 1 3 4 12 31111 6 M59 91000 000132 0000R 00001*")</f>
        <v>0</v>
      </c>
      <c r="E4134"/>
      <c r="F4134" s="35">
        <f>SUMIFS(F4135:F9015,K4135:K9015,"0",B4135:B9015,"5 1 1 3 4 12 31111 6 M59 91000 000132 0000R 00001*")</f>
        <v>72000</v>
      </c>
      <c r="G4134" s="35">
        <f>SUMIFS(G4135:G9015,K4135:K9015,"0",B4135:B9015,"5 1 1 3 4 12 31111 6 M59 91000 000132 0000R 00001*")</f>
        <v>0</v>
      </c>
      <c r="H4134" s="35">
        <f t="shared" si="65"/>
        <v>72000</v>
      </c>
      <c r="I4134" s="35"/>
      <c r="K4134" t="s">
        <v>15</v>
      </c>
    </row>
    <row r="4135" spans="2:11" ht="24.75" x14ac:dyDescent="0.2">
      <c r="B4135" s="33" t="s">
        <v>5077</v>
      </c>
      <c r="C4135" s="33" t="s">
        <v>4776</v>
      </c>
      <c r="D4135" s="35">
        <f>SUMIFS(D4136:D9015,K4136:K9015,"0",B4136:B9015,"5 1 1 3 4 12 31111 6 M59 91000 000132 0000R 00001 00134*")-SUMIFS(E4136:E9015,K4136:K9015,"0",B4136:B9015,"5 1 1 3 4 12 31111 6 M59 91000 000132 0000R 00001 00134*")</f>
        <v>0</v>
      </c>
      <c r="E4135"/>
      <c r="F4135" s="35">
        <f>SUMIFS(F4136:F9015,K4136:K9015,"0",B4136:B9015,"5 1 1 3 4 12 31111 6 M59 91000 000132 0000R 00001 00134*")</f>
        <v>72000</v>
      </c>
      <c r="G4135" s="35">
        <f>SUMIFS(G4136:G9015,K4136:K9015,"0",B4136:B9015,"5 1 1 3 4 12 31111 6 M59 91000 000132 0000R 00001 00134*")</f>
        <v>0</v>
      </c>
      <c r="H4135" s="35">
        <f t="shared" si="65"/>
        <v>72000</v>
      </c>
      <c r="I4135" s="35"/>
      <c r="K4135" t="s">
        <v>15</v>
      </c>
    </row>
    <row r="4136" spans="2:11" ht="33" x14ac:dyDescent="0.2">
      <c r="B4136" s="33" t="s">
        <v>5078</v>
      </c>
      <c r="C4136" s="33" t="s">
        <v>1051</v>
      </c>
      <c r="D4136" s="35">
        <f>SUMIFS(D4137:D9015,K4137:K9015,"0",B4137:B9015,"5 1 1 3 4 12 31111 6 M59 91000 000132 0000R 00001 00134 015*")-SUMIFS(E4137:E9015,K4137:K9015,"0",B4137:B9015,"5 1 1 3 4 12 31111 6 M59 91000 000132 0000R 00001 00134 015*")</f>
        <v>0</v>
      </c>
      <c r="E4136"/>
      <c r="F4136" s="35">
        <f>SUMIFS(F4137:F9015,K4137:K9015,"0",B4137:B9015,"5 1 1 3 4 12 31111 6 M59 91000 000132 0000R 00001 00134 015*")</f>
        <v>72000</v>
      </c>
      <c r="G4136" s="35">
        <f>SUMIFS(G4137:G9015,K4137:K9015,"0",B4137:B9015,"5 1 1 3 4 12 31111 6 M59 91000 000132 0000R 00001 00134 015*")</f>
        <v>0</v>
      </c>
      <c r="H4136" s="35">
        <f t="shared" si="65"/>
        <v>72000</v>
      </c>
      <c r="I4136" s="35"/>
      <c r="K4136" t="s">
        <v>15</v>
      </c>
    </row>
    <row r="4137" spans="2:11" ht="33" x14ac:dyDescent="0.2">
      <c r="B4137" s="33" t="s">
        <v>5079</v>
      </c>
      <c r="C4137" s="33" t="s">
        <v>2927</v>
      </c>
      <c r="D4137" s="35">
        <f>SUMIFS(D4138:D9015,K4138:K9015,"0",B4138:B9015,"5 1 1 3 4 12 31111 6 M59 91000 000132 0000R 00001 00134 015 2111100*")-SUMIFS(E4138:E9015,K4138:K9015,"0",B4138:B9015,"5 1 1 3 4 12 31111 6 M59 91000 000132 0000R 00001 00134 015 2111100*")</f>
        <v>0</v>
      </c>
      <c r="E4137"/>
      <c r="F4137" s="35">
        <f>SUMIFS(F4138:F9015,K4138:K9015,"0",B4138:B9015,"5 1 1 3 4 12 31111 6 M59 91000 000132 0000R 00001 00134 015 2111100*")</f>
        <v>72000</v>
      </c>
      <c r="G4137" s="35">
        <f>SUMIFS(G4138:G9015,K4138:K9015,"0",B4138:B9015,"5 1 1 3 4 12 31111 6 M59 91000 000132 0000R 00001 00134 015 2111100*")</f>
        <v>0</v>
      </c>
      <c r="H4137" s="35">
        <f t="shared" si="65"/>
        <v>72000</v>
      </c>
      <c r="I4137" s="35"/>
      <c r="K4137" t="s">
        <v>15</v>
      </c>
    </row>
    <row r="4138" spans="2:11" ht="33" x14ac:dyDescent="0.2">
      <c r="B4138" s="33" t="s">
        <v>5080</v>
      </c>
      <c r="C4138" s="33" t="s">
        <v>660</v>
      </c>
      <c r="D4138" s="35">
        <f>SUMIFS(D4139:D9015,K4139:K9015,"0",B4139:B9015,"5 1 1 3 4 12 31111 6 M59 91000 000132 0000R 00001 00134 015 2111100 2024*")-SUMIFS(E4139:E9015,K4139:K9015,"0",B4139:B9015,"5 1 1 3 4 12 31111 6 M59 91000 000132 0000R 00001 00134 015 2111100 2024*")</f>
        <v>0</v>
      </c>
      <c r="E4138"/>
      <c r="F4138" s="35">
        <f>SUMIFS(F4139:F9015,K4139:K9015,"0",B4139:B9015,"5 1 1 3 4 12 31111 6 M59 91000 000132 0000R 00001 00134 015 2111100 2024*")</f>
        <v>72000</v>
      </c>
      <c r="G4138" s="35">
        <f>SUMIFS(G4139:G9015,K4139:K9015,"0",B4139:B9015,"5 1 1 3 4 12 31111 6 M59 91000 000132 0000R 00001 00134 015 2111100 2024*")</f>
        <v>0</v>
      </c>
      <c r="H4138" s="35">
        <f t="shared" si="65"/>
        <v>72000</v>
      </c>
      <c r="I4138" s="35"/>
      <c r="K4138" t="s">
        <v>15</v>
      </c>
    </row>
    <row r="4139" spans="2:11" ht="41.25" x14ac:dyDescent="0.2">
      <c r="B4139" s="33" t="s">
        <v>5081</v>
      </c>
      <c r="C4139" s="33" t="s">
        <v>1056</v>
      </c>
      <c r="D4139" s="35">
        <f>SUMIFS(D4140:D9015,K4140:K9015,"0",B4140:B9015,"5 1 1 3 4 12 31111 6 M59 91000 000132 0000R 00001 00134 015 2111100 2024 CP1RE398*")-SUMIFS(E4140:E9015,K4140:K9015,"0",B4140:B9015,"5 1 1 3 4 12 31111 6 M59 91000 000132 0000R 00001 00134 015 2111100 2024 CP1RE398*")</f>
        <v>0</v>
      </c>
      <c r="E4139"/>
      <c r="F4139" s="35">
        <f>SUMIFS(F4140:F9015,K4140:K9015,"0",B4140:B9015,"5 1 1 3 4 12 31111 6 M59 91000 000132 0000R 00001 00134 015 2111100 2024 CP1RE398*")</f>
        <v>72000</v>
      </c>
      <c r="G4139" s="35">
        <f>SUMIFS(G4140:G9015,K4140:K9015,"0",B4140:B9015,"5 1 1 3 4 12 31111 6 M59 91000 000132 0000R 00001 00134 015 2111100 2024 CP1RE398*")</f>
        <v>0</v>
      </c>
      <c r="H4139" s="35">
        <f t="shared" si="65"/>
        <v>72000</v>
      </c>
      <c r="I4139" s="35"/>
      <c r="K4139" t="s">
        <v>15</v>
      </c>
    </row>
    <row r="4140" spans="2:11" ht="41.25" x14ac:dyDescent="0.2">
      <c r="B4140" s="33" t="s">
        <v>5082</v>
      </c>
      <c r="C4140" s="33" t="s">
        <v>282</v>
      </c>
      <c r="D4140" s="35">
        <f>SUMIFS(D4141:D9015,K4141:K9015,"0",B4141:B9015,"5 1 1 3 4 12 31111 6 M59 91000 000132 0000R 00001 00134 015 2111100 2024 CP1RE398 001*")-SUMIFS(E4141:E9015,K4141:K9015,"0",B4141:B9015,"5 1 1 3 4 12 31111 6 M59 91000 000132 0000R 00001 00134 015 2111100 2024 CP1RE398 001*")</f>
        <v>0</v>
      </c>
      <c r="E4140"/>
      <c r="F4140" s="35">
        <f>SUMIFS(F4141:F9015,K4141:K9015,"0",B4141:B9015,"5 1 1 3 4 12 31111 6 M59 91000 000132 0000R 00001 00134 015 2111100 2024 CP1RE398 001*")</f>
        <v>72000</v>
      </c>
      <c r="G4140" s="35">
        <f>SUMIFS(G4141:G9015,K4141:K9015,"0",B4141:B9015,"5 1 1 3 4 12 31111 6 M59 91000 000132 0000R 00001 00134 015 2111100 2024 CP1RE398 001*")</f>
        <v>0</v>
      </c>
      <c r="H4140" s="35">
        <f t="shared" si="65"/>
        <v>72000</v>
      </c>
      <c r="I4140" s="35"/>
      <c r="K4140" t="s">
        <v>15</v>
      </c>
    </row>
    <row r="4141" spans="2:11" ht="33" x14ac:dyDescent="0.2">
      <c r="B4141" s="31" t="s">
        <v>5083</v>
      </c>
      <c r="C4141" s="31" t="s">
        <v>4840</v>
      </c>
      <c r="D4141" s="34">
        <v>0</v>
      </c>
      <c r="E4141" s="34"/>
      <c r="F4141" s="34">
        <v>72000</v>
      </c>
      <c r="G4141" s="34">
        <v>0</v>
      </c>
      <c r="H4141" s="34">
        <f t="shared" si="65"/>
        <v>72000</v>
      </c>
      <c r="I4141" s="34"/>
      <c r="K4141" t="s">
        <v>38</v>
      </c>
    </row>
    <row r="4142" spans="2:11" ht="16.5" x14ac:dyDescent="0.2">
      <c r="B4142" s="33" t="s">
        <v>5084</v>
      </c>
      <c r="C4142" s="33" t="s">
        <v>3620</v>
      </c>
      <c r="D4142" s="35">
        <f>SUMIFS(D4143:D9015,K4143:K9015,"0",B4143:B9015,"5 1 1 3 4 12 31111 6 M59 92000*")-SUMIFS(E4143:E9015,K4143:K9015,"0",B4143:B9015,"5 1 1 3 4 12 31111 6 M59 92000*")</f>
        <v>0</v>
      </c>
      <c r="E4142"/>
      <c r="F4142" s="35">
        <f>SUMIFS(F4143:F9015,K4143:K9015,"0",B4143:B9015,"5 1 1 3 4 12 31111 6 M59 92000*")</f>
        <v>44104.32</v>
      </c>
      <c r="G4142" s="35">
        <f>SUMIFS(G4143:G9015,K4143:K9015,"0",B4143:B9015,"5 1 1 3 4 12 31111 6 M59 92000*")</f>
        <v>0</v>
      </c>
      <c r="H4142" s="35">
        <f t="shared" si="65"/>
        <v>44104.32</v>
      </c>
      <c r="I4142" s="35"/>
      <c r="K4142" t="s">
        <v>15</v>
      </c>
    </row>
    <row r="4143" spans="2:11" ht="24.75" x14ac:dyDescent="0.2">
      <c r="B4143" s="33" t="s">
        <v>5085</v>
      </c>
      <c r="C4143" s="33" t="s">
        <v>3152</v>
      </c>
      <c r="D4143" s="35">
        <f>SUMIFS(D4144:D9015,K4144:K9015,"0",B4144:B9015,"5 1 1 3 4 12 31111 6 M59 92000 000181*")-SUMIFS(E4144:E9015,K4144:K9015,"0",B4144:B9015,"5 1 1 3 4 12 31111 6 M59 92000 000181*")</f>
        <v>0</v>
      </c>
      <c r="E4143"/>
      <c r="F4143" s="35">
        <f>SUMIFS(F4144:F9015,K4144:K9015,"0",B4144:B9015,"5 1 1 3 4 12 31111 6 M59 92000 000181*")</f>
        <v>44104.32</v>
      </c>
      <c r="G4143" s="35">
        <f>SUMIFS(G4144:G9015,K4144:K9015,"0",B4144:B9015,"5 1 1 3 4 12 31111 6 M59 92000 000181*")</f>
        <v>0</v>
      </c>
      <c r="H4143" s="35">
        <f t="shared" si="65"/>
        <v>44104.32</v>
      </c>
      <c r="I4143" s="35"/>
      <c r="K4143" t="s">
        <v>15</v>
      </c>
    </row>
    <row r="4144" spans="2:11" ht="24.75" x14ac:dyDescent="0.2">
      <c r="B4144" s="33" t="s">
        <v>5086</v>
      </c>
      <c r="C4144" s="33" t="s">
        <v>1065</v>
      </c>
      <c r="D4144" s="35">
        <f>SUMIFS(D4145:D9015,K4145:K9015,"0",B4145:B9015,"5 1 1 3 4 12 31111 6 M59 92000 000181 0000E*")-SUMIFS(E4145:E9015,K4145:K9015,"0",B4145:B9015,"5 1 1 3 4 12 31111 6 M59 92000 000181 0000E*")</f>
        <v>0</v>
      </c>
      <c r="E4144"/>
      <c r="F4144" s="35">
        <f>SUMIFS(F4145:F9015,K4145:K9015,"0",B4145:B9015,"5 1 1 3 4 12 31111 6 M59 92000 000181 0000E*")</f>
        <v>44104.32</v>
      </c>
      <c r="G4144" s="35">
        <f>SUMIFS(G4145:G9015,K4145:K9015,"0",B4145:B9015,"5 1 1 3 4 12 31111 6 M59 92000 000181 0000E*")</f>
        <v>0</v>
      </c>
      <c r="H4144" s="35">
        <f t="shared" si="65"/>
        <v>44104.32</v>
      </c>
      <c r="I4144" s="35"/>
      <c r="K4144" t="s">
        <v>15</v>
      </c>
    </row>
    <row r="4145" spans="2:11" ht="24.75" x14ac:dyDescent="0.2">
      <c r="B4145" s="33" t="s">
        <v>5087</v>
      </c>
      <c r="C4145" s="33" t="s">
        <v>282</v>
      </c>
      <c r="D4145" s="35">
        <f>SUMIFS(D4146:D9015,K4146:K9015,"0",B4146:B9015,"5 1 1 3 4 12 31111 6 M59 92000 000181 0000E 00001*")-SUMIFS(E4146:E9015,K4146:K9015,"0",B4146:B9015,"5 1 1 3 4 12 31111 6 M59 92000 000181 0000E 00001*")</f>
        <v>0</v>
      </c>
      <c r="E4145"/>
      <c r="F4145" s="35">
        <f>SUMIFS(F4146:F9015,K4146:K9015,"0",B4146:B9015,"5 1 1 3 4 12 31111 6 M59 92000 000181 0000E 00001*")</f>
        <v>44104.32</v>
      </c>
      <c r="G4145" s="35">
        <f>SUMIFS(G4146:G9015,K4146:K9015,"0",B4146:B9015,"5 1 1 3 4 12 31111 6 M59 92000 000181 0000E 00001*")</f>
        <v>0</v>
      </c>
      <c r="H4145" s="35">
        <f t="shared" si="65"/>
        <v>44104.32</v>
      </c>
      <c r="I4145" s="35"/>
      <c r="K4145" t="s">
        <v>15</v>
      </c>
    </row>
    <row r="4146" spans="2:11" ht="24.75" x14ac:dyDescent="0.2">
      <c r="B4146" s="33" t="s">
        <v>5088</v>
      </c>
      <c r="C4146" s="33" t="s">
        <v>4776</v>
      </c>
      <c r="D4146" s="35">
        <f>SUMIFS(D4147:D9015,K4147:K9015,"0",B4147:B9015,"5 1 1 3 4 12 31111 6 M59 92000 000181 0000E 00001 00134*")-SUMIFS(E4147:E9015,K4147:K9015,"0",B4147:B9015,"5 1 1 3 4 12 31111 6 M59 92000 000181 0000E 00001 00134*")</f>
        <v>0</v>
      </c>
      <c r="E4146"/>
      <c r="F4146" s="35">
        <f>SUMIFS(F4147:F9015,K4147:K9015,"0",B4147:B9015,"5 1 1 3 4 12 31111 6 M59 92000 000181 0000E 00001 00134*")</f>
        <v>44104.32</v>
      </c>
      <c r="G4146" s="35">
        <f>SUMIFS(G4147:G9015,K4147:K9015,"0",B4147:B9015,"5 1 1 3 4 12 31111 6 M59 92000 000181 0000E 00001 00134*")</f>
        <v>0</v>
      </c>
      <c r="H4146" s="35">
        <f t="shared" si="65"/>
        <v>44104.32</v>
      </c>
      <c r="I4146" s="35"/>
      <c r="K4146" t="s">
        <v>15</v>
      </c>
    </row>
    <row r="4147" spans="2:11" ht="33" x14ac:dyDescent="0.2">
      <c r="B4147" s="33" t="s">
        <v>5089</v>
      </c>
      <c r="C4147" s="33" t="s">
        <v>1051</v>
      </c>
      <c r="D4147" s="35">
        <f>SUMIFS(D4148:D9015,K4148:K9015,"0",B4148:B9015,"5 1 1 3 4 12 31111 6 M59 92000 000181 0000E 00001 00134 015*")-SUMIFS(E4148:E9015,K4148:K9015,"0",B4148:B9015,"5 1 1 3 4 12 31111 6 M59 92000 000181 0000E 00001 00134 015*")</f>
        <v>0</v>
      </c>
      <c r="E4147"/>
      <c r="F4147" s="35">
        <f>SUMIFS(F4148:F9015,K4148:K9015,"0",B4148:B9015,"5 1 1 3 4 12 31111 6 M59 92000 000181 0000E 00001 00134 015*")</f>
        <v>44104.32</v>
      </c>
      <c r="G4147" s="35">
        <f>SUMIFS(G4148:G9015,K4148:K9015,"0",B4148:B9015,"5 1 1 3 4 12 31111 6 M59 92000 000181 0000E 00001 00134 015*")</f>
        <v>0</v>
      </c>
      <c r="H4147" s="35">
        <f t="shared" si="65"/>
        <v>44104.32</v>
      </c>
      <c r="I4147" s="35"/>
      <c r="K4147" t="s">
        <v>15</v>
      </c>
    </row>
    <row r="4148" spans="2:11" ht="33" x14ac:dyDescent="0.2">
      <c r="B4148" s="33" t="s">
        <v>5090</v>
      </c>
      <c r="C4148" s="33" t="s">
        <v>2927</v>
      </c>
      <c r="D4148" s="35">
        <f>SUMIFS(D4149:D9015,K4149:K9015,"0",B4149:B9015,"5 1 1 3 4 12 31111 6 M59 92000 000181 0000E 00001 00134 015 2111100*")-SUMIFS(E4149:E9015,K4149:K9015,"0",B4149:B9015,"5 1 1 3 4 12 31111 6 M59 92000 000181 0000E 00001 00134 015 2111100*")</f>
        <v>0</v>
      </c>
      <c r="E4148"/>
      <c r="F4148" s="35">
        <f>SUMIFS(F4149:F9015,K4149:K9015,"0",B4149:B9015,"5 1 1 3 4 12 31111 6 M59 92000 000181 0000E 00001 00134 015 2111100*")</f>
        <v>44104.32</v>
      </c>
      <c r="G4148" s="35">
        <f>SUMIFS(G4149:G9015,K4149:K9015,"0",B4149:B9015,"5 1 1 3 4 12 31111 6 M59 92000 000181 0000E 00001 00134 015 2111100*")</f>
        <v>0</v>
      </c>
      <c r="H4148" s="35">
        <f t="shared" si="65"/>
        <v>44104.32</v>
      </c>
      <c r="I4148" s="35"/>
      <c r="K4148" t="s">
        <v>15</v>
      </c>
    </row>
    <row r="4149" spans="2:11" ht="33" x14ac:dyDescent="0.2">
      <c r="B4149" s="33" t="s">
        <v>5091</v>
      </c>
      <c r="C4149" s="33" t="s">
        <v>660</v>
      </c>
      <c r="D4149" s="35">
        <f>SUMIFS(D4150:D9015,K4150:K9015,"0",B4150:B9015,"5 1 1 3 4 12 31111 6 M59 92000 000181 0000E 00001 00134 015 2111100 2024*")-SUMIFS(E4150:E9015,K4150:K9015,"0",B4150:B9015,"5 1 1 3 4 12 31111 6 M59 92000 000181 0000E 00001 00134 015 2111100 2024*")</f>
        <v>0</v>
      </c>
      <c r="E4149"/>
      <c r="F4149" s="35">
        <f>SUMIFS(F4150:F9015,K4150:K9015,"0",B4150:B9015,"5 1 1 3 4 12 31111 6 M59 92000 000181 0000E 00001 00134 015 2111100 2024*")</f>
        <v>44104.32</v>
      </c>
      <c r="G4149" s="35">
        <f>SUMIFS(G4150:G9015,K4150:K9015,"0",B4150:B9015,"5 1 1 3 4 12 31111 6 M59 92000 000181 0000E 00001 00134 015 2111100 2024*")</f>
        <v>0</v>
      </c>
      <c r="H4149" s="35">
        <f t="shared" si="65"/>
        <v>44104.32</v>
      </c>
      <c r="I4149" s="35"/>
      <c r="K4149" t="s">
        <v>15</v>
      </c>
    </row>
    <row r="4150" spans="2:11" ht="41.25" x14ac:dyDescent="0.2">
      <c r="B4150" s="33" t="s">
        <v>5092</v>
      </c>
      <c r="C4150" s="33" t="s">
        <v>1056</v>
      </c>
      <c r="D4150" s="35">
        <f>SUMIFS(D4151:D9015,K4151:K9015,"0",B4151:B9015,"5 1 1 3 4 12 31111 6 M59 92000 000181 0000E 00001 00134 015 2111100 2024 CP1RC399*")-SUMIFS(E4151:E9015,K4151:K9015,"0",B4151:B9015,"5 1 1 3 4 12 31111 6 M59 92000 000181 0000E 00001 00134 015 2111100 2024 CP1RC399*")</f>
        <v>0</v>
      </c>
      <c r="E4150"/>
      <c r="F4150" s="35">
        <f>SUMIFS(F4151:F9015,K4151:K9015,"0",B4151:B9015,"5 1 1 3 4 12 31111 6 M59 92000 000181 0000E 00001 00134 015 2111100 2024 CP1RC399*")</f>
        <v>44104.32</v>
      </c>
      <c r="G4150" s="35">
        <f>SUMIFS(G4151:G9015,K4151:K9015,"0",B4151:B9015,"5 1 1 3 4 12 31111 6 M59 92000 000181 0000E 00001 00134 015 2111100 2024 CP1RC399*")</f>
        <v>0</v>
      </c>
      <c r="H4150" s="35">
        <f t="shared" si="65"/>
        <v>44104.32</v>
      </c>
      <c r="I4150" s="35"/>
      <c r="K4150" t="s">
        <v>15</v>
      </c>
    </row>
    <row r="4151" spans="2:11" ht="41.25" x14ac:dyDescent="0.2">
      <c r="B4151" s="33" t="s">
        <v>5093</v>
      </c>
      <c r="C4151" s="33" t="s">
        <v>282</v>
      </c>
      <c r="D4151" s="35">
        <f>SUMIFS(D4152:D9015,K4152:K9015,"0",B4152:B9015,"5 1 1 3 4 12 31111 6 M59 92000 000181 0000E 00001 00134 015 2111100 2024 CP1RC399 001*")-SUMIFS(E4152:E9015,K4152:K9015,"0",B4152:B9015,"5 1 1 3 4 12 31111 6 M59 92000 000181 0000E 00001 00134 015 2111100 2024 CP1RC399 001*")</f>
        <v>0</v>
      </c>
      <c r="E4151"/>
      <c r="F4151" s="35">
        <f>SUMIFS(F4152:F9015,K4152:K9015,"0",B4152:B9015,"5 1 1 3 4 12 31111 6 M59 92000 000181 0000E 00001 00134 015 2111100 2024 CP1RC399 001*")</f>
        <v>44104.32</v>
      </c>
      <c r="G4151" s="35">
        <f>SUMIFS(G4152:G9015,K4152:K9015,"0",B4152:B9015,"5 1 1 3 4 12 31111 6 M59 92000 000181 0000E 00001 00134 015 2111100 2024 CP1RC399 001*")</f>
        <v>0</v>
      </c>
      <c r="H4151" s="35">
        <f t="shared" si="65"/>
        <v>44104.32</v>
      </c>
      <c r="I4151" s="35"/>
      <c r="K4151" t="s">
        <v>15</v>
      </c>
    </row>
    <row r="4152" spans="2:11" ht="33" x14ac:dyDescent="0.2">
      <c r="B4152" s="31" t="s">
        <v>5094</v>
      </c>
      <c r="C4152" s="31" t="s">
        <v>4783</v>
      </c>
      <c r="D4152" s="34">
        <v>0</v>
      </c>
      <c r="E4152" s="34"/>
      <c r="F4152" s="34">
        <v>44104.32</v>
      </c>
      <c r="G4152" s="34">
        <v>0</v>
      </c>
      <c r="H4152" s="34">
        <f t="shared" si="65"/>
        <v>44104.32</v>
      </c>
      <c r="I4152" s="34"/>
      <c r="K4152" t="s">
        <v>38</v>
      </c>
    </row>
    <row r="4153" spans="2:11" ht="16.5" x14ac:dyDescent="0.2">
      <c r="B4153" s="33" t="s">
        <v>5095</v>
      </c>
      <c r="C4153" s="33" t="s">
        <v>3644</v>
      </c>
      <c r="D4153" s="35">
        <f>SUMIFS(D4154:D9015,K4154:K9015,"0",B4154:B9015,"5 1 1 3 4 12 31111 6 M59 94000*")-SUMIFS(E4154:E9015,K4154:K9015,"0",B4154:B9015,"5 1 1 3 4 12 31111 6 M59 94000*")</f>
        <v>0</v>
      </c>
      <c r="E4153"/>
      <c r="F4153" s="35">
        <f>SUMIFS(F4154:F9015,K4154:K9015,"0",B4154:B9015,"5 1 1 3 4 12 31111 6 M59 94000*")</f>
        <v>74960</v>
      </c>
      <c r="G4153" s="35">
        <f>SUMIFS(G4154:G9015,K4154:K9015,"0",B4154:B9015,"5 1 1 3 4 12 31111 6 M59 94000*")</f>
        <v>0</v>
      </c>
      <c r="H4153" s="35">
        <f t="shared" si="65"/>
        <v>74960</v>
      </c>
      <c r="I4153" s="35"/>
      <c r="K4153" t="s">
        <v>15</v>
      </c>
    </row>
    <row r="4154" spans="2:11" ht="24.75" x14ac:dyDescent="0.2">
      <c r="B4154" s="33" t="s">
        <v>5096</v>
      </c>
      <c r="C4154" s="33" t="s">
        <v>3152</v>
      </c>
      <c r="D4154" s="35">
        <f>SUMIFS(D4155:D9015,K4155:K9015,"0",B4155:B9015,"5 1 1 3 4 12 31111 6 M59 94000 000181*")-SUMIFS(E4155:E9015,K4155:K9015,"0",B4155:B9015,"5 1 1 3 4 12 31111 6 M59 94000 000181*")</f>
        <v>0</v>
      </c>
      <c r="E4154"/>
      <c r="F4154" s="35">
        <f>SUMIFS(F4155:F9015,K4155:K9015,"0",B4155:B9015,"5 1 1 3 4 12 31111 6 M59 94000 000181*")</f>
        <v>74960</v>
      </c>
      <c r="G4154" s="35">
        <f>SUMIFS(G4155:G9015,K4155:K9015,"0",B4155:B9015,"5 1 1 3 4 12 31111 6 M59 94000 000181*")</f>
        <v>0</v>
      </c>
      <c r="H4154" s="35">
        <f t="shared" si="65"/>
        <v>74960</v>
      </c>
      <c r="I4154" s="35"/>
      <c r="K4154" t="s">
        <v>15</v>
      </c>
    </row>
    <row r="4155" spans="2:11" ht="24.75" x14ac:dyDescent="0.2">
      <c r="B4155" s="33" t="s">
        <v>5097</v>
      </c>
      <c r="C4155" s="33" t="s">
        <v>650</v>
      </c>
      <c r="D4155" s="35">
        <f>SUMIFS(D4156:D9015,K4156:K9015,"0",B4156:B9015,"5 1 1 3 4 12 31111 6 M59 94000 000181 0000R*")-SUMIFS(E4156:E9015,K4156:K9015,"0",B4156:B9015,"5 1 1 3 4 12 31111 6 M59 94000 000181 0000R*")</f>
        <v>0</v>
      </c>
      <c r="E4155"/>
      <c r="F4155" s="35">
        <f>SUMIFS(F4156:F9015,K4156:K9015,"0",B4156:B9015,"5 1 1 3 4 12 31111 6 M59 94000 000181 0000R*")</f>
        <v>74960</v>
      </c>
      <c r="G4155" s="35">
        <f>SUMIFS(G4156:G9015,K4156:K9015,"0",B4156:B9015,"5 1 1 3 4 12 31111 6 M59 94000 000181 0000R*")</f>
        <v>0</v>
      </c>
      <c r="H4155" s="35">
        <f t="shared" si="65"/>
        <v>74960</v>
      </c>
      <c r="I4155" s="35"/>
      <c r="K4155" t="s">
        <v>15</v>
      </c>
    </row>
    <row r="4156" spans="2:11" ht="24.75" x14ac:dyDescent="0.2">
      <c r="B4156" s="33" t="s">
        <v>5098</v>
      </c>
      <c r="C4156" s="33" t="s">
        <v>282</v>
      </c>
      <c r="D4156" s="35">
        <f>SUMIFS(D4157:D9015,K4157:K9015,"0",B4157:B9015,"5 1 1 3 4 12 31111 6 M59 94000 000181 0000R 00001*")-SUMIFS(E4157:E9015,K4157:K9015,"0",B4157:B9015,"5 1 1 3 4 12 31111 6 M59 94000 000181 0000R 00001*")</f>
        <v>0</v>
      </c>
      <c r="E4156"/>
      <c r="F4156" s="35">
        <f>SUMIFS(F4157:F9015,K4157:K9015,"0",B4157:B9015,"5 1 1 3 4 12 31111 6 M59 94000 000181 0000R 00001*")</f>
        <v>74960</v>
      </c>
      <c r="G4156" s="35">
        <f>SUMIFS(G4157:G9015,K4157:K9015,"0",B4157:B9015,"5 1 1 3 4 12 31111 6 M59 94000 000181 0000R 00001*")</f>
        <v>0</v>
      </c>
      <c r="H4156" s="35">
        <f t="shared" si="65"/>
        <v>74960</v>
      </c>
      <c r="I4156" s="35"/>
      <c r="K4156" t="s">
        <v>15</v>
      </c>
    </row>
    <row r="4157" spans="2:11" ht="24.75" x14ac:dyDescent="0.2">
      <c r="B4157" s="33" t="s">
        <v>5099</v>
      </c>
      <c r="C4157" s="33" t="s">
        <v>4776</v>
      </c>
      <c r="D4157" s="35">
        <f>SUMIFS(D4158:D9015,K4158:K9015,"0",B4158:B9015,"5 1 1 3 4 12 31111 6 M59 94000 000181 0000R 00001 00134*")-SUMIFS(E4158:E9015,K4158:K9015,"0",B4158:B9015,"5 1 1 3 4 12 31111 6 M59 94000 000181 0000R 00001 00134*")</f>
        <v>0</v>
      </c>
      <c r="E4157"/>
      <c r="F4157" s="35">
        <f>SUMIFS(F4158:F9015,K4158:K9015,"0",B4158:B9015,"5 1 1 3 4 12 31111 6 M59 94000 000181 0000R 00001 00134*")</f>
        <v>74960</v>
      </c>
      <c r="G4157" s="35">
        <f>SUMIFS(G4158:G9015,K4158:K9015,"0",B4158:B9015,"5 1 1 3 4 12 31111 6 M59 94000 000181 0000R 00001 00134*")</f>
        <v>0</v>
      </c>
      <c r="H4157" s="35">
        <f t="shared" si="65"/>
        <v>74960</v>
      </c>
      <c r="I4157" s="35"/>
      <c r="K4157" t="s">
        <v>15</v>
      </c>
    </row>
    <row r="4158" spans="2:11" ht="33" x14ac:dyDescent="0.2">
      <c r="B4158" s="33" t="s">
        <v>5100</v>
      </c>
      <c r="C4158" s="33" t="s">
        <v>1051</v>
      </c>
      <c r="D4158" s="35">
        <f>SUMIFS(D4159:D9015,K4159:K9015,"0",B4159:B9015,"5 1 1 3 4 12 31111 6 M59 94000 000181 0000R 00001 00134 015*")-SUMIFS(E4159:E9015,K4159:K9015,"0",B4159:B9015,"5 1 1 3 4 12 31111 6 M59 94000 000181 0000R 00001 00134 015*")</f>
        <v>0</v>
      </c>
      <c r="E4158"/>
      <c r="F4158" s="35">
        <f>SUMIFS(F4159:F9015,K4159:K9015,"0",B4159:B9015,"5 1 1 3 4 12 31111 6 M59 94000 000181 0000R 00001 00134 015*")</f>
        <v>74960</v>
      </c>
      <c r="G4158" s="35">
        <f>SUMIFS(G4159:G9015,K4159:K9015,"0",B4159:B9015,"5 1 1 3 4 12 31111 6 M59 94000 000181 0000R 00001 00134 015*")</f>
        <v>0</v>
      </c>
      <c r="H4158" s="35">
        <f t="shared" si="65"/>
        <v>74960</v>
      </c>
      <c r="I4158" s="35"/>
      <c r="K4158" t="s">
        <v>15</v>
      </c>
    </row>
    <row r="4159" spans="2:11" ht="33" x14ac:dyDescent="0.2">
      <c r="B4159" s="33" t="s">
        <v>5101</v>
      </c>
      <c r="C4159" s="33" t="s">
        <v>2927</v>
      </c>
      <c r="D4159" s="35">
        <f>SUMIFS(D4160:D9015,K4160:K9015,"0",B4160:B9015,"5 1 1 3 4 12 31111 6 M59 94000 000181 0000R 00001 00134 015 2111100*")-SUMIFS(E4160:E9015,K4160:K9015,"0",B4160:B9015,"5 1 1 3 4 12 31111 6 M59 94000 000181 0000R 00001 00134 015 2111100*")</f>
        <v>0</v>
      </c>
      <c r="E4159"/>
      <c r="F4159" s="35">
        <f>SUMIFS(F4160:F9015,K4160:K9015,"0",B4160:B9015,"5 1 1 3 4 12 31111 6 M59 94000 000181 0000R 00001 00134 015 2111100*")</f>
        <v>74960</v>
      </c>
      <c r="G4159" s="35">
        <f>SUMIFS(G4160:G9015,K4160:K9015,"0",B4160:B9015,"5 1 1 3 4 12 31111 6 M59 94000 000181 0000R 00001 00134 015 2111100*")</f>
        <v>0</v>
      </c>
      <c r="H4159" s="35">
        <f t="shared" si="65"/>
        <v>74960</v>
      </c>
      <c r="I4159" s="35"/>
      <c r="K4159" t="s">
        <v>15</v>
      </c>
    </row>
    <row r="4160" spans="2:11" ht="33" x14ac:dyDescent="0.2">
      <c r="B4160" s="33" t="s">
        <v>5102</v>
      </c>
      <c r="C4160" s="33" t="s">
        <v>660</v>
      </c>
      <c r="D4160" s="35">
        <f>SUMIFS(D4161:D9015,K4161:K9015,"0",B4161:B9015,"5 1 1 3 4 12 31111 6 M59 94000 000181 0000R 00001 00134 015 2111100 2024*")-SUMIFS(E4161:E9015,K4161:K9015,"0",B4161:B9015,"5 1 1 3 4 12 31111 6 M59 94000 000181 0000R 00001 00134 015 2111100 2024*")</f>
        <v>0</v>
      </c>
      <c r="E4160"/>
      <c r="F4160" s="35">
        <f>SUMIFS(F4161:F9015,K4161:K9015,"0",B4161:B9015,"5 1 1 3 4 12 31111 6 M59 94000 000181 0000R 00001 00134 015 2111100 2024*")</f>
        <v>74960</v>
      </c>
      <c r="G4160" s="35">
        <f>SUMIFS(G4161:G9015,K4161:K9015,"0",B4161:B9015,"5 1 1 3 4 12 31111 6 M59 94000 000181 0000R 00001 00134 015 2111100 2024*")</f>
        <v>0</v>
      </c>
      <c r="H4160" s="35">
        <f t="shared" si="65"/>
        <v>74960</v>
      </c>
      <c r="I4160" s="35"/>
      <c r="K4160" t="s">
        <v>15</v>
      </c>
    </row>
    <row r="4161" spans="2:11" ht="41.25" x14ac:dyDescent="0.2">
      <c r="B4161" s="33" t="s">
        <v>5103</v>
      </c>
      <c r="C4161" s="33" t="s">
        <v>1056</v>
      </c>
      <c r="D4161" s="35">
        <f>SUMIFS(D4162:D9015,K4162:K9015,"0",B4162:B9015,"5 1 1 3 4 12 31111 6 M59 94000 000181 0000R 00001 00134 015 2111100 2024 CP1OM392*")-SUMIFS(E4162:E9015,K4162:K9015,"0",B4162:B9015,"5 1 1 3 4 12 31111 6 M59 94000 000181 0000R 00001 00134 015 2111100 2024 CP1OM392*")</f>
        <v>0</v>
      </c>
      <c r="E4161"/>
      <c r="F4161" s="35">
        <f>SUMIFS(F4162:F9015,K4162:K9015,"0",B4162:B9015,"5 1 1 3 4 12 31111 6 M59 94000 000181 0000R 00001 00134 015 2111100 2024 CP1OM392*")</f>
        <v>74960</v>
      </c>
      <c r="G4161" s="35">
        <f>SUMIFS(G4162:G9015,K4162:K9015,"0",B4162:B9015,"5 1 1 3 4 12 31111 6 M59 94000 000181 0000R 00001 00134 015 2111100 2024 CP1OM392*")</f>
        <v>0</v>
      </c>
      <c r="H4161" s="35">
        <f t="shared" si="65"/>
        <v>74960</v>
      </c>
      <c r="I4161" s="35"/>
      <c r="K4161" t="s">
        <v>15</v>
      </c>
    </row>
    <row r="4162" spans="2:11" ht="41.25" x14ac:dyDescent="0.2">
      <c r="B4162" s="33" t="s">
        <v>5104</v>
      </c>
      <c r="C4162" s="33" t="s">
        <v>282</v>
      </c>
      <c r="D4162" s="35">
        <f>SUMIFS(D4163:D9015,K4163:K9015,"0",B4163:B9015,"5 1 1 3 4 12 31111 6 M59 94000 000181 0000R 00001 00134 015 2111100 2024 CP1OM392 001*")-SUMIFS(E4163:E9015,K4163:K9015,"0",B4163:B9015,"5 1 1 3 4 12 31111 6 M59 94000 000181 0000R 00001 00134 015 2111100 2024 CP1OM392 001*")</f>
        <v>0</v>
      </c>
      <c r="E4162"/>
      <c r="F4162" s="35">
        <f>SUMIFS(F4163:F9015,K4163:K9015,"0",B4163:B9015,"5 1 1 3 4 12 31111 6 M59 94000 000181 0000R 00001 00134 015 2111100 2024 CP1OM392 001*")</f>
        <v>74960</v>
      </c>
      <c r="G4162" s="35">
        <f>SUMIFS(G4163:G9015,K4163:K9015,"0",B4163:B9015,"5 1 1 3 4 12 31111 6 M59 94000 000181 0000R 00001 00134 015 2111100 2024 CP1OM392 001*")</f>
        <v>0</v>
      </c>
      <c r="H4162" s="35">
        <f t="shared" si="65"/>
        <v>74960</v>
      </c>
      <c r="I4162" s="35"/>
      <c r="K4162" t="s">
        <v>15</v>
      </c>
    </row>
    <row r="4163" spans="2:11" ht="33" x14ac:dyDescent="0.2">
      <c r="B4163" s="31" t="s">
        <v>5105</v>
      </c>
      <c r="C4163" s="31" t="s">
        <v>4783</v>
      </c>
      <c r="D4163" s="34">
        <v>0</v>
      </c>
      <c r="E4163" s="34"/>
      <c r="F4163" s="34">
        <v>74960</v>
      </c>
      <c r="G4163" s="34">
        <v>0</v>
      </c>
      <c r="H4163" s="34">
        <f t="shared" si="65"/>
        <v>74960</v>
      </c>
      <c r="I4163" s="34"/>
      <c r="K4163" t="s">
        <v>38</v>
      </c>
    </row>
    <row r="4164" spans="2:11" ht="16.5" x14ac:dyDescent="0.2">
      <c r="B4164" s="33" t="s">
        <v>5106</v>
      </c>
      <c r="C4164" s="33" t="s">
        <v>3668</v>
      </c>
      <c r="D4164" s="35">
        <f>SUMIFS(D4165:D9015,K4165:K9015,"0",B4165:B9015,"5 1 1 3 4 12 31111 6 M59 95000*")-SUMIFS(E4165:E9015,K4165:K9015,"0",B4165:B9015,"5 1 1 3 4 12 31111 6 M59 95000*")</f>
        <v>0</v>
      </c>
      <c r="E4164"/>
      <c r="F4164" s="35">
        <f>SUMIFS(F4165:F9015,K4165:K9015,"0",B4165:B9015,"5 1 1 3 4 12 31111 6 M59 95000*")</f>
        <v>19666.45</v>
      </c>
      <c r="G4164" s="35">
        <f>SUMIFS(G4165:G9015,K4165:K9015,"0",B4165:B9015,"5 1 1 3 4 12 31111 6 M59 95000*")</f>
        <v>0</v>
      </c>
      <c r="H4164" s="35">
        <f t="shared" ref="H4164:H4227" si="66">D4164 + F4164 - G4164</f>
        <v>19666.45</v>
      </c>
      <c r="I4164" s="35"/>
      <c r="K4164" t="s">
        <v>15</v>
      </c>
    </row>
    <row r="4165" spans="2:11" ht="16.5" x14ac:dyDescent="0.2">
      <c r="B4165" s="33" t="s">
        <v>5107</v>
      </c>
      <c r="C4165" s="33" t="s">
        <v>1063</v>
      </c>
      <c r="D4165" s="35">
        <f>SUMIFS(D4166:D9015,K4166:K9015,"0",B4166:B9015,"5 1 1 3 4 12 31111 6 M59 95000 000139*")-SUMIFS(E4166:E9015,K4166:K9015,"0",B4166:B9015,"5 1 1 3 4 12 31111 6 M59 95000 000139*")</f>
        <v>0</v>
      </c>
      <c r="E4165"/>
      <c r="F4165" s="35">
        <f>SUMIFS(F4166:F9015,K4166:K9015,"0",B4166:B9015,"5 1 1 3 4 12 31111 6 M59 95000 000139*")</f>
        <v>19666.45</v>
      </c>
      <c r="G4165" s="35">
        <f>SUMIFS(G4166:G9015,K4166:K9015,"0",B4166:B9015,"5 1 1 3 4 12 31111 6 M59 95000 000139*")</f>
        <v>0</v>
      </c>
      <c r="H4165" s="35">
        <f t="shared" si="66"/>
        <v>19666.45</v>
      </c>
      <c r="I4165" s="35"/>
      <c r="K4165" t="s">
        <v>15</v>
      </c>
    </row>
    <row r="4166" spans="2:11" ht="24.75" x14ac:dyDescent="0.2">
      <c r="B4166" s="33" t="s">
        <v>5108</v>
      </c>
      <c r="C4166" s="33" t="s">
        <v>3671</v>
      </c>
      <c r="D4166" s="35">
        <f>SUMIFS(D4167:D9015,K4167:K9015,"0",B4167:B9015,"5 1 1 3 4 12 31111 6 M59 95000 000139 0000L*")-SUMIFS(E4167:E9015,K4167:K9015,"0",B4167:B9015,"5 1 1 3 4 12 31111 6 M59 95000 000139 0000L*")</f>
        <v>0</v>
      </c>
      <c r="E4166"/>
      <c r="F4166" s="35">
        <f>SUMIFS(F4167:F9015,K4167:K9015,"0",B4167:B9015,"5 1 1 3 4 12 31111 6 M59 95000 000139 0000L*")</f>
        <v>19666.45</v>
      </c>
      <c r="G4166" s="35">
        <f>SUMIFS(G4167:G9015,K4167:K9015,"0",B4167:B9015,"5 1 1 3 4 12 31111 6 M59 95000 000139 0000L*")</f>
        <v>0</v>
      </c>
      <c r="H4166" s="35">
        <f t="shared" si="66"/>
        <v>19666.45</v>
      </c>
      <c r="I4166" s="35"/>
      <c r="K4166" t="s">
        <v>15</v>
      </c>
    </row>
    <row r="4167" spans="2:11" ht="24.75" x14ac:dyDescent="0.2">
      <c r="B4167" s="33" t="s">
        <v>5109</v>
      </c>
      <c r="C4167" s="33" t="s">
        <v>282</v>
      </c>
      <c r="D4167" s="35">
        <f>SUMIFS(D4168:D9015,K4168:K9015,"0",B4168:B9015,"5 1 1 3 4 12 31111 6 M59 95000 000139 0000L 00001*")-SUMIFS(E4168:E9015,K4168:K9015,"0",B4168:B9015,"5 1 1 3 4 12 31111 6 M59 95000 000139 0000L 00001*")</f>
        <v>0</v>
      </c>
      <c r="E4167"/>
      <c r="F4167" s="35">
        <f>SUMIFS(F4168:F9015,K4168:K9015,"0",B4168:B9015,"5 1 1 3 4 12 31111 6 M59 95000 000139 0000L 00001*")</f>
        <v>19666.45</v>
      </c>
      <c r="G4167" s="35">
        <f>SUMIFS(G4168:G9015,K4168:K9015,"0",B4168:B9015,"5 1 1 3 4 12 31111 6 M59 95000 000139 0000L 00001*")</f>
        <v>0</v>
      </c>
      <c r="H4167" s="35">
        <f t="shared" si="66"/>
        <v>19666.45</v>
      </c>
      <c r="I4167" s="35"/>
      <c r="K4167" t="s">
        <v>15</v>
      </c>
    </row>
    <row r="4168" spans="2:11" ht="24.75" x14ac:dyDescent="0.2">
      <c r="B4168" s="33" t="s">
        <v>5110</v>
      </c>
      <c r="C4168" s="33" t="s">
        <v>4776</v>
      </c>
      <c r="D4168" s="35">
        <f>SUMIFS(D4169:D9015,K4169:K9015,"0",B4169:B9015,"5 1 1 3 4 12 31111 6 M59 95000 000139 0000L 00001 00134*")-SUMIFS(E4169:E9015,K4169:K9015,"0",B4169:B9015,"5 1 1 3 4 12 31111 6 M59 95000 000139 0000L 00001 00134*")</f>
        <v>0</v>
      </c>
      <c r="E4168"/>
      <c r="F4168" s="35">
        <f>SUMIFS(F4169:F9015,K4169:K9015,"0",B4169:B9015,"5 1 1 3 4 12 31111 6 M59 95000 000139 0000L 00001 00134*")</f>
        <v>19666.45</v>
      </c>
      <c r="G4168" s="35">
        <f>SUMIFS(G4169:G9015,K4169:K9015,"0",B4169:B9015,"5 1 1 3 4 12 31111 6 M59 95000 000139 0000L 00001 00134*")</f>
        <v>0</v>
      </c>
      <c r="H4168" s="35">
        <f t="shared" si="66"/>
        <v>19666.45</v>
      </c>
      <c r="I4168" s="35"/>
      <c r="K4168" t="s">
        <v>15</v>
      </c>
    </row>
    <row r="4169" spans="2:11" ht="33" x14ac:dyDescent="0.2">
      <c r="B4169" s="33" t="s">
        <v>5111</v>
      </c>
      <c r="C4169" s="33" t="s">
        <v>1051</v>
      </c>
      <c r="D4169" s="35">
        <f>SUMIFS(D4170:D9015,K4170:K9015,"0",B4170:B9015,"5 1 1 3 4 12 31111 6 M59 95000 000139 0000L 00001 00134 015*")-SUMIFS(E4170:E9015,K4170:K9015,"0",B4170:B9015,"5 1 1 3 4 12 31111 6 M59 95000 000139 0000L 00001 00134 015*")</f>
        <v>0</v>
      </c>
      <c r="E4169"/>
      <c r="F4169" s="35">
        <f>SUMIFS(F4170:F9015,K4170:K9015,"0",B4170:B9015,"5 1 1 3 4 12 31111 6 M59 95000 000139 0000L 00001 00134 015*")</f>
        <v>19666.45</v>
      </c>
      <c r="G4169" s="35">
        <f>SUMIFS(G4170:G9015,K4170:K9015,"0",B4170:B9015,"5 1 1 3 4 12 31111 6 M59 95000 000139 0000L 00001 00134 015*")</f>
        <v>0</v>
      </c>
      <c r="H4169" s="35">
        <f t="shared" si="66"/>
        <v>19666.45</v>
      </c>
      <c r="I4169" s="35"/>
      <c r="K4169" t="s">
        <v>15</v>
      </c>
    </row>
    <row r="4170" spans="2:11" ht="33" x14ac:dyDescent="0.2">
      <c r="B4170" s="33" t="s">
        <v>5112</v>
      </c>
      <c r="C4170" s="33" t="s">
        <v>2927</v>
      </c>
      <c r="D4170" s="35">
        <f>SUMIFS(D4171:D9015,K4171:K9015,"0",B4171:B9015,"5 1 1 3 4 12 31111 6 M59 95000 000139 0000L 00001 00134 015 2111100*")-SUMIFS(E4171:E9015,K4171:K9015,"0",B4171:B9015,"5 1 1 3 4 12 31111 6 M59 95000 000139 0000L 00001 00134 015 2111100*")</f>
        <v>0</v>
      </c>
      <c r="E4170"/>
      <c r="F4170" s="35">
        <f>SUMIFS(F4171:F9015,K4171:K9015,"0",B4171:B9015,"5 1 1 3 4 12 31111 6 M59 95000 000139 0000L 00001 00134 015 2111100*")</f>
        <v>19666.45</v>
      </c>
      <c r="G4170" s="35">
        <f>SUMIFS(G4171:G9015,K4171:K9015,"0",B4171:B9015,"5 1 1 3 4 12 31111 6 M59 95000 000139 0000L 00001 00134 015 2111100*")</f>
        <v>0</v>
      </c>
      <c r="H4170" s="35">
        <f t="shared" si="66"/>
        <v>19666.45</v>
      </c>
      <c r="I4170" s="35"/>
      <c r="K4170" t="s">
        <v>15</v>
      </c>
    </row>
    <row r="4171" spans="2:11" ht="33" x14ac:dyDescent="0.2">
      <c r="B4171" s="33" t="s">
        <v>5113</v>
      </c>
      <c r="C4171" s="33" t="s">
        <v>660</v>
      </c>
      <c r="D4171" s="35">
        <f>SUMIFS(D4172:D9015,K4172:K9015,"0",B4172:B9015,"5 1 1 3 4 12 31111 6 M59 95000 000139 0000L 00001 00134 015 2111100 2024*")-SUMIFS(E4172:E9015,K4172:K9015,"0",B4172:B9015,"5 1 1 3 4 12 31111 6 M59 95000 000139 0000L 00001 00134 015 2111100 2024*")</f>
        <v>0</v>
      </c>
      <c r="E4171"/>
      <c r="F4171" s="35">
        <f>SUMIFS(F4172:F9015,K4172:K9015,"0",B4172:B9015,"5 1 1 3 4 12 31111 6 M59 95000 000139 0000L 00001 00134 015 2111100 2024*")</f>
        <v>19666.45</v>
      </c>
      <c r="G4171" s="35">
        <f>SUMIFS(G4172:G9015,K4172:K9015,"0",B4172:B9015,"5 1 1 3 4 12 31111 6 M59 95000 000139 0000L 00001 00134 015 2111100 2024*")</f>
        <v>0</v>
      </c>
      <c r="H4171" s="35">
        <f t="shared" si="66"/>
        <v>19666.45</v>
      </c>
      <c r="I4171" s="35"/>
      <c r="K4171" t="s">
        <v>15</v>
      </c>
    </row>
    <row r="4172" spans="2:11" ht="41.25" x14ac:dyDescent="0.2">
      <c r="B4172" s="33" t="s">
        <v>5114</v>
      </c>
      <c r="C4172" s="33" t="s">
        <v>1056</v>
      </c>
      <c r="D4172" s="35">
        <f>SUMIFS(D4173:D9015,K4173:K9015,"0",B4173:B9015,"5 1 1 3 4 12 31111 6 M59 95000 000139 0000L 00001 00134 015 2111100 2024 CP1AJ437*")-SUMIFS(E4173:E9015,K4173:K9015,"0",B4173:B9015,"5 1 1 3 4 12 31111 6 M59 95000 000139 0000L 00001 00134 015 2111100 2024 CP1AJ437*")</f>
        <v>0</v>
      </c>
      <c r="E4172"/>
      <c r="F4172" s="35">
        <f>SUMIFS(F4173:F9015,K4173:K9015,"0",B4173:B9015,"5 1 1 3 4 12 31111 6 M59 95000 000139 0000L 00001 00134 015 2111100 2024 CP1AJ437*")</f>
        <v>19666.45</v>
      </c>
      <c r="G4172" s="35">
        <f>SUMIFS(G4173:G9015,K4173:K9015,"0",B4173:B9015,"5 1 1 3 4 12 31111 6 M59 95000 000139 0000L 00001 00134 015 2111100 2024 CP1AJ437*")</f>
        <v>0</v>
      </c>
      <c r="H4172" s="35">
        <f t="shared" si="66"/>
        <v>19666.45</v>
      </c>
      <c r="I4172" s="35"/>
      <c r="K4172" t="s">
        <v>15</v>
      </c>
    </row>
    <row r="4173" spans="2:11" ht="41.25" x14ac:dyDescent="0.2">
      <c r="B4173" s="33" t="s">
        <v>5115</v>
      </c>
      <c r="C4173" s="33" t="s">
        <v>282</v>
      </c>
      <c r="D4173" s="35">
        <f>SUMIFS(D4174:D9015,K4174:K9015,"0",B4174:B9015,"5 1 1 3 4 12 31111 6 M59 95000 000139 0000L 00001 00134 015 2111100 2024 CP1AJ437 001*")-SUMIFS(E4174:E9015,K4174:K9015,"0",B4174:B9015,"5 1 1 3 4 12 31111 6 M59 95000 000139 0000L 00001 00134 015 2111100 2024 CP1AJ437 001*")</f>
        <v>0</v>
      </c>
      <c r="E4173"/>
      <c r="F4173" s="35">
        <f>SUMIFS(F4174:F9015,K4174:K9015,"0",B4174:B9015,"5 1 1 3 4 12 31111 6 M59 95000 000139 0000L 00001 00134 015 2111100 2024 CP1AJ437 001*")</f>
        <v>19666.45</v>
      </c>
      <c r="G4173" s="35">
        <f>SUMIFS(G4174:G9015,K4174:K9015,"0",B4174:B9015,"5 1 1 3 4 12 31111 6 M59 95000 000139 0000L 00001 00134 015 2111100 2024 CP1AJ437 001*")</f>
        <v>0</v>
      </c>
      <c r="H4173" s="35">
        <f t="shared" si="66"/>
        <v>19666.45</v>
      </c>
      <c r="I4173" s="35"/>
      <c r="K4173" t="s">
        <v>15</v>
      </c>
    </row>
    <row r="4174" spans="2:11" ht="33" x14ac:dyDescent="0.2">
      <c r="B4174" s="31" t="s">
        <v>5116</v>
      </c>
      <c r="C4174" s="31" t="s">
        <v>4783</v>
      </c>
      <c r="D4174" s="34">
        <v>0</v>
      </c>
      <c r="E4174" s="34"/>
      <c r="F4174" s="34">
        <v>19666.45</v>
      </c>
      <c r="G4174" s="34">
        <v>0</v>
      </c>
      <c r="H4174" s="34">
        <f t="shared" si="66"/>
        <v>19666.45</v>
      </c>
      <c r="I4174" s="34"/>
      <c r="K4174" t="s">
        <v>38</v>
      </c>
    </row>
    <row r="4175" spans="2:11" ht="16.5" x14ac:dyDescent="0.2">
      <c r="B4175" s="33" t="s">
        <v>5117</v>
      </c>
      <c r="C4175" s="33" t="s">
        <v>3681</v>
      </c>
      <c r="D4175" s="35">
        <f>SUMIFS(D4176:D9015,K4176:K9015,"0",B4176:B9015,"5 1 1 3 4 12 31111 6 M59 96000*")-SUMIFS(E4176:E9015,K4176:K9015,"0",B4176:B9015,"5 1 1 3 4 12 31111 6 M59 96000*")</f>
        <v>0</v>
      </c>
      <c r="E4175"/>
      <c r="F4175" s="35">
        <f>SUMIFS(F4176:F9015,K4176:K9015,"0",B4176:B9015,"5 1 1 3 4 12 31111 6 M59 96000*")</f>
        <v>6000</v>
      </c>
      <c r="G4175" s="35">
        <f>SUMIFS(G4176:G9015,K4176:K9015,"0",B4176:B9015,"5 1 1 3 4 12 31111 6 M59 96000*")</f>
        <v>0</v>
      </c>
      <c r="H4175" s="35">
        <f t="shared" si="66"/>
        <v>6000</v>
      </c>
      <c r="I4175" s="35"/>
      <c r="K4175" t="s">
        <v>15</v>
      </c>
    </row>
    <row r="4176" spans="2:11" ht="16.5" x14ac:dyDescent="0.2">
      <c r="B4176" s="33" t="s">
        <v>5118</v>
      </c>
      <c r="C4176" s="33" t="s">
        <v>648</v>
      </c>
      <c r="D4176" s="35">
        <f>SUMIFS(D4177:D9015,K4177:K9015,"0",B4177:B9015,"5 1 1 3 4 12 31111 6 M59 96000 000132*")-SUMIFS(E4177:E9015,K4177:K9015,"0",B4177:B9015,"5 1 1 3 4 12 31111 6 M59 96000 000132*")</f>
        <v>0</v>
      </c>
      <c r="E4176"/>
      <c r="F4176" s="35">
        <f>SUMIFS(F4177:F9015,K4177:K9015,"0",B4177:B9015,"5 1 1 3 4 12 31111 6 M59 96000 000132*")</f>
        <v>6000</v>
      </c>
      <c r="G4176" s="35">
        <f>SUMIFS(G4177:G9015,K4177:K9015,"0",B4177:B9015,"5 1 1 3 4 12 31111 6 M59 96000 000132*")</f>
        <v>0</v>
      </c>
      <c r="H4176" s="35">
        <f t="shared" si="66"/>
        <v>6000</v>
      </c>
      <c r="I4176" s="35"/>
      <c r="K4176" t="s">
        <v>15</v>
      </c>
    </row>
    <row r="4177" spans="2:11" ht="24.75" x14ac:dyDescent="0.2">
      <c r="B4177" s="33" t="s">
        <v>5119</v>
      </c>
      <c r="C4177" s="33" t="s">
        <v>650</v>
      </c>
      <c r="D4177" s="35">
        <f>SUMIFS(D4178:D9015,K4178:K9015,"0",B4178:B9015,"5 1 1 3 4 12 31111 6 M59 96000 000132 0000R*")-SUMIFS(E4178:E9015,K4178:K9015,"0",B4178:B9015,"5 1 1 3 4 12 31111 6 M59 96000 000132 0000R*")</f>
        <v>0</v>
      </c>
      <c r="E4177"/>
      <c r="F4177" s="35">
        <f>SUMIFS(F4178:F9015,K4178:K9015,"0",B4178:B9015,"5 1 1 3 4 12 31111 6 M59 96000 000132 0000R*")</f>
        <v>6000</v>
      </c>
      <c r="G4177" s="35">
        <f>SUMIFS(G4178:G9015,K4178:K9015,"0",B4178:B9015,"5 1 1 3 4 12 31111 6 M59 96000 000132 0000R*")</f>
        <v>0</v>
      </c>
      <c r="H4177" s="35">
        <f t="shared" si="66"/>
        <v>6000</v>
      </c>
      <c r="I4177" s="35"/>
      <c r="K4177" t="s">
        <v>15</v>
      </c>
    </row>
    <row r="4178" spans="2:11" ht="24.75" x14ac:dyDescent="0.2">
      <c r="B4178" s="33" t="s">
        <v>5120</v>
      </c>
      <c r="C4178" s="33" t="s">
        <v>282</v>
      </c>
      <c r="D4178" s="35">
        <f>SUMIFS(D4179:D9015,K4179:K9015,"0",B4179:B9015,"5 1 1 3 4 12 31111 6 M59 96000 000132 0000R 00001*")-SUMIFS(E4179:E9015,K4179:K9015,"0",B4179:B9015,"5 1 1 3 4 12 31111 6 M59 96000 000132 0000R 00001*")</f>
        <v>0</v>
      </c>
      <c r="E4178"/>
      <c r="F4178" s="35">
        <f>SUMIFS(F4179:F9015,K4179:K9015,"0",B4179:B9015,"5 1 1 3 4 12 31111 6 M59 96000 000132 0000R 00001*")</f>
        <v>6000</v>
      </c>
      <c r="G4178" s="35">
        <f>SUMIFS(G4179:G9015,K4179:K9015,"0",B4179:B9015,"5 1 1 3 4 12 31111 6 M59 96000 000132 0000R 00001*")</f>
        <v>0</v>
      </c>
      <c r="H4178" s="35">
        <f t="shared" si="66"/>
        <v>6000</v>
      </c>
      <c r="I4178" s="35"/>
      <c r="K4178" t="s">
        <v>15</v>
      </c>
    </row>
    <row r="4179" spans="2:11" ht="24.75" x14ac:dyDescent="0.2">
      <c r="B4179" s="33" t="s">
        <v>5121</v>
      </c>
      <c r="C4179" s="33" t="s">
        <v>4776</v>
      </c>
      <c r="D4179" s="35">
        <f>SUMIFS(D4180:D9015,K4180:K9015,"0",B4180:B9015,"5 1 1 3 4 12 31111 6 M59 96000 000132 0000R 00001 00134*")-SUMIFS(E4180:E9015,K4180:K9015,"0",B4180:B9015,"5 1 1 3 4 12 31111 6 M59 96000 000132 0000R 00001 00134*")</f>
        <v>0</v>
      </c>
      <c r="E4179"/>
      <c r="F4179" s="35">
        <f>SUMIFS(F4180:F9015,K4180:K9015,"0",B4180:B9015,"5 1 1 3 4 12 31111 6 M59 96000 000132 0000R 00001 00134*")</f>
        <v>6000</v>
      </c>
      <c r="G4179" s="35">
        <f>SUMIFS(G4180:G9015,K4180:K9015,"0",B4180:B9015,"5 1 1 3 4 12 31111 6 M59 96000 000132 0000R 00001 00134*")</f>
        <v>0</v>
      </c>
      <c r="H4179" s="35">
        <f t="shared" si="66"/>
        <v>6000</v>
      </c>
      <c r="I4179" s="35"/>
      <c r="K4179" t="s">
        <v>15</v>
      </c>
    </row>
    <row r="4180" spans="2:11" ht="33" x14ac:dyDescent="0.2">
      <c r="B4180" s="33" t="s">
        <v>5122</v>
      </c>
      <c r="C4180" s="33" t="s">
        <v>1051</v>
      </c>
      <c r="D4180" s="35">
        <f>SUMIFS(D4181:D9015,K4181:K9015,"0",B4181:B9015,"5 1 1 3 4 12 31111 6 M59 96000 000132 0000R 00001 00134 015*")-SUMIFS(E4181:E9015,K4181:K9015,"0",B4181:B9015,"5 1 1 3 4 12 31111 6 M59 96000 000132 0000R 00001 00134 015*")</f>
        <v>0</v>
      </c>
      <c r="E4180"/>
      <c r="F4180" s="35">
        <f>SUMIFS(F4181:F9015,K4181:K9015,"0",B4181:B9015,"5 1 1 3 4 12 31111 6 M59 96000 000132 0000R 00001 00134 015*")</f>
        <v>6000</v>
      </c>
      <c r="G4180" s="35">
        <f>SUMIFS(G4181:G9015,K4181:K9015,"0",B4181:B9015,"5 1 1 3 4 12 31111 6 M59 96000 000132 0000R 00001 00134 015*")</f>
        <v>0</v>
      </c>
      <c r="H4180" s="35">
        <f t="shared" si="66"/>
        <v>6000</v>
      </c>
      <c r="I4180" s="35"/>
      <c r="K4180" t="s">
        <v>15</v>
      </c>
    </row>
    <row r="4181" spans="2:11" ht="33" x14ac:dyDescent="0.2">
      <c r="B4181" s="33" t="s">
        <v>5123</v>
      </c>
      <c r="C4181" s="33" t="s">
        <v>2927</v>
      </c>
      <c r="D4181" s="35">
        <f>SUMIFS(D4182:D9015,K4182:K9015,"0",B4182:B9015,"5 1 1 3 4 12 31111 6 M59 96000 000132 0000R 00001 00134 015 2111100*")-SUMIFS(E4182:E9015,K4182:K9015,"0",B4182:B9015,"5 1 1 3 4 12 31111 6 M59 96000 000132 0000R 00001 00134 015 2111100*")</f>
        <v>0</v>
      </c>
      <c r="E4181"/>
      <c r="F4181" s="35">
        <f>SUMIFS(F4182:F9015,K4182:K9015,"0",B4182:B9015,"5 1 1 3 4 12 31111 6 M59 96000 000132 0000R 00001 00134 015 2111100*")</f>
        <v>6000</v>
      </c>
      <c r="G4181" s="35">
        <f>SUMIFS(G4182:G9015,K4182:K9015,"0",B4182:B9015,"5 1 1 3 4 12 31111 6 M59 96000 000132 0000R 00001 00134 015 2111100*")</f>
        <v>0</v>
      </c>
      <c r="H4181" s="35">
        <f t="shared" si="66"/>
        <v>6000</v>
      </c>
      <c r="I4181" s="35"/>
      <c r="K4181" t="s">
        <v>15</v>
      </c>
    </row>
    <row r="4182" spans="2:11" ht="33" x14ac:dyDescent="0.2">
      <c r="B4182" s="33" t="s">
        <v>5124</v>
      </c>
      <c r="C4182" s="33" t="s">
        <v>660</v>
      </c>
      <c r="D4182" s="35">
        <f>SUMIFS(D4183:D9015,K4183:K9015,"0",B4183:B9015,"5 1 1 3 4 12 31111 6 M59 96000 000132 0000R 00001 00134 015 2111100 2024*")-SUMIFS(E4183:E9015,K4183:K9015,"0",B4183:B9015,"5 1 1 3 4 12 31111 6 M59 96000 000132 0000R 00001 00134 015 2111100 2024*")</f>
        <v>0</v>
      </c>
      <c r="E4182"/>
      <c r="F4182" s="35">
        <f>SUMIFS(F4183:F9015,K4183:K9015,"0",B4183:B9015,"5 1 1 3 4 12 31111 6 M59 96000 000132 0000R 00001 00134 015 2111100 2024*")</f>
        <v>6000</v>
      </c>
      <c r="G4182" s="35">
        <f>SUMIFS(G4183:G9015,K4183:K9015,"0",B4183:B9015,"5 1 1 3 4 12 31111 6 M59 96000 000132 0000R 00001 00134 015 2111100 2024*")</f>
        <v>0</v>
      </c>
      <c r="H4182" s="35">
        <f t="shared" si="66"/>
        <v>6000</v>
      </c>
      <c r="I4182" s="35"/>
      <c r="K4182" t="s">
        <v>15</v>
      </c>
    </row>
    <row r="4183" spans="2:11" ht="41.25" x14ac:dyDescent="0.2">
      <c r="B4183" s="33" t="s">
        <v>5125</v>
      </c>
      <c r="C4183" s="33" t="s">
        <v>662</v>
      </c>
      <c r="D4183" s="35">
        <f>SUMIFS(D4184:D9015,K4184:K9015,"0",B4184:B9015,"5 1 1 3 4 12 31111 6 M59 96000 000132 0000R 00001 00134 015 2111100 2024 CP1PA379*")-SUMIFS(E4184:E9015,K4184:K9015,"0",B4184:B9015,"5 1 1 3 4 12 31111 6 M59 96000 000132 0000R 00001 00134 015 2111100 2024 CP1PA379*")</f>
        <v>0</v>
      </c>
      <c r="E4183"/>
      <c r="F4183" s="35">
        <f>SUMIFS(F4184:F9015,K4184:K9015,"0",B4184:B9015,"5 1 1 3 4 12 31111 6 M59 96000 000132 0000R 00001 00134 015 2111100 2024 CP1PA379*")</f>
        <v>6000</v>
      </c>
      <c r="G4183" s="35">
        <f>SUMIFS(G4184:G9015,K4184:K9015,"0",B4184:B9015,"5 1 1 3 4 12 31111 6 M59 96000 000132 0000R 00001 00134 015 2111100 2024 CP1PA379*")</f>
        <v>0</v>
      </c>
      <c r="H4183" s="35">
        <f t="shared" si="66"/>
        <v>6000</v>
      </c>
      <c r="I4183" s="35"/>
      <c r="K4183" t="s">
        <v>15</v>
      </c>
    </row>
    <row r="4184" spans="2:11" ht="41.25" x14ac:dyDescent="0.2">
      <c r="B4184" s="33" t="s">
        <v>5126</v>
      </c>
      <c r="C4184" s="33" t="s">
        <v>282</v>
      </c>
      <c r="D4184" s="35">
        <f>SUMIFS(D4185:D9015,K4185:K9015,"0",B4185:B9015,"5 1 1 3 4 12 31111 6 M59 96000 000132 0000R 00001 00134 015 2111100 2024 CP1PA379 001*")-SUMIFS(E4185:E9015,K4185:K9015,"0",B4185:B9015,"5 1 1 3 4 12 31111 6 M59 96000 000132 0000R 00001 00134 015 2111100 2024 CP1PA379 001*")</f>
        <v>0</v>
      </c>
      <c r="E4184"/>
      <c r="F4184" s="35">
        <f>SUMIFS(F4185:F9015,K4185:K9015,"0",B4185:B9015,"5 1 1 3 4 12 31111 6 M59 96000 000132 0000R 00001 00134 015 2111100 2024 CP1PA379 001*")</f>
        <v>6000</v>
      </c>
      <c r="G4184" s="35">
        <f>SUMIFS(G4185:G9015,K4185:K9015,"0",B4185:B9015,"5 1 1 3 4 12 31111 6 M59 96000 000132 0000R 00001 00134 015 2111100 2024 CP1PA379 001*")</f>
        <v>0</v>
      </c>
      <c r="H4184" s="35">
        <f t="shared" si="66"/>
        <v>6000</v>
      </c>
      <c r="I4184" s="35"/>
      <c r="K4184" t="s">
        <v>15</v>
      </c>
    </row>
    <row r="4185" spans="2:11" ht="41.25" x14ac:dyDescent="0.2">
      <c r="B4185" s="31" t="s">
        <v>5127</v>
      </c>
      <c r="C4185" s="31" t="s">
        <v>4840</v>
      </c>
      <c r="D4185" s="34">
        <v>0</v>
      </c>
      <c r="E4185" s="34"/>
      <c r="F4185" s="34">
        <v>6000</v>
      </c>
      <c r="G4185" s="34">
        <v>0</v>
      </c>
      <c r="H4185" s="34">
        <f t="shared" si="66"/>
        <v>6000</v>
      </c>
      <c r="I4185" s="34"/>
      <c r="K4185" t="s">
        <v>38</v>
      </c>
    </row>
    <row r="4186" spans="2:11" ht="16.5" x14ac:dyDescent="0.2">
      <c r="B4186" s="33" t="s">
        <v>5128</v>
      </c>
      <c r="C4186" s="33" t="s">
        <v>3706</v>
      </c>
      <c r="D4186" s="35">
        <f>SUMIFS(D4187:D9015,K4187:K9015,"0",B4187:B9015,"5 1 1 3 4 12 31111 6 M59 96200*")-SUMIFS(E4187:E9015,K4187:K9015,"0",B4187:B9015,"5 1 1 3 4 12 31111 6 M59 96200*")</f>
        <v>0</v>
      </c>
      <c r="E4186"/>
      <c r="F4186" s="35">
        <f>SUMIFS(F4187:F9015,K4187:K9015,"0",B4187:B9015,"5 1 1 3 4 12 31111 6 M59 96200*")</f>
        <v>12000</v>
      </c>
      <c r="G4186" s="35">
        <f>SUMIFS(G4187:G9015,K4187:K9015,"0",B4187:B9015,"5 1 1 3 4 12 31111 6 M59 96200*")</f>
        <v>0</v>
      </c>
      <c r="H4186" s="35">
        <f t="shared" si="66"/>
        <v>12000</v>
      </c>
      <c r="I4186" s="35"/>
      <c r="K4186" t="s">
        <v>15</v>
      </c>
    </row>
    <row r="4187" spans="2:11" ht="16.5" x14ac:dyDescent="0.2">
      <c r="B4187" s="33" t="s">
        <v>5129</v>
      </c>
      <c r="C4187" s="33" t="s">
        <v>648</v>
      </c>
      <c r="D4187" s="35">
        <f>SUMIFS(D4188:D9015,K4188:K9015,"0",B4188:B9015,"5 1 1 3 4 12 31111 6 M59 96200 000132*")-SUMIFS(E4188:E9015,K4188:K9015,"0",B4188:B9015,"5 1 1 3 4 12 31111 6 M59 96200 000132*")</f>
        <v>0</v>
      </c>
      <c r="E4187"/>
      <c r="F4187" s="35">
        <f>SUMIFS(F4188:F9015,K4188:K9015,"0",B4188:B9015,"5 1 1 3 4 12 31111 6 M59 96200 000132*")</f>
        <v>12000</v>
      </c>
      <c r="G4187" s="35">
        <f>SUMIFS(G4188:G9015,K4188:K9015,"0",B4188:B9015,"5 1 1 3 4 12 31111 6 M59 96200 000132*")</f>
        <v>0</v>
      </c>
      <c r="H4187" s="35">
        <f t="shared" si="66"/>
        <v>12000</v>
      </c>
      <c r="I4187" s="35"/>
      <c r="K4187" t="s">
        <v>15</v>
      </c>
    </row>
    <row r="4188" spans="2:11" ht="24.75" x14ac:dyDescent="0.2">
      <c r="B4188" s="33" t="s">
        <v>5130</v>
      </c>
      <c r="C4188" s="33" t="s">
        <v>650</v>
      </c>
      <c r="D4188" s="35">
        <f>SUMIFS(D4189:D9015,K4189:K9015,"0",B4189:B9015,"5 1 1 3 4 12 31111 6 M59 96200 000132 0000R*")-SUMIFS(E4189:E9015,K4189:K9015,"0",B4189:B9015,"5 1 1 3 4 12 31111 6 M59 96200 000132 0000R*")</f>
        <v>0</v>
      </c>
      <c r="E4188"/>
      <c r="F4188" s="35">
        <f>SUMIFS(F4189:F9015,K4189:K9015,"0",B4189:B9015,"5 1 1 3 4 12 31111 6 M59 96200 000132 0000R*")</f>
        <v>12000</v>
      </c>
      <c r="G4188" s="35">
        <f>SUMIFS(G4189:G9015,K4189:K9015,"0",B4189:B9015,"5 1 1 3 4 12 31111 6 M59 96200 000132 0000R*")</f>
        <v>0</v>
      </c>
      <c r="H4188" s="35">
        <f t="shared" si="66"/>
        <v>12000</v>
      </c>
      <c r="I4188" s="35"/>
      <c r="K4188" t="s">
        <v>15</v>
      </c>
    </row>
    <row r="4189" spans="2:11" ht="24.75" x14ac:dyDescent="0.2">
      <c r="B4189" s="33" t="s">
        <v>5131</v>
      </c>
      <c r="C4189" s="33" t="s">
        <v>282</v>
      </c>
      <c r="D4189" s="35">
        <f>SUMIFS(D4190:D9015,K4190:K9015,"0",B4190:B9015,"5 1 1 3 4 12 31111 6 M59 96200 000132 0000R 00001*")-SUMIFS(E4190:E9015,K4190:K9015,"0",B4190:B9015,"5 1 1 3 4 12 31111 6 M59 96200 000132 0000R 00001*")</f>
        <v>0</v>
      </c>
      <c r="E4189"/>
      <c r="F4189" s="35">
        <f>SUMIFS(F4190:F9015,K4190:K9015,"0",B4190:B9015,"5 1 1 3 4 12 31111 6 M59 96200 000132 0000R 00001*")</f>
        <v>12000</v>
      </c>
      <c r="G4189" s="35">
        <f>SUMIFS(G4190:G9015,K4190:K9015,"0",B4190:B9015,"5 1 1 3 4 12 31111 6 M59 96200 000132 0000R 00001*")</f>
        <v>0</v>
      </c>
      <c r="H4189" s="35">
        <f t="shared" si="66"/>
        <v>12000</v>
      </c>
      <c r="I4189" s="35"/>
      <c r="K4189" t="s">
        <v>15</v>
      </c>
    </row>
    <row r="4190" spans="2:11" ht="24.75" x14ac:dyDescent="0.2">
      <c r="B4190" s="33" t="s">
        <v>5132</v>
      </c>
      <c r="C4190" s="33" t="s">
        <v>4776</v>
      </c>
      <c r="D4190" s="35">
        <f>SUMIFS(D4191:D9015,K4191:K9015,"0",B4191:B9015,"5 1 1 3 4 12 31111 6 M59 96200 000132 0000R 00001 00134*")-SUMIFS(E4191:E9015,K4191:K9015,"0",B4191:B9015,"5 1 1 3 4 12 31111 6 M59 96200 000132 0000R 00001 00134*")</f>
        <v>0</v>
      </c>
      <c r="E4190"/>
      <c r="F4190" s="35">
        <f>SUMIFS(F4191:F9015,K4191:K9015,"0",B4191:B9015,"5 1 1 3 4 12 31111 6 M59 96200 000132 0000R 00001 00134*")</f>
        <v>12000</v>
      </c>
      <c r="G4190" s="35">
        <f>SUMIFS(G4191:G9015,K4191:K9015,"0",B4191:B9015,"5 1 1 3 4 12 31111 6 M59 96200 000132 0000R 00001 00134*")</f>
        <v>0</v>
      </c>
      <c r="H4190" s="35">
        <f t="shared" si="66"/>
        <v>12000</v>
      </c>
      <c r="I4190" s="35"/>
      <c r="K4190" t="s">
        <v>15</v>
      </c>
    </row>
    <row r="4191" spans="2:11" ht="33" x14ac:dyDescent="0.2">
      <c r="B4191" s="33" t="s">
        <v>5133</v>
      </c>
      <c r="C4191" s="33" t="s">
        <v>1051</v>
      </c>
      <c r="D4191" s="35">
        <f>SUMIFS(D4192:D9015,K4192:K9015,"0",B4192:B9015,"5 1 1 3 4 12 31111 6 M59 96200 000132 0000R 00001 00134 015*")-SUMIFS(E4192:E9015,K4192:K9015,"0",B4192:B9015,"5 1 1 3 4 12 31111 6 M59 96200 000132 0000R 00001 00134 015*")</f>
        <v>0</v>
      </c>
      <c r="E4191"/>
      <c r="F4191" s="35">
        <f>SUMIFS(F4192:F9015,K4192:K9015,"0",B4192:B9015,"5 1 1 3 4 12 31111 6 M59 96200 000132 0000R 00001 00134 015*")</f>
        <v>12000</v>
      </c>
      <c r="G4191" s="35">
        <f>SUMIFS(G4192:G9015,K4192:K9015,"0",B4192:B9015,"5 1 1 3 4 12 31111 6 M59 96200 000132 0000R 00001 00134 015*")</f>
        <v>0</v>
      </c>
      <c r="H4191" s="35">
        <f t="shared" si="66"/>
        <v>12000</v>
      </c>
      <c r="I4191" s="35"/>
      <c r="K4191" t="s">
        <v>15</v>
      </c>
    </row>
    <row r="4192" spans="2:11" ht="33" x14ac:dyDescent="0.2">
      <c r="B4192" s="33" t="s">
        <v>5134</v>
      </c>
      <c r="C4192" s="33" t="s">
        <v>2927</v>
      </c>
      <c r="D4192" s="35">
        <f>SUMIFS(D4193:D9015,K4193:K9015,"0",B4193:B9015,"5 1 1 3 4 12 31111 6 M59 96200 000132 0000R 00001 00134 015 2111100*")-SUMIFS(E4193:E9015,K4193:K9015,"0",B4193:B9015,"5 1 1 3 4 12 31111 6 M59 96200 000132 0000R 00001 00134 015 2111100*")</f>
        <v>0</v>
      </c>
      <c r="E4192"/>
      <c r="F4192" s="35">
        <f>SUMIFS(F4193:F9015,K4193:K9015,"0",B4193:B9015,"5 1 1 3 4 12 31111 6 M59 96200 000132 0000R 00001 00134 015 2111100*")</f>
        <v>12000</v>
      </c>
      <c r="G4192" s="35">
        <f>SUMIFS(G4193:G9015,K4193:K9015,"0",B4193:B9015,"5 1 1 3 4 12 31111 6 M59 96200 000132 0000R 00001 00134 015 2111100*")</f>
        <v>0</v>
      </c>
      <c r="H4192" s="35">
        <f t="shared" si="66"/>
        <v>12000</v>
      </c>
      <c r="I4192" s="35"/>
      <c r="K4192" t="s">
        <v>15</v>
      </c>
    </row>
    <row r="4193" spans="2:11" ht="33" x14ac:dyDescent="0.2">
      <c r="B4193" s="33" t="s">
        <v>5135</v>
      </c>
      <c r="C4193" s="33" t="s">
        <v>660</v>
      </c>
      <c r="D4193" s="35">
        <f>SUMIFS(D4194:D9015,K4194:K9015,"0",B4194:B9015,"5 1 1 3 4 12 31111 6 M59 96200 000132 0000R 00001 00134 015 2111100 2024*")-SUMIFS(E4194:E9015,K4194:K9015,"0",B4194:B9015,"5 1 1 3 4 12 31111 6 M59 96200 000132 0000R 00001 00134 015 2111100 2024*")</f>
        <v>0</v>
      </c>
      <c r="E4193"/>
      <c r="F4193" s="35">
        <f>SUMIFS(F4194:F9015,K4194:K9015,"0",B4194:B9015,"5 1 1 3 4 12 31111 6 M59 96200 000132 0000R 00001 00134 015 2111100 2024*")</f>
        <v>12000</v>
      </c>
      <c r="G4193" s="35">
        <f>SUMIFS(G4194:G9015,K4194:K9015,"0",B4194:B9015,"5 1 1 3 4 12 31111 6 M59 96200 000132 0000R 00001 00134 015 2111100 2024*")</f>
        <v>0</v>
      </c>
      <c r="H4193" s="35">
        <f t="shared" si="66"/>
        <v>12000</v>
      </c>
      <c r="I4193" s="35"/>
      <c r="K4193" t="s">
        <v>15</v>
      </c>
    </row>
    <row r="4194" spans="2:11" ht="41.25" x14ac:dyDescent="0.2">
      <c r="B4194" s="33" t="s">
        <v>5136</v>
      </c>
      <c r="C4194" s="33" t="s">
        <v>662</v>
      </c>
      <c r="D4194" s="35">
        <f>SUMIFS(D4195:D9015,K4195:K9015,"0",B4195:B9015,"5 1 1 3 4 12 31111 6 M59 96200 000132 0000R 00001 00134 015 2111100 2024 CP1AL423*")-SUMIFS(E4195:E9015,K4195:K9015,"0",B4195:B9015,"5 1 1 3 4 12 31111 6 M59 96200 000132 0000R 00001 00134 015 2111100 2024 CP1AL423*")</f>
        <v>0</v>
      </c>
      <c r="E4194"/>
      <c r="F4194" s="35">
        <f>SUMIFS(F4195:F9015,K4195:K9015,"0",B4195:B9015,"5 1 1 3 4 12 31111 6 M59 96200 000132 0000R 00001 00134 015 2111100 2024 CP1AL423*")</f>
        <v>12000</v>
      </c>
      <c r="G4194" s="35">
        <f>SUMIFS(G4195:G9015,K4195:K9015,"0",B4195:B9015,"5 1 1 3 4 12 31111 6 M59 96200 000132 0000R 00001 00134 015 2111100 2024 CP1AL423*")</f>
        <v>0</v>
      </c>
      <c r="H4194" s="35">
        <f t="shared" si="66"/>
        <v>12000</v>
      </c>
      <c r="I4194" s="35"/>
      <c r="K4194" t="s">
        <v>15</v>
      </c>
    </row>
    <row r="4195" spans="2:11" ht="41.25" x14ac:dyDescent="0.2">
      <c r="B4195" s="33" t="s">
        <v>5137</v>
      </c>
      <c r="C4195" s="33" t="s">
        <v>282</v>
      </c>
      <c r="D4195" s="35">
        <f>SUMIFS(D4196:D9015,K4196:K9015,"0",B4196:B9015,"5 1 1 3 4 12 31111 6 M59 96200 000132 0000R 00001 00134 015 2111100 2024 CP1AL423 001*")-SUMIFS(E4196:E9015,K4196:K9015,"0",B4196:B9015,"5 1 1 3 4 12 31111 6 M59 96200 000132 0000R 00001 00134 015 2111100 2024 CP1AL423 001*")</f>
        <v>0</v>
      </c>
      <c r="E4195"/>
      <c r="F4195" s="35">
        <f>SUMIFS(F4196:F9015,K4196:K9015,"0",B4196:B9015,"5 1 1 3 4 12 31111 6 M59 96200 000132 0000R 00001 00134 015 2111100 2024 CP1AL423 001*")</f>
        <v>12000</v>
      </c>
      <c r="G4195" s="35">
        <f>SUMIFS(G4196:G9015,K4196:K9015,"0",B4196:B9015,"5 1 1 3 4 12 31111 6 M59 96200 000132 0000R 00001 00134 015 2111100 2024 CP1AL423 001*")</f>
        <v>0</v>
      </c>
      <c r="H4195" s="35">
        <f t="shared" si="66"/>
        <v>12000</v>
      </c>
      <c r="I4195" s="35"/>
      <c r="K4195" t="s">
        <v>15</v>
      </c>
    </row>
    <row r="4196" spans="2:11" ht="41.25" x14ac:dyDescent="0.2">
      <c r="B4196" s="31" t="s">
        <v>5138</v>
      </c>
      <c r="C4196" s="31" t="s">
        <v>4840</v>
      </c>
      <c r="D4196" s="34">
        <v>0</v>
      </c>
      <c r="E4196" s="34"/>
      <c r="F4196" s="34">
        <v>12000</v>
      </c>
      <c r="G4196" s="34">
        <v>0</v>
      </c>
      <c r="H4196" s="34">
        <f t="shared" si="66"/>
        <v>12000</v>
      </c>
      <c r="I4196" s="34"/>
      <c r="K4196" t="s">
        <v>38</v>
      </c>
    </row>
    <row r="4197" spans="2:11" ht="16.5" x14ac:dyDescent="0.2">
      <c r="B4197" s="33" t="s">
        <v>5139</v>
      </c>
      <c r="C4197" s="33" t="s">
        <v>1308</v>
      </c>
      <c r="D4197" s="35">
        <f>SUMIFS(D4198:D9015,K4198:K9015,"0",B4198:B9015,"5 1 1 3 4 12 31111 6 M59 96300*")-SUMIFS(E4198:E9015,K4198:K9015,"0",B4198:B9015,"5 1 1 3 4 12 31111 6 M59 96300*")</f>
        <v>0</v>
      </c>
      <c r="E4197"/>
      <c r="F4197" s="35">
        <f>SUMIFS(F4198:F9015,K4198:K9015,"0",B4198:B9015,"5 1 1 3 4 12 31111 6 M59 96300*")</f>
        <v>100965.38</v>
      </c>
      <c r="G4197" s="35">
        <f>SUMIFS(G4198:G9015,K4198:K9015,"0",B4198:B9015,"5 1 1 3 4 12 31111 6 M59 96300*")</f>
        <v>0</v>
      </c>
      <c r="H4197" s="35">
        <f t="shared" si="66"/>
        <v>100965.38</v>
      </c>
      <c r="I4197" s="35"/>
      <c r="K4197" t="s">
        <v>15</v>
      </c>
    </row>
    <row r="4198" spans="2:11" ht="16.5" x14ac:dyDescent="0.2">
      <c r="B4198" s="33" t="s">
        <v>5140</v>
      </c>
      <c r="C4198" s="33" t="s">
        <v>1310</v>
      </c>
      <c r="D4198" s="35">
        <f>SUMIFS(D4199:D9015,K4199:K9015,"0",B4199:B9015,"5 1 1 3 4 12 31111 6 M59 96300 000211*")-SUMIFS(E4199:E9015,K4199:K9015,"0",B4199:B9015,"5 1 1 3 4 12 31111 6 M59 96300 000211*")</f>
        <v>0</v>
      </c>
      <c r="E4198"/>
      <c r="F4198" s="35">
        <f>SUMIFS(F4199:F9015,K4199:K9015,"0",B4199:B9015,"5 1 1 3 4 12 31111 6 M59 96300 000211*")</f>
        <v>100965.38</v>
      </c>
      <c r="G4198" s="35">
        <f>SUMIFS(G4199:G9015,K4199:K9015,"0",B4199:B9015,"5 1 1 3 4 12 31111 6 M59 96300 000211*")</f>
        <v>0</v>
      </c>
      <c r="H4198" s="35">
        <f t="shared" si="66"/>
        <v>100965.38</v>
      </c>
      <c r="I4198" s="35"/>
      <c r="K4198" t="s">
        <v>15</v>
      </c>
    </row>
    <row r="4199" spans="2:11" ht="24.75" x14ac:dyDescent="0.2">
      <c r="B4199" s="33" t="s">
        <v>5141</v>
      </c>
      <c r="C4199" s="33" t="s">
        <v>1065</v>
      </c>
      <c r="D4199" s="35">
        <f>SUMIFS(D4200:D9015,K4200:K9015,"0",B4200:B9015,"5 1 1 3 4 12 31111 6 M59 96300 000211 0000E*")-SUMIFS(E4200:E9015,K4200:K9015,"0",B4200:B9015,"5 1 1 3 4 12 31111 6 M59 96300 000211 0000E*")</f>
        <v>0</v>
      </c>
      <c r="E4199"/>
      <c r="F4199" s="35">
        <f>SUMIFS(F4200:F9015,K4200:K9015,"0",B4200:B9015,"5 1 1 3 4 12 31111 6 M59 96300 000211 0000E*")</f>
        <v>100965.38</v>
      </c>
      <c r="G4199" s="35">
        <f>SUMIFS(G4200:G9015,K4200:K9015,"0",B4200:B9015,"5 1 1 3 4 12 31111 6 M59 96300 000211 0000E*")</f>
        <v>0</v>
      </c>
      <c r="H4199" s="35">
        <f t="shared" si="66"/>
        <v>100965.38</v>
      </c>
      <c r="I4199" s="35"/>
      <c r="K4199" t="s">
        <v>15</v>
      </c>
    </row>
    <row r="4200" spans="2:11" ht="24.75" x14ac:dyDescent="0.2">
      <c r="B4200" s="33" t="s">
        <v>5142</v>
      </c>
      <c r="C4200" s="33" t="s">
        <v>282</v>
      </c>
      <c r="D4200" s="35">
        <f>SUMIFS(D4201:D9015,K4201:K9015,"0",B4201:B9015,"5 1 1 3 4 12 31111 6 M59 96300 000211 0000E 00001*")-SUMIFS(E4201:E9015,K4201:K9015,"0",B4201:B9015,"5 1 1 3 4 12 31111 6 M59 96300 000211 0000E 00001*")</f>
        <v>0</v>
      </c>
      <c r="E4200"/>
      <c r="F4200" s="35">
        <f>SUMIFS(F4201:F9015,K4201:K9015,"0",B4201:B9015,"5 1 1 3 4 12 31111 6 M59 96300 000211 0000E 00001*")</f>
        <v>100965.38</v>
      </c>
      <c r="G4200" s="35">
        <f>SUMIFS(G4201:G9015,K4201:K9015,"0",B4201:B9015,"5 1 1 3 4 12 31111 6 M59 96300 000211 0000E 00001*")</f>
        <v>0</v>
      </c>
      <c r="H4200" s="35">
        <f t="shared" si="66"/>
        <v>100965.38</v>
      </c>
      <c r="I4200" s="35"/>
      <c r="K4200" t="s">
        <v>15</v>
      </c>
    </row>
    <row r="4201" spans="2:11" ht="24.75" x14ac:dyDescent="0.2">
      <c r="B4201" s="33" t="s">
        <v>5143</v>
      </c>
      <c r="C4201" s="33" t="s">
        <v>4776</v>
      </c>
      <c r="D4201" s="35">
        <f>SUMIFS(D4202:D9015,K4202:K9015,"0",B4202:B9015,"5 1 1 3 4 12 31111 6 M59 96300 000211 0000E 00001 00134*")-SUMIFS(E4202:E9015,K4202:K9015,"0",B4202:B9015,"5 1 1 3 4 12 31111 6 M59 96300 000211 0000E 00001 00134*")</f>
        <v>0</v>
      </c>
      <c r="E4201"/>
      <c r="F4201" s="35">
        <f>SUMIFS(F4202:F9015,K4202:K9015,"0",B4202:B9015,"5 1 1 3 4 12 31111 6 M59 96300 000211 0000E 00001 00134*")</f>
        <v>100965.38</v>
      </c>
      <c r="G4201" s="35">
        <f>SUMIFS(G4202:G9015,K4202:K9015,"0",B4202:B9015,"5 1 1 3 4 12 31111 6 M59 96300 000211 0000E 00001 00134*")</f>
        <v>0</v>
      </c>
      <c r="H4201" s="35">
        <f t="shared" si="66"/>
        <v>100965.38</v>
      </c>
      <c r="I4201" s="35"/>
      <c r="K4201" t="s">
        <v>15</v>
      </c>
    </row>
    <row r="4202" spans="2:11" ht="33" x14ac:dyDescent="0.2">
      <c r="B4202" s="33" t="s">
        <v>5144</v>
      </c>
      <c r="C4202" s="33" t="s">
        <v>1051</v>
      </c>
      <c r="D4202" s="35">
        <f>SUMIFS(D4203:D9015,K4203:K9015,"0",B4203:B9015,"5 1 1 3 4 12 31111 6 M59 96300 000211 0000E 00001 00134 015*")-SUMIFS(E4203:E9015,K4203:K9015,"0",B4203:B9015,"5 1 1 3 4 12 31111 6 M59 96300 000211 0000E 00001 00134 015*")</f>
        <v>0</v>
      </c>
      <c r="E4202"/>
      <c r="F4202" s="35">
        <f>SUMIFS(F4203:F9015,K4203:K9015,"0",B4203:B9015,"5 1 1 3 4 12 31111 6 M59 96300 000211 0000E 00001 00134 015*")</f>
        <v>100965.38</v>
      </c>
      <c r="G4202" s="35">
        <f>SUMIFS(G4203:G9015,K4203:K9015,"0",B4203:B9015,"5 1 1 3 4 12 31111 6 M59 96300 000211 0000E 00001 00134 015*")</f>
        <v>0</v>
      </c>
      <c r="H4202" s="35">
        <f t="shared" si="66"/>
        <v>100965.38</v>
      </c>
      <c r="I4202" s="35"/>
      <c r="K4202" t="s">
        <v>15</v>
      </c>
    </row>
    <row r="4203" spans="2:11" ht="33" x14ac:dyDescent="0.2">
      <c r="B4203" s="33" t="s">
        <v>5145</v>
      </c>
      <c r="C4203" s="33" t="s">
        <v>2927</v>
      </c>
      <c r="D4203" s="35">
        <f>SUMIFS(D4204:D9015,K4204:K9015,"0",B4204:B9015,"5 1 1 3 4 12 31111 6 M59 96300 000211 0000E 00001 00134 015 2111100*")-SUMIFS(E4204:E9015,K4204:K9015,"0",B4204:B9015,"5 1 1 3 4 12 31111 6 M59 96300 000211 0000E 00001 00134 015 2111100*")</f>
        <v>0</v>
      </c>
      <c r="E4203"/>
      <c r="F4203" s="35">
        <f>SUMIFS(F4204:F9015,K4204:K9015,"0",B4204:B9015,"5 1 1 3 4 12 31111 6 M59 96300 000211 0000E 00001 00134 015 2111100*")</f>
        <v>100965.38</v>
      </c>
      <c r="G4203" s="35">
        <f>SUMIFS(G4204:G9015,K4204:K9015,"0",B4204:B9015,"5 1 1 3 4 12 31111 6 M59 96300 000211 0000E 00001 00134 015 2111100*")</f>
        <v>0</v>
      </c>
      <c r="H4203" s="35">
        <f t="shared" si="66"/>
        <v>100965.38</v>
      </c>
      <c r="I4203" s="35"/>
      <c r="K4203" t="s">
        <v>15</v>
      </c>
    </row>
    <row r="4204" spans="2:11" ht="33" x14ac:dyDescent="0.2">
      <c r="B4204" s="33" t="s">
        <v>5146</v>
      </c>
      <c r="C4204" s="33" t="s">
        <v>660</v>
      </c>
      <c r="D4204" s="35">
        <f>SUMIFS(D4205:D9015,K4205:K9015,"0",B4205:B9015,"5 1 1 3 4 12 31111 6 M59 96300 000211 0000E 00001 00134 015 2111100 2024*")-SUMIFS(E4205:E9015,K4205:K9015,"0",B4205:B9015,"5 1 1 3 4 12 31111 6 M59 96300 000211 0000E 00001 00134 015 2111100 2024*")</f>
        <v>0</v>
      </c>
      <c r="E4204"/>
      <c r="F4204" s="35">
        <f>SUMIFS(F4205:F9015,K4205:K9015,"0",B4205:B9015,"5 1 1 3 4 12 31111 6 M59 96300 000211 0000E 00001 00134 015 2111100 2024*")</f>
        <v>100965.38</v>
      </c>
      <c r="G4204" s="35">
        <f>SUMIFS(G4205:G9015,K4205:K9015,"0",B4205:B9015,"5 1 1 3 4 12 31111 6 M59 96300 000211 0000E 00001 00134 015 2111100 2024*")</f>
        <v>0</v>
      </c>
      <c r="H4204" s="35">
        <f t="shared" si="66"/>
        <v>100965.38</v>
      </c>
      <c r="I4204" s="35"/>
      <c r="K4204" t="s">
        <v>15</v>
      </c>
    </row>
    <row r="4205" spans="2:11" ht="41.25" x14ac:dyDescent="0.2">
      <c r="B4205" s="33" t="s">
        <v>5147</v>
      </c>
      <c r="C4205" s="33" t="s">
        <v>1056</v>
      </c>
      <c r="D4205" s="35">
        <f>SUMIFS(D4206:D9015,K4206:K9015,"0",B4206:B9015,"5 1 1 3 4 12 31111 6 M59 96300 000211 0000E 00001 00134 015 2111100 2024 CP1SB396*")-SUMIFS(E4206:E9015,K4206:K9015,"0",B4206:B9015,"5 1 1 3 4 12 31111 6 M59 96300 000211 0000E 00001 00134 015 2111100 2024 CP1SB396*")</f>
        <v>0</v>
      </c>
      <c r="E4205"/>
      <c r="F4205" s="35">
        <f>SUMIFS(F4206:F9015,K4206:K9015,"0",B4206:B9015,"5 1 1 3 4 12 31111 6 M59 96300 000211 0000E 00001 00134 015 2111100 2024 CP1SB396*")</f>
        <v>100965.38</v>
      </c>
      <c r="G4205" s="35">
        <f>SUMIFS(G4206:G9015,K4206:K9015,"0",B4206:B9015,"5 1 1 3 4 12 31111 6 M59 96300 000211 0000E 00001 00134 015 2111100 2024 CP1SB396*")</f>
        <v>0</v>
      </c>
      <c r="H4205" s="35">
        <f t="shared" si="66"/>
        <v>100965.38</v>
      </c>
      <c r="I4205" s="35"/>
      <c r="K4205" t="s">
        <v>15</v>
      </c>
    </row>
    <row r="4206" spans="2:11" ht="41.25" x14ac:dyDescent="0.2">
      <c r="B4206" s="33" t="s">
        <v>5148</v>
      </c>
      <c r="C4206" s="33" t="s">
        <v>282</v>
      </c>
      <c r="D4206" s="35">
        <f>SUMIFS(D4207:D9015,K4207:K9015,"0",B4207:B9015,"5 1 1 3 4 12 31111 6 M59 96300 000211 0000E 00001 00134 015 2111100 2024 CP1SB396 001*")-SUMIFS(E4207:E9015,K4207:K9015,"0",B4207:B9015,"5 1 1 3 4 12 31111 6 M59 96300 000211 0000E 00001 00134 015 2111100 2024 CP1SB396 001*")</f>
        <v>0</v>
      </c>
      <c r="E4206"/>
      <c r="F4206" s="35">
        <f>SUMIFS(F4207:F9015,K4207:K9015,"0",B4207:B9015,"5 1 1 3 4 12 31111 6 M59 96300 000211 0000E 00001 00134 015 2111100 2024 CP1SB396 001*")</f>
        <v>100965.38</v>
      </c>
      <c r="G4206" s="35">
        <f>SUMIFS(G4207:G9015,K4207:K9015,"0",B4207:B9015,"5 1 1 3 4 12 31111 6 M59 96300 000211 0000E 00001 00134 015 2111100 2024 CP1SB396 001*")</f>
        <v>0</v>
      </c>
      <c r="H4206" s="35">
        <f t="shared" si="66"/>
        <v>100965.38</v>
      </c>
      <c r="I4206" s="35"/>
      <c r="K4206" t="s">
        <v>15</v>
      </c>
    </row>
    <row r="4207" spans="2:11" ht="33" x14ac:dyDescent="0.2">
      <c r="B4207" s="31" t="s">
        <v>5149</v>
      </c>
      <c r="C4207" s="31" t="s">
        <v>4783</v>
      </c>
      <c r="D4207" s="34">
        <v>0</v>
      </c>
      <c r="E4207" s="34"/>
      <c r="F4207" s="34">
        <v>100965.38</v>
      </c>
      <c r="G4207" s="34">
        <v>0</v>
      </c>
      <c r="H4207" s="34">
        <f t="shared" si="66"/>
        <v>100965.38</v>
      </c>
      <c r="I4207" s="34"/>
      <c r="K4207" t="s">
        <v>38</v>
      </c>
    </row>
    <row r="4208" spans="2:11" ht="16.5" x14ac:dyDescent="0.2">
      <c r="B4208" s="33" t="s">
        <v>5150</v>
      </c>
      <c r="C4208" s="33" t="s">
        <v>3729</v>
      </c>
      <c r="D4208" s="35">
        <f>SUMIFS(D4209:D9015,K4209:K9015,"0",B4209:B9015,"5 1 1 3 4 12 31111 6 M59 97000*")-SUMIFS(E4209:E9015,K4209:K9015,"0",B4209:B9015,"5 1 1 3 4 12 31111 6 M59 97000*")</f>
        <v>0</v>
      </c>
      <c r="E4208"/>
      <c r="F4208" s="35">
        <f>SUMIFS(F4209:F9015,K4209:K9015,"0",B4209:B9015,"5 1 1 3 4 12 31111 6 M59 97000*")</f>
        <v>15500</v>
      </c>
      <c r="G4208" s="35">
        <f>SUMIFS(G4209:G9015,K4209:K9015,"0",B4209:B9015,"5 1 1 3 4 12 31111 6 M59 97000*")</f>
        <v>0</v>
      </c>
      <c r="H4208" s="35">
        <f t="shared" si="66"/>
        <v>15500</v>
      </c>
      <c r="I4208" s="35"/>
      <c r="K4208" t="s">
        <v>15</v>
      </c>
    </row>
    <row r="4209" spans="2:11" ht="16.5" x14ac:dyDescent="0.2">
      <c r="B4209" s="33" t="s">
        <v>5151</v>
      </c>
      <c r="C4209" s="33" t="s">
        <v>648</v>
      </c>
      <c r="D4209" s="35">
        <f>SUMIFS(D4210:D9015,K4210:K9015,"0",B4210:B9015,"5 1 1 3 4 12 31111 6 M59 97000 000132*")-SUMIFS(E4210:E9015,K4210:K9015,"0",B4210:B9015,"5 1 1 3 4 12 31111 6 M59 97000 000132*")</f>
        <v>0</v>
      </c>
      <c r="E4209"/>
      <c r="F4209" s="35">
        <f>SUMIFS(F4210:F9015,K4210:K9015,"0",B4210:B9015,"5 1 1 3 4 12 31111 6 M59 97000 000132*")</f>
        <v>15500</v>
      </c>
      <c r="G4209" s="35">
        <f>SUMIFS(G4210:G9015,K4210:K9015,"0",B4210:B9015,"5 1 1 3 4 12 31111 6 M59 97000 000132*")</f>
        <v>0</v>
      </c>
      <c r="H4209" s="35">
        <f t="shared" si="66"/>
        <v>15500</v>
      </c>
      <c r="I4209" s="35"/>
      <c r="K4209" t="s">
        <v>15</v>
      </c>
    </row>
    <row r="4210" spans="2:11" ht="24.75" x14ac:dyDescent="0.2">
      <c r="B4210" s="33" t="s">
        <v>5152</v>
      </c>
      <c r="C4210" s="33" t="s">
        <v>650</v>
      </c>
      <c r="D4210" s="35">
        <f>SUMIFS(D4211:D9015,K4211:K9015,"0",B4211:B9015,"5 1 1 3 4 12 31111 6 M59 97000 000132 0000R*")-SUMIFS(E4211:E9015,K4211:K9015,"0",B4211:B9015,"5 1 1 3 4 12 31111 6 M59 97000 000132 0000R*")</f>
        <v>0</v>
      </c>
      <c r="E4210"/>
      <c r="F4210" s="35">
        <f>SUMIFS(F4211:F9015,K4211:K9015,"0",B4211:B9015,"5 1 1 3 4 12 31111 6 M59 97000 000132 0000R*")</f>
        <v>15500</v>
      </c>
      <c r="G4210" s="35">
        <f>SUMIFS(G4211:G9015,K4211:K9015,"0",B4211:B9015,"5 1 1 3 4 12 31111 6 M59 97000 000132 0000R*")</f>
        <v>0</v>
      </c>
      <c r="H4210" s="35">
        <f t="shared" si="66"/>
        <v>15500</v>
      </c>
      <c r="I4210" s="35"/>
      <c r="K4210" t="s">
        <v>15</v>
      </c>
    </row>
    <row r="4211" spans="2:11" ht="24.75" x14ac:dyDescent="0.2">
      <c r="B4211" s="33" t="s">
        <v>5153</v>
      </c>
      <c r="C4211" s="33" t="s">
        <v>282</v>
      </c>
      <c r="D4211" s="35">
        <f>SUMIFS(D4212:D9015,K4212:K9015,"0",B4212:B9015,"5 1 1 3 4 12 31111 6 M59 97000 000132 0000R 00001*")-SUMIFS(E4212:E9015,K4212:K9015,"0",B4212:B9015,"5 1 1 3 4 12 31111 6 M59 97000 000132 0000R 00001*")</f>
        <v>0</v>
      </c>
      <c r="E4211"/>
      <c r="F4211" s="35">
        <f>SUMIFS(F4212:F9015,K4212:K9015,"0",B4212:B9015,"5 1 1 3 4 12 31111 6 M59 97000 000132 0000R 00001*")</f>
        <v>15500</v>
      </c>
      <c r="G4211" s="35">
        <f>SUMIFS(G4212:G9015,K4212:K9015,"0",B4212:B9015,"5 1 1 3 4 12 31111 6 M59 97000 000132 0000R 00001*")</f>
        <v>0</v>
      </c>
      <c r="H4211" s="35">
        <f t="shared" si="66"/>
        <v>15500</v>
      </c>
      <c r="I4211" s="35"/>
      <c r="K4211" t="s">
        <v>15</v>
      </c>
    </row>
    <row r="4212" spans="2:11" ht="24.75" x14ac:dyDescent="0.2">
      <c r="B4212" s="33" t="s">
        <v>5154</v>
      </c>
      <c r="C4212" s="33" t="s">
        <v>4776</v>
      </c>
      <c r="D4212" s="35">
        <f>SUMIFS(D4213:D9015,K4213:K9015,"0",B4213:B9015,"5 1 1 3 4 12 31111 6 M59 97000 000132 0000R 00001 00134*")-SUMIFS(E4213:E9015,K4213:K9015,"0",B4213:B9015,"5 1 1 3 4 12 31111 6 M59 97000 000132 0000R 00001 00134*")</f>
        <v>0</v>
      </c>
      <c r="E4212"/>
      <c r="F4212" s="35">
        <f>SUMIFS(F4213:F9015,K4213:K9015,"0",B4213:B9015,"5 1 1 3 4 12 31111 6 M59 97000 000132 0000R 00001 00134*")</f>
        <v>15500</v>
      </c>
      <c r="G4212" s="35">
        <f>SUMIFS(G4213:G9015,K4213:K9015,"0",B4213:B9015,"5 1 1 3 4 12 31111 6 M59 97000 000132 0000R 00001 00134*")</f>
        <v>0</v>
      </c>
      <c r="H4212" s="35">
        <f t="shared" si="66"/>
        <v>15500</v>
      </c>
      <c r="I4212" s="35"/>
      <c r="K4212" t="s">
        <v>15</v>
      </c>
    </row>
    <row r="4213" spans="2:11" ht="33" x14ac:dyDescent="0.2">
      <c r="B4213" s="33" t="s">
        <v>5155</v>
      </c>
      <c r="C4213" s="33" t="s">
        <v>1051</v>
      </c>
      <c r="D4213" s="35">
        <f>SUMIFS(D4214:D9015,K4214:K9015,"0",B4214:B9015,"5 1 1 3 4 12 31111 6 M59 97000 000132 0000R 00001 00134 015*")-SUMIFS(E4214:E9015,K4214:K9015,"0",B4214:B9015,"5 1 1 3 4 12 31111 6 M59 97000 000132 0000R 00001 00134 015*")</f>
        <v>0</v>
      </c>
      <c r="E4213"/>
      <c r="F4213" s="35">
        <f>SUMIFS(F4214:F9015,K4214:K9015,"0",B4214:B9015,"5 1 1 3 4 12 31111 6 M59 97000 000132 0000R 00001 00134 015*")</f>
        <v>15500</v>
      </c>
      <c r="G4213" s="35">
        <f>SUMIFS(G4214:G9015,K4214:K9015,"0",B4214:B9015,"5 1 1 3 4 12 31111 6 M59 97000 000132 0000R 00001 00134 015*")</f>
        <v>0</v>
      </c>
      <c r="H4213" s="35">
        <f t="shared" si="66"/>
        <v>15500</v>
      </c>
      <c r="I4213" s="35"/>
      <c r="K4213" t="s">
        <v>15</v>
      </c>
    </row>
    <row r="4214" spans="2:11" ht="33" x14ac:dyDescent="0.2">
      <c r="B4214" s="33" t="s">
        <v>5156</v>
      </c>
      <c r="C4214" s="33" t="s">
        <v>2927</v>
      </c>
      <c r="D4214" s="35">
        <f>SUMIFS(D4215:D9015,K4215:K9015,"0",B4215:B9015,"5 1 1 3 4 12 31111 6 M59 97000 000132 0000R 00001 00134 015 2111100*")-SUMIFS(E4215:E9015,K4215:K9015,"0",B4215:B9015,"5 1 1 3 4 12 31111 6 M59 97000 000132 0000R 00001 00134 015 2111100*")</f>
        <v>0</v>
      </c>
      <c r="E4214"/>
      <c r="F4214" s="35">
        <f>SUMIFS(F4215:F9015,K4215:K9015,"0",B4215:B9015,"5 1 1 3 4 12 31111 6 M59 97000 000132 0000R 00001 00134 015 2111100*")</f>
        <v>15500</v>
      </c>
      <c r="G4214" s="35">
        <f>SUMIFS(G4215:G9015,K4215:K9015,"0",B4215:B9015,"5 1 1 3 4 12 31111 6 M59 97000 000132 0000R 00001 00134 015 2111100*")</f>
        <v>0</v>
      </c>
      <c r="H4214" s="35">
        <f t="shared" si="66"/>
        <v>15500</v>
      </c>
      <c r="I4214" s="35"/>
      <c r="K4214" t="s">
        <v>15</v>
      </c>
    </row>
    <row r="4215" spans="2:11" ht="33" x14ac:dyDescent="0.2">
      <c r="B4215" s="33" t="s">
        <v>5157</v>
      </c>
      <c r="C4215" s="33" t="s">
        <v>660</v>
      </c>
      <c r="D4215" s="35">
        <f>SUMIFS(D4216:D9015,K4216:K9015,"0",B4216:B9015,"5 1 1 3 4 12 31111 6 M59 97000 000132 0000R 00001 00134 015 2111100 2024*")-SUMIFS(E4216:E9015,K4216:K9015,"0",B4216:B9015,"5 1 1 3 4 12 31111 6 M59 97000 000132 0000R 00001 00134 015 2111100 2024*")</f>
        <v>0</v>
      </c>
      <c r="E4215"/>
      <c r="F4215" s="35">
        <f>SUMIFS(F4216:F9015,K4216:K9015,"0",B4216:B9015,"5 1 1 3 4 12 31111 6 M59 97000 000132 0000R 00001 00134 015 2111100 2024*")</f>
        <v>15500</v>
      </c>
      <c r="G4215" s="35">
        <f>SUMIFS(G4216:G9015,K4216:K9015,"0",B4216:B9015,"5 1 1 3 4 12 31111 6 M59 97000 000132 0000R 00001 00134 015 2111100 2024*")</f>
        <v>0</v>
      </c>
      <c r="H4215" s="35">
        <f t="shared" si="66"/>
        <v>15500</v>
      </c>
      <c r="I4215" s="35"/>
      <c r="K4215" t="s">
        <v>15</v>
      </c>
    </row>
    <row r="4216" spans="2:11" ht="41.25" x14ac:dyDescent="0.2">
      <c r="B4216" s="33" t="s">
        <v>5158</v>
      </c>
      <c r="C4216" s="33" t="s">
        <v>1056</v>
      </c>
      <c r="D4216" s="35">
        <f>SUMIFS(D4217:D9015,K4217:K9015,"0",B4217:B9015,"5 1 1 3 4 12 31111 6 M59 97000 000132 0000R 00001 00134 015 2111100 2024 CP1SP428*")-SUMIFS(E4217:E9015,K4217:K9015,"0",B4217:B9015,"5 1 1 3 4 12 31111 6 M59 97000 000132 0000R 00001 00134 015 2111100 2024 CP1SP428*")</f>
        <v>0</v>
      </c>
      <c r="E4216"/>
      <c r="F4216" s="35">
        <f>SUMIFS(F4217:F9015,K4217:K9015,"0",B4217:B9015,"5 1 1 3 4 12 31111 6 M59 97000 000132 0000R 00001 00134 015 2111100 2024 CP1SP428*")</f>
        <v>15500</v>
      </c>
      <c r="G4216" s="35">
        <f>SUMIFS(G4217:G9015,K4217:K9015,"0",B4217:B9015,"5 1 1 3 4 12 31111 6 M59 97000 000132 0000R 00001 00134 015 2111100 2024 CP1SP428*")</f>
        <v>0</v>
      </c>
      <c r="H4216" s="35">
        <f t="shared" si="66"/>
        <v>15500</v>
      </c>
      <c r="I4216" s="35"/>
      <c r="K4216" t="s">
        <v>15</v>
      </c>
    </row>
    <row r="4217" spans="2:11" ht="41.25" x14ac:dyDescent="0.2">
      <c r="B4217" s="33" t="s">
        <v>5159</v>
      </c>
      <c r="C4217" s="33" t="s">
        <v>282</v>
      </c>
      <c r="D4217" s="35">
        <f>SUMIFS(D4218:D9015,K4218:K9015,"0",B4218:B9015,"5 1 1 3 4 12 31111 6 M59 97000 000132 0000R 00001 00134 015 2111100 2024 CP1SP428 001*")-SUMIFS(E4218:E9015,K4218:K9015,"0",B4218:B9015,"5 1 1 3 4 12 31111 6 M59 97000 000132 0000R 00001 00134 015 2111100 2024 CP1SP428 001*")</f>
        <v>0</v>
      </c>
      <c r="E4217"/>
      <c r="F4217" s="35">
        <f>SUMIFS(F4218:F9015,K4218:K9015,"0",B4218:B9015,"5 1 1 3 4 12 31111 6 M59 97000 000132 0000R 00001 00134 015 2111100 2024 CP1SP428 001*")</f>
        <v>15500</v>
      </c>
      <c r="G4217" s="35">
        <f>SUMIFS(G4218:G9015,K4218:K9015,"0",B4218:B9015,"5 1 1 3 4 12 31111 6 M59 97000 000132 0000R 00001 00134 015 2111100 2024 CP1SP428 001*")</f>
        <v>0</v>
      </c>
      <c r="H4217" s="35">
        <f t="shared" si="66"/>
        <v>15500</v>
      </c>
      <c r="I4217" s="35"/>
      <c r="K4217" t="s">
        <v>15</v>
      </c>
    </row>
    <row r="4218" spans="2:11" ht="33" x14ac:dyDescent="0.2">
      <c r="B4218" s="31" t="s">
        <v>5160</v>
      </c>
      <c r="C4218" s="31" t="s">
        <v>4783</v>
      </c>
      <c r="D4218" s="34">
        <v>0</v>
      </c>
      <c r="E4218" s="34"/>
      <c r="F4218" s="34">
        <v>15500</v>
      </c>
      <c r="G4218" s="34">
        <v>0</v>
      </c>
      <c r="H4218" s="34">
        <f t="shared" si="66"/>
        <v>15500</v>
      </c>
      <c r="I4218" s="34"/>
      <c r="K4218" t="s">
        <v>38</v>
      </c>
    </row>
    <row r="4219" spans="2:11" ht="12.75" x14ac:dyDescent="0.2">
      <c r="B4219" s="33" t="s">
        <v>5161</v>
      </c>
      <c r="C4219" s="33" t="s">
        <v>5162</v>
      </c>
      <c r="D4219" s="35">
        <f>SUMIFS(D4220:D9015,K4220:K9015,"0",B4220:B9015,"5 1 1 4*")-SUMIFS(E4220:E9015,K4220:K9015,"0",B4220:B9015,"5 1 1 4*")</f>
        <v>0</v>
      </c>
      <c r="E4219"/>
      <c r="F4219" s="35">
        <f>SUMIFS(F4220:F9015,K4220:K9015,"0",B4220:B9015,"5 1 1 4*")</f>
        <v>487826.81</v>
      </c>
      <c r="G4219" s="35">
        <f>SUMIFS(G4220:G9015,K4220:K9015,"0",B4220:B9015,"5 1 1 4*")</f>
        <v>0</v>
      </c>
      <c r="H4219" s="35">
        <f t="shared" si="66"/>
        <v>487826.81</v>
      </c>
      <c r="I4219" s="35"/>
      <c r="K4219" t="s">
        <v>15</v>
      </c>
    </row>
    <row r="4220" spans="2:11" ht="16.5" x14ac:dyDescent="0.2">
      <c r="B4220" s="33" t="s">
        <v>5163</v>
      </c>
      <c r="C4220" s="33" t="s">
        <v>5164</v>
      </c>
      <c r="D4220" s="35">
        <f>SUMIFS(D4221:D9015,K4221:K9015,"0",B4221:B9015,"5 1 1 4 1*")-SUMIFS(E4221:E9015,K4221:K9015,"0",B4221:B9015,"5 1 1 4 1*")</f>
        <v>0</v>
      </c>
      <c r="E4220"/>
      <c r="F4220" s="35">
        <f>SUMIFS(F4221:F9015,K4221:K9015,"0",B4221:B9015,"5 1 1 4 1*")</f>
        <v>487826.81</v>
      </c>
      <c r="G4220" s="35">
        <f>SUMIFS(G4221:G9015,K4221:K9015,"0",B4221:B9015,"5 1 1 4 1*")</f>
        <v>0</v>
      </c>
      <c r="H4220" s="35">
        <f t="shared" si="66"/>
        <v>487826.81</v>
      </c>
      <c r="I4220" s="35"/>
      <c r="K4220" t="s">
        <v>15</v>
      </c>
    </row>
    <row r="4221" spans="2:11" ht="12.75" x14ac:dyDescent="0.2">
      <c r="B4221" s="33" t="s">
        <v>5165</v>
      </c>
      <c r="C4221" s="33" t="s">
        <v>26</v>
      </c>
      <c r="D4221" s="35">
        <f>SUMIFS(D4222:D9015,K4222:K9015,"0",B4222:B9015,"5 1 1 4 1 12*")-SUMIFS(E4222:E9015,K4222:K9015,"0",B4222:B9015,"5 1 1 4 1 12*")</f>
        <v>0</v>
      </c>
      <c r="E4221"/>
      <c r="F4221" s="35">
        <f>SUMIFS(F4222:F9015,K4222:K9015,"0",B4222:B9015,"5 1 1 4 1 12*")</f>
        <v>487826.81</v>
      </c>
      <c r="G4221" s="35">
        <f>SUMIFS(G4222:G9015,K4222:K9015,"0",B4222:B9015,"5 1 1 4 1 12*")</f>
        <v>0</v>
      </c>
      <c r="H4221" s="35">
        <f t="shared" si="66"/>
        <v>487826.81</v>
      </c>
      <c r="I4221" s="35"/>
      <c r="K4221" t="s">
        <v>15</v>
      </c>
    </row>
    <row r="4222" spans="2:11" ht="16.5" x14ac:dyDescent="0.2">
      <c r="B4222" s="33" t="s">
        <v>5166</v>
      </c>
      <c r="C4222" s="33" t="s">
        <v>28</v>
      </c>
      <c r="D4222" s="35">
        <f>SUMIFS(D4223:D9015,K4223:K9015,"0",B4223:B9015,"5 1 1 4 1 12 31111*")-SUMIFS(E4223:E9015,K4223:K9015,"0",B4223:B9015,"5 1 1 4 1 12 31111*")</f>
        <v>0</v>
      </c>
      <c r="E4222"/>
      <c r="F4222" s="35">
        <f>SUMIFS(F4223:F9015,K4223:K9015,"0",B4223:B9015,"5 1 1 4 1 12 31111*")</f>
        <v>487826.81</v>
      </c>
      <c r="G4222" s="35">
        <f>SUMIFS(G4223:G9015,K4223:K9015,"0",B4223:B9015,"5 1 1 4 1 12 31111*")</f>
        <v>0</v>
      </c>
      <c r="H4222" s="35">
        <f t="shared" si="66"/>
        <v>487826.81</v>
      </c>
      <c r="I4222" s="35"/>
      <c r="K4222" t="s">
        <v>15</v>
      </c>
    </row>
    <row r="4223" spans="2:11" ht="12.75" x14ac:dyDescent="0.2">
      <c r="B4223" s="33" t="s">
        <v>5167</v>
      </c>
      <c r="C4223" s="33" t="s">
        <v>30</v>
      </c>
      <c r="D4223" s="35">
        <f>SUMIFS(D4224:D9015,K4224:K9015,"0",B4224:B9015,"5 1 1 4 1 12 31111 6*")-SUMIFS(E4224:E9015,K4224:K9015,"0",B4224:B9015,"5 1 1 4 1 12 31111 6*")</f>
        <v>0</v>
      </c>
      <c r="E4223"/>
      <c r="F4223" s="35">
        <f>SUMIFS(F4224:F9015,K4224:K9015,"0",B4224:B9015,"5 1 1 4 1 12 31111 6*")</f>
        <v>487826.81</v>
      </c>
      <c r="G4223" s="35">
        <f>SUMIFS(G4224:G9015,K4224:K9015,"0",B4224:B9015,"5 1 1 4 1 12 31111 6*")</f>
        <v>0</v>
      </c>
      <c r="H4223" s="35">
        <f t="shared" si="66"/>
        <v>487826.81</v>
      </c>
      <c r="I4223" s="35"/>
      <c r="K4223" t="s">
        <v>15</v>
      </c>
    </row>
    <row r="4224" spans="2:11" ht="16.5" x14ac:dyDescent="0.2">
      <c r="B4224" s="33" t="s">
        <v>5168</v>
      </c>
      <c r="C4224" s="33" t="s">
        <v>2284</v>
      </c>
      <c r="D4224" s="35">
        <f>SUMIFS(D4225:D9015,K4225:K9015,"0",B4225:B9015,"5 1 1 4 1 12 31111 6 M59*")-SUMIFS(E4225:E9015,K4225:K9015,"0",B4225:B9015,"5 1 1 4 1 12 31111 6 M59*")</f>
        <v>0</v>
      </c>
      <c r="E4224"/>
      <c r="F4224" s="35">
        <f>SUMIFS(F4225:F9015,K4225:K9015,"0",B4225:B9015,"5 1 1 4 1 12 31111 6 M59*")</f>
        <v>487826.81</v>
      </c>
      <c r="G4224" s="35">
        <f>SUMIFS(G4225:G9015,K4225:K9015,"0",B4225:B9015,"5 1 1 4 1 12 31111 6 M59*")</f>
        <v>0</v>
      </c>
      <c r="H4224" s="35">
        <f t="shared" si="66"/>
        <v>487826.81</v>
      </c>
      <c r="I4224" s="35"/>
      <c r="K4224" t="s">
        <v>15</v>
      </c>
    </row>
    <row r="4225" spans="2:11" ht="16.5" x14ac:dyDescent="0.2">
      <c r="B4225" s="33" t="s">
        <v>5169</v>
      </c>
      <c r="C4225" s="33" t="s">
        <v>2971</v>
      </c>
      <c r="D4225" s="35">
        <f>SUMIFS(D4226:D9015,K4226:K9015,"0",B4226:B9015,"5 1 1 4 1 12 31111 6 M59 10500*")-SUMIFS(E4226:E9015,K4226:K9015,"0",B4226:B9015,"5 1 1 4 1 12 31111 6 M59 10500*")</f>
        <v>0</v>
      </c>
      <c r="E4225"/>
      <c r="F4225" s="35">
        <f>SUMIFS(F4226:F9015,K4226:K9015,"0",B4226:B9015,"5 1 1 4 1 12 31111 6 M59 10500*")</f>
        <v>15164.31</v>
      </c>
      <c r="G4225" s="35">
        <f>SUMIFS(G4226:G9015,K4226:K9015,"0",B4226:B9015,"5 1 1 4 1 12 31111 6 M59 10500*")</f>
        <v>0</v>
      </c>
      <c r="H4225" s="35">
        <f t="shared" si="66"/>
        <v>15164.31</v>
      </c>
      <c r="I4225" s="35"/>
      <c r="K4225" t="s">
        <v>15</v>
      </c>
    </row>
    <row r="4226" spans="2:11" ht="16.5" x14ac:dyDescent="0.2">
      <c r="B4226" s="33" t="s">
        <v>5170</v>
      </c>
      <c r="C4226" s="33" t="s">
        <v>648</v>
      </c>
      <c r="D4226" s="35">
        <f>SUMIFS(D4227:D9015,K4227:K9015,"0",B4227:B9015,"5 1 1 4 1 12 31111 6 M59 10500 000132*")-SUMIFS(E4227:E9015,K4227:K9015,"0",B4227:B9015,"5 1 1 4 1 12 31111 6 M59 10500 000132*")</f>
        <v>0</v>
      </c>
      <c r="E4226"/>
      <c r="F4226" s="35">
        <f>SUMIFS(F4227:F9015,K4227:K9015,"0",B4227:B9015,"5 1 1 4 1 12 31111 6 M59 10500 000132*")</f>
        <v>15164.31</v>
      </c>
      <c r="G4226" s="35">
        <f>SUMIFS(G4227:G9015,K4227:K9015,"0",B4227:B9015,"5 1 1 4 1 12 31111 6 M59 10500 000132*")</f>
        <v>0</v>
      </c>
      <c r="H4226" s="35">
        <f t="shared" si="66"/>
        <v>15164.31</v>
      </c>
      <c r="I4226" s="35"/>
      <c r="K4226" t="s">
        <v>15</v>
      </c>
    </row>
    <row r="4227" spans="2:11" ht="16.5" x14ac:dyDescent="0.2">
      <c r="B4227" s="33" t="s">
        <v>5171</v>
      </c>
      <c r="C4227" s="33" t="s">
        <v>650</v>
      </c>
      <c r="D4227" s="35">
        <f>SUMIFS(D4228:D9015,K4228:K9015,"0",B4228:B9015,"5 1 1 4 1 12 31111 6 M59 10500 000132 0000R*")-SUMIFS(E4228:E9015,K4228:K9015,"0",B4228:B9015,"5 1 1 4 1 12 31111 6 M59 10500 000132 0000R*")</f>
        <v>0</v>
      </c>
      <c r="E4227"/>
      <c r="F4227" s="35">
        <f>SUMIFS(F4228:F9015,K4228:K9015,"0",B4228:B9015,"5 1 1 4 1 12 31111 6 M59 10500 000132 0000R*")</f>
        <v>15164.31</v>
      </c>
      <c r="G4227" s="35">
        <f>SUMIFS(G4228:G9015,K4228:K9015,"0",B4228:B9015,"5 1 1 4 1 12 31111 6 M59 10500 000132 0000R*")</f>
        <v>0</v>
      </c>
      <c r="H4227" s="35">
        <f t="shared" si="66"/>
        <v>15164.31</v>
      </c>
      <c r="I4227" s="35"/>
      <c r="K4227" t="s">
        <v>15</v>
      </c>
    </row>
    <row r="4228" spans="2:11" ht="24.75" x14ac:dyDescent="0.2">
      <c r="B4228" s="33" t="s">
        <v>5172</v>
      </c>
      <c r="C4228" s="33" t="s">
        <v>282</v>
      </c>
      <c r="D4228" s="35">
        <f>SUMIFS(D4229:D9015,K4229:K9015,"0",B4229:B9015,"5 1 1 4 1 12 31111 6 M59 10500 000132 0000R 00001*")-SUMIFS(E4229:E9015,K4229:K9015,"0",B4229:B9015,"5 1 1 4 1 12 31111 6 M59 10500 000132 0000R 00001*")</f>
        <v>0</v>
      </c>
      <c r="E4228"/>
      <c r="F4228" s="35">
        <f>SUMIFS(F4229:F9015,K4229:K9015,"0",B4229:B9015,"5 1 1 4 1 12 31111 6 M59 10500 000132 0000R 00001*")</f>
        <v>15164.31</v>
      </c>
      <c r="G4228" s="35">
        <f>SUMIFS(G4229:G9015,K4229:K9015,"0",B4229:B9015,"5 1 1 4 1 12 31111 6 M59 10500 000132 0000R 00001*")</f>
        <v>0</v>
      </c>
      <c r="H4228" s="35">
        <f t="shared" ref="H4228:H4291" si="67">D4228 + F4228 - G4228</f>
        <v>15164.31</v>
      </c>
      <c r="I4228" s="35"/>
      <c r="K4228" t="s">
        <v>15</v>
      </c>
    </row>
    <row r="4229" spans="2:11" ht="24.75" x14ac:dyDescent="0.2">
      <c r="B4229" s="33" t="s">
        <v>5173</v>
      </c>
      <c r="C4229" s="33" t="s">
        <v>5174</v>
      </c>
      <c r="D4229" s="35">
        <f>SUMIFS(D4230:D9015,K4230:K9015,"0",B4230:B9015,"5 1 1 4 1 12 31111 6 M59 10500 000132 0000R 00001 00141*")-SUMIFS(E4230:E9015,K4230:K9015,"0",B4230:B9015,"5 1 1 4 1 12 31111 6 M59 10500 000132 0000R 00001 00141*")</f>
        <v>0</v>
      </c>
      <c r="E4229"/>
      <c r="F4229" s="35">
        <f>SUMIFS(F4230:F9015,K4230:K9015,"0",B4230:B9015,"5 1 1 4 1 12 31111 6 M59 10500 000132 0000R 00001 00141*")</f>
        <v>15164.31</v>
      </c>
      <c r="G4229" s="35">
        <f>SUMIFS(G4230:G9015,K4230:K9015,"0",B4230:B9015,"5 1 1 4 1 12 31111 6 M59 10500 000132 0000R 00001 00141*")</f>
        <v>0</v>
      </c>
      <c r="H4229" s="35">
        <f t="shared" si="67"/>
        <v>15164.31</v>
      </c>
      <c r="I4229" s="35"/>
      <c r="K4229" t="s">
        <v>15</v>
      </c>
    </row>
    <row r="4230" spans="2:11" ht="24.75" x14ac:dyDescent="0.2">
      <c r="B4230" s="33" t="s">
        <v>5175</v>
      </c>
      <c r="C4230" s="33" t="s">
        <v>1051</v>
      </c>
      <c r="D4230" s="35">
        <f>SUMIFS(D4231:D9015,K4231:K9015,"0",B4231:B9015,"5 1 1 4 1 12 31111 6 M59 10500 000132 0000R 00001 00141 015*")-SUMIFS(E4231:E9015,K4231:K9015,"0",B4231:B9015,"5 1 1 4 1 12 31111 6 M59 10500 000132 0000R 00001 00141 015*")</f>
        <v>0</v>
      </c>
      <c r="E4230"/>
      <c r="F4230" s="35">
        <f>SUMIFS(F4231:F9015,K4231:K9015,"0",B4231:B9015,"5 1 1 4 1 12 31111 6 M59 10500 000132 0000R 00001 00141 015*")</f>
        <v>15164.31</v>
      </c>
      <c r="G4230" s="35">
        <f>SUMIFS(G4231:G9015,K4231:K9015,"0",B4231:B9015,"5 1 1 4 1 12 31111 6 M59 10500 000132 0000R 00001 00141 015*")</f>
        <v>0</v>
      </c>
      <c r="H4230" s="35">
        <f t="shared" si="67"/>
        <v>15164.31</v>
      </c>
      <c r="I4230" s="35"/>
      <c r="K4230" t="s">
        <v>15</v>
      </c>
    </row>
    <row r="4231" spans="2:11" ht="33" x14ac:dyDescent="0.2">
      <c r="B4231" s="33" t="s">
        <v>5176</v>
      </c>
      <c r="C4231" s="33" t="s">
        <v>2927</v>
      </c>
      <c r="D4231" s="35">
        <f>SUMIFS(D4232:D9015,K4232:K9015,"0",B4232:B9015,"5 1 1 4 1 12 31111 6 M59 10500 000132 0000R 00001 00141 015 2111100*")-SUMIFS(E4232:E9015,K4232:K9015,"0",B4232:B9015,"5 1 1 4 1 12 31111 6 M59 10500 000132 0000R 00001 00141 015 2111100*")</f>
        <v>0</v>
      </c>
      <c r="E4231"/>
      <c r="F4231" s="35">
        <f>SUMIFS(F4232:F9015,K4232:K9015,"0",B4232:B9015,"5 1 1 4 1 12 31111 6 M59 10500 000132 0000R 00001 00141 015 2111100*")</f>
        <v>15164.31</v>
      </c>
      <c r="G4231" s="35">
        <f>SUMIFS(G4232:G9015,K4232:K9015,"0",B4232:B9015,"5 1 1 4 1 12 31111 6 M59 10500 000132 0000R 00001 00141 015 2111100*")</f>
        <v>0</v>
      </c>
      <c r="H4231" s="35">
        <f t="shared" si="67"/>
        <v>15164.31</v>
      </c>
      <c r="I4231" s="35"/>
      <c r="K4231" t="s">
        <v>15</v>
      </c>
    </row>
    <row r="4232" spans="2:11" ht="33" x14ac:dyDescent="0.2">
      <c r="B4232" s="33" t="s">
        <v>5177</v>
      </c>
      <c r="C4232" s="33" t="s">
        <v>660</v>
      </c>
      <c r="D4232" s="35">
        <f>SUMIFS(D4233:D9015,K4233:K9015,"0",B4233:B9015,"5 1 1 4 1 12 31111 6 M59 10500 000132 0000R 00001 00141 015 2111100 2024*")-SUMIFS(E4233:E9015,K4233:K9015,"0",B4233:B9015,"5 1 1 4 1 12 31111 6 M59 10500 000132 0000R 00001 00141 015 2111100 2024*")</f>
        <v>0</v>
      </c>
      <c r="E4232"/>
      <c r="F4232" s="35">
        <f>SUMIFS(F4233:F9015,K4233:K9015,"0",B4233:B9015,"5 1 1 4 1 12 31111 6 M59 10500 000132 0000R 00001 00141 015 2111100 2024*")</f>
        <v>15164.31</v>
      </c>
      <c r="G4232" s="35">
        <f>SUMIFS(G4233:G9015,K4233:K9015,"0",B4233:B9015,"5 1 1 4 1 12 31111 6 M59 10500 000132 0000R 00001 00141 015 2111100 2024*")</f>
        <v>0</v>
      </c>
      <c r="H4232" s="35">
        <f t="shared" si="67"/>
        <v>15164.31</v>
      </c>
      <c r="I4232" s="35"/>
      <c r="K4232" t="s">
        <v>15</v>
      </c>
    </row>
    <row r="4233" spans="2:11" ht="41.25" x14ac:dyDescent="0.2">
      <c r="B4233" s="33" t="s">
        <v>5178</v>
      </c>
      <c r="C4233" s="33" t="s">
        <v>1056</v>
      </c>
      <c r="D4233" s="35">
        <f>SUMIFS(D4234:D9015,K4234:K9015,"0",B4234:B9015,"5 1 1 4 1 12 31111 6 M59 10500 000132 0000R 00001 00141 015 2111100 2024 CP1CS421*")-SUMIFS(E4234:E9015,K4234:K9015,"0",B4234:B9015,"5 1 1 4 1 12 31111 6 M59 10500 000132 0000R 00001 00141 015 2111100 2024 CP1CS421*")</f>
        <v>0</v>
      </c>
      <c r="E4233"/>
      <c r="F4233" s="35">
        <f>SUMIFS(F4234:F9015,K4234:K9015,"0",B4234:B9015,"5 1 1 4 1 12 31111 6 M59 10500 000132 0000R 00001 00141 015 2111100 2024 CP1CS421*")</f>
        <v>15164.31</v>
      </c>
      <c r="G4233" s="35">
        <f>SUMIFS(G4234:G9015,K4234:K9015,"0",B4234:B9015,"5 1 1 4 1 12 31111 6 M59 10500 000132 0000R 00001 00141 015 2111100 2024 CP1CS421*")</f>
        <v>0</v>
      </c>
      <c r="H4233" s="35">
        <f t="shared" si="67"/>
        <v>15164.31</v>
      </c>
      <c r="I4233" s="35"/>
      <c r="K4233" t="s">
        <v>15</v>
      </c>
    </row>
    <row r="4234" spans="2:11" ht="41.25" x14ac:dyDescent="0.2">
      <c r="B4234" s="33" t="s">
        <v>5179</v>
      </c>
      <c r="C4234" s="33" t="s">
        <v>282</v>
      </c>
      <c r="D4234" s="35">
        <f>SUMIFS(D4235:D9015,K4235:K9015,"0",B4235:B9015,"5 1 1 4 1 12 31111 6 M59 10500 000132 0000R 00001 00141 015 2111100 2024 CP1CS421 001*")-SUMIFS(E4235:E9015,K4235:K9015,"0",B4235:B9015,"5 1 1 4 1 12 31111 6 M59 10500 000132 0000R 00001 00141 015 2111100 2024 CP1CS421 001*")</f>
        <v>0</v>
      </c>
      <c r="E4234"/>
      <c r="F4234" s="35">
        <f>SUMIFS(F4235:F9015,K4235:K9015,"0",B4235:B9015,"5 1 1 4 1 12 31111 6 M59 10500 000132 0000R 00001 00141 015 2111100 2024 CP1CS421 001*")</f>
        <v>15164.31</v>
      </c>
      <c r="G4234" s="35">
        <f>SUMIFS(G4235:G9015,K4235:K9015,"0",B4235:B9015,"5 1 1 4 1 12 31111 6 M59 10500 000132 0000R 00001 00141 015 2111100 2024 CP1CS421 001*")</f>
        <v>0</v>
      </c>
      <c r="H4234" s="35">
        <f t="shared" si="67"/>
        <v>15164.31</v>
      </c>
      <c r="I4234" s="35"/>
      <c r="K4234" t="s">
        <v>15</v>
      </c>
    </row>
    <row r="4235" spans="2:11" ht="33" x14ac:dyDescent="0.2">
      <c r="B4235" s="31" t="s">
        <v>5180</v>
      </c>
      <c r="C4235" s="31" t="s">
        <v>5164</v>
      </c>
      <c r="D4235" s="34">
        <v>0</v>
      </c>
      <c r="E4235" s="34"/>
      <c r="F4235" s="34">
        <v>15164.31</v>
      </c>
      <c r="G4235" s="34">
        <v>0</v>
      </c>
      <c r="H4235" s="34">
        <f t="shared" si="67"/>
        <v>15164.31</v>
      </c>
      <c r="I4235" s="34"/>
      <c r="K4235" t="s">
        <v>38</v>
      </c>
    </row>
    <row r="4236" spans="2:11" ht="16.5" x14ac:dyDescent="0.2">
      <c r="B4236" s="33" t="s">
        <v>5181</v>
      </c>
      <c r="C4236" s="33" t="s">
        <v>3020</v>
      </c>
      <c r="D4236" s="35">
        <f>SUMIFS(D4237:D9015,K4237:K9015,"0",B4237:B9015,"5 1 1 4 1 12 31111 6 M59 11000*")-SUMIFS(E4237:E9015,K4237:K9015,"0",B4237:B9015,"5 1 1 4 1 12 31111 6 M59 11000*")</f>
        <v>0</v>
      </c>
      <c r="E4236"/>
      <c r="F4236" s="35">
        <f>SUMIFS(F4237:F9015,K4237:K9015,"0",B4237:B9015,"5 1 1 4 1 12 31111 6 M59 11000*")</f>
        <v>20115.45</v>
      </c>
      <c r="G4236" s="35">
        <f>SUMIFS(G4237:G9015,K4237:K9015,"0",B4237:B9015,"5 1 1 4 1 12 31111 6 M59 11000*")</f>
        <v>0</v>
      </c>
      <c r="H4236" s="35">
        <f t="shared" si="67"/>
        <v>20115.45</v>
      </c>
      <c r="I4236" s="35"/>
      <c r="K4236" t="s">
        <v>15</v>
      </c>
    </row>
    <row r="4237" spans="2:11" ht="16.5" x14ac:dyDescent="0.2">
      <c r="B4237" s="33" t="s">
        <v>5182</v>
      </c>
      <c r="C4237" s="33" t="s">
        <v>648</v>
      </c>
      <c r="D4237" s="35">
        <f>SUMIFS(D4238:D9015,K4238:K9015,"0",B4238:B9015,"5 1 1 4 1 12 31111 6 M59 11000 000132*")-SUMIFS(E4238:E9015,K4238:K9015,"0",B4238:B9015,"5 1 1 4 1 12 31111 6 M59 11000 000132*")</f>
        <v>0</v>
      </c>
      <c r="E4237"/>
      <c r="F4237" s="35">
        <f>SUMIFS(F4238:F9015,K4238:K9015,"0",B4238:B9015,"5 1 1 4 1 12 31111 6 M59 11000 000132*")</f>
        <v>20115.45</v>
      </c>
      <c r="G4237" s="35">
        <f>SUMIFS(G4238:G9015,K4238:K9015,"0",B4238:B9015,"5 1 1 4 1 12 31111 6 M59 11000 000132*")</f>
        <v>0</v>
      </c>
      <c r="H4237" s="35">
        <f t="shared" si="67"/>
        <v>20115.45</v>
      </c>
      <c r="I4237" s="35"/>
      <c r="K4237" t="s">
        <v>15</v>
      </c>
    </row>
    <row r="4238" spans="2:11" ht="16.5" x14ac:dyDescent="0.2">
      <c r="B4238" s="33" t="s">
        <v>5183</v>
      </c>
      <c r="C4238" s="33" t="s">
        <v>650</v>
      </c>
      <c r="D4238" s="35">
        <f>SUMIFS(D4239:D9015,K4239:K9015,"0",B4239:B9015,"5 1 1 4 1 12 31111 6 M59 11000 000132 0000R*")-SUMIFS(E4239:E9015,K4239:K9015,"0",B4239:B9015,"5 1 1 4 1 12 31111 6 M59 11000 000132 0000R*")</f>
        <v>0</v>
      </c>
      <c r="E4238"/>
      <c r="F4238" s="35">
        <f>SUMIFS(F4239:F9015,K4239:K9015,"0",B4239:B9015,"5 1 1 4 1 12 31111 6 M59 11000 000132 0000R*")</f>
        <v>20115.45</v>
      </c>
      <c r="G4238" s="35">
        <f>SUMIFS(G4239:G9015,K4239:K9015,"0",B4239:B9015,"5 1 1 4 1 12 31111 6 M59 11000 000132 0000R*")</f>
        <v>0</v>
      </c>
      <c r="H4238" s="35">
        <f t="shared" si="67"/>
        <v>20115.45</v>
      </c>
      <c r="I4238" s="35"/>
      <c r="K4238" t="s">
        <v>15</v>
      </c>
    </row>
    <row r="4239" spans="2:11" ht="24.75" x14ac:dyDescent="0.2">
      <c r="B4239" s="33" t="s">
        <v>5184</v>
      </c>
      <c r="C4239" s="33" t="s">
        <v>282</v>
      </c>
      <c r="D4239" s="35">
        <f>SUMIFS(D4240:D9015,K4240:K9015,"0",B4240:B9015,"5 1 1 4 1 12 31111 6 M59 11000 000132 0000R 00001*")-SUMIFS(E4240:E9015,K4240:K9015,"0",B4240:B9015,"5 1 1 4 1 12 31111 6 M59 11000 000132 0000R 00001*")</f>
        <v>0</v>
      </c>
      <c r="E4239"/>
      <c r="F4239" s="35">
        <f>SUMIFS(F4240:F9015,K4240:K9015,"0",B4240:B9015,"5 1 1 4 1 12 31111 6 M59 11000 000132 0000R 00001*")</f>
        <v>20115.45</v>
      </c>
      <c r="G4239" s="35">
        <f>SUMIFS(G4240:G9015,K4240:K9015,"0",B4240:B9015,"5 1 1 4 1 12 31111 6 M59 11000 000132 0000R 00001*")</f>
        <v>0</v>
      </c>
      <c r="H4239" s="35">
        <f t="shared" si="67"/>
        <v>20115.45</v>
      </c>
      <c r="I4239" s="35"/>
      <c r="K4239" t="s">
        <v>15</v>
      </c>
    </row>
    <row r="4240" spans="2:11" ht="24.75" x14ac:dyDescent="0.2">
      <c r="B4240" s="33" t="s">
        <v>5185</v>
      </c>
      <c r="C4240" s="33" t="s">
        <v>5174</v>
      </c>
      <c r="D4240" s="35">
        <f>SUMIFS(D4241:D9015,K4241:K9015,"0",B4241:B9015,"5 1 1 4 1 12 31111 6 M59 11000 000132 0000R 00001 00141*")-SUMIFS(E4241:E9015,K4241:K9015,"0",B4241:B9015,"5 1 1 4 1 12 31111 6 M59 11000 000132 0000R 00001 00141*")</f>
        <v>0</v>
      </c>
      <c r="E4240"/>
      <c r="F4240" s="35">
        <f>SUMIFS(F4241:F9015,K4241:K9015,"0",B4241:B9015,"5 1 1 4 1 12 31111 6 M59 11000 000132 0000R 00001 00141*")</f>
        <v>20115.45</v>
      </c>
      <c r="G4240" s="35">
        <f>SUMIFS(G4241:G9015,K4241:K9015,"0",B4241:B9015,"5 1 1 4 1 12 31111 6 M59 11000 000132 0000R 00001 00141*")</f>
        <v>0</v>
      </c>
      <c r="H4240" s="35">
        <f t="shared" si="67"/>
        <v>20115.45</v>
      </c>
      <c r="I4240" s="35"/>
      <c r="K4240" t="s">
        <v>15</v>
      </c>
    </row>
    <row r="4241" spans="2:11" ht="24.75" x14ac:dyDescent="0.2">
      <c r="B4241" s="33" t="s">
        <v>5186</v>
      </c>
      <c r="C4241" s="33" t="s">
        <v>1051</v>
      </c>
      <c r="D4241" s="35">
        <f>SUMIFS(D4242:D9015,K4242:K9015,"0",B4242:B9015,"5 1 1 4 1 12 31111 6 M59 11000 000132 0000R 00001 00141 015*")-SUMIFS(E4242:E9015,K4242:K9015,"0",B4242:B9015,"5 1 1 4 1 12 31111 6 M59 11000 000132 0000R 00001 00141 015*")</f>
        <v>0</v>
      </c>
      <c r="E4241"/>
      <c r="F4241" s="35">
        <f>SUMIFS(F4242:F9015,K4242:K9015,"0",B4242:B9015,"5 1 1 4 1 12 31111 6 M59 11000 000132 0000R 00001 00141 015*")</f>
        <v>20115.45</v>
      </c>
      <c r="G4241" s="35">
        <f>SUMIFS(G4242:G9015,K4242:K9015,"0",B4242:B9015,"5 1 1 4 1 12 31111 6 M59 11000 000132 0000R 00001 00141 015*")</f>
        <v>0</v>
      </c>
      <c r="H4241" s="35">
        <f t="shared" si="67"/>
        <v>20115.45</v>
      </c>
      <c r="I4241" s="35"/>
      <c r="K4241" t="s">
        <v>15</v>
      </c>
    </row>
    <row r="4242" spans="2:11" ht="33" x14ac:dyDescent="0.2">
      <c r="B4242" s="33" t="s">
        <v>5187</v>
      </c>
      <c r="C4242" s="33" t="s">
        <v>2927</v>
      </c>
      <c r="D4242" s="35">
        <f>SUMIFS(D4243:D9015,K4243:K9015,"0",B4243:B9015,"5 1 1 4 1 12 31111 6 M59 11000 000132 0000R 00001 00141 015 2111100*")-SUMIFS(E4243:E9015,K4243:K9015,"0",B4243:B9015,"5 1 1 4 1 12 31111 6 M59 11000 000132 0000R 00001 00141 015 2111100*")</f>
        <v>0</v>
      </c>
      <c r="E4242"/>
      <c r="F4242" s="35">
        <f>SUMIFS(F4243:F9015,K4243:K9015,"0",B4243:B9015,"5 1 1 4 1 12 31111 6 M59 11000 000132 0000R 00001 00141 015 2111100*")</f>
        <v>20115.45</v>
      </c>
      <c r="G4242" s="35">
        <f>SUMIFS(G4243:G9015,K4243:K9015,"0",B4243:B9015,"5 1 1 4 1 12 31111 6 M59 11000 000132 0000R 00001 00141 015 2111100*")</f>
        <v>0</v>
      </c>
      <c r="H4242" s="35">
        <f t="shared" si="67"/>
        <v>20115.45</v>
      </c>
      <c r="I4242" s="35"/>
      <c r="K4242" t="s">
        <v>15</v>
      </c>
    </row>
    <row r="4243" spans="2:11" ht="33" x14ac:dyDescent="0.2">
      <c r="B4243" s="33" t="s">
        <v>5188</v>
      </c>
      <c r="C4243" s="33" t="s">
        <v>660</v>
      </c>
      <c r="D4243" s="35">
        <f>SUMIFS(D4244:D9015,K4244:K9015,"0",B4244:B9015,"5 1 1 4 1 12 31111 6 M59 11000 000132 0000R 00001 00141 015 2111100 2024*")-SUMIFS(E4244:E9015,K4244:K9015,"0",B4244:B9015,"5 1 1 4 1 12 31111 6 M59 11000 000132 0000R 00001 00141 015 2111100 2024*")</f>
        <v>0</v>
      </c>
      <c r="E4243"/>
      <c r="F4243" s="35">
        <f>SUMIFS(F4244:F9015,K4244:K9015,"0",B4244:B9015,"5 1 1 4 1 12 31111 6 M59 11000 000132 0000R 00001 00141 015 2111100 2024*")</f>
        <v>20115.45</v>
      </c>
      <c r="G4243" s="35">
        <f>SUMIFS(G4244:G9015,K4244:K9015,"0",B4244:B9015,"5 1 1 4 1 12 31111 6 M59 11000 000132 0000R 00001 00141 015 2111100 2024*")</f>
        <v>0</v>
      </c>
      <c r="H4243" s="35">
        <f t="shared" si="67"/>
        <v>20115.45</v>
      </c>
      <c r="I4243" s="35"/>
      <c r="K4243" t="s">
        <v>15</v>
      </c>
    </row>
    <row r="4244" spans="2:11" ht="41.25" x14ac:dyDescent="0.2">
      <c r="B4244" s="33" t="s">
        <v>5189</v>
      </c>
      <c r="C4244" s="33" t="s">
        <v>1056</v>
      </c>
      <c r="D4244" s="35">
        <f>SUMIFS(D4245:D9015,K4245:K9015,"0",B4245:B9015,"5 1 1 4 1 12 31111 6 M59 11000 000132 0000R 00001 00141 015 2111100 2024 CP1SM382*")-SUMIFS(E4245:E9015,K4245:K9015,"0",B4245:B9015,"5 1 1 4 1 12 31111 6 M59 11000 000132 0000R 00001 00141 015 2111100 2024 CP1SM382*")</f>
        <v>0</v>
      </c>
      <c r="E4244"/>
      <c r="F4244" s="35">
        <f>SUMIFS(F4245:F9015,K4245:K9015,"0",B4245:B9015,"5 1 1 4 1 12 31111 6 M59 11000 000132 0000R 00001 00141 015 2111100 2024 CP1SM382*")</f>
        <v>20115.45</v>
      </c>
      <c r="G4244" s="35">
        <f>SUMIFS(G4245:G9015,K4245:K9015,"0",B4245:B9015,"5 1 1 4 1 12 31111 6 M59 11000 000132 0000R 00001 00141 015 2111100 2024 CP1SM382*")</f>
        <v>0</v>
      </c>
      <c r="H4244" s="35">
        <f t="shared" si="67"/>
        <v>20115.45</v>
      </c>
      <c r="I4244" s="35"/>
      <c r="K4244" t="s">
        <v>15</v>
      </c>
    </row>
    <row r="4245" spans="2:11" ht="41.25" x14ac:dyDescent="0.2">
      <c r="B4245" s="33" t="s">
        <v>5190</v>
      </c>
      <c r="C4245" s="33" t="s">
        <v>282</v>
      </c>
      <c r="D4245" s="35">
        <f>SUMIFS(D4246:D9015,K4246:K9015,"0",B4246:B9015,"5 1 1 4 1 12 31111 6 M59 11000 000132 0000R 00001 00141 015 2111100 2024 CP1SM382 001*")-SUMIFS(E4246:E9015,K4246:K9015,"0",B4246:B9015,"5 1 1 4 1 12 31111 6 M59 11000 000132 0000R 00001 00141 015 2111100 2024 CP1SM382 001*")</f>
        <v>0</v>
      </c>
      <c r="E4245"/>
      <c r="F4245" s="35">
        <f>SUMIFS(F4246:F9015,K4246:K9015,"0",B4246:B9015,"5 1 1 4 1 12 31111 6 M59 11000 000132 0000R 00001 00141 015 2111100 2024 CP1SM382 001*")</f>
        <v>20115.45</v>
      </c>
      <c r="G4245" s="35">
        <f>SUMIFS(G4246:G9015,K4246:K9015,"0",B4246:B9015,"5 1 1 4 1 12 31111 6 M59 11000 000132 0000R 00001 00141 015 2111100 2024 CP1SM382 001*")</f>
        <v>0</v>
      </c>
      <c r="H4245" s="35">
        <f t="shared" si="67"/>
        <v>20115.45</v>
      </c>
      <c r="I4245" s="35"/>
      <c r="K4245" t="s">
        <v>15</v>
      </c>
    </row>
    <row r="4246" spans="2:11" ht="33" x14ac:dyDescent="0.2">
      <c r="B4246" s="31" t="s">
        <v>5191</v>
      </c>
      <c r="C4246" s="31" t="s">
        <v>5164</v>
      </c>
      <c r="D4246" s="34">
        <v>0</v>
      </c>
      <c r="E4246" s="34"/>
      <c r="F4246" s="34">
        <v>20115.45</v>
      </c>
      <c r="G4246" s="34">
        <v>0</v>
      </c>
      <c r="H4246" s="34">
        <f t="shared" si="67"/>
        <v>20115.45</v>
      </c>
      <c r="I4246" s="34"/>
      <c r="K4246" t="s">
        <v>38</v>
      </c>
    </row>
    <row r="4247" spans="2:11" ht="16.5" x14ac:dyDescent="0.2">
      <c r="B4247" s="33" t="s">
        <v>5192</v>
      </c>
      <c r="C4247" s="33" t="s">
        <v>1079</v>
      </c>
      <c r="D4247" s="35">
        <f>SUMIFS(D4248:D9015,K4248:K9015,"0",B4248:B9015,"5 1 1 4 1 12 31111 6 M59 20500*")-SUMIFS(E4248:E9015,K4248:K9015,"0",B4248:B9015,"5 1 1 4 1 12 31111 6 M59 20500*")</f>
        <v>0</v>
      </c>
      <c r="E4247"/>
      <c r="F4247" s="35">
        <f>SUMIFS(F4248:F9015,K4248:K9015,"0",B4248:B9015,"5 1 1 4 1 12 31111 6 M59 20500*")</f>
        <v>15165.5</v>
      </c>
      <c r="G4247" s="35">
        <f>SUMIFS(G4248:G9015,K4248:K9015,"0",B4248:B9015,"5 1 1 4 1 12 31111 6 M59 20500*")</f>
        <v>0</v>
      </c>
      <c r="H4247" s="35">
        <f t="shared" si="67"/>
        <v>15165.5</v>
      </c>
      <c r="I4247" s="35"/>
      <c r="K4247" t="s">
        <v>15</v>
      </c>
    </row>
    <row r="4248" spans="2:11" ht="16.5" x14ac:dyDescent="0.2">
      <c r="B4248" s="33" t="s">
        <v>5193</v>
      </c>
      <c r="C4248" s="33" t="s">
        <v>648</v>
      </c>
      <c r="D4248" s="35">
        <f>SUMIFS(D4249:D9015,K4249:K9015,"0",B4249:B9015,"5 1 1 4 1 12 31111 6 M59 20500 000132*")-SUMIFS(E4249:E9015,K4249:K9015,"0",B4249:B9015,"5 1 1 4 1 12 31111 6 M59 20500 000132*")</f>
        <v>0</v>
      </c>
      <c r="E4248"/>
      <c r="F4248" s="35">
        <f>SUMIFS(F4249:F9015,K4249:K9015,"0",B4249:B9015,"5 1 1 4 1 12 31111 6 M59 20500 000132*")</f>
        <v>15165.5</v>
      </c>
      <c r="G4248" s="35">
        <f>SUMIFS(G4249:G9015,K4249:K9015,"0",B4249:B9015,"5 1 1 4 1 12 31111 6 M59 20500 000132*")</f>
        <v>0</v>
      </c>
      <c r="H4248" s="35">
        <f t="shared" si="67"/>
        <v>15165.5</v>
      </c>
      <c r="I4248" s="35"/>
      <c r="K4248" t="s">
        <v>15</v>
      </c>
    </row>
    <row r="4249" spans="2:11" ht="16.5" x14ac:dyDescent="0.2">
      <c r="B4249" s="33" t="s">
        <v>5194</v>
      </c>
      <c r="C4249" s="33" t="s">
        <v>650</v>
      </c>
      <c r="D4249" s="35">
        <f>SUMIFS(D4250:D9015,K4250:K9015,"0",B4250:B9015,"5 1 1 4 1 12 31111 6 M59 20500 000132 0000R*")-SUMIFS(E4250:E9015,K4250:K9015,"0",B4250:B9015,"5 1 1 4 1 12 31111 6 M59 20500 000132 0000R*")</f>
        <v>0</v>
      </c>
      <c r="E4249"/>
      <c r="F4249" s="35">
        <f>SUMIFS(F4250:F9015,K4250:K9015,"0",B4250:B9015,"5 1 1 4 1 12 31111 6 M59 20500 000132 0000R*")</f>
        <v>15165.5</v>
      </c>
      <c r="G4249" s="35">
        <f>SUMIFS(G4250:G9015,K4250:K9015,"0",B4250:B9015,"5 1 1 4 1 12 31111 6 M59 20500 000132 0000R*")</f>
        <v>0</v>
      </c>
      <c r="H4249" s="35">
        <f t="shared" si="67"/>
        <v>15165.5</v>
      </c>
      <c r="I4249" s="35"/>
      <c r="K4249" t="s">
        <v>15</v>
      </c>
    </row>
    <row r="4250" spans="2:11" ht="24.75" x14ac:dyDescent="0.2">
      <c r="B4250" s="33" t="s">
        <v>5195</v>
      </c>
      <c r="C4250" s="33" t="s">
        <v>282</v>
      </c>
      <c r="D4250" s="35">
        <f>SUMIFS(D4251:D9015,K4251:K9015,"0",B4251:B9015,"5 1 1 4 1 12 31111 6 M59 20500 000132 0000R 00001*")-SUMIFS(E4251:E9015,K4251:K9015,"0",B4251:B9015,"5 1 1 4 1 12 31111 6 M59 20500 000132 0000R 00001*")</f>
        <v>0</v>
      </c>
      <c r="E4250"/>
      <c r="F4250" s="35">
        <f>SUMIFS(F4251:F9015,K4251:K9015,"0",B4251:B9015,"5 1 1 4 1 12 31111 6 M59 20500 000132 0000R 00001*")</f>
        <v>15165.5</v>
      </c>
      <c r="G4250" s="35">
        <f>SUMIFS(G4251:G9015,K4251:K9015,"0",B4251:B9015,"5 1 1 4 1 12 31111 6 M59 20500 000132 0000R 00001*")</f>
        <v>0</v>
      </c>
      <c r="H4250" s="35">
        <f t="shared" si="67"/>
        <v>15165.5</v>
      </c>
      <c r="I4250" s="35"/>
      <c r="K4250" t="s">
        <v>15</v>
      </c>
    </row>
    <row r="4251" spans="2:11" ht="24.75" x14ac:dyDescent="0.2">
      <c r="B4251" s="33" t="s">
        <v>5196</v>
      </c>
      <c r="C4251" s="33" t="s">
        <v>5174</v>
      </c>
      <c r="D4251" s="35">
        <f>SUMIFS(D4252:D9015,K4252:K9015,"0",B4252:B9015,"5 1 1 4 1 12 31111 6 M59 20500 000132 0000R 00001 00141*")-SUMIFS(E4252:E9015,K4252:K9015,"0",B4252:B9015,"5 1 1 4 1 12 31111 6 M59 20500 000132 0000R 00001 00141*")</f>
        <v>0</v>
      </c>
      <c r="E4251"/>
      <c r="F4251" s="35">
        <f>SUMIFS(F4252:F9015,K4252:K9015,"0",B4252:B9015,"5 1 1 4 1 12 31111 6 M59 20500 000132 0000R 00001 00141*")</f>
        <v>15165.5</v>
      </c>
      <c r="G4251" s="35">
        <f>SUMIFS(G4252:G9015,K4252:K9015,"0",B4252:B9015,"5 1 1 4 1 12 31111 6 M59 20500 000132 0000R 00001 00141*")</f>
        <v>0</v>
      </c>
      <c r="H4251" s="35">
        <f t="shared" si="67"/>
        <v>15165.5</v>
      </c>
      <c r="I4251" s="35"/>
      <c r="K4251" t="s">
        <v>15</v>
      </c>
    </row>
    <row r="4252" spans="2:11" ht="24.75" x14ac:dyDescent="0.2">
      <c r="B4252" s="33" t="s">
        <v>5197</v>
      </c>
      <c r="C4252" s="33" t="s">
        <v>1051</v>
      </c>
      <c r="D4252" s="35">
        <f>SUMIFS(D4253:D9015,K4253:K9015,"0",B4253:B9015,"5 1 1 4 1 12 31111 6 M59 20500 000132 0000R 00001 00141 015*")-SUMIFS(E4253:E9015,K4253:K9015,"0",B4253:B9015,"5 1 1 4 1 12 31111 6 M59 20500 000132 0000R 00001 00141 015*")</f>
        <v>0</v>
      </c>
      <c r="E4252"/>
      <c r="F4252" s="35">
        <f>SUMIFS(F4253:F9015,K4253:K9015,"0",B4253:B9015,"5 1 1 4 1 12 31111 6 M59 20500 000132 0000R 00001 00141 015*")</f>
        <v>15165.5</v>
      </c>
      <c r="G4252" s="35">
        <f>SUMIFS(G4253:G9015,K4253:K9015,"0",B4253:B9015,"5 1 1 4 1 12 31111 6 M59 20500 000132 0000R 00001 00141 015*")</f>
        <v>0</v>
      </c>
      <c r="H4252" s="35">
        <f t="shared" si="67"/>
        <v>15165.5</v>
      </c>
      <c r="I4252" s="35"/>
      <c r="K4252" t="s">
        <v>15</v>
      </c>
    </row>
    <row r="4253" spans="2:11" ht="33" x14ac:dyDescent="0.2">
      <c r="B4253" s="33" t="s">
        <v>5198</v>
      </c>
      <c r="C4253" s="33" t="s">
        <v>2927</v>
      </c>
      <c r="D4253" s="35">
        <f>SUMIFS(D4254:D9015,K4254:K9015,"0",B4254:B9015,"5 1 1 4 1 12 31111 6 M59 20500 000132 0000R 00001 00141 015 2111100*")-SUMIFS(E4254:E9015,K4254:K9015,"0",B4254:B9015,"5 1 1 4 1 12 31111 6 M59 20500 000132 0000R 00001 00141 015 2111100*")</f>
        <v>0</v>
      </c>
      <c r="E4253"/>
      <c r="F4253" s="35">
        <f>SUMIFS(F4254:F9015,K4254:K9015,"0",B4254:B9015,"5 1 1 4 1 12 31111 6 M59 20500 000132 0000R 00001 00141 015 2111100*")</f>
        <v>15165.5</v>
      </c>
      <c r="G4253" s="35">
        <f>SUMIFS(G4254:G9015,K4254:K9015,"0",B4254:B9015,"5 1 1 4 1 12 31111 6 M59 20500 000132 0000R 00001 00141 015 2111100*")</f>
        <v>0</v>
      </c>
      <c r="H4253" s="35">
        <f t="shared" si="67"/>
        <v>15165.5</v>
      </c>
      <c r="I4253" s="35"/>
      <c r="K4253" t="s">
        <v>15</v>
      </c>
    </row>
    <row r="4254" spans="2:11" ht="33" x14ac:dyDescent="0.2">
      <c r="B4254" s="33" t="s">
        <v>5199</v>
      </c>
      <c r="C4254" s="33" t="s">
        <v>660</v>
      </c>
      <c r="D4254" s="35">
        <f>SUMIFS(D4255:D9015,K4255:K9015,"0",B4255:B9015,"5 1 1 4 1 12 31111 6 M59 20500 000132 0000R 00001 00141 015 2111100 2024*")-SUMIFS(E4255:E9015,K4255:K9015,"0",B4255:B9015,"5 1 1 4 1 12 31111 6 M59 20500 000132 0000R 00001 00141 015 2111100 2024*")</f>
        <v>0</v>
      </c>
      <c r="E4254"/>
      <c r="F4254" s="35">
        <f>SUMIFS(F4255:F9015,K4255:K9015,"0",B4255:B9015,"5 1 1 4 1 12 31111 6 M59 20500 000132 0000R 00001 00141 015 2111100 2024*")</f>
        <v>15165.5</v>
      </c>
      <c r="G4254" s="35">
        <f>SUMIFS(G4255:G9015,K4255:K9015,"0",B4255:B9015,"5 1 1 4 1 12 31111 6 M59 20500 000132 0000R 00001 00141 015 2111100 2024*")</f>
        <v>0</v>
      </c>
      <c r="H4254" s="35">
        <f t="shared" si="67"/>
        <v>15165.5</v>
      </c>
      <c r="I4254" s="35"/>
      <c r="K4254" t="s">
        <v>15</v>
      </c>
    </row>
    <row r="4255" spans="2:11" ht="41.25" x14ac:dyDescent="0.2">
      <c r="B4255" s="33" t="s">
        <v>5200</v>
      </c>
      <c r="C4255" s="33" t="s">
        <v>1056</v>
      </c>
      <c r="D4255" s="35">
        <f>SUMIFS(D4256:D9015,K4256:K9015,"0",B4256:B9015,"5 1 1 4 1 12 31111 6 M59 20500 000132 0000R 00001 00141 015 2111100 2024 CP1CP420*")-SUMIFS(E4256:E9015,K4256:K9015,"0",B4256:B9015,"5 1 1 4 1 12 31111 6 M59 20500 000132 0000R 00001 00141 015 2111100 2024 CP1CP420*")</f>
        <v>0</v>
      </c>
      <c r="E4255"/>
      <c r="F4255" s="35">
        <f>SUMIFS(F4256:F9015,K4256:K9015,"0",B4256:B9015,"5 1 1 4 1 12 31111 6 M59 20500 000132 0000R 00001 00141 015 2111100 2024 CP1CP420*")</f>
        <v>15165.5</v>
      </c>
      <c r="G4255" s="35">
        <f>SUMIFS(G4256:G9015,K4256:K9015,"0",B4256:B9015,"5 1 1 4 1 12 31111 6 M59 20500 000132 0000R 00001 00141 015 2111100 2024 CP1CP420*")</f>
        <v>0</v>
      </c>
      <c r="H4255" s="35">
        <f t="shared" si="67"/>
        <v>15165.5</v>
      </c>
      <c r="I4255" s="35"/>
      <c r="K4255" t="s">
        <v>15</v>
      </c>
    </row>
    <row r="4256" spans="2:11" ht="41.25" x14ac:dyDescent="0.2">
      <c r="B4256" s="33" t="s">
        <v>5201</v>
      </c>
      <c r="C4256" s="33" t="s">
        <v>282</v>
      </c>
      <c r="D4256" s="35">
        <f>SUMIFS(D4257:D9015,K4257:K9015,"0",B4257:B9015,"5 1 1 4 1 12 31111 6 M59 20500 000132 0000R 00001 00141 015 2111100 2024 CP1CP420 001*")-SUMIFS(E4257:E9015,K4257:K9015,"0",B4257:B9015,"5 1 1 4 1 12 31111 6 M59 20500 000132 0000R 00001 00141 015 2111100 2024 CP1CP420 001*")</f>
        <v>0</v>
      </c>
      <c r="E4256"/>
      <c r="F4256" s="35">
        <f>SUMIFS(F4257:F9015,K4257:K9015,"0",B4257:B9015,"5 1 1 4 1 12 31111 6 M59 20500 000132 0000R 00001 00141 015 2111100 2024 CP1CP420 001*")</f>
        <v>15165.5</v>
      </c>
      <c r="G4256" s="35">
        <f>SUMIFS(G4257:G9015,K4257:K9015,"0",B4257:B9015,"5 1 1 4 1 12 31111 6 M59 20500 000132 0000R 00001 00141 015 2111100 2024 CP1CP420 001*")</f>
        <v>0</v>
      </c>
      <c r="H4256" s="35">
        <f t="shared" si="67"/>
        <v>15165.5</v>
      </c>
      <c r="I4256" s="35"/>
      <c r="K4256" t="s">
        <v>15</v>
      </c>
    </row>
    <row r="4257" spans="2:11" ht="33" x14ac:dyDescent="0.2">
      <c r="B4257" s="31" t="s">
        <v>5202</v>
      </c>
      <c r="C4257" s="31" t="s">
        <v>5164</v>
      </c>
      <c r="D4257" s="34">
        <v>0</v>
      </c>
      <c r="E4257" s="34"/>
      <c r="F4257" s="34">
        <v>15165.5</v>
      </c>
      <c r="G4257" s="34">
        <v>0</v>
      </c>
      <c r="H4257" s="34">
        <f t="shared" si="67"/>
        <v>15165.5</v>
      </c>
      <c r="I4257" s="34"/>
      <c r="K4257" t="s">
        <v>38</v>
      </c>
    </row>
    <row r="4258" spans="2:11" ht="16.5" x14ac:dyDescent="0.2">
      <c r="B4258" s="33" t="s">
        <v>5203</v>
      </c>
      <c r="C4258" s="33" t="s">
        <v>3126</v>
      </c>
      <c r="D4258" s="35">
        <f>SUMIFS(D4259:D9015,K4259:K9015,"0",B4259:B9015,"5 1 1 4 1 12 31111 6 M59 20600*")-SUMIFS(E4259:E9015,K4259:K9015,"0",B4259:B9015,"5 1 1 4 1 12 31111 6 M59 20600*")</f>
        <v>0</v>
      </c>
      <c r="E4258"/>
      <c r="F4258" s="35">
        <f>SUMIFS(F4259:F9015,K4259:K9015,"0",B4259:B9015,"5 1 1 4 1 12 31111 6 M59 20600*")</f>
        <v>15164.97</v>
      </c>
      <c r="G4258" s="35">
        <f>SUMIFS(G4259:G9015,K4259:K9015,"0",B4259:B9015,"5 1 1 4 1 12 31111 6 M59 20600*")</f>
        <v>0</v>
      </c>
      <c r="H4258" s="35">
        <f t="shared" si="67"/>
        <v>15164.97</v>
      </c>
      <c r="I4258" s="35"/>
      <c r="K4258" t="s">
        <v>15</v>
      </c>
    </row>
    <row r="4259" spans="2:11" ht="16.5" x14ac:dyDescent="0.2">
      <c r="B4259" s="33" t="s">
        <v>5204</v>
      </c>
      <c r="C4259" s="33" t="s">
        <v>648</v>
      </c>
      <c r="D4259" s="35">
        <f>SUMIFS(D4260:D9015,K4260:K9015,"0",B4260:B9015,"5 1 1 4 1 12 31111 6 M59 20600 000132*")-SUMIFS(E4260:E9015,K4260:K9015,"0",B4260:B9015,"5 1 1 4 1 12 31111 6 M59 20600 000132*")</f>
        <v>0</v>
      </c>
      <c r="E4259"/>
      <c r="F4259" s="35">
        <f>SUMIFS(F4260:F9015,K4260:K9015,"0",B4260:B9015,"5 1 1 4 1 12 31111 6 M59 20600 000132*")</f>
        <v>15164.97</v>
      </c>
      <c r="G4259" s="35">
        <f>SUMIFS(G4260:G9015,K4260:K9015,"0",B4260:B9015,"5 1 1 4 1 12 31111 6 M59 20600 000132*")</f>
        <v>0</v>
      </c>
      <c r="H4259" s="35">
        <f t="shared" si="67"/>
        <v>15164.97</v>
      </c>
      <c r="I4259" s="35"/>
      <c r="K4259" t="s">
        <v>15</v>
      </c>
    </row>
    <row r="4260" spans="2:11" ht="16.5" x14ac:dyDescent="0.2">
      <c r="B4260" s="33" t="s">
        <v>5205</v>
      </c>
      <c r="C4260" s="33" t="s">
        <v>650</v>
      </c>
      <c r="D4260" s="35">
        <f>SUMIFS(D4261:D9015,K4261:K9015,"0",B4261:B9015,"5 1 1 4 1 12 31111 6 M59 20600 000132 0000R*")-SUMIFS(E4261:E9015,K4261:K9015,"0",B4261:B9015,"5 1 1 4 1 12 31111 6 M59 20600 000132 0000R*")</f>
        <v>0</v>
      </c>
      <c r="E4260"/>
      <c r="F4260" s="35">
        <f>SUMIFS(F4261:F9015,K4261:K9015,"0",B4261:B9015,"5 1 1 4 1 12 31111 6 M59 20600 000132 0000R*")</f>
        <v>15164.97</v>
      </c>
      <c r="G4260" s="35">
        <f>SUMIFS(G4261:G9015,K4261:K9015,"0",B4261:B9015,"5 1 1 4 1 12 31111 6 M59 20600 000132 0000R*")</f>
        <v>0</v>
      </c>
      <c r="H4260" s="35">
        <f t="shared" si="67"/>
        <v>15164.97</v>
      </c>
      <c r="I4260" s="35"/>
      <c r="K4260" t="s">
        <v>15</v>
      </c>
    </row>
    <row r="4261" spans="2:11" ht="24.75" x14ac:dyDescent="0.2">
      <c r="B4261" s="33" t="s">
        <v>5206</v>
      </c>
      <c r="C4261" s="33" t="s">
        <v>282</v>
      </c>
      <c r="D4261" s="35">
        <f>SUMIFS(D4262:D9015,K4262:K9015,"0",B4262:B9015,"5 1 1 4 1 12 31111 6 M59 20600 000132 0000R 00001*")-SUMIFS(E4262:E9015,K4262:K9015,"0",B4262:B9015,"5 1 1 4 1 12 31111 6 M59 20600 000132 0000R 00001*")</f>
        <v>0</v>
      </c>
      <c r="E4261"/>
      <c r="F4261" s="35">
        <f>SUMIFS(F4262:F9015,K4262:K9015,"0",B4262:B9015,"5 1 1 4 1 12 31111 6 M59 20600 000132 0000R 00001*")</f>
        <v>15164.97</v>
      </c>
      <c r="G4261" s="35">
        <f>SUMIFS(G4262:G9015,K4262:K9015,"0",B4262:B9015,"5 1 1 4 1 12 31111 6 M59 20600 000132 0000R 00001*")</f>
        <v>0</v>
      </c>
      <c r="H4261" s="35">
        <f t="shared" si="67"/>
        <v>15164.97</v>
      </c>
      <c r="I4261" s="35"/>
      <c r="K4261" t="s">
        <v>15</v>
      </c>
    </row>
    <row r="4262" spans="2:11" ht="24.75" x14ac:dyDescent="0.2">
      <c r="B4262" s="33" t="s">
        <v>5207</v>
      </c>
      <c r="C4262" s="33" t="s">
        <v>5174</v>
      </c>
      <c r="D4262" s="35">
        <f>SUMIFS(D4263:D9015,K4263:K9015,"0",B4263:B9015,"5 1 1 4 1 12 31111 6 M59 20600 000132 0000R 00001 00141*")-SUMIFS(E4263:E9015,K4263:K9015,"0",B4263:B9015,"5 1 1 4 1 12 31111 6 M59 20600 000132 0000R 00001 00141*")</f>
        <v>0</v>
      </c>
      <c r="E4262"/>
      <c r="F4262" s="35">
        <f>SUMIFS(F4263:F9015,K4263:K9015,"0",B4263:B9015,"5 1 1 4 1 12 31111 6 M59 20600 000132 0000R 00001 00141*")</f>
        <v>15164.97</v>
      </c>
      <c r="G4262" s="35">
        <f>SUMIFS(G4263:G9015,K4263:K9015,"0",B4263:B9015,"5 1 1 4 1 12 31111 6 M59 20600 000132 0000R 00001 00141*")</f>
        <v>0</v>
      </c>
      <c r="H4262" s="35">
        <f t="shared" si="67"/>
        <v>15164.97</v>
      </c>
      <c r="I4262" s="35"/>
      <c r="K4262" t="s">
        <v>15</v>
      </c>
    </row>
    <row r="4263" spans="2:11" ht="24.75" x14ac:dyDescent="0.2">
      <c r="B4263" s="33" t="s">
        <v>5208</v>
      </c>
      <c r="C4263" s="33" t="s">
        <v>1051</v>
      </c>
      <c r="D4263" s="35">
        <f>SUMIFS(D4264:D9015,K4264:K9015,"0",B4264:B9015,"5 1 1 4 1 12 31111 6 M59 20600 000132 0000R 00001 00141 015*")-SUMIFS(E4264:E9015,K4264:K9015,"0",B4264:B9015,"5 1 1 4 1 12 31111 6 M59 20600 000132 0000R 00001 00141 015*")</f>
        <v>0</v>
      </c>
      <c r="E4263"/>
      <c r="F4263" s="35">
        <f>SUMIFS(F4264:F9015,K4264:K9015,"0",B4264:B9015,"5 1 1 4 1 12 31111 6 M59 20600 000132 0000R 00001 00141 015*")</f>
        <v>15164.97</v>
      </c>
      <c r="G4263" s="35">
        <f>SUMIFS(G4264:G9015,K4264:K9015,"0",B4264:B9015,"5 1 1 4 1 12 31111 6 M59 20600 000132 0000R 00001 00141 015*")</f>
        <v>0</v>
      </c>
      <c r="H4263" s="35">
        <f t="shared" si="67"/>
        <v>15164.97</v>
      </c>
      <c r="I4263" s="35"/>
      <c r="K4263" t="s">
        <v>15</v>
      </c>
    </row>
    <row r="4264" spans="2:11" ht="33" x14ac:dyDescent="0.2">
      <c r="B4264" s="33" t="s">
        <v>5209</v>
      </c>
      <c r="C4264" s="33" t="s">
        <v>2927</v>
      </c>
      <c r="D4264" s="35">
        <f>SUMIFS(D4265:D9015,K4265:K9015,"0",B4265:B9015,"5 1 1 4 1 12 31111 6 M59 20600 000132 0000R 00001 00141 015 2111100*")-SUMIFS(E4265:E9015,K4265:K9015,"0",B4265:B9015,"5 1 1 4 1 12 31111 6 M59 20600 000132 0000R 00001 00141 015 2111100*")</f>
        <v>0</v>
      </c>
      <c r="E4264"/>
      <c r="F4264" s="35">
        <f>SUMIFS(F4265:F9015,K4265:K9015,"0",B4265:B9015,"5 1 1 4 1 12 31111 6 M59 20600 000132 0000R 00001 00141 015 2111100*")</f>
        <v>15164.97</v>
      </c>
      <c r="G4264" s="35">
        <f>SUMIFS(G4265:G9015,K4265:K9015,"0",B4265:B9015,"5 1 1 4 1 12 31111 6 M59 20600 000132 0000R 00001 00141 015 2111100*")</f>
        <v>0</v>
      </c>
      <c r="H4264" s="35">
        <f t="shared" si="67"/>
        <v>15164.97</v>
      </c>
      <c r="I4264" s="35"/>
      <c r="K4264" t="s">
        <v>15</v>
      </c>
    </row>
    <row r="4265" spans="2:11" ht="33" x14ac:dyDescent="0.2">
      <c r="B4265" s="33" t="s">
        <v>5210</v>
      </c>
      <c r="C4265" s="33" t="s">
        <v>660</v>
      </c>
      <c r="D4265" s="35">
        <f>SUMIFS(D4266:D9015,K4266:K9015,"0",B4266:B9015,"5 1 1 4 1 12 31111 6 M59 20600 000132 0000R 00001 00141 015 2111100 2024*")-SUMIFS(E4266:E9015,K4266:K9015,"0",B4266:B9015,"5 1 1 4 1 12 31111 6 M59 20600 000132 0000R 00001 00141 015 2111100 2024*")</f>
        <v>0</v>
      </c>
      <c r="E4265"/>
      <c r="F4265" s="35">
        <f>SUMIFS(F4266:F9015,K4266:K9015,"0",B4266:B9015,"5 1 1 4 1 12 31111 6 M59 20600 000132 0000R 00001 00141 015 2111100 2024*")</f>
        <v>15164.97</v>
      </c>
      <c r="G4265" s="35">
        <f>SUMIFS(G4266:G9015,K4266:K9015,"0",B4266:B9015,"5 1 1 4 1 12 31111 6 M59 20600 000132 0000R 00001 00141 015 2111100 2024*")</f>
        <v>0</v>
      </c>
      <c r="H4265" s="35">
        <f t="shared" si="67"/>
        <v>15164.97</v>
      </c>
      <c r="I4265" s="35"/>
      <c r="K4265" t="s">
        <v>15</v>
      </c>
    </row>
    <row r="4266" spans="2:11" ht="41.25" x14ac:dyDescent="0.2">
      <c r="B4266" s="33" t="s">
        <v>5211</v>
      </c>
      <c r="C4266" s="33" t="s">
        <v>1056</v>
      </c>
      <c r="D4266" s="35">
        <f>SUMIFS(D4267:D9015,K4267:K9015,"0",B4267:B9015,"5 1 1 4 1 12 31111 6 M59 20600 000132 0000R 00001 00141 015 2111100 2024 CP1CA380*")-SUMIFS(E4267:E9015,K4267:K9015,"0",B4267:B9015,"5 1 1 4 1 12 31111 6 M59 20600 000132 0000R 00001 00141 015 2111100 2024 CP1CA380*")</f>
        <v>0</v>
      </c>
      <c r="E4266"/>
      <c r="F4266" s="35">
        <f>SUMIFS(F4267:F9015,K4267:K9015,"0",B4267:B9015,"5 1 1 4 1 12 31111 6 M59 20600 000132 0000R 00001 00141 015 2111100 2024 CP1CA380*")</f>
        <v>15164.97</v>
      </c>
      <c r="G4266" s="35">
        <f>SUMIFS(G4267:G9015,K4267:K9015,"0",B4267:B9015,"5 1 1 4 1 12 31111 6 M59 20600 000132 0000R 00001 00141 015 2111100 2024 CP1CA380*")</f>
        <v>0</v>
      </c>
      <c r="H4266" s="35">
        <f t="shared" si="67"/>
        <v>15164.97</v>
      </c>
      <c r="I4266" s="35"/>
      <c r="K4266" t="s">
        <v>15</v>
      </c>
    </row>
    <row r="4267" spans="2:11" ht="41.25" x14ac:dyDescent="0.2">
      <c r="B4267" s="33" t="s">
        <v>5212</v>
      </c>
      <c r="C4267" s="33" t="s">
        <v>282</v>
      </c>
      <c r="D4267" s="35">
        <f>SUMIFS(D4268:D9015,K4268:K9015,"0",B4268:B9015,"5 1 1 4 1 12 31111 6 M59 20600 000132 0000R 00001 00141 015 2111100 2024 CP1CA380 001*")-SUMIFS(E4268:E9015,K4268:K9015,"0",B4268:B9015,"5 1 1 4 1 12 31111 6 M59 20600 000132 0000R 00001 00141 015 2111100 2024 CP1CA380 001*")</f>
        <v>0</v>
      </c>
      <c r="E4267"/>
      <c r="F4267" s="35">
        <f>SUMIFS(F4268:F9015,K4268:K9015,"0",B4268:B9015,"5 1 1 4 1 12 31111 6 M59 20600 000132 0000R 00001 00141 015 2111100 2024 CP1CA380 001*")</f>
        <v>15164.97</v>
      </c>
      <c r="G4267" s="35">
        <f>SUMIFS(G4268:G9015,K4268:K9015,"0",B4268:B9015,"5 1 1 4 1 12 31111 6 M59 20600 000132 0000R 00001 00141 015 2111100 2024 CP1CA380 001*")</f>
        <v>0</v>
      </c>
      <c r="H4267" s="35">
        <f t="shared" si="67"/>
        <v>15164.97</v>
      </c>
      <c r="I4267" s="35"/>
      <c r="K4267" t="s">
        <v>15</v>
      </c>
    </row>
    <row r="4268" spans="2:11" ht="41.25" x14ac:dyDescent="0.2">
      <c r="B4268" s="31" t="s">
        <v>5213</v>
      </c>
      <c r="C4268" s="31" t="s">
        <v>5164</v>
      </c>
      <c r="D4268" s="34">
        <v>0</v>
      </c>
      <c r="E4268" s="34"/>
      <c r="F4268" s="34">
        <v>15164.97</v>
      </c>
      <c r="G4268" s="34">
        <v>0</v>
      </c>
      <c r="H4268" s="34">
        <f t="shared" si="67"/>
        <v>15164.97</v>
      </c>
      <c r="I4268" s="34"/>
      <c r="K4268" t="s">
        <v>38</v>
      </c>
    </row>
    <row r="4269" spans="2:11" ht="24.75" x14ac:dyDescent="0.2">
      <c r="B4269" s="33" t="s">
        <v>5214</v>
      </c>
      <c r="C4269" s="33" t="s">
        <v>3175</v>
      </c>
      <c r="D4269" s="35">
        <f>SUMIFS(D4270:D9015,K4270:K9015,"0",B4270:B9015,"5 1 1 4 1 12 31111 6 M59 22000*")-SUMIFS(E4270:E9015,K4270:K9015,"0",B4270:B9015,"5 1 1 4 1 12 31111 6 M59 22000*")</f>
        <v>0</v>
      </c>
      <c r="E4269"/>
      <c r="F4269" s="35">
        <f>SUMIFS(F4270:F9015,K4270:K9015,"0",B4270:B9015,"5 1 1 4 1 12 31111 6 M59 22000*")</f>
        <v>24403.71</v>
      </c>
      <c r="G4269" s="35">
        <f>SUMIFS(G4270:G9015,K4270:K9015,"0",B4270:B9015,"5 1 1 4 1 12 31111 6 M59 22000*")</f>
        <v>0</v>
      </c>
      <c r="H4269" s="35">
        <f t="shared" si="67"/>
        <v>24403.71</v>
      </c>
      <c r="I4269" s="35"/>
      <c r="K4269" t="s">
        <v>15</v>
      </c>
    </row>
    <row r="4270" spans="2:11" ht="16.5" x14ac:dyDescent="0.2">
      <c r="B4270" s="33" t="s">
        <v>5215</v>
      </c>
      <c r="C4270" s="33" t="s">
        <v>648</v>
      </c>
      <c r="D4270" s="35">
        <f>SUMIFS(D4271:D9015,K4271:K9015,"0",B4271:B9015,"5 1 1 4 1 12 31111 6 M59 22000 000132*")-SUMIFS(E4271:E9015,K4271:K9015,"0",B4271:B9015,"5 1 1 4 1 12 31111 6 M59 22000 000132*")</f>
        <v>0</v>
      </c>
      <c r="E4270"/>
      <c r="F4270" s="35">
        <f>SUMIFS(F4271:F9015,K4271:K9015,"0",B4271:B9015,"5 1 1 4 1 12 31111 6 M59 22000 000132*")</f>
        <v>24403.71</v>
      </c>
      <c r="G4270" s="35">
        <f>SUMIFS(G4271:G9015,K4271:K9015,"0",B4271:B9015,"5 1 1 4 1 12 31111 6 M59 22000 000132*")</f>
        <v>0</v>
      </c>
      <c r="H4270" s="35">
        <f t="shared" si="67"/>
        <v>24403.71</v>
      </c>
      <c r="I4270" s="35"/>
      <c r="K4270" t="s">
        <v>15</v>
      </c>
    </row>
    <row r="4271" spans="2:11" ht="16.5" x14ac:dyDescent="0.2">
      <c r="B4271" s="33" t="s">
        <v>5216</v>
      </c>
      <c r="C4271" s="33" t="s">
        <v>650</v>
      </c>
      <c r="D4271" s="35">
        <f>SUMIFS(D4272:D9015,K4272:K9015,"0",B4272:B9015,"5 1 1 4 1 12 31111 6 M59 22000 000132 0000R*")-SUMIFS(E4272:E9015,K4272:K9015,"0",B4272:B9015,"5 1 1 4 1 12 31111 6 M59 22000 000132 0000R*")</f>
        <v>0</v>
      </c>
      <c r="E4271"/>
      <c r="F4271" s="35">
        <f>SUMIFS(F4272:F9015,K4272:K9015,"0",B4272:B9015,"5 1 1 4 1 12 31111 6 M59 22000 000132 0000R*")</f>
        <v>24403.71</v>
      </c>
      <c r="G4271" s="35">
        <f>SUMIFS(G4272:G9015,K4272:K9015,"0",B4272:B9015,"5 1 1 4 1 12 31111 6 M59 22000 000132 0000R*")</f>
        <v>0</v>
      </c>
      <c r="H4271" s="35">
        <f t="shared" si="67"/>
        <v>24403.71</v>
      </c>
      <c r="I4271" s="35"/>
      <c r="K4271" t="s">
        <v>15</v>
      </c>
    </row>
    <row r="4272" spans="2:11" ht="24.75" x14ac:dyDescent="0.2">
      <c r="B4272" s="33" t="s">
        <v>5217</v>
      </c>
      <c r="C4272" s="33" t="s">
        <v>282</v>
      </c>
      <c r="D4272" s="35">
        <f>SUMIFS(D4273:D9015,K4273:K9015,"0",B4273:B9015,"5 1 1 4 1 12 31111 6 M59 22000 000132 0000R 00001*")-SUMIFS(E4273:E9015,K4273:K9015,"0",B4273:B9015,"5 1 1 4 1 12 31111 6 M59 22000 000132 0000R 00001*")</f>
        <v>0</v>
      </c>
      <c r="E4272"/>
      <c r="F4272" s="35">
        <f>SUMIFS(F4273:F9015,K4273:K9015,"0",B4273:B9015,"5 1 1 4 1 12 31111 6 M59 22000 000132 0000R 00001*")</f>
        <v>24403.71</v>
      </c>
      <c r="G4272" s="35">
        <f>SUMIFS(G4273:G9015,K4273:K9015,"0",B4273:B9015,"5 1 1 4 1 12 31111 6 M59 22000 000132 0000R 00001*")</f>
        <v>0</v>
      </c>
      <c r="H4272" s="35">
        <f t="shared" si="67"/>
        <v>24403.71</v>
      </c>
      <c r="I4272" s="35"/>
      <c r="K4272" t="s">
        <v>15</v>
      </c>
    </row>
    <row r="4273" spans="2:11" ht="24.75" x14ac:dyDescent="0.2">
      <c r="B4273" s="33" t="s">
        <v>5218</v>
      </c>
      <c r="C4273" s="33" t="s">
        <v>5174</v>
      </c>
      <c r="D4273" s="35">
        <f>SUMIFS(D4274:D9015,K4274:K9015,"0",B4274:B9015,"5 1 1 4 1 12 31111 6 M59 22000 000132 0000R 00001 00141*")-SUMIFS(E4274:E9015,K4274:K9015,"0",B4274:B9015,"5 1 1 4 1 12 31111 6 M59 22000 000132 0000R 00001 00141*")</f>
        <v>0</v>
      </c>
      <c r="E4273"/>
      <c r="F4273" s="35">
        <f>SUMIFS(F4274:F9015,K4274:K9015,"0",B4274:B9015,"5 1 1 4 1 12 31111 6 M59 22000 000132 0000R 00001 00141*")</f>
        <v>24403.71</v>
      </c>
      <c r="G4273" s="35">
        <f>SUMIFS(G4274:G9015,K4274:K9015,"0",B4274:B9015,"5 1 1 4 1 12 31111 6 M59 22000 000132 0000R 00001 00141*")</f>
        <v>0</v>
      </c>
      <c r="H4273" s="35">
        <f t="shared" si="67"/>
        <v>24403.71</v>
      </c>
      <c r="I4273" s="35"/>
      <c r="K4273" t="s">
        <v>15</v>
      </c>
    </row>
    <row r="4274" spans="2:11" ht="24.75" x14ac:dyDescent="0.2">
      <c r="B4274" s="33" t="s">
        <v>5219</v>
      </c>
      <c r="C4274" s="33" t="s">
        <v>1051</v>
      </c>
      <c r="D4274" s="35">
        <f>SUMIFS(D4275:D9015,K4275:K9015,"0",B4275:B9015,"5 1 1 4 1 12 31111 6 M59 22000 000132 0000R 00001 00141 015*")-SUMIFS(E4275:E9015,K4275:K9015,"0",B4275:B9015,"5 1 1 4 1 12 31111 6 M59 22000 000132 0000R 00001 00141 015*")</f>
        <v>0</v>
      </c>
      <c r="E4274"/>
      <c r="F4274" s="35">
        <f>SUMIFS(F4275:F9015,K4275:K9015,"0",B4275:B9015,"5 1 1 4 1 12 31111 6 M59 22000 000132 0000R 00001 00141 015*")</f>
        <v>24403.71</v>
      </c>
      <c r="G4274" s="35">
        <f>SUMIFS(G4275:G9015,K4275:K9015,"0",B4275:B9015,"5 1 1 4 1 12 31111 6 M59 22000 000132 0000R 00001 00141 015*")</f>
        <v>0</v>
      </c>
      <c r="H4274" s="35">
        <f t="shared" si="67"/>
        <v>24403.71</v>
      </c>
      <c r="I4274" s="35"/>
      <c r="K4274" t="s">
        <v>15</v>
      </c>
    </row>
    <row r="4275" spans="2:11" ht="33" x14ac:dyDescent="0.2">
      <c r="B4275" s="33" t="s">
        <v>5220</v>
      </c>
      <c r="C4275" s="33" t="s">
        <v>2927</v>
      </c>
      <c r="D4275" s="35">
        <f>SUMIFS(D4276:D9015,K4276:K9015,"0",B4276:B9015,"5 1 1 4 1 12 31111 6 M59 22000 000132 0000R 00001 00141 015 2111100*")-SUMIFS(E4276:E9015,K4276:K9015,"0",B4276:B9015,"5 1 1 4 1 12 31111 6 M59 22000 000132 0000R 00001 00141 015 2111100*")</f>
        <v>0</v>
      </c>
      <c r="E4275"/>
      <c r="F4275" s="35">
        <f>SUMIFS(F4276:F9015,K4276:K9015,"0",B4276:B9015,"5 1 1 4 1 12 31111 6 M59 22000 000132 0000R 00001 00141 015 2111100*")</f>
        <v>24403.71</v>
      </c>
      <c r="G4275" s="35">
        <f>SUMIFS(G4276:G9015,K4276:K9015,"0",B4276:B9015,"5 1 1 4 1 12 31111 6 M59 22000 000132 0000R 00001 00141 015 2111100*")</f>
        <v>0</v>
      </c>
      <c r="H4275" s="35">
        <f t="shared" si="67"/>
        <v>24403.71</v>
      </c>
      <c r="I4275" s="35"/>
      <c r="K4275" t="s">
        <v>15</v>
      </c>
    </row>
    <row r="4276" spans="2:11" ht="33" x14ac:dyDescent="0.2">
      <c r="B4276" s="33" t="s">
        <v>5221</v>
      </c>
      <c r="C4276" s="33" t="s">
        <v>660</v>
      </c>
      <c r="D4276" s="35">
        <f>SUMIFS(D4277:D9015,K4277:K9015,"0",B4277:B9015,"5 1 1 4 1 12 31111 6 M59 22000 000132 0000R 00001 00141 015 2111100 2024*")-SUMIFS(E4277:E9015,K4277:K9015,"0",B4277:B9015,"5 1 1 4 1 12 31111 6 M59 22000 000132 0000R 00001 00141 015 2111100 2024*")</f>
        <v>0</v>
      </c>
      <c r="E4276"/>
      <c r="F4276" s="35">
        <f>SUMIFS(F4277:F9015,K4277:K9015,"0",B4277:B9015,"5 1 1 4 1 12 31111 6 M59 22000 000132 0000R 00001 00141 015 2111100 2024*")</f>
        <v>24403.71</v>
      </c>
      <c r="G4276" s="35">
        <f>SUMIFS(G4277:G9015,K4277:K9015,"0",B4277:B9015,"5 1 1 4 1 12 31111 6 M59 22000 000132 0000R 00001 00141 015 2111100 2024*")</f>
        <v>0</v>
      </c>
      <c r="H4276" s="35">
        <f t="shared" si="67"/>
        <v>24403.71</v>
      </c>
      <c r="I4276" s="35"/>
      <c r="K4276" t="s">
        <v>15</v>
      </c>
    </row>
    <row r="4277" spans="2:11" ht="41.25" x14ac:dyDescent="0.2">
      <c r="B4277" s="33" t="s">
        <v>5222</v>
      </c>
      <c r="C4277" s="33" t="s">
        <v>1056</v>
      </c>
      <c r="D4277" s="35">
        <f>SUMIFS(D4278:D9015,K4278:K9015,"0",B4278:B9015,"5 1 1 4 1 12 31111 6 M59 22000 000132 0000R 00001 00141 015 2111100 2024 CP1PL384*")-SUMIFS(E4278:E9015,K4278:K9015,"0",B4278:B9015,"5 1 1 4 1 12 31111 6 M59 22000 000132 0000R 00001 00141 015 2111100 2024 CP1PL384*")</f>
        <v>0</v>
      </c>
      <c r="E4277"/>
      <c r="F4277" s="35">
        <f>SUMIFS(F4278:F9015,K4278:K9015,"0",B4278:B9015,"5 1 1 4 1 12 31111 6 M59 22000 000132 0000R 00001 00141 015 2111100 2024 CP1PL384*")</f>
        <v>24403.71</v>
      </c>
      <c r="G4277" s="35">
        <f>SUMIFS(G4278:G9015,K4278:K9015,"0",B4278:B9015,"5 1 1 4 1 12 31111 6 M59 22000 000132 0000R 00001 00141 015 2111100 2024 CP1PL384*")</f>
        <v>0</v>
      </c>
      <c r="H4277" s="35">
        <f t="shared" si="67"/>
        <v>24403.71</v>
      </c>
      <c r="I4277" s="35"/>
      <c r="K4277" t="s">
        <v>15</v>
      </c>
    </row>
    <row r="4278" spans="2:11" ht="41.25" x14ac:dyDescent="0.2">
      <c r="B4278" s="33" t="s">
        <v>5223</v>
      </c>
      <c r="C4278" s="33" t="s">
        <v>282</v>
      </c>
      <c r="D4278" s="35">
        <f>SUMIFS(D4279:D9015,K4279:K9015,"0",B4279:B9015,"5 1 1 4 1 12 31111 6 M59 22000 000132 0000R 00001 00141 015 2111100 2024 CP1PL384 001*")-SUMIFS(E4279:E9015,K4279:K9015,"0",B4279:B9015,"5 1 1 4 1 12 31111 6 M59 22000 000132 0000R 00001 00141 015 2111100 2024 CP1PL384 001*")</f>
        <v>0</v>
      </c>
      <c r="E4278"/>
      <c r="F4278" s="35">
        <f>SUMIFS(F4279:F9015,K4279:K9015,"0",B4279:B9015,"5 1 1 4 1 12 31111 6 M59 22000 000132 0000R 00001 00141 015 2111100 2024 CP1PL384 001*")</f>
        <v>24403.71</v>
      </c>
      <c r="G4278" s="35">
        <f>SUMIFS(G4279:G9015,K4279:K9015,"0",B4279:B9015,"5 1 1 4 1 12 31111 6 M59 22000 000132 0000R 00001 00141 015 2111100 2024 CP1PL384 001*")</f>
        <v>0</v>
      </c>
      <c r="H4278" s="35">
        <f t="shared" si="67"/>
        <v>24403.71</v>
      </c>
      <c r="I4278" s="35"/>
      <c r="K4278" t="s">
        <v>15</v>
      </c>
    </row>
    <row r="4279" spans="2:11" ht="41.25" x14ac:dyDescent="0.2">
      <c r="B4279" s="31" t="s">
        <v>5224</v>
      </c>
      <c r="C4279" s="31" t="s">
        <v>5164</v>
      </c>
      <c r="D4279" s="34">
        <v>0</v>
      </c>
      <c r="E4279" s="34"/>
      <c r="F4279" s="34">
        <v>24403.71</v>
      </c>
      <c r="G4279" s="34">
        <v>0</v>
      </c>
      <c r="H4279" s="34">
        <f t="shared" si="67"/>
        <v>24403.71</v>
      </c>
      <c r="I4279" s="34"/>
      <c r="K4279" t="s">
        <v>38</v>
      </c>
    </row>
    <row r="4280" spans="2:11" ht="16.5" x14ac:dyDescent="0.2">
      <c r="B4280" s="33" t="s">
        <v>5225</v>
      </c>
      <c r="C4280" s="33" t="s">
        <v>646</v>
      </c>
      <c r="D4280" s="35">
        <f>SUMIFS(D4281:D9015,K4281:K9015,"0",B4281:B9015,"5 1 1 4 1 12 31111 6 M59 30100*")-SUMIFS(E4281:E9015,K4281:K9015,"0",B4281:B9015,"5 1 1 4 1 12 31111 6 M59 30100*")</f>
        <v>0</v>
      </c>
      <c r="E4280"/>
      <c r="F4280" s="35">
        <f>SUMIFS(F4281:F9015,K4281:K9015,"0",B4281:B9015,"5 1 1 4 1 12 31111 6 M59 30100*")</f>
        <v>24403.71</v>
      </c>
      <c r="G4280" s="35">
        <f>SUMIFS(G4281:G9015,K4281:K9015,"0",B4281:B9015,"5 1 1 4 1 12 31111 6 M59 30100*")</f>
        <v>0</v>
      </c>
      <c r="H4280" s="35">
        <f t="shared" si="67"/>
        <v>24403.71</v>
      </c>
      <c r="I4280" s="35"/>
      <c r="K4280" t="s">
        <v>15</v>
      </c>
    </row>
    <row r="4281" spans="2:11" ht="16.5" x14ac:dyDescent="0.2">
      <c r="B4281" s="33" t="s">
        <v>5226</v>
      </c>
      <c r="C4281" s="33" t="s">
        <v>648</v>
      </c>
      <c r="D4281" s="35">
        <f>SUMIFS(D4282:D9015,K4282:K9015,"0",B4282:B9015,"5 1 1 4 1 12 31111 6 M59 30100 000132*")-SUMIFS(E4282:E9015,K4282:K9015,"0",B4282:B9015,"5 1 1 4 1 12 31111 6 M59 30100 000132*")</f>
        <v>0</v>
      </c>
      <c r="E4281"/>
      <c r="F4281" s="35">
        <f>SUMIFS(F4282:F9015,K4282:K9015,"0",B4282:B9015,"5 1 1 4 1 12 31111 6 M59 30100 000132*")</f>
        <v>24403.71</v>
      </c>
      <c r="G4281" s="35">
        <f>SUMIFS(G4282:G9015,K4282:K9015,"0",B4282:B9015,"5 1 1 4 1 12 31111 6 M59 30100 000132*")</f>
        <v>0</v>
      </c>
      <c r="H4281" s="35">
        <f t="shared" si="67"/>
        <v>24403.71</v>
      </c>
      <c r="I4281" s="35"/>
      <c r="K4281" t="s">
        <v>15</v>
      </c>
    </row>
    <row r="4282" spans="2:11" ht="16.5" x14ac:dyDescent="0.2">
      <c r="B4282" s="33" t="s">
        <v>5227</v>
      </c>
      <c r="C4282" s="33" t="s">
        <v>650</v>
      </c>
      <c r="D4282" s="35">
        <f>SUMIFS(D4283:D9015,K4283:K9015,"0",B4283:B9015,"5 1 1 4 1 12 31111 6 M59 30100 000132 0000R*")-SUMIFS(E4283:E9015,K4283:K9015,"0",B4283:B9015,"5 1 1 4 1 12 31111 6 M59 30100 000132 0000R*")</f>
        <v>0</v>
      </c>
      <c r="E4282"/>
      <c r="F4282" s="35">
        <f>SUMIFS(F4283:F9015,K4283:K9015,"0",B4283:B9015,"5 1 1 4 1 12 31111 6 M59 30100 000132 0000R*")</f>
        <v>24403.71</v>
      </c>
      <c r="G4282" s="35">
        <f>SUMIFS(G4283:G9015,K4283:K9015,"0",B4283:B9015,"5 1 1 4 1 12 31111 6 M59 30100 000132 0000R*")</f>
        <v>0</v>
      </c>
      <c r="H4282" s="35">
        <f t="shared" si="67"/>
        <v>24403.71</v>
      </c>
      <c r="I4282" s="35"/>
      <c r="K4282" t="s">
        <v>15</v>
      </c>
    </row>
    <row r="4283" spans="2:11" ht="24.75" x14ac:dyDescent="0.2">
      <c r="B4283" s="33" t="s">
        <v>5228</v>
      </c>
      <c r="C4283" s="33" t="s">
        <v>282</v>
      </c>
      <c r="D4283" s="35">
        <f>SUMIFS(D4284:D9015,K4284:K9015,"0",B4284:B9015,"5 1 1 4 1 12 31111 6 M59 30100 000132 0000R 00001*")-SUMIFS(E4284:E9015,K4284:K9015,"0",B4284:B9015,"5 1 1 4 1 12 31111 6 M59 30100 000132 0000R 00001*")</f>
        <v>0</v>
      </c>
      <c r="E4283"/>
      <c r="F4283" s="35">
        <f>SUMIFS(F4284:F9015,K4284:K9015,"0",B4284:B9015,"5 1 1 4 1 12 31111 6 M59 30100 000132 0000R 00001*")</f>
        <v>24403.71</v>
      </c>
      <c r="G4283" s="35">
        <f>SUMIFS(G4284:G9015,K4284:K9015,"0",B4284:B9015,"5 1 1 4 1 12 31111 6 M59 30100 000132 0000R 00001*")</f>
        <v>0</v>
      </c>
      <c r="H4283" s="35">
        <f t="shared" si="67"/>
        <v>24403.71</v>
      </c>
      <c r="I4283" s="35"/>
      <c r="K4283" t="s">
        <v>15</v>
      </c>
    </row>
    <row r="4284" spans="2:11" ht="24.75" x14ac:dyDescent="0.2">
      <c r="B4284" s="33" t="s">
        <v>5229</v>
      </c>
      <c r="C4284" s="33" t="s">
        <v>5174</v>
      </c>
      <c r="D4284" s="35">
        <f>SUMIFS(D4285:D9015,K4285:K9015,"0",B4285:B9015,"5 1 1 4 1 12 31111 6 M59 30100 000132 0000R 00001 00141*")-SUMIFS(E4285:E9015,K4285:K9015,"0",B4285:B9015,"5 1 1 4 1 12 31111 6 M59 30100 000132 0000R 00001 00141*")</f>
        <v>0</v>
      </c>
      <c r="E4284"/>
      <c r="F4284" s="35">
        <f>SUMIFS(F4285:F9015,K4285:K9015,"0",B4285:B9015,"5 1 1 4 1 12 31111 6 M59 30100 000132 0000R 00001 00141*")</f>
        <v>24403.71</v>
      </c>
      <c r="G4284" s="35">
        <f>SUMIFS(G4285:G9015,K4285:K9015,"0",B4285:B9015,"5 1 1 4 1 12 31111 6 M59 30100 000132 0000R 00001 00141*")</f>
        <v>0</v>
      </c>
      <c r="H4284" s="35">
        <f t="shared" si="67"/>
        <v>24403.71</v>
      </c>
      <c r="I4284" s="35"/>
      <c r="K4284" t="s">
        <v>15</v>
      </c>
    </row>
    <row r="4285" spans="2:11" ht="24.75" x14ac:dyDescent="0.2">
      <c r="B4285" s="33" t="s">
        <v>5230</v>
      </c>
      <c r="C4285" s="33" t="s">
        <v>1051</v>
      </c>
      <c r="D4285" s="35">
        <f>SUMIFS(D4286:D9015,K4286:K9015,"0",B4286:B9015,"5 1 1 4 1 12 31111 6 M59 30100 000132 0000R 00001 00141 015*")-SUMIFS(E4286:E9015,K4286:K9015,"0",B4286:B9015,"5 1 1 4 1 12 31111 6 M59 30100 000132 0000R 00001 00141 015*")</f>
        <v>0</v>
      </c>
      <c r="E4285"/>
      <c r="F4285" s="35">
        <f>SUMIFS(F4286:F9015,K4286:K9015,"0",B4286:B9015,"5 1 1 4 1 12 31111 6 M59 30100 000132 0000R 00001 00141 015*")</f>
        <v>24403.71</v>
      </c>
      <c r="G4285" s="35">
        <f>SUMIFS(G4286:G9015,K4286:K9015,"0",B4286:B9015,"5 1 1 4 1 12 31111 6 M59 30100 000132 0000R 00001 00141 015*")</f>
        <v>0</v>
      </c>
      <c r="H4285" s="35">
        <f t="shared" si="67"/>
        <v>24403.71</v>
      </c>
      <c r="I4285" s="35"/>
      <c r="K4285" t="s">
        <v>15</v>
      </c>
    </row>
    <row r="4286" spans="2:11" ht="33" x14ac:dyDescent="0.2">
      <c r="B4286" s="33" t="s">
        <v>5231</v>
      </c>
      <c r="C4286" s="33" t="s">
        <v>2927</v>
      </c>
      <c r="D4286" s="35">
        <f>SUMIFS(D4287:D9015,K4287:K9015,"0",B4287:B9015,"5 1 1 4 1 12 31111 6 M59 30100 000132 0000R 00001 00141 015 2111100*")-SUMIFS(E4287:E9015,K4287:K9015,"0",B4287:B9015,"5 1 1 4 1 12 31111 6 M59 30100 000132 0000R 00001 00141 015 2111100*")</f>
        <v>0</v>
      </c>
      <c r="E4286"/>
      <c r="F4286" s="35">
        <f>SUMIFS(F4287:F9015,K4287:K9015,"0",B4287:B9015,"5 1 1 4 1 12 31111 6 M59 30100 000132 0000R 00001 00141 015 2111100*")</f>
        <v>24403.71</v>
      </c>
      <c r="G4286" s="35">
        <f>SUMIFS(G4287:G9015,K4287:K9015,"0",B4287:B9015,"5 1 1 4 1 12 31111 6 M59 30100 000132 0000R 00001 00141 015 2111100*")</f>
        <v>0</v>
      </c>
      <c r="H4286" s="35">
        <f t="shared" si="67"/>
        <v>24403.71</v>
      </c>
      <c r="I4286" s="35"/>
      <c r="K4286" t="s">
        <v>15</v>
      </c>
    </row>
    <row r="4287" spans="2:11" ht="33" x14ac:dyDescent="0.2">
      <c r="B4287" s="33" t="s">
        <v>5232</v>
      </c>
      <c r="C4287" s="33" t="s">
        <v>660</v>
      </c>
      <c r="D4287" s="35">
        <f>SUMIFS(D4288:D9015,K4288:K9015,"0",B4288:B9015,"5 1 1 4 1 12 31111 6 M59 30100 000132 0000R 00001 00141 015 2111100 2024*")-SUMIFS(E4288:E9015,K4288:K9015,"0",B4288:B9015,"5 1 1 4 1 12 31111 6 M59 30100 000132 0000R 00001 00141 015 2111100 2024*")</f>
        <v>0</v>
      </c>
      <c r="E4287"/>
      <c r="F4287" s="35">
        <f>SUMIFS(F4288:F9015,K4288:K9015,"0",B4288:B9015,"5 1 1 4 1 12 31111 6 M59 30100 000132 0000R 00001 00141 015 2111100 2024*")</f>
        <v>24403.71</v>
      </c>
      <c r="G4287" s="35">
        <f>SUMIFS(G4288:G9015,K4288:K9015,"0",B4288:B9015,"5 1 1 4 1 12 31111 6 M59 30100 000132 0000R 00001 00141 015 2111100 2024*")</f>
        <v>0</v>
      </c>
      <c r="H4287" s="35">
        <f t="shared" si="67"/>
        <v>24403.71</v>
      </c>
      <c r="I4287" s="35"/>
      <c r="K4287" t="s">
        <v>15</v>
      </c>
    </row>
    <row r="4288" spans="2:11" ht="41.25" x14ac:dyDescent="0.2">
      <c r="B4288" s="33" t="s">
        <v>5233</v>
      </c>
      <c r="C4288" s="33" t="s">
        <v>662</v>
      </c>
      <c r="D4288" s="35">
        <f>SUMIFS(D4289:D9015,K4289:K9015,"0",B4289:B9015,"5 1 1 4 1 12 31111 6 M59 30100 000132 0000R 00001 00141 015 2111100 2024 CP1OP405*")-SUMIFS(E4289:E9015,K4289:K9015,"0",B4289:B9015,"5 1 1 4 1 12 31111 6 M59 30100 000132 0000R 00001 00141 015 2111100 2024 CP1OP405*")</f>
        <v>0</v>
      </c>
      <c r="E4288"/>
      <c r="F4288" s="35">
        <f>SUMIFS(F4289:F9015,K4289:K9015,"0",B4289:B9015,"5 1 1 4 1 12 31111 6 M59 30100 000132 0000R 00001 00141 015 2111100 2024 CP1OP405*")</f>
        <v>24403.71</v>
      </c>
      <c r="G4288" s="35">
        <f>SUMIFS(G4289:G9015,K4289:K9015,"0",B4289:B9015,"5 1 1 4 1 12 31111 6 M59 30100 000132 0000R 00001 00141 015 2111100 2024 CP1OP405*")</f>
        <v>0</v>
      </c>
      <c r="H4288" s="35">
        <f t="shared" si="67"/>
        <v>24403.71</v>
      </c>
      <c r="I4288" s="35"/>
      <c r="K4288" t="s">
        <v>15</v>
      </c>
    </row>
    <row r="4289" spans="2:11" ht="41.25" x14ac:dyDescent="0.2">
      <c r="B4289" s="33" t="s">
        <v>5234</v>
      </c>
      <c r="C4289" s="33" t="s">
        <v>282</v>
      </c>
      <c r="D4289" s="35">
        <f>SUMIFS(D4290:D9015,K4290:K9015,"0",B4290:B9015,"5 1 1 4 1 12 31111 6 M59 30100 000132 0000R 00001 00141 015 2111100 2024 CP1OP405 001*")-SUMIFS(E4290:E9015,K4290:K9015,"0",B4290:B9015,"5 1 1 4 1 12 31111 6 M59 30100 000132 0000R 00001 00141 015 2111100 2024 CP1OP405 001*")</f>
        <v>0</v>
      </c>
      <c r="E4289"/>
      <c r="F4289" s="35">
        <f>SUMIFS(F4290:F9015,K4290:K9015,"0",B4290:B9015,"5 1 1 4 1 12 31111 6 M59 30100 000132 0000R 00001 00141 015 2111100 2024 CP1OP405 001*")</f>
        <v>24403.71</v>
      </c>
      <c r="G4289" s="35">
        <f>SUMIFS(G4290:G9015,K4290:K9015,"0",B4290:B9015,"5 1 1 4 1 12 31111 6 M59 30100 000132 0000R 00001 00141 015 2111100 2024 CP1OP405 001*")</f>
        <v>0</v>
      </c>
      <c r="H4289" s="35">
        <f t="shared" si="67"/>
        <v>24403.71</v>
      </c>
      <c r="I4289" s="35"/>
      <c r="K4289" t="s">
        <v>15</v>
      </c>
    </row>
    <row r="4290" spans="2:11" ht="33" x14ac:dyDescent="0.2">
      <c r="B4290" s="31" t="s">
        <v>5235</v>
      </c>
      <c r="C4290" s="31" t="s">
        <v>5164</v>
      </c>
      <c r="D4290" s="34">
        <v>0</v>
      </c>
      <c r="E4290" s="34"/>
      <c r="F4290" s="34">
        <v>24403.71</v>
      </c>
      <c r="G4290" s="34">
        <v>0</v>
      </c>
      <c r="H4290" s="34">
        <f t="shared" si="67"/>
        <v>24403.71</v>
      </c>
      <c r="I4290" s="34"/>
      <c r="K4290" t="s">
        <v>38</v>
      </c>
    </row>
    <row r="4291" spans="2:11" ht="16.5" x14ac:dyDescent="0.2">
      <c r="B4291" s="33" t="s">
        <v>5236</v>
      </c>
      <c r="C4291" s="33" t="s">
        <v>1105</v>
      </c>
      <c r="D4291" s="35">
        <f>SUMIFS(D4292:D9015,K4292:K9015,"0",B4292:B9015,"5 1 1 4 1 12 31111 6 M59 40200*")-SUMIFS(E4292:E9015,K4292:K9015,"0",B4292:B9015,"5 1 1 4 1 12 31111 6 M59 40200*")</f>
        <v>0</v>
      </c>
      <c r="E4291"/>
      <c r="F4291" s="35">
        <f>SUMIFS(F4292:F9015,K4292:K9015,"0",B4292:B9015,"5 1 1 4 1 12 31111 6 M59 40200*")</f>
        <v>16014.39</v>
      </c>
      <c r="G4291" s="35">
        <f>SUMIFS(G4292:G9015,K4292:K9015,"0",B4292:B9015,"5 1 1 4 1 12 31111 6 M59 40200*")</f>
        <v>0</v>
      </c>
      <c r="H4291" s="35">
        <f t="shared" si="67"/>
        <v>16014.39</v>
      </c>
      <c r="I4291" s="35"/>
      <c r="K4291" t="s">
        <v>15</v>
      </c>
    </row>
    <row r="4292" spans="2:11" ht="16.5" x14ac:dyDescent="0.2">
      <c r="B4292" s="33" t="s">
        <v>5237</v>
      </c>
      <c r="C4292" s="33" t="s">
        <v>1107</v>
      </c>
      <c r="D4292" s="35">
        <f>SUMIFS(D4293:D9015,K4293:K9015,"0",B4293:B9015,"5 1 1 4 1 12 31111 6 M59 40200 000172*")-SUMIFS(E4293:E9015,K4293:K9015,"0",B4293:B9015,"5 1 1 4 1 12 31111 6 M59 40200 000172*")</f>
        <v>0</v>
      </c>
      <c r="E4292"/>
      <c r="F4292" s="35">
        <f>SUMIFS(F4293:F9015,K4293:K9015,"0",B4293:B9015,"5 1 1 4 1 12 31111 6 M59 40200 000172*")</f>
        <v>16014.39</v>
      </c>
      <c r="G4292" s="35">
        <f>SUMIFS(G4293:G9015,K4293:K9015,"0",B4293:B9015,"5 1 1 4 1 12 31111 6 M59 40200 000172*")</f>
        <v>0</v>
      </c>
      <c r="H4292" s="35">
        <f t="shared" ref="H4292:H4355" si="68">D4292 + F4292 - G4292</f>
        <v>16014.39</v>
      </c>
      <c r="I4292" s="35"/>
      <c r="K4292" t="s">
        <v>15</v>
      </c>
    </row>
    <row r="4293" spans="2:11" ht="16.5" x14ac:dyDescent="0.2">
      <c r="B4293" s="33" t="s">
        <v>5238</v>
      </c>
      <c r="C4293" s="33" t="s">
        <v>650</v>
      </c>
      <c r="D4293" s="35">
        <f>SUMIFS(D4294:D9015,K4294:K9015,"0",B4294:B9015,"5 1 1 4 1 12 31111 6 M59 40200 000172 0000R*")-SUMIFS(E4294:E9015,K4294:K9015,"0",B4294:B9015,"5 1 1 4 1 12 31111 6 M59 40200 000172 0000R*")</f>
        <v>0</v>
      </c>
      <c r="E4293"/>
      <c r="F4293" s="35">
        <f>SUMIFS(F4294:F9015,K4294:K9015,"0",B4294:B9015,"5 1 1 4 1 12 31111 6 M59 40200 000172 0000R*")</f>
        <v>16014.39</v>
      </c>
      <c r="G4293" s="35">
        <f>SUMIFS(G4294:G9015,K4294:K9015,"0",B4294:B9015,"5 1 1 4 1 12 31111 6 M59 40200 000172 0000R*")</f>
        <v>0</v>
      </c>
      <c r="H4293" s="35">
        <f t="shared" si="68"/>
        <v>16014.39</v>
      </c>
      <c r="I4293" s="35"/>
      <c r="K4293" t="s">
        <v>15</v>
      </c>
    </row>
    <row r="4294" spans="2:11" ht="24.75" x14ac:dyDescent="0.2">
      <c r="B4294" s="33" t="s">
        <v>5239</v>
      </c>
      <c r="C4294" s="33" t="s">
        <v>282</v>
      </c>
      <c r="D4294" s="35">
        <f>SUMIFS(D4295:D9015,K4295:K9015,"0",B4295:B9015,"5 1 1 4 1 12 31111 6 M59 40200 000172 0000R 00001*")-SUMIFS(E4295:E9015,K4295:K9015,"0",B4295:B9015,"5 1 1 4 1 12 31111 6 M59 40200 000172 0000R 00001*")</f>
        <v>0</v>
      </c>
      <c r="E4294"/>
      <c r="F4294" s="35">
        <f>SUMIFS(F4295:F9015,K4295:K9015,"0",B4295:B9015,"5 1 1 4 1 12 31111 6 M59 40200 000172 0000R 00001*")</f>
        <v>16014.39</v>
      </c>
      <c r="G4294" s="35">
        <f>SUMIFS(G4295:G9015,K4295:K9015,"0",B4295:B9015,"5 1 1 4 1 12 31111 6 M59 40200 000172 0000R 00001*")</f>
        <v>0</v>
      </c>
      <c r="H4294" s="35">
        <f t="shared" si="68"/>
        <v>16014.39</v>
      </c>
      <c r="I4294" s="35"/>
      <c r="K4294" t="s">
        <v>15</v>
      </c>
    </row>
    <row r="4295" spans="2:11" ht="24.75" x14ac:dyDescent="0.2">
      <c r="B4295" s="33" t="s">
        <v>5240</v>
      </c>
      <c r="C4295" s="33" t="s">
        <v>5174</v>
      </c>
      <c r="D4295" s="35">
        <f>SUMIFS(D4296:D9015,K4296:K9015,"0",B4296:B9015,"5 1 1 4 1 12 31111 6 M59 40200 000172 0000R 00001 00141*")-SUMIFS(E4296:E9015,K4296:K9015,"0",B4296:B9015,"5 1 1 4 1 12 31111 6 M59 40200 000172 0000R 00001 00141*")</f>
        <v>0</v>
      </c>
      <c r="E4295"/>
      <c r="F4295" s="35">
        <f>SUMIFS(F4296:F9015,K4296:K9015,"0",B4296:B9015,"5 1 1 4 1 12 31111 6 M59 40200 000172 0000R 00001 00141*")</f>
        <v>16014.39</v>
      </c>
      <c r="G4295" s="35">
        <f>SUMIFS(G4296:G9015,K4296:K9015,"0",B4296:B9015,"5 1 1 4 1 12 31111 6 M59 40200 000172 0000R 00001 00141*")</f>
        <v>0</v>
      </c>
      <c r="H4295" s="35">
        <f t="shared" si="68"/>
        <v>16014.39</v>
      </c>
      <c r="I4295" s="35"/>
      <c r="K4295" t="s">
        <v>15</v>
      </c>
    </row>
    <row r="4296" spans="2:11" ht="24.75" x14ac:dyDescent="0.2">
      <c r="B4296" s="33" t="s">
        <v>5241</v>
      </c>
      <c r="C4296" s="33" t="s">
        <v>656</v>
      </c>
      <c r="D4296" s="35">
        <f>SUMIFS(D4297:D9015,K4297:K9015,"0",B4297:B9015,"5 1 1 4 1 12 31111 6 M59 40200 000172 0000R 00001 00141 025*")-SUMIFS(E4297:E9015,K4297:K9015,"0",B4297:B9015,"5 1 1 4 1 12 31111 6 M59 40200 000172 0000R 00001 00141 025*")</f>
        <v>0</v>
      </c>
      <c r="E4296"/>
      <c r="F4296" s="35">
        <f>SUMIFS(F4297:F9015,K4297:K9015,"0",B4297:B9015,"5 1 1 4 1 12 31111 6 M59 40200 000172 0000R 00001 00141 025*")</f>
        <v>16014.39</v>
      </c>
      <c r="G4296" s="35">
        <f>SUMIFS(G4297:G9015,K4297:K9015,"0",B4297:B9015,"5 1 1 4 1 12 31111 6 M59 40200 000172 0000R 00001 00141 025*")</f>
        <v>0</v>
      </c>
      <c r="H4296" s="35">
        <f t="shared" si="68"/>
        <v>16014.39</v>
      </c>
      <c r="I4296" s="35"/>
      <c r="K4296" t="s">
        <v>15</v>
      </c>
    </row>
    <row r="4297" spans="2:11" ht="33" x14ac:dyDescent="0.2">
      <c r="B4297" s="33" t="s">
        <v>5242</v>
      </c>
      <c r="C4297" s="33" t="s">
        <v>2927</v>
      </c>
      <c r="D4297" s="35">
        <f>SUMIFS(D4298:D9015,K4298:K9015,"0",B4298:B9015,"5 1 1 4 1 12 31111 6 M59 40200 000172 0000R 00001 00141 025 2111100*")-SUMIFS(E4298:E9015,K4298:K9015,"0",B4298:B9015,"5 1 1 4 1 12 31111 6 M59 40200 000172 0000R 00001 00141 025 2111100*")</f>
        <v>0</v>
      </c>
      <c r="E4297"/>
      <c r="F4297" s="35">
        <f>SUMIFS(F4298:F9015,K4298:K9015,"0",B4298:B9015,"5 1 1 4 1 12 31111 6 M59 40200 000172 0000R 00001 00141 025 2111100*")</f>
        <v>16014.39</v>
      </c>
      <c r="G4297" s="35">
        <f>SUMIFS(G4298:G9015,K4298:K9015,"0",B4298:B9015,"5 1 1 4 1 12 31111 6 M59 40200 000172 0000R 00001 00141 025 2111100*")</f>
        <v>0</v>
      </c>
      <c r="H4297" s="35">
        <f t="shared" si="68"/>
        <v>16014.39</v>
      </c>
      <c r="I4297" s="35"/>
      <c r="K4297" t="s">
        <v>15</v>
      </c>
    </row>
    <row r="4298" spans="2:11" ht="33" x14ac:dyDescent="0.2">
      <c r="B4298" s="33" t="s">
        <v>5243</v>
      </c>
      <c r="C4298" s="33" t="s">
        <v>660</v>
      </c>
      <c r="D4298" s="35">
        <f>SUMIFS(D4299:D9015,K4299:K9015,"0",B4299:B9015,"5 1 1 4 1 12 31111 6 M59 40200 000172 0000R 00001 00141 025 2111100 2024*")-SUMIFS(E4299:E9015,K4299:K9015,"0",B4299:B9015,"5 1 1 4 1 12 31111 6 M59 40200 000172 0000R 00001 00141 025 2111100 2024*")</f>
        <v>0</v>
      </c>
      <c r="E4298"/>
      <c r="F4298" s="35">
        <f>SUMIFS(F4299:F9015,K4299:K9015,"0",B4299:B9015,"5 1 1 4 1 12 31111 6 M59 40200 000172 0000R 00001 00141 025 2111100 2024*")</f>
        <v>16014.39</v>
      </c>
      <c r="G4298" s="35">
        <f>SUMIFS(G4299:G9015,K4299:K9015,"0",B4299:B9015,"5 1 1 4 1 12 31111 6 M59 40200 000172 0000R 00001 00141 025 2111100 2024*")</f>
        <v>0</v>
      </c>
      <c r="H4298" s="35">
        <f t="shared" si="68"/>
        <v>16014.39</v>
      </c>
      <c r="I4298" s="35"/>
      <c r="K4298" t="s">
        <v>15</v>
      </c>
    </row>
    <row r="4299" spans="2:11" ht="41.25" x14ac:dyDescent="0.2">
      <c r="B4299" s="33" t="s">
        <v>5244</v>
      </c>
      <c r="C4299" s="33" t="s">
        <v>1056</v>
      </c>
      <c r="D4299" s="35">
        <f>SUMIFS(D4300:D9015,K4300:K9015,"0",B4300:B9015,"5 1 1 4 1 12 31111 6 M59 40200 000172 0000R 00001 00141 025 2111100 2024 CP4PC370*")-SUMIFS(E4300:E9015,K4300:K9015,"0",B4300:B9015,"5 1 1 4 1 12 31111 6 M59 40200 000172 0000R 00001 00141 025 2111100 2024 CP4PC370*")</f>
        <v>0</v>
      </c>
      <c r="E4299"/>
      <c r="F4299" s="35">
        <f>SUMIFS(F4300:F9015,K4300:K9015,"0",B4300:B9015,"5 1 1 4 1 12 31111 6 M59 40200 000172 0000R 00001 00141 025 2111100 2024 CP4PC370*")</f>
        <v>16014.39</v>
      </c>
      <c r="G4299" s="35">
        <f>SUMIFS(G4300:G9015,K4300:K9015,"0",B4300:B9015,"5 1 1 4 1 12 31111 6 M59 40200 000172 0000R 00001 00141 025 2111100 2024 CP4PC370*")</f>
        <v>0</v>
      </c>
      <c r="H4299" s="35">
        <f t="shared" si="68"/>
        <v>16014.39</v>
      </c>
      <c r="I4299" s="35"/>
      <c r="K4299" t="s">
        <v>15</v>
      </c>
    </row>
    <row r="4300" spans="2:11" ht="41.25" x14ac:dyDescent="0.2">
      <c r="B4300" s="33" t="s">
        <v>5245</v>
      </c>
      <c r="C4300" s="33" t="s">
        <v>664</v>
      </c>
      <c r="D4300" s="35">
        <f>SUMIFS(D4301:D9015,K4301:K9015,"0",B4301:B9015,"5 1 1 4 1 12 31111 6 M59 40200 000172 0000R 00001 00141 025 2111100 2024 CP4PC370 003*")-SUMIFS(E4301:E9015,K4301:K9015,"0",B4301:B9015,"5 1 1 4 1 12 31111 6 M59 40200 000172 0000R 00001 00141 025 2111100 2024 CP4PC370 003*")</f>
        <v>0</v>
      </c>
      <c r="E4300"/>
      <c r="F4300" s="35">
        <f>SUMIFS(F4301:F9015,K4301:K9015,"0",B4301:B9015,"5 1 1 4 1 12 31111 6 M59 40200 000172 0000R 00001 00141 025 2111100 2024 CP4PC370 003*")</f>
        <v>16014.39</v>
      </c>
      <c r="G4300" s="35">
        <f>SUMIFS(G4301:G9015,K4301:K9015,"0",B4301:B9015,"5 1 1 4 1 12 31111 6 M59 40200 000172 0000R 00001 00141 025 2111100 2024 CP4PC370 003*")</f>
        <v>0</v>
      </c>
      <c r="H4300" s="35">
        <f t="shared" si="68"/>
        <v>16014.39</v>
      </c>
      <c r="I4300" s="35"/>
      <c r="K4300" t="s">
        <v>15</v>
      </c>
    </row>
    <row r="4301" spans="2:11" ht="33" x14ac:dyDescent="0.2">
      <c r="B4301" s="31" t="s">
        <v>5246</v>
      </c>
      <c r="C4301" s="31" t="s">
        <v>5164</v>
      </c>
      <c r="D4301" s="34">
        <v>0</v>
      </c>
      <c r="E4301" s="34"/>
      <c r="F4301" s="34">
        <v>16014.39</v>
      </c>
      <c r="G4301" s="34">
        <v>0</v>
      </c>
      <c r="H4301" s="34">
        <f t="shared" si="68"/>
        <v>16014.39</v>
      </c>
      <c r="I4301" s="34"/>
      <c r="K4301" t="s">
        <v>38</v>
      </c>
    </row>
    <row r="4302" spans="2:11" ht="16.5" x14ac:dyDescent="0.2">
      <c r="B4302" s="33" t="s">
        <v>5247</v>
      </c>
      <c r="C4302" s="33" t="s">
        <v>3281</v>
      </c>
      <c r="D4302" s="35">
        <f>SUMIFS(D4303:D9015,K4303:K9015,"0",B4303:B9015,"5 1 1 4 1 12 31111 6 M59 50000*")-SUMIFS(E4303:E9015,K4303:K9015,"0",B4303:B9015,"5 1 1 4 1 12 31111 6 M59 50000*")</f>
        <v>0</v>
      </c>
      <c r="E4302"/>
      <c r="F4302" s="35">
        <f>SUMIFS(F4303:F9015,K4303:K9015,"0",B4303:B9015,"5 1 1 4 1 12 31111 6 M59 50000*")</f>
        <v>61257.919999999998</v>
      </c>
      <c r="G4302" s="35">
        <f>SUMIFS(G4303:G9015,K4303:K9015,"0",B4303:B9015,"5 1 1 4 1 12 31111 6 M59 50000*")</f>
        <v>0</v>
      </c>
      <c r="H4302" s="35">
        <f t="shared" si="68"/>
        <v>61257.919999999998</v>
      </c>
      <c r="I4302" s="35"/>
      <c r="K4302" t="s">
        <v>15</v>
      </c>
    </row>
    <row r="4303" spans="2:11" ht="16.5" x14ac:dyDescent="0.2">
      <c r="B4303" s="33" t="s">
        <v>5248</v>
      </c>
      <c r="C4303" s="33" t="s">
        <v>3283</v>
      </c>
      <c r="D4303" s="35">
        <f>SUMIFS(D4304:D9015,K4304:K9015,"0",B4304:B9015,"5 1 1 4 1 12 31111 6 M59 50000 000223*")-SUMIFS(E4304:E9015,K4304:K9015,"0",B4304:B9015,"5 1 1 4 1 12 31111 6 M59 50000 000223*")</f>
        <v>0</v>
      </c>
      <c r="E4303"/>
      <c r="F4303" s="35">
        <f>SUMIFS(F4304:F9015,K4304:K9015,"0",B4304:B9015,"5 1 1 4 1 12 31111 6 M59 50000 000223*")</f>
        <v>61257.919999999998</v>
      </c>
      <c r="G4303" s="35">
        <f>SUMIFS(G4304:G9015,K4304:K9015,"0",B4304:B9015,"5 1 1 4 1 12 31111 6 M59 50000 000223*")</f>
        <v>0</v>
      </c>
      <c r="H4303" s="35">
        <f t="shared" si="68"/>
        <v>61257.919999999998</v>
      </c>
      <c r="I4303" s="35"/>
      <c r="K4303" t="s">
        <v>15</v>
      </c>
    </row>
    <row r="4304" spans="2:11" ht="16.5" x14ac:dyDescent="0.2">
      <c r="B4304" s="33" t="s">
        <v>5249</v>
      </c>
      <c r="C4304" s="33" t="s">
        <v>1065</v>
      </c>
      <c r="D4304" s="35">
        <f>SUMIFS(D4305:D9015,K4305:K9015,"0",B4305:B9015,"5 1 1 4 1 12 31111 6 M59 50000 000223 0000E*")-SUMIFS(E4305:E9015,K4305:K9015,"0",B4305:B9015,"5 1 1 4 1 12 31111 6 M59 50000 000223 0000E*")</f>
        <v>0</v>
      </c>
      <c r="E4304"/>
      <c r="F4304" s="35">
        <f>SUMIFS(F4305:F9015,K4305:K9015,"0",B4305:B9015,"5 1 1 4 1 12 31111 6 M59 50000 000223 0000E*")</f>
        <v>61257.919999999998</v>
      </c>
      <c r="G4304" s="35">
        <f>SUMIFS(G4305:G9015,K4305:K9015,"0",B4305:B9015,"5 1 1 4 1 12 31111 6 M59 50000 000223 0000E*")</f>
        <v>0</v>
      </c>
      <c r="H4304" s="35">
        <f t="shared" si="68"/>
        <v>61257.919999999998</v>
      </c>
      <c r="I4304" s="35"/>
      <c r="K4304" t="s">
        <v>15</v>
      </c>
    </row>
    <row r="4305" spans="2:11" ht="24.75" x14ac:dyDescent="0.2">
      <c r="B4305" s="33" t="s">
        <v>5250</v>
      </c>
      <c r="C4305" s="33" t="s">
        <v>282</v>
      </c>
      <c r="D4305" s="35">
        <f>SUMIFS(D4306:D9015,K4306:K9015,"0",B4306:B9015,"5 1 1 4 1 12 31111 6 M59 50000 000223 0000E 00001*")-SUMIFS(E4306:E9015,K4306:K9015,"0",B4306:B9015,"5 1 1 4 1 12 31111 6 M59 50000 000223 0000E 00001*")</f>
        <v>0</v>
      </c>
      <c r="E4305"/>
      <c r="F4305" s="35">
        <f>SUMIFS(F4306:F9015,K4306:K9015,"0",B4306:B9015,"5 1 1 4 1 12 31111 6 M59 50000 000223 0000E 00001*")</f>
        <v>61257.919999999998</v>
      </c>
      <c r="G4305" s="35">
        <f>SUMIFS(G4306:G9015,K4306:K9015,"0",B4306:B9015,"5 1 1 4 1 12 31111 6 M59 50000 000223 0000E 00001*")</f>
        <v>0</v>
      </c>
      <c r="H4305" s="35">
        <f t="shared" si="68"/>
        <v>61257.919999999998</v>
      </c>
      <c r="I4305" s="35"/>
      <c r="K4305" t="s">
        <v>15</v>
      </c>
    </row>
    <row r="4306" spans="2:11" ht="24.75" x14ac:dyDescent="0.2">
      <c r="B4306" s="33" t="s">
        <v>5251</v>
      </c>
      <c r="C4306" s="33" t="s">
        <v>5174</v>
      </c>
      <c r="D4306" s="35">
        <f>SUMIFS(D4307:D9015,K4307:K9015,"0",B4307:B9015,"5 1 1 4 1 12 31111 6 M59 50000 000223 0000E 00001 00141*")-SUMIFS(E4307:E9015,K4307:K9015,"0",B4307:B9015,"5 1 1 4 1 12 31111 6 M59 50000 000223 0000E 00001 00141*")</f>
        <v>0</v>
      </c>
      <c r="E4306"/>
      <c r="F4306" s="35">
        <f>SUMIFS(F4307:F9015,K4307:K9015,"0",B4307:B9015,"5 1 1 4 1 12 31111 6 M59 50000 000223 0000E 00001 00141*")</f>
        <v>61257.919999999998</v>
      </c>
      <c r="G4306" s="35">
        <f>SUMIFS(G4307:G9015,K4307:K9015,"0",B4307:B9015,"5 1 1 4 1 12 31111 6 M59 50000 000223 0000E 00001 00141*")</f>
        <v>0</v>
      </c>
      <c r="H4306" s="35">
        <f t="shared" si="68"/>
        <v>61257.919999999998</v>
      </c>
      <c r="I4306" s="35"/>
      <c r="K4306" t="s">
        <v>15</v>
      </c>
    </row>
    <row r="4307" spans="2:11" ht="24.75" x14ac:dyDescent="0.2">
      <c r="B4307" s="33" t="s">
        <v>5252</v>
      </c>
      <c r="C4307" s="33" t="s">
        <v>1051</v>
      </c>
      <c r="D4307" s="35">
        <f>SUMIFS(D4308:D9015,K4308:K9015,"0",B4308:B9015,"5 1 1 4 1 12 31111 6 M59 50000 000223 0000E 00001 00141 015*")-SUMIFS(E4308:E9015,K4308:K9015,"0",B4308:B9015,"5 1 1 4 1 12 31111 6 M59 50000 000223 0000E 00001 00141 015*")</f>
        <v>0</v>
      </c>
      <c r="E4307"/>
      <c r="F4307" s="35">
        <f>SUMIFS(F4308:F9015,K4308:K9015,"0",B4308:B9015,"5 1 1 4 1 12 31111 6 M59 50000 000223 0000E 00001 00141 015*")</f>
        <v>61257.919999999998</v>
      </c>
      <c r="G4307" s="35">
        <f>SUMIFS(G4308:G9015,K4308:K9015,"0",B4308:B9015,"5 1 1 4 1 12 31111 6 M59 50000 000223 0000E 00001 00141 015*")</f>
        <v>0</v>
      </c>
      <c r="H4307" s="35">
        <f t="shared" si="68"/>
        <v>61257.919999999998</v>
      </c>
      <c r="I4307" s="35"/>
      <c r="K4307" t="s">
        <v>15</v>
      </c>
    </row>
    <row r="4308" spans="2:11" ht="33" x14ac:dyDescent="0.2">
      <c r="B4308" s="33" t="s">
        <v>5253</v>
      </c>
      <c r="C4308" s="33" t="s">
        <v>2927</v>
      </c>
      <c r="D4308" s="35">
        <f>SUMIFS(D4309:D9015,K4309:K9015,"0",B4309:B9015,"5 1 1 4 1 12 31111 6 M59 50000 000223 0000E 00001 00141 015 2111100*")-SUMIFS(E4309:E9015,K4309:K9015,"0",B4309:B9015,"5 1 1 4 1 12 31111 6 M59 50000 000223 0000E 00001 00141 015 2111100*")</f>
        <v>0</v>
      </c>
      <c r="E4308"/>
      <c r="F4308" s="35">
        <f>SUMIFS(F4309:F9015,K4309:K9015,"0",B4309:B9015,"5 1 1 4 1 12 31111 6 M59 50000 000223 0000E 00001 00141 015 2111100*")</f>
        <v>61257.919999999998</v>
      </c>
      <c r="G4308" s="35">
        <f>SUMIFS(G4309:G9015,K4309:K9015,"0",B4309:B9015,"5 1 1 4 1 12 31111 6 M59 50000 000223 0000E 00001 00141 015 2111100*")</f>
        <v>0</v>
      </c>
      <c r="H4308" s="35">
        <f t="shared" si="68"/>
        <v>61257.919999999998</v>
      </c>
      <c r="I4308" s="35"/>
      <c r="K4308" t="s">
        <v>15</v>
      </c>
    </row>
    <row r="4309" spans="2:11" ht="33" x14ac:dyDescent="0.2">
      <c r="B4309" s="33" t="s">
        <v>5254</v>
      </c>
      <c r="C4309" s="33" t="s">
        <v>660</v>
      </c>
      <c r="D4309" s="35">
        <f>SUMIFS(D4310:D9015,K4310:K9015,"0",B4310:B9015,"5 1 1 4 1 12 31111 6 M59 50000 000223 0000E 00001 00141 015 2111100 2024*")-SUMIFS(E4310:E9015,K4310:K9015,"0",B4310:B9015,"5 1 1 4 1 12 31111 6 M59 50000 000223 0000E 00001 00141 015 2111100 2024*")</f>
        <v>0</v>
      </c>
      <c r="E4309"/>
      <c r="F4309" s="35">
        <f>SUMIFS(F4310:F9015,K4310:K9015,"0",B4310:B9015,"5 1 1 4 1 12 31111 6 M59 50000 000223 0000E 00001 00141 015 2111100 2024*")</f>
        <v>61257.919999999998</v>
      </c>
      <c r="G4309" s="35">
        <f>SUMIFS(G4310:G9015,K4310:K9015,"0",B4310:B9015,"5 1 1 4 1 12 31111 6 M59 50000 000223 0000E 00001 00141 015 2111100 2024*")</f>
        <v>0</v>
      </c>
      <c r="H4309" s="35">
        <f t="shared" si="68"/>
        <v>61257.919999999998</v>
      </c>
      <c r="I4309" s="35"/>
      <c r="K4309" t="s">
        <v>15</v>
      </c>
    </row>
    <row r="4310" spans="2:11" ht="41.25" x14ac:dyDescent="0.2">
      <c r="B4310" s="33" t="s">
        <v>5255</v>
      </c>
      <c r="C4310" s="33" t="s">
        <v>662</v>
      </c>
      <c r="D4310" s="35">
        <f>SUMIFS(D4311:D9015,K4311:K9015,"0",B4311:B9015,"5 1 1 4 1 12 31111 6 M59 50000 000223 0000E 00001 00141 015 2111100 2024 CP1DA424*")-SUMIFS(E4311:E9015,K4311:K9015,"0",B4311:B9015,"5 1 1 4 1 12 31111 6 M59 50000 000223 0000E 00001 00141 015 2111100 2024 CP1DA424*")</f>
        <v>0</v>
      </c>
      <c r="E4310"/>
      <c r="F4310" s="35">
        <f>SUMIFS(F4311:F9015,K4311:K9015,"0",B4311:B9015,"5 1 1 4 1 12 31111 6 M59 50000 000223 0000E 00001 00141 015 2111100 2024 CP1DA424*")</f>
        <v>61257.919999999998</v>
      </c>
      <c r="G4310" s="35">
        <f>SUMIFS(G4311:G9015,K4311:K9015,"0",B4311:B9015,"5 1 1 4 1 12 31111 6 M59 50000 000223 0000E 00001 00141 015 2111100 2024 CP1DA424*")</f>
        <v>0</v>
      </c>
      <c r="H4310" s="35">
        <f t="shared" si="68"/>
        <v>61257.919999999998</v>
      </c>
      <c r="I4310" s="35"/>
      <c r="K4310" t="s">
        <v>15</v>
      </c>
    </row>
    <row r="4311" spans="2:11" ht="41.25" x14ac:dyDescent="0.2">
      <c r="B4311" s="33" t="s">
        <v>5256</v>
      </c>
      <c r="C4311" s="33" t="s">
        <v>282</v>
      </c>
      <c r="D4311" s="35">
        <f>SUMIFS(D4312:D9015,K4312:K9015,"0",B4312:B9015,"5 1 1 4 1 12 31111 6 M59 50000 000223 0000E 00001 00141 015 2111100 2024 CP1DA424 001*")-SUMIFS(E4312:E9015,K4312:K9015,"0",B4312:B9015,"5 1 1 4 1 12 31111 6 M59 50000 000223 0000E 00001 00141 015 2111100 2024 CP1DA424 001*")</f>
        <v>0</v>
      </c>
      <c r="E4311"/>
      <c r="F4311" s="35">
        <f>SUMIFS(F4312:F9015,K4312:K9015,"0",B4312:B9015,"5 1 1 4 1 12 31111 6 M59 50000 000223 0000E 00001 00141 015 2111100 2024 CP1DA424 001*")</f>
        <v>61257.919999999998</v>
      </c>
      <c r="G4311" s="35">
        <f>SUMIFS(G4312:G9015,K4312:K9015,"0",B4312:B9015,"5 1 1 4 1 12 31111 6 M59 50000 000223 0000E 00001 00141 015 2111100 2024 CP1DA424 001*")</f>
        <v>0</v>
      </c>
      <c r="H4311" s="35">
        <f t="shared" si="68"/>
        <v>61257.919999999998</v>
      </c>
      <c r="I4311" s="35"/>
      <c r="K4311" t="s">
        <v>15</v>
      </c>
    </row>
    <row r="4312" spans="2:11" ht="33" x14ac:dyDescent="0.2">
      <c r="B4312" s="31" t="s">
        <v>5257</v>
      </c>
      <c r="C4312" s="31" t="s">
        <v>5164</v>
      </c>
      <c r="D4312" s="34">
        <v>0</v>
      </c>
      <c r="E4312" s="34"/>
      <c r="F4312" s="34">
        <v>61257.919999999998</v>
      </c>
      <c r="G4312" s="34">
        <v>0</v>
      </c>
      <c r="H4312" s="34">
        <f t="shared" si="68"/>
        <v>61257.919999999998</v>
      </c>
      <c r="I4312" s="34"/>
      <c r="K4312" t="s">
        <v>38</v>
      </c>
    </row>
    <row r="4313" spans="2:11" ht="16.5" x14ac:dyDescent="0.2">
      <c r="B4313" s="33" t="s">
        <v>5258</v>
      </c>
      <c r="C4313" s="33" t="s">
        <v>1269</v>
      </c>
      <c r="D4313" s="35">
        <f>SUMIFS(D4314:D9015,K4314:K9015,"0",B4314:B9015,"5 1 1 4 1 12 31111 6 M59 60100*")-SUMIFS(E4314:E9015,K4314:K9015,"0",B4314:B9015,"5 1 1 4 1 12 31111 6 M59 60100*")</f>
        <v>0</v>
      </c>
      <c r="E4313"/>
      <c r="F4313" s="35">
        <f>SUMIFS(F4314:F9015,K4314:K9015,"0",B4314:B9015,"5 1 1 4 1 12 31111 6 M59 60100*")</f>
        <v>24403.71</v>
      </c>
      <c r="G4313" s="35">
        <f>SUMIFS(G4314:G9015,K4314:K9015,"0",B4314:B9015,"5 1 1 4 1 12 31111 6 M59 60100*")</f>
        <v>0</v>
      </c>
      <c r="H4313" s="35">
        <f t="shared" si="68"/>
        <v>24403.71</v>
      </c>
      <c r="I4313" s="35"/>
      <c r="K4313" t="s">
        <v>15</v>
      </c>
    </row>
    <row r="4314" spans="2:11" ht="16.5" x14ac:dyDescent="0.2">
      <c r="B4314" s="33" t="s">
        <v>5259</v>
      </c>
      <c r="C4314" s="33" t="s">
        <v>648</v>
      </c>
      <c r="D4314" s="35">
        <f>SUMIFS(D4315:D9015,K4315:K9015,"0",B4315:B9015,"5 1 1 4 1 12 31111 6 M59 60100 000132*")-SUMIFS(E4315:E9015,K4315:K9015,"0",B4315:B9015,"5 1 1 4 1 12 31111 6 M59 60100 000132*")</f>
        <v>0</v>
      </c>
      <c r="E4314"/>
      <c r="F4314" s="35">
        <f>SUMIFS(F4315:F9015,K4315:K9015,"0",B4315:B9015,"5 1 1 4 1 12 31111 6 M59 60100 000132*")</f>
        <v>24403.71</v>
      </c>
      <c r="G4314" s="35">
        <f>SUMIFS(G4315:G9015,K4315:K9015,"0",B4315:B9015,"5 1 1 4 1 12 31111 6 M59 60100 000132*")</f>
        <v>0</v>
      </c>
      <c r="H4314" s="35">
        <f t="shared" si="68"/>
        <v>24403.71</v>
      </c>
      <c r="I4314" s="35"/>
      <c r="K4314" t="s">
        <v>15</v>
      </c>
    </row>
    <row r="4315" spans="2:11" ht="16.5" x14ac:dyDescent="0.2">
      <c r="B4315" s="33" t="s">
        <v>5260</v>
      </c>
      <c r="C4315" s="33" t="s">
        <v>650</v>
      </c>
      <c r="D4315" s="35">
        <f>SUMIFS(D4316:D9015,K4316:K9015,"0",B4316:B9015,"5 1 1 4 1 12 31111 6 M59 60100 000132 0000R*")-SUMIFS(E4316:E9015,K4316:K9015,"0",B4316:B9015,"5 1 1 4 1 12 31111 6 M59 60100 000132 0000R*")</f>
        <v>0</v>
      </c>
      <c r="E4315"/>
      <c r="F4315" s="35">
        <f>SUMIFS(F4316:F9015,K4316:K9015,"0",B4316:B9015,"5 1 1 4 1 12 31111 6 M59 60100 000132 0000R*")</f>
        <v>24403.71</v>
      </c>
      <c r="G4315" s="35">
        <f>SUMIFS(G4316:G9015,K4316:K9015,"0",B4316:B9015,"5 1 1 4 1 12 31111 6 M59 60100 000132 0000R*")</f>
        <v>0</v>
      </c>
      <c r="H4315" s="35">
        <f t="shared" si="68"/>
        <v>24403.71</v>
      </c>
      <c r="I4315" s="35"/>
      <c r="K4315" t="s">
        <v>15</v>
      </c>
    </row>
    <row r="4316" spans="2:11" ht="24.75" x14ac:dyDescent="0.2">
      <c r="B4316" s="33" t="s">
        <v>5261</v>
      </c>
      <c r="C4316" s="33" t="s">
        <v>282</v>
      </c>
      <c r="D4316" s="35">
        <f>SUMIFS(D4317:D9015,K4317:K9015,"0",B4317:B9015,"5 1 1 4 1 12 31111 6 M59 60100 000132 0000R 00001*")-SUMIFS(E4317:E9015,K4317:K9015,"0",B4317:B9015,"5 1 1 4 1 12 31111 6 M59 60100 000132 0000R 00001*")</f>
        <v>0</v>
      </c>
      <c r="E4316"/>
      <c r="F4316" s="35">
        <f>SUMIFS(F4317:F9015,K4317:K9015,"0",B4317:B9015,"5 1 1 4 1 12 31111 6 M59 60100 000132 0000R 00001*")</f>
        <v>24403.71</v>
      </c>
      <c r="G4316" s="35">
        <f>SUMIFS(G4317:G9015,K4317:K9015,"0",B4317:B9015,"5 1 1 4 1 12 31111 6 M59 60100 000132 0000R 00001*")</f>
        <v>0</v>
      </c>
      <c r="H4316" s="35">
        <f t="shared" si="68"/>
        <v>24403.71</v>
      </c>
      <c r="I4316" s="35"/>
      <c r="K4316" t="s">
        <v>15</v>
      </c>
    </row>
    <row r="4317" spans="2:11" ht="24.75" x14ac:dyDescent="0.2">
      <c r="B4317" s="33" t="s">
        <v>5262</v>
      </c>
      <c r="C4317" s="33" t="s">
        <v>5174</v>
      </c>
      <c r="D4317" s="35">
        <f>SUMIFS(D4318:D9015,K4318:K9015,"0",B4318:B9015,"5 1 1 4 1 12 31111 6 M59 60100 000132 0000R 00001 00141*")-SUMIFS(E4318:E9015,K4318:K9015,"0",B4318:B9015,"5 1 1 4 1 12 31111 6 M59 60100 000132 0000R 00001 00141*")</f>
        <v>0</v>
      </c>
      <c r="E4317"/>
      <c r="F4317" s="35">
        <f>SUMIFS(F4318:F9015,K4318:K9015,"0",B4318:B9015,"5 1 1 4 1 12 31111 6 M59 60100 000132 0000R 00001 00141*")</f>
        <v>24403.71</v>
      </c>
      <c r="G4317" s="35">
        <f>SUMIFS(G4318:G9015,K4318:K9015,"0",B4318:B9015,"5 1 1 4 1 12 31111 6 M59 60100 000132 0000R 00001 00141*")</f>
        <v>0</v>
      </c>
      <c r="H4317" s="35">
        <f t="shared" si="68"/>
        <v>24403.71</v>
      </c>
      <c r="I4317" s="35"/>
      <c r="K4317" t="s">
        <v>15</v>
      </c>
    </row>
    <row r="4318" spans="2:11" ht="24.75" x14ac:dyDescent="0.2">
      <c r="B4318" s="33" t="s">
        <v>5263</v>
      </c>
      <c r="C4318" s="33" t="s">
        <v>1051</v>
      </c>
      <c r="D4318" s="35">
        <f>SUMIFS(D4319:D9015,K4319:K9015,"0",B4319:B9015,"5 1 1 4 1 12 31111 6 M59 60100 000132 0000R 00001 00141 015*")-SUMIFS(E4319:E9015,K4319:K9015,"0",B4319:B9015,"5 1 1 4 1 12 31111 6 M59 60100 000132 0000R 00001 00141 015*")</f>
        <v>0</v>
      </c>
      <c r="E4318"/>
      <c r="F4318" s="35">
        <f>SUMIFS(F4319:F9015,K4319:K9015,"0",B4319:B9015,"5 1 1 4 1 12 31111 6 M59 60100 000132 0000R 00001 00141 015*")</f>
        <v>24403.71</v>
      </c>
      <c r="G4318" s="35">
        <f>SUMIFS(G4319:G9015,K4319:K9015,"0",B4319:B9015,"5 1 1 4 1 12 31111 6 M59 60100 000132 0000R 00001 00141 015*")</f>
        <v>0</v>
      </c>
      <c r="H4318" s="35">
        <f t="shared" si="68"/>
        <v>24403.71</v>
      </c>
      <c r="I4318" s="35"/>
      <c r="K4318" t="s">
        <v>15</v>
      </c>
    </row>
    <row r="4319" spans="2:11" ht="33" x14ac:dyDescent="0.2">
      <c r="B4319" s="33" t="s">
        <v>5264</v>
      </c>
      <c r="C4319" s="33" t="s">
        <v>2927</v>
      </c>
      <c r="D4319" s="35">
        <f>SUMIFS(D4320:D9015,K4320:K9015,"0",B4320:B9015,"5 1 1 4 1 12 31111 6 M59 60100 000132 0000R 00001 00141 015 2111100*")-SUMIFS(E4320:E9015,K4320:K9015,"0",B4320:B9015,"5 1 1 4 1 12 31111 6 M59 60100 000132 0000R 00001 00141 015 2111100*")</f>
        <v>0</v>
      </c>
      <c r="E4319"/>
      <c r="F4319" s="35">
        <f>SUMIFS(F4320:F9015,K4320:K9015,"0",B4320:B9015,"5 1 1 4 1 12 31111 6 M59 60100 000132 0000R 00001 00141 015 2111100*")</f>
        <v>24403.71</v>
      </c>
      <c r="G4319" s="35">
        <f>SUMIFS(G4320:G9015,K4320:K9015,"0",B4320:B9015,"5 1 1 4 1 12 31111 6 M59 60100 000132 0000R 00001 00141 015 2111100*")</f>
        <v>0</v>
      </c>
      <c r="H4319" s="35">
        <f t="shared" si="68"/>
        <v>24403.71</v>
      </c>
      <c r="I4319" s="35"/>
      <c r="K4319" t="s">
        <v>15</v>
      </c>
    </row>
    <row r="4320" spans="2:11" ht="33" x14ac:dyDescent="0.2">
      <c r="B4320" s="33" t="s">
        <v>5265</v>
      </c>
      <c r="C4320" s="33" t="s">
        <v>660</v>
      </c>
      <c r="D4320" s="35">
        <f>SUMIFS(D4321:D9015,K4321:K9015,"0",B4321:B9015,"5 1 1 4 1 12 31111 6 M59 60100 000132 0000R 00001 00141 015 2111100 2024*")-SUMIFS(E4321:E9015,K4321:K9015,"0",B4321:B9015,"5 1 1 4 1 12 31111 6 M59 60100 000132 0000R 00001 00141 015 2111100 2024*")</f>
        <v>0</v>
      </c>
      <c r="E4320"/>
      <c r="F4320" s="35">
        <f>SUMIFS(F4321:F9015,K4321:K9015,"0",B4321:B9015,"5 1 1 4 1 12 31111 6 M59 60100 000132 0000R 00001 00141 015 2111100 2024*")</f>
        <v>24403.71</v>
      </c>
      <c r="G4320" s="35">
        <f>SUMIFS(G4321:G9015,K4321:K9015,"0",B4321:B9015,"5 1 1 4 1 12 31111 6 M59 60100 000132 0000R 00001 00141 015 2111100 2024*")</f>
        <v>0</v>
      </c>
      <c r="H4320" s="35">
        <f t="shared" si="68"/>
        <v>24403.71</v>
      </c>
      <c r="I4320" s="35"/>
      <c r="K4320" t="s">
        <v>15</v>
      </c>
    </row>
    <row r="4321" spans="2:11" ht="41.25" x14ac:dyDescent="0.2">
      <c r="B4321" s="33" t="s">
        <v>5266</v>
      </c>
      <c r="C4321" s="33" t="s">
        <v>1056</v>
      </c>
      <c r="D4321" s="35">
        <f>SUMIFS(D4322:D9015,K4322:K9015,"0",B4322:B9015,"5 1 1 4 1 12 31111 6 M59 60100 000132 0000R 00001 00141 015 2111100 2024 CP1DM394*")-SUMIFS(E4322:E9015,K4322:K9015,"0",B4322:B9015,"5 1 1 4 1 12 31111 6 M59 60100 000132 0000R 00001 00141 015 2111100 2024 CP1DM394*")</f>
        <v>0</v>
      </c>
      <c r="E4321"/>
      <c r="F4321" s="35">
        <f>SUMIFS(F4322:F9015,K4322:K9015,"0",B4322:B9015,"5 1 1 4 1 12 31111 6 M59 60100 000132 0000R 00001 00141 015 2111100 2024 CP1DM394*")</f>
        <v>24403.71</v>
      </c>
      <c r="G4321" s="35">
        <f>SUMIFS(G4322:G9015,K4322:K9015,"0",B4322:B9015,"5 1 1 4 1 12 31111 6 M59 60100 000132 0000R 00001 00141 015 2111100 2024 CP1DM394*")</f>
        <v>0</v>
      </c>
      <c r="H4321" s="35">
        <f t="shared" si="68"/>
        <v>24403.71</v>
      </c>
      <c r="I4321" s="35"/>
      <c r="K4321" t="s">
        <v>15</v>
      </c>
    </row>
    <row r="4322" spans="2:11" ht="41.25" x14ac:dyDescent="0.2">
      <c r="B4322" s="33" t="s">
        <v>5267</v>
      </c>
      <c r="C4322" s="33" t="s">
        <v>282</v>
      </c>
      <c r="D4322" s="35">
        <f>SUMIFS(D4323:D9015,K4323:K9015,"0",B4323:B9015,"5 1 1 4 1 12 31111 6 M59 60100 000132 0000R 00001 00141 015 2111100 2024 CP1DM394 001*")-SUMIFS(E4323:E9015,K4323:K9015,"0",B4323:B9015,"5 1 1 4 1 12 31111 6 M59 60100 000132 0000R 00001 00141 015 2111100 2024 CP1DM394 001*")</f>
        <v>0</v>
      </c>
      <c r="E4322"/>
      <c r="F4322" s="35">
        <f>SUMIFS(F4323:F9015,K4323:K9015,"0",B4323:B9015,"5 1 1 4 1 12 31111 6 M59 60100 000132 0000R 00001 00141 015 2111100 2024 CP1DM394 001*")</f>
        <v>24403.71</v>
      </c>
      <c r="G4322" s="35">
        <f>SUMIFS(G4323:G9015,K4323:K9015,"0",B4323:B9015,"5 1 1 4 1 12 31111 6 M59 60100 000132 0000R 00001 00141 015 2111100 2024 CP1DM394 001*")</f>
        <v>0</v>
      </c>
      <c r="H4322" s="35">
        <f t="shared" si="68"/>
        <v>24403.71</v>
      </c>
      <c r="I4322" s="35"/>
      <c r="K4322" t="s">
        <v>15</v>
      </c>
    </row>
    <row r="4323" spans="2:11" ht="33" x14ac:dyDescent="0.2">
      <c r="B4323" s="31" t="s">
        <v>5268</v>
      </c>
      <c r="C4323" s="31" t="s">
        <v>5164</v>
      </c>
      <c r="D4323" s="34">
        <v>0</v>
      </c>
      <c r="E4323" s="34"/>
      <c r="F4323" s="34">
        <v>24403.71</v>
      </c>
      <c r="G4323" s="34">
        <v>0</v>
      </c>
      <c r="H4323" s="34">
        <f t="shared" si="68"/>
        <v>24403.71</v>
      </c>
      <c r="I4323" s="34"/>
      <c r="K4323" t="s">
        <v>38</v>
      </c>
    </row>
    <row r="4324" spans="2:11" ht="16.5" x14ac:dyDescent="0.2">
      <c r="B4324" s="33" t="s">
        <v>5269</v>
      </c>
      <c r="C4324" s="33" t="s">
        <v>3377</v>
      </c>
      <c r="D4324" s="35">
        <f>SUMIFS(D4325:D9015,K4325:K9015,"0",B4325:B9015,"5 1 1 4 1 12 31111 6 M59 70000*")-SUMIFS(E4325:E9015,K4325:K9015,"0",B4325:B9015,"5 1 1 4 1 12 31111 6 M59 70000*")</f>
        <v>0</v>
      </c>
      <c r="E4324"/>
      <c r="F4324" s="35">
        <f>SUMIFS(F4325:F9015,K4325:K9015,"0",B4325:B9015,"5 1 1 4 1 12 31111 6 M59 70000*")</f>
        <v>15131.21</v>
      </c>
      <c r="G4324" s="35">
        <f>SUMIFS(G4325:G9015,K4325:K9015,"0",B4325:B9015,"5 1 1 4 1 12 31111 6 M59 70000*")</f>
        <v>0</v>
      </c>
      <c r="H4324" s="35">
        <f t="shared" si="68"/>
        <v>15131.21</v>
      </c>
      <c r="I4324" s="35"/>
      <c r="K4324" t="s">
        <v>15</v>
      </c>
    </row>
    <row r="4325" spans="2:11" ht="16.5" x14ac:dyDescent="0.2">
      <c r="B4325" s="33" t="s">
        <v>5270</v>
      </c>
      <c r="C4325" s="33" t="s">
        <v>648</v>
      </c>
      <c r="D4325" s="35">
        <f>SUMIFS(D4326:D9015,K4326:K9015,"0",B4326:B9015,"5 1 1 4 1 12 31111 6 M59 70000 000132*")-SUMIFS(E4326:E9015,K4326:K9015,"0",B4326:B9015,"5 1 1 4 1 12 31111 6 M59 70000 000132*")</f>
        <v>0</v>
      </c>
      <c r="E4325"/>
      <c r="F4325" s="35">
        <f>SUMIFS(F4326:F9015,K4326:K9015,"0",B4326:B9015,"5 1 1 4 1 12 31111 6 M59 70000 000132*")</f>
        <v>15131.21</v>
      </c>
      <c r="G4325" s="35">
        <f>SUMIFS(G4326:G9015,K4326:K9015,"0",B4326:B9015,"5 1 1 4 1 12 31111 6 M59 70000 000132*")</f>
        <v>0</v>
      </c>
      <c r="H4325" s="35">
        <f t="shared" si="68"/>
        <v>15131.21</v>
      </c>
      <c r="I4325" s="35"/>
      <c r="K4325" t="s">
        <v>15</v>
      </c>
    </row>
    <row r="4326" spans="2:11" ht="16.5" x14ac:dyDescent="0.2">
      <c r="B4326" s="33" t="s">
        <v>5271</v>
      </c>
      <c r="C4326" s="33" t="s">
        <v>650</v>
      </c>
      <c r="D4326" s="35">
        <f>SUMIFS(D4327:D9015,K4327:K9015,"0",B4327:B9015,"5 1 1 4 1 12 31111 6 M59 70000 000132 0000R*")-SUMIFS(E4327:E9015,K4327:K9015,"0",B4327:B9015,"5 1 1 4 1 12 31111 6 M59 70000 000132 0000R*")</f>
        <v>0</v>
      </c>
      <c r="E4326"/>
      <c r="F4326" s="35">
        <f>SUMIFS(F4327:F9015,K4327:K9015,"0",B4327:B9015,"5 1 1 4 1 12 31111 6 M59 70000 000132 0000R*")</f>
        <v>15131.21</v>
      </c>
      <c r="G4326" s="35">
        <f>SUMIFS(G4327:G9015,K4327:K9015,"0",B4327:B9015,"5 1 1 4 1 12 31111 6 M59 70000 000132 0000R*")</f>
        <v>0</v>
      </c>
      <c r="H4326" s="35">
        <f t="shared" si="68"/>
        <v>15131.21</v>
      </c>
      <c r="I4326" s="35"/>
      <c r="K4326" t="s">
        <v>15</v>
      </c>
    </row>
    <row r="4327" spans="2:11" ht="24.75" x14ac:dyDescent="0.2">
      <c r="B4327" s="33" t="s">
        <v>5272</v>
      </c>
      <c r="C4327" s="33" t="s">
        <v>282</v>
      </c>
      <c r="D4327" s="35">
        <f>SUMIFS(D4328:D9015,K4328:K9015,"0",B4328:B9015,"5 1 1 4 1 12 31111 6 M59 70000 000132 0000R 00001*")-SUMIFS(E4328:E9015,K4328:K9015,"0",B4328:B9015,"5 1 1 4 1 12 31111 6 M59 70000 000132 0000R 00001*")</f>
        <v>0</v>
      </c>
      <c r="E4327"/>
      <c r="F4327" s="35">
        <f>SUMIFS(F4328:F9015,K4328:K9015,"0",B4328:B9015,"5 1 1 4 1 12 31111 6 M59 70000 000132 0000R 00001*")</f>
        <v>15131.21</v>
      </c>
      <c r="G4327" s="35">
        <f>SUMIFS(G4328:G9015,K4328:K9015,"0",B4328:B9015,"5 1 1 4 1 12 31111 6 M59 70000 000132 0000R 00001*")</f>
        <v>0</v>
      </c>
      <c r="H4327" s="35">
        <f t="shared" si="68"/>
        <v>15131.21</v>
      </c>
      <c r="I4327" s="35"/>
      <c r="K4327" t="s">
        <v>15</v>
      </c>
    </row>
    <row r="4328" spans="2:11" ht="24.75" x14ac:dyDescent="0.2">
      <c r="B4328" s="33" t="s">
        <v>5273</v>
      </c>
      <c r="C4328" s="33" t="s">
        <v>5174</v>
      </c>
      <c r="D4328" s="35">
        <f>SUMIFS(D4329:D9015,K4329:K9015,"0",B4329:B9015,"5 1 1 4 1 12 31111 6 M59 70000 000132 0000R 00001 00141*")-SUMIFS(E4329:E9015,K4329:K9015,"0",B4329:B9015,"5 1 1 4 1 12 31111 6 M59 70000 000132 0000R 00001 00141*")</f>
        <v>0</v>
      </c>
      <c r="E4328"/>
      <c r="F4328" s="35">
        <f>SUMIFS(F4329:F9015,K4329:K9015,"0",B4329:B9015,"5 1 1 4 1 12 31111 6 M59 70000 000132 0000R 00001 00141*")</f>
        <v>15131.21</v>
      </c>
      <c r="G4328" s="35">
        <f>SUMIFS(G4329:G9015,K4329:K9015,"0",B4329:B9015,"5 1 1 4 1 12 31111 6 M59 70000 000132 0000R 00001 00141*")</f>
        <v>0</v>
      </c>
      <c r="H4328" s="35">
        <f t="shared" si="68"/>
        <v>15131.21</v>
      </c>
      <c r="I4328" s="35"/>
      <c r="K4328" t="s">
        <v>15</v>
      </c>
    </row>
    <row r="4329" spans="2:11" ht="24.75" x14ac:dyDescent="0.2">
      <c r="B4329" s="33" t="s">
        <v>5274</v>
      </c>
      <c r="C4329" s="33" t="s">
        <v>1051</v>
      </c>
      <c r="D4329" s="35">
        <f>SUMIFS(D4330:D9015,K4330:K9015,"0",B4330:B9015,"5 1 1 4 1 12 31111 6 M59 70000 000132 0000R 00001 00141 015*")-SUMIFS(E4330:E9015,K4330:K9015,"0",B4330:B9015,"5 1 1 4 1 12 31111 6 M59 70000 000132 0000R 00001 00141 015*")</f>
        <v>0</v>
      </c>
      <c r="E4329"/>
      <c r="F4329" s="35">
        <f>SUMIFS(F4330:F9015,K4330:K9015,"0",B4330:B9015,"5 1 1 4 1 12 31111 6 M59 70000 000132 0000R 00001 00141 015*")</f>
        <v>15131.21</v>
      </c>
      <c r="G4329" s="35">
        <f>SUMIFS(G4330:G9015,K4330:K9015,"0",B4330:B9015,"5 1 1 4 1 12 31111 6 M59 70000 000132 0000R 00001 00141 015*")</f>
        <v>0</v>
      </c>
      <c r="H4329" s="35">
        <f t="shared" si="68"/>
        <v>15131.21</v>
      </c>
      <c r="I4329" s="35"/>
      <c r="K4329" t="s">
        <v>15</v>
      </c>
    </row>
    <row r="4330" spans="2:11" ht="33" x14ac:dyDescent="0.2">
      <c r="B4330" s="33" t="s">
        <v>5275</v>
      </c>
      <c r="C4330" s="33" t="s">
        <v>2927</v>
      </c>
      <c r="D4330" s="35">
        <f>SUMIFS(D4331:D9015,K4331:K9015,"0",B4331:B9015,"5 1 1 4 1 12 31111 6 M59 70000 000132 0000R 00001 00141 015 2111100*")-SUMIFS(E4331:E9015,K4331:K9015,"0",B4331:B9015,"5 1 1 4 1 12 31111 6 M59 70000 000132 0000R 00001 00141 015 2111100*")</f>
        <v>0</v>
      </c>
      <c r="E4330"/>
      <c r="F4330" s="35">
        <f>SUMIFS(F4331:F9015,K4331:K9015,"0",B4331:B9015,"5 1 1 4 1 12 31111 6 M59 70000 000132 0000R 00001 00141 015 2111100*")</f>
        <v>15131.21</v>
      </c>
      <c r="G4330" s="35">
        <f>SUMIFS(G4331:G9015,K4331:K9015,"0",B4331:B9015,"5 1 1 4 1 12 31111 6 M59 70000 000132 0000R 00001 00141 015 2111100*")</f>
        <v>0</v>
      </c>
      <c r="H4330" s="35">
        <f t="shared" si="68"/>
        <v>15131.21</v>
      </c>
      <c r="I4330" s="35"/>
      <c r="K4330" t="s">
        <v>15</v>
      </c>
    </row>
    <row r="4331" spans="2:11" ht="33" x14ac:dyDescent="0.2">
      <c r="B4331" s="33" t="s">
        <v>5276</v>
      </c>
      <c r="C4331" s="33" t="s">
        <v>660</v>
      </c>
      <c r="D4331" s="35">
        <f>SUMIFS(D4332:D9015,K4332:K9015,"0",B4332:B9015,"5 1 1 4 1 12 31111 6 M59 70000 000132 0000R 00001 00141 015 2111100 2024*")-SUMIFS(E4332:E9015,K4332:K9015,"0",B4332:B9015,"5 1 1 4 1 12 31111 6 M59 70000 000132 0000R 00001 00141 015 2111100 2024*")</f>
        <v>0</v>
      </c>
      <c r="E4331"/>
      <c r="F4331" s="35">
        <f>SUMIFS(F4332:F9015,K4332:K9015,"0",B4332:B9015,"5 1 1 4 1 12 31111 6 M59 70000 000132 0000R 00001 00141 015 2111100 2024*")</f>
        <v>15131.21</v>
      </c>
      <c r="G4331" s="35">
        <f>SUMIFS(G4332:G9015,K4332:K9015,"0",B4332:B9015,"5 1 1 4 1 12 31111 6 M59 70000 000132 0000R 00001 00141 015 2111100 2024*")</f>
        <v>0</v>
      </c>
      <c r="H4331" s="35">
        <f t="shared" si="68"/>
        <v>15131.21</v>
      </c>
      <c r="I4331" s="35"/>
      <c r="K4331" t="s">
        <v>15</v>
      </c>
    </row>
    <row r="4332" spans="2:11" ht="41.25" x14ac:dyDescent="0.2">
      <c r="B4332" s="33" t="s">
        <v>5277</v>
      </c>
      <c r="C4332" s="33" t="s">
        <v>1056</v>
      </c>
      <c r="D4332" s="35">
        <f>SUMIFS(D4333:D9015,K4333:K9015,"0",B4333:B9015,"5 1 1 4 1 12 31111 6 M59 70000 000132 0000R 00001 00141 015 2111100 2024 CP1DS387*")-SUMIFS(E4333:E9015,K4333:K9015,"0",B4333:B9015,"5 1 1 4 1 12 31111 6 M59 70000 000132 0000R 00001 00141 015 2111100 2024 CP1DS387*")</f>
        <v>0</v>
      </c>
      <c r="E4332"/>
      <c r="F4332" s="35">
        <f>SUMIFS(F4333:F9015,K4333:K9015,"0",B4333:B9015,"5 1 1 4 1 12 31111 6 M59 70000 000132 0000R 00001 00141 015 2111100 2024 CP1DS387*")</f>
        <v>15131.21</v>
      </c>
      <c r="G4332" s="35">
        <f>SUMIFS(G4333:G9015,K4333:K9015,"0",B4333:B9015,"5 1 1 4 1 12 31111 6 M59 70000 000132 0000R 00001 00141 015 2111100 2024 CP1DS387*")</f>
        <v>0</v>
      </c>
      <c r="H4332" s="35">
        <f t="shared" si="68"/>
        <v>15131.21</v>
      </c>
      <c r="I4332" s="35"/>
      <c r="K4332" t="s">
        <v>15</v>
      </c>
    </row>
    <row r="4333" spans="2:11" ht="41.25" x14ac:dyDescent="0.2">
      <c r="B4333" s="33" t="s">
        <v>5278</v>
      </c>
      <c r="C4333" s="33" t="s">
        <v>282</v>
      </c>
      <c r="D4333" s="35">
        <f>SUMIFS(D4334:D9015,K4334:K9015,"0",B4334:B9015,"5 1 1 4 1 12 31111 6 M59 70000 000132 0000R 00001 00141 015 2111100 2024 CP1DS387 001*")-SUMIFS(E4334:E9015,K4334:K9015,"0",B4334:B9015,"5 1 1 4 1 12 31111 6 M59 70000 000132 0000R 00001 00141 015 2111100 2024 CP1DS387 001*")</f>
        <v>0</v>
      </c>
      <c r="E4333"/>
      <c r="F4333" s="35">
        <f>SUMIFS(F4334:F9015,K4334:K9015,"0",B4334:B9015,"5 1 1 4 1 12 31111 6 M59 70000 000132 0000R 00001 00141 015 2111100 2024 CP1DS387 001*")</f>
        <v>15131.21</v>
      </c>
      <c r="G4333" s="35">
        <f>SUMIFS(G4334:G9015,K4334:K9015,"0",B4334:B9015,"5 1 1 4 1 12 31111 6 M59 70000 000132 0000R 00001 00141 015 2111100 2024 CP1DS387 001*")</f>
        <v>0</v>
      </c>
      <c r="H4333" s="35">
        <f t="shared" si="68"/>
        <v>15131.21</v>
      </c>
      <c r="I4333" s="35"/>
      <c r="K4333" t="s">
        <v>15</v>
      </c>
    </row>
    <row r="4334" spans="2:11" ht="33" x14ac:dyDescent="0.2">
      <c r="B4334" s="31" t="s">
        <v>5279</v>
      </c>
      <c r="C4334" s="31" t="s">
        <v>5164</v>
      </c>
      <c r="D4334" s="34">
        <v>0</v>
      </c>
      <c r="E4334" s="34"/>
      <c r="F4334" s="34">
        <v>15131.21</v>
      </c>
      <c r="G4334" s="34">
        <v>0</v>
      </c>
      <c r="H4334" s="34">
        <f t="shared" si="68"/>
        <v>15131.21</v>
      </c>
      <c r="I4334" s="34"/>
      <c r="K4334" t="s">
        <v>38</v>
      </c>
    </row>
    <row r="4335" spans="2:11" ht="16.5" x14ac:dyDescent="0.2">
      <c r="B4335" s="33" t="s">
        <v>5280</v>
      </c>
      <c r="C4335" s="33" t="s">
        <v>3389</v>
      </c>
      <c r="D4335" s="35">
        <f>SUMIFS(D4336:D9015,K4336:K9015,"0",B4336:B9015,"5 1 1 4 1 12 31111 6 M59 70100*")-SUMIFS(E4336:E9015,K4336:K9015,"0",B4336:B9015,"5 1 1 4 1 12 31111 6 M59 70100*")</f>
        <v>0</v>
      </c>
      <c r="E4335"/>
      <c r="F4335" s="35">
        <f>SUMIFS(F4336:F9015,K4336:K9015,"0",B4336:B9015,"5 1 1 4 1 12 31111 6 M59 70100*")</f>
        <v>15771.58</v>
      </c>
      <c r="G4335" s="35">
        <f>SUMIFS(G4336:G9015,K4336:K9015,"0",B4336:B9015,"5 1 1 4 1 12 31111 6 M59 70100*")</f>
        <v>0</v>
      </c>
      <c r="H4335" s="35">
        <f t="shared" si="68"/>
        <v>15771.58</v>
      </c>
      <c r="I4335" s="35"/>
      <c r="K4335" t="s">
        <v>15</v>
      </c>
    </row>
    <row r="4336" spans="2:11" ht="16.5" x14ac:dyDescent="0.2">
      <c r="B4336" s="33" t="s">
        <v>5281</v>
      </c>
      <c r="C4336" s="33" t="s">
        <v>648</v>
      </c>
      <c r="D4336" s="35">
        <f>SUMIFS(D4337:D9015,K4337:K9015,"0",B4337:B9015,"5 1 1 4 1 12 31111 6 M59 70100 000132*")-SUMIFS(E4337:E9015,K4337:K9015,"0",B4337:B9015,"5 1 1 4 1 12 31111 6 M59 70100 000132*")</f>
        <v>0</v>
      </c>
      <c r="E4336"/>
      <c r="F4336" s="35">
        <f>SUMIFS(F4337:F9015,K4337:K9015,"0",B4337:B9015,"5 1 1 4 1 12 31111 6 M59 70100 000132*")</f>
        <v>15771.58</v>
      </c>
      <c r="G4336" s="35">
        <f>SUMIFS(G4337:G9015,K4337:K9015,"0",B4337:B9015,"5 1 1 4 1 12 31111 6 M59 70100 000132*")</f>
        <v>0</v>
      </c>
      <c r="H4336" s="35">
        <f t="shared" si="68"/>
        <v>15771.58</v>
      </c>
      <c r="I4336" s="35"/>
      <c r="K4336" t="s">
        <v>15</v>
      </c>
    </row>
    <row r="4337" spans="2:11" ht="16.5" x14ac:dyDescent="0.2">
      <c r="B4337" s="33" t="s">
        <v>5282</v>
      </c>
      <c r="C4337" s="33" t="s">
        <v>650</v>
      </c>
      <c r="D4337" s="35">
        <f>SUMIFS(D4338:D9015,K4338:K9015,"0",B4338:B9015,"5 1 1 4 1 12 31111 6 M59 70100 000132 0000R*")-SUMIFS(E4338:E9015,K4338:K9015,"0",B4338:B9015,"5 1 1 4 1 12 31111 6 M59 70100 000132 0000R*")</f>
        <v>0</v>
      </c>
      <c r="E4337"/>
      <c r="F4337" s="35">
        <f>SUMIFS(F4338:F9015,K4338:K9015,"0",B4338:B9015,"5 1 1 4 1 12 31111 6 M59 70100 000132 0000R*")</f>
        <v>15771.58</v>
      </c>
      <c r="G4337" s="35">
        <f>SUMIFS(G4338:G9015,K4338:K9015,"0",B4338:B9015,"5 1 1 4 1 12 31111 6 M59 70100 000132 0000R*")</f>
        <v>0</v>
      </c>
      <c r="H4337" s="35">
        <f t="shared" si="68"/>
        <v>15771.58</v>
      </c>
      <c r="I4337" s="35"/>
      <c r="K4337" t="s">
        <v>15</v>
      </c>
    </row>
    <row r="4338" spans="2:11" ht="24.75" x14ac:dyDescent="0.2">
      <c r="B4338" s="33" t="s">
        <v>5283</v>
      </c>
      <c r="C4338" s="33" t="s">
        <v>282</v>
      </c>
      <c r="D4338" s="35">
        <f>SUMIFS(D4339:D9015,K4339:K9015,"0",B4339:B9015,"5 1 1 4 1 12 31111 6 M59 70100 000132 0000R 00001*")-SUMIFS(E4339:E9015,K4339:K9015,"0",B4339:B9015,"5 1 1 4 1 12 31111 6 M59 70100 000132 0000R 00001*")</f>
        <v>0</v>
      </c>
      <c r="E4338"/>
      <c r="F4338" s="35">
        <f>SUMIFS(F4339:F9015,K4339:K9015,"0",B4339:B9015,"5 1 1 4 1 12 31111 6 M59 70100 000132 0000R 00001*")</f>
        <v>15771.58</v>
      </c>
      <c r="G4338" s="35">
        <f>SUMIFS(G4339:G9015,K4339:K9015,"0",B4339:B9015,"5 1 1 4 1 12 31111 6 M59 70100 000132 0000R 00001*")</f>
        <v>0</v>
      </c>
      <c r="H4338" s="35">
        <f t="shared" si="68"/>
        <v>15771.58</v>
      </c>
      <c r="I4338" s="35"/>
      <c r="K4338" t="s">
        <v>15</v>
      </c>
    </row>
    <row r="4339" spans="2:11" ht="24.75" x14ac:dyDescent="0.2">
      <c r="B4339" s="33" t="s">
        <v>5284</v>
      </c>
      <c r="C4339" s="33" t="s">
        <v>5174</v>
      </c>
      <c r="D4339" s="35">
        <f>SUMIFS(D4340:D9015,K4340:K9015,"0",B4340:B9015,"5 1 1 4 1 12 31111 6 M59 70100 000132 0000R 00001 00141*")-SUMIFS(E4340:E9015,K4340:K9015,"0",B4340:B9015,"5 1 1 4 1 12 31111 6 M59 70100 000132 0000R 00001 00141*")</f>
        <v>0</v>
      </c>
      <c r="E4339"/>
      <c r="F4339" s="35">
        <f>SUMIFS(F4340:F9015,K4340:K9015,"0",B4340:B9015,"5 1 1 4 1 12 31111 6 M59 70100 000132 0000R 00001 00141*")</f>
        <v>15771.58</v>
      </c>
      <c r="G4339" s="35">
        <f>SUMIFS(G4340:G9015,K4340:K9015,"0",B4340:B9015,"5 1 1 4 1 12 31111 6 M59 70100 000132 0000R 00001 00141*")</f>
        <v>0</v>
      </c>
      <c r="H4339" s="35">
        <f t="shared" si="68"/>
        <v>15771.58</v>
      </c>
      <c r="I4339" s="35"/>
      <c r="K4339" t="s">
        <v>15</v>
      </c>
    </row>
    <row r="4340" spans="2:11" ht="24.75" x14ac:dyDescent="0.2">
      <c r="B4340" s="33" t="s">
        <v>5285</v>
      </c>
      <c r="C4340" s="33" t="s">
        <v>1051</v>
      </c>
      <c r="D4340" s="35">
        <f>SUMIFS(D4341:D9015,K4341:K9015,"0",B4341:B9015,"5 1 1 4 1 12 31111 6 M59 70100 000132 0000R 00001 00141 015*")-SUMIFS(E4341:E9015,K4341:K9015,"0",B4341:B9015,"5 1 1 4 1 12 31111 6 M59 70100 000132 0000R 00001 00141 015*")</f>
        <v>0</v>
      </c>
      <c r="E4340"/>
      <c r="F4340" s="35">
        <f>SUMIFS(F4341:F9015,K4341:K9015,"0",B4341:B9015,"5 1 1 4 1 12 31111 6 M59 70100 000132 0000R 00001 00141 015*")</f>
        <v>15771.58</v>
      </c>
      <c r="G4340" s="35">
        <f>SUMIFS(G4341:G9015,K4341:K9015,"0",B4341:B9015,"5 1 1 4 1 12 31111 6 M59 70100 000132 0000R 00001 00141 015*")</f>
        <v>0</v>
      </c>
      <c r="H4340" s="35">
        <f t="shared" si="68"/>
        <v>15771.58</v>
      </c>
      <c r="I4340" s="35"/>
      <c r="K4340" t="s">
        <v>15</v>
      </c>
    </row>
    <row r="4341" spans="2:11" ht="33" x14ac:dyDescent="0.2">
      <c r="B4341" s="33" t="s">
        <v>5286</v>
      </c>
      <c r="C4341" s="33" t="s">
        <v>2927</v>
      </c>
      <c r="D4341" s="35">
        <f>SUMIFS(D4342:D9015,K4342:K9015,"0",B4342:B9015,"5 1 1 4 1 12 31111 6 M59 70100 000132 0000R 00001 00141 015 2111100*")-SUMIFS(E4342:E9015,K4342:K9015,"0",B4342:B9015,"5 1 1 4 1 12 31111 6 M59 70100 000132 0000R 00001 00141 015 2111100*")</f>
        <v>0</v>
      </c>
      <c r="E4341"/>
      <c r="F4341" s="35">
        <f>SUMIFS(F4342:F9015,K4342:K9015,"0",B4342:B9015,"5 1 1 4 1 12 31111 6 M59 70100 000132 0000R 00001 00141 015 2111100*")</f>
        <v>15771.58</v>
      </c>
      <c r="G4341" s="35">
        <f>SUMIFS(G4342:G9015,K4342:K9015,"0",B4342:B9015,"5 1 1 4 1 12 31111 6 M59 70100 000132 0000R 00001 00141 015 2111100*")</f>
        <v>0</v>
      </c>
      <c r="H4341" s="35">
        <f t="shared" si="68"/>
        <v>15771.58</v>
      </c>
      <c r="I4341" s="35"/>
      <c r="K4341" t="s">
        <v>15</v>
      </c>
    </row>
    <row r="4342" spans="2:11" ht="33" x14ac:dyDescent="0.2">
      <c r="B4342" s="33" t="s">
        <v>5287</v>
      </c>
      <c r="C4342" s="33" t="s">
        <v>660</v>
      </c>
      <c r="D4342" s="35">
        <f>SUMIFS(D4343:D9015,K4343:K9015,"0",B4343:B9015,"5 1 1 4 1 12 31111 6 M59 70100 000132 0000R 00001 00141 015 2111100 2024*")-SUMIFS(E4343:E9015,K4343:K9015,"0",B4343:B9015,"5 1 1 4 1 12 31111 6 M59 70100 000132 0000R 00001 00141 015 2111100 2024*")</f>
        <v>0</v>
      </c>
      <c r="E4342"/>
      <c r="F4342" s="35">
        <f>SUMIFS(F4343:F9015,K4343:K9015,"0",B4343:B9015,"5 1 1 4 1 12 31111 6 M59 70100 000132 0000R 00001 00141 015 2111100 2024*")</f>
        <v>15771.58</v>
      </c>
      <c r="G4342" s="35">
        <f>SUMIFS(G4343:G9015,K4343:K9015,"0",B4343:B9015,"5 1 1 4 1 12 31111 6 M59 70100 000132 0000R 00001 00141 015 2111100 2024*")</f>
        <v>0</v>
      </c>
      <c r="H4342" s="35">
        <f t="shared" si="68"/>
        <v>15771.58</v>
      </c>
      <c r="I4342" s="35"/>
      <c r="K4342" t="s">
        <v>15</v>
      </c>
    </row>
    <row r="4343" spans="2:11" ht="41.25" x14ac:dyDescent="0.2">
      <c r="B4343" s="33" t="s">
        <v>5288</v>
      </c>
      <c r="C4343" s="33" t="s">
        <v>1056</v>
      </c>
      <c r="D4343" s="35">
        <f>SUMIFS(D4344:D9015,K4344:K9015,"0",B4344:B9015,"5 1 1 4 1 12 31111 6 M59 70100 000132 0000R 00001 00141 015 2111100 2024 CP1MM393*")-SUMIFS(E4344:E9015,K4344:K9015,"0",B4344:B9015,"5 1 1 4 1 12 31111 6 M59 70100 000132 0000R 00001 00141 015 2111100 2024 CP1MM393*")</f>
        <v>0</v>
      </c>
      <c r="E4343"/>
      <c r="F4343" s="35">
        <f>SUMIFS(F4344:F9015,K4344:K9015,"0",B4344:B9015,"5 1 1 4 1 12 31111 6 M59 70100 000132 0000R 00001 00141 015 2111100 2024 CP1MM393*")</f>
        <v>15771.58</v>
      </c>
      <c r="G4343" s="35">
        <f>SUMIFS(G4344:G9015,K4344:K9015,"0",B4344:B9015,"5 1 1 4 1 12 31111 6 M59 70100 000132 0000R 00001 00141 015 2111100 2024 CP1MM393*")</f>
        <v>0</v>
      </c>
      <c r="H4343" s="35">
        <f t="shared" si="68"/>
        <v>15771.58</v>
      </c>
      <c r="I4343" s="35"/>
      <c r="K4343" t="s">
        <v>15</v>
      </c>
    </row>
    <row r="4344" spans="2:11" ht="41.25" x14ac:dyDescent="0.2">
      <c r="B4344" s="33" t="s">
        <v>5289</v>
      </c>
      <c r="C4344" s="33" t="s">
        <v>282</v>
      </c>
      <c r="D4344" s="35">
        <f>SUMIFS(D4345:D9015,K4345:K9015,"0",B4345:B9015,"5 1 1 4 1 12 31111 6 M59 70100 000132 0000R 00001 00141 015 2111100 2024 CP1MM393 001*")-SUMIFS(E4345:E9015,K4345:K9015,"0",B4345:B9015,"5 1 1 4 1 12 31111 6 M59 70100 000132 0000R 00001 00141 015 2111100 2024 CP1MM393 001*")</f>
        <v>0</v>
      </c>
      <c r="E4344"/>
      <c r="F4344" s="35">
        <f>SUMIFS(F4345:F9015,K4345:K9015,"0",B4345:B9015,"5 1 1 4 1 12 31111 6 M59 70100 000132 0000R 00001 00141 015 2111100 2024 CP1MM393 001*")</f>
        <v>15771.58</v>
      </c>
      <c r="G4344" s="35">
        <f>SUMIFS(G4345:G9015,K4345:K9015,"0",B4345:B9015,"5 1 1 4 1 12 31111 6 M59 70100 000132 0000R 00001 00141 015 2111100 2024 CP1MM393 001*")</f>
        <v>0</v>
      </c>
      <c r="H4344" s="35">
        <f t="shared" si="68"/>
        <v>15771.58</v>
      </c>
      <c r="I4344" s="35"/>
      <c r="K4344" t="s">
        <v>15</v>
      </c>
    </row>
    <row r="4345" spans="2:11" ht="33" x14ac:dyDescent="0.2">
      <c r="B4345" s="31" t="s">
        <v>5290</v>
      </c>
      <c r="C4345" s="31" t="s">
        <v>5164</v>
      </c>
      <c r="D4345" s="34">
        <v>0</v>
      </c>
      <c r="E4345" s="34"/>
      <c r="F4345" s="34">
        <v>15771.58</v>
      </c>
      <c r="G4345" s="34">
        <v>0</v>
      </c>
      <c r="H4345" s="34">
        <f t="shared" si="68"/>
        <v>15771.58</v>
      </c>
      <c r="I4345" s="34"/>
      <c r="K4345" t="s">
        <v>38</v>
      </c>
    </row>
    <row r="4346" spans="2:11" ht="16.5" x14ac:dyDescent="0.2">
      <c r="B4346" s="33" t="s">
        <v>5291</v>
      </c>
      <c r="C4346" s="33" t="s">
        <v>3425</v>
      </c>
      <c r="D4346" s="35">
        <f>SUMIFS(D4347:D9015,K4347:K9015,"0",B4347:B9015,"5 1 1 4 1 12 31111 6 M59 70400*")-SUMIFS(E4347:E9015,K4347:K9015,"0",B4347:B9015,"5 1 1 4 1 12 31111 6 M59 70400*")</f>
        <v>0</v>
      </c>
      <c r="E4346"/>
      <c r="F4346" s="35">
        <f>SUMIFS(F4347:F9015,K4347:K9015,"0",B4347:B9015,"5 1 1 4 1 12 31111 6 M59 70400*")</f>
        <v>8122.56</v>
      </c>
      <c r="G4346" s="35">
        <f>SUMIFS(G4347:G9015,K4347:K9015,"0",B4347:B9015,"5 1 1 4 1 12 31111 6 M59 70400*")</f>
        <v>0</v>
      </c>
      <c r="H4346" s="35">
        <f t="shared" si="68"/>
        <v>8122.56</v>
      </c>
      <c r="I4346" s="35"/>
      <c r="K4346" t="s">
        <v>15</v>
      </c>
    </row>
    <row r="4347" spans="2:11" ht="16.5" x14ac:dyDescent="0.2">
      <c r="B4347" s="33" t="s">
        <v>5292</v>
      </c>
      <c r="C4347" s="33" t="s">
        <v>3427</v>
      </c>
      <c r="D4347" s="35">
        <f>SUMIFS(D4348:D9015,K4348:K9015,"0",B4348:B9015,"5 1 1 4 1 12 31111 6 M59 70400 000241*")-SUMIFS(E4348:E9015,K4348:K9015,"0",B4348:B9015,"5 1 1 4 1 12 31111 6 M59 70400 000241*")</f>
        <v>0</v>
      </c>
      <c r="E4347"/>
      <c r="F4347" s="35">
        <f>SUMIFS(F4348:F9015,K4348:K9015,"0",B4348:B9015,"5 1 1 4 1 12 31111 6 M59 70400 000241*")</f>
        <v>8122.56</v>
      </c>
      <c r="G4347" s="35">
        <f>SUMIFS(G4348:G9015,K4348:K9015,"0",B4348:B9015,"5 1 1 4 1 12 31111 6 M59 70400 000241*")</f>
        <v>0</v>
      </c>
      <c r="H4347" s="35">
        <f t="shared" si="68"/>
        <v>8122.56</v>
      </c>
      <c r="I4347" s="35"/>
      <c r="K4347" t="s">
        <v>15</v>
      </c>
    </row>
    <row r="4348" spans="2:11" ht="16.5" x14ac:dyDescent="0.2">
      <c r="B4348" s="33" t="s">
        <v>5293</v>
      </c>
      <c r="C4348" s="33" t="s">
        <v>650</v>
      </c>
      <c r="D4348" s="35">
        <f>SUMIFS(D4349:D9015,K4349:K9015,"0",B4349:B9015,"5 1 1 4 1 12 31111 6 M59 70400 000241 0000R*")-SUMIFS(E4349:E9015,K4349:K9015,"0",B4349:B9015,"5 1 1 4 1 12 31111 6 M59 70400 000241 0000R*")</f>
        <v>0</v>
      </c>
      <c r="E4348"/>
      <c r="F4348" s="35">
        <f>SUMIFS(F4349:F9015,K4349:K9015,"0",B4349:B9015,"5 1 1 4 1 12 31111 6 M59 70400 000241 0000R*")</f>
        <v>8122.56</v>
      </c>
      <c r="G4348" s="35">
        <f>SUMIFS(G4349:G9015,K4349:K9015,"0",B4349:B9015,"5 1 1 4 1 12 31111 6 M59 70400 000241 0000R*")</f>
        <v>0</v>
      </c>
      <c r="H4348" s="35">
        <f t="shared" si="68"/>
        <v>8122.56</v>
      </c>
      <c r="I4348" s="35"/>
      <c r="K4348" t="s">
        <v>15</v>
      </c>
    </row>
    <row r="4349" spans="2:11" ht="24.75" x14ac:dyDescent="0.2">
      <c r="B4349" s="33" t="s">
        <v>5294</v>
      </c>
      <c r="C4349" s="33" t="s">
        <v>282</v>
      </c>
      <c r="D4349" s="35">
        <f>SUMIFS(D4350:D9015,K4350:K9015,"0",B4350:B9015,"5 1 1 4 1 12 31111 6 M59 70400 000241 0000R 00001*")-SUMIFS(E4350:E9015,K4350:K9015,"0",B4350:B9015,"5 1 1 4 1 12 31111 6 M59 70400 000241 0000R 00001*")</f>
        <v>0</v>
      </c>
      <c r="E4349"/>
      <c r="F4349" s="35">
        <f>SUMIFS(F4350:F9015,K4350:K9015,"0",B4350:B9015,"5 1 1 4 1 12 31111 6 M59 70400 000241 0000R 00001*")</f>
        <v>8122.56</v>
      </c>
      <c r="G4349" s="35">
        <f>SUMIFS(G4350:G9015,K4350:K9015,"0",B4350:B9015,"5 1 1 4 1 12 31111 6 M59 70400 000241 0000R 00001*")</f>
        <v>0</v>
      </c>
      <c r="H4349" s="35">
        <f t="shared" si="68"/>
        <v>8122.56</v>
      </c>
      <c r="I4349" s="35"/>
      <c r="K4349" t="s">
        <v>15</v>
      </c>
    </row>
    <row r="4350" spans="2:11" ht="24.75" x14ac:dyDescent="0.2">
      <c r="B4350" s="33" t="s">
        <v>5295</v>
      </c>
      <c r="C4350" s="33" t="s">
        <v>5174</v>
      </c>
      <c r="D4350" s="35">
        <f>SUMIFS(D4351:D9015,K4351:K9015,"0",B4351:B9015,"5 1 1 4 1 12 31111 6 M59 70400 000241 0000R 00001 00141*")-SUMIFS(E4351:E9015,K4351:K9015,"0",B4351:B9015,"5 1 1 4 1 12 31111 6 M59 70400 000241 0000R 00001 00141*")</f>
        <v>0</v>
      </c>
      <c r="E4350"/>
      <c r="F4350" s="35">
        <f>SUMIFS(F4351:F9015,K4351:K9015,"0",B4351:B9015,"5 1 1 4 1 12 31111 6 M59 70400 000241 0000R 00001 00141*")</f>
        <v>8122.56</v>
      </c>
      <c r="G4350" s="35">
        <f>SUMIFS(G4351:G9015,K4351:K9015,"0",B4351:B9015,"5 1 1 4 1 12 31111 6 M59 70400 000241 0000R 00001 00141*")</f>
        <v>0</v>
      </c>
      <c r="H4350" s="35">
        <f t="shared" si="68"/>
        <v>8122.56</v>
      </c>
      <c r="I4350" s="35"/>
      <c r="K4350" t="s">
        <v>15</v>
      </c>
    </row>
    <row r="4351" spans="2:11" ht="24.75" x14ac:dyDescent="0.2">
      <c r="B4351" s="33" t="s">
        <v>5296</v>
      </c>
      <c r="C4351" s="33" t="s">
        <v>1051</v>
      </c>
      <c r="D4351" s="35">
        <f>SUMIFS(D4352:D9015,K4352:K9015,"0",B4352:B9015,"5 1 1 4 1 12 31111 6 M59 70400 000241 0000R 00001 00141 015*")-SUMIFS(E4352:E9015,K4352:K9015,"0",B4352:B9015,"5 1 1 4 1 12 31111 6 M59 70400 000241 0000R 00001 00141 015*")</f>
        <v>0</v>
      </c>
      <c r="E4351"/>
      <c r="F4351" s="35">
        <f>SUMIFS(F4352:F9015,K4352:K9015,"0",B4352:B9015,"5 1 1 4 1 12 31111 6 M59 70400 000241 0000R 00001 00141 015*")</f>
        <v>8122.56</v>
      </c>
      <c r="G4351" s="35">
        <f>SUMIFS(G4352:G9015,K4352:K9015,"0",B4352:B9015,"5 1 1 4 1 12 31111 6 M59 70400 000241 0000R 00001 00141 015*")</f>
        <v>0</v>
      </c>
      <c r="H4351" s="35">
        <f t="shared" si="68"/>
        <v>8122.56</v>
      </c>
      <c r="I4351" s="35"/>
      <c r="K4351" t="s">
        <v>15</v>
      </c>
    </row>
    <row r="4352" spans="2:11" ht="33" x14ac:dyDescent="0.2">
      <c r="B4352" s="33" t="s">
        <v>5297</v>
      </c>
      <c r="C4352" s="33" t="s">
        <v>2927</v>
      </c>
      <c r="D4352" s="35">
        <f>SUMIFS(D4353:D9015,K4353:K9015,"0",B4353:B9015,"5 1 1 4 1 12 31111 6 M59 70400 000241 0000R 00001 00141 015 2111100*")-SUMIFS(E4353:E9015,K4353:K9015,"0",B4353:B9015,"5 1 1 4 1 12 31111 6 M59 70400 000241 0000R 00001 00141 015 2111100*")</f>
        <v>0</v>
      </c>
      <c r="E4352"/>
      <c r="F4352" s="35">
        <f>SUMIFS(F4353:F9015,K4353:K9015,"0",B4353:B9015,"5 1 1 4 1 12 31111 6 M59 70400 000241 0000R 00001 00141 015 2111100*")</f>
        <v>8122.56</v>
      </c>
      <c r="G4352" s="35">
        <f>SUMIFS(G4353:G9015,K4353:K9015,"0",B4353:B9015,"5 1 1 4 1 12 31111 6 M59 70400 000241 0000R 00001 00141 015 2111100*")</f>
        <v>0</v>
      </c>
      <c r="H4352" s="35">
        <f t="shared" si="68"/>
        <v>8122.56</v>
      </c>
      <c r="I4352" s="35"/>
      <c r="K4352" t="s">
        <v>15</v>
      </c>
    </row>
    <row r="4353" spans="2:11" ht="33" x14ac:dyDescent="0.2">
      <c r="B4353" s="33" t="s">
        <v>5298</v>
      </c>
      <c r="C4353" s="33" t="s">
        <v>660</v>
      </c>
      <c r="D4353" s="35">
        <f>SUMIFS(D4354:D9015,K4354:K9015,"0",B4354:B9015,"5 1 1 4 1 12 31111 6 M59 70400 000241 0000R 00001 00141 015 2111100 2024*")-SUMIFS(E4354:E9015,K4354:K9015,"0",B4354:B9015,"5 1 1 4 1 12 31111 6 M59 70400 000241 0000R 00001 00141 015 2111100 2024*")</f>
        <v>0</v>
      </c>
      <c r="E4353"/>
      <c r="F4353" s="35">
        <f>SUMIFS(F4354:F9015,K4354:K9015,"0",B4354:B9015,"5 1 1 4 1 12 31111 6 M59 70400 000241 0000R 00001 00141 015 2111100 2024*")</f>
        <v>8122.56</v>
      </c>
      <c r="G4353" s="35">
        <f>SUMIFS(G4354:G9015,K4354:K9015,"0",B4354:B9015,"5 1 1 4 1 12 31111 6 M59 70400 000241 0000R 00001 00141 015 2111100 2024*")</f>
        <v>0</v>
      </c>
      <c r="H4353" s="35">
        <f t="shared" si="68"/>
        <v>8122.56</v>
      </c>
      <c r="I4353" s="35"/>
      <c r="K4353" t="s">
        <v>15</v>
      </c>
    </row>
    <row r="4354" spans="2:11" ht="41.25" x14ac:dyDescent="0.2">
      <c r="B4354" s="33" t="s">
        <v>5299</v>
      </c>
      <c r="C4354" s="33" t="s">
        <v>662</v>
      </c>
      <c r="D4354" s="35">
        <f>SUMIFS(D4355:D9015,K4355:K9015,"0",B4355:B9015,"5 1 1 4 1 12 31111 6 M59 70400 000241 0000R 00001 00141 015 2111100 2024 CP1DD418*")-SUMIFS(E4355:E9015,K4355:K9015,"0",B4355:B9015,"5 1 1 4 1 12 31111 6 M59 70400 000241 0000R 00001 00141 015 2111100 2024 CP1DD418*")</f>
        <v>0</v>
      </c>
      <c r="E4354"/>
      <c r="F4354" s="35">
        <f>SUMIFS(F4355:F9015,K4355:K9015,"0",B4355:B9015,"5 1 1 4 1 12 31111 6 M59 70400 000241 0000R 00001 00141 015 2111100 2024 CP1DD418*")</f>
        <v>8122.56</v>
      </c>
      <c r="G4354" s="35">
        <f>SUMIFS(G4355:G9015,K4355:K9015,"0",B4355:B9015,"5 1 1 4 1 12 31111 6 M59 70400 000241 0000R 00001 00141 015 2111100 2024 CP1DD418*")</f>
        <v>0</v>
      </c>
      <c r="H4354" s="35">
        <f t="shared" si="68"/>
        <v>8122.56</v>
      </c>
      <c r="I4354" s="35"/>
      <c r="K4354" t="s">
        <v>15</v>
      </c>
    </row>
    <row r="4355" spans="2:11" ht="41.25" x14ac:dyDescent="0.2">
      <c r="B4355" s="33" t="s">
        <v>5300</v>
      </c>
      <c r="C4355" s="33" t="s">
        <v>282</v>
      </c>
      <c r="D4355" s="35">
        <f>SUMIFS(D4356:D9015,K4356:K9015,"0",B4356:B9015,"5 1 1 4 1 12 31111 6 M59 70400 000241 0000R 00001 00141 015 2111100 2024 CP1DD418 001*")-SUMIFS(E4356:E9015,K4356:K9015,"0",B4356:B9015,"5 1 1 4 1 12 31111 6 M59 70400 000241 0000R 00001 00141 015 2111100 2024 CP1DD418 001*")</f>
        <v>0</v>
      </c>
      <c r="E4355"/>
      <c r="F4355" s="35">
        <f>SUMIFS(F4356:F9015,K4356:K9015,"0",B4356:B9015,"5 1 1 4 1 12 31111 6 M59 70400 000241 0000R 00001 00141 015 2111100 2024 CP1DD418 001*")</f>
        <v>8122.56</v>
      </c>
      <c r="G4355" s="35">
        <f>SUMIFS(G4356:G9015,K4356:K9015,"0",B4356:B9015,"5 1 1 4 1 12 31111 6 M59 70400 000241 0000R 00001 00141 015 2111100 2024 CP1DD418 001*")</f>
        <v>0</v>
      </c>
      <c r="H4355" s="35">
        <f t="shared" si="68"/>
        <v>8122.56</v>
      </c>
      <c r="I4355" s="35"/>
      <c r="K4355" t="s">
        <v>15</v>
      </c>
    </row>
    <row r="4356" spans="2:11" ht="33" x14ac:dyDescent="0.2">
      <c r="B4356" s="31" t="s">
        <v>5301</v>
      </c>
      <c r="C4356" s="31" t="s">
        <v>5164</v>
      </c>
      <c r="D4356" s="34">
        <v>0</v>
      </c>
      <c r="E4356" s="34"/>
      <c r="F4356" s="34">
        <v>8122.56</v>
      </c>
      <c r="G4356" s="34">
        <v>0</v>
      </c>
      <c r="H4356" s="34">
        <f t="shared" ref="H4356:H4419" si="69">D4356 + F4356 - G4356</f>
        <v>8122.56</v>
      </c>
      <c r="I4356" s="34"/>
      <c r="K4356" t="s">
        <v>38</v>
      </c>
    </row>
    <row r="4357" spans="2:11" ht="16.5" x14ac:dyDescent="0.2">
      <c r="B4357" s="33" t="s">
        <v>5302</v>
      </c>
      <c r="C4357" s="33" t="s">
        <v>3596</v>
      </c>
      <c r="D4357" s="35">
        <f>SUMIFS(D4358:D9015,K4358:K9015,"0",B4358:B9015,"5 1 1 4 1 12 31111 6 M59 90000*")-SUMIFS(E4358:E9015,K4358:K9015,"0",B4358:B9015,"5 1 1 4 1 12 31111 6 M59 90000*")</f>
        <v>0</v>
      </c>
      <c r="E4357"/>
      <c r="F4357" s="35">
        <f>SUMIFS(F4358:F9015,K4358:K9015,"0",B4358:B9015,"5 1 1 4 1 12 31111 6 M59 90000*")</f>
        <v>15178.46</v>
      </c>
      <c r="G4357" s="35">
        <f>SUMIFS(G4358:G9015,K4358:K9015,"0",B4358:B9015,"5 1 1 4 1 12 31111 6 M59 90000*")</f>
        <v>0</v>
      </c>
      <c r="H4357" s="35">
        <f t="shared" si="69"/>
        <v>15178.46</v>
      </c>
      <c r="I4357" s="35"/>
      <c r="K4357" t="s">
        <v>15</v>
      </c>
    </row>
    <row r="4358" spans="2:11" ht="16.5" x14ac:dyDescent="0.2">
      <c r="B4358" s="33" t="s">
        <v>5303</v>
      </c>
      <c r="C4358" s="33" t="s">
        <v>648</v>
      </c>
      <c r="D4358" s="35">
        <f>SUMIFS(D4359:D9015,K4359:K9015,"0",B4359:B9015,"5 1 1 4 1 12 31111 6 M59 90000 000132*")-SUMIFS(E4359:E9015,K4359:K9015,"0",B4359:B9015,"5 1 1 4 1 12 31111 6 M59 90000 000132*")</f>
        <v>0</v>
      </c>
      <c r="E4358"/>
      <c r="F4358" s="35">
        <f>SUMIFS(F4359:F9015,K4359:K9015,"0",B4359:B9015,"5 1 1 4 1 12 31111 6 M59 90000 000132*")</f>
        <v>15178.46</v>
      </c>
      <c r="G4358" s="35">
        <f>SUMIFS(G4359:G9015,K4359:K9015,"0",B4359:B9015,"5 1 1 4 1 12 31111 6 M59 90000 000132*")</f>
        <v>0</v>
      </c>
      <c r="H4358" s="35">
        <f t="shared" si="69"/>
        <v>15178.46</v>
      </c>
      <c r="I4358" s="35"/>
      <c r="K4358" t="s">
        <v>15</v>
      </c>
    </row>
    <row r="4359" spans="2:11" ht="16.5" x14ac:dyDescent="0.2">
      <c r="B4359" s="33" t="s">
        <v>5304</v>
      </c>
      <c r="C4359" s="33" t="s">
        <v>650</v>
      </c>
      <c r="D4359" s="35">
        <f>SUMIFS(D4360:D9015,K4360:K9015,"0",B4360:B9015,"5 1 1 4 1 12 31111 6 M59 90000 000132 0000R*")-SUMIFS(E4360:E9015,K4360:K9015,"0",B4360:B9015,"5 1 1 4 1 12 31111 6 M59 90000 000132 0000R*")</f>
        <v>0</v>
      </c>
      <c r="E4359"/>
      <c r="F4359" s="35">
        <f>SUMIFS(F4360:F9015,K4360:K9015,"0",B4360:B9015,"5 1 1 4 1 12 31111 6 M59 90000 000132 0000R*")</f>
        <v>15178.46</v>
      </c>
      <c r="G4359" s="35">
        <f>SUMIFS(G4360:G9015,K4360:K9015,"0",B4360:B9015,"5 1 1 4 1 12 31111 6 M59 90000 000132 0000R*")</f>
        <v>0</v>
      </c>
      <c r="H4359" s="35">
        <f t="shared" si="69"/>
        <v>15178.46</v>
      </c>
      <c r="I4359" s="35"/>
      <c r="K4359" t="s">
        <v>15</v>
      </c>
    </row>
    <row r="4360" spans="2:11" ht="24.75" x14ac:dyDescent="0.2">
      <c r="B4360" s="33" t="s">
        <v>5305</v>
      </c>
      <c r="C4360" s="33" t="s">
        <v>282</v>
      </c>
      <c r="D4360" s="35">
        <f>SUMIFS(D4361:D9015,K4361:K9015,"0",B4361:B9015,"5 1 1 4 1 12 31111 6 M59 90000 000132 0000R 00001*")-SUMIFS(E4361:E9015,K4361:K9015,"0",B4361:B9015,"5 1 1 4 1 12 31111 6 M59 90000 000132 0000R 00001*")</f>
        <v>0</v>
      </c>
      <c r="E4360"/>
      <c r="F4360" s="35">
        <f>SUMIFS(F4361:F9015,K4361:K9015,"0",B4361:B9015,"5 1 1 4 1 12 31111 6 M59 90000 000132 0000R 00001*")</f>
        <v>15178.46</v>
      </c>
      <c r="G4360" s="35">
        <f>SUMIFS(G4361:G9015,K4361:K9015,"0",B4361:B9015,"5 1 1 4 1 12 31111 6 M59 90000 000132 0000R 00001*")</f>
        <v>0</v>
      </c>
      <c r="H4360" s="35">
        <f t="shared" si="69"/>
        <v>15178.46</v>
      </c>
      <c r="I4360" s="35"/>
      <c r="K4360" t="s">
        <v>15</v>
      </c>
    </row>
    <row r="4361" spans="2:11" ht="24.75" x14ac:dyDescent="0.2">
      <c r="B4361" s="33" t="s">
        <v>5306</v>
      </c>
      <c r="C4361" s="33" t="s">
        <v>5174</v>
      </c>
      <c r="D4361" s="35">
        <f>SUMIFS(D4362:D9015,K4362:K9015,"0",B4362:B9015,"5 1 1 4 1 12 31111 6 M59 90000 000132 0000R 00001 00141*")-SUMIFS(E4362:E9015,K4362:K9015,"0",B4362:B9015,"5 1 1 4 1 12 31111 6 M59 90000 000132 0000R 00001 00141*")</f>
        <v>0</v>
      </c>
      <c r="E4361"/>
      <c r="F4361" s="35">
        <f>SUMIFS(F4362:F9015,K4362:K9015,"0",B4362:B9015,"5 1 1 4 1 12 31111 6 M59 90000 000132 0000R 00001 00141*")</f>
        <v>15178.46</v>
      </c>
      <c r="G4361" s="35">
        <f>SUMIFS(G4362:G9015,K4362:K9015,"0",B4362:B9015,"5 1 1 4 1 12 31111 6 M59 90000 000132 0000R 00001 00141*")</f>
        <v>0</v>
      </c>
      <c r="H4361" s="35">
        <f t="shared" si="69"/>
        <v>15178.46</v>
      </c>
      <c r="I4361" s="35"/>
      <c r="K4361" t="s">
        <v>15</v>
      </c>
    </row>
    <row r="4362" spans="2:11" ht="24.75" x14ac:dyDescent="0.2">
      <c r="B4362" s="33" t="s">
        <v>5307</v>
      </c>
      <c r="C4362" s="33" t="s">
        <v>1051</v>
      </c>
      <c r="D4362" s="35">
        <f>SUMIFS(D4363:D9015,K4363:K9015,"0",B4363:B9015,"5 1 1 4 1 12 31111 6 M59 90000 000132 0000R 00001 00141 015*")-SUMIFS(E4363:E9015,K4363:K9015,"0",B4363:B9015,"5 1 1 4 1 12 31111 6 M59 90000 000132 0000R 00001 00141 015*")</f>
        <v>0</v>
      </c>
      <c r="E4362"/>
      <c r="F4362" s="35">
        <f>SUMIFS(F4363:F9015,K4363:K9015,"0",B4363:B9015,"5 1 1 4 1 12 31111 6 M59 90000 000132 0000R 00001 00141 015*")</f>
        <v>15178.46</v>
      </c>
      <c r="G4362" s="35">
        <f>SUMIFS(G4363:G9015,K4363:K9015,"0",B4363:B9015,"5 1 1 4 1 12 31111 6 M59 90000 000132 0000R 00001 00141 015*")</f>
        <v>0</v>
      </c>
      <c r="H4362" s="35">
        <f t="shared" si="69"/>
        <v>15178.46</v>
      </c>
      <c r="I4362" s="35"/>
      <c r="K4362" t="s">
        <v>15</v>
      </c>
    </row>
    <row r="4363" spans="2:11" ht="33" x14ac:dyDescent="0.2">
      <c r="B4363" s="33" t="s">
        <v>5308</v>
      </c>
      <c r="C4363" s="33" t="s">
        <v>2927</v>
      </c>
      <c r="D4363" s="35">
        <f>SUMIFS(D4364:D9015,K4364:K9015,"0",B4364:B9015,"5 1 1 4 1 12 31111 6 M59 90000 000132 0000R 00001 00141 015 2111100*")-SUMIFS(E4364:E9015,K4364:K9015,"0",B4364:B9015,"5 1 1 4 1 12 31111 6 M59 90000 000132 0000R 00001 00141 015 2111100*")</f>
        <v>0</v>
      </c>
      <c r="E4363"/>
      <c r="F4363" s="35">
        <f>SUMIFS(F4364:F9015,K4364:K9015,"0",B4364:B9015,"5 1 1 4 1 12 31111 6 M59 90000 000132 0000R 00001 00141 015 2111100*")</f>
        <v>15178.46</v>
      </c>
      <c r="G4363" s="35">
        <f>SUMIFS(G4364:G9015,K4364:K9015,"0",B4364:B9015,"5 1 1 4 1 12 31111 6 M59 90000 000132 0000R 00001 00141 015 2111100*")</f>
        <v>0</v>
      </c>
      <c r="H4363" s="35">
        <f t="shared" si="69"/>
        <v>15178.46</v>
      </c>
      <c r="I4363" s="35"/>
      <c r="K4363" t="s">
        <v>15</v>
      </c>
    </row>
    <row r="4364" spans="2:11" ht="33" x14ac:dyDescent="0.2">
      <c r="B4364" s="33" t="s">
        <v>5309</v>
      </c>
      <c r="C4364" s="33" t="s">
        <v>660</v>
      </c>
      <c r="D4364" s="35">
        <f>SUMIFS(D4365:D9015,K4365:K9015,"0",B4365:B9015,"5 1 1 4 1 12 31111 6 M59 90000 000132 0000R 00001 00141 015 2111100 2024*")-SUMIFS(E4365:E9015,K4365:K9015,"0",B4365:B9015,"5 1 1 4 1 12 31111 6 M59 90000 000132 0000R 00001 00141 015 2111100 2024*")</f>
        <v>0</v>
      </c>
      <c r="E4364"/>
      <c r="F4364" s="35">
        <f>SUMIFS(F4365:F9015,K4365:K9015,"0",B4365:B9015,"5 1 1 4 1 12 31111 6 M59 90000 000132 0000R 00001 00141 015 2111100 2024*")</f>
        <v>15178.46</v>
      </c>
      <c r="G4364" s="35">
        <f>SUMIFS(G4365:G9015,K4365:K9015,"0",B4365:B9015,"5 1 1 4 1 12 31111 6 M59 90000 000132 0000R 00001 00141 015 2111100 2024*")</f>
        <v>0</v>
      </c>
      <c r="H4364" s="35">
        <f t="shared" si="69"/>
        <v>15178.46</v>
      </c>
      <c r="I4364" s="35"/>
      <c r="K4364" t="s">
        <v>15</v>
      </c>
    </row>
    <row r="4365" spans="2:11" ht="41.25" x14ac:dyDescent="0.2">
      <c r="B4365" s="33" t="s">
        <v>5310</v>
      </c>
      <c r="C4365" s="33" t="s">
        <v>1056</v>
      </c>
      <c r="D4365" s="35">
        <f>SUMIFS(D4366:D9015,K4366:K9015,"0",B4366:B9015,"5 1 1 4 1 12 31111 6 M59 90000 000132 0000R 00001 00141 015 2111100 2024 CP1SG383*")-SUMIFS(E4366:E9015,K4366:K9015,"0",B4366:B9015,"5 1 1 4 1 12 31111 6 M59 90000 000132 0000R 00001 00141 015 2111100 2024 CP1SG383*")</f>
        <v>0</v>
      </c>
      <c r="E4365"/>
      <c r="F4365" s="35">
        <f>SUMIFS(F4366:F9015,K4366:K9015,"0",B4366:B9015,"5 1 1 4 1 12 31111 6 M59 90000 000132 0000R 00001 00141 015 2111100 2024 CP1SG383*")</f>
        <v>15178.46</v>
      </c>
      <c r="G4365" s="35">
        <f>SUMIFS(G4366:G9015,K4366:K9015,"0",B4366:B9015,"5 1 1 4 1 12 31111 6 M59 90000 000132 0000R 00001 00141 015 2111100 2024 CP1SG383*")</f>
        <v>0</v>
      </c>
      <c r="H4365" s="35">
        <f t="shared" si="69"/>
        <v>15178.46</v>
      </c>
      <c r="I4365" s="35"/>
      <c r="K4365" t="s">
        <v>15</v>
      </c>
    </row>
    <row r="4366" spans="2:11" ht="41.25" x14ac:dyDescent="0.2">
      <c r="B4366" s="33" t="s">
        <v>5311</v>
      </c>
      <c r="C4366" s="33" t="s">
        <v>282</v>
      </c>
      <c r="D4366" s="35">
        <f>SUMIFS(D4367:D9015,K4367:K9015,"0",B4367:B9015,"5 1 1 4 1 12 31111 6 M59 90000 000132 0000R 00001 00141 015 2111100 2024 CP1SG383 001*")-SUMIFS(E4367:E9015,K4367:K9015,"0",B4367:B9015,"5 1 1 4 1 12 31111 6 M59 90000 000132 0000R 00001 00141 015 2111100 2024 CP1SG383 001*")</f>
        <v>0</v>
      </c>
      <c r="E4366"/>
      <c r="F4366" s="35">
        <f>SUMIFS(F4367:F9015,K4367:K9015,"0",B4367:B9015,"5 1 1 4 1 12 31111 6 M59 90000 000132 0000R 00001 00141 015 2111100 2024 CP1SG383 001*")</f>
        <v>15178.46</v>
      </c>
      <c r="G4366" s="35">
        <f>SUMIFS(G4367:G9015,K4367:K9015,"0",B4367:B9015,"5 1 1 4 1 12 31111 6 M59 90000 000132 0000R 00001 00141 015 2111100 2024 CP1SG383 001*")</f>
        <v>0</v>
      </c>
      <c r="H4366" s="35">
        <f t="shared" si="69"/>
        <v>15178.46</v>
      </c>
      <c r="I4366" s="35"/>
      <c r="K4366" t="s">
        <v>15</v>
      </c>
    </row>
    <row r="4367" spans="2:11" ht="41.25" x14ac:dyDescent="0.2">
      <c r="B4367" s="31" t="s">
        <v>5312</v>
      </c>
      <c r="C4367" s="31" t="s">
        <v>5164</v>
      </c>
      <c r="D4367" s="34">
        <v>0</v>
      </c>
      <c r="E4367" s="34"/>
      <c r="F4367" s="34">
        <v>15178.46</v>
      </c>
      <c r="G4367" s="34">
        <v>0</v>
      </c>
      <c r="H4367" s="34">
        <f t="shared" si="69"/>
        <v>15178.46</v>
      </c>
      <c r="I4367" s="34"/>
      <c r="K4367" t="s">
        <v>38</v>
      </c>
    </row>
    <row r="4368" spans="2:11" ht="16.5" x14ac:dyDescent="0.2">
      <c r="B4368" s="33" t="s">
        <v>5313</v>
      </c>
      <c r="C4368" s="33" t="s">
        <v>3608</v>
      </c>
      <c r="D4368" s="35">
        <f>SUMIFS(D4369:D9015,K4369:K9015,"0",B4369:B9015,"5 1 1 4 1 12 31111 6 M59 91000*")-SUMIFS(E4369:E9015,K4369:K9015,"0",B4369:B9015,"5 1 1 4 1 12 31111 6 M59 91000*")</f>
        <v>0</v>
      </c>
      <c r="E4368"/>
      <c r="F4368" s="35">
        <f>SUMIFS(F4369:F9015,K4369:K9015,"0",B4369:B9015,"5 1 1 4 1 12 31111 6 M59 91000*")</f>
        <v>15180.74</v>
      </c>
      <c r="G4368" s="35">
        <f>SUMIFS(G4369:G9015,K4369:K9015,"0",B4369:B9015,"5 1 1 4 1 12 31111 6 M59 91000*")</f>
        <v>0</v>
      </c>
      <c r="H4368" s="35">
        <f t="shared" si="69"/>
        <v>15180.74</v>
      </c>
      <c r="I4368" s="35"/>
      <c r="K4368" t="s">
        <v>15</v>
      </c>
    </row>
    <row r="4369" spans="2:11" ht="16.5" x14ac:dyDescent="0.2">
      <c r="B4369" s="33" t="s">
        <v>5314</v>
      </c>
      <c r="C4369" s="33" t="s">
        <v>648</v>
      </c>
      <c r="D4369" s="35">
        <f>SUMIFS(D4370:D9015,K4370:K9015,"0",B4370:B9015,"5 1 1 4 1 12 31111 6 M59 91000 000132*")-SUMIFS(E4370:E9015,K4370:K9015,"0",B4370:B9015,"5 1 1 4 1 12 31111 6 M59 91000 000132*")</f>
        <v>0</v>
      </c>
      <c r="E4369"/>
      <c r="F4369" s="35">
        <f>SUMIFS(F4370:F9015,K4370:K9015,"0",B4370:B9015,"5 1 1 4 1 12 31111 6 M59 91000 000132*")</f>
        <v>15180.74</v>
      </c>
      <c r="G4369" s="35">
        <f>SUMIFS(G4370:G9015,K4370:K9015,"0",B4370:B9015,"5 1 1 4 1 12 31111 6 M59 91000 000132*")</f>
        <v>0</v>
      </c>
      <c r="H4369" s="35">
        <f t="shared" si="69"/>
        <v>15180.74</v>
      </c>
      <c r="I4369" s="35"/>
      <c r="K4369" t="s">
        <v>15</v>
      </c>
    </row>
    <row r="4370" spans="2:11" ht="16.5" x14ac:dyDescent="0.2">
      <c r="B4370" s="33" t="s">
        <v>5315</v>
      </c>
      <c r="C4370" s="33" t="s">
        <v>650</v>
      </c>
      <c r="D4370" s="35">
        <f>SUMIFS(D4371:D9015,K4371:K9015,"0",B4371:B9015,"5 1 1 4 1 12 31111 6 M59 91000 000132 0000R*")-SUMIFS(E4371:E9015,K4371:K9015,"0",B4371:B9015,"5 1 1 4 1 12 31111 6 M59 91000 000132 0000R*")</f>
        <v>0</v>
      </c>
      <c r="E4370"/>
      <c r="F4370" s="35">
        <f>SUMIFS(F4371:F9015,K4371:K9015,"0",B4371:B9015,"5 1 1 4 1 12 31111 6 M59 91000 000132 0000R*")</f>
        <v>15180.74</v>
      </c>
      <c r="G4370" s="35">
        <f>SUMIFS(G4371:G9015,K4371:K9015,"0",B4371:B9015,"5 1 1 4 1 12 31111 6 M59 91000 000132 0000R*")</f>
        <v>0</v>
      </c>
      <c r="H4370" s="35">
        <f t="shared" si="69"/>
        <v>15180.74</v>
      </c>
      <c r="I4370" s="35"/>
      <c r="K4370" t="s">
        <v>15</v>
      </c>
    </row>
    <row r="4371" spans="2:11" ht="24.75" x14ac:dyDescent="0.2">
      <c r="B4371" s="33" t="s">
        <v>5316</v>
      </c>
      <c r="C4371" s="33" t="s">
        <v>282</v>
      </c>
      <c r="D4371" s="35">
        <f>SUMIFS(D4372:D9015,K4372:K9015,"0",B4372:B9015,"5 1 1 4 1 12 31111 6 M59 91000 000132 0000R 00001*")-SUMIFS(E4372:E9015,K4372:K9015,"0",B4372:B9015,"5 1 1 4 1 12 31111 6 M59 91000 000132 0000R 00001*")</f>
        <v>0</v>
      </c>
      <c r="E4371"/>
      <c r="F4371" s="35">
        <f>SUMIFS(F4372:F9015,K4372:K9015,"0",B4372:B9015,"5 1 1 4 1 12 31111 6 M59 91000 000132 0000R 00001*")</f>
        <v>15180.74</v>
      </c>
      <c r="G4371" s="35">
        <f>SUMIFS(G4372:G9015,K4372:K9015,"0",B4372:B9015,"5 1 1 4 1 12 31111 6 M59 91000 000132 0000R 00001*")</f>
        <v>0</v>
      </c>
      <c r="H4371" s="35">
        <f t="shared" si="69"/>
        <v>15180.74</v>
      </c>
      <c r="I4371" s="35"/>
      <c r="K4371" t="s">
        <v>15</v>
      </c>
    </row>
    <row r="4372" spans="2:11" ht="24.75" x14ac:dyDescent="0.2">
      <c r="B4372" s="33" t="s">
        <v>5317</v>
      </c>
      <c r="C4372" s="33" t="s">
        <v>5174</v>
      </c>
      <c r="D4372" s="35">
        <f>SUMIFS(D4373:D9015,K4373:K9015,"0",B4373:B9015,"5 1 1 4 1 12 31111 6 M59 91000 000132 0000R 00001 00141*")-SUMIFS(E4373:E9015,K4373:K9015,"0",B4373:B9015,"5 1 1 4 1 12 31111 6 M59 91000 000132 0000R 00001 00141*")</f>
        <v>0</v>
      </c>
      <c r="E4372"/>
      <c r="F4372" s="35">
        <f>SUMIFS(F4373:F9015,K4373:K9015,"0",B4373:B9015,"5 1 1 4 1 12 31111 6 M59 91000 000132 0000R 00001 00141*")</f>
        <v>15180.74</v>
      </c>
      <c r="G4372" s="35">
        <f>SUMIFS(G4373:G9015,K4373:K9015,"0",B4373:B9015,"5 1 1 4 1 12 31111 6 M59 91000 000132 0000R 00001 00141*")</f>
        <v>0</v>
      </c>
      <c r="H4372" s="35">
        <f t="shared" si="69"/>
        <v>15180.74</v>
      </c>
      <c r="I4372" s="35"/>
      <c r="K4372" t="s">
        <v>15</v>
      </c>
    </row>
    <row r="4373" spans="2:11" ht="24.75" x14ac:dyDescent="0.2">
      <c r="B4373" s="33" t="s">
        <v>5318</v>
      </c>
      <c r="C4373" s="33" t="s">
        <v>1051</v>
      </c>
      <c r="D4373" s="35">
        <f>SUMIFS(D4374:D9015,K4374:K9015,"0",B4374:B9015,"5 1 1 4 1 12 31111 6 M59 91000 000132 0000R 00001 00141 015*")-SUMIFS(E4374:E9015,K4374:K9015,"0",B4374:B9015,"5 1 1 4 1 12 31111 6 M59 91000 000132 0000R 00001 00141 015*")</f>
        <v>0</v>
      </c>
      <c r="E4373"/>
      <c r="F4373" s="35">
        <f>SUMIFS(F4374:F9015,K4374:K9015,"0",B4374:B9015,"5 1 1 4 1 12 31111 6 M59 91000 000132 0000R 00001 00141 015*")</f>
        <v>15180.74</v>
      </c>
      <c r="G4373" s="35">
        <f>SUMIFS(G4374:G9015,K4374:K9015,"0",B4374:B9015,"5 1 1 4 1 12 31111 6 M59 91000 000132 0000R 00001 00141 015*")</f>
        <v>0</v>
      </c>
      <c r="H4373" s="35">
        <f t="shared" si="69"/>
        <v>15180.74</v>
      </c>
      <c r="I4373" s="35"/>
      <c r="K4373" t="s">
        <v>15</v>
      </c>
    </row>
    <row r="4374" spans="2:11" ht="33" x14ac:dyDescent="0.2">
      <c r="B4374" s="33" t="s">
        <v>5319</v>
      </c>
      <c r="C4374" s="33" t="s">
        <v>2927</v>
      </c>
      <c r="D4374" s="35">
        <f>SUMIFS(D4375:D9015,K4375:K9015,"0",B4375:B9015,"5 1 1 4 1 12 31111 6 M59 91000 000132 0000R 00001 00141 015 2111100*")-SUMIFS(E4375:E9015,K4375:K9015,"0",B4375:B9015,"5 1 1 4 1 12 31111 6 M59 91000 000132 0000R 00001 00141 015 2111100*")</f>
        <v>0</v>
      </c>
      <c r="E4374"/>
      <c r="F4374" s="35">
        <f>SUMIFS(F4375:F9015,K4375:K9015,"0",B4375:B9015,"5 1 1 4 1 12 31111 6 M59 91000 000132 0000R 00001 00141 015 2111100*")</f>
        <v>15180.74</v>
      </c>
      <c r="G4374" s="35">
        <f>SUMIFS(G4375:G9015,K4375:K9015,"0",B4375:B9015,"5 1 1 4 1 12 31111 6 M59 91000 000132 0000R 00001 00141 015 2111100*")</f>
        <v>0</v>
      </c>
      <c r="H4374" s="35">
        <f t="shared" si="69"/>
        <v>15180.74</v>
      </c>
      <c r="I4374" s="35"/>
      <c r="K4374" t="s">
        <v>15</v>
      </c>
    </row>
    <row r="4375" spans="2:11" ht="33" x14ac:dyDescent="0.2">
      <c r="B4375" s="33" t="s">
        <v>5320</v>
      </c>
      <c r="C4375" s="33" t="s">
        <v>660</v>
      </c>
      <c r="D4375" s="35">
        <f>SUMIFS(D4376:D9015,K4376:K9015,"0",B4376:B9015,"5 1 1 4 1 12 31111 6 M59 91000 000132 0000R 00001 00141 015 2111100 2024*")-SUMIFS(E4376:E9015,K4376:K9015,"0",B4376:B9015,"5 1 1 4 1 12 31111 6 M59 91000 000132 0000R 00001 00141 015 2111100 2024*")</f>
        <v>0</v>
      </c>
      <c r="E4375"/>
      <c r="F4375" s="35">
        <f>SUMIFS(F4376:F9015,K4376:K9015,"0",B4376:B9015,"5 1 1 4 1 12 31111 6 M59 91000 000132 0000R 00001 00141 015 2111100 2024*")</f>
        <v>15180.74</v>
      </c>
      <c r="G4375" s="35">
        <f>SUMIFS(G4376:G9015,K4376:K9015,"0",B4376:B9015,"5 1 1 4 1 12 31111 6 M59 91000 000132 0000R 00001 00141 015 2111100 2024*")</f>
        <v>0</v>
      </c>
      <c r="H4375" s="35">
        <f t="shared" si="69"/>
        <v>15180.74</v>
      </c>
      <c r="I4375" s="35"/>
      <c r="K4375" t="s">
        <v>15</v>
      </c>
    </row>
    <row r="4376" spans="2:11" ht="41.25" x14ac:dyDescent="0.2">
      <c r="B4376" s="33" t="s">
        <v>5321</v>
      </c>
      <c r="C4376" s="33" t="s">
        <v>1056</v>
      </c>
      <c r="D4376" s="35">
        <f>SUMIFS(D4377:D9015,K4377:K9015,"0",B4377:B9015,"5 1 1 4 1 12 31111 6 M59 91000 000132 0000R 00001 00141 015 2111100 2024 CP1RE398*")-SUMIFS(E4377:E9015,K4377:K9015,"0",B4377:B9015,"5 1 1 4 1 12 31111 6 M59 91000 000132 0000R 00001 00141 015 2111100 2024 CP1RE398*")</f>
        <v>0</v>
      </c>
      <c r="E4376"/>
      <c r="F4376" s="35">
        <f>SUMIFS(F4377:F9015,K4377:K9015,"0",B4377:B9015,"5 1 1 4 1 12 31111 6 M59 91000 000132 0000R 00001 00141 015 2111100 2024 CP1RE398*")</f>
        <v>15180.74</v>
      </c>
      <c r="G4376" s="35">
        <f>SUMIFS(G4377:G9015,K4377:K9015,"0",B4377:B9015,"5 1 1 4 1 12 31111 6 M59 91000 000132 0000R 00001 00141 015 2111100 2024 CP1RE398*")</f>
        <v>0</v>
      </c>
      <c r="H4376" s="35">
        <f t="shared" si="69"/>
        <v>15180.74</v>
      </c>
      <c r="I4376" s="35"/>
      <c r="K4376" t="s">
        <v>15</v>
      </c>
    </row>
    <row r="4377" spans="2:11" ht="41.25" x14ac:dyDescent="0.2">
      <c r="B4377" s="33" t="s">
        <v>5322</v>
      </c>
      <c r="C4377" s="33" t="s">
        <v>282</v>
      </c>
      <c r="D4377" s="35">
        <f>SUMIFS(D4378:D9015,K4378:K9015,"0",B4378:B9015,"5 1 1 4 1 12 31111 6 M59 91000 000132 0000R 00001 00141 015 2111100 2024 CP1RE398 001*")-SUMIFS(E4378:E9015,K4378:K9015,"0",B4378:B9015,"5 1 1 4 1 12 31111 6 M59 91000 000132 0000R 00001 00141 015 2111100 2024 CP1RE398 001*")</f>
        <v>0</v>
      </c>
      <c r="E4377"/>
      <c r="F4377" s="35">
        <f>SUMIFS(F4378:F9015,K4378:K9015,"0",B4378:B9015,"5 1 1 4 1 12 31111 6 M59 91000 000132 0000R 00001 00141 015 2111100 2024 CP1RE398 001*")</f>
        <v>15180.74</v>
      </c>
      <c r="G4377" s="35">
        <f>SUMIFS(G4378:G9015,K4378:K9015,"0",B4378:B9015,"5 1 1 4 1 12 31111 6 M59 91000 000132 0000R 00001 00141 015 2111100 2024 CP1RE398 001*")</f>
        <v>0</v>
      </c>
      <c r="H4377" s="35">
        <f t="shared" si="69"/>
        <v>15180.74</v>
      </c>
      <c r="I4377" s="35"/>
      <c r="K4377" t="s">
        <v>15</v>
      </c>
    </row>
    <row r="4378" spans="2:11" ht="33" x14ac:dyDescent="0.2">
      <c r="B4378" s="31" t="s">
        <v>5323</v>
      </c>
      <c r="C4378" s="31" t="s">
        <v>5164</v>
      </c>
      <c r="D4378" s="34">
        <v>0</v>
      </c>
      <c r="E4378" s="34"/>
      <c r="F4378" s="34">
        <v>15180.74</v>
      </c>
      <c r="G4378" s="34">
        <v>0</v>
      </c>
      <c r="H4378" s="34">
        <f t="shared" si="69"/>
        <v>15180.74</v>
      </c>
      <c r="I4378" s="34"/>
      <c r="K4378" t="s">
        <v>38</v>
      </c>
    </row>
    <row r="4379" spans="2:11" ht="16.5" x14ac:dyDescent="0.2">
      <c r="B4379" s="33" t="s">
        <v>5324</v>
      </c>
      <c r="C4379" s="33" t="s">
        <v>3620</v>
      </c>
      <c r="D4379" s="35">
        <f>SUMIFS(D4380:D9015,K4380:K9015,"0",B4380:B9015,"5 1 1 4 1 12 31111 6 M59 92000*")-SUMIFS(E4380:E9015,K4380:K9015,"0",B4380:B9015,"5 1 1 4 1 12 31111 6 M59 92000*")</f>
        <v>0</v>
      </c>
      <c r="E4379"/>
      <c r="F4379" s="35">
        <f>SUMIFS(F4380:F9015,K4380:K9015,"0",B4380:B9015,"5 1 1 4 1 12 31111 6 M59 92000*")</f>
        <v>30956.18</v>
      </c>
      <c r="G4379" s="35">
        <f>SUMIFS(G4380:G9015,K4380:K9015,"0",B4380:B9015,"5 1 1 4 1 12 31111 6 M59 92000*")</f>
        <v>0</v>
      </c>
      <c r="H4379" s="35">
        <f t="shared" si="69"/>
        <v>30956.18</v>
      </c>
      <c r="I4379" s="35"/>
      <c r="K4379" t="s">
        <v>15</v>
      </c>
    </row>
    <row r="4380" spans="2:11" ht="24.75" x14ac:dyDescent="0.2">
      <c r="B4380" s="33" t="s">
        <v>5325</v>
      </c>
      <c r="C4380" s="33" t="s">
        <v>3152</v>
      </c>
      <c r="D4380" s="35">
        <f>SUMIFS(D4381:D9015,K4381:K9015,"0",B4381:B9015,"5 1 1 4 1 12 31111 6 M59 92000 000181*")-SUMIFS(E4381:E9015,K4381:K9015,"0",B4381:B9015,"5 1 1 4 1 12 31111 6 M59 92000 000181*")</f>
        <v>0</v>
      </c>
      <c r="E4380"/>
      <c r="F4380" s="35">
        <f>SUMIFS(F4381:F9015,K4381:K9015,"0",B4381:B9015,"5 1 1 4 1 12 31111 6 M59 92000 000181*")</f>
        <v>30956.18</v>
      </c>
      <c r="G4380" s="35">
        <f>SUMIFS(G4381:G9015,K4381:K9015,"0",B4381:B9015,"5 1 1 4 1 12 31111 6 M59 92000 000181*")</f>
        <v>0</v>
      </c>
      <c r="H4380" s="35">
        <f t="shared" si="69"/>
        <v>30956.18</v>
      </c>
      <c r="I4380" s="35"/>
      <c r="K4380" t="s">
        <v>15</v>
      </c>
    </row>
    <row r="4381" spans="2:11" ht="16.5" x14ac:dyDescent="0.2">
      <c r="B4381" s="33" t="s">
        <v>5326</v>
      </c>
      <c r="C4381" s="33" t="s">
        <v>1065</v>
      </c>
      <c r="D4381" s="35">
        <f>SUMIFS(D4382:D9015,K4382:K9015,"0",B4382:B9015,"5 1 1 4 1 12 31111 6 M59 92000 000181 0000E*")-SUMIFS(E4382:E9015,K4382:K9015,"0",B4382:B9015,"5 1 1 4 1 12 31111 6 M59 92000 000181 0000E*")</f>
        <v>0</v>
      </c>
      <c r="E4381"/>
      <c r="F4381" s="35">
        <f>SUMIFS(F4382:F9015,K4382:K9015,"0",B4382:B9015,"5 1 1 4 1 12 31111 6 M59 92000 000181 0000E*")</f>
        <v>30956.18</v>
      </c>
      <c r="G4381" s="35">
        <f>SUMIFS(G4382:G9015,K4382:K9015,"0",B4382:B9015,"5 1 1 4 1 12 31111 6 M59 92000 000181 0000E*")</f>
        <v>0</v>
      </c>
      <c r="H4381" s="35">
        <f t="shared" si="69"/>
        <v>30956.18</v>
      </c>
      <c r="I4381" s="35"/>
      <c r="K4381" t="s">
        <v>15</v>
      </c>
    </row>
    <row r="4382" spans="2:11" ht="24.75" x14ac:dyDescent="0.2">
      <c r="B4382" s="33" t="s">
        <v>5327</v>
      </c>
      <c r="C4382" s="33" t="s">
        <v>282</v>
      </c>
      <c r="D4382" s="35">
        <f>SUMIFS(D4383:D9015,K4383:K9015,"0",B4383:B9015,"5 1 1 4 1 12 31111 6 M59 92000 000181 0000E 00001*")-SUMIFS(E4383:E9015,K4383:K9015,"0",B4383:B9015,"5 1 1 4 1 12 31111 6 M59 92000 000181 0000E 00001*")</f>
        <v>0</v>
      </c>
      <c r="E4382"/>
      <c r="F4382" s="35">
        <f>SUMIFS(F4383:F9015,K4383:K9015,"0",B4383:B9015,"5 1 1 4 1 12 31111 6 M59 92000 000181 0000E 00001*")</f>
        <v>30956.18</v>
      </c>
      <c r="G4382" s="35">
        <f>SUMIFS(G4383:G9015,K4383:K9015,"0",B4383:B9015,"5 1 1 4 1 12 31111 6 M59 92000 000181 0000E 00001*")</f>
        <v>0</v>
      </c>
      <c r="H4382" s="35">
        <f t="shared" si="69"/>
        <v>30956.18</v>
      </c>
      <c r="I4382" s="35"/>
      <c r="K4382" t="s">
        <v>15</v>
      </c>
    </row>
    <row r="4383" spans="2:11" ht="24.75" x14ac:dyDescent="0.2">
      <c r="B4383" s="33" t="s">
        <v>5328</v>
      </c>
      <c r="C4383" s="33" t="s">
        <v>5174</v>
      </c>
      <c r="D4383" s="35">
        <f>SUMIFS(D4384:D9015,K4384:K9015,"0",B4384:B9015,"5 1 1 4 1 12 31111 6 M59 92000 000181 0000E 00001 00141*")-SUMIFS(E4384:E9015,K4384:K9015,"0",B4384:B9015,"5 1 1 4 1 12 31111 6 M59 92000 000181 0000E 00001 00141*")</f>
        <v>0</v>
      </c>
      <c r="E4383"/>
      <c r="F4383" s="35">
        <f>SUMIFS(F4384:F9015,K4384:K9015,"0",B4384:B9015,"5 1 1 4 1 12 31111 6 M59 92000 000181 0000E 00001 00141*")</f>
        <v>30956.18</v>
      </c>
      <c r="G4383" s="35">
        <f>SUMIFS(G4384:G9015,K4384:K9015,"0",B4384:B9015,"5 1 1 4 1 12 31111 6 M59 92000 000181 0000E 00001 00141*")</f>
        <v>0</v>
      </c>
      <c r="H4383" s="35">
        <f t="shared" si="69"/>
        <v>30956.18</v>
      </c>
      <c r="I4383" s="35"/>
      <c r="K4383" t="s">
        <v>15</v>
      </c>
    </row>
    <row r="4384" spans="2:11" ht="24.75" x14ac:dyDescent="0.2">
      <c r="B4384" s="33" t="s">
        <v>5329</v>
      </c>
      <c r="C4384" s="33" t="s">
        <v>1051</v>
      </c>
      <c r="D4384" s="35">
        <f>SUMIFS(D4385:D9015,K4385:K9015,"0",B4385:B9015,"5 1 1 4 1 12 31111 6 M59 92000 000181 0000E 00001 00141 015*")-SUMIFS(E4385:E9015,K4385:K9015,"0",B4385:B9015,"5 1 1 4 1 12 31111 6 M59 92000 000181 0000E 00001 00141 015*")</f>
        <v>0</v>
      </c>
      <c r="E4384"/>
      <c r="F4384" s="35">
        <f>SUMIFS(F4385:F9015,K4385:K9015,"0",B4385:B9015,"5 1 1 4 1 12 31111 6 M59 92000 000181 0000E 00001 00141 015*")</f>
        <v>30956.18</v>
      </c>
      <c r="G4384" s="35">
        <f>SUMIFS(G4385:G9015,K4385:K9015,"0",B4385:B9015,"5 1 1 4 1 12 31111 6 M59 92000 000181 0000E 00001 00141 015*")</f>
        <v>0</v>
      </c>
      <c r="H4384" s="35">
        <f t="shared" si="69"/>
        <v>30956.18</v>
      </c>
      <c r="I4384" s="35"/>
      <c r="K4384" t="s">
        <v>15</v>
      </c>
    </row>
    <row r="4385" spans="2:11" ht="33" x14ac:dyDescent="0.2">
      <c r="B4385" s="33" t="s">
        <v>5330</v>
      </c>
      <c r="C4385" s="33" t="s">
        <v>2927</v>
      </c>
      <c r="D4385" s="35">
        <f>SUMIFS(D4386:D9015,K4386:K9015,"0",B4386:B9015,"5 1 1 4 1 12 31111 6 M59 92000 000181 0000E 00001 00141 015 2111100*")-SUMIFS(E4386:E9015,K4386:K9015,"0",B4386:B9015,"5 1 1 4 1 12 31111 6 M59 92000 000181 0000E 00001 00141 015 2111100*")</f>
        <v>0</v>
      </c>
      <c r="E4385"/>
      <c r="F4385" s="35">
        <f>SUMIFS(F4386:F9015,K4386:K9015,"0",B4386:B9015,"5 1 1 4 1 12 31111 6 M59 92000 000181 0000E 00001 00141 015 2111100*")</f>
        <v>30956.18</v>
      </c>
      <c r="G4385" s="35">
        <f>SUMIFS(G4386:G9015,K4386:K9015,"0",B4386:B9015,"5 1 1 4 1 12 31111 6 M59 92000 000181 0000E 00001 00141 015 2111100*")</f>
        <v>0</v>
      </c>
      <c r="H4385" s="35">
        <f t="shared" si="69"/>
        <v>30956.18</v>
      </c>
      <c r="I4385" s="35"/>
      <c r="K4385" t="s">
        <v>15</v>
      </c>
    </row>
    <row r="4386" spans="2:11" ht="33" x14ac:dyDescent="0.2">
      <c r="B4386" s="33" t="s">
        <v>5331</v>
      </c>
      <c r="C4386" s="33" t="s">
        <v>660</v>
      </c>
      <c r="D4386" s="35">
        <f>SUMIFS(D4387:D9015,K4387:K9015,"0",B4387:B9015,"5 1 1 4 1 12 31111 6 M59 92000 000181 0000E 00001 00141 015 2111100 2024*")-SUMIFS(E4387:E9015,K4387:K9015,"0",B4387:B9015,"5 1 1 4 1 12 31111 6 M59 92000 000181 0000E 00001 00141 015 2111100 2024*")</f>
        <v>0</v>
      </c>
      <c r="E4386"/>
      <c r="F4386" s="35">
        <f>SUMIFS(F4387:F9015,K4387:K9015,"0",B4387:B9015,"5 1 1 4 1 12 31111 6 M59 92000 000181 0000E 00001 00141 015 2111100 2024*")</f>
        <v>30956.18</v>
      </c>
      <c r="G4386" s="35">
        <f>SUMIFS(G4387:G9015,K4387:K9015,"0",B4387:B9015,"5 1 1 4 1 12 31111 6 M59 92000 000181 0000E 00001 00141 015 2111100 2024*")</f>
        <v>0</v>
      </c>
      <c r="H4386" s="35">
        <f t="shared" si="69"/>
        <v>30956.18</v>
      </c>
      <c r="I4386" s="35"/>
      <c r="K4386" t="s">
        <v>15</v>
      </c>
    </row>
    <row r="4387" spans="2:11" ht="41.25" x14ac:dyDescent="0.2">
      <c r="B4387" s="33" t="s">
        <v>5332</v>
      </c>
      <c r="C4387" s="33" t="s">
        <v>1056</v>
      </c>
      <c r="D4387" s="35">
        <f>SUMIFS(D4388:D9015,K4388:K9015,"0",B4388:B9015,"5 1 1 4 1 12 31111 6 M59 92000 000181 0000E 00001 00141 015 2111100 2024 CP1RC399*")-SUMIFS(E4388:E9015,K4388:K9015,"0",B4388:B9015,"5 1 1 4 1 12 31111 6 M59 92000 000181 0000E 00001 00141 015 2111100 2024 CP1RC399*")</f>
        <v>0</v>
      </c>
      <c r="E4387"/>
      <c r="F4387" s="35">
        <f>SUMIFS(F4388:F9015,K4388:K9015,"0",B4388:B9015,"5 1 1 4 1 12 31111 6 M59 92000 000181 0000E 00001 00141 015 2111100 2024 CP1RC399*")</f>
        <v>30956.18</v>
      </c>
      <c r="G4387" s="35">
        <f>SUMIFS(G4388:G9015,K4388:K9015,"0",B4388:B9015,"5 1 1 4 1 12 31111 6 M59 92000 000181 0000E 00001 00141 015 2111100 2024 CP1RC399*")</f>
        <v>0</v>
      </c>
      <c r="H4387" s="35">
        <f t="shared" si="69"/>
        <v>30956.18</v>
      </c>
      <c r="I4387" s="35"/>
      <c r="K4387" t="s">
        <v>15</v>
      </c>
    </row>
    <row r="4388" spans="2:11" ht="41.25" x14ac:dyDescent="0.2">
      <c r="B4388" s="33" t="s">
        <v>5333</v>
      </c>
      <c r="C4388" s="33" t="s">
        <v>282</v>
      </c>
      <c r="D4388" s="35">
        <f>SUMIFS(D4389:D9015,K4389:K9015,"0",B4389:B9015,"5 1 1 4 1 12 31111 6 M59 92000 000181 0000E 00001 00141 015 2111100 2024 CP1RC399 001*")-SUMIFS(E4389:E9015,K4389:K9015,"0",B4389:B9015,"5 1 1 4 1 12 31111 6 M59 92000 000181 0000E 00001 00141 015 2111100 2024 CP1RC399 001*")</f>
        <v>0</v>
      </c>
      <c r="E4388"/>
      <c r="F4388" s="35">
        <f>SUMIFS(F4389:F9015,K4389:K9015,"0",B4389:B9015,"5 1 1 4 1 12 31111 6 M59 92000 000181 0000E 00001 00141 015 2111100 2024 CP1RC399 001*")</f>
        <v>30956.18</v>
      </c>
      <c r="G4388" s="35">
        <f>SUMIFS(G4389:G9015,K4389:K9015,"0",B4389:B9015,"5 1 1 4 1 12 31111 6 M59 92000 000181 0000E 00001 00141 015 2111100 2024 CP1RC399 001*")</f>
        <v>0</v>
      </c>
      <c r="H4388" s="35">
        <f t="shared" si="69"/>
        <v>30956.18</v>
      </c>
      <c r="I4388" s="35"/>
      <c r="K4388" t="s">
        <v>15</v>
      </c>
    </row>
    <row r="4389" spans="2:11" ht="33" x14ac:dyDescent="0.2">
      <c r="B4389" s="31" t="s">
        <v>5334</v>
      </c>
      <c r="C4389" s="31" t="s">
        <v>5164</v>
      </c>
      <c r="D4389" s="34">
        <v>0</v>
      </c>
      <c r="E4389" s="34"/>
      <c r="F4389" s="34">
        <v>30956.18</v>
      </c>
      <c r="G4389" s="34">
        <v>0</v>
      </c>
      <c r="H4389" s="34">
        <f t="shared" si="69"/>
        <v>30956.18</v>
      </c>
      <c r="I4389" s="34"/>
      <c r="K4389" t="s">
        <v>38</v>
      </c>
    </row>
    <row r="4390" spans="2:11" ht="16.5" x14ac:dyDescent="0.2">
      <c r="B4390" s="33" t="s">
        <v>5335</v>
      </c>
      <c r="C4390" s="33" t="s">
        <v>3644</v>
      </c>
      <c r="D4390" s="35">
        <f>SUMIFS(D4391:D9015,K4391:K9015,"0",B4391:B9015,"5 1 1 4 1 12 31111 6 M59 94000*")-SUMIFS(E4391:E9015,K4391:K9015,"0",B4391:B9015,"5 1 1 4 1 12 31111 6 M59 94000*")</f>
        <v>0</v>
      </c>
      <c r="E4390"/>
      <c r="F4390" s="35">
        <f>SUMIFS(F4391:F9015,K4391:K9015,"0",B4391:B9015,"5 1 1 4 1 12 31111 6 M59 94000*")</f>
        <v>38132.379999999997</v>
      </c>
      <c r="G4390" s="35">
        <f>SUMIFS(G4391:G9015,K4391:K9015,"0",B4391:B9015,"5 1 1 4 1 12 31111 6 M59 94000*")</f>
        <v>0</v>
      </c>
      <c r="H4390" s="35">
        <f t="shared" si="69"/>
        <v>38132.379999999997</v>
      </c>
      <c r="I4390" s="35"/>
      <c r="K4390" t="s">
        <v>15</v>
      </c>
    </row>
    <row r="4391" spans="2:11" ht="24.75" x14ac:dyDescent="0.2">
      <c r="B4391" s="33" t="s">
        <v>5336</v>
      </c>
      <c r="C4391" s="33" t="s">
        <v>3152</v>
      </c>
      <c r="D4391" s="35">
        <f>SUMIFS(D4392:D9015,K4392:K9015,"0",B4392:B9015,"5 1 1 4 1 12 31111 6 M59 94000 000181*")-SUMIFS(E4392:E9015,K4392:K9015,"0",B4392:B9015,"5 1 1 4 1 12 31111 6 M59 94000 000181*")</f>
        <v>0</v>
      </c>
      <c r="E4391"/>
      <c r="F4391" s="35">
        <f>SUMIFS(F4392:F9015,K4392:K9015,"0",B4392:B9015,"5 1 1 4 1 12 31111 6 M59 94000 000181*")</f>
        <v>38132.379999999997</v>
      </c>
      <c r="G4391" s="35">
        <f>SUMIFS(G4392:G9015,K4392:K9015,"0",B4392:B9015,"5 1 1 4 1 12 31111 6 M59 94000 000181*")</f>
        <v>0</v>
      </c>
      <c r="H4391" s="35">
        <f t="shared" si="69"/>
        <v>38132.379999999997</v>
      </c>
      <c r="I4391" s="35"/>
      <c r="K4391" t="s">
        <v>15</v>
      </c>
    </row>
    <row r="4392" spans="2:11" ht="16.5" x14ac:dyDescent="0.2">
      <c r="B4392" s="33" t="s">
        <v>5337</v>
      </c>
      <c r="C4392" s="33" t="s">
        <v>650</v>
      </c>
      <c r="D4392" s="35">
        <f>SUMIFS(D4393:D9015,K4393:K9015,"0",B4393:B9015,"5 1 1 4 1 12 31111 6 M59 94000 000181 0000R*")-SUMIFS(E4393:E9015,K4393:K9015,"0",B4393:B9015,"5 1 1 4 1 12 31111 6 M59 94000 000181 0000R*")</f>
        <v>0</v>
      </c>
      <c r="E4392"/>
      <c r="F4392" s="35">
        <f>SUMIFS(F4393:F9015,K4393:K9015,"0",B4393:B9015,"5 1 1 4 1 12 31111 6 M59 94000 000181 0000R*")</f>
        <v>38132.379999999997</v>
      </c>
      <c r="G4392" s="35">
        <f>SUMIFS(G4393:G9015,K4393:K9015,"0",B4393:B9015,"5 1 1 4 1 12 31111 6 M59 94000 000181 0000R*")</f>
        <v>0</v>
      </c>
      <c r="H4392" s="35">
        <f t="shared" si="69"/>
        <v>38132.379999999997</v>
      </c>
      <c r="I4392" s="35"/>
      <c r="K4392" t="s">
        <v>15</v>
      </c>
    </row>
    <row r="4393" spans="2:11" ht="24.75" x14ac:dyDescent="0.2">
      <c r="B4393" s="33" t="s">
        <v>5338</v>
      </c>
      <c r="C4393" s="33" t="s">
        <v>282</v>
      </c>
      <c r="D4393" s="35">
        <f>SUMIFS(D4394:D9015,K4394:K9015,"0",B4394:B9015,"5 1 1 4 1 12 31111 6 M59 94000 000181 0000R 00001*")-SUMIFS(E4394:E9015,K4394:K9015,"0",B4394:B9015,"5 1 1 4 1 12 31111 6 M59 94000 000181 0000R 00001*")</f>
        <v>0</v>
      </c>
      <c r="E4393"/>
      <c r="F4393" s="35">
        <f>SUMIFS(F4394:F9015,K4394:K9015,"0",B4394:B9015,"5 1 1 4 1 12 31111 6 M59 94000 000181 0000R 00001*")</f>
        <v>38132.379999999997</v>
      </c>
      <c r="G4393" s="35">
        <f>SUMIFS(G4394:G9015,K4394:K9015,"0",B4394:B9015,"5 1 1 4 1 12 31111 6 M59 94000 000181 0000R 00001*")</f>
        <v>0</v>
      </c>
      <c r="H4393" s="35">
        <f t="shared" si="69"/>
        <v>38132.379999999997</v>
      </c>
      <c r="I4393" s="35"/>
      <c r="K4393" t="s">
        <v>15</v>
      </c>
    </row>
    <row r="4394" spans="2:11" ht="24.75" x14ac:dyDescent="0.2">
      <c r="B4394" s="33" t="s">
        <v>5339</v>
      </c>
      <c r="C4394" s="33" t="s">
        <v>5174</v>
      </c>
      <c r="D4394" s="35">
        <f>SUMIFS(D4395:D9015,K4395:K9015,"0",B4395:B9015,"5 1 1 4 1 12 31111 6 M59 94000 000181 0000R 00001 00141*")-SUMIFS(E4395:E9015,K4395:K9015,"0",B4395:B9015,"5 1 1 4 1 12 31111 6 M59 94000 000181 0000R 00001 00141*")</f>
        <v>0</v>
      </c>
      <c r="E4394"/>
      <c r="F4394" s="35">
        <f>SUMIFS(F4395:F9015,K4395:K9015,"0",B4395:B9015,"5 1 1 4 1 12 31111 6 M59 94000 000181 0000R 00001 00141*")</f>
        <v>38132.379999999997</v>
      </c>
      <c r="G4394" s="35">
        <f>SUMIFS(G4395:G9015,K4395:K9015,"0",B4395:B9015,"5 1 1 4 1 12 31111 6 M59 94000 000181 0000R 00001 00141*")</f>
        <v>0</v>
      </c>
      <c r="H4394" s="35">
        <f t="shared" si="69"/>
        <v>38132.379999999997</v>
      </c>
      <c r="I4394" s="35"/>
      <c r="K4394" t="s">
        <v>15</v>
      </c>
    </row>
    <row r="4395" spans="2:11" ht="24.75" x14ac:dyDescent="0.2">
      <c r="B4395" s="33" t="s">
        <v>5340</v>
      </c>
      <c r="C4395" s="33" t="s">
        <v>1051</v>
      </c>
      <c r="D4395" s="35">
        <f>SUMIFS(D4396:D9015,K4396:K9015,"0",B4396:B9015,"5 1 1 4 1 12 31111 6 M59 94000 000181 0000R 00001 00141 015*")-SUMIFS(E4396:E9015,K4396:K9015,"0",B4396:B9015,"5 1 1 4 1 12 31111 6 M59 94000 000181 0000R 00001 00141 015*")</f>
        <v>0</v>
      </c>
      <c r="E4395"/>
      <c r="F4395" s="35">
        <f>SUMIFS(F4396:F9015,K4396:K9015,"0",B4396:B9015,"5 1 1 4 1 12 31111 6 M59 94000 000181 0000R 00001 00141 015*")</f>
        <v>38132.379999999997</v>
      </c>
      <c r="G4395" s="35">
        <f>SUMIFS(G4396:G9015,K4396:K9015,"0",B4396:B9015,"5 1 1 4 1 12 31111 6 M59 94000 000181 0000R 00001 00141 015*")</f>
        <v>0</v>
      </c>
      <c r="H4395" s="35">
        <f t="shared" si="69"/>
        <v>38132.379999999997</v>
      </c>
      <c r="I4395" s="35"/>
      <c r="K4395" t="s">
        <v>15</v>
      </c>
    </row>
    <row r="4396" spans="2:11" ht="33" x14ac:dyDescent="0.2">
      <c r="B4396" s="33" t="s">
        <v>5341</v>
      </c>
      <c r="C4396" s="33" t="s">
        <v>2927</v>
      </c>
      <c r="D4396" s="35">
        <f>SUMIFS(D4397:D9015,K4397:K9015,"0",B4397:B9015,"5 1 1 4 1 12 31111 6 M59 94000 000181 0000R 00001 00141 015 2111100*")-SUMIFS(E4397:E9015,K4397:K9015,"0",B4397:B9015,"5 1 1 4 1 12 31111 6 M59 94000 000181 0000R 00001 00141 015 2111100*")</f>
        <v>0</v>
      </c>
      <c r="E4396"/>
      <c r="F4396" s="35">
        <f>SUMIFS(F4397:F9015,K4397:K9015,"0",B4397:B9015,"5 1 1 4 1 12 31111 6 M59 94000 000181 0000R 00001 00141 015 2111100*")</f>
        <v>38132.379999999997</v>
      </c>
      <c r="G4396" s="35">
        <f>SUMIFS(G4397:G9015,K4397:K9015,"0",B4397:B9015,"5 1 1 4 1 12 31111 6 M59 94000 000181 0000R 00001 00141 015 2111100*")</f>
        <v>0</v>
      </c>
      <c r="H4396" s="35">
        <f t="shared" si="69"/>
        <v>38132.379999999997</v>
      </c>
      <c r="I4396" s="35"/>
      <c r="K4396" t="s">
        <v>15</v>
      </c>
    </row>
    <row r="4397" spans="2:11" ht="33" x14ac:dyDescent="0.2">
      <c r="B4397" s="33" t="s">
        <v>5342</v>
      </c>
      <c r="C4397" s="33" t="s">
        <v>660</v>
      </c>
      <c r="D4397" s="35">
        <f>SUMIFS(D4398:D9015,K4398:K9015,"0",B4398:B9015,"5 1 1 4 1 12 31111 6 M59 94000 000181 0000R 00001 00141 015 2111100 2024*")-SUMIFS(E4398:E9015,K4398:K9015,"0",B4398:B9015,"5 1 1 4 1 12 31111 6 M59 94000 000181 0000R 00001 00141 015 2111100 2024*")</f>
        <v>0</v>
      </c>
      <c r="E4397"/>
      <c r="F4397" s="35">
        <f>SUMIFS(F4398:F9015,K4398:K9015,"0",B4398:B9015,"5 1 1 4 1 12 31111 6 M59 94000 000181 0000R 00001 00141 015 2111100 2024*")</f>
        <v>38132.379999999997</v>
      </c>
      <c r="G4397" s="35">
        <f>SUMIFS(G4398:G9015,K4398:K9015,"0",B4398:B9015,"5 1 1 4 1 12 31111 6 M59 94000 000181 0000R 00001 00141 015 2111100 2024*")</f>
        <v>0</v>
      </c>
      <c r="H4397" s="35">
        <f t="shared" si="69"/>
        <v>38132.379999999997</v>
      </c>
      <c r="I4397" s="35"/>
      <c r="K4397" t="s">
        <v>15</v>
      </c>
    </row>
    <row r="4398" spans="2:11" ht="41.25" x14ac:dyDescent="0.2">
      <c r="B4398" s="33" t="s">
        <v>5343</v>
      </c>
      <c r="C4398" s="33" t="s">
        <v>1056</v>
      </c>
      <c r="D4398" s="35">
        <f>SUMIFS(D4399:D9015,K4399:K9015,"0",B4399:B9015,"5 1 1 4 1 12 31111 6 M59 94000 000181 0000R 00001 00141 015 2111100 2024 CP1OM392*")-SUMIFS(E4399:E9015,K4399:K9015,"0",B4399:B9015,"5 1 1 4 1 12 31111 6 M59 94000 000181 0000R 00001 00141 015 2111100 2024 CP1OM392*")</f>
        <v>0</v>
      </c>
      <c r="E4398"/>
      <c r="F4398" s="35">
        <f>SUMIFS(F4399:F9015,K4399:K9015,"0",B4399:B9015,"5 1 1 4 1 12 31111 6 M59 94000 000181 0000R 00001 00141 015 2111100 2024 CP1OM392*")</f>
        <v>38132.379999999997</v>
      </c>
      <c r="G4398" s="35">
        <f>SUMIFS(G4399:G9015,K4399:K9015,"0",B4399:B9015,"5 1 1 4 1 12 31111 6 M59 94000 000181 0000R 00001 00141 015 2111100 2024 CP1OM392*")</f>
        <v>0</v>
      </c>
      <c r="H4398" s="35">
        <f t="shared" si="69"/>
        <v>38132.379999999997</v>
      </c>
      <c r="I4398" s="35"/>
      <c r="K4398" t="s">
        <v>15</v>
      </c>
    </row>
    <row r="4399" spans="2:11" ht="41.25" x14ac:dyDescent="0.2">
      <c r="B4399" s="33" t="s">
        <v>5344</v>
      </c>
      <c r="C4399" s="33" t="s">
        <v>282</v>
      </c>
      <c r="D4399" s="35">
        <f>SUMIFS(D4400:D9015,K4400:K9015,"0",B4400:B9015,"5 1 1 4 1 12 31111 6 M59 94000 000181 0000R 00001 00141 015 2111100 2024 CP1OM392 001*")-SUMIFS(E4400:E9015,K4400:K9015,"0",B4400:B9015,"5 1 1 4 1 12 31111 6 M59 94000 000181 0000R 00001 00141 015 2111100 2024 CP1OM392 001*")</f>
        <v>0</v>
      </c>
      <c r="E4399"/>
      <c r="F4399" s="35">
        <f>SUMIFS(F4400:F9015,K4400:K9015,"0",B4400:B9015,"5 1 1 4 1 12 31111 6 M59 94000 000181 0000R 00001 00141 015 2111100 2024 CP1OM392 001*")</f>
        <v>38132.379999999997</v>
      </c>
      <c r="G4399" s="35">
        <f>SUMIFS(G4400:G9015,K4400:K9015,"0",B4400:B9015,"5 1 1 4 1 12 31111 6 M59 94000 000181 0000R 00001 00141 015 2111100 2024 CP1OM392 001*")</f>
        <v>0</v>
      </c>
      <c r="H4399" s="35">
        <f t="shared" si="69"/>
        <v>38132.379999999997</v>
      </c>
      <c r="I4399" s="35"/>
      <c r="K4399" t="s">
        <v>15</v>
      </c>
    </row>
    <row r="4400" spans="2:11" ht="33" x14ac:dyDescent="0.2">
      <c r="B4400" s="31" t="s">
        <v>5345</v>
      </c>
      <c r="C4400" s="31" t="s">
        <v>5164</v>
      </c>
      <c r="D4400" s="34">
        <v>0</v>
      </c>
      <c r="E4400" s="34"/>
      <c r="F4400" s="34">
        <v>38132.379999999997</v>
      </c>
      <c r="G4400" s="34">
        <v>0</v>
      </c>
      <c r="H4400" s="34">
        <f t="shared" si="69"/>
        <v>38132.379999999997</v>
      </c>
      <c r="I4400" s="34"/>
      <c r="K4400" t="s">
        <v>38</v>
      </c>
    </row>
    <row r="4401" spans="2:11" ht="16.5" x14ac:dyDescent="0.2">
      <c r="B4401" s="33" t="s">
        <v>5346</v>
      </c>
      <c r="C4401" s="33" t="s">
        <v>3656</v>
      </c>
      <c r="D4401" s="35">
        <f>SUMIFS(D4402:D9015,K4402:K9015,"0",B4402:B9015,"5 1 1 4 1 12 31111 6 M59 94100*")-SUMIFS(E4402:E9015,K4402:K9015,"0",B4402:B9015,"5 1 1 4 1 12 31111 6 M59 94100*")</f>
        <v>0</v>
      </c>
      <c r="E4401"/>
      <c r="F4401" s="35">
        <f>SUMIFS(F4402:F9015,K4402:K9015,"0",B4402:B9015,"5 1 1 4 1 12 31111 6 M59 94100*")</f>
        <v>15771.58</v>
      </c>
      <c r="G4401" s="35">
        <f>SUMIFS(G4402:G9015,K4402:K9015,"0",B4402:B9015,"5 1 1 4 1 12 31111 6 M59 94100*")</f>
        <v>0</v>
      </c>
      <c r="H4401" s="35">
        <f t="shared" si="69"/>
        <v>15771.58</v>
      </c>
      <c r="I4401" s="35"/>
      <c r="K4401" t="s">
        <v>15</v>
      </c>
    </row>
    <row r="4402" spans="2:11" ht="16.5" x14ac:dyDescent="0.2">
      <c r="B4402" s="33" t="s">
        <v>5347</v>
      </c>
      <c r="C4402" s="33" t="s">
        <v>648</v>
      </c>
      <c r="D4402" s="35">
        <f>SUMIFS(D4403:D9015,K4403:K9015,"0",B4403:B9015,"5 1 1 4 1 12 31111 6 M59 94100 000132*")-SUMIFS(E4403:E9015,K4403:K9015,"0",B4403:B9015,"5 1 1 4 1 12 31111 6 M59 94100 000132*")</f>
        <v>0</v>
      </c>
      <c r="E4402"/>
      <c r="F4402" s="35">
        <f>SUMIFS(F4403:F9015,K4403:K9015,"0",B4403:B9015,"5 1 1 4 1 12 31111 6 M59 94100 000132*")</f>
        <v>15771.58</v>
      </c>
      <c r="G4402" s="35">
        <f>SUMIFS(G4403:G9015,K4403:K9015,"0",B4403:B9015,"5 1 1 4 1 12 31111 6 M59 94100 000132*")</f>
        <v>0</v>
      </c>
      <c r="H4402" s="35">
        <f t="shared" si="69"/>
        <v>15771.58</v>
      </c>
      <c r="I4402" s="35"/>
      <c r="K4402" t="s">
        <v>15</v>
      </c>
    </row>
    <row r="4403" spans="2:11" ht="16.5" x14ac:dyDescent="0.2">
      <c r="B4403" s="33" t="s">
        <v>5348</v>
      </c>
      <c r="C4403" s="33" t="s">
        <v>650</v>
      </c>
      <c r="D4403" s="35">
        <f>SUMIFS(D4404:D9015,K4404:K9015,"0",B4404:B9015,"5 1 1 4 1 12 31111 6 M59 94100 000132 0000R*")-SUMIFS(E4404:E9015,K4404:K9015,"0",B4404:B9015,"5 1 1 4 1 12 31111 6 M59 94100 000132 0000R*")</f>
        <v>0</v>
      </c>
      <c r="E4403"/>
      <c r="F4403" s="35">
        <f>SUMIFS(F4404:F9015,K4404:K9015,"0",B4404:B9015,"5 1 1 4 1 12 31111 6 M59 94100 000132 0000R*")</f>
        <v>15771.58</v>
      </c>
      <c r="G4403" s="35">
        <f>SUMIFS(G4404:G9015,K4404:K9015,"0",B4404:B9015,"5 1 1 4 1 12 31111 6 M59 94100 000132 0000R*")</f>
        <v>0</v>
      </c>
      <c r="H4403" s="35">
        <f t="shared" si="69"/>
        <v>15771.58</v>
      </c>
      <c r="I4403" s="35"/>
      <c r="K4403" t="s">
        <v>15</v>
      </c>
    </row>
    <row r="4404" spans="2:11" ht="24.75" x14ac:dyDescent="0.2">
      <c r="B4404" s="33" t="s">
        <v>5349</v>
      </c>
      <c r="C4404" s="33" t="s">
        <v>282</v>
      </c>
      <c r="D4404" s="35">
        <f>SUMIFS(D4405:D9015,K4405:K9015,"0",B4405:B9015,"5 1 1 4 1 12 31111 6 M59 94100 000132 0000R 00001*")-SUMIFS(E4405:E9015,K4405:K9015,"0",B4405:B9015,"5 1 1 4 1 12 31111 6 M59 94100 000132 0000R 00001*")</f>
        <v>0</v>
      </c>
      <c r="E4404"/>
      <c r="F4404" s="35">
        <f>SUMIFS(F4405:F9015,K4405:K9015,"0",B4405:B9015,"5 1 1 4 1 12 31111 6 M59 94100 000132 0000R 00001*")</f>
        <v>15771.58</v>
      </c>
      <c r="G4404" s="35">
        <f>SUMIFS(G4405:G9015,K4405:K9015,"0",B4405:B9015,"5 1 1 4 1 12 31111 6 M59 94100 000132 0000R 00001*")</f>
        <v>0</v>
      </c>
      <c r="H4404" s="35">
        <f t="shared" si="69"/>
        <v>15771.58</v>
      </c>
      <c r="I4404" s="35"/>
      <c r="K4404" t="s">
        <v>15</v>
      </c>
    </row>
    <row r="4405" spans="2:11" ht="24.75" x14ac:dyDescent="0.2">
      <c r="B4405" s="33" t="s">
        <v>5350</v>
      </c>
      <c r="C4405" s="33" t="s">
        <v>5174</v>
      </c>
      <c r="D4405" s="35">
        <f>SUMIFS(D4406:D9015,K4406:K9015,"0",B4406:B9015,"5 1 1 4 1 12 31111 6 M59 94100 000132 0000R 00001 00141*")-SUMIFS(E4406:E9015,K4406:K9015,"0",B4406:B9015,"5 1 1 4 1 12 31111 6 M59 94100 000132 0000R 00001 00141*")</f>
        <v>0</v>
      </c>
      <c r="E4405"/>
      <c r="F4405" s="35">
        <f>SUMIFS(F4406:F9015,K4406:K9015,"0",B4406:B9015,"5 1 1 4 1 12 31111 6 M59 94100 000132 0000R 00001 00141*")</f>
        <v>15771.58</v>
      </c>
      <c r="G4405" s="35">
        <f>SUMIFS(G4406:G9015,K4406:K9015,"0",B4406:B9015,"5 1 1 4 1 12 31111 6 M59 94100 000132 0000R 00001 00141*")</f>
        <v>0</v>
      </c>
      <c r="H4405" s="35">
        <f t="shared" si="69"/>
        <v>15771.58</v>
      </c>
      <c r="I4405" s="35"/>
      <c r="K4405" t="s">
        <v>15</v>
      </c>
    </row>
    <row r="4406" spans="2:11" ht="24.75" x14ac:dyDescent="0.2">
      <c r="B4406" s="33" t="s">
        <v>5351</v>
      </c>
      <c r="C4406" s="33" t="s">
        <v>1051</v>
      </c>
      <c r="D4406" s="35">
        <f>SUMIFS(D4407:D9015,K4407:K9015,"0",B4407:B9015,"5 1 1 4 1 12 31111 6 M59 94100 000132 0000R 00001 00141 015*")-SUMIFS(E4407:E9015,K4407:K9015,"0",B4407:B9015,"5 1 1 4 1 12 31111 6 M59 94100 000132 0000R 00001 00141 015*")</f>
        <v>0</v>
      </c>
      <c r="E4406"/>
      <c r="F4406" s="35">
        <f>SUMIFS(F4407:F9015,K4407:K9015,"0",B4407:B9015,"5 1 1 4 1 12 31111 6 M59 94100 000132 0000R 00001 00141 015*")</f>
        <v>15771.58</v>
      </c>
      <c r="G4406" s="35">
        <f>SUMIFS(G4407:G9015,K4407:K9015,"0",B4407:B9015,"5 1 1 4 1 12 31111 6 M59 94100 000132 0000R 00001 00141 015*")</f>
        <v>0</v>
      </c>
      <c r="H4406" s="35">
        <f t="shared" si="69"/>
        <v>15771.58</v>
      </c>
      <c r="I4406" s="35"/>
      <c r="K4406" t="s">
        <v>15</v>
      </c>
    </row>
    <row r="4407" spans="2:11" ht="33" x14ac:dyDescent="0.2">
      <c r="B4407" s="33" t="s">
        <v>5352</v>
      </c>
      <c r="C4407" s="33" t="s">
        <v>2927</v>
      </c>
      <c r="D4407" s="35">
        <f>SUMIFS(D4408:D9015,K4408:K9015,"0",B4408:B9015,"5 1 1 4 1 12 31111 6 M59 94100 000132 0000R 00001 00141 015 2111100*")-SUMIFS(E4408:E9015,K4408:K9015,"0",B4408:B9015,"5 1 1 4 1 12 31111 6 M59 94100 000132 0000R 00001 00141 015 2111100*")</f>
        <v>0</v>
      </c>
      <c r="E4407"/>
      <c r="F4407" s="35">
        <f>SUMIFS(F4408:F9015,K4408:K9015,"0",B4408:B9015,"5 1 1 4 1 12 31111 6 M59 94100 000132 0000R 00001 00141 015 2111100*")</f>
        <v>15771.58</v>
      </c>
      <c r="G4407" s="35">
        <f>SUMIFS(G4408:G9015,K4408:K9015,"0",B4408:B9015,"5 1 1 4 1 12 31111 6 M59 94100 000132 0000R 00001 00141 015 2111100*")</f>
        <v>0</v>
      </c>
      <c r="H4407" s="35">
        <f t="shared" si="69"/>
        <v>15771.58</v>
      </c>
      <c r="I4407" s="35"/>
      <c r="K4407" t="s">
        <v>15</v>
      </c>
    </row>
    <row r="4408" spans="2:11" ht="33" x14ac:dyDescent="0.2">
      <c r="B4408" s="33" t="s">
        <v>5353</v>
      </c>
      <c r="C4408" s="33" t="s">
        <v>660</v>
      </c>
      <c r="D4408" s="35">
        <f>SUMIFS(D4409:D9015,K4409:K9015,"0",B4409:B9015,"5 1 1 4 1 12 31111 6 M59 94100 000132 0000R 00001 00141 015 2111100 2024*")-SUMIFS(E4409:E9015,K4409:K9015,"0",B4409:B9015,"5 1 1 4 1 12 31111 6 M59 94100 000132 0000R 00001 00141 015 2111100 2024*")</f>
        <v>0</v>
      </c>
      <c r="E4408"/>
      <c r="F4408" s="35">
        <f>SUMIFS(F4409:F9015,K4409:K9015,"0",B4409:B9015,"5 1 1 4 1 12 31111 6 M59 94100 000132 0000R 00001 00141 015 2111100 2024*")</f>
        <v>15771.58</v>
      </c>
      <c r="G4408" s="35">
        <f>SUMIFS(G4409:G9015,K4409:K9015,"0",B4409:B9015,"5 1 1 4 1 12 31111 6 M59 94100 000132 0000R 00001 00141 015 2111100 2024*")</f>
        <v>0</v>
      </c>
      <c r="H4408" s="35">
        <f t="shared" si="69"/>
        <v>15771.58</v>
      </c>
      <c r="I4408" s="35"/>
      <c r="K4408" t="s">
        <v>15</v>
      </c>
    </row>
    <row r="4409" spans="2:11" ht="41.25" x14ac:dyDescent="0.2">
      <c r="B4409" s="33" t="s">
        <v>5354</v>
      </c>
      <c r="C4409" s="33" t="s">
        <v>1056</v>
      </c>
      <c r="D4409" s="35">
        <f>SUMIFS(D4410:D9015,K4410:K9015,"0",B4410:B9015,"5 1 1 4 1 12 31111 6 M59 94100 000132 0000R 00001 00141 015 2111100 2024 CP1AT427*")-SUMIFS(E4410:E9015,K4410:K9015,"0",B4410:B9015,"5 1 1 4 1 12 31111 6 M59 94100 000132 0000R 00001 00141 015 2111100 2024 CP1AT427*")</f>
        <v>0</v>
      </c>
      <c r="E4409"/>
      <c r="F4409" s="35">
        <f>SUMIFS(F4410:F9015,K4410:K9015,"0",B4410:B9015,"5 1 1 4 1 12 31111 6 M59 94100 000132 0000R 00001 00141 015 2111100 2024 CP1AT427*")</f>
        <v>15771.58</v>
      </c>
      <c r="G4409" s="35">
        <f>SUMIFS(G4410:G9015,K4410:K9015,"0",B4410:B9015,"5 1 1 4 1 12 31111 6 M59 94100 000132 0000R 00001 00141 015 2111100 2024 CP1AT427*")</f>
        <v>0</v>
      </c>
      <c r="H4409" s="35">
        <f t="shared" si="69"/>
        <v>15771.58</v>
      </c>
      <c r="I4409" s="35"/>
      <c r="K4409" t="s">
        <v>15</v>
      </c>
    </row>
    <row r="4410" spans="2:11" ht="41.25" x14ac:dyDescent="0.2">
      <c r="B4410" s="33" t="s">
        <v>5355</v>
      </c>
      <c r="C4410" s="33" t="s">
        <v>282</v>
      </c>
      <c r="D4410" s="35">
        <f>SUMIFS(D4411:D9015,K4411:K9015,"0",B4411:B9015,"5 1 1 4 1 12 31111 6 M59 94100 000132 0000R 00001 00141 015 2111100 2024 CP1AT427 001*")-SUMIFS(E4411:E9015,K4411:K9015,"0",B4411:B9015,"5 1 1 4 1 12 31111 6 M59 94100 000132 0000R 00001 00141 015 2111100 2024 CP1AT427 001*")</f>
        <v>0</v>
      </c>
      <c r="E4410"/>
      <c r="F4410" s="35">
        <f>SUMIFS(F4411:F9015,K4411:K9015,"0",B4411:B9015,"5 1 1 4 1 12 31111 6 M59 94100 000132 0000R 00001 00141 015 2111100 2024 CP1AT427 001*")</f>
        <v>15771.58</v>
      </c>
      <c r="G4410" s="35">
        <f>SUMIFS(G4411:G9015,K4411:K9015,"0",B4411:B9015,"5 1 1 4 1 12 31111 6 M59 94100 000132 0000R 00001 00141 015 2111100 2024 CP1AT427 001*")</f>
        <v>0</v>
      </c>
      <c r="H4410" s="35">
        <f t="shared" si="69"/>
        <v>15771.58</v>
      </c>
      <c r="I4410" s="35"/>
      <c r="K4410" t="s">
        <v>15</v>
      </c>
    </row>
    <row r="4411" spans="2:11" ht="33" x14ac:dyDescent="0.2">
      <c r="B4411" s="31" t="s">
        <v>5356</v>
      </c>
      <c r="C4411" s="31" t="s">
        <v>5164</v>
      </c>
      <c r="D4411" s="34">
        <v>0</v>
      </c>
      <c r="E4411" s="34"/>
      <c r="F4411" s="34">
        <v>15771.58</v>
      </c>
      <c r="G4411" s="34">
        <v>0</v>
      </c>
      <c r="H4411" s="34">
        <f t="shared" si="69"/>
        <v>15771.58</v>
      </c>
      <c r="I4411" s="34"/>
      <c r="K4411" t="s">
        <v>38</v>
      </c>
    </row>
    <row r="4412" spans="2:11" ht="16.5" x14ac:dyDescent="0.2">
      <c r="B4412" s="33" t="s">
        <v>5357</v>
      </c>
      <c r="C4412" s="33" t="s">
        <v>3693</v>
      </c>
      <c r="D4412" s="35">
        <f>SUMIFS(D4413:D9015,K4413:K9015,"0",B4413:B9015,"5 1 1 4 1 12 31111 6 M59 96100*")-SUMIFS(E4413:E9015,K4413:K9015,"0",B4413:B9015,"5 1 1 4 1 12 31111 6 M59 96100*")</f>
        <v>0</v>
      </c>
      <c r="E4412"/>
      <c r="F4412" s="35">
        <f>SUMIFS(F4413:F9015,K4413:K9015,"0",B4413:B9015,"5 1 1 4 1 12 31111 6 M59 96100*")</f>
        <v>30937.08</v>
      </c>
      <c r="G4412" s="35">
        <f>SUMIFS(G4413:G9015,K4413:K9015,"0",B4413:B9015,"5 1 1 4 1 12 31111 6 M59 96100*")</f>
        <v>0</v>
      </c>
      <c r="H4412" s="35">
        <f t="shared" si="69"/>
        <v>30937.08</v>
      </c>
      <c r="I4412" s="35"/>
      <c r="K4412" t="s">
        <v>15</v>
      </c>
    </row>
    <row r="4413" spans="2:11" ht="16.5" x14ac:dyDescent="0.2">
      <c r="B4413" s="33" t="s">
        <v>5358</v>
      </c>
      <c r="C4413" s="33" t="s">
        <v>1310</v>
      </c>
      <c r="D4413" s="35">
        <f>SUMIFS(D4414:D9015,K4414:K9015,"0",B4414:B9015,"5 1 1 4 1 12 31111 6 M59 96100 000211*")-SUMIFS(E4414:E9015,K4414:K9015,"0",B4414:B9015,"5 1 1 4 1 12 31111 6 M59 96100 000211*")</f>
        <v>0</v>
      </c>
      <c r="E4413"/>
      <c r="F4413" s="35">
        <f>SUMIFS(F4414:F9015,K4414:K9015,"0",B4414:B9015,"5 1 1 4 1 12 31111 6 M59 96100 000211*")</f>
        <v>30937.08</v>
      </c>
      <c r="G4413" s="35">
        <f>SUMIFS(G4414:G9015,K4414:K9015,"0",B4414:B9015,"5 1 1 4 1 12 31111 6 M59 96100 000211*")</f>
        <v>0</v>
      </c>
      <c r="H4413" s="35">
        <f t="shared" si="69"/>
        <v>30937.08</v>
      </c>
      <c r="I4413" s="35"/>
      <c r="K4413" t="s">
        <v>15</v>
      </c>
    </row>
    <row r="4414" spans="2:11" ht="16.5" x14ac:dyDescent="0.2">
      <c r="B4414" s="33" t="s">
        <v>5359</v>
      </c>
      <c r="C4414" s="33" t="s">
        <v>3696</v>
      </c>
      <c r="D4414" s="35">
        <f>SUMIFS(D4415:D9015,K4415:K9015,"0",B4415:B9015,"5 1 1 4 1 12 31111 6 M59 96100 000211 0000U*")-SUMIFS(E4415:E9015,K4415:K9015,"0",B4415:B9015,"5 1 1 4 1 12 31111 6 M59 96100 000211 0000U*")</f>
        <v>0</v>
      </c>
      <c r="E4414"/>
      <c r="F4414" s="35">
        <f>SUMIFS(F4415:F9015,K4415:K9015,"0",B4415:B9015,"5 1 1 4 1 12 31111 6 M59 96100 000211 0000U*")</f>
        <v>30937.08</v>
      </c>
      <c r="G4414" s="35">
        <f>SUMIFS(G4415:G9015,K4415:K9015,"0",B4415:B9015,"5 1 1 4 1 12 31111 6 M59 96100 000211 0000U*")</f>
        <v>0</v>
      </c>
      <c r="H4414" s="35">
        <f t="shared" si="69"/>
        <v>30937.08</v>
      </c>
      <c r="I4414" s="35"/>
      <c r="K4414" t="s">
        <v>15</v>
      </c>
    </row>
    <row r="4415" spans="2:11" ht="24.75" x14ac:dyDescent="0.2">
      <c r="B4415" s="33" t="s">
        <v>5360</v>
      </c>
      <c r="C4415" s="33" t="s">
        <v>282</v>
      </c>
      <c r="D4415" s="35">
        <f>SUMIFS(D4416:D9015,K4416:K9015,"0",B4416:B9015,"5 1 1 4 1 12 31111 6 M59 96100 000211 0000U 00001*")-SUMIFS(E4416:E9015,K4416:K9015,"0",B4416:B9015,"5 1 1 4 1 12 31111 6 M59 96100 000211 0000U 00001*")</f>
        <v>0</v>
      </c>
      <c r="E4415"/>
      <c r="F4415" s="35">
        <f>SUMIFS(F4416:F9015,K4416:K9015,"0",B4416:B9015,"5 1 1 4 1 12 31111 6 M59 96100 000211 0000U 00001*")</f>
        <v>30937.08</v>
      </c>
      <c r="G4415" s="35">
        <f>SUMIFS(G4416:G9015,K4416:K9015,"0",B4416:B9015,"5 1 1 4 1 12 31111 6 M59 96100 000211 0000U 00001*")</f>
        <v>0</v>
      </c>
      <c r="H4415" s="35">
        <f t="shared" si="69"/>
        <v>30937.08</v>
      </c>
      <c r="I4415" s="35"/>
      <c r="K4415" t="s">
        <v>15</v>
      </c>
    </row>
    <row r="4416" spans="2:11" ht="24.75" x14ac:dyDescent="0.2">
      <c r="B4416" s="33" t="s">
        <v>5361</v>
      </c>
      <c r="C4416" s="33" t="s">
        <v>5174</v>
      </c>
      <c r="D4416" s="35">
        <f>SUMIFS(D4417:D9015,K4417:K9015,"0",B4417:B9015,"5 1 1 4 1 12 31111 6 M59 96100 000211 0000U 00001 00141*")-SUMIFS(E4417:E9015,K4417:K9015,"0",B4417:B9015,"5 1 1 4 1 12 31111 6 M59 96100 000211 0000U 00001 00141*")</f>
        <v>0</v>
      </c>
      <c r="E4416"/>
      <c r="F4416" s="35">
        <f>SUMIFS(F4417:F9015,K4417:K9015,"0",B4417:B9015,"5 1 1 4 1 12 31111 6 M59 96100 000211 0000U 00001 00141*")</f>
        <v>30937.08</v>
      </c>
      <c r="G4416" s="35">
        <f>SUMIFS(G4417:G9015,K4417:K9015,"0",B4417:B9015,"5 1 1 4 1 12 31111 6 M59 96100 000211 0000U 00001 00141*")</f>
        <v>0</v>
      </c>
      <c r="H4416" s="35">
        <f t="shared" si="69"/>
        <v>30937.08</v>
      </c>
      <c r="I4416" s="35"/>
      <c r="K4416" t="s">
        <v>15</v>
      </c>
    </row>
    <row r="4417" spans="2:11" ht="24.75" x14ac:dyDescent="0.2">
      <c r="B4417" s="33" t="s">
        <v>5362</v>
      </c>
      <c r="C4417" s="33" t="s">
        <v>1051</v>
      </c>
      <c r="D4417" s="35">
        <f>SUMIFS(D4418:D9015,K4418:K9015,"0",B4418:B9015,"5 1 1 4 1 12 31111 6 M59 96100 000211 0000U 00001 00141 015*")-SUMIFS(E4418:E9015,K4418:K9015,"0",B4418:B9015,"5 1 1 4 1 12 31111 6 M59 96100 000211 0000U 00001 00141 015*")</f>
        <v>0</v>
      </c>
      <c r="E4417"/>
      <c r="F4417" s="35">
        <f>SUMIFS(F4418:F9015,K4418:K9015,"0",B4418:B9015,"5 1 1 4 1 12 31111 6 M59 96100 000211 0000U 00001 00141 015*")</f>
        <v>30937.08</v>
      </c>
      <c r="G4417" s="35">
        <f>SUMIFS(G4418:G9015,K4418:K9015,"0",B4418:B9015,"5 1 1 4 1 12 31111 6 M59 96100 000211 0000U 00001 00141 015*")</f>
        <v>0</v>
      </c>
      <c r="H4417" s="35">
        <f t="shared" si="69"/>
        <v>30937.08</v>
      </c>
      <c r="I4417" s="35"/>
      <c r="K4417" t="s">
        <v>15</v>
      </c>
    </row>
    <row r="4418" spans="2:11" ht="33" x14ac:dyDescent="0.2">
      <c r="B4418" s="33" t="s">
        <v>5363</v>
      </c>
      <c r="C4418" s="33" t="s">
        <v>2927</v>
      </c>
      <c r="D4418" s="35">
        <f>SUMIFS(D4419:D9015,K4419:K9015,"0",B4419:B9015,"5 1 1 4 1 12 31111 6 M59 96100 000211 0000U 00001 00141 015 2111100*")-SUMIFS(E4419:E9015,K4419:K9015,"0",B4419:B9015,"5 1 1 4 1 12 31111 6 M59 96100 000211 0000U 00001 00141 015 2111100*")</f>
        <v>0</v>
      </c>
      <c r="E4418"/>
      <c r="F4418" s="35">
        <f>SUMIFS(F4419:F9015,K4419:K9015,"0",B4419:B9015,"5 1 1 4 1 12 31111 6 M59 96100 000211 0000U 00001 00141 015 2111100*")</f>
        <v>30937.08</v>
      </c>
      <c r="G4418" s="35">
        <f>SUMIFS(G4419:G9015,K4419:K9015,"0",B4419:B9015,"5 1 1 4 1 12 31111 6 M59 96100 000211 0000U 00001 00141 015 2111100*")</f>
        <v>0</v>
      </c>
      <c r="H4418" s="35">
        <f t="shared" si="69"/>
        <v>30937.08</v>
      </c>
      <c r="I4418" s="35"/>
      <c r="K4418" t="s">
        <v>15</v>
      </c>
    </row>
    <row r="4419" spans="2:11" ht="33" x14ac:dyDescent="0.2">
      <c r="B4419" s="33" t="s">
        <v>5364</v>
      </c>
      <c r="C4419" s="33" t="s">
        <v>660</v>
      </c>
      <c r="D4419" s="35">
        <f>SUMIFS(D4420:D9015,K4420:K9015,"0",B4420:B9015,"5 1 1 4 1 12 31111 6 M59 96100 000211 0000U 00001 00141 015 2111100 2024*")-SUMIFS(E4420:E9015,K4420:K9015,"0",B4420:B9015,"5 1 1 4 1 12 31111 6 M59 96100 000211 0000U 00001 00141 015 2111100 2024*")</f>
        <v>0</v>
      </c>
      <c r="E4419"/>
      <c r="F4419" s="35">
        <f>SUMIFS(F4420:F9015,K4420:K9015,"0",B4420:B9015,"5 1 1 4 1 12 31111 6 M59 96100 000211 0000U 00001 00141 015 2111100 2024*")</f>
        <v>30937.08</v>
      </c>
      <c r="G4419" s="35">
        <f>SUMIFS(G4420:G9015,K4420:K9015,"0",B4420:B9015,"5 1 1 4 1 12 31111 6 M59 96100 000211 0000U 00001 00141 015 2111100 2024*")</f>
        <v>0</v>
      </c>
      <c r="H4419" s="35">
        <f t="shared" si="69"/>
        <v>30937.08</v>
      </c>
      <c r="I4419" s="35"/>
      <c r="K4419" t="s">
        <v>15</v>
      </c>
    </row>
    <row r="4420" spans="2:11" ht="41.25" x14ac:dyDescent="0.2">
      <c r="B4420" s="33" t="s">
        <v>5365</v>
      </c>
      <c r="C4420" s="33" t="s">
        <v>1056</v>
      </c>
      <c r="D4420" s="35">
        <f>SUMIFS(D4421:D9015,K4421:K9015,"0",B4421:B9015,"5 1 1 4 1 12 31111 6 M59 96100 000211 0000U 00001 00141 015 2111100 2024 CP1IU412*")-SUMIFS(E4421:E9015,K4421:K9015,"0",B4421:B9015,"5 1 1 4 1 12 31111 6 M59 96100 000211 0000U 00001 00141 015 2111100 2024 CP1IU412*")</f>
        <v>0</v>
      </c>
      <c r="E4420"/>
      <c r="F4420" s="35">
        <f>SUMIFS(F4421:F9015,K4421:K9015,"0",B4421:B9015,"5 1 1 4 1 12 31111 6 M59 96100 000211 0000U 00001 00141 015 2111100 2024 CP1IU412*")</f>
        <v>30937.08</v>
      </c>
      <c r="G4420" s="35">
        <f>SUMIFS(G4421:G9015,K4421:K9015,"0",B4421:B9015,"5 1 1 4 1 12 31111 6 M59 96100 000211 0000U 00001 00141 015 2111100 2024 CP1IU412*")</f>
        <v>0</v>
      </c>
      <c r="H4420" s="35">
        <f t="shared" ref="H4420:H4483" si="70">D4420 + F4420 - G4420</f>
        <v>30937.08</v>
      </c>
      <c r="I4420" s="35"/>
      <c r="K4420" t="s">
        <v>15</v>
      </c>
    </row>
    <row r="4421" spans="2:11" ht="41.25" x14ac:dyDescent="0.2">
      <c r="B4421" s="33" t="s">
        <v>5366</v>
      </c>
      <c r="C4421" s="33" t="s">
        <v>282</v>
      </c>
      <c r="D4421" s="35">
        <f>SUMIFS(D4422:D9015,K4422:K9015,"0",B4422:B9015,"5 1 1 4 1 12 31111 6 M59 96100 000211 0000U 00001 00141 015 2111100 2024 CP1IU412 001*")-SUMIFS(E4422:E9015,K4422:K9015,"0",B4422:B9015,"5 1 1 4 1 12 31111 6 M59 96100 000211 0000U 00001 00141 015 2111100 2024 CP1IU412 001*")</f>
        <v>0</v>
      </c>
      <c r="E4421"/>
      <c r="F4421" s="35">
        <f>SUMIFS(F4422:F9015,K4422:K9015,"0",B4422:B9015,"5 1 1 4 1 12 31111 6 M59 96100 000211 0000U 00001 00141 015 2111100 2024 CP1IU412 001*")</f>
        <v>30937.08</v>
      </c>
      <c r="G4421" s="35">
        <f>SUMIFS(G4422:G9015,K4422:K9015,"0",B4422:B9015,"5 1 1 4 1 12 31111 6 M59 96100 000211 0000U 00001 00141 015 2111100 2024 CP1IU412 001*")</f>
        <v>0</v>
      </c>
      <c r="H4421" s="35">
        <f t="shared" si="70"/>
        <v>30937.08</v>
      </c>
      <c r="I4421" s="35"/>
      <c r="K4421" t="s">
        <v>15</v>
      </c>
    </row>
    <row r="4422" spans="2:11" ht="33" x14ac:dyDescent="0.2">
      <c r="B4422" s="31" t="s">
        <v>5367</v>
      </c>
      <c r="C4422" s="31" t="s">
        <v>5164</v>
      </c>
      <c r="D4422" s="34">
        <v>0</v>
      </c>
      <c r="E4422" s="34"/>
      <c r="F4422" s="34">
        <v>30937.08</v>
      </c>
      <c r="G4422" s="34">
        <v>0</v>
      </c>
      <c r="H4422" s="34">
        <f t="shared" si="70"/>
        <v>30937.08</v>
      </c>
      <c r="I4422" s="34"/>
      <c r="K4422" t="s">
        <v>38</v>
      </c>
    </row>
    <row r="4423" spans="2:11" ht="16.5" x14ac:dyDescent="0.2">
      <c r="B4423" s="33" t="s">
        <v>5368</v>
      </c>
      <c r="C4423" s="33" t="s">
        <v>3706</v>
      </c>
      <c r="D4423" s="35">
        <f>SUMIFS(D4424:D9015,K4424:K9015,"0",B4424:B9015,"5 1 1 4 1 12 31111 6 M59 96200*")-SUMIFS(E4424:E9015,K4424:K9015,"0",B4424:B9015,"5 1 1 4 1 12 31111 6 M59 96200*")</f>
        <v>0</v>
      </c>
      <c r="E4423"/>
      <c r="F4423" s="35">
        <f>SUMIFS(F4424:F9015,K4424:K9015,"0",B4424:B9015,"5 1 1 4 1 12 31111 6 M59 96200*")</f>
        <v>15771.58</v>
      </c>
      <c r="G4423" s="35">
        <f>SUMIFS(G4424:G9015,K4424:K9015,"0",B4424:B9015,"5 1 1 4 1 12 31111 6 M59 96200*")</f>
        <v>0</v>
      </c>
      <c r="H4423" s="35">
        <f t="shared" si="70"/>
        <v>15771.58</v>
      </c>
      <c r="I4423" s="35"/>
      <c r="K4423" t="s">
        <v>15</v>
      </c>
    </row>
    <row r="4424" spans="2:11" ht="16.5" x14ac:dyDescent="0.2">
      <c r="B4424" s="33" t="s">
        <v>5369</v>
      </c>
      <c r="C4424" s="33" t="s">
        <v>648</v>
      </c>
      <c r="D4424" s="35">
        <f>SUMIFS(D4425:D9015,K4425:K9015,"0",B4425:B9015,"5 1 1 4 1 12 31111 6 M59 96200 000132*")-SUMIFS(E4425:E9015,K4425:K9015,"0",B4425:B9015,"5 1 1 4 1 12 31111 6 M59 96200 000132*")</f>
        <v>0</v>
      </c>
      <c r="E4424"/>
      <c r="F4424" s="35">
        <f>SUMIFS(F4425:F9015,K4425:K9015,"0",B4425:B9015,"5 1 1 4 1 12 31111 6 M59 96200 000132*")</f>
        <v>15771.58</v>
      </c>
      <c r="G4424" s="35">
        <f>SUMIFS(G4425:G9015,K4425:K9015,"0",B4425:B9015,"5 1 1 4 1 12 31111 6 M59 96200 000132*")</f>
        <v>0</v>
      </c>
      <c r="H4424" s="35">
        <f t="shared" si="70"/>
        <v>15771.58</v>
      </c>
      <c r="I4424" s="35"/>
      <c r="K4424" t="s">
        <v>15</v>
      </c>
    </row>
    <row r="4425" spans="2:11" ht="16.5" x14ac:dyDescent="0.2">
      <c r="B4425" s="33" t="s">
        <v>5370</v>
      </c>
      <c r="C4425" s="33" t="s">
        <v>650</v>
      </c>
      <c r="D4425" s="35">
        <f>SUMIFS(D4426:D9015,K4426:K9015,"0",B4426:B9015,"5 1 1 4 1 12 31111 6 M59 96200 000132 0000R*")-SUMIFS(E4426:E9015,K4426:K9015,"0",B4426:B9015,"5 1 1 4 1 12 31111 6 M59 96200 000132 0000R*")</f>
        <v>0</v>
      </c>
      <c r="E4425"/>
      <c r="F4425" s="35">
        <f>SUMIFS(F4426:F9015,K4426:K9015,"0",B4426:B9015,"5 1 1 4 1 12 31111 6 M59 96200 000132 0000R*")</f>
        <v>15771.58</v>
      </c>
      <c r="G4425" s="35">
        <f>SUMIFS(G4426:G9015,K4426:K9015,"0",B4426:B9015,"5 1 1 4 1 12 31111 6 M59 96200 000132 0000R*")</f>
        <v>0</v>
      </c>
      <c r="H4425" s="35">
        <f t="shared" si="70"/>
        <v>15771.58</v>
      </c>
      <c r="I4425" s="35"/>
      <c r="K4425" t="s">
        <v>15</v>
      </c>
    </row>
    <row r="4426" spans="2:11" ht="24.75" x14ac:dyDescent="0.2">
      <c r="B4426" s="33" t="s">
        <v>5371</v>
      </c>
      <c r="C4426" s="33" t="s">
        <v>282</v>
      </c>
      <c r="D4426" s="35">
        <f>SUMIFS(D4427:D9015,K4427:K9015,"0",B4427:B9015,"5 1 1 4 1 12 31111 6 M59 96200 000132 0000R 00001*")-SUMIFS(E4427:E9015,K4427:K9015,"0",B4427:B9015,"5 1 1 4 1 12 31111 6 M59 96200 000132 0000R 00001*")</f>
        <v>0</v>
      </c>
      <c r="E4426"/>
      <c r="F4426" s="35">
        <f>SUMIFS(F4427:F9015,K4427:K9015,"0",B4427:B9015,"5 1 1 4 1 12 31111 6 M59 96200 000132 0000R 00001*")</f>
        <v>15771.58</v>
      </c>
      <c r="G4426" s="35">
        <f>SUMIFS(G4427:G9015,K4427:K9015,"0",B4427:B9015,"5 1 1 4 1 12 31111 6 M59 96200 000132 0000R 00001*")</f>
        <v>0</v>
      </c>
      <c r="H4426" s="35">
        <f t="shared" si="70"/>
        <v>15771.58</v>
      </c>
      <c r="I4426" s="35"/>
      <c r="K4426" t="s">
        <v>15</v>
      </c>
    </row>
    <row r="4427" spans="2:11" ht="24.75" x14ac:dyDescent="0.2">
      <c r="B4427" s="33" t="s">
        <v>5372</v>
      </c>
      <c r="C4427" s="33" t="s">
        <v>5174</v>
      </c>
      <c r="D4427" s="35">
        <f>SUMIFS(D4428:D9015,K4428:K9015,"0",B4428:B9015,"5 1 1 4 1 12 31111 6 M59 96200 000132 0000R 00001 00141*")-SUMIFS(E4428:E9015,K4428:K9015,"0",B4428:B9015,"5 1 1 4 1 12 31111 6 M59 96200 000132 0000R 00001 00141*")</f>
        <v>0</v>
      </c>
      <c r="E4427"/>
      <c r="F4427" s="35">
        <f>SUMIFS(F4428:F9015,K4428:K9015,"0",B4428:B9015,"5 1 1 4 1 12 31111 6 M59 96200 000132 0000R 00001 00141*")</f>
        <v>15771.58</v>
      </c>
      <c r="G4427" s="35">
        <f>SUMIFS(G4428:G9015,K4428:K9015,"0",B4428:B9015,"5 1 1 4 1 12 31111 6 M59 96200 000132 0000R 00001 00141*")</f>
        <v>0</v>
      </c>
      <c r="H4427" s="35">
        <f t="shared" si="70"/>
        <v>15771.58</v>
      </c>
      <c r="I4427" s="35"/>
      <c r="K4427" t="s">
        <v>15</v>
      </c>
    </row>
    <row r="4428" spans="2:11" ht="24.75" x14ac:dyDescent="0.2">
      <c r="B4428" s="33" t="s">
        <v>5373</v>
      </c>
      <c r="C4428" s="33" t="s">
        <v>1051</v>
      </c>
      <c r="D4428" s="35">
        <f>SUMIFS(D4429:D9015,K4429:K9015,"0",B4429:B9015,"5 1 1 4 1 12 31111 6 M59 96200 000132 0000R 00001 00141 015*")-SUMIFS(E4429:E9015,K4429:K9015,"0",B4429:B9015,"5 1 1 4 1 12 31111 6 M59 96200 000132 0000R 00001 00141 015*")</f>
        <v>0</v>
      </c>
      <c r="E4428"/>
      <c r="F4428" s="35">
        <f>SUMIFS(F4429:F9015,K4429:K9015,"0",B4429:B9015,"5 1 1 4 1 12 31111 6 M59 96200 000132 0000R 00001 00141 015*")</f>
        <v>15771.58</v>
      </c>
      <c r="G4428" s="35">
        <f>SUMIFS(G4429:G9015,K4429:K9015,"0",B4429:B9015,"5 1 1 4 1 12 31111 6 M59 96200 000132 0000R 00001 00141 015*")</f>
        <v>0</v>
      </c>
      <c r="H4428" s="35">
        <f t="shared" si="70"/>
        <v>15771.58</v>
      </c>
      <c r="I4428" s="35"/>
      <c r="K4428" t="s">
        <v>15</v>
      </c>
    </row>
    <row r="4429" spans="2:11" ht="33" x14ac:dyDescent="0.2">
      <c r="B4429" s="33" t="s">
        <v>5374</v>
      </c>
      <c r="C4429" s="33" t="s">
        <v>2927</v>
      </c>
      <c r="D4429" s="35">
        <f>SUMIFS(D4430:D9015,K4430:K9015,"0",B4430:B9015,"5 1 1 4 1 12 31111 6 M59 96200 000132 0000R 00001 00141 015 2111100*")-SUMIFS(E4430:E9015,K4430:K9015,"0",B4430:B9015,"5 1 1 4 1 12 31111 6 M59 96200 000132 0000R 00001 00141 015 2111100*")</f>
        <v>0</v>
      </c>
      <c r="E4429"/>
      <c r="F4429" s="35">
        <f>SUMIFS(F4430:F9015,K4430:K9015,"0",B4430:B9015,"5 1 1 4 1 12 31111 6 M59 96200 000132 0000R 00001 00141 015 2111100*")</f>
        <v>15771.58</v>
      </c>
      <c r="G4429" s="35">
        <f>SUMIFS(G4430:G9015,K4430:K9015,"0",B4430:B9015,"5 1 1 4 1 12 31111 6 M59 96200 000132 0000R 00001 00141 015 2111100*")</f>
        <v>0</v>
      </c>
      <c r="H4429" s="35">
        <f t="shared" si="70"/>
        <v>15771.58</v>
      </c>
      <c r="I4429" s="35"/>
      <c r="K4429" t="s">
        <v>15</v>
      </c>
    </row>
    <row r="4430" spans="2:11" ht="33" x14ac:dyDescent="0.2">
      <c r="B4430" s="33" t="s">
        <v>5375</v>
      </c>
      <c r="C4430" s="33" t="s">
        <v>660</v>
      </c>
      <c r="D4430" s="35">
        <f>SUMIFS(D4431:D9015,K4431:K9015,"0",B4431:B9015,"5 1 1 4 1 12 31111 6 M59 96200 000132 0000R 00001 00141 015 2111100 2024*")-SUMIFS(E4431:E9015,K4431:K9015,"0",B4431:B9015,"5 1 1 4 1 12 31111 6 M59 96200 000132 0000R 00001 00141 015 2111100 2024*")</f>
        <v>0</v>
      </c>
      <c r="E4430"/>
      <c r="F4430" s="35">
        <f>SUMIFS(F4431:F9015,K4431:K9015,"0",B4431:B9015,"5 1 1 4 1 12 31111 6 M59 96200 000132 0000R 00001 00141 015 2111100 2024*")</f>
        <v>15771.58</v>
      </c>
      <c r="G4430" s="35">
        <f>SUMIFS(G4431:G9015,K4431:K9015,"0",B4431:B9015,"5 1 1 4 1 12 31111 6 M59 96200 000132 0000R 00001 00141 015 2111100 2024*")</f>
        <v>0</v>
      </c>
      <c r="H4430" s="35">
        <f t="shared" si="70"/>
        <v>15771.58</v>
      </c>
      <c r="I4430" s="35"/>
      <c r="K4430" t="s">
        <v>15</v>
      </c>
    </row>
    <row r="4431" spans="2:11" ht="41.25" x14ac:dyDescent="0.2">
      <c r="B4431" s="33" t="s">
        <v>5376</v>
      </c>
      <c r="C4431" s="33" t="s">
        <v>662</v>
      </c>
      <c r="D4431" s="35">
        <f>SUMIFS(D4432:D9015,K4432:K9015,"0",B4432:B9015,"5 1 1 4 1 12 31111 6 M59 96200 000132 0000R 00001 00141 015 2111100 2024 CP1AL423*")-SUMIFS(E4432:E9015,K4432:K9015,"0",B4432:B9015,"5 1 1 4 1 12 31111 6 M59 96200 000132 0000R 00001 00141 015 2111100 2024 CP1AL423*")</f>
        <v>0</v>
      </c>
      <c r="E4431"/>
      <c r="F4431" s="35">
        <f>SUMIFS(F4432:F9015,K4432:K9015,"0",B4432:B9015,"5 1 1 4 1 12 31111 6 M59 96200 000132 0000R 00001 00141 015 2111100 2024 CP1AL423*")</f>
        <v>15771.58</v>
      </c>
      <c r="G4431" s="35">
        <f>SUMIFS(G4432:G9015,K4432:K9015,"0",B4432:B9015,"5 1 1 4 1 12 31111 6 M59 96200 000132 0000R 00001 00141 015 2111100 2024 CP1AL423*")</f>
        <v>0</v>
      </c>
      <c r="H4431" s="35">
        <f t="shared" si="70"/>
        <v>15771.58</v>
      </c>
      <c r="I4431" s="35"/>
      <c r="K4431" t="s">
        <v>15</v>
      </c>
    </row>
    <row r="4432" spans="2:11" ht="41.25" x14ac:dyDescent="0.2">
      <c r="B4432" s="33" t="s">
        <v>5377</v>
      </c>
      <c r="C4432" s="33" t="s">
        <v>282</v>
      </c>
      <c r="D4432" s="35">
        <f>SUMIFS(D4433:D9015,K4433:K9015,"0",B4433:B9015,"5 1 1 4 1 12 31111 6 M59 96200 000132 0000R 00001 00141 015 2111100 2024 CP1AL423 001*")-SUMIFS(E4433:E9015,K4433:K9015,"0",B4433:B9015,"5 1 1 4 1 12 31111 6 M59 96200 000132 0000R 00001 00141 015 2111100 2024 CP1AL423 001*")</f>
        <v>0</v>
      </c>
      <c r="E4432"/>
      <c r="F4432" s="35">
        <f>SUMIFS(F4433:F9015,K4433:K9015,"0",B4433:B9015,"5 1 1 4 1 12 31111 6 M59 96200 000132 0000R 00001 00141 015 2111100 2024 CP1AL423 001*")</f>
        <v>15771.58</v>
      </c>
      <c r="G4432" s="35">
        <f>SUMIFS(G4433:G9015,K4433:K9015,"0",B4433:B9015,"5 1 1 4 1 12 31111 6 M59 96200 000132 0000R 00001 00141 015 2111100 2024 CP1AL423 001*")</f>
        <v>0</v>
      </c>
      <c r="H4432" s="35">
        <f t="shared" si="70"/>
        <v>15771.58</v>
      </c>
      <c r="I4432" s="35"/>
      <c r="K4432" t="s">
        <v>15</v>
      </c>
    </row>
    <row r="4433" spans="2:11" ht="41.25" x14ac:dyDescent="0.2">
      <c r="B4433" s="31" t="s">
        <v>5378</v>
      </c>
      <c r="C4433" s="31" t="s">
        <v>5164</v>
      </c>
      <c r="D4433" s="34">
        <v>0</v>
      </c>
      <c r="E4433" s="34"/>
      <c r="F4433" s="34">
        <v>15771.58</v>
      </c>
      <c r="G4433" s="34">
        <v>0</v>
      </c>
      <c r="H4433" s="34">
        <f t="shared" si="70"/>
        <v>15771.58</v>
      </c>
      <c r="I4433" s="34"/>
      <c r="K4433" t="s">
        <v>38</v>
      </c>
    </row>
    <row r="4434" spans="2:11" ht="16.5" x14ac:dyDescent="0.2">
      <c r="B4434" s="33" t="s">
        <v>5379</v>
      </c>
      <c r="C4434" s="33" t="s">
        <v>1308</v>
      </c>
      <c r="D4434" s="35">
        <f>SUMIFS(D4435:D9015,K4435:K9015,"0",B4435:B9015,"5 1 1 4 1 12 31111 6 M59 96300*")-SUMIFS(E4435:E9015,K4435:K9015,"0",B4435:B9015,"5 1 1 4 1 12 31111 6 M59 96300*")</f>
        <v>0</v>
      </c>
      <c r="E4434"/>
      <c r="F4434" s="35">
        <f>SUMIFS(F4435:F9015,K4435:K9015,"0",B4435:B9015,"5 1 1 4 1 12 31111 6 M59 96300*")</f>
        <v>70779.789999999994</v>
      </c>
      <c r="G4434" s="35">
        <f>SUMIFS(G4435:G9015,K4435:K9015,"0",B4435:B9015,"5 1 1 4 1 12 31111 6 M59 96300*")</f>
        <v>0</v>
      </c>
      <c r="H4434" s="35">
        <f t="shared" si="70"/>
        <v>70779.789999999994</v>
      </c>
      <c r="I4434" s="35"/>
      <c r="K4434" t="s">
        <v>15</v>
      </c>
    </row>
    <row r="4435" spans="2:11" ht="16.5" x14ac:dyDescent="0.2">
      <c r="B4435" s="33" t="s">
        <v>5380</v>
      </c>
      <c r="C4435" s="33" t="s">
        <v>1310</v>
      </c>
      <c r="D4435" s="35">
        <f>SUMIFS(D4436:D9015,K4436:K9015,"0",B4436:B9015,"5 1 1 4 1 12 31111 6 M59 96300 000211*")-SUMIFS(E4436:E9015,K4436:K9015,"0",B4436:B9015,"5 1 1 4 1 12 31111 6 M59 96300 000211*")</f>
        <v>0</v>
      </c>
      <c r="E4435"/>
      <c r="F4435" s="35">
        <f>SUMIFS(F4436:F9015,K4436:K9015,"0",B4436:B9015,"5 1 1 4 1 12 31111 6 M59 96300 000211*")</f>
        <v>70779.789999999994</v>
      </c>
      <c r="G4435" s="35">
        <f>SUMIFS(G4436:G9015,K4436:K9015,"0",B4436:B9015,"5 1 1 4 1 12 31111 6 M59 96300 000211*")</f>
        <v>0</v>
      </c>
      <c r="H4435" s="35">
        <f t="shared" si="70"/>
        <v>70779.789999999994</v>
      </c>
      <c r="I4435" s="35"/>
      <c r="K4435" t="s">
        <v>15</v>
      </c>
    </row>
    <row r="4436" spans="2:11" ht="16.5" x14ac:dyDescent="0.2">
      <c r="B4436" s="33" t="s">
        <v>5381</v>
      </c>
      <c r="C4436" s="33" t="s">
        <v>1065</v>
      </c>
      <c r="D4436" s="35">
        <f>SUMIFS(D4437:D9015,K4437:K9015,"0",B4437:B9015,"5 1 1 4 1 12 31111 6 M59 96300 000211 0000E*")-SUMIFS(E4437:E9015,K4437:K9015,"0",B4437:B9015,"5 1 1 4 1 12 31111 6 M59 96300 000211 0000E*")</f>
        <v>0</v>
      </c>
      <c r="E4436"/>
      <c r="F4436" s="35">
        <f>SUMIFS(F4437:F9015,K4437:K9015,"0",B4437:B9015,"5 1 1 4 1 12 31111 6 M59 96300 000211 0000E*")</f>
        <v>70779.789999999994</v>
      </c>
      <c r="G4436" s="35">
        <f>SUMIFS(G4437:G9015,K4437:K9015,"0",B4437:B9015,"5 1 1 4 1 12 31111 6 M59 96300 000211 0000E*")</f>
        <v>0</v>
      </c>
      <c r="H4436" s="35">
        <f t="shared" si="70"/>
        <v>70779.789999999994</v>
      </c>
      <c r="I4436" s="35"/>
      <c r="K4436" t="s">
        <v>15</v>
      </c>
    </row>
    <row r="4437" spans="2:11" ht="24.75" x14ac:dyDescent="0.2">
      <c r="B4437" s="33" t="s">
        <v>5382</v>
      </c>
      <c r="C4437" s="33" t="s">
        <v>282</v>
      </c>
      <c r="D4437" s="35">
        <f>SUMIFS(D4438:D9015,K4438:K9015,"0",B4438:B9015,"5 1 1 4 1 12 31111 6 M59 96300 000211 0000E 00001*")-SUMIFS(E4438:E9015,K4438:K9015,"0",B4438:B9015,"5 1 1 4 1 12 31111 6 M59 96300 000211 0000E 00001*")</f>
        <v>0</v>
      </c>
      <c r="E4437"/>
      <c r="F4437" s="35">
        <f>SUMIFS(F4438:F9015,K4438:K9015,"0",B4438:B9015,"5 1 1 4 1 12 31111 6 M59 96300 000211 0000E 00001*")</f>
        <v>70779.789999999994</v>
      </c>
      <c r="G4437" s="35">
        <f>SUMIFS(G4438:G9015,K4438:K9015,"0",B4438:B9015,"5 1 1 4 1 12 31111 6 M59 96300 000211 0000E 00001*")</f>
        <v>0</v>
      </c>
      <c r="H4437" s="35">
        <f t="shared" si="70"/>
        <v>70779.789999999994</v>
      </c>
      <c r="I4437" s="35"/>
      <c r="K4437" t="s">
        <v>15</v>
      </c>
    </row>
    <row r="4438" spans="2:11" ht="24.75" x14ac:dyDescent="0.2">
      <c r="B4438" s="33" t="s">
        <v>5383</v>
      </c>
      <c r="C4438" s="33" t="s">
        <v>5174</v>
      </c>
      <c r="D4438" s="35">
        <f>SUMIFS(D4439:D9015,K4439:K9015,"0",B4439:B9015,"5 1 1 4 1 12 31111 6 M59 96300 000211 0000E 00001 00141*")-SUMIFS(E4439:E9015,K4439:K9015,"0",B4439:B9015,"5 1 1 4 1 12 31111 6 M59 96300 000211 0000E 00001 00141*")</f>
        <v>0</v>
      </c>
      <c r="E4438"/>
      <c r="F4438" s="35">
        <f>SUMIFS(F4439:F9015,K4439:K9015,"0",B4439:B9015,"5 1 1 4 1 12 31111 6 M59 96300 000211 0000E 00001 00141*")</f>
        <v>70779.789999999994</v>
      </c>
      <c r="G4438" s="35">
        <f>SUMIFS(G4439:G9015,K4439:K9015,"0",B4439:B9015,"5 1 1 4 1 12 31111 6 M59 96300 000211 0000E 00001 00141*")</f>
        <v>0</v>
      </c>
      <c r="H4438" s="35">
        <f t="shared" si="70"/>
        <v>70779.789999999994</v>
      </c>
      <c r="I4438" s="35"/>
      <c r="K4438" t="s">
        <v>15</v>
      </c>
    </row>
    <row r="4439" spans="2:11" ht="24.75" x14ac:dyDescent="0.2">
      <c r="B4439" s="33" t="s">
        <v>5384</v>
      </c>
      <c r="C4439" s="33" t="s">
        <v>1051</v>
      </c>
      <c r="D4439" s="35">
        <f>SUMIFS(D4440:D9015,K4440:K9015,"0",B4440:B9015,"5 1 1 4 1 12 31111 6 M59 96300 000211 0000E 00001 00141 015*")-SUMIFS(E4440:E9015,K4440:K9015,"0",B4440:B9015,"5 1 1 4 1 12 31111 6 M59 96300 000211 0000E 00001 00141 015*")</f>
        <v>0</v>
      </c>
      <c r="E4439"/>
      <c r="F4439" s="35">
        <f>SUMIFS(F4440:F9015,K4440:K9015,"0",B4440:B9015,"5 1 1 4 1 12 31111 6 M59 96300 000211 0000E 00001 00141 015*")</f>
        <v>70779.789999999994</v>
      </c>
      <c r="G4439" s="35">
        <f>SUMIFS(G4440:G9015,K4440:K9015,"0",B4440:B9015,"5 1 1 4 1 12 31111 6 M59 96300 000211 0000E 00001 00141 015*")</f>
        <v>0</v>
      </c>
      <c r="H4439" s="35">
        <f t="shared" si="70"/>
        <v>70779.789999999994</v>
      </c>
      <c r="I4439" s="35"/>
      <c r="K4439" t="s">
        <v>15</v>
      </c>
    </row>
    <row r="4440" spans="2:11" ht="33" x14ac:dyDescent="0.2">
      <c r="B4440" s="33" t="s">
        <v>5385</v>
      </c>
      <c r="C4440" s="33" t="s">
        <v>2927</v>
      </c>
      <c r="D4440" s="35">
        <f>SUMIFS(D4441:D9015,K4441:K9015,"0",B4441:B9015,"5 1 1 4 1 12 31111 6 M59 96300 000211 0000E 00001 00141 015 2111100*")-SUMIFS(E4441:E9015,K4441:K9015,"0",B4441:B9015,"5 1 1 4 1 12 31111 6 M59 96300 000211 0000E 00001 00141 015 2111100*")</f>
        <v>0</v>
      </c>
      <c r="E4440"/>
      <c r="F4440" s="35">
        <f>SUMIFS(F4441:F9015,K4441:K9015,"0",B4441:B9015,"5 1 1 4 1 12 31111 6 M59 96300 000211 0000E 00001 00141 015 2111100*")</f>
        <v>70779.789999999994</v>
      </c>
      <c r="G4440" s="35">
        <f>SUMIFS(G4441:G9015,K4441:K9015,"0",B4441:B9015,"5 1 1 4 1 12 31111 6 M59 96300 000211 0000E 00001 00141 015 2111100*")</f>
        <v>0</v>
      </c>
      <c r="H4440" s="35">
        <f t="shared" si="70"/>
        <v>70779.789999999994</v>
      </c>
      <c r="I4440" s="35"/>
      <c r="K4440" t="s">
        <v>15</v>
      </c>
    </row>
    <row r="4441" spans="2:11" ht="33" x14ac:dyDescent="0.2">
      <c r="B4441" s="33" t="s">
        <v>5386</v>
      </c>
      <c r="C4441" s="33" t="s">
        <v>660</v>
      </c>
      <c r="D4441" s="35">
        <f>SUMIFS(D4442:D9015,K4442:K9015,"0",B4442:B9015,"5 1 1 4 1 12 31111 6 M59 96300 000211 0000E 00001 00141 015 2111100 2024*")-SUMIFS(E4442:E9015,K4442:K9015,"0",B4442:B9015,"5 1 1 4 1 12 31111 6 M59 96300 000211 0000E 00001 00141 015 2111100 2024*")</f>
        <v>0</v>
      </c>
      <c r="E4441"/>
      <c r="F4441" s="35">
        <f>SUMIFS(F4442:F9015,K4442:K9015,"0",B4442:B9015,"5 1 1 4 1 12 31111 6 M59 96300 000211 0000E 00001 00141 015 2111100 2024*")</f>
        <v>70779.789999999994</v>
      </c>
      <c r="G4441" s="35">
        <f>SUMIFS(G4442:G9015,K4442:K9015,"0",B4442:B9015,"5 1 1 4 1 12 31111 6 M59 96300 000211 0000E 00001 00141 015 2111100 2024*")</f>
        <v>0</v>
      </c>
      <c r="H4441" s="35">
        <f t="shared" si="70"/>
        <v>70779.789999999994</v>
      </c>
      <c r="I4441" s="35"/>
      <c r="K4441" t="s">
        <v>15</v>
      </c>
    </row>
    <row r="4442" spans="2:11" ht="41.25" x14ac:dyDescent="0.2">
      <c r="B4442" s="33" t="s">
        <v>5387</v>
      </c>
      <c r="C4442" s="33" t="s">
        <v>1056</v>
      </c>
      <c r="D4442" s="35">
        <f>SUMIFS(D4443:D9015,K4443:K9015,"0",B4443:B9015,"5 1 1 4 1 12 31111 6 M59 96300 000211 0000E 00001 00141 015 2111100 2024 CP1SB396*")-SUMIFS(E4443:E9015,K4443:K9015,"0",B4443:B9015,"5 1 1 4 1 12 31111 6 M59 96300 000211 0000E 00001 00141 015 2111100 2024 CP1SB396*")</f>
        <v>0</v>
      </c>
      <c r="E4442"/>
      <c r="F4442" s="35">
        <f>SUMIFS(F4443:F9015,K4443:K9015,"0",B4443:B9015,"5 1 1 4 1 12 31111 6 M59 96300 000211 0000E 00001 00141 015 2111100 2024 CP1SB396*")</f>
        <v>70779.789999999994</v>
      </c>
      <c r="G4442" s="35">
        <f>SUMIFS(G4443:G9015,K4443:K9015,"0",B4443:B9015,"5 1 1 4 1 12 31111 6 M59 96300 000211 0000E 00001 00141 015 2111100 2024 CP1SB396*")</f>
        <v>0</v>
      </c>
      <c r="H4442" s="35">
        <f t="shared" si="70"/>
        <v>70779.789999999994</v>
      </c>
      <c r="I4442" s="35"/>
      <c r="K4442" t="s">
        <v>15</v>
      </c>
    </row>
    <row r="4443" spans="2:11" ht="41.25" x14ac:dyDescent="0.2">
      <c r="B4443" s="33" t="s">
        <v>5388</v>
      </c>
      <c r="C4443" s="33" t="s">
        <v>282</v>
      </c>
      <c r="D4443" s="35">
        <f>SUMIFS(D4444:D9015,K4444:K9015,"0",B4444:B9015,"5 1 1 4 1 12 31111 6 M59 96300 000211 0000E 00001 00141 015 2111100 2024 CP1SB396 001*")-SUMIFS(E4444:E9015,K4444:K9015,"0",B4444:B9015,"5 1 1 4 1 12 31111 6 M59 96300 000211 0000E 00001 00141 015 2111100 2024 CP1SB396 001*")</f>
        <v>0</v>
      </c>
      <c r="E4443"/>
      <c r="F4443" s="35">
        <f>SUMIFS(F4444:F9015,K4444:K9015,"0",B4444:B9015,"5 1 1 4 1 12 31111 6 M59 96300 000211 0000E 00001 00141 015 2111100 2024 CP1SB396 001*")</f>
        <v>70779.789999999994</v>
      </c>
      <c r="G4443" s="35">
        <f>SUMIFS(G4444:G9015,K4444:K9015,"0",B4444:B9015,"5 1 1 4 1 12 31111 6 M59 96300 000211 0000E 00001 00141 015 2111100 2024 CP1SB396 001*")</f>
        <v>0</v>
      </c>
      <c r="H4443" s="35">
        <f t="shared" si="70"/>
        <v>70779.789999999994</v>
      </c>
      <c r="I4443" s="35"/>
      <c r="K4443" t="s">
        <v>15</v>
      </c>
    </row>
    <row r="4444" spans="2:11" ht="33" x14ac:dyDescent="0.2">
      <c r="B4444" s="31" t="s">
        <v>5389</v>
      </c>
      <c r="C4444" s="31" t="s">
        <v>5164</v>
      </c>
      <c r="D4444" s="34">
        <v>0</v>
      </c>
      <c r="E4444" s="34"/>
      <c r="F4444" s="34">
        <v>70779.789999999994</v>
      </c>
      <c r="G4444" s="34">
        <v>0</v>
      </c>
      <c r="H4444" s="34">
        <f t="shared" si="70"/>
        <v>70779.789999999994</v>
      </c>
      <c r="I4444" s="34"/>
      <c r="K4444" t="s">
        <v>38</v>
      </c>
    </row>
    <row r="4445" spans="2:11" ht="16.5" x14ac:dyDescent="0.2">
      <c r="B4445" s="33" t="s">
        <v>5390</v>
      </c>
      <c r="C4445" s="33" t="s">
        <v>5391</v>
      </c>
      <c r="D4445" s="35">
        <f>SUMIFS(D4446:D9015,K4446:K9015,"0",B4446:B9015,"5 1 1 5*")-SUMIFS(E4446:E9015,K4446:K9015,"0",B4446:B9015,"5 1 1 5*")</f>
        <v>0</v>
      </c>
      <c r="E4445"/>
      <c r="F4445" s="35">
        <f>SUMIFS(F4446:F9015,K4446:K9015,"0",B4446:B9015,"5 1 1 5*")</f>
        <v>1282909.99</v>
      </c>
      <c r="G4445" s="35">
        <f>SUMIFS(G4446:G9015,K4446:K9015,"0",B4446:B9015,"5 1 1 5*")</f>
        <v>0</v>
      </c>
      <c r="H4445" s="35">
        <f t="shared" si="70"/>
        <v>1282909.99</v>
      </c>
      <c r="I4445" s="35"/>
      <c r="K4445" t="s">
        <v>15</v>
      </c>
    </row>
    <row r="4446" spans="2:11" ht="12.75" x14ac:dyDescent="0.2">
      <c r="B4446" s="33" t="s">
        <v>5392</v>
      </c>
      <c r="C4446" s="33" t="s">
        <v>5393</v>
      </c>
      <c r="D4446" s="35">
        <f>SUMIFS(D4447:D9015,K4447:K9015,"0",B4447:B9015,"5 1 1 5 2*")-SUMIFS(E4447:E9015,K4447:K9015,"0",B4447:B9015,"5 1 1 5 2*")</f>
        <v>0</v>
      </c>
      <c r="E4446"/>
      <c r="F4446" s="35">
        <f>SUMIFS(F4447:F9015,K4447:K9015,"0",B4447:B9015,"5 1 1 5 2*")</f>
        <v>6000</v>
      </c>
      <c r="G4446" s="35">
        <f>SUMIFS(G4447:G9015,K4447:K9015,"0",B4447:B9015,"5 1 1 5 2*")</f>
        <v>0</v>
      </c>
      <c r="H4446" s="35">
        <f t="shared" si="70"/>
        <v>6000</v>
      </c>
      <c r="I4446" s="35"/>
      <c r="K4446" t="s">
        <v>15</v>
      </c>
    </row>
    <row r="4447" spans="2:11" ht="12.75" x14ac:dyDescent="0.2">
      <c r="B4447" s="33" t="s">
        <v>5394</v>
      </c>
      <c r="C4447" s="33" t="s">
        <v>26</v>
      </c>
      <c r="D4447" s="35">
        <f>SUMIFS(D4448:D9015,K4448:K9015,"0",B4448:B9015,"5 1 1 5 2 12*")-SUMIFS(E4448:E9015,K4448:K9015,"0",B4448:B9015,"5 1 1 5 2 12*")</f>
        <v>0</v>
      </c>
      <c r="E4447"/>
      <c r="F4447" s="35">
        <f>SUMIFS(F4448:F9015,K4448:K9015,"0",B4448:B9015,"5 1 1 5 2 12*")</f>
        <v>6000</v>
      </c>
      <c r="G4447" s="35">
        <f>SUMIFS(G4448:G9015,K4448:K9015,"0",B4448:B9015,"5 1 1 5 2 12*")</f>
        <v>0</v>
      </c>
      <c r="H4447" s="35">
        <f t="shared" si="70"/>
        <v>6000</v>
      </c>
      <c r="I4447" s="35"/>
      <c r="K4447" t="s">
        <v>15</v>
      </c>
    </row>
    <row r="4448" spans="2:11" ht="16.5" x14ac:dyDescent="0.2">
      <c r="B4448" s="33" t="s">
        <v>5395</v>
      </c>
      <c r="C4448" s="33" t="s">
        <v>28</v>
      </c>
      <c r="D4448" s="35">
        <f>SUMIFS(D4449:D9015,K4449:K9015,"0",B4449:B9015,"5 1 1 5 2 12 31111*")-SUMIFS(E4449:E9015,K4449:K9015,"0",B4449:B9015,"5 1 1 5 2 12 31111*")</f>
        <v>0</v>
      </c>
      <c r="E4448"/>
      <c r="F4448" s="35">
        <f>SUMIFS(F4449:F9015,K4449:K9015,"0",B4449:B9015,"5 1 1 5 2 12 31111*")</f>
        <v>6000</v>
      </c>
      <c r="G4448" s="35">
        <f>SUMIFS(G4449:G9015,K4449:K9015,"0",B4449:B9015,"5 1 1 5 2 12 31111*")</f>
        <v>0</v>
      </c>
      <c r="H4448" s="35">
        <f t="shared" si="70"/>
        <v>6000</v>
      </c>
      <c r="I4448" s="35"/>
      <c r="K4448" t="s">
        <v>15</v>
      </c>
    </row>
    <row r="4449" spans="2:11" ht="12.75" x14ac:dyDescent="0.2">
      <c r="B4449" s="33" t="s">
        <v>5396</v>
      </c>
      <c r="C4449" s="33" t="s">
        <v>30</v>
      </c>
      <c r="D4449" s="35">
        <f>SUMIFS(D4450:D9015,K4450:K9015,"0",B4450:B9015,"5 1 1 5 2 12 31111 6*")-SUMIFS(E4450:E9015,K4450:K9015,"0",B4450:B9015,"5 1 1 5 2 12 31111 6*")</f>
        <v>0</v>
      </c>
      <c r="E4449"/>
      <c r="F4449" s="35">
        <f>SUMIFS(F4450:F9015,K4450:K9015,"0",B4450:B9015,"5 1 1 5 2 12 31111 6*")</f>
        <v>6000</v>
      </c>
      <c r="G4449" s="35">
        <f>SUMIFS(G4450:G9015,K4450:K9015,"0",B4450:B9015,"5 1 1 5 2 12 31111 6*")</f>
        <v>0</v>
      </c>
      <c r="H4449" s="35">
        <f t="shared" si="70"/>
        <v>6000</v>
      </c>
      <c r="I4449" s="35"/>
      <c r="K4449" t="s">
        <v>15</v>
      </c>
    </row>
    <row r="4450" spans="2:11" ht="16.5" x14ac:dyDescent="0.2">
      <c r="B4450" s="33" t="s">
        <v>5397</v>
      </c>
      <c r="C4450" s="33" t="s">
        <v>2284</v>
      </c>
      <c r="D4450" s="35">
        <f>SUMIFS(D4451:D9015,K4451:K9015,"0",B4451:B9015,"5 1 1 5 2 12 31111 6 M59*")-SUMIFS(E4451:E9015,K4451:K9015,"0",B4451:B9015,"5 1 1 5 2 12 31111 6 M59*")</f>
        <v>0</v>
      </c>
      <c r="E4450"/>
      <c r="F4450" s="35">
        <f>SUMIFS(F4451:F9015,K4451:K9015,"0",B4451:B9015,"5 1 1 5 2 12 31111 6 M59*")</f>
        <v>6000</v>
      </c>
      <c r="G4450" s="35">
        <f>SUMIFS(G4451:G9015,K4451:K9015,"0",B4451:B9015,"5 1 1 5 2 12 31111 6 M59*")</f>
        <v>0</v>
      </c>
      <c r="H4450" s="35">
        <f t="shared" si="70"/>
        <v>6000</v>
      </c>
      <c r="I4450" s="35"/>
      <c r="K4450" t="s">
        <v>15</v>
      </c>
    </row>
    <row r="4451" spans="2:11" ht="16.5" x14ac:dyDescent="0.2">
      <c r="B4451" s="33" t="s">
        <v>5398</v>
      </c>
      <c r="C4451" s="33" t="s">
        <v>3668</v>
      </c>
      <c r="D4451" s="35">
        <f>SUMIFS(D4452:D9015,K4452:K9015,"0",B4452:B9015,"5 1 1 5 2 12 31111 6 M59 95000*")-SUMIFS(E4452:E9015,K4452:K9015,"0",B4452:B9015,"5 1 1 5 2 12 31111 6 M59 95000*")</f>
        <v>0</v>
      </c>
      <c r="E4451"/>
      <c r="F4451" s="35">
        <f>SUMIFS(F4452:F9015,K4452:K9015,"0",B4452:B9015,"5 1 1 5 2 12 31111 6 M59 95000*")</f>
        <v>6000</v>
      </c>
      <c r="G4451" s="35">
        <f>SUMIFS(G4452:G9015,K4452:K9015,"0",B4452:B9015,"5 1 1 5 2 12 31111 6 M59 95000*")</f>
        <v>0</v>
      </c>
      <c r="H4451" s="35">
        <f t="shared" si="70"/>
        <v>6000</v>
      </c>
      <c r="I4451" s="35"/>
      <c r="K4451" t="s">
        <v>15</v>
      </c>
    </row>
    <row r="4452" spans="2:11" ht="16.5" x14ac:dyDescent="0.2">
      <c r="B4452" s="33" t="s">
        <v>5399</v>
      </c>
      <c r="C4452" s="33" t="s">
        <v>1063</v>
      </c>
      <c r="D4452" s="35">
        <f>SUMIFS(D4453:D9015,K4453:K9015,"0",B4453:B9015,"5 1 1 5 2 12 31111 6 M59 95000 000139*")-SUMIFS(E4453:E9015,K4453:K9015,"0",B4453:B9015,"5 1 1 5 2 12 31111 6 M59 95000 000139*")</f>
        <v>0</v>
      </c>
      <c r="E4452"/>
      <c r="F4452" s="35">
        <f>SUMIFS(F4453:F9015,K4453:K9015,"0",B4453:B9015,"5 1 1 5 2 12 31111 6 M59 95000 000139*")</f>
        <v>6000</v>
      </c>
      <c r="G4452" s="35">
        <f>SUMIFS(G4453:G9015,K4453:K9015,"0",B4453:B9015,"5 1 1 5 2 12 31111 6 M59 95000 000139*")</f>
        <v>0</v>
      </c>
      <c r="H4452" s="35">
        <f t="shared" si="70"/>
        <v>6000</v>
      </c>
      <c r="I4452" s="35"/>
      <c r="K4452" t="s">
        <v>15</v>
      </c>
    </row>
    <row r="4453" spans="2:11" ht="24.75" x14ac:dyDescent="0.2">
      <c r="B4453" s="33" t="s">
        <v>5400</v>
      </c>
      <c r="C4453" s="33" t="s">
        <v>3671</v>
      </c>
      <c r="D4453" s="35">
        <f>SUMIFS(D4454:D9015,K4454:K9015,"0",B4454:B9015,"5 1 1 5 2 12 31111 6 M59 95000 000139 0000L*")-SUMIFS(E4454:E9015,K4454:K9015,"0",B4454:B9015,"5 1 1 5 2 12 31111 6 M59 95000 000139 0000L*")</f>
        <v>0</v>
      </c>
      <c r="E4453"/>
      <c r="F4453" s="35">
        <f>SUMIFS(F4454:F9015,K4454:K9015,"0",B4454:B9015,"5 1 1 5 2 12 31111 6 M59 95000 000139 0000L*")</f>
        <v>6000</v>
      </c>
      <c r="G4453" s="35">
        <f>SUMIFS(G4454:G9015,K4454:K9015,"0",B4454:B9015,"5 1 1 5 2 12 31111 6 M59 95000 000139 0000L*")</f>
        <v>0</v>
      </c>
      <c r="H4453" s="35">
        <f t="shared" si="70"/>
        <v>6000</v>
      </c>
      <c r="I4453" s="35"/>
      <c r="K4453" t="s">
        <v>15</v>
      </c>
    </row>
    <row r="4454" spans="2:11" ht="24.75" x14ac:dyDescent="0.2">
      <c r="B4454" s="33" t="s">
        <v>5401</v>
      </c>
      <c r="C4454" s="33" t="s">
        <v>282</v>
      </c>
      <c r="D4454" s="35">
        <f>SUMIFS(D4455:D9015,K4455:K9015,"0",B4455:B9015,"5 1 1 5 2 12 31111 6 M59 95000 000139 0000L 00001*")-SUMIFS(E4455:E9015,K4455:K9015,"0",B4455:B9015,"5 1 1 5 2 12 31111 6 M59 95000 000139 0000L 00001*")</f>
        <v>0</v>
      </c>
      <c r="E4454"/>
      <c r="F4454" s="35">
        <f>SUMIFS(F4455:F9015,K4455:K9015,"0",B4455:B9015,"5 1 1 5 2 12 31111 6 M59 95000 000139 0000L 00001*")</f>
        <v>6000</v>
      </c>
      <c r="G4454" s="35">
        <f>SUMIFS(G4455:G9015,K4455:K9015,"0",B4455:B9015,"5 1 1 5 2 12 31111 6 M59 95000 000139 0000L 00001*")</f>
        <v>0</v>
      </c>
      <c r="H4454" s="35">
        <f t="shared" si="70"/>
        <v>6000</v>
      </c>
      <c r="I4454" s="35"/>
      <c r="K4454" t="s">
        <v>15</v>
      </c>
    </row>
    <row r="4455" spans="2:11" ht="24.75" x14ac:dyDescent="0.2">
      <c r="B4455" s="33" t="s">
        <v>5402</v>
      </c>
      <c r="C4455" s="33" t="s">
        <v>5403</v>
      </c>
      <c r="D4455" s="35">
        <f>SUMIFS(D4456:D9015,K4456:K9015,"0",B4456:B9015,"5 1 1 5 2 12 31111 6 M59 95000 000139 0000L 00001 00152*")-SUMIFS(E4456:E9015,K4456:K9015,"0",B4456:B9015,"5 1 1 5 2 12 31111 6 M59 95000 000139 0000L 00001 00152*")</f>
        <v>0</v>
      </c>
      <c r="E4455"/>
      <c r="F4455" s="35">
        <f>SUMIFS(F4456:F9015,K4456:K9015,"0",B4456:B9015,"5 1 1 5 2 12 31111 6 M59 95000 000139 0000L 00001 00152*")</f>
        <v>6000</v>
      </c>
      <c r="G4455" s="35">
        <f>SUMIFS(G4456:G9015,K4456:K9015,"0",B4456:B9015,"5 1 1 5 2 12 31111 6 M59 95000 000139 0000L 00001 00152*")</f>
        <v>0</v>
      </c>
      <c r="H4455" s="35">
        <f t="shared" si="70"/>
        <v>6000</v>
      </c>
      <c r="I4455" s="35"/>
      <c r="K4455" t="s">
        <v>15</v>
      </c>
    </row>
    <row r="4456" spans="2:11" ht="24.75" x14ac:dyDescent="0.2">
      <c r="B4456" s="33" t="s">
        <v>5404</v>
      </c>
      <c r="C4456" s="33" t="s">
        <v>1051</v>
      </c>
      <c r="D4456" s="35">
        <f>SUMIFS(D4457:D9015,K4457:K9015,"0",B4457:B9015,"5 1 1 5 2 12 31111 6 M59 95000 000139 0000L 00001 00152 015*")-SUMIFS(E4457:E9015,K4457:K9015,"0",B4457:B9015,"5 1 1 5 2 12 31111 6 M59 95000 000139 0000L 00001 00152 015*")</f>
        <v>0</v>
      </c>
      <c r="E4456"/>
      <c r="F4456" s="35">
        <f>SUMIFS(F4457:F9015,K4457:K9015,"0",B4457:B9015,"5 1 1 5 2 12 31111 6 M59 95000 000139 0000L 00001 00152 015*")</f>
        <v>6000</v>
      </c>
      <c r="G4456" s="35">
        <f>SUMIFS(G4457:G9015,K4457:K9015,"0",B4457:B9015,"5 1 1 5 2 12 31111 6 M59 95000 000139 0000L 00001 00152 015*")</f>
        <v>0</v>
      </c>
      <c r="H4456" s="35">
        <f t="shared" si="70"/>
        <v>6000</v>
      </c>
      <c r="I4456" s="35"/>
      <c r="K4456" t="s">
        <v>15</v>
      </c>
    </row>
    <row r="4457" spans="2:11" ht="33" x14ac:dyDescent="0.2">
      <c r="B4457" s="33" t="s">
        <v>5405</v>
      </c>
      <c r="C4457" s="33" t="s">
        <v>2927</v>
      </c>
      <c r="D4457" s="35">
        <f>SUMIFS(D4458:D9015,K4458:K9015,"0",B4458:B9015,"5 1 1 5 2 12 31111 6 M59 95000 000139 0000L 00001 00152 015 2111100*")-SUMIFS(E4458:E9015,K4458:K9015,"0",B4458:B9015,"5 1 1 5 2 12 31111 6 M59 95000 000139 0000L 00001 00152 015 2111100*")</f>
        <v>0</v>
      </c>
      <c r="E4457"/>
      <c r="F4457" s="35">
        <f>SUMIFS(F4458:F9015,K4458:K9015,"0",B4458:B9015,"5 1 1 5 2 12 31111 6 M59 95000 000139 0000L 00001 00152 015 2111100*")</f>
        <v>6000</v>
      </c>
      <c r="G4457" s="35">
        <f>SUMIFS(G4458:G9015,K4458:K9015,"0",B4458:B9015,"5 1 1 5 2 12 31111 6 M59 95000 000139 0000L 00001 00152 015 2111100*")</f>
        <v>0</v>
      </c>
      <c r="H4457" s="35">
        <f t="shared" si="70"/>
        <v>6000</v>
      </c>
      <c r="I4457" s="35"/>
      <c r="K4457" t="s">
        <v>15</v>
      </c>
    </row>
    <row r="4458" spans="2:11" ht="33" x14ac:dyDescent="0.2">
      <c r="B4458" s="33" t="s">
        <v>5406</v>
      </c>
      <c r="C4458" s="33" t="s">
        <v>660</v>
      </c>
      <c r="D4458" s="35">
        <f>SUMIFS(D4459:D9015,K4459:K9015,"0",B4459:B9015,"5 1 1 5 2 12 31111 6 M59 95000 000139 0000L 00001 00152 015 2111100 2024*")-SUMIFS(E4459:E9015,K4459:K9015,"0",B4459:B9015,"5 1 1 5 2 12 31111 6 M59 95000 000139 0000L 00001 00152 015 2111100 2024*")</f>
        <v>0</v>
      </c>
      <c r="E4458"/>
      <c r="F4458" s="35">
        <f>SUMIFS(F4459:F9015,K4459:K9015,"0",B4459:B9015,"5 1 1 5 2 12 31111 6 M59 95000 000139 0000L 00001 00152 015 2111100 2024*")</f>
        <v>6000</v>
      </c>
      <c r="G4458" s="35">
        <f>SUMIFS(G4459:G9015,K4459:K9015,"0",B4459:B9015,"5 1 1 5 2 12 31111 6 M59 95000 000139 0000L 00001 00152 015 2111100 2024*")</f>
        <v>0</v>
      </c>
      <c r="H4458" s="35">
        <f t="shared" si="70"/>
        <v>6000</v>
      </c>
      <c r="I4458" s="35"/>
      <c r="K4458" t="s">
        <v>15</v>
      </c>
    </row>
    <row r="4459" spans="2:11" ht="41.25" x14ac:dyDescent="0.2">
      <c r="B4459" s="33" t="s">
        <v>5407</v>
      </c>
      <c r="C4459" s="33" t="s">
        <v>1056</v>
      </c>
      <c r="D4459" s="35">
        <f>SUMIFS(D4460:D9015,K4460:K9015,"0",B4460:B9015,"5 1 1 5 2 12 31111 6 M59 95000 000139 0000L 00001 00152 015 2111100 2024 CP1AJ437*")-SUMIFS(E4460:E9015,K4460:K9015,"0",B4460:B9015,"5 1 1 5 2 12 31111 6 M59 95000 000139 0000L 00001 00152 015 2111100 2024 CP1AJ437*")</f>
        <v>0</v>
      </c>
      <c r="E4459"/>
      <c r="F4459" s="35">
        <f>SUMIFS(F4460:F9015,K4460:K9015,"0",B4460:B9015,"5 1 1 5 2 12 31111 6 M59 95000 000139 0000L 00001 00152 015 2111100 2024 CP1AJ437*")</f>
        <v>6000</v>
      </c>
      <c r="G4459" s="35">
        <f>SUMIFS(G4460:G9015,K4460:K9015,"0",B4460:B9015,"5 1 1 5 2 12 31111 6 M59 95000 000139 0000L 00001 00152 015 2111100 2024 CP1AJ437*")</f>
        <v>0</v>
      </c>
      <c r="H4459" s="35">
        <f t="shared" si="70"/>
        <v>6000</v>
      </c>
      <c r="I4459" s="35"/>
      <c r="K4459" t="s">
        <v>15</v>
      </c>
    </row>
    <row r="4460" spans="2:11" ht="41.25" x14ac:dyDescent="0.2">
      <c r="B4460" s="33" t="s">
        <v>5408</v>
      </c>
      <c r="C4460" s="33" t="s">
        <v>282</v>
      </c>
      <c r="D4460" s="35">
        <f>SUMIFS(D4461:D9015,K4461:K9015,"0",B4461:B9015,"5 1 1 5 2 12 31111 6 M59 95000 000139 0000L 00001 00152 015 2111100 2024 CP1AJ437 001*")-SUMIFS(E4461:E9015,K4461:K9015,"0",B4461:B9015,"5 1 1 5 2 12 31111 6 M59 95000 000139 0000L 00001 00152 015 2111100 2024 CP1AJ437 001*")</f>
        <v>0</v>
      </c>
      <c r="E4460"/>
      <c r="F4460" s="35">
        <f>SUMIFS(F4461:F9015,K4461:K9015,"0",B4461:B9015,"5 1 1 5 2 12 31111 6 M59 95000 000139 0000L 00001 00152 015 2111100 2024 CP1AJ437 001*")</f>
        <v>6000</v>
      </c>
      <c r="G4460" s="35">
        <f>SUMIFS(G4461:G9015,K4461:K9015,"0",B4461:B9015,"5 1 1 5 2 12 31111 6 M59 95000 000139 0000L 00001 00152 015 2111100 2024 CP1AJ437 001*")</f>
        <v>0</v>
      </c>
      <c r="H4460" s="35">
        <f t="shared" si="70"/>
        <v>6000</v>
      </c>
      <c r="I4460" s="35"/>
      <c r="K4460" t="s">
        <v>15</v>
      </c>
    </row>
    <row r="4461" spans="2:11" ht="33" x14ac:dyDescent="0.2">
      <c r="B4461" s="31" t="s">
        <v>5409</v>
      </c>
      <c r="C4461" s="31" t="s">
        <v>5410</v>
      </c>
      <c r="D4461" s="34">
        <v>0</v>
      </c>
      <c r="E4461" s="34"/>
      <c r="F4461" s="34">
        <v>6000</v>
      </c>
      <c r="G4461" s="34">
        <v>0</v>
      </c>
      <c r="H4461" s="34">
        <f t="shared" si="70"/>
        <v>6000</v>
      </c>
      <c r="I4461" s="34"/>
      <c r="K4461" t="s">
        <v>38</v>
      </c>
    </row>
    <row r="4462" spans="2:11" ht="16.5" x14ac:dyDescent="0.2">
      <c r="B4462" s="33" t="s">
        <v>5411</v>
      </c>
      <c r="C4462" s="33" t="s">
        <v>5412</v>
      </c>
      <c r="D4462" s="35">
        <f>SUMIFS(D4463:D9015,K4463:K9015,"0",B4463:B9015,"5 1 1 5 4*")-SUMIFS(E4463:E9015,K4463:K9015,"0",B4463:B9015,"5 1 1 5 4*")</f>
        <v>0</v>
      </c>
      <c r="E4462"/>
      <c r="F4462" s="35">
        <f>SUMIFS(F4463:F9015,K4463:K9015,"0",B4463:B9015,"5 1 1 5 4*")</f>
        <v>1276440.3400000001</v>
      </c>
      <c r="G4462" s="35">
        <f>SUMIFS(G4463:G9015,K4463:K9015,"0",B4463:B9015,"5 1 1 5 4*")</f>
        <v>0</v>
      </c>
      <c r="H4462" s="35">
        <f t="shared" si="70"/>
        <v>1276440.3400000001</v>
      </c>
      <c r="I4462" s="35"/>
      <c r="K4462" t="s">
        <v>15</v>
      </c>
    </row>
    <row r="4463" spans="2:11" ht="12.75" x14ac:dyDescent="0.2">
      <c r="B4463" s="33" t="s">
        <v>5413</v>
      </c>
      <c r="C4463" s="33" t="s">
        <v>26</v>
      </c>
      <c r="D4463" s="35">
        <f>SUMIFS(D4464:D9015,K4464:K9015,"0",B4464:B9015,"5 1 1 5 4 12*")-SUMIFS(E4464:E9015,K4464:K9015,"0",B4464:B9015,"5 1 1 5 4 12*")</f>
        <v>0</v>
      </c>
      <c r="E4463"/>
      <c r="F4463" s="35">
        <f>SUMIFS(F4464:F9015,K4464:K9015,"0",B4464:B9015,"5 1 1 5 4 12*")</f>
        <v>1276440.3400000001</v>
      </c>
      <c r="G4463" s="35">
        <f>SUMIFS(G4464:G9015,K4464:K9015,"0",B4464:B9015,"5 1 1 5 4 12*")</f>
        <v>0</v>
      </c>
      <c r="H4463" s="35">
        <f t="shared" si="70"/>
        <v>1276440.3400000001</v>
      </c>
      <c r="I4463" s="35"/>
      <c r="K4463" t="s">
        <v>15</v>
      </c>
    </row>
    <row r="4464" spans="2:11" ht="16.5" x14ac:dyDescent="0.2">
      <c r="B4464" s="33" t="s">
        <v>5414</v>
      </c>
      <c r="C4464" s="33" t="s">
        <v>28</v>
      </c>
      <c r="D4464" s="35">
        <f>SUMIFS(D4465:D9015,K4465:K9015,"0",B4465:B9015,"5 1 1 5 4 12 31111*")-SUMIFS(E4465:E9015,K4465:K9015,"0",B4465:B9015,"5 1 1 5 4 12 31111*")</f>
        <v>0</v>
      </c>
      <c r="E4464"/>
      <c r="F4464" s="35">
        <f>SUMIFS(F4465:F9015,K4465:K9015,"0",B4465:B9015,"5 1 1 5 4 12 31111*")</f>
        <v>1276440.3400000001</v>
      </c>
      <c r="G4464" s="35">
        <f>SUMIFS(G4465:G9015,K4465:K9015,"0",B4465:B9015,"5 1 1 5 4 12 31111*")</f>
        <v>0</v>
      </c>
      <c r="H4464" s="35">
        <f t="shared" si="70"/>
        <v>1276440.3400000001</v>
      </c>
      <c r="I4464" s="35"/>
      <c r="K4464" t="s">
        <v>15</v>
      </c>
    </row>
    <row r="4465" spans="2:11" ht="12.75" x14ac:dyDescent="0.2">
      <c r="B4465" s="33" t="s">
        <v>5415</v>
      </c>
      <c r="C4465" s="33" t="s">
        <v>30</v>
      </c>
      <c r="D4465" s="35">
        <f>SUMIFS(D4466:D9015,K4466:K9015,"0",B4466:B9015,"5 1 1 5 4 12 31111 6*")-SUMIFS(E4466:E9015,K4466:K9015,"0",B4466:B9015,"5 1 1 5 4 12 31111 6*")</f>
        <v>0</v>
      </c>
      <c r="E4465"/>
      <c r="F4465" s="35">
        <f>SUMIFS(F4466:F9015,K4466:K9015,"0",B4466:B9015,"5 1 1 5 4 12 31111 6*")</f>
        <v>1276440.3400000001</v>
      </c>
      <c r="G4465" s="35">
        <f>SUMIFS(G4466:G9015,K4466:K9015,"0",B4466:B9015,"5 1 1 5 4 12 31111 6*")</f>
        <v>0</v>
      </c>
      <c r="H4465" s="35">
        <f t="shared" si="70"/>
        <v>1276440.3400000001</v>
      </c>
      <c r="I4465" s="35"/>
      <c r="K4465" t="s">
        <v>15</v>
      </c>
    </row>
    <row r="4466" spans="2:11" ht="16.5" x14ac:dyDescent="0.2">
      <c r="B4466" s="33" t="s">
        <v>5416</v>
      </c>
      <c r="C4466" s="33" t="s">
        <v>2284</v>
      </c>
      <c r="D4466" s="35">
        <f>SUMIFS(D4467:D9015,K4467:K9015,"0",B4467:B9015,"5 1 1 5 4 12 31111 6 M59*")-SUMIFS(E4467:E9015,K4467:K9015,"0",B4467:B9015,"5 1 1 5 4 12 31111 6 M59*")</f>
        <v>0</v>
      </c>
      <c r="E4466"/>
      <c r="F4466" s="35">
        <f>SUMIFS(F4467:F9015,K4467:K9015,"0",B4467:B9015,"5 1 1 5 4 12 31111 6 M59*")</f>
        <v>1276440.3400000001</v>
      </c>
      <c r="G4466" s="35">
        <f>SUMIFS(G4467:G9015,K4467:K9015,"0",B4467:B9015,"5 1 1 5 4 12 31111 6 M59*")</f>
        <v>0</v>
      </c>
      <c r="H4466" s="35">
        <f t="shared" si="70"/>
        <v>1276440.3400000001</v>
      </c>
      <c r="I4466" s="35"/>
      <c r="K4466" t="s">
        <v>15</v>
      </c>
    </row>
    <row r="4467" spans="2:11" ht="16.5" x14ac:dyDescent="0.2">
      <c r="B4467" s="33" t="s">
        <v>5417</v>
      </c>
      <c r="C4467" s="33" t="s">
        <v>2946</v>
      </c>
      <c r="D4467" s="35">
        <f>SUMIFS(D4468:D9015,K4468:K9015,"0",B4468:B9015,"5 1 1 5 4 12 31111 6 M59 10300*")-SUMIFS(E4468:E9015,K4468:K9015,"0",B4468:B9015,"5 1 1 5 4 12 31111 6 M59 10300*")</f>
        <v>0</v>
      </c>
      <c r="E4467"/>
      <c r="F4467" s="35">
        <f>SUMIFS(F4468:F9015,K4468:K9015,"0",B4468:B9015,"5 1 1 5 4 12 31111 6 M59 10300*")</f>
        <v>6872</v>
      </c>
      <c r="G4467" s="35">
        <f>SUMIFS(G4468:G9015,K4468:K9015,"0",B4468:B9015,"5 1 1 5 4 12 31111 6 M59 10300*")</f>
        <v>0</v>
      </c>
      <c r="H4467" s="35">
        <f t="shared" si="70"/>
        <v>6872</v>
      </c>
      <c r="I4467" s="35"/>
      <c r="K4467" t="s">
        <v>15</v>
      </c>
    </row>
    <row r="4468" spans="2:11" ht="16.5" x14ac:dyDescent="0.2">
      <c r="B4468" s="33" t="s">
        <v>5418</v>
      </c>
      <c r="C4468" s="33" t="s">
        <v>648</v>
      </c>
      <c r="D4468" s="35">
        <f>SUMIFS(D4469:D9015,K4469:K9015,"0",B4469:B9015,"5 1 1 5 4 12 31111 6 M59 10300 000132*")-SUMIFS(E4469:E9015,K4469:K9015,"0",B4469:B9015,"5 1 1 5 4 12 31111 6 M59 10300 000132*")</f>
        <v>0</v>
      </c>
      <c r="E4468"/>
      <c r="F4468" s="35">
        <f>SUMIFS(F4469:F9015,K4469:K9015,"0",B4469:B9015,"5 1 1 5 4 12 31111 6 M59 10300 000132*")</f>
        <v>6872</v>
      </c>
      <c r="G4468" s="35">
        <f>SUMIFS(G4469:G9015,K4469:K9015,"0",B4469:B9015,"5 1 1 5 4 12 31111 6 M59 10300 000132*")</f>
        <v>0</v>
      </c>
      <c r="H4468" s="35">
        <f t="shared" si="70"/>
        <v>6872</v>
      </c>
      <c r="I4468" s="35"/>
      <c r="K4468" t="s">
        <v>15</v>
      </c>
    </row>
    <row r="4469" spans="2:11" ht="16.5" x14ac:dyDescent="0.2">
      <c r="B4469" s="33" t="s">
        <v>5419</v>
      </c>
      <c r="C4469" s="33" t="s">
        <v>650</v>
      </c>
      <c r="D4469" s="35">
        <f>SUMIFS(D4470:D9015,K4470:K9015,"0",B4470:B9015,"5 1 1 5 4 12 31111 6 M59 10300 000132 0000R*")-SUMIFS(E4470:E9015,K4470:K9015,"0",B4470:B9015,"5 1 1 5 4 12 31111 6 M59 10300 000132 0000R*")</f>
        <v>0</v>
      </c>
      <c r="E4469"/>
      <c r="F4469" s="35">
        <f>SUMIFS(F4470:F9015,K4470:K9015,"0",B4470:B9015,"5 1 1 5 4 12 31111 6 M59 10300 000132 0000R*")</f>
        <v>6872</v>
      </c>
      <c r="G4469" s="35">
        <f>SUMIFS(G4470:G9015,K4470:K9015,"0",B4470:B9015,"5 1 1 5 4 12 31111 6 M59 10300 000132 0000R*")</f>
        <v>0</v>
      </c>
      <c r="H4469" s="35">
        <f t="shared" si="70"/>
        <v>6872</v>
      </c>
      <c r="I4469" s="35"/>
      <c r="K4469" t="s">
        <v>15</v>
      </c>
    </row>
    <row r="4470" spans="2:11" ht="24.75" x14ac:dyDescent="0.2">
      <c r="B4470" s="33" t="s">
        <v>5420</v>
      </c>
      <c r="C4470" s="33" t="s">
        <v>282</v>
      </c>
      <c r="D4470" s="35">
        <f>SUMIFS(D4471:D9015,K4471:K9015,"0",B4471:B9015,"5 1 1 5 4 12 31111 6 M59 10300 000132 0000R 00001*")-SUMIFS(E4471:E9015,K4471:K9015,"0",B4471:B9015,"5 1 1 5 4 12 31111 6 M59 10300 000132 0000R 00001*")</f>
        <v>0</v>
      </c>
      <c r="E4470"/>
      <c r="F4470" s="35">
        <f>SUMIFS(F4471:F9015,K4471:K9015,"0",B4471:B9015,"5 1 1 5 4 12 31111 6 M59 10300 000132 0000R 00001*")</f>
        <v>6872</v>
      </c>
      <c r="G4470" s="35">
        <f>SUMIFS(G4471:G9015,K4471:K9015,"0",B4471:B9015,"5 1 1 5 4 12 31111 6 M59 10300 000132 0000R 00001*")</f>
        <v>0</v>
      </c>
      <c r="H4470" s="35">
        <f t="shared" si="70"/>
        <v>6872</v>
      </c>
      <c r="I4470" s="35"/>
      <c r="K4470" t="s">
        <v>15</v>
      </c>
    </row>
    <row r="4471" spans="2:11" ht="24.75" x14ac:dyDescent="0.2">
      <c r="B4471" s="33" t="s">
        <v>5421</v>
      </c>
      <c r="C4471" s="33" t="s">
        <v>5422</v>
      </c>
      <c r="D4471" s="35">
        <f>SUMIFS(D4472:D9015,K4472:K9015,"0",B4472:B9015,"5 1 1 5 4 12 31111 6 M59 10300 000132 0000R 00001 00154*")-SUMIFS(E4472:E9015,K4472:K9015,"0",B4472:B9015,"5 1 1 5 4 12 31111 6 M59 10300 000132 0000R 00001 00154*")</f>
        <v>0</v>
      </c>
      <c r="E4471"/>
      <c r="F4471" s="35">
        <f>SUMIFS(F4472:F9015,K4472:K9015,"0",B4472:B9015,"5 1 1 5 4 12 31111 6 M59 10300 000132 0000R 00001 00154*")</f>
        <v>6872</v>
      </c>
      <c r="G4471" s="35">
        <f>SUMIFS(G4472:G9015,K4472:K9015,"0",B4472:B9015,"5 1 1 5 4 12 31111 6 M59 10300 000132 0000R 00001 00154*")</f>
        <v>0</v>
      </c>
      <c r="H4471" s="35">
        <f t="shared" si="70"/>
        <v>6872</v>
      </c>
      <c r="I4471" s="35"/>
      <c r="K4471" t="s">
        <v>15</v>
      </c>
    </row>
    <row r="4472" spans="2:11" ht="24.75" x14ac:dyDescent="0.2">
      <c r="B4472" s="33" t="s">
        <v>5423</v>
      </c>
      <c r="C4472" s="33" t="s">
        <v>1051</v>
      </c>
      <c r="D4472" s="35">
        <f>SUMIFS(D4473:D9015,K4473:K9015,"0",B4473:B9015,"5 1 1 5 4 12 31111 6 M59 10300 000132 0000R 00001 00154 015*")-SUMIFS(E4473:E9015,K4473:K9015,"0",B4473:B9015,"5 1 1 5 4 12 31111 6 M59 10300 000132 0000R 00001 00154 015*")</f>
        <v>0</v>
      </c>
      <c r="E4472"/>
      <c r="F4472" s="35">
        <f>SUMIFS(F4473:F9015,K4473:K9015,"0",B4473:B9015,"5 1 1 5 4 12 31111 6 M59 10300 000132 0000R 00001 00154 015*")</f>
        <v>6872</v>
      </c>
      <c r="G4472" s="35">
        <f>SUMIFS(G4473:G9015,K4473:K9015,"0",B4473:B9015,"5 1 1 5 4 12 31111 6 M59 10300 000132 0000R 00001 00154 015*")</f>
        <v>0</v>
      </c>
      <c r="H4472" s="35">
        <f t="shared" si="70"/>
        <v>6872</v>
      </c>
      <c r="I4472" s="35"/>
      <c r="K4472" t="s">
        <v>15</v>
      </c>
    </row>
    <row r="4473" spans="2:11" ht="33" x14ac:dyDescent="0.2">
      <c r="B4473" s="33" t="s">
        <v>5424</v>
      </c>
      <c r="C4473" s="33" t="s">
        <v>2927</v>
      </c>
      <c r="D4473" s="35">
        <f>SUMIFS(D4474:D9015,K4474:K9015,"0",B4474:B9015,"5 1 1 5 4 12 31111 6 M59 10300 000132 0000R 00001 00154 015 2111100*")-SUMIFS(E4474:E9015,K4474:K9015,"0",B4474:B9015,"5 1 1 5 4 12 31111 6 M59 10300 000132 0000R 00001 00154 015 2111100*")</f>
        <v>0</v>
      </c>
      <c r="E4473"/>
      <c r="F4473" s="35">
        <f>SUMIFS(F4474:F9015,K4474:K9015,"0",B4474:B9015,"5 1 1 5 4 12 31111 6 M59 10300 000132 0000R 00001 00154 015 2111100*")</f>
        <v>6872</v>
      </c>
      <c r="G4473" s="35">
        <f>SUMIFS(G4474:G9015,K4474:K9015,"0",B4474:B9015,"5 1 1 5 4 12 31111 6 M59 10300 000132 0000R 00001 00154 015 2111100*")</f>
        <v>0</v>
      </c>
      <c r="H4473" s="35">
        <f t="shared" si="70"/>
        <v>6872</v>
      </c>
      <c r="I4473" s="35"/>
      <c r="K4473" t="s">
        <v>15</v>
      </c>
    </row>
    <row r="4474" spans="2:11" ht="33" x14ac:dyDescent="0.2">
      <c r="B4474" s="33" t="s">
        <v>5425</v>
      </c>
      <c r="C4474" s="33" t="s">
        <v>660</v>
      </c>
      <c r="D4474" s="35">
        <f>SUMIFS(D4475:D9015,K4475:K9015,"0",B4475:B9015,"5 1 1 5 4 12 31111 6 M59 10300 000132 0000R 00001 00154 015 2111100 2024*")-SUMIFS(E4475:E9015,K4475:K9015,"0",B4475:B9015,"5 1 1 5 4 12 31111 6 M59 10300 000132 0000R 00001 00154 015 2111100 2024*")</f>
        <v>0</v>
      </c>
      <c r="E4474"/>
      <c r="F4474" s="35">
        <f>SUMIFS(F4475:F9015,K4475:K9015,"0",B4475:B9015,"5 1 1 5 4 12 31111 6 M59 10300 000132 0000R 00001 00154 015 2111100 2024*")</f>
        <v>6872</v>
      </c>
      <c r="G4474" s="35">
        <f>SUMIFS(G4475:G9015,K4475:K9015,"0",B4475:B9015,"5 1 1 5 4 12 31111 6 M59 10300 000132 0000R 00001 00154 015 2111100 2024*")</f>
        <v>0</v>
      </c>
      <c r="H4474" s="35">
        <f t="shared" si="70"/>
        <v>6872</v>
      </c>
      <c r="I4474" s="35"/>
      <c r="K4474" t="s">
        <v>15</v>
      </c>
    </row>
    <row r="4475" spans="2:11" ht="41.25" x14ac:dyDescent="0.2">
      <c r="B4475" s="33" t="s">
        <v>5426</v>
      </c>
      <c r="C4475" s="33" t="s">
        <v>2955</v>
      </c>
      <c r="D4475" s="35">
        <f>SUMIFS(D4476:D9015,K4476:K9015,"0",B4476:B9015,"5 1 1 5 4 12 31111 6 M59 10300 000132 0000R 00001 00154 015 2111100 2024 CP1GE413*")-SUMIFS(E4476:E9015,K4476:K9015,"0",B4476:B9015,"5 1 1 5 4 12 31111 6 M59 10300 000132 0000R 00001 00154 015 2111100 2024 CP1GE413*")</f>
        <v>0</v>
      </c>
      <c r="E4475"/>
      <c r="F4475" s="35">
        <f>SUMIFS(F4476:F9015,K4476:K9015,"0",B4476:B9015,"5 1 1 5 4 12 31111 6 M59 10300 000132 0000R 00001 00154 015 2111100 2024 CP1GE413*")</f>
        <v>6872</v>
      </c>
      <c r="G4475" s="35">
        <f>SUMIFS(G4476:G9015,K4476:K9015,"0",B4476:B9015,"5 1 1 5 4 12 31111 6 M59 10300 000132 0000R 00001 00154 015 2111100 2024 CP1GE413*")</f>
        <v>0</v>
      </c>
      <c r="H4475" s="35">
        <f t="shared" si="70"/>
        <v>6872</v>
      </c>
      <c r="I4475" s="35"/>
      <c r="K4475" t="s">
        <v>15</v>
      </c>
    </row>
    <row r="4476" spans="2:11" ht="41.25" x14ac:dyDescent="0.2">
      <c r="B4476" s="33" t="s">
        <v>5427</v>
      </c>
      <c r="C4476" s="33" t="s">
        <v>282</v>
      </c>
      <c r="D4476" s="35">
        <f>SUMIFS(D4477:D9015,K4477:K9015,"0",B4477:B9015,"5 1 1 5 4 12 31111 6 M59 10300 000132 0000R 00001 00154 015 2111100 2024 CP1GE413 001*")-SUMIFS(E4477:E9015,K4477:K9015,"0",B4477:B9015,"5 1 1 5 4 12 31111 6 M59 10300 000132 0000R 00001 00154 015 2111100 2024 CP1GE413 001*")</f>
        <v>0</v>
      </c>
      <c r="E4476"/>
      <c r="F4476" s="35">
        <f>SUMIFS(F4477:F9015,K4477:K9015,"0",B4477:B9015,"5 1 1 5 4 12 31111 6 M59 10300 000132 0000R 00001 00154 015 2111100 2024 CP1GE413 001*")</f>
        <v>6872</v>
      </c>
      <c r="G4476" s="35">
        <f>SUMIFS(G4477:G9015,K4477:K9015,"0",B4477:B9015,"5 1 1 5 4 12 31111 6 M59 10300 000132 0000R 00001 00154 015 2111100 2024 CP1GE413 001*")</f>
        <v>0</v>
      </c>
      <c r="H4476" s="35">
        <f t="shared" si="70"/>
        <v>6872</v>
      </c>
      <c r="I4476" s="35"/>
      <c r="K4476" t="s">
        <v>15</v>
      </c>
    </row>
    <row r="4477" spans="2:11" ht="33" x14ac:dyDescent="0.2">
      <c r="B4477" s="31" t="s">
        <v>5428</v>
      </c>
      <c r="C4477" s="31" t="s">
        <v>5429</v>
      </c>
      <c r="D4477" s="34">
        <v>0</v>
      </c>
      <c r="E4477" s="34"/>
      <c r="F4477" s="34">
        <v>6060</v>
      </c>
      <c r="G4477" s="34">
        <v>0</v>
      </c>
      <c r="H4477" s="34">
        <f t="shared" si="70"/>
        <v>6060</v>
      </c>
      <c r="I4477" s="34"/>
      <c r="K4477" t="s">
        <v>38</v>
      </c>
    </row>
    <row r="4478" spans="2:11" ht="33" x14ac:dyDescent="0.2">
      <c r="B4478" s="31" t="s">
        <v>5430</v>
      </c>
      <c r="C4478" s="31" t="s">
        <v>5431</v>
      </c>
      <c r="D4478" s="34">
        <v>0</v>
      </c>
      <c r="E4478" s="34"/>
      <c r="F4478" s="34">
        <v>812</v>
      </c>
      <c r="G4478" s="34">
        <v>0</v>
      </c>
      <c r="H4478" s="34">
        <f t="shared" si="70"/>
        <v>812</v>
      </c>
      <c r="I4478" s="34"/>
      <c r="K4478" t="s">
        <v>38</v>
      </c>
    </row>
    <row r="4479" spans="2:11" ht="16.5" x14ac:dyDescent="0.2">
      <c r="B4479" s="33" t="s">
        <v>5432</v>
      </c>
      <c r="C4479" s="33" t="s">
        <v>2971</v>
      </c>
      <c r="D4479" s="35">
        <f>SUMIFS(D4480:D9015,K4480:K9015,"0",B4480:B9015,"5 1 1 5 4 12 31111 6 M59 10500*")-SUMIFS(E4480:E9015,K4480:K9015,"0",B4480:B9015,"5 1 1 5 4 12 31111 6 M59 10500*")</f>
        <v>0</v>
      </c>
      <c r="E4479"/>
      <c r="F4479" s="35">
        <f>SUMIFS(F4480:F9015,K4480:K9015,"0",B4480:B9015,"5 1 1 5 4 12 31111 6 M59 10500*")</f>
        <v>154670.9</v>
      </c>
      <c r="G4479" s="35">
        <f>SUMIFS(G4480:G9015,K4480:K9015,"0",B4480:B9015,"5 1 1 5 4 12 31111 6 M59 10500*")</f>
        <v>0</v>
      </c>
      <c r="H4479" s="35">
        <f t="shared" si="70"/>
        <v>154670.9</v>
      </c>
      <c r="I4479" s="35"/>
      <c r="K4479" t="s">
        <v>15</v>
      </c>
    </row>
    <row r="4480" spans="2:11" ht="16.5" x14ac:dyDescent="0.2">
      <c r="B4480" s="33" t="s">
        <v>5433</v>
      </c>
      <c r="C4480" s="33" t="s">
        <v>648</v>
      </c>
      <c r="D4480" s="35">
        <f>SUMIFS(D4481:D9015,K4481:K9015,"0",B4481:B9015,"5 1 1 5 4 12 31111 6 M59 10500 000132*")-SUMIFS(E4481:E9015,K4481:K9015,"0",B4481:B9015,"5 1 1 5 4 12 31111 6 M59 10500 000132*")</f>
        <v>0</v>
      </c>
      <c r="E4480"/>
      <c r="F4480" s="35">
        <f>SUMIFS(F4481:F9015,K4481:K9015,"0",B4481:B9015,"5 1 1 5 4 12 31111 6 M59 10500 000132*")</f>
        <v>154670.9</v>
      </c>
      <c r="G4480" s="35">
        <f>SUMIFS(G4481:G9015,K4481:K9015,"0",B4481:B9015,"5 1 1 5 4 12 31111 6 M59 10500 000132*")</f>
        <v>0</v>
      </c>
      <c r="H4480" s="35">
        <f t="shared" si="70"/>
        <v>154670.9</v>
      </c>
      <c r="I4480" s="35"/>
      <c r="K4480" t="s">
        <v>15</v>
      </c>
    </row>
    <row r="4481" spans="2:11" ht="16.5" x14ac:dyDescent="0.2">
      <c r="B4481" s="33" t="s">
        <v>5434</v>
      </c>
      <c r="C4481" s="33" t="s">
        <v>650</v>
      </c>
      <c r="D4481" s="35">
        <f>SUMIFS(D4482:D9015,K4482:K9015,"0",B4482:B9015,"5 1 1 5 4 12 31111 6 M59 10500 000132 0000R*")-SUMIFS(E4482:E9015,K4482:K9015,"0",B4482:B9015,"5 1 1 5 4 12 31111 6 M59 10500 000132 0000R*")</f>
        <v>0</v>
      </c>
      <c r="E4481"/>
      <c r="F4481" s="35">
        <f>SUMIFS(F4482:F9015,K4482:K9015,"0",B4482:B9015,"5 1 1 5 4 12 31111 6 M59 10500 000132 0000R*")</f>
        <v>154670.9</v>
      </c>
      <c r="G4481" s="35">
        <f>SUMIFS(G4482:G9015,K4482:K9015,"0",B4482:B9015,"5 1 1 5 4 12 31111 6 M59 10500 000132 0000R*")</f>
        <v>0</v>
      </c>
      <c r="H4481" s="35">
        <f t="shared" si="70"/>
        <v>154670.9</v>
      </c>
      <c r="I4481" s="35"/>
      <c r="K4481" t="s">
        <v>15</v>
      </c>
    </row>
    <row r="4482" spans="2:11" ht="24.75" x14ac:dyDescent="0.2">
      <c r="B4482" s="33" t="s">
        <v>5435</v>
      </c>
      <c r="C4482" s="33" t="s">
        <v>282</v>
      </c>
      <c r="D4482" s="35">
        <f>SUMIFS(D4483:D9015,K4483:K9015,"0",B4483:B9015,"5 1 1 5 4 12 31111 6 M59 10500 000132 0000R 00001*")-SUMIFS(E4483:E9015,K4483:K9015,"0",B4483:B9015,"5 1 1 5 4 12 31111 6 M59 10500 000132 0000R 00001*")</f>
        <v>0</v>
      </c>
      <c r="E4482"/>
      <c r="F4482" s="35">
        <f>SUMIFS(F4483:F9015,K4483:K9015,"0",B4483:B9015,"5 1 1 5 4 12 31111 6 M59 10500 000132 0000R 00001*")</f>
        <v>154670.9</v>
      </c>
      <c r="G4482" s="35">
        <f>SUMIFS(G4483:G9015,K4483:K9015,"0",B4483:B9015,"5 1 1 5 4 12 31111 6 M59 10500 000132 0000R 00001*")</f>
        <v>0</v>
      </c>
      <c r="H4482" s="35">
        <f t="shared" si="70"/>
        <v>154670.9</v>
      </c>
      <c r="I4482" s="35"/>
      <c r="K4482" t="s">
        <v>15</v>
      </c>
    </row>
    <row r="4483" spans="2:11" ht="24.75" x14ac:dyDescent="0.2">
      <c r="B4483" s="33" t="s">
        <v>5436</v>
      </c>
      <c r="C4483" s="33" t="s">
        <v>5422</v>
      </c>
      <c r="D4483" s="35">
        <f>SUMIFS(D4484:D9015,K4484:K9015,"0",B4484:B9015,"5 1 1 5 4 12 31111 6 M59 10500 000132 0000R 00001 00154*")-SUMIFS(E4484:E9015,K4484:K9015,"0",B4484:B9015,"5 1 1 5 4 12 31111 6 M59 10500 000132 0000R 00001 00154*")</f>
        <v>0</v>
      </c>
      <c r="E4483"/>
      <c r="F4483" s="35">
        <f>SUMIFS(F4484:F9015,K4484:K9015,"0",B4484:B9015,"5 1 1 5 4 12 31111 6 M59 10500 000132 0000R 00001 00154*")</f>
        <v>154670.9</v>
      </c>
      <c r="G4483" s="35">
        <f>SUMIFS(G4484:G9015,K4484:K9015,"0",B4484:B9015,"5 1 1 5 4 12 31111 6 M59 10500 000132 0000R 00001 00154*")</f>
        <v>0</v>
      </c>
      <c r="H4483" s="35">
        <f t="shared" si="70"/>
        <v>154670.9</v>
      </c>
      <c r="I4483" s="35"/>
      <c r="K4483" t="s">
        <v>15</v>
      </c>
    </row>
    <row r="4484" spans="2:11" ht="24.75" x14ac:dyDescent="0.2">
      <c r="B4484" s="33" t="s">
        <v>5437</v>
      </c>
      <c r="C4484" s="33" t="s">
        <v>1051</v>
      </c>
      <c r="D4484" s="35">
        <f>SUMIFS(D4485:D9015,K4485:K9015,"0",B4485:B9015,"5 1 1 5 4 12 31111 6 M59 10500 000132 0000R 00001 00154 015*")-SUMIFS(E4485:E9015,K4485:K9015,"0",B4485:B9015,"5 1 1 5 4 12 31111 6 M59 10500 000132 0000R 00001 00154 015*")</f>
        <v>0</v>
      </c>
      <c r="E4484"/>
      <c r="F4484" s="35">
        <f>SUMIFS(F4485:F9015,K4485:K9015,"0",B4485:B9015,"5 1 1 5 4 12 31111 6 M59 10500 000132 0000R 00001 00154 015*")</f>
        <v>154670.9</v>
      </c>
      <c r="G4484" s="35">
        <f>SUMIFS(G4485:G9015,K4485:K9015,"0",B4485:B9015,"5 1 1 5 4 12 31111 6 M59 10500 000132 0000R 00001 00154 015*")</f>
        <v>0</v>
      </c>
      <c r="H4484" s="35">
        <f t="shared" ref="H4484:H4547" si="71">D4484 + F4484 - G4484</f>
        <v>154670.9</v>
      </c>
      <c r="I4484" s="35"/>
      <c r="K4484" t="s">
        <v>15</v>
      </c>
    </row>
    <row r="4485" spans="2:11" ht="33" x14ac:dyDescent="0.2">
      <c r="B4485" s="33" t="s">
        <v>5438</v>
      </c>
      <c r="C4485" s="33" t="s">
        <v>2927</v>
      </c>
      <c r="D4485" s="35">
        <f>SUMIFS(D4486:D9015,K4486:K9015,"0",B4486:B9015,"5 1 1 5 4 12 31111 6 M59 10500 000132 0000R 00001 00154 015 2111100*")-SUMIFS(E4486:E9015,K4486:K9015,"0",B4486:B9015,"5 1 1 5 4 12 31111 6 M59 10500 000132 0000R 00001 00154 015 2111100*")</f>
        <v>0</v>
      </c>
      <c r="E4485"/>
      <c r="F4485" s="35">
        <f>SUMIFS(F4486:F9015,K4486:K9015,"0",B4486:B9015,"5 1 1 5 4 12 31111 6 M59 10500 000132 0000R 00001 00154 015 2111100*")</f>
        <v>154670.9</v>
      </c>
      <c r="G4485" s="35">
        <f>SUMIFS(G4486:G9015,K4486:K9015,"0",B4486:B9015,"5 1 1 5 4 12 31111 6 M59 10500 000132 0000R 00001 00154 015 2111100*")</f>
        <v>0</v>
      </c>
      <c r="H4485" s="35">
        <f t="shared" si="71"/>
        <v>154670.9</v>
      </c>
      <c r="I4485" s="35"/>
      <c r="K4485" t="s">
        <v>15</v>
      </c>
    </row>
    <row r="4486" spans="2:11" ht="33" x14ac:dyDescent="0.2">
      <c r="B4486" s="33" t="s">
        <v>5439</v>
      </c>
      <c r="C4486" s="33" t="s">
        <v>660</v>
      </c>
      <c r="D4486" s="35">
        <f>SUMIFS(D4487:D9015,K4487:K9015,"0",B4487:B9015,"5 1 1 5 4 12 31111 6 M59 10500 000132 0000R 00001 00154 015 2111100 2024*")-SUMIFS(E4487:E9015,K4487:K9015,"0",B4487:B9015,"5 1 1 5 4 12 31111 6 M59 10500 000132 0000R 00001 00154 015 2111100 2024*")</f>
        <v>0</v>
      </c>
      <c r="E4486"/>
      <c r="F4486" s="35">
        <f>SUMIFS(F4487:F9015,K4487:K9015,"0",B4487:B9015,"5 1 1 5 4 12 31111 6 M59 10500 000132 0000R 00001 00154 015 2111100 2024*")</f>
        <v>154670.9</v>
      </c>
      <c r="G4486" s="35">
        <f>SUMIFS(G4487:G9015,K4487:K9015,"0",B4487:B9015,"5 1 1 5 4 12 31111 6 M59 10500 000132 0000R 00001 00154 015 2111100 2024*")</f>
        <v>0</v>
      </c>
      <c r="H4486" s="35">
        <f t="shared" si="71"/>
        <v>154670.9</v>
      </c>
      <c r="I4486" s="35"/>
      <c r="K4486" t="s">
        <v>15</v>
      </c>
    </row>
    <row r="4487" spans="2:11" ht="41.25" x14ac:dyDescent="0.2">
      <c r="B4487" s="33" t="s">
        <v>5440</v>
      </c>
      <c r="C4487" s="33" t="s">
        <v>1056</v>
      </c>
      <c r="D4487" s="35">
        <f>SUMIFS(D4488:D9015,K4488:K9015,"0",B4488:B9015,"5 1 1 5 4 12 31111 6 M59 10500 000132 0000R 00001 00154 015 2111100 2024 CP1CS421*")-SUMIFS(E4488:E9015,K4488:K9015,"0",B4488:B9015,"5 1 1 5 4 12 31111 6 M59 10500 000132 0000R 00001 00154 015 2111100 2024 CP1CS421*")</f>
        <v>0</v>
      </c>
      <c r="E4487"/>
      <c r="F4487" s="35">
        <f>SUMIFS(F4488:F9015,K4488:K9015,"0",B4488:B9015,"5 1 1 5 4 12 31111 6 M59 10500 000132 0000R 00001 00154 015 2111100 2024 CP1CS421*")</f>
        <v>154670.9</v>
      </c>
      <c r="G4487" s="35">
        <f>SUMIFS(G4488:G9015,K4488:K9015,"0",B4488:B9015,"5 1 1 5 4 12 31111 6 M59 10500 000132 0000R 00001 00154 015 2111100 2024 CP1CS421*")</f>
        <v>0</v>
      </c>
      <c r="H4487" s="35">
        <f t="shared" si="71"/>
        <v>154670.9</v>
      </c>
      <c r="I4487" s="35"/>
      <c r="K4487" t="s">
        <v>15</v>
      </c>
    </row>
    <row r="4488" spans="2:11" ht="41.25" x14ac:dyDescent="0.2">
      <c r="B4488" s="33" t="s">
        <v>5441</v>
      </c>
      <c r="C4488" s="33" t="s">
        <v>282</v>
      </c>
      <c r="D4488" s="35">
        <f>SUMIFS(D4489:D9015,K4489:K9015,"0",B4489:B9015,"5 1 1 5 4 12 31111 6 M59 10500 000132 0000R 00001 00154 015 2111100 2024 CP1CS421 001*")-SUMIFS(E4489:E9015,K4489:K9015,"0",B4489:B9015,"5 1 1 5 4 12 31111 6 M59 10500 000132 0000R 00001 00154 015 2111100 2024 CP1CS421 001*")</f>
        <v>0</v>
      </c>
      <c r="E4488"/>
      <c r="F4488" s="35">
        <f>SUMIFS(F4489:F9015,K4489:K9015,"0",B4489:B9015,"5 1 1 5 4 12 31111 6 M59 10500 000132 0000R 00001 00154 015 2111100 2024 CP1CS421 001*")</f>
        <v>154670.9</v>
      </c>
      <c r="G4488" s="35">
        <f>SUMIFS(G4489:G9015,K4489:K9015,"0",B4489:B9015,"5 1 1 5 4 12 31111 6 M59 10500 000132 0000R 00001 00154 015 2111100 2024 CP1CS421 001*")</f>
        <v>0</v>
      </c>
      <c r="H4488" s="35">
        <f t="shared" si="71"/>
        <v>154670.9</v>
      </c>
      <c r="I4488" s="35"/>
      <c r="K4488" t="s">
        <v>15</v>
      </c>
    </row>
    <row r="4489" spans="2:11" ht="33" x14ac:dyDescent="0.2">
      <c r="B4489" s="31" t="s">
        <v>5442</v>
      </c>
      <c r="C4489" s="31" t="s">
        <v>5443</v>
      </c>
      <c r="D4489" s="34">
        <v>0</v>
      </c>
      <c r="E4489" s="34"/>
      <c r="F4489" s="34">
        <v>3036</v>
      </c>
      <c r="G4489" s="34">
        <v>0</v>
      </c>
      <c r="H4489" s="34">
        <f t="shared" si="71"/>
        <v>3036</v>
      </c>
      <c r="I4489" s="34"/>
      <c r="K4489" t="s">
        <v>38</v>
      </c>
    </row>
    <row r="4490" spans="2:11" ht="33" x14ac:dyDescent="0.2">
      <c r="B4490" s="31" t="s">
        <v>5444</v>
      </c>
      <c r="C4490" s="31" t="s">
        <v>5431</v>
      </c>
      <c r="D4490" s="34">
        <v>0</v>
      </c>
      <c r="E4490" s="34"/>
      <c r="F4490" s="34">
        <v>3608.16</v>
      </c>
      <c r="G4490" s="34">
        <v>0</v>
      </c>
      <c r="H4490" s="34">
        <f t="shared" si="71"/>
        <v>3608.16</v>
      </c>
      <c r="I4490" s="34"/>
      <c r="K4490" t="s">
        <v>38</v>
      </c>
    </row>
    <row r="4491" spans="2:11" ht="33" x14ac:dyDescent="0.2">
      <c r="B4491" s="31" t="s">
        <v>5445</v>
      </c>
      <c r="C4491" s="31" t="s">
        <v>5446</v>
      </c>
      <c r="D4491" s="34">
        <v>0</v>
      </c>
      <c r="E4491" s="34"/>
      <c r="F4491" s="34">
        <v>148026.74</v>
      </c>
      <c r="G4491" s="34">
        <v>0</v>
      </c>
      <c r="H4491" s="34">
        <f t="shared" si="71"/>
        <v>148026.74</v>
      </c>
      <c r="I4491" s="34"/>
      <c r="K4491" t="s">
        <v>38</v>
      </c>
    </row>
    <row r="4492" spans="2:11" ht="16.5" x14ac:dyDescent="0.2">
      <c r="B4492" s="33" t="s">
        <v>5447</v>
      </c>
      <c r="C4492" s="33" t="s">
        <v>3020</v>
      </c>
      <c r="D4492" s="35">
        <f>SUMIFS(D4493:D9015,K4493:K9015,"0",B4493:B9015,"5 1 1 5 4 12 31111 6 M59 11000*")-SUMIFS(E4493:E9015,K4493:K9015,"0",B4493:B9015,"5 1 1 5 4 12 31111 6 M59 11000*")</f>
        <v>0</v>
      </c>
      <c r="E4492"/>
      <c r="F4492" s="35">
        <f>SUMIFS(F4493:F9015,K4493:K9015,"0",B4493:B9015,"5 1 1 5 4 12 31111 6 M59 11000*")</f>
        <v>119233.27</v>
      </c>
      <c r="G4492" s="35">
        <f>SUMIFS(G4493:G9015,K4493:K9015,"0",B4493:B9015,"5 1 1 5 4 12 31111 6 M59 11000*")</f>
        <v>0</v>
      </c>
      <c r="H4492" s="35">
        <f t="shared" si="71"/>
        <v>119233.27</v>
      </c>
      <c r="I4492" s="35"/>
      <c r="K4492" t="s">
        <v>15</v>
      </c>
    </row>
    <row r="4493" spans="2:11" ht="16.5" x14ac:dyDescent="0.2">
      <c r="B4493" s="33" t="s">
        <v>5448</v>
      </c>
      <c r="C4493" s="33" t="s">
        <v>648</v>
      </c>
      <c r="D4493" s="35">
        <f>SUMIFS(D4494:D9015,K4494:K9015,"0",B4494:B9015,"5 1 1 5 4 12 31111 6 M59 11000 000132*")-SUMIFS(E4494:E9015,K4494:K9015,"0",B4494:B9015,"5 1 1 5 4 12 31111 6 M59 11000 000132*")</f>
        <v>0</v>
      </c>
      <c r="E4493"/>
      <c r="F4493" s="35">
        <f>SUMIFS(F4494:F9015,K4494:K9015,"0",B4494:B9015,"5 1 1 5 4 12 31111 6 M59 11000 000132*")</f>
        <v>119233.27</v>
      </c>
      <c r="G4493" s="35">
        <f>SUMIFS(G4494:G9015,K4494:K9015,"0",B4494:B9015,"5 1 1 5 4 12 31111 6 M59 11000 000132*")</f>
        <v>0</v>
      </c>
      <c r="H4493" s="35">
        <f t="shared" si="71"/>
        <v>119233.27</v>
      </c>
      <c r="I4493" s="35"/>
      <c r="K4493" t="s">
        <v>15</v>
      </c>
    </row>
    <row r="4494" spans="2:11" ht="16.5" x14ac:dyDescent="0.2">
      <c r="B4494" s="33" t="s">
        <v>5449</v>
      </c>
      <c r="C4494" s="33" t="s">
        <v>650</v>
      </c>
      <c r="D4494" s="35">
        <f>SUMIFS(D4495:D9015,K4495:K9015,"0",B4495:B9015,"5 1 1 5 4 12 31111 6 M59 11000 000132 0000R*")-SUMIFS(E4495:E9015,K4495:K9015,"0",B4495:B9015,"5 1 1 5 4 12 31111 6 M59 11000 000132 0000R*")</f>
        <v>0</v>
      </c>
      <c r="E4494"/>
      <c r="F4494" s="35">
        <f>SUMIFS(F4495:F9015,K4495:K9015,"0",B4495:B9015,"5 1 1 5 4 12 31111 6 M59 11000 000132 0000R*")</f>
        <v>119233.27</v>
      </c>
      <c r="G4494" s="35">
        <f>SUMIFS(G4495:G9015,K4495:K9015,"0",B4495:B9015,"5 1 1 5 4 12 31111 6 M59 11000 000132 0000R*")</f>
        <v>0</v>
      </c>
      <c r="H4494" s="35">
        <f t="shared" si="71"/>
        <v>119233.27</v>
      </c>
      <c r="I4494" s="35"/>
      <c r="K4494" t="s">
        <v>15</v>
      </c>
    </row>
    <row r="4495" spans="2:11" ht="24.75" x14ac:dyDescent="0.2">
      <c r="B4495" s="33" t="s">
        <v>5450</v>
      </c>
      <c r="C4495" s="33" t="s">
        <v>282</v>
      </c>
      <c r="D4495" s="35">
        <f>SUMIFS(D4496:D9015,K4496:K9015,"0",B4496:B9015,"5 1 1 5 4 12 31111 6 M59 11000 000132 0000R 00001*")-SUMIFS(E4496:E9015,K4496:K9015,"0",B4496:B9015,"5 1 1 5 4 12 31111 6 M59 11000 000132 0000R 00001*")</f>
        <v>0</v>
      </c>
      <c r="E4495"/>
      <c r="F4495" s="35">
        <f>SUMIFS(F4496:F9015,K4496:K9015,"0",B4496:B9015,"5 1 1 5 4 12 31111 6 M59 11000 000132 0000R 00001*")</f>
        <v>119233.27</v>
      </c>
      <c r="G4495" s="35">
        <f>SUMIFS(G4496:G9015,K4496:K9015,"0",B4496:B9015,"5 1 1 5 4 12 31111 6 M59 11000 000132 0000R 00001*")</f>
        <v>0</v>
      </c>
      <c r="H4495" s="35">
        <f t="shared" si="71"/>
        <v>119233.27</v>
      </c>
      <c r="I4495" s="35"/>
      <c r="K4495" t="s">
        <v>15</v>
      </c>
    </row>
    <row r="4496" spans="2:11" ht="24.75" x14ac:dyDescent="0.2">
      <c r="B4496" s="33" t="s">
        <v>5451</v>
      </c>
      <c r="C4496" s="33" t="s">
        <v>5422</v>
      </c>
      <c r="D4496" s="35">
        <f>SUMIFS(D4497:D9015,K4497:K9015,"0",B4497:B9015,"5 1 1 5 4 12 31111 6 M59 11000 000132 0000R 00001 00154*")-SUMIFS(E4497:E9015,K4497:K9015,"0",B4497:B9015,"5 1 1 5 4 12 31111 6 M59 11000 000132 0000R 00001 00154*")</f>
        <v>0</v>
      </c>
      <c r="E4496"/>
      <c r="F4496" s="35">
        <f>SUMIFS(F4497:F9015,K4497:K9015,"0",B4497:B9015,"5 1 1 5 4 12 31111 6 M59 11000 000132 0000R 00001 00154*")</f>
        <v>119233.27</v>
      </c>
      <c r="G4496" s="35">
        <f>SUMIFS(G4497:G9015,K4497:K9015,"0",B4497:B9015,"5 1 1 5 4 12 31111 6 M59 11000 000132 0000R 00001 00154*")</f>
        <v>0</v>
      </c>
      <c r="H4496" s="35">
        <f t="shared" si="71"/>
        <v>119233.27</v>
      </c>
      <c r="I4496" s="35"/>
      <c r="K4496" t="s">
        <v>15</v>
      </c>
    </row>
    <row r="4497" spans="2:11" ht="24.75" x14ac:dyDescent="0.2">
      <c r="B4497" s="33" t="s">
        <v>5452</v>
      </c>
      <c r="C4497" s="33" t="s">
        <v>1051</v>
      </c>
      <c r="D4497" s="35">
        <f>SUMIFS(D4498:D9015,K4498:K9015,"0",B4498:B9015,"5 1 1 5 4 12 31111 6 M59 11000 000132 0000R 00001 00154 015*")-SUMIFS(E4498:E9015,K4498:K9015,"0",B4498:B9015,"5 1 1 5 4 12 31111 6 M59 11000 000132 0000R 00001 00154 015*")</f>
        <v>0</v>
      </c>
      <c r="E4497"/>
      <c r="F4497" s="35">
        <f>SUMIFS(F4498:F9015,K4498:K9015,"0",B4498:B9015,"5 1 1 5 4 12 31111 6 M59 11000 000132 0000R 00001 00154 015*")</f>
        <v>119233.27</v>
      </c>
      <c r="G4497" s="35">
        <f>SUMIFS(G4498:G9015,K4498:K9015,"0",B4498:B9015,"5 1 1 5 4 12 31111 6 M59 11000 000132 0000R 00001 00154 015*")</f>
        <v>0</v>
      </c>
      <c r="H4497" s="35">
        <f t="shared" si="71"/>
        <v>119233.27</v>
      </c>
      <c r="I4497" s="35"/>
      <c r="K4497" t="s">
        <v>15</v>
      </c>
    </row>
    <row r="4498" spans="2:11" ht="33" x14ac:dyDescent="0.2">
      <c r="B4498" s="33" t="s">
        <v>5453</v>
      </c>
      <c r="C4498" s="33" t="s">
        <v>2927</v>
      </c>
      <c r="D4498" s="35">
        <f>SUMIFS(D4499:D9015,K4499:K9015,"0",B4499:B9015,"5 1 1 5 4 12 31111 6 M59 11000 000132 0000R 00001 00154 015 2111100*")-SUMIFS(E4499:E9015,K4499:K9015,"0",B4499:B9015,"5 1 1 5 4 12 31111 6 M59 11000 000132 0000R 00001 00154 015 2111100*")</f>
        <v>0</v>
      </c>
      <c r="E4498"/>
      <c r="F4498" s="35">
        <f>SUMIFS(F4499:F9015,K4499:K9015,"0",B4499:B9015,"5 1 1 5 4 12 31111 6 M59 11000 000132 0000R 00001 00154 015 2111100*")</f>
        <v>119233.27</v>
      </c>
      <c r="G4498" s="35">
        <f>SUMIFS(G4499:G9015,K4499:K9015,"0",B4499:B9015,"5 1 1 5 4 12 31111 6 M59 11000 000132 0000R 00001 00154 015 2111100*")</f>
        <v>0</v>
      </c>
      <c r="H4498" s="35">
        <f t="shared" si="71"/>
        <v>119233.27</v>
      </c>
      <c r="I4498" s="35"/>
      <c r="K4498" t="s">
        <v>15</v>
      </c>
    </row>
    <row r="4499" spans="2:11" ht="33" x14ac:dyDescent="0.2">
      <c r="B4499" s="33" t="s">
        <v>5454</v>
      </c>
      <c r="C4499" s="33" t="s">
        <v>660</v>
      </c>
      <c r="D4499" s="35">
        <f>SUMIFS(D4500:D9015,K4500:K9015,"0",B4500:B9015,"5 1 1 5 4 12 31111 6 M59 11000 000132 0000R 00001 00154 015 2111100 2024*")-SUMIFS(E4500:E9015,K4500:K9015,"0",B4500:B9015,"5 1 1 5 4 12 31111 6 M59 11000 000132 0000R 00001 00154 015 2111100 2024*")</f>
        <v>0</v>
      </c>
      <c r="E4499"/>
      <c r="F4499" s="35">
        <f>SUMIFS(F4500:F9015,K4500:K9015,"0",B4500:B9015,"5 1 1 5 4 12 31111 6 M59 11000 000132 0000R 00001 00154 015 2111100 2024*")</f>
        <v>119233.27</v>
      </c>
      <c r="G4499" s="35">
        <f>SUMIFS(G4500:G9015,K4500:K9015,"0",B4500:B9015,"5 1 1 5 4 12 31111 6 M59 11000 000132 0000R 00001 00154 015 2111100 2024*")</f>
        <v>0</v>
      </c>
      <c r="H4499" s="35">
        <f t="shared" si="71"/>
        <v>119233.27</v>
      </c>
      <c r="I4499" s="35"/>
      <c r="K4499" t="s">
        <v>15</v>
      </c>
    </row>
    <row r="4500" spans="2:11" ht="41.25" x14ac:dyDescent="0.2">
      <c r="B4500" s="33" t="s">
        <v>5455</v>
      </c>
      <c r="C4500" s="33" t="s">
        <v>1056</v>
      </c>
      <c r="D4500" s="35">
        <f>SUMIFS(D4501:D9015,K4501:K9015,"0",B4501:B9015,"5 1 1 5 4 12 31111 6 M59 11000 000132 0000R 00001 00154 015 2111100 2024 CP1SM382*")-SUMIFS(E4501:E9015,K4501:K9015,"0",B4501:B9015,"5 1 1 5 4 12 31111 6 M59 11000 000132 0000R 00001 00154 015 2111100 2024 CP1SM382*")</f>
        <v>0</v>
      </c>
      <c r="E4500"/>
      <c r="F4500" s="35">
        <f>SUMIFS(F4501:F9015,K4501:K9015,"0",B4501:B9015,"5 1 1 5 4 12 31111 6 M59 11000 000132 0000R 00001 00154 015 2111100 2024 CP1SM382*")</f>
        <v>119233.27</v>
      </c>
      <c r="G4500" s="35">
        <f>SUMIFS(G4501:G9015,K4501:K9015,"0",B4501:B9015,"5 1 1 5 4 12 31111 6 M59 11000 000132 0000R 00001 00154 015 2111100 2024 CP1SM382*")</f>
        <v>0</v>
      </c>
      <c r="H4500" s="35">
        <f t="shared" si="71"/>
        <v>119233.27</v>
      </c>
      <c r="I4500" s="35"/>
      <c r="K4500" t="s">
        <v>15</v>
      </c>
    </row>
    <row r="4501" spans="2:11" ht="41.25" x14ac:dyDescent="0.2">
      <c r="B4501" s="33" t="s">
        <v>5456</v>
      </c>
      <c r="C4501" s="33" t="s">
        <v>282</v>
      </c>
      <c r="D4501" s="35">
        <f>SUMIFS(D4502:D9015,K4502:K9015,"0",B4502:B9015,"5 1 1 5 4 12 31111 6 M59 11000 000132 0000R 00001 00154 015 2111100 2024 CP1SM382 001*")-SUMIFS(E4502:E9015,K4502:K9015,"0",B4502:B9015,"5 1 1 5 4 12 31111 6 M59 11000 000132 0000R 00001 00154 015 2111100 2024 CP1SM382 001*")</f>
        <v>0</v>
      </c>
      <c r="E4501"/>
      <c r="F4501" s="35">
        <f>SUMIFS(F4502:F9015,K4502:K9015,"0",B4502:B9015,"5 1 1 5 4 12 31111 6 M59 11000 000132 0000R 00001 00154 015 2111100 2024 CP1SM382 001*")</f>
        <v>119233.27</v>
      </c>
      <c r="G4501" s="35">
        <f>SUMIFS(G4502:G9015,K4502:K9015,"0",B4502:B9015,"5 1 1 5 4 12 31111 6 M59 11000 000132 0000R 00001 00154 015 2111100 2024 CP1SM382 001*")</f>
        <v>0</v>
      </c>
      <c r="H4501" s="35">
        <f t="shared" si="71"/>
        <v>119233.27</v>
      </c>
      <c r="I4501" s="35"/>
      <c r="K4501" t="s">
        <v>15</v>
      </c>
    </row>
    <row r="4502" spans="2:11" ht="33" x14ac:dyDescent="0.2">
      <c r="B4502" s="31" t="s">
        <v>5457</v>
      </c>
      <c r="C4502" s="31" t="s">
        <v>5429</v>
      </c>
      <c r="D4502" s="34">
        <v>0</v>
      </c>
      <c r="E4502" s="34"/>
      <c r="F4502" s="34">
        <v>3672</v>
      </c>
      <c r="G4502" s="34">
        <v>0</v>
      </c>
      <c r="H4502" s="34">
        <f t="shared" si="71"/>
        <v>3672</v>
      </c>
      <c r="I4502" s="34"/>
      <c r="K4502" t="s">
        <v>38</v>
      </c>
    </row>
    <row r="4503" spans="2:11" ht="33" x14ac:dyDescent="0.2">
      <c r="B4503" s="31" t="s">
        <v>5458</v>
      </c>
      <c r="C4503" s="31" t="s">
        <v>5459</v>
      </c>
      <c r="D4503" s="34">
        <v>0</v>
      </c>
      <c r="E4503" s="34"/>
      <c r="F4503" s="34">
        <v>3884.16</v>
      </c>
      <c r="G4503" s="34">
        <v>0</v>
      </c>
      <c r="H4503" s="34">
        <f t="shared" si="71"/>
        <v>3884.16</v>
      </c>
      <c r="I4503" s="34"/>
      <c r="K4503" t="s">
        <v>38</v>
      </c>
    </row>
    <row r="4504" spans="2:11" ht="33" x14ac:dyDescent="0.2">
      <c r="B4504" s="31" t="s">
        <v>5460</v>
      </c>
      <c r="C4504" s="31" t="s">
        <v>5446</v>
      </c>
      <c r="D4504" s="34">
        <v>0</v>
      </c>
      <c r="E4504" s="34"/>
      <c r="F4504" s="34">
        <v>111677.11</v>
      </c>
      <c r="G4504" s="34">
        <v>0</v>
      </c>
      <c r="H4504" s="34">
        <f t="shared" si="71"/>
        <v>111677.11</v>
      </c>
      <c r="I4504" s="34"/>
      <c r="K4504" t="s">
        <v>38</v>
      </c>
    </row>
    <row r="4505" spans="2:11" ht="16.5" x14ac:dyDescent="0.2">
      <c r="B4505" s="33" t="s">
        <v>5461</v>
      </c>
      <c r="C4505" s="33" t="s">
        <v>3080</v>
      </c>
      <c r="D4505" s="35">
        <f>SUMIFS(D4506:D9015,K4506:K9015,"0",B4506:B9015,"5 1 1 5 4 12 31111 6 M59 20200*")-SUMIFS(E4506:E9015,K4506:K9015,"0",B4506:B9015,"5 1 1 5 4 12 31111 6 M59 20200*")</f>
        <v>0</v>
      </c>
      <c r="E4505"/>
      <c r="F4505" s="35">
        <f>SUMIFS(F4506:F9015,K4506:K9015,"0",B4506:B9015,"5 1 1 5 4 12 31111 6 M59 20200*")</f>
        <v>624</v>
      </c>
      <c r="G4505" s="35">
        <f>SUMIFS(G4506:G9015,K4506:K9015,"0",B4506:B9015,"5 1 1 5 4 12 31111 6 M59 20200*")</f>
        <v>0</v>
      </c>
      <c r="H4505" s="35">
        <f t="shared" si="71"/>
        <v>624</v>
      </c>
      <c r="I4505" s="35"/>
      <c r="K4505" t="s">
        <v>15</v>
      </c>
    </row>
    <row r="4506" spans="2:11" ht="16.5" x14ac:dyDescent="0.2">
      <c r="B4506" s="33" t="s">
        <v>5462</v>
      </c>
      <c r="C4506" s="33" t="s">
        <v>648</v>
      </c>
      <c r="D4506" s="35">
        <f>SUMIFS(D4507:D9015,K4507:K9015,"0",B4507:B9015,"5 1 1 5 4 12 31111 6 M59 20200 000132*")-SUMIFS(E4507:E9015,K4507:K9015,"0",B4507:B9015,"5 1 1 5 4 12 31111 6 M59 20200 000132*")</f>
        <v>0</v>
      </c>
      <c r="E4506"/>
      <c r="F4506" s="35">
        <f>SUMIFS(F4507:F9015,K4507:K9015,"0",B4507:B9015,"5 1 1 5 4 12 31111 6 M59 20200 000132*")</f>
        <v>624</v>
      </c>
      <c r="G4506" s="35">
        <f>SUMIFS(G4507:G9015,K4507:K9015,"0",B4507:B9015,"5 1 1 5 4 12 31111 6 M59 20200 000132*")</f>
        <v>0</v>
      </c>
      <c r="H4506" s="35">
        <f t="shared" si="71"/>
        <v>624</v>
      </c>
      <c r="I4506" s="35"/>
      <c r="K4506" t="s">
        <v>15</v>
      </c>
    </row>
    <row r="4507" spans="2:11" ht="16.5" x14ac:dyDescent="0.2">
      <c r="B4507" s="33" t="s">
        <v>5463</v>
      </c>
      <c r="C4507" s="33" t="s">
        <v>650</v>
      </c>
      <c r="D4507" s="35">
        <f>SUMIFS(D4508:D9015,K4508:K9015,"0",B4508:B9015,"5 1 1 5 4 12 31111 6 M59 20200 000132 0000R*")-SUMIFS(E4508:E9015,K4508:K9015,"0",B4508:B9015,"5 1 1 5 4 12 31111 6 M59 20200 000132 0000R*")</f>
        <v>0</v>
      </c>
      <c r="E4507"/>
      <c r="F4507" s="35">
        <f>SUMIFS(F4508:F9015,K4508:K9015,"0",B4508:B9015,"5 1 1 5 4 12 31111 6 M59 20200 000132 0000R*")</f>
        <v>624</v>
      </c>
      <c r="G4507" s="35">
        <f>SUMIFS(G4508:G9015,K4508:K9015,"0",B4508:B9015,"5 1 1 5 4 12 31111 6 M59 20200 000132 0000R*")</f>
        <v>0</v>
      </c>
      <c r="H4507" s="35">
        <f t="shared" si="71"/>
        <v>624</v>
      </c>
      <c r="I4507" s="35"/>
      <c r="K4507" t="s">
        <v>15</v>
      </c>
    </row>
    <row r="4508" spans="2:11" ht="24.75" x14ac:dyDescent="0.2">
      <c r="B4508" s="33" t="s">
        <v>5464</v>
      </c>
      <c r="C4508" s="33" t="s">
        <v>282</v>
      </c>
      <c r="D4508" s="35">
        <f>SUMIFS(D4509:D9015,K4509:K9015,"0",B4509:B9015,"5 1 1 5 4 12 31111 6 M59 20200 000132 0000R 00001*")-SUMIFS(E4509:E9015,K4509:K9015,"0",B4509:B9015,"5 1 1 5 4 12 31111 6 M59 20200 000132 0000R 00001*")</f>
        <v>0</v>
      </c>
      <c r="E4508"/>
      <c r="F4508" s="35">
        <f>SUMIFS(F4509:F9015,K4509:K9015,"0",B4509:B9015,"5 1 1 5 4 12 31111 6 M59 20200 000132 0000R 00001*")</f>
        <v>624</v>
      </c>
      <c r="G4508" s="35">
        <f>SUMIFS(G4509:G9015,K4509:K9015,"0",B4509:B9015,"5 1 1 5 4 12 31111 6 M59 20200 000132 0000R 00001*")</f>
        <v>0</v>
      </c>
      <c r="H4508" s="35">
        <f t="shared" si="71"/>
        <v>624</v>
      </c>
      <c r="I4508" s="35"/>
      <c r="K4508" t="s">
        <v>15</v>
      </c>
    </row>
    <row r="4509" spans="2:11" ht="24.75" x14ac:dyDescent="0.2">
      <c r="B4509" s="33" t="s">
        <v>5465</v>
      </c>
      <c r="C4509" s="33" t="s">
        <v>5422</v>
      </c>
      <c r="D4509" s="35">
        <f>SUMIFS(D4510:D9015,K4510:K9015,"0",B4510:B9015,"5 1 1 5 4 12 31111 6 M59 20200 000132 0000R 00001 00154*")-SUMIFS(E4510:E9015,K4510:K9015,"0",B4510:B9015,"5 1 1 5 4 12 31111 6 M59 20200 000132 0000R 00001 00154*")</f>
        <v>0</v>
      </c>
      <c r="E4509"/>
      <c r="F4509" s="35">
        <f>SUMIFS(F4510:F9015,K4510:K9015,"0",B4510:B9015,"5 1 1 5 4 12 31111 6 M59 20200 000132 0000R 00001 00154*")</f>
        <v>624</v>
      </c>
      <c r="G4509" s="35">
        <f>SUMIFS(G4510:G9015,K4510:K9015,"0",B4510:B9015,"5 1 1 5 4 12 31111 6 M59 20200 000132 0000R 00001 00154*")</f>
        <v>0</v>
      </c>
      <c r="H4509" s="35">
        <f t="shared" si="71"/>
        <v>624</v>
      </c>
      <c r="I4509" s="35"/>
      <c r="K4509" t="s">
        <v>15</v>
      </c>
    </row>
    <row r="4510" spans="2:11" ht="24.75" x14ac:dyDescent="0.2">
      <c r="B4510" s="33" t="s">
        <v>5466</v>
      </c>
      <c r="C4510" s="33" t="s">
        <v>1051</v>
      </c>
      <c r="D4510" s="35">
        <f>SUMIFS(D4511:D9015,K4511:K9015,"0",B4511:B9015,"5 1 1 5 4 12 31111 6 M59 20200 000132 0000R 00001 00154 015*")-SUMIFS(E4511:E9015,K4511:K9015,"0",B4511:B9015,"5 1 1 5 4 12 31111 6 M59 20200 000132 0000R 00001 00154 015*")</f>
        <v>0</v>
      </c>
      <c r="E4510"/>
      <c r="F4510" s="35">
        <f>SUMIFS(F4511:F9015,K4511:K9015,"0",B4511:B9015,"5 1 1 5 4 12 31111 6 M59 20200 000132 0000R 00001 00154 015*")</f>
        <v>624</v>
      </c>
      <c r="G4510" s="35">
        <f>SUMIFS(G4511:G9015,K4511:K9015,"0",B4511:B9015,"5 1 1 5 4 12 31111 6 M59 20200 000132 0000R 00001 00154 015*")</f>
        <v>0</v>
      </c>
      <c r="H4510" s="35">
        <f t="shared" si="71"/>
        <v>624</v>
      </c>
      <c r="I4510" s="35"/>
      <c r="K4510" t="s">
        <v>15</v>
      </c>
    </row>
    <row r="4511" spans="2:11" ht="33" x14ac:dyDescent="0.2">
      <c r="B4511" s="33" t="s">
        <v>5467</v>
      </c>
      <c r="C4511" s="33" t="s">
        <v>2927</v>
      </c>
      <c r="D4511" s="35">
        <f>SUMIFS(D4512:D9015,K4512:K9015,"0",B4512:B9015,"5 1 1 5 4 12 31111 6 M59 20200 000132 0000R 00001 00154 015 2111100*")-SUMIFS(E4512:E9015,K4512:K9015,"0",B4512:B9015,"5 1 1 5 4 12 31111 6 M59 20200 000132 0000R 00001 00154 015 2111100*")</f>
        <v>0</v>
      </c>
      <c r="E4511"/>
      <c r="F4511" s="35">
        <f>SUMIFS(F4512:F9015,K4512:K9015,"0",B4512:B9015,"5 1 1 5 4 12 31111 6 M59 20200 000132 0000R 00001 00154 015 2111100*")</f>
        <v>624</v>
      </c>
      <c r="G4511" s="35">
        <f>SUMIFS(G4512:G9015,K4512:K9015,"0",B4512:B9015,"5 1 1 5 4 12 31111 6 M59 20200 000132 0000R 00001 00154 015 2111100*")</f>
        <v>0</v>
      </c>
      <c r="H4511" s="35">
        <f t="shared" si="71"/>
        <v>624</v>
      </c>
      <c r="I4511" s="35"/>
      <c r="K4511" t="s">
        <v>15</v>
      </c>
    </row>
    <row r="4512" spans="2:11" ht="33" x14ac:dyDescent="0.2">
      <c r="B4512" s="33" t="s">
        <v>5468</v>
      </c>
      <c r="C4512" s="33" t="s">
        <v>660</v>
      </c>
      <c r="D4512" s="35">
        <f>SUMIFS(D4513:D9015,K4513:K9015,"0",B4513:B9015,"5 1 1 5 4 12 31111 6 M59 20200 000132 0000R 00001 00154 015 2111100 2024*")-SUMIFS(E4513:E9015,K4513:K9015,"0",B4513:B9015,"5 1 1 5 4 12 31111 6 M59 20200 000132 0000R 00001 00154 015 2111100 2024*")</f>
        <v>0</v>
      </c>
      <c r="E4512"/>
      <c r="F4512" s="35">
        <f>SUMIFS(F4513:F9015,K4513:K9015,"0",B4513:B9015,"5 1 1 5 4 12 31111 6 M59 20200 000132 0000R 00001 00154 015 2111100 2024*")</f>
        <v>624</v>
      </c>
      <c r="G4512" s="35">
        <f>SUMIFS(G4513:G9015,K4513:K9015,"0",B4513:B9015,"5 1 1 5 4 12 31111 6 M59 20200 000132 0000R 00001 00154 015 2111100 2024*")</f>
        <v>0</v>
      </c>
      <c r="H4512" s="35">
        <f t="shared" si="71"/>
        <v>624</v>
      </c>
      <c r="I4512" s="35"/>
      <c r="K4512" t="s">
        <v>15</v>
      </c>
    </row>
    <row r="4513" spans="2:11" ht="33" x14ac:dyDescent="0.2">
      <c r="B4513" s="33" t="s">
        <v>5469</v>
      </c>
      <c r="C4513" s="33" t="s">
        <v>662</v>
      </c>
      <c r="D4513" s="35">
        <f>SUMIFS(D4514:D9015,K4514:K9015,"0",B4514:B9015,"5 1 1 5 4 12 31111 6 M59 20200 000132 0000R 00001 00154 015 2111100 2024 CP1DI411*")-SUMIFS(E4514:E9015,K4514:K9015,"0",B4514:B9015,"5 1 1 5 4 12 31111 6 M59 20200 000132 0000R 00001 00154 015 2111100 2024 CP1DI411*")</f>
        <v>0</v>
      </c>
      <c r="E4513"/>
      <c r="F4513" s="35">
        <f>SUMIFS(F4514:F9015,K4514:K9015,"0",B4514:B9015,"5 1 1 5 4 12 31111 6 M59 20200 000132 0000R 00001 00154 015 2111100 2024 CP1DI411*")</f>
        <v>624</v>
      </c>
      <c r="G4513" s="35">
        <f>SUMIFS(G4514:G9015,K4514:K9015,"0",B4514:B9015,"5 1 1 5 4 12 31111 6 M59 20200 000132 0000R 00001 00154 015 2111100 2024 CP1DI411*")</f>
        <v>0</v>
      </c>
      <c r="H4513" s="35">
        <f t="shared" si="71"/>
        <v>624</v>
      </c>
      <c r="I4513" s="35"/>
      <c r="K4513" t="s">
        <v>15</v>
      </c>
    </row>
    <row r="4514" spans="2:11" ht="41.25" x14ac:dyDescent="0.2">
      <c r="B4514" s="33" t="s">
        <v>5470</v>
      </c>
      <c r="C4514" s="33" t="s">
        <v>282</v>
      </c>
      <c r="D4514" s="35">
        <f>SUMIFS(D4515:D9015,K4515:K9015,"0",B4515:B9015,"5 1 1 5 4 12 31111 6 M59 20200 000132 0000R 00001 00154 015 2111100 2024 CP1DI411 001*")-SUMIFS(E4515:E9015,K4515:K9015,"0",B4515:B9015,"5 1 1 5 4 12 31111 6 M59 20200 000132 0000R 00001 00154 015 2111100 2024 CP1DI411 001*")</f>
        <v>0</v>
      </c>
      <c r="E4514"/>
      <c r="F4514" s="35">
        <f>SUMIFS(F4515:F9015,K4515:K9015,"0",B4515:B9015,"5 1 1 5 4 12 31111 6 M59 20200 000132 0000R 00001 00154 015 2111100 2024 CP1DI411 001*")</f>
        <v>624</v>
      </c>
      <c r="G4514" s="35">
        <f>SUMIFS(G4515:G9015,K4515:K9015,"0",B4515:B9015,"5 1 1 5 4 12 31111 6 M59 20200 000132 0000R 00001 00154 015 2111100 2024 CP1DI411 001*")</f>
        <v>0</v>
      </c>
      <c r="H4514" s="35">
        <f t="shared" si="71"/>
        <v>624</v>
      </c>
      <c r="I4514" s="35"/>
      <c r="K4514" t="s">
        <v>15</v>
      </c>
    </row>
    <row r="4515" spans="2:11" ht="33" x14ac:dyDescent="0.2">
      <c r="B4515" s="31" t="s">
        <v>5471</v>
      </c>
      <c r="C4515" s="31" t="s">
        <v>5443</v>
      </c>
      <c r="D4515" s="34">
        <v>0</v>
      </c>
      <c r="E4515" s="34"/>
      <c r="F4515" s="34">
        <v>424</v>
      </c>
      <c r="G4515" s="34">
        <v>0</v>
      </c>
      <c r="H4515" s="34">
        <f t="shared" si="71"/>
        <v>424</v>
      </c>
      <c r="I4515" s="34"/>
      <c r="K4515" t="s">
        <v>38</v>
      </c>
    </row>
    <row r="4516" spans="2:11" ht="33" x14ac:dyDescent="0.2">
      <c r="B4516" s="31" t="s">
        <v>5472</v>
      </c>
      <c r="C4516" s="31" t="s">
        <v>5459</v>
      </c>
      <c r="D4516" s="34">
        <v>0</v>
      </c>
      <c r="E4516" s="34"/>
      <c r="F4516" s="34">
        <v>200</v>
      </c>
      <c r="G4516" s="34">
        <v>0</v>
      </c>
      <c r="H4516" s="34">
        <f t="shared" si="71"/>
        <v>200</v>
      </c>
      <c r="I4516" s="34"/>
      <c r="K4516" t="s">
        <v>38</v>
      </c>
    </row>
    <row r="4517" spans="2:11" ht="16.5" x14ac:dyDescent="0.2">
      <c r="B4517" s="33" t="s">
        <v>5473</v>
      </c>
      <c r="C4517" s="33" t="s">
        <v>1061</v>
      </c>
      <c r="D4517" s="35">
        <f>SUMIFS(D4518:D9015,K4518:K9015,"0",B4518:B9015,"5 1 1 5 4 12 31111 6 M59 20300*")-SUMIFS(E4518:E9015,K4518:K9015,"0",B4518:B9015,"5 1 1 5 4 12 31111 6 M59 20300*")</f>
        <v>0</v>
      </c>
      <c r="E4517"/>
      <c r="F4517" s="35">
        <f>SUMIFS(F4518:F9015,K4518:K9015,"0",B4518:B9015,"5 1 1 5 4 12 31111 6 M59 20300*")</f>
        <v>8380</v>
      </c>
      <c r="G4517" s="35">
        <f>SUMIFS(G4518:G9015,K4518:K9015,"0",B4518:B9015,"5 1 1 5 4 12 31111 6 M59 20300*")</f>
        <v>0</v>
      </c>
      <c r="H4517" s="35">
        <f t="shared" si="71"/>
        <v>8380</v>
      </c>
      <c r="I4517" s="35"/>
      <c r="K4517" t="s">
        <v>15</v>
      </c>
    </row>
    <row r="4518" spans="2:11" ht="16.5" x14ac:dyDescent="0.2">
      <c r="B4518" s="33" t="s">
        <v>5474</v>
      </c>
      <c r="C4518" s="33" t="s">
        <v>648</v>
      </c>
      <c r="D4518" s="35">
        <f>SUMIFS(D4519:D9015,K4519:K9015,"0",B4519:B9015,"5 1 1 5 4 12 31111 6 M59 20300 000132*")-SUMIFS(E4519:E9015,K4519:K9015,"0",B4519:B9015,"5 1 1 5 4 12 31111 6 M59 20300 000132*")</f>
        <v>0</v>
      </c>
      <c r="E4518"/>
      <c r="F4518" s="35">
        <f>SUMIFS(F4519:F9015,K4519:K9015,"0",B4519:B9015,"5 1 1 5 4 12 31111 6 M59 20300 000132*")</f>
        <v>8380</v>
      </c>
      <c r="G4518" s="35">
        <f>SUMIFS(G4519:G9015,K4519:K9015,"0",B4519:B9015,"5 1 1 5 4 12 31111 6 M59 20300 000132*")</f>
        <v>0</v>
      </c>
      <c r="H4518" s="35">
        <f t="shared" si="71"/>
        <v>8380</v>
      </c>
      <c r="I4518" s="35"/>
      <c r="K4518" t="s">
        <v>15</v>
      </c>
    </row>
    <row r="4519" spans="2:11" ht="16.5" x14ac:dyDescent="0.2">
      <c r="B4519" s="33" t="s">
        <v>5475</v>
      </c>
      <c r="C4519" s="33" t="s">
        <v>650</v>
      </c>
      <c r="D4519" s="35">
        <f>SUMIFS(D4520:D9015,K4520:K9015,"0",B4520:B9015,"5 1 1 5 4 12 31111 6 M59 20300 000132 0000R*")-SUMIFS(E4520:E9015,K4520:K9015,"0",B4520:B9015,"5 1 1 5 4 12 31111 6 M59 20300 000132 0000R*")</f>
        <v>0</v>
      </c>
      <c r="E4519"/>
      <c r="F4519" s="35">
        <f>SUMIFS(F4520:F9015,K4520:K9015,"0",B4520:B9015,"5 1 1 5 4 12 31111 6 M59 20300 000132 0000R*")</f>
        <v>8380</v>
      </c>
      <c r="G4519" s="35">
        <f>SUMIFS(G4520:G9015,K4520:K9015,"0",B4520:B9015,"5 1 1 5 4 12 31111 6 M59 20300 000132 0000R*")</f>
        <v>0</v>
      </c>
      <c r="H4519" s="35">
        <f t="shared" si="71"/>
        <v>8380</v>
      </c>
      <c r="I4519" s="35"/>
      <c r="K4519" t="s">
        <v>15</v>
      </c>
    </row>
    <row r="4520" spans="2:11" ht="24.75" x14ac:dyDescent="0.2">
      <c r="B4520" s="33" t="s">
        <v>5476</v>
      </c>
      <c r="C4520" s="33" t="s">
        <v>282</v>
      </c>
      <c r="D4520" s="35">
        <f>SUMIFS(D4521:D9015,K4521:K9015,"0",B4521:B9015,"5 1 1 5 4 12 31111 6 M59 20300 000132 0000R 00001*")-SUMIFS(E4521:E9015,K4521:K9015,"0",B4521:B9015,"5 1 1 5 4 12 31111 6 M59 20300 000132 0000R 00001*")</f>
        <v>0</v>
      </c>
      <c r="E4520"/>
      <c r="F4520" s="35">
        <f>SUMIFS(F4521:F9015,K4521:K9015,"0",B4521:B9015,"5 1 1 5 4 12 31111 6 M59 20300 000132 0000R 00001*")</f>
        <v>8380</v>
      </c>
      <c r="G4520" s="35">
        <f>SUMIFS(G4521:G9015,K4521:K9015,"0",B4521:B9015,"5 1 1 5 4 12 31111 6 M59 20300 000132 0000R 00001*")</f>
        <v>0</v>
      </c>
      <c r="H4520" s="35">
        <f t="shared" si="71"/>
        <v>8380</v>
      </c>
      <c r="I4520" s="35"/>
      <c r="K4520" t="s">
        <v>15</v>
      </c>
    </row>
    <row r="4521" spans="2:11" ht="24.75" x14ac:dyDescent="0.2">
      <c r="B4521" s="33" t="s">
        <v>5477</v>
      </c>
      <c r="C4521" s="33" t="s">
        <v>5422</v>
      </c>
      <c r="D4521" s="35">
        <f>SUMIFS(D4522:D9015,K4522:K9015,"0",B4522:B9015,"5 1 1 5 4 12 31111 6 M59 20300 000132 0000R 00001 00154*")-SUMIFS(E4522:E9015,K4522:K9015,"0",B4522:B9015,"5 1 1 5 4 12 31111 6 M59 20300 000132 0000R 00001 00154*")</f>
        <v>0</v>
      </c>
      <c r="E4521"/>
      <c r="F4521" s="35">
        <f>SUMIFS(F4522:F9015,K4522:K9015,"0",B4522:B9015,"5 1 1 5 4 12 31111 6 M59 20300 000132 0000R 00001 00154*")</f>
        <v>8380</v>
      </c>
      <c r="G4521" s="35">
        <f>SUMIFS(G4522:G9015,K4522:K9015,"0",B4522:B9015,"5 1 1 5 4 12 31111 6 M59 20300 000132 0000R 00001 00154*")</f>
        <v>0</v>
      </c>
      <c r="H4521" s="35">
        <f t="shared" si="71"/>
        <v>8380</v>
      </c>
      <c r="I4521" s="35"/>
      <c r="K4521" t="s">
        <v>15</v>
      </c>
    </row>
    <row r="4522" spans="2:11" ht="24.75" x14ac:dyDescent="0.2">
      <c r="B4522" s="33" t="s">
        <v>5478</v>
      </c>
      <c r="C4522" s="33" t="s">
        <v>1051</v>
      </c>
      <c r="D4522" s="35">
        <f>SUMIFS(D4523:D9015,K4523:K9015,"0",B4523:B9015,"5 1 1 5 4 12 31111 6 M59 20300 000132 0000R 00001 00154 015*")-SUMIFS(E4523:E9015,K4523:K9015,"0",B4523:B9015,"5 1 1 5 4 12 31111 6 M59 20300 000132 0000R 00001 00154 015*")</f>
        <v>0</v>
      </c>
      <c r="E4522"/>
      <c r="F4522" s="35">
        <f>SUMIFS(F4523:F9015,K4523:K9015,"0",B4523:B9015,"5 1 1 5 4 12 31111 6 M59 20300 000132 0000R 00001 00154 015*")</f>
        <v>8380</v>
      </c>
      <c r="G4522" s="35">
        <f>SUMIFS(G4523:G9015,K4523:K9015,"0",B4523:B9015,"5 1 1 5 4 12 31111 6 M59 20300 000132 0000R 00001 00154 015*")</f>
        <v>0</v>
      </c>
      <c r="H4522" s="35">
        <f t="shared" si="71"/>
        <v>8380</v>
      </c>
      <c r="I4522" s="35"/>
      <c r="K4522" t="s">
        <v>15</v>
      </c>
    </row>
    <row r="4523" spans="2:11" ht="33" x14ac:dyDescent="0.2">
      <c r="B4523" s="33" t="s">
        <v>5479</v>
      </c>
      <c r="C4523" s="33" t="s">
        <v>2927</v>
      </c>
      <c r="D4523" s="35">
        <f>SUMIFS(D4524:D9015,K4524:K9015,"0",B4524:B9015,"5 1 1 5 4 12 31111 6 M59 20300 000132 0000R 00001 00154 015 2111100*")-SUMIFS(E4524:E9015,K4524:K9015,"0",B4524:B9015,"5 1 1 5 4 12 31111 6 M59 20300 000132 0000R 00001 00154 015 2111100*")</f>
        <v>0</v>
      </c>
      <c r="E4523"/>
      <c r="F4523" s="35">
        <f>SUMIFS(F4524:F9015,K4524:K9015,"0",B4524:B9015,"5 1 1 5 4 12 31111 6 M59 20300 000132 0000R 00001 00154 015 2111100*")</f>
        <v>8380</v>
      </c>
      <c r="G4523" s="35">
        <f>SUMIFS(G4524:G9015,K4524:K9015,"0",B4524:B9015,"5 1 1 5 4 12 31111 6 M59 20300 000132 0000R 00001 00154 015 2111100*")</f>
        <v>0</v>
      </c>
      <c r="H4523" s="35">
        <f t="shared" si="71"/>
        <v>8380</v>
      </c>
      <c r="I4523" s="35"/>
      <c r="K4523" t="s">
        <v>15</v>
      </c>
    </row>
    <row r="4524" spans="2:11" ht="33" x14ac:dyDescent="0.2">
      <c r="B4524" s="33" t="s">
        <v>5480</v>
      </c>
      <c r="C4524" s="33" t="s">
        <v>660</v>
      </c>
      <c r="D4524" s="35">
        <f>SUMIFS(D4525:D9015,K4525:K9015,"0",B4525:B9015,"5 1 1 5 4 12 31111 6 M59 20300 000132 0000R 00001 00154 015 2111100 2024*")-SUMIFS(E4525:E9015,K4525:K9015,"0",B4525:B9015,"5 1 1 5 4 12 31111 6 M59 20300 000132 0000R 00001 00154 015 2111100 2024*")</f>
        <v>0</v>
      </c>
      <c r="E4524"/>
      <c r="F4524" s="35">
        <f>SUMIFS(F4525:F9015,K4525:K9015,"0",B4525:B9015,"5 1 1 5 4 12 31111 6 M59 20300 000132 0000R 00001 00154 015 2111100 2024*")</f>
        <v>8380</v>
      </c>
      <c r="G4524" s="35">
        <f>SUMIFS(G4525:G9015,K4525:K9015,"0",B4525:B9015,"5 1 1 5 4 12 31111 6 M59 20300 000132 0000R 00001 00154 015 2111100 2024*")</f>
        <v>0</v>
      </c>
      <c r="H4524" s="35">
        <f t="shared" si="71"/>
        <v>8380</v>
      </c>
      <c r="I4524" s="35"/>
      <c r="K4524" t="s">
        <v>15</v>
      </c>
    </row>
    <row r="4525" spans="2:11" ht="41.25" x14ac:dyDescent="0.2">
      <c r="B4525" s="33" t="s">
        <v>5481</v>
      </c>
      <c r="C4525" s="33" t="s">
        <v>662</v>
      </c>
      <c r="D4525" s="35">
        <f>SUMIFS(D4526:D9015,K4526:K9015,"0",B4526:B9015,"5 1 1 5 4 12 31111 6 M59 20300 000132 0000R 00001 00154 015 2111100 2024 CP1DE415*")-SUMIFS(E4526:E9015,K4526:K9015,"0",B4526:B9015,"5 1 1 5 4 12 31111 6 M59 20300 000132 0000R 00001 00154 015 2111100 2024 CP1DE415*")</f>
        <v>0</v>
      </c>
      <c r="E4525"/>
      <c r="F4525" s="35">
        <f>SUMIFS(F4526:F9015,K4526:K9015,"0",B4526:B9015,"5 1 1 5 4 12 31111 6 M59 20300 000132 0000R 00001 00154 015 2111100 2024 CP1DE415*")</f>
        <v>8380</v>
      </c>
      <c r="G4525" s="35">
        <f>SUMIFS(G4526:G9015,K4526:K9015,"0",B4526:B9015,"5 1 1 5 4 12 31111 6 M59 20300 000132 0000R 00001 00154 015 2111100 2024 CP1DE415*")</f>
        <v>0</v>
      </c>
      <c r="H4525" s="35">
        <f t="shared" si="71"/>
        <v>8380</v>
      </c>
      <c r="I4525" s="35"/>
      <c r="K4525" t="s">
        <v>15</v>
      </c>
    </row>
    <row r="4526" spans="2:11" ht="41.25" x14ac:dyDescent="0.2">
      <c r="B4526" s="33" t="s">
        <v>5482</v>
      </c>
      <c r="C4526" s="33" t="s">
        <v>282</v>
      </c>
      <c r="D4526" s="35">
        <f>SUMIFS(D4527:D9015,K4527:K9015,"0",B4527:B9015,"5 1 1 5 4 12 31111 6 M59 20300 000132 0000R 00001 00154 015 2111100 2024 CP1DE415 001*")-SUMIFS(E4527:E9015,K4527:K9015,"0",B4527:B9015,"5 1 1 5 4 12 31111 6 M59 20300 000132 0000R 00001 00154 015 2111100 2024 CP1DE415 001*")</f>
        <v>0</v>
      </c>
      <c r="E4526"/>
      <c r="F4526" s="35">
        <f>SUMIFS(F4527:F9015,K4527:K9015,"0",B4527:B9015,"5 1 1 5 4 12 31111 6 M59 20300 000132 0000R 00001 00154 015 2111100 2024 CP1DE415 001*")</f>
        <v>8380</v>
      </c>
      <c r="G4526" s="35">
        <f>SUMIFS(G4527:G9015,K4527:K9015,"0",B4527:B9015,"5 1 1 5 4 12 31111 6 M59 20300 000132 0000R 00001 00154 015 2111100 2024 CP1DE415 001*")</f>
        <v>0</v>
      </c>
      <c r="H4526" s="35">
        <f t="shared" si="71"/>
        <v>8380</v>
      </c>
      <c r="I4526" s="35"/>
      <c r="K4526" t="s">
        <v>15</v>
      </c>
    </row>
    <row r="4527" spans="2:11" ht="41.25" x14ac:dyDescent="0.2">
      <c r="B4527" s="31" t="s">
        <v>5483</v>
      </c>
      <c r="C4527" s="31" t="s">
        <v>5484</v>
      </c>
      <c r="D4527" s="34">
        <v>0</v>
      </c>
      <c r="E4527" s="34"/>
      <c r="F4527" s="34">
        <v>8380</v>
      </c>
      <c r="G4527" s="34">
        <v>0</v>
      </c>
      <c r="H4527" s="34">
        <f t="shared" si="71"/>
        <v>8380</v>
      </c>
      <c r="I4527" s="34"/>
      <c r="K4527" t="s">
        <v>38</v>
      </c>
    </row>
    <row r="4528" spans="2:11" ht="16.5" x14ac:dyDescent="0.2">
      <c r="B4528" s="33" t="s">
        <v>5485</v>
      </c>
      <c r="C4528" s="33" t="s">
        <v>1079</v>
      </c>
      <c r="D4528" s="35">
        <f>SUMIFS(D4529:D9015,K4529:K9015,"0",B4529:B9015,"5 1 1 5 4 12 31111 6 M59 20500*")-SUMIFS(E4529:E9015,K4529:K9015,"0",B4529:B9015,"5 1 1 5 4 12 31111 6 M59 20500*")</f>
        <v>0</v>
      </c>
      <c r="E4528"/>
      <c r="F4528" s="35">
        <f>SUMIFS(F4529:F9015,K4529:K9015,"0",B4529:B9015,"5 1 1 5 4 12 31111 6 M59 20500*")</f>
        <v>151027.20000000001</v>
      </c>
      <c r="G4528" s="35">
        <f>SUMIFS(G4529:G9015,K4529:K9015,"0",B4529:B9015,"5 1 1 5 4 12 31111 6 M59 20500*")</f>
        <v>0</v>
      </c>
      <c r="H4528" s="35">
        <f t="shared" si="71"/>
        <v>151027.20000000001</v>
      </c>
      <c r="I4528" s="35"/>
      <c r="K4528" t="s">
        <v>15</v>
      </c>
    </row>
    <row r="4529" spans="2:11" ht="16.5" x14ac:dyDescent="0.2">
      <c r="B4529" s="33" t="s">
        <v>5486</v>
      </c>
      <c r="C4529" s="33" t="s">
        <v>648</v>
      </c>
      <c r="D4529" s="35">
        <f>SUMIFS(D4530:D9015,K4530:K9015,"0",B4530:B9015,"5 1 1 5 4 12 31111 6 M59 20500 000132*")-SUMIFS(E4530:E9015,K4530:K9015,"0",B4530:B9015,"5 1 1 5 4 12 31111 6 M59 20500 000132*")</f>
        <v>0</v>
      </c>
      <c r="E4529"/>
      <c r="F4529" s="35">
        <f>SUMIFS(F4530:F9015,K4530:K9015,"0",B4530:B9015,"5 1 1 5 4 12 31111 6 M59 20500 000132*")</f>
        <v>151027.20000000001</v>
      </c>
      <c r="G4529" s="35">
        <f>SUMIFS(G4530:G9015,K4530:K9015,"0",B4530:B9015,"5 1 1 5 4 12 31111 6 M59 20500 000132*")</f>
        <v>0</v>
      </c>
      <c r="H4529" s="35">
        <f t="shared" si="71"/>
        <v>151027.20000000001</v>
      </c>
      <c r="I4529" s="35"/>
      <c r="K4529" t="s">
        <v>15</v>
      </c>
    </row>
    <row r="4530" spans="2:11" ht="16.5" x14ac:dyDescent="0.2">
      <c r="B4530" s="33" t="s">
        <v>5487</v>
      </c>
      <c r="C4530" s="33" t="s">
        <v>650</v>
      </c>
      <c r="D4530" s="35">
        <f>SUMIFS(D4531:D9015,K4531:K9015,"0",B4531:B9015,"5 1 1 5 4 12 31111 6 M59 20500 000132 0000R*")-SUMIFS(E4531:E9015,K4531:K9015,"0",B4531:B9015,"5 1 1 5 4 12 31111 6 M59 20500 000132 0000R*")</f>
        <v>0</v>
      </c>
      <c r="E4530"/>
      <c r="F4530" s="35">
        <f>SUMIFS(F4531:F9015,K4531:K9015,"0",B4531:B9015,"5 1 1 5 4 12 31111 6 M59 20500 000132 0000R*")</f>
        <v>151027.20000000001</v>
      </c>
      <c r="G4530" s="35">
        <f>SUMIFS(G4531:G9015,K4531:K9015,"0",B4531:B9015,"5 1 1 5 4 12 31111 6 M59 20500 000132 0000R*")</f>
        <v>0</v>
      </c>
      <c r="H4530" s="35">
        <f t="shared" si="71"/>
        <v>151027.20000000001</v>
      </c>
      <c r="I4530" s="35"/>
      <c r="K4530" t="s">
        <v>15</v>
      </c>
    </row>
    <row r="4531" spans="2:11" ht="24.75" x14ac:dyDescent="0.2">
      <c r="B4531" s="33" t="s">
        <v>5488</v>
      </c>
      <c r="C4531" s="33" t="s">
        <v>282</v>
      </c>
      <c r="D4531" s="35">
        <f>SUMIFS(D4532:D9015,K4532:K9015,"0",B4532:B9015,"5 1 1 5 4 12 31111 6 M59 20500 000132 0000R 00001*")-SUMIFS(E4532:E9015,K4532:K9015,"0",B4532:B9015,"5 1 1 5 4 12 31111 6 M59 20500 000132 0000R 00001*")</f>
        <v>0</v>
      </c>
      <c r="E4531"/>
      <c r="F4531" s="35">
        <f>SUMIFS(F4532:F9015,K4532:K9015,"0",B4532:B9015,"5 1 1 5 4 12 31111 6 M59 20500 000132 0000R 00001*")</f>
        <v>151027.20000000001</v>
      </c>
      <c r="G4531" s="35">
        <f>SUMIFS(G4532:G9015,K4532:K9015,"0",B4532:B9015,"5 1 1 5 4 12 31111 6 M59 20500 000132 0000R 00001*")</f>
        <v>0</v>
      </c>
      <c r="H4531" s="35">
        <f t="shared" si="71"/>
        <v>151027.20000000001</v>
      </c>
      <c r="I4531" s="35"/>
      <c r="K4531" t="s">
        <v>15</v>
      </c>
    </row>
    <row r="4532" spans="2:11" ht="24.75" x14ac:dyDescent="0.2">
      <c r="B4532" s="33" t="s">
        <v>5489</v>
      </c>
      <c r="C4532" s="33" t="s">
        <v>5422</v>
      </c>
      <c r="D4532" s="35">
        <f>SUMIFS(D4533:D9015,K4533:K9015,"0",B4533:B9015,"5 1 1 5 4 12 31111 6 M59 20500 000132 0000R 00001 00154*")-SUMIFS(E4533:E9015,K4533:K9015,"0",B4533:B9015,"5 1 1 5 4 12 31111 6 M59 20500 000132 0000R 00001 00154*")</f>
        <v>0</v>
      </c>
      <c r="E4532"/>
      <c r="F4532" s="35">
        <f>SUMIFS(F4533:F9015,K4533:K9015,"0",B4533:B9015,"5 1 1 5 4 12 31111 6 M59 20500 000132 0000R 00001 00154*")</f>
        <v>151027.20000000001</v>
      </c>
      <c r="G4532" s="35">
        <f>SUMIFS(G4533:G9015,K4533:K9015,"0",B4533:B9015,"5 1 1 5 4 12 31111 6 M59 20500 000132 0000R 00001 00154*")</f>
        <v>0</v>
      </c>
      <c r="H4532" s="35">
        <f t="shared" si="71"/>
        <v>151027.20000000001</v>
      </c>
      <c r="I4532" s="35"/>
      <c r="K4532" t="s">
        <v>15</v>
      </c>
    </row>
    <row r="4533" spans="2:11" ht="24.75" x14ac:dyDescent="0.2">
      <c r="B4533" s="33" t="s">
        <v>5490</v>
      </c>
      <c r="C4533" s="33" t="s">
        <v>1051</v>
      </c>
      <c r="D4533" s="35">
        <f>SUMIFS(D4534:D9015,K4534:K9015,"0",B4534:B9015,"5 1 1 5 4 12 31111 6 M59 20500 000132 0000R 00001 00154 015*")-SUMIFS(E4534:E9015,K4534:K9015,"0",B4534:B9015,"5 1 1 5 4 12 31111 6 M59 20500 000132 0000R 00001 00154 015*")</f>
        <v>0</v>
      </c>
      <c r="E4533"/>
      <c r="F4533" s="35">
        <f>SUMIFS(F4534:F9015,K4534:K9015,"0",B4534:B9015,"5 1 1 5 4 12 31111 6 M59 20500 000132 0000R 00001 00154 015*")</f>
        <v>151027.20000000001</v>
      </c>
      <c r="G4533" s="35">
        <f>SUMIFS(G4534:G9015,K4534:K9015,"0",B4534:B9015,"5 1 1 5 4 12 31111 6 M59 20500 000132 0000R 00001 00154 015*")</f>
        <v>0</v>
      </c>
      <c r="H4533" s="35">
        <f t="shared" si="71"/>
        <v>151027.20000000001</v>
      </c>
      <c r="I4533" s="35"/>
      <c r="K4533" t="s">
        <v>15</v>
      </c>
    </row>
    <row r="4534" spans="2:11" ht="33" x14ac:dyDescent="0.2">
      <c r="B4534" s="33" t="s">
        <v>5491</v>
      </c>
      <c r="C4534" s="33" t="s">
        <v>2927</v>
      </c>
      <c r="D4534" s="35">
        <f>SUMIFS(D4535:D9015,K4535:K9015,"0",B4535:B9015,"5 1 1 5 4 12 31111 6 M59 20500 000132 0000R 00001 00154 015 2111100*")-SUMIFS(E4535:E9015,K4535:K9015,"0",B4535:B9015,"5 1 1 5 4 12 31111 6 M59 20500 000132 0000R 00001 00154 015 2111100*")</f>
        <v>0</v>
      </c>
      <c r="E4534"/>
      <c r="F4534" s="35">
        <f>SUMIFS(F4535:F9015,K4535:K9015,"0",B4535:B9015,"5 1 1 5 4 12 31111 6 M59 20500 000132 0000R 00001 00154 015 2111100*")</f>
        <v>151027.20000000001</v>
      </c>
      <c r="G4534" s="35">
        <f>SUMIFS(G4535:G9015,K4535:K9015,"0",B4535:B9015,"5 1 1 5 4 12 31111 6 M59 20500 000132 0000R 00001 00154 015 2111100*")</f>
        <v>0</v>
      </c>
      <c r="H4534" s="35">
        <f t="shared" si="71"/>
        <v>151027.20000000001</v>
      </c>
      <c r="I4534" s="35"/>
      <c r="K4534" t="s">
        <v>15</v>
      </c>
    </row>
    <row r="4535" spans="2:11" ht="33" x14ac:dyDescent="0.2">
      <c r="B4535" s="33" t="s">
        <v>5492</v>
      </c>
      <c r="C4535" s="33" t="s">
        <v>660</v>
      </c>
      <c r="D4535" s="35">
        <f>SUMIFS(D4536:D9015,K4536:K9015,"0",B4536:B9015,"5 1 1 5 4 12 31111 6 M59 20500 000132 0000R 00001 00154 015 2111100 2024*")-SUMIFS(E4536:E9015,K4536:K9015,"0",B4536:B9015,"5 1 1 5 4 12 31111 6 M59 20500 000132 0000R 00001 00154 015 2111100 2024*")</f>
        <v>0</v>
      </c>
      <c r="E4535"/>
      <c r="F4535" s="35">
        <f>SUMIFS(F4536:F9015,K4536:K9015,"0",B4536:B9015,"5 1 1 5 4 12 31111 6 M59 20500 000132 0000R 00001 00154 015 2111100 2024*")</f>
        <v>151027.20000000001</v>
      </c>
      <c r="G4535" s="35">
        <f>SUMIFS(G4536:G9015,K4536:K9015,"0",B4536:B9015,"5 1 1 5 4 12 31111 6 M59 20500 000132 0000R 00001 00154 015 2111100 2024*")</f>
        <v>0</v>
      </c>
      <c r="H4535" s="35">
        <f t="shared" si="71"/>
        <v>151027.20000000001</v>
      </c>
      <c r="I4535" s="35"/>
      <c r="K4535" t="s">
        <v>15</v>
      </c>
    </row>
    <row r="4536" spans="2:11" ht="41.25" x14ac:dyDescent="0.2">
      <c r="B4536" s="33" t="s">
        <v>5493</v>
      </c>
      <c r="C4536" s="33" t="s">
        <v>1056</v>
      </c>
      <c r="D4536" s="35">
        <f>SUMIFS(D4537:D9015,K4537:K9015,"0",B4537:B9015,"5 1 1 5 4 12 31111 6 M59 20500 000132 0000R 00001 00154 015 2111100 2024 CP1CP420*")-SUMIFS(E4537:E9015,K4537:K9015,"0",B4537:B9015,"5 1 1 5 4 12 31111 6 M59 20500 000132 0000R 00001 00154 015 2111100 2024 CP1CP420*")</f>
        <v>0</v>
      </c>
      <c r="E4536"/>
      <c r="F4536" s="35">
        <f>SUMIFS(F4537:F9015,K4537:K9015,"0",B4537:B9015,"5 1 1 5 4 12 31111 6 M59 20500 000132 0000R 00001 00154 015 2111100 2024 CP1CP420*")</f>
        <v>151027.20000000001</v>
      </c>
      <c r="G4536" s="35">
        <f>SUMIFS(G4537:G9015,K4537:K9015,"0",B4537:B9015,"5 1 1 5 4 12 31111 6 M59 20500 000132 0000R 00001 00154 015 2111100 2024 CP1CP420*")</f>
        <v>0</v>
      </c>
      <c r="H4536" s="35">
        <f t="shared" si="71"/>
        <v>151027.20000000001</v>
      </c>
      <c r="I4536" s="35"/>
      <c r="K4536" t="s">
        <v>15</v>
      </c>
    </row>
    <row r="4537" spans="2:11" ht="41.25" x14ac:dyDescent="0.2">
      <c r="B4537" s="33" t="s">
        <v>5494</v>
      </c>
      <c r="C4537" s="33" t="s">
        <v>282</v>
      </c>
      <c r="D4537" s="35">
        <f>SUMIFS(D4538:D9015,K4538:K9015,"0",B4538:B9015,"5 1 1 5 4 12 31111 6 M59 20500 000132 0000R 00001 00154 015 2111100 2024 CP1CP420 001*")-SUMIFS(E4538:E9015,K4538:K9015,"0",B4538:B9015,"5 1 1 5 4 12 31111 6 M59 20500 000132 0000R 00001 00154 015 2111100 2024 CP1CP420 001*")</f>
        <v>0</v>
      </c>
      <c r="E4537"/>
      <c r="F4537" s="35">
        <f>SUMIFS(F4538:F9015,K4538:K9015,"0",B4538:B9015,"5 1 1 5 4 12 31111 6 M59 20500 000132 0000R 00001 00154 015 2111100 2024 CP1CP420 001*")</f>
        <v>151027.20000000001</v>
      </c>
      <c r="G4537" s="35">
        <f>SUMIFS(G4538:G9015,K4538:K9015,"0",B4538:B9015,"5 1 1 5 4 12 31111 6 M59 20500 000132 0000R 00001 00154 015 2111100 2024 CP1CP420 001*")</f>
        <v>0</v>
      </c>
      <c r="H4537" s="35">
        <f t="shared" si="71"/>
        <v>151027.20000000001</v>
      </c>
      <c r="I4537" s="35"/>
      <c r="K4537" t="s">
        <v>15</v>
      </c>
    </row>
    <row r="4538" spans="2:11" ht="33" x14ac:dyDescent="0.2">
      <c r="B4538" s="31" t="s">
        <v>5495</v>
      </c>
      <c r="C4538" s="31" t="s">
        <v>5429</v>
      </c>
      <c r="D4538" s="34">
        <v>0</v>
      </c>
      <c r="E4538" s="34"/>
      <c r="F4538" s="34">
        <v>2400</v>
      </c>
      <c r="G4538" s="34">
        <v>0</v>
      </c>
      <c r="H4538" s="34">
        <f t="shared" si="71"/>
        <v>2400</v>
      </c>
      <c r="I4538" s="34"/>
      <c r="K4538" t="s">
        <v>38</v>
      </c>
    </row>
    <row r="4539" spans="2:11" ht="33" x14ac:dyDescent="0.2">
      <c r="B4539" s="31" t="s">
        <v>5496</v>
      </c>
      <c r="C4539" s="31" t="s">
        <v>5431</v>
      </c>
      <c r="D4539" s="34">
        <v>0</v>
      </c>
      <c r="E4539" s="34"/>
      <c r="F4539" s="34">
        <v>148627.20000000001</v>
      </c>
      <c r="G4539" s="34">
        <v>0</v>
      </c>
      <c r="H4539" s="34">
        <f t="shared" si="71"/>
        <v>148627.20000000001</v>
      </c>
      <c r="I4539" s="34"/>
      <c r="K4539" t="s">
        <v>38</v>
      </c>
    </row>
    <row r="4540" spans="2:11" ht="16.5" x14ac:dyDescent="0.2">
      <c r="B4540" s="33" t="s">
        <v>5497</v>
      </c>
      <c r="C4540" s="33" t="s">
        <v>3126</v>
      </c>
      <c r="D4540" s="35">
        <f>SUMIFS(D4541:D9015,K4541:K9015,"0",B4541:B9015,"5 1 1 5 4 12 31111 6 M59 20600*")-SUMIFS(E4541:E9015,K4541:K9015,"0",B4541:B9015,"5 1 1 5 4 12 31111 6 M59 20600*")</f>
        <v>0</v>
      </c>
      <c r="E4540"/>
      <c r="F4540" s="35">
        <f>SUMIFS(F4541:F9015,K4541:K9015,"0",B4541:B9015,"5 1 1 5 4 12 31111 6 M59 20600*")</f>
        <v>23675.4</v>
      </c>
      <c r="G4540" s="35">
        <f>SUMIFS(G4541:G9015,K4541:K9015,"0",B4541:B9015,"5 1 1 5 4 12 31111 6 M59 20600*")</f>
        <v>0</v>
      </c>
      <c r="H4540" s="35">
        <f t="shared" si="71"/>
        <v>23675.4</v>
      </c>
      <c r="I4540" s="35"/>
      <c r="K4540" t="s">
        <v>15</v>
      </c>
    </row>
    <row r="4541" spans="2:11" ht="16.5" x14ac:dyDescent="0.2">
      <c r="B4541" s="33" t="s">
        <v>5498</v>
      </c>
      <c r="C4541" s="33" t="s">
        <v>648</v>
      </c>
      <c r="D4541" s="35">
        <f>SUMIFS(D4542:D9015,K4542:K9015,"0",B4542:B9015,"5 1 1 5 4 12 31111 6 M59 20600 000132*")-SUMIFS(E4542:E9015,K4542:K9015,"0",B4542:B9015,"5 1 1 5 4 12 31111 6 M59 20600 000132*")</f>
        <v>0</v>
      </c>
      <c r="E4541"/>
      <c r="F4541" s="35">
        <f>SUMIFS(F4542:F9015,K4542:K9015,"0",B4542:B9015,"5 1 1 5 4 12 31111 6 M59 20600 000132*")</f>
        <v>23675.4</v>
      </c>
      <c r="G4541" s="35">
        <f>SUMIFS(G4542:G9015,K4542:K9015,"0",B4542:B9015,"5 1 1 5 4 12 31111 6 M59 20600 000132*")</f>
        <v>0</v>
      </c>
      <c r="H4541" s="35">
        <f t="shared" si="71"/>
        <v>23675.4</v>
      </c>
      <c r="I4541" s="35"/>
      <c r="K4541" t="s">
        <v>15</v>
      </c>
    </row>
    <row r="4542" spans="2:11" ht="16.5" x14ac:dyDescent="0.2">
      <c r="B4542" s="33" t="s">
        <v>5499</v>
      </c>
      <c r="C4542" s="33" t="s">
        <v>650</v>
      </c>
      <c r="D4542" s="35">
        <f>SUMIFS(D4543:D9015,K4543:K9015,"0",B4543:B9015,"5 1 1 5 4 12 31111 6 M59 20600 000132 0000R*")-SUMIFS(E4543:E9015,K4543:K9015,"0",B4543:B9015,"5 1 1 5 4 12 31111 6 M59 20600 000132 0000R*")</f>
        <v>0</v>
      </c>
      <c r="E4542"/>
      <c r="F4542" s="35">
        <f>SUMIFS(F4543:F9015,K4543:K9015,"0",B4543:B9015,"5 1 1 5 4 12 31111 6 M59 20600 000132 0000R*")</f>
        <v>23675.4</v>
      </c>
      <c r="G4542" s="35">
        <f>SUMIFS(G4543:G9015,K4543:K9015,"0",B4543:B9015,"5 1 1 5 4 12 31111 6 M59 20600 000132 0000R*")</f>
        <v>0</v>
      </c>
      <c r="H4542" s="35">
        <f t="shared" si="71"/>
        <v>23675.4</v>
      </c>
      <c r="I4542" s="35"/>
      <c r="K4542" t="s">
        <v>15</v>
      </c>
    </row>
    <row r="4543" spans="2:11" ht="24.75" x14ac:dyDescent="0.2">
      <c r="B4543" s="33" t="s">
        <v>5500</v>
      </c>
      <c r="C4543" s="33" t="s">
        <v>282</v>
      </c>
      <c r="D4543" s="35">
        <f>SUMIFS(D4544:D9015,K4544:K9015,"0",B4544:B9015,"5 1 1 5 4 12 31111 6 M59 20600 000132 0000R 00001*")-SUMIFS(E4544:E9015,K4544:K9015,"0",B4544:B9015,"5 1 1 5 4 12 31111 6 M59 20600 000132 0000R 00001*")</f>
        <v>0</v>
      </c>
      <c r="E4543"/>
      <c r="F4543" s="35">
        <f>SUMIFS(F4544:F9015,K4544:K9015,"0",B4544:B9015,"5 1 1 5 4 12 31111 6 M59 20600 000132 0000R 00001*")</f>
        <v>23675.4</v>
      </c>
      <c r="G4543" s="35">
        <f>SUMIFS(G4544:G9015,K4544:K9015,"0",B4544:B9015,"5 1 1 5 4 12 31111 6 M59 20600 000132 0000R 00001*")</f>
        <v>0</v>
      </c>
      <c r="H4543" s="35">
        <f t="shared" si="71"/>
        <v>23675.4</v>
      </c>
      <c r="I4543" s="35"/>
      <c r="K4543" t="s">
        <v>15</v>
      </c>
    </row>
    <row r="4544" spans="2:11" ht="24.75" x14ac:dyDescent="0.2">
      <c r="B4544" s="33" t="s">
        <v>5501</v>
      </c>
      <c r="C4544" s="33" t="s">
        <v>5422</v>
      </c>
      <c r="D4544" s="35">
        <f>SUMIFS(D4545:D9015,K4545:K9015,"0",B4545:B9015,"5 1 1 5 4 12 31111 6 M59 20600 000132 0000R 00001 00154*")-SUMIFS(E4545:E9015,K4545:K9015,"0",B4545:B9015,"5 1 1 5 4 12 31111 6 M59 20600 000132 0000R 00001 00154*")</f>
        <v>0</v>
      </c>
      <c r="E4544"/>
      <c r="F4544" s="35">
        <f>SUMIFS(F4545:F9015,K4545:K9015,"0",B4545:B9015,"5 1 1 5 4 12 31111 6 M59 20600 000132 0000R 00001 00154*")</f>
        <v>23675.4</v>
      </c>
      <c r="G4544" s="35">
        <f>SUMIFS(G4545:G9015,K4545:K9015,"0",B4545:B9015,"5 1 1 5 4 12 31111 6 M59 20600 000132 0000R 00001 00154*")</f>
        <v>0</v>
      </c>
      <c r="H4544" s="35">
        <f t="shared" si="71"/>
        <v>23675.4</v>
      </c>
      <c r="I4544" s="35"/>
      <c r="K4544" t="s">
        <v>15</v>
      </c>
    </row>
    <row r="4545" spans="2:11" ht="24.75" x14ac:dyDescent="0.2">
      <c r="B4545" s="33" t="s">
        <v>5502</v>
      </c>
      <c r="C4545" s="33" t="s">
        <v>1051</v>
      </c>
      <c r="D4545" s="35">
        <f>SUMIFS(D4546:D9015,K4546:K9015,"0",B4546:B9015,"5 1 1 5 4 12 31111 6 M59 20600 000132 0000R 00001 00154 015*")-SUMIFS(E4546:E9015,K4546:K9015,"0",B4546:B9015,"5 1 1 5 4 12 31111 6 M59 20600 000132 0000R 00001 00154 015*")</f>
        <v>0</v>
      </c>
      <c r="E4545"/>
      <c r="F4545" s="35">
        <f>SUMIFS(F4546:F9015,K4546:K9015,"0",B4546:B9015,"5 1 1 5 4 12 31111 6 M59 20600 000132 0000R 00001 00154 015*")</f>
        <v>23675.4</v>
      </c>
      <c r="G4545" s="35">
        <f>SUMIFS(G4546:G9015,K4546:K9015,"0",B4546:B9015,"5 1 1 5 4 12 31111 6 M59 20600 000132 0000R 00001 00154 015*")</f>
        <v>0</v>
      </c>
      <c r="H4545" s="35">
        <f t="shared" si="71"/>
        <v>23675.4</v>
      </c>
      <c r="I4545" s="35"/>
      <c r="K4545" t="s">
        <v>15</v>
      </c>
    </row>
    <row r="4546" spans="2:11" ht="33" x14ac:dyDescent="0.2">
      <c r="B4546" s="33" t="s">
        <v>5503</v>
      </c>
      <c r="C4546" s="33" t="s">
        <v>2927</v>
      </c>
      <c r="D4546" s="35">
        <f>SUMIFS(D4547:D9015,K4547:K9015,"0",B4547:B9015,"5 1 1 5 4 12 31111 6 M59 20600 000132 0000R 00001 00154 015 2111100*")-SUMIFS(E4547:E9015,K4547:K9015,"0",B4547:B9015,"5 1 1 5 4 12 31111 6 M59 20600 000132 0000R 00001 00154 015 2111100*")</f>
        <v>0</v>
      </c>
      <c r="E4546"/>
      <c r="F4546" s="35">
        <f>SUMIFS(F4547:F9015,K4547:K9015,"0",B4547:B9015,"5 1 1 5 4 12 31111 6 M59 20600 000132 0000R 00001 00154 015 2111100*")</f>
        <v>23675.4</v>
      </c>
      <c r="G4546" s="35">
        <f>SUMIFS(G4547:G9015,K4547:K9015,"0",B4547:B9015,"5 1 1 5 4 12 31111 6 M59 20600 000132 0000R 00001 00154 015 2111100*")</f>
        <v>0</v>
      </c>
      <c r="H4546" s="35">
        <f t="shared" si="71"/>
        <v>23675.4</v>
      </c>
      <c r="I4546" s="35"/>
      <c r="K4546" t="s">
        <v>15</v>
      </c>
    </row>
    <row r="4547" spans="2:11" ht="33" x14ac:dyDescent="0.2">
      <c r="B4547" s="33" t="s">
        <v>5504</v>
      </c>
      <c r="C4547" s="33" t="s">
        <v>660</v>
      </c>
      <c r="D4547" s="35">
        <f>SUMIFS(D4548:D9015,K4548:K9015,"0",B4548:B9015,"5 1 1 5 4 12 31111 6 M59 20600 000132 0000R 00001 00154 015 2111100 2024*")-SUMIFS(E4548:E9015,K4548:K9015,"0",B4548:B9015,"5 1 1 5 4 12 31111 6 M59 20600 000132 0000R 00001 00154 015 2111100 2024*")</f>
        <v>0</v>
      </c>
      <c r="E4547"/>
      <c r="F4547" s="35">
        <f>SUMIFS(F4548:F9015,K4548:K9015,"0",B4548:B9015,"5 1 1 5 4 12 31111 6 M59 20600 000132 0000R 00001 00154 015 2111100 2024*")</f>
        <v>23675.4</v>
      </c>
      <c r="G4547" s="35">
        <f>SUMIFS(G4548:G9015,K4548:K9015,"0",B4548:B9015,"5 1 1 5 4 12 31111 6 M59 20600 000132 0000R 00001 00154 015 2111100 2024*")</f>
        <v>0</v>
      </c>
      <c r="H4547" s="35">
        <f t="shared" si="71"/>
        <v>23675.4</v>
      </c>
      <c r="I4547" s="35"/>
      <c r="K4547" t="s">
        <v>15</v>
      </c>
    </row>
    <row r="4548" spans="2:11" ht="41.25" x14ac:dyDescent="0.2">
      <c r="B4548" s="33" t="s">
        <v>5505</v>
      </c>
      <c r="C4548" s="33" t="s">
        <v>1056</v>
      </c>
      <c r="D4548" s="35">
        <f>SUMIFS(D4549:D9015,K4549:K9015,"0",B4549:B9015,"5 1 1 5 4 12 31111 6 M59 20600 000132 0000R 00001 00154 015 2111100 2024 CP1CA380*")-SUMIFS(E4549:E9015,K4549:K9015,"0",B4549:B9015,"5 1 1 5 4 12 31111 6 M59 20600 000132 0000R 00001 00154 015 2111100 2024 CP1CA380*")</f>
        <v>0</v>
      </c>
      <c r="E4548"/>
      <c r="F4548" s="35">
        <f>SUMIFS(F4549:F9015,K4549:K9015,"0",B4549:B9015,"5 1 1 5 4 12 31111 6 M59 20600 000132 0000R 00001 00154 015 2111100 2024 CP1CA380*")</f>
        <v>23675.4</v>
      </c>
      <c r="G4548" s="35">
        <f>SUMIFS(G4549:G9015,K4549:K9015,"0",B4549:B9015,"5 1 1 5 4 12 31111 6 M59 20600 000132 0000R 00001 00154 015 2111100 2024 CP1CA380*")</f>
        <v>0</v>
      </c>
      <c r="H4548" s="35">
        <f t="shared" ref="H4548:H4611" si="72">D4548 + F4548 - G4548</f>
        <v>23675.4</v>
      </c>
      <c r="I4548" s="35"/>
      <c r="K4548" t="s">
        <v>15</v>
      </c>
    </row>
    <row r="4549" spans="2:11" ht="41.25" x14ac:dyDescent="0.2">
      <c r="B4549" s="33" t="s">
        <v>5506</v>
      </c>
      <c r="C4549" s="33" t="s">
        <v>282</v>
      </c>
      <c r="D4549" s="35">
        <f>SUMIFS(D4550:D9015,K4550:K9015,"0",B4550:B9015,"5 1 1 5 4 12 31111 6 M59 20600 000132 0000R 00001 00154 015 2111100 2024 CP1CA380 001*")-SUMIFS(E4550:E9015,K4550:K9015,"0",B4550:B9015,"5 1 1 5 4 12 31111 6 M59 20600 000132 0000R 00001 00154 015 2111100 2024 CP1CA380 001*")</f>
        <v>0</v>
      </c>
      <c r="E4549"/>
      <c r="F4549" s="35">
        <f>SUMIFS(F4550:F9015,K4550:K9015,"0",B4550:B9015,"5 1 1 5 4 12 31111 6 M59 20600 000132 0000R 00001 00154 015 2111100 2024 CP1CA380 001*")</f>
        <v>23675.4</v>
      </c>
      <c r="G4549" s="35">
        <f>SUMIFS(G4550:G9015,K4550:K9015,"0",B4550:B9015,"5 1 1 5 4 12 31111 6 M59 20600 000132 0000R 00001 00154 015 2111100 2024 CP1CA380 001*")</f>
        <v>0</v>
      </c>
      <c r="H4549" s="35">
        <f t="shared" si="72"/>
        <v>23675.4</v>
      </c>
      <c r="I4549" s="35"/>
      <c r="K4549" t="s">
        <v>15</v>
      </c>
    </row>
    <row r="4550" spans="2:11" ht="41.25" x14ac:dyDescent="0.2">
      <c r="B4550" s="31" t="s">
        <v>5507</v>
      </c>
      <c r="C4550" s="31" t="s">
        <v>5429</v>
      </c>
      <c r="D4550" s="34">
        <v>0</v>
      </c>
      <c r="E4550" s="34"/>
      <c r="F4550" s="34">
        <v>2400</v>
      </c>
      <c r="G4550" s="34">
        <v>0</v>
      </c>
      <c r="H4550" s="34">
        <f t="shared" si="72"/>
        <v>2400</v>
      </c>
      <c r="I4550" s="34"/>
      <c r="K4550" t="s">
        <v>38</v>
      </c>
    </row>
    <row r="4551" spans="2:11" ht="41.25" x14ac:dyDescent="0.2">
      <c r="B4551" s="31" t="s">
        <v>5508</v>
      </c>
      <c r="C4551" s="31" t="s">
        <v>5431</v>
      </c>
      <c r="D4551" s="34">
        <v>0</v>
      </c>
      <c r="E4551" s="34"/>
      <c r="F4551" s="34">
        <v>21275.4</v>
      </c>
      <c r="G4551" s="34">
        <v>0</v>
      </c>
      <c r="H4551" s="34">
        <f t="shared" si="72"/>
        <v>21275.4</v>
      </c>
      <c r="I4551" s="34"/>
      <c r="K4551" t="s">
        <v>38</v>
      </c>
    </row>
    <row r="4552" spans="2:11" ht="24.75" x14ac:dyDescent="0.2">
      <c r="B4552" s="33" t="s">
        <v>5509</v>
      </c>
      <c r="C4552" s="33" t="s">
        <v>3163</v>
      </c>
      <c r="D4552" s="35">
        <f>SUMIFS(D4553:D9015,K4553:K9015,"0",B4553:B9015,"5 1 1 5 4 12 31111 6 M59 21000*")-SUMIFS(E4553:E9015,K4553:K9015,"0",B4553:B9015,"5 1 1 5 4 12 31111 6 M59 21000*")</f>
        <v>0</v>
      </c>
      <c r="E4552"/>
      <c r="F4552" s="35">
        <f>SUMIFS(F4553:F9015,K4553:K9015,"0",B4553:B9015,"5 1 1 5 4 12 31111 6 M59 21000*")</f>
        <v>936</v>
      </c>
      <c r="G4552" s="35">
        <f>SUMIFS(G4553:G9015,K4553:K9015,"0",B4553:B9015,"5 1 1 5 4 12 31111 6 M59 21000*")</f>
        <v>0</v>
      </c>
      <c r="H4552" s="35">
        <f t="shared" si="72"/>
        <v>936</v>
      </c>
      <c r="I4552" s="35"/>
      <c r="K4552" t="s">
        <v>15</v>
      </c>
    </row>
    <row r="4553" spans="2:11" ht="16.5" x14ac:dyDescent="0.2">
      <c r="B4553" s="33" t="s">
        <v>5510</v>
      </c>
      <c r="C4553" s="33" t="s">
        <v>648</v>
      </c>
      <c r="D4553" s="35">
        <f>SUMIFS(D4554:D9015,K4554:K9015,"0",B4554:B9015,"5 1 1 5 4 12 31111 6 M59 21000 000132*")-SUMIFS(E4554:E9015,K4554:K9015,"0",B4554:B9015,"5 1 1 5 4 12 31111 6 M59 21000 000132*")</f>
        <v>0</v>
      </c>
      <c r="E4553"/>
      <c r="F4553" s="35">
        <f>SUMIFS(F4554:F9015,K4554:K9015,"0",B4554:B9015,"5 1 1 5 4 12 31111 6 M59 21000 000132*")</f>
        <v>936</v>
      </c>
      <c r="G4553" s="35">
        <f>SUMIFS(G4554:G9015,K4554:K9015,"0",B4554:B9015,"5 1 1 5 4 12 31111 6 M59 21000 000132*")</f>
        <v>0</v>
      </c>
      <c r="H4553" s="35">
        <f t="shared" si="72"/>
        <v>936</v>
      </c>
      <c r="I4553" s="35"/>
      <c r="K4553" t="s">
        <v>15</v>
      </c>
    </row>
    <row r="4554" spans="2:11" ht="16.5" x14ac:dyDescent="0.2">
      <c r="B4554" s="33" t="s">
        <v>5511</v>
      </c>
      <c r="C4554" s="33" t="s">
        <v>650</v>
      </c>
      <c r="D4554" s="35">
        <f>SUMIFS(D4555:D9015,K4555:K9015,"0",B4555:B9015,"5 1 1 5 4 12 31111 6 M59 21000 000132 0000R*")-SUMIFS(E4555:E9015,K4555:K9015,"0",B4555:B9015,"5 1 1 5 4 12 31111 6 M59 21000 000132 0000R*")</f>
        <v>0</v>
      </c>
      <c r="E4554"/>
      <c r="F4554" s="35">
        <f>SUMIFS(F4555:F9015,K4555:K9015,"0",B4555:B9015,"5 1 1 5 4 12 31111 6 M59 21000 000132 0000R*")</f>
        <v>936</v>
      </c>
      <c r="G4554" s="35">
        <f>SUMIFS(G4555:G9015,K4555:K9015,"0",B4555:B9015,"5 1 1 5 4 12 31111 6 M59 21000 000132 0000R*")</f>
        <v>0</v>
      </c>
      <c r="H4554" s="35">
        <f t="shared" si="72"/>
        <v>936</v>
      </c>
      <c r="I4554" s="35"/>
      <c r="K4554" t="s">
        <v>15</v>
      </c>
    </row>
    <row r="4555" spans="2:11" ht="24.75" x14ac:dyDescent="0.2">
      <c r="B4555" s="33" t="s">
        <v>5512</v>
      </c>
      <c r="C4555" s="33" t="s">
        <v>282</v>
      </c>
      <c r="D4555" s="35">
        <f>SUMIFS(D4556:D9015,K4556:K9015,"0",B4556:B9015,"5 1 1 5 4 12 31111 6 M59 21000 000132 0000R 00001*")-SUMIFS(E4556:E9015,K4556:K9015,"0",B4556:B9015,"5 1 1 5 4 12 31111 6 M59 21000 000132 0000R 00001*")</f>
        <v>0</v>
      </c>
      <c r="E4555"/>
      <c r="F4555" s="35">
        <f>SUMIFS(F4556:F9015,K4556:K9015,"0",B4556:B9015,"5 1 1 5 4 12 31111 6 M59 21000 000132 0000R 00001*")</f>
        <v>936</v>
      </c>
      <c r="G4555" s="35">
        <f>SUMIFS(G4556:G9015,K4556:K9015,"0",B4556:B9015,"5 1 1 5 4 12 31111 6 M59 21000 000132 0000R 00001*")</f>
        <v>0</v>
      </c>
      <c r="H4555" s="35">
        <f t="shared" si="72"/>
        <v>936</v>
      </c>
      <c r="I4555" s="35"/>
      <c r="K4555" t="s">
        <v>15</v>
      </c>
    </row>
    <row r="4556" spans="2:11" ht="24.75" x14ac:dyDescent="0.2">
      <c r="B4556" s="33" t="s">
        <v>5513</v>
      </c>
      <c r="C4556" s="33" t="s">
        <v>5422</v>
      </c>
      <c r="D4556" s="35">
        <f>SUMIFS(D4557:D9015,K4557:K9015,"0",B4557:B9015,"5 1 1 5 4 12 31111 6 M59 21000 000132 0000R 00001 00154*")-SUMIFS(E4557:E9015,K4557:K9015,"0",B4557:B9015,"5 1 1 5 4 12 31111 6 M59 21000 000132 0000R 00001 00154*")</f>
        <v>0</v>
      </c>
      <c r="E4556"/>
      <c r="F4556" s="35">
        <f>SUMIFS(F4557:F9015,K4557:K9015,"0",B4557:B9015,"5 1 1 5 4 12 31111 6 M59 21000 000132 0000R 00001 00154*")</f>
        <v>936</v>
      </c>
      <c r="G4556" s="35">
        <f>SUMIFS(G4557:G9015,K4557:K9015,"0",B4557:B9015,"5 1 1 5 4 12 31111 6 M59 21000 000132 0000R 00001 00154*")</f>
        <v>0</v>
      </c>
      <c r="H4556" s="35">
        <f t="shared" si="72"/>
        <v>936</v>
      </c>
      <c r="I4556" s="35"/>
      <c r="K4556" t="s">
        <v>15</v>
      </c>
    </row>
    <row r="4557" spans="2:11" ht="24.75" x14ac:dyDescent="0.2">
      <c r="B4557" s="33" t="s">
        <v>5514</v>
      </c>
      <c r="C4557" s="33" t="s">
        <v>1051</v>
      </c>
      <c r="D4557" s="35">
        <f>SUMIFS(D4558:D9015,K4558:K9015,"0",B4558:B9015,"5 1 1 5 4 12 31111 6 M59 21000 000132 0000R 00001 00154 015*")-SUMIFS(E4558:E9015,K4558:K9015,"0",B4558:B9015,"5 1 1 5 4 12 31111 6 M59 21000 000132 0000R 00001 00154 015*")</f>
        <v>0</v>
      </c>
      <c r="E4557"/>
      <c r="F4557" s="35">
        <f>SUMIFS(F4558:F9015,K4558:K9015,"0",B4558:B9015,"5 1 1 5 4 12 31111 6 M59 21000 000132 0000R 00001 00154 015*")</f>
        <v>936</v>
      </c>
      <c r="G4557" s="35">
        <f>SUMIFS(G4558:G9015,K4558:K9015,"0",B4558:B9015,"5 1 1 5 4 12 31111 6 M59 21000 000132 0000R 00001 00154 015*")</f>
        <v>0</v>
      </c>
      <c r="H4557" s="35">
        <f t="shared" si="72"/>
        <v>936</v>
      </c>
      <c r="I4557" s="35"/>
      <c r="K4557" t="s">
        <v>15</v>
      </c>
    </row>
    <row r="4558" spans="2:11" ht="33" x14ac:dyDescent="0.2">
      <c r="B4558" s="33" t="s">
        <v>5515</v>
      </c>
      <c r="C4558" s="33" t="s">
        <v>2927</v>
      </c>
      <c r="D4558" s="35">
        <f>SUMIFS(D4559:D9015,K4559:K9015,"0",B4559:B9015,"5 1 1 5 4 12 31111 6 M59 21000 000132 0000R 00001 00154 015 2111100*")-SUMIFS(E4559:E9015,K4559:K9015,"0",B4559:B9015,"5 1 1 5 4 12 31111 6 M59 21000 000132 0000R 00001 00154 015 2111100*")</f>
        <v>0</v>
      </c>
      <c r="E4558"/>
      <c r="F4558" s="35">
        <f>SUMIFS(F4559:F9015,K4559:K9015,"0",B4559:B9015,"5 1 1 5 4 12 31111 6 M59 21000 000132 0000R 00001 00154 015 2111100*")</f>
        <v>936</v>
      </c>
      <c r="G4558" s="35">
        <f>SUMIFS(G4559:G9015,K4559:K9015,"0",B4559:B9015,"5 1 1 5 4 12 31111 6 M59 21000 000132 0000R 00001 00154 015 2111100*")</f>
        <v>0</v>
      </c>
      <c r="H4558" s="35">
        <f t="shared" si="72"/>
        <v>936</v>
      </c>
      <c r="I4558" s="35"/>
      <c r="K4558" t="s">
        <v>15</v>
      </c>
    </row>
    <row r="4559" spans="2:11" ht="33" x14ac:dyDescent="0.2">
      <c r="B4559" s="33" t="s">
        <v>5516</v>
      </c>
      <c r="C4559" s="33" t="s">
        <v>660</v>
      </c>
      <c r="D4559" s="35">
        <f>SUMIFS(D4560:D9015,K4560:K9015,"0",B4560:B9015,"5 1 1 5 4 12 31111 6 M59 21000 000132 0000R 00001 00154 015 2111100 2024*")-SUMIFS(E4560:E9015,K4560:K9015,"0",B4560:B9015,"5 1 1 5 4 12 31111 6 M59 21000 000132 0000R 00001 00154 015 2111100 2024*")</f>
        <v>0</v>
      </c>
      <c r="E4559"/>
      <c r="F4559" s="35">
        <f>SUMIFS(F4560:F9015,K4560:K9015,"0",B4560:B9015,"5 1 1 5 4 12 31111 6 M59 21000 000132 0000R 00001 00154 015 2111100 2024*")</f>
        <v>936</v>
      </c>
      <c r="G4559" s="35">
        <f>SUMIFS(G4560:G9015,K4560:K9015,"0",B4560:B9015,"5 1 1 5 4 12 31111 6 M59 21000 000132 0000R 00001 00154 015 2111100 2024*")</f>
        <v>0</v>
      </c>
      <c r="H4559" s="35">
        <f t="shared" si="72"/>
        <v>936</v>
      </c>
      <c r="I4559" s="35"/>
      <c r="K4559" t="s">
        <v>15</v>
      </c>
    </row>
    <row r="4560" spans="2:11" ht="41.25" x14ac:dyDescent="0.2">
      <c r="B4560" s="33" t="s">
        <v>5517</v>
      </c>
      <c r="C4560" s="33" t="s">
        <v>1056</v>
      </c>
      <c r="D4560" s="35">
        <f>SUMIFS(D4561:D9015,K4561:K9015,"0",B4561:B9015,"5 1 1 5 4 12 31111 6 M59 21000 000132 0000R 00001 00154 015 2111100 2024 CP1PP402*")-SUMIFS(E4561:E9015,K4561:K9015,"0",B4561:B9015,"5 1 1 5 4 12 31111 6 M59 21000 000132 0000R 00001 00154 015 2111100 2024 CP1PP402*")</f>
        <v>0</v>
      </c>
      <c r="E4560"/>
      <c r="F4560" s="35">
        <f>SUMIFS(F4561:F9015,K4561:K9015,"0",B4561:B9015,"5 1 1 5 4 12 31111 6 M59 21000 000132 0000R 00001 00154 015 2111100 2024 CP1PP402*")</f>
        <v>936</v>
      </c>
      <c r="G4560" s="35">
        <f>SUMIFS(G4561:G9015,K4561:K9015,"0",B4561:B9015,"5 1 1 5 4 12 31111 6 M59 21000 000132 0000R 00001 00154 015 2111100 2024 CP1PP402*")</f>
        <v>0</v>
      </c>
      <c r="H4560" s="35">
        <f t="shared" si="72"/>
        <v>936</v>
      </c>
      <c r="I4560" s="35"/>
      <c r="K4560" t="s">
        <v>15</v>
      </c>
    </row>
    <row r="4561" spans="2:11" ht="41.25" x14ac:dyDescent="0.2">
      <c r="B4561" s="33" t="s">
        <v>5518</v>
      </c>
      <c r="C4561" s="33" t="s">
        <v>282</v>
      </c>
      <c r="D4561" s="35">
        <f>SUMIFS(D4562:D9015,K4562:K9015,"0",B4562:B9015,"5 1 1 5 4 12 31111 6 M59 21000 000132 0000R 00001 00154 015 2111100 2024 CP1PP402 001*")-SUMIFS(E4562:E9015,K4562:K9015,"0",B4562:B9015,"5 1 1 5 4 12 31111 6 M59 21000 000132 0000R 00001 00154 015 2111100 2024 CP1PP402 001*")</f>
        <v>0</v>
      </c>
      <c r="E4561"/>
      <c r="F4561" s="35">
        <f>SUMIFS(F4562:F9015,K4562:K9015,"0",B4562:B9015,"5 1 1 5 4 12 31111 6 M59 21000 000132 0000R 00001 00154 015 2111100 2024 CP1PP402 001*")</f>
        <v>936</v>
      </c>
      <c r="G4561" s="35">
        <f>SUMIFS(G4562:G9015,K4562:K9015,"0",B4562:B9015,"5 1 1 5 4 12 31111 6 M59 21000 000132 0000R 00001 00154 015 2111100 2024 CP1PP402 001*")</f>
        <v>0</v>
      </c>
      <c r="H4561" s="35">
        <f t="shared" si="72"/>
        <v>936</v>
      </c>
      <c r="I4561" s="35"/>
      <c r="K4561" t="s">
        <v>15</v>
      </c>
    </row>
    <row r="4562" spans="2:11" ht="33" x14ac:dyDescent="0.2">
      <c r="B4562" s="31" t="s">
        <v>5519</v>
      </c>
      <c r="C4562" s="31" t="s">
        <v>5443</v>
      </c>
      <c r="D4562" s="34">
        <v>0</v>
      </c>
      <c r="E4562" s="34"/>
      <c r="F4562" s="34">
        <v>636</v>
      </c>
      <c r="G4562" s="34">
        <v>0</v>
      </c>
      <c r="H4562" s="34">
        <f t="shared" si="72"/>
        <v>636</v>
      </c>
      <c r="I4562" s="34"/>
      <c r="K4562" t="s">
        <v>38</v>
      </c>
    </row>
    <row r="4563" spans="2:11" ht="33" x14ac:dyDescent="0.2">
      <c r="B4563" s="31" t="s">
        <v>5520</v>
      </c>
      <c r="C4563" s="31" t="s">
        <v>5459</v>
      </c>
      <c r="D4563" s="34">
        <v>0</v>
      </c>
      <c r="E4563" s="34"/>
      <c r="F4563" s="34">
        <v>300</v>
      </c>
      <c r="G4563" s="34">
        <v>0</v>
      </c>
      <c r="H4563" s="34">
        <f t="shared" si="72"/>
        <v>300</v>
      </c>
      <c r="I4563" s="34"/>
      <c r="K4563" t="s">
        <v>38</v>
      </c>
    </row>
    <row r="4564" spans="2:11" ht="24.75" x14ac:dyDescent="0.2">
      <c r="B4564" s="33" t="s">
        <v>5521</v>
      </c>
      <c r="C4564" s="33" t="s">
        <v>3175</v>
      </c>
      <c r="D4564" s="35">
        <f>SUMIFS(D4565:D9015,K4565:K9015,"0",B4565:B9015,"5 1 1 5 4 12 31111 6 M59 22000*")-SUMIFS(E4565:E9015,K4565:K9015,"0",B4565:B9015,"5 1 1 5 4 12 31111 6 M59 22000*")</f>
        <v>0</v>
      </c>
      <c r="E4564"/>
      <c r="F4564" s="35">
        <f>SUMIFS(F4565:F9015,K4565:K9015,"0",B4565:B9015,"5 1 1 5 4 12 31111 6 M59 22000*")</f>
        <v>119451.78</v>
      </c>
      <c r="G4564" s="35">
        <f>SUMIFS(G4565:G9015,K4565:K9015,"0",B4565:B9015,"5 1 1 5 4 12 31111 6 M59 22000*")</f>
        <v>0</v>
      </c>
      <c r="H4564" s="35">
        <f t="shared" si="72"/>
        <v>119451.78</v>
      </c>
      <c r="I4564" s="35"/>
      <c r="K4564" t="s">
        <v>15</v>
      </c>
    </row>
    <row r="4565" spans="2:11" ht="16.5" x14ac:dyDescent="0.2">
      <c r="B4565" s="33" t="s">
        <v>5522</v>
      </c>
      <c r="C4565" s="33" t="s">
        <v>648</v>
      </c>
      <c r="D4565" s="35">
        <f>SUMIFS(D4566:D9015,K4566:K9015,"0",B4566:B9015,"5 1 1 5 4 12 31111 6 M59 22000 000132*")-SUMIFS(E4566:E9015,K4566:K9015,"0",B4566:B9015,"5 1 1 5 4 12 31111 6 M59 22000 000132*")</f>
        <v>0</v>
      </c>
      <c r="E4565"/>
      <c r="F4565" s="35">
        <f>SUMIFS(F4566:F9015,K4566:K9015,"0",B4566:B9015,"5 1 1 5 4 12 31111 6 M59 22000 000132*")</f>
        <v>119451.78</v>
      </c>
      <c r="G4565" s="35">
        <f>SUMIFS(G4566:G9015,K4566:K9015,"0",B4566:B9015,"5 1 1 5 4 12 31111 6 M59 22000 000132*")</f>
        <v>0</v>
      </c>
      <c r="H4565" s="35">
        <f t="shared" si="72"/>
        <v>119451.78</v>
      </c>
      <c r="I4565" s="35"/>
      <c r="K4565" t="s">
        <v>15</v>
      </c>
    </row>
    <row r="4566" spans="2:11" ht="16.5" x14ac:dyDescent="0.2">
      <c r="B4566" s="33" t="s">
        <v>5523</v>
      </c>
      <c r="C4566" s="33" t="s">
        <v>650</v>
      </c>
      <c r="D4566" s="35">
        <f>SUMIFS(D4567:D9015,K4567:K9015,"0",B4567:B9015,"5 1 1 5 4 12 31111 6 M59 22000 000132 0000R*")-SUMIFS(E4567:E9015,K4567:K9015,"0",B4567:B9015,"5 1 1 5 4 12 31111 6 M59 22000 000132 0000R*")</f>
        <v>0</v>
      </c>
      <c r="E4566"/>
      <c r="F4566" s="35">
        <f>SUMIFS(F4567:F9015,K4567:K9015,"0",B4567:B9015,"5 1 1 5 4 12 31111 6 M59 22000 000132 0000R*")</f>
        <v>119451.78</v>
      </c>
      <c r="G4566" s="35">
        <f>SUMIFS(G4567:G9015,K4567:K9015,"0",B4567:B9015,"5 1 1 5 4 12 31111 6 M59 22000 000132 0000R*")</f>
        <v>0</v>
      </c>
      <c r="H4566" s="35">
        <f t="shared" si="72"/>
        <v>119451.78</v>
      </c>
      <c r="I4566" s="35"/>
      <c r="K4566" t="s">
        <v>15</v>
      </c>
    </row>
    <row r="4567" spans="2:11" ht="24.75" x14ac:dyDescent="0.2">
      <c r="B4567" s="33" t="s">
        <v>5524</v>
      </c>
      <c r="C4567" s="33" t="s">
        <v>282</v>
      </c>
      <c r="D4567" s="35">
        <f>SUMIFS(D4568:D9015,K4568:K9015,"0",B4568:B9015,"5 1 1 5 4 12 31111 6 M59 22000 000132 0000R 00001*")-SUMIFS(E4568:E9015,K4568:K9015,"0",B4568:B9015,"5 1 1 5 4 12 31111 6 M59 22000 000132 0000R 00001*")</f>
        <v>0</v>
      </c>
      <c r="E4567"/>
      <c r="F4567" s="35">
        <f>SUMIFS(F4568:F9015,K4568:K9015,"0",B4568:B9015,"5 1 1 5 4 12 31111 6 M59 22000 000132 0000R 00001*")</f>
        <v>119451.78</v>
      </c>
      <c r="G4567" s="35">
        <f>SUMIFS(G4568:G9015,K4568:K9015,"0",B4568:B9015,"5 1 1 5 4 12 31111 6 M59 22000 000132 0000R 00001*")</f>
        <v>0</v>
      </c>
      <c r="H4567" s="35">
        <f t="shared" si="72"/>
        <v>119451.78</v>
      </c>
      <c r="I4567" s="35"/>
      <c r="K4567" t="s">
        <v>15</v>
      </c>
    </row>
    <row r="4568" spans="2:11" ht="24.75" x14ac:dyDescent="0.2">
      <c r="B4568" s="33" t="s">
        <v>5525</v>
      </c>
      <c r="C4568" s="33" t="s">
        <v>5422</v>
      </c>
      <c r="D4568" s="35">
        <f>SUMIFS(D4569:D9015,K4569:K9015,"0",B4569:B9015,"5 1 1 5 4 12 31111 6 M59 22000 000132 0000R 00001 00154*")-SUMIFS(E4569:E9015,K4569:K9015,"0",B4569:B9015,"5 1 1 5 4 12 31111 6 M59 22000 000132 0000R 00001 00154*")</f>
        <v>0</v>
      </c>
      <c r="E4568"/>
      <c r="F4568" s="35">
        <f>SUMIFS(F4569:F9015,K4569:K9015,"0",B4569:B9015,"5 1 1 5 4 12 31111 6 M59 22000 000132 0000R 00001 00154*")</f>
        <v>119451.78</v>
      </c>
      <c r="G4568" s="35">
        <f>SUMIFS(G4569:G9015,K4569:K9015,"0",B4569:B9015,"5 1 1 5 4 12 31111 6 M59 22000 000132 0000R 00001 00154*")</f>
        <v>0</v>
      </c>
      <c r="H4568" s="35">
        <f t="shared" si="72"/>
        <v>119451.78</v>
      </c>
      <c r="I4568" s="35"/>
      <c r="K4568" t="s">
        <v>15</v>
      </c>
    </row>
    <row r="4569" spans="2:11" ht="24.75" x14ac:dyDescent="0.2">
      <c r="B4569" s="33" t="s">
        <v>5526</v>
      </c>
      <c r="C4569" s="33" t="s">
        <v>1051</v>
      </c>
      <c r="D4569" s="35">
        <f>SUMIFS(D4570:D9015,K4570:K9015,"0",B4570:B9015,"5 1 1 5 4 12 31111 6 M59 22000 000132 0000R 00001 00154 015*")-SUMIFS(E4570:E9015,K4570:K9015,"0",B4570:B9015,"5 1 1 5 4 12 31111 6 M59 22000 000132 0000R 00001 00154 015*")</f>
        <v>0</v>
      </c>
      <c r="E4569"/>
      <c r="F4569" s="35">
        <f>SUMIFS(F4570:F9015,K4570:K9015,"0",B4570:B9015,"5 1 1 5 4 12 31111 6 M59 22000 000132 0000R 00001 00154 015*")</f>
        <v>119451.78</v>
      </c>
      <c r="G4569" s="35">
        <f>SUMIFS(G4570:G9015,K4570:K9015,"0",B4570:B9015,"5 1 1 5 4 12 31111 6 M59 22000 000132 0000R 00001 00154 015*")</f>
        <v>0</v>
      </c>
      <c r="H4569" s="35">
        <f t="shared" si="72"/>
        <v>119451.78</v>
      </c>
      <c r="I4569" s="35"/>
      <c r="K4569" t="s">
        <v>15</v>
      </c>
    </row>
    <row r="4570" spans="2:11" ht="33" x14ac:dyDescent="0.2">
      <c r="B4570" s="33" t="s">
        <v>5527</v>
      </c>
      <c r="C4570" s="33" t="s">
        <v>2927</v>
      </c>
      <c r="D4570" s="35">
        <f>SUMIFS(D4571:D9015,K4571:K9015,"0",B4571:B9015,"5 1 1 5 4 12 31111 6 M59 22000 000132 0000R 00001 00154 015 2111100*")-SUMIFS(E4571:E9015,K4571:K9015,"0",B4571:B9015,"5 1 1 5 4 12 31111 6 M59 22000 000132 0000R 00001 00154 015 2111100*")</f>
        <v>0</v>
      </c>
      <c r="E4570"/>
      <c r="F4570" s="35">
        <f>SUMIFS(F4571:F9015,K4571:K9015,"0",B4571:B9015,"5 1 1 5 4 12 31111 6 M59 22000 000132 0000R 00001 00154 015 2111100*")</f>
        <v>119451.78</v>
      </c>
      <c r="G4570" s="35">
        <f>SUMIFS(G4571:G9015,K4571:K9015,"0",B4571:B9015,"5 1 1 5 4 12 31111 6 M59 22000 000132 0000R 00001 00154 015 2111100*")</f>
        <v>0</v>
      </c>
      <c r="H4570" s="35">
        <f t="shared" si="72"/>
        <v>119451.78</v>
      </c>
      <c r="I4570" s="35"/>
      <c r="K4570" t="s">
        <v>15</v>
      </c>
    </row>
    <row r="4571" spans="2:11" ht="33" x14ac:dyDescent="0.2">
      <c r="B4571" s="33" t="s">
        <v>5528</v>
      </c>
      <c r="C4571" s="33" t="s">
        <v>660</v>
      </c>
      <c r="D4571" s="35">
        <f>SUMIFS(D4572:D9015,K4572:K9015,"0",B4572:B9015,"5 1 1 5 4 12 31111 6 M59 22000 000132 0000R 00001 00154 015 2111100 2024*")-SUMIFS(E4572:E9015,K4572:K9015,"0",B4572:B9015,"5 1 1 5 4 12 31111 6 M59 22000 000132 0000R 00001 00154 015 2111100 2024*")</f>
        <v>0</v>
      </c>
      <c r="E4571"/>
      <c r="F4571" s="35">
        <f>SUMIFS(F4572:F9015,K4572:K9015,"0",B4572:B9015,"5 1 1 5 4 12 31111 6 M59 22000 000132 0000R 00001 00154 015 2111100 2024*")</f>
        <v>119451.78</v>
      </c>
      <c r="G4571" s="35">
        <f>SUMIFS(G4572:G9015,K4572:K9015,"0",B4572:B9015,"5 1 1 5 4 12 31111 6 M59 22000 000132 0000R 00001 00154 015 2111100 2024*")</f>
        <v>0</v>
      </c>
      <c r="H4571" s="35">
        <f t="shared" si="72"/>
        <v>119451.78</v>
      </c>
      <c r="I4571" s="35"/>
      <c r="K4571" t="s">
        <v>15</v>
      </c>
    </row>
    <row r="4572" spans="2:11" ht="41.25" x14ac:dyDescent="0.2">
      <c r="B4572" s="33" t="s">
        <v>5529</v>
      </c>
      <c r="C4572" s="33" t="s">
        <v>1056</v>
      </c>
      <c r="D4572" s="35">
        <f>SUMIFS(D4573:D9015,K4573:K9015,"0",B4573:B9015,"5 1 1 5 4 12 31111 6 M59 22000 000132 0000R 00001 00154 015 2111100 2024 CP1PL384*")-SUMIFS(E4573:E9015,K4573:K9015,"0",B4573:B9015,"5 1 1 5 4 12 31111 6 M59 22000 000132 0000R 00001 00154 015 2111100 2024 CP1PL384*")</f>
        <v>0</v>
      </c>
      <c r="E4572"/>
      <c r="F4572" s="35">
        <f>SUMIFS(F4573:F9015,K4573:K9015,"0",B4573:B9015,"5 1 1 5 4 12 31111 6 M59 22000 000132 0000R 00001 00154 015 2111100 2024 CP1PL384*")</f>
        <v>119451.78</v>
      </c>
      <c r="G4572" s="35">
        <f>SUMIFS(G4573:G9015,K4573:K9015,"0",B4573:B9015,"5 1 1 5 4 12 31111 6 M59 22000 000132 0000R 00001 00154 015 2111100 2024 CP1PL384*")</f>
        <v>0</v>
      </c>
      <c r="H4572" s="35">
        <f t="shared" si="72"/>
        <v>119451.78</v>
      </c>
      <c r="I4572" s="35"/>
      <c r="K4572" t="s">
        <v>15</v>
      </c>
    </row>
    <row r="4573" spans="2:11" ht="41.25" x14ac:dyDescent="0.2">
      <c r="B4573" s="33" t="s">
        <v>5530</v>
      </c>
      <c r="C4573" s="33" t="s">
        <v>282</v>
      </c>
      <c r="D4573" s="35">
        <f>SUMIFS(D4574:D9015,K4574:K9015,"0",B4574:B9015,"5 1 1 5 4 12 31111 6 M59 22000 000132 0000R 00001 00154 015 2111100 2024 CP1PL384 001*")-SUMIFS(E4574:E9015,K4574:K9015,"0",B4574:B9015,"5 1 1 5 4 12 31111 6 M59 22000 000132 0000R 00001 00154 015 2111100 2024 CP1PL384 001*")</f>
        <v>0</v>
      </c>
      <c r="E4573"/>
      <c r="F4573" s="35">
        <f>SUMIFS(F4574:F9015,K4574:K9015,"0",B4574:B9015,"5 1 1 5 4 12 31111 6 M59 22000 000132 0000R 00001 00154 015 2111100 2024 CP1PL384 001*")</f>
        <v>119451.78</v>
      </c>
      <c r="G4573" s="35">
        <f>SUMIFS(G4574:G9015,K4574:K9015,"0",B4574:B9015,"5 1 1 5 4 12 31111 6 M59 22000 000132 0000R 00001 00154 015 2111100 2024 CP1PL384 001*")</f>
        <v>0</v>
      </c>
      <c r="H4573" s="35">
        <f t="shared" si="72"/>
        <v>119451.78</v>
      </c>
      <c r="I4573" s="35"/>
      <c r="K4573" t="s">
        <v>15</v>
      </c>
    </row>
    <row r="4574" spans="2:11" ht="41.25" x14ac:dyDescent="0.2">
      <c r="B4574" s="31" t="s">
        <v>5531</v>
      </c>
      <c r="C4574" s="31" t="s">
        <v>5429</v>
      </c>
      <c r="D4574" s="34">
        <v>0</v>
      </c>
      <c r="E4574" s="34"/>
      <c r="F4574" s="34">
        <v>2400</v>
      </c>
      <c r="G4574" s="34">
        <v>0</v>
      </c>
      <c r="H4574" s="34">
        <f t="shared" si="72"/>
        <v>2400</v>
      </c>
      <c r="I4574" s="34"/>
      <c r="K4574" t="s">
        <v>38</v>
      </c>
    </row>
    <row r="4575" spans="2:11" ht="41.25" x14ac:dyDescent="0.2">
      <c r="B4575" s="31" t="s">
        <v>5532</v>
      </c>
      <c r="C4575" s="31" t="s">
        <v>5431</v>
      </c>
      <c r="D4575" s="34">
        <v>0</v>
      </c>
      <c r="E4575" s="34"/>
      <c r="F4575" s="34">
        <v>1325.16</v>
      </c>
      <c r="G4575" s="34">
        <v>0</v>
      </c>
      <c r="H4575" s="34">
        <f t="shared" si="72"/>
        <v>1325.16</v>
      </c>
      <c r="I4575" s="34"/>
      <c r="K4575" t="s">
        <v>38</v>
      </c>
    </row>
    <row r="4576" spans="2:11" ht="41.25" x14ac:dyDescent="0.2">
      <c r="B4576" s="31" t="s">
        <v>5533</v>
      </c>
      <c r="C4576" s="31" t="s">
        <v>5446</v>
      </c>
      <c r="D4576" s="34">
        <v>0</v>
      </c>
      <c r="E4576" s="34"/>
      <c r="F4576" s="34">
        <v>115726.62</v>
      </c>
      <c r="G4576" s="34">
        <v>0</v>
      </c>
      <c r="H4576" s="34">
        <f t="shared" si="72"/>
        <v>115726.62</v>
      </c>
      <c r="I4576" s="34"/>
      <c r="K4576" t="s">
        <v>38</v>
      </c>
    </row>
    <row r="4577" spans="2:11" ht="16.5" x14ac:dyDescent="0.2">
      <c r="B4577" s="33" t="s">
        <v>5534</v>
      </c>
      <c r="C4577" s="33" t="s">
        <v>3187</v>
      </c>
      <c r="D4577" s="35">
        <f>SUMIFS(D4578:D9015,K4578:K9015,"0",B4578:B9015,"5 1 1 5 4 12 31111 6 M59 23000*")-SUMIFS(E4578:E9015,K4578:K9015,"0",B4578:B9015,"5 1 1 5 4 12 31111 6 M59 23000*")</f>
        <v>0</v>
      </c>
      <c r="E4577"/>
      <c r="F4577" s="35">
        <f>SUMIFS(F4578:F9015,K4578:K9015,"0",B4578:B9015,"5 1 1 5 4 12 31111 6 M59 23000*")</f>
        <v>624</v>
      </c>
      <c r="G4577" s="35">
        <f>SUMIFS(G4578:G9015,K4578:K9015,"0",B4578:B9015,"5 1 1 5 4 12 31111 6 M59 23000*")</f>
        <v>0</v>
      </c>
      <c r="H4577" s="35">
        <f t="shared" si="72"/>
        <v>624</v>
      </c>
      <c r="I4577" s="35"/>
      <c r="K4577" t="s">
        <v>15</v>
      </c>
    </row>
    <row r="4578" spans="2:11" ht="16.5" x14ac:dyDescent="0.2">
      <c r="B4578" s="33" t="s">
        <v>5535</v>
      </c>
      <c r="C4578" s="33" t="s">
        <v>648</v>
      </c>
      <c r="D4578" s="35">
        <f>SUMIFS(D4579:D9015,K4579:K9015,"0",B4579:B9015,"5 1 1 5 4 12 31111 6 M59 23000 000132*")-SUMIFS(E4579:E9015,K4579:K9015,"0",B4579:B9015,"5 1 1 5 4 12 31111 6 M59 23000 000132*")</f>
        <v>0</v>
      </c>
      <c r="E4578"/>
      <c r="F4578" s="35">
        <f>SUMIFS(F4579:F9015,K4579:K9015,"0",B4579:B9015,"5 1 1 5 4 12 31111 6 M59 23000 000132*")</f>
        <v>624</v>
      </c>
      <c r="G4578" s="35">
        <f>SUMIFS(G4579:G9015,K4579:K9015,"0",B4579:B9015,"5 1 1 5 4 12 31111 6 M59 23000 000132*")</f>
        <v>0</v>
      </c>
      <c r="H4578" s="35">
        <f t="shared" si="72"/>
        <v>624</v>
      </c>
      <c r="I4578" s="35"/>
      <c r="K4578" t="s">
        <v>15</v>
      </c>
    </row>
    <row r="4579" spans="2:11" ht="16.5" x14ac:dyDescent="0.2">
      <c r="B4579" s="33" t="s">
        <v>5536</v>
      </c>
      <c r="C4579" s="33" t="s">
        <v>650</v>
      </c>
      <c r="D4579" s="35">
        <f>SUMIFS(D4580:D9015,K4580:K9015,"0",B4580:B9015,"5 1 1 5 4 12 31111 6 M59 23000 000132 0000R*")-SUMIFS(E4580:E9015,K4580:K9015,"0",B4580:B9015,"5 1 1 5 4 12 31111 6 M59 23000 000132 0000R*")</f>
        <v>0</v>
      </c>
      <c r="E4579"/>
      <c r="F4579" s="35">
        <f>SUMIFS(F4580:F9015,K4580:K9015,"0",B4580:B9015,"5 1 1 5 4 12 31111 6 M59 23000 000132 0000R*")</f>
        <v>624</v>
      </c>
      <c r="G4579" s="35">
        <f>SUMIFS(G4580:G9015,K4580:K9015,"0",B4580:B9015,"5 1 1 5 4 12 31111 6 M59 23000 000132 0000R*")</f>
        <v>0</v>
      </c>
      <c r="H4579" s="35">
        <f t="shared" si="72"/>
        <v>624</v>
      </c>
      <c r="I4579" s="35"/>
      <c r="K4579" t="s">
        <v>15</v>
      </c>
    </row>
    <row r="4580" spans="2:11" ht="24.75" x14ac:dyDescent="0.2">
      <c r="B4580" s="33" t="s">
        <v>5537</v>
      </c>
      <c r="C4580" s="33" t="s">
        <v>282</v>
      </c>
      <c r="D4580" s="35">
        <f>SUMIFS(D4581:D9015,K4581:K9015,"0",B4581:B9015,"5 1 1 5 4 12 31111 6 M59 23000 000132 0000R 00001*")-SUMIFS(E4581:E9015,K4581:K9015,"0",B4581:B9015,"5 1 1 5 4 12 31111 6 M59 23000 000132 0000R 00001*")</f>
        <v>0</v>
      </c>
      <c r="E4580"/>
      <c r="F4580" s="35">
        <f>SUMIFS(F4581:F9015,K4581:K9015,"0",B4581:B9015,"5 1 1 5 4 12 31111 6 M59 23000 000132 0000R 00001*")</f>
        <v>624</v>
      </c>
      <c r="G4580" s="35">
        <f>SUMIFS(G4581:G9015,K4581:K9015,"0",B4581:B9015,"5 1 1 5 4 12 31111 6 M59 23000 000132 0000R 00001*")</f>
        <v>0</v>
      </c>
      <c r="H4580" s="35">
        <f t="shared" si="72"/>
        <v>624</v>
      </c>
      <c r="I4580" s="35"/>
      <c r="K4580" t="s">
        <v>15</v>
      </c>
    </row>
    <row r="4581" spans="2:11" ht="24.75" x14ac:dyDescent="0.2">
      <c r="B4581" s="33" t="s">
        <v>5538</v>
      </c>
      <c r="C4581" s="33" t="s">
        <v>5422</v>
      </c>
      <c r="D4581" s="35">
        <f>SUMIFS(D4582:D9015,K4582:K9015,"0",B4582:B9015,"5 1 1 5 4 12 31111 6 M59 23000 000132 0000R 00001 00154*")-SUMIFS(E4582:E9015,K4582:K9015,"0",B4582:B9015,"5 1 1 5 4 12 31111 6 M59 23000 000132 0000R 00001 00154*")</f>
        <v>0</v>
      </c>
      <c r="E4581"/>
      <c r="F4581" s="35">
        <f>SUMIFS(F4582:F9015,K4582:K9015,"0",B4582:B9015,"5 1 1 5 4 12 31111 6 M59 23000 000132 0000R 00001 00154*")</f>
        <v>624</v>
      </c>
      <c r="G4581" s="35">
        <f>SUMIFS(G4582:G9015,K4582:K9015,"0",B4582:B9015,"5 1 1 5 4 12 31111 6 M59 23000 000132 0000R 00001 00154*")</f>
        <v>0</v>
      </c>
      <c r="H4581" s="35">
        <f t="shared" si="72"/>
        <v>624</v>
      </c>
      <c r="I4581" s="35"/>
      <c r="K4581" t="s">
        <v>15</v>
      </c>
    </row>
    <row r="4582" spans="2:11" ht="24.75" x14ac:dyDescent="0.2">
      <c r="B4582" s="33" t="s">
        <v>5539</v>
      </c>
      <c r="C4582" s="33" t="s">
        <v>1051</v>
      </c>
      <c r="D4582" s="35">
        <f>SUMIFS(D4583:D9015,K4583:K9015,"0",B4583:B9015,"5 1 1 5 4 12 31111 6 M59 23000 000132 0000R 00001 00154 015*")-SUMIFS(E4583:E9015,K4583:K9015,"0",B4583:B9015,"5 1 1 5 4 12 31111 6 M59 23000 000132 0000R 00001 00154 015*")</f>
        <v>0</v>
      </c>
      <c r="E4582"/>
      <c r="F4582" s="35">
        <f>SUMIFS(F4583:F9015,K4583:K9015,"0",B4583:B9015,"5 1 1 5 4 12 31111 6 M59 23000 000132 0000R 00001 00154 015*")</f>
        <v>624</v>
      </c>
      <c r="G4582" s="35">
        <f>SUMIFS(G4583:G9015,K4583:K9015,"0",B4583:B9015,"5 1 1 5 4 12 31111 6 M59 23000 000132 0000R 00001 00154 015*")</f>
        <v>0</v>
      </c>
      <c r="H4582" s="35">
        <f t="shared" si="72"/>
        <v>624</v>
      </c>
      <c r="I4582" s="35"/>
      <c r="K4582" t="s">
        <v>15</v>
      </c>
    </row>
    <row r="4583" spans="2:11" ht="33" x14ac:dyDescent="0.2">
      <c r="B4583" s="33" t="s">
        <v>5540</v>
      </c>
      <c r="C4583" s="33" t="s">
        <v>2927</v>
      </c>
      <c r="D4583" s="35">
        <f>SUMIFS(D4584:D9015,K4584:K9015,"0",B4584:B9015,"5 1 1 5 4 12 31111 6 M59 23000 000132 0000R 00001 00154 015 2111100*")-SUMIFS(E4584:E9015,K4584:K9015,"0",B4584:B9015,"5 1 1 5 4 12 31111 6 M59 23000 000132 0000R 00001 00154 015 2111100*")</f>
        <v>0</v>
      </c>
      <c r="E4583"/>
      <c r="F4583" s="35">
        <f>SUMIFS(F4584:F9015,K4584:K9015,"0",B4584:B9015,"5 1 1 5 4 12 31111 6 M59 23000 000132 0000R 00001 00154 015 2111100*")</f>
        <v>624</v>
      </c>
      <c r="G4583" s="35">
        <f>SUMIFS(G4584:G9015,K4584:K9015,"0",B4584:B9015,"5 1 1 5 4 12 31111 6 M59 23000 000132 0000R 00001 00154 015 2111100*")</f>
        <v>0</v>
      </c>
      <c r="H4583" s="35">
        <f t="shared" si="72"/>
        <v>624</v>
      </c>
      <c r="I4583" s="35"/>
      <c r="K4583" t="s">
        <v>15</v>
      </c>
    </row>
    <row r="4584" spans="2:11" ht="33" x14ac:dyDescent="0.2">
      <c r="B4584" s="33" t="s">
        <v>5541</v>
      </c>
      <c r="C4584" s="33" t="s">
        <v>660</v>
      </c>
      <c r="D4584" s="35">
        <f>SUMIFS(D4585:D9015,K4585:K9015,"0",B4585:B9015,"5 1 1 5 4 12 31111 6 M59 23000 000132 0000R 00001 00154 015 2111100 2024*")-SUMIFS(E4585:E9015,K4585:K9015,"0",B4585:B9015,"5 1 1 5 4 12 31111 6 M59 23000 000132 0000R 00001 00154 015 2111100 2024*")</f>
        <v>0</v>
      </c>
      <c r="E4584"/>
      <c r="F4584" s="35">
        <f>SUMIFS(F4585:F9015,K4585:K9015,"0",B4585:B9015,"5 1 1 5 4 12 31111 6 M59 23000 000132 0000R 00001 00154 015 2111100 2024*")</f>
        <v>624</v>
      </c>
      <c r="G4584" s="35">
        <f>SUMIFS(G4585:G9015,K4585:K9015,"0",B4585:B9015,"5 1 1 5 4 12 31111 6 M59 23000 000132 0000R 00001 00154 015 2111100 2024*")</f>
        <v>0</v>
      </c>
      <c r="H4584" s="35">
        <f t="shared" si="72"/>
        <v>624</v>
      </c>
      <c r="I4584" s="35"/>
      <c r="K4584" t="s">
        <v>15</v>
      </c>
    </row>
    <row r="4585" spans="2:11" ht="41.25" x14ac:dyDescent="0.2">
      <c r="B4585" s="33" t="s">
        <v>5542</v>
      </c>
      <c r="C4585" s="33" t="s">
        <v>1056</v>
      </c>
      <c r="D4585" s="35">
        <f>SUMIFS(D4586:D9015,K4586:K9015,"0",B4586:B9015,"5 1 1 5 4 12 31111 6 M59 23000 000132 0000R 00001 00154 015 2111100 2024 CP1ST377*")-SUMIFS(E4586:E9015,K4586:K9015,"0",B4586:B9015,"5 1 1 5 4 12 31111 6 M59 23000 000132 0000R 00001 00154 015 2111100 2024 CP1ST377*")</f>
        <v>0</v>
      </c>
      <c r="E4585"/>
      <c r="F4585" s="35">
        <f>SUMIFS(F4586:F9015,K4586:K9015,"0",B4586:B9015,"5 1 1 5 4 12 31111 6 M59 23000 000132 0000R 00001 00154 015 2111100 2024 CP1ST377*")</f>
        <v>624</v>
      </c>
      <c r="G4585" s="35">
        <f>SUMIFS(G4586:G9015,K4586:K9015,"0",B4586:B9015,"5 1 1 5 4 12 31111 6 M59 23000 000132 0000R 00001 00154 015 2111100 2024 CP1ST377*")</f>
        <v>0</v>
      </c>
      <c r="H4585" s="35">
        <f t="shared" si="72"/>
        <v>624</v>
      </c>
      <c r="I4585" s="35"/>
      <c r="K4585" t="s">
        <v>15</v>
      </c>
    </row>
    <row r="4586" spans="2:11" ht="41.25" x14ac:dyDescent="0.2">
      <c r="B4586" s="33" t="s">
        <v>5543</v>
      </c>
      <c r="C4586" s="33" t="s">
        <v>282</v>
      </c>
      <c r="D4586" s="35">
        <f>SUMIFS(D4587:D9015,K4587:K9015,"0",B4587:B9015,"5 1 1 5 4 12 31111 6 M59 23000 000132 0000R 00001 00154 015 2111100 2024 CP1ST377 001*")-SUMIFS(E4587:E9015,K4587:K9015,"0",B4587:B9015,"5 1 1 5 4 12 31111 6 M59 23000 000132 0000R 00001 00154 015 2111100 2024 CP1ST377 001*")</f>
        <v>0</v>
      </c>
      <c r="E4586"/>
      <c r="F4586" s="35">
        <f>SUMIFS(F4587:F9015,K4587:K9015,"0",B4587:B9015,"5 1 1 5 4 12 31111 6 M59 23000 000132 0000R 00001 00154 015 2111100 2024 CP1ST377 001*")</f>
        <v>624</v>
      </c>
      <c r="G4586" s="35">
        <f>SUMIFS(G4587:G9015,K4587:K9015,"0",B4587:B9015,"5 1 1 5 4 12 31111 6 M59 23000 000132 0000R 00001 00154 015 2111100 2024 CP1ST377 001*")</f>
        <v>0</v>
      </c>
      <c r="H4586" s="35">
        <f t="shared" si="72"/>
        <v>624</v>
      </c>
      <c r="I4586" s="35"/>
      <c r="K4586" t="s">
        <v>15</v>
      </c>
    </row>
    <row r="4587" spans="2:11" ht="41.25" x14ac:dyDescent="0.2">
      <c r="B4587" s="31" t="s">
        <v>5544</v>
      </c>
      <c r="C4587" s="31" t="s">
        <v>5429</v>
      </c>
      <c r="D4587" s="34">
        <v>0</v>
      </c>
      <c r="E4587" s="34"/>
      <c r="F4587" s="34">
        <v>424</v>
      </c>
      <c r="G4587" s="34">
        <v>0</v>
      </c>
      <c r="H4587" s="34">
        <f t="shared" si="72"/>
        <v>424</v>
      </c>
      <c r="I4587" s="34"/>
      <c r="K4587" t="s">
        <v>38</v>
      </c>
    </row>
    <row r="4588" spans="2:11" ht="41.25" x14ac:dyDescent="0.2">
      <c r="B4588" s="31" t="s">
        <v>5545</v>
      </c>
      <c r="C4588" s="31" t="s">
        <v>5431</v>
      </c>
      <c r="D4588" s="34">
        <v>0</v>
      </c>
      <c r="E4588" s="34"/>
      <c r="F4588" s="34">
        <v>200</v>
      </c>
      <c r="G4588" s="34">
        <v>0</v>
      </c>
      <c r="H4588" s="34">
        <f t="shared" si="72"/>
        <v>200</v>
      </c>
      <c r="I4588" s="34"/>
      <c r="K4588" t="s">
        <v>38</v>
      </c>
    </row>
    <row r="4589" spans="2:11" ht="16.5" x14ac:dyDescent="0.2">
      <c r="B4589" s="33" t="s">
        <v>5546</v>
      </c>
      <c r="C4589" s="33" t="s">
        <v>646</v>
      </c>
      <c r="D4589" s="35">
        <f>SUMIFS(D4590:D9015,K4590:K9015,"0",B4590:B9015,"5 1 1 5 4 12 31111 6 M59 30100*")-SUMIFS(E4590:E9015,K4590:K9015,"0",B4590:B9015,"5 1 1 5 4 12 31111 6 M59 30100*")</f>
        <v>0</v>
      </c>
      <c r="E4589"/>
      <c r="F4589" s="35">
        <f>SUMIFS(F4590:F9015,K4590:K9015,"0",B4590:B9015,"5 1 1 5 4 12 31111 6 M59 30100*")</f>
        <v>27462.62</v>
      </c>
      <c r="G4589" s="35">
        <f>SUMIFS(G4590:G9015,K4590:K9015,"0",B4590:B9015,"5 1 1 5 4 12 31111 6 M59 30100*")</f>
        <v>0</v>
      </c>
      <c r="H4589" s="35">
        <f t="shared" si="72"/>
        <v>27462.62</v>
      </c>
      <c r="I4589" s="35"/>
      <c r="K4589" t="s">
        <v>15</v>
      </c>
    </row>
    <row r="4590" spans="2:11" ht="16.5" x14ac:dyDescent="0.2">
      <c r="B4590" s="33" t="s">
        <v>5547</v>
      </c>
      <c r="C4590" s="33" t="s">
        <v>648</v>
      </c>
      <c r="D4590" s="35">
        <f>SUMIFS(D4591:D9015,K4591:K9015,"0",B4591:B9015,"5 1 1 5 4 12 31111 6 M59 30100 000132*")-SUMIFS(E4591:E9015,K4591:K9015,"0",B4591:B9015,"5 1 1 5 4 12 31111 6 M59 30100 000132*")</f>
        <v>0</v>
      </c>
      <c r="E4590"/>
      <c r="F4590" s="35">
        <f>SUMIFS(F4591:F9015,K4591:K9015,"0",B4591:B9015,"5 1 1 5 4 12 31111 6 M59 30100 000132*")</f>
        <v>27462.62</v>
      </c>
      <c r="G4590" s="35">
        <f>SUMIFS(G4591:G9015,K4591:K9015,"0",B4591:B9015,"5 1 1 5 4 12 31111 6 M59 30100 000132*")</f>
        <v>0</v>
      </c>
      <c r="H4590" s="35">
        <f t="shared" si="72"/>
        <v>27462.62</v>
      </c>
      <c r="I4590" s="35"/>
      <c r="K4590" t="s">
        <v>15</v>
      </c>
    </row>
    <row r="4591" spans="2:11" ht="16.5" x14ac:dyDescent="0.2">
      <c r="B4591" s="33" t="s">
        <v>5548</v>
      </c>
      <c r="C4591" s="33" t="s">
        <v>650</v>
      </c>
      <c r="D4591" s="35">
        <f>SUMIFS(D4592:D9015,K4592:K9015,"0",B4592:B9015,"5 1 1 5 4 12 31111 6 M59 30100 000132 0000R*")-SUMIFS(E4592:E9015,K4592:K9015,"0",B4592:B9015,"5 1 1 5 4 12 31111 6 M59 30100 000132 0000R*")</f>
        <v>0</v>
      </c>
      <c r="E4591"/>
      <c r="F4591" s="35">
        <f>SUMIFS(F4592:F9015,K4592:K9015,"0",B4592:B9015,"5 1 1 5 4 12 31111 6 M59 30100 000132 0000R*")</f>
        <v>27462.62</v>
      </c>
      <c r="G4591" s="35">
        <f>SUMIFS(G4592:G9015,K4592:K9015,"0",B4592:B9015,"5 1 1 5 4 12 31111 6 M59 30100 000132 0000R*")</f>
        <v>0</v>
      </c>
      <c r="H4591" s="35">
        <f t="shared" si="72"/>
        <v>27462.62</v>
      </c>
      <c r="I4591" s="35"/>
      <c r="K4591" t="s">
        <v>15</v>
      </c>
    </row>
    <row r="4592" spans="2:11" ht="24.75" x14ac:dyDescent="0.2">
      <c r="B4592" s="33" t="s">
        <v>5549</v>
      </c>
      <c r="C4592" s="33" t="s">
        <v>282</v>
      </c>
      <c r="D4592" s="35">
        <f>SUMIFS(D4593:D9015,K4593:K9015,"0",B4593:B9015,"5 1 1 5 4 12 31111 6 M59 30100 000132 0000R 00001*")-SUMIFS(E4593:E9015,K4593:K9015,"0",B4593:B9015,"5 1 1 5 4 12 31111 6 M59 30100 000132 0000R 00001*")</f>
        <v>0</v>
      </c>
      <c r="E4592"/>
      <c r="F4592" s="35">
        <f>SUMIFS(F4593:F9015,K4593:K9015,"0",B4593:B9015,"5 1 1 5 4 12 31111 6 M59 30100 000132 0000R 00001*")</f>
        <v>27462.62</v>
      </c>
      <c r="G4592" s="35">
        <f>SUMIFS(G4593:G9015,K4593:K9015,"0",B4593:B9015,"5 1 1 5 4 12 31111 6 M59 30100 000132 0000R 00001*")</f>
        <v>0</v>
      </c>
      <c r="H4592" s="35">
        <f t="shared" si="72"/>
        <v>27462.62</v>
      </c>
      <c r="I4592" s="35"/>
      <c r="K4592" t="s">
        <v>15</v>
      </c>
    </row>
    <row r="4593" spans="2:11" ht="24.75" x14ac:dyDescent="0.2">
      <c r="B4593" s="33" t="s">
        <v>5550</v>
      </c>
      <c r="C4593" s="33" t="s">
        <v>5422</v>
      </c>
      <c r="D4593" s="35">
        <f>SUMIFS(D4594:D9015,K4594:K9015,"0",B4594:B9015,"5 1 1 5 4 12 31111 6 M59 30100 000132 0000R 00001 00154*")-SUMIFS(E4594:E9015,K4594:K9015,"0",B4594:B9015,"5 1 1 5 4 12 31111 6 M59 30100 000132 0000R 00001 00154*")</f>
        <v>0</v>
      </c>
      <c r="E4593"/>
      <c r="F4593" s="35">
        <f>SUMIFS(F4594:F9015,K4594:K9015,"0",B4594:B9015,"5 1 1 5 4 12 31111 6 M59 30100 000132 0000R 00001 00154*")</f>
        <v>27462.62</v>
      </c>
      <c r="G4593" s="35">
        <f>SUMIFS(G4594:G9015,K4594:K9015,"0",B4594:B9015,"5 1 1 5 4 12 31111 6 M59 30100 000132 0000R 00001 00154*")</f>
        <v>0</v>
      </c>
      <c r="H4593" s="35">
        <f t="shared" si="72"/>
        <v>27462.62</v>
      </c>
      <c r="I4593" s="35"/>
      <c r="K4593" t="s">
        <v>15</v>
      </c>
    </row>
    <row r="4594" spans="2:11" ht="24.75" x14ac:dyDescent="0.2">
      <c r="B4594" s="33" t="s">
        <v>5551</v>
      </c>
      <c r="C4594" s="33" t="s">
        <v>1051</v>
      </c>
      <c r="D4594" s="35">
        <f>SUMIFS(D4595:D9015,K4595:K9015,"0",B4595:B9015,"5 1 1 5 4 12 31111 6 M59 30100 000132 0000R 00001 00154 015*")-SUMIFS(E4595:E9015,K4595:K9015,"0",B4595:B9015,"5 1 1 5 4 12 31111 6 M59 30100 000132 0000R 00001 00154 015*")</f>
        <v>0</v>
      </c>
      <c r="E4594"/>
      <c r="F4594" s="35">
        <f>SUMIFS(F4595:F9015,K4595:K9015,"0",B4595:B9015,"5 1 1 5 4 12 31111 6 M59 30100 000132 0000R 00001 00154 015*")</f>
        <v>27462.62</v>
      </c>
      <c r="G4594" s="35">
        <f>SUMIFS(G4595:G9015,K4595:K9015,"0",B4595:B9015,"5 1 1 5 4 12 31111 6 M59 30100 000132 0000R 00001 00154 015*")</f>
        <v>0</v>
      </c>
      <c r="H4594" s="35">
        <f t="shared" si="72"/>
        <v>27462.62</v>
      </c>
      <c r="I4594" s="35"/>
      <c r="K4594" t="s">
        <v>15</v>
      </c>
    </row>
    <row r="4595" spans="2:11" ht="33" x14ac:dyDescent="0.2">
      <c r="B4595" s="33" t="s">
        <v>5552</v>
      </c>
      <c r="C4595" s="33" t="s">
        <v>2927</v>
      </c>
      <c r="D4595" s="35">
        <f>SUMIFS(D4596:D9015,K4596:K9015,"0",B4596:B9015,"5 1 1 5 4 12 31111 6 M59 30100 000132 0000R 00001 00154 015 2111100*")-SUMIFS(E4596:E9015,K4596:K9015,"0",B4596:B9015,"5 1 1 5 4 12 31111 6 M59 30100 000132 0000R 00001 00154 015 2111100*")</f>
        <v>0</v>
      </c>
      <c r="E4595"/>
      <c r="F4595" s="35">
        <f>SUMIFS(F4596:F9015,K4596:K9015,"0",B4596:B9015,"5 1 1 5 4 12 31111 6 M59 30100 000132 0000R 00001 00154 015 2111100*")</f>
        <v>27462.62</v>
      </c>
      <c r="G4595" s="35">
        <f>SUMIFS(G4596:G9015,K4596:K9015,"0",B4596:B9015,"5 1 1 5 4 12 31111 6 M59 30100 000132 0000R 00001 00154 015 2111100*")</f>
        <v>0</v>
      </c>
      <c r="H4595" s="35">
        <f t="shared" si="72"/>
        <v>27462.62</v>
      </c>
      <c r="I4595" s="35"/>
      <c r="K4595" t="s">
        <v>15</v>
      </c>
    </row>
    <row r="4596" spans="2:11" ht="33" x14ac:dyDescent="0.2">
      <c r="B4596" s="33" t="s">
        <v>5553</v>
      </c>
      <c r="C4596" s="33" t="s">
        <v>660</v>
      </c>
      <c r="D4596" s="35">
        <f>SUMIFS(D4597:D9015,K4597:K9015,"0",B4597:B9015,"5 1 1 5 4 12 31111 6 M59 30100 000132 0000R 00001 00154 015 2111100 2024*")-SUMIFS(E4597:E9015,K4597:K9015,"0",B4597:B9015,"5 1 1 5 4 12 31111 6 M59 30100 000132 0000R 00001 00154 015 2111100 2024*")</f>
        <v>0</v>
      </c>
      <c r="E4596"/>
      <c r="F4596" s="35">
        <f>SUMIFS(F4597:F9015,K4597:K9015,"0",B4597:B9015,"5 1 1 5 4 12 31111 6 M59 30100 000132 0000R 00001 00154 015 2111100 2024*")</f>
        <v>27462.62</v>
      </c>
      <c r="G4596" s="35">
        <f>SUMIFS(G4597:G9015,K4597:K9015,"0",B4597:B9015,"5 1 1 5 4 12 31111 6 M59 30100 000132 0000R 00001 00154 015 2111100 2024*")</f>
        <v>0</v>
      </c>
      <c r="H4596" s="35">
        <f t="shared" si="72"/>
        <v>27462.62</v>
      </c>
      <c r="I4596" s="35"/>
      <c r="K4596" t="s">
        <v>15</v>
      </c>
    </row>
    <row r="4597" spans="2:11" ht="41.25" x14ac:dyDescent="0.2">
      <c r="B4597" s="33" t="s">
        <v>5554</v>
      </c>
      <c r="C4597" s="33" t="s">
        <v>662</v>
      </c>
      <c r="D4597" s="35">
        <f>SUMIFS(D4598:D9015,K4598:K9015,"0",B4598:B9015,"5 1 1 5 4 12 31111 6 M59 30100 000132 0000R 00001 00154 015 2111100 2024 CP1OP405*")-SUMIFS(E4598:E9015,K4598:K9015,"0",B4598:B9015,"5 1 1 5 4 12 31111 6 M59 30100 000132 0000R 00001 00154 015 2111100 2024 CP1OP405*")</f>
        <v>0</v>
      </c>
      <c r="E4597"/>
      <c r="F4597" s="35">
        <f>SUMIFS(F4598:F9015,K4598:K9015,"0",B4598:B9015,"5 1 1 5 4 12 31111 6 M59 30100 000132 0000R 00001 00154 015 2111100 2024 CP1OP405*")</f>
        <v>27462.62</v>
      </c>
      <c r="G4597" s="35">
        <f>SUMIFS(G4598:G9015,K4598:K9015,"0",B4598:B9015,"5 1 1 5 4 12 31111 6 M59 30100 000132 0000R 00001 00154 015 2111100 2024 CP1OP405*")</f>
        <v>0</v>
      </c>
      <c r="H4597" s="35">
        <f t="shared" si="72"/>
        <v>27462.62</v>
      </c>
      <c r="I4597" s="35"/>
      <c r="K4597" t="s">
        <v>15</v>
      </c>
    </row>
    <row r="4598" spans="2:11" ht="41.25" x14ac:dyDescent="0.2">
      <c r="B4598" s="33" t="s">
        <v>5555</v>
      </c>
      <c r="C4598" s="33" t="s">
        <v>282</v>
      </c>
      <c r="D4598" s="35">
        <f>SUMIFS(D4599:D9015,K4599:K9015,"0",B4599:B9015,"5 1 1 5 4 12 31111 6 M59 30100 000132 0000R 00001 00154 015 2111100 2024 CP1OP405 001*")-SUMIFS(E4599:E9015,K4599:K9015,"0",B4599:B9015,"5 1 1 5 4 12 31111 6 M59 30100 000132 0000R 00001 00154 015 2111100 2024 CP1OP405 001*")</f>
        <v>0</v>
      </c>
      <c r="E4598"/>
      <c r="F4598" s="35">
        <f>SUMIFS(F4599:F9015,K4599:K9015,"0",B4599:B9015,"5 1 1 5 4 12 31111 6 M59 30100 000132 0000R 00001 00154 015 2111100 2024 CP1OP405 001*")</f>
        <v>27462.62</v>
      </c>
      <c r="G4598" s="35">
        <f>SUMIFS(G4599:G9015,K4599:K9015,"0",B4599:B9015,"5 1 1 5 4 12 31111 6 M59 30100 000132 0000R 00001 00154 015 2111100 2024 CP1OP405 001*")</f>
        <v>0</v>
      </c>
      <c r="H4598" s="35">
        <f t="shared" si="72"/>
        <v>27462.62</v>
      </c>
      <c r="I4598" s="35"/>
      <c r="K4598" t="s">
        <v>15</v>
      </c>
    </row>
    <row r="4599" spans="2:11" ht="33" x14ac:dyDescent="0.2">
      <c r="B4599" s="31" t="s">
        <v>5556</v>
      </c>
      <c r="C4599" s="31" t="s">
        <v>5429</v>
      </c>
      <c r="D4599" s="34">
        <v>0</v>
      </c>
      <c r="E4599" s="34"/>
      <c r="F4599" s="34">
        <v>5436</v>
      </c>
      <c r="G4599" s="34">
        <v>0</v>
      </c>
      <c r="H4599" s="34">
        <f t="shared" si="72"/>
        <v>5436</v>
      </c>
      <c r="I4599" s="34"/>
      <c r="K4599" t="s">
        <v>38</v>
      </c>
    </row>
    <row r="4600" spans="2:11" ht="33" x14ac:dyDescent="0.2">
      <c r="B4600" s="31" t="s">
        <v>5557</v>
      </c>
      <c r="C4600" s="31" t="s">
        <v>5431</v>
      </c>
      <c r="D4600" s="34">
        <v>0</v>
      </c>
      <c r="E4600" s="34"/>
      <c r="F4600" s="34">
        <v>22026.62</v>
      </c>
      <c r="G4600" s="34">
        <v>0</v>
      </c>
      <c r="H4600" s="34">
        <f t="shared" si="72"/>
        <v>22026.62</v>
      </c>
      <c r="I4600" s="34"/>
      <c r="K4600" t="s">
        <v>38</v>
      </c>
    </row>
    <row r="4601" spans="2:11" ht="16.5" x14ac:dyDescent="0.2">
      <c r="B4601" s="33" t="s">
        <v>5558</v>
      </c>
      <c r="C4601" s="33" t="s">
        <v>1092</v>
      </c>
      <c r="D4601" s="35">
        <f>SUMIFS(D4602:D9015,K4602:K9015,"0",B4602:B9015,"5 1 1 5 4 12 31111 6 M59 40000*")-SUMIFS(E4602:E9015,K4602:K9015,"0",B4602:B9015,"5 1 1 5 4 12 31111 6 M59 40000*")</f>
        <v>0</v>
      </c>
      <c r="E4601"/>
      <c r="F4601" s="35">
        <f>SUMIFS(F4602:F9015,K4602:K9015,"0",B4602:B9015,"5 1 1 5 4 12 31111 6 M59 40000*")</f>
        <v>6428</v>
      </c>
      <c r="G4601" s="35">
        <f>SUMIFS(G4602:G9015,K4602:K9015,"0",B4602:B9015,"5 1 1 5 4 12 31111 6 M59 40000*")</f>
        <v>0</v>
      </c>
      <c r="H4601" s="35">
        <f t="shared" si="72"/>
        <v>6428</v>
      </c>
      <c r="I4601" s="35"/>
      <c r="K4601" t="s">
        <v>15</v>
      </c>
    </row>
    <row r="4602" spans="2:11" ht="16.5" x14ac:dyDescent="0.2">
      <c r="B4602" s="33" t="s">
        <v>5559</v>
      </c>
      <c r="C4602" s="33" t="s">
        <v>1094</v>
      </c>
      <c r="D4602" s="35">
        <f>SUMIFS(D4603:D9015,K4603:K9015,"0",B4603:B9015,"5 1 1 5 4 12 31111 6 M59 40000 000161*")-SUMIFS(E4603:E9015,K4603:K9015,"0",B4603:B9015,"5 1 1 5 4 12 31111 6 M59 40000 000161*")</f>
        <v>0</v>
      </c>
      <c r="E4602"/>
      <c r="F4602" s="35">
        <f>SUMIFS(F4603:F9015,K4603:K9015,"0",B4603:B9015,"5 1 1 5 4 12 31111 6 M59 40000 000161*")</f>
        <v>6428</v>
      </c>
      <c r="G4602" s="35">
        <f>SUMIFS(G4603:G9015,K4603:K9015,"0",B4603:B9015,"5 1 1 5 4 12 31111 6 M59 40000 000161*")</f>
        <v>0</v>
      </c>
      <c r="H4602" s="35">
        <f t="shared" si="72"/>
        <v>6428</v>
      </c>
      <c r="I4602" s="35"/>
      <c r="K4602" t="s">
        <v>15</v>
      </c>
    </row>
    <row r="4603" spans="2:11" ht="16.5" x14ac:dyDescent="0.2">
      <c r="B4603" s="33" t="s">
        <v>5560</v>
      </c>
      <c r="C4603" s="33" t="s">
        <v>1065</v>
      </c>
      <c r="D4603" s="35">
        <f>SUMIFS(D4604:D9015,K4604:K9015,"0",B4604:B9015,"5 1 1 5 4 12 31111 6 M59 40000 000161 0000E*")-SUMIFS(E4604:E9015,K4604:K9015,"0",B4604:B9015,"5 1 1 5 4 12 31111 6 M59 40000 000161 0000E*")</f>
        <v>0</v>
      </c>
      <c r="E4603"/>
      <c r="F4603" s="35">
        <f>SUMIFS(F4604:F9015,K4604:K9015,"0",B4604:B9015,"5 1 1 5 4 12 31111 6 M59 40000 000161 0000E*")</f>
        <v>6428</v>
      </c>
      <c r="G4603" s="35">
        <f>SUMIFS(G4604:G9015,K4604:K9015,"0",B4604:B9015,"5 1 1 5 4 12 31111 6 M59 40000 000161 0000E*")</f>
        <v>0</v>
      </c>
      <c r="H4603" s="35">
        <f t="shared" si="72"/>
        <v>6428</v>
      </c>
      <c r="I4603" s="35"/>
      <c r="K4603" t="s">
        <v>15</v>
      </c>
    </row>
    <row r="4604" spans="2:11" ht="24.75" x14ac:dyDescent="0.2">
      <c r="B4604" s="33" t="s">
        <v>5561</v>
      </c>
      <c r="C4604" s="33" t="s">
        <v>282</v>
      </c>
      <c r="D4604" s="35">
        <f>SUMIFS(D4605:D9015,K4605:K9015,"0",B4605:B9015,"5 1 1 5 4 12 31111 6 M59 40000 000161 0000E 00001*")-SUMIFS(E4605:E9015,K4605:K9015,"0",B4605:B9015,"5 1 1 5 4 12 31111 6 M59 40000 000161 0000E 00001*")</f>
        <v>0</v>
      </c>
      <c r="E4604"/>
      <c r="F4604" s="35">
        <f>SUMIFS(F4605:F9015,K4605:K9015,"0",B4605:B9015,"5 1 1 5 4 12 31111 6 M59 40000 000161 0000E 00001*")</f>
        <v>6428</v>
      </c>
      <c r="G4604" s="35">
        <f>SUMIFS(G4605:G9015,K4605:K9015,"0",B4605:B9015,"5 1 1 5 4 12 31111 6 M59 40000 000161 0000E 00001*")</f>
        <v>0</v>
      </c>
      <c r="H4604" s="35">
        <f t="shared" si="72"/>
        <v>6428</v>
      </c>
      <c r="I4604" s="35"/>
      <c r="K4604" t="s">
        <v>15</v>
      </c>
    </row>
    <row r="4605" spans="2:11" ht="24.75" x14ac:dyDescent="0.2">
      <c r="B4605" s="33" t="s">
        <v>5562</v>
      </c>
      <c r="C4605" s="33" t="s">
        <v>5422</v>
      </c>
      <c r="D4605" s="35">
        <f>SUMIFS(D4606:D9015,K4606:K9015,"0",B4606:B9015,"5 1 1 5 4 12 31111 6 M59 40000 000161 0000E 00001 00154*")-SUMIFS(E4606:E9015,K4606:K9015,"0",B4606:B9015,"5 1 1 5 4 12 31111 6 M59 40000 000161 0000E 00001 00154*")</f>
        <v>0</v>
      </c>
      <c r="E4605"/>
      <c r="F4605" s="35">
        <f>SUMIFS(F4606:F9015,K4606:K9015,"0",B4606:B9015,"5 1 1 5 4 12 31111 6 M59 40000 000161 0000E 00001 00154*")</f>
        <v>6428</v>
      </c>
      <c r="G4605" s="35">
        <f>SUMIFS(G4606:G9015,K4606:K9015,"0",B4606:B9015,"5 1 1 5 4 12 31111 6 M59 40000 000161 0000E 00001 00154*")</f>
        <v>0</v>
      </c>
      <c r="H4605" s="35">
        <f t="shared" si="72"/>
        <v>6428</v>
      </c>
      <c r="I4605" s="35"/>
      <c r="K4605" t="s">
        <v>15</v>
      </c>
    </row>
    <row r="4606" spans="2:11" ht="24.75" x14ac:dyDescent="0.2">
      <c r="B4606" s="33" t="s">
        <v>5563</v>
      </c>
      <c r="C4606" s="33" t="s">
        <v>656</v>
      </c>
      <c r="D4606" s="35">
        <f>SUMIFS(D4607:D9015,K4607:K9015,"0",B4607:B9015,"5 1 1 5 4 12 31111 6 M59 40000 000161 0000E 00001 00154 025*")-SUMIFS(E4607:E9015,K4607:K9015,"0",B4607:B9015,"5 1 1 5 4 12 31111 6 M59 40000 000161 0000E 00001 00154 025*")</f>
        <v>0</v>
      </c>
      <c r="E4606"/>
      <c r="F4606" s="35">
        <f>SUMIFS(F4607:F9015,K4607:K9015,"0",B4607:B9015,"5 1 1 5 4 12 31111 6 M59 40000 000161 0000E 00001 00154 025*")</f>
        <v>6428</v>
      </c>
      <c r="G4606" s="35">
        <f>SUMIFS(G4607:G9015,K4607:K9015,"0",B4607:B9015,"5 1 1 5 4 12 31111 6 M59 40000 000161 0000E 00001 00154 025*")</f>
        <v>0</v>
      </c>
      <c r="H4606" s="35">
        <f t="shared" si="72"/>
        <v>6428</v>
      </c>
      <c r="I4606" s="35"/>
      <c r="K4606" t="s">
        <v>15</v>
      </c>
    </row>
    <row r="4607" spans="2:11" ht="33" x14ac:dyDescent="0.2">
      <c r="B4607" s="33" t="s">
        <v>5564</v>
      </c>
      <c r="C4607" s="33" t="s">
        <v>2927</v>
      </c>
      <c r="D4607" s="35">
        <f>SUMIFS(D4608:D9015,K4608:K9015,"0",B4608:B9015,"5 1 1 5 4 12 31111 6 M59 40000 000161 0000E 00001 00154 025 2111100*")-SUMIFS(E4608:E9015,K4608:K9015,"0",B4608:B9015,"5 1 1 5 4 12 31111 6 M59 40000 000161 0000E 00001 00154 025 2111100*")</f>
        <v>0</v>
      </c>
      <c r="E4607"/>
      <c r="F4607" s="35">
        <f>SUMIFS(F4608:F9015,K4608:K9015,"0",B4608:B9015,"5 1 1 5 4 12 31111 6 M59 40000 000161 0000E 00001 00154 025 2111100*")</f>
        <v>6428</v>
      </c>
      <c r="G4607" s="35">
        <f>SUMIFS(G4608:G9015,K4608:K9015,"0",B4608:B9015,"5 1 1 5 4 12 31111 6 M59 40000 000161 0000E 00001 00154 025 2111100*")</f>
        <v>0</v>
      </c>
      <c r="H4607" s="35">
        <f t="shared" si="72"/>
        <v>6428</v>
      </c>
      <c r="I4607" s="35"/>
      <c r="K4607" t="s">
        <v>15</v>
      </c>
    </row>
    <row r="4608" spans="2:11" ht="33" x14ac:dyDescent="0.2">
      <c r="B4608" s="33" t="s">
        <v>5565</v>
      </c>
      <c r="C4608" s="33" t="s">
        <v>660</v>
      </c>
      <c r="D4608" s="35">
        <f>SUMIFS(D4609:D9015,K4609:K9015,"0",B4609:B9015,"5 1 1 5 4 12 31111 6 M59 40000 000161 0000E 00001 00154 025 2111100 2024*")-SUMIFS(E4609:E9015,K4609:K9015,"0",B4609:B9015,"5 1 1 5 4 12 31111 6 M59 40000 000161 0000E 00001 00154 025 2111100 2024*")</f>
        <v>0</v>
      </c>
      <c r="E4608"/>
      <c r="F4608" s="35">
        <f>SUMIFS(F4609:F9015,K4609:K9015,"0",B4609:B9015,"5 1 1 5 4 12 31111 6 M59 40000 000161 0000E 00001 00154 025 2111100 2024*")</f>
        <v>6428</v>
      </c>
      <c r="G4608" s="35">
        <f>SUMIFS(G4609:G9015,K4609:K9015,"0",B4609:B9015,"5 1 1 5 4 12 31111 6 M59 40000 000161 0000E 00001 00154 025 2111100 2024*")</f>
        <v>0</v>
      </c>
      <c r="H4608" s="35">
        <f t="shared" si="72"/>
        <v>6428</v>
      </c>
      <c r="I4608" s="35"/>
      <c r="K4608" t="s">
        <v>15</v>
      </c>
    </row>
    <row r="4609" spans="2:11" ht="41.25" x14ac:dyDescent="0.2">
      <c r="B4609" s="33" t="s">
        <v>5566</v>
      </c>
      <c r="C4609" s="33" t="s">
        <v>662</v>
      </c>
      <c r="D4609" s="35">
        <f>SUMIFS(D4610:D9015,K4610:K9015,"0",B4610:B9015,"5 1 1 5 4 12 31111 6 M59 40000 000161 0000E 00001 00154 025 2111100 2024 CP4SP372*")-SUMIFS(E4610:E9015,K4610:K9015,"0",B4610:B9015,"5 1 1 5 4 12 31111 6 M59 40000 000161 0000E 00001 00154 025 2111100 2024 CP4SP372*")</f>
        <v>0</v>
      </c>
      <c r="E4609"/>
      <c r="F4609" s="35">
        <f>SUMIFS(F4610:F9015,K4610:K9015,"0",B4610:B9015,"5 1 1 5 4 12 31111 6 M59 40000 000161 0000E 00001 00154 025 2111100 2024 CP4SP372*")</f>
        <v>6428</v>
      </c>
      <c r="G4609" s="35">
        <f>SUMIFS(G4610:G9015,K4610:K9015,"0",B4610:B9015,"5 1 1 5 4 12 31111 6 M59 40000 000161 0000E 00001 00154 025 2111100 2024 CP4SP372*")</f>
        <v>0</v>
      </c>
      <c r="H4609" s="35">
        <f t="shared" si="72"/>
        <v>6428</v>
      </c>
      <c r="I4609" s="35"/>
      <c r="K4609" t="s">
        <v>15</v>
      </c>
    </row>
    <row r="4610" spans="2:11" ht="41.25" x14ac:dyDescent="0.2">
      <c r="B4610" s="33" t="s">
        <v>5567</v>
      </c>
      <c r="C4610" s="33" t="s">
        <v>664</v>
      </c>
      <c r="D4610" s="35">
        <f>SUMIFS(D4611:D9015,K4611:K9015,"0",B4611:B9015,"5 1 1 5 4 12 31111 6 M59 40000 000161 0000E 00001 00154 025 2111100 2024 CP4SP372 003*")-SUMIFS(E4611:E9015,K4611:K9015,"0",B4611:B9015,"5 1 1 5 4 12 31111 6 M59 40000 000161 0000E 00001 00154 025 2111100 2024 CP4SP372 003*")</f>
        <v>0</v>
      </c>
      <c r="E4610"/>
      <c r="F4610" s="35">
        <f>SUMIFS(F4611:F9015,K4611:K9015,"0",B4611:B9015,"5 1 1 5 4 12 31111 6 M59 40000 000161 0000E 00001 00154 025 2111100 2024 CP4SP372 003*")</f>
        <v>6428</v>
      </c>
      <c r="G4610" s="35">
        <f>SUMIFS(G4611:G9015,K4611:K9015,"0",B4611:B9015,"5 1 1 5 4 12 31111 6 M59 40000 000161 0000E 00001 00154 025 2111100 2024 CP4SP372 003*")</f>
        <v>0</v>
      </c>
      <c r="H4610" s="35">
        <f t="shared" si="72"/>
        <v>6428</v>
      </c>
      <c r="I4610" s="35"/>
      <c r="K4610" t="s">
        <v>15</v>
      </c>
    </row>
    <row r="4611" spans="2:11" ht="33" x14ac:dyDescent="0.2">
      <c r="B4611" s="31" t="s">
        <v>5568</v>
      </c>
      <c r="C4611" s="31" t="s">
        <v>5446</v>
      </c>
      <c r="D4611" s="34">
        <v>0</v>
      </c>
      <c r="E4611" s="34"/>
      <c r="F4611" s="34">
        <v>6428</v>
      </c>
      <c r="G4611" s="34">
        <v>0</v>
      </c>
      <c r="H4611" s="34">
        <f t="shared" si="72"/>
        <v>6428</v>
      </c>
      <c r="I4611" s="34"/>
      <c r="K4611" t="s">
        <v>38</v>
      </c>
    </row>
    <row r="4612" spans="2:11" ht="16.5" x14ac:dyDescent="0.2">
      <c r="B4612" s="33" t="s">
        <v>5569</v>
      </c>
      <c r="C4612" s="33" t="s">
        <v>3281</v>
      </c>
      <c r="D4612" s="35">
        <f>SUMIFS(D4613:D9015,K4613:K9015,"0",B4613:B9015,"5 1 1 5 4 12 31111 6 M59 50000*")-SUMIFS(E4613:E9015,K4613:K9015,"0",B4613:B9015,"5 1 1 5 4 12 31111 6 M59 50000*")</f>
        <v>0</v>
      </c>
      <c r="E4612"/>
      <c r="F4612" s="35">
        <f>SUMIFS(F4613:F9015,K4613:K9015,"0",B4613:B9015,"5 1 1 5 4 12 31111 6 M59 50000*")</f>
        <v>85873.75</v>
      </c>
      <c r="G4612" s="35">
        <f>SUMIFS(G4613:G9015,K4613:K9015,"0",B4613:B9015,"5 1 1 5 4 12 31111 6 M59 50000*")</f>
        <v>0</v>
      </c>
      <c r="H4612" s="35">
        <f t="shared" ref="H4612:H4675" si="73">D4612 + F4612 - G4612</f>
        <v>85873.75</v>
      </c>
      <c r="I4612" s="35"/>
      <c r="K4612" t="s">
        <v>15</v>
      </c>
    </row>
    <row r="4613" spans="2:11" ht="16.5" x14ac:dyDescent="0.2">
      <c r="B4613" s="33" t="s">
        <v>5570</v>
      </c>
      <c r="C4613" s="33" t="s">
        <v>3283</v>
      </c>
      <c r="D4613" s="35">
        <f>SUMIFS(D4614:D9015,K4614:K9015,"0",B4614:B9015,"5 1 1 5 4 12 31111 6 M59 50000 000223*")-SUMIFS(E4614:E9015,K4614:K9015,"0",B4614:B9015,"5 1 1 5 4 12 31111 6 M59 50000 000223*")</f>
        <v>0</v>
      </c>
      <c r="E4613"/>
      <c r="F4613" s="35">
        <f>SUMIFS(F4614:F9015,K4614:K9015,"0",B4614:B9015,"5 1 1 5 4 12 31111 6 M59 50000 000223*")</f>
        <v>85873.75</v>
      </c>
      <c r="G4613" s="35">
        <f>SUMIFS(G4614:G9015,K4614:K9015,"0",B4614:B9015,"5 1 1 5 4 12 31111 6 M59 50000 000223*")</f>
        <v>0</v>
      </c>
      <c r="H4613" s="35">
        <f t="shared" si="73"/>
        <v>85873.75</v>
      </c>
      <c r="I4613" s="35"/>
      <c r="K4613" t="s">
        <v>15</v>
      </c>
    </row>
    <row r="4614" spans="2:11" ht="16.5" x14ac:dyDescent="0.2">
      <c r="B4614" s="33" t="s">
        <v>5571</v>
      </c>
      <c r="C4614" s="33" t="s">
        <v>1065</v>
      </c>
      <c r="D4614" s="35">
        <f>SUMIFS(D4615:D9015,K4615:K9015,"0",B4615:B9015,"5 1 1 5 4 12 31111 6 M59 50000 000223 0000E*")-SUMIFS(E4615:E9015,K4615:K9015,"0",B4615:B9015,"5 1 1 5 4 12 31111 6 M59 50000 000223 0000E*")</f>
        <v>0</v>
      </c>
      <c r="E4614"/>
      <c r="F4614" s="35">
        <f>SUMIFS(F4615:F9015,K4615:K9015,"0",B4615:B9015,"5 1 1 5 4 12 31111 6 M59 50000 000223 0000E*")</f>
        <v>85873.75</v>
      </c>
      <c r="G4614" s="35">
        <f>SUMIFS(G4615:G9015,K4615:K9015,"0",B4615:B9015,"5 1 1 5 4 12 31111 6 M59 50000 000223 0000E*")</f>
        <v>0</v>
      </c>
      <c r="H4614" s="35">
        <f t="shared" si="73"/>
        <v>85873.75</v>
      </c>
      <c r="I4614" s="35"/>
      <c r="K4614" t="s">
        <v>15</v>
      </c>
    </row>
    <row r="4615" spans="2:11" ht="24.75" x14ac:dyDescent="0.2">
      <c r="B4615" s="33" t="s">
        <v>5572</v>
      </c>
      <c r="C4615" s="33" t="s">
        <v>282</v>
      </c>
      <c r="D4615" s="35">
        <f>SUMIFS(D4616:D9015,K4616:K9015,"0",B4616:B9015,"5 1 1 5 4 12 31111 6 M59 50000 000223 0000E 00001*")-SUMIFS(E4616:E9015,K4616:K9015,"0",B4616:B9015,"5 1 1 5 4 12 31111 6 M59 50000 000223 0000E 00001*")</f>
        <v>0</v>
      </c>
      <c r="E4615"/>
      <c r="F4615" s="35">
        <f>SUMIFS(F4616:F9015,K4616:K9015,"0",B4616:B9015,"5 1 1 5 4 12 31111 6 M59 50000 000223 0000E 00001*")</f>
        <v>85873.75</v>
      </c>
      <c r="G4615" s="35">
        <f>SUMIFS(G4616:G9015,K4616:K9015,"0",B4616:B9015,"5 1 1 5 4 12 31111 6 M59 50000 000223 0000E 00001*")</f>
        <v>0</v>
      </c>
      <c r="H4615" s="35">
        <f t="shared" si="73"/>
        <v>85873.75</v>
      </c>
      <c r="I4615" s="35"/>
      <c r="K4615" t="s">
        <v>15</v>
      </c>
    </row>
    <row r="4616" spans="2:11" ht="24.75" x14ac:dyDescent="0.2">
      <c r="B4616" s="33" t="s">
        <v>5573</v>
      </c>
      <c r="C4616" s="33" t="s">
        <v>5422</v>
      </c>
      <c r="D4616" s="35">
        <f>SUMIFS(D4617:D9015,K4617:K9015,"0",B4617:B9015,"5 1 1 5 4 12 31111 6 M59 50000 000223 0000E 00001 00154*")-SUMIFS(E4617:E9015,K4617:K9015,"0",B4617:B9015,"5 1 1 5 4 12 31111 6 M59 50000 000223 0000E 00001 00154*")</f>
        <v>0</v>
      </c>
      <c r="E4616"/>
      <c r="F4616" s="35">
        <f>SUMIFS(F4617:F9015,K4617:K9015,"0",B4617:B9015,"5 1 1 5 4 12 31111 6 M59 50000 000223 0000E 00001 00154*")</f>
        <v>85873.75</v>
      </c>
      <c r="G4616" s="35">
        <f>SUMIFS(G4617:G9015,K4617:K9015,"0",B4617:B9015,"5 1 1 5 4 12 31111 6 M59 50000 000223 0000E 00001 00154*")</f>
        <v>0</v>
      </c>
      <c r="H4616" s="35">
        <f t="shared" si="73"/>
        <v>85873.75</v>
      </c>
      <c r="I4616" s="35"/>
      <c r="K4616" t="s">
        <v>15</v>
      </c>
    </row>
    <row r="4617" spans="2:11" ht="24.75" x14ac:dyDescent="0.2">
      <c r="B4617" s="33" t="s">
        <v>5574</v>
      </c>
      <c r="C4617" s="33" t="s">
        <v>1051</v>
      </c>
      <c r="D4617" s="35">
        <f>SUMIFS(D4618:D9015,K4618:K9015,"0",B4618:B9015,"5 1 1 5 4 12 31111 6 M59 50000 000223 0000E 00001 00154 015*")-SUMIFS(E4618:E9015,K4618:K9015,"0",B4618:B9015,"5 1 1 5 4 12 31111 6 M59 50000 000223 0000E 00001 00154 015*")</f>
        <v>0</v>
      </c>
      <c r="E4617"/>
      <c r="F4617" s="35">
        <f>SUMIFS(F4618:F9015,K4618:K9015,"0",B4618:B9015,"5 1 1 5 4 12 31111 6 M59 50000 000223 0000E 00001 00154 015*")</f>
        <v>85873.75</v>
      </c>
      <c r="G4617" s="35">
        <f>SUMIFS(G4618:G9015,K4618:K9015,"0",B4618:B9015,"5 1 1 5 4 12 31111 6 M59 50000 000223 0000E 00001 00154 015*")</f>
        <v>0</v>
      </c>
      <c r="H4617" s="35">
        <f t="shared" si="73"/>
        <v>85873.75</v>
      </c>
      <c r="I4617" s="35"/>
      <c r="K4617" t="s">
        <v>15</v>
      </c>
    </row>
    <row r="4618" spans="2:11" ht="33" x14ac:dyDescent="0.2">
      <c r="B4618" s="33" t="s">
        <v>5575</v>
      </c>
      <c r="C4618" s="33" t="s">
        <v>2927</v>
      </c>
      <c r="D4618" s="35">
        <f>SUMIFS(D4619:D9015,K4619:K9015,"0",B4619:B9015,"5 1 1 5 4 12 31111 6 M59 50000 000223 0000E 00001 00154 015 2111100*")-SUMIFS(E4619:E9015,K4619:K9015,"0",B4619:B9015,"5 1 1 5 4 12 31111 6 M59 50000 000223 0000E 00001 00154 015 2111100*")</f>
        <v>0</v>
      </c>
      <c r="E4618"/>
      <c r="F4618" s="35">
        <f>SUMIFS(F4619:F9015,K4619:K9015,"0",B4619:B9015,"5 1 1 5 4 12 31111 6 M59 50000 000223 0000E 00001 00154 015 2111100*")</f>
        <v>85873.75</v>
      </c>
      <c r="G4618" s="35">
        <f>SUMIFS(G4619:G9015,K4619:K9015,"0",B4619:B9015,"5 1 1 5 4 12 31111 6 M59 50000 000223 0000E 00001 00154 015 2111100*")</f>
        <v>0</v>
      </c>
      <c r="H4618" s="35">
        <f t="shared" si="73"/>
        <v>85873.75</v>
      </c>
      <c r="I4618" s="35"/>
      <c r="K4618" t="s">
        <v>15</v>
      </c>
    </row>
    <row r="4619" spans="2:11" ht="33" x14ac:dyDescent="0.2">
      <c r="B4619" s="33" t="s">
        <v>5576</v>
      </c>
      <c r="C4619" s="33" t="s">
        <v>660</v>
      </c>
      <c r="D4619" s="35">
        <f>SUMIFS(D4620:D9015,K4620:K9015,"0",B4620:B9015,"5 1 1 5 4 12 31111 6 M59 50000 000223 0000E 00001 00154 015 2111100 2024*")-SUMIFS(E4620:E9015,K4620:K9015,"0",B4620:B9015,"5 1 1 5 4 12 31111 6 M59 50000 000223 0000E 00001 00154 015 2111100 2024*")</f>
        <v>0</v>
      </c>
      <c r="E4619"/>
      <c r="F4619" s="35">
        <f>SUMIFS(F4620:F9015,K4620:K9015,"0",B4620:B9015,"5 1 1 5 4 12 31111 6 M59 50000 000223 0000E 00001 00154 015 2111100 2024*")</f>
        <v>85873.75</v>
      </c>
      <c r="G4619" s="35">
        <f>SUMIFS(G4620:G9015,K4620:K9015,"0",B4620:B9015,"5 1 1 5 4 12 31111 6 M59 50000 000223 0000E 00001 00154 015 2111100 2024*")</f>
        <v>0</v>
      </c>
      <c r="H4619" s="35">
        <f t="shared" si="73"/>
        <v>85873.75</v>
      </c>
      <c r="I4619" s="35"/>
      <c r="K4619" t="s">
        <v>15</v>
      </c>
    </row>
    <row r="4620" spans="2:11" ht="41.25" x14ac:dyDescent="0.2">
      <c r="B4620" s="33" t="s">
        <v>5577</v>
      </c>
      <c r="C4620" s="33" t="s">
        <v>662</v>
      </c>
      <c r="D4620" s="35">
        <f>SUMIFS(D4621:D9015,K4621:K9015,"0",B4621:B9015,"5 1 1 5 4 12 31111 6 M59 50000 000223 0000E 00001 00154 015 2111100 2024 CP1DA424*")-SUMIFS(E4621:E9015,K4621:K9015,"0",B4621:B9015,"5 1 1 5 4 12 31111 6 M59 50000 000223 0000E 00001 00154 015 2111100 2024 CP1DA424*")</f>
        <v>0</v>
      </c>
      <c r="E4620"/>
      <c r="F4620" s="35">
        <f>SUMIFS(F4621:F9015,K4621:K9015,"0",B4621:B9015,"5 1 1 5 4 12 31111 6 M59 50000 000223 0000E 00001 00154 015 2111100 2024 CP1DA424*")</f>
        <v>85873.75</v>
      </c>
      <c r="G4620" s="35">
        <f>SUMIFS(G4621:G9015,K4621:K9015,"0",B4621:B9015,"5 1 1 5 4 12 31111 6 M59 50000 000223 0000E 00001 00154 015 2111100 2024 CP1DA424*")</f>
        <v>0</v>
      </c>
      <c r="H4620" s="35">
        <f t="shared" si="73"/>
        <v>85873.75</v>
      </c>
      <c r="I4620" s="35"/>
      <c r="K4620" t="s">
        <v>15</v>
      </c>
    </row>
    <row r="4621" spans="2:11" ht="41.25" x14ac:dyDescent="0.2">
      <c r="B4621" s="33" t="s">
        <v>5578</v>
      </c>
      <c r="C4621" s="33" t="s">
        <v>282</v>
      </c>
      <c r="D4621" s="35">
        <f>SUMIFS(D4622:D9015,K4622:K9015,"0",B4622:B9015,"5 1 1 5 4 12 31111 6 M59 50000 000223 0000E 00001 00154 015 2111100 2024 CP1DA424 001*")-SUMIFS(E4622:E9015,K4622:K9015,"0",B4622:B9015,"5 1 1 5 4 12 31111 6 M59 50000 000223 0000E 00001 00154 015 2111100 2024 CP1DA424 001*")</f>
        <v>0</v>
      </c>
      <c r="E4621"/>
      <c r="F4621" s="35">
        <f>SUMIFS(F4622:F9015,K4622:K9015,"0",B4622:B9015,"5 1 1 5 4 12 31111 6 M59 50000 000223 0000E 00001 00154 015 2111100 2024 CP1DA424 001*")</f>
        <v>85873.75</v>
      </c>
      <c r="G4621" s="35">
        <f>SUMIFS(G4622:G9015,K4622:K9015,"0",B4622:B9015,"5 1 1 5 4 12 31111 6 M59 50000 000223 0000E 00001 00154 015 2111100 2024 CP1DA424 001*")</f>
        <v>0</v>
      </c>
      <c r="H4621" s="35">
        <f t="shared" si="73"/>
        <v>85873.75</v>
      </c>
      <c r="I4621" s="35"/>
      <c r="K4621" t="s">
        <v>15</v>
      </c>
    </row>
    <row r="4622" spans="2:11" ht="41.25" x14ac:dyDescent="0.2">
      <c r="B4622" s="31" t="s">
        <v>5579</v>
      </c>
      <c r="C4622" s="31" t="s">
        <v>5443</v>
      </c>
      <c r="D4622" s="34">
        <v>0</v>
      </c>
      <c r="E4622" s="34"/>
      <c r="F4622" s="34">
        <v>11508</v>
      </c>
      <c r="G4622" s="34">
        <v>0</v>
      </c>
      <c r="H4622" s="34">
        <f t="shared" si="73"/>
        <v>11508</v>
      </c>
      <c r="I4622" s="34"/>
      <c r="K4622" t="s">
        <v>38</v>
      </c>
    </row>
    <row r="4623" spans="2:11" ht="41.25" x14ac:dyDescent="0.2">
      <c r="B4623" s="31" t="s">
        <v>5580</v>
      </c>
      <c r="C4623" s="31" t="s">
        <v>5431</v>
      </c>
      <c r="D4623" s="34">
        <v>0</v>
      </c>
      <c r="E4623" s="34"/>
      <c r="F4623" s="34">
        <v>8551.2000000000007</v>
      </c>
      <c r="G4623" s="34">
        <v>0</v>
      </c>
      <c r="H4623" s="34">
        <f t="shared" si="73"/>
        <v>8551.2000000000007</v>
      </c>
      <c r="I4623" s="34"/>
      <c r="K4623" t="s">
        <v>38</v>
      </c>
    </row>
    <row r="4624" spans="2:11" ht="41.25" x14ac:dyDescent="0.2">
      <c r="B4624" s="31" t="s">
        <v>5581</v>
      </c>
      <c r="C4624" s="31" t="s">
        <v>5446</v>
      </c>
      <c r="D4624" s="34">
        <v>0</v>
      </c>
      <c r="E4624" s="34"/>
      <c r="F4624" s="34">
        <v>65814.55</v>
      </c>
      <c r="G4624" s="34">
        <v>0</v>
      </c>
      <c r="H4624" s="34">
        <f t="shared" si="73"/>
        <v>65814.55</v>
      </c>
      <c r="I4624" s="34"/>
      <c r="K4624" t="s">
        <v>38</v>
      </c>
    </row>
    <row r="4625" spans="2:11" ht="16.5" x14ac:dyDescent="0.2">
      <c r="B4625" s="33" t="s">
        <v>5582</v>
      </c>
      <c r="C4625" s="33" t="s">
        <v>1269</v>
      </c>
      <c r="D4625" s="35">
        <f>SUMIFS(D4626:D9015,K4626:K9015,"0",B4626:B9015,"5 1 1 5 4 12 31111 6 M59 60100*")-SUMIFS(E4626:E9015,K4626:K9015,"0",B4626:B9015,"5 1 1 5 4 12 31111 6 M59 60100*")</f>
        <v>0</v>
      </c>
      <c r="E4625"/>
      <c r="F4625" s="35">
        <f>SUMIFS(F4626:F9015,K4626:K9015,"0",B4626:B9015,"5 1 1 5 4 12 31111 6 M59 60100*")</f>
        <v>25832.379999999997</v>
      </c>
      <c r="G4625" s="35">
        <f>SUMIFS(G4626:G9015,K4626:K9015,"0",B4626:B9015,"5 1 1 5 4 12 31111 6 M59 60100*")</f>
        <v>0</v>
      </c>
      <c r="H4625" s="35">
        <f t="shared" si="73"/>
        <v>25832.379999999997</v>
      </c>
      <c r="I4625" s="35"/>
      <c r="K4625" t="s">
        <v>15</v>
      </c>
    </row>
    <row r="4626" spans="2:11" ht="16.5" x14ac:dyDescent="0.2">
      <c r="B4626" s="33" t="s">
        <v>5583</v>
      </c>
      <c r="C4626" s="33" t="s">
        <v>648</v>
      </c>
      <c r="D4626" s="35">
        <f>SUMIFS(D4627:D9015,K4627:K9015,"0",B4627:B9015,"5 1 1 5 4 12 31111 6 M59 60100 000132*")-SUMIFS(E4627:E9015,K4627:K9015,"0",B4627:B9015,"5 1 1 5 4 12 31111 6 M59 60100 000132*")</f>
        <v>0</v>
      </c>
      <c r="E4626"/>
      <c r="F4626" s="35">
        <f>SUMIFS(F4627:F9015,K4627:K9015,"0",B4627:B9015,"5 1 1 5 4 12 31111 6 M59 60100 000132*")</f>
        <v>25832.379999999997</v>
      </c>
      <c r="G4626" s="35">
        <f>SUMIFS(G4627:G9015,K4627:K9015,"0",B4627:B9015,"5 1 1 5 4 12 31111 6 M59 60100 000132*")</f>
        <v>0</v>
      </c>
      <c r="H4626" s="35">
        <f t="shared" si="73"/>
        <v>25832.379999999997</v>
      </c>
      <c r="I4626" s="35"/>
      <c r="K4626" t="s">
        <v>15</v>
      </c>
    </row>
    <row r="4627" spans="2:11" ht="16.5" x14ac:dyDescent="0.2">
      <c r="B4627" s="33" t="s">
        <v>5584</v>
      </c>
      <c r="C4627" s="33" t="s">
        <v>650</v>
      </c>
      <c r="D4627" s="35">
        <f>SUMIFS(D4628:D9015,K4628:K9015,"0",B4628:B9015,"5 1 1 5 4 12 31111 6 M59 60100 000132 0000R*")-SUMIFS(E4628:E9015,K4628:K9015,"0",B4628:B9015,"5 1 1 5 4 12 31111 6 M59 60100 000132 0000R*")</f>
        <v>0</v>
      </c>
      <c r="E4627"/>
      <c r="F4627" s="35">
        <f>SUMIFS(F4628:F9015,K4628:K9015,"0",B4628:B9015,"5 1 1 5 4 12 31111 6 M59 60100 000132 0000R*")</f>
        <v>25832.379999999997</v>
      </c>
      <c r="G4627" s="35">
        <f>SUMIFS(G4628:G9015,K4628:K9015,"0",B4628:B9015,"5 1 1 5 4 12 31111 6 M59 60100 000132 0000R*")</f>
        <v>0</v>
      </c>
      <c r="H4627" s="35">
        <f t="shared" si="73"/>
        <v>25832.379999999997</v>
      </c>
      <c r="I4627" s="35"/>
      <c r="K4627" t="s">
        <v>15</v>
      </c>
    </row>
    <row r="4628" spans="2:11" ht="24.75" x14ac:dyDescent="0.2">
      <c r="B4628" s="33" t="s">
        <v>5585</v>
      </c>
      <c r="C4628" s="33" t="s">
        <v>282</v>
      </c>
      <c r="D4628" s="35">
        <f>SUMIFS(D4629:D9015,K4629:K9015,"0",B4629:B9015,"5 1 1 5 4 12 31111 6 M59 60100 000132 0000R 00001*")-SUMIFS(E4629:E9015,K4629:K9015,"0",B4629:B9015,"5 1 1 5 4 12 31111 6 M59 60100 000132 0000R 00001*")</f>
        <v>0</v>
      </c>
      <c r="E4628"/>
      <c r="F4628" s="35">
        <f>SUMIFS(F4629:F9015,K4629:K9015,"0",B4629:B9015,"5 1 1 5 4 12 31111 6 M59 60100 000132 0000R 00001*")</f>
        <v>25832.379999999997</v>
      </c>
      <c r="G4628" s="35">
        <f>SUMIFS(G4629:G9015,K4629:K9015,"0",B4629:B9015,"5 1 1 5 4 12 31111 6 M59 60100 000132 0000R 00001*")</f>
        <v>0</v>
      </c>
      <c r="H4628" s="35">
        <f t="shared" si="73"/>
        <v>25832.379999999997</v>
      </c>
      <c r="I4628" s="35"/>
      <c r="K4628" t="s">
        <v>15</v>
      </c>
    </row>
    <row r="4629" spans="2:11" ht="24.75" x14ac:dyDescent="0.2">
      <c r="B4629" s="33" t="s">
        <v>5586</v>
      </c>
      <c r="C4629" s="33" t="s">
        <v>5422</v>
      </c>
      <c r="D4629" s="35">
        <f>SUMIFS(D4630:D9015,K4630:K9015,"0",B4630:B9015,"5 1 1 5 4 12 31111 6 M59 60100 000132 0000R 00001 00154*")-SUMIFS(E4630:E9015,K4630:K9015,"0",B4630:B9015,"5 1 1 5 4 12 31111 6 M59 60100 000132 0000R 00001 00154*")</f>
        <v>0</v>
      </c>
      <c r="E4629"/>
      <c r="F4629" s="35">
        <f>SUMIFS(F4630:F9015,K4630:K9015,"0",B4630:B9015,"5 1 1 5 4 12 31111 6 M59 60100 000132 0000R 00001 00154*")</f>
        <v>25832.379999999997</v>
      </c>
      <c r="G4629" s="35">
        <f>SUMIFS(G4630:G9015,K4630:K9015,"0",B4630:B9015,"5 1 1 5 4 12 31111 6 M59 60100 000132 0000R 00001 00154*")</f>
        <v>0</v>
      </c>
      <c r="H4629" s="35">
        <f t="shared" si="73"/>
        <v>25832.379999999997</v>
      </c>
      <c r="I4629" s="35"/>
      <c r="K4629" t="s">
        <v>15</v>
      </c>
    </row>
    <row r="4630" spans="2:11" ht="24.75" x14ac:dyDescent="0.2">
      <c r="B4630" s="33" t="s">
        <v>5587</v>
      </c>
      <c r="C4630" s="33" t="s">
        <v>1051</v>
      </c>
      <c r="D4630" s="35">
        <f>SUMIFS(D4631:D9015,K4631:K9015,"0",B4631:B9015,"5 1 1 5 4 12 31111 6 M59 60100 000132 0000R 00001 00154 015*")-SUMIFS(E4631:E9015,K4631:K9015,"0",B4631:B9015,"5 1 1 5 4 12 31111 6 M59 60100 000132 0000R 00001 00154 015*")</f>
        <v>0</v>
      </c>
      <c r="E4630"/>
      <c r="F4630" s="35">
        <f>SUMIFS(F4631:F9015,K4631:K9015,"0",B4631:B9015,"5 1 1 5 4 12 31111 6 M59 60100 000132 0000R 00001 00154 015*")</f>
        <v>25832.379999999997</v>
      </c>
      <c r="G4630" s="35">
        <f>SUMIFS(G4631:G9015,K4631:K9015,"0",B4631:B9015,"5 1 1 5 4 12 31111 6 M59 60100 000132 0000R 00001 00154 015*")</f>
        <v>0</v>
      </c>
      <c r="H4630" s="35">
        <f t="shared" si="73"/>
        <v>25832.379999999997</v>
      </c>
      <c r="I4630" s="35"/>
      <c r="K4630" t="s">
        <v>15</v>
      </c>
    </row>
    <row r="4631" spans="2:11" ht="33" x14ac:dyDescent="0.2">
      <c r="B4631" s="33" t="s">
        <v>5588</v>
      </c>
      <c r="C4631" s="33" t="s">
        <v>2927</v>
      </c>
      <c r="D4631" s="35">
        <f>SUMIFS(D4632:D9015,K4632:K9015,"0",B4632:B9015,"5 1 1 5 4 12 31111 6 M59 60100 000132 0000R 00001 00154 015 2111100*")-SUMIFS(E4632:E9015,K4632:K9015,"0",B4632:B9015,"5 1 1 5 4 12 31111 6 M59 60100 000132 0000R 00001 00154 015 2111100*")</f>
        <v>0</v>
      </c>
      <c r="E4631"/>
      <c r="F4631" s="35">
        <f>SUMIFS(F4632:F9015,K4632:K9015,"0",B4632:B9015,"5 1 1 5 4 12 31111 6 M59 60100 000132 0000R 00001 00154 015 2111100*")</f>
        <v>25832.379999999997</v>
      </c>
      <c r="G4631" s="35">
        <f>SUMIFS(G4632:G9015,K4632:K9015,"0",B4632:B9015,"5 1 1 5 4 12 31111 6 M59 60100 000132 0000R 00001 00154 015 2111100*")</f>
        <v>0</v>
      </c>
      <c r="H4631" s="35">
        <f t="shared" si="73"/>
        <v>25832.379999999997</v>
      </c>
      <c r="I4631" s="35"/>
      <c r="K4631" t="s">
        <v>15</v>
      </c>
    </row>
    <row r="4632" spans="2:11" ht="33" x14ac:dyDescent="0.2">
      <c r="B4632" s="33" t="s">
        <v>5589</v>
      </c>
      <c r="C4632" s="33" t="s">
        <v>660</v>
      </c>
      <c r="D4632" s="35">
        <f>SUMIFS(D4633:D9015,K4633:K9015,"0",B4633:B9015,"5 1 1 5 4 12 31111 6 M59 60100 000132 0000R 00001 00154 015 2111100 2024*")-SUMIFS(E4633:E9015,K4633:K9015,"0",B4633:B9015,"5 1 1 5 4 12 31111 6 M59 60100 000132 0000R 00001 00154 015 2111100 2024*")</f>
        <v>0</v>
      </c>
      <c r="E4632"/>
      <c r="F4632" s="35">
        <f>SUMIFS(F4633:F9015,K4633:K9015,"0",B4633:B9015,"5 1 1 5 4 12 31111 6 M59 60100 000132 0000R 00001 00154 015 2111100 2024*")</f>
        <v>25832.379999999997</v>
      </c>
      <c r="G4632" s="35">
        <f>SUMIFS(G4633:G9015,K4633:K9015,"0",B4633:B9015,"5 1 1 5 4 12 31111 6 M59 60100 000132 0000R 00001 00154 015 2111100 2024*")</f>
        <v>0</v>
      </c>
      <c r="H4632" s="35">
        <f t="shared" si="73"/>
        <v>25832.379999999997</v>
      </c>
      <c r="I4632" s="35"/>
      <c r="K4632" t="s">
        <v>15</v>
      </c>
    </row>
    <row r="4633" spans="2:11" ht="41.25" x14ac:dyDescent="0.2">
      <c r="B4633" s="33" t="s">
        <v>5590</v>
      </c>
      <c r="C4633" s="33" t="s">
        <v>1056</v>
      </c>
      <c r="D4633" s="35">
        <f>SUMIFS(D4634:D9015,K4634:K9015,"0",B4634:B9015,"5 1 1 5 4 12 31111 6 M59 60100 000132 0000R 00001 00154 015 2111100 2024 CP1DM394*")-SUMIFS(E4634:E9015,K4634:K9015,"0",B4634:B9015,"5 1 1 5 4 12 31111 6 M59 60100 000132 0000R 00001 00154 015 2111100 2024 CP1DM394*")</f>
        <v>0</v>
      </c>
      <c r="E4633"/>
      <c r="F4633" s="35">
        <f>SUMIFS(F4634:F9015,K4634:K9015,"0",B4634:B9015,"5 1 1 5 4 12 31111 6 M59 60100 000132 0000R 00001 00154 015 2111100 2024 CP1DM394*")</f>
        <v>25832.379999999997</v>
      </c>
      <c r="G4633" s="35">
        <f>SUMIFS(G4634:G9015,K4634:K9015,"0",B4634:B9015,"5 1 1 5 4 12 31111 6 M59 60100 000132 0000R 00001 00154 015 2111100 2024 CP1DM394*")</f>
        <v>0</v>
      </c>
      <c r="H4633" s="35">
        <f t="shared" si="73"/>
        <v>25832.379999999997</v>
      </c>
      <c r="I4633" s="35"/>
      <c r="K4633" t="s">
        <v>15</v>
      </c>
    </row>
    <row r="4634" spans="2:11" ht="41.25" x14ac:dyDescent="0.2">
      <c r="B4634" s="33" t="s">
        <v>5591</v>
      </c>
      <c r="C4634" s="33" t="s">
        <v>282</v>
      </c>
      <c r="D4634" s="35">
        <f>SUMIFS(D4635:D9015,K4635:K9015,"0",B4635:B9015,"5 1 1 5 4 12 31111 6 M59 60100 000132 0000R 00001 00154 015 2111100 2024 CP1DM394 001*")-SUMIFS(E4635:E9015,K4635:K9015,"0",B4635:B9015,"5 1 1 5 4 12 31111 6 M59 60100 000132 0000R 00001 00154 015 2111100 2024 CP1DM394 001*")</f>
        <v>0</v>
      </c>
      <c r="E4634"/>
      <c r="F4634" s="35">
        <f>SUMIFS(F4635:F9015,K4635:K9015,"0",B4635:B9015,"5 1 1 5 4 12 31111 6 M59 60100 000132 0000R 00001 00154 015 2111100 2024 CP1DM394 001*")</f>
        <v>25832.379999999997</v>
      </c>
      <c r="G4634" s="35">
        <f>SUMIFS(G4635:G9015,K4635:K9015,"0",B4635:B9015,"5 1 1 5 4 12 31111 6 M59 60100 000132 0000R 00001 00154 015 2111100 2024 CP1DM394 001*")</f>
        <v>0</v>
      </c>
      <c r="H4634" s="35">
        <f t="shared" si="73"/>
        <v>25832.379999999997</v>
      </c>
      <c r="I4634" s="35"/>
      <c r="K4634" t="s">
        <v>15</v>
      </c>
    </row>
    <row r="4635" spans="2:11" ht="33" x14ac:dyDescent="0.2">
      <c r="B4635" s="31" t="s">
        <v>5592</v>
      </c>
      <c r="C4635" s="31" t="s">
        <v>5443</v>
      </c>
      <c r="D4635" s="34">
        <v>0</v>
      </c>
      <c r="E4635" s="34"/>
      <c r="F4635" s="34">
        <v>3672</v>
      </c>
      <c r="G4635" s="34">
        <v>0</v>
      </c>
      <c r="H4635" s="34">
        <f t="shared" si="73"/>
        <v>3672</v>
      </c>
      <c r="I4635" s="34"/>
      <c r="K4635" t="s">
        <v>38</v>
      </c>
    </row>
    <row r="4636" spans="2:11" ht="33" x14ac:dyDescent="0.2">
      <c r="B4636" s="31" t="s">
        <v>5593</v>
      </c>
      <c r="C4636" s="31" t="s">
        <v>5431</v>
      </c>
      <c r="D4636" s="34">
        <v>0</v>
      </c>
      <c r="E4636" s="34"/>
      <c r="F4636" s="34">
        <v>4433.76</v>
      </c>
      <c r="G4636" s="34">
        <v>0</v>
      </c>
      <c r="H4636" s="34">
        <f t="shared" si="73"/>
        <v>4433.76</v>
      </c>
      <c r="I4636" s="34"/>
      <c r="K4636" t="s">
        <v>38</v>
      </c>
    </row>
    <row r="4637" spans="2:11" ht="33" x14ac:dyDescent="0.2">
      <c r="B4637" s="31" t="s">
        <v>5594</v>
      </c>
      <c r="C4637" s="31" t="s">
        <v>5446</v>
      </c>
      <c r="D4637" s="34">
        <v>0</v>
      </c>
      <c r="E4637" s="34"/>
      <c r="F4637" s="34">
        <v>17726.62</v>
      </c>
      <c r="G4637" s="34">
        <v>0</v>
      </c>
      <c r="H4637" s="34">
        <f t="shared" si="73"/>
        <v>17726.62</v>
      </c>
      <c r="I4637" s="34"/>
      <c r="K4637" t="s">
        <v>38</v>
      </c>
    </row>
    <row r="4638" spans="2:11" ht="16.5" x14ac:dyDescent="0.2">
      <c r="B4638" s="33" t="s">
        <v>5595</v>
      </c>
      <c r="C4638" s="33" t="s">
        <v>3341</v>
      </c>
      <c r="D4638" s="35">
        <f>SUMIFS(D4639:D9015,K4639:K9015,"0",B4639:B9015,"5 1 1 5 4 12 31111 6 M59 63000*")-SUMIFS(E4639:E9015,K4639:K9015,"0",B4639:B9015,"5 1 1 5 4 12 31111 6 M59 63000*")</f>
        <v>0</v>
      </c>
      <c r="E4638"/>
      <c r="F4638" s="35">
        <f>SUMIFS(F4639:F9015,K4639:K9015,"0",B4639:B9015,"5 1 1 5 4 12 31111 6 M59 63000*")</f>
        <v>9854.99</v>
      </c>
      <c r="G4638" s="35">
        <f>SUMIFS(G4639:G9015,K4639:K9015,"0",B4639:B9015,"5 1 1 5 4 12 31111 6 M59 63000*")</f>
        <v>0</v>
      </c>
      <c r="H4638" s="35">
        <f t="shared" si="73"/>
        <v>9854.99</v>
      </c>
      <c r="I4638" s="35"/>
      <c r="K4638" t="s">
        <v>15</v>
      </c>
    </row>
    <row r="4639" spans="2:11" ht="16.5" x14ac:dyDescent="0.2">
      <c r="B4639" s="33" t="s">
        <v>5596</v>
      </c>
      <c r="C4639" s="33" t="s">
        <v>648</v>
      </c>
      <c r="D4639" s="35">
        <f>SUMIFS(D4640:D9015,K4640:K9015,"0",B4640:B9015,"5 1 1 5 4 12 31111 6 M59 63000 000132*")-SUMIFS(E4640:E9015,K4640:K9015,"0",B4640:B9015,"5 1 1 5 4 12 31111 6 M59 63000 000132*")</f>
        <v>0</v>
      </c>
      <c r="E4639"/>
      <c r="F4639" s="35">
        <f>SUMIFS(F4640:F9015,K4640:K9015,"0",B4640:B9015,"5 1 1 5 4 12 31111 6 M59 63000 000132*")</f>
        <v>9854.99</v>
      </c>
      <c r="G4639" s="35">
        <f>SUMIFS(G4640:G9015,K4640:K9015,"0",B4640:B9015,"5 1 1 5 4 12 31111 6 M59 63000 000132*")</f>
        <v>0</v>
      </c>
      <c r="H4639" s="35">
        <f t="shared" si="73"/>
        <v>9854.99</v>
      </c>
      <c r="I4639" s="35"/>
      <c r="K4639" t="s">
        <v>15</v>
      </c>
    </row>
    <row r="4640" spans="2:11" ht="16.5" x14ac:dyDescent="0.2">
      <c r="B4640" s="33" t="s">
        <v>5597</v>
      </c>
      <c r="C4640" s="33" t="s">
        <v>650</v>
      </c>
      <c r="D4640" s="35">
        <f>SUMIFS(D4641:D9015,K4641:K9015,"0",B4641:B9015,"5 1 1 5 4 12 31111 6 M59 63000 000132 0000R*")-SUMIFS(E4641:E9015,K4641:K9015,"0",B4641:B9015,"5 1 1 5 4 12 31111 6 M59 63000 000132 0000R*")</f>
        <v>0</v>
      </c>
      <c r="E4640"/>
      <c r="F4640" s="35">
        <f>SUMIFS(F4641:F9015,K4641:K9015,"0",B4641:B9015,"5 1 1 5 4 12 31111 6 M59 63000 000132 0000R*")</f>
        <v>9854.99</v>
      </c>
      <c r="G4640" s="35">
        <f>SUMIFS(G4641:G9015,K4641:K9015,"0",B4641:B9015,"5 1 1 5 4 12 31111 6 M59 63000 000132 0000R*")</f>
        <v>0</v>
      </c>
      <c r="H4640" s="35">
        <f t="shared" si="73"/>
        <v>9854.99</v>
      </c>
      <c r="I4640" s="35"/>
      <c r="K4640" t="s">
        <v>15</v>
      </c>
    </row>
    <row r="4641" spans="2:11" ht="24.75" x14ac:dyDescent="0.2">
      <c r="B4641" s="33" t="s">
        <v>5598</v>
      </c>
      <c r="C4641" s="33" t="s">
        <v>282</v>
      </c>
      <c r="D4641" s="35">
        <f>SUMIFS(D4642:D9015,K4642:K9015,"0",B4642:B9015,"5 1 1 5 4 12 31111 6 M59 63000 000132 0000R 00001*")-SUMIFS(E4642:E9015,K4642:K9015,"0",B4642:B9015,"5 1 1 5 4 12 31111 6 M59 63000 000132 0000R 00001*")</f>
        <v>0</v>
      </c>
      <c r="E4641"/>
      <c r="F4641" s="35">
        <f>SUMIFS(F4642:F9015,K4642:K9015,"0",B4642:B9015,"5 1 1 5 4 12 31111 6 M59 63000 000132 0000R 00001*")</f>
        <v>9854.99</v>
      </c>
      <c r="G4641" s="35">
        <f>SUMIFS(G4642:G9015,K4642:K9015,"0",B4642:B9015,"5 1 1 5 4 12 31111 6 M59 63000 000132 0000R 00001*")</f>
        <v>0</v>
      </c>
      <c r="H4641" s="35">
        <f t="shared" si="73"/>
        <v>9854.99</v>
      </c>
      <c r="I4641" s="35"/>
      <c r="K4641" t="s">
        <v>15</v>
      </c>
    </row>
    <row r="4642" spans="2:11" ht="24.75" x14ac:dyDescent="0.2">
      <c r="B4642" s="33" t="s">
        <v>5599</v>
      </c>
      <c r="C4642" s="33" t="s">
        <v>5422</v>
      </c>
      <c r="D4642" s="35">
        <f>SUMIFS(D4643:D9015,K4643:K9015,"0",B4643:B9015,"5 1 1 5 4 12 31111 6 M59 63000 000132 0000R 00001 00154*")-SUMIFS(E4643:E9015,K4643:K9015,"0",B4643:B9015,"5 1 1 5 4 12 31111 6 M59 63000 000132 0000R 00001 00154*")</f>
        <v>0</v>
      </c>
      <c r="E4642"/>
      <c r="F4642" s="35">
        <f>SUMIFS(F4643:F9015,K4643:K9015,"0",B4643:B9015,"5 1 1 5 4 12 31111 6 M59 63000 000132 0000R 00001 00154*")</f>
        <v>9854.99</v>
      </c>
      <c r="G4642" s="35">
        <f>SUMIFS(G4643:G9015,K4643:K9015,"0",B4643:B9015,"5 1 1 5 4 12 31111 6 M59 63000 000132 0000R 00001 00154*")</f>
        <v>0</v>
      </c>
      <c r="H4642" s="35">
        <f t="shared" si="73"/>
        <v>9854.99</v>
      </c>
      <c r="I4642" s="35"/>
      <c r="K4642" t="s">
        <v>15</v>
      </c>
    </row>
    <row r="4643" spans="2:11" ht="24.75" x14ac:dyDescent="0.2">
      <c r="B4643" s="33" t="s">
        <v>5600</v>
      </c>
      <c r="C4643" s="33" t="s">
        <v>1051</v>
      </c>
      <c r="D4643" s="35">
        <f>SUMIFS(D4644:D9015,K4644:K9015,"0",B4644:B9015,"5 1 1 5 4 12 31111 6 M59 63000 000132 0000R 00001 00154 015*")-SUMIFS(E4644:E9015,K4644:K9015,"0",B4644:B9015,"5 1 1 5 4 12 31111 6 M59 63000 000132 0000R 00001 00154 015*")</f>
        <v>0</v>
      </c>
      <c r="E4643"/>
      <c r="F4643" s="35">
        <f>SUMIFS(F4644:F9015,K4644:K9015,"0",B4644:B9015,"5 1 1 5 4 12 31111 6 M59 63000 000132 0000R 00001 00154 015*")</f>
        <v>9854.99</v>
      </c>
      <c r="G4643" s="35">
        <f>SUMIFS(G4644:G9015,K4644:K9015,"0",B4644:B9015,"5 1 1 5 4 12 31111 6 M59 63000 000132 0000R 00001 00154 015*")</f>
        <v>0</v>
      </c>
      <c r="H4643" s="35">
        <f t="shared" si="73"/>
        <v>9854.99</v>
      </c>
      <c r="I4643" s="35"/>
      <c r="K4643" t="s">
        <v>15</v>
      </c>
    </row>
    <row r="4644" spans="2:11" ht="33" x14ac:dyDescent="0.2">
      <c r="B4644" s="33" t="s">
        <v>5601</v>
      </c>
      <c r="C4644" s="33" t="s">
        <v>2927</v>
      </c>
      <c r="D4644" s="35">
        <f>SUMIFS(D4645:D9015,K4645:K9015,"0",B4645:B9015,"5 1 1 5 4 12 31111 6 M59 63000 000132 0000R 00001 00154 015 2111100*")-SUMIFS(E4645:E9015,K4645:K9015,"0",B4645:B9015,"5 1 1 5 4 12 31111 6 M59 63000 000132 0000R 00001 00154 015 2111100*")</f>
        <v>0</v>
      </c>
      <c r="E4644"/>
      <c r="F4644" s="35">
        <f>SUMIFS(F4645:F9015,K4645:K9015,"0",B4645:B9015,"5 1 1 5 4 12 31111 6 M59 63000 000132 0000R 00001 00154 015 2111100*")</f>
        <v>9854.99</v>
      </c>
      <c r="G4644" s="35">
        <f>SUMIFS(G4645:G9015,K4645:K9015,"0",B4645:B9015,"5 1 1 5 4 12 31111 6 M59 63000 000132 0000R 00001 00154 015 2111100*")</f>
        <v>0</v>
      </c>
      <c r="H4644" s="35">
        <f t="shared" si="73"/>
        <v>9854.99</v>
      </c>
      <c r="I4644" s="35"/>
      <c r="K4644" t="s">
        <v>15</v>
      </c>
    </row>
    <row r="4645" spans="2:11" ht="33" x14ac:dyDescent="0.2">
      <c r="B4645" s="33" t="s">
        <v>5602</v>
      </c>
      <c r="C4645" s="33" t="s">
        <v>660</v>
      </c>
      <c r="D4645" s="35">
        <f>SUMIFS(D4646:D9015,K4646:K9015,"0",B4646:B9015,"5 1 1 5 4 12 31111 6 M59 63000 000132 0000R 00001 00154 015 2111100 2024*")-SUMIFS(E4646:E9015,K4646:K9015,"0",B4646:B9015,"5 1 1 5 4 12 31111 6 M59 63000 000132 0000R 00001 00154 015 2111100 2024*")</f>
        <v>0</v>
      </c>
      <c r="E4645"/>
      <c r="F4645" s="35">
        <f>SUMIFS(F4646:F9015,K4646:K9015,"0",B4646:B9015,"5 1 1 5 4 12 31111 6 M59 63000 000132 0000R 00001 00154 015 2111100 2024*")</f>
        <v>9854.99</v>
      </c>
      <c r="G4645" s="35">
        <f>SUMIFS(G4646:G9015,K4646:K9015,"0",B4646:B9015,"5 1 1 5 4 12 31111 6 M59 63000 000132 0000R 00001 00154 015 2111100 2024*")</f>
        <v>0</v>
      </c>
      <c r="H4645" s="35">
        <f t="shared" si="73"/>
        <v>9854.99</v>
      </c>
      <c r="I4645" s="35"/>
      <c r="K4645" t="s">
        <v>15</v>
      </c>
    </row>
    <row r="4646" spans="2:11" ht="41.25" x14ac:dyDescent="0.2">
      <c r="B4646" s="33" t="s">
        <v>5603</v>
      </c>
      <c r="C4646" s="33" t="s">
        <v>1056</v>
      </c>
      <c r="D4646" s="35">
        <f>SUMIFS(D4647:D9015,K4647:K9015,"0",B4647:B9015,"5 1 1 5 4 12 31111 6 M59 63000 000132 0000R 00001 00154 015 2111100 2024 CP1PR434*")-SUMIFS(E4647:E9015,K4647:K9015,"0",B4647:B9015,"5 1 1 5 4 12 31111 6 M59 63000 000132 0000R 00001 00154 015 2111100 2024 CP1PR434*")</f>
        <v>0</v>
      </c>
      <c r="E4646"/>
      <c r="F4646" s="35">
        <f>SUMIFS(F4647:F9015,K4647:K9015,"0",B4647:B9015,"5 1 1 5 4 12 31111 6 M59 63000 000132 0000R 00001 00154 015 2111100 2024 CP1PR434*")</f>
        <v>9854.99</v>
      </c>
      <c r="G4646" s="35">
        <f>SUMIFS(G4647:G9015,K4647:K9015,"0",B4647:B9015,"5 1 1 5 4 12 31111 6 M59 63000 000132 0000R 00001 00154 015 2111100 2024 CP1PR434*")</f>
        <v>0</v>
      </c>
      <c r="H4646" s="35">
        <f t="shared" si="73"/>
        <v>9854.99</v>
      </c>
      <c r="I4646" s="35"/>
      <c r="K4646" t="s">
        <v>15</v>
      </c>
    </row>
    <row r="4647" spans="2:11" ht="41.25" x14ac:dyDescent="0.2">
      <c r="B4647" s="33" t="s">
        <v>5604</v>
      </c>
      <c r="C4647" s="33" t="s">
        <v>282</v>
      </c>
      <c r="D4647" s="35">
        <f>SUMIFS(D4648:D9015,K4648:K9015,"0",B4648:B9015,"5 1 1 5 4 12 31111 6 M59 63000 000132 0000R 00001 00154 015 2111100 2024 CP1PR434 001*")-SUMIFS(E4648:E9015,K4648:K9015,"0",B4648:B9015,"5 1 1 5 4 12 31111 6 M59 63000 000132 0000R 00001 00154 015 2111100 2024 CP1PR434 001*")</f>
        <v>0</v>
      </c>
      <c r="E4647"/>
      <c r="F4647" s="35">
        <f>SUMIFS(F4648:F9015,K4648:K9015,"0",B4648:B9015,"5 1 1 5 4 12 31111 6 M59 63000 000132 0000R 00001 00154 015 2111100 2024 CP1PR434 001*")</f>
        <v>9854.99</v>
      </c>
      <c r="G4647" s="35">
        <f>SUMIFS(G4648:G9015,K4648:K9015,"0",B4648:B9015,"5 1 1 5 4 12 31111 6 M59 63000 000132 0000R 00001 00154 015 2111100 2024 CP1PR434 001*")</f>
        <v>0</v>
      </c>
      <c r="H4647" s="35">
        <f t="shared" si="73"/>
        <v>9854.99</v>
      </c>
      <c r="I4647" s="35"/>
      <c r="K4647" t="s">
        <v>15</v>
      </c>
    </row>
    <row r="4648" spans="2:11" ht="41.25" x14ac:dyDescent="0.2">
      <c r="B4648" s="31" t="s">
        <v>5605</v>
      </c>
      <c r="C4648" s="31" t="s">
        <v>5431</v>
      </c>
      <c r="D4648" s="34">
        <v>0</v>
      </c>
      <c r="E4648" s="34"/>
      <c r="F4648" s="34">
        <v>5004.99</v>
      </c>
      <c r="G4648" s="34">
        <v>0</v>
      </c>
      <c r="H4648" s="34">
        <f t="shared" si="73"/>
        <v>5004.99</v>
      </c>
      <c r="I4648" s="34"/>
      <c r="K4648" t="s">
        <v>38</v>
      </c>
    </row>
    <row r="4649" spans="2:11" ht="41.25" x14ac:dyDescent="0.2">
      <c r="B4649" s="31" t="s">
        <v>5606</v>
      </c>
      <c r="C4649" s="31" t="s">
        <v>5443</v>
      </c>
      <c r="D4649" s="34">
        <v>0</v>
      </c>
      <c r="E4649" s="34"/>
      <c r="F4649" s="34">
        <v>4850</v>
      </c>
      <c r="G4649" s="34">
        <v>0</v>
      </c>
      <c r="H4649" s="34">
        <f t="shared" si="73"/>
        <v>4850</v>
      </c>
      <c r="I4649" s="34"/>
      <c r="K4649" t="s">
        <v>38</v>
      </c>
    </row>
    <row r="4650" spans="2:11" ht="16.5" x14ac:dyDescent="0.2">
      <c r="B4650" s="33" t="s">
        <v>5607</v>
      </c>
      <c r="C4650" s="33" t="s">
        <v>3377</v>
      </c>
      <c r="D4650" s="35">
        <f>SUMIFS(D4651:D9015,K4651:K9015,"0",B4651:B9015,"5 1 1 5 4 12 31111 6 M59 70000*")-SUMIFS(E4651:E9015,K4651:K9015,"0",B4651:B9015,"5 1 1 5 4 12 31111 6 M59 70000*")</f>
        <v>0</v>
      </c>
      <c r="E4650"/>
      <c r="F4650" s="35">
        <f>SUMIFS(F4651:F9015,K4651:K9015,"0",B4651:B9015,"5 1 1 5 4 12 31111 6 M59 70000*")</f>
        <v>14675.63</v>
      </c>
      <c r="G4650" s="35">
        <f>SUMIFS(G4651:G9015,K4651:K9015,"0",B4651:B9015,"5 1 1 5 4 12 31111 6 M59 70000*")</f>
        <v>0</v>
      </c>
      <c r="H4650" s="35">
        <f t="shared" si="73"/>
        <v>14675.63</v>
      </c>
      <c r="I4650" s="35"/>
      <c r="K4650" t="s">
        <v>15</v>
      </c>
    </row>
    <row r="4651" spans="2:11" ht="16.5" x14ac:dyDescent="0.2">
      <c r="B4651" s="33" t="s">
        <v>5608</v>
      </c>
      <c r="C4651" s="33" t="s">
        <v>648</v>
      </c>
      <c r="D4651" s="35">
        <f>SUMIFS(D4652:D9015,K4652:K9015,"0",B4652:B9015,"5 1 1 5 4 12 31111 6 M59 70000 000132*")-SUMIFS(E4652:E9015,K4652:K9015,"0",B4652:B9015,"5 1 1 5 4 12 31111 6 M59 70000 000132*")</f>
        <v>0</v>
      </c>
      <c r="E4651"/>
      <c r="F4651" s="35">
        <f>SUMIFS(F4652:F9015,K4652:K9015,"0",B4652:B9015,"5 1 1 5 4 12 31111 6 M59 70000 000132*")</f>
        <v>14675.63</v>
      </c>
      <c r="G4651" s="35">
        <f>SUMIFS(G4652:G9015,K4652:K9015,"0",B4652:B9015,"5 1 1 5 4 12 31111 6 M59 70000 000132*")</f>
        <v>0</v>
      </c>
      <c r="H4651" s="35">
        <f t="shared" si="73"/>
        <v>14675.63</v>
      </c>
      <c r="I4651" s="35"/>
      <c r="K4651" t="s">
        <v>15</v>
      </c>
    </row>
    <row r="4652" spans="2:11" ht="16.5" x14ac:dyDescent="0.2">
      <c r="B4652" s="33" t="s">
        <v>5609</v>
      </c>
      <c r="C4652" s="33" t="s">
        <v>650</v>
      </c>
      <c r="D4652" s="35">
        <f>SUMIFS(D4653:D9015,K4653:K9015,"0",B4653:B9015,"5 1 1 5 4 12 31111 6 M59 70000 000132 0000R*")-SUMIFS(E4653:E9015,K4653:K9015,"0",B4653:B9015,"5 1 1 5 4 12 31111 6 M59 70000 000132 0000R*")</f>
        <v>0</v>
      </c>
      <c r="E4652"/>
      <c r="F4652" s="35">
        <f>SUMIFS(F4653:F9015,K4653:K9015,"0",B4653:B9015,"5 1 1 5 4 12 31111 6 M59 70000 000132 0000R*")</f>
        <v>14675.63</v>
      </c>
      <c r="G4652" s="35">
        <f>SUMIFS(G4653:G9015,K4653:K9015,"0",B4653:B9015,"5 1 1 5 4 12 31111 6 M59 70000 000132 0000R*")</f>
        <v>0</v>
      </c>
      <c r="H4652" s="35">
        <f t="shared" si="73"/>
        <v>14675.63</v>
      </c>
      <c r="I4652" s="35"/>
      <c r="K4652" t="s">
        <v>15</v>
      </c>
    </row>
    <row r="4653" spans="2:11" ht="24.75" x14ac:dyDescent="0.2">
      <c r="B4653" s="33" t="s">
        <v>5610</v>
      </c>
      <c r="C4653" s="33" t="s">
        <v>282</v>
      </c>
      <c r="D4653" s="35">
        <f>SUMIFS(D4654:D9015,K4654:K9015,"0",B4654:B9015,"5 1 1 5 4 12 31111 6 M59 70000 000132 0000R 00001*")-SUMIFS(E4654:E9015,K4654:K9015,"0",B4654:B9015,"5 1 1 5 4 12 31111 6 M59 70000 000132 0000R 00001*")</f>
        <v>0</v>
      </c>
      <c r="E4653"/>
      <c r="F4653" s="35">
        <f>SUMIFS(F4654:F9015,K4654:K9015,"0",B4654:B9015,"5 1 1 5 4 12 31111 6 M59 70000 000132 0000R 00001*")</f>
        <v>14675.63</v>
      </c>
      <c r="G4653" s="35">
        <f>SUMIFS(G4654:G9015,K4654:K9015,"0",B4654:B9015,"5 1 1 5 4 12 31111 6 M59 70000 000132 0000R 00001*")</f>
        <v>0</v>
      </c>
      <c r="H4653" s="35">
        <f t="shared" si="73"/>
        <v>14675.63</v>
      </c>
      <c r="I4653" s="35"/>
      <c r="K4653" t="s">
        <v>15</v>
      </c>
    </row>
    <row r="4654" spans="2:11" ht="24.75" x14ac:dyDescent="0.2">
      <c r="B4654" s="33" t="s">
        <v>5611</v>
      </c>
      <c r="C4654" s="33" t="s">
        <v>5422</v>
      </c>
      <c r="D4654" s="35">
        <f>SUMIFS(D4655:D9015,K4655:K9015,"0",B4655:B9015,"5 1 1 5 4 12 31111 6 M59 70000 000132 0000R 00001 00154*")-SUMIFS(E4655:E9015,K4655:K9015,"0",B4655:B9015,"5 1 1 5 4 12 31111 6 M59 70000 000132 0000R 00001 00154*")</f>
        <v>0</v>
      </c>
      <c r="E4654"/>
      <c r="F4654" s="35">
        <f>SUMIFS(F4655:F9015,K4655:K9015,"0",B4655:B9015,"5 1 1 5 4 12 31111 6 M59 70000 000132 0000R 00001 00154*")</f>
        <v>14675.63</v>
      </c>
      <c r="G4654" s="35">
        <f>SUMIFS(G4655:G9015,K4655:K9015,"0",B4655:B9015,"5 1 1 5 4 12 31111 6 M59 70000 000132 0000R 00001 00154*")</f>
        <v>0</v>
      </c>
      <c r="H4654" s="35">
        <f t="shared" si="73"/>
        <v>14675.63</v>
      </c>
      <c r="I4654" s="35"/>
      <c r="K4654" t="s">
        <v>15</v>
      </c>
    </row>
    <row r="4655" spans="2:11" ht="24.75" x14ac:dyDescent="0.2">
      <c r="B4655" s="33" t="s">
        <v>5612</v>
      </c>
      <c r="C4655" s="33" t="s">
        <v>1051</v>
      </c>
      <c r="D4655" s="35">
        <f>SUMIFS(D4656:D9015,K4656:K9015,"0",B4656:B9015,"5 1 1 5 4 12 31111 6 M59 70000 000132 0000R 00001 00154 015*")-SUMIFS(E4656:E9015,K4656:K9015,"0",B4656:B9015,"5 1 1 5 4 12 31111 6 M59 70000 000132 0000R 00001 00154 015*")</f>
        <v>0</v>
      </c>
      <c r="E4655"/>
      <c r="F4655" s="35">
        <f>SUMIFS(F4656:F9015,K4656:K9015,"0",B4656:B9015,"5 1 1 5 4 12 31111 6 M59 70000 000132 0000R 00001 00154 015*")</f>
        <v>14675.63</v>
      </c>
      <c r="G4655" s="35">
        <f>SUMIFS(G4656:G9015,K4656:K9015,"0",B4656:B9015,"5 1 1 5 4 12 31111 6 M59 70000 000132 0000R 00001 00154 015*")</f>
        <v>0</v>
      </c>
      <c r="H4655" s="35">
        <f t="shared" si="73"/>
        <v>14675.63</v>
      </c>
      <c r="I4655" s="35"/>
      <c r="K4655" t="s">
        <v>15</v>
      </c>
    </row>
    <row r="4656" spans="2:11" ht="33" x14ac:dyDescent="0.2">
      <c r="B4656" s="33" t="s">
        <v>5613</v>
      </c>
      <c r="C4656" s="33" t="s">
        <v>2927</v>
      </c>
      <c r="D4656" s="35">
        <f>SUMIFS(D4657:D9015,K4657:K9015,"0",B4657:B9015,"5 1 1 5 4 12 31111 6 M59 70000 000132 0000R 00001 00154 015 2111100*")-SUMIFS(E4657:E9015,K4657:K9015,"0",B4657:B9015,"5 1 1 5 4 12 31111 6 M59 70000 000132 0000R 00001 00154 015 2111100*")</f>
        <v>0</v>
      </c>
      <c r="E4656"/>
      <c r="F4656" s="35">
        <f>SUMIFS(F4657:F9015,K4657:K9015,"0",B4657:B9015,"5 1 1 5 4 12 31111 6 M59 70000 000132 0000R 00001 00154 015 2111100*")</f>
        <v>14675.63</v>
      </c>
      <c r="G4656" s="35">
        <f>SUMIFS(G4657:G9015,K4657:K9015,"0",B4657:B9015,"5 1 1 5 4 12 31111 6 M59 70000 000132 0000R 00001 00154 015 2111100*")</f>
        <v>0</v>
      </c>
      <c r="H4656" s="35">
        <f t="shared" si="73"/>
        <v>14675.63</v>
      </c>
      <c r="I4656" s="35"/>
      <c r="K4656" t="s">
        <v>15</v>
      </c>
    </row>
    <row r="4657" spans="2:11" ht="33" x14ac:dyDescent="0.2">
      <c r="B4657" s="33" t="s">
        <v>5614</v>
      </c>
      <c r="C4657" s="33" t="s">
        <v>660</v>
      </c>
      <c r="D4657" s="35">
        <f>SUMIFS(D4658:D9015,K4658:K9015,"0",B4658:B9015,"5 1 1 5 4 12 31111 6 M59 70000 000132 0000R 00001 00154 015 2111100 2024*")-SUMIFS(E4658:E9015,K4658:K9015,"0",B4658:B9015,"5 1 1 5 4 12 31111 6 M59 70000 000132 0000R 00001 00154 015 2111100 2024*")</f>
        <v>0</v>
      </c>
      <c r="E4657"/>
      <c r="F4657" s="35">
        <f>SUMIFS(F4658:F9015,K4658:K9015,"0",B4658:B9015,"5 1 1 5 4 12 31111 6 M59 70000 000132 0000R 00001 00154 015 2111100 2024*")</f>
        <v>14675.63</v>
      </c>
      <c r="G4657" s="35">
        <f>SUMIFS(G4658:G9015,K4658:K9015,"0",B4658:B9015,"5 1 1 5 4 12 31111 6 M59 70000 000132 0000R 00001 00154 015 2111100 2024*")</f>
        <v>0</v>
      </c>
      <c r="H4657" s="35">
        <f t="shared" si="73"/>
        <v>14675.63</v>
      </c>
      <c r="I4657" s="35"/>
      <c r="K4657" t="s">
        <v>15</v>
      </c>
    </row>
    <row r="4658" spans="2:11" ht="41.25" x14ac:dyDescent="0.2">
      <c r="B4658" s="33" t="s">
        <v>5615</v>
      </c>
      <c r="C4658" s="33" t="s">
        <v>1056</v>
      </c>
      <c r="D4658" s="35">
        <f>SUMIFS(D4659:D9015,K4659:K9015,"0",B4659:B9015,"5 1 1 5 4 12 31111 6 M59 70000 000132 0000R 00001 00154 015 2111100 2024 CP1DS387*")-SUMIFS(E4659:E9015,K4659:K9015,"0",B4659:B9015,"5 1 1 5 4 12 31111 6 M59 70000 000132 0000R 00001 00154 015 2111100 2024 CP1DS387*")</f>
        <v>0</v>
      </c>
      <c r="E4658"/>
      <c r="F4658" s="35">
        <f>SUMIFS(F4659:F9015,K4659:K9015,"0",B4659:B9015,"5 1 1 5 4 12 31111 6 M59 70000 000132 0000R 00001 00154 015 2111100 2024 CP1DS387*")</f>
        <v>14675.63</v>
      </c>
      <c r="G4658" s="35">
        <f>SUMIFS(G4659:G9015,K4659:K9015,"0",B4659:B9015,"5 1 1 5 4 12 31111 6 M59 70000 000132 0000R 00001 00154 015 2111100 2024 CP1DS387*")</f>
        <v>0</v>
      </c>
      <c r="H4658" s="35">
        <f t="shared" si="73"/>
        <v>14675.63</v>
      </c>
      <c r="I4658" s="35"/>
      <c r="K4658" t="s">
        <v>15</v>
      </c>
    </row>
    <row r="4659" spans="2:11" ht="41.25" x14ac:dyDescent="0.2">
      <c r="B4659" s="33" t="s">
        <v>5616</v>
      </c>
      <c r="C4659" s="33" t="s">
        <v>282</v>
      </c>
      <c r="D4659" s="35">
        <f>SUMIFS(D4660:D9015,K4660:K9015,"0",B4660:B9015,"5 1 1 5 4 12 31111 6 M59 70000 000132 0000R 00001 00154 015 2111100 2024 CP1DS387 001*")-SUMIFS(E4660:E9015,K4660:K9015,"0",B4660:B9015,"5 1 1 5 4 12 31111 6 M59 70000 000132 0000R 00001 00154 015 2111100 2024 CP1DS387 001*")</f>
        <v>0</v>
      </c>
      <c r="E4659"/>
      <c r="F4659" s="35">
        <f>SUMIFS(F4660:F9015,K4660:K9015,"0",B4660:B9015,"5 1 1 5 4 12 31111 6 M59 70000 000132 0000R 00001 00154 015 2111100 2024 CP1DS387 001*")</f>
        <v>14675.63</v>
      </c>
      <c r="G4659" s="35">
        <f>SUMIFS(G4660:G9015,K4660:K9015,"0",B4660:B9015,"5 1 1 5 4 12 31111 6 M59 70000 000132 0000R 00001 00154 015 2111100 2024 CP1DS387 001*")</f>
        <v>0</v>
      </c>
      <c r="H4659" s="35">
        <f t="shared" si="73"/>
        <v>14675.63</v>
      </c>
      <c r="I4659" s="35"/>
      <c r="K4659" t="s">
        <v>15</v>
      </c>
    </row>
    <row r="4660" spans="2:11" ht="33" x14ac:dyDescent="0.2">
      <c r="B4660" s="31" t="s">
        <v>5617</v>
      </c>
      <c r="C4660" s="31" t="s">
        <v>5429</v>
      </c>
      <c r="D4660" s="34">
        <v>0</v>
      </c>
      <c r="E4660" s="34"/>
      <c r="F4660" s="34">
        <v>2400</v>
      </c>
      <c r="G4660" s="34">
        <v>0</v>
      </c>
      <c r="H4660" s="34">
        <f t="shared" si="73"/>
        <v>2400</v>
      </c>
      <c r="I4660" s="34"/>
      <c r="K4660" t="s">
        <v>38</v>
      </c>
    </row>
    <row r="4661" spans="2:11" ht="33" x14ac:dyDescent="0.2">
      <c r="B4661" s="31" t="s">
        <v>5618</v>
      </c>
      <c r="C4661" s="31" t="s">
        <v>5431</v>
      </c>
      <c r="D4661" s="34">
        <v>0</v>
      </c>
      <c r="E4661" s="34"/>
      <c r="F4661" s="34">
        <v>12275.63</v>
      </c>
      <c r="G4661" s="34">
        <v>0</v>
      </c>
      <c r="H4661" s="34">
        <f t="shared" si="73"/>
        <v>12275.63</v>
      </c>
      <c r="I4661" s="34"/>
      <c r="K4661" t="s">
        <v>38</v>
      </c>
    </row>
    <row r="4662" spans="2:11" ht="16.5" x14ac:dyDescent="0.2">
      <c r="B4662" s="33" t="s">
        <v>5619</v>
      </c>
      <c r="C4662" s="33" t="s">
        <v>3389</v>
      </c>
      <c r="D4662" s="35">
        <f>SUMIFS(D4663:D9015,K4663:K9015,"0",B4663:B9015,"5 1 1 5 4 12 31111 6 M59 70100*")-SUMIFS(E4663:E9015,K4663:K9015,"0",B4663:B9015,"5 1 1 5 4 12 31111 6 M59 70100*")</f>
        <v>0</v>
      </c>
      <c r="E4662"/>
      <c r="F4662" s="35">
        <f>SUMIFS(F4663:F9015,K4663:K9015,"0",B4663:B9015,"5 1 1 5 4 12 31111 6 M59 70100*")</f>
        <v>18532.059999999998</v>
      </c>
      <c r="G4662" s="35">
        <f>SUMIFS(G4663:G9015,K4663:K9015,"0",B4663:B9015,"5 1 1 5 4 12 31111 6 M59 70100*")</f>
        <v>0</v>
      </c>
      <c r="H4662" s="35">
        <f t="shared" si="73"/>
        <v>18532.059999999998</v>
      </c>
      <c r="I4662" s="35"/>
      <c r="K4662" t="s">
        <v>15</v>
      </c>
    </row>
    <row r="4663" spans="2:11" ht="16.5" x14ac:dyDescent="0.2">
      <c r="B4663" s="33" t="s">
        <v>5620</v>
      </c>
      <c r="C4663" s="33" t="s">
        <v>648</v>
      </c>
      <c r="D4663" s="35">
        <f>SUMIFS(D4664:D9015,K4664:K9015,"0",B4664:B9015,"5 1 1 5 4 12 31111 6 M59 70100 000132*")-SUMIFS(E4664:E9015,K4664:K9015,"0",B4664:B9015,"5 1 1 5 4 12 31111 6 M59 70100 000132*")</f>
        <v>0</v>
      </c>
      <c r="E4663"/>
      <c r="F4663" s="35">
        <f>SUMIFS(F4664:F9015,K4664:K9015,"0",B4664:B9015,"5 1 1 5 4 12 31111 6 M59 70100 000132*")</f>
        <v>18532.059999999998</v>
      </c>
      <c r="G4663" s="35">
        <f>SUMIFS(G4664:G9015,K4664:K9015,"0",B4664:B9015,"5 1 1 5 4 12 31111 6 M59 70100 000132*")</f>
        <v>0</v>
      </c>
      <c r="H4663" s="35">
        <f t="shared" si="73"/>
        <v>18532.059999999998</v>
      </c>
      <c r="I4663" s="35"/>
      <c r="K4663" t="s">
        <v>15</v>
      </c>
    </row>
    <row r="4664" spans="2:11" ht="16.5" x14ac:dyDescent="0.2">
      <c r="B4664" s="33" t="s">
        <v>5621</v>
      </c>
      <c r="C4664" s="33" t="s">
        <v>650</v>
      </c>
      <c r="D4664" s="35">
        <f>SUMIFS(D4665:D9015,K4665:K9015,"0",B4665:B9015,"5 1 1 5 4 12 31111 6 M59 70100 000132 0000R*")-SUMIFS(E4665:E9015,K4665:K9015,"0",B4665:B9015,"5 1 1 5 4 12 31111 6 M59 70100 000132 0000R*")</f>
        <v>0</v>
      </c>
      <c r="E4664"/>
      <c r="F4664" s="35">
        <f>SUMIFS(F4665:F9015,K4665:K9015,"0",B4665:B9015,"5 1 1 5 4 12 31111 6 M59 70100 000132 0000R*")</f>
        <v>18532.059999999998</v>
      </c>
      <c r="G4664" s="35">
        <f>SUMIFS(G4665:G9015,K4665:K9015,"0",B4665:B9015,"5 1 1 5 4 12 31111 6 M59 70100 000132 0000R*")</f>
        <v>0</v>
      </c>
      <c r="H4664" s="35">
        <f t="shared" si="73"/>
        <v>18532.059999999998</v>
      </c>
      <c r="I4664" s="35"/>
      <c r="K4664" t="s">
        <v>15</v>
      </c>
    </row>
    <row r="4665" spans="2:11" ht="24.75" x14ac:dyDescent="0.2">
      <c r="B4665" s="33" t="s">
        <v>5622</v>
      </c>
      <c r="C4665" s="33" t="s">
        <v>282</v>
      </c>
      <c r="D4665" s="35">
        <f>SUMIFS(D4666:D9015,K4666:K9015,"0",B4666:B9015,"5 1 1 5 4 12 31111 6 M59 70100 000132 0000R 00001*")-SUMIFS(E4666:E9015,K4666:K9015,"0",B4666:B9015,"5 1 1 5 4 12 31111 6 M59 70100 000132 0000R 00001*")</f>
        <v>0</v>
      </c>
      <c r="E4665"/>
      <c r="F4665" s="35">
        <f>SUMIFS(F4666:F9015,K4666:K9015,"0",B4666:B9015,"5 1 1 5 4 12 31111 6 M59 70100 000132 0000R 00001*")</f>
        <v>18532.059999999998</v>
      </c>
      <c r="G4665" s="35">
        <f>SUMIFS(G4666:G9015,K4666:K9015,"0",B4666:B9015,"5 1 1 5 4 12 31111 6 M59 70100 000132 0000R 00001*")</f>
        <v>0</v>
      </c>
      <c r="H4665" s="35">
        <f t="shared" si="73"/>
        <v>18532.059999999998</v>
      </c>
      <c r="I4665" s="35"/>
      <c r="K4665" t="s">
        <v>15</v>
      </c>
    </row>
    <row r="4666" spans="2:11" ht="24.75" x14ac:dyDescent="0.2">
      <c r="B4666" s="33" t="s">
        <v>5623</v>
      </c>
      <c r="C4666" s="33" t="s">
        <v>5422</v>
      </c>
      <c r="D4666" s="35">
        <f>SUMIFS(D4667:D9015,K4667:K9015,"0",B4667:B9015,"5 1 1 5 4 12 31111 6 M59 70100 000132 0000R 00001 00154*")-SUMIFS(E4667:E9015,K4667:K9015,"0",B4667:B9015,"5 1 1 5 4 12 31111 6 M59 70100 000132 0000R 00001 00154*")</f>
        <v>0</v>
      </c>
      <c r="E4666"/>
      <c r="F4666" s="35">
        <f>SUMIFS(F4667:F9015,K4667:K9015,"0",B4667:B9015,"5 1 1 5 4 12 31111 6 M59 70100 000132 0000R 00001 00154*")</f>
        <v>18532.059999999998</v>
      </c>
      <c r="G4666" s="35">
        <f>SUMIFS(G4667:G9015,K4667:K9015,"0",B4667:B9015,"5 1 1 5 4 12 31111 6 M59 70100 000132 0000R 00001 00154*")</f>
        <v>0</v>
      </c>
      <c r="H4666" s="35">
        <f t="shared" si="73"/>
        <v>18532.059999999998</v>
      </c>
      <c r="I4666" s="35"/>
      <c r="K4666" t="s">
        <v>15</v>
      </c>
    </row>
    <row r="4667" spans="2:11" ht="24.75" x14ac:dyDescent="0.2">
      <c r="B4667" s="33" t="s">
        <v>5624</v>
      </c>
      <c r="C4667" s="33" t="s">
        <v>1051</v>
      </c>
      <c r="D4667" s="35">
        <f>SUMIFS(D4668:D9015,K4668:K9015,"0",B4668:B9015,"5 1 1 5 4 12 31111 6 M59 70100 000132 0000R 00001 00154 015*")-SUMIFS(E4668:E9015,K4668:K9015,"0",B4668:B9015,"5 1 1 5 4 12 31111 6 M59 70100 000132 0000R 00001 00154 015*")</f>
        <v>0</v>
      </c>
      <c r="E4667"/>
      <c r="F4667" s="35">
        <f>SUMIFS(F4668:F9015,K4668:K9015,"0",B4668:B9015,"5 1 1 5 4 12 31111 6 M59 70100 000132 0000R 00001 00154 015*")</f>
        <v>18532.059999999998</v>
      </c>
      <c r="G4667" s="35">
        <f>SUMIFS(G4668:G9015,K4668:K9015,"0",B4668:B9015,"5 1 1 5 4 12 31111 6 M59 70100 000132 0000R 00001 00154 015*")</f>
        <v>0</v>
      </c>
      <c r="H4667" s="35">
        <f t="shared" si="73"/>
        <v>18532.059999999998</v>
      </c>
      <c r="I4667" s="35"/>
      <c r="K4667" t="s">
        <v>15</v>
      </c>
    </row>
    <row r="4668" spans="2:11" ht="33" x14ac:dyDescent="0.2">
      <c r="B4668" s="33" t="s">
        <v>5625</v>
      </c>
      <c r="C4668" s="33" t="s">
        <v>2927</v>
      </c>
      <c r="D4668" s="35">
        <f>SUMIFS(D4669:D9015,K4669:K9015,"0",B4669:B9015,"5 1 1 5 4 12 31111 6 M59 70100 000132 0000R 00001 00154 015 2111100*")-SUMIFS(E4669:E9015,K4669:K9015,"0",B4669:B9015,"5 1 1 5 4 12 31111 6 M59 70100 000132 0000R 00001 00154 015 2111100*")</f>
        <v>0</v>
      </c>
      <c r="E4668"/>
      <c r="F4668" s="35">
        <f>SUMIFS(F4669:F9015,K4669:K9015,"0",B4669:B9015,"5 1 1 5 4 12 31111 6 M59 70100 000132 0000R 00001 00154 015 2111100*")</f>
        <v>18532.059999999998</v>
      </c>
      <c r="G4668" s="35">
        <f>SUMIFS(G4669:G9015,K4669:K9015,"0",B4669:B9015,"5 1 1 5 4 12 31111 6 M59 70100 000132 0000R 00001 00154 015 2111100*")</f>
        <v>0</v>
      </c>
      <c r="H4668" s="35">
        <f t="shared" si="73"/>
        <v>18532.059999999998</v>
      </c>
      <c r="I4668" s="35"/>
      <c r="K4668" t="s">
        <v>15</v>
      </c>
    </row>
    <row r="4669" spans="2:11" ht="33" x14ac:dyDescent="0.2">
      <c r="B4669" s="33" t="s">
        <v>5626</v>
      </c>
      <c r="C4669" s="33" t="s">
        <v>660</v>
      </c>
      <c r="D4669" s="35">
        <f>SUMIFS(D4670:D9015,K4670:K9015,"0",B4670:B9015,"5 1 1 5 4 12 31111 6 M59 70100 000132 0000R 00001 00154 015 2111100 2024*")-SUMIFS(E4670:E9015,K4670:K9015,"0",B4670:B9015,"5 1 1 5 4 12 31111 6 M59 70100 000132 0000R 00001 00154 015 2111100 2024*")</f>
        <v>0</v>
      </c>
      <c r="E4669"/>
      <c r="F4669" s="35">
        <f>SUMIFS(F4670:F9015,K4670:K9015,"0",B4670:B9015,"5 1 1 5 4 12 31111 6 M59 70100 000132 0000R 00001 00154 015 2111100 2024*")</f>
        <v>18532.059999999998</v>
      </c>
      <c r="G4669" s="35">
        <f>SUMIFS(G4670:G9015,K4670:K9015,"0",B4670:B9015,"5 1 1 5 4 12 31111 6 M59 70100 000132 0000R 00001 00154 015 2111100 2024*")</f>
        <v>0</v>
      </c>
      <c r="H4669" s="35">
        <f t="shared" si="73"/>
        <v>18532.059999999998</v>
      </c>
      <c r="I4669" s="35"/>
      <c r="K4669" t="s">
        <v>15</v>
      </c>
    </row>
    <row r="4670" spans="2:11" ht="41.25" x14ac:dyDescent="0.2">
      <c r="B4670" s="33" t="s">
        <v>5627</v>
      </c>
      <c r="C4670" s="33" t="s">
        <v>1056</v>
      </c>
      <c r="D4670" s="35">
        <f>SUMIFS(D4671:D9015,K4671:K9015,"0",B4671:B9015,"5 1 1 5 4 12 31111 6 M59 70100 000132 0000R 00001 00154 015 2111100 2024 CP1MM393*")-SUMIFS(E4671:E9015,K4671:K9015,"0",B4671:B9015,"5 1 1 5 4 12 31111 6 M59 70100 000132 0000R 00001 00154 015 2111100 2024 CP1MM393*")</f>
        <v>0</v>
      </c>
      <c r="E4670"/>
      <c r="F4670" s="35">
        <f>SUMIFS(F4671:F9015,K4671:K9015,"0",B4671:B9015,"5 1 1 5 4 12 31111 6 M59 70100 000132 0000R 00001 00154 015 2111100 2024 CP1MM393*")</f>
        <v>18532.059999999998</v>
      </c>
      <c r="G4670" s="35">
        <f>SUMIFS(G4671:G9015,K4671:K9015,"0",B4671:B9015,"5 1 1 5 4 12 31111 6 M59 70100 000132 0000R 00001 00154 015 2111100 2024 CP1MM393*")</f>
        <v>0</v>
      </c>
      <c r="H4670" s="35">
        <f t="shared" si="73"/>
        <v>18532.059999999998</v>
      </c>
      <c r="I4670" s="35"/>
      <c r="K4670" t="s">
        <v>15</v>
      </c>
    </row>
    <row r="4671" spans="2:11" ht="41.25" x14ac:dyDescent="0.2">
      <c r="B4671" s="33" t="s">
        <v>5628</v>
      </c>
      <c r="C4671" s="33" t="s">
        <v>282</v>
      </c>
      <c r="D4671" s="35">
        <f>SUMIFS(D4672:D9015,K4672:K9015,"0",B4672:B9015,"5 1 1 5 4 12 31111 6 M59 70100 000132 0000R 00001 00154 015 2111100 2024 CP1MM393 001*")-SUMIFS(E4672:E9015,K4672:K9015,"0",B4672:B9015,"5 1 1 5 4 12 31111 6 M59 70100 000132 0000R 00001 00154 015 2111100 2024 CP1MM393 001*")</f>
        <v>0</v>
      </c>
      <c r="E4671"/>
      <c r="F4671" s="35">
        <f>SUMIFS(F4672:F9015,K4672:K9015,"0",B4672:B9015,"5 1 1 5 4 12 31111 6 M59 70100 000132 0000R 00001 00154 015 2111100 2024 CP1MM393 001*")</f>
        <v>18532.059999999998</v>
      </c>
      <c r="G4671" s="35">
        <f>SUMIFS(G4672:G9015,K4672:K9015,"0",B4672:B9015,"5 1 1 5 4 12 31111 6 M59 70100 000132 0000R 00001 00154 015 2111100 2024 CP1MM393 001*")</f>
        <v>0</v>
      </c>
      <c r="H4671" s="35">
        <f t="shared" si="73"/>
        <v>18532.059999999998</v>
      </c>
      <c r="I4671" s="35"/>
      <c r="K4671" t="s">
        <v>15</v>
      </c>
    </row>
    <row r="4672" spans="2:11" ht="33" x14ac:dyDescent="0.2">
      <c r="B4672" s="31" t="s">
        <v>5629</v>
      </c>
      <c r="C4672" s="31" t="s">
        <v>5429</v>
      </c>
      <c r="D4672" s="34">
        <v>0</v>
      </c>
      <c r="E4672" s="34"/>
      <c r="F4672" s="34">
        <v>3036</v>
      </c>
      <c r="G4672" s="34">
        <v>0</v>
      </c>
      <c r="H4672" s="34">
        <f t="shared" si="73"/>
        <v>3036</v>
      </c>
      <c r="I4672" s="34"/>
      <c r="K4672" t="s">
        <v>38</v>
      </c>
    </row>
    <row r="4673" spans="2:11" ht="33" x14ac:dyDescent="0.2">
      <c r="B4673" s="31" t="s">
        <v>5630</v>
      </c>
      <c r="C4673" s="31" t="s">
        <v>5431</v>
      </c>
      <c r="D4673" s="34">
        <v>0</v>
      </c>
      <c r="E4673" s="34"/>
      <c r="F4673" s="34">
        <v>3608.4</v>
      </c>
      <c r="G4673" s="34">
        <v>0</v>
      </c>
      <c r="H4673" s="34">
        <f t="shared" si="73"/>
        <v>3608.4</v>
      </c>
      <c r="I4673" s="34"/>
      <c r="K4673" t="s">
        <v>38</v>
      </c>
    </row>
    <row r="4674" spans="2:11" ht="33" x14ac:dyDescent="0.2">
      <c r="B4674" s="31" t="s">
        <v>5631</v>
      </c>
      <c r="C4674" s="31" t="s">
        <v>5446</v>
      </c>
      <c r="D4674" s="34">
        <v>0</v>
      </c>
      <c r="E4674" s="34"/>
      <c r="F4674" s="34">
        <v>11887.66</v>
      </c>
      <c r="G4674" s="34">
        <v>0</v>
      </c>
      <c r="H4674" s="34">
        <f t="shared" si="73"/>
        <v>11887.66</v>
      </c>
      <c r="I4674" s="34"/>
      <c r="K4674" t="s">
        <v>38</v>
      </c>
    </row>
    <row r="4675" spans="2:11" ht="16.5" x14ac:dyDescent="0.2">
      <c r="B4675" s="33" t="s">
        <v>5632</v>
      </c>
      <c r="C4675" s="33" t="s">
        <v>3425</v>
      </c>
      <c r="D4675" s="35">
        <f>SUMIFS(D4676:D9015,K4676:K9015,"0",B4676:B9015,"5 1 1 5 4 12 31111 6 M59 70400*")-SUMIFS(E4676:E9015,K4676:K9015,"0",B4676:B9015,"5 1 1 5 4 12 31111 6 M59 70400*")</f>
        <v>0</v>
      </c>
      <c r="E4675"/>
      <c r="F4675" s="35">
        <f>SUMIFS(F4676:F9015,K4676:K9015,"0",B4676:B9015,"5 1 1 5 4 12 31111 6 M59 70400*")</f>
        <v>5200</v>
      </c>
      <c r="G4675" s="35">
        <f>SUMIFS(G4676:G9015,K4676:K9015,"0",B4676:B9015,"5 1 1 5 4 12 31111 6 M59 70400*")</f>
        <v>0</v>
      </c>
      <c r="H4675" s="35">
        <f t="shared" si="73"/>
        <v>5200</v>
      </c>
      <c r="I4675" s="35"/>
      <c r="K4675" t="s">
        <v>15</v>
      </c>
    </row>
    <row r="4676" spans="2:11" ht="16.5" x14ac:dyDescent="0.2">
      <c r="B4676" s="33" t="s">
        <v>5633</v>
      </c>
      <c r="C4676" s="33" t="s">
        <v>3427</v>
      </c>
      <c r="D4676" s="35">
        <f>SUMIFS(D4677:D9015,K4677:K9015,"0",B4677:B9015,"5 1 1 5 4 12 31111 6 M59 70400 000241*")-SUMIFS(E4677:E9015,K4677:K9015,"0",B4677:B9015,"5 1 1 5 4 12 31111 6 M59 70400 000241*")</f>
        <v>0</v>
      </c>
      <c r="E4676"/>
      <c r="F4676" s="35">
        <f>SUMIFS(F4677:F9015,K4677:K9015,"0",B4677:B9015,"5 1 1 5 4 12 31111 6 M59 70400 000241*")</f>
        <v>5200</v>
      </c>
      <c r="G4676" s="35">
        <f>SUMIFS(G4677:G9015,K4677:K9015,"0",B4677:B9015,"5 1 1 5 4 12 31111 6 M59 70400 000241*")</f>
        <v>0</v>
      </c>
      <c r="H4676" s="35">
        <f t="shared" ref="H4676:H4739" si="74">D4676 + F4676 - G4676</f>
        <v>5200</v>
      </c>
      <c r="I4676" s="35"/>
      <c r="K4676" t="s">
        <v>15</v>
      </c>
    </row>
    <row r="4677" spans="2:11" ht="16.5" x14ac:dyDescent="0.2">
      <c r="B4677" s="33" t="s">
        <v>5634</v>
      </c>
      <c r="C4677" s="33" t="s">
        <v>650</v>
      </c>
      <c r="D4677" s="35">
        <f>SUMIFS(D4678:D9015,K4678:K9015,"0",B4678:B9015,"5 1 1 5 4 12 31111 6 M59 70400 000241 0000R*")-SUMIFS(E4678:E9015,K4678:K9015,"0",B4678:B9015,"5 1 1 5 4 12 31111 6 M59 70400 000241 0000R*")</f>
        <v>0</v>
      </c>
      <c r="E4677"/>
      <c r="F4677" s="35">
        <f>SUMIFS(F4678:F9015,K4678:K9015,"0",B4678:B9015,"5 1 1 5 4 12 31111 6 M59 70400 000241 0000R*")</f>
        <v>5200</v>
      </c>
      <c r="G4677" s="35">
        <f>SUMIFS(G4678:G9015,K4678:K9015,"0",B4678:B9015,"5 1 1 5 4 12 31111 6 M59 70400 000241 0000R*")</f>
        <v>0</v>
      </c>
      <c r="H4677" s="35">
        <f t="shared" si="74"/>
        <v>5200</v>
      </c>
      <c r="I4677" s="35"/>
      <c r="K4677" t="s">
        <v>15</v>
      </c>
    </row>
    <row r="4678" spans="2:11" ht="24.75" x14ac:dyDescent="0.2">
      <c r="B4678" s="33" t="s">
        <v>5635</v>
      </c>
      <c r="C4678" s="33" t="s">
        <v>282</v>
      </c>
      <c r="D4678" s="35">
        <f>SUMIFS(D4679:D9015,K4679:K9015,"0",B4679:B9015,"5 1 1 5 4 12 31111 6 M59 70400 000241 0000R 00001*")-SUMIFS(E4679:E9015,K4679:K9015,"0",B4679:B9015,"5 1 1 5 4 12 31111 6 M59 70400 000241 0000R 00001*")</f>
        <v>0</v>
      </c>
      <c r="E4678"/>
      <c r="F4678" s="35">
        <f>SUMIFS(F4679:F9015,K4679:K9015,"0",B4679:B9015,"5 1 1 5 4 12 31111 6 M59 70400 000241 0000R 00001*")</f>
        <v>5200</v>
      </c>
      <c r="G4678" s="35">
        <f>SUMIFS(G4679:G9015,K4679:K9015,"0",B4679:B9015,"5 1 1 5 4 12 31111 6 M59 70400 000241 0000R 00001*")</f>
        <v>0</v>
      </c>
      <c r="H4678" s="35">
        <f t="shared" si="74"/>
        <v>5200</v>
      </c>
      <c r="I4678" s="35"/>
      <c r="K4678" t="s">
        <v>15</v>
      </c>
    </row>
    <row r="4679" spans="2:11" ht="24.75" x14ac:dyDescent="0.2">
      <c r="B4679" s="33" t="s">
        <v>5636</v>
      </c>
      <c r="C4679" s="33" t="s">
        <v>5422</v>
      </c>
      <c r="D4679" s="35">
        <f>SUMIFS(D4680:D9015,K4680:K9015,"0",B4680:B9015,"5 1 1 5 4 12 31111 6 M59 70400 000241 0000R 00001 00154*")-SUMIFS(E4680:E9015,K4680:K9015,"0",B4680:B9015,"5 1 1 5 4 12 31111 6 M59 70400 000241 0000R 00001 00154*")</f>
        <v>0</v>
      </c>
      <c r="E4679"/>
      <c r="F4679" s="35">
        <f>SUMIFS(F4680:F9015,K4680:K9015,"0",B4680:B9015,"5 1 1 5 4 12 31111 6 M59 70400 000241 0000R 00001 00154*")</f>
        <v>5200</v>
      </c>
      <c r="G4679" s="35">
        <f>SUMIFS(G4680:G9015,K4680:K9015,"0",B4680:B9015,"5 1 1 5 4 12 31111 6 M59 70400 000241 0000R 00001 00154*")</f>
        <v>0</v>
      </c>
      <c r="H4679" s="35">
        <f t="shared" si="74"/>
        <v>5200</v>
      </c>
      <c r="I4679" s="35"/>
      <c r="K4679" t="s">
        <v>15</v>
      </c>
    </row>
    <row r="4680" spans="2:11" ht="24.75" x14ac:dyDescent="0.2">
      <c r="B4680" s="33" t="s">
        <v>5637</v>
      </c>
      <c r="C4680" s="33" t="s">
        <v>1051</v>
      </c>
      <c r="D4680" s="35">
        <f>SUMIFS(D4681:D9015,K4681:K9015,"0",B4681:B9015,"5 1 1 5 4 12 31111 6 M59 70400 000241 0000R 00001 00154 015*")-SUMIFS(E4681:E9015,K4681:K9015,"0",B4681:B9015,"5 1 1 5 4 12 31111 6 M59 70400 000241 0000R 00001 00154 015*")</f>
        <v>0</v>
      </c>
      <c r="E4680"/>
      <c r="F4680" s="35">
        <f>SUMIFS(F4681:F9015,K4681:K9015,"0",B4681:B9015,"5 1 1 5 4 12 31111 6 M59 70400 000241 0000R 00001 00154 015*")</f>
        <v>5200</v>
      </c>
      <c r="G4680" s="35">
        <f>SUMIFS(G4681:G9015,K4681:K9015,"0",B4681:B9015,"5 1 1 5 4 12 31111 6 M59 70400 000241 0000R 00001 00154 015*")</f>
        <v>0</v>
      </c>
      <c r="H4680" s="35">
        <f t="shared" si="74"/>
        <v>5200</v>
      </c>
      <c r="I4680" s="35"/>
      <c r="K4680" t="s">
        <v>15</v>
      </c>
    </row>
    <row r="4681" spans="2:11" ht="33" x14ac:dyDescent="0.2">
      <c r="B4681" s="33" t="s">
        <v>5638</v>
      </c>
      <c r="C4681" s="33" t="s">
        <v>2927</v>
      </c>
      <c r="D4681" s="35">
        <f>SUMIFS(D4682:D9015,K4682:K9015,"0",B4682:B9015,"5 1 1 5 4 12 31111 6 M59 70400 000241 0000R 00001 00154 015 2111100*")-SUMIFS(E4682:E9015,K4682:K9015,"0",B4682:B9015,"5 1 1 5 4 12 31111 6 M59 70400 000241 0000R 00001 00154 015 2111100*")</f>
        <v>0</v>
      </c>
      <c r="E4681"/>
      <c r="F4681" s="35">
        <f>SUMIFS(F4682:F9015,K4682:K9015,"0",B4682:B9015,"5 1 1 5 4 12 31111 6 M59 70400 000241 0000R 00001 00154 015 2111100*")</f>
        <v>5200</v>
      </c>
      <c r="G4681" s="35">
        <f>SUMIFS(G4682:G9015,K4682:K9015,"0",B4682:B9015,"5 1 1 5 4 12 31111 6 M59 70400 000241 0000R 00001 00154 015 2111100*")</f>
        <v>0</v>
      </c>
      <c r="H4681" s="35">
        <f t="shared" si="74"/>
        <v>5200</v>
      </c>
      <c r="I4681" s="35"/>
      <c r="K4681" t="s">
        <v>15</v>
      </c>
    </row>
    <row r="4682" spans="2:11" ht="33" x14ac:dyDescent="0.2">
      <c r="B4682" s="33" t="s">
        <v>5639</v>
      </c>
      <c r="C4682" s="33" t="s">
        <v>660</v>
      </c>
      <c r="D4682" s="35">
        <f>SUMIFS(D4683:D9015,K4683:K9015,"0",B4683:B9015,"5 1 1 5 4 12 31111 6 M59 70400 000241 0000R 00001 00154 015 2111100 2024*")-SUMIFS(E4683:E9015,K4683:K9015,"0",B4683:B9015,"5 1 1 5 4 12 31111 6 M59 70400 000241 0000R 00001 00154 015 2111100 2024*")</f>
        <v>0</v>
      </c>
      <c r="E4682"/>
      <c r="F4682" s="35">
        <f>SUMIFS(F4683:F9015,K4683:K9015,"0",B4683:B9015,"5 1 1 5 4 12 31111 6 M59 70400 000241 0000R 00001 00154 015 2111100 2024*")</f>
        <v>5200</v>
      </c>
      <c r="G4682" s="35">
        <f>SUMIFS(G4683:G9015,K4683:K9015,"0",B4683:B9015,"5 1 1 5 4 12 31111 6 M59 70400 000241 0000R 00001 00154 015 2111100 2024*")</f>
        <v>0</v>
      </c>
      <c r="H4682" s="35">
        <f t="shared" si="74"/>
        <v>5200</v>
      </c>
      <c r="I4682" s="35"/>
      <c r="K4682" t="s">
        <v>15</v>
      </c>
    </row>
    <row r="4683" spans="2:11" ht="41.25" x14ac:dyDescent="0.2">
      <c r="B4683" s="33" t="s">
        <v>5640</v>
      </c>
      <c r="C4683" s="33" t="s">
        <v>662</v>
      </c>
      <c r="D4683" s="35">
        <f>SUMIFS(D4684:D9015,K4684:K9015,"0",B4684:B9015,"5 1 1 5 4 12 31111 6 M59 70400 000241 0000R 00001 00154 015 2111100 2024 CP1DD418*")-SUMIFS(E4684:E9015,K4684:K9015,"0",B4684:B9015,"5 1 1 5 4 12 31111 6 M59 70400 000241 0000R 00001 00154 015 2111100 2024 CP1DD418*")</f>
        <v>0</v>
      </c>
      <c r="E4683"/>
      <c r="F4683" s="35">
        <f>SUMIFS(F4684:F9015,K4684:K9015,"0",B4684:B9015,"5 1 1 5 4 12 31111 6 M59 70400 000241 0000R 00001 00154 015 2111100 2024 CP1DD418*")</f>
        <v>5200</v>
      </c>
      <c r="G4683" s="35">
        <f>SUMIFS(G4684:G9015,K4684:K9015,"0",B4684:B9015,"5 1 1 5 4 12 31111 6 M59 70400 000241 0000R 00001 00154 015 2111100 2024 CP1DD418*")</f>
        <v>0</v>
      </c>
      <c r="H4683" s="35">
        <f t="shared" si="74"/>
        <v>5200</v>
      </c>
      <c r="I4683" s="35"/>
      <c r="K4683" t="s">
        <v>15</v>
      </c>
    </row>
    <row r="4684" spans="2:11" ht="41.25" x14ac:dyDescent="0.2">
      <c r="B4684" s="33" t="s">
        <v>5641</v>
      </c>
      <c r="C4684" s="33" t="s">
        <v>282</v>
      </c>
      <c r="D4684" s="35">
        <f>SUMIFS(D4685:D9015,K4685:K9015,"0",B4685:B9015,"5 1 1 5 4 12 31111 6 M59 70400 000241 0000R 00001 00154 015 2111100 2024 CP1DD418 001*")-SUMIFS(E4685:E9015,K4685:K9015,"0",B4685:B9015,"5 1 1 5 4 12 31111 6 M59 70400 000241 0000R 00001 00154 015 2111100 2024 CP1DD418 001*")</f>
        <v>0</v>
      </c>
      <c r="E4684"/>
      <c r="F4684" s="35">
        <f>SUMIFS(F4685:F9015,K4685:K9015,"0",B4685:B9015,"5 1 1 5 4 12 31111 6 M59 70400 000241 0000R 00001 00154 015 2111100 2024 CP1DD418 001*")</f>
        <v>5200</v>
      </c>
      <c r="G4684" s="35">
        <f>SUMIFS(G4685:G9015,K4685:K9015,"0",B4685:B9015,"5 1 1 5 4 12 31111 6 M59 70400 000241 0000R 00001 00154 015 2111100 2024 CP1DD418 001*")</f>
        <v>0</v>
      </c>
      <c r="H4684" s="35">
        <f t="shared" si="74"/>
        <v>5200</v>
      </c>
      <c r="I4684" s="35"/>
      <c r="K4684" t="s">
        <v>15</v>
      </c>
    </row>
    <row r="4685" spans="2:11" ht="33" x14ac:dyDescent="0.2">
      <c r="B4685" s="31" t="s">
        <v>5642</v>
      </c>
      <c r="C4685" s="31" t="s">
        <v>5443</v>
      </c>
      <c r="D4685" s="34">
        <v>0</v>
      </c>
      <c r="E4685" s="34"/>
      <c r="F4685" s="34">
        <v>1200</v>
      </c>
      <c r="G4685" s="34">
        <v>0</v>
      </c>
      <c r="H4685" s="34">
        <f t="shared" si="74"/>
        <v>1200</v>
      </c>
      <c r="I4685" s="34"/>
      <c r="K4685" t="s">
        <v>38</v>
      </c>
    </row>
    <row r="4686" spans="2:11" ht="33" x14ac:dyDescent="0.2">
      <c r="B4686" s="31" t="s">
        <v>5643</v>
      </c>
      <c r="C4686" s="31" t="s">
        <v>5431</v>
      </c>
      <c r="D4686" s="34">
        <v>0</v>
      </c>
      <c r="E4686" s="34"/>
      <c r="F4686" s="34">
        <v>4000</v>
      </c>
      <c r="G4686" s="34">
        <v>0</v>
      </c>
      <c r="H4686" s="34">
        <f t="shared" si="74"/>
        <v>4000</v>
      </c>
      <c r="I4686" s="34"/>
      <c r="K4686" t="s">
        <v>38</v>
      </c>
    </row>
    <row r="4687" spans="2:11" ht="16.5" x14ac:dyDescent="0.2">
      <c r="B4687" s="33" t="s">
        <v>5644</v>
      </c>
      <c r="C4687" s="33" t="s">
        <v>3474</v>
      </c>
      <c r="D4687" s="35">
        <f>SUMIFS(D4688:D9015,K4688:K9015,"0",B4688:B9015,"5 1 1 5 4 12 31111 6 M59 70800*")-SUMIFS(E4688:E9015,K4688:K9015,"0",B4688:B9015,"5 1 1 5 4 12 31111 6 M59 70800*")</f>
        <v>0</v>
      </c>
      <c r="E4687"/>
      <c r="F4687" s="35">
        <f>SUMIFS(F4688:F9015,K4688:K9015,"0",B4688:B9015,"5 1 1 5 4 12 31111 6 M59 70800*")</f>
        <v>624</v>
      </c>
      <c r="G4687" s="35">
        <f>SUMIFS(G4688:G9015,K4688:K9015,"0",B4688:B9015,"5 1 1 5 4 12 31111 6 M59 70800*")</f>
        <v>0</v>
      </c>
      <c r="H4687" s="35">
        <f t="shared" si="74"/>
        <v>624</v>
      </c>
      <c r="I4687" s="35"/>
      <c r="K4687" t="s">
        <v>15</v>
      </c>
    </row>
    <row r="4688" spans="2:11" ht="16.5" x14ac:dyDescent="0.2">
      <c r="B4688" s="33" t="s">
        <v>5645</v>
      </c>
      <c r="C4688" s="33" t="s">
        <v>648</v>
      </c>
      <c r="D4688" s="35">
        <f>SUMIFS(D4689:D9015,K4689:K9015,"0",B4689:B9015,"5 1 1 5 4 12 31111 6 M59 70800 000132*")-SUMIFS(E4689:E9015,K4689:K9015,"0",B4689:B9015,"5 1 1 5 4 12 31111 6 M59 70800 000132*")</f>
        <v>0</v>
      </c>
      <c r="E4688"/>
      <c r="F4688" s="35">
        <f>SUMIFS(F4689:F9015,K4689:K9015,"0",B4689:B9015,"5 1 1 5 4 12 31111 6 M59 70800 000132*")</f>
        <v>624</v>
      </c>
      <c r="G4688" s="35">
        <f>SUMIFS(G4689:G9015,K4689:K9015,"0",B4689:B9015,"5 1 1 5 4 12 31111 6 M59 70800 000132*")</f>
        <v>0</v>
      </c>
      <c r="H4688" s="35">
        <f t="shared" si="74"/>
        <v>624</v>
      </c>
      <c r="I4688" s="35"/>
      <c r="K4688" t="s">
        <v>15</v>
      </c>
    </row>
    <row r="4689" spans="2:11" ht="16.5" x14ac:dyDescent="0.2">
      <c r="B4689" s="33" t="s">
        <v>5646</v>
      </c>
      <c r="C4689" s="33" t="s">
        <v>650</v>
      </c>
      <c r="D4689" s="35">
        <f>SUMIFS(D4690:D9015,K4690:K9015,"0",B4690:B9015,"5 1 1 5 4 12 31111 6 M59 70800 000132 0000R*")-SUMIFS(E4690:E9015,K4690:K9015,"0",B4690:B9015,"5 1 1 5 4 12 31111 6 M59 70800 000132 0000R*")</f>
        <v>0</v>
      </c>
      <c r="E4689"/>
      <c r="F4689" s="35">
        <f>SUMIFS(F4690:F9015,K4690:K9015,"0",B4690:B9015,"5 1 1 5 4 12 31111 6 M59 70800 000132 0000R*")</f>
        <v>624</v>
      </c>
      <c r="G4689" s="35">
        <f>SUMIFS(G4690:G9015,K4690:K9015,"0",B4690:B9015,"5 1 1 5 4 12 31111 6 M59 70800 000132 0000R*")</f>
        <v>0</v>
      </c>
      <c r="H4689" s="35">
        <f t="shared" si="74"/>
        <v>624</v>
      </c>
      <c r="I4689" s="35"/>
      <c r="K4689" t="s">
        <v>15</v>
      </c>
    </row>
    <row r="4690" spans="2:11" ht="24.75" x14ac:dyDescent="0.2">
      <c r="B4690" s="33" t="s">
        <v>5647</v>
      </c>
      <c r="C4690" s="33" t="s">
        <v>282</v>
      </c>
      <c r="D4690" s="35">
        <f>SUMIFS(D4691:D9015,K4691:K9015,"0",B4691:B9015,"5 1 1 5 4 12 31111 6 M59 70800 000132 0000R 00001*")-SUMIFS(E4691:E9015,K4691:K9015,"0",B4691:B9015,"5 1 1 5 4 12 31111 6 M59 70800 000132 0000R 00001*")</f>
        <v>0</v>
      </c>
      <c r="E4690"/>
      <c r="F4690" s="35">
        <f>SUMIFS(F4691:F9015,K4691:K9015,"0",B4691:B9015,"5 1 1 5 4 12 31111 6 M59 70800 000132 0000R 00001*")</f>
        <v>624</v>
      </c>
      <c r="G4690" s="35">
        <f>SUMIFS(G4691:G9015,K4691:K9015,"0",B4691:B9015,"5 1 1 5 4 12 31111 6 M59 70800 000132 0000R 00001*")</f>
        <v>0</v>
      </c>
      <c r="H4690" s="35">
        <f t="shared" si="74"/>
        <v>624</v>
      </c>
      <c r="I4690" s="35"/>
      <c r="K4690" t="s">
        <v>15</v>
      </c>
    </row>
    <row r="4691" spans="2:11" ht="24.75" x14ac:dyDescent="0.2">
      <c r="B4691" s="33" t="s">
        <v>5648</v>
      </c>
      <c r="C4691" s="33" t="s">
        <v>5422</v>
      </c>
      <c r="D4691" s="35">
        <f>SUMIFS(D4692:D9015,K4692:K9015,"0",B4692:B9015,"5 1 1 5 4 12 31111 6 M59 70800 000132 0000R 00001 00154*")-SUMIFS(E4692:E9015,K4692:K9015,"0",B4692:B9015,"5 1 1 5 4 12 31111 6 M59 70800 000132 0000R 00001 00154*")</f>
        <v>0</v>
      </c>
      <c r="E4691"/>
      <c r="F4691" s="35">
        <f>SUMIFS(F4692:F9015,K4692:K9015,"0",B4692:B9015,"5 1 1 5 4 12 31111 6 M59 70800 000132 0000R 00001 00154*")</f>
        <v>624</v>
      </c>
      <c r="G4691" s="35">
        <f>SUMIFS(G4692:G9015,K4692:K9015,"0",B4692:B9015,"5 1 1 5 4 12 31111 6 M59 70800 000132 0000R 00001 00154*")</f>
        <v>0</v>
      </c>
      <c r="H4691" s="35">
        <f t="shared" si="74"/>
        <v>624</v>
      </c>
      <c r="I4691" s="35"/>
      <c r="K4691" t="s">
        <v>15</v>
      </c>
    </row>
    <row r="4692" spans="2:11" ht="24.75" x14ac:dyDescent="0.2">
      <c r="B4692" s="33" t="s">
        <v>5649</v>
      </c>
      <c r="C4692" s="33" t="s">
        <v>1051</v>
      </c>
      <c r="D4692" s="35">
        <f>SUMIFS(D4693:D9015,K4693:K9015,"0",B4693:B9015,"5 1 1 5 4 12 31111 6 M59 70800 000132 0000R 00001 00154 015*")-SUMIFS(E4693:E9015,K4693:K9015,"0",B4693:B9015,"5 1 1 5 4 12 31111 6 M59 70800 000132 0000R 00001 00154 015*")</f>
        <v>0</v>
      </c>
      <c r="E4692"/>
      <c r="F4692" s="35">
        <f>SUMIFS(F4693:F9015,K4693:K9015,"0",B4693:B9015,"5 1 1 5 4 12 31111 6 M59 70800 000132 0000R 00001 00154 015*")</f>
        <v>624</v>
      </c>
      <c r="G4692" s="35">
        <f>SUMIFS(G4693:G9015,K4693:K9015,"0",B4693:B9015,"5 1 1 5 4 12 31111 6 M59 70800 000132 0000R 00001 00154 015*")</f>
        <v>0</v>
      </c>
      <c r="H4692" s="35">
        <f t="shared" si="74"/>
        <v>624</v>
      </c>
      <c r="I4692" s="35"/>
      <c r="K4692" t="s">
        <v>15</v>
      </c>
    </row>
    <row r="4693" spans="2:11" ht="33" x14ac:dyDescent="0.2">
      <c r="B4693" s="33" t="s">
        <v>5650</v>
      </c>
      <c r="C4693" s="33" t="s">
        <v>2927</v>
      </c>
      <c r="D4693" s="35">
        <f>SUMIFS(D4694:D9015,K4694:K9015,"0",B4694:B9015,"5 1 1 5 4 12 31111 6 M59 70800 000132 0000R 00001 00154 015 2111100*")-SUMIFS(E4694:E9015,K4694:K9015,"0",B4694:B9015,"5 1 1 5 4 12 31111 6 M59 70800 000132 0000R 00001 00154 015 2111100*")</f>
        <v>0</v>
      </c>
      <c r="E4693"/>
      <c r="F4693" s="35">
        <f>SUMIFS(F4694:F9015,K4694:K9015,"0",B4694:B9015,"5 1 1 5 4 12 31111 6 M59 70800 000132 0000R 00001 00154 015 2111100*")</f>
        <v>624</v>
      </c>
      <c r="G4693" s="35">
        <f>SUMIFS(G4694:G9015,K4694:K9015,"0",B4694:B9015,"5 1 1 5 4 12 31111 6 M59 70800 000132 0000R 00001 00154 015 2111100*")</f>
        <v>0</v>
      </c>
      <c r="H4693" s="35">
        <f t="shared" si="74"/>
        <v>624</v>
      </c>
      <c r="I4693" s="35"/>
      <c r="K4693" t="s">
        <v>15</v>
      </c>
    </row>
    <row r="4694" spans="2:11" ht="33" x14ac:dyDescent="0.2">
      <c r="B4694" s="33" t="s">
        <v>5651</v>
      </c>
      <c r="C4694" s="33" t="s">
        <v>660</v>
      </c>
      <c r="D4694" s="35">
        <f>SUMIFS(D4695:D9015,K4695:K9015,"0",B4695:B9015,"5 1 1 5 4 12 31111 6 M59 70800 000132 0000R 00001 00154 015 2111100 2024*")-SUMIFS(E4695:E9015,K4695:K9015,"0",B4695:B9015,"5 1 1 5 4 12 31111 6 M59 70800 000132 0000R 00001 00154 015 2111100 2024*")</f>
        <v>0</v>
      </c>
      <c r="E4694"/>
      <c r="F4694" s="35">
        <f>SUMIFS(F4695:F9015,K4695:K9015,"0",B4695:B9015,"5 1 1 5 4 12 31111 6 M59 70800 000132 0000R 00001 00154 015 2111100 2024*")</f>
        <v>624</v>
      </c>
      <c r="G4694" s="35">
        <f>SUMIFS(G4695:G9015,K4695:K9015,"0",B4695:B9015,"5 1 1 5 4 12 31111 6 M59 70800 000132 0000R 00001 00154 015 2111100 2024*")</f>
        <v>0</v>
      </c>
      <c r="H4694" s="35">
        <f t="shared" si="74"/>
        <v>624</v>
      </c>
      <c r="I4694" s="35"/>
      <c r="K4694" t="s">
        <v>15</v>
      </c>
    </row>
    <row r="4695" spans="2:11" ht="41.25" x14ac:dyDescent="0.2">
      <c r="B4695" s="33" t="s">
        <v>5652</v>
      </c>
      <c r="C4695" s="33" t="s">
        <v>662</v>
      </c>
      <c r="D4695" s="35">
        <f>SUMIFS(D4696:D9015,K4696:K9015,"0",B4696:B9015,"5 1 1 5 4 12 31111 6 M59 70800 000132 0000R 00001 00154 015 2111100 2024 CP1ED416*")-SUMIFS(E4696:E9015,K4696:K9015,"0",B4696:B9015,"5 1 1 5 4 12 31111 6 M59 70800 000132 0000R 00001 00154 015 2111100 2024 CP1ED416*")</f>
        <v>0</v>
      </c>
      <c r="E4695"/>
      <c r="F4695" s="35">
        <f>SUMIFS(F4696:F9015,K4696:K9015,"0",B4696:B9015,"5 1 1 5 4 12 31111 6 M59 70800 000132 0000R 00001 00154 015 2111100 2024 CP1ED416*")</f>
        <v>624</v>
      </c>
      <c r="G4695" s="35">
        <f>SUMIFS(G4696:G9015,K4696:K9015,"0",B4696:B9015,"5 1 1 5 4 12 31111 6 M59 70800 000132 0000R 00001 00154 015 2111100 2024 CP1ED416*")</f>
        <v>0</v>
      </c>
      <c r="H4695" s="35">
        <f t="shared" si="74"/>
        <v>624</v>
      </c>
      <c r="I4695" s="35"/>
      <c r="K4695" t="s">
        <v>15</v>
      </c>
    </row>
    <row r="4696" spans="2:11" ht="41.25" x14ac:dyDescent="0.2">
      <c r="B4696" s="33" t="s">
        <v>5653</v>
      </c>
      <c r="C4696" s="33" t="s">
        <v>282</v>
      </c>
      <c r="D4696" s="35">
        <f>SUMIFS(D4697:D9015,K4697:K9015,"0",B4697:B9015,"5 1 1 5 4 12 31111 6 M59 70800 000132 0000R 00001 00154 015 2111100 2024 CP1ED416 001*")-SUMIFS(E4697:E9015,K4697:K9015,"0",B4697:B9015,"5 1 1 5 4 12 31111 6 M59 70800 000132 0000R 00001 00154 015 2111100 2024 CP1ED416 001*")</f>
        <v>0</v>
      </c>
      <c r="E4696"/>
      <c r="F4696" s="35">
        <f>SUMIFS(F4697:F9015,K4697:K9015,"0",B4697:B9015,"5 1 1 5 4 12 31111 6 M59 70800 000132 0000R 00001 00154 015 2111100 2024 CP1ED416 001*")</f>
        <v>624</v>
      </c>
      <c r="G4696" s="35">
        <f>SUMIFS(G4697:G9015,K4697:K9015,"0",B4697:B9015,"5 1 1 5 4 12 31111 6 M59 70800 000132 0000R 00001 00154 015 2111100 2024 CP1ED416 001*")</f>
        <v>0</v>
      </c>
      <c r="H4696" s="35">
        <f t="shared" si="74"/>
        <v>624</v>
      </c>
      <c r="I4696" s="35"/>
      <c r="K4696" t="s">
        <v>15</v>
      </c>
    </row>
    <row r="4697" spans="2:11" ht="33" x14ac:dyDescent="0.2">
      <c r="B4697" s="31" t="s">
        <v>5654</v>
      </c>
      <c r="C4697" s="31" t="s">
        <v>5443</v>
      </c>
      <c r="D4697" s="34">
        <v>0</v>
      </c>
      <c r="E4697" s="34"/>
      <c r="F4697" s="34">
        <v>424</v>
      </c>
      <c r="G4697" s="34">
        <v>0</v>
      </c>
      <c r="H4697" s="34">
        <f t="shared" si="74"/>
        <v>424</v>
      </c>
      <c r="I4697" s="34"/>
      <c r="K4697" t="s">
        <v>38</v>
      </c>
    </row>
    <row r="4698" spans="2:11" ht="33" x14ac:dyDescent="0.2">
      <c r="B4698" s="31" t="s">
        <v>5655</v>
      </c>
      <c r="C4698" s="31" t="s">
        <v>5431</v>
      </c>
      <c r="D4698" s="34">
        <v>0</v>
      </c>
      <c r="E4698" s="34"/>
      <c r="F4698" s="34">
        <v>200</v>
      </c>
      <c r="G4698" s="34">
        <v>0</v>
      </c>
      <c r="H4698" s="34">
        <f t="shared" si="74"/>
        <v>200</v>
      </c>
      <c r="I4698" s="34"/>
      <c r="K4698" t="s">
        <v>38</v>
      </c>
    </row>
    <row r="4699" spans="2:11" ht="16.5" x14ac:dyDescent="0.2">
      <c r="B4699" s="33" t="s">
        <v>5656</v>
      </c>
      <c r="C4699" s="33" t="s">
        <v>3559</v>
      </c>
      <c r="D4699" s="35">
        <f>SUMIFS(D4700:D9015,K4700:K9015,"0",B4700:B9015,"5 1 1 5 4 12 31111 6 M59 80400*")-SUMIFS(E4700:E9015,K4700:K9015,"0",B4700:B9015,"5 1 1 5 4 12 31111 6 M59 80400*")</f>
        <v>0</v>
      </c>
      <c r="E4699"/>
      <c r="F4699" s="35">
        <f>SUMIFS(F4700:F9015,K4700:K9015,"0",B4700:B9015,"5 1 1 5 4 12 31111 6 M59 80400*")</f>
        <v>624</v>
      </c>
      <c r="G4699" s="35">
        <f>SUMIFS(G4700:G9015,K4700:K9015,"0",B4700:B9015,"5 1 1 5 4 12 31111 6 M59 80400*")</f>
        <v>0</v>
      </c>
      <c r="H4699" s="35">
        <f t="shared" si="74"/>
        <v>624</v>
      </c>
      <c r="I4699" s="35"/>
      <c r="K4699" t="s">
        <v>15</v>
      </c>
    </row>
    <row r="4700" spans="2:11" ht="16.5" x14ac:dyDescent="0.2">
      <c r="B4700" s="33" t="s">
        <v>5657</v>
      </c>
      <c r="C4700" s="33" t="s">
        <v>648</v>
      </c>
      <c r="D4700" s="35">
        <f>SUMIFS(D4701:D9015,K4701:K9015,"0",B4701:B9015,"5 1 1 5 4 12 31111 6 M59 80400 000132*")-SUMIFS(E4701:E9015,K4701:K9015,"0",B4701:B9015,"5 1 1 5 4 12 31111 6 M59 80400 000132*")</f>
        <v>0</v>
      </c>
      <c r="E4700"/>
      <c r="F4700" s="35">
        <f>SUMIFS(F4701:F9015,K4701:K9015,"0",B4701:B9015,"5 1 1 5 4 12 31111 6 M59 80400 000132*")</f>
        <v>624</v>
      </c>
      <c r="G4700" s="35">
        <f>SUMIFS(G4701:G9015,K4701:K9015,"0",B4701:B9015,"5 1 1 5 4 12 31111 6 M59 80400 000132*")</f>
        <v>0</v>
      </c>
      <c r="H4700" s="35">
        <f t="shared" si="74"/>
        <v>624</v>
      </c>
      <c r="I4700" s="35"/>
      <c r="K4700" t="s">
        <v>15</v>
      </c>
    </row>
    <row r="4701" spans="2:11" ht="16.5" x14ac:dyDescent="0.2">
      <c r="B4701" s="33" t="s">
        <v>5658</v>
      </c>
      <c r="C4701" s="33" t="s">
        <v>650</v>
      </c>
      <c r="D4701" s="35">
        <f>SUMIFS(D4702:D9015,K4702:K9015,"0",B4702:B9015,"5 1 1 5 4 12 31111 6 M59 80400 000132 0000R*")-SUMIFS(E4702:E9015,K4702:K9015,"0",B4702:B9015,"5 1 1 5 4 12 31111 6 M59 80400 000132 0000R*")</f>
        <v>0</v>
      </c>
      <c r="E4701"/>
      <c r="F4701" s="35">
        <f>SUMIFS(F4702:F9015,K4702:K9015,"0",B4702:B9015,"5 1 1 5 4 12 31111 6 M59 80400 000132 0000R*")</f>
        <v>624</v>
      </c>
      <c r="G4701" s="35">
        <f>SUMIFS(G4702:G9015,K4702:K9015,"0",B4702:B9015,"5 1 1 5 4 12 31111 6 M59 80400 000132 0000R*")</f>
        <v>0</v>
      </c>
      <c r="H4701" s="35">
        <f t="shared" si="74"/>
        <v>624</v>
      </c>
      <c r="I4701" s="35"/>
      <c r="K4701" t="s">
        <v>15</v>
      </c>
    </row>
    <row r="4702" spans="2:11" ht="24.75" x14ac:dyDescent="0.2">
      <c r="B4702" s="33" t="s">
        <v>5659</v>
      </c>
      <c r="C4702" s="33" t="s">
        <v>282</v>
      </c>
      <c r="D4702" s="35">
        <f>SUMIFS(D4703:D9015,K4703:K9015,"0",B4703:B9015,"5 1 1 5 4 12 31111 6 M59 80400 000132 0000R 00001*")-SUMIFS(E4703:E9015,K4703:K9015,"0",B4703:B9015,"5 1 1 5 4 12 31111 6 M59 80400 000132 0000R 00001*")</f>
        <v>0</v>
      </c>
      <c r="E4702"/>
      <c r="F4702" s="35">
        <f>SUMIFS(F4703:F9015,K4703:K9015,"0",B4703:B9015,"5 1 1 5 4 12 31111 6 M59 80400 000132 0000R 00001*")</f>
        <v>624</v>
      </c>
      <c r="G4702" s="35">
        <f>SUMIFS(G4703:G9015,K4703:K9015,"0",B4703:B9015,"5 1 1 5 4 12 31111 6 M59 80400 000132 0000R 00001*")</f>
        <v>0</v>
      </c>
      <c r="H4702" s="35">
        <f t="shared" si="74"/>
        <v>624</v>
      </c>
      <c r="I4702" s="35"/>
      <c r="K4702" t="s">
        <v>15</v>
      </c>
    </row>
    <row r="4703" spans="2:11" ht="24.75" x14ac:dyDescent="0.2">
      <c r="B4703" s="33" t="s">
        <v>5660</v>
      </c>
      <c r="C4703" s="33" t="s">
        <v>5422</v>
      </c>
      <c r="D4703" s="35">
        <f>SUMIFS(D4704:D9015,K4704:K9015,"0",B4704:B9015,"5 1 1 5 4 12 31111 6 M59 80400 000132 0000R 00001 00154*")-SUMIFS(E4704:E9015,K4704:K9015,"0",B4704:B9015,"5 1 1 5 4 12 31111 6 M59 80400 000132 0000R 00001 00154*")</f>
        <v>0</v>
      </c>
      <c r="E4703"/>
      <c r="F4703" s="35">
        <f>SUMIFS(F4704:F9015,K4704:K9015,"0",B4704:B9015,"5 1 1 5 4 12 31111 6 M59 80400 000132 0000R 00001 00154*")</f>
        <v>624</v>
      </c>
      <c r="G4703" s="35">
        <f>SUMIFS(G4704:G9015,K4704:K9015,"0",B4704:B9015,"5 1 1 5 4 12 31111 6 M59 80400 000132 0000R 00001 00154*")</f>
        <v>0</v>
      </c>
      <c r="H4703" s="35">
        <f t="shared" si="74"/>
        <v>624</v>
      </c>
      <c r="I4703" s="35"/>
      <c r="K4703" t="s">
        <v>15</v>
      </c>
    </row>
    <row r="4704" spans="2:11" ht="24.75" x14ac:dyDescent="0.2">
      <c r="B4704" s="33" t="s">
        <v>5661</v>
      </c>
      <c r="C4704" s="33" t="s">
        <v>1051</v>
      </c>
      <c r="D4704" s="35">
        <f>SUMIFS(D4705:D9015,K4705:K9015,"0",B4705:B9015,"5 1 1 5 4 12 31111 6 M59 80400 000132 0000R 00001 00154 015*")-SUMIFS(E4705:E9015,K4705:K9015,"0",B4705:B9015,"5 1 1 5 4 12 31111 6 M59 80400 000132 0000R 00001 00154 015*")</f>
        <v>0</v>
      </c>
      <c r="E4704"/>
      <c r="F4704" s="35">
        <f>SUMIFS(F4705:F9015,K4705:K9015,"0",B4705:B9015,"5 1 1 5 4 12 31111 6 M59 80400 000132 0000R 00001 00154 015*")</f>
        <v>624</v>
      </c>
      <c r="G4704" s="35">
        <f>SUMIFS(G4705:G9015,K4705:K9015,"0",B4705:B9015,"5 1 1 5 4 12 31111 6 M59 80400 000132 0000R 00001 00154 015*")</f>
        <v>0</v>
      </c>
      <c r="H4704" s="35">
        <f t="shared" si="74"/>
        <v>624</v>
      </c>
      <c r="I4704" s="35"/>
      <c r="K4704" t="s">
        <v>15</v>
      </c>
    </row>
    <row r="4705" spans="2:11" ht="33" x14ac:dyDescent="0.2">
      <c r="B4705" s="33" t="s">
        <v>5662</v>
      </c>
      <c r="C4705" s="33" t="s">
        <v>2927</v>
      </c>
      <c r="D4705" s="35">
        <f>SUMIFS(D4706:D9015,K4706:K9015,"0",B4706:B9015,"5 1 1 5 4 12 31111 6 M59 80400 000132 0000R 00001 00154 015 2111100*")-SUMIFS(E4706:E9015,K4706:K9015,"0",B4706:B9015,"5 1 1 5 4 12 31111 6 M59 80400 000132 0000R 00001 00154 015 2111100*")</f>
        <v>0</v>
      </c>
      <c r="E4705"/>
      <c r="F4705" s="35">
        <f>SUMIFS(F4706:F9015,K4706:K9015,"0",B4706:B9015,"5 1 1 5 4 12 31111 6 M59 80400 000132 0000R 00001 00154 015 2111100*")</f>
        <v>624</v>
      </c>
      <c r="G4705" s="35">
        <f>SUMIFS(G4706:G9015,K4706:K9015,"0",B4706:B9015,"5 1 1 5 4 12 31111 6 M59 80400 000132 0000R 00001 00154 015 2111100*")</f>
        <v>0</v>
      </c>
      <c r="H4705" s="35">
        <f t="shared" si="74"/>
        <v>624</v>
      </c>
      <c r="I4705" s="35"/>
      <c r="K4705" t="s">
        <v>15</v>
      </c>
    </row>
    <row r="4706" spans="2:11" ht="33" x14ac:dyDescent="0.2">
      <c r="B4706" s="33" t="s">
        <v>5663</v>
      </c>
      <c r="C4706" s="33" t="s">
        <v>660</v>
      </c>
      <c r="D4706" s="35">
        <f>SUMIFS(D4707:D9015,K4707:K9015,"0",B4707:B9015,"5 1 1 5 4 12 31111 6 M59 80400 000132 0000R 00001 00154 015 2111100 2024*")-SUMIFS(E4707:E9015,K4707:K9015,"0",B4707:B9015,"5 1 1 5 4 12 31111 6 M59 80400 000132 0000R 00001 00154 015 2111100 2024*")</f>
        <v>0</v>
      </c>
      <c r="E4706"/>
      <c r="F4706" s="35">
        <f>SUMIFS(F4707:F9015,K4707:K9015,"0",B4707:B9015,"5 1 1 5 4 12 31111 6 M59 80400 000132 0000R 00001 00154 015 2111100 2024*")</f>
        <v>624</v>
      </c>
      <c r="G4706" s="35">
        <f>SUMIFS(G4707:G9015,K4707:K9015,"0",B4707:B9015,"5 1 1 5 4 12 31111 6 M59 80400 000132 0000R 00001 00154 015 2111100 2024*")</f>
        <v>0</v>
      </c>
      <c r="H4706" s="35">
        <f t="shared" si="74"/>
        <v>624</v>
      </c>
      <c r="I4706" s="35"/>
      <c r="K4706" t="s">
        <v>15</v>
      </c>
    </row>
    <row r="4707" spans="2:11" ht="41.25" x14ac:dyDescent="0.2">
      <c r="B4707" s="33" t="s">
        <v>5664</v>
      </c>
      <c r="C4707" s="33" t="s">
        <v>1056</v>
      </c>
      <c r="D4707" s="35">
        <f>SUMIFS(D4708:D9015,K4708:K9015,"0",B4708:B9015,"5 1 1 5 4 12 31111 6 M59 80400 000132 0000R 00001 00154 015 2111100 2024 CP1DP403*")-SUMIFS(E4708:E9015,K4708:K9015,"0",B4708:B9015,"5 1 1 5 4 12 31111 6 M59 80400 000132 0000R 00001 00154 015 2111100 2024 CP1DP403*")</f>
        <v>0</v>
      </c>
      <c r="E4707"/>
      <c r="F4707" s="35">
        <f>SUMIFS(F4708:F9015,K4708:K9015,"0",B4708:B9015,"5 1 1 5 4 12 31111 6 M59 80400 000132 0000R 00001 00154 015 2111100 2024 CP1DP403*")</f>
        <v>624</v>
      </c>
      <c r="G4707" s="35">
        <f>SUMIFS(G4708:G9015,K4708:K9015,"0",B4708:B9015,"5 1 1 5 4 12 31111 6 M59 80400 000132 0000R 00001 00154 015 2111100 2024 CP1DP403*")</f>
        <v>0</v>
      </c>
      <c r="H4707" s="35">
        <f t="shared" si="74"/>
        <v>624</v>
      </c>
      <c r="I4707" s="35"/>
      <c r="K4707" t="s">
        <v>15</v>
      </c>
    </row>
    <row r="4708" spans="2:11" ht="41.25" x14ac:dyDescent="0.2">
      <c r="B4708" s="33" t="s">
        <v>5665</v>
      </c>
      <c r="C4708" s="33" t="s">
        <v>282</v>
      </c>
      <c r="D4708" s="35">
        <f>SUMIFS(D4709:D9015,K4709:K9015,"0",B4709:B9015,"5 1 1 5 4 12 31111 6 M59 80400 000132 0000R 00001 00154 015 2111100 2024 CP1DP403 001*")-SUMIFS(E4709:E9015,K4709:K9015,"0",B4709:B9015,"5 1 1 5 4 12 31111 6 M59 80400 000132 0000R 00001 00154 015 2111100 2024 CP1DP403 001*")</f>
        <v>0</v>
      </c>
      <c r="E4708"/>
      <c r="F4708" s="35">
        <f>SUMIFS(F4709:F9015,K4709:K9015,"0",B4709:B9015,"5 1 1 5 4 12 31111 6 M59 80400 000132 0000R 00001 00154 015 2111100 2024 CP1DP403 001*")</f>
        <v>624</v>
      </c>
      <c r="G4708" s="35">
        <f>SUMIFS(G4709:G9015,K4709:K9015,"0",B4709:B9015,"5 1 1 5 4 12 31111 6 M59 80400 000132 0000R 00001 00154 015 2111100 2024 CP1DP403 001*")</f>
        <v>0</v>
      </c>
      <c r="H4708" s="35">
        <f t="shared" si="74"/>
        <v>624</v>
      </c>
      <c r="I4708" s="35"/>
      <c r="K4708" t="s">
        <v>15</v>
      </c>
    </row>
    <row r="4709" spans="2:11" ht="41.25" x14ac:dyDescent="0.2">
      <c r="B4709" s="31" t="s">
        <v>5666</v>
      </c>
      <c r="C4709" s="31" t="s">
        <v>5443</v>
      </c>
      <c r="D4709" s="34">
        <v>0</v>
      </c>
      <c r="E4709" s="34"/>
      <c r="F4709" s="34">
        <v>424</v>
      </c>
      <c r="G4709" s="34">
        <v>0</v>
      </c>
      <c r="H4709" s="34">
        <f t="shared" si="74"/>
        <v>424</v>
      </c>
      <c r="I4709" s="34"/>
      <c r="K4709" t="s">
        <v>38</v>
      </c>
    </row>
    <row r="4710" spans="2:11" ht="41.25" x14ac:dyDescent="0.2">
      <c r="B4710" s="31" t="s">
        <v>5667</v>
      </c>
      <c r="C4710" s="31" t="s">
        <v>5459</v>
      </c>
      <c r="D4710" s="34">
        <v>0</v>
      </c>
      <c r="E4710" s="34"/>
      <c r="F4710" s="34">
        <v>200</v>
      </c>
      <c r="G4710" s="34">
        <v>0</v>
      </c>
      <c r="H4710" s="34">
        <f t="shared" si="74"/>
        <v>200</v>
      </c>
      <c r="I4710" s="34"/>
      <c r="K4710" t="s">
        <v>38</v>
      </c>
    </row>
    <row r="4711" spans="2:11" ht="24.75" x14ac:dyDescent="0.2">
      <c r="B4711" s="33" t="s">
        <v>5668</v>
      </c>
      <c r="C4711" s="33" t="s">
        <v>3571</v>
      </c>
      <c r="D4711" s="35">
        <f>SUMIFS(D4712:D9015,K4712:K9015,"0",B4712:B9015,"5 1 1 5 4 12 31111 6 M59 80500*")-SUMIFS(E4712:E9015,K4712:K9015,"0",B4712:B9015,"5 1 1 5 4 12 31111 6 M59 80500*")</f>
        <v>0</v>
      </c>
      <c r="E4711"/>
      <c r="F4711" s="35">
        <f>SUMIFS(F4712:F9015,K4712:K9015,"0",B4712:B9015,"5 1 1 5 4 12 31111 6 M59 80500*")</f>
        <v>2172</v>
      </c>
      <c r="G4711" s="35">
        <f>SUMIFS(G4712:G9015,K4712:K9015,"0",B4712:B9015,"5 1 1 5 4 12 31111 6 M59 80500*")</f>
        <v>0</v>
      </c>
      <c r="H4711" s="35">
        <f t="shared" si="74"/>
        <v>2172</v>
      </c>
      <c r="I4711" s="35"/>
      <c r="K4711" t="s">
        <v>15</v>
      </c>
    </row>
    <row r="4712" spans="2:11" ht="16.5" x14ac:dyDescent="0.2">
      <c r="B4712" s="33" t="s">
        <v>5669</v>
      </c>
      <c r="C4712" s="33" t="s">
        <v>3573</v>
      </c>
      <c r="D4712" s="35">
        <f>SUMIFS(D4713:D9015,K4713:K9015,"0",B4713:B9015,"5 1 1 5 4 12 31111 6 M59 80500 000216*")-SUMIFS(E4713:E9015,K4713:K9015,"0",B4713:B9015,"5 1 1 5 4 12 31111 6 M59 80500 000216*")</f>
        <v>0</v>
      </c>
      <c r="E4712"/>
      <c r="F4712" s="35">
        <f>SUMIFS(F4713:F9015,K4713:K9015,"0",B4713:B9015,"5 1 1 5 4 12 31111 6 M59 80500 000216*")</f>
        <v>2172</v>
      </c>
      <c r="G4712" s="35">
        <f>SUMIFS(G4713:G9015,K4713:K9015,"0",B4713:B9015,"5 1 1 5 4 12 31111 6 M59 80500 000216*")</f>
        <v>0</v>
      </c>
      <c r="H4712" s="35">
        <f t="shared" si="74"/>
        <v>2172</v>
      </c>
      <c r="I4712" s="35"/>
      <c r="K4712" t="s">
        <v>15</v>
      </c>
    </row>
    <row r="4713" spans="2:11" ht="16.5" x14ac:dyDescent="0.2">
      <c r="B4713" s="33" t="s">
        <v>5670</v>
      </c>
      <c r="C4713" s="33" t="s">
        <v>650</v>
      </c>
      <c r="D4713" s="35">
        <f>SUMIFS(D4714:D9015,K4714:K9015,"0",B4714:B9015,"5 1 1 5 4 12 31111 6 M59 80500 000216 0000R*")-SUMIFS(E4714:E9015,K4714:K9015,"0",B4714:B9015,"5 1 1 5 4 12 31111 6 M59 80500 000216 0000R*")</f>
        <v>0</v>
      </c>
      <c r="E4713"/>
      <c r="F4713" s="35">
        <f>SUMIFS(F4714:F9015,K4714:K9015,"0",B4714:B9015,"5 1 1 5 4 12 31111 6 M59 80500 000216 0000R*")</f>
        <v>2172</v>
      </c>
      <c r="G4713" s="35">
        <f>SUMIFS(G4714:G9015,K4714:K9015,"0",B4714:B9015,"5 1 1 5 4 12 31111 6 M59 80500 000216 0000R*")</f>
        <v>0</v>
      </c>
      <c r="H4713" s="35">
        <f t="shared" si="74"/>
        <v>2172</v>
      </c>
      <c r="I4713" s="35"/>
      <c r="K4713" t="s">
        <v>15</v>
      </c>
    </row>
    <row r="4714" spans="2:11" ht="24.75" x14ac:dyDescent="0.2">
      <c r="B4714" s="33" t="s">
        <v>5671</v>
      </c>
      <c r="C4714" s="33" t="s">
        <v>282</v>
      </c>
      <c r="D4714" s="35">
        <f>SUMIFS(D4715:D9015,K4715:K9015,"0",B4715:B9015,"5 1 1 5 4 12 31111 6 M59 80500 000216 0000R 00001*")-SUMIFS(E4715:E9015,K4715:K9015,"0",B4715:B9015,"5 1 1 5 4 12 31111 6 M59 80500 000216 0000R 00001*")</f>
        <v>0</v>
      </c>
      <c r="E4714"/>
      <c r="F4714" s="35">
        <f>SUMIFS(F4715:F9015,K4715:K9015,"0",B4715:B9015,"5 1 1 5 4 12 31111 6 M59 80500 000216 0000R 00001*")</f>
        <v>2172</v>
      </c>
      <c r="G4714" s="35">
        <f>SUMIFS(G4715:G9015,K4715:K9015,"0",B4715:B9015,"5 1 1 5 4 12 31111 6 M59 80500 000216 0000R 00001*")</f>
        <v>0</v>
      </c>
      <c r="H4714" s="35">
        <f t="shared" si="74"/>
        <v>2172</v>
      </c>
      <c r="I4714" s="35"/>
      <c r="K4714" t="s">
        <v>15</v>
      </c>
    </row>
    <row r="4715" spans="2:11" ht="24.75" x14ac:dyDescent="0.2">
      <c r="B4715" s="33" t="s">
        <v>5672</v>
      </c>
      <c r="C4715" s="33" t="s">
        <v>5422</v>
      </c>
      <c r="D4715" s="35">
        <f>SUMIFS(D4716:D9015,K4716:K9015,"0",B4716:B9015,"5 1 1 5 4 12 31111 6 M59 80500 000216 0000R 00001 00154*")-SUMIFS(E4716:E9015,K4716:K9015,"0",B4716:B9015,"5 1 1 5 4 12 31111 6 M59 80500 000216 0000R 00001 00154*")</f>
        <v>0</v>
      </c>
      <c r="E4715"/>
      <c r="F4715" s="35">
        <f>SUMIFS(F4716:F9015,K4716:K9015,"0",B4716:B9015,"5 1 1 5 4 12 31111 6 M59 80500 000216 0000R 00001 00154*")</f>
        <v>2172</v>
      </c>
      <c r="G4715" s="35">
        <f>SUMIFS(G4716:G9015,K4716:K9015,"0",B4716:B9015,"5 1 1 5 4 12 31111 6 M59 80500 000216 0000R 00001 00154*")</f>
        <v>0</v>
      </c>
      <c r="H4715" s="35">
        <f t="shared" si="74"/>
        <v>2172</v>
      </c>
      <c r="I4715" s="35"/>
      <c r="K4715" t="s">
        <v>15</v>
      </c>
    </row>
    <row r="4716" spans="2:11" ht="24.75" x14ac:dyDescent="0.2">
      <c r="B4716" s="33" t="s">
        <v>5673</v>
      </c>
      <c r="C4716" s="33" t="s">
        <v>1051</v>
      </c>
      <c r="D4716" s="35">
        <f>SUMIFS(D4717:D9015,K4717:K9015,"0",B4717:B9015,"5 1 1 5 4 12 31111 6 M59 80500 000216 0000R 00001 00154 015*")-SUMIFS(E4717:E9015,K4717:K9015,"0",B4717:B9015,"5 1 1 5 4 12 31111 6 M59 80500 000216 0000R 00001 00154 015*")</f>
        <v>0</v>
      </c>
      <c r="E4716"/>
      <c r="F4716" s="35">
        <f>SUMIFS(F4717:F9015,K4717:K9015,"0",B4717:B9015,"5 1 1 5 4 12 31111 6 M59 80500 000216 0000R 00001 00154 015*")</f>
        <v>2172</v>
      </c>
      <c r="G4716" s="35">
        <f>SUMIFS(G4717:G9015,K4717:K9015,"0",B4717:B9015,"5 1 1 5 4 12 31111 6 M59 80500 000216 0000R 00001 00154 015*")</f>
        <v>0</v>
      </c>
      <c r="H4716" s="35">
        <f t="shared" si="74"/>
        <v>2172</v>
      </c>
      <c r="I4716" s="35"/>
      <c r="K4716" t="s">
        <v>15</v>
      </c>
    </row>
    <row r="4717" spans="2:11" ht="33" x14ac:dyDescent="0.2">
      <c r="B4717" s="33" t="s">
        <v>5674</v>
      </c>
      <c r="C4717" s="33" t="s">
        <v>2927</v>
      </c>
      <c r="D4717" s="35">
        <f>SUMIFS(D4718:D9015,K4718:K9015,"0",B4718:B9015,"5 1 1 5 4 12 31111 6 M59 80500 000216 0000R 00001 00154 015 2111100*")-SUMIFS(E4718:E9015,K4718:K9015,"0",B4718:B9015,"5 1 1 5 4 12 31111 6 M59 80500 000216 0000R 00001 00154 015 2111100*")</f>
        <v>0</v>
      </c>
      <c r="E4717"/>
      <c r="F4717" s="35">
        <f>SUMIFS(F4718:F9015,K4718:K9015,"0",B4718:B9015,"5 1 1 5 4 12 31111 6 M59 80500 000216 0000R 00001 00154 015 2111100*")</f>
        <v>2172</v>
      </c>
      <c r="G4717" s="35">
        <f>SUMIFS(G4718:G9015,K4718:K9015,"0",B4718:B9015,"5 1 1 5 4 12 31111 6 M59 80500 000216 0000R 00001 00154 015 2111100*")</f>
        <v>0</v>
      </c>
      <c r="H4717" s="35">
        <f t="shared" si="74"/>
        <v>2172</v>
      </c>
      <c r="I4717" s="35"/>
      <c r="K4717" t="s">
        <v>15</v>
      </c>
    </row>
    <row r="4718" spans="2:11" ht="33" x14ac:dyDescent="0.2">
      <c r="B4718" s="33" t="s">
        <v>5675</v>
      </c>
      <c r="C4718" s="33" t="s">
        <v>660</v>
      </c>
      <c r="D4718" s="35">
        <f>SUMIFS(D4719:D9015,K4719:K9015,"0",B4719:B9015,"5 1 1 5 4 12 31111 6 M59 80500 000216 0000R 00001 00154 015 2111100 2024*")-SUMIFS(E4719:E9015,K4719:K9015,"0",B4719:B9015,"5 1 1 5 4 12 31111 6 M59 80500 000216 0000R 00001 00154 015 2111100 2024*")</f>
        <v>0</v>
      </c>
      <c r="E4718"/>
      <c r="F4718" s="35">
        <f>SUMIFS(F4719:F9015,K4719:K9015,"0",B4719:B9015,"5 1 1 5 4 12 31111 6 M59 80500 000216 0000R 00001 00154 015 2111100 2024*")</f>
        <v>2172</v>
      </c>
      <c r="G4718" s="35">
        <f>SUMIFS(G4719:G9015,K4719:K9015,"0",B4719:B9015,"5 1 1 5 4 12 31111 6 M59 80500 000216 0000R 00001 00154 015 2111100 2024*")</f>
        <v>0</v>
      </c>
      <c r="H4718" s="35">
        <f t="shared" si="74"/>
        <v>2172</v>
      </c>
      <c r="I4718" s="35"/>
      <c r="K4718" t="s">
        <v>15</v>
      </c>
    </row>
    <row r="4719" spans="2:11" ht="41.25" x14ac:dyDescent="0.2">
      <c r="B4719" s="33" t="s">
        <v>5676</v>
      </c>
      <c r="C4719" s="33" t="s">
        <v>1056</v>
      </c>
      <c r="D4719" s="35">
        <f>SUMIFS(D4720:D9015,K4720:K9015,"0",B4720:B9015,"5 1 1 5 4 12 31111 6 M59 80500 000216 0000R 00001 00154 015 2111100 2024 CP1MA417*")-SUMIFS(E4720:E9015,K4720:K9015,"0",B4720:B9015,"5 1 1 5 4 12 31111 6 M59 80500 000216 0000R 00001 00154 015 2111100 2024 CP1MA417*")</f>
        <v>0</v>
      </c>
      <c r="E4719"/>
      <c r="F4719" s="35">
        <f>SUMIFS(F4720:F9015,K4720:K9015,"0",B4720:B9015,"5 1 1 5 4 12 31111 6 M59 80500 000216 0000R 00001 00154 015 2111100 2024 CP1MA417*")</f>
        <v>2172</v>
      </c>
      <c r="G4719" s="35">
        <f>SUMIFS(G4720:G9015,K4720:K9015,"0",B4720:B9015,"5 1 1 5 4 12 31111 6 M59 80500 000216 0000R 00001 00154 015 2111100 2024 CP1MA417*")</f>
        <v>0</v>
      </c>
      <c r="H4719" s="35">
        <f t="shared" si="74"/>
        <v>2172</v>
      </c>
      <c r="I4719" s="35"/>
      <c r="K4719" t="s">
        <v>15</v>
      </c>
    </row>
    <row r="4720" spans="2:11" ht="41.25" x14ac:dyDescent="0.2">
      <c r="B4720" s="33" t="s">
        <v>5677</v>
      </c>
      <c r="C4720" s="33" t="s">
        <v>282</v>
      </c>
      <c r="D4720" s="35">
        <f>SUMIFS(D4721:D9015,K4721:K9015,"0",B4721:B9015,"5 1 1 5 4 12 31111 6 M59 80500 000216 0000R 00001 00154 015 2111100 2024 CP1MA417 001*")-SUMIFS(E4721:E9015,K4721:K9015,"0",B4721:B9015,"5 1 1 5 4 12 31111 6 M59 80500 000216 0000R 00001 00154 015 2111100 2024 CP1MA417 001*")</f>
        <v>0</v>
      </c>
      <c r="E4720"/>
      <c r="F4720" s="35">
        <f>SUMIFS(F4721:F9015,K4721:K9015,"0",B4721:B9015,"5 1 1 5 4 12 31111 6 M59 80500 000216 0000R 00001 00154 015 2111100 2024 CP1MA417 001*")</f>
        <v>2172</v>
      </c>
      <c r="G4720" s="35">
        <f>SUMIFS(G4721:G9015,K4721:K9015,"0",B4721:B9015,"5 1 1 5 4 12 31111 6 M59 80500 000216 0000R 00001 00154 015 2111100 2024 CP1MA417 001*")</f>
        <v>0</v>
      </c>
      <c r="H4720" s="35">
        <f t="shared" si="74"/>
        <v>2172</v>
      </c>
      <c r="I4720" s="35"/>
      <c r="K4720" t="s">
        <v>15</v>
      </c>
    </row>
    <row r="4721" spans="2:11" ht="33" x14ac:dyDescent="0.2">
      <c r="B4721" s="31" t="s">
        <v>5678</v>
      </c>
      <c r="C4721" s="31" t="s">
        <v>5443</v>
      </c>
      <c r="D4721" s="34">
        <v>0</v>
      </c>
      <c r="E4721" s="34"/>
      <c r="F4721" s="34">
        <v>1272</v>
      </c>
      <c r="G4721" s="34">
        <v>0</v>
      </c>
      <c r="H4721" s="34">
        <f t="shared" si="74"/>
        <v>1272</v>
      </c>
      <c r="I4721" s="34"/>
      <c r="K4721" t="s">
        <v>38</v>
      </c>
    </row>
    <row r="4722" spans="2:11" ht="33" x14ac:dyDescent="0.2">
      <c r="B4722" s="31" t="s">
        <v>5679</v>
      </c>
      <c r="C4722" s="31" t="s">
        <v>5431</v>
      </c>
      <c r="D4722" s="34">
        <v>0</v>
      </c>
      <c r="E4722" s="34"/>
      <c r="F4722" s="34">
        <v>900</v>
      </c>
      <c r="G4722" s="34">
        <v>0</v>
      </c>
      <c r="H4722" s="34">
        <f t="shared" si="74"/>
        <v>900</v>
      </c>
      <c r="I4722" s="34"/>
      <c r="K4722" t="s">
        <v>38</v>
      </c>
    </row>
    <row r="4723" spans="2:11" ht="16.5" x14ac:dyDescent="0.2">
      <c r="B4723" s="33" t="s">
        <v>5680</v>
      </c>
      <c r="C4723" s="33" t="s">
        <v>3596</v>
      </c>
      <c r="D4723" s="35">
        <f>SUMIFS(D4724:D9015,K4724:K9015,"0",B4724:B9015,"5 1 1 5 4 12 31111 6 M59 90000*")-SUMIFS(E4724:E9015,K4724:K9015,"0",B4724:B9015,"5 1 1 5 4 12 31111 6 M59 90000*")</f>
        <v>0</v>
      </c>
      <c r="E4723"/>
      <c r="F4723" s="35">
        <f>SUMIFS(F4724:F9015,K4724:K9015,"0",B4724:B9015,"5 1 1 5 4 12 31111 6 M59 90000*")</f>
        <v>20026.43</v>
      </c>
      <c r="G4723" s="35">
        <f>SUMIFS(G4724:G9015,K4724:K9015,"0",B4724:B9015,"5 1 1 5 4 12 31111 6 M59 90000*")</f>
        <v>0</v>
      </c>
      <c r="H4723" s="35">
        <f t="shared" si="74"/>
        <v>20026.43</v>
      </c>
      <c r="I4723" s="35"/>
      <c r="K4723" t="s">
        <v>15</v>
      </c>
    </row>
    <row r="4724" spans="2:11" ht="16.5" x14ac:dyDescent="0.2">
      <c r="B4724" s="33" t="s">
        <v>5681</v>
      </c>
      <c r="C4724" s="33" t="s">
        <v>648</v>
      </c>
      <c r="D4724" s="35">
        <f>SUMIFS(D4725:D9015,K4725:K9015,"0",B4725:B9015,"5 1 1 5 4 12 31111 6 M59 90000 000132*")-SUMIFS(E4725:E9015,K4725:K9015,"0",B4725:B9015,"5 1 1 5 4 12 31111 6 M59 90000 000132*")</f>
        <v>0</v>
      </c>
      <c r="E4724"/>
      <c r="F4724" s="35">
        <f>SUMIFS(F4725:F9015,K4725:K9015,"0",B4725:B9015,"5 1 1 5 4 12 31111 6 M59 90000 000132*")</f>
        <v>20026.43</v>
      </c>
      <c r="G4724" s="35">
        <f>SUMIFS(G4725:G9015,K4725:K9015,"0",B4725:B9015,"5 1 1 5 4 12 31111 6 M59 90000 000132*")</f>
        <v>0</v>
      </c>
      <c r="H4724" s="35">
        <f t="shared" si="74"/>
        <v>20026.43</v>
      </c>
      <c r="I4724" s="35"/>
      <c r="K4724" t="s">
        <v>15</v>
      </c>
    </row>
    <row r="4725" spans="2:11" ht="16.5" x14ac:dyDescent="0.2">
      <c r="B4725" s="33" t="s">
        <v>5682</v>
      </c>
      <c r="C4725" s="33" t="s">
        <v>650</v>
      </c>
      <c r="D4725" s="35">
        <f>SUMIFS(D4726:D9015,K4726:K9015,"0",B4726:B9015,"5 1 1 5 4 12 31111 6 M59 90000 000132 0000R*")-SUMIFS(E4726:E9015,K4726:K9015,"0",B4726:B9015,"5 1 1 5 4 12 31111 6 M59 90000 000132 0000R*")</f>
        <v>0</v>
      </c>
      <c r="E4725"/>
      <c r="F4725" s="35">
        <f>SUMIFS(F4726:F9015,K4726:K9015,"0",B4726:B9015,"5 1 1 5 4 12 31111 6 M59 90000 000132 0000R*")</f>
        <v>20026.43</v>
      </c>
      <c r="G4725" s="35">
        <f>SUMIFS(G4726:G9015,K4726:K9015,"0",B4726:B9015,"5 1 1 5 4 12 31111 6 M59 90000 000132 0000R*")</f>
        <v>0</v>
      </c>
      <c r="H4725" s="35">
        <f t="shared" si="74"/>
        <v>20026.43</v>
      </c>
      <c r="I4725" s="35"/>
      <c r="K4725" t="s">
        <v>15</v>
      </c>
    </row>
    <row r="4726" spans="2:11" ht="24.75" x14ac:dyDescent="0.2">
      <c r="B4726" s="33" t="s">
        <v>5683</v>
      </c>
      <c r="C4726" s="33" t="s">
        <v>282</v>
      </c>
      <c r="D4726" s="35">
        <f>SUMIFS(D4727:D9015,K4727:K9015,"0",B4727:B9015,"5 1 1 5 4 12 31111 6 M59 90000 000132 0000R 00001*")-SUMIFS(E4727:E9015,K4727:K9015,"0",B4727:B9015,"5 1 1 5 4 12 31111 6 M59 90000 000132 0000R 00001*")</f>
        <v>0</v>
      </c>
      <c r="E4726"/>
      <c r="F4726" s="35">
        <f>SUMIFS(F4727:F9015,K4727:K9015,"0",B4727:B9015,"5 1 1 5 4 12 31111 6 M59 90000 000132 0000R 00001*")</f>
        <v>20026.43</v>
      </c>
      <c r="G4726" s="35">
        <f>SUMIFS(G4727:G9015,K4727:K9015,"0",B4727:B9015,"5 1 1 5 4 12 31111 6 M59 90000 000132 0000R 00001*")</f>
        <v>0</v>
      </c>
      <c r="H4726" s="35">
        <f t="shared" si="74"/>
        <v>20026.43</v>
      </c>
      <c r="I4726" s="35"/>
      <c r="K4726" t="s">
        <v>15</v>
      </c>
    </row>
    <row r="4727" spans="2:11" ht="24.75" x14ac:dyDescent="0.2">
      <c r="B4727" s="33" t="s">
        <v>5684</v>
      </c>
      <c r="C4727" s="33" t="s">
        <v>5422</v>
      </c>
      <c r="D4727" s="35">
        <f>SUMIFS(D4728:D9015,K4728:K9015,"0",B4728:B9015,"5 1 1 5 4 12 31111 6 M59 90000 000132 0000R 00001 00154*")-SUMIFS(E4728:E9015,K4728:K9015,"0",B4728:B9015,"5 1 1 5 4 12 31111 6 M59 90000 000132 0000R 00001 00154*")</f>
        <v>0</v>
      </c>
      <c r="E4727"/>
      <c r="F4727" s="35">
        <f>SUMIFS(F4728:F9015,K4728:K9015,"0",B4728:B9015,"5 1 1 5 4 12 31111 6 M59 90000 000132 0000R 00001 00154*")</f>
        <v>20026.43</v>
      </c>
      <c r="G4727" s="35">
        <f>SUMIFS(G4728:G9015,K4728:K9015,"0",B4728:B9015,"5 1 1 5 4 12 31111 6 M59 90000 000132 0000R 00001 00154*")</f>
        <v>0</v>
      </c>
      <c r="H4727" s="35">
        <f t="shared" si="74"/>
        <v>20026.43</v>
      </c>
      <c r="I4727" s="35"/>
      <c r="K4727" t="s">
        <v>15</v>
      </c>
    </row>
    <row r="4728" spans="2:11" ht="24.75" x14ac:dyDescent="0.2">
      <c r="B4728" s="33" t="s">
        <v>5685</v>
      </c>
      <c r="C4728" s="33" t="s">
        <v>1051</v>
      </c>
      <c r="D4728" s="35">
        <f>SUMIFS(D4729:D9015,K4729:K9015,"0",B4729:B9015,"5 1 1 5 4 12 31111 6 M59 90000 000132 0000R 00001 00154 015*")-SUMIFS(E4729:E9015,K4729:K9015,"0",B4729:B9015,"5 1 1 5 4 12 31111 6 M59 90000 000132 0000R 00001 00154 015*")</f>
        <v>0</v>
      </c>
      <c r="E4728"/>
      <c r="F4728" s="35">
        <f>SUMIFS(F4729:F9015,K4729:K9015,"0",B4729:B9015,"5 1 1 5 4 12 31111 6 M59 90000 000132 0000R 00001 00154 015*")</f>
        <v>20026.43</v>
      </c>
      <c r="G4728" s="35">
        <f>SUMIFS(G4729:G9015,K4729:K9015,"0",B4729:B9015,"5 1 1 5 4 12 31111 6 M59 90000 000132 0000R 00001 00154 015*")</f>
        <v>0</v>
      </c>
      <c r="H4728" s="35">
        <f t="shared" si="74"/>
        <v>20026.43</v>
      </c>
      <c r="I4728" s="35"/>
      <c r="K4728" t="s">
        <v>15</v>
      </c>
    </row>
    <row r="4729" spans="2:11" ht="33" x14ac:dyDescent="0.2">
      <c r="B4729" s="33" t="s">
        <v>5686</v>
      </c>
      <c r="C4729" s="33" t="s">
        <v>2927</v>
      </c>
      <c r="D4729" s="35">
        <f>SUMIFS(D4730:D9015,K4730:K9015,"0",B4730:B9015,"5 1 1 5 4 12 31111 6 M59 90000 000132 0000R 00001 00154 015 2111100*")-SUMIFS(E4730:E9015,K4730:K9015,"0",B4730:B9015,"5 1 1 5 4 12 31111 6 M59 90000 000132 0000R 00001 00154 015 2111100*")</f>
        <v>0</v>
      </c>
      <c r="E4729"/>
      <c r="F4729" s="35">
        <f>SUMIFS(F4730:F9015,K4730:K9015,"0",B4730:B9015,"5 1 1 5 4 12 31111 6 M59 90000 000132 0000R 00001 00154 015 2111100*")</f>
        <v>20026.43</v>
      </c>
      <c r="G4729" s="35">
        <f>SUMIFS(G4730:G9015,K4730:K9015,"0",B4730:B9015,"5 1 1 5 4 12 31111 6 M59 90000 000132 0000R 00001 00154 015 2111100*")</f>
        <v>0</v>
      </c>
      <c r="H4729" s="35">
        <f t="shared" si="74"/>
        <v>20026.43</v>
      </c>
      <c r="I4729" s="35"/>
      <c r="K4729" t="s">
        <v>15</v>
      </c>
    </row>
    <row r="4730" spans="2:11" ht="33" x14ac:dyDescent="0.2">
      <c r="B4730" s="33" t="s">
        <v>5687</v>
      </c>
      <c r="C4730" s="33" t="s">
        <v>660</v>
      </c>
      <c r="D4730" s="35">
        <f>SUMIFS(D4731:D9015,K4731:K9015,"0",B4731:B9015,"5 1 1 5 4 12 31111 6 M59 90000 000132 0000R 00001 00154 015 2111100 2024*")-SUMIFS(E4731:E9015,K4731:K9015,"0",B4731:B9015,"5 1 1 5 4 12 31111 6 M59 90000 000132 0000R 00001 00154 015 2111100 2024*")</f>
        <v>0</v>
      </c>
      <c r="E4730"/>
      <c r="F4730" s="35">
        <f>SUMIFS(F4731:F9015,K4731:K9015,"0",B4731:B9015,"5 1 1 5 4 12 31111 6 M59 90000 000132 0000R 00001 00154 015 2111100 2024*")</f>
        <v>20026.43</v>
      </c>
      <c r="G4730" s="35">
        <f>SUMIFS(G4731:G9015,K4731:K9015,"0",B4731:B9015,"5 1 1 5 4 12 31111 6 M59 90000 000132 0000R 00001 00154 015 2111100 2024*")</f>
        <v>0</v>
      </c>
      <c r="H4730" s="35">
        <f t="shared" si="74"/>
        <v>20026.43</v>
      </c>
      <c r="I4730" s="35"/>
      <c r="K4730" t="s">
        <v>15</v>
      </c>
    </row>
    <row r="4731" spans="2:11" ht="41.25" x14ac:dyDescent="0.2">
      <c r="B4731" s="33" t="s">
        <v>5688</v>
      </c>
      <c r="C4731" s="33" t="s">
        <v>1056</v>
      </c>
      <c r="D4731" s="35">
        <f>SUMIFS(D4732:D9015,K4732:K9015,"0",B4732:B9015,"5 1 1 5 4 12 31111 6 M59 90000 000132 0000R 00001 00154 015 2111100 2024 CP1SG383*")-SUMIFS(E4732:E9015,K4732:K9015,"0",B4732:B9015,"5 1 1 5 4 12 31111 6 M59 90000 000132 0000R 00001 00154 015 2111100 2024 CP1SG383*")</f>
        <v>0</v>
      </c>
      <c r="E4731"/>
      <c r="F4731" s="35">
        <f>SUMIFS(F4732:F9015,K4732:K9015,"0",B4732:B9015,"5 1 1 5 4 12 31111 6 M59 90000 000132 0000R 00001 00154 015 2111100 2024 CP1SG383*")</f>
        <v>20026.43</v>
      </c>
      <c r="G4731" s="35">
        <f>SUMIFS(G4732:G9015,K4732:K9015,"0",B4732:B9015,"5 1 1 5 4 12 31111 6 M59 90000 000132 0000R 00001 00154 015 2111100 2024 CP1SG383*")</f>
        <v>0</v>
      </c>
      <c r="H4731" s="35">
        <f t="shared" si="74"/>
        <v>20026.43</v>
      </c>
      <c r="I4731" s="35"/>
      <c r="K4731" t="s">
        <v>15</v>
      </c>
    </row>
    <row r="4732" spans="2:11" ht="41.25" x14ac:dyDescent="0.2">
      <c r="B4732" s="33" t="s">
        <v>5689</v>
      </c>
      <c r="C4732" s="33" t="s">
        <v>282</v>
      </c>
      <c r="D4732" s="35">
        <f>SUMIFS(D4733:D9015,K4733:K9015,"0",B4733:B9015,"5 1 1 5 4 12 31111 6 M59 90000 000132 0000R 00001 00154 015 2111100 2024 CP1SG383 001*")-SUMIFS(E4733:E9015,K4733:K9015,"0",B4733:B9015,"5 1 1 5 4 12 31111 6 M59 90000 000132 0000R 00001 00154 015 2111100 2024 CP1SG383 001*")</f>
        <v>0</v>
      </c>
      <c r="E4732"/>
      <c r="F4732" s="35">
        <f>SUMIFS(F4733:F9015,K4733:K9015,"0",B4733:B9015,"5 1 1 5 4 12 31111 6 M59 90000 000132 0000R 00001 00154 015 2111100 2024 CP1SG383 001*")</f>
        <v>20026.43</v>
      </c>
      <c r="G4732" s="35">
        <f>SUMIFS(G4733:G9015,K4733:K9015,"0",B4733:B9015,"5 1 1 5 4 12 31111 6 M59 90000 000132 0000R 00001 00154 015 2111100 2024 CP1SG383 001*")</f>
        <v>0</v>
      </c>
      <c r="H4732" s="35">
        <f t="shared" si="74"/>
        <v>20026.43</v>
      </c>
      <c r="I4732" s="35"/>
      <c r="K4732" t="s">
        <v>15</v>
      </c>
    </row>
    <row r="4733" spans="2:11" ht="41.25" x14ac:dyDescent="0.2">
      <c r="B4733" s="31" t="s">
        <v>5690</v>
      </c>
      <c r="C4733" s="31" t="s">
        <v>5443</v>
      </c>
      <c r="D4733" s="34">
        <v>0</v>
      </c>
      <c r="E4733" s="34"/>
      <c r="F4733" s="34">
        <v>4308</v>
      </c>
      <c r="G4733" s="34">
        <v>0</v>
      </c>
      <c r="H4733" s="34">
        <f t="shared" si="74"/>
        <v>4308</v>
      </c>
      <c r="I4733" s="34"/>
      <c r="K4733" t="s">
        <v>38</v>
      </c>
    </row>
    <row r="4734" spans="2:11" ht="41.25" x14ac:dyDescent="0.2">
      <c r="B4734" s="31" t="s">
        <v>5691</v>
      </c>
      <c r="C4734" s="31" t="s">
        <v>5431</v>
      </c>
      <c r="D4734" s="34">
        <v>0</v>
      </c>
      <c r="E4734" s="34"/>
      <c r="F4734" s="34">
        <v>4042.8</v>
      </c>
      <c r="G4734" s="34">
        <v>0</v>
      </c>
      <c r="H4734" s="34">
        <f t="shared" si="74"/>
        <v>4042.8</v>
      </c>
      <c r="I4734" s="34"/>
      <c r="K4734" t="s">
        <v>38</v>
      </c>
    </row>
    <row r="4735" spans="2:11" ht="41.25" x14ac:dyDescent="0.2">
      <c r="B4735" s="31" t="s">
        <v>5692</v>
      </c>
      <c r="C4735" s="31" t="s">
        <v>5446</v>
      </c>
      <c r="D4735" s="34">
        <v>0</v>
      </c>
      <c r="E4735" s="34"/>
      <c r="F4735" s="34">
        <v>11675.63</v>
      </c>
      <c r="G4735" s="34">
        <v>0</v>
      </c>
      <c r="H4735" s="34">
        <f t="shared" si="74"/>
        <v>11675.63</v>
      </c>
      <c r="I4735" s="34"/>
      <c r="K4735" t="s">
        <v>38</v>
      </c>
    </row>
    <row r="4736" spans="2:11" ht="16.5" x14ac:dyDescent="0.2">
      <c r="B4736" s="33" t="s">
        <v>5693</v>
      </c>
      <c r="C4736" s="33" t="s">
        <v>3608</v>
      </c>
      <c r="D4736" s="35">
        <f>SUMIFS(D4737:D9015,K4737:K9015,"0",B4737:B9015,"5 1 1 5 4 12 31111 6 M59 91000*")-SUMIFS(E4737:E9015,K4737:K9015,"0",B4737:B9015,"5 1 1 5 4 12 31111 6 M59 91000*")</f>
        <v>0</v>
      </c>
      <c r="E4736"/>
      <c r="F4736" s="35">
        <f>SUMIFS(F4737:F9015,K4737:K9015,"0",B4737:B9015,"5 1 1 5 4 12 31111 6 M59 91000*")</f>
        <v>17589.71</v>
      </c>
      <c r="G4736" s="35">
        <f>SUMIFS(G4737:G9015,K4737:K9015,"0",B4737:B9015,"5 1 1 5 4 12 31111 6 M59 91000*")</f>
        <v>0</v>
      </c>
      <c r="H4736" s="35">
        <f t="shared" si="74"/>
        <v>17589.71</v>
      </c>
      <c r="I4736" s="35"/>
      <c r="K4736" t="s">
        <v>15</v>
      </c>
    </row>
    <row r="4737" spans="2:11" ht="16.5" x14ac:dyDescent="0.2">
      <c r="B4737" s="33" t="s">
        <v>5694</v>
      </c>
      <c r="C4737" s="33" t="s">
        <v>648</v>
      </c>
      <c r="D4737" s="35">
        <f>SUMIFS(D4738:D9015,K4738:K9015,"0",B4738:B9015,"5 1 1 5 4 12 31111 6 M59 91000 000132*")-SUMIFS(E4738:E9015,K4738:K9015,"0",B4738:B9015,"5 1 1 5 4 12 31111 6 M59 91000 000132*")</f>
        <v>0</v>
      </c>
      <c r="E4737"/>
      <c r="F4737" s="35">
        <f>SUMIFS(F4738:F9015,K4738:K9015,"0",B4738:B9015,"5 1 1 5 4 12 31111 6 M59 91000 000132*")</f>
        <v>17589.71</v>
      </c>
      <c r="G4737" s="35">
        <f>SUMIFS(G4738:G9015,K4738:K9015,"0",B4738:B9015,"5 1 1 5 4 12 31111 6 M59 91000 000132*")</f>
        <v>0</v>
      </c>
      <c r="H4737" s="35">
        <f t="shared" si="74"/>
        <v>17589.71</v>
      </c>
      <c r="I4737" s="35"/>
      <c r="K4737" t="s">
        <v>15</v>
      </c>
    </row>
    <row r="4738" spans="2:11" ht="16.5" x14ac:dyDescent="0.2">
      <c r="B4738" s="33" t="s">
        <v>5695</v>
      </c>
      <c r="C4738" s="33" t="s">
        <v>650</v>
      </c>
      <c r="D4738" s="35">
        <f>SUMIFS(D4739:D9015,K4739:K9015,"0",B4739:B9015,"5 1 1 5 4 12 31111 6 M59 91000 000132 0000R*")-SUMIFS(E4739:E9015,K4739:K9015,"0",B4739:B9015,"5 1 1 5 4 12 31111 6 M59 91000 000132 0000R*")</f>
        <v>0</v>
      </c>
      <c r="E4738"/>
      <c r="F4738" s="35">
        <f>SUMIFS(F4739:F9015,K4739:K9015,"0",B4739:B9015,"5 1 1 5 4 12 31111 6 M59 91000 000132 0000R*")</f>
        <v>17589.71</v>
      </c>
      <c r="G4738" s="35">
        <f>SUMIFS(G4739:G9015,K4739:K9015,"0",B4739:B9015,"5 1 1 5 4 12 31111 6 M59 91000 000132 0000R*")</f>
        <v>0</v>
      </c>
      <c r="H4738" s="35">
        <f t="shared" si="74"/>
        <v>17589.71</v>
      </c>
      <c r="I4738" s="35"/>
      <c r="K4738" t="s">
        <v>15</v>
      </c>
    </row>
    <row r="4739" spans="2:11" ht="24.75" x14ac:dyDescent="0.2">
      <c r="B4739" s="33" t="s">
        <v>5696</v>
      </c>
      <c r="C4739" s="33" t="s">
        <v>282</v>
      </c>
      <c r="D4739" s="35">
        <f>SUMIFS(D4740:D9015,K4740:K9015,"0",B4740:B9015,"5 1 1 5 4 12 31111 6 M59 91000 000132 0000R 00001*")-SUMIFS(E4740:E9015,K4740:K9015,"0",B4740:B9015,"5 1 1 5 4 12 31111 6 M59 91000 000132 0000R 00001*")</f>
        <v>0</v>
      </c>
      <c r="E4739"/>
      <c r="F4739" s="35">
        <f>SUMIFS(F4740:F9015,K4740:K9015,"0",B4740:B9015,"5 1 1 5 4 12 31111 6 M59 91000 000132 0000R 00001*")</f>
        <v>17589.71</v>
      </c>
      <c r="G4739" s="35">
        <f>SUMIFS(G4740:G9015,K4740:K9015,"0",B4740:B9015,"5 1 1 5 4 12 31111 6 M59 91000 000132 0000R 00001*")</f>
        <v>0</v>
      </c>
      <c r="H4739" s="35">
        <f t="shared" si="74"/>
        <v>17589.71</v>
      </c>
      <c r="I4739" s="35"/>
      <c r="K4739" t="s">
        <v>15</v>
      </c>
    </row>
    <row r="4740" spans="2:11" ht="24.75" x14ac:dyDescent="0.2">
      <c r="B4740" s="33" t="s">
        <v>5697</v>
      </c>
      <c r="C4740" s="33" t="s">
        <v>5422</v>
      </c>
      <c r="D4740" s="35">
        <f>SUMIFS(D4741:D9015,K4741:K9015,"0",B4741:B9015,"5 1 1 5 4 12 31111 6 M59 91000 000132 0000R 00001 00154*")-SUMIFS(E4741:E9015,K4741:K9015,"0",B4741:B9015,"5 1 1 5 4 12 31111 6 M59 91000 000132 0000R 00001 00154*")</f>
        <v>0</v>
      </c>
      <c r="E4740"/>
      <c r="F4740" s="35">
        <f>SUMIFS(F4741:F9015,K4741:K9015,"0",B4741:B9015,"5 1 1 5 4 12 31111 6 M59 91000 000132 0000R 00001 00154*")</f>
        <v>17589.71</v>
      </c>
      <c r="G4740" s="35">
        <f>SUMIFS(G4741:G9015,K4741:K9015,"0",B4741:B9015,"5 1 1 5 4 12 31111 6 M59 91000 000132 0000R 00001 00154*")</f>
        <v>0</v>
      </c>
      <c r="H4740" s="35">
        <f t="shared" ref="H4740:H4803" si="75">D4740 + F4740 - G4740</f>
        <v>17589.71</v>
      </c>
      <c r="I4740" s="35"/>
      <c r="K4740" t="s">
        <v>15</v>
      </c>
    </row>
    <row r="4741" spans="2:11" ht="24.75" x14ac:dyDescent="0.2">
      <c r="B4741" s="33" t="s">
        <v>5698</v>
      </c>
      <c r="C4741" s="33" t="s">
        <v>1051</v>
      </c>
      <c r="D4741" s="35">
        <f>SUMIFS(D4742:D9015,K4742:K9015,"0",B4742:B9015,"5 1 1 5 4 12 31111 6 M59 91000 000132 0000R 00001 00154 015*")-SUMIFS(E4742:E9015,K4742:K9015,"0",B4742:B9015,"5 1 1 5 4 12 31111 6 M59 91000 000132 0000R 00001 00154 015*")</f>
        <v>0</v>
      </c>
      <c r="E4741"/>
      <c r="F4741" s="35">
        <f>SUMIFS(F4742:F9015,K4742:K9015,"0",B4742:B9015,"5 1 1 5 4 12 31111 6 M59 91000 000132 0000R 00001 00154 015*")</f>
        <v>17589.71</v>
      </c>
      <c r="G4741" s="35">
        <f>SUMIFS(G4742:G9015,K4742:K9015,"0",B4742:B9015,"5 1 1 5 4 12 31111 6 M59 91000 000132 0000R 00001 00154 015*")</f>
        <v>0</v>
      </c>
      <c r="H4741" s="35">
        <f t="shared" si="75"/>
        <v>17589.71</v>
      </c>
      <c r="I4741" s="35"/>
      <c r="K4741" t="s">
        <v>15</v>
      </c>
    </row>
    <row r="4742" spans="2:11" ht="33" x14ac:dyDescent="0.2">
      <c r="B4742" s="33" t="s">
        <v>5699</v>
      </c>
      <c r="C4742" s="33" t="s">
        <v>2927</v>
      </c>
      <c r="D4742" s="35">
        <f>SUMIFS(D4743:D9015,K4743:K9015,"0",B4743:B9015,"5 1 1 5 4 12 31111 6 M59 91000 000132 0000R 00001 00154 015 2111100*")-SUMIFS(E4743:E9015,K4743:K9015,"0",B4743:B9015,"5 1 1 5 4 12 31111 6 M59 91000 000132 0000R 00001 00154 015 2111100*")</f>
        <v>0</v>
      </c>
      <c r="E4742"/>
      <c r="F4742" s="35">
        <f>SUMIFS(F4743:F9015,K4743:K9015,"0",B4743:B9015,"5 1 1 5 4 12 31111 6 M59 91000 000132 0000R 00001 00154 015 2111100*")</f>
        <v>17589.71</v>
      </c>
      <c r="G4742" s="35">
        <f>SUMIFS(G4743:G9015,K4743:K9015,"0",B4743:B9015,"5 1 1 5 4 12 31111 6 M59 91000 000132 0000R 00001 00154 015 2111100*")</f>
        <v>0</v>
      </c>
      <c r="H4742" s="35">
        <f t="shared" si="75"/>
        <v>17589.71</v>
      </c>
      <c r="I4742" s="35"/>
      <c r="K4742" t="s">
        <v>15</v>
      </c>
    </row>
    <row r="4743" spans="2:11" ht="33" x14ac:dyDescent="0.2">
      <c r="B4743" s="33" t="s">
        <v>5700</v>
      </c>
      <c r="C4743" s="33" t="s">
        <v>660</v>
      </c>
      <c r="D4743" s="35">
        <f>SUMIFS(D4744:D9015,K4744:K9015,"0",B4744:B9015,"5 1 1 5 4 12 31111 6 M59 91000 000132 0000R 00001 00154 015 2111100 2024*")-SUMIFS(E4744:E9015,K4744:K9015,"0",B4744:B9015,"5 1 1 5 4 12 31111 6 M59 91000 000132 0000R 00001 00154 015 2111100 2024*")</f>
        <v>0</v>
      </c>
      <c r="E4743"/>
      <c r="F4743" s="35">
        <f>SUMIFS(F4744:F9015,K4744:K9015,"0",B4744:B9015,"5 1 1 5 4 12 31111 6 M59 91000 000132 0000R 00001 00154 015 2111100 2024*")</f>
        <v>17589.71</v>
      </c>
      <c r="G4743" s="35">
        <f>SUMIFS(G4744:G9015,K4744:K9015,"0",B4744:B9015,"5 1 1 5 4 12 31111 6 M59 91000 000132 0000R 00001 00154 015 2111100 2024*")</f>
        <v>0</v>
      </c>
      <c r="H4743" s="35">
        <f t="shared" si="75"/>
        <v>17589.71</v>
      </c>
      <c r="I4743" s="35"/>
      <c r="K4743" t="s">
        <v>15</v>
      </c>
    </row>
    <row r="4744" spans="2:11" ht="41.25" x14ac:dyDescent="0.2">
      <c r="B4744" s="33" t="s">
        <v>5701</v>
      </c>
      <c r="C4744" s="33" t="s">
        <v>1056</v>
      </c>
      <c r="D4744" s="35">
        <f>SUMIFS(D4745:D9015,K4745:K9015,"0",B4745:B9015,"5 1 1 5 4 12 31111 6 M59 91000 000132 0000R 00001 00154 015 2111100 2024 CP1RE398*")-SUMIFS(E4745:E9015,K4745:K9015,"0",B4745:B9015,"5 1 1 5 4 12 31111 6 M59 91000 000132 0000R 00001 00154 015 2111100 2024 CP1RE398*")</f>
        <v>0</v>
      </c>
      <c r="E4744"/>
      <c r="F4744" s="35">
        <f>SUMIFS(F4745:F9015,K4745:K9015,"0",B4745:B9015,"5 1 1 5 4 12 31111 6 M59 91000 000132 0000R 00001 00154 015 2111100 2024 CP1RE398*")</f>
        <v>17589.71</v>
      </c>
      <c r="G4744" s="35">
        <f>SUMIFS(G4745:G9015,K4745:K9015,"0",B4745:B9015,"5 1 1 5 4 12 31111 6 M59 91000 000132 0000R 00001 00154 015 2111100 2024 CP1RE398*")</f>
        <v>0</v>
      </c>
      <c r="H4744" s="35">
        <f t="shared" si="75"/>
        <v>17589.71</v>
      </c>
      <c r="I4744" s="35"/>
      <c r="K4744" t="s">
        <v>15</v>
      </c>
    </row>
    <row r="4745" spans="2:11" ht="41.25" x14ac:dyDescent="0.2">
      <c r="B4745" s="33" t="s">
        <v>5702</v>
      </c>
      <c r="C4745" s="33" t="s">
        <v>282</v>
      </c>
      <c r="D4745" s="35">
        <f>SUMIFS(D4746:D9015,K4746:K9015,"0",B4746:B9015,"5 1 1 5 4 12 31111 6 M59 91000 000132 0000R 00001 00154 015 2111100 2024 CP1RE398 001*")-SUMIFS(E4746:E9015,K4746:K9015,"0",B4746:B9015,"5 1 1 5 4 12 31111 6 M59 91000 000132 0000R 00001 00154 015 2111100 2024 CP1RE398 001*")</f>
        <v>0</v>
      </c>
      <c r="E4745"/>
      <c r="F4745" s="35">
        <f>SUMIFS(F4746:F9015,K4746:K9015,"0",B4746:B9015,"5 1 1 5 4 12 31111 6 M59 91000 000132 0000R 00001 00154 015 2111100 2024 CP1RE398 001*")</f>
        <v>17589.71</v>
      </c>
      <c r="G4745" s="35">
        <f>SUMIFS(G4746:G9015,K4746:K9015,"0",B4746:B9015,"5 1 1 5 4 12 31111 6 M59 91000 000132 0000R 00001 00154 015 2111100 2024 CP1RE398 001*")</f>
        <v>0</v>
      </c>
      <c r="H4745" s="35">
        <f t="shared" si="75"/>
        <v>17589.71</v>
      </c>
      <c r="I4745" s="35"/>
      <c r="K4745" t="s">
        <v>15</v>
      </c>
    </row>
    <row r="4746" spans="2:11" ht="33" x14ac:dyDescent="0.2">
      <c r="B4746" s="31" t="s">
        <v>5703</v>
      </c>
      <c r="C4746" s="31" t="s">
        <v>5443</v>
      </c>
      <c r="D4746" s="34">
        <v>0</v>
      </c>
      <c r="E4746" s="34"/>
      <c r="F4746" s="34">
        <v>3672</v>
      </c>
      <c r="G4746" s="34">
        <v>0</v>
      </c>
      <c r="H4746" s="34">
        <f t="shared" si="75"/>
        <v>3672</v>
      </c>
      <c r="I4746" s="34"/>
      <c r="K4746" t="s">
        <v>38</v>
      </c>
    </row>
    <row r="4747" spans="2:11" ht="33" x14ac:dyDescent="0.2">
      <c r="B4747" s="31" t="s">
        <v>5704</v>
      </c>
      <c r="C4747" s="31" t="s">
        <v>5431</v>
      </c>
      <c r="D4747" s="34">
        <v>0</v>
      </c>
      <c r="E4747" s="34"/>
      <c r="F4747" s="34">
        <v>2242.08</v>
      </c>
      <c r="G4747" s="34">
        <v>0</v>
      </c>
      <c r="H4747" s="34">
        <f t="shared" si="75"/>
        <v>2242.08</v>
      </c>
      <c r="I4747" s="34"/>
      <c r="K4747" t="s">
        <v>38</v>
      </c>
    </row>
    <row r="4748" spans="2:11" ht="33" x14ac:dyDescent="0.2">
      <c r="B4748" s="31" t="s">
        <v>5705</v>
      </c>
      <c r="C4748" s="31" t="s">
        <v>5446</v>
      </c>
      <c r="D4748" s="34">
        <v>0</v>
      </c>
      <c r="E4748" s="34"/>
      <c r="F4748" s="34">
        <v>11675.63</v>
      </c>
      <c r="G4748" s="34">
        <v>0</v>
      </c>
      <c r="H4748" s="34">
        <f t="shared" si="75"/>
        <v>11675.63</v>
      </c>
      <c r="I4748" s="34"/>
      <c r="K4748" t="s">
        <v>38</v>
      </c>
    </row>
    <row r="4749" spans="2:11" ht="16.5" x14ac:dyDescent="0.2">
      <c r="B4749" s="33" t="s">
        <v>5706</v>
      </c>
      <c r="C4749" s="33" t="s">
        <v>3620</v>
      </c>
      <c r="D4749" s="35">
        <f>SUMIFS(D4750:D9015,K4750:K9015,"0",B4750:B9015,"5 1 1 5 4 12 31111 6 M59 92000*")-SUMIFS(E4750:E9015,K4750:K9015,"0",B4750:B9015,"5 1 1 5 4 12 31111 6 M59 92000*")</f>
        <v>0</v>
      </c>
      <c r="E4749"/>
      <c r="F4749" s="35">
        <f>SUMIFS(F4750:F9015,K4750:K9015,"0",B4750:B9015,"5 1 1 5 4 12 31111 6 M59 92000*")</f>
        <v>36993.93</v>
      </c>
      <c r="G4749" s="35">
        <f>SUMIFS(G4750:G9015,K4750:K9015,"0",B4750:B9015,"5 1 1 5 4 12 31111 6 M59 92000*")</f>
        <v>0</v>
      </c>
      <c r="H4749" s="35">
        <f t="shared" si="75"/>
        <v>36993.93</v>
      </c>
      <c r="I4749" s="35"/>
      <c r="K4749" t="s">
        <v>15</v>
      </c>
    </row>
    <row r="4750" spans="2:11" ht="24.75" x14ac:dyDescent="0.2">
      <c r="B4750" s="33" t="s">
        <v>5707</v>
      </c>
      <c r="C4750" s="33" t="s">
        <v>3152</v>
      </c>
      <c r="D4750" s="35">
        <f>SUMIFS(D4751:D9015,K4751:K9015,"0",B4751:B9015,"5 1 1 5 4 12 31111 6 M59 92000 000181*")-SUMIFS(E4751:E9015,K4751:K9015,"0",B4751:B9015,"5 1 1 5 4 12 31111 6 M59 92000 000181*")</f>
        <v>0</v>
      </c>
      <c r="E4750"/>
      <c r="F4750" s="35">
        <f>SUMIFS(F4751:F9015,K4751:K9015,"0",B4751:B9015,"5 1 1 5 4 12 31111 6 M59 92000 000181*")</f>
        <v>36993.93</v>
      </c>
      <c r="G4750" s="35">
        <f>SUMIFS(G4751:G9015,K4751:K9015,"0",B4751:B9015,"5 1 1 5 4 12 31111 6 M59 92000 000181*")</f>
        <v>0</v>
      </c>
      <c r="H4750" s="35">
        <f t="shared" si="75"/>
        <v>36993.93</v>
      </c>
      <c r="I4750" s="35"/>
      <c r="K4750" t="s">
        <v>15</v>
      </c>
    </row>
    <row r="4751" spans="2:11" ht="16.5" x14ac:dyDescent="0.2">
      <c r="B4751" s="33" t="s">
        <v>5708</v>
      </c>
      <c r="C4751" s="33" t="s">
        <v>1065</v>
      </c>
      <c r="D4751" s="35">
        <f>SUMIFS(D4752:D9015,K4752:K9015,"0",B4752:B9015,"5 1 1 5 4 12 31111 6 M59 92000 000181 0000E*")-SUMIFS(E4752:E9015,K4752:K9015,"0",B4752:B9015,"5 1 1 5 4 12 31111 6 M59 92000 000181 0000E*")</f>
        <v>0</v>
      </c>
      <c r="E4751"/>
      <c r="F4751" s="35">
        <f>SUMIFS(F4752:F9015,K4752:K9015,"0",B4752:B9015,"5 1 1 5 4 12 31111 6 M59 92000 000181 0000E*")</f>
        <v>36993.93</v>
      </c>
      <c r="G4751" s="35">
        <f>SUMIFS(G4752:G9015,K4752:K9015,"0",B4752:B9015,"5 1 1 5 4 12 31111 6 M59 92000 000181 0000E*")</f>
        <v>0</v>
      </c>
      <c r="H4751" s="35">
        <f t="shared" si="75"/>
        <v>36993.93</v>
      </c>
      <c r="I4751" s="35"/>
      <c r="K4751" t="s">
        <v>15</v>
      </c>
    </row>
    <row r="4752" spans="2:11" ht="24.75" x14ac:dyDescent="0.2">
      <c r="B4752" s="33" t="s">
        <v>5709</v>
      </c>
      <c r="C4752" s="33" t="s">
        <v>282</v>
      </c>
      <c r="D4752" s="35">
        <f>SUMIFS(D4753:D9015,K4753:K9015,"0",B4753:B9015,"5 1 1 5 4 12 31111 6 M59 92000 000181 0000E 00001*")-SUMIFS(E4753:E9015,K4753:K9015,"0",B4753:B9015,"5 1 1 5 4 12 31111 6 M59 92000 000181 0000E 00001*")</f>
        <v>0</v>
      </c>
      <c r="E4752"/>
      <c r="F4752" s="35">
        <f>SUMIFS(F4753:F9015,K4753:K9015,"0",B4753:B9015,"5 1 1 5 4 12 31111 6 M59 92000 000181 0000E 00001*")</f>
        <v>36993.93</v>
      </c>
      <c r="G4752" s="35">
        <f>SUMIFS(G4753:G9015,K4753:K9015,"0",B4753:B9015,"5 1 1 5 4 12 31111 6 M59 92000 000181 0000E 00001*")</f>
        <v>0</v>
      </c>
      <c r="H4752" s="35">
        <f t="shared" si="75"/>
        <v>36993.93</v>
      </c>
      <c r="I4752" s="35"/>
      <c r="K4752" t="s">
        <v>15</v>
      </c>
    </row>
    <row r="4753" spans="2:11" ht="24.75" x14ac:dyDescent="0.2">
      <c r="B4753" s="33" t="s">
        <v>5710</v>
      </c>
      <c r="C4753" s="33" t="s">
        <v>5422</v>
      </c>
      <c r="D4753" s="35">
        <f>SUMIFS(D4754:D9015,K4754:K9015,"0",B4754:B9015,"5 1 1 5 4 12 31111 6 M59 92000 000181 0000E 00001 00154*")-SUMIFS(E4754:E9015,K4754:K9015,"0",B4754:B9015,"5 1 1 5 4 12 31111 6 M59 92000 000181 0000E 00001 00154*")</f>
        <v>0</v>
      </c>
      <c r="E4753"/>
      <c r="F4753" s="35">
        <f>SUMIFS(F4754:F9015,K4754:K9015,"0",B4754:B9015,"5 1 1 5 4 12 31111 6 M59 92000 000181 0000E 00001 00154*")</f>
        <v>36993.93</v>
      </c>
      <c r="G4753" s="35">
        <f>SUMIFS(G4754:G9015,K4754:K9015,"0",B4754:B9015,"5 1 1 5 4 12 31111 6 M59 92000 000181 0000E 00001 00154*")</f>
        <v>0</v>
      </c>
      <c r="H4753" s="35">
        <f t="shared" si="75"/>
        <v>36993.93</v>
      </c>
      <c r="I4753" s="35"/>
      <c r="K4753" t="s">
        <v>15</v>
      </c>
    </row>
    <row r="4754" spans="2:11" ht="24.75" x14ac:dyDescent="0.2">
      <c r="B4754" s="33" t="s">
        <v>5711</v>
      </c>
      <c r="C4754" s="33" t="s">
        <v>1051</v>
      </c>
      <c r="D4754" s="35">
        <f>SUMIFS(D4755:D9015,K4755:K9015,"0",B4755:B9015,"5 1 1 5 4 12 31111 6 M59 92000 000181 0000E 00001 00154 015*")-SUMIFS(E4755:E9015,K4755:K9015,"0",B4755:B9015,"5 1 1 5 4 12 31111 6 M59 92000 000181 0000E 00001 00154 015*")</f>
        <v>0</v>
      </c>
      <c r="E4754"/>
      <c r="F4754" s="35">
        <f>SUMIFS(F4755:F9015,K4755:K9015,"0",B4755:B9015,"5 1 1 5 4 12 31111 6 M59 92000 000181 0000E 00001 00154 015*")</f>
        <v>36993.93</v>
      </c>
      <c r="G4754" s="35">
        <f>SUMIFS(G4755:G9015,K4755:K9015,"0",B4755:B9015,"5 1 1 5 4 12 31111 6 M59 92000 000181 0000E 00001 00154 015*")</f>
        <v>0</v>
      </c>
      <c r="H4754" s="35">
        <f t="shared" si="75"/>
        <v>36993.93</v>
      </c>
      <c r="I4754" s="35"/>
      <c r="K4754" t="s">
        <v>15</v>
      </c>
    </row>
    <row r="4755" spans="2:11" ht="33" x14ac:dyDescent="0.2">
      <c r="B4755" s="33" t="s">
        <v>5712</v>
      </c>
      <c r="C4755" s="33" t="s">
        <v>2927</v>
      </c>
      <c r="D4755" s="35">
        <f>SUMIFS(D4756:D9015,K4756:K9015,"0",B4756:B9015,"5 1 1 5 4 12 31111 6 M59 92000 000181 0000E 00001 00154 015 2111100*")-SUMIFS(E4756:E9015,K4756:K9015,"0",B4756:B9015,"5 1 1 5 4 12 31111 6 M59 92000 000181 0000E 00001 00154 015 2111100*")</f>
        <v>0</v>
      </c>
      <c r="E4755"/>
      <c r="F4755" s="35">
        <f>SUMIFS(F4756:F9015,K4756:K9015,"0",B4756:B9015,"5 1 1 5 4 12 31111 6 M59 92000 000181 0000E 00001 00154 015 2111100*")</f>
        <v>36993.93</v>
      </c>
      <c r="G4755" s="35">
        <f>SUMIFS(G4756:G9015,K4756:K9015,"0",B4756:B9015,"5 1 1 5 4 12 31111 6 M59 92000 000181 0000E 00001 00154 015 2111100*")</f>
        <v>0</v>
      </c>
      <c r="H4755" s="35">
        <f t="shared" si="75"/>
        <v>36993.93</v>
      </c>
      <c r="I4755" s="35"/>
      <c r="K4755" t="s">
        <v>15</v>
      </c>
    </row>
    <row r="4756" spans="2:11" ht="33" x14ac:dyDescent="0.2">
      <c r="B4756" s="33" t="s">
        <v>5713</v>
      </c>
      <c r="C4756" s="33" t="s">
        <v>660</v>
      </c>
      <c r="D4756" s="35">
        <f>SUMIFS(D4757:D9015,K4757:K9015,"0",B4757:B9015,"5 1 1 5 4 12 31111 6 M59 92000 000181 0000E 00001 00154 015 2111100 2024*")-SUMIFS(E4757:E9015,K4757:K9015,"0",B4757:B9015,"5 1 1 5 4 12 31111 6 M59 92000 000181 0000E 00001 00154 015 2111100 2024*")</f>
        <v>0</v>
      </c>
      <c r="E4756"/>
      <c r="F4756" s="35">
        <f>SUMIFS(F4757:F9015,K4757:K9015,"0",B4757:B9015,"5 1 1 5 4 12 31111 6 M59 92000 000181 0000E 00001 00154 015 2111100 2024*")</f>
        <v>36993.93</v>
      </c>
      <c r="G4756" s="35">
        <f>SUMIFS(G4757:G9015,K4757:K9015,"0",B4757:B9015,"5 1 1 5 4 12 31111 6 M59 92000 000181 0000E 00001 00154 015 2111100 2024*")</f>
        <v>0</v>
      </c>
      <c r="H4756" s="35">
        <f t="shared" si="75"/>
        <v>36993.93</v>
      </c>
      <c r="I4756" s="35"/>
      <c r="K4756" t="s">
        <v>15</v>
      </c>
    </row>
    <row r="4757" spans="2:11" ht="41.25" x14ac:dyDescent="0.2">
      <c r="B4757" s="33" t="s">
        <v>5714</v>
      </c>
      <c r="C4757" s="33" t="s">
        <v>1056</v>
      </c>
      <c r="D4757" s="35">
        <f>SUMIFS(D4758:D9015,K4758:K9015,"0",B4758:B9015,"5 1 1 5 4 12 31111 6 M59 92000 000181 0000E 00001 00154 015 2111100 2024 CP1RC399*")-SUMIFS(E4758:E9015,K4758:K9015,"0",B4758:B9015,"5 1 1 5 4 12 31111 6 M59 92000 000181 0000E 00001 00154 015 2111100 2024 CP1RC399*")</f>
        <v>0</v>
      </c>
      <c r="E4757"/>
      <c r="F4757" s="35">
        <f>SUMIFS(F4758:F9015,K4758:K9015,"0",B4758:B9015,"5 1 1 5 4 12 31111 6 M59 92000 000181 0000E 00001 00154 015 2111100 2024 CP1RC399*")</f>
        <v>36993.93</v>
      </c>
      <c r="G4757" s="35">
        <f>SUMIFS(G4758:G9015,K4758:K9015,"0",B4758:B9015,"5 1 1 5 4 12 31111 6 M59 92000 000181 0000E 00001 00154 015 2111100 2024 CP1RC399*")</f>
        <v>0</v>
      </c>
      <c r="H4757" s="35">
        <f t="shared" si="75"/>
        <v>36993.93</v>
      </c>
      <c r="I4757" s="35"/>
      <c r="K4757" t="s">
        <v>15</v>
      </c>
    </row>
    <row r="4758" spans="2:11" ht="41.25" x14ac:dyDescent="0.2">
      <c r="B4758" s="33" t="s">
        <v>5715</v>
      </c>
      <c r="C4758" s="33" t="s">
        <v>282</v>
      </c>
      <c r="D4758" s="35">
        <f>SUMIFS(D4759:D9015,K4759:K9015,"0",B4759:B9015,"5 1 1 5 4 12 31111 6 M59 92000 000181 0000E 00001 00154 015 2111100 2024 CP1RC399 001*")-SUMIFS(E4759:E9015,K4759:K9015,"0",B4759:B9015,"5 1 1 5 4 12 31111 6 M59 92000 000181 0000E 00001 00154 015 2111100 2024 CP1RC399 001*")</f>
        <v>0</v>
      </c>
      <c r="E4758"/>
      <c r="F4758" s="35">
        <f>SUMIFS(F4759:F9015,K4759:K9015,"0",B4759:B9015,"5 1 1 5 4 12 31111 6 M59 92000 000181 0000E 00001 00154 015 2111100 2024 CP1RC399 001*")</f>
        <v>36993.93</v>
      </c>
      <c r="G4758" s="35">
        <f>SUMIFS(G4759:G9015,K4759:K9015,"0",B4759:B9015,"5 1 1 5 4 12 31111 6 M59 92000 000181 0000E 00001 00154 015 2111100 2024 CP1RC399 001*")</f>
        <v>0</v>
      </c>
      <c r="H4758" s="35">
        <f t="shared" si="75"/>
        <v>36993.93</v>
      </c>
      <c r="I4758" s="35"/>
      <c r="K4758" t="s">
        <v>15</v>
      </c>
    </row>
    <row r="4759" spans="2:11" ht="33" x14ac:dyDescent="0.2">
      <c r="B4759" s="31" t="s">
        <v>5716</v>
      </c>
      <c r="C4759" s="31" t="s">
        <v>5443</v>
      </c>
      <c r="D4759" s="34">
        <v>0</v>
      </c>
      <c r="E4759" s="34"/>
      <c r="F4759" s="34">
        <v>6172</v>
      </c>
      <c r="G4759" s="34">
        <v>0</v>
      </c>
      <c r="H4759" s="34">
        <f t="shared" si="75"/>
        <v>6172</v>
      </c>
      <c r="I4759" s="34"/>
      <c r="K4759" t="s">
        <v>38</v>
      </c>
    </row>
    <row r="4760" spans="2:11" ht="33" x14ac:dyDescent="0.2">
      <c r="B4760" s="31" t="s">
        <v>5717</v>
      </c>
      <c r="C4760" s="31" t="s">
        <v>5431</v>
      </c>
      <c r="D4760" s="34">
        <v>0</v>
      </c>
      <c r="E4760" s="34"/>
      <c r="F4760" s="34">
        <v>7251.2</v>
      </c>
      <c r="G4760" s="34">
        <v>0</v>
      </c>
      <c r="H4760" s="34">
        <f t="shared" si="75"/>
        <v>7251.2</v>
      </c>
      <c r="I4760" s="34"/>
      <c r="K4760" t="s">
        <v>38</v>
      </c>
    </row>
    <row r="4761" spans="2:11" ht="33" x14ac:dyDescent="0.2">
      <c r="B4761" s="31" t="s">
        <v>5718</v>
      </c>
      <c r="C4761" s="31" t="s">
        <v>5446</v>
      </c>
      <c r="D4761" s="34">
        <v>0</v>
      </c>
      <c r="E4761" s="34"/>
      <c r="F4761" s="34">
        <v>23570.73</v>
      </c>
      <c r="G4761" s="34">
        <v>0</v>
      </c>
      <c r="H4761" s="34">
        <f t="shared" si="75"/>
        <v>23570.73</v>
      </c>
      <c r="I4761" s="34"/>
      <c r="K4761" t="s">
        <v>38</v>
      </c>
    </row>
    <row r="4762" spans="2:11" ht="16.5" x14ac:dyDescent="0.2">
      <c r="B4762" s="33" t="s">
        <v>5719</v>
      </c>
      <c r="C4762" s="33" t="s">
        <v>3644</v>
      </c>
      <c r="D4762" s="35">
        <f>SUMIFS(D4763:D9015,K4763:K9015,"0",B4763:B9015,"5 1 1 5 4 12 31111 6 M59 94000*")-SUMIFS(E4763:E9015,K4763:K9015,"0",B4763:B9015,"5 1 1 5 4 12 31111 6 M59 94000*")</f>
        <v>0</v>
      </c>
      <c r="E4762"/>
      <c r="F4762" s="35">
        <f>SUMIFS(F4763:F9015,K4763:K9015,"0",B4763:B9015,"5 1 1 5 4 12 31111 6 M59 94000*")</f>
        <v>51662.55</v>
      </c>
      <c r="G4762" s="35">
        <f>SUMIFS(G4763:G9015,K4763:K9015,"0",B4763:B9015,"5 1 1 5 4 12 31111 6 M59 94000*")</f>
        <v>0</v>
      </c>
      <c r="H4762" s="35">
        <f t="shared" si="75"/>
        <v>51662.55</v>
      </c>
      <c r="I4762" s="35"/>
      <c r="K4762" t="s">
        <v>15</v>
      </c>
    </row>
    <row r="4763" spans="2:11" ht="24.75" x14ac:dyDescent="0.2">
      <c r="B4763" s="33" t="s">
        <v>5720</v>
      </c>
      <c r="C4763" s="33" t="s">
        <v>3152</v>
      </c>
      <c r="D4763" s="35">
        <f>SUMIFS(D4764:D9015,K4764:K9015,"0",B4764:B9015,"5 1 1 5 4 12 31111 6 M59 94000 000181*")-SUMIFS(E4764:E9015,K4764:K9015,"0",B4764:B9015,"5 1 1 5 4 12 31111 6 M59 94000 000181*")</f>
        <v>0</v>
      </c>
      <c r="E4763"/>
      <c r="F4763" s="35">
        <f>SUMIFS(F4764:F9015,K4764:K9015,"0",B4764:B9015,"5 1 1 5 4 12 31111 6 M59 94000 000181*")</f>
        <v>51662.55</v>
      </c>
      <c r="G4763" s="35">
        <f>SUMIFS(G4764:G9015,K4764:K9015,"0",B4764:B9015,"5 1 1 5 4 12 31111 6 M59 94000 000181*")</f>
        <v>0</v>
      </c>
      <c r="H4763" s="35">
        <f t="shared" si="75"/>
        <v>51662.55</v>
      </c>
      <c r="I4763" s="35"/>
      <c r="K4763" t="s">
        <v>15</v>
      </c>
    </row>
    <row r="4764" spans="2:11" ht="16.5" x14ac:dyDescent="0.2">
      <c r="B4764" s="33" t="s">
        <v>5721</v>
      </c>
      <c r="C4764" s="33" t="s">
        <v>650</v>
      </c>
      <c r="D4764" s="35">
        <f>SUMIFS(D4765:D9015,K4765:K9015,"0",B4765:B9015,"5 1 1 5 4 12 31111 6 M59 94000 000181 0000R*")-SUMIFS(E4765:E9015,K4765:K9015,"0",B4765:B9015,"5 1 1 5 4 12 31111 6 M59 94000 000181 0000R*")</f>
        <v>0</v>
      </c>
      <c r="E4764"/>
      <c r="F4764" s="35">
        <f>SUMIFS(F4765:F9015,K4765:K9015,"0",B4765:B9015,"5 1 1 5 4 12 31111 6 M59 94000 000181 0000R*")</f>
        <v>51662.55</v>
      </c>
      <c r="G4764" s="35">
        <f>SUMIFS(G4765:G9015,K4765:K9015,"0",B4765:B9015,"5 1 1 5 4 12 31111 6 M59 94000 000181 0000R*")</f>
        <v>0</v>
      </c>
      <c r="H4764" s="35">
        <f t="shared" si="75"/>
        <v>51662.55</v>
      </c>
      <c r="I4764" s="35"/>
      <c r="K4764" t="s">
        <v>15</v>
      </c>
    </row>
    <row r="4765" spans="2:11" ht="24.75" x14ac:dyDescent="0.2">
      <c r="B4765" s="33" t="s">
        <v>5722</v>
      </c>
      <c r="C4765" s="33" t="s">
        <v>282</v>
      </c>
      <c r="D4765" s="35">
        <f>SUMIFS(D4766:D9015,K4766:K9015,"0",B4766:B9015,"5 1 1 5 4 12 31111 6 M59 94000 000181 0000R 00001*")-SUMIFS(E4766:E9015,K4766:K9015,"0",B4766:B9015,"5 1 1 5 4 12 31111 6 M59 94000 000181 0000R 00001*")</f>
        <v>0</v>
      </c>
      <c r="E4765"/>
      <c r="F4765" s="35">
        <f>SUMIFS(F4766:F9015,K4766:K9015,"0",B4766:B9015,"5 1 1 5 4 12 31111 6 M59 94000 000181 0000R 00001*")</f>
        <v>51662.55</v>
      </c>
      <c r="G4765" s="35">
        <f>SUMIFS(G4766:G9015,K4766:K9015,"0",B4766:B9015,"5 1 1 5 4 12 31111 6 M59 94000 000181 0000R 00001*")</f>
        <v>0</v>
      </c>
      <c r="H4765" s="35">
        <f t="shared" si="75"/>
        <v>51662.55</v>
      </c>
      <c r="I4765" s="35"/>
      <c r="K4765" t="s">
        <v>15</v>
      </c>
    </row>
    <row r="4766" spans="2:11" ht="24.75" x14ac:dyDescent="0.2">
      <c r="B4766" s="33" t="s">
        <v>5723</v>
      </c>
      <c r="C4766" s="33" t="s">
        <v>5422</v>
      </c>
      <c r="D4766" s="35">
        <f>SUMIFS(D4767:D9015,K4767:K9015,"0",B4767:B9015,"5 1 1 5 4 12 31111 6 M59 94000 000181 0000R 00001 00154*")-SUMIFS(E4767:E9015,K4767:K9015,"0",B4767:B9015,"5 1 1 5 4 12 31111 6 M59 94000 000181 0000R 00001 00154*")</f>
        <v>0</v>
      </c>
      <c r="E4766"/>
      <c r="F4766" s="35">
        <f>SUMIFS(F4767:F9015,K4767:K9015,"0",B4767:B9015,"5 1 1 5 4 12 31111 6 M59 94000 000181 0000R 00001 00154*")</f>
        <v>51662.55</v>
      </c>
      <c r="G4766" s="35">
        <f>SUMIFS(G4767:G9015,K4767:K9015,"0",B4767:B9015,"5 1 1 5 4 12 31111 6 M59 94000 000181 0000R 00001 00154*")</f>
        <v>0</v>
      </c>
      <c r="H4766" s="35">
        <f t="shared" si="75"/>
        <v>51662.55</v>
      </c>
      <c r="I4766" s="35"/>
      <c r="K4766" t="s">
        <v>15</v>
      </c>
    </row>
    <row r="4767" spans="2:11" ht="24.75" x14ac:dyDescent="0.2">
      <c r="B4767" s="33" t="s">
        <v>5724</v>
      </c>
      <c r="C4767" s="33" t="s">
        <v>1051</v>
      </c>
      <c r="D4767" s="35">
        <f>SUMIFS(D4768:D9015,K4768:K9015,"0",B4768:B9015,"5 1 1 5 4 12 31111 6 M59 94000 000181 0000R 00001 00154 015*")-SUMIFS(E4768:E9015,K4768:K9015,"0",B4768:B9015,"5 1 1 5 4 12 31111 6 M59 94000 000181 0000R 00001 00154 015*")</f>
        <v>0</v>
      </c>
      <c r="E4767"/>
      <c r="F4767" s="35">
        <f>SUMIFS(F4768:F9015,K4768:K9015,"0",B4768:B9015,"5 1 1 5 4 12 31111 6 M59 94000 000181 0000R 00001 00154 015*")</f>
        <v>51662.55</v>
      </c>
      <c r="G4767" s="35">
        <f>SUMIFS(G4768:G9015,K4768:K9015,"0",B4768:B9015,"5 1 1 5 4 12 31111 6 M59 94000 000181 0000R 00001 00154 015*")</f>
        <v>0</v>
      </c>
      <c r="H4767" s="35">
        <f t="shared" si="75"/>
        <v>51662.55</v>
      </c>
      <c r="I4767" s="35"/>
      <c r="K4767" t="s">
        <v>15</v>
      </c>
    </row>
    <row r="4768" spans="2:11" ht="33" x14ac:dyDescent="0.2">
      <c r="B4768" s="33" t="s">
        <v>5725</v>
      </c>
      <c r="C4768" s="33" t="s">
        <v>2927</v>
      </c>
      <c r="D4768" s="35">
        <f>SUMIFS(D4769:D9015,K4769:K9015,"0",B4769:B9015,"5 1 1 5 4 12 31111 6 M59 94000 000181 0000R 00001 00154 015 2111100*")-SUMIFS(E4769:E9015,K4769:K9015,"0",B4769:B9015,"5 1 1 5 4 12 31111 6 M59 94000 000181 0000R 00001 00154 015 2111100*")</f>
        <v>0</v>
      </c>
      <c r="E4768"/>
      <c r="F4768" s="35">
        <f>SUMIFS(F4769:F9015,K4769:K9015,"0",B4769:B9015,"5 1 1 5 4 12 31111 6 M59 94000 000181 0000R 00001 00154 015 2111100*")</f>
        <v>51662.55</v>
      </c>
      <c r="G4768" s="35">
        <f>SUMIFS(G4769:G9015,K4769:K9015,"0",B4769:B9015,"5 1 1 5 4 12 31111 6 M59 94000 000181 0000R 00001 00154 015 2111100*")</f>
        <v>0</v>
      </c>
      <c r="H4768" s="35">
        <f t="shared" si="75"/>
        <v>51662.55</v>
      </c>
      <c r="I4768" s="35"/>
      <c r="K4768" t="s">
        <v>15</v>
      </c>
    </row>
    <row r="4769" spans="2:11" ht="33" x14ac:dyDescent="0.2">
      <c r="B4769" s="33" t="s">
        <v>5726</v>
      </c>
      <c r="C4769" s="33" t="s">
        <v>660</v>
      </c>
      <c r="D4769" s="35">
        <f>SUMIFS(D4770:D9015,K4770:K9015,"0",B4770:B9015,"5 1 1 5 4 12 31111 6 M59 94000 000181 0000R 00001 00154 015 2111100 2024*")-SUMIFS(E4770:E9015,K4770:K9015,"0",B4770:B9015,"5 1 1 5 4 12 31111 6 M59 94000 000181 0000R 00001 00154 015 2111100 2024*")</f>
        <v>0</v>
      </c>
      <c r="E4769"/>
      <c r="F4769" s="35">
        <f>SUMIFS(F4770:F9015,K4770:K9015,"0",B4770:B9015,"5 1 1 5 4 12 31111 6 M59 94000 000181 0000R 00001 00154 015 2111100 2024*")</f>
        <v>51662.55</v>
      </c>
      <c r="G4769" s="35">
        <f>SUMIFS(G4770:G9015,K4770:K9015,"0",B4770:B9015,"5 1 1 5 4 12 31111 6 M59 94000 000181 0000R 00001 00154 015 2111100 2024*")</f>
        <v>0</v>
      </c>
      <c r="H4769" s="35">
        <f t="shared" si="75"/>
        <v>51662.55</v>
      </c>
      <c r="I4769" s="35"/>
      <c r="K4769" t="s">
        <v>15</v>
      </c>
    </row>
    <row r="4770" spans="2:11" ht="41.25" x14ac:dyDescent="0.2">
      <c r="B4770" s="33" t="s">
        <v>5727</v>
      </c>
      <c r="C4770" s="33" t="s">
        <v>1056</v>
      </c>
      <c r="D4770" s="35">
        <f>SUMIFS(D4771:D9015,K4771:K9015,"0",B4771:B9015,"5 1 1 5 4 12 31111 6 M59 94000 000181 0000R 00001 00154 015 2111100 2024 CP1OM392*")-SUMIFS(E4771:E9015,K4771:K9015,"0",B4771:B9015,"5 1 1 5 4 12 31111 6 M59 94000 000181 0000R 00001 00154 015 2111100 2024 CP1OM392*")</f>
        <v>0</v>
      </c>
      <c r="E4770"/>
      <c r="F4770" s="35">
        <f>SUMIFS(F4771:F9015,K4771:K9015,"0",B4771:B9015,"5 1 1 5 4 12 31111 6 M59 94000 000181 0000R 00001 00154 015 2111100 2024 CP1OM392*")</f>
        <v>51662.55</v>
      </c>
      <c r="G4770" s="35">
        <f>SUMIFS(G4771:G9015,K4771:K9015,"0",B4771:B9015,"5 1 1 5 4 12 31111 6 M59 94000 000181 0000R 00001 00154 015 2111100 2024 CP1OM392*")</f>
        <v>0</v>
      </c>
      <c r="H4770" s="35">
        <f t="shared" si="75"/>
        <v>51662.55</v>
      </c>
      <c r="I4770" s="35"/>
      <c r="K4770" t="s">
        <v>15</v>
      </c>
    </row>
    <row r="4771" spans="2:11" ht="41.25" x14ac:dyDescent="0.2">
      <c r="B4771" s="33" t="s">
        <v>5728</v>
      </c>
      <c r="C4771" s="33" t="s">
        <v>282</v>
      </c>
      <c r="D4771" s="35">
        <f>SUMIFS(D4772:D9015,K4772:K9015,"0",B4772:B9015,"5 1 1 5 4 12 31111 6 M59 94000 000181 0000R 00001 00154 015 2111100 2024 CP1OM392 001*")-SUMIFS(E4772:E9015,K4772:K9015,"0",B4772:B9015,"5 1 1 5 4 12 31111 6 M59 94000 000181 0000R 00001 00154 015 2111100 2024 CP1OM392 001*")</f>
        <v>0</v>
      </c>
      <c r="E4771"/>
      <c r="F4771" s="35">
        <f>SUMIFS(F4772:F9015,K4772:K9015,"0",B4772:B9015,"5 1 1 5 4 12 31111 6 M59 94000 000181 0000R 00001 00154 015 2111100 2024 CP1OM392 001*")</f>
        <v>51662.55</v>
      </c>
      <c r="G4771" s="35">
        <f>SUMIFS(G4772:G9015,K4772:K9015,"0",B4772:B9015,"5 1 1 5 4 12 31111 6 M59 94000 000181 0000R 00001 00154 015 2111100 2024 CP1OM392 001*")</f>
        <v>0</v>
      </c>
      <c r="H4771" s="35">
        <f t="shared" si="75"/>
        <v>51662.55</v>
      </c>
      <c r="I4771" s="35"/>
      <c r="K4771" t="s">
        <v>15</v>
      </c>
    </row>
    <row r="4772" spans="2:11" ht="33" x14ac:dyDescent="0.2">
      <c r="B4772" s="31" t="s">
        <v>5729</v>
      </c>
      <c r="C4772" s="31" t="s">
        <v>5443</v>
      </c>
      <c r="D4772" s="34">
        <v>0</v>
      </c>
      <c r="E4772" s="34"/>
      <c r="F4772" s="34">
        <v>9600</v>
      </c>
      <c r="G4772" s="34">
        <v>0</v>
      </c>
      <c r="H4772" s="34">
        <f t="shared" si="75"/>
        <v>9600</v>
      </c>
      <c r="I4772" s="34"/>
      <c r="K4772" t="s">
        <v>38</v>
      </c>
    </row>
    <row r="4773" spans="2:11" ht="33" x14ac:dyDescent="0.2">
      <c r="B4773" s="31" t="s">
        <v>5730</v>
      </c>
      <c r="C4773" s="31" t="s">
        <v>5431</v>
      </c>
      <c r="D4773" s="34">
        <v>0</v>
      </c>
      <c r="E4773" s="34"/>
      <c r="F4773" s="34">
        <v>4643.04</v>
      </c>
      <c r="G4773" s="34">
        <v>0</v>
      </c>
      <c r="H4773" s="34">
        <f t="shared" si="75"/>
        <v>4643.04</v>
      </c>
      <c r="I4773" s="34"/>
      <c r="K4773" t="s">
        <v>38</v>
      </c>
    </row>
    <row r="4774" spans="2:11" ht="33" x14ac:dyDescent="0.2">
      <c r="B4774" s="31" t="s">
        <v>5731</v>
      </c>
      <c r="C4774" s="31" t="s">
        <v>5446</v>
      </c>
      <c r="D4774" s="34">
        <v>0</v>
      </c>
      <c r="E4774" s="34"/>
      <c r="F4774" s="34">
        <v>37419.51</v>
      </c>
      <c r="G4774" s="34">
        <v>0</v>
      </c>
      <c r="H4774" s="34">
        <f t="shared" si="75"/>
        <v>37419.51</v>
      </c>
      <c r="I4774" s="34"/>
      <c r="K4774" t="s">
        <v>38</v>
      </c>
    </row>
    <row r="4775" spans="2:11" ht="16.5" x14ac:dyDescent="0.2">
      <c r="B4775" s="33" t="s">
        <v>5732</v>
      </c>
      <c r="C4775" s="33" t="s">
        <v>3656</v>
      </c>
      <c r="D4775" s="35">
        <f>SUMIFS(D4776:D9015,K4776:K9015,"0",B4776:B9015,"5 1 1 5 4 12 31111 6 M59 94100*")-SUMIFS(E4776:E9015,K4776:K9015,"0",B4776:B9015,"5 1 1 5 4 12 31111 6 M59 94100*")</f>
        <v>0</v>
      </c>
      <c r="E4775"/>
      <c r="F4775" s="35">
        <f>SUMIFS(F4776:F9015,K4776:K9015,"0",B4776:B9015,"5 1 1 5 4 12 31111 6 M59 94100*")</f>
        <v>18532.059999999998</v>
      </c>
      <c r="G4775" s="35">
        <f>SUMIFS(G4776:G9015,K4776:K9015,"0",B4776:B9015,"5 1 1 5 4 12 31111 6 M59 94100*")</f>
        <v>0</v>
      </c>
      <c r="H4775" s="35">
        <f t="shared" si="75"/>
        <v>18532.059999999998</v>
      </c>
      <c r="I4775" s="35"/>
      <c r="K4775" t="s">
        <v>15</v>
      </c>
    </row>
    <row r="4776" spans="2:11" ht="16.5" x14ac:dyDescent="0.2">
      <c r="B4776" s="33" t="s">
        <v>5733</v>
      </c>
      <c r="C4776" s="33" t="s">
        <v>648</v>
      </c>
      <c r="D4776" s="35">
        <f>SUMIFS(D4777:D9015,K4777:K9015,"0",B4777:B9015,"5 1 1 5 4 12 31111 6 M59 94100 000132*")-SUMIFS(E4777:E9015,K4777:K9015,"0",B4777:B9015,"5 1 1 5 4 12 31111 6 M59 94100 000132*")</f>
        <v>0</v>
      </c>
      <c r="E4776"/>
      <c r="F4776" s="35">
        <f>SUMIFS(F4777:F9015,K4777:K9015,"0",B4777:B9015,"5 1 1 5 4 12 31111 6 M59 94100 000132*")</f>
        <v>18532.059999999998</v>
      </c>
      <c r="G4776" s="35">
        <f>SUMIFS(G4777:G9015,K4777:K9015,"0",B4777:B9015,"5 1 1 5 4 12 31111 6 M59 94100 000132*")</f>
        <v>0</v>
      </c>
      <c r="H4776" s="35">
        <f t="shared" si="75"/>
        <v>18532.059999999998</v>
      </c>
      <c r="I4776" s="35"/>
      <c r="K4776" t="s">
        <v>15</v>
      </c>
    </row>
    <row r="4777" spans="2:11" ht="16.5" x14ac:dyDescent="0.2">
      <c r="B4777" s="33" t="s">
        <v>5734</v>
      </c>
      <c r="C4777" s="33" t="s">
        <v>650</v>
      </c>
      <c r="D4777" s="35">
        <f>SUMIFS(D4778:D9015,K4778:K9015,"0",B4778:B9015,"5 1 1 5 4 12 31111 6 M59 94100 000132 0000R*")-SUMIFS(E4778:E9015,K4778:K9015,"0",B4778:B9015,"5 1 1 5 4 12 31111 6 M59 94100 000132 0000R*")</f>
        <v>0</v>
      </c>
      <c r="E4777"/>
      <c r="F4777" s="35">
        <f>SUMIFS(F4778:F9015,K4778:K9015,"0",B4778:B9015,"5 1 1 5 4 12 31111 6 M59 94100 000132 0000R*")</f>
        <v>18532.059999999998</v>
      </c>
      <c r="G4777" s="35">
        <f>SUMIFS(G4778:G9015,K4778:K9015,"0",B4778:B9015,"5 1 1 5 4 12 31111 6 M59 94100 000132 0000R*")</f>
        <v>0</v>
      </c>
      <c r="H4777" s="35">
        <f t="shared" si="75"/>
        <v>18532.059999999998</v>
      </c>
      <c r="I4777" s="35"/>
      <c r="K4777" t="s">
        <v>15</v>
      </c>
    </row>
    <row r="4778" spans="2:11" ht="24.75" x14ac:dyDescent="0.2">
      <c r="B4778" s="33" t="s">
        <v>5735</v>
      </c>
      <c r="C4778" s="33" t="s">
        <v>282</v>
      </c>
      <c r="D4778" s="35">
        <f>SUMIFS(D4779:D9015,K4779:K9015,"0",B4779:B9015,"5 1 1 5 4 12 31111 6 M59 94100 000132 0000R 00001*")-SUMIFS(E4779:E9015,K4779:K9015,"0",B4779:B9015,"5 1 1 5 4 12 31111 6 M59 94100 000132 0000R 00001*")</f>
        <v>0</v>
      </c>
      <c r="E4778"/>
      <c r="F4778" s="35">
        <f>SUMIFS(F4779:F9015,K4779:K9015,"0",B4779:B9015,"5 1 1 5 4 12 31111 6 M59 94100 000132 0000R 00001*")</f>
        <v>18532.059999999998</v>
      </c>
      <c r="G4778" s="35">
        <f>SUMIFS(G4779:G9015,K4779:K9015,"0",B4779:B9015,"5 1 1 5 4 12 31111 6 M59 94100 000132 0000R 00001*")</f>
        <v>0</v>
      </c>
      <c r="H4778" s="35">
        <f t="shared" si="75"/>
        <v>18532.059999999998</v>
      </c>
      <c r="I4778" s="35"/>
      <c r="K4778" t="s">
        <v>15</v>
      </c>
    </row>
    <row r="4779" spans="2:11" ht="24.75" x14ac:dyDescent="0.2">
      <c r="B4779" s="33" t="s">
        <v>5736</v>
      </c>
      <c r="C4779" s="33" t="s">
        <v>5422</v>
      </c>
      <c r="D4779" s="35">
        <f>SUMIFS(D4780:D9015,K4780:K9015,"0",B4780:B9015,"5 1 1 5 4 12 31111 6 M59 94100 000132 0000R 00001 00154*")-SUMIFS(E4780:E9015,K4780:K9015,"0",B4780:B9015,"5 1 1 5 4 12 31111 6 M59 94100 000132 0000R 00001 00154*")</f>
        <v>0</v>
      </c>
      <c r="E4779"/>
      <c r="F4779" s="35">
        <f>SUMIFS(F4780:F9015,K4780:K9015,"0",B4780:B9015,"5 1 1 5 4 12 31111 6 M59 94100 000132 0000R 00001 00154*")</f>
        <v>18532.059999999998</v>
      </c>
      <c r="G4779" s="35">
        <f>SUMIFS(G4780:G9015,K4780:K9015,"0",B4780:B9015,"5 1 1 5 4 12 31111 6 M59 94100 000132 0000R 00001 00154*")</f>
        <v>0</v>
      </c>
      <c r="H4779" s="35">
        <f t="shared" si="75"/>
        <v>18532.059999999998</v>
      </c>
      <c r="I4779" s="35"/>
      <c r="K4779" t="s">
        <v>15</v>
      </c>
    </row>
    <row r="4780" spans="2:11" ht="24.75" x14ac:dyDescent="0.2">
      <c r="B4780" s="33" t="s">
        <v>5737</v>
      </c>
      <c r="C4780" s="33" t="s">
        <v>1051</v>
      </c>
      <c r="D4780" s="35">
        <f>SUMIFS(D4781:D9015,K4781:K9015,"0",B4781:B9015,"5 1 1 5 4 12 31111 6 M59 94100 000132 0000R 00001 00154 015*")-SUMIFS(E4781:E9015,K4781:K9015,"0",B4781:B9015,"5 1 1 5 4 12 31111 6 M59 94100 000132 0000R 00001 00154 015*")</f>
        <v>0</v>
      </c>
      <c r="E4780"/>
      <c r="F4780" s="35">
        <f>SUMIFS(F4781:F9015,K4781:K9015,"0",B4781:B9015,"5 1 1 5 4 12 31111 6 M59 94100 000132 0000R 00001 00154 015*")</f>
        <v>18532.059999999998</v>
      </c>
      <c r="G4780" s="35">
        <f>SUMIFS(G4781:G9015,K4781:K9015,"0",B4781:B9015,"5 1 1 5 4 12 31111 6 M59 94100 000132 0000R 00001 00154 015*")</f>
        <v>0</v>
      </c>
      <c r="H4780" s="35">
        <f t="shared" si="75"/>
        <v>18532.059999999998</v>
      </c>
      <c r="I4780" s="35"/>
      <c r="K4780" t="s">
        <v>15</v>
      </c>
    </row>
    <row r="4781" spans="2:11" ht="33" x14ac:dyDescent="0.2">
      <c r="B4781" s="33" t="s">
        <v>5738</v>
      </c>
      <c r="C4781" s="33" t="s">
        <v>2927</v>
      </c>
      <c r="D4781" s="35">
        <f>SUMIFS(D4782:D9015,K4782:K9015,"0",B4782:B9015,"5 1 1 5 4 12 31111 6 M59 94100 000132 0000R 00001 00154 015 2111100*")-SUMIFS(E4782:E9015,K4782:K9015,"0",B4782:B9015,"5 1 1 5 4 12 31111 6 M59 94100 000132 0000R 00001 00154 015 2111100*")</f>
        <v>0</v>
      </c>
      <c r="E4781"/>
      <c r="F4781" s="35">
        <f>SUMIFS(F4782:F9015,K4782:K9015,"0",B4782:B9015,"5 1 1 5 4 12 31111 6 M59 94100 000132 0000R 00001 00154 015 2111100*")</f>
        <v>18532.059999999998</v>
      </c>
      <c r="G4781" s="35">
        <f>SUMIFS(G4782:G9015,K4782:K9015,"0",B4782:B9015,"5 1 1 5 4 12 31111 6 M59 94100 000132 0000R 00001 00154 015 2111100*")</f>
        <v>0</v>
      </c>
      <c r="H4781" s="35">
        <f t="shared" si="75"/>
        <v>18532.059999999998</v>
      </c>
      <c r="I4781" s="35"/>
      <c r="K4781" t="s">
        <v>15</v>
      </c>
    </row>
    <row r="4782" spans="2:11" ht="33" x14ac:dyDescent="0.2">
      <c r="B4782" s="33" t="s">
        <v>5739</v>
      </c>
      <c r="C4782" s="33" t="s">
        <v>660</v>
      </c>
      <c r="D4782" s="35">
        <f>SUMIFS(D4783:D9015,K4783:K9015,"0",B4783:B9015,"5 1 1 5 4 12 31111 6 M59 94100 000132 0000R 00001 00154 015 2111100 2024*")-SUMIFS(E4783:E9015,K4783:K9015,"0",B4783:B9015,"5 1 1 5 4 12 31111 6 M59 94100 000132 0000R 00001 00154 015 2111100 2024*")</f>
        <v>0</v>
      </c>
      <c r="E4782"/>
      <c r="F4782" s="35">
        <f>SUMIFS(F4783:F9015,K4783:K9015,"0",B4783:B9015,"5 1 1 5 4 12 31111 6 M59 94100 000132 0000R 00001 00154 015 2111100 2024*")</f>
        <v>18532.059999999998</v>
      </c>
      <c r="G4782" s="35">
        <f>SUMIFS(G4783:G9015,K4783:K9015,"0",B4783:B9015,"5 1 1 5 4 12 31111 6 M59 94100 000132 0000R 00001 00154 015 2111100 2024*")</f>
        <v>0</v>
      </c>
      <c r="H4782" s="35">
        <f t="shared" si="75"/>
        <v>18532.059999999998</v>
      </c>
      <c r="I4782" s="35"/>
      <c r="K4782" t="s">
        <v>15</v>
      </c>
    </row>
    <row r="4783" spans="2:11" ht="41.25" x14ac:dyDescent="0.2">
      <c r="B4783" s="33" t="s">
        <v>5740</v>
      </c>
      <c r="C4783" s="33" t="s">
        <v>1056</v>
      </c>
      <c r="D4783" s="35">
        <f>SUMIFS(D4784:D9015,K4784:K9015,"0",B4784:B9015,"5 1 1 5 4 12 31111 6 M59 94100 000132 0000R 00001 00154 015 2111100 2024 CP1AT427*")-SUMIFS(E4784:E9015,K4784:K9015,"0",B4784:B9015,"5 1 1 5 4 12 31111 6 M59 94100 000132 0000R 00001 00154 015 2111100 2024 CP1AT427*")</f>
        <v>0</v>
      </c>
      <c r="E4783"/>
      <c r="F4783" s="35">
        <f>SUMIFS(F4784:F9015,K4784:K9015,"0",B4784:B9015,"5 1 1 5 4 12 31111 6 M59 94100 000132 0000R 00001 00154 015 2111100 2024 CP1AT427*")</f>
        <v>18532.059999999998</v>
      </c>
      <c r="G4783" s="35">
        <f>SUMIFS(G4784:G9015,K4784:K9015,"0",B4784:B9015,"5 1 1 5 4 12 31111 6 M59 94100 000132 0000R 00001 00154 015 2111100 2024 CP1AT427*")</f>
        <v>0</v>
      </c>
      <c r="H4783" s="35">
        <f t="shared" si="75"/>
        <v>18532.059999999998</v>
      </c>
      <c r="I4783" s="35"/>
      <c r="K4783" t="s">
        <v>15</v>
      </c>
    </row>
    <row r="4784" spans="2:11" ht="41.25" x14ac:dyDescent="0.2">
      <c r="B4784" s="33" t="s">
        <v>5741</v>
      </c>
      <c r="C4784" s="33" t="s">
        <v>282</v>
      </c>
      <c r="D4784" s="35">
        <f>SUMIFS(D4785:D9015,K4785:K9015,"0",B4785:B9015,"5 1 1 5 4 12 31111 6 M59 94100 000132 0000R 00001 00154 015 2111100 2024 CP1AT427 001*")-SUMIFS(E4785:E9015,K4785:K9015,"0",B4785:B9015,"5 1 1 5 4 12 31111 6 M59 94100 000132 0000R 00001 00154 015 2111100 2024 CP1AT427 001*")</f>
        <v>0</v>
      </c>
      <c r="E4784"/>
      <c r="F4784" s="35">
        <f>SUMIFS(F4785:F9015,K4785:K9015,"0",B4785:B9015,"5 1 1 5 4 12 31111 6 M59 94100 000132 0000R 00001 00154 015 2111100 2024 CP1AT427 001*")</f>
        <v>18532.059999999998</v>
      </c>
      <c r="G4784" s="35">
        <f>SUMIFS(G4785:G9015,K4785:K9015,"0",B4785:B9015,"5 1 1 5 4 12 31111 6 M59 94100 000132 0000R 00001 00154 015 2111100 2024 CP1AT427 001*")</f>
        <v>0</v>
      </c>
      <c r="H4784" s="35">
        <f t="shared" si="75"/>
        <v>18532.059999999998</v>
      </c>
      <c r="I4784" s="35"/>
      <c r="K4784" t="s">
        <v>15</v>
      </c>
    </row>
    <row r="4785" spans="2:11" ht="33" x14ac:dyDescent="0.2">
      <c r="B4785" s="31" t="s">
        <v>5742</v>
      </c>
      <c r="C4785" s="31" t="s">
        <v>5443</v>
      </c>
      <c r="D4785" s="34">
        <v>0</v>
      </c>
      <c r="E4785" s="34"/>
      <c r="F4785" s="34">
        <v>3036</v>
      </c>
      <c r="G4785" s="34">
        <v>0</v>
      </c>
      <c r="H4785" s="34">
        <f t="shared" si="75"/>
        <v>3036</v>
      </c>
      <c r="I4785" s="34"/>
      <c r="K4785" t="s">
        <v>38</v>
      </c>
    </row>
    <row r="4786" spans="2:11" ht="33" x14ac:dyDescent="0.2">
      <c r="B4786" s="31" t="s">
        <v>5743</v>
      </c>
      <c r="C4786" s="31" t="s">
        <v>5744</v>
      </c>
      <c r="D4786" s="34">
        <v>0</v>
      </c>
      <c r="E4786" s="34"/>
      <c r="F4786" s="34">
        <v>3608.4</v>
      </c>
      <c r="G4786" s="34">
        <v>0</v>
      </c>
      <c r="H4786" s="34">
        <f t="shared" si="75"/>
        <v>3608.4</v>
      </c>
      <c r="I4786" s="34"/>
      <c r="K4786" t="s">
        <v>38</v>
      </c>
    </row>
    <row r="4787" spans="2:11" ht="33" x14ac:dyDescent="0.2">
      <c r="B4787" s="31" t="s">
        <v>5745</v>
      </c>
      <c r="C4787" s="31" t="s">
        <v>5446</v>
      </c>
      <c r="D4787" s="34">
        <v>0</v>
      </c>
      <c r="E4787" s="34"/>
      <c r="F4787" s="34">
        <v>11887.66</v>
      </c>
      <c r="G4787" s="34">
        <v>0</v>
      </c>
      <c r="H4787" s="34">
        <f t="shared" si="75"/>
        <v>11887.66</v>
      </c>
      <c r="I4787" s="34"/>
      <c r="K4787" t="s">
        <v>38</v>
      </c>
    </row>
    <row r="4788" spans="2:11" ht="16.5" x14ac:dyDescent="0.2">
      <c r="B4788" s="33" t="s">
        <v>5746</v>
      </c>
      <c r="C4788" s="33" t="s">
        <v>3693</v>
      </c>
      <c r="D4788" s="35">
        <f>SUMIFS(D4789:D9015,K4789:K9015,"0",B4789:B9015,"5 1 1 5 4 12 31111 6 M59 96100*")-SUMIFS(E4789:E9015,K4789:K9015,"0",B4789:B9015,"5 1 1 5 4 12 31111 6 M59 96100*")</f>
        <v>0</v>
      </c>
      <c r="E4788"/>
      <c r="F4788" s="35">
        <f>SUMIFS(F4789:F9015,K4789:K9015,"0",B4789:B9015,"5 1 1 5 4 12 31111 6 M59 96100*")</f>
        <v>42215.29</v>
      </c>
      <c r="G4788" s="35">
        <f>SUMIFS(G4789:G9015,K4789:K9015,"0",B4789:B9015,"5 1 1 5 4 12 31111 6 M59 96100*")</f>
        <v>0</v>
      </c>
      <c r="H4788" s="35">
        <f t="shared" si="75"/>
        <v>42215.29</v>
      </c>
      <c r="I4788" s="35"/>
      <c r="K4788" t="s">
        <v>15</v>
      </c>
    </row>
    <row r="4789" spans="2:11" ht="16.5" x14ac:dyDescent="0.2">
      <c r="B4789" s="33" t="s">
        <v>5747</v>
      </c>
      <c r="C4789" s="33" t="s">
        <v>1310</v>
      </c>
      <c r="D4789" s="35">
        <f>SUMIFS(D4790:D9015,K4790:K9015,"0",B4790:B9015,"5 1 1 5 4 12 31111 6 M59 96100 000211*")-SUMIFS(E4790:E9015,K4790:K9015,"0",B4790:B9015,"5 1 1 5 4 12 31111 6 M59 96100 000211*")</f>
        <v>0</v>
      </c>
      <c r="E4789"/>
      <c r="F4789" s="35">
        <f>SUMIFS(F4790:F9015,K4790:K9015,"0",B4790:B9015,"5 1 1 5 4 12 31111 6 M59 96100 000211*")</f>
        <v>42215.29</v>
      </c>
      <c r="G4789" s="35">
        <f>SUMIFS(G4790:G9015,K4790:K9015,"0",B4790:B9015,"5 1 1 5 4 12 31111 6 M59 96100 000211*")</f>
        <v>0</v>
      </c>
      <c r="H4789" s="35">
        <f t="shared" si="75"/>
        <v>42215.29</v>
      </c>
      <c r="I4789" s="35"/>
      <c r="K4789" t="s">
        <v>15</v>
      </c>
    </row>
    <row r="4790" spans="2:11" ht="16.5" x14ac:dyDescent="0.2">
      <c r="B4790" s="33" t="s">
        <v>5748</v>
      </c>
      <c r="C4790" s="33" t="s">
        <v>3696</v>
      </c>
      <c r="D4790" s="35">
        <f>SUMIFS(D4791:D9015,K4791:K9015,"0",B4791:B9015,"5 1 1 5 4 12 31111 6 M59 96100 000211 0000U*")-SUMIFS(E4791:E9015,K4791:K9015,"0",B4791:B9015,"5 1 1 5 4 12 31111 6 M59 96100 000211 0000U*")</f>
        <v>0</v>
      </c>
      <c r="E4790"/>
      <c r="F4790" s="35">
        <f>SUMIFS(F4791:F9015,K4791:K9015,"0",B4791:B9015,"5 1 1 5 4 12 31111 6 M59 96100 000211 0000U*")</f>
        <v>42215.29</v>
      </c>
      <c r="G4790" s="35">
        <f>SUMIFS(G4791:G9015,K4791:K9015,"0",B4791:B9015,"5 1 1 5 4 12 31111 6 M59 96100 000211 0000U*")</f>
        <v>0</v>
      </c>
      <c r="H4790" s="35">
        <f t="shared" si="75"/>
        <v>42215.29</v>
      </c>
      <c r="I4790" s="35"/>
      <c r="K4790" t="s">
        <v>15</v>
      </c>
    </row>
    <row r="4791" spans="2:11" ht="24.75" x14ac:dyDescent="0.2">
      <c r="B4791" s="33" t="s">
        <v>5749</v>
      </c>
      <c r="C4791" s="33" t="s">
        <v>282</v>
      </c>
      <c r="D4791" s="35">
        <f>SUMIFS(D4792:D9015,K4792:K9015,"0",B4792:B9015,"5 1 1 5 4 12 31111 6 M59 96100 000211 0000U 00001*")-SUMIFS(E4792:E9015,K4792:K9015,"0",B4792:B9015,"5 1 1 5 4 12 31111 6 M59 96100 000211 0000U 00001*")</f>
        <v>0</v>
      </c>
      <c r="E4791"/>
      <c r="F4791" s="35">
        <f>SUMIFS(F4792:F9015,K4792:K9015,"0",B4792:B9015,"5 1 1 5 4 12 31111 6 M59 96100 000211 0000U 00001*")</f>
        <v>42215.29</v>
      </c>
      <c r="G4791" s="35">
        <f>SUMIFS(G4792:G9015,K4792:K9015,"0",B4792:B9015,"5 1 1 5 4 12 31111 6 M59 96100 000211 0000U 00001*")</f>
        <v>0</v>
      </c>
      <c r="H4791" s="35">
        <f t="shared" si="75"/>
        <v>42215.29</v>
      </c>
      <c r="I4791" s="35"/>
      <c r="K4791" t="s">
        <v>15</v>
      </c>
    </row>
    <row r="4792" spans="2:11" ht="24.75" x14ac:dyDescent="0.2">
      <c r="B4792" s="33" t="s">
        <v>5750</v>
      </c>
      <c r="C4792" s="33" t="s">
        <v>5422</v>
      </c>
      <c r="D4792" s="35">
        <f>SUMIFS(D4793:D9015,K4793:K9015,"0",B4793:B9015,"5 1 1 5 4 12 31111 6 M59 96100 000211 0000U 00001 00154*")-SUMIFS(E4793:E9015,K4793:K9015,"0",B4793:B9015,"5 1 1 5 4 12 31111 6 M59 96100 000211 0000U 00001 00154*")</f>
        <v>0</v>
      </c>
      <c r="E4792"/>
      <c r="F4792" s="35">
        <f>SUMIFS(F4793:F9015,K4793:K9015,"0",B4793:B9015,"5 1 1 5 4 12 31111 6 M59 96100 000211 0000U 00001 00154*")</f>
        <v>42215.29</v>
      </c>
      <c r="G4792" s="35">
        <f>SUMIFS(G4793:G9015,K4793:K9015,"0",B4793:B9015,"5 1 1 5 4 12 31111 6 M59 96100 000211 0000U 00001 00154*")</f>
        <v>0</v>
      </c>
      <c r="H4792" s="35">
        <f t="shared" si="75"/>
        <v>42215.29</v>
      </c>
      <c r="I4792" s="35"/>
      <c r="K4792" t="s">
        <v>15</v>
      </c>
    </row>
    <row r="4793" spans="2:11" ht="24.75" x14ac:dyDescent="0.2">
      <c r="B4793" s="33" t="s">
        <v>5751</v>
      </c>
      <c r="C4793" s="33" t="s">
        <v>1051</v>
      </c>
      <c r="D4793" s="35">
        <f>SUMIFS(D4794:D9015,K4794:K9015,"0",B4794:B9015,"5 1 1 5 4 12 31111 6 M59 96100 000211 0000U 00001 00154 015*")-SUMIFS(E4794:E9015,K4794:K9015,"0",B4794:B9015,"5 1 1 5 4 12 31111 6 M59 96100 000211 0000U 00001 00154 015*")</f>
        <v>0</v>
      </c>
      <c r="E4793"/>
      <c r="F4793" s="35">
        <f>SUMIFS(F4794:F9015,K4794:K9015,"0",B4794:B9015,"5 1 1 5 4 12 31111 6 M59 96100 000211 0000U 00001 00154 015*")</f>
        <v>42215.29</v>
      </c>
      <c r="G4793" s="35">
        <f>SUMIFS(G4794:G9015,K4794:K9015,"0",B4794:B9015,"5 1 1 5 4 12 31111 6 M59 96100 000211 0000U 00001 00154 015*")</f>
        <v>0</v>
      </c>
      <c r="H4793" s="35">
        <f t="shared" si="75"/>
        <v>42215.29</v>
      </c>
      <c r="I4793" s="35"/>
      <c r="K4793" t="s">
        <v>15</v>
      </c>
    </row>
    <row r="4794" spans="2:11" ht="33" x14ac:dyDescent="0.2">
      <c r="B4794" s="33" t="s">
        <v>5752</v>
      </c>
      <c r="C4794" s="33" t="s">
        <v>2927</v>
      </c>
      <c r="D4794" s="35">
        <f>SUMIFS(D4795:D9015,K4795:K9015,"0",B4795:B9015,"5 1 1 5 4 12 31111 6 M59 96100 000211 0000U 00001 00154 015 2111100*")-SUMIFS(E4795:E9015,K4795:K9015,"0",B4795:B9015,"5 1 1 5 4 12 31111 6 M59 96100 000211 0000U 00001 00154 015 2111100*")</f>
        <v>0</v>
      </c>
      <c r="E4794"/>
      <c r="F4794" s="35">
        <f>SUMIFS(F4795:F9015,K4795:K9015,"0",B4795:B9015,"5 1 1 5 4 12 31111 6 M59 96100 000211 0000U 00001 00154 015 2111100*")</f>
        <v>42215.29</v>
      </c>
      <c r="G4794" s="35">
        <f>SUMIFS(G4795:G9015,K4795:K9015,"0",B4795:B9015,"5 1 1 5 4 12 31111 6 M59 96100 000211 0000U 00001 00154 015 2111100*")</f>
        <v>0</v>
      </c>
      <c r="H4794" s="35">
        <f t="shared" si="75"/>
        <v>42215.29</v>
      </c>
      <c r="I4794" s="35"/>
      <c r="K4794" t="s">
        <v>15</v>
      </c>
    </row>
    <row r="4795" spans="2:11" ht="33" x14ac:dyDescent="0.2">
      <c r="B4795" s="33" t="s">
        <v>5753</v>
      </c>
      <c r="C4795" s="33" t="s">
        <v>660</v>
      </c>
      <c r="D4795" s="35">
        <f>SUMIFS(D4796:D9015,K4796:K9015,"0",B4796:B9015,"5 1 1 5 4 12 31111 6 M59 96100 000211 0000U 00001 00154 015 2111100 2024*")-SUMIFS(E4796:E9015,K4796:K9015,"0",B4796:B9015,"5 1 1 5 4 12 31111 6 M59 96100 000211 0000U 00001 00154 015 2111100 2024*")</f>
        <v>0</v>
      </c>
      <c r="E4795"/>
      <c r="F4795" s="35">
        <f>SUMIFS(F4796:F9015,K4796:K9015,"0",B4796:B9015,"5 1 1 5 4 12 31111 6 M59 96100 000211 0000U 00001 00154 015 2111100 2024*")</f>
        <v>42215.29</v>
      </c>
      <c r="G4795" s="35">
        <f>SUMIFS(G4796:G9015,K4796:K9015,"0",B4796:B9015,"5 1 1 5 4 12 31111 6 M59 96100 000211 0000U 00001 00154 015 2111100 2024*")</f>
        <v>0</v>
      </c>
      <c r="H4795" s="35">
        <f t="shared" si="75"/>
        <v>42215.29</v>
      </c>
      <c r="I4795" s="35"/>
      <c r="K4795" t="s">
        <v>15</v>
      </c>
    </row>
    <row r="4796" spans="2:11" ht="41.25" x14ac:dyDescent="0.2">
      <c r="B4796" s="33" t="s">
        <v>5754</v>
      </c>
      <c r="C4796" s="33" t="s">
        <v>1056</v>
      </c>
      <c r="D4796" s="35">
        <f>SUMIFS(D4797:D9015,K4797:K9015,"0",B4797:B9015,"5 1 1 5 4 12 31111 6 M59 96100 000211 0000U 00001 00154 015 2111100 2024 CP1IU412*")-SUMIFS(E4797:E9015,K4797:K9015,"0",B4797:B9015,"5 1 1 5 4 12 31111 6 M59 96100 000211 0000U 00001 00154 015 2111100 2024 CP1IU412*")</f>
        <v>0</v>
      </c>
      <c r="E4796"/>
      <c r="F4796" s="35">
        <f>SUMIFS(F4797:F9015,K4797:K9015,"0",B4797:B9015,"5 1 1 5 4 12 31111 6 M59 96100 000211 0000U 00001 00154 015 2111100 2024 CP1IU412*")</f>
        <v>42215.29</v>
      </c>
      <c r="G4796" s="35">
        <f>SUMIFS(G4797:G9015,K4797:K9015,"0",B4797:B9015,"5 1 1 5 4 12 31111 6 M59 96100 000211 0000U 00001 00154 015 2111100 2024 CP1IU412*")</f>
        <v>0</v>
      </c>
      <c r="H4796" s="35">
        <f t="shared" si="75"/>
        <v>42215.29</v>
      </c>
      <c r="I4796" s="35"/>
      <c r="K4796" t="s">
        <v>15</v>
      </c>
    </row>
    <row r="4797" spans="2:11" ht="41.25" x14ac:dyDescent="0.2">
      <c r="B4797" s="33" t="s">
        <v>5755</v>
      </c>
      <c r="C4797" s="33" t="s">
        <v>282</v>
      </c>
      <c r="D4797" s="35">
        <f>SUMIFS(D4798:D9015,K4798:K9015,"0",B4798:B9015,"5 1 1 5 4 12 31111 6 M59 96100 000211 0000U 00001 00154 015 2111100 2024 CP1IU412 001*")-SUMIFS(E4798:E9015,K4798:K9015,"0",B4798:B9015,"5 1 1 5 4 12 31111 6 M59 96100 000211 0000U 00001 00154 015 2111100 2024 CP1IU412 001*")</f>
        <v>0</v>
      </c>
      <c r="E4797"/>
      <c r="F4797" s="35">
        <f>SUMIFS(F4798:F9015,K4798:K9015,"0",B4798:B9015,"5 1 1 5 4 12 31111 6 M59 96100 000211 0000U 00001 00154 015 2111100 2024 CP1IU412 001*")</f>
        <v>42215.29</v>
      </c>
      <c r="G4797" s="35">
        <f>SUMIFS(G4798:G9015,K4798:K9015,"0",B4798:B9015,"5 1 1 5 4 12 31111 6 M59 96100 000211 0000U 00001 00154 015 2111100 2024 CP1IU412 001*")</f>
        <v>0</v>
      </c>
      <c r="H4797" s="35">
        <f t="shared" si="75"/>
        <v>42215.29</v>
      </c>
      <c r="I4797" s="35"/>
      <c r="K4797" t="s">
        <v>15</v>
      </c>
    </row>
    <row r="4798" spans="2:11" ht="33" x14ac:dyDescent="0.2">
      <c r="B4798" s="31" t="s">
        <v>5756</v>
      </c>
      <c r="C4798" s="31" t="s">
        <v>5443</v>
      </c>
      <c r="D4798" s="34">
        <v>0</v>
      </c>
      <c r="E4798" s="34"/>
      <c r="F4798" s="34">
        <v>5648</v>
      </c>
      <c r="G4798" s="34">
        <v>0</v>
      </c>
      <c r="H4798" s="34">
        <f t="shared" si="75"/>
        <v>5648</v>
      </c>
      <c r="I4798" s="34"/>
      <c r="K4798" t="s">
        <v>38</v>
      </c>
    </row>
    <row r="4799" spans="2:11" ht="33" x14ac:dyDescent="0.2">
      <c r="B4799" s="31" t="s">
        <v>5757</v>
      </c>
      <c r="C4799" s="31" t="s">
        <v>5431</v>
      </c>
      <c r="D4799" s="34">
        <v>0</v>
      </c>
      <c r="E4799" s="34"/>
      <c r="F4799" s="34">
        <v>36567.29</v>
      </c>
      <c r="G4799" s="34">
        <v>0</v>
      </c>
      <c r="H4799" s="34">
        <f t="shared" si="75"/>
        <v>36567.29</v>
      </c>
      <c r="I4799" s="34"/>
      <c r="K4799" t="s">
        <v>38</v>
      </c>
    </row>
    <row r="4800" spans="2:11" ht="16.5" x14ac:dyDescent="0.2">
      <c r="B4800" s="33" t="s">
        <v>5758</v>
      </c>
      <c r="C4800" s="33" t="s">
        <v>3706</v>
      </c>
      <c r="D4800" s="35">
        <f>SUMIFS(D4801:D9015,K4801:K9015,"0",B4801:B9015,"5 1 1 5 4 12 31111 6 M59 96200*")-SUMIFS(E4801:E9015,K4801:K9015,"0",B4801:B9015,"5 1 1 5 4 12 31111 6 M59 96200*")</f>
        <v>0</v>
      </c>
      <c r="E4800"/>
      <c r="F4800" s="35">
        <f>SUMIFS(F4801:F9015,K4801:K9015,"0",B4801:B9015,"5 1 1 5 4 12 31111 6 M59 96200*")</f>
        <v>22866.7</v>
      </c>
      <c r="G4800" s="35">
        <f>SUMIFS(G4801:G9015,K4801:K9015,"0",B4801:B9015,"5 1 1 5 4 12 31111 6 M59 96200*")</f>
        <v>0</v>
      </c>
      <c r="H4800" s="35">
        <f t="shared" si="75"/>
        <v>22866.7</v>
      </c>
      <c r="I4800" s="35"/>
      <c r="K4800" t="s">
        <v>15</v>
      </c>
    </row>
    <row r="4801" spans="2:11" ht="16.5" x14ac:dyDescent="0.2">
      <c r="B4801" s="33" t="s">
        <v>5759</v>
      </c>
      <c r="C4801" s="33" t="s">
        <v>648</v>
      </c>
      <c r="D4801" s="35">
        <f>SUMIFS(D4802:D9015,K4802:K9015,"0",B4802:B9015,"5 1 1 5 4 12 31111 6 M59 96200 000132*")-SUMIFS(E4802:E9015,K4802:K9015,"0",B4802:B9015,"5 1 1 5 4 12 31111 6 M59 96200 000132*")</f>
        <v>0</v>
      </c>
      <c r="E4801"/>
      <c r="F4801" s="35">
        <f>SUMIFS(F4802:F9015,K4802:K9015,"0",B4802:B9015,"5 1 1 5 4 12 31111 6 M59 96200 000132*")</f>
        <v>22866.7</v>
      </c>
      <c r="G4801" s="35">
        <f>SUMIFS(G4802:G9015,K4802:K9015,"0",B4802:B9015,"5 1 1 5 4 12 31111 6 M59 96200 000132*")</f>
        <v>0</v>
      </c>
      <c r="H4801" s="35">
        <f t="shared" si="75"/>
        <v>22866.7</v>
      </c>
      <c r="I4801" s="35"/>
      <c r="K4801" t="s">
        <v>15</v>
      </c>
    </row>
    <row r="4802" spans="2:11" ht="16.5" x14ac:dyDescent="0.2">
      <c r="B4802" s="33" t="s">
        <v>5760</v>
      </c>
      <c r="C4802" s="33" t="s">
        <v>650</v>
      </c>
      <c r="D4802" s="35">
        <f>SUMIFS(D4803:D9015,K4803:K9015,"0",B4803:B9015,"5 1 1 5 4 12 31111 6 M59 96200 000132 0000R*")-SUMIFS(E4803:E9015,K4803:K9015,"0",B4803:B9015,"5 1 1 5 4 12 31111 6 M59 96200 000132 0000R*")</f>
        <v>0</v>
      </c>
      <c r="E4802"/>
      <c r="F4802" s="35">
        <f>SUMIFS(F4803:F9015,K4803:K9015,"0",B4803:B9015,"5 1 1 5 4 12 31111 6 M59 96200 000132 0000R*")</f>
        <v>22866.7</v>
      </c>
      <c r="G4802" s="35">
        <f>SUMIFS(G4803:G9015,K4803:K9015,"0",B4803:B9015,"5 1 1 5 4 12 31111 6 M59 96200 000132 0000R*")</f>
        <v>0</v>
      </c>
      <c r="H4802" s="35">
        <f t="shared" si="75"/>
        <v>22866.7</v>
      </c>
      <c r="I4802" s="35"/>
      <c r="K4802" t="s">
        <v>15</v>
      </c>
    </row>
    <row r="4803" spans="2:11" ht="24.75" x14ac:dyDescent="0.2">
      <c r="B4803" s="33" t="s">
        <v>5761</v>
      </c>
      <c r="C4803" s="33" t="s">
        <v>282</v>
      </c>
      <c r="D4803" s="35">
        <f>SUMIFS(D4804:D9015,K4804:K9015,"0",B4804:B9015,"5 1 1 5 4 12 31111 6 M59 96200 000132 0000R 00001*")-SUMIFS(E4804:E9015,K4804:K9015,"0",B4804:B9015,"5 1 1 5 4 12 31111 6 M59 96200 000132 0000R 00001*")</f>
        <v>0</v>
      </c>
      <c r="E4803"/>
      <c r="F4803" s="35">
        <f>SUMIFS(F4804:F9015,K4804:K9015,"0",B4804:B9015,"5 1 1 5 4 12 31111 6 M59 96200 000132 0000R 00001*")</f>
        <v>22866.7</v>
      </c>
      <c r="G4803" s="35">
        <f>SUMIFS(G4804:G9015,K4804:K9015,"0",B4804:B9015,"5 1 1 5 4 12 31111 6 M59 96200 000132 0000R 00001*")</f>
        <v>0</v>
      </c>
      <c r="H4803" s="35">
        <f t="shared" si="75"/>
        <v>22866.7</v>
      </c>
      <c r="I4803" s="35"/>
      <c r="K4803" t="s">
        <v>15</v>
      </c>
    </row>
    <row r="4804" spans="2:11" ht="24.75" x14ac:dyDescent="0.2">
      <c r="B4804" s="33" t="s">
        <v>5762</v>
      </c>
      <c r="C4804" s="33" t="s">
        <v>5422</v>
      </c>
      <c r="D4804" s="35">
        <f>SUMIFS(D4805:D9015,K4805:K9015,"0",B4805:B9015,"5 1 1 5 4 12 31111 6 M59 96200 000132 0000R 00001 00154*")-SUMIFS(E4805:E9015,K4805:K9015,"0",B4805:B9015,"5 1 1 5 4 12 31111 6 M59 96200 000132 0000R 00001 00154*")</f>
        <v>0</v>
      </c>
      <c r="E4804"/>
      <c r="F4804" s="35">
        <f>SUMIFS(F4805:F9015,K4805:K9015,"0",B4805:B9015,"5 1 1 5 4 12 31111 6 M59 96200 000132 0000R 00001 00154*")</f>
        <v>22866.7</v>
      </c>
      <c r="G4804" s="35">
        <f>SUMIFS(G4805:G9015,K4805:K9015,"0",B4805:B9015,"5 1 1 5 4 12 31111 6 M59 96200 000132 0000R 00001 00154*")</f>
        <v>0</v>
      </c>
      <c r="H4804" s="35">
        <f t="shared" ref="H4804:H4867" si="76">D4804 + F4804 - G4804</f>
        <v>22866.7</v>
      </c>
      <c r="I4804" s="35"/>
      <c r="K4804" t="s">
        <v>15</v>
      </c>
    </row>
    <row r="4805" spans="2:11" ht="24.75" x14ac:dyDescent="0.2">
      <c r="B4805" s="33" t="s">
        <v>5763</v>
      </c>
      <c r="C4805" s="33" t="s">
        <v>1051</v>
      </c>
      <c r="D4805" s="35">
        <f>SUMIFS(D4806:D9015,K4806:K9015,"0",B4806:B9015,"5 1 1 5 4 12 31111 6 M59 96200 000132 0000R 00001 00154 015*")-SUMIFS(E4806:E9015,K4806:K9015,"0",B4806:B9015,"5 1 1 5 4 12 31111 6 M59 96200 000132 0000R 00001 00154 015*")</f>
        <v>0</v>
      </c>
      <c r="E4805"/>
      <c r="F4805" s="35">
        <f>SUMIFS(F4806:F9015,K4806:K9015,"0",B4806:B9015,"5 1 1 5 4 12 31111 6 M59 96200 000132 0000R 00001 00154 015*")</f>
        <v>22866.7</v>
      </c>
      <c r="G4805" s="35">
        <f>SUMIFS(G4806:G9015,K4806:K9015,"0",B4806:B9015,"5 1 1 5 4 12 31111 6 M59 96200 000132 0000R 00001 00154 015*")</f>
        <v>0</v>
      </c>
      <c r="H4805" s="35">
        <f t="shared" si="76"/>
        <v>22866.7</v>
      </c>
      <c r="I4805" s="35"/>
      <c r="K4805" t="s">
        <v>15</v>
      </c>
    </row>
    <row r="4806" spans="2:11" ht="33" x14ac:dyDescent="0.2">
      <c r="B4806" s="33" t="s">
        <v>5764</v>
      </c>
      <c r="C4806" s="33" t="s">
        <v>2927</v>
      </c>
      <c r="D4806" s="35">
        <f>SUMIFS(D4807:D9015,K4807:K9015,"0",B4807:B9015,"5 1 1 5 4 12 31111 6 M59 96200 000132 0000R 00001 00154 015 2111100*")-SUMIFS(E4807:E9015,K4807:K9015,"0",B4807:B9015,"5 1 1 5 4 12 31111 6 M59 96200 000132 0000R 00001 00154 015 2111100*")</f>
        <v>0</v>
      </c>
      <c r="E4806"/>
      <c r="F4806" s="35">
        <f>SUMIFS(F4807:F9015,K4807:K9015,"0",B4807:B9015,"5 1 1 5 4 12 31111 6 M59 96200 000132 0000R 00001 00154 015 2111100*")</f>
        <v>22866.7</v>
      </c>
      <c r="G4806" s="35">
        <f>SUMIFS(G4807:G9015,K4807:K9015,"0",B4807:B9015,"5 1 1 5 4 12 31111 6 M59 96200 000132 0000R 00001 00154 015 2111100*")</f>
        <v>0</v>
      </c>
      <c r="H4806" s="35">
        <f t="shared" si="76"/>
        <v>22866.7</v>
      </c>
      <c r="I4806" s="35"/>
      <c r="K4806" t="s">
        <v>15</v>
      </c>
    </row>
    <row r="4807" spans="2:11" ht="33" x14ac:dyDescent="0.2">
      <c r="B4807" s="33" t="s">
        <v>5765</v>
      </c>
      <c r="C4807" s="33" t="s">
        <v>660</v>
      </c>
      <c r="D4807" s="35">
        <f>SUMIFS(D4808:D9015,K4808:K9015,"0",B4808:B9015,"5 1 1 5 4 12 31111 6 M59 96200 000132 0000R 00001 00154 015 2111100 2024*")-SUMIFS(E4808:E9015,K4808:K9015,"0",B4808:B9015,"5 1 1 5 4 12 31111 6 M59 96200 000132 0000R 00001 00154 015 2111100 2024*")</f>
        <v>0</v>
      </c>
      <c r="E4807"/>
      <c r="F4807" s="35">
        <f>SUMIFS(F4808:F9015,K4808:K9015,"0",B4808:B9015,"5 1 1 5 4 12 31111 6 M59 96200 000132 0000R 00001 00154 015 2111100 2024*")</f>
        <v>22866.7</v>
      </c>
      <c r="G4807" s="35">
        <f>SUMIFS(G4808:G9015,K4808:K9015,"0",B4808:B9015,"5 1 1 5 4 12 31111 6 M59 96200 000132 0000R 00001 00154 015 2111100 2024*")</f>
        <v>0</v>
      </c>
      <c r="H4807" s="35">
        <f t="shared" si="76"/>
        <v>22866.7</v>
      </c>
      <c r="I4807" s="35"/>
      <c r="K4807" t="s">
        <v>15</v>
      </c>
    </row>
    <row r="4808" spans="2:11" ht="41.25" x14ac:dyDescent="0.2">
      <c r="B4808" s="33" t="s">
        <v>5766</v>
      </c>
      <c r="C4808" s="33" t="s">
        <v>662</v>
      </c>
      <c r="D4808" s="35">
        <f>SUMIFS(D4809:D9015,K4809:K9015,"0",B4809:B9015,"5 1 1 5 4 12 31111 6 M59 96200 000132 0000R 00001 00154 015 2111100 2024 CP1AL423*")-SUMIFS(E4809:E9015,K4809:K9015,"0",B4809:B9015,"5 1 1 5 4 12 31111 6 M59 96200 000132 0000R 00001 00154 015 2111100 2024 CP1AL423*")</f>
        <v>0</v>
      </c>
      <c r="E4808"/>
      <c r="F4808" s="35">
        <f>SUMIFS(F4809:F9015,K4809:K9015,"0",B4809:B9015,"5 1 1 5 4 12 31111 6 M59 96200 000132 0000R 00001 00154 015 2111100 2024 CP1AL423*")</f>
        <v>22866.7</v>
      </c>
      <c r="G4808" s="35">
        <f>SUMIFS(G4809:G9015,K4809:K9015,"0",B4809:B9015,"5 1 1 5 4 12 31111 6 M59 96200 000132 0000R 00001 00154 015 2111100 2024 CP1AL423*")</f>
        <v>0</v>
      </c>
      <c r="H4808" s="35">
        <f t="shared" si="76"/>
        <v>22866.7</v>
      </c>
      <c r="I4808" s="35"/>
      <c r="K4808" t="s">
        <v>15</v>
      </c>
    </row>
    <row r="4809" spans="2:11" ht="41.25" x14ac:dyDescent="0.2">
      <c r="B4809" s="33" t="s">
        <v>5767</v>
      </c>
      <c r="C4809" s="33" t="s">
        <v>282</v>
      </c>
      <c r="D4809" s="35">
        <f>SUMIFS(D4810:D9015,K4810:K9015,"0",B4810:B9015,"5 1 1 5 4 12 31111 6 M59 96200 000132 0000R 00001 00154 015 2111100 2024 CP1AL423 001*")-SUMIFS(E4810:E9015,K4810:K9015,"0",B4810:B9015,"5 1 1 5 4 12 31111 6 M59 96200 000132 0000R 00001 00154 015 2111100 2024 CP1AL423 001*")</f>
        <v>0</v>
      </c>
      <c r="E4809"/>
      <c r="F4809" s="35">
        <f>SUMIFS(F4810:F9015,K4810:K9015,"0",B4810:B9015,"5 1 1 5 4 12 31111 6 M59 96200 000132 0000R 00001 00154 015 2111100 2024 CP1AL423 001*")</f>
        <v>22866.7</v>
      </c>
      <c r="G4809" s="35">
        <f>SUMIFS(G4810:G9015,K4810:K9015,"0",B4810:B9015,"5 1 1 5 4 12 31111 6 M59 96200 000132 0000R 00001 00154 015 2111100 2024 CP1AL423 001*")</f>
        <v>0</v>
      </c>
      <c r="H4809" s="35">
        <f t="shared" si="76"/>
        <v>22866.7</v>
      </c>
      <c r="I4809" s="35"/>
      <c r="K4809" t="s">
        <v>15</v>
      </c>
    </row>
    <row r="4810" spans="2:11" ht="41.25" x14ac:dyDescent="0.2">
      <c r="B4810" s="31" t="s">
        <v>5768</v>
      </c>
      <c r="C4810" s="31" t="s">
        <v>5443</v>
      </c>
      <c r="D4810" s="34">
        <v>0</v>
      </c>
      <c r="E4810" s="34"/>
      <c r="F4810" s="34">
        <v>3036</v>
      </c>
      <c r="G4810" s="34">
        <v>0</v>
      </c>
      <c r="H4810" s="34">
        <f t="shared" si="76"/>
        <v>3036</v>
      </c>
      <c r="I4810" s="34"/>
      <c r="K4810" t="s">
        <v>38</v>
      </c>
    </row>
    <row r="4811" spans="2:11" ht="41.25" x14ac:dyDescent="0.2">
      <c r="B4811" s="31" t="s">
        <v>5769</v>
      </c>
      <c r="C4811" s="31" t="s">
        <v>5431</v>
      </c>
      <c r="D4811" s="34">
        <v>0</v>
      </c>
      <c r="E4811" s="34"/>
      <c r="F4811" s="34">
        <v>3443.04</v>
      </c>
      <c r="G4811" s="34">
        <v>0</v>
      </c>
      <c r="H4811" s="34">
        <f t="shared" si="76"/>
        <v>3443.04</v>
      </c>
      <c r="I4811" s="34"/>
      <c r="K4811" t="s">
        <v>38</v>
      </c>
    </row>
    <row r="4812" spans="2:11" ht="41.25" x14ac:dyDescent="0.2">
      <c r="B4812" s="31" t="s">
        <v>5770</v>
      </c>
      <c r="C4812" s="31" t="s">
        <v>5446</v>
      </c>
      <c r="D4812" s="34">
        <v>0</v>
      </c>
      <c r="E4812" s="34"/>
      <c r="F4812" s="34">
        <v>16387.66</v>
      </c>
      <c r="G4812" s="34">
        <v>0</v>
      </c>
      <c r="H4812" s="34">
        <f t="shared" si="76"/>
        <v>16387.66</v>
      </c>
      <c r="I4812" s="34"/>
      <c r="K4812" t="s">
        <v>38</v>
      </c>
    </row>
    <row r="4813" spans="2:11" ht="16.5" x14ac:dyDescent="0.2">
      <c r="B4813" s="33" t="s">
        <v>5771</v>
      </c>
      <c r="C4813" s="33" t="s">
        <v>1308</v>
      </c>
      <c r="D4813" s="35">
        <f>SUMIFS(D4814:D9015,K4814:K9015,"0",B4814:B9015,"5 1 1 5 4 12 31111 6 M59 96300*")-SUMIFS(E4814:E9015,K4814:K9015,"0",B4814:B9015,"5 1 1 5 4 12 31111 6 M59 96300*")</f>
        <v>0</v>
      </c>
      <c r="E4813"/>
      <c r="F4813" s="35">
        <f>SUMIFS(F4814:F9015,K4814:K9015,"0",B4814:B9015,"5 1 1 5 4 12 31111 6 M59 96300*")</f>
        <v>197442.79</v>
      </c>
      <c r="G4813" s="35">
        <f>SUMIFS(G4814:G9015,K4814:K9015,"0",B4814:B9015,"5 1 1 5 4 12 31111 6 M59 96300*")</f>
        <v>0</v>
      </c>
      <c r="H4813" s="35">
        <f t="shared" si="76"/>
        <v>197442.79</v>
      </c>
      <c r="I4813" s="35"/>
      <c r="K4813" t="s">
        <v>15</v>
      </c>
    </row>
    <row r="4814" spans="2:11" ht="16.5" x14ac:dyDescent="0.2">
      <c r="B4814" s="33" t="s">
        <v>5772</v>
      </c>
      <c r="C4814" s="33" t="s">
        <v>1310</v>
      </c>
      <c r="D4814" s="35">
        <f>SUMIFS(D4815:D9015,K4815:K9015,"0",B4815:B9015,"5 1 1 5 4 12 31111 6 M59 96300 000211*")-SUMIFS(E4815:E9015,K4815:K9015,"0",B4815:B9015,"5 1 1 5 4 12 31111 6 M59 96300 000211*")</f>
        <v>0</v>
      </c>
      <c r="E4814"/>
      <c r="F4814" s="35">
        <f>SUMIFS(F4815:F9015,K4815:K9015,"0",B4815:B9015,"5 1 1 5 4 12 31111 6 M59 96300 000211*")</f>
        <v>197442.79</v>
      </c>
      <c r="G4814" s="35">
        <f>SUMIFS(G4815:G9015,K4815:K9015,"0",B4815:B9015,"5 1 1 5 4 12 31111 6 M59 96300 000211*")</f>
        <v>0</v>
      </c>
      <c r="H4814" s="35">
        <f t="shared" si="76"/>
        <v>197442.79</v>
      </c>
      <c r="I4814" s="35"/>
      <c r="K4814" t="s">
        <v>15</v>
      </c>
    </row>
    <row r="4815" spans="2:11" ht="16.5" x14ac:dyDescent="0.2">
      <c r="B4815" s="33" t="s">
        <v>5773</v>
      </c>
      <c r="C4815" s="33" t="s">
        <v>1065</v>
      </c>
      <c r="D4815" s="35">
        <f>SUMIFS(D4816:D9015,K4816:K9015,"0",B4816:B9015,"5 1 1 5 4 12 31111 6 M59 96300 000211 0000E*")-SUMIFS(E4816:E9015,K4816:K9015,"0",B4816:B9015,"5 1 1 5 4 12 31111 6 M59 96300 000211 0000E*")</f>
        <v>0</v>
      </c>
      <c r="E4815"/>
      <c r="F4815" s="35">
        <f>SUMIFS(F4816:F9015,K4816:K9015,"0",B4816:B9015,"5 1 1 5 4 12 31111 6 M59 96300 000211 0000E*")</f>
        <v>197442.79</v>
      </c>
      <c r="G4815" s="35">
        <f>SUMIFS(G4816:G9015,K4816:K9015,"0",B4816:B9015,"5 1 1 5 4 12 31111 6 M59 96300 000211 0000E*")</f>
        <v>0</v>
      </c>
      <c r="H4815" s="35">
        <f t="shared" si="76"/>
        <v>197442.79</v>
      </c>
      <c r="I4815" s="35"/>
      <c r="K4815" t="s">
        <v>15</v>
      </c>
    </row>
    <row r="4816" spans="2:11" ht="24.75" x14ac:dyDescent="0.2">
      <c r="B4816" s="33" t="s">
        <v>5774</v>
      </c>
      <c r="C4816" s="33" t="s">
        <v>282</v>
      </c>
      <c r="D4816" s="35">
        <f>SUMIFS(D4817:D9015,K4817:K9015,"0",B4817:B9015,"5 1 1 5 4 12 31111 6 M59 96300 000211 0000E 00001*")-SUMIFS(E4817:E9015,K4817:K9015,"0",B4817:B9015,"5 1 1 5 4 12 31111 6 M59 96300 000211 0000E 00001*")</f>
        <v>0</v>
      </c>
      <c r="E4816"/>
      <c r="F4816" s="35">
        <f>SUMIFS(F4817:F9015,K4817:K9015,"0",B4817:B9015,"5 1 1 5 4 12 31111 6 M59 96300 000211 0000E 00001*")</f>
        <v>197442.79</v>
      </c>
      <c r="G4816" s="35">
        <f>SUMIFS(G4817:G9015,K4817:K9015,"0",B4817:B9015,"5 1 1 5 4 12 31111 6 M59 96300 000211 0000E 00001*")</f>
        <v>0</v>
      </c>
      <c r="H4816" s="35">
        <f t="shared" si="76"/>
        <v>197442.79</v>
      </c>
      <c r="I4816" s="35"/>
      <c r="K4816" t="s">
        <v>15</v>
      </c>
    </row>
    <row r="4817" spans="2:11" ht="24.75" x14ac:dyDescent="0.2">
      <c r="B4817" s="33" t="s">
        <v>5775</v>
      </c>
      <c r="C4817" s="33" t="s">
        <v>5422</v>
      </c>
      <c r="D4817" s="35">
        <f>SUMIFS(D4818:D9015,K4818:K9015,"0",B4818:B9015,"5 1 1 5 4 12 31111 6 M59 96300 000211 0000E 00001 00154*")-SUMIFS(E4818:E9015,K4818:K9015,"0",B4818:B9015,"5 1 1 5 4 12 31111 6 M59 96300 000211 0000E 00001 00154*")</f>
        <v>0</v>
      </c>
      <c r="E4817"/>
      <c r="F4817" s="35">
        <f>SUMIFS(F4818:F9015,K4818:K9015,"0",B4818:B9015,"5 1 1 5 4 12 31111 6 M59 96300 000211 0000E 00001 00154*")</f>
        <v>197442.79</v>
      </c>
      <c r="G4817" s="35">
        <f>SUMIFS(G4818:G9015,K4818:K9015,"0",B4818:B9015,"5 1 1 5 4 12 31111 6 M59 96300 000211 0000E 00001 00154*")</f>
        <v>0</v>
      </c>
      <c r="H4817" s="35">
        <f t="shared" si="76"/>
        <v>197442.79</v>
      </c>
      <c r="I4817" s="35"/>
      <c r="K4817" t="s">
        <v>15</v>
      </c>
    </row>
    <row r="4818" spans="2:11" ht="24.75" x14ac:dyDescent="0.2">
      <c r="B4818" s="33" t="s">
        <v>5776</v>
      </c>
      <c r="C4818" s="33" t="s">
        <v>1051</v>
      </c>
      <c r="D4818" s="35">
        <f>SUMIFS(D4819:D9015,K4819:K9015,"0",B4819:B9015,"5 1 1 5 4 12 31111 6 M59 96300 000211 0000E 00001 00154 015*")-SUMIFS(E4819:E9015,K4819:K9015,"0",B4819:B9015,"5 1 1 5 4 12 31111 6 M59 96300 000211 0000E 00001 00154 015*")</f>
        <v>0</v>
      </c>
      <c r="E4818"/>
      <c r="F4818" s="35">
        <f>SUMIFS(F4819:F9015,K4819:K9015,"0",B4819:B9015,"5 1 1 5 4 12 31111 6 M59 96300 000211 0000E 00001 00154 015*")</f>
        <v>197442.79</v>
      </c>
      <c r="G4818" s="35">
        <f>SUMIFS(G4819:G9015,K4819:K9015,"0",B4819:B9015,"5 1 1 5 4 12 31111 6 M59 96300 000211 0000E 00001 00154 015*")</f>
        <v>0</v>
      </c>
      <c r="H4818" s="35">
        <f t="shared" si="76"/>
        <v>197442.79</v>
      </c>
      <c r="I4818" s="35"/>
      <c r="K4818" t="s">
        <v>15</v>
      </c>
    </row>
    <row r="4819" spans="2:11" ht="33" x14ac:dyDescent="0.2">
      <c r="B4819" s="33" t="s">
        <v>5777</v>
      </c>
      <c r="C4819" s="33" t="s">
        <v>2927</v>
      </c>
      <c r="D4819" s="35">
        <f>SUMIFS(D4820:D9015,K4820:K9015,"0",B4820:B9015,"5 1 1 5 4 12 31111 6 M59 96300 000211 0000E 00001 00154 015 2111100*")-SUMIFS(E4820:E9015,K4820:K9015,"0",B4820:B9015,"5 1 1 5 4 12 31111 6 M59 96300 000211 0000E 00001 00154 015 2111100*")</f>
        <v>0</v>
      </c>
      <c r="E4819"/>
      <c r="F4819" s="35">
        <f>SUMIFS(F4820:F9015,K4820:K9015,"0",B4820:B9015,"5 1 1 5 4 12 31111 6 M59 96300 000211 0000E 00001 00154 015 2111100*")</f>
        <v>197442.79</v>
      </c>
      <c r="G4819" s="35">
        <f>SUMIFS(G4820:G9015,K4820:K9015,"0",B4820:B9015,"5 1 1 5 4 12 31111 6 M59 96300 000211 0000E 00001 00154 015 2111100*")</f>
        <v>0</v>
      </c>
      <c r="H4819" s="35">
        <f t="shared" si="76"/>
        <v>197442.79</v>
      </c>
      <c r="I4819" s="35"/>
      <c r="K4819" t="s">
        <v>15</v>
      </c>
    </row>
    <row r="4820" spans="2:11" ht="33" x14ac:dyDescent="0.2">
      <c r="B4820" s="33" t="s">
        <v>5778</v>
      </c>
      <c r="C4820" s="33" t="s">
        <v>660</v>
      </c>
      <c r="D4820" s="35">
        <f>SUMIFS(D4821:D9015,K4821:K9015,"0",B4821:B9015,"5 1 1 5 4 12 31111 6 M59 96300 000211 0000E 00001 00154 015 2111100 2024*")-SUMIFS(E4821:E9015,K4821:K9015,"0",B4821:B9015,"5 1 1 5 4 12 31111 6 M59 96300 000211 0000E 00001 00154 015 2111100 2024*")</f>
        <v>0</v>
      </c>
      <c r="E4820"/>
      <c r="F4820" s="35">
        <f>SUMIFS(F4821:F9015,K4821:K9015,"0",B4821:B9015,"5 1 1 5 4 12 31111 6 M59 96300 000211 0000E 00001 00154 015 2111100 2024*")</f>
        <v>197442.79</v>
      </c>
      <c r="G4820" s="35">
        <f>SUMIFS(G4821:G9015,K4821:K9015,"0",B4821:B9015,"5 1 1 5 4 12 31111 6 M59 96300 000211 0000E 00001 00154 015 2111100 2024*")</f>
        <v>0</v>
      </c>
      <c r="H4820" s="35">
        <f t="shared" si="76"/>
        <v>197442.79</v>
      </c>
      <c r="I4820" s="35"/>
      <c r="K4820" t="s">
        <v>15</v>
      </c>
    </row>
    <row r="4821" spans="2:11" ht="41.25" x14ac:dyDescent="0.2">
      <c r="B4821" s="33" t="s">
        <v>5779</v>
      </c>
      <c r="C4821" s="33" t="s">
        <v>1056</v>
      </c>
      <c r="D4821" s="35">
        <f>SUMIFS(D4822:D9015,K4822:K9015,"0",B4822:B9015,"5 1 1 5 4 12 31111 6 M59 96300 000211 0000E 00001 00154 015 2111100 2024 CP1SB396*")-SUMIFS(E4822:E9015,K4822:K9015,"0",B4822:B9015,"5 1 1 5 4 12 31111 6 M59 96300 000211 0000E 00001 00154 015 2111100 2024 CP1SB396*")</f>
        <v>0</v>
      </c>
      <c r="E4821"/>
      <c r="F4821" s="35">
        <f>SUMIFS(F4822:F9015,K4822:K9015,"0",B4822:B9015,"5 1 1 5 4 12 31111 6 M59 96300 000211 0000E 00001 00154 015 2111100 2024 CP1SB396*")</f>
        <v>197442.79</v>
      </c>
      <c r="G4821" s="35">
        <f>SUMIFS(G4822:G9015,K4822:K9015,"0",B4822:B9015,"5 1 1 5 4 12 31111 6 M59 96300 000211 0000E 00001 00154 015 2111100 2024 CP1SB396*")</f>
        <v>0</v>
      </c>
      <c r="H4821" s="35">
        <f t="shared" si="76"/>
        <v>197442.79</v>
      </c>
      <c r="I4821" s="35"/>
      <c r="K4821" t="s">
        <v>15</v>
      </c>
    </row>
    <row r="4822" spans="2:11" ht="41.25" x14ac:dyDescent="0.2">
      <c r="B4822" s="33" t="s">
        <v>5780</v>
      </c>
      <c r="C4822" s="33" t="s">
        <v>282</v>
      </c>
      <c r="D4822" s="35">
        <f>SUMIFS(D4823:D9015,K4823:K9015,"0",B4823:B9015,"5 1 1 5 4 12 31111 6 M59 96300 000211 0000E 00001 00154 015 2111100 2024 CP1SB396 001*")-SUMIFS(E4823:E9015,K4823:K9015,"0",B4823:B9015,"5 1 1 5 4 12 31111 6 M59 96300 000211 0000E 00001 00154 015 2111100 2024 CP1SB396 001*")</f>
        <v>0</v>
      </c>
      <c r="E4822"/>
      <c r="F4822" s="35">
        <f>SUMIFS(F4823:F9015,K4823:K9015,"0",B4823:B9015,"5 1 1 5 4 12 31111 6 M59 96300 000211 0000E 00001 00154 015 2111100 2024 CP1SB396 001*")</f>
        <v>197442.79</v>
      </c>
      <c r="G4822" s="35">
        <f>SUMIFS(G4823:G9015,K4823:K9015,"0",B4823:B9015,"5 1 1 5 4 12 31111 6 M59 96300 000211 0000E 00001 00154 015 2111100 2024 CP1SB396 001*")</f>
        <v>0</v>
      </c>
      <c r="H4822" s="35">
        <f t="shared" si="76"/>
        <v>197442.79</v>
      </c>
      <c r="I4822" s="35"/>
      <c r="K4822" t="s">
        <v>15</v>
      </c>
    </row>
    <row r="4823" spans="2:11" ht="33" x14ac:dyDescent="0.2">
      <c r="B4823" s="31" t="s">
        <v>5781</v>
      </c>
      <c r="C4823" s="31" t="s">
        <v>5443</v>
      </c>
      <c r="D4823" s="34">
        <v>0</v>
      </c>
      <c r="E4823" s="34"/>
      <c r="F4823" s="34">
        <v>14544</v>
      </c>
      <c r="G4823" s="34">
        <v>0</v>
      </c>
      <c r="H4823" s="34">
        <f t="shared" si="76"/>
        <v>14544</v>
      </c>
      <c r="I4823" s="34"/>
      <c r="K4823" t="s">
        <v>38</v>
      </c>
    </row>
    <row r="4824" spans="2:11" ht="33" x14ac:dyDescent="0.2">
      <c r="B4824" s="31" t="s">
        <v>5782</v>
      </c>
      <c r="C4824" s="31" t="s">
        <v>5431</v>
      </c>
      <c r="D4824" s="34">
        <v>0</v>
      </c>
      <c r="E4824" s="34"/>
      <c r="F4824" s="34">
        <v>14729.76</v>
      </c>
      <c r="G4824" s="34">
        <v>0</v>
      </c>
      <c r="H4824" s="34">
        <f t="shared" si="76"/>
        <v>14729.76</v>
      </c>
      <c r="I4824" s="34"/>
      <c r="K4824" t="s">
        <v>38</v>
      </c>
    </row>
    <row r="4825" spans="2:11" ht="33" x14ac:dyDescent="0.2">
      <c r="B4825" s="31" t="s">
        <v>5783</v>
      </c>
      <c r="C4825" s="31" t="s">
        <v>5446</v>
      </c>
      <c r="D4825" s="34">
        <v>0</v>
      </c>
      <c r="E4825" s="34"/>
      <c r="F4825" s="34">
        <v>168169.03</v>
      </c>
      <c r="G4825" s="34">
        <v>0</v>
      </c>
      <c r="H4825" s="34">
        <f t="shared" si="76"/>
        <v>168169.03</v>
      </c>
      <c r="I4825" s="34"/>
      <c r="K4825" t="s">
        <v>38</v>
      </c>
    </row>
    <row r="4826" spans="2:11" ht="16.5" x14ac:dyDescent="0.2">
      <c r="B4826" s="33" t="s">
        <v>5784</v>
      </c>
      <c r="C4826" s="33" t="s">
        <v>3729</v>
      </c>
      <c r="D4826" s="35">
        <f>SUMIFS(D4827:D9015,K4827:K9015,"0",B4827:B9015,"5 1 1 5 4 12 31111 6 M59 97000*")-SUMIFS(E4827:E9015,K4827:K9015,"0",B4827:B9015,"5 1 1 5 4 12 31111 6 M59 97000*")</f>
        <v>0</v>
      </c>
      <c r="E4826"/>
      <c r="F4826" s="35">
        <f>SUMIFS(F4827:F9015,K4827:K9015,"0",B4827:B9015,"5 1 1 5 4 12 31111 6 M59 97000*")</f>
        <v>86336.9</v>
      </c>
      <c r="G4826" s="35">
        <f>SUMIFS(G4827:G9015,K4827:K9015,"0",B4827:B9015,"5 1 1 5 4 12 31111 6 M59 97000*")</f>
        <v>0</v>
      </c>
      <c r="H4826" s="35">
        <f t="shared" si="76"/>
        <v>86336.9</v>
      </c>
      <c r="I4826" s="35"/>
      <c r="K4826" t="s">
        <v>15</v>
      </c>
    </row>
    <row r="4827" spans="2:11" ht="16.5" x14ac:dyDescent="0.2">
      <c r="B4827" s="33" t="s">
        <v>5785</v>
      </c>
      <c r="C4827" s="33" t="s">
        <v>648</v>
      </c>
      <c r="D4827" s="35">
        <f>SUMIFS(D4828:D9015,K4828:K9015,"0",B4828:B9015,"5 1 1 5 4 12 31111 6 M59 97000 000132*")-SUMIFS(E4828:E9015,K4828:K9015,"0",B4828:B9015,"5 1 1 5 4 12 31111 6 M59 97000 000132*")</f>
        <v>0</v>
      </c>
      <c r="E4827"/>
      <c r="F4827" s="35">
        <f>SUMIFS(F4828:F9015,K4828:K9015,"0",B4828:B9015,"5 1 1 5 4 12 31111 6 M59 97000 000132*")</f>
        <v>86336.9</v>
      </c>
      <c r="G4827" s="35">
        <f>SUMIFS(G4828:G9015,K4828:K9015,"0",B4828:B9015,"5 1 1 5 4 12 31111 6 M59 97000 000132*")</f>
        <v>0</v>
      </c>
      <c r="H4827" s="35">
        <f t="shared" si="76"/>
        <v>86336.9</v>
      </c>
      <c r="I4827" s="35"/>
      <c r="K4827" t="s">
        <v>15</v>
      </c>
    </row>
    <row r="4828" spans="2:11" ht="16.5" x14ac:dyDescent="0.2">
      <c r="B4828" s="33" t="s">
        <v>5786</v>
      </c>
      <c r="C4828" s="33" t="s">
        <v>650</v>
      </c>
      <c r="D4828" s="35">
        <f>SUMIFS(D4829:D9015,K4829:K9015,"0",B4829:B9015,"5 1 1 5 4 12 31111 6 M59 97000 000132 0000R*")-SUMIFS(E4829:E9015,K4829:K9015,"0",B4829:B9015,"5 1 1 5 4 12 31111 6 M59 97000 000132 0000R*")</f>
        <v>0</v>
      </c>
      <c r="E4828"/>
      <c r="F4828" s="35">
        <f>SUMIFS(F4829:F9015,K4829:K9015,"0",B4829:B9015,"5 1 1 5 4 12 31111 6 M59 97000 000132 0000R*")</f>
        <v>86336.9</v>
      </c>
      <c r="G4828" s="35">
        <f>SUMIFS(G4829:G9015,K4829:K9015,"0",B4829:B9015,"5 1 1 5 4 12 31111 6 M59 97000 000132 0000R*")</f>
        <v>0</v>
      </c>
      <c r="H4828" s="35">
        <f t="shared" si="76"/>
        <v>86336.9</v>
      </c>
      <c r="I4828" s="35"/>
      <c r="K4828" t="s">
        <v>15</v>
      </c>
    </row>
    <row r="4829" spans="2:11" ht="24.75" x14ac:dyDescent="0.2">
      <c r="B4829" s="33" t="s">
        <v>5787</v>
      </c>
      <c r="C4829" s="33" t="s">
        <v>282</v>
      </c>
      <c r="D4829" s="35">
        <f>SUMIFS(D4830:D9015,K4830:K9015,"0",B4830:B9015,"5 1 1 5 4 12 31111 6 M59 97000 000132 0000R 00001*")-SUMIFS(E4830:E9015,K4830:K9015,"0",B4830:B9015,"5 1 1 5 4 12 31111 6 M59 97000 000132 0000R 00001*")</f>
        <v>0</v>
      </c>
      <c r="E4829"/>
      <c r="F4829" s="35">
        <f>SUMIFS(F4830:F9015,K4830:K9015,"0",B4830:B9015,"5 1 1 5 4 12 31111 6 M59 97000 000132 0000R 00001*")</f>
        <v>86336.9</v>
      </c>
      <c r="G4829" s="35">
        <f>SUMIFS(G4830:G9015,K4830:K9015,"0",B4830:B9015,"5 1 1 5 4 12 31111 6 M59 97000 000132 0000R 00001*")</f>
        <v>0</v>
      </c>
      <c r="H4829" s="35">
        <f t="shared" si="76"/>
        <v>86336.9</v>
      </c>
      <c r="I4829" s="35"/>
      <c r="K4829" t="s">
        <v>15</v>
      </c>
    </row>
    <row r="4830" spans="2:11" ht="24.75" x14ac:dyDescent="0.2">
      <c r="B4830" s="33" t="s">
        <v>5788</v>
      </c>
      <c r="C4830" s="33" t="s">
        <v>5422</v>
      </c>
      <c r="D4830" s="35">
        <f>SUMIFS(D4831:D9015,K4831:K9015,"0",B4831:B9015,"5 1 1 5 4 12 31111 6 M59 97000 000132 0000R 00001 00154*")-SUMIFS(E4831:E9015,K4831:K9015,"0",B4831:B9015,"5 1 1 5 4 12 31111 6 M59 97000 000132 0000R 00001 00154*")</f>
        <v>0</v>
      </c>
      <c r="E4830"/>
      <c r="F4830" s="35">
        <f>SUMIFS(F4831:F9015,K4831:K9015,"0",B4831:B9015,"5 1 1 5 4 12 31111 6 M59 97000 000132 0000R 00001 00154*")</f>
        <v>86336.9</v>
      </c>
      <c r="G4830" s="35">
        <f>SUMIFS(G4831:G9015,K4831:K9015,"0",B4831:B9015,"5 1 1 5 4 12 31111 6 M59 97000 000132 0000R 00001 00154*")</f>
        <v>0</v>
      </c>
      <c r="H4830" s="35">
        <f t="shared" si="76"/>
        <v>86336.9</v>
      </c>
      <c r="I4830" s="35"/>
      <c r="K4830" t="s">
        <v>15</v>
      </c>
    </row>
    <row r="4831" spans="2:11" ht="24.75" x14ac:dyDescent="0.2">
      <c r="B4831" s="33" t="s">
        <v>5789</v>
      </c>
      <c r="C4831" s="33" t="s">
        <v>1051</v>
      </c>
      <c r="D4831" s="35">
        <f>SUMIFS(D4832:D9015,K4832:K9015,"0",B4832:B9015,"5 1 1 5 4 12 31111 6 M59 97000 000132 0000R 00001 00154 015*")-SUMIFS(E4832:E9015,K4832:K9015,"0",B4832:B9015,"5 1 1 5 4 12 31111 6 M59 97000 000132 0000R 00001 00154 015*")</f>
        <v>0</v>
      </c>
      <c r="E4831"/>
      <c r="F4831" s="35">
        <f>SUMIFS(F4832:F9015,K4832:K9015,"0",B4832:B9015,"5 1 1 5 4 12 31111 6 M59 97000 000132 0000R 00001 00154 015*")</f>
        <v>86336.9</v>
      </c>
      <c r="G4831" s="35">
        <f>SUMIFS(G4832:G9015,K4832:K9015,"0",B4832:B9015,"5 1 1 5 4 12 31111 6 M59 97000 000132 0000R 00001 00154 015*")</f>
        <v>0</v>
      </c>
      <c r="H4831" s="35">
        <f t="shared" si="76"/>
        <v>86336.9</v>
      </c>
      <c r="I4831" s="35"/>
      <c r="K4831" t="s">
        <v>15</v>
      </c>
    </row>
    <row r="4832" spans="2:11" ht="33" x14ac:dyDescent="0.2">
      <c r="B4832" s="33" t="s">
        <v>5790</v>
      </c>
      <c r="C4832" s="33" t="s">
        <v>2927</v>
      </c>
      <c r="D4832" s="35">
        <f>SUMIFS(D4833:D9015,K4833:K9015,"0",B4833:B9015,"5 1 1 5 4 12 31111 6 M59 97000 000132 0000R 00001 00154 015 2111100*")-SUMIFS(E4833:E9015,K4833:K9015,"0",B4833:B9015,"5 1 1 5 4 12 31111 6 M59 97000 000132 0000R 00001 00154 015 2111100*")</f>
        <v>0</v>
      </c>
      <c r="E4832"/>
      <c r="F4832" s="35">
        <f>SUMIFS(F4833:F9015,K4833:K9015,"0",B4833:B9015,"5 1 1 5 4 12 31111 6 M59 97000 000132 0000R 00001 00154 015 2111100*")</f>
        <v>86336.9</v>
      </c>
      <c r="G4832" s="35">
        <f>SUMIFS(G4833:G9015,K4833:K9015,"0",B4833:B9015,"5 1 1 5 4 12 31111 6 M59 97000 000132 0000R 00001 00154 015 2111100*")</f>
        <v>0</v>
      </c>
      <c r="H4832" s="35">
        <f t="shared" si="76"/>
        <v>86336.9</v>
      </c>
      <c r="I4832" s="35"/>
      <c r="K4832" t="s">
        <v>15</v>
      </c>
    </row>
    <row r="4833" spans="2:11" ht="33" x14ac:dyDescent="0.2">
      <c r="B4833" s="33" t="s">
        <v>5791</v>
      </c>
      <c r="C4833" s="33" t="s">
        <v>660</v>
      </c>
      <c r="D4833" s="35">
        <f>SUMIFS(D4834:D9015,K4834:K9015,"0",B4834:B9015,"5 1 1 5 4 12 31111 6 M59 97000 000132 0000R 00001 00154 015 2111100 2024*")-SUMIFS(E4834:E9015,K4834:K9015,"0",B4834:B9015,"5 1 1 5 4 12 31111 6 M59 97000 000132 0000R 00001 00154 015 2111100 2024*")</f>
        <v>0</v>
      </c>
      <c r="E4833"/>
      <c r="F4833" s="35">
        <f>SUMIFS(F4834:F9015,K4834:K9015,"0",B4834:B9015,"5 1 1 5 4 12 31111 6 M59 97000 000132 0000R 00001 00154 015 2111100 2024*")</f>
        <v>86336.9</v>
      </c>
      <c r="G4833" s="35">
        <f>SUMIFS(G4834:G9015,K4834:K9015,"0",B4834:B9015,"5 1 1 5 4 12 31111 6 M59 97000 000132 0000R 00001 00154 015 2111100 2024*")</f>
        <v>0</v>
      </c>
      <c r="H4833" s="35">
        <f t="shared" si="76"/>
        <v>86336.9</v>
      </c>
      <c r="I4833" s="35"/>
      <c r="K4833" t="s">
        <v>15</v>
      </c>
    </row>
    <row r="4834" spans="2:11" ht="41.25" x14ac:dyDescent="0.2">
      <c r="B4834" s="33" t="s">
        <v>5792</v>
      </c>
      <c r="C4834" s="33" t="s">
        <v>1056</v>
      </c>
      <c r="D4834" s="35">
        <f>SUMIFS(D4835:D9015,K4835:K9015,"0",B4835:B9015,"5 1 1 5 4 12 31111 6 M59 97000 000132 0000R 00001 00154 015 2111100 2024 CP1SP428*")-SUMIFS(E4835:E9015,K4835:K9015,"0",B4835:B9015,"5 1 1 5 4 12 31111 6 M59 97000 000132 0000R 00001 00154 015 2111100 2024 CP1SP428*")</f>
        <v>0</v>
      </c>
      <c r="E4834"/>
      <c r="F4834" s="35">
        <f>SUMIFS(F4835:F9015,K4835:K9015,"0",B4835:B9015,"5 1 1 5 4 12 31111 6 M59 97000 000132 0000R 00001 00154 015 2111100 2024 CP1SP428*")</f>
        <v>86336.9</v>
      </c>
      <c r="G4834" s="35">
        <f>SUMIFS(G4835:G9015,K4835:K9015,"0",B4835:B9015,"5 1 1 5 4 12 31111 6 M59 97000 000132 0000R 00001 00154 015 2111100 2024 CP1SP428*")</f>
        <v>0</v>
      </c>
      <c r="H4834" s="35">
        <f t="shared" si="76"/>
        <v>86336.9</v>
      </c>
      <c r="I4834" s="35"/>
      <c r="K4834" t="s">
        <v>15</v>
      </c>
    </row>
    <row r="4835" spans="2:11" ht="41.25" x14ac:dyDescent="0.2">
      <c r="B4835" s="33" t="s">
        <v>5793</v>
      </c>
      <c r="C4835" s="33" t="s">
        <v>282</v>
      </c>
      <c r="D4835" s="35">
        <f>SUMIFS(D4836:D9015,K4836:K9015,"0",B4836:B9015,"5 1 1 5 4 12 31111 6 M59 97000 000132 0000R 00001 00154 015 2111100 2024 CP1SP428 001*")-SUMIFS(E4836:E9015,K4836:K9015,"0",B4836:B9015,"5 1 1 5 4 12 31111 6 M59 97000 000132 0000R 00001 00154 015 2111100 2024 CP1SP428 001*")</f>
        <v>0</v>
      </c>
      <c r="E4835"/>
      <c r="F4835" s="35">
        <f>SUMIFS(F4836:F9015,K4836:K9015,"0",B4836:B9015,"5 1 1 5 4 12 31111 6 M59 97000 000132 0000R 00001 00154 015 2111100 2024 CP1SP428 001*")</f>
        <v>86336.9</v>
      </c>
      <c r="G4835" s="35">
        <f>SUMIFS(G4836:G9015,K4836:K9015,"0",B4836:B9015,"5 1 1 5 4 12 31111 6 M59 97000 000132 0000R 00001 00154 015 2111100 2024 CP1SP428 001*")</f>
        <v>0</v>
      </c>
      <c r="H4835" s="35">
        <f t="shared" si="76"/>
        <v>86336.9</v>
      </c>
      <c r="I4835" s="35"/>
      <c r="K4835" t="s">
        <v>15</v>
      </c>
    </row>
    <row r="4836" spans="2:11" ht="33" x14ac:dyDescent="0.2">
      <c r="B4836" s="31" t="s">
        <v>5794</v>
      </c>
      <c r="C4836" s="31" t="s">
        <v>5443</v>
      </c>
      <c r="D4836" s="34">
        <v>0</v>
      </c>
      <c r="E4836" s="34"/>
      <c r="F4836" s="34">
        <v>85701.9</v>
      </c>
      <c r="G4836" s="34">
        <v>0</v>
      </c>
      <c r="H4836" s="34">
        <f t="shared" si="76"/>
        <v>85701.9</v>
      </c>
      <c r="I4836" s="34"/>
      <c r="K4836" t="s">
        <v>38</v>
      </c>
    </row>
    <row r="4837" spans="2:11" ht="33" x14ac:dyDescent="0.2">
      <c r="B4837" s="31" t="s">
        <v>5795</v>
      </c>
      <c r="C4837" s="31" t="s">
        <v>5431</v>
      </c>
      <c r="D4837" s="34">
        <v>0</v>
      </c>
      <c r="E4837" s="34"/>
      <c r="F4837" s="34">
        <v>635</v>
      </c>
      <c r="G4837" s="34">
        <v>0</v>
      </c>
      <c r="H4837" s="34">
        <f t="shared" si="76"/>
        <v>635</v>
      </c>
      <c r="I4837" s="34"/>
      <c r="K4837" t="s">
        <v>38</v>
      </c>
    </row>
    <row r="4838" spans="2:11" ht="16.5" x14ac:dyDescent="0.2">
      <c r="B4838" s="33" t="s">
        <v>5796</v>
      </c>
      <c r="C4838" s="33" t="s">
        <v>5391</v>
      </c>
      <c r="D4838" s="35">
        <f>SUMIFS(D4839:D9015,K4839:K9015,"0",B4839:B9015,"5 1 1 5 9*")-SUMIFS(E4839:E9015,K4839:K9015,"0",B4839:B9015,"5 1 1 5 9*")</f>
        <v>0</v>
      </c>
      <c r="E4838"/>
      <c r="F4838" s="35">
        <f>SUMIFS(F4839:F9015,K4839:K9015,"0",B4839:B9015,"5 1 1 5 9*")</f>
        <v>469.65</v>
      </c>
      <c r="G4838" s="35">
        <f>SUMIFS(G4839:G9015,K4839:K9015,"0",B4839:B9015,"5 1 1 5 9*")</f>
        <v>0</v>
      </c>
      <c r="H4838" s="35">
        <f t="shared" si="76"/>
        <v>469.65</v>
      </c>
      <c r="I4838" s="35"/>
      <c r="K4838" t="s">
        <v>15</v>
      </c>
    </row>
    <row r="4839" spans="2:11" ht="12.75" x14ac:dyDescent="0.2">
      <c r="B4839" s="33" t="s">
        <v>5797</v>
      </c>
      <c r="C4839" s="33" t="s">
        <v>26</v>
      </c>
      <c r="D4839" s="35">
        <f>SUMIFS(D4840:D9015,K4840:K9015,"0",B4840:B9015,"5 1 1 5 9 12*")-SUMIFS(E4840:E9015,K4840:K9015,"0",B4840:B9015,"5 1 1 5 9 12*")</f>
        <v>0</v>
      </c>
      <c r="E4839"/>
      <c r="F4839" s="35">
        <f>SUMIFS(F4840:F9015,K4840:K9015,"0",B4840:B9015,"5 1 1 5 9 12*")</f>
        <v>469.65</v>
      </c>
      <c r="G4839" s="35">
        <f>SUMIFS(G4840:G9015,K4840:K9015,"0",B4840:B9015,"5 1 1 5 9 12*")</f>
        <v>0</v>
      </c>
      <c r="H4839" s="35">
        <f t="shared" si="76"/>
        <v>469.65</v>
      </c>
      <c r="I4839" s="35"/>
      <c r="K4839" t="s">
        <v>15</v>
      </c>
    </row>
    <row r="4840" spans="2:11" ht="16.5" x14ac:dyDescent="0.2">
      <c r="B4840" s="33" t="s">
        <v>5798</v>
      </c>
      <c r="C4840" s="33" t="s">
        <v>28</v>
      </c>
      <c r="D4840" s="35">
        <f>SUMIFS(D4841:D9015,K4841:K9015,"0",B4841:B9015,"5 1 1 5 9 12 31111*")-SUMIFS(E4841:E9015,K4841:K9015,"0",B4841:B9015,"5 1 1 5 9 12 31111*")</f>
        <v>0</v>
      </c>
      <c r="E4840"/>
      <c r="F4840" s="35">
        <f>SUMIFS(F4841:F9015,K4841:K9015,"0",B4841:B9015,"5 1 1 5 9 12 31111*")</f>
        <v>469.65</v>
      </c>
      <c r="G4840" s="35">
        <f>SUMIFS(G4841:G9015,K4841:K9015,"0",B4841:B9015,"5 1 1 5 9 12 31111*")</f>
        <v>0</v>
      </c>
      <c r="H4840" s="35">
        <f t="shared" si="76"/>
        <v>469.65</v>
      </c>
      <c r="I4840" s="35"/>
      <c r="K4840" t="s">
        <v>15</v>
      </c>
    </row>
    <row r="4841" spans="2:11" ht="12.75" x14ac:dyDescent="0.2">
      <c r="B4841" s="33" t="s">
        <v>5799</v>
      </c>
      <c r="C4841" s="33" t="s">
        <v>30</v>
      </c>
      <c r="D4841" s="35">
        <f>SUMIFS(D4842:D9015,K4842:K9015,"0",B4842:B9015,"5 1 1 5 9 12 31111 6*")-SUMIFS(E4842:E9015,K4842:K9015,"0",B4842:B9015,"5 1 1 5 9 12 31111 6*")</f>
        <v>0</v>
      </c>
      <c r="E4841"/>
      <c r="F4841" s="35">
        <f>SUMIFS(F4842:F9015,K4842:K9015,"0",B4842:B9015,"5 1 1 5 9 12 31111 6*")</f>
        <v>469.65</v>
      </c>
      <c r="G4841" s="35">
        <f>SUMIFS(G4842:G9015,K4842:K9015,"0",B4842:B9015,"5 1 1 5 9 12 31111 6*")</f>
        <v>0</v>
      </c>
      <c r="H4841" s="35">
        <f t="shared" si="76"/>
        <v>469.65</v>
      </c>
      <c r="I4841" s="35"/>
      <c r="K4841" t="s">
        <v>15</v>
      </c>
    </row>
    <row r="4842" spans="2:11" ht="16.5" x14ac:dyDescent="0.2">
      <c r="B4842" s="33" t="s">
        <v>5800</v>
      </c>
      <c r="C4842" s="33" t="s">
        <v>2284</v>
      </c>
      <c r="D4842" s="35">
        <f>SUMIFS(D4843:D9015,K4843:K9015,"0",B4843:B9015,"5 1 1 5 9 12 31111 6 M59*")-SUMIFS(E4843:E9015,K4843:K9015,"0",B4843:B9015,"5 1 1 5 9 12 31111 6 M59*")</f>
        <v>0</v>
      </c>
      <c r="E4842"/>
      <c r="F4842" s="35">
        <f>SUMIFS(F4843:F9015,K4843:K9015,"0",B4843:B9015,"5 1 1 5 9 12 31111 6 M59*")</f>
        <v>469.65</v>
      </c>
      <c r="G4842" s="35">
        <f>SUMIFS(G4843:G9015,K4843:K9015,"0",B4843:B9015,"5 1 1 5 9 12 31111 6 M59*")</f>
        <v>0</v>
      </c>
      <c r="H4842" s="35">
        <f t="shared" si="76"/>
        <v>469.65</v>
      </c>
      <c r="I4842" s="35"/>
      <c r="K4842" t="s">
        <v>15</v>
      </c>
    </row>
    <row r="4843" spans="2:11" ht="16.5" x14ac:dyDescent="0.2">
      <c r="B4843" s="33" t="s">
        <v>5801</v>
      </c>
      <c r="C4843" s="33" t="s">
        <v>1092</v>
      </c>
      <c r="D4843" s="35">
        <f>SUMIFS(D4844:D9015,K4844:K9015,"0",B4844:B9015,"5 1 1 5 9 12 31111 6 M59 40000*")-SUMIFS(E4844:E9015,K4844:K9015,"0",B4844:B9015,"5 1 1 5 9 12 31111 6 M59 40000*")</f>
        <v>0</v>
      </c>
      <c r="E4843"/>
      <c r="F4843" s="35">
        <f>SUMIFS(F4844:F9015,K4844:K9015,"0",B4844:B9015,"5 1 1 5 9 12 31111 6 M59 40000*")</f>
        <v>469.65</v>
      </c>
      <c r="G4843" s="35">
        <f>SUMIFS(G4844:G9015,K4844:K9015,"0",B4844:B9015,"5 1 1 5 9 12 31111 6 M59 40000*")</f>
        <v>0</v>
      </c>
      <c r="H4843" s="35">
        <f t="shared" si="76"/>
        <v>469.65</v>
      </c>
      <c r="I4843" s="35"/>
      <c r="K4843" t="s">
        <v>15</v>
      </c>
    </row>
    <row r="4844" spans="2:11" ht="16.5" x14ac:dyDescent="0.2">
      <c r="B4844" s="33" t="s">
        <v>5802</v>
      </c>
      <c r="C4844" s="33" t="s">
        <v>1094</v>
      </c>
      <c r="D4844" s="35">
        <f>SUMIFS(D4845:D9015,K4845:K9015,"0",B4845:B9015,"5 1 1 5 9 12 31111 6 M59 40000 000161*")-SUMIFS(E4845:E9015,K4845:K9015,"0",B4845:B9015,"5 1 1 5 9 12 31111 6 M59 40000 000161*")</f>
        <v>0</v>
      </c>
      <c r="E4844"/>
      <c r="F4844" s="35">
        <f>SUMIFS(F4845:F9015,K4845:K9015,"0",B4845:B9015,"5 1 1 5 9 12 31111 6 M59 40000 000161*")</f>
        <v>469.65</v>
      </c>
      <c r="G4844" s="35">
        <f>SUMIFS(G4845:G9015,K4845:K9015,"0",B4845:B9015,"5 1 1 5 9 12 31111 6 M59 40000 000161*")</f>
        <v>0</v>
      </c>
      <c r="H4844" s="35">
        <f t="shared" si="76"/>
        <v>469.65</v>
      </c>
      <c r="I4844" s="35"/>
      <c r="K4844" t="s">
        <v>15</v>
      </c>
    </row>
    <row r="4845" spans="2:11" ht="16.5" x14ac:dyDescent="0.2">
      <c r="B4845" s="33" t="s">
        <v>5803</v>
      </c>
      <c r="C4845" s="33" t="s">
        <v>1065</v>
      </c>
      <c r="D4845" s="35">
        <f>SUMIFS(D4846:D9015,K4846:K9015,"0",B4846:B9015,"5 1 1 5 9 12 31111 6 M59 40000 000161 0000E*")-SUMIFS(E4846:E9015,K4846:K9015,"0",B4846:B9015,"5 1 1 5 9 12 31111 6 M59 40000 000161 0000E*")</f>
        <v>0</v>
      </c>
      <c r="E4845"/>
      <c r="F4845" s="35">
        <f>SUMIFS(F4846:F9015,K4846:K9015,"0",B4846:B9015,"5 1 1 5 9 12 31111 6 M59 40000 000161 0000E*")</f>
        <v>469.65</v>
      </c>
      <c r="G4845" s="35">
        <f>SUMIFS(G4846:G9015,K4846:K9015,"0",B4846:B9015,"5 1 1 5 9 12 31111 6 M59 40000 000161 0000E*")</f>
        <v>0</v>
      </c>
      <c r="H4845" s="35">
        <f t="shared" si="76"/>
        <v>469.65</v>
      </c>
      <c r="I4845" s="35"/>
      <c r="K4845" t="s">
        <v>15</v>
      </c>
    </row>
    <row r="4846" spans="2:11" ht="24.75" x14ac:dyDescent="0.2">
      <c r="B4846" s="33" t="s">
        <v>5804</v>
      </c>
      <c r="C4846" s="33" t="s">
        <v>282</v>
      </c>
      <c r="D4846" s="35">
        <f>SUMIFS(D4847:D9015,K4847:K9015,"0",B4847:B9015,"5 1 1 5 9 12 31111 6 M59 40000 000161 0000E 00001*")-SUMIFS(E4847:E9015,K4847:K9015,"0",B4847:B9015,"5 1 1 5 9 12 31111 6 M59 40000 000161 0000E 00001*")</f>
        <v>0</v>
      </c>
      <c r="E4846"/>
      <c r="F4846" s="35">
        <f>SUMIFS(F4847:F9015,K4847:K9015,"0",B4847:B9015,"5 1 1 5 9 12 31111 6 M59 40000 000161 0000E 00001*")</f>
        <v>469.65</v>
      </c>
      <c r="G4846" s="35">
        <f>SUMIFS(G4847:G9015,K4847:K9015,"0",B4847:B9015,"5 1 1 5 9 12 31111 6 M59 40000 000161 0000E 00001*")</f>
        <v>0</v>
      </c>
      <c r="H4846" s="35">
        <f t="shared" si="76"/>
        <v>469.65</v>
      </c>
      <c r="I4846" s="35"/>
      <c r="K4846" t="s">
        <v>15</v>
      </c>
    </row>
    <row r="4847" spans="2:11" ht="24.75" x14ac:dyDescent="0.2">
      <c r="B4847" s="33" t="s">
        <v>5805</v>
      </c>
      <c r="C4847" s="33" t="s">
        <v>5806</v>
      </c>
      <c r="D4847" s="35">
        <f>SUMIFS(D4848:D9015,K4848:K9015,"0",B4848:B9015,"5 1 1 5 9 12 31111 6 M59 40000 000161 0000E 00001 00159*")-SUMIFS(E4848:E9015,K4848:K9015,"0",B4848:B9015,"5 1 1 5 9 12 31111 6 M59 40000 000161 0000E 00001 00159*")</f>
        <v>0</v>
      </c>
      <c r="E4847"/>
      <c r="F4847" s="35">
        <f>SUMIFS(F4848:F9015,K4848:K9015,"0",B4848:B9015,"5 1 1 5 9 12 31111 6 M59 40000 000161 0000E 00001 00159*")</f>
        <v>469.65</v>
      </c>
      <c r="G4847" s="35">
        <f>SUMIFS(G4848:G9015,K4848:K9015,"0",B4848:B9015,"5 1 1 5 9 12 31111 6 M59 40000 000161 0000E 00001 00159*")</f>
        <v>0</v>
      </c>
      <c r="H4847" s="35">
        <f t="shared" si="76"/>
        <v>469.65</v>
      </c>
      <c r="I4847" s="35"/>
      <c r="K4847" t="s">
        <v>15</v>
      </c>
    </row>
    <row r="4848" spans="2:11" ht="24.75" x14ac:dyDescent="0.2">
      <c r="B4848" s="33" t="s">
        <v>5807</v>
      </c>
      <c r="C4848" s="33" t="s">
        <v>656</v>
      </c>
      <c r="D4848" s="35">
        <f>SUMIFS(D4849:D9015,K4849:K9015,"0",B4849:B9015,"5 1 1 5 9 12 31111 6 M59 40000 000161 0000E 00001 00159 025*")-SUMIFS(E4849:E9015,K4849:K9015,"0",B4849:B9015,"5 1 1 5 9 12 31111 6 M59 40000 000161 0000E 00001 00159 025*")</f>
        <v>0</v>
      </c>
      <c r="E4848"/>
      <c r="F4848" s="35">
        <f>SUMIFS(F4849:F9015,K4849:K9015,"0",B4849:B9015,"5 1 1 5 9 12 31111 6 M59 40000 000161 0000E 00001 00159 025*")</f>
        <v>469.65</v>
      </c>
      <c r="G4848" s="35">
        <f>SUMIFS(G4849:G9015,K4849:K9015,"0",B4849:B9015,"5 1 1 5 9 12 31111 6 M59 40000 000161 0000E 00001 00159 025*")</f>
        <v>0</v>
      </c>
      <c r="H4848" s="35">
        <f t="shared" si="76"/>
        <v>469.65</v>
      </c>
      <c r="I4848" s="35"/>
      <c r="K4848" t="s">
        <v>15</v>
      </c>
    </row>
    <row r="4849" spans="2:11" ht="33" x14ac:dyDescent="0.2">
      <c r="B4849" s="33" t="s">
        <v>5808</v>
      </c>
      <c r="C4849" s="33" t="s">
        <v>2927</v>
      </c>
      <c r="D4849" s="35">
        <f>SUMIFS(D4850:D9015,K4850:K9015,"0",B4850:B9015,"5 1 1 5 9 12 31111 6 M59 40000 000161 0000E 00001 00159 025 2111100*")-SUMIFS(E4850:E9015,K4850:K9015,"0",B4850:B9015,"5 1 1 5 9 12 31111 6 M59 40000 000161 0000E 00001 00159 025 2111100*")</f>
        <v>0</v>
      </c>
      <c r="E4849"/>
      <c r="F4849" s="35">
        <f>SUMIFS(F4850:F9015,K4850:K9015,"0",B4850:B9015,"5 1 1 5 9 12 31111 6 M59 40000 000161 0000E 00001 00159 025 2111100*")</f>
        <v>469.65</v>
      </c>
      <c r="G4849" s="35">
        <f>SUMIFS(G4850:G9015,K4850:K9015,"0",B4850:B9015,"5 1 1 5 9 12 31111 6 M59 40000 000161 0000E 00001 00159 025 2111100*")</f>
        <v>0</v>
      </c>
      <c r="H4849" s="35">
        <f t="shared" si="76"/>
        <v>469.65</v>
      </c>
      <c r="I4849" s="35"/>
      <c r="K4849" t="s">
        <v>15</v>
      </c>
    </row>
    <row r="4850" spans="2:11" ht="33" x14ac:dyDescent="0.2">
      <c r="B4850" s="33" t="s">
        <v>5809</v>
      </c>
      <c r="C4850" s="33" t="s">
        <v>660</v>
      </c>
      <c r="D4850" s="35">
        <f>SUMIFS(D4851:D9015,K4851:K9015,"0",B4851:B9015,"5 1 1 5 9 12 31111 6 M59 40000 000161 0000E 00001 00159 025 2111100 2024*")-SUMIFS(E4851:E9015,K4851:K9015,"0",B4851:B9015,"5 1 1 5 9 12 31111 6 M59 40000 000161 0000E 00001 00159 025 2111100 2024*")</f>
        <v>0</v>
      </c>
      <c r="E4850"/>
      <c r="F4850" s="35">
        <f>SUMIFS(F4851:F9015,K4851:K9015,"0",B4851:B9015,"5 1 1 5 9 12 31111 6 M59 40000 000161 0000E 00001 00159 025 2111100 2024*")</f>
        <v>469.65</v>
      </c>
      <c r="G4850" s="35">
        <f>SUMIFS(G4851:G9015,K4851:K9015,"0",B4851:B9015,"5 1 1 5 9 12 31111 6 M59 40000 000161 0000E 00001 00159 025 2111100 2024*")</f>
        <v>0</v>
      </c>
      <c r="H4850" s="35">
        <f t="shared" si="76"/>
        <v>469.65</v>
      </c>
      <c r="I4850" s="35"/>
      <c r="K4850" t="s">
        <v>15</v>
      </c>
    </row>
    <row r="4851" spans="2:11" ht="41.25" x14ac:dyDescent="0.2">
      <c r="B4851" s="33" t="s">
        <v>5810</v>
      </c>
      <c r="C4851" s="33" t="s">
        <v>662</v>
      </c>
      <c r="D4851" s="35">
        <f>SUMIFS(D4852:D9015,K4852:K9015,"0",B4852:B9015,"5 1 1 5 9 12 31111 6 M59 40000 000161 0000E 00001 00159 025 2111100 2024 CP4SP372*")-SUMIFS(E4852:E9015,K4852:K9015,"0",B4852:B9015,"5 1 1 5 9 12 31111 6 M59 40000 000161 0000E 00001 00159 025 2111100 2024 CP4SP372*")</f>
        <v>0</v>
      </c>
      <c r="E4851"/>
      <c r="F4851" s="35">
        <f>SUMIFS(F4852:F9015,K4852:K9015,"0",B4852:B9015,"5 1 1 5 9 12 31111 6 M59 40000 000161 0000E 00001 00159 025 2111100 2024 CP4SP372*")</f>
        <v>469.65</v>
      </c>
      <c r="G4851" s="35">
        <f>SUMIFS(G4852:G9015,K4852:K9015,"0",B4852:B9015,"5 1 1 5 9 12 31111 6 M59 40000 000161 0000E 00001 00159 025 2111100 2024 CP4SP372*")</f>
        <v>0</v>
      </c>
      <c r="H4851" s="35">
        <f t="shared" si="76"/>
        <v>469.65</v>
      </c>
      <c r="I4851" s="35"/>
      <c r="K4851" t="s">
        <v>15</v>
      </c>
    </row>
    <row r="4852" spans="2:11" ht="41.25" x14ac:dyDescent="0.2">
      <c r="B4852" s="33" t="s">
        <v>5811</v>
      </c>
      <c r="C4852" s="33" t="s">
        <v>664</v>
      </c>
      <c r="D4852" s="35">
        <f>SUMIFS(D4853:D9015,K4853:K9015,"0",B4853:B9015,"5 1 1 5 9 12 31111 6 M59 40000 000161 0000E 00001 00159 025 2111100 2024 CP4SP372 003*")-SUMIFS(E4853:E9015,K4853:K9015,"0",B4853:B9015,"5 1 1 5 9 12 31111 6 M59 40000 000161 0000E 00001 00159 025 2111100 2024 CP4SP372 003*")</f>
        <v>0</v>
      </c>
      <c r="E4852"/>
      <c r="F4852" s="35">
        <f>SUMIFS(F4853:F9015,K4853:K9015,"0",B4853:B9015,"5 1 1 5 9 12 31111 6 M59 40000 000161 0000E 00001 00159 025 2111100 2024 CP4SP372 003*")</f>
        <v>469.65</v>
      </c>
      <c r="G4852" s="35">
        <f>SUMIFS(G4853:G9015,K4853:K9015,"0",B4853:B9015,"5 1 1 5 9 12 31111 6 M59 40000 000161 0000E 00001 00159 025 2111100 2024 CP4SP372 003*")</f>
        <v>0</v>
      </c>
      <c r="H4852" s="35">
        <f t="shared" si="76"/>
        <v>469.65</v>
      </c>
      <c r="I4852" s="35"/>
      <c r="K4852" t="s">
        <v>15</v>
      </c>
    </row>
    <row r="4853" spans="2:11" ht="33" x14ac:dyDescent="0.2">
      <c r="B4853" s="31" t="s">
        <v>5812</v>
      </c>
      <c r="C4853" s="31" t="s">
        <v>5391</v>
      </c>
      <c r="D4853" s="34">
        <v>0</v>
      </c>
      <c r="E4853" s="34"/>
      <c r="F4853" s="34">
        <v>469.65</v>
      </c>
      <c r="G4853" s="34">
        <v>0</v>
      </c>
      <c r="H4853" s="34">
        <f t="shared" si="76"/>
        <v>469.65</v>
      </c>
      <c r="I4853" s="34"/>
      <c r="K4853" t="s">
        <v>38</v>
      </c>
    </row>
    <row r="4854" spans="2:11" ht="12.75" x14ac:dyDescent="0.2">
      <c r="B4854" s="33" t="s">
        <v>5813</v>
      </c>
      <c r="C4854" s="33" t="s">
        <v>5814</v>
      </c>
      <c r="D4854" s="35">
        <f>SUMIFS(D4855:D9015,K4855:K9015,"0",B4855:B9015,"5 1 2*")-SUMIFS(E4855:E9015,K4855:K9015,"0",B4855:B9015,"5 1 2*")</f>
        <v>0</v>
      </c>
      <c r="E4854"/>
      <c r="F4854" s="35">
        <f>SUMIFS(F4855:F9015,K4855:K9015,"0",B4855:B9015,"5 1 2*")</f>
        <v>78759182.030000046</v>
      </c>
      <c r="G4854" s="35">
        <f>SUMIFS(G4855:G9015,K4855:K9015,"0",B4855:B9015,"5 1 2*")</f>
        <v>0</v>
      </c>
      <c r="H4854" s="35">
        <f t="shared" si="76"/>
        <v>78759182.030000046</v>
      </c>
      <c r="I4854" s="35"/>
      <c r="K4854" t="s">
        <v>15</v>
      </c>
    </row>
    <row r="4855" spans="2:11" ht="33" x14ac:dyDescent="0.2">
      <c r="B4855" s="33" t="s">
        <v>5815</v>
      </c>
      <c r="C4855" s="33" t="s">
        <v>497</v>
      </c>
      <c r="D4855" s="35">
        <f>SUMIFS(D4856:D9015,K4856:K9015,"0",B4856:B9015,"5 1 2 1*")-SUMIFS(E4856:E9015,K4856:K9015,"0",B4856:B9015,"5 1 2 1*")</f>
        <v>0</v>
      </c>
      <c r="E4855"/>
      <c r="F4855" s="35">
        <f>SUMIFS(F4856:F9015,K4856:K9015,"0",B4856:B9015,"5 1 2 1*")</f>
        <v>53533391.470000006</v>
      </c>
      <c r="G4855" s="35">
        <f>SUMIFS(G4856:G9015,K4856:K9015,"0",B4856:B9015,"5 1 2 1*")</f>
        <v>0</v>
      </c>
      <c r="H4855" s="35">
        <f t="shared" si="76"/>
        <v>53533391.470000006</v>
      </c>
      <c r="I4855" s="35"/>
      <c r="K4855" t="s">
        <v>15</v>
      </c>
    </row>
    <row r="4856" spans="2:11" ht="24.75" x14ac:dyDescent="0.2">
      <c r="B4856" s="33" t="s">
        <v>5816</v>
      </c>
      <c r="C4856" s="33" t="s">
        <v>5817</v>
      </c>
      <c r="D4856" s="35">
        <f>SUMIFS(D4857:D9015,K4857:K9015,"0",B4857:B9015,"5 1 2 1 1*")-SUMIFS(E4857:E9015,K4857:K9015,"0",B4857:B9015,"5 1 2 1 1*")</f>
        <v>0</v>
      </c>
      <c r="E4856"/>
      <c r="F4856" s="35">
        <f>SUMIFS(F4857:F9015,K4857:K9015,"0",B4857:B9015,"5 1 2 1 1*")</f>
        <v>26592821.100000001</v>
      </c>
      <c r="G4856" s="35">
        <f>SUMIFS(G4857:G9015,K4857:K9015,"0",B4857:B9015,"5 1 2 1 1*")</f>
        <v>0</v>
      </c>
      <c r="H4856" s="35">
        <f t="shared" si="76"/>
        <v>26592821.100000001</v>
      </c>
      <c r="I4856" s="35"/>
      <c r="K4856" t="s">
        <v>15</v>
      </c>
    </row>
    <row r="4857" spans="2:11" ht="12.75" x14ac:dyDescent="0.2">
      <c r="B4857" s="33" t="s">
        <v>5818</v>
      </c>
      <c r="C4857" s="33" t="s">
        <v>26</v>
      </c>
      <c r="D4857" s="35">
        <f>SUMIFS(D4858:D9015,K4858:K9015,"0",B4858:B9015,"5 1 2 1 1 12*")-SUMIFS(E4858:E9015,K4858:K9015,"0",B4858:B9015,"5 1 2 1 1 12*")</f>
        <v>0</v>
      </c>
      <c r="E4857"/>
      <c r="F4857" s="35">
        <f>SUMIFS(F4858:F9015,K4858:K9015,"0",B4858:B9015,"5 1 2 1 1 12*")</f>
        <v>26592821.100000001</v>
      </c>
      <c r="G4857" s="35">
        <f>SUMIFS(G4858:G9015,K4858:K9015,"0",B4858:B9015,"5 1 2 1 1 12*")</f>
        <v>0</v>
      </c>
      <c r="H4857" s="35">
        <f t="shared" si="76"/>
        <v>26592821.100000001</v>
      </c>
      <c r="I4857" s="35"/>
      <c r="K4857" t="s">
        <v>15</v>
      </c>
    </row>
    <row r="4858" spans="2:11" ht="16.5" x14ac:dyDescent="0.2">
      <c r="B4858" s="33" t="s">
        <v>5819</v>
      </c>
      <c r="C4858" s="33" t="s">
        <v>28</v>
      </c>
      <c r="D4858" s="35">
        <f>SUMIFS(D4859:D9015,K4859:K9015,"0",B4859:B9015,"5 1 2 1 1 12 31111*")-SUMIFS(E4859:E9015,K4859:K9015,"0",B4859:B9015,"5 1 2 1 1 12 31111*")</f>
        <v>0</v>
      </c>
      <c r="E4858"/>
      <c r="F4858" s="35">
        <f>SUMIFS(F4859:F9015,K4859:K9015,"0",B4859:B9015,"5 1 2 1 1 12 31111*")</f>
        <v>26592821.100000001</v>
      </c>
      <c r="G4858" s="35">
        <f>SUMIFS(G4859:G9015,K4859:K9015,"0",B4859:B9015,"5 1 2 1 1 12 31111*")</f>
        <v>0</v>
      </c>
      <c r="H4858" s="35">
        <f t="shared" si="76"/>
        <v>26592821.100000001</v>
      </c>
      <c r="I4858" s="35"/>
      <c r="K4858" t="s">
        <v>15</v>
      </c>
    </row>
    <row r="4859" spans="2:11" ht="12.75" x14ac:dyDescent="0.2">
      <c r="B4859" s="33" t="s">
        <v>5820</v>
      </c>
      <c r="C4859" s="33" t="s">
        <v>30</v>
      </c>
      <c r="D4859" s="35">
        <f>SUMIFS(D4860:D9015,K4860:K9015,"0",B4860:B9015,"5 1 2 1 1 12 31111 6*")-SUMIFS(E4860:E9015,K4860:K9015,"0",B4860:B9015,"5 1 2 1 1 12 31111 6*")</f>
        <v>0</v>
      </c>
      <c r="E4859"/>
      <c r="F4859" s="35">
        <f>SUMIFS(F4860:F9015,K4860:K9015,"0",B4860:B9015,"5 1 2 1 1 12 31111 6*")</f>
        <v>26592821.100000001</v>
      </c>
      <c r="G4859" s="35">
        <f>SUMIFS(G4860:G9015,K4860:K9015,"0",B4860:B9015,"5 1 2 1 1 12 31111 6*")</f>
        <v>0</v>
      </c>
      <c r="H4859" s="35">
        <f t="shared" si="76"/>
        <v>26592821.100000001</v>
      </c>
      <c r="I4859" s="35"/>
      <c r="K4859" t="s">
        <v>15</v>
      </c>
    </row>
    <row r="4860" spans="2:11" ht="16.5" x14ac:dyDescent="0.2">
      <c r="B4860" s="33" t="s">
        <v>5821</v>
      </c>
      <c r="C4860" s="33" t="s">
        <v>2284</v>
      </c>
      <c r="D4860" s="35">
        <f>SUMIFS(D4861:D9015,K4861:K9015,"0",B4861:B9015,"5 1 2 1 1 12 31111 6 M59*")-SUMIFS(E4861:E9015,K4861:K9015,"0",B4861:B9015,"5 1 2 1 1 12 31111 6 M59*")</f>
        <v>0</v>
      </c>
      <c r="E4860"/>
      <c r="F4860" s="35">
        <f>SUMIFS(F4861:F9015,K4861:K9015,"0",B4861:B9015,"5 1 2 1 1 12 31111 6 M59*")</f>
        <v>26592821.100000001</v>
      </c>
      <c r="G4860" s="35">
        <f>SUMIFS(G4861:G9015,K4861:K9015,"0",B4861:B9015,"5 1 2 1 1 12 31111 6 M59*")</f>
        <v>0</v>
      </c>
      <c r="H4860" s="35">
        <f t="shared" si="76"/>
        <v>26592821.100000001</v>
      </c>
      <c r="I4860" s="35"/>
      <c r="K4860" t="s">
        <v>15</v>
      </c>
    </row>
    <row r="4861" spans="2:11" ht="16.5" x14ac:dyDescent="0.2">
      <c r="B4861" s="33" t="s">
        <v>5822</v>
      </c>
      <c r="C4861" s="33" t="s">
        <v>1243</v>
      </c>
      <c r="D4861" s="35">
        <f>SUMIFS(D4862:D9015,K4862:K9015,"0",B4862:B9015,"5 1 2 1 1 12 31111 6 M59 10000*")-SUMIFS(E4862:E9015,K4862:K9015,"0",B4862:B9015,"5 1 2 1 1 12 31111 6 M59 10000*")</f>
        <v>0</v>
      </c>
      <c r="E4861"/>
      <c r="F4861" s="35">
        <f>SUMIFS(F4862:F9015,K4862:K9015,"0",B4862:B9015,"5 1 2 1 1 12 31111 6 M59 10000*")</f>
        <v>53191.77</v>
      </c>
      <c r="G4861" s="35">
        <f>SUMIFS(G4862:G9015,K4862:K9015,"0",B4862:B9015,"5 1 2 1 1 12 31111 6 M59 10000*")</f>
        <v>0</v>
      </c>
      <c r="H4861" s="35">
        <f t="shared" si="76"/>
        <v>53191.77</v>
      </c>
      <c r="I4861" s="35"/>
      <c r="K4861" t="s">
        <v>15</v>
      </c>
    </row>
    <row r="4862" spans="2:11" ht="16.5" x14ac:dyDescent="0.2">
      <c r="B4862" s="33" t="s">
        <v>5823</v>
      </c>
      <c r="C4862" s="33" t="s">
        <v>648</v>
      </c>
      <c r="D4862" s="35">
        <f>SUMIFS(D4863:D9015,K4863:K9015,"0",B4863:B9015,"5 1 2 1 1 12 31111 6 M59 10000 000132*")-SUMIFS(E4863:E9015,K4863:K9015,"0",B4863:B9015,"5 1 2 1 1 12 31111 6 M59 10000 000132*")</f>
        <v>0</v>
      </c>
      <c r="E4862"/>
      <c r="F4862" s="35">
        <f>SUMIFS(F4863:F9015,K4863:K9015,"0",B4863:B9015,"5 1 2 1 1 12 31111 6 M59 10000 000132*")</f>
        <v>53191.77</v>
      </c>
      <c r="G4862" s="35">
        <f>SUMIFS(G4863:G9015,K4863:K9015,"0",B4863:B9015,"5 1 2 1 1 12 31111 6 M59 10000 000132*")</f>
        <v>0</v>
      </c>
      <c r="H4862" s="35">
        <f t="shared" si="76"/>
        <v>53191.77</v>
      </c>
      <c r="I4862" s="35"/>
      <c r="K4862" t="s">
        <v>15</v>
      </c>
    </row>
    <row r="4863" spans="2:11" ht="16.5" x14ac:dyDescent="0.2">
      <c r="B4863" s="33" t="s">
        <v>5824</v>
      </c>
      <c r="C4863" s="33" t="s">
        <v>650</v>
      </c>
      <c r="D4863" s="35">
        <f>SUMIFS(D4864:D9015,K4864:K9015,"0",B4864:B9015,"5 1 2 1 1 12 31111 6 M59 10000 000132 0000R*")-SUMIFS(E4864:E9015,K4864:K9015,"0",B4864:B9015,"5 1 2 1 1 12 31111 6 M59 10000 000132 0000R*")</f>
        <v>0</v>
      </c>
      <c r="E4863"/>
      <c r="F4863" s="35">
        <f>SUMIFS(F4864:F9015,K4864:K9015,"0",B4864:B9015,"5 1 2 1 1 12 31111 6 M59 10000 000132 0000R*")</f>
        <v>53191.77</v>
      </c>
      <c r="G4863" s="35">
        <f>SUMIFS(G4864:G9015,K4864:K9015,"0",B4864:B9015,"5 1 2 1 1 12 31111 6 M59 10000 000132 0000R*")</f>
        <v>0</v>
      </c>
      <c r="H4863" s="35">
        <f t="shared" si="76"/>
        <v>53191.77</v>
      </c>
      <c r="I4863" s="35"/>
      <c r="K4863" t="s">
        <v>15</v>
      </c>
    </row>
    <row r="4864" spans="2:11" ht="24.75" x14ac:dyDescent="0.2">
      <c r="B4864" s="33" t="s">
        <v>5825</v>
      </c>
      <c r="C4864" s="33" t="s">
        <v>282</v>
      </c>
      <c r="D4864" s="35">
        <f>SUMIFS(D4865:D9015,K4865:K9015,"0",B4865:B9015,"5 1 2 1 1 12 31111 6 M59 10000 000132 0000R 00001*")-SUMIFS(E4865:E9015,K4865:K9015,"0",B4865:B9015,"5 1 2 1 1 12 31111 6 M59 10000 000132 0000R 00001*")</f>
        <v>0</v>
      </c>
      <c r="E4864"/>
      <c r="F4864" s="35">
        <f>SUMIFS(F4865:F9015,K4865:K9015,"0",B4865:B9015,"5 1 2 1 1 12 31111 6 M59 10000 000132 0000R 00001*")</f>
        <v>53191.77</v>
      </c>
      <c r="G4864" s="35">
        <f>SUMIFS(G4865:G9015,K4865:K9015,"0",B4865:B9015,"5 1 2 1 1 12 31111 6 M59 10000 000132 0000R 00001*")</f>
        <v>0</v>
      </c>
      <c r="H4864" s="35">
        <f t="shared" si="76"/>
        <v>53191.77</v>
      </c>
      <c r="I4864" s="35"/>
      <c r="K4864" t="s">
        <v>15</v>
      </c>
    </row>
    <row r="4865" spans="2:11" ht="24.75" x14ac:dyDescent="0.2">
      <c r="B4865" s="33" t="s">
        <v>5826</v>
      </c>
      <c r="C4865" s="33" t="s">
        <v>5827</v>
      </c>
      <c r="D4865" s="35">
        <f>SUMIFS(D4866:D9015,K4866:K9015,"0",B4866:B9015,"5 1 2 1 1 12 31111 6 M59 10000 000132 0000R 00001 00211*")-SUMIFS(E4866:E9015,K4866:K9015,"0",B4866:B9015,"5 1 2 1 1 12 31111 6 M59 10000 000132 0000R 00001 00211*")</f>
        <v>0</v>
      </c>
      <c r="E4865"/>
      <c r="F4865" s="35">
        <f>SUMIFS(F4866:F9015,K4866:K9015,"0",B4866:B9015,"5 1 2 1 1 12 31111 6 M59 10000 000132 0000R 00001 00211*")</f>
        <v>53191.77</v>
      </c>
      <c r="G4865" s="35">
        <f>SUMIFS(G4866:G9015,K4866:K9015,"0",B4866:B9015,"5 1 2 1 1 12 31111 6 M59 10000 000132 0000R 00001 00211*")</f>
        <v>0</v>
      </c>
      <c r="H4865" s="35">
        <f t="shared" si="76"/>
        <v>53191.77</v>
      </c>
      <c r="I4865" s="35"/>
      <c r="K4865" t="s">
        <v>15</v>
      </c>
    </row>
    <row r="4866" spans="2:11" ht="24.75" x14ac:dyDescent="0.2">
      <c r="B4866" s="33" t="s">
        <v>5828</v>
      </c>
      <c r="C4866" s="33" t="s">
        <v>1051</v>
      </c>
      <c r="D4866" s="35">
        <f>SUMIFS(D4867:D9015,K4867:K9015,"0",B4867:B9015,"5 1 2 1 1 12 31111 6 M59 10000 000132 0000R 00001 00211 015*")-SUMIFS(E4867:E9015,K4867:K9015,"0",B4867:B9015,"5 1 2 1 1 12 31111 6 M59 10000 000132 0000R 00001 00211 015*")</f>
        <v>0</v>
      </c>
      <c r="E4866"/>
      <c r="F4866" s="35">
        <f>SUMIFS(F4867:F9015,K4867:K9015,"0",B4867:B9015,"5 1 2 1 1 12 31111 6 M59 10000 000132 0000R 00001 00211 015*")</f>
        <v>53191.77</v>
      </c>
      <c r="G4866" s="35">
        <f>SUMIFS(G4867:G9015,K4867:K9015,"0",B4867:B9015,"5 1 2 1 1 12 31111 6 M59 10000 000132 0000R 00001 00211 015*")</f>
        <v>0</v>
      </c>
      <c r="H4866" s="35">
        <f t="shared" si="76"/>
        <v>53191.77</v>
      </c>
      <c r="I4866" s="35"/>
      <c r="K4866" t="s">
        <v>15</v>
      </c>
    </row>
    <row r="4867" spans="2:11" ht="33" x14ac:dyDescent="0.2">
      <c r="B4867" s="33" t="s">
        <v>5829</v>
      </c>
      <c r="C4867" s="33" t="s">
        <v>5830</v>
      </c>
      <c r="D4867" s="35">
        <f>SUMIFS(D4868:D9015,K4868:K9015,"0",B4868:B9015,"5 1 2 1 1 12 31111 6 M59 10000 000132 0000R 00001 00211 015 2112000*")-SUMIFS(E4868:E9015,K4868:K9015,"0",B4868:B9015,"5 1 2 1 1 12 31111 6 M59 10000 000132 0000R 00001 00211 015 2112000*")</f>
        <v>0</v>
      </c>
      <c r="E4867"/>
      <c r="F4867" s="35">
        <f>SUMIFS(F4868:F9015,K4868:K9015,"0",B4868:B9015,"5 1 2 1 1 12 31111 6 M59 10000 000132 0000R 00001 00211 015 2112000*")</f>
        <v>53191.77</v>
      </c>
      <c r="G4867" s="35">
        <f>SUMIFS(G4868:G9015,K4868:K9015,"0",B4868:B9015,"5 1 2 1 1 12 31111 6 M59 10000 000132 0000R 00001 00211 015 2112000*")</f>
        <v>0</v>
      </c>
      <c r="H4867" s="35">
        <f t="shared" si="76"/>
        <v>53191.77</v>
      </c>
      <c r="I4867" s="35"/>
      <c r="K4867" t="s">
        <v>15</v>
      </c>
    </row>
    <row r="4868" spans="2:11" ht="33" x14ac:dyDescent="0.2">
      <c r="B4868" s="33" t="s">
        <v>5831</v>
      </c>
      <c r="C4868" s="33" t="s">
        <v>660</v>
      </c>
      <c r="D4868" s="35">
        <f>SUMIFS(D4869:D9015,K4869:K9015,"0",B4869:B9015,"5 1 2 1 1 12 31111 6 M59 10000 000132 0000R 00001 00211 015 2112000 2024*")-SUMIFS(E4869:E9015,K4869:K9015,"0",B4869:B9015,"5 1 2 1 1 12 31111 6 M59 10000 000132 0000R 00001 00211 015 2112000 2024*")</f>
        <v>0</v>
      </c>
      <c r="E4868"/>
      <c r="F4868" s="35">
        <f>SUMIFS(F4869:F9015,K4869:K9015,"0",B4869:B9015,"5 1 2 1 1 12 31111 6 M59 10000 000132 0000R 00001 00211 015 2112000 2024*")</f>
        <v>53191.77</v>
      </c>
      <c r="G4868" s="35">
        <f>SUMIFS(G4869:G9015,K4869:K9015,"0",B4869:B9015,"5 1 2 1 1 12 31111 6 M59 10000 000132 0000R 00001 00211 015 2112000 2024*")</f>
        <v>0</v>
      </c>
      <c r="H4868" s="35">
        <f t="shared" ref="H4868:H4931" si="77">D4868 + F4868 - G4868</f>
        <v>53191.77</v>
      </c>
      <c r="I4868" s="35"/>
      <c r="K4868" t="s">
        <v>15</v>
      </c>
    </row>
    <row r="4869" spans="2:11" ht="41.25" x14ac:dyDescent="0.2">
      <c r="B4869" s="33" t="s">
        <v>5832</v>
      </c>
      <c r="C4869" s="33" t="s">
        <v>662</v>
      </c>
      <c r="D4869" s="35">
        <f>SUMIFS(D4870:D9015,K4870:K9015,"0",B4870:B9015,"5 1 2 1 1 12 31111 6 M59 10000 000132 0000R 00001 00211 015 2112000 2024 CP1PM439*")-SUMIFS(E4870:E9015,K4870:K9015,"0",B4870:B9015,"5 1 2 1 1 12 31111 6 M59 10000 000132 0000R 00001 00211 015 2112000 2024 CP1PM439*")</f>
        <v>0</v>
      </c>
      <c r="E4869"/>
      <c r="F4869" s="35">
        <f>SUMIFS(F4870:F9015,K4870:K9015,"0",B4870:B9015,"5 1 2 1 1 12 31111 6 M59 10000 000132 0000R 00001 00211 015 2112000 2024 CP1PM439*")</f>
        <v>53191.77</v>
      </c>
      <c r="G4869" s="35">
        <f>SUMIFS(G4870:G9015,K4870:K9015,"0",B4870:B9015,"5 1 2 1 1 12 31111 6 M59 10000 000132 0000R 00001 00211 015 2112000 2024 CP1PM439*")</f>
        <v>0</v>
      </c>
      <c r="H4869" s="35">
        <f t="shared" si="77"/>
        <v>53191.77</v>
      </c>
      <c r="I4869" s="35"/>
      <c r="K4869" t="s">
        <v>15</v>
      </c>
    </row>
    <row r="4870" spans="2:11" ht="41.25" x14ac:dyDescent="0.2">
      <c r="B4870" s="33" t="s">
        <v>5833</v>
      </c>
      <c r="C4870" s="33" t="s">
        <v>282</v>
      </c>
      <c r="D4870" s="35">
        <f>SUMIFS(D4871:D9015,K4871:K9015,"0",B4871:B9015,"5 1 2 1 1 12 31111 6 M59 10000 000132 0000R 00001 00211 015 2112000 2024 CP1PM439 001*")-SUMIFS(E4871:E9015,K4871:K9015,"0",B4871:B9015,"5 1 2 1 1 12 31111 6 M59 10000 000132 0000R 00001 00211 015 2112000 2024 CP1PM439 001*")</f>
        <v>0</v>
      </c>
      <c r="E4870"/>
      <c r="F4870" s="35">
        <f>SUMIFS(F4871:F9015,K4871:K9015,"0",B4871:B9015,"5 1 2 1 1 12 31111 6 M59 10000 000132 0000R 00001 00211 015 2112000 2024 CP1PM439 001*")</f>
        <v>53191.77</v>
      </c>
      <c r="G4870" s="35">
        <f>SUMIFS(G4871:G9015,K4871:K9015,"0",B4871:B9015,"5 1 2 1 1 12 31111 6 M59 10000 000132 0000R 00001 00211 015 2112000 2024 CP1PM439 001*")</f>
        <v>0</v>
      </c>
      <c r="H4870" s="35">
        <f t="shared" si="77"/>
        <v>53191.77</v>
      </c>
      <c r="I4870" s="35"/>
      <c r="K4870" t="s">
        <v>15</v>
      </c>
    </row>
    <row r="4871" spans="2:11" ht="33" x14ac:dyDescent="0.2">
      <c r="B4871" s="31" t="s">
        <v>5834</v>
      </c>
      <c r="C4871" s="31" t="s">
        <v>5827</v>
      </c>
      <c r="D4871" s="34">
        <v>0</v>
      </c>
      <c r="E4871" s="34"/>
      <c r="F4871" s="34">
        <v>53191.77</v>
      </c>
      <c r="G4871" s="34">
        <v>0</v>
      </c>
      <c r="H4871" s="34">
        <f t="shared" si="77"/>
        <v>53191.77</v>
      </c>
      <c r="I4871" s="34"/>
      <c r="K4871" t="s">
        <v>38</v>
      </c>
    </row>
    <row r="4872" spans="2:11" ht="16.5" x14ac:dyDescent="0.2">
      <c r="B4872" s="33" t="s">
        <v>5835</v>
      </c>
      <c r="C4872" s="33" t="s">
        <v>2946</v>
      </c>
      <c r="D4872" s="35">
        <f>SUMIFS(D4873:D9015,K4873:K9015,"0",B4873:B9015,"5 1 2 1 1 12 31111 6 M59 10300*")-SUMIFS(E4873:E9015,K4873:K9015,"0",B4873:B9015,"5 1 2 1 1 12 31111 6 M59 10300*")</f>
        <v>0</v>
      </c>
      <c r="E4872"/>
      <c r="F4872" s="35">
        <f>SUMIFS(F4873:F9015,K4873:K9015,"0",B4873:B9015,"5 1 2 1 1 12 31111 6 M59 10300*")</f>
        <v>250</v>
      </c>
      <c r="G4872" s="35">
        <f>SUMIFS(G4873:G9015,K4873:K9015,"0",B4873:B9015,"5 1 2 1 1 12 31111 6 M59 10300*")</f>
        <v>0</v>
      </c>
      <c r="H4872" s="35">
        <f t="shared" si="77"/>
        <v>250</v>
      </c>
      <c r="I4872" s="35"/>
      <c r="K4872" t="s">
        <v>15</v>
      </c>
    </row>
    <row r="4873" spans="2:11" ht="16.5" x14ac:dyDescent="0.2">
      <c r="B4873" s="33" t="s">
        <v>5836</v>
      </c>
      <c r="C4873" s="33" t="s">
        <v>648</v>
      </c>
      <c r="D4873" s="35">
        <f>SUMIFS(D4874:D9015,K4874:K9015,"0",B4874:B9015,"5 1 2 1 1 12 31111 6 M59 10300 000132*")-SUMIFS(E4874:E9015,K4874:K9015,"0",B4874:B9015,"5 1 2 1 1 12 31111 6 M59 10300 000132*")</f>
        <v>0</v>
      </c>
      <c r="E4873"/>
      <c r="F4873" s="35">
        <f>SUMIFS(F4874:F9015,K4874:K9015,"0",B4874:B9015,"5 1 2 1 1 12 31111 6 M59 10300 000132*")</f>
        <v>250</v>
      </c>
      <c r="G4873" s="35">
        <f>SUMIFS(G4874:G9015,K4874:K9015,"0",B4874:B9015,"5 1 2 1 1 12 31111 6 M59 10300 000132*")</f>
        <v>0</v>
      </c>
      <c r="H4873" s="35">
        <f t="shared" si="77"/>
        <v>250</v>
      </c>
      <c r="I4873" s="35"/>
      <c r="K4873" t="s">
        <v>15</v>
      </c>
    </row>
    <row r="4874" spans="2:11" ht="16.5" x14ac:dyDescent="0.2">
      <c r="B4874" s="33" t="s">
        <v>5837</v>
      </c>
      <c r="C4874" s="33" t="s">
        <v>650</v>
      </c>
      <c r="D4874" s="35">
        <f>SUMIFS(D4875:D9015,K4875:K9015,"0",B4875:B9015,"5 1 2 1 1 12 31111 6 M59 10300 000132 0000R*")-SUMIFS(E4875:E9015,K4875:K9015,"0",B4875:B9015,"5 1 2 1 1 12 31111 6 M59 10300 000132 0000R*")</f>
        <v>0</v>
      </c>
      <c r="E4874"/>
      <c r="F4874" s="35">
        <f>SUMIFS(F4875:F9015,K4875:K9015,"0",B4875:B9015,"5 1 2 1 1 12 31111 6 M59 10300 000132 0000R*")</f>
        <v>250</v>
      </c>
      <c r="G4874" s="35">
        <f>SUMIFS(G4875:G9015,K4875:K9015,"0",B4875:B9015,"5 1 2 1 1 12 31111 6 M59 10300 000132 0000R*")</f>
        <v>0</v>
      </c>
      <c r="H4874" s="35">
        <f t="shared" si="77"/>
        <v>250</v>
      </c>
      <c r="I4874" s="35"/>
      <c r="K4874" t="s">
        <v>15</v>
      </c>
    </row>
    <row r="4875" spans="2:11" ht="24.75" x14ac:dyDescent="0.2">
      <c r="B4875" s="33" t="s">
        <v>5838</v>
      </c>
      <c r="C4875" s="33" t="s">
        <v>282</v>
      </c>
      <c r="D4875" s="35">
        <f>SUMIFS(D4876:D9015,K4876:K9015,"0",B4876:B9015,"5 1 2 1 1 12 31111 6 M59 10300 000132 0000R 00001*")-SUMIFS(E4876:E9015,K4876:K9015,"0",B4876:B9015,"5 1 2 1 1 12 31111 6 M59 10300 000132 0000R 00001*")</f>
        <v>0</v>
      </c>
      <c r="E4875"/>
      <c r="F4875" s="35">
        <f>SUMIFS(F4876:F9015,K4876:K9015,"0",B4876:B9015,"5 1 2 1 1 12 31111 6 M59 10300 000132 0000R 00001*")</f>
        <v>250</v>
      </c>
      <c r="G4875" s="35">
        <f>SUMIFS(G4876:G9015,K4876:K9015,"0",B4876:B9015,"5 1 2 1 1 12 31111 6 M59 10300 000132 0000R 00001*")</f>
        <v>0</v>
      </c>
      <c r="H4875" s="35">
        <f t="shared" si="77"/>
        <v>250</v>
      </c>
      <c r="I4875" s="35"/>
      <c r="K4875" t="s">
        <v>15</v>
      </c>
    </row>
    <row r="4876" spans="2:11" ht="24.75" x14ac:dyDescent="0.2">
      <c r="B4876" s="33" t="s">
        <v>5839</v>
      </c>
      <c r="C4876" s="33" t="s">
        <v>5827</v>
      </c>
      <c r="D4876" s="35">
        <f>SUMIFS(D4877:D9015,K4877:K9015,"0",B4877:B9015,"5 1 2 1 1 12 31111 6 M59 10300 000132 0000R 00001 00211*")-SUMIFS(E4877:E9015,K4877:K9015,"0",B4877:B9015,"5 1 2 1 1 12 31111 6 M59 10300 000132 0000R 00001 00211*")</f>
        <v>0</v>
      </c>
      <c r="E4876"/>
      <c r="F4876" s="35">
        <f>SUMIFS(F4877:F9015,K4877:K9015,"0",B4877:B9015,"5 1 2 1 1 12 31111 6 M59 10300 000132 0000R 00001 00211*")</f>
        <v>250</v>
      </c>
      <c r="G4876" s="35">
        <f>SUMIFS(G4877:G9015,K4877:K9015,"0",B4877:B9015,"5 1 2 1 1 12 31111 6 M59 10300 000132 0000R 00001 00211*")</f>
        <v>0</v>
      </c>
      <c r="H4876" s="35">
        <f t="shared" si="77"/>
        <v>250</v>
      </c>
      <c r="I4876" s="35"/>
      <c r="K4876" t="s">
        <v>15</v>
      </c>
    </row>
    <row r="4877" spans="2:11" ht="24.75" x14ac:dyDescent="0.2">
      <c r="B4877" s="33" t="s">
        <v>5840</v>
      </c>
      <c r="C4877" s="33" t="s">
        <v>1051</v>
      </c>
      <c r="D4877" s="35">
        <f>SUMIFS(D4878:D9015,K4878:K9015,"0",B4878:B9015,"5 1 2 1 1 12 31111 6 M59 10300 000132 0000R 00001 00211 015*")-SUMIFS(E4878:E9015,K4878:K9015,"0",B4878:B9015,"5 1 2 1 1 12 31111 6 M59 10300 000132 0000R 00001 00211 015*")</f>
        <v>0</v>
      </c>
      <c r="E4877"/>
      <c r="F4877" s="35">
        <f>SUMIFS(F4878:F9015,K4878:K9015,"0",B4878:B9015,"5 1 2 1 1 12 31111 6 M59 10300 000132 0000R 00001 00211 015*")</f>
        <v>250</v>
      </c>
      <c r="G4877" s="35">
        <f>SUMIFS(G4878:G9015,K4878:K9015,"0",B4878:B9015,"5 1 2 1 1 12 31111 6 M59 10300 000132 0000R 00001 00211 015*")</f>
        <v>0</v>
      </c>
      <c r="H4877" s="35">
        <f t="shared" si="77"/>
        <v>250</v>
      </c>
      <c r="I4877" s="35"/>
      <c r="K4877" t="s">
        <v>15</v>
      </c>
    </row>
    <row r="4878" spans="2:11" ht="33" x14ac:dyDescent="0.2">
      <c r="B4878" s="33" t="s">
        <v>5841</v>
      </c>
      <c r="C4878" s="33" t="s">
        <v>5830</v>
      </c>
      <c r="D4878" s="35">
        <f>SUMIFS(D4879:D9015,K4879:K9015,"0",B4879:B9015,"5 1 2 1 1 12 31111 6 M59 10300 000132 0000R 00001 00211 015 2112000*")-SUMIFS(E4879:E9015,K4879:K9015,"0",B4879:B9015,"5 1 2 1 1 12 31111 6 M59 10300 000132 0000R 00001 00211 015 2112000*")</f>
        <v>0</v>
      </c>
      <c r="E4878"/>
      <c r="F4878" s="35">
        <f>SUMIFS(F4879:F9015,K4879:K9015,"0",B4879:B9015,"5 1 2 1 1 12 31111 6 M59 10300 000132 0000R 00001 00211 015 2112000*")</f>
        <v>250</v>
      </c>
      <c r="G4878" s="35">
        <f>SUMIFS(G4879:G9015,K4879:K9015,"0",B4879:B9015,"5 1 2 1 1 12 31111 6 M59 10300 000132 0000R 00001 00211 015 2112000*")</f>
        <v>0</v>
      </c>
      <c r="H4878" s="35">
        <f t="shared" si="77"/>
        <v>250</v>
      </c>
      <c r="I4878" s="35"/>
      <c r="K4878" t="s">
        <v>15</v>
      </c>
    </row>
    <row r="4879" spans="2:11" ht="33" x14ac:dyDescent="0.2">
      <c r="B4879" s="33" t="s">
        <v>5842</v>
      </c>
      <c r="C4879" s="33" t="s">
        <v>660</v>
      </c>
      <c r="D4879" s="35">
        <f>SUMIFS(D4880:D9015,K4880:K9015,"0",B4880:B9015,"5 1 2 1 1 12 31111 6 M59 10300 000132 0000R 00001 00211 015 2112000 2024*")-SUMIFS(E4880:E9015,K4880:K9015,"0",B4880:B9015,"5 1 2 1 1 12 31111 6 M59 10300 000132 0000R 00001 00211 015 2112000 2024*")</f>
        <v>0</v>
      </c>
      <c r="E4879"/>
      <c r="F4879" s="35">
        <f>SUMIFS(F4880:F9015,K4880:K9015,"0",B4880:B9015,"5 1 2 1 1 12 31111 6 M59 10300 000132 0000R 00001 00211 015 2112000 2024*")</f>
        <v>250</v>
      </c>
      <c r="G4879" s="35">
        <f>SUMIFS(G4880:G9015,K4880:K9015,"0",B4880:B9015,"5 1 2 1 1 12 31111 6 M59 10300 000132 0000R 00001 00211 015 2112000 2024*")</f>
        <v>0</v>
      </c>
      <c r="H4879" s="35">
        <f t="shared" si="77"/>
        <v>250</v>
      </c>
      <c r="I4879" s="35"/>
      <c r="K4879" t="s">
        <v>15</v>
      </c>
    </row>
    <row r="4880" spans="2:11" ht="41.25" x14ac:dyDescent="0.2">
      <c r="B4880" s="33" t="s">
        <v>5843</v>
      </c>
      <c r="C4880" s="33" t="s">
        <v>2955</v>
      </c>
      <c r="D4880" s="35">
        <f>SUMIFS(D4881:D9015,K4881:K9015,"0",B4881:B9015,"5 1 2 1 1 12 31111 6 M59 10300 000132 0000R 00001 00211 015 2112000 2024 CP1GE413*")-SUMIFS(E4881:E9015,K4881:K9015,"0",B4881:B9015,"5 1 2 1 1 12 31111 6 M59 10300 000132 0000R 00001 00211 015 2112000 2024 CP1GE413*")</f>
        <v>0</v>
      </c>
      <c r="E4880"/>
      <c r="F4880" s="35">
        <f>SUMIFS(F4881:F9015,K4881:K9015,"0",B4881:B9015,"5 1 2 1 1 12 31111 6 M59 10300 000132 0000R 00001 00211 015 2112000 2024 CP1GE413*")</f>
        <v>250</v>
      </c>
      <c r="G4880" s="35">
        <f>SUMIFS(G4881:G9015,K4881:K9015,"0",B4881:B9015,"5 1 2 1 1 12 31111 6 M59 10300 000132 0000R 00001 00211 015 2112000 2024 CP1GE413*")</f>
        <v>0</v>
      </c>
      <c r="H4880" s="35">
        <f t="shared" si="77"/>
        <v>250</v>
      </c>
      <c r="I4880" s="35"/>
      <c r="K4880" t="s">
        <v>15</v>
      </c>
    </row>
    <row r="4881" spans="2:11" ht="41.25" x14ac:dyDescent="0.2">
      <c r="B4881" s="33" t="s">
        <v>5844</v>
      </c>
      <c r="C4881" s="33" t="s">
        <v>282</v>
      </c>
      <c r="D4881" s="35">
        <f>SUMIFS(D4882:D9015,K4882:K9015,"0",B4882:B9015,"5 1 2 1 1 12 31111 6 M59 10300 000132 0000R 00001 00211 015 2112000 2024 CP1GE413 001*")-SUMIFS(E4882:E9015,K4882:K9015,"0",B4882:B9015,"5 1 2 1 1 12 31111 6 M59 10300 000132 0000R 00001 00211 015 2112000 2024 CP1GE413 001*")</f>
        <v>0</v>
      </c>
      <c r="E4881"/>
      <c r="F4881" s="35">
        <f>SUMIFS(F4882:F9015,K4882:K9015,"0",B4882:B9015,"5 1 2 1 1 12 31111 6 M59 10300 000132 0000R 00001 00211 015 2112000 2024 CP1GE413 001*")</f>
        <v>250</v>
      </c>
      <c r="G4881" s="35">
        <f>SUMIFS(G4882:G9015,K4882:K9015,"0",B4882:B9015,"5 1 2 1 1 12 31111 6 M59 10300 000132 0000R 00001 00211 015 2112000 2024 CP1GE413 001*")</f>
        <v>0</v>
      </c>
      <c r="H4881" s="35">
        <f t="shared" si="77"/>
        <v>250</v>
      </c>
      <c r="I4881" s="35"/>
      <c r="K4881" t="s">
        <v>15</v>
      </c>
    </row>
    <row r="4882" spans="2:11" ht="33" x14ac:dyDescent="0.2">
      <c r="B4882" s="31" t="s">
        <v>5845</v>
      </c>
      <c r="C4882" s="31" t="s">
        <v>5827</v>
      </c>
      <c r="D4882" s="34">
        <v>0</v>
      </c>
      <c r="E4882" s="34"/>
      <c r="F4882" s="34">
        <v>250</v>
      </c>
      <c r="G4882" s="34">
        <v>0</v>
      </c>
      <c r="H4882" s="34">
        <f t="shared" si="77"/>
        <v>250</v>
      </c>
      <c r="I4882" s="34"/>
      <c r="K4882" t="s">
        <v>38</v>
      </c>
    </row>
    <row r="4883" spans="2:11" ht="24.75" x14ac:dyDescent="0.2">
      <c r="B4883" s="33" t="s">
        <v>5846</v>
      </c>
      <c r="C4883" s="33" t="s">
        <v>2959</v>
      </c>
      <c r="D4883" s="35">
        <f>SUMIFS(D4884:D9015,K4884:K9015,"0",B4884:B9015,"5 1 2 1 1 12 31111 6 M59 10400*")-SUMIFS(E4884:E9015,K4884:K9015,"0",B4884:B9015,"5 1 2 1 1 12 31111 6 M59 10400*")</f>
        <v>0</v>
      </c>
      <c r="E4883"/>
      <c r="F4883" s="35">
        <f>SUMIFS(F4884:F9015,K4884:K9015,"0",B4884:B9015,"5 1 2 1 1 12 31111 6 M59 10400*")</f>
        <v>250</v>
      </c>
      <c r="G4883" s="35">
        <f>SUMIFS(G4884:G9015,K4884:K9015,"0",B4884:B9015,"5 1 2 1 1 12 31111 6 M59 10400*")</f>
        <v>0</v>
      </c>
      <c r="H4883" s="35">
        <f t="shared" si="77"/>
        <v>250</v>
      </c>
      <c r="I4883" s="35"/>
      <c r="K4883" t="s">
        <v>15</v>
      </c>
    </row>
    <row r="4884" spans="2:11" ht="16.5" x14ac:dyDescent="0.2">
      <c r="B4884" s="33" t="s">
        <v>5847</v>
      </c>
      <c r="C4884" s="33" t="s">
        <v>648</v>
      </c>
      <c r="D4884" s="35">
        <f>SUMIFS(D4885:D9015,K4885:K9015,"0",B4885:B9015,"5 1 2 1 1 12 31111 6 M59 10400 000132*")-SUMIFS(E4885:E9015,K4885:K9015,"0",B4885:B9015,"5 1 2 1 1 12 31111 6 M59 10400 000132*")</f>
        <v>0</v>
      </c>
      <c r="E4884"/>
      <c r="F4884" s="35">
        <f>SUMIFS(F4885:F9015,K4885:K9015,"0",B4885:B9015,"5 1 2 1 1 12 31111 6 M59 10400 000132*")</f>
        <v>250</v>
      </c>
      <c r="G4884" s="35">
        <f>SUMIFS(G4885:G9015,K4885:K9015,"0",B4885:B9015,"5 1 2 1 1 12 31111 6 M59 10400 000132*")</f>
        <v>0</v>
      </c>
      <c r="H4884" s="35">
        <f t="shared" si="77"/>
        <v>250</v>
      </c>
      <c r="I4884" s="35"/>
      <c r="K4884" t="s">
        <v>15</v>
      </c>
    </row>
    <row r="4885" spans="2:11" ht="16.5" x14ac:dyDescent="0.2">
      <c r="B4885" s="33" t="s">
        <v>5848</v>
      </c>
      <c r="C4885" s="33" t="s">
        <v>650</v>
      </c>
      <c r="D4885" s="35">
        <f>SUMIFS(D4886:D9015,K4886:K9015,"0",B4886:B9015,"5 1 2 1 1 12 31111 6 M59 10400 000132 0000R*")-SUMIFS(E4886:E9015,K4886:K9015,"0",B4886:B9015,"5 1 2 1 1 12 31111 6 M59 10400 000132 0000R*")</f>
        <v>0</v>
      </c>
      <c r="E4885"/>
      <c r="F4885" s="35">
        <f>SUMIFS(F4886:F9015,K4886:K9015,"0",B4886:B9015,"5 1 2 1 1 12 31111 6 M59 10400 000132 0000R*")</f>
        <v>250</v>
      </c>
      <c r="G4885" s="35">
        <f>SUMIFS(G4886:G9015,K4886:K9015,"0",B4886:B9015,"5 1 2 1 1 12 31111 6 M59 10400 000132 0000R*")</f>
        <v>0</v>
      </c>
      <c r="H4885" s="35">
        <f t="shared" si="77"/>
        <v>250</v>
      </c>
      <c r="I4885" s="35"/>
      <c r="K4885" t="s">
        <v>15</v>
      </c>
    </row>
    <row r="4886" spans="2:11" ht="24.75" x14ac:dyDescent="0.2">
      <c r="B4886" s="33" t="s">
        <v>5849</v>
      </c>
      <c r="C4886" s="33" t="s">
        <v>282</v>
      </c>
      <c r="D4886" s="35">
        <f>SUMIFS(D4887:D9015,K4887:K9015,"0",B4887:B9015,"5 1 2 1 1 12 31111 6 M59 10400 000132 0000R 00001*")-SUMIFS(E4887:E9015,K4887:K9015,"0",B4887:B9015,"5 1 2 1 1 12 31111 6 M59 10400 000132 0000R 00001*")</f>
        <v>0</v>
      </c>
      <c r="E4886"/>
      <c r="F4886" s="35">
        <f>SUMIFS(F4887:F9015,K4887:K9015,"0",B4887:B9015,"5 1 2 1 1 12 31111 6 M59 10400 000132 0000R 00001*")</f>
        <v>250</v>
      </c>
      <c r="G4886" s="35">
        <f>SUMIFS(G4887:G9015,K4887:K9015,"0",B4887:B9015,"5 1 2 1 1 12 31111 6 M59 10400 000132 0000R 00001*")</f>
        <v>0</v>
      </c>
      <c r="H4886" s="35">
        <f t="shared" si="77"/>
        <v>250</v>
      </c>
      <c r="I4886" s="35"/>
      <c r="K4886" t="s">
        <v>15</v>
      </c>
    </row>
    <row r="4887" spans="2:11" ht="24.75" x14ac:dyDescent="0.2">
      <c r="B4887" s="33" t="s">
        <v>5850</v>
      </c>
      <c r="C4887" s="33" t="s">
        <v>5827</v>
      </c>
      <c r="D4887" s="35">
        <f>SUMIFS(D4888:D9015,K4888:K9015,"0",B4888:B9015,"5 1 2 1 1 12 31111 6 M59 10400 000132 0000R 00001 00211*")-SUMIFS(E4888:E9015,K4888:K9015,"0",B4888:B9015,"5 1 2 1 1 12 31111 6 M59 10400 000132 0000R 00001 00211*")</f>
        <v>0</v>
      </c>
      <c r="E4887"/>
      <c r="F4887" s="35">
        <f>SUMIFS(F4888:F9015,K4888:K9015,"0",B4888:B9015,"5 1 2 1 1 12 31111 6 M59 10400 000132 0000R 00001 00211*")</f>
        <v>250</v>
      </c>
      <c r="G4887" s="35">
        <f>SUMIFS(G4888:G9015,K4888:K9015,"0",B4888:B9015,"5 1 2 1 1 12 31111 6 M59 10400 000132 0000R 00001 00211*")</f>
        <v>0</v>
      </c>
      <c r="H4887" s="35">
        <f t="shared" si="77"/>
        <v>250</v>
      </c>
      <c r="I4887" s="35"/>
      <c r="K4887" t="s">
        <v>15</v>
      </c>
    </row>
    <row r="4888" spans="2:11" ht="24.75" x14ac:dyDescent="0.2">
      <c r="B4888" s="33" t="s">
        <v>5851</v>
      </c>
      <c r="C4888" s="33" t="s">
        <v>1051</v>
      </c>
      <c r="D4888" s="35">
        <f>SUMIFS(D4889:D9015,K4889:K9015,"0",B4889:B9015,"5 1 2 1 1 12 31111 6 M59 10400 000132 0000R 00001 00211 015*")-SUMIFS(E4889:E9015,K4889:K9015,"0",B4889:B9015,"5 1 2 1 1 12 31111 6 M59 10400 000132 0000R 00001 00211 015*")</f>
        <v>0</v>
      </c>
      <c r="E4888"/>
      <c r="F4888" s="35">
        <f>SUMIFS(F4889:F9015,K4889:K9015,"0",B4889:B9015,"5 1 2 1 1 12 31111 6 M59 10400 000132 0000R 00001 00211 015*")</f>
        <v>250</v>
      </c>
      <c r="G4888" s="35">
        <f>SUMIFS(G4889:G9015,K4889:K9015,"0",B4889:B9015,"5 1 2 1 1 12 31111 6 M59 10400 000132 0000R 00001 00211 015*")</f>
        <v>0</v>
      </c>
      <c r="H4888" s="35">
        <f t="shared" si="77"/>
        <v>250</v>
      </c>
      <c r="I4888" s="35"/>
      <c r="K4888" t="s">
        <v>15</v>
      </c>
    </row>
    <row r="4889" spans="2:11" ht="33" x14ac:dyDescent="0.2">
      <c r="B4889" s="33" t="s">
        <v>5852</v>
      </c>
      <c r="C4889" s="33" t="s">
        <v>5830</v>
      </c>
      <c r="D4889" s="35">
        <f>SUMIFS(D4890:D9015,K4890:K9015,"0",B4890:B9015,"5 1 2 1 1 12 31111 6 M59 10400 000132 0000R 00001 00211 015 2112000*")-SUMIFS(E4890:E9015,K4890:K9015,"0",B4890:B9015,"5 1 2 1 1 12 31111 6 M59 10400 000132 0000R 00001 00211 015 2112000*")</f>
        <v>0</v>
      </c>
      <c r="E4889"/>
      <c r="F4889" s="35">
        <f>SUMIFS(F4890:F9015,K4890:K9015,"0",B4890:B9015,"5 1 2 1 1 12 31111 6 M59 10400 000132 0000R 00001 00211 015 2112000*")</f>
        <v>250</v>
      </c>
      <c r="G4889" s="35">
        <f>SUMIFS(G4890:G9015,K4890:K9015,"0",B4890:B9015,"5 1 2 1 1 12 31111 6 M59 10400 000132 0000R 00001 00211 015 2112000*")</f>
        <v>0</v>
      </c>
      <c r="H4889" s="35">
        <f t="shared" si="77"/>
        <v>250</v>
      </c>
      <c r="I4889" s="35"/>
      <c r="K4889" t="s">
        <v>15</v>
      </c>
    </row>
    <row r="4890" spans="2:11" ht="33" x14ac:dyDescent="0.2">
      <c r="B4890" s="33" t="s">
        <v>5853</v>
      </c>
      <c r="C4890" s="33" t="s">
        <v>660</v>
      </c>
      <c r="D4890" s="35">
        <f>SUMIFS(D4891:D9015,K4891:K9015,"0",B4891:B9015,"5 1 2 1 1 12 31111 6 M59 10400 000132 0000R 00001 00211 015 2112000 2024*")-SUMIFS(E4891:E9015,K4891:K9015,"0",B4891:B9015,"5 1 2 1 1 12 31111 6 M59 10400 000132 0000R 00001 00211 015 2112000 2024*")</f>
        <v>0</v>
      </c>
      <c r="E4890"/>
      <c r="F4890" s="35">
        <f>SUMIFS(F4891:F9015,K4891:K9015,"0",B4891:B9015,"5 1 2 1 1 12 31111 6 M59 10400 000132 0000R 00001 00211 015 2112000 2024*")</f>
        <v>250</v>
      </c>
      <c r="G4890" s="35">
        <f>SUMIFS(G4891:G9015,K4891:K9015,"0",B4891:B9015,"5 1 2 1 1 12 31111 6 M59 10400 000132 0000R 00001 00211 015 2112000 2024*")</f>
        <v>0</v>
      </c>
      <c r="H4890" s="35">
        <f t="shared" si="77"/>
        <v>250</v>
      </c>
      <c r="I4890" s="35"/>
      <c r="K4890" t="s">
        <v>15</v>
      </c>
    </row>
    <row r="4891" spans="2:11" ht="41.25" x14ac:dyDescent="0.2">
      <c r="B4891" s="33" t="s">
        <v>5854</v>
      </c>
      <c r="C4891" s="33" t="s">
        <v>1056</v>
      </c>
      <c r="D4891" s="35">
        <f>SUMIFS(D4892:D9015,K4892:K9015,"0",B4892:B9015,"5 1 2 1 1 12 31111 6 M59 10400 000132 0000R 00001 00211 015 2112000 2024 CP1CG432*")-SUMIFS(E4892:E9015,K4892:K9015,"0",B4892:B9015,"5 1 2 1 1 12 31111 6 M59 10400 000132 0000R 00001 00211 015 2112000 2024 CP1CG432*")</f>
        <v>0</v>
      </c>
      <c r="E4891"/>
      <c r="F4891" s="35">
        <f>SUMIFS(F4892:F9015,K4892:K9015,"0",B4892:B9015,"5 1 2 1 1 12 31111 6 M59 10400 000132 0000R 00001 00211 015 2112000 2024 CP1CG432*")</f>
        <v>250</v>
      </c>
      <c r="G4891" s="35">
        <f>SUMIFS(G4892:G9015,K4892:K9015,"0",B4892:B9015,"5 1 2 1 1 12 31111 6 M59 10400 000132 0000R 00001 00211 015 2112000 2024 CP1CG432*")</f>
        <v>0</v>
      </c>
      <c r="H4891" s="35">
        <f t="shared" si="77"/>
        <v>250</v>
      </c>
      <c r="I4891" s="35"/>
      <c r="K4891" t="s">
        <v>15</v>
      </c>
    </row>
    <row r="4892" spans="2:11" ht="41.25" x14ac:dyDescent="0.2">
      <c r="B4892" s="33" t="s">
        <v>5855</v>
      </c>
      <c r="C4892" s="33" t="s">
        <v>282</v>
      </c>
      <c r="D4892" s="35">
        <f>SUMIFS(D4893:D9015,K4893:K9015,"0",B4893:B9015,"5 1 2 1 1 12 31111 6 M59 10400 000132 0000R 00001 00211 015 2112000 2024 CP1CG432 001*")-SUMIFS(E4893:E9015,K4893:K9015,"0",B4893:B9015,"5 1 2 1 1 12 31111 6 M59 10400 000132 0000R 00001 00211 015 2112000 2024 CP1CG432 001*")</f>
        <v>0</v>
      </c>
      <c r="E4892"/>
      <c r="F4892" s="35">
        <f>SUMIFS(F4893:F9015,K4893:K9015,"0",B4893:B9015,"5 1 2 1 1 12 31111 6 M59 10400 000132 0000R 00001 00211 015 2112000 2024 CP1CG432 001*")</f>
        <v>250</v>
      </c>
      <c r="G4892" s="35">
        <f>SUMIFS(G4893:G9015,K4893:K9015,"0",B4893:B9015,"5 1 2 1 1 12 31111 6 M59 10400 000132 0000R 00001 00211 015 2112000 2024 CP1CG432 001*")</f>
        <v>0</v>
      </c>
      <c r="H4892" s="35">
        <f t="shared" si="77"/>
        <v>250</v>
      </c>
      <c r="I4892" s="35"/>
      <c r="K4892" t="s">
        <v>15</v>
      </c>
    </row>
    <row r="4893" spans="2:11" ht="33" x14ac:dyDescent="0.2">
      <c r="B4893" s="31" t="s">
        <v>5856</v>
      </c>
      <c r="C4893" s="31" t="s">
        <v>5827</v>
      </c>
      <c r="D4893" s="34">
        <v>0</v>
      </c>
      <c r="E4893" s="34"/>
      <c r="F4893" s="34">
        <v>250</v>
      </c>
      <c r="G4893" s="34">
        <v>0</v>
      </c>
      <c r="H4893" s="34">
        <f t="shared" si="77"/>
        <v>250</v>
      </c>
      <c r="I4893" s="34"/>
      <c r="K4893" t="s">
        <v>38</v>
      </c>
    </row>
    <row r="4894" spans="2:11" ht="16.5" x14ac:dyDescent="0.2">
      <c r="B4894" s="33" t="s">
        <v>5857</v>
      </c>
      <c r="C4894" s="33" t="s">
        <v>2971</v>
      </c>
      <c r="D4894" s="35">
        <f>SUMIFS(D4895:D9015,K4895:K9015,"0",B4895:B9015,"5 1 2 1 1 12 31111 6 M59 10500*")-SUMIFS(E4895:E9015,K4895:K9015,"0",B4895:B9015,"5 1 2 1 1 12 31111 6 M59 10500*")</f>
        <v>0</v>
      </c>
      <c r="E4894"/>
      <c r="F4894" s="35">
        <f>SUMIFS(F4895:F9015,K4895:K9015,"0",B4895:B9015,"5 1 2 1 1 12 31111 6 M59 10500*")</f>
        <v>250</v>
      </c>
      <c r="G4894" s="35">
        <f>SUMIFS(G4895:G9015,K4895:K9015,"0",B4895:B9015,"5 1 2 1 1 12 31111 6 M59 10500*")</f>
        <v>0</v>
      </c>
      <c r="H4894" s="35">
        <f t="shared" si="77"/>
        <v>250</v>
      </c>
      <c r="I4894" s="35"/>
      <c r="K4894" t="s">
        <v>15</v>
      </c>
    </row>
    <row r="4895" spans="2:11" ht="16.5" x14ac:dyDescent="0.2">
      <c r="B4895" s="33" t="s">
        <v>5858</v>
      </c>
      <c r="C4895" s="33" t="s">
        <v>648</v>
      </c>
      <c r="D4895" s="35">
        <f>SUMIFS(D4896:D9015,K4896:K9015,"0",B4896:B9015,"5 1 2 1 1 12 31111 6 M59 10500 000132*")-SUMIFS(E4896:E9015,K4896:K9015,"0",B4896:B9015,"5 1 2 1 1 12 31111 6 M59 10500 000132*")</f>
        <v>0</v>
      </c>
      <c r="E4895"/>
      <c r="F4895" s="35">
        <f>SUMIFS(F4896:F9015,K4896:K9015,"0",B4896:B9015,"5 1 2 1 1 12 31111 6 M59 10500 000132*")</f>
        <v>250</v>
      </c>
      <c r="G4895" s="35">
        <f>SUMIFS(G4896:G9015,K4896:K9015,"0",B4896:B9015,"5 1 2 1 1 12 31111 6 M59 10500 000132*")</f>
        <v>0</v>
      </c>
      <c r="H4895" s="35">
        <f t="shared" si="77"/>
        <v>250</v>
      </c>
      <c r="I4895" s="35"/>
      <c r="K4895" t="s">
        <v>15</v>
      </c>
    </row>
    <row r="4896" spans="2:11" ht="16.5" x14ac:dyDescent="0.2">
      <c r="B4896" s="33" t="s">
        <v>5859</v>
      </c>
      <c r="C4896" s="33" t="s">
        <v>650</v>
      </c>
      <c r="D4896" s="35">
        <f>SUMIFS(D4897:D9015,K4897:K9015,"0",B4897:B9015,"5 1 2 1 1 12 31111 6 M59 10500 000132 0000R*")-SUMIFS(E4897:E9015,K4897:K9015,"0",B4897:B9015,"5 1 2 1 1 12 31111 6 M59 10500 000132 0000R*")</f>
        <v>0</v>
      </c>
      <c r="E4896"/>
      <c r="F4896" s="35">
        <f>SUMIFS(F4897:F9015,K4897:K9015,"0",B4897:B9015,"5 1 2 1 1 12 31111 6 M59 10500 000132 0000R*")</f>
        <v>250</v>
      </c>
      <c r="G4896" s="35">
        <f>SUMIFS(G4897:G9015,K4897:K9015,"0",B4897:B9015,"5 1 2 1 1 12 31111 6 M59 10500 000132 0000R*")</f>
        <v>0</v>
      </c>
      <c r="H4896" s="35">
        <f t="shared" si="77"/>
        <v>250</v>
      </c>
      <c r="I4896" s="35"/>
      <c r="K4896" t="s">
        <v>15</v>
      </c>
    </row>
    <row r="4897" spans="2:11" ht="24.75" x14ac:dyDescent="0.2">
      <c r="B4897" s="33" t="s">
        <v>5860</v>
      </c>
      <c r="C4897" s="33" t="s">
        <v>282</v>
      </c>
      <c r="D4897" s="35">
        <f>SUMIFS(D4898:D9015,K4898:K9015,"0",B4898:B9015,"5 1 2 1 1 12 31111 6 M59 10500 000132 0000R 00001*")-SUMIFS(E4898:E9015,K4898:K9015,"0",B4898:B9015,"5 1 2 1 1 12 31111 6 M59 10500 000132 0000R 00001*")</f>
        <v>0</v>
      </c>
      <c r="E4897"/>
      <c r="F4897" s="35">
        <f>SUMIFS(F4898:F9015,K4898:K9015,"0",B4898:B9015,"5 1 2 1 1 12 31111 6 M59 10500 000132 0000R 00001*")</f>
        <v>250</v>
      </c>
      <c r="G4897" s="35">
        <f>SUMIFS(G4898:G9015,K4898:K9015,"0",B4898:B9015,"5 1 2 1 1 12 31111 6 M59 10500 000132 0000R 00001*")</f>
        <v>0</v>
      </c>
      <c r="H4897" s="35">
        <f t="shared" si="77"/>
        <v>250</v>
      </c>
      <c r="I4897" s="35"/>
      <c r="K4897" t="s">
        <v>15</v>
      </c>
    </row>
    <row r="4898" spans="2:11" ht="24.75" x14ac:dyDescent="0.2">
      <c r="B4898" s="33" t="s">
        <v>5861</v>
      </c>
      <c r="C4898" s="33" t="s">
        <v>5827</v>
      </c>
      <c r="D4898" s="35">
        <f>SUMIFS(D4899:D9015,K4899:K9015,"0",B4899:B9015,"5 1 2 1 1 12 31111 6 M59 10500 000132 0000R 00001 00211*")-SUMIFS(E4899:E9015,K4899:K9015,"0",B4899:B9015,"5 1 2 1 1 12 31111 6 M59 10500 000132 0000R 00001 00211*")</f>
        <v>0</v>
      </c>
      <c r="E4898"/>
      <c r="F4898" s="35">
        <f>SUMIFS(F4899:F9015,K4899:K9015,"0",B4899:B9015,"5 1 2 1 1 12 31111 6 M59 10500 000132 0000R 00001 00211*")</f>
        <v>250</v>
      </c>
      <c r="G4898" s="35">
        <f>SUMIFS(G4899:G9015,K4899:K9015,"0",B4899:B9015,"5 1 2 1 1 12 31111 6 M59 10500 000132 0000R 00001 00211*")</f>
        <v>0</v>
      </c>
      <c r="H4898" s="35">
        <f t="shared" si="77"/>
        <v>250</v>
      </c>
      <c r="I4898" s="35"/>
      <c r="K4898" t="s">
        <v>15</v>
      </c>
    </row>
    <row r="4899" spans="2:11" ht="24.75" x14ac:dyDescent="0.2">
      <c r="B4899" s="33" t="s">
        <v>5862</v>
      </c>
      <c r="C4899" s="33" t="s">
        <v>1051</v>
      </c>
      <c r="D4899" s="35">
        <f>SUMIFS(D4900:D9015,K4900:K9015,"0",B4900:B9015,"5 1 2 1 1 12 31111 6 M59 10500 000132 0000R 00001 00211 015*")-SUMIFS(E4900:E9015,K4900:K9015,"0",B4900:B9015,"5 1 2 1 1 12 31111 6 M59 10500 000132 0000R 00001 00211 015*")</f>
        <v>0</v>
      </c>
      <c r="E4899"/>
      <c r="F4899" s="35">
        <f>SUMIFS(F4900:F9015,K4900:K9015,"0",B4900:B9015,"5 1 2 1 1 12 31111 6 M59 10500 000132 0000R 00001 00211 015*")</f>
        <v>250</v>
      </c>
      <c r="G4899" s="35">
        <f>SUMIFS(G4900:G9015,K4900:K9015,"0",B4900:B9015,"5 1 2 1 1 12 31111 6 M59 10500 000132 0000R 00001 00211 015*")</f>
        <v>0</v>
      </c>
      <c r="H4899" s="35">
        <f t="shared" si="77"/>
        <v>250</v>
      </c>
      <c r="I4899" s="35"/>
      <c r="K4899" t="s">
        <v>15</v>
      </c>
    </row>
    <row r="4900" spans="2:11" ht="33" x14ac:dyDescent="0.2">
      <c r="B4900" s="33" t="s">
        <v>5863</v>
      </c>
      <c r="C4900" s="33" t="s">
        <v>5830</v>
      </c>
      <c r="D4900" s="35">
        <f>SUMIFS(D4901:D9015,K4901:K9015,"0",B4901:B9015,"5 1 2 1 1 12 31111 6 M59 10500 000132 0000R 00001 00211 015 2112000*")-SUMIFS(E4901:E9015,K4901:K9015,"0",B4901:B9015,"5 1 2 1 1 12 31111 6 M59 10500 000132 0000R 00001 00211 015 2112000*")</f>
        <v>0</v>
      </c>
      <c r="E4900"/>
      <c r="F4900" s="35">
        <f>SUMIFS(F4901:F9015,K4901:K9015,"0",B4901:B9015,"5 1 2 1 1 12 31111 6 M59 10500 000132 0000R 00001 00211 015 2112000*")</f>
        <v>250</v>
      </c>
      <c r="G4900" s="35">
        <f>SUMIFS(G4901:G9015,K4901:K9015,"0",B4901:B9015,"5 1 2 1 1 12 31111 6 M59 10500 000132 0000R 00001 00211 015 2112000*")</f>
        <v>0</v>
      </c>
      <c r="H4900" s="35">
        <f t="shared" si="77"/>
        <v>250</v>
      </c>
      <c r="I4900" s="35"/>
      <c r="K4900" t="s">
        <v>15</v>
      </c>
    </row>
    <row r="4901" spans="2:11" ht="33" x14ac:dyDescent="0.2">
      <c r="B4901" s="33" t="s">
        <v>5864</v>
      </c>
      <c r="C4901" s="33" t="s">
        <v>660</v>
      </c>
      <c r="D4901" s="35">
        <f>SUMIFS(D4902:D9015,K4902:K9015,"0",B4902:B9015,"5 1 2 1 1 12 31111 6 M59 10500 000132 0000R 00001 00211 015 2112000 2024*")-SUMIFS(E4902:E9015,K4902:K9015,"0",B4902:B9015,"5 1 2 1 1 12 31111 6 M59 10500 000132 0000R 00001 00211 015 2112000 2024*")</f>
        <v>0</v>
      </c>
      <c r="E4901"/>
      <c r="F4901" s="35">
        <f>SUMIFS(F4902:F9015,K4902:K9015,"0",B4902:B9015,"5 1 2 1 1 12 31111 6 M59 10500 000132 0000R 00001 00211 015 2112000 2024*")</f>
        <v>250</v>
      </c>
      <c r="G4901" s="35">
        <f>SUMIFS(G4902:G9015,K4902:K9015,"0",B4902:B9015,"5 1 2 1 1 12 31111 6 M59 10500 000132 0000R 00001 00211 015 2112000 2024*")</f>
        <v>0</v>
      </c>
      <c r="H4901" s="35">
        <f t="shared" si="77"/>
        <v>250</v>
      </c>
      <c r="I4901" s="35"/>
      <c r="K4901" t="s">
        <v>15</v>
      </c>
    </row>
    <row r="4902" spans="2:11" ht="41.25" x14ac:dyDescent="0.2">
      <c r="B4902" s="33" t="s">
        <v>5865</v>
      </c>
      <c r="C4902" s="33" t="s">
        <v>1056</v>
      </c>
      <c r="D4902" s="35">
        <f>SUMIFS(D4903:D9015,K4903:K9015,"0",B4903:B9015,"5 1 2 1 1 12 31111 6 M59 10500 000132 0000R 00001 00211 015 2112000 2024 CP1CS421*")-SUMIFS(E4903:E9015,K4903:K9015,"0",B4903:B9015,"5 1 2 1 1 12 31111 6 M59 10500 000132 0000R 00001 00211 015 2112000 2024 CP1CS421*")</f>
        <v>0</v>
      </c>
      <c r="E4902"/>
      <c r="F4902" s="35">
        <f>SUMIFS(F4903:F9015,K4903:K9015,"0",B4903:B9015,"5 1 2 1 1 12 31111 6 M59 10500 000132 0000R 00001 00211 015 2112000 2024 CP1CS421*")</f>
        <v>250</v>
      </c>
      <c r="G4902" s="35">
        <f>SUMIFS(G4903:G9015,K4903:K9015,"0",B4903:B9015,"5 1 2 1 1 12 31111 6 M59 10500 000132 0000R 00001 00211 015 2112000 2024 CP1CS421*")</f>
        <v>0</v>
      </c>
      <c r="H4902" s="35">
        <f t="shared" si="77"/>
        <v>250</v>
      </c>
      <c r="I4902" s="35"/>
      <c r="K4902" t="s">
        <v>15</v>
      </c>
    </row>
    <row r="4903" spans="2:11" ht="41.25" x14ac:dyDescent="0.2">
      <c r="B4903" s="33" t="s">
        <v>5866</v>
      </c>
      <c r="C4903" s="33" t="s">
        <v>282</v>
      </c>
      <c r="D4903" s="35">
        <f>SUMIFS(D4904:D9015,K4904:K9015,"0",B4904:B9015,"5 1 2 1 1 12 31111 6 M59 10500 000132 0000R 00001 00211 015 2112000 2024 CP1CS421 001*")-SUMIFS(E4904:E9015,K4904:K9015,"0",B4904:B9015,"5 1 2 1 1 12 31111 6 M59 10500 000132 0000R 00001 00211 015 2112000 2024 CP1CS421 001*")</f>
        <v>0</v>
      </c>
      <c r="E4903"/>
      <c r="F4903" s="35">
        <f>SUMIFS(F4904:F9015,K4904:K9015,"0",B4904:B9015,"5 1 2 1 1 12 31111 6 M59 10500 000132 0000R 00001 00211 015 2112000 2024 CP1CS421 001*")</f>
        <v>250</v>
      </c>
      <c r="G4903" s="35">
        <f>SUMIFS(G4904:G9015,K4904:K9015,"0",B4904:B9015,"5 1 2 1 1 12 31111 6 M59 10500 000132 0000R 00001 00211 015 2112000 2024 CP1CS421 001*")</f>
        <v>0</v>
      </c>
      <c r="H4903" s="35">
        <f t="shared" si="77"/>
        <v>250</v>
      </c>
      <c r="I4903" s="35"/>
      <c r="K4903" t="s">
        <v>15</v>
      </c>
    </row>
    <row r="4904" spans="2:11" ht="33" x14ac:dyDescent="0.2">
      <c r="B4904" s="31" t="s">
        <v>5867</v>
      </c>
      <c r="C4904" s="31" t="s">
        <v>5827</v>
      </c>
      <c r="D4904" s="34">
        <v>0</v>
      </c>
      <c r="E4904" s="34"/>
      <c r="F4904" s="34">
        <v>250</v>
      </c>
      <c r="G4904" s="34">
        <v>0</v>
      </c>
      <c r="H4904" s="34">
        <f t="shared" si="77"/>
        <v>250</v>
      </c>
      <c r="I4904" s="34"/>
      <c r="K4904" t="s">
        <v>38</v>
      </c>
    </row>
    <row r="4905" spans="2:11" ht="16.5" x14ac:dyDescent="0.2">
      <c r="B4905" s="33" t="s">
        <v>5868</v>
      </c>
      <c r="C4905" s="33" t="s">
        <v>3020</v>
      </c>
      <c r="D4905" s="35">
        <f>SUMIFS(D4906:D9015,K4906:K9015,"0",B4906:B9015,"5 1 2 1 1 12 31111 6 M59 11000*")-SUMIFS(E4906:E9015,K4906:K9015,"0",B4906:B9015,"5 1 2 1 1 12 31111 6 M59 11000*")</f>
        <v>0</v>
      </c>
      <c r="E4905"/>
      <c r="F4905" s="35">
        <f>SUMIFS(F4906:F9015,K4906:K9015,"0",B4906:B9015,"5 1 2 1 1 12 31111 6 M59 11000*")</f>
        <v>1749.99</v>
      </c>
      <c r="G4905" s="35">
        <f>SUMIFS(G4906:G9015,K4906:K9015,"0",B4906:B9015,"5 1 2 1 1 12 31111 6 M59 11000*")</f>
        <v>0</v>
      </c>
      <c r="H4905" s="35">
        <f t="shared" si="77"/>
        <v>1749.99</v>
      </c>
      <c r="I4905" s="35"/>
      <c r="K4905" t="s">
        <v>15</v>
      </c>
    </row>
    <row r="4906" spans="2:11" ht="16.5" x14ac:dyDescent="0.2">
      <c r="B4906" s="33" t="s">
        <v>5869</v>
      </c>
      <c r="C4906" s="33" t="s">
        <v>648</v>
      </c>
      <c r="D4906" s="35">
        <f>SUMIFS(D4907:D9015,K4907:K9015,"0",B4907:B9015,"5 1 2 1 1 12 31111 6 M59 11000 000132*")-SUMIFS(E4907:E9015,K4907:K9015,"0",B4907:B9015,"5 1 2 1 1 12 31111 6 M59 11000 000132*")</f>
        <v>0</v>
      </c>
      <c r="E4906"/>
      <c r="F4906" s="35">
        <f>SUMIFS(F4907:F9015,K4907:K9015,"0",B4907:B9015,"5 1 2 1 1 12 31111 6 M59 11000 000132*")</f>
        <v>1749.99</v>
      </c>
      <c r="G4906" s="35">
        <f>SUMIFS(G4907:G9015,K4907:K9015,"0",B4907:B9015,"5 1 2 1 1 12 31111 6 M59 11000 000132*")</f>
        <v>0</v>
      </c>
      <c r="H4906" s="35">
        <f t="shared" si="77"/>
        <v>1749.99</v>
      </c>
      <c r="I4906" s="35"/>
      <c r="K4906" t="s">
        <v>15</v>
      </c>
    </row>
    <row r="4907" spans="2:11" ht="16.5" x14ac:dyDescent="0.2">
      <c r="B4907" s="33" t="s">
        <v>5870</v>
      </c>
      <c r="C4907" s="33" t="s">
        <v>650</v>
      </c>
      <c r="D4907" s="35">
        <f>SUMIFS(D4908:D9015,K4908:K9015,"0",B4908:B9015,"5 1 2 1 1 12 31111 6 M59 11000 000132 0000R*")-SUMIFS(E4908:E9015,K4908:K9015,"0",B4908:B9015,"5 1 2 1 1 12 31111 6 M59 11000 000132 0000R*")</f>
        <v>0</v>
      </c>
      <c r="E4907"/>
      <c r="F4907" s="35">
        <f>SUMIFS(F4908:F9015,K4908:K9015,"0",B4908:B9015,"5 1 2 1 1 12 31111 6 M59 11000 000132 0000R*")</f>
        <v>1749.99</v>
      </c>
      <c r="G4907" s="35">
        <f>SUMIFS(G4908:G9015,K4908:K9015,"0",B4908:B9015,"5 1 2 1 1 12 31111 6 M59 11000 000132 0000R*")</f>
        <v>0</v>
      </c>
      <c r="H4907" s="35">
        <f t="shared" si="77"/>
        <v>1749.99</v>
      </c>
      <c r="I4907" s="35"/>
      <c r="K4907" t="s">
        <v>15</v>
      </c>
    </row>
    <row r="4908" spans="2:11" ht="24.75" x14ac:dyDescent="0.2">
      <c r="B4908" s="33" t="s">
        <v>5871</v>
      </c>
      <c r="C4908" s="33" t="s">
        <v>282</v>
      </c>
      <c r="D4908" s="35">
        <f>SUMIFS(D4909:D9015,K4909:K9015,"0",B4909:B9015,"5 1 2 1 1 12 31111 6 M59 11000 000132 0000R 00001*")-SUMIFS(E4909:E9015,K4909:K9015,"0",B4909:B9015,"5 1 2 1 1 12 31111 6 M59 11000 000132 0000R 00001*")</f>
        <v>0</v>
      </c>
      <c r="E4908"/>
      <c r="F4908" s="35">
        <f>SUMIFS(F4909:F9015,K4909:K9015,"0",B4909:B9015,"5 1 2 1 1 12 31111 6 M59 11000 000132 0000R 00001*")</f>
        <v>1749.99</v>
      </c>
      <c r="G4908" s="35">
        <f>SUMIFS(G4909:G9015,K4909:K9015,"0",B4909:B9015,"5 1 2 1 1 12 31111 6 M59 11000 000132 0000R 00001*")</f>
        <v>0</v>
      </c>
      <c r="H4908" s="35">
        <f t="shared" si="77"/>
        <v>1749.99</v>
      </c>
      <c r="I4908" s="35"/>
      <c r="K4908" t="s">
        <v>15</v>
      </c>
    </row>
    <row r="4909" spans="2:11" ht="24.75" x14ac:dyDescent="0.2">
      <c r="B4909" s="33" t="s">
        <v>5872</v>
      </c>
      <c r="C4909" s="33" t="s">
        <v>5827</v>
      </c>
      <c r="D4909" s="35">
        <f>SUMIFS(D4910:D9015,K4910:K9015,"0",B4910:B9015,"5 1 2 1 1 12 31111 6 M59 11000 000132 0000R 00001 00211*")-SUMIFS(E4910:E9015,K4910:K9015,"0",B4910:B9015,"5 1 2 1 1 12 31111 6 M59 11000 000132 0000R 00001 00211*")</f>
        <v>0</v>
      </c>
      <c r="E4909"/>
      <c r="F4909" s="35">
        <f>SUMIFS(F4910:F9015,K4910:K9015,"0",B4910:B9015,"5 1 2 1 1 12 31111 6 M59 11000 000132 0000R 00001 00211*")</f>
        <v>1749.99</v>
      </c>
      <c r="G4909" s="35">
        <f>SUMIFS(G4910:G9015,K4910:K9015,"0",B4910:B9015,"5 1 2 1 1 12 31111 6 M59 11000 000132 0000R 00001 00211*")</f>
        <v>0</v>
      </c>
      <c r="H4909" s="35">
        <f t="shared" si="77"/>
        <v>1749.99</v>
      </c>
      <c r="I4909" s="35"/>
      <c r="K4909" t="s">
        <v>15</v>
      </c>
    </row>
    <row r="4910" spans="2:11" ht="24.75" x14ac:dyDescent="0.2">
      <c r="B4910" s="33" t="s">
        <v>5873</v>
      </c>
      <c r="C4910" s="33" t="s">
        <v>1051</v>
      </c>
      <c r="D4910" s="35">
        <f>SUMIFS(D4911:D9015,K4911:K9015,"0",B4911:B9015,"5 1 2 1 1 12 31111 6 M59 11000 000132 0000R 00001 00211 015*")-SUMIFS(E4911:E9015,K4911:K9015,"0",B4911:B9015,"5 1 2 1 1 12 31111 6 M59 11000 000132 0000R 00001 00211 015*")</f>
        <v>0</v>
      </c>
      <c r="E4910"/>
      <c r="F4910" s="35">
        <f>SUMIFS(F4911:F9015,K4911:K9015,"0",B4911:B9015,"5 1 2 1 1 12 31111 6 M59 11000 000132 0000R 00001 00211 015*")</f>
        <v>1749.99</v>
      </c>
      <c r="G4910" s="35">
        <f>SUMIFS(G4911:G9015,K4911:K9015,"0",B4911:B9015,"5 1 2 1 1 12 31111 6 M59 11000 000132 0000R 00001 00211 015*")</f>
        <v>0</v>
      </c>
      <c r="H4910" s="35">
        <f t="shared" si="77"/>
        <v>1749.99</v>
      </c>
      <c r="I4910" s="35"/>
      <c r="K4910" t="s">
        <v>15</v>
      </c>
    </row>
    <row r="4911" spans="2:11" ht="33" x14ac:dyDescent="0.2">
      <c r="B4911" s="33" t="s">
        <v>5874</v>
      </c>
      <c r="C4911" s="33" t="s">
        <v>5830</v>
      </c>
      <c r="D4911" s="35">
        <f>SUMIFS(D4912:D9015,K4912:K9015,"0",B4912:B9015,"5 1 2 1 1 12 31111 6 M59 11000 000132 0000R 00001 00211 015 2112000*")-SUMIFS(E4912:E9015,K4912:K9015,"0",B4912:B9015,"5 1 2 1 1 12 31111 6 M59 11000 000132 0000R 00001 00211 015 2112000*")</f>
        <v>0</v>
      </c>
      <c r="E4911"/>
      <c r="F4911" s="35">
        <f>SUMIFS(F4912:F9015,K4912:K9015,"0",B4912:B9015,"5 1 2 1 1 12 31111 6 M59 11000 000132 0000R 00001 00211 015 2112000*")</f>
        <v>1749.99</v>
      </c>
      <c r="G4911" s="35">
        <f>SUMIFS(G4912:G9015,K4912:K9015,"0",B4912:B9015,"5 1 2 1 1 12 31111 6 M59 11000 000132 0000R 00001 00211 015 2112000*")</f>
        <v>0</v>
      </c>
      <c r="H4911" s="35">
        <f t="shared" si="77"/>
        <v>1749.99</v>
      </c>
      <c r="I4911" s="35"/>
      <c r="K4911" t="s">
        <v>15</v>
      </c>
    </row>
    <row r="4912" spans="2:11" ht="33" x14ac:dyDescent="0.2">
      <c r="B4912" s="33" t="s">
        <v>5875</v>
      </c>
      <c r="C4912" s="33" t="s">
        <v>660</v>
      </c>
      <c r="D4912" s="35">
        <f>SUMIFS(D4913:D9015,K4913:K9015,"0",B4913:B9015,"5 1 2 1 1 12 31111 6 M59 11000 000132 0000R 00001 00211 015 2112000 2024*")-SUMIFS(E4913:E9015,K4913:K9015,"0",B4913:B9015,"5 1 2 1 1 12 31111 6 M59 11000 000132 0000R 00001 00211 015 2112000 2024*")</f>
        <v>0</v>
      </c>
      <c r="E4912"/>
      <c r="F4912" s="35">
        <f>SUMIFS(F4913:F9015,K4913:K9015,"0",B4913:B9015,"5 1 2 1 1 12 31111 6 M59 11000 000132 0000R 00001 00211 015 2112000 2024*")</f>
        <v>1749.99</v>
      </c>
      <c r="G4912" s="35">
        <f>SUMIFS(G4913:G9015,K4913:K9015,"0",B4913:B9015,"5 1 2 1 1 12 31111 6 M59 11000 000132 0000R 00001 00211 015 2112000 2024*")</f>
        <v>0</v>
      </c>
      <c r="H4912" s="35">
        <f t="shared" si="77"/>
        <v>1749.99</v>
      </c>
      <c r="I4912" s="35"/>
      <c r="K4912" t="s">
        <v>15</v>
      </c>
    </row>
    <row r="4913" spans="2:11" ht="41.25" x14ac:dyDescent="0.2">
      <c r="B4913" s="33" t="s">
        <v>5876</v>
      </c>
      <c r="C4913" s="33" t="s">
        <v>1056</v>
      </c>
      <c r="D4913" s="35">
        <f>SUMIFS(D4914:D9015,K4914:K9015,"0",B4914:B9015,"5 1 2 1 1 12 31111 6 M59 11000 000132 0000R 00001 00211 015 2112000 2024 CP1SM382*")-SUMIFS(E4914:E9015,K4914:K9015,"0",B4914:B9015,"5 1 2 1 1 12 31111 6 M59 11000 000132 0000R 00001 00211 015 2112000 2024 CP1SM382*")</f>
        <v>0</v>
      </c>
      <c r="E4913"/>
      <c r="F4913" s="35">
        <f>SUMIFS(F4914:F9015,K4914:K9015,"0",B4914:B9015,"5 1 2 1 1 12 31111 6 M59 11000 000132 0000R 00001 00211 015 2112000 2024 CP1SM382*")</f>
        <v>1749.99</v>
      </c>
      <c r="G4913" s="35">
        <f>SUMIFS(G4914:G9015,K4914:K9015,"0",B4914:B9015,"5 1 2 1 1 12 31111 6 M59 11000 000132 0000R 00001 00211 015 2112000 2024 CP1SM382*")</f>
        <v>0</v>
      </c>
      <c r="H4913" s="35">
        <f t="shared" si="77"/>
        <v>1749.99</v>
      </c>
      <c r="I4913" s="35"/>
      <c r="K4913" t="s">
        <v>15</v>
      </c>
    </row>
    <row r="4914" spans="2:11" ht="41.25" x14ac:dyDescent="0.2">
      <c r="B4914" s="33" t="s">
        <v>5877</v>
      </c>
      <c r="C4914" s="33" t="s">
        <v>282</v>
      </c>
      <c r="D4914" s="35">
        <f>SUMIFS(D4915:D9015,K4915:K9015,"0",B4915:B9015,"5 1 2 1 1 12 31111 6 M59 11000 000132 0000R 00001 00211 015 2112000 2024 CP1SM382 001*")-SUMIFS(E4915:E9015,K4915:K9015,"0",B4915:B9015,"5 1 2 1 1 12 31111 6 M59 11000 000132 0000R 00001 00211 015 2112000 2024 CP1SM382 001*")</f>
        <v>0</v>
      </c>
      <c r="E4914"/>
      <c r="F4914" s="35">
        <f>SUMIFS(F4915:F9015,K4915:K9015,"0",B4915:B9015,"5 1 2 1 1 12 31111 6 M59 11000 000132 0000R 00001 00211 015 2112000 2024 CP1SM382 001*")</f>
        <v>1749.99</v>
      </c>
      <c r="G4914" s="35">
        <f>SUMIFS(G4915:G9015,K4915:K9015,"0",B4915:B9015,"5 1 2 1 1 12 31111 6 M59 11000 000132 0000R 00001 00211 015 2112000 2024 CP1SM382 001*")</f>
        <v>0</v>
      </c>
      <c r="H4914" s="35">
        <f t="shared" si="77"/>
        <v>1749.99</v>
      </c>
      <c r="I4914" s="35"/>
      <c r="K4914" t="s">
        <v>15</v>
      </c>
    </row>
    <row r="4915" spans="2:11" ht="33" x14ac:dyDescent="0.2">
      <c r="B4915" s="31" t="s">
        <v>5878</v>
      </c>
      <c r="C4915" s="31" t="s">
        <v>5827</v>
      </c>
      <c r="D4915" s="34">
        <v>0</v>
      </c>
      <c r="E4915" s="34"/>
      <c r="F4915" s="34">
        <v>1749.99</v>
      </c>
      <c r="G4915" s="34">
        <v>0</v>
      </c>
      <c r="H4915" s="34">
        <f t="shared" si="77"/>
        <v>1749.99</v>
      </c>
      <c r="I4915" s="34"/>
      <c r="K4915" t="s">
        <v>38</v>
      </c>
    </row>
    <row r="4916" spans="2:11" ht="16.5" x14ac:dyDescent="0.2">
      <c r="B4916" s="33" t="s">
        <v>5879</v>
      </c>
      <c r="C4916" s="33" t="s">
        <v>3032</v>
      </c>
      <c r="D4916" s="35">
        <f>SUMIFS(D4917:D9015,K4917:K9015,"0",B4917:B9015,"5 1 2 1 1 12 31111 6 M59 12000*")-SUMIFS(E4917:E9015,K4917:K9015,"0",B4917:B9015,"5 1 2 1 1 12 31111 6 M59 12000*")</f>
        <v>0</v>
      </c>
      <c r="E4916"/>
      <c r="F4916" s="35">
        <f>SUMIFS(F4917:F9015,K4917:K9015,"0",B4917:B9015,"5 1 2 1 1 12 31111 6 M59 12000*")</f>
        <v>250</v>
      </c>
      <c r="G4916" s="35">
        <f>SUMIFS(G4917:G9015,K4917:K9015,"0",B4917:B9015,"5 1 2 1 1 12 31111 6 M59 12000*")</f>
        <v>0</v>
      </c>
      <c r="H4916" s="35">
        <f t="shared" si="77"/>
        <v>250</v>
      </c>
      <c r="I4916" s="35"/>
      <c r="K4916" t="s">
        <v>15</v>
      </c>
    </row>
    <row r="4917" spans="2:11" ht="16.5" x14ac:dyDescent="0.2">
      <c r="B4917" s="33" t="s">
        <v>5880</v>
      </c>
      <c r="C4917" s="33" t="s">
        <v>3034</v>
      </c>
      <c r="D4917" s="35">
        <f>SUMIFS(D4918:D9015,K4918:K9015,"0",B4918:B9015,"5 1 2 1 1 12 31111 6 M59 12000 000121*")-SUMIFS(E4918:E9015,K4918:K9015,"0",B4918:B9015,"5 1 2 1 1 12 31111 6 M59 12000 000121*")</f>
        <v>0</v>
      </c>
      <c r="E4917"/>
      <c r="F4917" s="35">
        <f>SUMIFS(F4918:F9015,K4918:K9015,"0",B4918:B9015,"5 1 2 1 1 12 31111 6 M59 12000 000121*")</f>
        <v>250</v>
      </c>
      <c r="G4917" s="35">
        <f>SUMIFS(G4918:G9015,K4918:K9015,"0",B4918:B9015,"5 1 2 1 1 12 31111 6 M59 12000 000121*")</f>
        <v>0</v>
      </c>
      <c r="H4917" s="35">
        <f t="shared" si="77"/>
        <v>250</v>
      </c>
      <c r="I4917" s="35"/>
      <c r="K4917" t="s">
        <v>15</v>
      </c>
    </row>
    <row r="4918" spans="2:11" ht="16.5" x14ac:dyDescent="0.2">
      <c r="B4918" s="33" t="s">
        <v>5881</v>
      </c>
      <c r="C4918" s="33" t="s">
        <v>1065</v>
      </c>
      <c r="D4918" s="35">
        <f>SUMIFS(D4919:D9015,K4919:K9015,"0",B4919:B9015,"5 1 2 1 1 12 31111 6 M59 12000 000121 0000E*")-SUMIFS(E4919:E9015,K4919:K9015,"0",B4919:B9015,"5 1 2 1 1 12 31111 6 M59 12000 000121 0000E*")</f>
        <v>0</v>
      </c>
      <c r="E4918"/>
      <c r="F4918" s="35">
        <f>SUMIFS(F4919:F9015,K4919:K9015,"0",B4919:B9015,"5 1 2 1 1 12 31111 6 M59 12000 000121 0000E*")</f>
        <v>250</v>
      </c>
      <c r="G4918" s="35">
        <f>SUMIFS(G4919:G9015,K4919:K9015,"0",B4919:B9015,"5 1 2 1 1 12 31111 6 M59 12000 000121 0000E*")</f>
        <v>0</v>
      </c>
      <c r="H4918" s="35">
        <f t="shared" si="77"/>
        <v>250</v>
      </c>
      <c r="I4918" s="35"/>
      <c r="K4918" t="s">
        <v>15</v>
      </c>
    </row>
    <row r="4919" spans="2:11" ht="24.75" x14ac:dyDescent="0.2">
      <c r="B4919" s="33" t="s">
        <v>5882</v>
      </c>
      <c r="C4919" s="33" t="s">
        <v>282</v>
      </c>
      <c r="D4919" s="35">
        <f>SUMIFS(D4920:D9015,K4920:K9015,"0",B4920:B9015,"5 1 2 1 1 12 31111 6 M59 12000 000121 0000E 00001*")-SUMIFS(E4920:E9015,K4920:K9015,"0",B4920:B9015,"5 1 2 1 1 12 31111 6 M59 12000 000121 0000E 00001*")</f>
        <v>0</v>
      </c>
      <c r="E4919"/>
      <c r="F4919" s="35">
        <f>SUMIFS(F4920:F9015,K4920:K9015,"0",B4920:B9015,"5 1 2 1 1 12 31111 6 M59 12000 000121 0000E 00001*")</f>
        <v>250</v>
      </c>
      <c r="G4919" s="35">
        <f>SUMIFS(G4920:G9015,K4920:K9015,"0",B4920:B9015,"5 1 2 1 1 12 31111 6 M59 12000 000121 0000E 00001*")</f>
        <v>0</v>
      </c>
      <c r="H4919" s="35">
        <f t="shared" si="77"/>
        <v>250</v>
      </c>
      <c r="I4919" s="35"/>
      <c r="K4919" t="s">
        <v>15</v>
      </c>
    </row>
    <row r="4920" spans="2:11" ht="24.75" x14ac:dyDescent="0.2">
      <c r="B4920" s="33" t="s">
        <v>5883</v>
      </c>
      <c r="C4920" s="33" t="s">
        <v>5827</v>
      </c>
      <c r="D4920" s="35">
        <f>SUMIFS(D4921:D9015,K4921:K9015,"0",B4921:B9015,"5 1 2 1 1 12 31111 6 M59 12000 000121 0000E 00001 00211*")-SUMIFS(E4921:E9015,K4921:K9015,"0",B4921:B9015,"5 1 2 1 1 12 31111 6 M59 12000 000121 0000E 00001 00211*")</f>
        <v>0</v>
      </c>
      <c r="E4920"/>
      <c r="F4920" s="35">
        <f>SUMIFS(F4921:F9015,K4921:K9015,"0",B4921:B9015,"5 1 2 1 1 12 31111 6 M59 12000 000121 0000E 00001 00211*")</f>
        <v>250</v>
      </c>
      <c r="G4920" s="35">
        <f>SUMIFS(G4921:G9015,K4921:K9015,"0",B4921:B9015,"5 1 2 1 1 12 31111 6 M59 12000 000121 0000E 00001 00211*")</f>
        <v>0</v>
      </c>
      <c r="H4920" s="35">
        <f t="shared" si="77"/>
        <v>250</v>
      </c>
      <c r="I4920" s="35"/>
      <c r="K4920" t="s">
        <v>15</v>
      </c>
    </row>
    <row r="4921" spans="2:11" ht="24.75" x14ac:dyDescent="0.2">
      <c r="B4921" s="33" t="s">
        <v>5884</v>
      </c>
      <c r="C4921" s="33" t="s">
        <v>1051</v>
      </c>
      <c r="D4921" s="35">
        <f>SUMIFS(D4922:D9015,K4922:K9015,"0",B4922:B9015,"5 1 2 1 1 12 31111 6 M59 12000 000121 0000E 00001 00211 015*")-SUMIFS(E4922:E9015,K4922:K9015,"0",B4922:B9015,"5 1 2 1 1 12 31111 6 M59 12000 000121 0000E 00001 00211 015*")</f>
        <v>0</v>
      </c>
      <c r="E4921"/>
      <c r="F4921" s="35">
        <f>SUMIFS(F4922:F9015,K4922:K9015,"0",B4922:B9015,"5 1 2 1 1 12 31111 6 M59 12000 000121 0000E 00001 00211 015*")</f>
        <v>250</v>
      </c>
      <c r="G4921" s="35">
        <f>SUMIFS(G4922:G9015,K4922:K9015,"0",B4922:B9015,"5 1 2 1 1 12 31111 6 M59 12000 000121 0000E 00001 00211 015*")</f>
        <v>0</v>
      </c>
      <c r="H4921" s="35">
        <f t="shared" si="77"/>
        <v>250</v>
      </c>
      <c r="I4921" s="35"/>
      <c r="K4921" t="s">
        <v>15</v>
      </c>
    </row>
    <row r="4922" spans="2:11" ht="33" x14ac:dyDescent="0.2">
      <c r="B4922" s="33" t="s">
        <v>5885</v>
      </c>
      <c r="C4922" s="33" t="s">
        <v>5830</v>
      </c>
      <c r="D4922" s="35">
        <f>SUMIFS(D4923:D9015,K4923:K9015,"0",B4923:B9015,"5 1 2 1 1 12 31111 6 M59 12000 000121 0000E 00001 00211 015 2112000*")-SUMIFS(E4923:E9015,K4923:K9015,"0",B4923:B9015,"5 1 2 1 1 12 31111 6 M59 12000 000121 0000E 00001 00211 015 2112000*")</f>
        <v>0</v>
      </c>
      <c r="E4922"/>
      <c r="F4922" s="35">
        <f>SUMIFS(F4923:F9015,K4923:K9015,"0",B4923:B9015,"5 1 2 1 1 12 31111 6 M59 12000 000121 0000E 00001 00211 015 2112000*")</f>
        <v>250</v>
      </c>
      <c r="G4922" s="35">
        <f>SUMIFS(G4923:G9015,K4923:K9015,"0",B4923:B9015,"5 1 2 1 1 12 31111 6 M59 12000 000121 0000E 00001 00211 015 2112000*")</f>
        <v>0</v>
      </c>
      <c r="H4922" s="35">
        <f t="shared" si="77"/>
        <v>250</v>
      </c>
      <c r="I4922" s="35"/>
      <c r="K4922" t="s">
        <v>15</v>
      </c>
    </row>
    <row r="4923" spans="2:11" ht="33" x14ac:dyDescent="0.2">
      <c r="B4923" s="33" t="s">
        <v>5886</v>
      </c>
      <c r="C4923" s="33" t="s">
        <v>660</v>
      </c>
      <c r="D4923" s="35">
        <f>SUMIFS(D4924:D9015,K4924:K9015,"0",B4924:B9015,"5 1 2 1 1 12 31111 6 M59 12000 000121 0000E 00001 00211 015 2112000 2024*")-SUMIFS(E4924:E9015,K4924:K9015,"0",B4924:B9015,"5 1 2 1 1 12 31111 6 M59 12000 000121 0000E 00001 00211 015 2112000 2024*")</f>
        <v>0</v>
      </c>
      <c r="E4923"/>
      <c r="F4923" s="35">
        <f>SUMIFS(F4924:F9015,K4924:K9015,"0",B4924:B9015,"5 1 2 1 1 12 31111 6 M59 12000 000121 0000E 00001 00211 015 2112000 2024*")</f>
        <v>250</v>
      </c>
      <c r="G4923" s="35">
        <f>SUMIFS(G4924:G9015,K4924:K9015,"0",B4924:B9015,"5 1 2 1 1 12 31111 6 M59 12000 000121 0000E 00001 00211 015 2112000 2024*")</f>
        <v>0</v>
      </c>
      <c r="H4923" s="35">
        <f t="shared" si="77"/>
        <v>250</v>
      </c>
      <c r="I4923" s="35"/>
      <c r="K4923" t="s">
        <v>15</v>
      </c>
    </row>
    <row r="4924" spans="2:11" ht="41.25" x14ac:dyDescent="0.2">
      <c r="B4924" s="33" t="s">
        <v>5887</v>
      </c>
      <c r="C4924" s="33" t="s">
        <v>662</v>
      </c>
      <c r="D4924" s="35">
        <f>SUMIFS(D4925:D9015,K4925:K9015,"0",B4925:B9015,"5 1 2 1 1 12 31111 6 M59 12000 000121 0000E 00001 00211 015 2112000 2024 CP1CI591*")-SUMIFS(E4925:E9015,K4925:K9015,"0",B4925:B9015,"5 1 2 1 1 12 31111 6 M59 12000 000121 0000E 00001 00211 015 2112000 2024 CP1CI591*")</f>
        <v>0</v>
      </c>
      <c r="E4924"/>
      <c r="F4924" s="35">
        <f>SUMIFS(F4925:F9015,K4925:K9015,"0",B4925:B9015,"5 1 2 1 1 12 31111 6 M59 12000 000121 0000E 00001 00211 015 2112000 2024 CP1CI591*")</f>
        <v>250</v>
      </c>
      <c r="G4924" s="35">
        <f>SUMIFS(G4925:G9015,K4925:K9015,"0",B4925:B9015,"5 1 2 1 1 12 31111 6 M59 12000 000121 0000E 00001 00211 015 2112000 2024 CP1CI591*")</f>
        <v>0</v>
      </c>
      <c r="H4924" s="35">
        <f t="shared" si="77"/>
        <v>250</v>
      </c>
      <c r="I4924" s="35"/>
      <c r="K4924" t="s">
        <v>15</v>
      </c>
    </row>
    <row r="4925" spans="2:11" ht="41.25" x14ac:dyDescent="0.2">
      <c r="B4925" s="33" t="s">
        <v>5888</v>
      </c>
      <c r="C4925" s="33" t="s">
        <v>282</v>
      </c>
      <c r="D4925" s="35">
        <f>SUMIFS(D4926:D9015,K4926:K9015,"0",B4926:B9015,"5 1 2 1 1 12 31111 6 M59 12000 000121 0000E 00001 00211 015 2112000 2024 CP1CI591 001*")-SUMIFS(E4926:E9015,K4926:K9015,"0",B4926:B9015,"5 1 2 1 1 12 31111 6 M59 12000 000121 0000E 00001 00211 015 2112000 2024 CP1CI591 001*")</f>
        <v>0</v>
      </c>
      <c r="E4925"/>
      <c r="F4925" s="35">
        <f>SUMIFS(F4926:F9015,K4926:K9015,"0",B4926:B9015,"5 1 2 1 1 12 31111 6 M59 12000 000121 0000E 00001 00211 015 2112000 2024 CP1CI591 001*")</f>
        <v>250</v>
      </c>
      <c r="G4925" s="35">
        <f>SUMIFS(G4926:G9015,K4926:K9015,"0",B4926:B9015,"5 1 2 1 1 12 31111 6 M59 12000 000121 0000E 00001 00211 015 2112000 2024 CP1CI591 001*")</f>
        <v>0</v>
      </c>
      <c r="H4925" s="35">
        <f t="shared" si="77"/>
        <v>250</v>
      </c>
      <c r="I4925" s="35"/>
      <c r="K4925" t="s">
        <v>15</v>
      </c>
    </row>
    <row r="4926" spans="2:11" ht="33" x14ac:dyDescent="0.2">
      <c r="B4926" s="31" t="s">
        <v>5889</v>
      </c>
      <c r="C4926" s="31" t="s">
        <v>5827</v>
      </c>
      <c r="D4926" s="34">
        <v>0</v>
      </c>
      <c r="E4926" s="34"/>
      <c r="F4926" s="34">
        <v>250</v>
      </c>
      <c r="G4926" s="34">
        <v>0</v>
      </c>
      <c r="H4926" s="34">
        <f t="shared" si="77"/>
        <v>250</v>
      </c>
      <c r="I4926" s="34"/>
      <c r="K4926" t="s">
        <v>38</v>
      </c>
    </row>
    <row r="4927" spans="2:11" ht="24.75" x14ac:dyDescent="0.2">
      <c r="B4927" s="33" t="s">
        <v>5890</v>
      </c>
      <c r="C4927" s="33" t="s">
        <v>3045</v>
      </c>
      <c r="D4927" s="35">
        <f>SUMIFS(D4928:D9015,K4928:K9015,"0",B4928:B9015,"5 1 2 1 1 12 31111 6 M59 12100*")-SUMIFS(E4928:E9015,K4928:K9015,"0",B4928:B9015,"5 1 2 1 1 12 31111 6 M59 12100*")</f>
        <v>0</v>
      </c>
      <c r="E4927"/>
      <c r="F4927" s="35">
        <f>SUMIFS(F4928:F9015,K4928:K9015,"0",B4928:B9015,"5 1 2 1 1 12 31111 6 M59 12100*")</f>
        <v>250</v>
      </c>
      <c r="G4927" s="35">
        <f>SUMIFS(G4928:G9015,K4928:K9015,"0",B4928:B9015,"5 1 2 1 1 12 31111 6 M59 12100*")</f>
        <v>0</v>
      </c>
      <c r="H4927" s="35">
        <f t="shared" si="77"/>
        <v>250</v>
      </c>
      <c r="I4927" s="35"/>
      <c r="K4927" t="s">
        <v>15</v>
      </c>
    </row>
    <row r="4928" spans="2:11" ht="16.5" x14ac:dyDescent="0.2">
      <c r="B4928" s="33" t="s">
        <v>5891</v>
      </c>
      <c r="C4928" s="33" t="s">
        <v>648</v>
      </c>
      <c r="D4928" s="35">
        <f>SUMIFS(D4929:D9015,K4929:K9015,"0",B4929:B9015,"5 1 2 1 1 12 31111 6 M59 12100 000132*")-SUMIFS(E4929:E9015,K4929:K9015,"0",B4929:B9015,"5 1 2 1 1 12 31111 6 M59 12100 000132*")</f>
        <v>0</v>
      </c>
      <c r="E4928"/>
      <c r="F4928" s="35">
        <f>SUMIFS(F4929:F9015,K4929:K9015,"0",B4929:B9015,"5 1 2 1 1 12 31111 6 M59 12100 000132*")</f>
        <v>250</v>
      </c>
      <c r="G4928" s="35">
        <f>SUMIFS(G4929:G9015,K4929:K9015,"0",B4929:B9015,"5 1 2 1 1 12 31111 6 M59 12100 000132*")</f>
        <v>0</v>
      </c>
      <c r="H4928" s="35">
        <f t="shared" si="77"/>
        <v>250</v>
      </c>
      <c r="I4928" s="35"/>
      <c r="K4928" t="s">
        <v>15</v>
      </c>
    </row>
    <row r="4929" spans="2:11" ht="16.5" x14ac:dyDescent="0.2">
      <c r="B4929" s="33" t="s">
        <v>5892</v>
      </c>
      <c r="C4929" s="33" t="s">
        <v>650</v>
      </c>
      <c r="D4929" s="35">
        <f>SUMIFS(D4930:D9015,K4930:K9015,"0",B4930:B9015,"5 1 2 1 1 12 31111 6 M59 12100 000132 0000R*")-SUMIFS(E4930:E9015,K4930:K9015,"0",B4930:B9015,"5 1 2 1 1 12 31111 6 M59 12100 000132 0000R*")</f>
        <v>0</v>
      </c>
      <c r="E4929"/>
      <c r="F4929" s="35">
        <f>SUMIFS(F4930:F9015,K4930:K9015,"0",B4930:B9015,"5 1 2 1 1 12 31111 6 M59 12100 000132 0000R*")</f>
        <v>250</v>
      </c>
      <c r="G4929" s="35">
        <f>SUMIFS(G4930:G9015,K4930:K9015,"0",B4930:B9015,"5 1 2 1 1 12 31111 6 M59 12100 000132 0000R*")</f>
        <v>0</v>
      </c>
      <c r="H4929" s="35">
        <f t="shared" si="77"/>
        <v>250</v>
      </c>
      <c r="I4929" s="35"/>
      <c r="K4929" t="s">
        <v>15</v>
      </c>
    </row>
    <row r="4930" spans="2:11" ht="24.75" x14ac:dyDescent="0.2">
      <c r="B4930" s="33" t="s">
        <v>5893</v>
      </c>
      <c r="C4930" s="33" t="s">
        <v>282</v>
      </c>
      <c r="D4930" s="35">
        <f>SUMIFS(D4931:D9015,K4931:K9015,"0",B4931:B9015,"5 1 2 1 1 12 31111 6 M59 12100 000132 0000R 00001*")-SUMIFS(E4931:E9015,K4931:K9015,"0",B4931:B9015,"5 1 2 1 1 12 31111 6 M59 12100 000132 0000R 00001*")</f>
        <v>0</v>
      </c>
      <c r="E4930"/>
      <c r="F4930" s="35">
        <f>SUMIFS(F4931:F9015,K4931:K9015,"0",B4931:B9015,"5 1 2 1 1 12 31111 6 M59 12100 000132 0000R 00001*")</f>
        <v>250</v>
      </c>
      <c r="G4930" s="35">
        <f>SUMIFS(G4931:G9015,K4931:K9015,"0",B4931:B9015,"5 1 2 1 1 12 31111 6 M59 12100 000132 0000R 00001*")</f>
        <v>0</v>
      </c>
      <c r="H4930" s="35">
        <f t="shared" si="77"/>
        <v>250</v>
      </c>
      <c r="I4930" s="35"/>
      <c r="K4930" t="s">
        <v>15</v>
      </c>
    </row>
    <row r="4931" spans="2:11" ht="24.75" x14ac:dyDescent="0.2">
      <c r="B4931" s="33" t="s">
        <v>5894</v>
      </c>
      <c r="C4931" s="33" t="s">
        <v>5827</v>
      </c>
      <c r="D4931" s="35">
        <f>SUMIFS(D4932:D9015,K4932:K9015,"0",B4932:B9015,"5 1 2 1 1 12 31111 6 M59 12100 000132 0000R 00001 00211*")-SUMIFS(E4932:E9015,K4932:K9015,"0",B4932:B9015,"5 1 2 1 1 12 31111 6 M59 12100 000132 0000R 00001 00211*")</f>
        <v>0</v>
      </c>
      <c r="E4931"/>
      <c r="F4931" s="35">
        <f>SUMIFS(F4932:F9015,K4932:K9015,"0",B4932:B9015,"5 1 2 1 1 12 31111 6 M59 12100 000132 0000R 00001 00211*")</f>
        <v>250</v>
      </c>
      <c r="G4931" s="35">
        <f>SUMIFS(G4932:G9015,K4932:K9015,"0",B4932:B9015,"5 1 2 1 1 12 31111 6 M59 12100 000132 0000R 00001 00211*")</f>
        <v>0</v>
      </c>
      <c r="H4931" s="35">
        <f t="shared" si="77"/>
        <v>250</v>
      </c>
      <c r="I4931" s="35"/>
      <c r="K4931" t="s">
        <v>15</v>
      </c>
    </row>
    <row r="4932" spans="2:11" ht="24.75" x14ac:dyDescent="0.2">
      <c r="B4932" s="33" t="s">
        <v>5895</v>
      </c>
      <c r="C4932" s="33" t="s">
        <v>1051</v>
      </c>
      <c r="D4932" s="35">
        <f>SUMIFS(D4933:D9015,K4933:K9015,"0",B4933:B9015,"5 1 2 1 1 12 31111 6 M59 12100 000132 0000R 00001 00211 015*")-SUMIFS(E4933:E9015,K4933:K9015,"0",B4933:B9015,"5 1 2 1 1 12 31111 6 M59 12100 000132 0000R 00001 00211 015*")</f>
        <v>0</v>
      </c>
      <c r="E4932"/>
      <c r="F4932" s="35">
        <f>SUMIFS(F4933:F9015,K4933:K9015,"0",B4933:B9015,"5 1 2 1 1 12 31111 6 M59 12100 000132 0000R 00001 00211 015*")</f>
        <v>250</v>
      </c>
      <c r="G4932" s="35">
        <f>SUMIFS(G4933:G9015,K4933:K9015,"0",B4933:B9015,"5 1 2 1 1 12 31111 6 M59 12100 000132 0000R 00001 00211 015*")</f>
        <v>0</v>
      </c>
      <c r="H4932" s="35">
        <f t="shared" ref="H4932:H4995" si="78">D4932 + F4932 - G4932</f>
        <v>250</v>
      </c>
      <c r="I4932" s="35"/>
      <c r="K4932" t="s">
        <v>15</v>
      </c>
    </row>
    <row r="4933" spans="2:11" ht="33" x14ac:dyDescent="0.2">
      <c r="B4933" s="33" t="s">
        <v>5896</v>
      </c>
      <c r="C4933" s="33" t="s">
        <v>5830</v>
      </c>
      <c r="D4933" s="35">
        <f>SUMIFS(D4934:D9015,K4934:K9015,"0",B4934:B9015,"5 1 2 1 1 12 31111 6 M59 12100 000132 0000R 00001 00211 015 2112000*")-SUMIFS(E4934:E9015,K4934:K9015,"0",B4934:B9015,"5 1 2 1 1 12 31111 6 M59 12100 000132 0000R 00001 00211 015 2112000*")</f>
        <v>0</v>
      </c>
      <c r="E4933"/>
      <c r="F4933" s="35">
        <f>SUMIFS(F4934:F9015,K4934:K9015,"0",B4934:B9015,"5 1 2 1 1 12 31111 6 M59 12100 000132 0000R 00001 00211 015 2112000*")</f>
        <v>250</v>
      </c>
      <c r="G4933" s="35">
        <f>SUMIFS(G4934:G9015,K4934:K9015,"0",B4934:B9015,"5 1 2 1 1 12 31111 6 M59 12100 000132 0000R 00001 00211 015 2112000*")</f>
        <v>0</v>
      </c>
      <c r="H4933" s="35">
        <f t="shared" si="78"/>
        <v>250</v>
      </c>
      <c r="I4933" s="35"/>
      <c r="K4933" t="s">
        <v>15</v>
      </c>
    </row>
    <row r="4934" spans="2:11" ht="33" x14ac:dyDescent="0.2">
      <c r="B4934" s="33" t="s">
        <v>5897</v>
      </c>
      <c r="C4934" s="33" t="s">
        <v>660</v>
      </c>
      <c r="D4934" s="35">
        <f>SUMIFS(D4935:D9015,K4935:K9015,"0",B4935:B9015,"5 1 2 1 1 12 31111 6 M59 12100 000132 0000R 00001 00211 015 2112000 2024*")-SUMIFS(E4935:E9015,K4935:K9015,"0",B4935:B9015,"5 1 2 1 1 12 31111 6 M59 12100 000132 0000R 00001 00211 015 2112000 2024*")</f>
        <v>0</v>
      </c>
      <c r="E4934"/>
      <c r="F4934" s="35">
        <f>SUMIFS(F4935:F9015,K4935:K9015,"0",B4935:B9015,"5 1 2 1 1 12 31111 6 M59 12100 000132 0000R 00001 00211 015 2112000 2024*")</f>
        <v>250</v>
      </c>
      <c r="G4934" s="35">
        <f>SUMIFS(G4935:G9015,K4935:K9015,"0",B4935:B9015,"5 1 2 1 1 12 31111 6 M59 12100 000132 0000R 00001 00211 015 2112000 2024*")</f>
        <v>0</v>
      </c>
      <c r="H4934" s="35">
        <f t="shared" si="78"/>
        <v>250</v>
      </c>
      <c r="I4934" s="35"/>
      <c r="K4934" t="s">
        <v>15</v>
      </c>
    </row>
    <row r="4935" spans="2:11" ht="41.25" x14ac:dyDescent="0.2">
      <c r="B4935" s="33" t="s">
        <v>5898</v>
      </c>
      <c r="C4935" s="33" t="s">
        <v>1056</v>
      </c>
      <c r="D4935" s="35">
        <f>SUMIFS(D4936:D9015,K4936:K9015,"0",B4936:B9015,"5 1 2 1 1 12 31111 6 M59 12100 000132 0000R 00001 00211 015 2112000 2024 CP1TR430*")-SUMIFS(E4936:E9015,K4936:K9015,"0",B4936:B9015,"5 1 2 1 1 12 31111 6 M59 12100 000132 0000R 00001 00211 015 2112000 2024 CP1TR430*")</f>
        <v>0</v>
      </c>
      <c r="E4935"/>
      <c r="F4935" s="35">
        <f>SUMIFS(F4936:F9015,K4936:K9015,"0",B4936:B9015,"5 1 2 1 1 12 31111 6 M59 12100 000132 0000R 00001 00211 015 2112000 2024 CP1TR430*")</f>
        <v>250</v>
      </c>
      <c r="G4935" s="35">
        <f>SUMIFS(G4936:G9015,K4936:K9015,"0",B4936:B9015,"5 1 2 1 1 12 31111 6 M59 12100 000132 0000R 00001 00211 015 2112000 2024 CP1TR430*")</f>
        <v>0</v>
      </c>
      <c r="H4935" s="35">
        <f t="shared" si="78"/>
        <v>250</v>
      </c>
      <c r="I4935" s="35"/>
      <c r="K4935" t="s">
        <v>15</v>
      </c>
    </row>
    <row r="4936" spans="2:11" ht="41.25" x14ac:dyDescent="0.2">
      <c r="B4936" s="33" t="s">
        <v>5899</v>
      </c>
      <c r="C4936" s="33" t="s">
        <v>282</v>
      </c>
      <c r="D4936" s="35">
        <f>SUMIFS(D4937:D9015,K4937:K9015,"0",B4937:B9015,"5 1 2 1 1 12 31111 6 M59 12100 000132 0000R 00001 00211 015 2112000 2024 CP1TR430 001*")-SUMIFS(E4937:E9015,K4937:K9015,"0",B4937:B9015,"5 1 2 1 1 12 31111 6 M59 12100 000132 0000R 00001 00211 015 2112000 2024 CP1TR430 001*")</f>
        <v>0</v>
      </c>
      <c r="E4936"/>
      <c r="F4936" s="35">
        <f>SUMIFS(F4937:F9015,K4937:K9015,"0",B4937:B9015,"5 1 2 1 1 12 31111 6 M59 12100 000132 0000R 00001 00211 015 2112000 2024 CP1TR430 001*")</f>
        <v>250</v>
      </c>
      <c r="G4936" s="35">
        <f>SUMIFS(G4937:G9015,K4937:K9015,"0",B4937:B9015,"5 1 2 1 1 12 31111 6 M59 12100 000132 0000R 00001 00211 015 2112000 2024 CP1TR430 001*")</f>
        <v>0</v>
      </c>
      <c r="H4936" s="35">
        <f t="shared" si="78"/>
        <v>250</v>
      </c>
      <c r="I4936" s="35"/>
      <c r="K4936" t="s">
        <v>15</v>
      </c>
    </row>
    <row r="4937" spans="2:11" ht="33" x14ac:dyDescent="0.2">
      <c r="B4937" s="31" t="s">
        <v>5900</v>
      </c>
      <c r="C4937" s="31" t="s">
        <v>5827</v>
      </c>
      <c r="D4937" s="34">
        <v>0</v>
      </c>
      <c r="E4937" s="34"/>
      <c r="F4937" s="34">
        <v>250</v>
      </c>
      <c r="G4937" s="34">
        <v>0</v>
      </c>
      <c r="H4937" s="34">
        <f t="shared" si="78"/>
        <v>250</v>
      </c>
      <c r="I4937" s="34"/>
      <c r="K4937" t="s">
        <v>38</v>
      </c>
    </row>
    <row r="4938" spans="2:11" ht="16.5" x14ac:dyDescent="0.2">
      <c r="B4938" s="33" t="s">
        <v>5901</v>
      </c>
      <c r="C4938" s="33" t="s">
        <v>1044</v>
      </c>
      <c r="D4938" s="35">
        <f>SUMIFS(D4939:D9015,K4939:K9015,"0",B4939:B9015,"5 1 2 1 1 12 31111 6 M59 19000*")-SUMIFS(E4939:E9015,K4939:K9015,"0",B4939:B9015,"5 1 2 1 1 12 31111 6 M59 19000*")</f>
        <v>0</v>
      </c>
      <c r="E4938"/>
      <c r="F4938" s="35">
        <f>SUMIFS(F4939:F9015,K4939:K9015,"0",B4939:B9015,"5 1 2 1 1 12 31111 6 M59 19000*")</f>
        <v>1945834.54</v>
      </c>
      <c r="G4938" s="35">
        <f>SUMIFS(G4939:G9015,K4939:K9015,"0",B4939:B9015,"5 1 2 1 1 12 31111 6 M59 19000*")</f>
        <v>0</v>
      </c>
      <c r="H4938" s="35">
        <f t="shared" si="78"/>
        <v>1945834.54</v>
      </c>
      <c r="I4938" s="35"/>
      <c r="K4938" t="s">
        <v>15</v>
      </c>
    </row>
    <row r="4939" spans="2:11" ht="16.5" x14ac:dyDescent="0.2">
      <c r="B4939" s="33" t="s">
        <v>5902</v>
      </c>
      <c r="C4939" s="33" t="s">
        <v>648</v>
      </c>
      <c r="D4939" s="35">
        <f>SUMIFS(D4940:D9015,K4940:K9015,"0",B4940:B9015,"5 1 2 1 1 12 31111 6 M59 19000 000132*")-SUMIFS(E4940:E9015,K4940:K9015,"0",B4940:B9015,"5 1 2 1 1 12 31111 6 M59 19000 000132*")</f>
        <v>0</v>
      </c>
      <c r="E4939"/>
      <c r="F4939" s="35">
        <f>SUMIFS(F4940:F9015,K4940:K9015,"0",B4940:B9015,"5 1 2 1 1 12 31111 6 M59 19000 000132*")</f>
        <v>1945834.54</v>
      </c>
      <c r="G4939" s="35">
        <f>SUMIFS(G4940:G9015,K4940:K9015,"0",B4940:B9015,"5 1 2 1 1 12 31111 6 M59 19000 000132*")</f>
        <v>0</v>
      </c>
      <c r="H4939" s="35">
        <f t="shared" si="78"/>
        <v>1945834.54</v>
      </c>
      <c r="I4939" s="35"/>
      <c r="K4939" t="s">
        <v>15</v>
      </c>
    </row>
    <row r="4940" spans="2:11" ht="16.5" x14ac:dyDescent="0.2">
      <c r="B4940" s="33" t="s">
        <v>5903</v>
      </c>
      <c r="C4940" s="33" t="s">
        <v>650</v>
      </c>
      <c r="D4940" s="35">
        <f>SUMIFS(D4941:D9015,K4941:K9015,"0",B4941:B9015,"5 1 2 1 1 12 31111 6 M59 19000 000132 0000R*")-SUMIFS(E4941:E9015,K4941:K9015,"0",B4941:B9015,"5 1 2 1 1 12 31111 6 M59 19000 000132 0000R*")</f>
        <v>0</v>
      </c>
      <c r="E4940"/>
      <c r="F4940" s="35">
        <f>SUMIFS(F4941:F9015,K4941:K9015,"0",B4941:B9015,"5 1 2 1 1 12 31111 6 M59 19000 000132 0000R*")</f>
        <v>1945834.54</v>
      </c>
      <c r="G4940" s="35">
        <f>SUMIFS(G4941:G9015,K4941:K9015,"0",B4941:B9015,"5 1 2 1 1 12 31111 6 M59 19000 000132 0000R*")</f>
        <v>0</v>
      </c>
      <c r="H4940" s="35">
        <f t="shared" si="78"/>
        <v>1945834.54</v>
      </c>
      <c r="I4940" s="35"/>
      <c r="K4940" t="s">
        <v>15</v>
      </c>
    </row>
    <row r="4941" spans="2:11" ht="24.75" x14ac:dyDescent="0.2">
      <c r="B4941" s="33" t="s">
        <v>5904</v>
      </c>
      <c r="C4941" s="33" t="s">
        <v>282</v>
      </c>
      <c r="D4941" s="35">
        <f>SUMIFS(D4942:D9015,K4942:K9015,"0",B4942:B9015,"5 1 2 1 1 12 31111 6 M59 19000 000132 0000R 00001*")-SUMIFS(E4942:E9015,K4942:K9015,"0",B4942:B9015,"5 1 2 1 1 12 31111 6 M59 19000 000132 0000R 00001*")</f>
        <v>0</v>
      </c>
      <c r="E4941"/>
      <c r="F4941" s="35">
        <f>SUMIFS(F4942:F9015,K4942:K9015,"0",B4942:B9015,"5 1 2 1 1 12 31111 6 M59 19000 000132 0000R 00001*")</f>
        <v>1945834.54</v>
      </c>
      <c r="G4941" s="35">
        <f>SUMIFS(G4942:G9015,K4942:K9015,"0",B4942:B9015,"5 1 2 1 1 12 31111 6 M59 19000 000132 0000R 00001*")</f>
        <v>0</v>
      </c>
      <c r="H4941" s="35">
        <f t="shared" si="78"/>
        <v>1945834.54</v>
      </c>
      <c r="I4941" s="35"/>
      <c r="K4941" t="s">
        <v>15</v>
      </c>
    </row>
    <row r="4942" spans="2:11" ht="24.75" x14ac:dyDescent="0.2">
      <c r="B4942" s="33" t="s">
        <v>5905</v>
      </c>
      <c r="C4942" s="33" t="s">
        <v>5827</v>
      </c>
      <c r="D4942" s="35">
        <f>SUMIFS(D4943:D9015,K4943:K9015,"0",B4943:B9015,"5 1 2 1 1 12 31111 6 M59 19000 000132 0000R 00001 00211*")-SUMIFS(E4943:E9015,K4943:K9015,"0",B4943:B9015,"5 1 2 1 1 12 31111 6 M59 19000 000132 0000R 00001 00211*")</f>
        <v>0</v>
      </c>
      <c r="E4942"/>
      <c r="F4942" s="35">
        <f>SUMIFS(F4943:F9015,K4943:K9015,"0",B4943:B9015,"5 1 2 1 1 12 31111 6 M59 19000 000132 0000R 00001 00211*")</f>
        <v>1945834.54</v>
      </c>
      <c r="G4942" s="35">
        <f>SUMIFS(G4943:G9015,K4943:K9015,"0",B4943:B9015,"5 1 2 1 1 12 31111 6 M59 19000 000132 0000R 00001 00211*")</f>
        <v>0</v>
      </c>
      <c r="H4942" s="35">
        <f t="shared" si="78"/>
        <v>1945834.54</v>
      </c>
      <c r="I4942" s="35"/>
      <c r="K4942" t="s">
        <v>15</v>
      </c>
    </row>
    <row r="4943" spans="2:11" ht="24.75" x14ac:dyDescent="0.2">
      <c r="B4943" s="33" t="s">
        <v>5906</v>
      </c>
      <c r="C4943" s="33" t="s">
        <v>699</v>
      </c>
      <c r="D4943" s="35">
        <f>SUMIFS(D4944:D9015,K4944:K9015,"0",B4944:B9015,"5 1 2 1 1 12 31111 6 M59 19000 000132 0000R 00001 00211 011*")-SUMIFS(E4944:E9015,K4944:K9015,"0",B4944:B9015,"5 1 2 1 1 12 31111 6 M59 19000 000132 0000R 00001 00211 011*")</f>
        <v>0</v>
      </c>
      <c r="E4943"/>
      <c r="F4943" s="35">
        <f>SUMIFS(F4944:F9015,K4944:K9015,"0",B4944:B9015,"5 1 2 1 1 12 31111 6 M59 19000 000132 0000R 00001 00211 011*")</f>
        <v>1938952.7</v>
      </c>
      <c r="G4943" s="35">
        <f>SUMIFS(G4944:G9015,K4944:K9015,"0",B4944:B9015,"5 1 2 1 1 12 31111 6 M59 19000 000132 0000R 00001 00211 011*")</f>
        <v>0</v>
      </c>
      <c r="H4943" s="35">
        <f t="shared" si="78"/>
        <v>1938952.7</v>
      </c>
      <c r="I4943" s="35"/>
      <c r="K4943" t="s">
        <v>15</v>
      </c>
    </row>
    <row r="4944" spans="2:11" ht="33" x14ac:dyDescent="0.2">
      <c r="B4944" s="33" t="s">
        <v>5907</v>
      </c>
      <c r="C4944" s="33" t="s">
        <v>5830</v>
      </c>
      <c r="D4944" s="35">
        <f>SUMIFS(D4945:D9015,K4945:K9015,"0",B4945:B9015,"5 1 2 1 1 12 31111 6 M59 19000 000132 0000R 00001 00211 011 2112000*")-SUMIFS(E4945:E9015,K4945:K9015,"0",B4945:B9015,"5 1 2 1 1 12 31111 6 M59 19000 000132 0000R 00001 00211 011 2112000*")</f>
        <v>0</v>
      </c>
      <c r="E4944"/>
      <c r="F4944" s="35">
        <f>SUMIFS(F4945:F9015,K4945:K9015,"0",B4945:B9015,"5 1 2 1 1 12 31111 6 M59 19000 000132 0000R 00001 00211 011 2112000*")</f>
        <v>1938952.7</v>
      </c>
      <c r="G4944" s="35">
        <f>SUMIFS(G4945:G9015,K4945:K9015,"0",B4945:B9015,"5 1 2 1 1 12 31111 6 M59 19000 000132 0000R 00001 00211 011 2112000*")</f>
        <v>0</v>
      </c>
      <c r="H4944" s="35">
        <f t="shared" si="78"/>
        <v>1938952.7</v>
      </c>
      <c r="I4944" s="35"/>
      <c r="K4944" t="s">
        <v>15</v>
      </c>
    </row>
    <row r="4945" spans="2:11" ht="33" x14ac:dyDescent="0.2">
      <c r="B4945" s="33" t="s">
        <v>5908</v>
      </c>
      <c r="C4945" s="33" t="s">
        <v>660</v>
      </c>
      <c r="D4945" s="35">
        <f>SUMIFS(D4946:D9015,K4946:K9015,"0",B4946:B9015,"5 1 2 1 1 12 31111 6 M59 19000 000132 0000R 00001 00211 011 2112000 2024*")-SUMIFS(E4946:E9015,K4946:K9015,"0",B4946:B9015,"5 1 2 1 1 12 31111 6 M59 19000 000132 0000R 00001 00211 011 2112000 2024*")</f>
        <v>0</v>
      </c>
      <c r="E4945"/>
      <c r="F4945" s="35">
        <f>SUMIFS(F4946:F9015,K4946:K9015,"0",B4946:B9015,"5 1 2 1 1 12 31111 6 M59 19000 000132 0000R 00001 00211 011 2112000 2024*")</f>
        <v>1938952.7</v>
      </c>
      <c r="G4945" s="35">
        <f>SUMIFS(G4946:G9015,K4946:K9015,"0",B4946:B9015,"5 1 2 1 1 12 31111 6 M59 19000 000132 0000R 00001 00211 011 2112000 2024*")</f>
        <v>0</v>
      </c>
      <c r="H4945" s="35">
        <f t="shared" si="78"/>
        <v>1938952.7</v>
      </c>
      <c r="I4945" s="35"/>
      <c r="K4945" t="s">
        <v>15</v>
      </c>
    </row>
    <row r="4946" spans="2:11" ht="41.25" x14ac:dyDescent="0.2">
      <c r="B4946" s="33" t="s">
        <v>5909</v>
      </c>
      <c r="C4946" s="33" t="s">
        <v>662</v>
      </c>
      <c r="D4946" s="35">
        <f>SUMIFS(D4947:D9015,K4947:K9015,"0",B4947:B9015,"5 1 2 1 1 12 31111 6 M59 19000 000132 0000R 00001 00211 011 2112000 2024 CP1TM440*")-SUMIFS(E4947:E9015,K4947:K9015,"0",B4947:B9015,"5 1 2 1 1 12 31111 6 M59 19000 000132 0000R 00001 00211 011 2112000 2024 CP1TM440*")</f>
        <v>0</v>
      </c>
      <c r="E4946"/>
      <c r="F4946" s="35">
        <f>SUMIFS(F4947:F9015,K4947:K9015,"0",B4947:B9015,"5 1 2 1 1 12 31111 6 M59 19000 000132 0000R 00001 00211 011 2112000 2024 CP1TM440*")</f>
        <v>1938952.7</v>
      </c>
      <c r="G4946" s="35">
        <f>SUMIFS(G4947:G9015,K4947:K9015,"0",B4947:B9015,"5 1 2 1 1 12 31111 6 M59 19000 000132 0000R 00001 00211 011 2112000 2024 CP1TM440*")</f>
        <v>0</v>
      </c>
      <c r="H4946" s="35">
        <f t="shared" si="78"/>
        <v>1938952.7</v>
      </c>
      <c r="I4946" s="35"/>
      <c r="K4946" t="s">
        <v>15</v>
      </c>
    </row>
    <row r="4947" spans="2:11" ht="41.25" x14ac:dyDescent="0.2">
      <c r="B4947" s="33" t="s">
        <v>5910</v>
      </c>
      <c r="C4947" s="33" t="s">
        <v>46</v>
      </c>
      <c r="D4947" s="35">
        <f>SUMIFS(D4948:D9015,K4948:K9015,"0",B4948:B9015,"5 1 2 1 1 12 31111 6 M59 19000 000132 0000R 00001 00211 011 2112000 2024 CP1TM440 004*")-SUMIFS(E4948:E9015,K4948:K9015,"0",B4948:B9015,"5 1 2 1 1 12 31111 6 M59 19000 000132 0000R 00001 00211 011 2112000 2024 CP1TM440 004*")</f>
        <v>0</v>
      </c>
      <c r="E4947"/>
      <c r="F4947" s="35">
        <f>SUMIFS(F4948:F9015,K4948:K9015,"0",B4948:B9015,"5 1 2 1 1 12 31111 6 M59 19000 000132 0000R 00001 00211 011 2112000 2024 CP1TM440 004*")</f>
        <v>1938952.7</v>
      </c>
      <c r="G4947" s="35">
        <f>SUMIFS(G4948:G9015,K4948:K9015,"0",B4948:B9015,"5 1 2 1 1 12 31111 6 M59 19000 000132 0000R 00001 00211 011 2112000 2024 CP1TM440 004*")</f>
        <v>0</v>
      </c>
      <c r="H4947" s="35">
        <f t="shared" si="78"/>
        <v>1938952.7</v>
      </c>
      <c r="I4947" s="35"/>
      <c r="K4947" t="s">
        <v>15</v>
      </c>
    </row>
    <row r="4948" spans="2:11" ht="33" x14ac:dyDescent="0.2">
      <c r="B4948" s="31" t="s">
        <v>5911</v>
      </c>
      <c r="C4948" s="31" t="s">
        <v>5827</v>
      </c>
      <c r="D4948" s="34">
        <v>0</v>
      </c>
      <c r="E4948" s="34"/>
      <c r="F4948" s="34">
        <v>1938952.7</v>
      </c>
      <c r="G4948" s="34">
        <v>0</v>
      </c>
      <c r="H4948" s="34">
        <f t="shared" si="78"/>
        <v>1938952.7</v>
      </c>
      <c r="I4948" s="34"/>
      <c r="K4948" t="s">
        <v>38</v>
      </c>
    </row>
    <row r="4949" spans="2:11" ht="24.75" x14ac:dyDescent="0.2">
      <c r="B4949" s="33" t="s">
        <v>5912</v>
      </c>
      <c r="C4949" s="33" t="s">
        <v>1051</v>
      </c>
      <c r="D4949" s="35">
        <f>SUMIFS(D4950:D9015,K4950:K9015,"0",B4950:B9015,"5 1 2 1 1 12 31111 6 M59 19000 000132 0000R 00001 00211 015*")-SUMIFS(E4950:E9015,K4950:K9015,"0",B4950:B9015,"5 1 2 1 1 12 31111 6 M59 19000 000132 0000R 00001 00211 015*")</f>
        <v>0</v>
      </c>
      <c r="E4949"/>
      <c r="F4949" s="35">
        <f>SUMIFS(F4950:F9015,K4950:K9015,"0",B4950:B9015,"5 1 2 1 1 12 31111 6 M59 19000 000132 0000R 00001 00211 015*")</f>
        <v>6881.84</v>
      </c>
      <c r="G4949" s="35">
        <f>SUMIFS(G4950:G9015,K4950:K9015,"0",B4950:B9015,"5 1 2 1 1 12 31111 6 M59 19000 000132 0000R 00001 00211 015*")</f>
        <v>0</v>
      </c>
      <c r="H4949" s="35">
        <f t="shared" si="78"/>
        <v>6881.84</v>
      </c>
      <c r="I4949" s="35"/>
      <c r="K4949" t="s">
        <v>15</v>
      </c>
    </row>
    <row r="4950" spans="2:11" ht="33" x14ac:dyDescent="0.2">
      <c r="B4950" s="33" t="s">
        <v>5913</v>
      </c>
      <c r="C4950" s="33" t="s">
        <v>5830</v>
      </c>
      <c r="D4950" s="35">
        <f>SUMIFS(D4951:D9015,K4951:K9015,"0",B4951:B9015,"5 1 2 1 1 12 31111 6 M59 19000 000132 0000R 00001 00211 015 2112000*")-SUMIFS(E4951:E9015,K4951:K9015,"0",B4951:B9015,"5 1 2 1 1 12 31111 6 M59 19000 000132 0000R 00001 00211 015 2112000*")</f>
        <v>0</v>
      </c>
      <c r="E4950"/>
      <c r="F4950" s="35">
        <f>SUMIFS(F4951:F9015,K4951:K9015,"0",B4951:B9015,"5 1 2 1 1 12 31111 6 M59 19000 000132 0000R 00001 00211 015 2112000*")</f>
        <v>6881.84</v>
      </c>
      <c r="G4950" s="35">
        <f>SUMIFS(G4951:G9015,K4951:K9015,"0",B4951:B9015,"5 1 2 1 1 12 31111 6 M59 19000 000132 0000R 00001 00211 015 2112000*")</f>
        <v>0</v>
      </c>
      <c r="H4950" s="35">
        <f t="shared" si="78"/>
        <v>6881.84</v>
      </c>
      <c r="I4950" s="35"/>
      <c r="K4950" t="s">
        <v>15</v>
      </c>
    </row>
    <row r="4951" spans="2:11" ht="33" x14ac:dyDescent="0.2">
      <c r="B4951" s="33" t="s">
        <v>5914</v>
      </c>
      <c r="C4951" s="33" t="s">
        <v>660</v>
      </c>
      <c r="D4951" s="35">
        <f>SUMIFS(D4952:D9015,K4952:K9015,"0",B4952:B9015,"5 1 2 1 1 12 31111 6 M59 19000 000132 0000R 00001 00211 015 2112000 2024*")-SUMIFS(E4952:E9015,K4952:K9015,"0",B4952:B9015,"5 1 2 1 1 12 31111 6 M59 19000 000132 0000R 00001 00211 015 2112000 2024*")</f>
        <v>0</v>
      </c>
      <c r="E4951"/>
      <c r="F4951" s="35">
        <f>SUMIFS(F4952:F9015,K4952:K9015,"0",B4952:B9015,"5 1 2 1 1 12 31111 6 M59 19000 000132 0000R 00001 00211 015 2112000 2024*")</f>
        <v>6881.84</v>
      </c>
      <c r="G4951" s="35">
        <f>SUMIFS(G4952:G9015,K4952:K9015,"0",B4952:B9015,"5 1 2 1 1 12 31111 6 M59 19000 000132 0000R 00001 00211 015 2112000 2024*")</f>
        <v>0</v>
      </c>
      <c r="H4951" s="35">
        <f t="shared" si="78"/>
        <v>6881.84</v>
      </c>
      <c r="I4951" s="35"/>
      <c r="K4951" t="s">
        <v>15</v>
      </c>
    </row>
    <row r="4952" spans="2:11" ht="41.25" x14ac:dyDescent="0.2">
      <c r="B4952" s="33" t="s">
        <v>5915</v>
      </c>
      <c r="C4952" s="33" t="s">
        <v>662</v>
      </c>
      <c r="D4952" s="35">
        <f>SUMIFS(D4953:D9015,K4953:K9015,"0",B4953:B9015,"5 1 2 1 1 12 31111 6 M59 19000 000132 0000R 00001 00211 015 2112000 2024 CP1TM440*")-SUMIFS(E4953:E9015,K4953:K9015,"0",B4953:B9015,"5 1 2 1 1 12 31111 6 M59 19000 000132 0000R 00001 00211 015 2112000 2024 CP1TM440*")</f>
        <v>0</v>
      </c>
      <c r="E4952"/>
      <c r="F4952" s="35">
        <f>SUMIFS(F4953:F9015,K4953:K9015,"0",B4953:B9015,"5 1 2 1 1 12 31111 6 M59 19000 000132 0000R 00001 00211 015 2112000 2024 CP1TM440*")</f>
        <v>6881.84</v>
      </c>
      <c r="G4952" s="35">
        <f>SUMIFS(G4953:G9015,K4953:K9015,"0",B4953:B9015,"5 1 2 1 1 12 31111 6 M59 19000 000132 0000R 00001 00211 015 2112000 2024 CP1TM440*")</f>
        <v>0</v>
      </c>
      <c r="H4952" s="35">
        <f t="shared" si="78"/>
        <v>6881.84</v>
      </c>
      <c r="I4952" s="35"/>
      <c r="K4952" t="s">
        <v>15</v>
      </c>
    </row>
    <row r="4953" spans="2:11" ht="41.25" x14ac:dyDescent="0.2">
      <c r="B4953" s="33" t="s">
        <v>5916</v>
      </c>
      <c r="C4953" s="33" t="s">
        <v>282</v>
      </c>
      <c r="D4953" s="35">
        <f>SUMIFS(D4954:D9015,K4954:K9015,"0",B4954:B9015,"5 1 2 1 1 12 31111 6 M59 19000 000132 0000R 00001 00211 015 2112000 2024 CP1TM440 001*")-SUMIFS(E4954:E9015,K4954:K9015,"0",B4954:B9015,"5 1 2 1 1 12 31111 6 M59 19000 000132 0000R 00001 00211 015 2112000 2024 CP1TM440 001*")</f>
        <v>0</v>
      </c>
      <c r="E4953"/>
      <c r="F4953" s="35">
        <f>SUMIFS(F4954:F9015,K4954:K9015,"0",B4954:B9015,"5 1 2 1 1 12 31111 6 M59 19000 000132 0000R 00001 00211 015 2112000 2024 CP1TM440 001*")</f>
        <v>6881.84</v>
      </c>
      <c r="G4953" s="35">
        <f>SUMIFS(G4954:G9015,K4954:K9015,"0",B4954:B9015,"5 1 2 1 1 12 31111 6 M59 19000 000132 0000R 00001 00211 015 2112000 2024 CP1TM440 001*")</f>
        <v>0</v>
      </c>
      <c r="H4953" s="35">
        <f t="shared" si="78"/>
        <v>6881.84</v>
      </c>
      <c r="I4953" s="35"/>
      <c r="K4953" t="s">
        <v>15</v>
      </c>
    </row>
    <row r="4954" spans="2:11" ht="33" x14ac:dyDescent="0.2">
      <c r="B4954" s="31" t="s">
        <v>5917</v>
      </c>
      <c r="C4954" s="31" t="s">
        <v>5827</v>
      </c>
      <c r="D4954" s="34">
        <v>0</v>
      </c>
      <c r="E4954" s="34"/>
      <c r="F4954" s="34">
        <v>6881.84</v>
      </c>
      <c r="G4954" s="34">
        <v>0</v>
      </c>
      <c r="H4954" s="34">
        <f t="shared" si="78"/>
        <v>6881.84</v>
      </c>
      <c r="I4954" s="34"/>
      <c r="K4954" t="s">
        <v>38</v>
      </c>
    </row>
    <row r="4955" spans="2:11" ht="16.5" x14ac:dyDescent="0.2">
      <c r="B4955" s="33" t="s">
        <v>5918</v>
      </c>
      <c r="C4955" s="33" t="s">
        <v>1044</v>
      </c>
      <c r="D4955" s="35">
        <f>SUMIFS(D4956:D9015,K4956:K9015,"0",B4956:B9015,"5 1 2 1 1 12 31111 6 M59 20000*")-SUMIFS(E4956:E9015,K4956:K9015,"0",B4956:B9015,"5 1 2 1 1 12 31111 6 M59 20000*")</f>
        <v>0</v>
      </c>
      <c r="E4955"/>
      <c r="F4955" s="35">
        <f>SUMIFS(F4956:F9015,K4956:K9015,"0",B4956:B9015,"5 1 2 1 1 12 31111 6 M59 20000*")</f>
        <v>37499.64</v>
      </c>
      <c r="G4955" s="35">
        <f>SUMIFS(G4956:G9015,K4956:K9015,"0",B4956:B9015,"5 1 2 1 1 12 31111 6 M59 20000*")</f>
        <v>0</v>
      </c>
      <c r="H4955" s="35">
        <f t="shared" si="78"/>
        <v>37499.64</v>
      </c>
      <c r="I4955" s="35"/>
      <c r="K4955" t="s">
        <v>15</v>
      </c>
    </row>
    <row r="4956" spans="2:11" ht="16.5" x14ac:dyDescent="0.2">
      <c r="B4956" s="33" t="s">
        <v>5919</v>
      </c>
      <c r="C4956" s="33" t="s">
        <v>648</v>
      </c>
      <c r="D4956" s="35">
        <f>SUMIFS(D4957:D9015,K4957:K9015,"0",B4957:B9015,"5 1 2 1 1 12 31111 6 M59 20000 000132*")-SUMIFS(E4957:E9015,K4957:K9015,"0",B4957:B9015,"5 1 2 1 1 12 31111 6 M59 20000 000132*")</f>
        <v>0</v>
      </c>
      <c r="E4956"/>
      <c r="F4956" s="35">
        <f>SUMIFS(F4957:F9015,K4957:K9015,"0",B4957:B9015,"5 1 2 1 1 12 31111 6 M59 20000 000132*")</f>
        <v>37499.64</v>
      </c>
      <c r="G4956" s="35">
        <f>SUMIFS(G4957:G9015,K4957:K9015,"0",B4957:B9015,"5 1 2 1 1 12 31111 6 M59 20000 000132*")</f>
        <v>0</v>
      </c>
      <c r="H4956" s="35">
        <f t="shared" si="78"/>
        <v>37499.64</v>
      </c>
      <c r="I4956" s="35"/>
      <c r="K4956" t="s">
        <v>15</v>
      </c>
    </row>
    <row r="4957" spans="2:11" ht="16.5" x14ac:dyDescent="0.2">
      <c r="B4957" s="33" t="s">
        <v>5920</v>
      </c>
      <c r="C4957" s="33" t="s">
        <v>650</v>
      </c>
      <c r="D4957" s="35">
        <f>SUMIFS(D4958:D9015,K4958:K9015,"0",B4958:B9015,"5 1 2 1 1 12 31111 6 M59 20000 000132 0000R*")-SUMIFS(E4958:E9015,K4958:K9015,"0",B4958:B9015,"5 1 2 1 1 12 31111 6 M59 20000 000132 0000R*")</f>
        <v>0</v>
      </c>
      <c r="E4957"/>
      <c r="F4957" s="35">
        <f>SUMIFS(F4958:F9015,K4958:K9015,"0",B4958:B9015,"5 1 2 1 1 12 31111 6 M59 20000 000132 0000R*")</f>
        <v>37499.64</v>
      </c>
      <c r="G4957" s="35">
        <f>SUMIFS(G4958:G9015,K4958:K9015,"0",B4958:B9015,"5 1 2 1 1 12 31111 6 M59 20000 000132 0000R*")</f>
        <v>0</v>
      </c>
      <c r="H4957" s="35">
        <f t="shared" si="78"/>
        <v>37499.64</v>
      </c>
      <c r="I4957" s="35"/>
      <c r="K4957" t="s">
        <v>15</v>
      </c>
    </row>
    <row r="4958" spans="2:11" ht="24.75" x14ac:dyDescent="0.2">
      <c r="B4958" s="33" t="s">
        <v>5921</v>
      </c>
      <c r="C4958" s="33" t="s">
        <v>282</v>
      </c>
      <c r="D4958" s="35">
        <f>SUMIFS(D4959:D9015,K4959:K9015,"0",B4959:B9015,"5 1 2 1 1 12 31111 6 M59 20000 000132 0000R 00001*")-SUMIFS(E4959:E9015,K4959:K9015,"0",B4959:B9015,"5 1 2 1 1 12 31111 6 M59 20000 000132 0000R 00001*")</f>
        <v>0</v>
      </c>
      <c r="E4958"/>
      <c r="F4958" s="35">
        <f>SUMIFS(F4959:F9015,K4959:K9015,"0",B4959:B9015,"5 1 2 1 1 12 31111 6 M59 20000 000132 0000R 00001*")</f>
        <v>37499.64</v>
      </c>
      <c r="G4958" s="35">
        <f>SUMIFS(G4959:G9015,K4959:K9015,"0",B4959:B9015,"5 1 2 1 1 12 31111 6 M59 20000 000132 0000R 00001*")</f>
        <v>0</v>
      </c>
      <c r="H4958" s="35">
        <f t="shared" si="78"/>
        <v>37499.64</v>
      </c>
      <c r="I4958" s="35"/>
      <c r="K4958" t="s">
        <v>15</v>
      </c>
    </row>
    <row r="4959" spans="2:11" ht="24.75" x14ac:dyDescent="0.2">
      <c r="B4959" s="33" t="s">
        <v>5922</v>
      </c>
      <c r="C4959" s="33" t="s">
        <v>5827</v>
      </c>
      <c r="D4959" s="35">
        <f>SUMIFS(D4960:D9015,K4960:K9015,"0",B4960:B9015,"5 1 2 1 1 12 31111 6 M59 20000 000132 0000R 00001 00211*")-SUMIFS(E4960:E9015,K4960:K9015,"0",B4960:B9015,"5 1 2 1 1 12 31111 6 M59 20000 000132 0000R 00001 00211*")</f>
        <v>0</v>
      </c>
      <c r="E4959"/>
      <c r="F4959" s="35">
        <f>SUMIFS(F4960:F9015,K4960:K9015,"0",B4960:B9015,"5 1 2 1 1 12 31111 6 M59 20000 000132 0000R 00001 00211*")</f>
        <v>37499.64</v>
      </c>
      <c r="G4959" s="35">
        <f>SUMIFS(G4960:G9015,K4960:K9015,"0",B4960:B9015,"5 1 2 1 1 12 31111 6 M59 20000 000132 0000R 00001 00211*")</f>
        <v>0</v>
      </c>
      <c r="H4959" s="35">
        <f t="shared" si="78"/>
        <v>37499.64</v>
      </c>
      <c r="I4959" s="35"/>
      <c r="K4959" t="s">
        <v>15</v>
      </c>
    </row>
    <row r="4960" spans="2:11" ht="24.75" x14ac:dyDescent="0.2">
      <c r="B4960" s="33" t="s">
        <v>5923</v>
      </c>
      <c r="C4960" s="33" t="s">
        <v>1051</v>
      </c>
      <c r="D4960" s="35">
        <f>SUMIFS(D4961:D9015,K4961:K9015,"0",B4961:B9015,"5 1 2 1 1 12 31111 6 M59 20000 000132 0000R 00001 00211 015*")-SUMIFS(E4961:E9015,K4961:K9015,"0",B4961:B9015,"5 1 2 1 1 12 31111 6 M59 20000 000132 0000R 00001 00211 015*")</f>
        <v>0</v>
      </c>
      <c r="E4960"/>
      <c r="F4960" s="35">
        <f>SUMIFS(F4961:F9015,K4961:K9015,"0",B4961:B9015,"5 1 2 1 1 12 31111 6 M59 20000 000132 0000R 00001 00211 015*")</f>
        <v>37499.64</v>
      </c>
      <c r="G4960" s="35">
        <f>SUMIFS(G4961:G9015,K4961:K9015,"0",B4961:B9015,"5 1 2 1 1 12 31111 6 M59 20000 000132 0000R 00001 00211 015*")</f>
        <v>0</v>
      </c>
      <c r="H4960" s="35">
        <f t="shared" si="78"/>
        <v>37499.64</v>
      </c>
      <c r="I4960" s="35"/>
      <c r="K4960" t="s">
        <v>15</v>
      </c>
    </row>
    <row r="4961" spans="2:11" ht="33" x14ac:dyDescent="0.2">
      <c r="B4961" s="33" t="s">
        <v>5924</v>
      </c>
      <c r="C4961" s="33" t="s">
        <v>5830</v>
      </c>
      <c r="D4961" s="35">
        <f>SUMIFS(D4962:D9015,K4962:K9015,"0",B4962:B9015,"5 1 2 1 1 12 31111 6 M59 20000 000132 0000R 00001 00211 015 2112000*")-SUMIFS(E4962:E9015,K4962:K9015,"0",B4962:B9015,"5 1 2 1 1 12 31111 6 M59 20000 000132 0000R 00001 00211 015 2112000*")</f>
        <v>0</v>
      </c>
      <c r="E4961"/>
      <c r="F4961" s="35">
        <f>SUMIFS(F4962:F9015,K4962:K9015,"0",B4962:B9015,"5 1 2 1 1 12 31111 6 M59 20000 000132 0000R 00001 00211 015 2112000*")</f>
        <v>37499.64</v>
      </c>
      <c r="G4961" s="35">
        <f>SUMIFS(G4962:G9015,K4962:K9015,"0",B4962:B9015,"5 1 2 1 1 12 31111 6 M59 20000 000132 0000R 00001 00211 015 2112000*")</f>
        <v>0</v>
      </c>
      <c r="H4961" s="35">
        <f t="shared" si="78"/>
        <v>37499.64</v>
      </c>
      <c r="I4961" s="35"/>
      <c r="K4961" t="s">
        <v>15</v>
      </c>
    </row>
    <row r="4962" spans="2:11" ht="33" x14ac:dyDescent="0.2">
      <c r="B4962" s="33" t="s">
        <v>5925</v>
      </c>
      <c r="C4962" s="33" t="s">
        <v>660</v>
      </c>
      <c r="D4962" s="35">
        <f>SUMIFS(D4963:D9015,K4963:K9015,"0",B4963:B9015,"5 1 2 1 1 12 31111 6 M59 20000 000132 0000R 00001 00211 015 2112000 2024*")-SUMIFS(E4963:E9015,K4963:K9015,"0",B4963:B9015,"5 1 2 1 1 12 31111 6 M59 20000 000132 0000R 00001 00211 015 2112000 2024*")</f>
        <v>0</v>
      </c>
      <c r="E4962"/>
      <c r="F4962" s="35">
        <f>SUMIFS(F4963:F9015,K4963:K9015,"0",B4963:B9015,"5 1 2 1 1 12 31111 6 M59 20000 000132 0000R 00001 00211 015 2112000 2024*")</f>
        <v>37499.64</v>
      </c>
      <c r="G4962" s="35">
        <f>SUMIFS(G4963:G9015,K4963:K9015,"0",B4963:B9015,"5 1 2 1 1 12 31111 6 M59 20000 000132 0000R 00001 00211 015 2112000 2024*")</f>
        <v>0</v>
      </c>
      <c r="H4962" s="35">
        <f t="shared" si="78"/>
        <v>37499.64</v>
      </c>
      <c r="I4962" s="35"/>
      <c r="K4962" t="s">
        <v>15</v>
      </c>
    </row>
    <row r="4963" spans="2:11" ht="41.25" x14ac:dyDescent="0.2">
      <c r="B4963" s="33" t="s">
        <v>5926</v>
      </c>
      <c r="C4963" s="33" t="s">
        <v>1056</v>
      </c>
      <c r="D4963" s="35">
        <f>SUMIFS(D4964:D9015,K4964:K9015,"0",B4964:B9015,"5 1 2 1 1 12 31111 6 M59 20000 000132 0000R 00001 00211 015 2112000 2024 CP1AF389*")-SUMIFS(E4964:E9015,K4964:K9015,"0",B4964:B9015,"5 1 2 1 1 12 31111 6 M59 20000 000132 0000R 00001 00211 015 2112000 2024 CP1AF389*")</f>
        <v>0</v>
      </c>
      <c r="E4963"/>
      <c r="F4963" s="35">
        <f>SUMIFS(F4964:F9015,K4964:K9015,"0",B4964:B9015,"5 1 2 1 1 12 31111 6 M59 20000 000132 0000R 00001 00211 015 2112000 2024 CP1AF389*")</f>
        <v>37499.64</v>
      </c>
      <c r="G4963" s="35">
        <f>SUMIFS(G4964:G9015,K4964:K9015,"0",B4964:B9015,"5 1 2 1 1 12 31111 6 M59 20000 000132 0000R 00001 00211 015 2112000 2024 CP1AF389*")</f>
        <v>0</v>
      </c>
      <c r="H4963" s="35">
        <f t="shared" si="78"/>
        <v>37499.64</v>
      </c>
      <c r="I4963" s="35"/>
      <c r="K4963" t="s">
        <v>15</v>
      </c>
    </row>
    <row r="4964" spans="2:11" ht="41.25" x14ac:dyDescent="0.2">
      <c r="B4964" s="33" t="s">
        <v>5927</v>
      </c>
      <c r="C4964" s="33" t="s">
        <v>282</v>
      </c>
      <c r="D4964" s="35">
        <f>SUMIFS(D4965:D9015,K4965:K9015,"0",B4965:B9015,"5 1 2 1 1 12 31111 6 M59 20000 000132 0000R 00001 00211 015 2112000 2024 CP1AF389 001*")-SUMIFS(E4965:E9015,K4965:K9015,"0",B4965:B9015,"5 1 2 1 1 12 31111 6 M59 20000 000132 0000R 00001 00211 015 2112000 2024 CP1AF389 001*")</f>
        <v>0</v>
      </c>
      <c r="E4964"/>
      <c r="F4964" s="35">
        <f>SUMIFS(F4965:F9015,K4965:K9015,"0",B4965:B9015,"5 1 2 1 1 12 31111 6 M59 20000 000132 0000R 00001 00211 015 2112000 2024 CP1AF389 001*")</f>
        <v>37499.64</v>
      </c>
      <c r="G4964" s="35">
        <f>SUMIFS(G4965:G9015,K4965:K9015,"0",B4965:B9015,"5 1 2 1 1 12 31111 6 M59 20000 000132 0000R 00001 00211 015 2112000 2024 CP1AF389 001*")</f>
        <v>0</v>
      </c>
      <c r="H4964" s="35">
        <f t="shared" si="78"/>
        <v>37499.64</v>
      </c>
      <c r="I4964" s="35"/>
      <c r="K4964" t="s">
        <v>15</v>
      </c>
    </row>
    <row r="4965" spans="2:11" ht="49.5" x14ac:dyDescent="0.2">
      <c r="B4965" s="33" t="s">
        <v>5928</v>
      </c>
      <c r="C4965" s="33" t="s">
        <v>5827</v>
      </c>
      <c r="D4965" s="35">
        <f>SUMIFS(D4966:D9015,K4966:K9015,"0",B4966:B9015,"5 1 2 1 1 12 31111 6 M59 20000 000132 0000R 00001 00211 015 2112000 2024 CP1AF389 001 0000001*")-SUMIFS(E4966:E9015,K4966:K9015,"0",B4966:B9015,"5 1 2 1 1 12 31111 6 M59 20000 000132 0000R 00001 00211 015 2112000 2024 CP1AF389 001 0000001*")</f>
        <v>0</v>
      </c>
      <c r="E4965"/>
      <c r="F4965" s="35">
        <f>SUMIFS(F4966:F9015,K4966:K9015,"0",B4966:B9015,"5 1 2 1 1 12 31111 6 M59 20000 000132 0000R 00001 00211 015 2112000 2024 CP1AF389 001 0000001*")</f>
        <v>37499.64</v>
      </c>
      <c r="G4965" s="35">
        <f>SUMIFS(G4966:G9015,K4966:K9015,"0",B4966:B9015,"5 1 2 1 1 12 31111 6 M59 20000 000132 0000R 00001 00211 015 2112000 2024 CP1AF389 001 0000001*")</f>
        <v>0</v>
      </c>
      <c r="H4965" s="35">
        <f t="shared" si="78"/>
        <v>37499.64</v>
      </c>
      <c r="I4965" s="35"/>
      <c r="K4965" t="s">
        <v>15</v>
      </c>
    </row>
    <row r="4966" spans="2:11" ht="41.25" x14ac:dyDescent="0.2">
      <c r="B4966" s="31" t="s">
        <v>5929</v>
      </c>
      <c r="C4966" s="31" t="s">
        <v>2284</v>
      </c>
      <c r="D4966" s="34">
        <v>0</v>
      </c>
      <c r="E4966" s="34"/>
      <c r="F4966" s="34">
        <v>37499.64</v>
      </c>
      <c r="G4966" s="34">
        <v>0</v>
      </c>
      <c r="H4966" s="34">
        <f t="shared" si="78"/>
        <v>37499.64</v>
      </c>
      <c r="I4966" s="34"/>
      <c r="K4966" t="s">
        <v>38</v>
      </c>
    </row>
    <row r="4967" spans="2:11" ht="16.5" x14ac:dyDescent="0.2">
      <c r="B4967" s="33" t="s">
        <v>5930</v>
      </c>
      <c r="C4967" s="33" t="s">
        <v>3080</v>
      </c>
      <c r="D4967" s="35">
        <f>SUMIFS(D4968:D9015,K4968:K9015,"0",B4968:B9015,"5 1 2 1 1 12 31111 6 M59 20200*")-SUMIFS(E4968:E9015,K4968:K9015,"0",B4968:B9015,"5 1 2 1 1 12 31111 6 M59 20200*")</f>
        <v>0</v>
      </c>
      <c r="E4967"/>
      <c r="F4967" s="35">
        <f>SUMIFS(F4968:F9015,K4968:K9015,"0",B4968:B9015,"5 1 2 1 1 12 31111 6 M59 20200*")</f>
        <v>2619332.6800000002</v>
      </c>
      <c r="G4967" s="35">
        <f>SUMIFS(G4968:G9015,K4968:K9015,"0",B4968:B9015,"5 1 2 1 1 12 31111 6 M59 20200*")</f>
        <v>0</v>
      </c>
      <c r="H4967" s="35">
        <f t="shared" si="78"/>
        <v>2619332.6800000002</v>
      </c>
      <c r="I4967" s="35"/>
      <c r="K4967" t="s">
        <v>15</v>
      </c>
    </row>
    <row r="4968" spans="2:11" ht="16.5" x14ac:dyDescent="0.2">
      <c r="B4968" s="33" t="s">
        <v>5931</v>
      </c>
      <c r="C4968" s="33" t="s">
        <v>648</v>
      </c>
      <c r="D4968" s="35">
        <f>SUMIFS(D4969:D9015,K4969:K9015,"0",B4969:B9015,"5 1 2 1 1 12 31111 6 M59 20200 000132*")-SUMIFS(E4969:E9015,K4969:K9015,"0",B4969:B9015,"5 1 2 1 1 12 31111 6 M59 20200 000132*")</f>
        <v>0</v>
      </c>
      <c r="E4968"/>
      <c r="F4968" s="35">
        <f>SUMIFS(F4969:F9015,K4969:K9015,"0",B4969:B9015,"5 1 2 1 1 12 31111 6 M59 20200 000132*")</f>
        <v>2619332.6800000002</v>
      </c>
      <c r="G4968" s="35">
        <f>SUMIFS(G4969:G9015,K4969:K9015,"0",B4969:B9015,"5 1 2 1 1 12 31111 6 M59 20200 000132*")</f>
        <v>0</v>
      </c>
      <c r="H4968" s="35">
        <f t="shared" si="78"/>
        <v>2619332.6800000002</v>
      </c>
      <c r="I4968" s="35"/>
      <c r="K4968" t="s">
        <v>15</v>
      </c>
    </row>
    <row r="4969" spans="2:11" ht="16.5" x14ac:dyDescent="0.2">
      <c r="B4969" s="33" t="s">
        <v>5932</v>
      </c>
      <c r="C4969" s="33" t="s">
        <v>650</v>
      </c>
      <c r="D4969" s="35">
        <f>SUMIFS(D4970:D9015,K4970:K9015,"0",B4970:B9015,"5 1 2 1 1 12 31111 6 M59 20200 000132 0000R*")-SUMIFS(E4970:E9015,K4970:K9015,"0",B4970:B9015,"5 1 2 1 1 12 31111 6 M59 20200 000132 0000R*")</f>
        <v>0</v>
      </c>
      <c r="E4969"/>
      <c r="F4969" s="35">
        <f>SUMIFS(F4970:F9015,K4970:K9015,"0",B4970:B9015,"5 1 2 1 1 12 31111 6 M59 20200 000132 0000R*")</f>
        <v>2619332.6800000002</v>
      </c>
      <c r="G4969" s="35">
        <f>SUMIFS(G4970:G9015,K4970:K9015,"0",B4970:B9015,"5 1 2 1 1 12 31111 6 M59 20200 000132 0000R*")</f>
        <v>0</v>
      </c>
      <c r="H4969" s="35">
        <f t="shared" si="78"/>
        <v>2619332.6800000002</v>
      </c>
      <c r="I4969" s="35"/>
      <c r="K4969" t="s">
        <v>15</v>
      </c>
    </row>
    <row r="4970" spans="2:11" ht="24.75" x14ac:dyDescent="0.2">
      <c r="B4970" s="33" t="s">
        <v>5933</v>
      </c>
      <c r="C4970" s="33" t="s">
        <v>282</v>
      </c>
      <c r="D4970" s="35">
        <f>SUMIFS(D4971:D9015,K4971:K9015,"0",B4971:B9015,"5 1 2 1 1 12 31111 6 M59 20200 000132 0000R 00001*")-SUMIFS(E4971:E9015,K4971:K9015,"0",B4971:B9015,"5 1 2 1 1 12 31111 6 M59 20200 000132 0000R 00001*")</f>
        <v>0</v>
      </c>
      <c r="E4970"/>
      <c r="F4970" s="35">
        <f>SUMIFS(F4971:F9015,K4971:K9015,"0",B4971:B9015,"5 1 2 1 1 12 31111 6 M59 20200 000132 0000R 00001*")</f>
        <v>2619332.6800000002</v>
      </c>
      <c r="G4970" s="35">
        <f>SUMIFS(G4971:G9015,K4971:K9015,"0",B4971:B9015,"5 1 2 1 1 12 31111 6 M59 20200 000132 0000R 00001*")</f>
        <v>0</v>
      </c>
      <c r="H4970" s="35">
        <f t="shared" si="78"/>
        <v>2619332.6800000002</v>
      </c>
      <c r="I4970" s="35"/>
      <c r="K4970" t="s">
        <v>15</v>
      </c>
    </row>
    <row r="4971" spans="2:11" ht="24.75" x14ac:dyDescent="0.2">
      <c r="B4971" s="33" t="s">
        <v>5934</v>
      </c>
      <c r="C4971" s="33" t="s">
        <v>5827</v>
      </c>
      <c r="D4971" s="35">
        <f>SUMIFS(D4972:D9015,K4972:K9015,"0",B4972:B9015,"5 1 2 1 1 12 31111 6 M59 20200 000132 0000R 00001 00211*")-SUMIFS(E4972:E9015,K4972:K9015,"0",B4972:B9015,"5 1 2 1 1 12 31111 6 M59 20200 000132 0000R 00001 00211*")</f>
        <v>0</v>
      </c>
      <c r="E4971"/>
      <c r="F4971" s="35">
        <f>SUMIFS(F4972:F9015,K4972:K9015,"0",B4972:B9015,"5 1 2 1 1 12 31111 6 M59 20200 000132 0000R 00001 00211*")</f>
        <v>2619332.6800000002</v>
      </c>
      <c r="G4971" s="35">
        <f>SUMIFS(G4972:G9015,K4972:K9015,"0",B4972:B9015,"5 1 2 1 1 12 31111 6 M59 20200 000132 0000R 00001 00211*")</f>
        <v>0</v>
      </c>
      <c r="H4971" s="35">
        <f t="shared" si="78"/>
        <v>2619332.6800000002</v>
      </c>
      <c r="I4971" s="35"/>
      <c r="K4971" t="s">
        <v>15</v>
      </c>
    </row>
    <row r="4972" spans="2:11" ht="24.75" x14ac:dyDescent="0.2">
      <c r="B4972" s="33" t="s">
        <v>5935</v>
      </c>
      <c r="C4972" s="33" t="s">
        <v>1051</v>
      </c>
      <c r="D4972" s="35">
        <f>SUMIFS(D4973:D9015,K4973:K9015,"0",B4973:B9015,"5 1 2 1 1 12 31111 6 M59 20200 000132 0000R 00001 00211 015*")-SUMIFS(E4973:E9015,K4973:K9015,"0",B4973:B9015,"5 1 2 1 1 12 31111 6 M59 20200 000132 0000R 00001 00211 015*")</f>
        <v>0</v>
      </c>
      <c r="E4972"/>
      <c r="F4972" s="35">
        <f>SUMIFS(F4973:F9015,K4973:K9015,"0",B4973:B9015,"5 1 2 1 1 12 31111 6 M59 20200 000132 0000R 00001 00211 015*")</f>
        <v>2619332.6800000002</v>
      </c>
      <c r="G4972" s="35">
        <f>SUMIFS(G4973:G9015,K4973:K9015,"0",B4973:B9015,"5 1 2 1 1 12 31111 6 M59 20200 000132 0000R 00001 00211 015*")</f>
        <v>0</v>
      </c>
      <c r="H4972" s="35">
        <f t="shared" si="78"/>
        <v>2619332.6800000002</v>
      </c>
      <c r="I4972" s="35"/>
      <c r="K4972" t="s">
        <v>15</v>
      </c>
    </row>
    <row r="4973" spans="2:11" ht="33" x14ac:dyDescent="0.2">
      <c r="B4973" s="33" t="s">
        <v>5936</v>
      </c>
      <c r="C4973" s="33" t="s">
        <v>5830</v>
      </c>
      <c r="D4973" s="35">
        <f>SUMIFS(D4974:D9015,K4974:K9015,"0",B4974:B9015,"5 1 2 1 1 12 31111 6 M59 20200 000132 0000R 00001 00211 015 2112000*")-SUMIFS(E4974:E9015,K4974:K9015,"0",B4974:B9015,"5 1 2 1 1 12 31111 6 M59 20200 000132 0000R 00001 00211 015 2112000*")</f>
        <v>0</v>
      </c>
      <c r="E4973"/>
      <c r="F4973" s="35">
        <f>SUMIFS(F4974:F9015,K4974:K9015,"0",B4974:B9015,"5 1 2 1 1 12 31111 6 M59 20200 000132 0000R 00001 00211 015 2112000*")</f>
        <v>2619332.6800000002</v>
      </c>
      <c r="G4973" s="35">
        <f>SUMIFS(G4974:G9015,K4974:K9015,"0",B4974:B9015,"5 1 2 1 1 12 31111 6 M59 20200 000132 0000R 00001 00211 015 2112000*")</f>
        <v>0</v>
      </c>
      <c r="H4973" s="35">
        <f t="shared" si="78"/>
        <v>2619332.6800000002</v>
      </c>
      <c r="I4973" s="35"/>
      <c r="K4973" t="s">
        <v>15</v>
      </c>
    </row>
    <row r="4974" spans="2:11" ht="33" x14ac:dyDescent="0.2">
      <c r="B4974" s="33" t="s">
        <v>5937</v>
      </c>
      <c r="C4974" s="33" t="s">
        <v>660</v>
      </c>
      <c r="D4974" s="35">
        <f>SUMIFS(D4975:D9015,K4975:K9015,"0",B4975:B9015,"5 1 2 1 1 12 31111 6 M59 20200 000132 0000R 00001 00211 015 2112000 2024*")-SUMIFS(E4975:E9015,K4975:K9015,"0",B4975:B9015,"5 1 2 1 1 12 31111 6 M59 20200 000132 0000R 00001 00211 015 2112000 2024*")</f>
        <v>0</v>
      </c>
      <c r="E4974"/>
      <c r="F4974" s="35">
        <f>SUMIFS(F4975:F9015,K4975:K9015,"0",B4975:B9015,"5 1 2 1 1 12 31111 6 M59 20200 000132 0000R 00001 00211 015 2112000 2024*")</f>
        <v>2619332.6800000002</v>
      </c>
      <c r="G4974" s="35">
        <f>SUMIFS(G4975:G9015,K4975:K9015,"0",B4975:B9015,"5 1 2 1 1 12 31111 6 M59 20200 000132 0000R 00001 00211 015 2112000 2024*")</f>
        <v>0</v>
      </c>
      <c r="H4974" s="35">
        <f t="shared" si="78"/>
        <v>2619332.6800000002</v>
      </c>
      <c r="I4974" s="35"/>
      <c r="K4974" t="s">
        <v>15</v>
      </c>
    </row>
    <row r="4975" spans="2:11" ht="41.25" x14ac:dyDescent="0.2">
      <c r="B4975" s="33" t="s">
        <v>5938</v>
      </c>
      <c r="C4975" s="33" t="s">
        <v>662</v>
      </c>
      <c r="D4975" s="35">
        <f>SUMIFS(D4976:D9015,K4976:K9015,"0",B4976:B9015,"5 1 2 1 1 12 31111 6 M59 20200 000132 0000R 00001 00211 015 2112000 2024 CP1DI411*")-SUMIFS(E4976:E9015,K4976:K9015,"0",B4976:B9015,"5 1 2 1 1 12 31111 6 M59 20200 000132 0000R 00001 00211 015 2112000 2024 CP1DI411*")</f>
        <v>0</v>
      </c>
      <c r="E4975"/>
      <c r="F4975" s="35">
        <f>SUMIFS(F4976:F9015,K4976:K9015,"0",B4976:B9015,"5 1 2 1 1 12 31111 6 M59 20200 000132 0000R 00001 00211 015 2112000 2024 CP1DI411*")</f>
        <v>2619332.6800000002</v>
      </c>
      <c r="G4975" s="35">
        <f>SUMIFS(G4976:G9015,K4976:K9015,"0",B4976:B9015,"5 1 2 1 1 12 31111 6 M59 20200 000132 0000R 00001 00211 015 2112000 2024 CP1DI411*")</f>
        <v>0</v>
      </c>
      <c r="H4975" s="35">
        <f t="shared" si="78"/>
        <v>2619332.6800000002</v>
      </c>
      <c r="I4975" s="35"/>
      <c r="K4975" t="s">
        <v>15</v>
      </c>
    </row>
    <row r="4976" spans="2:11" ht="41.25" x14ac:dyDescent="0.2">
      <c r="B4976" s="33" t="s">
        <v>5939</v>
      </c>
      <c r="C4976" s="33" t="s">
        <v>282</v>
      </c>
      <c r="D4976" s="35">
        <f>SUMIFS(D4977:D9015,K4977:K9015,"0",B4977:B9015,"5 1 2 1 1 12 31111 6 M59 20200 000132 0000R 00001 00211 015 2112000 2024 CP1DI411 001*")-SUMIFS(E4977:E9015,K4977:K9015,"0",B4977:B9015,"5 1 2 1 1 12 31111 6 M59 20200 000132 0000R 00001 00211 015 2112000 2024 CP1DI411 001*")</f>
        <v>0</v>
      </c>
      <c r="E4976"/>
      <c r="F4976" s="35">
        <f>SUMIFS(F4977:F9015,K4977:K9015,"0",B4977:B9015,"5 1 2 1 1 12 31111 6 M59 20200 000132 0000R 00001 00211 015 2112000 2024 CP1DI411 001*")</f>
        <v>2619332.6800000002</v>
      </c>
      <c r="G4976" s="35">
        <f>SUMIFS(G4977:G9015,K4977:K9015,"0",B4977:B9015,"5 1 2 1 1 12 31111 6 M59 20200 000132 0000R 00001 00211 015 2112000 2024 CP1DI411 001*")</f>
        <v>0</v>
      </c>
      <c r="H4976" s="35">
        <f t="shared" si="78"/>
        <v>2619332.6800000002</v>
      </c>
      <c r="I4976" s="35"/>
      <c r="K4976" t="s">
        <v>15</v>
      </c>
    </row>
    <row r="4977" spans="2:11" ht="33" x14ac:dyDescent="0.2">
      <c r="B4977" s="31" t="s">
        <v>5940</v>
      </c>
      <c r="C4977" s="31" t="s">
        <v>5817</v>
      </c>
      <c r="D4977" s="34">
        <v>0</v>
      </c>
      <c r="E4977" s="34"/>
      <c r="F4977" s="34">
        <v>2619332.6800000002</v>
      </c>
      <c r="G4977" s="34">
        <v>0</v>
      </c>
      <c r="H4977" s="34">
        <f t="shared" si="78"/>
        <v>2619332.6800000002</v>
      </c>
      <c r="I4977" s="34"/>
      <c r="K4977" t="s">
        <v>38</v>
      </c>
    </row>
    <row r="4978" spans="2:11" ht="16.5" x14ac:dyDescent="0.2">
      <c r="B4978" s="33" t="s">
        <v>5941</v>
      </c>
      <c r="C4978" s="33" t="s">
        <v>1061</v>
      </c>
      <c r="D4978" s="35">
        <f>SUMIFS(D4979:D9015,K4979:K9015,"0",B4979:B9015,"5 1 2 1 1 12 31111 6 M59 20300*")-SUMIFS(E4979:E9015,K4979:K9015,"0",B4979:B9015,"5 1 2 1 1 12 31111 6 M59 20300*")</f>
        <v>0</v>
      </c>
      <c r="E4978"/>
      <c r="F4978" s="35">
        <f>SUMIFS(F4979:F9015,K4979:K9015,"0",B4979:B9015,"5 1 2 1 1 12 31111 6 M59 20300*")</f>
        <v>1103.48</v>
      </c>
      <c r="G4978" s="35">
        <f>SUMIFS(G4979:G9015,K4979:K9015,"0",B4979:B9015,"5 1 2 1 1 12 31111 6 M59 20300*")</f>
        <v>0</v>
      </c>
      <c r="H4978" s="35">
        <f t="shared" si="78"/>
        <v>1103.48</v>
      </c>
      <c r="I4978" s="35"/>
      <c r="K4978" t="s">
        <v>15</v>
      </c>
    </row>
    <row r="4979" spans="2:11" ht="16.5" x14ac:dyDescent="0.2">
      <c r="B4979" s="33" t="s">
        <v>5942</v>
      </c>
      <c r="C4979" s="33" t="s">
        <v>648</v>
      </c>
      <c r="D4979" s="35">
        <f>SUMIFS(D4980:D9015,K4980:K9015,"0",B4980:B9015,"5 1 2 1 1 12 31111 6 M59 20300 000132*")-SUMIFS(E4980:E9015,K4980:K9015,"0",B4980:B9015,"5 1 2 1 1 12 31111 6 M59 20300 000132*")</f>
        <v>0</v>
      </c>
      <c r="E4979"/>
      <c r="F4979" s="35">
        <f>SUMIFS(F4980:F9015,K4980:K9015,"0",B4980:B9015,"5 1 2 1 1 12 31111 6 M59 20300 000132*")</f>
        <v>1103.48</v>
      </c>
      <c r="G4979" s="35">
        <f>SUMIFS(G4980:G9015,K4980:K9015,"0",B4980:B9015,"5 1 2 1 1 12 31111 6 M59 20300 000132*")</f>
        <v>0</v>
      </c>
      <c r="H4979" s="35">
        <f t="shared" si="78"/>
        <v>1103.48</v>
      </c>
      <c r="I4979" s="35"/>
      <c r="K4979" t="s">
        <v>15</v>
      </c>
    </row>
    <row r="4980" spans="2:11" ht="16.5" x14ac:dyDescent="0.2">
      <c r="B4980" s="33" t="s">
        <v>5943</v>
      </c>
      <c r="C4980" s="33" t="s">
        <v>650</v>
      </c>
      <c r="D4980" s="35">
        <f>SUMIFS(D4981:D9015,K4981:K9015,"0",B4981:B9015,"5 1 2 1 1 12 31111 6 M59 20300 000132 0000R*")-SUMIFS(E4981:E9015,K4981:K9015,"0",B4981:B9015,"5 1 2 1 1 12 31111 6 M59 20300 000132 0000R*")</f>
        <v>0</v>
      </c>
      <c r="E4980"/>
      <c r="F4980" s="35">
        <f>SUMIFS(F4981:F9015,K4981:K9015,"0",B4981:B9015,"5 1 2 1 1 12 31111 6 M59 20300 000132 0000R*")</f>
        <v>1103.48</v>
      </c>
      <c r="G4980" s="35">
        <f>SUMIFS(G4981:G9015,K4981:K9015,"0",B4981:B9015,"5 1 2 1 1 12 31111 6 M59 20300 000132 0000R*")</f>
        <v>0</v>
      </c>
      <c r="H4980" s="35">
        <f t="shared" si="78"/>
        <v>1103.48</v>
      </c>
      <c r="I4980" s="35"/>
      <c r="K4980" t="s">
        <v>15</v>
      </c>
    </row>
    <row r="4981" spans="2:11" ht="24.75" x14ac:dyDescent="0.2">
      <c r="B4981" s="33" t="s">
        <v>5944</v>
      </c>
      <c r="C4981" s="33" t="s">
        <v>282</v>
      </c>
      <c r="D4981" s="35">
        <f>SUMIFS(D4982:D9015,K4982:K9015,"0",B4982:B9015,"5 1 2 1 1 12 31111 6 M59 20300 000132 0000R 00001*")-SUMIFS(E4982:E9015,K4982:K9015,"0",B4982:B9015,"5 1 2 1 1 12 31111 6 M59 20300 000132 0000R 00001*")</f>
        <v>0</v>
      </c>
      <c r="E4981"/>
      <c r="F4981" s="35">
        <f>SUMIFS(F4982:F9015,K4982:K9015,"0",B4982:B9015,"5 1 2 1 1 12 31111 6 M59 20300 000132 0000R 00001*")</f>
        <v>1103.48</v>
      </c>
      <c r="G4981" s="35">
        <f>SUMIFS(G4982:G9015,K4982:K9015,"0",B4982:B9015,"5 1 2 1 1 12 31111 6 M59 20300 000132 0000R 00001*")</f>
        <v>0</v>
      </c>
      <c r="H4981" s="35">
        <f t="shared" si="78"/>
        <v>1103.48</v>
      </c>
      <c r="I4981" s="35"/>
      <c r="K4981" t="s">
        <v>15</v>
      </c>
    </row>
    <row r="4982" spans="2:11" ht="24.75" x14ac:dyDescent="0.2">
      <c r="B4982" s="33" t="s">
        <v>5945</v>
      </c>
      <c r="C4982" s="33" t="s">
        <v>5827</v>
      </c>
      <c r="D4982" s="35">
        <f>SUMIFS(D4983:D9015,K4983:K9015,"0",B4983:B9015,"5 1 2 1 1 12 31111 6 M59 20300 000132 0000R 00001 00211*")-SUMIFS(E4983:E9015,K4983:K9015,"0",B4983:B9015,"5 1 2 1 1 12 31111 6 M59 20300 000132 0000R 00001 00211*")</f>
        <v>0</v>
      </c>
      <c r="E4982"/>
      <c r="F4982" s="35">
        <f>SUMIFS(F4983:F9015,K4983:K9015,"0",B4983:B9015,"5 1 2 1 1 12 31111 6 M59 20300 000132 0000R 00001 00211*")</f>
        <v>1103.48</v>
      </c>
      <c r="G4982" s="35">
        <f>SUMIFS(G4983:G9015,K4983:K9015,"0",B4983:B9015,"5 1 2 1 1 12 31111 6 M59 20300 000132 0000R 00001 00211*")</f>
        <v>0</v>
      </c>
      <c r="H4982" s="35">
        <f t="shared" si="78"/>
        <v>1103.48</v>
      </c>
      <c r="I4982" s="35"/>
      <c r="K4982" t="s">
        <v>15</v>
      </c>
    </row>
    <row r="4983" spans="2:11" ht="24.75" x14ac:dyDescent="0.2">
      <c r="B4983" s="33" t="s">
        <v>5946</v>
      </c>
      <c r="C4983" s="33" t="s">
        <v>1051</v>
      </c>
      <c r="D4983" s="35">
        <f>SUMIFS(D4984:D9015,K4984:K9015,"0",B4984:B9015,"5 1 2 1 1 12 31111 6 M59 20300 000132 0000R 00001 00211 015*")-SUMIFS(E4984:E9015,K4984:K9015,"0",B4984:B9015,"5 1 2 1 1 12 31111 6 M59 20300 000132 0000R 00001 00211 015*")</f>
        <v>0</v>
      </c>
      <c r="E4983"/>
      <c r="F4983" s="35">
        <f>SUMIFS(F4984:F9015,K4984:K9015,"0",B4984:B9015,"5 1 2 1 1 12 31111 6 M59 20300 000132 0000R 00001 00211 015*")</f>
        <v>1103.48</v>
      </c>
      <c r="G4983" s="35">
        <f>SUMIFS(G4984:G9015,K4984:K9015,"0",B4984:B9015,"5 1 2 1 1 12 31111 6 M59 20300 000132 0000R 00001 00211 015*")</f>
        <v>0</v>
      </c>
      <c r="H4983" s="35">
        <f t="shared" si="78"/>
        <v>1103.48</v>
      </c>
      <c r="I4983" s="35"/>
      <c r="K4983" t="s">
        <v>15</v>
      </c>
    </row>
    <row r="4984" spans="2:11" ht="33" x14ac:dyDescent="0.2">
      <c r="B4984" s="33" t="s">
        <v>5947</v>
      </c>
      <c r="C4984" s="33" t="s">
        <v>5830</v>
      </c>
      <c r="D4984" s="35">
        <f>SUMIFS(D4985:D9015,K4985:K9015,"0",B4985:B9015,"5 1 2 1 1 12 31111 6 M59 20300 000132 0000R 00001 00211 015 2112000*")-SUMIFS(E4985:E9015,K4985:K9015,"0",B4985:B9015,"5 1 2 1 1 12 31111 6 M59 20300 000132 0000R 00001 00211 015 2112000*")</f>
        <v>0</v>
      </c>
      <c r="E4984"/>
      <c r="F4984" s="35">
        <f>SUMIFS(F4985:F9015,K4985:K9015,"0",B4985:B9015,"5 1 2 1 1 12 31111 6 M59 20300 000132 0000R 00001 00211 015 2112000*")</f>
        <v>1103.48</v>
      </c>
      <c r="G4984" s="35">
        <f>SUMIFS(G4985:G9015,K4985:K9015,"0",B4985:B9015,"5 1 2 1 1 12 31111 6 M59 20300 000132 0000R 00001 00211 015 2112000*")</f>
        <v>0</v>
      </c>
      <c r="H4984" s="35">
        <f t="shared" si="78"/>
        <v>1103.48</v>
      </c>
      <c r="I4984" s="35"/>
      <c r="K4984" t="s">
        <v>15</v>
      </c>
    </row>
    <row r="4985" spans="2:11" ht="33" x14ac:dyDescent="0.2">
      <c r="B4985" s="33" t="s">
        <v>5948</v>
      </c>
      <c r="C4985" s="33" t="s">
        <v>660</v>
      </c>
      <c r="D4985" s="35">
        <f>SUMIFS(D4986:D9015,K4986:K9015,"0",B4986:B9015,"5 1 2 1 1 12 31111 6 M59 20300 000132 0000R 00001 00211 015 2112000 2024*")-SUMIFS(E4986:E9015,K4986:K9015,"0",B4986:B9015,"5 1 2 1 1 12 31111 6 M59 20300 000132 0000R 00001 00211 015 2112000 2024*")</f>
        <v>0</v>
      </c>
      <c r="E4985"/>
      <c r="F4985" s="35">
        <f>SUMIFS(F4986:F9015,K4986:K9015,"0",B4986:B9015,"5 1 2 1 1 12 31111 6 M59 20300 000132 0000R 00001 00211 015 2112000 2024*")</f>
        <v>1103.48</v>
      </c>
      <c r="G4985" s="35">
        <f>SUMIFS(G4986:G9015,K4986:K9015,"0",B4986:B9015,"5 1 2 1 1 12 31111 6 M59 20300 000132 0000R 00001 00211 015 2112000 2024*")</f>
        <v>0</v>
      </c>
      <c r="H4985" s="35">
        <f t="shared" si="78"/>
        <v>1103.48</v>
      </c>
      <c r="I4985" s="35"/>
      <c r="K4985" t="s">
        <v>15</v>
      </c>
    </row>
    <row r="4986" spans="2:11" ht="41.25" x14ac:dyDescent="0.2">
      <c r="B4986" s="33" t="s">
        <v>5949</v>
      </c>
      <c r="C4986" s="33" t="s">
        <v>662</v>
      </c>
      <c r="D4986" s="35">
        <f>SUMIFS(D4987:D9015,K4987:K9015,"0",B4987:B9015,"5 1 2 1 1 12 31111 6 M59 20300 000132 0000R 00001 00211 015 2112000 2024 CP1DE415*")-SUMIFS(E4987:E9015,K4987:K9015,"0",B4987:B9015,"5 1 2 1 1 12 31111 6 M59 20300 000132 0000R 00001 00211 015 2112000 2024 CP1DE415*")</f>
        <v>0</v>
      </c>
      <c r="E4986"/>
      <c r="F4986" s="35">
        <f>SUMIFS(F4987:F9015,K4987:K9015,"0",B4987:B9015,"5 1 2 1 1 12 31111 6 M59 20300 000132 0000R 00001 00211 015 2112000 2024 CP1DE415*")</f>
        <v>1103.48</v>
      </c>
      <c r="G4986" s="35">
        <f>SUMIFS(G4987:G9015,K4987:K9015,"0",B4987:B9015,"5 1 2 1 1 12 31111 6 M59 20300 000132 0000R 00001 00211 015 2112000 2024 CP1DE415*")</f>
        <v>0</v>
      </c>
      <c r="H4986" s="35">
        <f t="shared" si="78"/>
        <v>1103.48</v>
      </c>
      <c r="I4986" s="35"/>
      <c r="K4986" t="s">
        <v>15</v>
      </c>
    </row>
    <row r="4987" spans="2:11" ht="41.25" x14ac:dyDescent="0.2">
      <c r="B4987" s="33" t="s">
        <v>5950</v>
      </c>
      <c r="C4987" s="33" t="s">
        <v>282</v>
      </c>
      <c r="D4987" s="35">
        <f>SUMIFS(D4988:D9015,K4988:K9015,"0",B4988:B9015,"5 1 2 1 1 12 31111 6 M59 20300 000132 0000R 00001 00211 015 2112000 2024 CP1DE415 001*")-SUMIFS(E4988:E9015,K4988:K9015,"0",B4988:B9015,"5 1 2 1 1 12 31111 6 M59 20300 000132 0000R 00001 00211 015 2112000 2024 CP1DE415 001*")</f>
        <v>0</v>
      </c>
      <c r="E4987"/>
      <c r="F4987" s="35">
        <f>SUMIFS(F4988:F9015,K4988:K9015,"0",B4988:B9015,"5 1 2 1 1 12 31111 6 M59 20300 000132 0000R 00001 00211 015 2112000 2024 CP1DE415 001*")</f>
        <v>1103.48</v>
      </c>
      <c r="G4987" s="35">
        <f>SUMIFS(G4988:G9015,K4988:K9015,"0",B4988:B9015,"5 1 2 1 1 12 31111 6 M59 20300 000132 0000R 00001 00211 015 2112000 2024 CP1DE415 001*")</f>
        <v>0</v>
      </c>
      <c r="H4987" s="35">
        <f t="shared" si="78"/>
        <v>1103.48</v>
      </c>
      <c r="I4987" s="35"/>
      <c r="K4987" t="s">
        <v>15</v>
      </c>
    </row>
    <row r="4988" spans="2:11" ht="41.25" x14ac:dyDescent="0.2">
      <c r="B4988" s="31" t="s">
        <v>5951</v>
      </c>
      <c r="C4988" s="31" t="s">
        <v>5827</v>
      </c>
      <c r="D4988" s="34">
        <v>0</v>
      </c>
      <c r="E4988" s="34"/>
      <c r="F4988" s="34">
        <v>1103.48</v>
      </c>
      <c r="G4988" s="34">
        <v>0</v>
      </c>
      <c r="H4988" s="34">
        <f t="shared" si="78"/>
        <v>1103.48</v>
      </c>
      <c r="I4988" s="34"/>
      <c r="K4988" t="s">
        <v>38</v>
      </c>
    </row>
    <row r="4989" spans="2:11" ht="16.5" x14ac:dyDescent="0.2">
      <c r="B4989" s="33" t="s">
        <v>5952</v>
      </c>
      <c r="C4989" s="33" t="s">
        <v>3103</v>
      </c>
      <c r="D4989" s="35">
        <f>SUMIFS(D4990:D9015,K4990:K9015,"0",B4990:B9015,"5 1 2 1 1 12 31111 6 M59 20400*")-SUMIFS(E4990:E9015,K4990:K9015,"0",B4990:B9015,"5 1 2 1 1 12 31111 6 M59 20400*")</f>
        <v>0</v>
      </c>
      <c r="E4989"/>
      <c r="F4989" s="35">
        <f>SUMIFS(F4990:F9015,K4990:K9015,"0",B4990:B9015,"5 1 2 1 1 12 31111 6 M59 20400*")</f>
        <v>250</v>
      </c>
      <c r="G4989" s="35">
        <f>SUMIFS(G4990:G9015,K4990:K9015,"0",B4990:B9015,"5 1 2 1 1 12 31111 6 M59 20400*")</f>
        <v>0</v>
      </c>
      <c r="H4989" s="35">
        <f t="shared" si="78"/>
        <v>250</v>
      </c>
      <c r="I4989" s="35"/>
      <c r="K4989" t="s">
        <v>15</v>
      </c>
    </row>
    <row r="4990" spans="2:11" ht="16.5" x14ac:dyDescent="0.2">
      <c r="B4990" s="33" t="s">
        <v>5953</v>
      </c>
      <c r="C4990" s="33" t="s">
        <v>648</v>
      </c>
      <c r="D4990" s="35">
        <f>SUMIFS(D4991:D9015,K4991:K9015,"0",B4991:B9015,"5 1 2 1 1 12 31111 6 M59 20400 000132*")-SUMIFS(E4991:E9015,K4991:K9015,"0",B4991:B9015,"5 1 2 1 1 12 31111 6 M59 20400 000132*")</f>
        <v>0</v>
      </c>
      <c r="E4990"/>
      <c r="F4990" s="35">
        <f>SUMIFS(F4991:F9015,K4991:K9015,"0",B4991:B9015,"5 1 2 1 1 12 31111 6 M59 20400 000132*")</f>
        <v>250</v>
      </c>
      <c r="G4990" s="35">
        <f>SUMIFS(G4991:G9015,K4991:K9015,"0",B4991:B9015,"5 1 2 1 1 12 31111 6 M59 20400 000132*")</f>
        <v>0</v>
      </c>
      <c r="H4990" s="35">
        <f t="shared" si="78"/>
        <v>250</v>
      </c>
      <c r="I4990" s="35"/>
      <c r="K4990" t="s">
        <v>15</v>
      </c>
    </row>
    <row r="4991" spans="2:11" ht="16.5" x14ac:dyDescent="0.2">
      <c r="B4991" s="33" t="s">
        <v>5954</v>
      </c>
      <c r="C4991" s="33" t="s">
        <v>650</v>
      </c>
      <c r="D4991" s="35">
        <f>SUMIFS(D4992:D9015,K4992:K9015,"0",B4992:B9015,"5 1 2 1 1 12 31111 6 M59 20400 000132 0000R*")-SUMIFS(E4992:E9015,K4992:K9015,"0",B4992:B9015,"5 1 2 1 1 12 31111 6 M59 20400 000132 0000R*")</f>
        <v>0</v>
      </c>
      <c r="E4991"/>
      <c r="F4991" s="35">
        <f>SUMIFS(F4992:F9015,K4992:K9015,"0",B4992:B9015,"5 1 2 1 1 12 31111 6 M59 20400 000132 0000R*")</f>
        <v>250</v>
      </c>
      <c r="G4991" s="35">
        <f>SUMIFS(G4992:G9015,K4992:K9015,"0",B4992:B9015,"5 1 2 1 1 12 31111 6 M59 20400 000132 0000R*")</f>
        <v>0</v>
      </c>
      <c r="H4991" s="35">
        <f t="shared" si="78"/>
        <v>250</v>
      </c>
      <c r="I4991" s="35"/>
      <c r="K4991" t="s">
        <v>15</v>
      </c>
    </row>
    <row r="4992" spans="2:11" ht="24.75" x14ac:dyDescent="0.2">
      <c r="B4992" s="33" t="s">
        <v>5955</v>
      </c>
      <c r="C4992" s="33" t="s">
        <v>282</v>
      </c>
      <c r="D4992" s="35">
        <f>SUMIFS(D4993:D9015,K4993:K9015,"0",B4993:B9015,"5 1 2 1 1 12 31111 6 M59 20400 000132 0000R 00001*")-SUMIFS(E4993:E9015,K4993:K9015,"0",B4993:B9015,"5 1 2 1 1 12 31111 6 M59 20400 000132 0000R 00001*")</f>
        <v>0</v>
      </c>
      <c r="E4992"/>
      <c r="F4992" s="35">
        <f>SUMIFS(F4993:F9015,K4993:K9015,"0",B4993:B9015,"5 1 2 1 1 12 31111 6 M59 20400 000132 0000R 00001*")</f>
        <v>250</v>
      </c>
      <c r="G4992" s="35">
        <f>SUMIFS(G4993:G9015,K4993:K9015,"0",B4993:B9015,"5 1 2 1 1 12 31111 6 M59 20400 000132 0000R 00001*")</f>
        <v>0</v>
      </c>
      <c r="H4992" s="35">
        <f t="shared" si="78"/>
        <v>250</v>
      </c>
      <c r="I4992" s="35"/>
      <c r="K4992" t="s">
        <v>15</v>
      </c>
    </row>
    <row r="4993" spans="2:11" ht="24.75" x14ac:dyDescent="0.2">
      <c r="B4993" s="33" t="s">
        <v>5956</v>
      </c>
      <c r="C4993" s="33" t="s">
        <v>5827</v>
      </c>
      <c r="D4993" s="35">
        <f>SUMIFS(D4994:D9015,K4994:K9015,"0",B4994:B9015,"5 1 2 1 1 12 31111 6 M59 20400 000132 0000R 00001 00211*")-SUMIFS(E4994:E9015,K4994:K9015,"0",B4994:B9015,"5 1 2 1 1 12 31111 6 M59 20400 000132 0000R 00001 00211*")</f>
        <v>0</v>
      </c>
      <c r="E4993"/>
      <c r="F4993" s="35">
        <f>SUMIFS(F4994:F9015,K4994:K9015,"0",B4994:B9015,"5 1 2 1 1 12 31111 6 M59 20400 000132 0000R 00001 00211*")</f>
        <v>250</v>
      </c>
      <c r="G4993" s="35">
        <f>SUMIFS(G4994:G9015,K4994:K9015,"0",B4994:B9015,"5 1 2 1 1 12 31111 6 M59 20400 000132 0000R 00001 00211*")</f>
        <v>0</v>
      </c>
      <c r="H4993" s="35">
        <f t="shared" si="78"/>
        <v>250</v>
      </c>
      <c r="I4993" s="35"/>
      <c r="K4993" t="s">
        <v>15</v>
      </c>
    </row>
    <row r="4994" spans="2:11" ht="24.75" x14ac:dyDescent="0.2">
      <c r="B4994" s="33" t="s">
        <v>5957</v>
      </c>
      <c r="C4994" s="33" t="s">
        <v>1051</v>
      </c>
      <c r="D4994" s="35">
        <f>SUMIFS(D4995:D9015,K4995:K9015,"0",B4995:B9015,"5 1 2 1 1 12 31111 6 M59 20400 000132 0000R 00001 00211 015*")-SUMIFS(E4995:E9015,K4995:K9015,"0",B4995:B9015,"5 1 2 1 1 12 31111 6 M59 20400 000132 0000R 00001 00211 015*")</f>
        <v>0</v>
      </c>
      <c r="E4994"/>
      <c r="F4994" s="35">
        <f>SUMIFS(F4995:F9015,K4995:K9015,"0",B4995:B9015,"5 1 2 1 1 12 31111 6 M59 20400 000132 0000R 00001 00211 015*")</f>
        <v>250</v>
      </c>
      <c r="G4994" s="35">
        <f>SUMIFS(G4995:G9015,K4995:K9015,"0",B4995:B9015,"5 1 2 1 1 12 31111 6 M59 20400 000132 0000R 00001 00211 015*")</f>
        <v>0</v>
      </c>
      <c r="H4994" s="35">
        <f t="shared" si="78"/>
        <v>250</v>
      </c>
      <c r="I4994" s="35"/>
      <c r="K4994" t="s">
        <v>15</v>
      </c>
    </row>
    <row r="4995" spans="2:11" ht="33" x14ac:dyDescent="0.2">
      <c r="B4995" s="33" t="s">
        <v>5958</v>
      </c>
      <c r="C4995" s="33" t="s">
        <v>5830</v>
      </c>
      <c r="D4995" s="35">
        <f>SUMIFS(D4996:D9015,K4996:K9015,"0",B4996:B9015,"5 1 2 1 1 12 31111 6 M59 20400 000132 0000R 00001 00211 015 2112000*")-SUMIFS(E4996:E9015,K4996:K9015,"0",B4996:B9015,"5 1 2 1 1 12 31111 6 M59 20400 000132 0000R 00001 00211 015 2112000*")</f>
        <v>0</v>
      </c>
      <c r="E4995"/>
      <c r="F4995" s="35">
        <f>SUMIFS(F4996:F9015,K4996:K9015,"0",B4996:B9015,"5 1 2 1 1 12 31111 6 M59 20400 000132 0000R 00001 00211 015 2112000*")</f>
        <v>250</v>
      </c>
      <c r="G4995" s="35">
        <f>SUMIFS(G4996:G9015,K4996:K9015,"0",B4996:B9015,"5 1 2 1 1 12 31111 6 M59 20400 000132 0000R 00001 00211 015 2112000*")</f>
        <v>0</v>
      </c>
      <c r="H4995" s="35">
        <f t="shared" si="78"/>
        <v>250</v>
      </c>
      <c r="I4995" s="35"/>
      <c r="K4995" t="s">
        <v>15</v>
      </c>
    </row>
    <row r="4996" spans="2:11" ht="33" x14ac:dyDescent="0.2">
      <c r="B4996" s="33" t="s">
        <v>5959</v>
      </c>
      <c r="C4996" s="33" t="s">
        <v>660</v>
      </c>
      <c r="D4996" s="35">
        <f>SUMIFS(D4997:D9015,K4997:K9015,"0",B4997:B9015,"5 1 2 1 1 12 31111 6 M59 20400 000132 0000R 00001 00211 015 2112000 2024*")-SUMIFS(E4997:E9015,K4997:K9015,"0",B4997:B9015,"5 1 2 1 1 12 31111 6 M59 20400 000132 0000R 00001 00211 015 2112000 2024*")</f>
        <v>0</v>
      </c>
      <c r="E4996"/>
      <c r="F4996" s="35">
        <f>SUMIFS(F4997:F9015,K4997:K9015,"0",B4997:B9015,"5 1 2 1 1 12 31111 6 M59 20400 000132 0000R 00001 00211 015 2112000 2024*")</f>
        <v>250</v>
      </c>
      <c r="G4996" s="35">
        <f>SUMIFS(G4997:G9015,K4997:K9015,"0",B4997:B9015,"5 1 2 1 1 12 31111 6 M59 20400 000132 0000R 00001 00211 015 2112000 2024*")</f>
        <v>0</v>
      </c>
      <c r="H4996" s="35">
        <f t="shared" ref="H4996:H5059" si="79">D4996 + F4996 - G4996</f>
        <v>250</v>
      </c>
      <c r="I4996" s="35"/>
      <c r="K4996" t="s">
        <v>15</v>
      </c>
    </row>
    <row r="4997" spans="2:11" ht="41.25" x14ac:dyDescent="0.2">
      <c r="B4997" s="33" t="s">
        <v>5960</v>
      </c>
      <c r="C4997" s="33" t="s">
        <v>1056</v>
      </c>
      <c r="D4997" s="35">
        <f>SUMIFS(D4998:D9015,K4998:K9015,"0",B4998:B9015,"5 1 2 1 1 12 31111 6 M59 20400 000132 0000R 00001 00211 015 2112000 2024 CP1PV404*")-SUMIFS(E4998:E9015,K4998:K9015,"0",B4998:B9015,"5 1 2 1 1 12 31111 6 M59 20400 000132 0000R 00001 00211 015 2112000 2024 CP1PV404*")</f>
        <v>0</v>
      </c>
      <c r="E4997"/>
      <c r="F4997" s="35">
        <f>SUMIFS(F4998:F9015,K4998:K9015,"0",B4998:B9015,"5 1 2 1 1 12 31111 6 M59 20400 000132 0000R 00001 00211 015 2112000 2024 CP1PV404*")</f>
        <v>250</v>
      </c>
      <c r="G4997" s="35">
        <f>SUMIFS(G4998:G9015,K4998:K9015,"0",B4998:B9015,"5 1 2 1 1 12 31111 6 M59 20400 000132 0000R 00001 00211 015 2112000 2024 CP1PV404*")</f>
        <v>0</v>
      </c>
      <c r="H4997" s="35">
        <f t="shared" si="79"/>
        <v>250</v>
      </c>
      <c r="I4997" s="35"/>
      <c r="K4997" t="s">
        <v>15</v>
      </c>
    </row>
    <row r="4998" spans="2:11" ht="41.25" x14ac:dyDescent="0.2">
      <c r="B4998" s="33" t="s">
        <v>5961</v>
      </c>
      <c r="C4998" s="33" t="s">
        <v>282</v>
      </c>
      <c r="D4998" s="35">
        <f>SUMIFS(D4999:D9015,K4999:K9015,"0",B4999:B9015,"5 1 2 1 1 12 31111 6 M59 20400 000132 0000R 00001 00211 015 2112000 2024 CP1PV404 001*")-SUMIFS(E4999:E9015,K4999:K9015,"0",B4999:B9015,"5 1 2 1 1 12 31111 6 M59 20400 000132 0000R 00001 00211 015 2112000 2024 CP1PV404 001*")</f>
        <v>0</v>
      </c>
      <c r="E4998"/>
      <c r="F4998" s="35">
        <f>SUMIFS(F4999:F9015,K4999:K9015,"0",B4999:B9015,"5 1 2 1 1 12 31111 6 M59 20400 000132 0000R 00001 00211 015 2112000 2024 CP1PV404 001*")</f>
        <v>250</v>
      </c>
      <c r="G4998" s="35">
        <f>SUMIFS(G4999:G9015,K4999:K9015,"0",B4999:B9015,"5 1 2 1 1 12 31111 6 M59 20400 000132 0000R 00001 00211 015 2112000 2024 CP1PV404 001*")</f>
        <v>0</v>
      </c>
      <c r="H4998" s="35">
        <f t="shared" si="79"/>
        <v>250</v>
      </c>
      <c r="I4998" s="35"/>
      <c r="K4998" t="s">
        <v>15</v>
      </c>
    </row>
    <row r="4999" spans="2:11" ht="41.25" x14ac:dyDescent="0.2">
      <c r="B4999" s="31" t="s">
        <v>5962</v>
      </c>
      <c r="C4999" s="31" t="s">
        <v>5827</v>
      </c>
      <c r="D4999" s="34">
        <v>0</v>
      </c>
      <c r="E4999" s="34"/>
      <c r="F4999" s="34">
        <v>250</v>
      </c>
      <c r="G4999" s="34">
        <v>0</v>
      </c>
      <c r="H4999" s="34">
        <f t="shared" si="79"/>
        <v>250</v>
      </c>
      <c r="I4999" s="34"/>
      <c r="K4999" t="s">
        <v>38</v>
      </c>
    </row>
    <row r="5000" spans="2:11" ht="16.5" x14ac:dyDescent="0.2">
      <c r="B5000" s="33" t="s">
        <v>5963</v>
      </c>
      <c r="C5000" s="33" t="s">
        <v>1079</v>
      </c>
      <c r="D5000" s="35">
        <f>SUMIFS(D5001:D9015,K5001:K9015,"0",B5001:B9015,"5 1 2 1 1 12 31111 6 M59 20500*")-SUMIFS(E5001:E9015,K5001:K9015,"0",B5001:B9015,"5 1 2 1 1 12 31111 6 M59 20500*")</f>
        <v>0</v>
      </c>
      <c r="E5000"/>
      <c r="F5000" s="35">
        <f>SUMIFS(F5001:F9015,K5001:K9015,"0",B5001:B9015,"5 1 2 1 1 12 31111 6 M59 20500*")</f>
        <v>5378836.04</v>
      </c>
      <c r="G5000" s="35">
        <f>SUMIFS(G5001:G9015,K5001:K9015,"0",B5001:B9015,"5 1 2 1 1 12 31111 6 M59 20500*")</f>
        <v>0</v>
      </c>
      <c r="H5000" s="35">
        <f t="shared" si="79"/>
        <v>5378836.04</v>
      </c>
      <c r="I5000" s="35"/>
      <c r="K5000" t="s">
        <v>15</v>
      </c>
    </row>
    <row r="5001" spans="2:11" ht="16.5" x14ac:dyDescent="0.2">
      <c r="B5001" s="33" t="s">
        <v>5964</v>
      </c>
      <c r="C5001" s="33" t="s">
        <v>648</v>
      </c>
      <c r="D5001" s="35">
        <f>SUMIFS(D5002:D9015,K5002:K9015,"0",B5002:B9015,"5 1 2 1 1 12 31111 6 M59 20500 000132*")-SUMIFS(E5002:E9015,K5002:K9015,"0",B5002:B9015,"5 1 2 1 1 12 31111 6 M59 20500 000132*")</f>
        <v>0</v>
      </c>
      <c r="E5001"/>
      <c r="F5001" s="35">
        <f>SUMIFS(F5002:F9015,K5002:K9015,"0",B5002:B9015,"5 1 2 1 1 12 31111 6 M59 20500 000132*")</f>
        <v>5375336.0899999999</v>
      </c>
      <c r="G5001" s="35">
        <f>SUMIFS(G5002:G9015,K5002:K9015,"0",B5002:B9015,"5 1 2 1 1 12 31111 6 M59 20500 000132*")</f>
        <v>0</v>
      </c>
      <c r="H5001" s="35">
        <f t="shared" si="79"/>
        <v>5375336.0899999999</v>
      </c>
      <c r="I5001" s="35"/>
      <c r="K5001" t="s">
        <v>15</v>
      </c>
    </row>
    <row r="5002" spans="2:11" ht="16.5" x14ac:dyDescent="0.2">
      <c r="B5002" s="33" t="s">
        <v>5965</v>
      </c>
      <c r="C5002" s="33" t="s">
        <v>650</v>
      </c>
      <c r="D5002" s="35">
        <f>SUMIFS(D5003:D9015,K5003:K9015,"0",B5003:B9015,"5 1 2 1 1 12 31111 6 M59 20500 000132 0000R*")-SUMIFS(E5003:E9015,K5003:K9015,"0",B5003:B9015,"5 1 2 1 1 12 31111 6 M59 20500 000132 0000R*")</f>
        <v>0</v>
      </c>
      <c r="E5002"/>
      <c r="F5002" s="35">
        <f>SUMIFS(F5003:F9015,K5003:K9015,"0",B5003:B9015,"5 1 2 1 1 12 31111 6 M59 20500 000132 0000R*")</f>
        <v>5375336.0899999999</v>
      </c>
      <c r="G5002" s="35">
        <f>SUMIFS(G5003:G9015,K5003:K9015,"0",B5003:B9015,"5 1 2 1 1 12 31111 6 M59 20500 000132 0000R*")</f>
        <v>0</v>
      </c>
      <c r="H5002" s="35">
        <f t="shared" si="79"/>
        <v>5375336.0899999999</v>
      </c>
      <c r="I5002" s="35"/>
      <c r="K5002" t="s">
        <v>15</v>
      </c>
    </row>
    <row r="5003" spans="2:11" ht="24.75" x14ac:dyDescent="0.2">
      <c r="B5003" s="33" t="s">
        <v>5966</v>
      </c>
      <c r="C5003" s="33" t="s">
        <v>282</v>
      </c>
      <c r="D5003" s="35">
        <f>SUMIFS(D5004:D9015,K5004:K9015,"0",B5004:B9015,"5 1 2 1 1 12 31111 6 M59 20500 000132 0000R 00001*")-SUMIFS(E5004:E9015,K5004:K9015,"0",B5004:B9015,"5 1 2 1 1 12 31111 6 M59 20500 000132 0000R 00001*")</f>
        <v>0</v>
      </c>
      <c r="E5003"/>
      <c r="F5003" s="35">
        <f>SUMIFS(F5004:F9015,K5004:K9015,"0",B5004:B9015,"5 1 2 1 1 12 31111 6 M59 20500 000132 0000R 00001*")</f>
        <v>5375336.0899999999</v>
      </c>
      <c r="G5003" s="35">
        <f>SUMIFS(G5004:G9015,K5004:K9015,"0",B5004:B9015,"5 1 2 1 1 12 31111 6 M59 20500 000132 0000R 00001*")</f>
        <v>0</v>
      </c>
      <c r="H5003" s="35">
        <f t="shared" si="79"/>
        <v>5375336.0899999999</v>
      </c>
      <c r="I5003" s="35"/>
      <c r="K5003" t="s">
        <v>15</v>
      </c>
    </row>
    <row r="5004" spans="2:11" ht="24.75" x14ac:dyDescent="0.2">
      <c r="B5004" s="33" t="s">
        <v>5967</v>
      </c>
      <c r="C5004" s="33" t="s">
        <v>5827</v>
      </c>
      <c r="D5004" s="35">
        <f>SUMIFS(D5005:D9015,K5005:K9015,"0",B5005:B9015,"5 1 2 1 1 12 31111 6 M59 20500 000132 0000R 00001 00211*")-SUMIFS(E5005:E9015,K5005:K9015,"0",B5005:B9015,"5 1 2 1 1 12 31111 6 M59 20500 000132 0000R 00001 00211*")</f>
        <v>0</v>
      </c>
      <c r="E5004"/>
      <c r="F5004" s="35">
        <f>SUMIFS(F5005:F9015,K5005:K9015,"0",B5005:B9015,"5 1 2 1 1 12 31111 6 M59 20500 000132 0000R 00001 00211*")</f>
        <v>5375336.0899999999</v>
      </c>
      <c r="G5004" s="35">
        <f>SUMIFS(G5005:G9015,K5005:K9015,"0",B5005:B9015,"5 1 2 1 1 12 31111 6 M59 20500 000132 0000R 00001 00211*")</f>
        <v>0</v>
      </c>
      <c r="H5004" s="35">
        <f t="shared" si="79"/>
        <v>5375336.0899999999</v>
      </c>
      <c r="I5004" s="35"/>
      <c r="K5004" t="s">
        <v>15</v>
      </c>
    </row>
    <row r="5005" spans="2:11" ht="24.75" x14ac:dyDescent="0.2">
      <c r="B5005" s="33" t="s">
        <v>5968</v>
      </c>
      <c r="C5005" s="33" t="s">
        <v>1051</v>
      </c>
      <c r="D5005" s="35">
        <f>SUMIFS(D5006:D9015,K5006:K9015,"0",B5006:B9015,"5 1 2 1 1 12 31111 6 M59 20500 000132 0000R 00001 00211 015*")-SUMIFS(E5006:E9015,K5006:K9015,"0",B5006:B9015,"5 1 2 1 1 12 31111 6 M59 20500 000132 0000R 00001 00211 015*")</f>
        <v>0</v>
      </c>
      <c r="E5005"/>
      <c r="F5005" s="35">
        <f>SUMIFS(F5006:F9015,K5006:K9015,"0",B5006:B9015,"5 1 2 1 1 12 31111 6 M59 20500 000132 0000R 00001 00211 015*")</f>
        <v>5375336.0899999999</v>
      </c>
      <c r="G5005" s="35">
        <f>SUMIFS(G5006:G9015,K5006:K9015,"0",B5006:B9015,"5 1 2 1 1 12 31111 6 M59 20500 000132 0000R 00001 00211 015*")</f>
        <v>0</v>
      </c>
      <c r="H5005" s="35">
        <f t="shared" si="79"/>
        <v>5375336.0899999999</v>
      </c>
      <c r="I5005" s="35"/>
      <c r="K5005" t="s">
        <v>15</v>
      </c>
    </row>
    <row r="5006" spans="2:11" ht="33" x14ac:dyDescent="0.2">
      <c r="B5006" s="33" t="s">
        <v>5969</v>
      </c>
      <c r="C5006" s="33" t="s">
        <v>5830</v>
      </c>
      <c r="D5006" s="35">
        <f>SUMIFS(D5007:D9015,K5007:K9015,"0",B5007:B9015,"5 1 2 1 1 12 31111 6 M59 20500 000132 0000R 00001 00211 015 2112000*")-SUMIFS(E5007:E9015,K5007:K9015,"0",B5007:B9015,"5 1 2 1 1 12 31111 6 M59 20500 000132 0000R 00001 00211 015 2112000*")</f>
        <v>0</v>
      </c>
      <c r="E5006"/>
      <c r="F5006" s="35">
        <f>SUMIFS(F5007:F9015,K5007:K9015,"0",B5007:B9015,"5 1 2 1 1 12 31111 6 M59 20500 000132 0000R 00001 00211 015 2112000*")</f>
        <v>5375336.0899999999</v>
      </c>
      <c r="G5006" s="35">
        <f>SUMIFS(G5007:G9015,K5007:K9015,"0",B5007:B9015,"5 1 2 1 1 12 31111 6 M59 20500 000132 0000R 00001 00211 015 2112000*")</f>
        <v>0</v>
      </c>
      <c r="H5006" s="35">
        <f t="shared" si="79"/>
        <v>5375336.0899999999</v>
      </c>
      <c r="I5006" s="35"/>
      <c r="K5006" t="s">
        <v>15</v>
      </c>
    </row>
    <row r="5007" spans="2:11" ht="33" x14ac:dyDescent="0.2">
      <c r="B5007" s="33" t="s">
        <v>5970</v>
      </c>
      <c r="C5007" s="33" t="s">
        <v>660</v>
      </c>
      <c r="D5007" s="35">
        <f>SUMIFS(D5008:D9015,K5008:K9015,"0",B5008:B9015,"5 1 2 1 1 12 31111 6 M59 20500 000132 0000R 00001 00211 015 2112000 2024*")-SUMIFS(E5008:E9015,K5008:K9015,"0",B5008:B9015,"5 1 2 1 1 12 31111 6 M59 20500 000132 0000R 00001 00211 015 2112000 2024*")</f>
        <v>0</v>
      </c>
      <c r="E5007"/>
      <c r="F5007" s="35">
        <f>SUMIFS(F5008:F9015,K5008:K9015,"0",B5008:B9015,"5 1 2 1 1 12 31111 6 M59 20500 000132 0000R 00001 00211 015 2112000 2024*")</f>
        <v>5375336.0899999999</v>
      </c>
      <c r="G5007" s="35">
        <f>SUMIFS(G5008:G9015,K5008:K9015,"0",B5008:B9015,"5 1 2 1 1 12 31111 6 M59 20500 000132 0000R 00001 00211 015 2112000 2024*")</f>
        <v>0</v>
      </c>
      <c r="H5007" s="35">
        <f t="shared" si="79"/>
        <v>5375336.0899999999</v>
      </c>
      <c r="I5007" s="35"/>
      <c r="K5007" t="s">
        <v>15</v>
      </c>
    </row>
    <row r="5008" spans="2:11" ht="41.25" x14ac:dyDescent="0.2">
      <c r="B5008" s="33" t="s">
        <v>5971</v>
      </c>
      <c r="C5008" s="33" t="s">
        <v>1056</v>
      </c>
      <c r="D5008" s="35">
        <f>SUMIFS(D5009:D9015,K5009:K9015,"0",B5009:B9015,"5 1 2 1 1 12 31111 6 M59 20500 000132 0000R 00001 00211 015 2112000 2024 CP1CP420*")-SUMIFS(E5009:E9015,K5009:K9015,"0",B5009:B9015,"5 1 2 1 1 12 31111 6 M59 20500 000132 0000R 00001 00211 015 2112000 2024 CP1CP420*")</f>
        <v>0</v>
      </c>
      <c r="E5008"/>
      <c r="F5008" s="35">
        <f>SUMIFS(F5009:F9015,K5009:K9015,"0",B5009:B9015,"5 1 2 1 1 12 31111 6 M59 20500 000132 0000R 00001 00211 015 2112000 2024 CP1CP420*")</f>
        <v>5375336.0899999999</v>
      </c>
      <c r="G5008" s="35">
        <f>SUMIFS(G5009:G9015,K5009:K9015,"0",B5009:B9015,"5 1 2 1 1 12 31111 6 M59 20500 000132 0000R 00001 00211 015 2112000 2024 CP1CP420*")</f>
        <v>0</v>
      </c>
      <c r="H5008" s="35">
        <f t="shared" si="79"/>
        <v>5375336.0899999999</v>
      </c>
      <c r="I5008" s="35"/>
      <c r="K5008" t="s">
        <v>15</v>
      </c>
    </row>
    <row r="5009" spans="2:11" ht="41.25" x14ac:dyDescent="0.2">
      <c r="B5009" s="33" t="s">
        <v>5972</v>
      </c>
      <c r="C5009" s="33" t="s">
        <v>282</v>
      </c>
      <c r="D5009" s="35">
        <f>SUMIFS(D5010:D9015,K5010:K9015,"0",B5010:B9015,"5 1 2 1 1 12 31111 6 M59 20500 000132 0000R 00001 00211 015 2112000 2024 CP1CP420 001*")-SUMIFS(E5010:E9015,K5010:K9015,"0",B5010:B9015,"5 1 2 1 1 12 31111 6 M59 20500 000132 0000R 00001 00211 015 2112000 2024 CP1CP420 001*")</f>
        <v>0</v>
      </c>
      <c r="E5009"/>
      <c r="F5009" s="35">
        <f>SUMIFS(F5010:F9015,K5010:K9015,"0",B5010:B9015,"5 1 2 1 1 12 31111 6 M59 20500 000132 0000R 00001 00211 015 2112000 2024 CP1CP420 001*")</f>
        <v>5375336.0899999999</v>
      </c>
      <c r="G5009" s="35">
        <f>SUMIFS(G5010:G9015,K5010:K9015,"0",B5010:B9015,"5 1 2 1 1 12 31111 6 M59 20500 000132 0000R 00001 00211 015 2112000 2024 CP1CP420 001*")</f>
        <v>0</v>
      </c>
      <c r="H5009" s="35">
        <f t="shared" si="79"/>
        <v>5375336.0899999999</v>
      </c>
      <c r="I5009" s="35"/>
      <c r="K5009" t="s">
        <v>15</v>
      </c>
    </row>
    <row r="5010" spans="2:11" ht="33" x14ac:dyDescent="0.2">
      <c r="B5010" s="31" t="s">
        <v>5973</v>
      </c>
      <c r="C5010" s="31" t="s">
        <v>5817</v>
      </c>
      <c r="D5010" s="34">
        <v>0</v>
      </c>
      <c r="E5010" s="34"/>
      <c r="F5010" s="34">
        <v>5375336.0899999999</v>
      </c>
      <c r="G5010" s="34">
        <v>0</v>
      </c>
      <c r="H5010" s="34">
        <f t="shared" si="79"/>
        <v>5375336.0899999999</v>
      </c>
      <c r="I5010" s="34"/>
      <c r="K5010" t="s">
        <v>38</v>
      </c>
    </row>
    <row r="5011" spans="2:11" ht="24.75" x14ac:dyDescent="0.2">
      <c r="B5011" s="33" t="s">
        <v>5974</v>
      </c>
      <c r="C5011" s="33" t="s">
        <v>3152</v>
      </c>
      <c r="D5011" s="35">
        <f>SUMIFS(D5012:D9015,K5012:K9015,"0",B5012:B9015,"5 1 2 1 1 12 31111 6 M59 20500 000181*")-SUMIFS(E5012:E9015,K5012:K9015,"0",B5012:B9015,"5 1 2 1 1 12 31111 6 M59 20500 000181*")</f>
        <v>0</v>
      </c>
      <c r="E5011"/>
      <c r="F5011" s="35">
        <f>SUMIFS(F5012:F9015,K5012:K9015,"0",B5012:B9015,"5 1 2 1 1 12 31111 6 M59 20500 000181*")</f>
        <v>3499.95</v>
      </c>
      <c r="G5011" s="35">
        <f>SUMIFS(G5012:G9015,K5012:K9015,"0",B5012:B9015,"5 1 2 1 1 12 31111 6 M59 20500 000181*")</f>
        <v>0</v>
      </c>
      <c r="H5011" s="35">
        <f t="shared" si="79"/>
        <v>3499.95</v>
      </c>
      <c r="I5011" s="35"/>
      <c r="K5011" t="s">
        <v>15</v>
      </c>
    </row>
    <row r="5012" spans="2:11" ht="16.5" x14ac:dyDescent="0.2">
      <c r="B5012" s="33" t="s">
        <v>5975</v>
      </c>
      <c r="C5012" s="33" t="s">
        <v>1065</v>
      </c>
      <c r="D5012" s="35">
        <f>SUMIFS(D5013:D9015,K5013:K9015,"0",B5013:B9015,"5 1 2 1 1 12 31111 6 M59 20500 000181 0000E*")-SUMIFS(E5013:E9015,K5013:K9015,"0",B5013:B9015,"5 1 2 1 1 12 31111 6 M59 20500 000181 0000E*")</f>
        <v>0</v>
      </c>
      <c r="E5012"/>
      <c r="F5012" s="35">
        <f>SUMIFS(F5013:F9015,K5013:K9015,"0",B5013:B9015,"5 1 2 1 1 12 31111 6 M59 20500 000181 0000E*")</f>
        <v>3499.95</v>
      </c>
      <c r="G5012" s="35">
        <f>SUMIFS(G5013:G9015,K5013:K9015,"0",B5013:B9015,"5 1 2 1 1 12 31111 6 M59 20500 000181 0000E*")</f>
        <v>0</v>
      </c>
      <c r="H5012" s="35">
        <f t="shared" si="79"/>
        <v>3499.95</v>
      </c>
      <c r="I5012" s="35"/>
      <c r="K5012" t="s">
        <v>15</v>
      </c>
    </row>
    <row r="5013" spans="2:11" ht="24.75" x14ac:dyDescent="0.2">
      <c r="B5013" s="33" t="s">
        <v>5976</v>
      </c>
      <c r="C5013" s="33" t="s">
        <v>282</v>
      </c>
      <c r="D5013" s="35">
        <f>SUMIFS(D5014:D9015,K5014:K9015,"0",B5014:B9015,"5 1 2 1 1 12 31111 6 M59 20500 000181 0000E 00001*")-SUMIFS(E5014:E9015,K5014:K9015,"0",B5014:B9015,"5 1 2 1 1 12 31111 6 M59 20500 000181 0000E 00001*")</f>
        <v>0</v>
      </c>
      <c r="E5013"/>
      <c r="F5013" s="35">
        <f>SUMIFS(F5014:F9015,K5014:K9015,"0",B5014:B9015,"5 1 2 1 1 12 31111 6 M59 20500 000181 0000E 00001*")</f>
        <v>3499.95</v>
      </c>
      <c r="G5013" s="35">
        <f>SUMIFS(G5014:G9015,K5014:K9015,"0",B5014:B9015,"5 1 2 1 1 12 31111 6 M59 20500 000181 0000E 00001*")</f>
        <v>0</v>
      </c>
      <c r="H5013" s="35">
        <f t="shared" si="79"/>
        <v>3499.95</v>
      </c>
      <c r="I5013" s="35"/>
      <c r="K5013" t="s">
        <v>15</v>
      </c>
    </row>
    <row r="5014" spans="2:11" ht="24.75" x14ac:dyDescent="0.2">
      <c r="B5014" s="33" t="s">
        <v>5977</v>
      </c>
      <c r="C5014" s="33" t="s">
        <v>5827</v>
      </c>
      <c r="D5014" s="35">
        <f>SUMIFS(D5015:D9015,K5015:K9015,"0",B5015:B9015,"5 1 2 1 1 12 31111 6 M59 20500 000181 0000E 00001 00211*")-SUMIFS(E5015:E9015,K5015:K9015,"0",B5015:B9015,"5 1 2 1 1 12 31111 6 M59 20500 000181 0000E 00001 00211*")</f>
        <v>0</v>
      </c>
      <c r="E5014"/>
      <c r="F5014" s="35">
        <f>SUMIFS(F5015:F9015,K5015:K9015,"0",B5015:B9015,"5 1 2 1 1 12 31111 6 M59 20500 000181 0000E 00001 00211*")</f>
        <v>3499.95</v>
      </c>
      <c r="G5014" s="35">
        <f>SUMIFS(G5015:G9015,K5015:K9015,"0",B5015:B9015,"5 1 2 1 1 12 31111 6 M59 20500 000181 0000E 00001 00211*")</f>
        <v>0</v>
      </c>
      <c r="H5014" s="35">
        <f t="shared" si="79"/>
        <v>3499.95</v>
      </c>
      <c r="I5014" s="35"/>
      <c r="K5014" t="s">
        <v>15</v>
      </c>
    </row>
    <row r="5015" spans="2:11" ht="24.75" x14ac:dyDescent="0.2">
      <c r="B5015" s="33" t="s">
        <v>5978</v>
      </c>
      <c r="C5015" s="33" t="s">
        <v>699</v>
      </c>
      <c r="D5015" s="35">
        <f>SUMIFS(D5016:D9015,K5016:K9015,"0",B5016:B9015,"5 1 2 1 1 12 31111 6 M59 20500 000181 0000E 00001 00211 011*")-SUMIFS(E5016:E9015,K5016:K9015,"0",B5016:B9015,"5 1 2 1 1 12 31111 6 M59 20500 000181 0000E 00001 00211 011*")</f>
        <v>0</v>
      </c>
      <c r="E5015"/>
      <c r="F5015" s="35">
        <f>SUMIFS(F5016:F9015,K5016:K9015,"0",B5016:B9015,"5 1 2 1 1 12 31111 6 M59 20500 000181 0000E 00001 00211 011*")</f>
        <v>3499.95</v>
      </c>
      <c r="G5015" s="35">
        <f>SUMIFS(G5016:G9015,K5016:K9015,"0",B5016:B9015,"5 1 2 1 1 12 31111 6 M59 20500 000181 0000E 00001 00211 011*")</f>
        <v>0</v>
      </c>
      <c r="H5015" s="35">
        <f t="shared" si="79"/>
        <v>3499.95</v>
      </c>
      <c r="I5015" s="35"/>
      <c r="K5015" t="s">
        <v>15</v>
      </c>
    </row>
    <row r="5016" spans="2:11" ht="33" x14ac:dyDescent="0.2">
      <c r="B5016" s="33" t="s">
        <v>5979</v>
      </c>
      <c r="C5016" s="33" t="s">
        <v>5830</v>
      </c>
      <c r="D5016" s="35">
        <f>SUMIFS(D5017:D9015,K5017:K9015,"0",B5017:B9015,"5 1 2 1 1 12 31111 6 M59 20500 000181 0000E 00001 00211 011 2112000*")-SUMIFS(E5017:E9015,K5017:K9015,"0",B5017:B9015,"5 1 2 1 1 12 31111 6 M59 20500 000181 0000E 00001 00211 011 2112000*")</f>
        <v>0</v>
      </c>
      <c r="E5016"/>
      <c r="F5016" s="35">
        <f>SUMIFS(F5017:F9015,K5017:K9015,"0",B5017:B9015,"5 1 2 1 1 12 31111 6 M59 20500 000181 0000E 00001 00211 011 2112000*")</f>
        <v>3499.95</v>
      </c>
      <c r="G5016" s="35">
        <f>SUMIFS(G5017:G9015,K5017:K9015,"0",B5017:B9015,"5 1 2 1 1 12 31111 6 M59 20500 000181 0000E 00001 00211 011 2112000*")</f>
        <v>0</v>
      </c>
      <c r="H5016" s="35">
        <f t="shared" si="79"/>
        <v>3499.95</v>
      </c>
      <c r="I5016" s="35"/>
      <c r="K5016" t="s">
        <v>15</v>
      </c>
    </row>
    <row r="5017" spans="2:11" ht="33" x14ac:dyDescent="0.2">
      <c r="B5017" s="33" t="s">
        <v>5980</v>
      </c>
      <c r="C5017" s="33" t="s">
        <v>660</v>
      </c>
      <c r="D5017" s="35">
        <f>SUMIFS(D5018:D9015,K5018:K9015,"0",B5018:B9015,"5 1 2 1 1 12 31111 6 M59 20500 000181 0000E 00001 00211 011 2112000 2024*")-SUMIFS(E5018:E9015,K5018:K9015,"0",B5018:B9015,"5 1 2 1 1 12 31111 6 M59 20500 000181 0000E 00001 00211 011 2112000 2024*")</f>
        <v>0</v>
      </c>
      <c r="E5017"/>
      <c r="F5017" s="35">
        <f>SUMIFS(F5018:F9015,K5018:K9015,"0",B5018:B9015,"5 1 2 1 1 12 31111 6 M59 20500 000181 0000E 00001 00211 011 2112000 2024*")</f>
        <v>3499.95</v>
      </c>
      <c r="G5017" s="35">
        <f>SUMIFS(G5018:G9015,K5018:K9015,"0",B5018:B9015,"5 1 2 1 1 12 31111 6 M59 20500 000181 0000E 00001 00211 011 2112000 2024*")</f>
        <v>0</v>
      </c>
      <c r="H5017" s="35">
        <f t="shared" si="79"/>
        <v>3499.95</v>
      </c>
      <c r="I5017" s="35"/>
      <c r="K5017" t="s">
        <v>15</v>
      </c>
    </row>
    <row r="5018" spans="2:11" ht="49.5" x14ac:dyDescent="0.2">
      <c r="B5018" s="33" t="s">
        <v>5981</v>
      </c>
      <c r="C5018" s="33" t="s">
        <v>5982</v>
      </c>
      <c r="D5018" s="35">
        <f>SUMIFS(D5019:D9015,K5019:K9015,"0",B5019:B9015,"5 1 2 1 1 12 31111 6 M59 20500 000181 0000E 00001 00211 011 2112000 2024 CP3CP471*")-SUMIFS(E5019:E9015,K5019:K9015,"0",B5019:B9015,"5 1 2 1 1 12 31111 6 M59 20500 000181 0000E 00001 00211 011 2112000 2024 CP3CP471*")</f>
        <v>0</v>
      </c>
      <c r="E5018"/>
      <c r="F5018" s="35">
        <f>SUMIFS(F5019:F9015,K5019:K9015,"0",B5019:B9015,"5 1 2 1 1 12 31111 6 M59 20500 000181 0000E 00001 00211 011 2112000 2024 CP3CP471*")</f>
        <v>3499.95</v>
      </c>
      <c r="G5018" s="35">
        <f>SUMIFS(G5019:G9015,K5019:K9015,"0",B5019:B9015,"5 1 2 1 1 12 31111 6 M59 20500 000181 0000E 00001 00211 011 2112000 2024 CP3CP471*")</f>
        <v>0</v>
      </c>
      <c r="H5018" s="35">
        <f t="shared" si="79"/>
        <v>3499.95</v>
      </c>
      <c r="I5018" s="35"/>
      <c r="K5018" t="s">
        <v>15</v>
      </c>
    </row>
    <row r="5019" spans="2:11" ht="41.25" x14ac:dyDescent="0.2">
      <c r="B5019" s="33" t="s">
        <v>5983</v>
      </c>
      <c r="C5019" s="33" t="s">
        <v>46</v>
      </c>
      <c r="D5019" s="35">
        <f>SUMIFS(D5020:D9015,K5020:K9015,"0",B5020:B9015,"5 1 2 1 1 12 31111 6 M59 20500 000181 0000E 00001 00211 011 2112000 2024 CP3CP471 004*")-SUMIFS(E5020:E9015,K5020:K9015,"0",B5020:B9015,"5 1 2 1 1 12 31111 6 M59 20500 000181 0000E 00001 00211 011 2112000 2024 CP3CP471 004*")</f>
        <v>0</v>
      </c>
      <c r="E5019"/>
      <c r="F5019" s="35">
        <f>SUMIFS(F5020:F9015,K5020:K9015,"0",B5020:B9015,"5 1 2 1 1 12 31111 6 M59 20500 000181 0000E 00001 00211 011 2112000 2024 CP3CP471 004*")</f>
        <v>3499.95</v>
      </c>
      <c r="G5019" s="35">
        <f>SUMIFS(G5020:G9015,K5020:K9015,"0",B5020:B9015,"5 1 2 1 1 12 31111 6 M59 20500 000181 0000E 00001 00211 011 2112000 2024 CP3CP471 004*")</f>
        <v>0</v>
      </c>
      <c r="H5019" s="35">
        <f t="shared" si="79"/>
        <v>3499.95</v>
      </c>
      <c r="I5019" s="35"/>
      <c r="K5019" t="s">
        <v>15</v>
      </c>
    </row>
    <row r="5020" spans="2:11" ht="33" x14ac:dyDescent="0.2">
      <c r="B5020" s="31" t="s">
        <v>5984</v>
      </c>
      <c r="C5020" s="31" t="s">
        <v>5817</v>
      </c>
      <c r="D5020" s="34">
        <v>0</v>
      </c>
      <c r="E5020" s="34"/>
      <c r="F5020" s="34">
        <v>3499.95</v>
      </c>
      <c r="G5020" s="34">
        <v>0</v>
      </c>
      <c r="H5020" s="34">
        <f t="shared" si="79"/>
        <v>3499.95</v>
      </c>
      <c r="I5020" s="34"/>
      <c r="K5020" t="s">
        <v>38</v>
      </c>
    </row>
    <row r="5021" spans="2:11" ht="16.5" x14ac:dyDescent="0.2">
      <c r="B5021" s="33" t="s">
        <v>5985</v>
      </c>
      <c r="C5021" s="33" t="s">
        <v>3126</v>
      </c>
      <c r="D5021" s="35">
        <f>SUMIFS(D5022:D9015,K5022:K9015,"0",B5022:B9015,"5 1 2 1 1 12 31111 6 M59 20600*")-SUMIFS(E5022:E9015,K5022:K9015,"0",B5022:B9015,"5 1 2 1 1 12 31111 6 M59 20600*")</f>
        <v>0</v>
      </c>
      <c r="E5021"/>
      <c r="F5021" s="35">
        <f>SUMIFS(F5022:F9015,K5022:K9015,"0",B5022:B9015,"5 1 2 1 1 12 31111 6 M59 20600*")</f>
        <v>7607.04</v>
      </c>
      <c r="G5021" s="35">
        <f>SUMIFS(G5022:G9015,K5022:K9015,"0",B5022:B9015,"5 1 2 1 1 12 31111 6 M59 20600*")</f>
        <v>0</v>
      </c>
      <c r="H5021" s="35">
        <f t="shared" si="79"/>
        <v>7607.04</v>
      </c>
      <c r="I5021" s="35"/>
      <c r="K5021" t="s">
        <v>15</v>
      </c>
    </row>
    <row r="5022" spans="2:11" ht="16.5" x14ac:dyDescent="0.2">
      <c r="B5022" s="33" t="s">
        <v>5986</v>
      </c>
      <c r="C5022" s="33" t="s">
        <v>648</v>
      </c>
      <c r="D5022" s="35">
        <f>SUMIFS(D5023:D9015,K5023:K9015,"0",B5023:B9015,"5 1 2 1 1 12 31111 6 M59 20600 000132*")-SUMIFS(E5023:E9015,K5023:K9015,"0",B5023:B9015,"5 1 2 1 1 12 31111 6 M59 20600 000132*")</f>
        <v>0</v>
      </c>
      <c r="E5022"/>
      <c r="F5022" s="35">
        <f>SUMIFS(F5023:F9015,K5023:K9015,"0",B5023:B9015,"5 1 2 1 1 12 31111 6 M59 20600 000132*")</f>
        <v>7607.04</v>
      </c>
      <c r="G5022" s="35">
        <f>SUMIFS(G5023:G9015,K5023:K9015,"0",B5023:B9015,"5 1 2 1 1 12 31111 6 M59 20600 000132*")</f>
        <v>0</v>
      </c>
      <c r="H5022" s="35">
        <f t="shared" si="79"/>
        <v>7607.04</v>
      </c>
      <c r="I5022" s="35"/>
      <c r="K5022" t="s">
        <v>15</v>
      </c>
    </row>
    <row r="5023" spans="2:11" ht="16.5" x14ac:dyDescent="0.2">
      <c r="B5023" s="33" t="s">
        <v>5987</v>
      </c>
      <c r="C5023" s="33" t="s">
        <v>650</v>
      </c>
      <c r="D5023" s="35">
        <f>SUMIFS(D5024:D9015,K5024:K9015,"0",B5024:B9015,"5 1 2 1 1 12 31111 6 M59 20600 000132 0000R*")-SUMIFS(E5024:E9015,K5024:K9015,"0",B5024:B9015,"5 1 2 1 1 12 31111 6 M59 20600 000132 0000R*")</f>
        <v>0</v>
      </c>
      <c r="E5023"/>
      <c r="F5023" s="35">
        <f>SUMIFS(F5024:F9015,K5024:K9015,"0",B5024:B9015,"5 1 2 1 1 12 31111 6 M59 20600 000132 0000R*")</f>
        <v>7607.04</v>
      </c>
      <c r="G5023" s="35">
        <f>SUMIFS(G5024:G9015,K5024:K9015,"0",B5024:B9015,"5 1 2 1 1 12 31111 6 M59 20600 000132 0000R*")</f>
        <v>0</v>
      </c>
      <c r="H5023" s="35">
        <f t="shared" si="79"/>
        <v>7607.04</v>
      </c>
      <c r="I5023" s="35"/>
      <c r="K5023" t="s">
        <v>15</v>
      </c>
    </row>
    <row r="5024" spans="2:11" ht="24.75" x14ac:dyDescent="0.2">
      <c r="B5024" s="33" t="s">
        <v>5988</v>
      </c>
      <c r="C5024" s="33" t="s">
        <v>282</v>
      </c>
      <c r="D5024" s="35">
        <f>SUMIFS(D5025:D9015,K5025:K9015,"0",B5025:B9015,"5 1 2 1 1 12 31111 6 M59 20600 000132 0000R 00001*")-SUMIFS(E5025:E9015,K5025:K9015,"0",B5025:B9015,"5 1 2 1 1 12 31111 6 M59 20600 000132 0000R 00001*")</f>
        <v>0</v>
      </c>
      <c r="E5024"/>
      <c r="F5024" s="35">
        <f>SUMIFS(F5025:F9015,K5025:K9015,"0",B5025:B9015,"5 1 2 1 1 12 31111 6 M59 20600 000132 0000R 00001*")</f>
        <v>7607.04</v>
      </c>
      <c r="G5024" s="35">
        <f>SUMIFS(G5025:G9015,K5025:K9015,"0",B5025:B9015,"5 1 2 1 1 12 31111 6 M59 20600 000132 0000R 00001*")</f>
        <v>0</v>
      </c>
      <c r="H5024" s="35">
        <f t="shared" si="79"/>
        <v>7607.04</v>
      </c>
      <c r="I5024" s="35"/>
      <c r="K5024" t="s">
        <v>15</v>
      </c>
    </row>
    <row r="5025" spans="2:11" ht="24.75" x14ac:dyDescent="0.2">
      <c r="B5025" s="33" t="s">
        <v>5989</v>
      </c>
      <c r="C5025" s="33" t="s">
        <v>5827</v>
      </c>
      <c r="D5025" s="35">
        <f>SUMIFS(D5026:D9015,K5026:K9015,"0",B5026:B9015,"5 1 2 1 1 12 31111 6 M59 20600 000132 0000R 00001 00211*")-SUMIFS(E5026:E9015,K5026:K9015,"0",B5026:B9015,"5 1 2 1 1 12 31111 6 M59 20600 000132 0000R 00001 00211*")</f>
        <v>0</v>
      </c>
      <c r="E5025"/>
      <c r="F5025" s="35">
        <f>SUMIFS(F5026:F9015,K5026:K9015,"0",B5026:B9015,"5 1 2 1 1 12 31111 6 M59 20600 000132 0000R 00001 00211*")</f>
        <v>7607.04</v>
      </c>
      <c r="G5025" s="35">
        <f>SUMIFS(G5026:G9015,K5026:K9015,"0",B5026:B9015,"5 1 2 1 1 12 31111 6 M59 20600 000132 0000R 00001 00211*")</f>
        <v>0</v>
      </c>
      <c r="H5025" s="35">
        <f t="shared" si="79"/>
        <v>7607.04</v>
      </c>
      <c r="I5025" s="35"/>
      <c r="K5025" t="s">
        <v>15</v>
      </c>
    </row>
    <row r="5026" spans="2:11" ht="24.75" x14ac:dyDescent="0.2">
      <c r="B5026" s="33" t="s">
        <v>5990</v>
      </c>
      <c r="C5026" s="33" t="s">
        <v>1051</v>
      </c>
      <c r="D5026" s="35">
        <f>SUMIFS(D5027:D9015,K5027:K9015,"0",B5027:B9015,"5 1 2 1 1 12 31111 6 M59 20600 000132 0000R 00001 00211 015*")-SUMIFS(E5027:E9015,K5027:K9015,"0",B5027:B9015,"5 1 2 1 1 12 31111 6 M59 20600 000132 0000R 00001 00211 015*")</f>
        <v>0</v>
      </c>
      <c r="E5026"/>
      <c r="F5026" s="35">
        <f>SUMIFS(F5027:F9015,K5027:K9015,"0",B5027:B9015,"5 1 2 1 1 12 31111 6 M59 20600 000132 0000R 00001 00211 015*")</f>
        <v>7607.04</v>
      </c>
      <c r="G5026" s="35">
        <f>SUMIFS(G5027:G9015,K5027:K9015,"0",B5027:B9015,"5 1 2 1 1 12 31111 6 M59 20600 000132 0000R 00001 00211 015*")</f>
        <v>0</v>
      </c>
      <c r="H5026" s="35">
        <f t="shared" si="79"/>
        <v>7607.04</v>
      </c>
      <c r="I5026" s="35"/>
      <c r="K5026" t="s">
        <v>15</v>
      </c>
    </row>
    <row r="5027" spans="2:11" ht="33" x14ac:dyDescent="0.2">
      <c r="B5027" s="33" t="s">
        <v>5991</v>
      </c>
      <c r="C5027" s="33" t="s">
        <v>5830</v>
      </c>
      <c r="D5027" s="35">
        <f>SUMIFS(D5028:D9015,K5028:K9015,"0",B5028:B9015,"5 1 2 1 1 12 31111 6 M59 20600 000132 0000R 00001 00211 015 2112000*")-SUMIFS(E5028:E9015,K5028:K9015,"0",B5028:B9015,"5 1 2 1 1 12 31111 6 M59 20600 000132 0000R 00001 00211 015 2112000*")</f>
        <v>0</v>
      </c>
      <c r="E5027"/>
      <c r="F5027" s="35">
        <f>SUMIFS(F5028:F9015,K5028:K9015,"0",B5028:B9015,"5 1 2 1 1 12 31111 6 M59 20600 000132 0000R 00001 00211 015 2112000*")</f>
        <v>7607.04</v>
      </c>
      <c r="G5027" s="35">
        <f>SUMIFS(G5028:G9015,K5028:K9015,"0",B5028:B9015,"5 1 2 1 1 12 31111 6 M59 20600 000132 0000R 00001 00211 015 2112000*")</f>
        <v>0</v>
      </c>
      <c r="H5027" s="35">
        <f t="shared" si="79"/>
        <v>7607.04</v>
      </c>
      <c r="I5027" s="35"/>
      <c r="K5027" t="s">
        <v>15</v>
      </c>
    </row>
    <row r="5028" spans="2:11" ht="33" x14ac:dyDescent="0.2">
      <c r="B5028" s="33" t="s">
        <v>5992</v>
      </c>
      <c r="C5028" s="33" t="s">
        <v>660</v>
      </c>
      <c r="D5028" s="35">
        <f>SUMIFS(D5029:D9015,K5029:K9015,"0",B5029:B9015,"5 1 2 1 1 12 31111 6 M59 20600 000132 0000R 00001 00211 015 2112000 2024*")-SUMIFS(E5029:E9015,K5029:K9015,"0",B5029:B9015,"5 1 2 1 1 12 31111 6 M59 20600 000132 0000R 00001 00211 015 2112000 2024*")</f>
        <v>0</v>
      </c>
      <c r="E5028"/>
      <c r="F5028" s="35">
        <f>SUMIFS(F5029:F9015,K5029:K9015,"0",B5029:B9015,"5 1 2 1 1 12 31111 6 M59 20600 000132 0000R 00001 00211 015 2112000 2024*")</f>
        <v>7607.04</v>
      </c>
      <c r="G5028" s="35">
        <f>SUMIFS(G5029:G9015,K5029:K9015,"0",B5029:B9015,"5 1 2 1 1 12 31111 6 M59 20600 000132 0000R 00001 00211 015 2112000 2024*")</f>
        <v>0</v>
      </c>
      <c r="H5028" s="35">
        <f t="shared" si="79"/>
        <v>7607.04</v>
      </c>
      <c r="I5028" s="35"/>
      <c r="K5028" t="s">
        <v>15</v>
      </c>
    </row>
    <row r="5029" spans="2:11" ht="41.25" x14ac:dyDescent="0.2">
      <c r="B5029" s="33" t="s">
        <v>5993</v>
      </c>
      <c r="C5029" s="33" t="s">
        <v>1056</v>
      </c>
      <c r="D5029" s="35">
        <f>SUMIFS(D5030:D9015,K5030:K9015,"0",B5030:B9015,"5 1 2 1 1 12 31111 6 M59 20600 000132 0000R 00001 00211 015 2112000 2024 CP1CA380*")-SUMIFS(E5030:E9015,K5030:K9015,"0",B5030:B9015,"5 1 2 1 1 12 31111 6 M59 20600 000132 0000R 00001 00211 015 2112000 2024 CP1CA380*")</f>
        <v>0</v>
      </c>
      <c r="E5029"/>
      <c r="F5029" s="35">
        <f>SUMIFS(F5030:F9015,K5030:K9015,"0",B5030:B9015,"5 1 2 1 1 12 31111 6 M59 20600 000132 0000R 00001 00211 015 2112000 2024 CP1CA380*")</f>
        <v>7607.04</v>
      </c>
      <c r="G5029" s="35">
        <f>SUMIFS(G5030:G9015,K5030:K9015,"0",B5030:B9015,"5 1 2 1 1 12 31111 6 M59 20600 000132 0000R 00001 00211 015 2112000 2024 CP1CA380*")</f>
        <v>0</v>
      </c>
      <c r="H5029" s="35">
        <f t="shared" si="79"/>
        <v>7607.04</v>
      </c>
      <c r="I5029" s="35"/>
      <c r="K5029" t="s">
        <v>15</v>
      </c>
    </row>
    <row r="5030" spans="2:11" ht="41.25" x14ac:dyDescent="0.2">
      <c r="B5030" s="33" t="s">
        <v>5994</v>
      </c>
      <c r="C5030" s="33" t="s">
        <v>282</v>
      </c>
      <c r="D5030" s="35">
        <f>SUMIFS(D5031:D9015,K5031:K9015,"0",B5031:B9015,"5 1 2 1 1 12 31111 6 M59 20600 000132 0000R 00001 00211 015 2112000 2024 CP1CA380 001*")-SUMIFS(E5031:E9015,K5031:K9015,"0",B5031:B9015,"5 1 2 1 1 12 31111 6 M59 20600 000132 0000R 00001 00211 015 2112000 2024 CP1CA380 001*")</f>
        <v>0</v>
      </c>
      <c r="E5030"/>
      <c r="F5030" s="35">
        <f>SUMIFS(F5031:F9015,K5031:K9015,"0",B5031:B9015,"5 1 2 1 1 12 31111 6 M59 20600 000132 0000R 00001 00211 015 2112000 2024 CP1CA380 001*")</f>
        <v>7607.04</v>
      </c>
      <c r="G5030" s="35">
        <f>SUMIFS(G5031:G9015,K5031:K9015,"0",B5031:B9015,"5 1 2 1 1 12 31111 6 M59 20600 000132 0000R 00001 00211 015 2112000 2024 CP1CA380 001*")</f>
        <v>0</v>
      </c>
      <c r="H5030" s="35">
        <f t="shared" si="79"/>
        <v>7607.04</v>
      </c>
      <c r="I5030" s="35"/>
      <c r="K5030" t="s">
        <v>15</v>
      </c>
    </row>
    <row r="5031" spans="2:11" ht="41.25" x14ac:dyDescent="0.2">
      <c r="B5031" s="31" t="s">
        <v>5995</v>
      </c>
      <c r="C5031" s="31" t="s">
        <v>5827</v>
      </c>
      <c r="D5031" s="34">
        <v>0</v>
      </c>
      <c r="E5031" s="34"/>
      <c r="F5031" s="34">
        <v>7607.04</v>
      </c>
      <c r="G5031" s="34">
        <v>0</v>
      </c>
      <c r="H5031" s="34">
        <f t="shared" si="79"/>
        <v>7607.04</v>
      </c>
      <c r="I5031" s="34"/>
      <c r="K5031" t="s">
        <v>38</v>
      </c>
    </row>
    <row r="5032" spans="2:11" ht="16.5" x14ac:dyDescent="0.2">
      <c r="B5032" s="33" t="s">
        <v>5996</v>
      </c>
      <c r="C5032" s="33" t="s">
        <v>3138</v>
      </c>
      <c r="D5032" s="35">
        <f>SUMIFS(D5033:D9015,K5033:K9015,"0",B5033:B9015,"5 1 2 1 1 12 31111 6 M59 20700*")-SUMIFS(E5033:E9015,K5033:K9015,"0",B5033:B9015,"5 1 2 1 1 12 31111 6 M59 20700*")</f>
        <v>0</v>
      </c>
      <c r="E5032"/>
      <c r="F5032" s="35">
        <f>SUMIFS(F5033:F9015,K5033:K9015,"0",B5033:B9015,"5 1 2 1 1 12 31111 6 M59 20700*")</f>
        <v>250</v>
      </c>
      <c r="G5032" s="35">
        <f>SUMIFS(G5033:G9015,K5033:K9015,"0",B5033:B9015,"5 1 2 1 1 12 31111 6 M59 20700*")</f>
        <v>0</v>
      </c>
      <c r="H5032" s="35">
        <f t="shared" si="79"/>
        <v>250</v>
      </c>
      <c r="I5032" s="35"/>
      <c r="K5032" t="s">
        <v>15</v>
      </c>
    </row>
    <row r="5033" spans="2:11" ht="16.5" x14ac:dyDescent="0.2">
      <c r="B5033" s="33" t="s">
        <v>5997</v>
      </c>
      <c r="C5033" s="33" t="s">
        <v>648</v>
      </c>
      <c r="D5033" s="35">
        <f>SUMIFS(D5034:D9015,K5034:K9015,"0",B5034:B9015,"5 1 2 1 1 12 31111 6 M59 20700 000132*")-SUMIFS(E5034:E9015,K5034:K9015,"0",B5034:B9015,"5 1 2 1 1 12 31111 6 M59 20700 000132*")</f>
        <v>0</v>
      </c>
      <c r="E5033"/>
      <c r="F5033" s="35">
        <f>SUMIFS(F5034:F9015,K5034:K9015,"0",B5034:B9015,"5 1 2 1 1 12 31111 6 M59 20700 000132*")</f>
        <v>250</v>
      </c>
      <c r="G5033" s="35">
        <f>SUMIFS(G5034:G9015,K5034:K9015,"0",B5034:B9015,"5 1 2 1 1 12 31111 6 M59 20700 000132*")</f>
        <v>0</v>
      </c>
      <c r="H5033" s="35">
        <f t="shared" si="79"/>
        <v>250</v>
      </c>
      <c r="I5033" s="35"/>
      <c r="K5033" t="s">
        <v>15</v>
      </c>
    </row>
    <row r="5034" spans="2:11" ht="16.5" x14ac:dyDescent="0.2">
      <c r="B5034" s="33" t="s">
        <v>5998</v>
      </c>
      <c r="C5034" s="33" t="s">
        <v>650</v>
      </c>
      <c r="D5034" s="35">
        <f>SUMIFS(D5035:D9015,K5035:K9015,"0",B5035:B9015,"5 1 2 1 1 12 31111 6 M59 20700 000132 0000R*")-SUMIFS(E5035:E9015,K5035:K9015,"0",B5035:B9015,"5 1 2 1 1 12 31111 6 M59 20700 000132 0000R*")</f>
        <v>0</v>
      </c>
      <c r="E5034"/>
      <c r="F5034" s="35">
        <f>SUMIFS(F5035:F9015,K5035:K9015,"0",B5035:B9015,"5 1 2 1 1 12 31111 6 M59 20700 000132 0000R*")</f>
        <v>250</v>
      </c>
      <c r="G5034" s="35">
        <f>SUMIFS(G5035:G9015,K5035:K9015,"0",B5035:B9015,"5 1 2 1 1 12 31111 6 M59 20700 000132 0000R*")</f>
        <v>0</v>
      </c>
      <c r="H5034" s="35">
        <f t="shared" si="79"/>
        <v>250</v>
      </c>
      <c r="I5034" s="35"/>
      <c r="K5034" t="s">
        <v>15</v>
      </c>
    </row>
    <row r="5035" spans="2:11" ht="24.75" x14ac:dyDescent="0.2">
      <c r="B5035" s="33" t="s">
        <v>5999</v>
      </c>
      <c r="C5035" s="33" t="s">
        <v>282</v>
      </c>
      <c r="D5035" s="35">
        <f>SUMIFS(D5036:D9015,K5036:K9015,"0",B5036:B9015,"5 1 2 1 1 12 31111 6 M59 20700 000132 0000R 00001*")-SUMIFS(E5036:E9015,K5036:K9015,"0",B5036:B9015,"5 1 2 1 1 12 31111 6 M59 20700 000132 0000R 00001*")</f>
        <v>0</v>
      </c>
      <c r="E5035"/>
      <c r="F5035" s="35">
        <f>SUMIFS(F5036:F9015,K5036:K9015,"0",B5036:B9015,"5 1 2 1 1 12 31111 6 M59 20700 000132 0000R 00001*")</f>
        <v>250</v>
      </c>
      <c r="G5035" s="35">
        <f>SUMIFS(G5036:G9015,K5036:K9015,"0",B5036:B9015,"5 1 2 1 1 12 31111 6 M59 20700 000132 0000R 00001*")</f>
        <v>0</v>
      </c>
      <c r="H5035" s="35">
        <f t="shared" si="79"/>
        <v>250</v>
      </c>
      <c r="I5035" s="35"/>
      <c r="K5035" t="s">
        <v>15</v>
      </c>
    </row>
    <row r="5036" spans="2:11" ht="24.75" x14ac:dyDescent="0.2">
      <c r="B5036" s="33" t="s">
        <v>6000</v>
      </c>
      <c r="C5036" s="33" t="s">
        <v>5827</v>
      </c>
      <c r="D5036" s="35">
        <f>SUMIFS(D5037:D9015,K5037:K9015,"0",B5037:B9015,"5 1 2 1 1 12 31111 6 M59 20700 000132 0000R 00001 00211*")-SUMIFS(E5037:E9015,K5037:K9015,"0",B5037:B9015,"5 1 2 1 1 12 31111 6 M59 20700 000132 0000R 00001 00211*")</f>
        <v>0</v>
      </c>
      <c r="E5036"/>
      <c r="F5036" s="35">
        <f>SUMIFS(F5037:F9015,K5037:K9015,"0",B5037:B9015,"5 1 2 1 1 12 31111 6 M59 20700 000132 0000R 00001 00211*")</f>
        <v>250</v>
      </c>
      <c r="G5036" s="35">
        <f>SUMIFS(G5037:G9015,K5037:K9015,"0",B5037:B9015,"5 1 2 1 1 12 31111 6 M59 20700 000132 0000R 00001 00211*")</f>
        <v>0</v>
      </c>
      <c r="H5036" s="35">
        <f t="shared" si="79"/>
        <v>250</v>
      </c>
      <c r="I5036" s="35"/>
      <c r="K5036" t="s">
        <v>15</v>
      </c>
    </row>
    <row r="5037" spans="2:11" ht="24.75" x14ac:dyDescent="0.2">
      <c r="B5037" s="33" t="s">
        <v>6001</v>
      </c>
      <c r="C5037" s="33" t="s">
        <v>1051</v>
      </c>
      <c r="D5037" s="35">
        <f>SUMIFS(D5038:D9015,K5038:K9015,"0",B5038:B9015,"5 1 2 1 1 12 31111 6 M59 20700 000132 0000R 00001 00211 015*")-SUMIFS(E5038:E9015,K5038:K9015,"0",B5038:B9015,"5 1 2 1 1 12 31111 6 M59 20700 000132 0000R 00001 00211 015*")</f>
        <v>0</v>
      </c>
      <c r="E5037"/>
      <c r="F5037" s="35">
        <f>SUMIFS(F5038:F9015,K5038:K9015,"0",B5038:B9015,"5 1 2 1 1 12 31111 6 M59 20700 000132 0000R 00001 00211 015*")</f>
        <v>250</v>
      </c>
      <c r="G5037" s="35">
        <f>SUMIFS(G5038:G9015,K5038:K9015,"0",B5038:B9015,"5 1 2 1 1 12 31111 6 M59 20700 000132 0000R 00001 00211 015*")</f>
        <v>0</v>
      </c>
      <c r="H5037" s="35">
        <f t="shared" si="79"/>
        <v>250</v>
      </c>
      <c r="I5037" s="35"/>
      <c r="K5037" t="s">
        <v>15</v>
      </c>
    </row>
    <row r="5038" spans="2:11" ht="33" x14ac:dyDescent="0.2">
      <c r="B5038" s="33" t="s">
        <v>6002</v>
      </c>
      <c r="C5038" s="33" t="s">
        <v>5830</v>
      </c>
      <c r="D5038" s="35">
        <f>SUMIFS(D5039:D9015,K5039:K9015,"0",B5039:B9015,"5 1 2 1 1 12 31111 6 M59 20700 000132 0000R 00001 00211 015 2112000*")-SUMIFS(E5039:E9015,K5039:K9015,"0",B5039:B9015,"5 1 2 1 1 12 31111 6 M59 20700 000132 0000R 00001 00211 015 2112000*")</f>
        <v>0</v>
      </c>
      <c r="E5038"/>
      <c r="F5038" s="35">
        <f>SUMIFS(F5039:F9015,K5039:K9015,"0",B5039:B9015,"5 1 2 1 1 12 31111 6 M59 20700 000132 0000R 00001 00211 015 2112000*")</f>
        <v>250</v>
      </c>
      <c r="G5038" s="35">
        <f>SUMIFS(G5039:G9015,K5039:K9015,"0",B5039:B9015,"5 1 2 1 1 12 31111 6 M59 20700 000132 0000R 00001 00211 015 2112000*")</f>
        <v>0</v>
      </c>
      <c r="H5038" s="35">
        <f t="shared" si="79"/>
        <v>250</v>
      </c>
      <c r="I5038" s="35"/>
      <c r="K5038" t="s">
        <v>15</v>
      </c>
    </row>
    <row r="5039" spans="2:11" ht="33" x14ac:dyDescent="0.2">
      <c r="B5039" s="33" t="s">
        <v>6003</v>
      </c>
      <c r="C5039" s="33" t="s">
        <v>660</v>
      </c>
      <c r="D5039" s="35">
        <f>SUMIFS(D5040:D9015,K5040:K9015,"0",B5040:B9015,"5 1 2 1 1 12 31111 6 M59 20700 000132 0000R 00001 00211 015 2112000 2024*")-SUMIFS(E5040:E9015,K5040:K9015,"0",B5040:B9015,"5 1 2 1 1 12 31111 6 M59 20700 000132 0000R 00001 00211 015 2112000 2024*")</f>
        <v>0</v>
      </c>
      <c r="E5039"/>
      <c r="F5039" s="35">
        <f>SUMIFS(F5040:F9015,K5040:K9015,"0",B5040:B9015,"5 1 2 1 1 12 31111 6 M59 20700 000132 0000R 00001 00211 015 2112000 2024*")</f>
        <v>250</v>
      </c>
      <c r="G5039" s="35">
        <f>SUMIFS(G5040:G9015,K5040:K9015,"0",B5040:B9015,"5 1 2 1 1 12 31111 6 M59 20700 000132 0000R 00001 00211 015 2112000 2024*")</f>
        <v>0</v>
      </c>
      <c r="H5039" s="35">
        <f t="shared" si="79"/>
        <v>250</v>
      </c>
      <c r="I5039" s="35"/>
      <c r="K5039" t="s">
        <v>15</v>
      </c>
    </row>
    <row r="5040" spans="2:11" ht="41.25" x14ac:dyDescent="0.2">
      <c r="B5040" s="33" t="s">
        <v>6004</v>
      </c>
      <c r="C5040" s="33" t="s">
        <v>662</v>
      </c>
      <c r="D5040" s="35">
        <f>SUMIFS(D5041:D9015,K5041:K9015,"0",B5041:B9015,"5 1 2 1 1 12 31111 6 M59 20700 000132 0000R 00001 00211 015 2112000 2024 CP1RM401*")-SUMIFS(E5041:E9015,K5041:K9015,"0",B5041:B9015,"5 1 2 1 1 12 31111 6 M59 20700 000132 0000R 00001 00211 015 2112000 2024 CP1RM401*")</f>
        <v>0</v>
      </c>
      <c r="E5040"/>
      <c r="F5040" s="35">
        <f>SUMIFS(F5041:F9015,K5041:K9015,"0",B5041:B9015,"5 1 2 1 1 12 31111 6 M59 20700 000132 0000R 00001 00211 015 2112000 2024 CP1RM401*")</f>
        <v>250</v>
      </c>
      <c r="G5040" s="35">
        <f>SUMIFS(G5041:G9015,K5041:K9015,"0",B5041:B9015,"5 1 2 1 1 12 31111 6 M59 20700 000132 0000R 00001 00211 015 2112000 2024 CP1RM401*")</f>
        <v>0</v>
      </c>
      <c r="H5040" s="35">
        <f t="shared" si="79"/>
        <v>250</v>
      </c>
      <c r="I5040" s="35"/>
      <c r="K5040" t="s">
        <v>15</v>
      </c>
    </row>
    <row r="5041" spans="2:11" ht="41.25" x14ac:dyDescent="0.2">
      <c r="B5041" s="33" t="s">
        <v>6005</v>
      </c>
      <c r="C5041" s="33" t="s">
        <v>282</v>
      </c>
      <c r="D5041" s="35">
        <f>SUMIFS(D5042:D9015,K5042:K9015,"0",B5042:B9015,"5 1 2 1 1 12 31111 6 M59 20700 000132 0000R 00001 00211 015 2112000 2024 CP1RM401 001*")-SUMIFS(E5042:E9015,K5042:K9015,"0",B5042:B9015,"5 1 2 1 1 12 31111 6 M59 20700 000132 0000R 00001 00211 015 2112000 2024 CP1RM401 001*")</f>
        <v>0</v>
      </c>
      <c r="E5041"/>
      <c r="F5041" s="35">
        <f>SUMIFS(F5042:F9015,K5042:K9015,"0",B5042:B9015,"5 1 2 1 1 12 31111 6 M59 20700 000132 0000R 00001 00211 015 2112000 2024 CP1RM401 001*")</f>
        <v>250</v>
      </c>
      <c r="G5041" s="35">
        <f>SUMIFS(G5042:G9015,K5042:K9015,"0",B5042:B9015,"5 1 2 1 1 12 31111 6 M59 20700 000132 0000R 00001 00211 015 2112000 2024 CP1RM401 001*")</f>
        <v>0</v>
      </c>
      <c r="H5041" s="35">
        <f t="shared" si="79"/>
        <v>250</v>
      </c>
      <c r="I5041" s="35"/>
      <c r="K5041" t="s">
        <v>15</v>
      </c>
    </row>
    <row r="5042" spans="2:11" ht="33" x14ac:dyDescent="0.2">
      <c r="B5042" s="31" t="s">
        <v>6006</v>
      </c>
      <c r="C5042" s="31" t="s">
        <v>5827</v>
      </c>
      <c r="D5042" s="34">
        <v>0</v>
      </c>
      <c r="E5042" s="34"/>
      <c r="F5042" s="34">
        <v>250</v>
      </c>
      <c r="G5042" s="34">
        <v>0</v>
      </c>
      <c r="H5042" s="34">
        <f t="shared" si="79"/>
        <v>250</v>
      </c>
      <c r="I5042" s="34"/>
      <c r="K5042" t="s">
        <v>38</v>
      </c>
    </row>
    <row r="5043" spans="2:11" ht="16.5" x14ac:dyDescent="0.2">
      <c r="B5043" s="33" t="s">
        <v>6007</v>
      </c>
      <c r="C5043" s="33" t="s">
        <v>3150</v>
      </c>
      <c r="D5043" s="35">
        <f>SUMIFS(D5044:D9015,K5044:K9015,"0",B5044:B9015,"5 1 2 1 1 12 31111 6 M59 20800*")-SUMIFS(E5044:E9015,K5044:K9015,"0",B5044:B9015,"5 1 2 1 1 12 31111 6 M59 20800*")</f>
        <v>0</v>
      </c>
      <c r="E5043"/>
      <c r="F5043" s="35">
        <f>SUMIFS(F5044:F9015,K5044:K9015,"0",B5044:B9015,"5 1 2 1 1 12 31111 6 M59 20800*")</f>
        <v>1749.99</v>
      </c>
      <c r="G5043" s="35">
        <f>SUMIFS(G5044:G9015,K5044:K9015,"0",B5044:B9015,"5 1 2 1 1 12 31111 6 M59 20800*")</f>
        <v>0</v>
      </c>
      <c r="H5043" s="35">
        <f t="shared" si="79"/>
        <v>1749.99</v>
      </c>
      <c r="I5043" s="35"/>
      <c r="K5043" t="s">
        <v>15</v>
      </c>
    </row>
    <row r="5044" spans="2:11" ht="24.75" x14ac:dyDescent="0.2">
      <c r="B5044" s="33" t="s">
        <v>6008</v>
      </c>
      <c r="C5044" s="33" t="s">
        <v>3152</v>
      </c>
      <c r="D5044" s="35">
        <f>SUMIFS(D5045:D9015,K5045:K9015,"0",B5045:B9015,"5 1 2 1 1 12 31111 6 M59 20800 000181*")-SUMIFS(E5045:E9015,K5045:K9015,"0",B5045:B9015,"5 1 2 1 1 12 31111 6 M59 20800 000181*")</f>
        <v>0</v>
      </c>
      <c r="E5044"/>
      <c r="F5044" s="35">
        <f>SUMIFS(F5045:F9015,K5045:K9015,"0",B5045:B9015,"5 1 2 1 1 12 31111 6 M59 20800 000181*")</f>
        <v>1749.99</v>
      </c>
      <c r="G5044" s="35">
        <f>SUMIFS(G5045:G9015,K5045:K9015,"0",B5045:B9015,"5 1 2 1 1 12 31111 6 M59 20800 000181*")</f>
        <v>0</v>
      </c>
      <c r="H5044" s="35">
        <f t="shared" si="79"/>
        <v>1749.99</v>
      </c>
      <c r="I5044" s="35"/>
      <c r="K5044" t="s">
        <v>15</v>
      </c>
    </row>
    <row r="5045" spans="2:11" ht="16.5" x14ac:dyDescent="0.2">
      <c r="B5045" s="33" t="s">
        <v>6009</v>
      </c>
      <c r="C5045" s="33" t="s">
        <v>650</v>
      </c>
      <c r="D5045" s="35">
        <f>SUMIFS(D5046:D9015,K5046:K9015,"0",B5046:B9015,"5 1 2 1 1 12 31111 6 M59 20800 000181 0000R*")-SUMIFS(E5046:E9015,K5046:K9015,"0",B5046:B9015,"5 1 2 1 1 12 31111 6 M59 20800 000181 0000R*")</f>
        <v>0</v>
      </c>
      <c r="E5045"/>
      <c r="F5045" s="35">
        <f>SUMIFS(F5046:F9015,K5046:K9015,"0",B5046:B9015,"5 1 2 1 1 12 31111 6 M59 20800 000181 0000R*")</f>
        <v>1749.99</v>
      </c>
      <c r="G5045" s="35">
        <f>SUMIFS(G5046:G9015,K5046:K9015,"0",B5046:B9015,"5 1 2 1 1 12 31111 6 M59 20800 000181 0000R*")</f>
        <v>0</v>
      </c>
      <c r="H5045" s="35">
        <f t="shared" si="79"/>
        <v>1749.99</v>
      </c>
      <c r="I5045" s="35"/>
      <c r="K5045" t="s">
        <v>15</v>
      </c>
    </row>
    <row r="5046" spans="2:11" ht="24.75" x14ac:dyDescent="0.2">
      <c r="B5046" s="33" t="s">
        <v>6010</v>
      </c>
      <c r="C5046" s="33" t="s">
        <v>282</v>
      </c>
      <c r="D5046" s="35">
        <f>SUMIFS(D5047:D9015,K5047:K9015,"0",B5047:B9015,"5 1 2 1 1 12 31111 6 M59 20800 000181 0000R 00001*")-SUMIFS(E5047:E9015,K5047:K9015,"0",B5047:B9015,"5 1 2 1 1 12 31111 6 M59 20800 000181 0000R 00001*")</f>
        <v>0</v>
      </c>
      <c r="E5046"/>
      <c r="F5046" s="35">
        <f>SUMIFS(F5047:F9015,K5047:K9015,"0",B5047:B9015,"5 1 2 1 1 12 31111 6 M59 20800 000181 0000R 00001*")</f>
        <v>1749.99</v>
      </c>
      <c r="G5046" s="35">
        <f>SUMIFS(G5047:G9015,K5047:K9015,"0",B5047:B9015,"5 1 2 1 1 12 31111 6 M59 20800 000181 0000R 00001*")</f>
        <v>0</v>
      </c>
      <c r="H5046" s="35">
        <f t="shared" si="79"/>
        <v>1749.99</v>
      </c>
      <c r="I5046" s="35"/>
      <c r="K5046" t="s">
        <v>15</v>
      </c>
    </row>
    <row r="5047" spans="2:11" ht="24.75" x14ac:dyDescent="0.2">
      <c r="B5047" s="33" t="s">
        <v>6011</v>
      </c>
      <c r="C5047" s="33" t="s">
        <v>5827</v>
      </c>
      <c r="D5047" s="35">
        <f>SUMIFS(D5048:D9015,K5048:K9015,"0",B5048:B9015,"5 1 2 1 1 12 31111 6 M59 20800 000181 0000R 00001 00211*")-SUMIFS(E5048:E9015,K5048:K9015,"0",B5048:B9015,"5 1 2 1 1 12 31111 6 M59 20800 000181 0000R 00001 00211*")</f>
        <v>0</v>
      </c>
      <c r="E5047"/>
      <c r="F5047" s="35">
        <f>SUMIFS(F5048:F9015,K5048:K9015,"0",B5048:B9015,"5 1 2 1 1 12 31111 6 M59 20800 000181 0000R 00001 00211*")</f>
        <v>1749.99</v>
      </c>
      <c r="G5047" s="35">
        <f>SUMIFS(G5048:G9015,K5048:K9015,"0",B5048:B9015,"5 1 2 1 1 12 31111 6 M59 20800 000181 0000R 00001 00211*")</f>
        <v>0</v>
      </c>
      <c r="H5047" s="35">
        <f t="shared" si="79"/>
        <v>1749.99</v>
      </c>
      <c r="I5047" s="35"/>
      <c r="K5047" t="s">
        <v>15</v>
      </c>
    </row>
    <row r="5048" spans="2:11" ht="24.75" x14ac:dyDescent="0.2">
      <c r="B5048" s="33" t="s">
        <v>6012</v>
      </c>
      <c r="C5048" s="33" t="s">
        <v>1051</v>
      </c>
      <c r="D5048" s="35">
        <f>SUMIFS(D5049:D9015,K5049:K9015,"0",B5049:B9015,"5 1 2 1 1 12 31111 6 M59 20800 000181 0000R 00001 00211 015*")-SUMIFS(E5049:E9015,K5049:K9015,"0",B5049:B9015,"5 1 2 1 1 12 31111 6 M59 20800 000181 0000R 00001 00211 015*")</f>
        <v>0</v>
      </c>
      <c r="E5048"/>
      <c r="F5048" s="35">
        <f>SUMIFS(F5049:F9015,K5049:K9015,"0",B5049:B9015,"5 1 2 1 1 12 31111 6 M59 20800 000181 0000R 00001 00211 015*")</f>
        <v>1749.99</v>
      </c>
      <c r="G5048" s="35">
        <f>SUMIFS(G5049:G9015,K5049:K9015,"0",B5049:B9015,"5 1 2 1 1 12 31111 6 M59 20800 000181 0000R 00001 00211 015*")</f>
        <v>0</v>
      </c>
      <c r="H5048" s="35">
        <f t="shared" si="79"/>
        <v>1749.99</v>
      </c>
      <c r="I5048" s="35"/>
      <c r="K5048" t="s">
        <v>15</v>
      </c>
    </row>
    <row r="5049" spans="2:11" ht="33" x14ac:dyDescent="0.2">
      <c r="B5049" s="33" t="s">
        <v>6013</v>
      </c>
      <c r="C5049" s="33" t="s">
        <v>5830</v>
      </c>
      <c r="D5049" s="35">
        <f>SUMIFS(D5050:D9015,K5050:K9015,"0",B5050:B9015,"5 1 2 1 1 12 31111 6 M59 20800 000181 0000R 00001 00211 015 2112000*")-SUMIFS(E5050:E9015,K5050:K9015,"0",B5050:B9015,"5 1 2 1 1 12 31111 6 M59 20800 000181 0000R 00001 00211 015 2112000*")</f>
        <v>0</v>
      </c>
      <c r="E5049"/>
      <c r="F5049" s="35">
        <f>SUMIFS(F5050:F9015,K5050:K9015,"0",B5050:B9015,"5 1 2 1 1 12 31111 6 M59 20800 000181 0000R 00001 00211 015 2112000*")</f>
        <v>1749.99</v>
      </c>
      <c r="G5049" s="35">
        <f>SUMIFS(G5050:G9015,K5050:K9015,"0",B5050:B9015,"5 1 2 1 1 12 31111 6 M59 20800 000181 0000R 00001 00211 015 2112000*")</f>
        <v>0</v>
      </c>
      <c r="H5049" s="35">
        <f t="shared" si="79"/>
        <v>1749.99</v>
      </c>
      <c r="I5049" s="35"/>
      <c r="K5049" t="s">
        <v>15</v>
      </c>
    </row>
    <row r="5050" spans="2:11" ht="33" x14ac:dyDescent="0.2">
      <c r="B5050" s="33" t="s">
        <v>6014</v>
      </c>
      <c r="C5050" s="33" t="s">
        <v>660</v>
      </c>
      <c r="D5050" s="35">
        <f>SUMIFS(D5051:D9015,K5051:K9015,"0",B5051:B9015,"5 1 2 1 1 12 31111 6 M59 20800 000181 0000R 00001 00211 015 2112000 2024*")-SUMIFS(E5051:E9015,K5051:K9015,"0",B5051:B9015,"5 1 2 1 1 12 31111 6 M59 20800 000181 0000R 00001 00211 015 2112000 2024*")</f>
        <v>0</v>
      </c>
      <c r="E5050"/>
      <c r="F5050" s="35">
        <f>SUMIFS(F5051:F9015,K5051:K9015,"0",B5051:B9015,"5 1 2 1 1 12 31111 6 M59 20800 000181 0000R 00001 00211 015 2112000 2024*")</f>
        <v>1749.99</v>
      </c>
      <c r="G5050" s="35">
        <f>SUMIFS(G5051:G9015,K5051:K9015,"0",B5051:B9015,"5 1 2 1 1 12 31111 6 M59 20800 000181 0000R 00001 00211 015 2112000 2024*")</f>
        <v>0</v>
      </c>
      <c r="H5050" s="35">
        <f t="shared" si="79"/>
        <v>1749.99</v>
      </c>
      <c r="I5050" s="35"/>
      <c r="K5050" t="s">
        <v>15</v>
      </c>
    </row>
    <row r="5051" spans="2:11" ht="41.25" x14ac:dyDescent="0.2">
      <c r="B5051" s="33" t="s">
        <v>6015</v>
      </c>
      <c r="C5051" s="33" t="s">
        <v>1056</v>
      </c>
      <c r="D5051" s="35">
        <f>SUMIFS(D5052:D9015,K5052:K9015,"0",B5052:B9015,"5 1 2 1 1 12 31111 6 M59 20800 000181 0000R 00001 00211 015 2112000 2024 CP1AA392*")-SUMIFS(E5052:E9015,K5052:K9015,"0",B5052:B9015,"5 1 2 1 1 12 31111 6 M59 20800 000181 0000R 00001 00211 015 2112000 2024 CP1AA392*")</f>
        <v>0</v>
      </c>
      <c r="E5051"/>
      <c r="F5051" s="35">
        <f>SUMIFS(F5052:F9015,K5052:K9015,"0",B5052:B9015,"5 1 2 1 1 12 31111 6 M59 20800 000181 0000R 00001 00211 015 2112000 2024 CP1AA392*")</f>
        <v>1749.99</v>
      </c>
      <c r="G5051" s="35">
        <f>SUMIFS(G5052:G9015,K5052:K9015,"0",B5052:B9015,"5 1 2 1 1 12 31111 6 M59 20800 000181 0000R 00001 00211 015 2112000 2024 CP1AA392*")</f>
        <v>0</v>
      </c>
      <c r="H5051" s="35">
        <f t="shared" si="79"/>
        <v>1749.99</v>
      </c>
      <c r="I5051" s="35"/>
      <c r="K5051" t="s">
        <v>15</v>
      </c>
    </row>
    <row r="5052" spans="2:11" ht="41.25" x14ac:dyDescent="0.2">
      <c r="B5052" s="33" t="s">
        <v>6016</v>
      </c>
      <c r="C5052" s="33" t="s">
        <v>282</v>
      </c>
      <c r="D5052" s="35">
        <f>SUMIFS(D5053:D9015,K5053:K9015,"0",B5053:B9015,"5 1 2 1 1 12 31111 6 M59 20800 000181 0000R 00001 00211 015 2112000 2024 CP1AA392 001*")-SUMIFS(E5053:E9015,K5053:K9015,"0",B5053:B9015,"5 1 2 1 1 12 31111 6 M59 20800 000181 0000R 00001 00211 015 2112000 2024 CP1AA392 001*")</f>
        <v>0</v>
      </c>
      <c r="E5052"/>
      <c r="F5052" s="35">
        <f>SUMIFS(F5053:F9015,K5053:K9015,"0",B5053:B9015,"5 1 2 1 1 12 31111 6 M59 20800 000181 0000R 00001 00211 015 2112000 2024 CP1AA392 001*")</f>
        <v>1749.99</v>
      </c>
      <c r="G5052" s="35">
        <f>SUMIFS(G5053:G9015,K5053:K9015,"0",B5053:B9015,"5 1 2 1 1 12 31111 6 M59 20800 000181 0000R 00001 00211 015 2112000 2024 CP1AA392 001*")</f>
        <v>0</v>
      </c>
      <c r="H5052" s="35">
        <f t="shared" si="79"/>
        <v>1749.99</v>
      </c>
      <c r="I5052" s="35"/>
      <c r="K5052" t="s">
        <v>15</v>
      </c>
    </row>
    <row r="5053" spans="2:11" ht="33" x14ac:dyDescent="0.2">
      <c r="B5053" s="31" t="s">
        <v>6017</v>
      </c>
      <c r="C5053" s="31" t="s">
        <v>5817</v>
      </c>
      <c r="D5053" s="34">
        <v>0</v>
      </c>
      <c r="E5053" s="34"/>
      <c r="F5053" s="34">
        <v>1749.99</v>
      </c>
      <c r="G5053" s="34">
        <v>0</v>
      </c>
      <c r="H5053" s="34">
        <f t="shared" si="79"/>
        <v>1749.99</v>
      </c>
      <c r="I5053" s="34"/>
      <c r="K5053" t="s">
        <v>38</v>
      </c>
    </row>
    <row r="5054" spans="2:11" ht="24.75" x14ac:dyDescent="0.2">
      <c r="B5054" s="33" t="s">
        <v>6018</v>
      </c>
      <c r="C5054" s="33" t="s">
        <v>3163</v>
      </c>
      <c r="D5054" s="35">
        <f>SUMIFS(D5055:D9015,K5055:K9015,"0",B5055:B9015,"5 1 2 1 1 12 31111 6 M59 21000*")-SUMIFS(E5055:E9015,K5055:K9015,"0",B5055:B9015,"5 1 2 1 1 12 31111 6 M59 21000*")</f>
        <v>0</v>
      </c>
      <c r="E5054"/>
      <c r="F5054" s="35">
        <f>SUMIFS(F5055:F9015,K5055:K9015,"0",B5055:B9015,"5 1 2 1 1 12 31111 6 M59 21000*")</f>
        <v>1499.99</v>
      </c>
      <c r="G5054" s="35">
        <f>SUMIFS(G5055:G9015,K5055:K9015,"0",B5055:B9015,"5 1 2 1 1 12 31111 6 M59 21000*")</f>
        <v>0</v>
      </c>
      <c r="H5054" s="35">
        <f t="shared" si="79"/>
        <v>1499.99</v>
      </c>
      <c r="I5054" s="35"/>
      <c r="K5054" t="s">
        <v>15</v>
      </c>
    </row>
    <row r="5055" spans="2:11" ht="16.5" x14ac:dyDescent="0.2">
      <c r="B5055" s="33" t="s">
        <v>6019</v>
      </c>
      <c r="C5055" s="33" t="s">
        <v>648</v>
      </c>
      <c r="D5055" s="35">
        <f>SUMIFS(D5056:D9015,K5056:K9015,"0",B5056:B9015,"5 1 2 1 1 12 31111 6 M59 21000 000132*")-SUMIFS(E5056:E9015,K5056:K9015,"0",B5056:B9015,"5 1 2 1 1 12 31111 6 M59 21000 000132*")</f>
        <v>0</v>
      </c>
      <c r="E5055"/>
      <c r="F5055" s="35">
        <f>SUMIFS(F5056:F9015,K5056:K9015,"0",B5056:B9015,"5 1 2 1 1 12 31111 6 M59 21000 000132*")</f>
        <v>1499.99</v>
      </c>
      <c r="G5055" s="35">
        <f>SUMIFS(G5056:G9015,K5056:K9015,"0",B5056:B9015,"5 1 2 1 1 12 31111 6 M59 21000 000132*")</f>
        <v>0</v>
      </c>
      <c r="H5055" s="35">
        <f t="shared" si="79"/>
        <v>1499.99</v>
      </c>
      <c r="I5055" s="35"/>
      <c r="K5055" t="s">
        <v>15</v>
      </c>
    </row>
    <row r="5056" spans="2:11" ht="16.5" x14ac:dyDescent="0.2">
      <c r="B5056" s="33" t="s">
        <v>6020</v>
      </c>
      <c r="C5056" s="33" t="s">
        <v>650</v>
      </c>
      <c r="D5056" s="35">
        <f>SUMIFS(D5057:D9015,K5057:K9015,"0",B5057:B9015,"5 1 2 1 1 12 31111 6 M59 21000 000132 0000R*")-SUMIFS(E5057:E9015,K5057:K9015,"0",B5057:B9015,"5 1 2 1 1 12 31111 6 M59 21000 000132 0000R*")</f>
        <v>0</v>
      </c>
      <c r="E5056"/>
      <c r="F5056" s="35">
        <f>SUMIFS(F5057:F9015,K5057:K9015,"0",B5057:B9015,"5 1 2 1 1 12 31111 6 M59 21000 000132 0000R*")</f>
        <v>1499.99</v>
      </c>
      <c r="G5056" s="35">
        <f>SUMIFS(G5057:G9015,K5057:K9015,"0",B5057:B9015,"5 1 2 1 1 12 31111 6 M59 21000 000132 0000R*")</f>
        <v>0</v>
      </c>
      <c r="H5056" s="35">
        <f t="shared" si="79"/>
        <v>1499.99</v>
      </c>
      <c r="I5056" s="35"/>
      <c r="K5056" t="s">
        <v>15</v>
      </c>
    </row>
    <row r="5057" spans="2:11" ht="24.75" x14ac:dyDescent="0.2">
      <c r="B5057" s="33" t="s">
        <v>6021</v>
      </c>
      <c r="C5057" s="33" t="s">
        <v>282</v>
      </c>
      <c r="D5057" s="35">
        <f>SUMIFS(D5058:D9015,K5058:K9015,"0",B5058:B9015,"5 1 2 1 1 12 31111 6 M59 21000 000132 0000R 00001*")-SUMIFS(E5058:E9015,K5058:K9015,"0",B5058:B9015,"5 1 2 1 1 12 31111 6 M59 21000 000132 0000R 00001*")</f>
        <v>0</v>
      </c>
      <c r="E5057"/>
      <c r="F5057" s="35">
        <f>SUMIFS(F5058:F9015,K5058:K9015,"0",B5058:B9015,"5 1 2 1 1 12 31111 6 M59 21000 000132 0000R 00001*")</f>
        <v>1499.99</v>
      </c>
      <c r="G5057" s="35">
        <f>SUMIFS(G5058:G9015,K5058:K9015,"0",B5058:B9015,"5 1 2 1 1 12 31111 6 M59 21000 000132 0000R 00001*")</f>
        <v>0</v>
      </c>
      <c r="H5057" s="35">
        <f t="shared" si="79"/>
        <v>1499.99</v>
      </c>
      <c r="I5057" s="35"/>
      <c r="K5057" t="s">
        <v>15</v>
      </c>
    </row>
    <row r="5058" spans="2:11" ht="24.75" x14ac:dyDescent="0.2">
      <c r="B5058" s="33" t="s">
        <v>6022</v>
      </c>
      <c r="C5058" s="33" t="s">
        <v>5827</v>
      </c>
      <c r="D5058" s="35">
        <f>SUMIFS(D5059:D9015,K5059:K9015,"0",B5059:B9015,"5 1 2 1 1 12 31111 6 M59 21000 000132 0000R 00001 00211*")-SUMIFS(E5059:E9015,K5059:K9015,"0",B5059:B9015,"5 1 2 1 1 12 31111 6 M59 21000 000132 0000R 00001 00211*")</f>
        <v>0</v>
      </c>
      <c r="E5058"/>
      <c r="F5058" s="35">
        <f>SUMIFS(F5059:F9015,K5059:K9015,"0",B5059:B9015,"5 1 2 1 1 12 31111 6 M59 21000 000132 0000R 00001 00211*")</f>
        <v>1499.99</v>
      </c>
      <c r="G5058" s="35">
        <f>SUMIFS(G5059:G9015,K5059:K9015,"0",B5059:B9015,"5 1 2 1 1 12 31111 6 M59 21000 000132 0000R 00001 00211*")</f>
        <v>0</v>
      </c>
      <c r="H5058" s="35">
        <f t="shared" si="79"/>
        <v>1499.99</v>
      </c>
      <c r="I5058" s="35"/>
      <c r="K5058" t="s">
        <v>15</v>
      </c>
    </row>
    <row r="5059" spans="2:11" ht="24.75" x14ac:dyDescent="0.2">
      <c r="B5059" s="33" t="s">
        <v>6023</v>
      </c>
      <c r="C5059" s="33" t="s">
        <v>1051</v>
      </c>
      <c r="D5059" s="35">
        <f>SUMIFS(D5060:D9015,K5060:K9015,"0",B5060:B9015,"5 1 2 1 1 12 31111 6 M59 21000 000132 0000R 00001 00211 015*")-SUMIFS(E5060:E9015,K5060:K9015,"0",B5060:B9015,"5 1 2 1 1 12 31111 6 M59 21000 000132 0000R 00001 00211 015*")</f>
        <v>0</v>
      </c>
      <c r="E5059"/>
      <c r="F5059" s="35">
        <f>SUMIFS(F5060:F9015,K5060:K9015,"0",B5060:B9015,"5 1 2 1 1 12 31111 6 M59 21000 000132 0000R 00001 00211 015*")</f>
        <v>1499.99</v>
      </c>
      <c r="G5059" s="35">
        <f>SUMIFS(G5060:G9015,K5060:K9015,"0",B5060:B9015,"5 1 2 1 1 12 31111 6 M59 21000 000132 0000R 00001 00211 015*")</f>
        <v>0</v>
      </c>
      <c r="H5059" s="35">
        <f t="shared" si="79"/>
        <v>1499.99</v>
      </c>
      <c r="I5059" s="35"/>
      <c r="K5059" t="s">
        <v>15</v>
      </c>
    </row>
    <row r="5060" spans="2:11" ht="33" x14ac:dyDescent="0.2">
      <c r="B5060" s="33" t="s">
        <v>6024</v>
      </c>
      <c r="C5060" s="33" t="s">
        <v>5830</v>
      </c>
      <c r="D5060" s="35">
        <f>SUMIFS(D5061:D9015,K5061:K9015,"0",B5061:B9015,"5 1 2 1 1 12 31111 6 M59 21000 000132 0000R 00001 00211 015 2112000*")-SUMIFS(E5061:E9015,K5061:K9015,"0",B5061:B9015,"5 1 2 1 1 12 31111 6 M59 21000 000132 0000R 00001 00211 015 2112000*")</f>
        <v>0</v>
      </c>
      <c r="E5060"/>
      <c r="F5060" s="35">
        <f>SUMIFS(F5061:F9015,K5061:K9015,"0",B5061:B9015,"5 1 2 1 1 12 31111 6 M59 21000 000132 0000R 00001 00211 015 2112000*")</f>
        <v>1499.99</v>
      </c>
      <c r="G5060" s="35">
        <f>SUMIFS(G5061:G9015,K5061:K9015,"0",B5061:B9015,"5 1 2 1 1 12 31111 6 M59 21000 000132 0000R 00001 00211 015 2112000*")</f>
        <v>0</v>
      </c>
      <c r="H5060" s="35">
        <f t="shared" ref="H5060:H5123" si="80">D5060 + F5060 - G5060</f>
        <v>1499.99</v>
      </c>
      <c r="I5060" s="35"/>
      <c r="K5060" t="s">
        <v>15</v>
      </c>
    </row>
    <row r="5061" spans="2:11" ht="33" x14ac:dyDescent="0.2">
      <c r="B5061" s="33" t="s">
        <v>6025</v>
      </c>
      <c r="C5061" s="33" t="s">
        <v>660</v>
      </c>
      <c r="D5061" s="35">
        <f>SUMIFS(D5062:D9015,K5062:K9015,"0",B5062:B9015,"5 1 2 1 1 12 31111 6 M59 21000 000132 0000R 00001 00211 015 2112000 2024*")-SUMIFS(E5062:E9015,K5062:K9015,"0",B5062:B9015,"5 1 2 1 1 12 31111 6 M59 21000 000132 0000R 00001 00211 015 2112000 2024*")</f>
        <v>0</v>
      </c>
      <c r="E5061"/>
      <c r="F5061" s="35">
        <f>SUMIFS(F5062:F9015,K5062:K9015,"0",B5062:B9015,"5 1 2 1 1 12 31111 6 M59 21000 000132 0000R 00001 00211 015 2112000 2024*")</f>
        <v>1499.99</v>
      </c>
      <c r="G5061" s="35">
        <f>SUMIFS(G5062:G9015,K5062:K9015,"0",B5062:B9015,"5 1 2 1 1 12 31111 6 M59 21000 000132 0000R 00001 00211 015 2112000 2024*")</f>
        <v>0</v>
      </c>
      <c r="H5061" s="35">
        <f t="shared" si="80"/>
        <v>1499.99</v>
      </c>
      <c r="I5061" s="35"/>
      <c r="K5061" t="s">
        <v>15</v>
      </c>
    </row>
    <row r="5062" spans="2:11" ht="41.25" x14ac:dyDescent="0.2">
      <c r="B5062" s="33" t="s">
        <v>6026</v>
      </c>
      <c r="C5062" s="33" t="s">
        <v>1056</v>
      </c>
      <c r="D5062" s="35">
        <f>SUMIFS(D5063:D9015,K5063:K9015,"0",B5063:B9015,"5 1 2 1 1 12 31111 6 M59 21000 000132 0000R 00001 00211 015 2112000 2024 CP1PP402*")-SUMIFS(E5063:E9015,K5063:K9015,"0",B5063:B9015,"5 1 2 1 1 12 31111 6 M59 21000 000132 0000R 00001 00211 015 2112000 2024 CP1PP402*")</f>
        <v>0</v>
      </c>
      <c r="E5062"/>
      <c r="F5062" s="35">
        <f>SUMIFS(F5063:F9015,K5063:K9015,"0",B5063:B9015,"5 1 2 1 1 12 31111 6 M59 21000 000132 0000R 00001 00211 015 2112000 2024 CP1PP402*")</f>
        <v>1499.99</v>
      </c>
      <c r="G5062" s="35">
        <f>SUMIFS(G5063:G9015,K5063:K9015,"0",B5063:B9015,"5 1 2 1 1 12 31111 6 M59 21000 000132 0000R 00001 00211 015 2112000 2024 CP1PP402*")</f>
        <v>0</v>
      </c>
      <c r="H5062" s="35">
        <f t="shared" si="80"/>
        <v>1499.99</v>
      </c>
      <c r="I5062" s="35"/>
      <c r="K5062" t="s">
        <v>15</v>
      </c>
    </row>
    <row r="5063" spans="2:11" ht="41.25" x14ac:dyDescent="0.2">
      <c r="B5063" s="33" t="s">
        <v>6027</v>
      </c>
      <c r="C5063" s="33" t="s">
        <v>282</v>
      </c>
      <c r="D5063" s="35">
        <f>SUMIFS(D5064:D9015,K5064:K9015,"0",B5064:B9015,"5 1 2 1 1 12 31111 6 M59 21000 000132 0000R 00001 00211 015 2112000 2024 CP1PP402 001*")-SUMIFS(E5064:E9015,K5064:K9015,"0",B5064:B9015,"5 1 2 1 1 12 31111 6 M59 21000 000132 0000R 00001 00211 015 2112000 2024 CP1PP402 001*")</f>
        <v>0</v>
      </c>
      <c r="E5063"/>
      <c r="F5063" s="35">
        <f>SUMIFS(F5064:F9015,K5064:K9015,"0",B5064:B9015,"5 1 2 1 1 12 31111 6 M59 21000 000132 0000R 00001 00211 015 2112000 2024 CP1PP402 001*")</f>
        <v>1499.99</v>
      </c>
      <c r="G5063" s="35">
        <f>SUMIFS(G5064:G9015,K5064:K9015,"0",B5064:B9015,"5 1 2 1 1 12 31111 6 M59 21000 000132 0000R 00001 00211 015 2112000 2024 CP1PP402 001*")</f>
        <v>0</v>
      </c>
      <c r="H5063" s="35">
        <f t="shared" si="80"/>
        <v>1499.99</v>
      </c>
      <c r="I5063" s="35"/>
      <c r="K5063" t="s">
        <v>15</v>
      </c>
    </row>
    <row r="5064" spans="2:11" ht="33" x14ac:dyDescent="0.2">
      <c r="B5064" s="31" t="s">
        <v>6028</v>
      </c>
      <c r="C5064" s="31" t="s">
        <v>5827</v>
      </c>
      <c r="D5064" s="34">
        <v>0</v>
      </c>
      <c r="E5064" s="34"/>
      <c r="F5064" s="34">
        <v>1499.99</v>
      </c>
      <c r="G5064" s="34">
        <v>0</v>
      </c>
      <c r="H5064" s="34">
        <f t="shared" si="80"/>
        <v>1499.99</v>
      </c>
      <c r="I5064" s="34"/>
      <c r="K5064" t="s">
        <v>38</v>
      </c>
    </row>
    <row r="5065" spans="2:11" ht="16.5" x14ac:dyDescent="0.2">
      <c r="B5065" s="33" t="s">
        <v>6029</v>
      </c>
      <c r="C5065" s="33" t="s">
        <v>3199</v>
      </c>
      <c r="D5065" s="35">
        <f>SUMIFS(D5066:D9015,K5066:K9015,"0",B5066:B9015,"5 1 2 1 1 12 31111 6 M59 30000*")-SUMIFS(E5066:E9015,K5066:K9015,"0",B5066:B9015,"5 1 2 1 1 12 31111 6 M59 30000*")</f>
        <v>0</v>
      </c>
      <c r="E5065"/>
      <c r="F5065" s="35">
        <f>SUMIFS(F5066:F9015,K5066:K9015,"0",B5066:B9015,"5 1 2 1 1 12 31111 6 M59 30000*")</f>
        <v>2199.9899999999998</v>
      </c>
      <c r="G5065" s="35">
        <f>SUMIFS(G5066:G9015,K5066:K9015,"0",B5066:B9015,"5 1 2 1 1 12 31111 6 M59 30000*")</f>
        <v>0</v>
      </c>
      <c r="H5065" s="35">
        <f t="shared" si="80"/>
        <v>2199.9899999999998</v>
      </c>
      <c r="I5065" s="35"/>
      <c r="K5065" t="s">
        <v>15</v>
      </c>
    </row>
    <row r="5066" spans="2:11" ht="16.5" x14ac:dyDescent="0.2">
      <c r="B5066" s="33" t="s">
        <v>6030</v>
      </c>
      <c r="C5066" s="33" t="s">
        <v>648</v>
      </c>
      <c r="D5066" s="35">
        <f>SUMIFS(D5067:D9015,K5067:K9015,"0",B5067:B9015,"5 1 2 1 1 12 31111 6 M59 30000 000132*")-SUMIFS(E5067:E9015,K5067:K9015,"0",B5067:B9015,"5 1 2 1 1 12 31111 6 M59 30000 000132*")</f>
        <v>0</v>
      </c>
      <c r="E5066"/>
      <c r="F5066" s="35">
        <f>SUMIFS(F5067:F9015,K5067:K9015,"0",B5067:B9015,"5 1 2 1 1 12 31111 6 M59 30000 000132*")</f>
        <v>2199.9899999999998</v>
      </c>
      <c r="G5066" s="35">
        <f>SUMIFS(G5067:G9015,K5067:K9015,"0",B5067:B9015,"5 1 2 1 1 12 31111 6 M59 30000 000132*")</f>
        <v>0</v>
      </c>
      <c r="H5066" s="35">
        <f t="shared" si="80"/>
        <v>2199.9899999999998</v>
      </c>
      <c r="I5066" s="35"/>
      <c r="K5066" t="s">
        <v>15</v>
      </c>
    </row>
    <row r="5067" spans="2:11" ht="16.5" x14ac:dyDescent="0.2">
      <c r="B5067" s="33" t="s">
        <v>6031</v>
      </c>
      <c r="C5067" s="33" t="s">
        <v>650</v>
      </c>
      <c r="D5067" s="35">
        <f>SUMIFS(D5068:D9015,K5068:K9015,"0",B5068:B9015,"5 1 2 1 1 12 31111 6 M59 30000 000132 0000R*")-SUMIFS(E5068:E9015,K5068:K9015,"0",B5068:B9015,"5 1 2 1 1 12 31111 6 M59 30000 000132 0000R*")</f>
        <v>0</v>
      </c>
      <c r="E5067"/>
      <c r="F5067" s="35">
        <f>SUMIFS(F5068:F9015,K5068:K9015,"0",B5068:B9015,"5 1 2 1 1 12 31111 6 M59 30000 000132 0000R*")</f>
        <v>2199.9899999999998</v>
      </c>
      <c r="G5067" s="35">
        <f>SUMIFS(G5068:G9015,K5068:K9015,"0",B5068:B9015,"5 1 2 1 1 12 31111 6 M59 30000 000132 0000R*")</f>
        <v>0</v>
      </c>
      <c r="H5067" s="35">
        <f t="shared" si="80"/>
        <v>2199.9899999999998</v>
      </c>
      <c r="I5067" s="35"/>
      <c r="K5067" t="s">
        <v>15</v>
      </c>
    </row>
    <row r="5068" spans="2:11" ht="24.75" x14ac:dyDescent="0.2">
      <c r="B5068" s="33" t="s">
        <v>6032</v>
      </c>
      <c r="C5068" s="33" t="s">
        <v>282</v>
      </c>
      <c r="D5068" s="35">
        <f>SUMIFS(D5069:D9015,K5069:K9015,"0",B5069:B9015,"5 1 2 1 1 12 31111 6 M59 30000 000132 0000R 00001*")-SUMIFS(E5069:E9015,K5069:K9015,"0",B5069:B9015,"5 1 2 1 1 12 31111 6 M59 30000 000132 0000R 00001*")</f>
        <v>0</v>
      </c>
      <c r="E5068"/>
      <c r="F5068" s="35">
        <f>SUMIFS(F5069:F9015,K5069:K9015,"0",B5069:B9015,"5 1 2 1 1 12 31111 6 M59 30000 000132 0000R 00001*")</f>
        <v>2199.9899999999998</v>
      </c>
      <c r="G5068" s="35">
        <f>SUMIFS(G5069:G9015,K5069:K9015,"0",B5069:B9015,"5 1 2 1 1 12 31111 6 M59 30000 000132 0000R 00001*")</f>
        <v>0</v>
      </c>
      <c r="H5068" s="35">
        <f t="shared" si="80"/>
        <v>2199.9899999999998</v>
      </c>
      <c r="I5068" s="35"/>
      <c r="K5068" t="s">
        <v>15</v>
      </c>
    </row>
    <row r="5069" spans="2:11" ht="24.75" x14ac:dyDescent="0.2">
      <c r="B5069" s="33" t="s">
        <v>6033</v>
      </c>
      <c r="C5069" s="33" t="s">
        <v>5827</v>
      </c>
      <c r="D5069" s="35">
        <f>SUMIFS(D5070:D9015,K5070:K9015,"0",B5070:B9015,"5 1 2 1 1 12 31111 6 M59 30000 000132 0000R 00001 00211*")-SUMIFS(E5070:E9015,K5070:K9015,"0",B5070:B9015,"5 1 2 1 1 12 31111 6 M59 30000 000132 0000R 00001 00211*")</f>
        <v>0</v>
      </c>
      <c r="E5069"/>
      <c r="F5069" s="35">
        <f>SUMIFS(F5070:F9015,K5070:K9015,"0",B5070:B9015,"5 1 2 1 1 12 31111 6 M59 30000 000132 0000R 00001 00211*")</f>
        <v>2199.9899999999998</v>
      </c>
      <c r="G5069" s="35">
        <f>SUMIFS(G5070:G9015,K5070:K9015,"0",B5070:B9015,"5 1 2 1 1 12 31111 6 M59 30000 000132 0000R 00001 00211*")</f>
        <v>0</v>
      </c>
      <c r="H5069" s="35">
        <f t="shared" si="80"/>
        <v>2199.9899999999998</v>
      </c>
      <c r="I5069" s="35"/>
      <c r="K5069" t="s">
        <v>15</v>
      </c>
    </row>
    <row r="5070" spans="2:11" ht="24.75" x14ac:dyDescent="0.2">
      <c r="B5070" s="33" t="s">
        <v>6034</v>
      </c>
      <c r="C5070" s="33" t="s">
        <v>1051</v>
      </c>
      <c r="D5070" s="35">
        <f>SUMIFS(D5071:D9015,K5071:K9015,"0",B5071:B9015,"5 1 2 1 1 12 31111 6 M59 30000 000132 0000R 00001 00211 015*")-SUMIFS(E5071:E9015,K5071:K9015,"0",B5071:B9015,"5 1 2 1 1 12 31111 6 M59 30000 000132 0000R 00001 00211 015*")</f>
        <v>0</v>
      </c>
      <c r="E5070"/>
      <c r="F5070" s="35">
        <f>SUMIFS(F5071:F9015,K5071:K9015,"0",B5071:B9015,"5 1 2 1 1 12 31111 6 M59 30000 000132 0000R 00001 00211 015*")</f>
        <v>2199.9899999999998</v>
      </c>
      <c r="G5070" s="35">
        <f>SUMIFS(G5071:G9015,K5071:K9015,"0",B5071:B9015,"5 1 2 1 1 12 31111 6 M59 30000 000132 0000R 00001 00211 015*")</f>
        <v>0</v>
      </c>
      <c r="H5070" s="35">
        <f t="shared" si="80"/>
        <v>2199.9899999999998</v>
      </c>
      <c r="I5070" s="35"/>
      <c r="K5070" t="s">
        <v>15</v>
      </c>
    </row>
    <row r="5071" spans="2:11" ht="33" x14ac:dyDescent="0.2">
      <c r="B5071" s="33" t="s">
        <v>6035</v>
      </c>
      <c r="C5071" s="33" t="s">
        <v>5830</v>
      </c>
      <c r="D5071" s="35">
        <f>SUMIFS(D5072:D9015,K5072:K9015,"0",B5072:B9015,"5 1 2 1 1 12 31111 6 M59 30000 000132 0000R 00001 00211 015 2112000*")-SUMIFS(E5072:E9015,K5072:K9015,"0",B5072:B9015,"5 1 2 1 1 12 31111 6 M59 30000 000132 0000R 00001 00211 015 2112000*")</f>
        <v>0</v>
      </c>
      <c r="E5071"/>
      <c r="F5071" s="35">
        <f>SUMIFS(F5072:F9015,K5072:K9015,"0",B5072:B9015,"5 1 2 1 1 12 31111 6 M59 30000 000132 0000R 00001 00211 015 2112000*")</f>
        <v>2199.9899999999998</v>
      </c>
      <c r="G5071" s="35">
        <f>SUMIFS(G5072:G9015,K5072:K9015,"0",B5072:B9015,"5 1 2 1 1 12 31111 6 M59 30000 000132 0000R 00001 00211 015 2112000*")</f>
        <v>0</v>
      </c>
      <c r="H5071" s="35">
        <f t="shared" si="80"/>
        <v>2199.9899999999998</v>
      </c>
      <c r="I5071" s="35"/>
      <c r="K5071" t="s">
        <v>15</v>
      </c>
    </row>
    <row r="5072" spans="2:11" ht="33" x14ac:dyDescent="0.2">
      <c r="B5072" s="33" t="s">
        <v>6036</v>
      </c>
      <c r="C5072" s="33" t="s">
        <v>660</v>
      </c>
      <c r="D5072" s="35">
        <f>SUMIFS(D5073:D9015,K5073:K9015,"0",B5073:B9015,"5 1 2 1 1 12 31111 6 M59 30000 000132 0000R 00001 00211 015 2112000 2024*")-SUMIFS(E5073:E9015,K5073:K9015,"0",B5073:B9015,"5 1 2 1 1 12 31111 6 M59 30000 000132 0000R 00001 00211 015 2112000 2024*")</f>
        <v>0</v>
      </c>
      <c r="E5072"/>
      <c r="F5072" s="35">
        <f>SUMIFS(F5073:F9015,K5073:K9015,"0",B5073:B9015,"5 1 2 1 1 12 31111 6 M59 30000 000132 0000R 00001 00211 015 2112000 2024*")</f>
        <v>2199.9899999999998</v>
      </c>
      <c r="G5072" s="35">
        <f>SUMIFS(G5073:G9015,K5073:K9015,"0",B5073:B9015,"5 1 2 1 1 12 31111 6 M59 30000 000132 0000R 00001 00211 015 2112000 2024*")</f>
        <v>0</v>
      </c>
      <c r="H5072" s="35">
        <f t="shared" si="80"/>
        <v>2199.9899999999998</v>
      </c>
      <c r="I5072" s="35"/>
      <c r="K5072" t="s">
        <v>15</v>
      </c>
    </row>
    <row r="5073" spans="2:11" ht="41.25" x14ac:dyDescent="0.2">
      <c r="B5073" s="33" t="s">
        <v>6037</v>
      </c>
      <c r="C5073" s="33" t="s">
        <v>1056</v>
      </c>
      <c r="D5073" s="35">
        <f>SUMIFS(D5074:D9015,K5074:K9015,"0",B5074:B9015,"5 1 2 1 1 12 31111 6 M59 30000 000132 0000R 00001 00211 015 2112000 2024 CP1DU385*")-SUMIFS(E5074:E9015,K5074:K9015,"0",B5074:B9015,"5 1 2 1 1 12 31111 6 M59 30000 000132 0000R 00001 00211 015 2112000 2024 CP1DU385*")</f>
        <v>0</v>
      </c>
      <c r="E5073"/>
      <c r="F5073" s="35">
        <f>SUMIFS(F5074:F9015,K5074:K9015,"0",B5074:B9015,"5 1 2 1 1 12 31111 6 M59 30000 000132 0000R 00001 00211 015 2112000 2024 CP1DU385*")</f>
        <v>2199.9899999999998</v>
      </c>
      <c r="G5073" s="35">
        <f>SUMIFS(G5074:G9015,K5074:K9015,"0",B5074:B9015,"5 1 2 1 1 12 31111 6 M59 30000 000132 0000R 00001 00211 015 2112000 2024 CP1DU385*")</f>
        <v>0</v>
      </c>
      <c r="H5073" s="35">
        <f t="shared" si="80"/>
        <v>2199.9899999999998</v>
      </c>
      <c r="I5073" s="35"/>
      <c r="K5073" t="s">
        <v>15</v>
      </c>
    </row>
    <row r="5074" spans="2:11" ht="41.25" x14ac:dyDescent="0.2">
      <c r="B5074" s="33" t="s">
        <v>6038</v>
      </c>
      <c r="C5074" s="33" t="s">
        <v>282</v>
      </c>
      <c r="D5074" s="35">
        <f>SUMIFS(D5075:D9015,K5075:K9015,"0",B5075:B9015,"5 1 2 1 1 12 31111 6 M59 30000 000132 0000R 00001 00211 015 2112000 2024 CP1DU385 001*")-SUMIFS(E5075:E9015,K5075:K9015,"0",B5075:B9015,"5 1 2 1 1 12 31111 6 M59 30000 000132 0000R 00001 00211 015 2112000 2024 CP1DU385 001*")</f>
        <v>0</v>
      </c>
      <c r="E5074"/>
      <c r="F5074" s="35">
        <f>SUMIFS(F5075:F9015,K5075:K9015,"0",B5075:B9015,"5 1 2 1 1 12 31111 6 M59 30000 000132 0000R 00001 00211 015 2112000 2024 CP1DU385 001*")</f>
        <v>2199.9899999999998</v>
      </c>
      <c r="G5074" s="35">
        <f>SUMIFS(G5075:G9015,K5075:K9015,"0",B5075:B9015,"5 1 2 1 1 12 31111 6 M59 30000 000132 0000R 00001 00211 015 2112000 2024 CP1DU385 001*")</f>
        <v>0</v>
      </c>
      <c r="H5074" s="35">
        <f t="shared" si="80"/>
        <v>2199.9899999999998</v>
      </c>
      <c r="I5074" s="35"/>
      <c r="K5074" t="s">
        <v>15</v>
      </c>
    </row>
    <row r="5075" spans="2:11" ht="41.25" x14ac:dyDescent="0.2">
      <c r="B5075" s="31" t="s">
        <v>6039</v>
      </c>
      <c r="C5075" s="31" t="s">
        <v>5827</v>
      </c>
      <c r="D5075" s="34">
        <v>0</v>
      </c>
      <c r="E5075" s="34"/>
      <c r="F5075" s="34">
        <v>2199.9899999999998</v>
      </c>
      <c r="G5075" s="34">
        <v>0</v>
      </c>
      <c r="H5075" s="34">
        <f t="shared" si="80"/>
        <v>2199.9899999999998</v>
      </c>
      <c r="I5075" s="34"/>
      <c r="K5075" t="s">
        <v>38</v>
      </c>
    </row>
    <row r="5076" spans="2:11" ht="16.5" x14ac:dyDescent="0.2">
      <c r="B5076" s="33" t="s">
        <v>6040</v>
      </c>
      <c r="C5076" s="33" t="s">
        <v>646</v>
      </c>
      <c r="D5076" s="35">
        <f>SUMIFS(D5077:D9015,K5077:K9015,"0",B5077:B9015,"5 1 2 1 1 12 31111 6 M59 30100*")-SUMIFS(E5077:E9015,K5077:K9015,"0",B5077:B9015,"5 1 2 1 1 12 31111 6 M59 30100*")</f>
        <v>0</v>
      </c>
      <c r="E5076"/>
      <c r="F5076" s="35">
        <f>SUMIFS(F5077:F9015,K5077:K9015,"0",B5077:B9015,"5 1 2 1 1 12 31111 6 M59 30100*")</f>
        <v>250</v>
      </c>
      <c r="G5076" s="35">
        <f>SUMIFS(G5077:G9015,K5077:K9015,"0",B5077:B9015,"5 1 2 1 1 12 31111 6 M59 30100*")</f>
        <v>0</v>
      </c>
      <c r="H5076" s="35">
        <f t="shared" si="80"/>
        <v>250</v>
      </c>
      <c r="I5076" s="35"/>
      <c r="K5076" t="s">
        <v>15</v>
      </c>
    </row>
    <row r="5077" spans="2:11" ht="16.5" x14ac:dyDescent="0.2">
      <c r="B5077" s="33" t="s">
        <v>6041</v>
      </c>
      <c r="C5077" s="33" t="s">
        <v>648</v>
      </c>
      <c r="D5077" s="35">
        <f>SUMIFS(D5078:D9015,K5078:K9015,"0",B5078:B9015,"5 1 2 1 1 12 31111 6 M59 30100 000132*")-SUMIFS(E5078:E9015,K5078:K9015,"0",B5078:B9015,"5 1 2 1 1 12 31111 6 M59 30100 000132*")</f>
        <v>0</v>
      </c>
      <c r="E5077"/>
      <c r="F5077" s="35">
        <f>SUMIFS(F5078:F9015,K5078:K9015,"0",B5078:B9015,"5 1 2 1 1 12 31111 6 M59 30100 000132*")</f>
        <v>250</v>
      </c>
      <c r="G5077" s="35">
        <f>SUMIFS(G5078:G9015,K5078:K9015,"0",B5078:B9015,"5 1 2 1 1 12 31111 6 M59 30100 000132*")</f>
        <v>0</v>
      </c>
      <c r="H5077" s="35">
        <f t="shared" si="80"/>
        <v>250</v>
      </c>
      <c r="I5077" s="35"/>
      <c r="K5077" t="s">
        <v>15</v>
      </c>
    </row>
    <row r="5078" spans="2:11" ht="16.5" x14ac:dyDescent="0.2">
      <c r="B5078" s="33" t="s">
        <v>6042</v>
      </c>
      <c r="C5078" s="33" t="s">
        <v>650</v>
      </c>
      <c r="D5078" s="35">
        <f>SUMIFS(D5079:D9015,K5079:K9015,"0",B5079:B9015,"5 1 2 1 1 12 31111 6 M59 30100 000132 0000R*")-SUMIFS(E5079:E9015,K5079:K9015,"0",B5079:B9015,"5 1 2 1 1 12 31111 6 M59 30100 000132 0000R*")</f>
        <v>0</v>
      </c>
      <c r="E5078"/>
      <c r="F5078" s="35">
        <f>SUMIFS(F5079:F9015,K5079:K9015,"0",B5079:B9015,"5 1 2 1 1 12 31111 6 M59 30100 000132 0000R*")</f>
        <v>250</v>
      </c>
      <c r="G5078" s="35">
        <f>SUMIFS(G5079:G9015,K5079:K9015,"0",B5079:B9015,"5 1 2 1 1 12 31111 6 M59 30100 000132 0000R*")</f>
        <v>0</v>
      </c>
      <c r="H5078" s="35">
        <f t="shared" si="80"/>
        <v>250</v>
      </c>
      <c r="I5078" s="35"/>
      <c r="K5078" t="s">
        <v>15</v>
      </c>
    </row>
    <row r="5079" spans="2:11" ht="24.75" x14ac:dyDescent="0.2">
      <c r="B5079" s="33" t="s">
        <v>6043</v>
      </c>
      <c r="C5079" s="33" t="s">
        <v>282</v>
      </c>
      <c r="D5079" s="35">
        <f>SUMIFS(D5080:D9015,K5080:K9015,"0",B5080:B9015,"5 1 2 1 1 12 31111 6 M59 30100 000132 0000R 00001*")-SUMIFS(E5080:E9015,K5080:K9015,"0",B5080:B9015,"5 1 2 1 1 12 31111 6 M59 30100 000132 0000R 00001*")</f>
        <v>0</v>
      </c>
      <c r="E5079"/>
      <c r="F5079" s="35">
        <f>SUMIFS(F5080:F9015,K5080:K9015,"0",B5080:B9015,"5 1 2 1 1 12 31111 6 M59 30100 000132 0000R 00001*")</f>
        <v>250</v>
      </c>
      <c r="G5079" s="35">
        <f>SUMIFS(G5080:G9015,K5080:K9015,"0",B5080:B9015,"5 1 2 1 1 12 31111 6 M59 30100 000132 0000R 00001*")</f>
        <v>0</v>
      </c>
      <c r="H5079" s="35">
        <f t="shared" si="80"/>
        <v>250</v>
      </c>
      <c r="I5079" s="35"/>
      <c r="K5079" t="s">
        <v>15</v>
      </c>
    </row>
    <row r="5080" spans="2:11" ht="24.75" x14ac:dyDescent="0.2">
      <c r="B5080" s="33" t="s">
        <v>6044</v>
      </c>
      <c r="C5080" s="33" t="s">
        <v>5827</v>
      </c>
      <c r="D5080" s="35">
        <f>SUMIFS(D5081:D9015,K5081:K9015,"0",B5081:B9015,"5 1 2 1 1 12 31111 6 M59 30100 000132 0000R 00001 00211*")-SUMIFS(E5081:E9015,K5081:K9015,"0",B5081:B9015,"5 1 2 1 1 12 31111 6 M59 30100 000132 0000R 00001 00211*")</f>
        <v>0</v>
      </c>
      <c r="E5080"/>
      <c r="F5080" s="35">
        <f>SUMIFS(F5081:F9015,K5081:K9015,"0",B5081:B9015,"5 1 2 1 1 12 31111 6 M59 30100 000132 0000R 00001 00211*")</f>
        <v>250</v>
      </c>
      <c r="G5080" s="35">
        <f>SUMIFS(G5081:G9015,K5081:K9015,"0",B5081:B9015,"5 1 2 1 1 12 31111 6 M59 30100 000132 0000R 00001 00211*")</f>
        <v>0</v>
      </c>
      <c r="H5080" s="35">
        <f t="shared" si="80"/>
        <v>250</v>
      </c>
      <c r="I5080" s="35"/>
      <c r="K5080" t="s">
        <v>15</v>
      </c>
    </row>
    <row r="5081" spans="2:11" ht="24.75" x14ac:dyDescent="0.2">
      <c r="B5081" s="33" t="s">
        <v>6045</v>
      </c>
      <c r="C5081" s="33" t="s">
        <v>1051</v>
      </c>
      <c r="D5081" s="35">
        <f>SUMIFS(D5082:D9015,K5082:K9015,"0",B5082:B9015,"5 1 2 1 1 12 31111 6 M59 30100 000132 0000R 00001 00211 015*")-SUMIFS(E5082:E9015,K5082:K9015,"0",B5082:B9015,"5 1 2 1 1 12 31111 6 M59 30100 000132 0000R 00001 00211 015*")</f>
        <v>0</v>
      </c>
      <c r="E5081"/>
      <c r="F5081" s="35">
        <f>SUMIFS(F5082:F9015,K5082:K9015,"0",B5082:B9015,"5 1 2 1 1 12 31111 6 M59 30100 000132 0000R 00001 00211 015*")</f>
        <v>250</v>
      </c>
      <c r="G5081" s="35">
        <f>SUMIFS(G5082:G9015,K5082:K9015,"0",B5082:B9015,"5 1 2 1 1 12 31111 6 M59 30100 000132 0000R 00001 00211 015*")</f>
        <v>0</v>
      </c>
      <c r="H5081" s="35">
        <f t="shared" si="80"/>
        <v>250</v>
      </c>
      <c r="I5081" s="35"/>
      <c r="K5081" t="s">
        <v>15</v>
      </c>
    </row>
    <row r="5082" spans="2:11" ht="33" x14ac:dyDescent="0.2">
      <c r="B5082" s="33" t="s">
        <v>6046</v>
      </c>
      <c r="C5082" s="33" t="s">
        <v>5830</v>
      </c>
      <c r="D5082" s="35">
        <f>SUMIFS(D5083:D9015,K5083:K9015,"0",B5083:B9015,"5 1 2 1 1 12 31111 6 M59 30100 000132 0000R 00001 00211 015 2112000*")-SUMIFS(E5083:E9015,K5083:K9015,"0",B5083:B9015,"5 1 2 1 1 12 31111 6 M59 30100 000132 0000R 00001 00211 015 2112000*")</f>
        <v>0</v>
      </c>
      <c r="E5082"/>
      <c r="F5082" s="35">
        <f>SUMIFS(F5083:F9015,K5083:K9015,"0",B5083:B9015,"5 1 2 1 1 12 31111 6 M59 30100 000132 0000R 00001 00211 015 2112000*")</f>
        <v>250</v>
      </c>
      <c r="G5082" s="35">
        <f>SUMIFS(G5083:G9015,K5083:K9015,"0",B5083:B9015,"5 1 2 1 1 12 31111 6 M59 30100 000132 0000R 00001 00211 015 2112000*")</f>
        <v>0</v>
      </c>
      <c r="H5082" s="35">
        <f t="shared" si="80"/>
        <v>250</v>
      </c>
      <c r="I5082" s="35"/>
      <c r="K5082" t="s">
        <v>15</v>
      </c>
    </row>
    <row r="5083" spans="2:11" ht="33" x14ac:dyDescent="0.2">
      <c r="B5083" s="33" t="s">
        <v>6047</v>
      </c>
      <c r="C5083" s="33" t="s">
        <v>660</v>
      </c>
      <c r="D5083" s="35">
        <f>SUMIFS(D5084:D9015,K5084:K9015,"0",B5084:B9015,"5 1 2 1 1 12 31111 6 M59 30100 000132 0000R 00001 00211 015 2112000 2024*")-SUMIFS(E5084:E9015,K5084:K9015,"0",B5084:B9015,"5 1 2 1 1 12 31111 6 M59 30100 000132 0000R 00001 00211 015 2112000 2024*")</f>
        <v>0</v>
      </c>
      <c r="E5083"/>
      <c r="F5083" s="35">
        <f>SUMIFS(F5084:F9015,K5084:K9015,"0",B5084:B9015,"5 1 2 1 1 12 31111 6 M59 30100 000132 0000R 00001 00211 015 2112000 2024*")</f>
        <v>250</v>
      </c>
      <c r="G5083" s="35">
        <f>SUMIFS(G5084:G9015,K5084:K9015,"0",B5084:B9015,"5 1 2 1 1 12 31111 6 M59 30100 000132 0000R 00001 00211 015 2112000 2024*")</f>
        <v>0</v>
      </c>
      <c r="H5083" s="35">
        <f t="shared" si="80"/>
        <v>250</v>
      </c>
      <c r="I5083" s="35"/>
      <c r="K5083" t="s">
        <v>15</v>
      </c>
    </row>
    <row r="5084" spans="2:11" ht="41.25" x14ac:dyDescent="0.2">
      <c r="B5084" s="33" t="s">
        <v>6048</v>
      </c>
      <c r="C5084" s="33" t="s">
        <v>662</v>
      </c>
      <c r="D5084" s="35">
        <f>SUMIFS(D5085:D9015,K5085:K9015,"0",B5085:B9015,"5 1 2 1 1 12 31111 6 M59 30100 000132 0000R 00001 00211 015 2112000 2024 CP1OP405*")-SUMIFS(E5085:E9015,K5085:K9015,"0",B5085:B9015,"5 1 2 1 1 12 31111 6 M59 30100 000132 0000R 00001 00211 015 2112000 2024 CP1OP405*")</f>
        <v>0</v>
      </c>
      <c r="E5084"/>
      <c r="F5084" s="35">
        <f>SUMIFS(F5085:F9015,K5085:K9015,"0",B5085:B9015,"5 1 2 1 1 12 31111 6 M59 30100 000132 0000R 00001 00211 015 2112000 2024 CP1OP405*")</f>
        <v>250</v>
      </c>
      <c r="G5084" s="35">
        <f>SUMIFS(G5085:G9015,K5085:K9015,"0",B5085:B9015,"5 1 2 1 1 12 31111 6 M59 30100 000132 0000R 00001 00211 015 2112000 2024 CP1OP405*")</f>
        <v>0</v>
      </c>
      <c r="H5084" s="35">
        <f t="shared" si="80"/>
        <v>250</v>
      </c>
      <c r="I5084" s="35"/>
      <c r="K5084" t="s">
        <v>15</v>
      </c>
    </row>
    <row r="5085" spans="2:11" ht="41.25" x14ac:dyDescent="0.2">
      <c r="B5085" s="33" t="s">
        <v>6049</v>
      </c>
      <c r="C5085" s="33" t="s">
        <v>282</v>
      </c>
      <c r="D5085" s="35">
        <f>SUMIFS(D5086:D9015,K5086:K9015,"0",B5086:B9015,"5 1 2 1 1 12 31111 6 M59 30100 000132 0000R 00001 00211 015 2112000 2024 CP1OP405 001*")-SUMIFS(E5086:E9015,K5086:K9015,"0",B5086:B9015,"5 1 2 1 1 12 31111 6 M59 30100 000132 0000R 00001 00211 015 2112000 2024 CP1OP405 001*")</f>
        <v>0</v>
      </c>
      <c r="E5085"/>
      <c r="F5085" s="35">
        <f>SUMIFS(F5086:F9015,K5086:K9015,"0",B5086:B9015,"5 1 2 1 1 12 31111 6 M59 30100 000132 0000R 00001 00211 015 2112000 2024 CP1OP405 001*")</f>
        <v>250</v>
      </c>
      <c r="G5085" s="35">
        <f>SUMIFS(G5086:G9015,K5086:K9015,"0",B5086:B9015,"5 1 2 1 1 12 31111 6 M59 30100 000132 0000R 00001 00211 015 2112000 2024 CP1OP405 001*")</f>
        <v>0</v>
      </c>
      <c r="H5085" s="35">
        <f t="shared" si="80"/>
        <v>250</v>
      </c>
      <c r="I5085" s="35"/>
      <c r="K5085" t="s">
        <v>15</v>
      </c>
    </row>
    <row r="5086" spans="2:11" ht="33" x14ac:dyDescent="0.2">
      <c r="B5086" s="31" t="s">
        <v>6050</v>
      </c>
      <c r="C5086" s="31" t="s">
        <v>5827</v>
      </c>
      <c r="D5086" s="34">
        <v>0</v>
      </c>
      <c r="E5086" s="34"/>
      <c r="F5086" s="34">
        <v>250</v>
      </c>
      <c r="G5086" s="34">
        <v>0</v>
      </c>
      <c r="H5086" s="34">
        <f t="shared" si="80"/>
        <v>250</v>
      </c>
      <c r="I5086" s="34"/>
      <c r="K5086" t="s">
        <v>38</v>
      </c>
    </row>
    <row r="5087" spans="2:11" ht="24.75" x14ac:dyDescent="0.2">
      <c r="B5087" s="33" t="s">
        <v>6051</v>
      </c>
      <c r="C5087" s="33" t="s">
        <v>3222</v>
      </c>
      <c r="D5087" s="35">
        <f>SUMIFS(D5088:D9015,K5088:K9015,"0",B5088:B9015,"5 1 2 1 1 12 31111 6 M59 30200*")-SUMIFS(E5088:E9015,K5088:K9015,"0",B5088:B9015,"5 1 2 1 1 12 31111 6 M59 30200*")</f>
        <v>0</v>
      </c>
      <c r="E5087"/>
      <c r="F5087" s="35">
        <f>SUMIFS(F5088:F9015,K5088:K9015,"0",B5088:B9015,"5 1 2 1 1 12 31111 6 M59 30200*")</f>
        <v>250</v>
      </c>
      <c r="G5087" s="35">
        <f>SUMIFS(G5088:G9015,K5088:K9015,"0",B5088:B9015,"5 1 2 1 1 12 31111 6 M59 30200*")</f>
        <v>0</v>
      </c>
      <c r="H5087" s="35">
        <f t="shared" si="80"/>
        <v>250</v>
      </c>
      <c r="I5087" s="35"/>
      <c r="K5087" t="s">
        <v>15</v>
      </c>
    </row>
    <row r="5088" spans="2:11" ht="16.5" x14ac:dyDescent="0.2">
      <c r="B5088" s="33" t="s">
        <v>6052</v>
      </c>
      <c r="C5088" s="33" t="s">
        <v>648</v>
      </c>
      <c r="D5088" s="35">
        <f>SUMIFS(D5089:D9015,K5089:K9015,"0",B5089:B9015,"5 1 2 1 1 12 31111 6 M59 30200 000132*")-SUMIFS(E5089:E9015,K5089:K9015,"0",B5089:B9015,"5 1 2 1 1 12 31111 6 M59 30200 000132*")</f>
        <v>0</v>
      </c>
      <c r="E5088"/>
      <c r="F5088" s="35">
        <f>SUMIFS(F5089:F9015,K5089:K9015,"0",B5089:B9015,"5 1 2 1 1 12 31111 6 M59 30200 000132*")</f>
        <v>250</v>
      </c>
      <c r="G5088" s="35">
        <f>SUMIFS(G5089:G9015,K5089:K9015,"0",B5089:B9015,"5 1 2 1 1 12 31111 6 M59 30200 000132*")</f>
        <v>0</v>
      </c>
      <c r="H5088" s="35">
        <f t="shared" si="80"/>
        <v>250</v>
      </c>
      <c r="I5088" s="35"/>
      <c r="K5088" t="s">
        <v>15</v>
      </c>
    </row>
    <row r="5089" spans="2:11" ht="16.5" x14ac:dyDescent="0.2">
      <c r="B5089" s="33" t="s">
        <v>6053</v>
      </c>
      <c r="C5089" s="33" t="s">
        <v>650</v>
      </c>
      <c r="D5089" s="35">
        <f>SUMIFS(D5090:D9015,K5090:K9015,"0",B5090:B9015,"5 1 2 1 1 12 31111 6 M59 30200 000132 0000R*")-SUMIFS(E5090:E9015,K5090:K9015,"0",B5090:B9015,"5 1 2 1 1 12 31111 6 M59 30200 000132 0000R*")</f>
        <v>0</v>
      </c>
      <c r="E5089"/>
      <c r="F5089" s="35">
        <f>SUMIFS(F5090:F9015,K5090:K9015,"0",B5090:B9015,"5 1 2 1 1 12 31111 6 M59 30200 000132 0000R*")</f>
        <v>250</v>
      </c>
      <c r="G5089" s="35">
        <f>SUMIFS(G5090:G9015,K5090:K9015,"0",B5090:B9015,"5 1 2 1 1 12 31111 6 M59 30200 000132 0000R*")</f>
        <v>0</v>
      </c>
      <c r="H5089" s="35">
        <f t="shared" si="80"/>
        <v>250</v>
      </c>
      <c r="I5089" s="35"/>
      <c r="K5089" t="s">
        <v>15</v>
      </c>
    </row>
    <row r="5090" spans="2:11" ht="24.75" x14ac:dyDescent="0.2">
      <c r="B5090" s="33" t="s">
        <v>6054</v>
      </c>
      <c r="C5090" s="33" t="s">
        <v>282</v>
      </c>
      <c r="D5090" s="35">
        <f>SUMIFS(D5091:D9015,K5091:K9015,"0",B5091:B9015,"5 1 2 1 1 12 31111 6 M59 30200 000132 0000R 00001*")-SUMIFS(E5091:E9015,K5091:K9015,"0",B5091:B9015,"5 1 2 1 1 12 31111 6 M59 30200 000132 0000R 00001*")</f>
        <v>0</v>
      </c>
      <c r="E5090"/>
      <c r="F5090" s="35">
        <f>SUMIFS(F5091:F9015,K5091:K9015,"0",B5091:B9015,"5 1 2 1 1 12 31111 6 M59 30200 000132 0000R 00001*")</f>
        <v>250</v>
      </c>
      <c r="G5090" s="35">
        <f>SUMIFS(G5091:G9015,K5091:K9015,"0",B5091:B9015,"5 1 2 1 1 12 31111 6 M59 30200 000132 0000R 00001*")</f>
        <v>0</v>
      </c>
      <c r="H5090" s="35">
        <f t="shared" si="80"/>
        <v>250</v>
      </c>
      <c r="I5090" s="35"/>
      <c r="K5090" t="s">
        <v>15</v>
      </c>
    </row>
    <row r="5091" spans="2:11" ht="24.75" x14ac:dyDescent="0.2">
      <c r="B5091" s="33" t="s">
        <v>6055</v>
      </c>
      <c r="C5091" s="33" t="s">
        <v>5827</v>
      </c>
      <c r="D5091" s="35">
        <f>SUMIFS(D5092:D9015,K5092:K9015,"0",B5092:B9015,"5 1 2 1 1 12 31111 6 M59 30200 000132 0000R 00001 00211*")-SUMIFS(E5092:E9015,K5092:K9015,"0",B5092:B9015,"5 1 2 1 1 12 31111 6 M59 30200 000132 0000R 00001 00211*")</f>
        <v>0</v>
      </c>
      <c r="E5091"/>
      <c r="F5091" s="35">
        <f>SUMIFS(F5092:F9015,K5092:K9015,"0",B5092:B9015,"5 1 2 1 1 12 31111 6 M59 30200 000132 0000R 00001 00211*")</f>
        <v>250</v>
      </c>
      <c r="G5091" s="35">
        <f>SUMIFS(G5092:G9015,K5092:K9015,"0",B5092:B9015,"5 1 2 1 1 12 31111 6 M59 30200 000132 0000R 00001 00211*")</f>
        <v>0</v>
      </c>
      <c r="H5091" s="35">
        <f t="shared" si="80"/>
        <v>250</v>
      </c>
      <c r="I5091" s="35"/>
      <c r="K5091" t="s">
        <v>15</v>
      </c>
    </row>
    <row r="5092" spans="2:11" ht="24.75" x14ac:dyDescent="0.2">
      <c r="B5092" s="33" t="s">
        <v>6056</v>
      </c>
      <c r="C5092" s="33" t="s">
        <v>1051</v>
      </c>
      <c r="D5092" s="35">
        <f>SUMIFS(D5093:D9015,K5093:K9015,"0",B5093:B9015,"5 1 2 1 1 12 31111 6 M59 30200 000132 0000R 00001 00211 015*")-SUMIFS(E5093:E9015,K5093:K9015,"0",B5093:B9015,"5 1 2 1 1 12 31111 6 M59 30200 000132 0000R 00001 00211 015*")</f>
        <v>0</v>
      </c>
      <c r="E5092"/>
      <c r="F5092" s="35">
        <f>SUMIFS(F5093:F9015,K5093:K9015,"0",B5093:B9015,"5 1 2 1 1 12 31111 6 M59 30200 000132 0000R 00001 00211 015*")</f>
        <v>250</v>
      </c>
      <c r="G5092" s="35">
        <f>SUMIFS(G5093:G9015,K5093:K9015,"0",B5093:B9015,"5 1 2 1 1 12 31111 6 M59 30200 000132 0000R 00001 00211 015*")</f>
        <v>0</v>
      </c>
      <c r="H5092" s="35">
        <f t="shared" si="80"/>
        <v>250</v>
      </c>
      <c r="I5092" s="35"/>
      <c r="K5092" t="s">
        <v>15</v>
      </c>
    </row>
    <row r="5093" spans="2:11" ht="33" x14ac:dyDescent="0.2">
      <c r="B5093" s="33" t="s">
        <v>6057</v>
      </c>
      <c r="C5093" s="33" t="s">
        <v>5830</v>
      </c>
      <c r="D5093" s="35">
        <f>SUMIFS(D5094:D9015,K5094:K9015,"0",B5094:B9015,"5 1 2 1 1 12 31111 6 M59 30200 000132 0000R 00001 00211 015 2112000*")-SUMIFS(E5094:E9015,K5094:K9015,"0",B5094:B9015,"5 1 2 1 1 12 31111 6 M59 30200 000132 0000R 00001 00211 015 2112000*")</f>
        <v>0</v>
      </c>
      <c r="E5093"/>
      <c r="F5093" s="35">
        <f>SUMIFS(F5094:F9015,K5094:K9015,"0",B5094:B9015,"5 1 2 1 1 12 31111 6 M59 30200 000132 0000R 00001 00211 015 2112000*")</f>
        <v>250</v>
      </c>
      <c r="G5093" s="35">
        <f>SUMIFS(G5094:G9015,K5094:K9015,"0",B5094:B9015,"5 1 2 1 1 12 31111 6 M59 30200 000132 0000R 00001 00211 015 2112000*")</f>
        <v>0</v>
      </c>
      <c r="H5093" s="35">
        <f t="shared" si="80"/>
        <v>250</v>
      </c>
      <c r="I5093" s="35"/>
      <c r="K5093" t="s">
        <v>15</v>
      </c>
    </row>
    <row r="5094" spans="2:11" ht="33" x14ac:dyDescent="0.2">
      <c r="B5094" s="33" t="s">
        <v>6058</v>
      </c>
      <c r="C5094" s="33" t="s">
        <v>660</v>
      </c>
      <c r="D5094" s="35">
        <f>SUMIFS(D5095:D9015,K5095:K9015,"0",B5095:B9015,"5 1 2 1 1 12 31111 6 M59 30200 000132 0000R 00001 00211 015 2112000 2024*")-SUMIFS(E5095:E9015,K5095:K9015,"0",B5095:B9015,"5 1 2 1 1 12 31111 6 M59 30200 000132 0000R 00001 00211 015 2112000 2024*")</f>
        <v>0</v>
      </c>
      <c r="E5094"/>
      <c r="F5094" s="35">
        <f>SUMIFS(F5095:F9015,K5095:K9015,"0",B5095:B9015,"5 1 2 1 1 12 31111 6 M59 30200 000132 0000R 00001 00211 015 2112000 2024*")</f>
        <v>250</v>
      </c>
      <c r="G5094" s="35">
        <f>SUMIFS(G5095:G9015,K5095:K9015,"0",B5095:B9015,"5 1 2 1 1 12 31111 6 M59 30200 000132 0000R 00001 00211 015 2112000 2024*")</f>
        <v>0</v>
      </c>
      <c r="H5094" s="35">
        <f t="shared" si="80"/>
        <v>250</v>
      </c>
      <c r="I5094" s="35"/>
      <c r="K5094" t="s">
        <v>15</v>
      </c>
    </row>
    <row r="5095" spans="2:11" ht="41.25" x14ac:dyDescent="0.2">
      <c r="B5095" s="33" t="s">
        <v>6059</v>
      </c>
      <c r="C5095" s="33" t="s">
        <v>1056</v>
      </c>
      <c r="D5095" s="35">
        <f>SUMIFS(D5096:D9015,K5096:K9015,"0",B5096:B9015,"5 1 2 1 1 12 31111 6 M59 30200 000132 0000R 00001 00211 015 2112000 2024 CP1OT378*")-SUMIFS(E5096:E9015,K5096:K9015,"0",B5096:B9015,"5 1 2 1 1 12 31111 6 M59 30200 000132 0000R 00001 00211 015 2112000 2024 CP1OT378*")</f>
        <v>0</v>
      </c>
      <c r="E5095"/>
      <c r="F5095" s="35">
        <f>SUMIFS(F5096:F9015,K5096:K9015,"0",B5096:B9015,"5 1 2 1 1 12 31111 6 M59 30200 000132 0000R 00001 00211 015 2112000 2024 CP1OT378*")</f>
        <v>250</v>
      </c>
      <c r="G5095" s="35">
        <f>SUMIFS(G5096:G9015,K5096:K9015,"0",B5096:B9015,"5 1 2 1 1 12 31111 6 M59 30200 000132 0000R 00001 00211 015 2112000 2024 CP1OT378*")</f>
        <v>0</v>
      </c>
      <c r="H5095" s="35">
        <f t="shared" si="80"/>
        <v>250</v>
      </c>
      <c r="I5095" s="35"/>
      <c r="K5095" t="s">
        <v>15</v>
      </c>
    </row>
    <row r="5096" spans="2:11" ht="41.25" x14ac:dyDescent="0.2">
      <c r="B5096" s="33" t="s">
        <v>6060</v>
      </c>
      <c r="C5096" s="33" t="s">
        <v>282</v>
      </c>
      <c r="D5096" s="35">
        <f>SUMIFS(D5097:D9015,K5097:K9015,"0",B5097:B9015,"5 1 2 1 1 12 31111 6 M59 30200 000132 0000R 00001 00211 015 2112000 2024 CP1OT378 001*")-SUMIFS(E5097:E9015,K5097:K9015,"0",B5097:B9015,"5 1 2 1 1 12 31111 6 M59 30200 000132 0000R 00001 00211 015 2112000 2024 CP1OT378 001*")</f>
        <v>0</v>
      </c>
      <c r="E5096"/>
      <c r="F5096" s="35">
        <f>SUMIFS(F5097:F9015,K5097:K9015,"0",B5097:B9015,"5 1 2 1 1 12 31111 6 M59 30200 000132 0000R 00001 00211 015 2112000 2024 CP1OT378 001*")</f>
        <v>250</v>
      </c>
      <c r="G5096" s="35">
        <f>SUMIFS(G5097:G9015,K5097:K9015,"0",B5097:B9015,"5 1 2 1 1 12 31111 6 M59 30200 000132 0000R 00001 00211 015 2112000 2024 CP1OT378 001*")</f>
        <v>0</v>
      </c>
      <c r="H5096" s="35">
        <f t="shared" si="80"/>
        <v>250</v>
      </c>
      <c r="I5096" s="35"/>
      <c r="K5096" t="s">
        <v>15</v>
      </c>
    </row>
    <row r="5097" spans="2:11" ht="41.25" x14ac:dyDescent="0.2">
      <c r="B5097" s="31" t="s">
        <v>6061</v>
      </c>
      <c r="C5097" s="31" t="s">
        <v>5827</v>
      </c>
      <c r="D5097" s="34">
        <v>0</v>
      </c>
      <c r="E5097" s="34"/>
      <c r="F5097" s="34">
        <v>250</v>
      </c>
      <c r="G5097" s="34">
        <v>0</v>
      </c>
      <c r="H5097" s="34">
        <f t="shared" si="80"/>
        <v>250</v>
      </c>
      <c r="I5097" s="34"/>
      <c r="K5097" t="s">
        <v>38</v>
      </c>
    </row>
    <row r="5098" spans="2:11" ht="16.5" x14ac:dyDescent="0.2">
      <c r="B5098" s="33" t="s">
        <v>6062</v>
      </c>
      <c r="C5098" s="33" t="s">
        <v>1092</v>
      </c>
      <c r="D5098" s="35">
        <f>SUMIFS(D5099:D9015,K5099:K9015,"0",B5099:B9015,"5 1 2 1 1 12 31111 6 M59 40000*")-SUMIFS(E5099:E9015,K5099:K9015,"0",B5099:B9015,"5 1 2 1 1 12 31111 6 M59 40000*")</f>
        <v>0</v>
      </c>
      <c r="E5098"/>
      <c r="F5098" s="35">
        <f>SUMIFS(F5099:F9015,K5099:K9015,"0",B5099:B9015,"5 1 2 1 1 12 31111 6 M59 40000*")</f>
        <v>7074777.1600000001</v>
      </c>
      <c r="G5098" s="35">
        <f>SUMIFS(G5099:G9015,K5099:K9015,"0",B5099:B9015,"5 1 2 1 1 12 31111 6 M59 40000*")</f>
        <v>0</v>
      </c>
      <c r="H5098" s="35">
        <f t="shared" si="80"/>
        <v>7074777.1600000001</v>
      </c>
      <c r="I5098" s="35"/>
      <c r="K5098" t="s">
        <v>15</v>
      </c>
    </row>
    <row r="5099" spans="2:11" ht="16.5" x14ac:dyDescent="0.2">
      <c r="B5099" s="33" t="s">
        <v>6063</v>
      </c>
      <c r="C5099" s="33" t="s">
        <v>1094</v>
      </c>
      <c r="D5099" s="35">
        <f>SUMIFS(D5100:D9015,K5100:K9015,"0",B5100:B9015,"5 1 2 1 1 12 31111 6 M59 40000 000161*")-SUMIFS(E5100:E9015,K5100:K9015,"0",B5100:B9015,"5 1 2 1 1 12 31111 6 M59 40000 000161*")</f>
        <v>0</v>
      </c>
      <c r="E5099"/>
      <c r="F5099" s="35">
        <f>SUMIFS(F5100:F9015,K5100:K9015,"0",B5100:B9015,"5 1 2 1 1 12 31111 6 M59 40000 000161*")</f>
        <v>7074777.1600000001</v>
      </c>
      <c r="G5099" s="35">
        <f>SUMIFS(G5100:G9015,K5100:K9015,"0",B5100:B9015,"5 1 2 1 1 12 31111 6 M59 40000 000161*")</f>
        <v>0</v>
      </c>
      <c r="H5099" s="35">
        <f t="shared" si="80"/>
        <v>7074777.1600000001</v>
      </c>
      <c r="I5099" s="35"/>
      <c r="K5099" t="s">
        <v>15</v>
      </c>
    </row>
    <row r="5100" spans="2:11" ht="16.5" x14ac:dyDescent="0.2">
      <c r="B5100" s="33" t="s">
        <v>6064</v>
      </c>
      <c r="C5100" s="33" t="s">
        <v>1065</v>
      </c>
      <c r="D5100" s="35">
        <f>SUMIFS(D5101:D9015,K5101:K9015,"0",B5101:B9015,"5 1 2 1 1 12 31111 6 M59 40000 000161 0000E*")-SUMIFS(E5101:E9015,K5101:K9015,"0",B5101:B9015,"5 1 2 1 1 12 31111 6 M59 40000 000161 0000E*")</f>
        <v>0</v>
      </c>
      <c r="E5100"/>
      <c r="F5100" s="35">
        <f>SUMIFS(F5101:F9015,K5101:K9015,"0",B5101:B9015,"5 1 2 1 1 12 31111 6 M59 40000 000161 0000E*")</f>
        <v>7074777.1600000001</v>
      </c>
      <c r="G5100" s="35">
        <f>SUMIFS(G5101:G9015,K5101:K9015,"0",B5101:B9015,"5 1 2 1 1 12 31111 6 M59 40000 000161 0000E*")</f>
        <v>0</v>
      </c>
      <c r="H5100" s="35">
        <f t="shared" si="80"/>
        <v>7074777.1600000001</v>
      </c>
      <c r="I5100" s="35"/>
      <c r="K5100" t="s">
        <v>15</v>
      </c>
    </row>
    <row r="5101" spans="2:11" ht="24.75" x14ac:dyDescent="0.2">
      <c r="B5101" s="33" t="s">
        <v>6065</v>
      </c>
      <c r="C5101" s="33" t="s">
        <v>282</v>
      </c>
      <c r="D5101" s="35">
        <f>SUMIFS(D5102:D9015,K5102:K9015,"0",B5102:B9015,"5 1 2 1 1 12 31111 6 M59 40000 000161 0000E 00001*")-SUMIFS(E5102:E9015,K5102:K9015,"0",B5102:B9015,"5 1 2 1 1 12 31111 6 M59 40000 000161 0000E 00001*")</f>
        <v>0</v>
      </c>
      <c r="E5101"/>
      <c r="F5101" s="35">
        <f>SUMIFS(F5102:F9015,K5102:K9015,"0",B5102:B9015,"5 1 2 1 1 12 31111 6 M59 40000 000161 0000E 00001*")</f>
        <v>7074777.1600000001</v>
      </c>
      <c r="G5101" s="35">
        <f>SUMIFS(G5102:G9015,K5102:K9015,"0",B5102:B9015,"5 1 2 1 1 12 31111 6 M59 40000 000161 0000E 00001*")</f>
        <v>0</v>
      </c>
      <c r="H5101" s="35">
        <f t="shared" si="80"/>
        <v>7074777.1600000001</v>
      </c>
      <c r="I5101" s="35"/>
      <c r="K5101" t="s">
        <v>15</v>
      </c>
    </row>
    <row r="5102" spans="2:11" ht="24.75" x14ac:dyDescent="0.2">
      <c r="B5102" s="33" t="s">
        <v>6066</v>
      </c>
      <c r="C5102" s="33" t="s">
        <v>5827</v>
      </c>
      <c r="D5102" s="35">
        <f>SUMIFS(D5103:D9015,K5103:K9015,"0",B5103:B9015,"5 1 2 1 1 12 31111 6 M59 40000 000161 0000E 00001 00211*")-SUMIFS(E5103:E9015,K5103:K9015,"0",B5103:B9015,"5 1 2 1 1 12 31111 6 M59 40000 000161 0000E 00001 00211*")</f>
        <v>0</v>
      </c>
      <c r="E5102"/>
      <c r="F5102" s="35">
        <f>SUMIFS(F5103:F9015,K5103:K9015,"0",B5103:B9015,"5 1 2 1 1 12 31111 6 M59 40000 000161 0000E 00001 00211*")</f>
        <v>7074777.1600000001</v>
      </c>
      <c r="G5102" s="35">
        <f>SUMIFS(G5103:G9015,K5103:K9015,"0",B5103:B9015,"5 1 2 1 1 12 31111 6 M59 40000 000161 0000E 00001 00211*")</f>
        <v>0</v>
      </c>
      <c r="H5102" s="35">
        <f t="shared" si="80"/>
        <v>7074777.1600000001</v>
      </c>
      <c r="I5102" s="35"/>
      <c r="K5102" t="s">
        <v>15</v>
      </c>
    </row>
    <row r="5103" spans="2:11" ht="24.75" x14ac:dyDescent="0.2">
      <c r="B5103" s="33" t="s">
        <v>6067</v>
      </c>
      <c r="C5103" s="33" t="s">
        <v>656</v>
      </c>
      <c r="D5103" s="35">
        <f>SUMIFS(D5104:D9015,K5104:K9015,"0",B5104:B9015,"5 1 2 1 1 12 31111 6 M59 40000 000161 0000E 00001 00211 025*")-SUMIFS(E5104:E9015,K5104:K9015,"0",B5104:B9015,"5 1 2 1 1 12 31111 6 M59 40000 000161 0000E 00001 00211 025*")</f>
        <v>0</v>
      </c>
      <c r="E5103"/>
      <c r="F5103" s="35">
        <f>SUMIFS(F5104:F9015,K5104:K9015,"0",B5104:B9015,"5 1 2 1 1 12 31111 6 M59 40000 000161 0000E 00001 00211 025*")</f>
        <v>7074777.1600000001</v>
      </c>
      <c r="G5103" s="35">
        <f>SUMIFS(G5104:G9015,K5104:K9015,"0",B5104:B9015,"5 1 2 1 1 12 31111 6 M59 40000 000161 0000E 00001 00211 025*")</f>
        <v>0</v>
      </c>
      <c r="H5103" s="35">
        <f t="shared" si="80"/>
        <v>7074777.1600000001</v>
      </c>
      <c r="I5103" s="35"/>
      <c r="K5103" t="s">
        <v>15</v>
      </c>
    </row>
    <row r="5104" spans="2:11" ht="33" x14ac:dyDescent="0.2">
      <c r="B5104" s="33" t="s">
        <v>6068</v>
      </c>
      <c r="C5104" s="33" t="s">
        <v>5830</v>
      </c>
      <c r="D5104" s="35">
        <f>SUMIFS(D5105:D9015,K5105:K9015,"0",B5105:B9015,"5 1 2 1 1 12 31111 6 M59 40000 000161 0000E 00001 00211 025 2112000*")-SUMIFS(E5105:E9015,K5105:K9015,"0",B5105:B9015,"5 1 2 1 1 12 31111 6 M59 40000 000161 0000E 00001 00211 025 2112000*")</f>
        <v>0</v>
      </c>
      <c r="E5104"/>
      <c r="F5104" s="35">
        <f>SUMIFS(F5105:F9015,K5105:K9015,"0",B5105:B9015,"5 1 2 1 1 12 31111 6 M59 40000 000161 0000E 00001 00211 025 2112000*")</f>
        <v>7074777.1600000001</v>
      </c>
      <c r="G5104" s="35">
        <f>SUMIFS(G5105:G9015,K5105:K9015,"0",B5105:B9015,"5 1 2 1 1 12 31111 6 M59 40000 000161 0000E 00001 00211 025 2112000*")</f>
        <v>0</v>
      </c>
      <c r="H5104" s="35">
        <f t="shared" si="80"/>
        <v>7074777.1600000001</v>
      </c>
      <c r="I5104" s="35"/>
      <c r="K5104" t="s">
        <v>15</v>
      </c>
    </row>
    <row r="5105" spans="2:11" ht="33" x14ac:dyDescent="0.2">
      <c r="B5105" s="33" t="s">
        <v>6069</v>
      </c>
      <c r="C5105" s="33" t="s">
        <v>660</v>
      </c>
      <c r="D5105" s="35">
        <f>SUMIFS(D5106:D9015,K5106:K9015,"0",B5106:B9015,"5 1 2 1 1 12 31111 6 M59 40000 000161 0000E 00001 00211 025 2112000 2024*")-SUMIFS(E5106:E9015,K5106:K9015,"0",B5106:B9015,"5 1 2 1 1 12 31111 6 M59 40000 000161 0000E 00001 00211 025 2112000 2024*")</f>
        <v>0</v>
      </c>
      <c r="E5105"/>
      <c r="F5105" s="35">
        <f>SUMIFS(F5106:F9015,K5106:K9015,"0",B5106:B9015,"5 1 2 1 1 12 31111 6 M59 40000 000161 0000E 00001 00211 025 2112000 2024*")</f>
        <v>7074777.1600000001</v>
      </c>
      <c r="G5105" s="35">
        <f>SUMIFS(G5106:G9015,K5106:K9015,"0",B5106:B9015,"5 1 2 1 1 12 31111 6 M59 40000 000161 0000E 00001 00211 025 2112000 2024*")</f>
        <v>0</v>
      </c>
      <c r="H5105" s="35">
        <f t="shared" si="80"/>
        <v>7074777.1600000001</v>
      </c>
      <c r="I5105" s="35"/>
      <c r="K5105" t="s">
        <v>15</v>
      </c>
    </row>
    <row r="5106" spans="2:11" ht="41.25" x14ac:dyDescent="0.2">
      <c r="B5106" s="33" t="s">
        <v>6070</v>
      </c>
      <c r="C5106" s="33" t="s">
        <v>662</v>
      </c>
      <c r="D5106" s="35">
        <f>SUMIFS(D5107:D9015,K5107:K9015,"0",B5107:B9015,"5 1 2 1 1 12 31111 6 M59 40000 000161 0000E 00001 00211 025 2112000 2024 CP4SP372*")-SUMIFS(E5107:E9015,K5107:K9015,"0",B5107:B9015,"5 1 2 1 1 12 31111 6 M59 40000 000161 0000E 00001 00211 025 2112000 2024 CP4SP372*")</f>
        <v>0</v>
      </c>
      <c r="E5106"/>
      <c r="F5106" s="35">
        <f>SUMIFS(F5107:F9015,K5107:K9015,"0",B5107:B9015,"5 1 2 1 1 12 31111 6 M59 40000 000161 0000E 00001 00211 025 2112000 2024 CP4SP372*")</f>
        <v>7074777.1600000001</v>
      </c>
      <c r="G5106" s="35">
        <f>SUMIFS(G5107:G9015,K5107:K9015,"0",B5107:B9015,"5 1 2 1 1 12 31111 6 M59 40000 000161 0000E 00001 00211 025 2112000 2024 CP4SP372*")</f>
        <v>0</v>
      </c>
      <c r="H5106" s="35">
        <f t="shared" si="80"/>
        <v>7074777.1600000001</v>
      </c>
      <c r="I5106" s="35"/>
      <c r="K5106" t="s">
        <v>15</v>
      </c>
    </row>
    <row r="5107" spans="2:11" ht="41.25" x14ac:dyDescent="0.2">
      <c r="B5107" s="33" t="s">
        <v>6071</v>
      </c>
      <c r="C5107" s="33" t="s">
        <v>664</v>
      </c>
      <c r="D5107" s="35">
        <f>SUMIFS(D5108:D9015,K5108:K9015,"0",B5108:B9015,"5 1 2 1 1 12 31111 6 M59 40000 000161 0000E 00001 00211 025 2112000 2024 CP4SP372 003*")-SUMIFS(E5108:E9015,K5108:K9015,"0",B5108:B9015,"5 1 2 1 1 12 31111 6 M59 40000 000161 0000E 00001 00211 025 2112000 2024 CP4SP372 003*")</f>
        <v>0</v>
      </c>
      <c r="E5107"/>
      <c r="F5107" s="35">
        <f>SUMIFS(F5108:F9015,K5108:K9015,"0",B5108:B9015,"5 1 2 1 1 12 31111 6 M59 40000 000161 0000E 00001 00211 025 2112000 2024 CP4SP372 003*")</f>
        <v>7074777.1600000001</v>
      </c>
      <c r="G5107" s="35">
        <f>SUMIFS(G5108:G9015,K5108:K9015,"0",B5108:B9015,"5 1 2 1 1 12 31111 6 M59 40000 000161 0000E 00001 00211 025 2112000 2024 CP4SP372 003*")</f>
        <v>0</v>
      </c>
      <c r="H5107" s="35">
        <f t="shared" si="80"/>
        <v>7074777.1600000001</v>
      </c>
      <c r="I5107" s="35"/>
      <c r="K5107" t="s">
        <v>15</v>
      </c>
    </row>
    <row r="5108" spans="2:11" ht="33" x14ac:dyDescent="0.2">
      <c r="B5108" s="31" t="s">
        <v>6072</v>
      </c>
      <c r="C5108" s="31" t="s">
        <v>5817</v>
      </c>
      <c r="D5108" s="34">
        <v>0</v>
      </c>
      <c r="E5108" s="34"/>
      <c r="F5108" s="34">
        <v>7074777.1600000001</v>
      </c>
      <c r="G5108" s="34">
        <v>0</v>
      </c>
      <c r="H5108" s="34">
        <f t="shared" si="80"/>
        <v>7074777.1600000001</v>
      </c>
      <c r="I5108" s="34"/>
      <c r="K5108" t="s">
        <v>38</v>
      </c>
    </row>
    <row r="5109" spans="2:11" ht="16.5" x14ac:dyDescent="0.2">
      <c r="B5109" s="33" t="s">
        <v>6073</v>
      </c>
      <c r="C5109" s="33" t="s">
        <v>1105</v>
      </c>
      <c r="D5109" s="35">
        <f>SUMIFS(D5110:D9015,K5110:K9015,"0",B5110:B9015,"5 1 2 1 1 12 31111 6 M59 40200*")-SUMIFS(E5110:E9015,K5110:K9015,"0",B5110:B9015,"5 1 2 1 1 12 31111 6 M59 40200*")</f>
        <v>0</v>
      </c>
      <c r="E5109"/>
      <c r="F5109" s="35">
        <f>SUMIFS(F5110:F9015,K5110:K9015,"0",B5110:B9015,"5 1 2 1 1 12 31111 6 M59 40200*")</f>
        <v>2200250</v>
      </c>
      <c r="G5109" s="35">
        <f>SUMIFS(G5110:G9015,K5110:K9015,"0",B5110:B9015,"5 1 2 1 1 12 31111 6 M59 40200*")</f>
        <v>0</v>
      </c>
      <c r="H5109" s="35">
        <f t="shared" si="80"/>
        <v>2200250</v>
      </c>
      <c r="I5109" s="35"/>
      <c r="K5109" t="s">
        <v>15</v>
      </c>
    </row>
    <row r="5110" spans="2:11" ht="16.5" x14ac:dyDescent="0.2">
      <c r="B5110" s="33" t="s">
        <v>6074</v>
      </c>
      <c r="C5110" s="33" t="s">
        <v>1107</v>
      </c>
      <c r="D5110" s="35">
        <f>SUMIFS(D5111:D9015,K5111:K9015,"0",B5111:B9015,"5 1 2 1 1 12 31111 6 M59 40200 000172*")-SUMIFS(E5111:E9015,K5111:K9015,"0",B5111:B9015,"5 1 2 1 1 12 31111 6 M59 40200 000172*")</f>
        <v>0</v>
      </c>
      <c r="E5110"/>
      <c r="F5110" s="35">
        <f>SUMIFS(F5111:F9015,K5111:K9015,"0",B5111:B9015,"5 1 2 1 1 12 31111 6 M59 40200 000172*")</f>
        <v>2200250</v>
      </c>
      <c r="G5110" s="35">
        <f>SUMIFS(G5111:G9015,K5111:K9015,"0",B5111:B9015,"5 1 2 1 1 12 31111 6 M59 40200 000172*")</f>
        <v>0</v>
      </c>
      <c r="H5110" s="35">
        <f t="shared" si="80"/>
        <v>2200250</v>
      </c>
      <c r="I5110" s="35"/>
      <c r="K5110" t="s">
        <v>15</v>
      </c>
    </row>
    <row r="5111" spans="2:11" ht="16.5" x14ac:dyDescent="0.2">
      <c r="B5111" s="33" t="s">
        <v>6075</v>
      </c>
      <c r="C5111" s="33" t="s">
        <v>650</v>
      </c>
      <c r="D5111" s="35">
        <f>SUMIFS(D5112:D9015,K5112:K9015,"0",B5112:B9015,"5 1 2 1 1 12 31111 6 M59 40200 000172 0000R*")-SUMIFS(E5112:E9015,K5112:K9015,"0",B5112:B9015,"5 1 2 1 1 12 31111 6 M59 40200 000172 0000R*")</f>
        <v>0</v>
      </c>
      <c r="E5111"/>
      <c r="F5111" s="35">
        <f>SUMIFS(F5112:F9015,K5112:K9015,"0",B5112:B9015,"5 1 2 1 1 12 31111 6 M59 40200 000172 0000R*")</f>
        <v>2200250</v>
      </c>
      <c r="G5111" s="35">
        <f>SUMIFS(G5112:G9015,K5112:K9015,"0",B5112:B9015,"5 1 2 1 1 12 31111 6 M59 40200 000172 0000R*")</f>
        <v>0</v>
      </c>
      <c r="H5111" s="35">
        <f t="shared" si="80"/>
        <v>2200250</v>
      </c>
      <c r="I5111" s="35"/>
      <c r="K5111" t="s">
        <v>15</v>
      </c>
    </row>
    <row r="5112" spans="2:11" ht="24.75" x14ac:dyDescent="0.2">
      <c r="B5112" s="33" t="s">
        <v>6076</v>
      </c>
      <c r="C5112" s="33" t="s">
        <v>282</v>
      </c>
      <c r="D5112" s="35">
        <f>SUMIFS(D5113:D9015,K5113:K9015,"0",B5113:B9015,"5 1 2 1 1 12 31111 6 M59 40200 000172 0000R 00001*")-SUMIFS(E5113:E9015,K5113:K9015,"0",B5113:B9015,"5 1 2 1 1 12 31111 6 M59 40200 000172 0000R 00001*")</f>
        <v>0</v>
      </c>
      <c r="E5112"/>
      <c r="F5112" s="35">
        <f>SUMIFS(F5113:F9015,K5113:K9015,"0",B5113:B9015,"5 1 2 1 1 12 31111 6 M59 40200 000172 0000R 00001*")</f>
        <v>2200250</v>
      </c>
      <c r="G5112" s="35">
        <f>SUMIFS(G5113:G9015,K5113:K9015,"0",B5113:B9015,"5 1 2 1 1 12 31111 6 M59 40200 000172 0000R 00001*")</f>
        <v>0</v>
      </c>
      <c r="H5112" s="35">
        <f t="shared" si="80"/>
        <v>2200250</v>
      </c>
      <c r="I5112" s="35"/>
      <c r="K5112" t="s">
        <v>15</v>
      </c>
    </row>
    <row r="5113" spans="2:11" ht="24.75" x14ac:dyDescent="0.2">
      <c r="B5113" s="33" t="s">
        <v>6077</v>
      </c>
      <c r="C5113" s="33" t="s">
        <v>5827</v>
      </c>
      <c r="D5113" s="35">
        <f>SUMIFS(D5114:D9015,K5114:K9015,"0",B5114:B9015,"5 1 2 1 1 12 31111 6 M59 40200 000172 0000R 00001 00211*")-SUMIFS(E5114:E9015,K5114:K9015,"0",B5114:B9015,"5 1 2 1 1 12 31111 6 M59 40200 000172 0000R 00001 00211*")</f>
        <v>0</v>
      </c>
      <c r="E5113"/>
      <c r="F5113" s="35">
        <f>SUMIFS(F5114:F9015,K5114:K9015,"0",B5114:B9015,"5 1 2 1 1 12 31111 6 M59 40200 000172 0000R 00001 00211*")</f>
        <v>2200250</v>
      </c>
      <c r="G5113" s="35">
        <f>SUMIFS(G5114:G9015,K5114:K9015,"0",B5114:B9015,"5 1 2 1 1 12 31111 6 M59 40200 000172 0000R 00001 00211*")</f>
        <v>0</v>
      </c>
      <c r="H5113" s="35">
        <f t="shared" si="80"/>
        <v>2200250</v>
      </c>
      <c r="I5113" s="35"/>
      <c r="K5113" t="s">
        <v>15</v>
      </c>
    </row>
    <row r="5114" spans="2:11" ht="24.75" x14ac:dyDescent="0.2">
      <c r="B5114" s="33" t="s">
        <v>6078</v>
      </c>
      <c r="C5114" s="33" t="s">
        <v>1051</v>
      </c>
      <c r="D5114" s="35">
        <f>SUMIFS(D5115:D9015,K5115:K9015,"0",B5115:B9015,"5 1 2 1 1 12 31111 6 M59 40200 000172 0000R 00001 00211 015*")-SUMIFS(E5115:E9015,K5115:K9015,"0",B5115:B9015,"5 1 2 1 1 12 31111 6 M59 40200 000172 0000R 00001 00211 015*")</f>
        <v>0</v>
      </c>
      <c r="E5114"/>
      <c r="F5114" s="35">
        <f>SUMIFS(F5115:F9015,K5115:K9015,"0",B5115:B9015,"5 1 2 1 1 12 31111 6 M59 40200 000172 0000R 00001 00211 015*")</f>
        <v>250</v>
      </c>
      <c r="G5114" s="35">
        <f>SUMIFS(G5115:G9015,K5115:K9015,"0",B5115:B9015,"5 1 2 1 1 12 31111 6 M59 40200 000172 0000R 00001 00211 015*")</f>
        <v>0</v>
      </c>
      <c r="H5114" s="35">
        <f t="shared" si="80"/>
        <v>250</v>
      </c>
      <c r="I5114" s="35"/>
      <c r="K5114" t="s">
        <v>15</v>
      </c>
    </row>
    <row r="5115" spans="2:11" ht="33" x14ac:dyDescent="0.2">
      <c r="B5115" s="33" t="s">
        <v>6079</v>
      </c>
      <c r="C5115" s="33" t="s">
        <v>5830</v>
      </c>
      <c r="D5115" s="35">
        <f>SUMIFS(D5116:D9015,K5116:K9015,"0",B5116:B9015,"5 1 2 1 1 12 31111 6 M59 40200 000172 0000R 00001 00211 015 2112000*")-SUMIFS(E5116:E9015,K5116:K9015,"0",B5116:B9015,"5 1 2 1 1 12 31111 6 M59 40200 000172 0000R 00001 00211 015 2112000*")</f>
        <v>0</v>
      </c>
      <c r="E5115"/>
      <c r="F5115" s="35">
        <f>SUMIFS(F5116:F9015,K5116:K9015,"0",B5116:B9015,"5 1 2 1 1 12 31111 6 M59 40200 000172 0000R 00001 00211 015 2112000*")</f>
        <v>250</v>
      </c>
      <c r="G5115" s="35">
        <f>SUMIFS(G5116:G9015,K5116:K9015,"0",B5116:B9015,"5 1 2 1 1 12 31111 6 M59 40200 000172 0000R 00001 00211 015 2112000*")</f>
        <v>0</v>
      </c>
      <c r="H5115" s="35">
        <f t="shared" si="80"/>
        <v>250</v>
      </c>
      <c r="I5115" s="35"/>
      <c r="K5115" t="s">
        <v>15</v>
      </c>
    </row>
    <row r="5116" spans="2:11" ht="33" x14ac:dyDescent="0.2">
      <c r="B5116" s="33" t="s">
        <v>6080</v>
      </c>
      <c r="C5116" s="33" t="s">
        <v>660</v>
      </c>
      <c r="D5116" s="35">
        <f>SUMIFS(D5117:D9015,K5117:K9015,"0",B5117:B9015,"5 1 2 1 1 12 31111 6 M59 40200 000172 0000R 00001 00211 015 2112000 2024*")-SUMIFS(E5117:E9015,K5117:K9015,"0",B5117:B9015,"5 1 2 1 1 12 31111 6 M59 40200 000172 0000R 00001 00211 015 2112000 2024*")</f>
        <v>0</v>
      </c>
      <c r="E5116"/>
      <c r="F5116" s="35">
        <f>SUMIFS(F5117:F9015,K5117:K9015,"0",B5117:B9015,"5 1 2 1 1 12 31111 6 M59 40200 000172 0000R 00001 00211 015 2112000 2024*")</f>
        <v>250</v>
      </c>
      <c r="G5116" s="35">
        <f>SUMIFS(G5117:G9015,K5117:K9015,"0",B5117:B9015,"5 1 2 1 1 12 31111 6 M59 40200 000172 0000R 00001 00211 015 2112000 2024*")</f>
        <v>0</v>
      </c>
      <c r="H5116" s="35">
        <f t="shared" si="80"/>
        <v>250</v>
      </c>
      <c r="I5116" s="35"/>
      <c r="K5116" t="s">
        <v>15</v>
      </c>
    </row>
    <row r="5117" spans="2:11" ht="41.25" x14ac:dyDescent="0.2">
      <c r="B5117" s="33" t="s">
        <v>6081</v>
      </c>
      <c r="C5117" s="33" t="s">
        <v>1056</v>
      </c>
      <c r="D5117" s="35">
        <f>SUMIFS(D5118:D9015,K5118:K9015,"0",B5118:B9015,"5 1 2 1 1 12 31111 6 M59 40200 000172 0000R 00001 00211 015 2112000 2024 CP4PC370*")-SUMIFS(E5118:E9015,K5118:K9015,"0",B5118:B9015,"5 1 2 1 1 12 31111 6 M59 40200 000172 0000R 00001 00211 015 2112000 2024 CP4PC370*")</f>
        <v>0</v>
      </c>
      <c r="E5117"/>
      <c r="F5117" s="35">
        <f>SUMIFS(F5118:F9015,K5118:K9015,"0",B5118:B9015,"5 1 2 1 1 12 31111 6 M59 40200 000172 0000R 00001 00211 015 2112000 2024 CP4PC370*")</f>
        <v>250</v>
      </c>
      <c r="G5117" s="35">
        <f>SUMIFS(G5118:G9015,K5118:K9015,"0",B5118:B9015,"5 1 2 1 1 12 31111 6 M59 40200 000172 0000R 00001 00211 015 2112000 2024 CP4PC370*")</f>
        <v>0</v>
      </c>
      <c r="H5117" s="35">
        <f t="shared" si="80"/>
        <v>250</v>
      </c>
      <c r="I5117" s="35"/>
      <c r="K5117" t="s">
        <v>15</v>
      </c>
    </row>
    <row r="5118" spans="2:11" ht="41.25" x14ac:dyDescent="0.2">
      <c r="B5118" s="33" t="s">
        <v>6082</v>
      </c>
      <c r="C5118" s="33" t="s">
        <v>282</v>
      </c>
      <c r="D5118" s="35">
        <f>SUMIFS(D5119:D9015,K5119:K9015,"0",B5119:B9015,"5 1 2 1 1 12 31111 6 M59 40200 000172 0000R 00001 00211 015 2112000 2024 CP4PC370 001*")-SUMIFS(E5119:E9015,K5119:K9015,"0",B5119:B9015,"5 1 2 1 1 12 31111 6 M59 40200 000172 0000R 00001 00211 015 2112000 2024 CP4PC370 001*")</f>
        <v>0</v>
      </c>
      <c r="E5118"/>
      <c r="F5118" s="35">
        <f>SUMIFS(F5119:F9015,K5119:K9015,"0",B5119:B9015,"5 1 2 1 1 12 31111 6 M59 40200 000172 0000R 00001 00211 015 2112000 2024 CP4PC370 001*")</f>
        <v>250</v>
      </c>
      <c r="G5118" s="35">
        <f>SUMIFS(G5119:G9015,K5119:K9015,"0",B5119:B9015,"5 1 2 1 1 12 31111 6 M59 40200 000172 0000R 00001 00211 015 2112000 2024 CP4PC370 001*")</f>
        <v>0</v>
      </c>
      <c r="H5118" s="35">
        <f t="shared" si="80"/>
        <v>250</v>
      </c>
      <c r="I5118" s="35"/>
      <c r="K5118" t="s">
        <v>15</v>
      </c>
    </row>
    <row r="5119" spans="2:11" ht="33" x14ac:dyDescent="0.2">
      <c r="B5119" s="31" t="s">
        <v>6083</v>
      </c>
      <c r="C5119" s="31" t="s">
        <v>5827</v>
      </c>
      <c r="D5119" s="34">
        <v>0</v>
      </c>
      <c r="E5119" s="34"/>
      <c r="F5119" s="34">
        <v>250</v>
      </c>
      <c r="G5119" s="34">
        <v>0</v>
      </c>
      <c r="H5119" s="34">
        <f t="shared" si="80"/>
        <v>250</v>
      </c>
      <c r="I5119" s="34"/>
      <c r="K5119" t="s">
        <v>38</v>
      </c>
    </row>
    <row r="5120" spans="2:11" ht="24.75" x14ac:dyDescent="0.2">
      <c r="B5120" s="33" t="s">
        <v>6084</v>
      </c>
      <c r="C5120" s="33" t="s">
        <v>656</v>
      </c>
      <c r="D5120" s="35">
        <f>SUMIFS(D5121:D9015,K5121:K9015,"0",B5121:B9015,"5 1 2 1 1 12 31111 6 M59 40200 000172 0000R 00001 00211 025*")-SUMIFS(E5121:E9015,K5121:K9015,"0",B5121:B9015,"5 1 2 1 1 12 31111 6 M59 40200 000172 0000R 00001 00211 025*")</f>
        <v>0</v>
      </c>
      <c r="E5120"/>
      <c r="F5120" s="35">
        <f>SUMIFS(F5121:F9015,K5121:K9015,"0",B5121:B9015,"5 1 2 1 1 12 31111 6 M59 40200 000172 0000R 00001 00211 025*")</f>
        <v>2200000</v>
      </c>
      <c r="G5120" s="35">
        <f>SUMIFS(G5121:G9015,K5121:K9015,"0",B5121:B9015,"5 1 2 1 1 12 31111 6 M59 40200 000172 0000R 00001 00211 025*")</f>
        <v>0</v>
      </c>
      <c r="H5120" s="35">
        <f t="shared" si="80"/>
        <v>2200000</v>
      </c>
      <c r="I5120" s="35"/>
      <c r="K5120" t="s">
        <v>15</v>
      </c>
    </row>
    <row r="5121" spans="2:11" ht="33" x14ac:dyDescent="0.2">
      <c r="B5121" s="33" t="s">
        <v>6085</v>
      </c>
      <c r="C5121" s="33" t="s">
        <v>5830</v>
      </c>
      <c r="D5121" s="35">
        <f>SUMIFS(D5122:D9015,K5122:K9015,"0",B5122:B9015,"5 1 2 1 1 12 31111 6 M59 40200 000172 0000R 00001 00211 025 2112000*")-SUMIFS(E5122:E9015,K5122:K9015,"0",B5122:B9015,"5 1 2 1 1 12 31111 6 M59 40200 000172 0000R 00001 00211 025 2112000*")</f>
        <v>0</v>
      </c>
      <c r="E5121"/>
      <c r="F5121" s="35">
        <f>SUMIFS(F5122:F9015,K5122:K9015,"0",B5122:B9015,"5 1 2 1 1 12 31111 6 M59 40200 000172 0000R 00001 00211 025 2112000*")</f>
        <v>2200000</v>
      </c>
      <c r="G5121" s="35">
        <f>SUMIFS(G5122:G9015,K5122:K9015,"0",B5122:B9015,"5 1 2 1 1 12 31111 6 M59 40200 000172 0000R 00001 00211 025 2112000*")</f>
        <v>0</v>
      </c>
      <c r="H5121" s="35">
        <f t="shared" si="80"/>
        <v>2200000</v>
      </c>
      <c r="I5121" s="35"/>
      <c r="K5121" t="s">
        <v>15</v>
      </c>
    </row>
    <row r="5122" spans="2:11" ht="33" x14ac:dyDescent="0.2">
      <c r="B5122" s="33" t="s">
        <v>6086</v>
      </c>
      <c r="C5122" s="33" t="s">
        <v>660</v>
      </c>
      <c r="D5122" s="35">
        <f>SUMIFS(D5123:D9015,K5123:K9015,"0",B5123:B9015,"5 1 2 1 1 12 31111 6 M59 40200 000172 0000R 00001 00211 025 2112000 2024*")-SUMIFS(E5123:E9015,K5123:K9015,"0",B5123:B9015,"5 1 2 1 1 12 31111 6 M59 40200 000172 0000R 00001 00211 025 2112000 2024*")</f>
        <v>0</v>
      </c>
      <c r="E5122"/>
      <c r="F5122" s="35">
        <f>SUMIFS(F5123:F9015,K5123:K9015,"0",B5123:B9015,"5 1 2 1 1 12 31111 6 M59 40200 000172 0000R 00001 00211 025 2112000 2024*")</f>
        <v>2200000</v>
      </c>
      <c r="G5122" s="35">
        <f>SUMIFS(G5123:G9015,K5123:K9015,"0",B5123:B9015,"5 1 2 1 1 12 31111 6 M59 40200 000172 0000R 00001 00211 025 2112000 2024*")</f>
        <v>0</v>
      </c>
      <c r="H5122" s="35">
        <f t="shared" si="80"/>
        <v>2200000</v>
      </c>
      <c r="I5122" s="35"/>
      <c r="K5122" t="s">
        <v>15</v>
      </c>
    </row>
    <row r="5123" spans="2:11" ht="41.25" x14ac:dyDescent="0.2">
      <c r="B5123" s="33" t="s">
        <v>6087</v>
      </c>
      <c r="C5123" s="33" t="s">
        <v>1056</v>
      </c>
      <c r="D5123" s="35">
        <f>SUMIFS(D5124:D9015,K5124:K9015,"0",B5124:B9015,"5 1 2 1 1 12 31111 6 M59 40200 000172 0000R 00001 00211 025 2112000 2024 CP4PC370*")-SUMIFS(E5124:E9015,K5124:K9015,"0",B5124:B9015,"5 1 2 1 1 12 31111 6 M59 40200 000172 0000R 00001 00211 025 2112000 2024 CP4PC370*")</f>
        <v>0</v>
      </c>
      <c r="E5123"/>
      <c r="F5123" s="35">
        <f>SUMIFS(F5124:F9015,K5124:K9015,"0",B5124:B9015,"5 1 2 1 1 12 31111 6 M59 40200 000172 0000R 00001 00211 025 2112000 2024 CP4PC370*")</f>
        <v>2200000</v>
      </c>
      <c r="G5123" s="35">
        <f>SUMIFS(G5124:G9015,K5124:K9015,"0",B5124:B9015,"5 1 2 1 1 12 31111 6 M59 40200 000172 0000R 00001 00211 025 2112000 2024 CP4PC370*")</f>
        <v>0</v>
      </c>
      <c r="H5123" s="35">
        <f t="shared" si="80"/>
        <v>2200000</v>
      </c>
      <c r="I5123" s="35"/>
      <c r="K5123" t="s">
        <v>15</v>
      </c>
    </row>
    <row r="5124" spans="2:11" ht="41.25" x14ac:dyDescent="0.2">
      <c r="B5124" s="33" t="s">
        <v>6088</v>
      </c>
      <c r="C5124" s="33" t="s">
        <v>664</v>
      </c>
      <c r="D5124" s="35">
        <f>SUMIFS(D5125:D9015,K5125:K9015,"0",B5125:B9015,"5 1 2 1 1 12 31111 6 M59 40200 000172 0000R 00001 00211 025 2112000 2024 CP4PC370 003*")-SUMIFS(E5125:E9015,K5125:K9015,"0",B5125:B9015,"5 1 2 1 1 12 31111 6 M59 40200 000172 0000R 00001 00211 025 2112000 2024 CP4PC370 003*")</f>
        <v>0</v>
      </c>
      <c r="E5124"/>
      <c r="F5124" s="35">
        <f>SUMIFS(F5125:F9015,K5125:K9015,"0",B5125:B9015,"5 1 2 1 1 12 31111 6 M59 40200 000172 0000R 00001 00211 025 2112000 2024 CP4PC370 003*")</f>
        <v>2200000</v>
      </c>
      <c r="G5124" s="35">
        <f>SUMIFS(G5125:G9015,K5125:K9015,"0",B5125:B9015,"5 1 2 1 1 12 31111 6 M59 40200 000172 0000R 00001 00211 025 2112000 2024 CP4PC370 003*")</f>
        <v>0</v>
      </c>
      <c r="H5124" s="35">
        <f t="shared" ref="H5124:H5187" si="81">D5124 + F5124 - G5124</f>
        <v>2200000</v>
      </c>
      <c r="I5124" s="35"/>
      <c r="K5124" t="s">
        <v>15</v>
      </c>
    </row>
    <row r="5125" spans="2:11" ht="33" x14ac:dyDescent="0.2">
      <c r="B5125" s="31" t="s">
        <v>6089</v>
      </c>
      <c r="C5125" s="31" t="s">
        <v>5817</v>
      </c>
      <c r="D5125" s="34">
        <v>0</v>
      </c>
      <c r="E5125" s="34"/>
      <c r="F5125" s="34">
        <v>2200000</v>
      </c>
      <c r="G5125" s="34">
        <v>0</v>
      </c>
      <c r="H5125" s="34">
        <f t="shared" si="81"/>
        <v>2200000</v>
      </c>
      <c r="I5125" s="34"/>
      <c r="K5125" t="s">
        <v>38</v>
      </c>
    </row>
    <row r="5126" spans="2:11" ht="16.5" x14ac:dyDescent="0.2">
      <c r="B5126" s="33" t="s">
        <v>6090</v>
      </c>
      <c r="C5126" s="33" t="s">
        <v>3256</v>
      </c>
      <c r="D5126" s="35">
        <f>SUMIFS(D5127:D9015,K5127:K9015,"0",B5127:B9015,"5 1 2 1 1 12 31111 6 M59 40300*")-SUMIFS(E5127:E9015,K5127:K9015,"0",B5127:B9015,"5 1 2 1 1 12 31111 6 M59 40300*")</f>
        <v>0</v>
      </c>
      <c r="E5126"/>
      <c r="F5126" s="35">
        <f>SUMIFS(F5127:F9015,K5127:K9015,"0",B5127:B9015,"5 1 2 1 1 12 31111 6 M59 40300*")</f>
        <v>2300250</v>
      </c>
      <c r="G5126" s="35">
        <f>SUMIFS(G5127:G9015,K5127:K9015,"0",B5127:B9015,"5 1 2 1 1 12 31111 6 M59 40300*")</f>
        <v>0</v>
      </c>
      <c r="H5126" s="35">
        <f t="shared" si="81"/>
        <v>2300250</v>
      </c>
      <c r="I5126" s="35"/>
      <c r="K5126" t="s">
        <v>15</v>
      </c>
    </row>
    <row r="5127" spans="2:11" ht="16.5" x14ac:dyDescent="0.2">
      <c r="B5127" s="33" t="s">
        <v>6091</v>
      </c>
      <c r="C5127" s="33" t="s">
        <v>1063</v>
      </c>
      <c r="D5127" s="35">
        <f>SUMIFS(D5128:D9015,K5128:K9015,"0",B5128:B9015,"5 1 2 1 1 12 31111 6 M59 40300 000185*")-SUMIFS(E5128:E9015,K5128:K9015,"0",B5128:B9015,"5 1 2 1 1 12 31111 6 M59 40300 000185*")</f>
        <v>0</v>
      </c>
      <c r="E5127"/>
      <c r="F5127" s="35">
        <f>SUMIFS(F5128:F9015,K5128:K9015,"0",B5128:B9015,"5 1 2 1 1 12 31111 6 M59 40300 000185*")</f>
        <v>2300250</v>
      </c>
      <c r="G5127" s="35">
        <f>SUMIFS(G5128:G9015,K5128:K9015,"0",B5128:B9015,"5 1 2 1 1 12 31111 6 M59 40300 000185*")</f>
        <v>0</v>
      </c>
      <c r="H5127" s="35">
        <f t="shared" si="81"/>
        <v>2300250</v>
      </c>
      <c r="I5127" s="35"/>
      <c r="K5127" t="s">
        <v>15</v>
      </c>
    </row>
    <row r="5128" spans="2:11" ht="16.5" x14ac:dyDescent="0.2">
      <c r="B5128" s="33" t="s">
        <v>6092</v>
      </c>
      <c r="C5128" s="33" t="s">
        <v>650</v>
      </c>
      <c r="D5128" s="35">
        <f>SUMIFS(D5129:D9015,K5129:K9015,"0",B5129:B9015,"5 1 2 1 1 12 31111 6 M59 40300 000185 0000R*")-SUMIFS(E5129:E9015,K5129:K9015,"0",B5129:B9015,"5 1 2 1 1 12 31111 6 M59 40300 000185 0000R*")</f>
        <v>0</v>
      </c>
      <c r="E5128"/>
      <c r="F5128" s="35">
        <f>SUMIFS(F5129:F9015,K5129:K9015,"0",B5129:B9015,"5 1 2 1 1 12 31111 6 M59 40300 000185 0000R*")</f>
        <v>2300250</v>
      </c>
      <c r="G5128" s="35">
        <f>SUMIFS(G5129:G9015,K5129:K9015,"0",B5129:B9015,"5 1 2 1 1 12 31111 6 M59 40300 000185 0000R*")</f>
        <v>0</v>
      </c>
      <c r="H5128" s="35">
        <f t="shared" si="81"/>
        <v>2300250</v>
      </c>
      <c r="I5128" s="35"/>
      <c r="K5128" t="s">
        <v>15</v>
      </c>
    </row>
    <row r="5129" spans="2:11" ht="24.75" x14ac:dyDescent="0.2">
      <c r="B5129" s="33" t="s">
        <v>6093</v>
      </c>
      <c r="C5129" s="33" t="s">
        <v>282</v>
      </c>
      <c r="D5129" s="35">
        <f>SUMIFS(D5130:D9015,K5130:K9015,"0",B5130:B9015,"5 1 2 1 1 12 31111 6 M59 40300 000185 0000R 00001*")-SUMIFS(E5130:E9015,K5130:K9015,"0",B5130:B9015,"5 1 2 1 1 12 31111 6 M59 40300 000185 0000R 00001*")</f>
        <v>0</v>
      </c>
      <c r="E5129"/>
      <c r="F5129" s="35">
        <f>SUMIFS(F5130:F9015,K5130:K9015,"0",B5130:B9015,"5 1 2 1 1 12 31111 6 M59 40300 000185 0000R 00001*")</f>
        <v>2300250</v>
      </c>
      <c r="G5129" s="35">
        <f>SUMIFS(G5130:G9015,K5130:K9015,"0",B5130:B9015,"5 1 2 1 1 12 31111 6 M59 40300 000185 0000R 00001*")</f>
        <v>0</v>
      </c>
      <c r="H5129" s="35">
        <f t="shared" si="81"/>
        <v>2300250</v>
      </c>
      <c r="I5129" s="35"/>
      <c r="K5129" t="s">
        <v>15</v>
      </c>
    </row>
    <row r="5130" spans="2:11" ht="24.75" x14ac:dyDescent="0.2">
      <c r="B5130" s="33" t="s">
        <v>6094</v>
      </c>
      <c r="C5130" s="33" t="s">
        <v>5827</v>
      </c>
      <c r="D5130" s="35">
        <f>SUMIFS(D5131:D9015,K5131:K9015,"0",B5131:B9015,"5 1 2 1 1 12 31111 6 M59 40300 000185 0000R 00001 00211*")-SUMIFS(E5131:E9015,K5131:K9015,"0",B5131:B9015,"5 1 2 1 1 12 31111 6 M59 40300 000185 0000R 00001 00211*")</f>
        <v>0</v>
      </c>
      <c r="E5130"/>
      <c r="F5130" s="35">
        <f>SUMIFS(F5131:F9015,K5131:K9015,"0",B5131:B9015,"5 1 2 1 1 12 31111 6 M59 40300 000185 0000R 00001 00211*")</f>
        <v>2300250</v>
      </c>
      <c r="G5130" s="35">
        <f>SUMIFS(G5131:G9015,K5131:K9015,"0",B5131:B9015,"5 1 2 1 1 12 31111 6 M59 40300 000185 0000R 00001 00211*")</f>
        <v>0</v>
      </c>
      <c r="H5130" s="35">
        <f t="shared" si="81"/>
        <v>2300250</v>
      </c>
      <c r="I5130" s="35"/>
      <c r="K5130" t="s">
        <v>15</v>
      </c>
    </row>
    <row r="5131" spans="2:11" ht="24.75" x14ac:dyDescent="0.2">
      <c r="B5131" s="33" t="s">
        <v>6095</v>
      </c>
      <c r="C5131" s="33" t="s">
        <v>1051</v>
      </c>
      <c r="D5131" s="35">
        <f>SUMIFS(D5132:D9015,K5132:K9015,"0",B5132:B9015,"5 1 2 1 1 12 31111 6 M59 40300 000185 0000R 00001 00211 015*")-SUMIFS(E5132:E9015,K5132:K9015,"0",B5132:B9015,"5 1 2 1 1 12 31111 6 M59 40300 000185 0000R 00001 00211 015*")</f>
        <v>0</v>
      </c>
      <c r="E5131"/>
      <c r="F5131" s="35">
        <f>SUMIFS(F5132:F9015,K5132:K9015,"0",B5132:B9015,"5 1 2 1 1 12 31111 6 M59 40300 000185 0000R 00001 00211 015*")</f>
        <v>250</v>
      </c>
      <c r="G5131" s="35">
        <f>SUMIFS(G5132:G9015,K5132:K9015,"0",B5132:B9015,"5 1 2 1 1 12 31111 6 M59 40300 000185 0000R 00001 00211 015*")</f>
        <v>0</v>
      </c>
      <c r="H5131" s="35">
        <f t="shared" si="81"/>
        <v>250</v>
      </c>
      <c r="I5131" s="35"/>
      <c r="K5131" t="s">
        <v>15</v>
      </c>
    </row>
    <row r="5132" spans="2:11" ht="33" x14ac:dyDescent="0.2">
      <c r="B5132" s="33" t="s">
        <v>6096</v>
      </c>
      <c r="C5132" s="33" t="s">
        <v>5830</v>
      </c>
      <c r="D5132" s="35">
        <f>SUMIFS(D5133:D9015,K5133:K9015,"0",B5133:B9015,"5 1 2 1 1 12 31111 6 M59 40300 000185 0000R 00001 00211 015 2112000*")-SUMIFS(E5133:E9015,K5133:K9015,"0",B5133:B9015,"5 1 2 1 1 12 31111 6 M59 40300 000185 0000R 00001 00211 015 2112000*")</f>
        <v>0</v>
      </c>
      <c r="E5132"/>
      <c r="F5132" s="35">
        <f>SUMIFS(F5133:F9015,K5133:K9015,"0",B5133:B9015,"5 1 2 1 1 12 31111 6 M59 40300 000185 0000R 00001 00211 015 2112000*")</f>
        <v>250</v>
      </c>
      <c r="G5132" s="35">
        <f>SUMIFS(G5133:G9015,K5133:K9015,"0",B5133:B9015,"5 1 2 1 1 12 31111 6 M59 40300 000185 0000R 00001 00211 015 2112000*")</f>
        <v>0</v>
      </c>
      <c r="H5132" s="35">
        <f t="shared" si="81"/>
        <v>250</v>
      </c>
      <c r="I5132" s="35"/>
      <c r="K5132" t="s">
        <v>15</v>
      </c>
    </row>
    <row r="5133" spans="2:11" ht="33" x14ac:dyDescent="0.2">
      <c r="B5133" s="33" t="s">
        <v>6097</v>
      </c>
      <c r="C5133" s="33" t="s">
        <v>660</v>
      </c>
      <c r="D5133" s="35">
        <f>SUMIFS(D5134:D9015,K5134:K9015,"0",B5134:B9015,"5 1 2 1 1 12 31111 6 M59 40300 000185 0000R 00001 00211 015 2112000 2024*")-SUMIFS(E5134:E9015,K5134:K9015,"0",B5134:B9015,"5 1 2 1 1 12 31111 6 M59 40300 000185 0000R 00001 00211 015 2112000 2024*")</f>
        <v>0</v>
      </c>
      <c r="E5133"/>
      <c r="F5133" s="35">
        <f>SUMIFS(F5134:F9015,K5134:K9015,"0",B5134:B9015,"5 1 2 1 1 12 31111 6 M59 40300 000185 0000R 00001 00211 015 2112000 2024*")</f>
        <v>250</v>
      </c>
      <c r="G5133" s="35">
        <f>SUMIFS(G5134:G9015,K5134:K9015,"0",B5134:B9015,"5 1 2 1 1 12 31111 6 M59 40300 000185 0000R 00001 00211 015 2112000 2024*")</f>
        <v>0</v>
      </c>
      <c r="H5133" s="35">
        <f t="shared" si="81"/>
        <v>250</v>
      </c>
      <c r="I5133" s="35"/>
      <c r="K5133" t="s">
        <v>15</v>
      </c>
    </row>
    <row r="5134" spans="2:11" ht="41.25" x14ac:dyDescent="0.2">
      <c r="B5134" s="33" t="s">
        <v>6098</v>
      </c>
      <c r="C5134" s="33" t="s">
        <v>662</v>
      </c>
      <c r="D5134" s="35">
        <f>SUMIFS(D5135:D9015,K5135:K9015,"0",B5135:B9015,"5 1 2 1 1 12 31111 6 M59 40300 000185 0000R 00001 00211 015 2112000 2024 CP4TV371*")-SUMIFS(E5135:E9015,K5135:K9015,"0",B5135:B9015,"5 1 2 1 1 12 31111 6 M59 40300 000185 0000R 00001 00211 015 2112000 2024 CP4TV371*")</f>
        <v>0</v>
      </c>
      <c r="E5134"/>
      <c r="F5134" s="35">
        <f>SUMIFS(F5135:F9015,K5135:K9015,"0",B5135:B9015,"5 1 2 1 1 12 31111 6 M59 40300 000185 0000R 00001 00211 015 2112000 2024 CP4TV371*")</f>
        <v>250</v>
      </c>
      <c r="G5134" s="35">
        <f>SUMIFS(G5135:G9015,K5135:K9015,"0",B5135:B9015,"5 1 2 1 1 12 31111 6 M59 40300 000185 0000R 00001 00211 015 2112000 2024 CP4TV371*")</f>
        <v>0</v>
      </c>
      <c r="H5134" s="35">
        <f t="shared" si="81"/>
        <v>250</v>
      </c>
      <c r="I5134" s="35"/>
      <c r="K5134" t="s">
        <v>15</v>
      </c>
    </row>
    <row r="5135" spans="2:11" ht="41.25" x14ac:dyDescent="0.2">
      <c r="B5135" s="33" t="s">
        <v>6099</v>
      </c>
      <c r="C5135" s="33" t="s">
        <v>282</v>
      </c>
      <c r="D5135" s="35">
        <f>SUMIFS(D5136:D9015,K5136:K9015,"0",B5136:B9015,"5 1 2 1 1 12 31111 6 M59 40300 000185 0000R 00001 00211 015 2112000 2024 CP4TV371 001*")-SUMIFS(E5136:E9015,K5136:K9015,"0",B5136:B9015,"5 1 2 1 1 12 31111 6 M59 40300 000185 0000R 00001 00211 015 2112000 2024 CP4TV371 001*")</f>
        <v>0</v>
      </c>
      <c r="E5135"/>
      <c r="F5135" s="35">
        <f>SUMIFS(F5136:F9015,K5136:K9015,"0",B5136:B9015,"5 1 2 1 1 12 31111 6 M59 40300 000185 0000R 00001 00211 015 2112000 2024 CP4TV371 001*")</f>
        <v>250</v>
      </c>
      <c r="G5135" s="35">
        <f>SUMIFS(G5136:G9015,K5136:K9015,"0",B5136:B9015,"5 1 2 1 1 12 31111 6 M59 40300 000185 0000R 00001 00211 015 2112000 2024 CP4TV371 001*")</f>
        <v>0</v>
      </c>
      <c r="H5135" s="35">
        <f t="shared" si="81"/>
        <v>250</v>
      </c>
      <c r="I5135" s="35"/>
      <c r="K5135" t="s">
        <v>15</v>
      </c>
    </row>
    <row r="5136" spans="2:11" ht="33" x14ac:dyDescent="0.2">
      <c r="B5136" s="31" t="s">
        <v>6100</v>
      </c>
      <c r="C5136" s="31" t="s">
        <v>5827</v>
      </c>
      <c r="D5136" s="34">
        <v>0</v>
      </c>
      <c r="E5136" s="34"/>
      <c r="F5136" s="34">
        <v>250</v>
      </c>
      <c r="G5136" s="34">
        <v>0</v>
      </c>
      <c r="H5136" s="34">
        <f t="shared" si="81"/>
        <v>250</v>
      </c>
      <c r="I5136" s="34"/>
      <c r="K5136" t="s">
        <v>38</v>
      </c>
    </row>
    <row r="5137" spans="2:11" ht="24.75" x14ac:dyDescent="0.2">
      <c r="B5137" s="33" t="s">
        <v>6101</v>
      </c>
      <c r="C5137" s="33" t="s">
        <v>656</v>
      </c>
      <c r="D5137" s="35">
        <f>SUMIFS(D5138:D9015,K5138:K9015,"0",B5138:B9015,"5 1 2 1 1 12 31111 6 M59 40300 000185 0000R 00001 00211 025*")-SUMIFS(E5138:E9015,K5138:K9015,"0",B5138:B9015,"5 1 2 1 1 12 31111 6 M59 40300 000185 0000R 00001 00211 025*")</f>
        <v>0</v>
      </c>
      <c r="E5137"/>
      <c r="F5137" s="35">
        <f>SUMIFS(F5138:F9015,K5138:K9015,"0",B5138:B9015,"5 1 2 1 1 12 31111 6 M59 40300 000185 0000R 00001 00211 025*")</f>
        <v>2300000</v>
      </c>
      <c r="G5137" s="35">
        <f>SUMIFS(G5138:G9015,K5138:K9015,"0",B5138:B9015,"5 1 2 1 1 12 31111 6 M59 40300 000185 0000R 00001 00211 025*")</f>
        <v>0</v>
      </c>
      <c r="H5137" s="35">
        <f t="shared" si="81"/>
        <v>2300000</v>
      </c>
      <c r="I5137" s="35"/>
      <c r="K5137" t="s">
        <v>15</v>
      </c>
    </row>
    <row r="5138" spans="2:11" ht="33" x14ac:dyDescent="0.2">
      <c r="B5138" s="33" t="s">
        <v>6102</v>
      </c>
      <c r="C5138" s="33" t="s">
        <v>5830</v>
      </c>
      <c r="D5138" s="35">
        <f>SUMIFS(D5139:D9015,K5139:K9015,"0",B5139:B9015,"5 1 2 1 1 12 31111 6 M59 40300 000185 0000R 00001 00211 025 2112000*")-SUMIFS(E5139:E9015,K5139:K9015,"0",B5139:B9015,"5 1 2 1 1 12 31111 6 M59 40300 000185 0000R 00001 00211 025 2112000*")</f>
        <v>0</v>
      </c>
      <c r="E5138"/>
      <c r="F5138" s="35">
        <f>SUMIFS(F5139:F9015,K5139:K9015,"0",B5139:B9015,"5 1 2 1 1 12 31111 6 M59 40300 000185 0000R 00001 00211 025 2112000*")</f>
        <v>2300000</v>
      </c>
      <c r="G5138" s="35">
        <f>SUMIFS(G5139:G9015,K5139:K9015,"0",B5139:B9015,"5 1 2 1 1 12 31111 6 M59 40300 000185 0000R 00001 00211 025 2112000*")</f>
        <v>0</v>
      </c>
      <c r="H5138" s="35">
        <f t="shared" si="81"/>
        <v>2300000</v>
      </c>
      <c r="I5138" s="35"/>
      <c r="K5138" t="s">
        <v>15</v>
      </c>
    </row>
    <row r="5139" spans="2:11" ht="33" x14ac:dyDescent="0.2">
      <c r="B5139" s="33" t="s">
        <v>6103</v>
      </c>
      <c r="C5139" s="33" t="s">
        <v>660</v>
      </c>
      <c r="D5139" s="35">
        <f>SUMIFS(D5140:D9015,K5140:K9015,"0",B5140:B9015,"5 1 2 1 1 12 31111 6 M59 40300 000185 0000R 00001 00211 025 2112000 2024*")-SUMIFS(E5140:E9015,K5140:K9015,"0",B5140:B9015,"5 1 2 1 1 12 31111 6 M59 40300 000185 0000R 00001 00211 025 2112000 2024*")</f>
        <v>0</v>
      </c>
      <c r="E5139"/>
      <c r="F5139" s="35">
        <f>SUMIFS(F5140:F9015,K5140:K9015,"0",B5140:B9015,"5 1 2 1 1 12 31111 6 M59 40300 000185 0000R 00001 00211 025 2112000 2024*")</f>
        <v>2300000</v>
      </c>
      <c r="G5139" s="35">
        <f>SUMIFS(G5140:G9015,K5140:K9015,"0",B5140:B9015,"5 1 2 1 1 12 31111 6 M59 40300 000185 0000R 00001 00211 025 2112000 2024*")</f>
        <v>0</v>
      </c>
      <c r="H5139" s="35">
        <f t="shared" si="81"/>
        <v>2300000</v>
      </c>
      <c r="I5139" s="35"/>
      <c r="K5139" t="s">
        <v>15</v>
      </c>
    </row>
    <row r="5140" spans="2:11" ht="41.25" x14ac:dyDescent="0.2">
      <c r="B5140" s="33" t="s">
        <v>6104</v>
      </c>
      <c r="C5140" s="33" t="s">
        <v>662</v>
      </c>
      <c r="D5140" s="35">
        <f>SUMIFS(D5141:D9015,K5141:K9015,"0",B5141:B9015,"5 1 2 1 1 12 31111 6 M59 40300 000185 0000R 00001 00211 025 2112000 2024 CP4TV371*")-SUMIFS(E5141:E9015,K5141:K9015,"0",B5141:B9015,"5 1 2 1 1 12 31111 6 M59 40300 000185 0000R 00001 00211 025 2112000 2024 CP4TV371*")</f>
        <v>0</v>
      </c>
      <c r="E5140"/>
      <c r="F5140" s="35">
        <f>SUMIFS(F5141:F9015,K5141:K9015,"0",B5141:B9015,"5 1 2 1 1 12 31111 6 M59 40300 000185 0000R 00001 00211 025 2112000 2024 CP4TV371*")</f>
        <v>2300000</v>
      </c>
      <c r="G5140" s="35">
        <f>SUMIFS(G5141:G9015,K5141:K9015,"0",B5141:B9015,"5 1 2 1 1 12 31111 6 M59 40300 000185 0000R 00001 00211 025 2112000 2024 CP4TV371*")</f>
        <v>0</v>
      </c>
      <c r="H5140" s="35">
        <f t="shared" si="81"/>
        <v>2300000</v>
      </c>
      <c r="I5140" s="35"/>
      <c r="K5140" t="s">
        <v>15</v>
      </c>
    </row>
    <row r="5141" spans="2:11" ht="41.25" x14ac:dyDescent="0.2">
      <c r="B5141" s="33" t="s">
        <v>6105</v>
      </c>
      <c r="C5141" s="33" t="s">
        <v>664</v>
      </c>
      <c r="D5141" s="35">
        <f>SUMIFS(D5142:D9015,K5142:K9015,"0",B5142:B9015,"5 1 2 1 1 12 31111 6 M59 40300 000185 0000R 00001 00211 025 2112000 2024 CP4TV371 003*")-SUMIFS(E5142:E9015,K5142:K9015,"0",B5142:B9015,"5 1 2 1 1 12 31111 6 M59 40300 000185 0000R 00001 00211 025 2112000 2024 CP4TV371 003*")</f>
        <v>0</v>
      </c>
      <c r="E5141"/>
      <c r="F5141" s="35">
        <f>SUMIFS(F5142:F9015,K5142:K9015,"0",B5142:B9015,"5 1 2 1 1 12 31111 6 M59 40300 000185 0000R 00001 00211 025 2112000 2024 CP4TV371 003*")</f>
        <v>2300000</v>
      </c>
      <c r="G5141" s="35">
        <f>SUMIFS(G5142:G9015,K5142:K9015,"0",B5142:B9015,"5 1 2 1 1 12 31111 6 M59 40300 000185 0000R 00001 00211 025 2112000 2024 CP4TV371 003*")</f>
        <v>0</v>
      </c>
      <c r="H5141" s="35">
        <f t="shared" si="81"/>
        <v>2300000</v>
      </c>
      <c r="I5141" s="35"/>
      <c r="K5141" t="s">
        <v>15</v>
      </c>
    </row>
    <row r="5142" spans="2:11" ht="33" x14ac:dyDescent="0.2">
      <c r="B5142" s="31" t="s">
        <v>6106</v>
      </c>
      <c r="C5142" s="31" t="s">
        <v>5817</v>
      </c>
      <c r="D5142" s="34">
        <v>0</v>
      </c>
      <c r="E5142" s="34"/>
      <c r="F5142" s="34">
        <v>2300000</v>
      </c>
      <c r="G5142" s="34">
        <v>0</v>
      </c>
      <c r="H5142" s="34">
        <f t="shared" si="81"/>
        <v>2300000</v>
      </c>
      <c r="I5142" s="34"/>
      <c r="K5142" t="s">
        <v>38</v>
      </c>
    </row>
    <row r="5143" spans="2:11" ht="16.5" x14ac:dyDescent="0.2">
      <c r="B5143" s="33" t="s">
        <v>6107</v>
      </c>
      <c r="C5143" s="33" t="s">
        <v>3268</v>
      </c>
      <c r="D5143" s="35">
        <f>SUMIFS(D5144:D9015,K5144:K9015,"0",B5144:B9015,"5 1 2 1 1 12 31111 6 M59 40400*")-SUMIFS(E5144:E9015,K5144:K9015,"0",B5144:B9015,"5 1 2 1 1 12 31111 6 M59 40400*")</f>
        <v>0</v>
      </c>
      <c r="E5143"/>
      <c r="F5143" s="35">
        <f>SUMIFS(F5144:F9015,K5144:K9015,"0",B5144:B9015,"5 1 2 1 1 12 31111 6 M59 40400*")</f>
        <v>1500250</v>
      </c>
      <c r="G5143" s="35">
        <f>SUMIFS(G5144:G9015,K5144:K9015,"0",B5144:B9015,"5 1 2 1 1 12 31111 6 M59 40400*")</f>
        <v>0</v>
      </c>
      <c r="H5143" s="35">
        <f t="shared" si="81"/>
        <v>1500250</v>
      </c>
      <c r="I5143" s="35"/>
      <c r="K5143" t="s">
        <v>15</v>
      </c>
    </row>
    <row r="5144" spans="2:11" ht="16.5" x14ac:dyDescent="0.2">
      <c r="B5144" s="33" t="s">
        <v>6108</v>
      </c>
      <c r="C5144" s="33" t="s">
        <v>3270</v>
      </c>
      <c r="D5144" s="35">
        <f>SUMIFS(D5145:D9015,K5145:K9015,"0",B5145:B9015,"5 1 2 1 1 12 31111 6 M59 40400 000173*")-SUMIFS(E5145:E9015,K5145:K9015,"0",B5145:B9015,"5 1 2 1 1 12 31111 6 M59 40400 000173*")</f>
        <v>0</v>
      </c>
      <c r="E5144"/>
      <c r="F5144" s="35">
        <f>SUMIFS(F5145:F9015,K5145:K9015,"0",B5145:B9015,"5 1 2 1 1 12 31111 6 M59 40400 000173*")</f>
        <v>1500250</v>
      </c>
      <c r="G5144" s="35">
        <f>SUMIFS(G5145:G9015,K5145:K9015,"0",B5145:B9015,"5 1 2 1 1 12 31111 6 M59 40400 000173*")</f>
        <v>0</v>
      </c>
      <c r="H5144" s="35">
        <f t="shared" si="81"/>
        <v>1500250</v>
      </c>
      <c r="I5144" s="35"/>
      <c r="K5144" t="s">
        <v>15</v>
      </c>
    </row>
    <row r="5145" spans="2:11" ht="16.5" x14ac:dyDescent="0.2">
      <c r="B5145" s="33" t="s">
        <v>6109</v>
      </c>
      <c r="C5145" s="33" t="s">
        <v>650</v>
      </c>
      <c r="D5145" s="35">
        <f>SUMIFS(D5146:D9015,K5146:K9015,"0",B5146:B9015,"5 1 2 1 1 12 31111 6 M59 40400 000173 0000R*")-SUMIFS(E5146:E9015,K5146:K9015,"0",B5146:B9015,"5 1 2 1 1 12 31111 6 M59 40400 000173 0000R*")</f>
        <v>0</v>
      </c>
      <c r="E5145"/>
      <c r="F5145" s="35">
        <f>SUMIFS(F5146:F9015,K5146:K9015,"0",B5146:B9015,"5 1 2 1 1 12 31111 6 M59 40400 000173 0000R*")</f>
        <v>1500250</v>
      </c>
      <c r="G5145" s="35">
        <f>SUMIFS(G5146:G9015,K5146:K9015,"0",B5146:B9015,"5 1 2 1 1 12 31111 6 M59 40400 000173 0000R*")</f>
        <v>0</v>
      </c>
      <c r="H5145" s="35">
        <f t="shared" si="81"/>
        <v>1500250</v>
      </c>
      <c r="I5145" s="35"/>
      <c r="K5145" t="s">
        <v>15</v>
      </c>
    </row>
    <row r="5146" spans="2:11" ht="24.75" x14ac:dyDescent="0.2">
      <c r="B5146" s="33" t="s">
        <v>6110</v>
      </c>
      <c r="C5146" s="33" t="s">
        <v>282</v>
      </c>
      <c r="D5146" s="35">
        <f>SUMIFS(D5147:D9015,K5147:K9015,"0",B5147:B9015,"5 1 2 1 1 12 31111 6 M59 40400 000173 0000R 00001*")-SUMIFS(E5147:E9015,K5147:K9015,"0",B5147:B9015,"5 1 2 1 1 12 31111 6 M59 40400 000173 0000R 00001*")</f>
        <v>0</v>
      </c>
      <c r="E5146"/>
      <c r="F5146" s="35">
        <f>SUMIFS(F5147:F9015,K5147:K9015,"0",B5147:B9015,"5 1 2 1 1 12 31111 6 M59 40400 000173 0000R 00001*")</f>
        <v>1500250</v>
      </c>
      <c r="G5146" s="35">
        <f>SUMIFS(G5147:G9015,K5147:K9015,"0",B5147:B9015,"5 1 2 1 1 12 31111 6 M59 40400 000173 0000R 00001*")</f>
        <v>0</v>
      </c>
      <c r="H5146" s="35">
        <f t="shared" si="81"/>
        <v>1500250</v>
      </c>
      <c r="I5146" s="35"/>
      <c r="K5146" t="s">
        <v>15</v>
      </c>
    </row>
    <row r="5147" spans="2:11" ht="24.75" x14ac:dyDescent="0.2">
      <c r="B5147" s="33" t="s">
        <v>6111</v>
      </c>
      <c r="C5147" s="33" t="s">
        <v>5827</v>
      </c>
      <c r="D5147" s="35">
        <f>SUMIFS(D5148:D9015,K5148:K9015,"0",B5148:B9015,"5 1 2 1 1 12 31111 6 M59 40400 000173 0000R 00001 00211*")-SUMIFS(E5148:E9015,K5148:K9015,"0",B5148:B9015,"5 1 2 1 1 12 31111 6 M59 40400 000173 0000R 00001 00211*")</f>
        <v>0</v>
      </c>
      <c r="E5147"/>
      <c r="F5147" s="35">
        <f>SUMIFS(F5148:F9015,K5148:K9015,"0",B5148:B9015,"5 1 2 1 1 12 31111 6 M59 40400 000173 0000R 00001 00211*")</f>
        <v>1500250</v>
      </c>
      <c r="G5147" s="35">
        <f>SUMIFS(G5148:G9015,K5148:K9015,"0",B5148:B9015,"5 1 2 1 1 12 31111 6 M59 40400 000173 0000R 00001 00211*")</f>
        <v>0</v>
      </c>
      <c r="H5147" s="35">
        <f t="shared" si="81"/>
        <v>1500250</v>
      </c>
      <c r="I5147" s="35"/>
      <c r="K5147" t="s">
        <v>15</v>
      </c>
    </row>
    <row r="5148" spans="2:11" ht="24.75" x14ac:dyDescent="0.2">
      <c r="B5148" s="33" t="s">
        <v>6112</v>
      </c>
      <c r="C5148" s="33" t="s">
        <v>1051</v>
      </c>
      <c r="D5148" s="35">
        <f>SUMIFS(D5149:D9015,K5149:K9015,"0",B5149:B9015,"5 1 2 1 1 12 31111 6 M59 40400 000173 0000R 00001 00211 015*")-SUMIFS(E5149:E9015,K5149:K9015,"0",B5149:B9015,"5 1 2 1 1 12 31111 6 M59 40400 000173 0000R 00001 00211 015*")</f>
        <v>0</v>
      </c>
      <c r="E5148"/>
      <c r="F5148" s="35">
        <f>SUMIFS(F5149:F9015,K5149:K9015,"0",B5149:B9015,"5 1 2 1 1 12 31111 6 M59 40400 000173 0000R 00001 00211 015*")</f>
        <v>250</v>
      </c>
      <c r="G5148" s="35">
        <f>SUMIFS(G5149:G9015,K5149:K9015,"0",B5149:B9015,"5 1 2 1 1 12 31111 6 M59 40400 000173 0000R 00001 00211 015*")</f>
        <v>0</v>
      </c>
      <c r="H5148" s="35">
        <f t="shared" si="81"/>
        <v>250</v>
      </c>
      <c r="I5148" s="35"/>
      <c r="K5148" t="s">
        <v>15</v>
      </c>
    </row>
    <row r="5149" spans="2:11" ht="33" x14ac:dyDescent="0.2">
      <c r="B5149" s="33" t="s">
        <v>6113</v>
      </c>
      <c r="C5149" s="33" t="s">
        <v>5830</v>
      </c>
      <c r="D5149" s="35">
        <f>SUMIFS(D5150:D9015,K5150:K9015,"0",B5150:B9015,"5 1 2 1 1 12 31111 6 M59 40400 000173 0000R 00001 00211 015 2112000*")-SUMIFS(E5150:E9015,K5150:K9015,"0",B5150:B9015,"5 1 2 1 1 12 31111 6 M59 40400 000173 0000R 00001 00211 015 2112000*")</f>
        <v>0</v>
      </c>
      <c r="E5149"/>
      <c r="F5149" s="35">
        <f>SUMIFS(F5150:F9015,K5150:K9015,"0",B5150:B9015,"5 1 2 1 1 12 31111 6 M59 40400 000173 0000R 00001 00211 015 2112000*")</f>
        <v>250</v>
      </c>
      <c r="G5149" s="35">
        <f>SUMIFS(G5150:G9015,K5150:K9015,"0",B5150:B9015,"5 1 2 1 1 12 31111 6 M59 40400 000173 0000R 00001 00211 015 2112000*")</f>
        <v>0</v>
      </c>
      <c r="H5149" s="35">
        <f t="shared" si="81"/>
        <v>250</v>
      </c>
      <c r="I5149" s="35"/>
      <c r="K5149" t="s">
        <v>15</v>
      </c>
    </row>
    <row r="5150" spans="2:11" ht="33" x14ac:dyDescent="0.2">
      <c r="B5150" s="33" t="s">
        <v>6114</v>
      </c>
      <c r="C5150" s="33" t="s">
        <v>660</v>
      </c>
      <c r="D5150" s="35">
        <f>SUMIFS(D5151:D9015,K5151:K9015,"0",B5151:B9015,"5 1 2 1 1 12 31111 6 M59 40400 000173 0000R 00001 00211 015 2112000 2024*")-SUMIFS(E5151:E9015,K5151:K9015,"0",B5151:B9015,"5 1 2 1 1 12 31111 6 M59 40400 000173 0000R 00001 00211 015 2112000 2024*")</f>
        <v>0</v>
      </c>
      <c r="E5150"/>
      <c r="F5150" s="35">
        <f>SUMIFS(F5151:F9015,K5151:K9015,"0",B5151:B9015,"5 1 2 1 1 12 31111 6 M59 40400 000173 0000R 00001 00211 015 2112000 2024*")</f>
        <v>250</v>
      </c>
      <c r="G5150" s="35">
        <f>SUMIFS(G5151:G9015,K5151:K9015,"0",B5151:B9015,"5 1 2 1 1 12 31111 6 M59 40400 000173 0000R 00001 00211 015 2112000 2024*")</f>
        <v>0</v>
      </c>
      <c r="H5150" s="35">
        <f t="shared" si="81"/>
        <v>250</v>
      </c>
      <c r="I5150" s="35"/>
      <c r="K5150" t="s">
        <v>15</v>
      </c>
    </row>
    <row r="5151" spans="2:11" ht="41.25" x14ac:dyDescent="0.2">
      <c r="B5151" s="33" t="s">
        <v>6115</v>
      </c>
      <c r="C5151" s="33" t="s">
        <v>662</v>
      </c>
      <c r="D5151" s="35">
        <f>SUMIFS(D5152:D9015,K5152:K9015,"0",B5152:B9015,"5 1 2 1 1 12 31111 6 M59 40400 000173 0000R 00001 00211 015 2112000 2024 CP4PD369*")-SUMIFS(E5152:E9015,K5152:K9015,"0",B5152:B9015,"5 1 2 1 1 12 31111 6 M59 40400 000173 0000R 00001 00211 015 2112000 2024 CP4PD369*")</f>
        <v>0</v>
      </c>
      <c r="E5151"/>
      <c r="F5151" s="35">
        <f>SUMIFS(F5152:F9015,K5152:K9015,"0",B5152:B9015,"5 1 2 1 1 12 31111 6 M59 40400 000173 0000R 00001 00211 015 2112000 2024 CP4PD369*")</f>
        <v>250</v>
      </c>
      <c r="G5151" s="35">
        <f>SUMIFS(G5152:G9015,K5152:K9015,"0",B5152:B9015,"5 1 2 1 1 12 31111 6 M59 40400 000173 0000R 00001 00211 015 2112000 2024 CP4PD369*")</f>
        <v>0</v>
      </c>
      <c r="H5151" s="35">
        <f t="shared" si="81"/>
        <v>250</v>
      </c>
      <c r="I5151" s="35"/>
      <c r="K5151" t="s">
        <v>15</v>
      </c>
    </row>
    <row r="5152" spans="2:11" ht="41.25" x14ac:dyDescent="0.2">
      <c r="B5152" s="33" t="s">
        <v>6116</v>
      </c>
      <c r="C5152" s="33" t="s">
        <v>282</v>
      </c>
      <c r="D5152" s="35">
        <f>SUMIFS(D5153:D9015,K5153:K9015,"0",B5153:B9015,"5 1 2 1 1 12 31111 6 M59 40400 000173 0000R 00001 00211 015 2112000 2024 CP4PD369 001*")-SUMIFS(E5153:E9015,K5153:K9015,"0",B5153:B9015,"5 1 2 1 1 12 31111 6 M59 40400 000173 0000R 00001 00211 015 2112000 2024 CP4PD369 001*")</f>
        <v>0</v>
      </c>
      <c r="E5152"/>
      <c r="F5152" s="35">
        <f>SUMIFS(F5153:F9015,K5153:K9015,"0",B5153:B9015,"5 1 2 1 1 12 31111 6 M59 40400 000173 0000R 00001 00211 015 2112000 2024 CP4PD369 001*")</f>
        <v>250</v>
      </c>
      <c r="G5152" s="35">
        <f>SUMIFS(G5153:G9015,K5153:K9015,"0",B5153:B9015,"5 1 2 1 1 12 31111 6 M59 40400 000173 0000R 00001 00211 015 2112000 2024 CP4PD369 001*")</f>
        <v>0</v>
      </c>
      <c r="H5152" s="35">
        <f t="shared" si="81"/>
        <v>250</v>
      </c>
      <c r="I5152" s="35"/>
      <c r="K5152" t="s">
        <v>15</v>
      </c>
    </row>
    <row r="5153" spans="2:11" ht="33" x14ac:dyDescent="0.2">
      <c r="B5153" s="31" t="s">
        <v>6117</v>
      </c>
      <c r="C5153" s="31" t="s">
        <v>5827</v>
      </c>
      <c r="D5153" s="34">
        <v>0</v>
      </c>
      <c r="E5153" s="34"/>
      <c r="F5153" s="34">
        <v>250</v>
      </c>
      <c r="G5153" s="34">
        <v>0</v>
      </c>
      <c r="H5153" s="34">
        <f t="shared" si="81"/>
        <v>250</v>
      </c>
      <c r="I5153" s="34"/>
      <c r="K5153" t="s">
        <v>38</v>
      </c>
    </row>
    <row r="5154" spans="2:11" ht="24.75" x14ac:dyDescent="0.2">
      <c r="B5154" s="33" t="s">
        <v>6118</v>
      </c>
      <c r="C5154" s="33" t="s">
        <v>656</v>
      </c>
      <c r="D5154" s="35">
        <f>SUMIFS(D5155:D9015,K5155:K9015,"0",B5155:B9015,"5 1 2 1 1 12 31111 6 M59 40400 000173 0000R 00001 00211 025*")-SUMIFS(E5155:E9015,K5155:K9015,"0",B5155:B9015,"5 1 2 1 1 12 31111 6 M59 40400 000173 0000R 00001 00211 025*")</f>
        <v>0</v>
      </c>
      <c r="E5154"/>
      <c r="F5154" s="35">
        <f>SUMIFS(F5155:F9015,K5155:K9015,"0",B5155:B9015,"5 1 2 1 1 12 31111 6 M59 40400 000173 0000R 00001 00211 025*")</f>
        <v>1500000</v>
      </c>
      <c r="G5154" s="35">
        <f>SUMIFS(G5155:G9015,K5155:K9015,"0",B5155:B9015,"5 1 2 1 1 12 31111 6 M59 40400 000173 0000R 00001 00211 025*")</f>
        <v>0</v>
      </c>
      <c r="H5154" s="35">
        <f t="shared" si="81"/>
        <v>1500000</v>
      </c>
      <c r="I5154" s="35"/>
      <c r="K5154" t="s">
        <v>15</v>
      </c>
    </row>
    <row r="5155" spans="2:11" ht="33" x14ac:dyDescent="0.2">
      <c r="B5155" s="33" t="s">
        <v>6119</v>
      </c>
      <c r="C5155" s="33" t="s">
        <v>5830</v>
      </c>
      <c r="D5155" s="35">
        <f>SUMIFS(D5156:D9015,K5156:K9015,"0",B5156:B9015,"5 1 2 1 1 12 31111 6 M59 40400 000173 0000R 00001 00211 025 2112000*")-SUMIFS(E5156:E9015,K5156:K9015,"0",B5156:B9015,"5 1 2 1 1 12 31111 6 M59 40400 000173 0000R 00001 00211 025 2112000*")</f>
        <v>0</v>
      </c>
      <c r="E5155"/>
      <c r="F5155" s="35">
        <f>SUMIFS(F5156:F9015,K5156:K9015,"0",B5156:B9015,"5 1 2 1 1 12 31111 6 M59 40400 000173 0000R 00001 00211 025 2112000*")</f>
        <v>1500000</v>
      </c>
      <c r="G5155" s="35">
        <f>SUMIFS(G5156:G9015,K5156:K9015,"0",B5156:B9015,"5 1 2 1 1 12 31111 6 M59 40400 000173 0000R 00001 00211 025 2112000*")</f>
        <v>0</v>
      </c>
      <c r="H5155" s="35">
        <f t="shared" si="81"/>
        <v>1500000</v>
      </c>
      <c r="I5155" s="35"/>
      <c r="K5155" t="s">
        <v>15</v>
      </c>
    </row>
    <row r="5156" spans="2:11" ht="33" x14ac:dyDescent="0.2">
      <c r="B5156" s="33" t="s">
        <v>6120</v>
      </c>
      <c r="C5156" s="33" t="s">
        <v>660</v>
      </c>
      <c r="D5156" s="35">
        <f>SUMIFS(D5157:D9015,K5157:K9015,"0",B5157:B9015,"5 1 2 1 1 12 31111 6 M59 40400 000173 0000R 00001 00211 025 2112000 2024*")-SUMIFS(E5157:E9015,K5157:K9015,"0",B5157:B9015,"5 1 2 1 1 12 31111 6 M59 40400 000173 0000R 00001 00211 025 2112000 2024*")</f>
        <v>0</v>
      </c>
      <c r="E5156"/>
      <c r="F5156" s="35">
        <f>SUMIFS(F5157:F9015,K5157:K9015,"0",B5157:B9015,"5 1 2 1 1 12 31111 6 M59 40400 000173 0000R 00001 00211 025 2112000 2024*")</f>
        <v>1500000</v>
      </c>
      <c r="G5156" s="35">
        <f>SUMIFS(G5157:G9015,K5157:K9015,"0",B5157:B9015,"5 1 2 1 1 12 31111 6 M59 40400 000173 0000R 00001 00211 025 2112000 2024*")</f>
        <v>0</v>
      </c>
      <c r="H5156" s="35">
        <f t="shared" si="81"/>
        <v>1500000</v>
      </c>
      <c r="I5156" s="35"/>
      <c r="K5156" t="s">
        <v>15</v>
      </c>
    </row>
    <row r="5157" spans="2:11" ht="41.25" x14ac:dyDescent="0.2">
      <c r="B5157" s="33" t="s">
        <v>6121</v>
      </c>
      <c r="C5157" s="33" t="s">
        <v>662</v>
      </c>
      <c r="D5157" s="35">
        <f>SUMIFS(D5158:D9015,K5158:K9015,"0",B5158:B9015,"5 1 2 1 1 12 31111 6 M59 40400 000173 0000R 00001 00211 025 2112000 2024 CP4PD369*")-SUMIFS(E5158:E9015,K5158:K9015,"0",B5158:B9015,"5 1 2 1 1 12 31111 6 M59 40400 000173 0000R 00001 00211 025 2112000 2024 CP4PD369*")</f>
        <v>0</v>
      </c>
      <c r="E5157"/>
      <c r="F5157" s="35">
        <f>SUMIFS(F5158:F9015,K5158:K9015,"0",B5158:B9015,"5 1 2 1 1 12 31111 6 M59 40400 000173 0000R 00001 00211 025 2112000 2024 CP4PD369*")</f>
        <v>1500000</v>
      </c>
      <c r="G5157" s="35">
        <f>SUMIFS(G5158:G9015,K5158:K9015,"0",B5158:B9015,"5 1 2 1 1 12 31111 6 M59 40400 000173 0000R 00001 00211 025 2112000 2024 CP4PD369*")</f>
        <v>0</v>
      </c>
      <c r="H5157" s="35">
        <f t="shared" si="81"/>
        <v>1500000</v>
      </c>
      <c r="I5157" s="35"/>
      <c r="K5157" t="s">
        <v>15</v>
      </c>
    </row>
    <row r="5158" spans="2:11" ht="41.25" x14ac:dyDescent="0.2">
      <c r="B5158" s="33" t="s">
        <v>6122</v>
      </c>
      <c r="C5158" s="33" t="s">
        <v>664</v>
      </c>
      <c r="D5158" s="35">
        <f>SUMIFS(D5159:D9015,K5159:K9015,"0",B5159:B9015,"5 1 2 1 1 12 31111 6 M59 40400 000173 0000R 00001 00211 025 2112000 2024 CP4PD369 003*")-SUMIFS(E5159:E9015,K5159:K9015,"0",B5159:B9015,"5 1 2 1 1 12 31111 6 M59 40400 000173 0000R 00001 00211 025 2112000 2024 CP4PD369 003*")</f>
        <v>0</v>
      </c>
      <c r="E5158"/>
      <c r="F5158" s="35">
        <f>SUMIFS(F5159:F9015,K5159:K9015,"0",B5159:B9015,"5 1 2 1 1 12 31111 6 M59 40400 000173 0000R 00001 00211 025 2112000 2024 CP4PD369 003*")</f>
        <v>1500000</v>
      </c>
      <c r="G5158" s="35">
        <f>SUMIFS(G5159:G9015,K5159:K9015,"0",B5159:B9015,"5 1 2 1 1 12 31111 6 M59 40400 000173 0000R 00001 00211 025 2112000 2024 CP4PD369 003*")</f>
        <v>0</v>
      </c>
      <c r="H5158" s="35">
        <f t="shared" si="81"/>
        <v>1500000</v>
      </c>
      <c r="I5158" s="35"/>
      <c r="K5158" t="s">
        <v>15</v>
      </c>
    </row>
    <row r="5159" spans="2:11" ht="33" x14ac:dyDescent="0.2">
      <c r="B5159" s="31" t="s">
        <v>6123</v>
      </c>
      <c r="C5159" s="31" t="s">
        <v>5817</v>
      </c>
      <c r="D5159" s="34">
        <v>0</v>
      </c>
      <c r="E5159" s="34"/>
      <c r="F5159" s="34">
        <v>1500000</v>
      </c>
      <c r="G5159" s="34">
        <v>0</v>
      </c>
      <c r="H5159" s="34">
        <f t="shared" si="81"/>
        <v>1500000</v>
      </c>
      <c r="I5159" s="34"/>
      <c r="K5159" t="s">
        <v>38</v>
      </c>
    </row>
    <row r="5160" spans="2:11" ht="16.5" x14ac:dyDescent="0.2">
      <c r="B5160" s="33" t="s">
        <v>6124</v>
      </c>
      <c r="C5160" s="33" t="s">
        <v>3281</v>
      </c>
      <c r="D5160" s="35">
        <f>SUMIFS(D5161:D9015,K5161:K9015,"0",B5161:B9015,"5 1 2 1 1 12 31111 6 M59 50000*")-SUMIFS(E5161:E9015,K5161:K9015,"0",B5161:B9015,"5 1 2 1 1 12 31111 6 M59 50000*")</f>
        <v>0</v>
      </c>
      <c r="E5160"/>
      <c r="F5160" s="35">
        <f>SUMIFS(F5161:F9015,K5161:K9015,"0",B5161:B9015,"5 1 2 1 1 12 31111 6 M59 50000*")</f>
        <v>944.96</v>
      </c>
      <c r="G5160" s="35">
        <f>SUMIFS(G5161:G9015,K5161:K9015,"0",B5161:B9015,"5 1 2 1 1 12 31111 6 M59 50000*")</f>
        <v>0</v>
      </c>
      <c r="H5160" s="35">
        <f t="shared" si="81"/>
        <v>944.96</v>
      </c>
      <c r="I5160" s="35"/>
      <c r="K5160" t="s">
        <v>15</v>
      </c>
    </row>
    <row r="5161" spans="2:11" ht="16.5" x14ac:dyDescent="0.2">
      <c r="B5161" s="33" t="s">
        <v>6125</v>
      </c>
      <c r="C5161" s="33" t="s">
        <v>3283</v>
      </c>
      <c r="D5161" s="35">
        <f>SUMIFS(D5162:D9015,K5162:K9015,"0",B5162:B9015,"5 1 2 1 1 12 31111 6 M59 50000 000223*")-SUMIFS(E5162:E9015,K5162:K9015,"0",B5162:B9015,"5 1 2 1 1 12 31111 6 M59 50000 000223*")</f>
        <v>0</v>
      </c>
      <c r="E5161"/>
      <c r="F5161" s="35">
        <f>SUMIFS(F5162:F9015,K5162:K9015,"0",B5162:B9015,"5 1 2 1 1 12 31111 6 M59 50000 000223*")</f>
        <v>944.96</v>
      </c>
      <c r="G5161" s="35">
        <f>SUMIFS(G5162:G9015,K5162:K9015,"0",B5162:B9015,"5 1 2 1 1 12 31111 6 M59 50000 000223*")</f>
        <v>0</v>
      </c>
      <c r="H5161" s="35">
        <f t="shared" si="81"/>
        <v>944.96</v>
      </c>
      <c r="I5161" s="35"/>
      <c r="K5161" t="s">
        <v>15</v>
      </c>
    </row>
    <row r="5162" spans="2:11" ht="16.5" x14ac:dyDescent="0.2">
      <c r="B5162" s="33" t="s">
        <v>6126</v>
      </c>
      <c r="C5162" s="33" t="s">
        <v>1065</v>
      </c>
      <c r="D5162" s="35">
        <f>SUMIFS(D5163:D9015,K5163:K9015,"0",B5163:B9015,"5 1 2 1 1 12 31111 6 M59 50000 000223 0000E*")-SUMIFS(E5163:E9015,K5163:K9015,"0",B5163:B9015,"5 1 2 1 1 12 31111 6 M59 50000 000223 0000E*")</f>
        <v>0</v>
      </c>
      <c r="E5162"/>
      <c r="F5162" s="35">
        <f>SUMIFS(F5163:F9015,K5163:K9015,"0",B5163:B9015,"5 1 2 1 1 12 31111 6 M59 50000 000223 0000E*")</f>
        <v>944.96</v>
      </c>
      <c r="G5162" s="35">
        <f>SUMIFS(G5163:G9015,K5163:K9015,"0",B5163:B9015,"5 1 2 1 1 12 31111 6 M59 50000 000223 0000E*")</f>
        <v>0</v>
      </c>
      <c r="H5162" s="35">
        <f t="shared" si="81"/>
        <v>944.96</v>
      </c>
      <c r="I5162" s="35"/>
      <c r="K5162" t="s">
        <v>15</v>
      </c>
    </row>
    <row r="5163" spans="2:11" ht="24.75" x14ac:dyDescent="0.2">
      <c r="B5163" s="33" t="s">
        <v>6127</v>
      </c>
      <c r="C5163" s="33" t="s">
        <v>282</v>
      </c>
      <c r="D5163" s="35">
        <f>SUMIFS(D5164:D9015,K5164:K9015,"0",B5164:B9015,"5 1 2 1 1 12 31111 6 M59 50000 000223 0000E 00001*")-SUMIFS(E5164:E9015,K5164:K9015,"0",B5164:B9015,"5 1 2 1 1 12 31111 6 M59 50000 000223 0000E 00001*")</f>
        <v>0</v>
      </c>
      <c r="E5163"/>
      <c r="F5163" s="35">
        <f>SUMIFS(F5164:F9015,K5164:K9015,"0",B5164:B9015,"5 1 2 1 1 12 31111 6 M59 50000 000223 0000E 00001*")</f>
        <v>944.96</v>
      </c>
      <c r="G5163" s="35">
        <f>SUMIFS(G5164:G9015,K5164:K9015,"0",B5164:B9015,"5 1 2 1 1 12 31111 6 M59 50000 000223 0000E 00001*")</f>
        <v>0</v>
      </c>
      <c r="H5163" s="35">
        <f t="shared" si="81"/>
        <v>944.96</v>
      </c>
      <c r="I5163" s="35"/>
      <c r="K5163" t="s">
        <v>15</v>
      </c>
    </row>
    <row r="5164" spans="2:11" ht="24.75" x14ac:dyDescent="0.2">
      <c r="B5164" s="33" t="s">
        <v>6128</v>
      </c>
      <c r="C5164" s="33" t="s">
        <v>5827</v>
      </c>
      <c r="D5164" s="35">
        <f>SUMIFS(D5165:D9015,K5165:K9015,"0",B5165:B9015,"5 1 2 1 1 12 31111 6 M59 50000 000223 0000E 00001 00211*")-SUMIFS(E5165:E9015,K5165:K9015,"0",B5165:B9015,"5 1 2 1 1 12 31111 6 M59 50000 000223 0000E 00001 00211*")</f>
        <v>0</v>
      </c>
      <c r="E5164"/>
      <c r="F5164" s="35">
        <f>SUMIFS(F5165:F9015,K5165:K9015,"0",B5165:B9015,"5 1 2 1 1 12 31111 6 M59 50000 000223 0000E 00001 00211*")</f>
        <v>944.96</v>
      </c>
      <c r="G5164" s="35">
        <f>SUMIFS(G5165:G9015,K5165:K9015,"0",B5165:B9015,"5 1 2 1 1 12 31111 6 M59 50000 000223 0000E 00001 00211*")</f>
        <v>0</v>
      </c>
      <c r="H5164" s="35">
        <f t="shared" si="81"/>
        <v>944.96</v>
      </c>
      <c r="I5164" s="35"/>
      <c r="K5164" t="s">
        <v>15</v>
      </c>
    </row>
    <row r="5165" spans="2:11" ht="24.75" x14ac:dyDescent="0.2">
      <c r="B5165" s="33" t="s">
        <v>6129</v>
      </c>
      <c r="C5165" s="33" t="s">
        <v>1051</v>
      </c>
      <c r="D5165" s="35">
        <f>SUMIFS(D5166:D9015,K5166:K9015,"0",B5166:B9015,"5 1 2 1 1 12 31111 6 M59 50000 000223 0000E 00001 00211 015*")-SUMIFS(E5166:E9015,K5166:K9015,"0",B5166:B9015,"5 1 2 1 1 12 31111 6 M59 50000 000223 0000E 00001 00211 015*")</f>
        <v>0</v>
      </c>
      <c r="E5165"/>
      <c r="F5165" s="35">
        <f>SUMIFS(F5166:F9015,K5166:K9015,"0",B5166:B9015,"5 1 2 1 1 12 31111 6 M59 50000 000223 0000E 00001 00211 015*")</f>
        <v>944.96</v>
      </c>
      <c r="G5165" s="35">
        <f>SUMIFS(G5166:G9015,K5166:K9015,"0",B5166:B9015,"5 1 2 1 1 12 31111 6 M59 50000 000223 0000E 00001 00211 015*")</f>
        <v>0</v>
      </c>
      <c r="H5165" s="35">
        <f t="shared" si="81"/>
        <v>944.96</v>
      </c>
      <c r="I5165" s="35"/>
      <c r="K5165" t="s">
        <v>15</v>
      </c>
    </row>
    <row r="5166" spans="2:11" ht="33" x14ac:dyDescent="0.2">
      <c r="B5166" s="33" t="s">
        <v>6130</v>
      </c>
      <c r="C5166" s="33" t="s">
        <v>5830</v>
      </c>
      <c r="D5166" s="35">
        <f>SUMIFS(D5167:D9015,K5167:K9015,"0",B5167:B9015,"5 1 2 1 1 12 31111 6 M59 50000 000223 0000E 00001 00211 015 2112000*")-SUMIFS(E5167:E9015,K5167:K9015,"0",B5167:B9015,"5 1 2 1 1 12 31111 6 M59 50000 000223 0000E 00001 00211 015 2112000*")</f>
        <v>0</v>
      </c>
      <c r="E5166"/>
      <c r="F5166" s="35">
        <f>SUMIFS(F5167:F9015,K5167:K9015,"0",B5167:B9015,"5 1 2 1 1 12 31111 6 M59 50000 000223 0000E 00001 00211 015 2112000*")</f>
        <v>944.96</v>
      </c>
      <c r="G5166" s="35">
        <f>SUMIFS(G5167:G9015,K5167:K9015,"0",B5167:B9015,"5 1 2 1 1 12 31111 6 M59 50000 000223 0000E 00001 00211 015 2112000*")</f>
        <v>0</v>
      </c>
      <c r="H5166" s="35">
        <f t="shared" si="81"/>
        <v>944.96</v>
      </c>
      <c r="I5166" s="35"/>
      <c r="K5166" t="s">
        <v>15</v>
      </c>
    </row>
    <row r="5167" spans="2:11" ht="33" x14ac:dyDescent="0.2">
      <c r="B5167" s="33" t="s">
        <v>6131</v>
      </c>
      <c r="C5167" s="33" t="s">
        <v>660</v>
      </c>
      <c r="D5167" s="35">
        <f>SUMIFS(D5168:D9015,K5168:K9015,"0",B5168:B9015,"5 1 2 1 1 12 31111 6 M59 50000 000223 0000E 00001 00211 015 2112000 2024*")-SUMIFS(E5168:E9015,K5168:K9015,"0",B5168:B9015,"5 1 2 1 1 12 31111 6 M59 50000 000223 0000E 00001 00211 015 2112000 2024*")</f>
        <v>0</v>
      </c>
      <c r="E5167"/>
      <c r="F5167" s="35">
        <f>SUMIFS(F5168:F9015,K5168:K9015,"0",B5168:B9015,"5 1 2 1 1 12 31111 6 M59 50000 000223 0000E 00001 00211 015 2112000 2024*")</f>
        <v>944.96</v>
      </c>
      <c r="G5167" s="35">
        <f>SUMIFS(G5168:G9015,K5168:K9015,"0",B5168:B9015,"5 1 2 1 1 12 31111 6 M59 50000 000223 0000E 00001 00211 015 2112000 2024*")</f>
        <v>0</v>
      </c>
      <c r="H5167" s="35">
        <f t="shared" si="81"/>
        <v>944.96</v>
      </c>
      <c r="I5167" s="35"/>
      <c r="K5167" t="s">
        <v>15</v>
      </c>
    </row>
    <row r="5168" spans="2:11" ht="41.25" x14ac:dyDescent="0.2">
      <c r="B5168" s="33" t="s">
        <v>6132</v>
      </c>
      <c r="C5168" s="33" t="s">
        <v>662</v>
      </c>
      <c r="D5168" s="35">
        <f>SUMIFS(D5169:D9015,K5169:K9015,"0",B5169:B9015,"5 1 2 1 1 12 31111 6 M59 50000 000223 0000E 00001 00211 015 2112000 2024 CP1DA424*")-SUMIFS(E5169:E9015,K5169:K9015,"0",B5169:B9015,"5 1 2 1 1 12 31111 6 M59 50000 000223 0000E 00001 00211 015 2112000 2024 CP1DA424*")</f>
        <v>0</v>
      </c>
      <c r="E5168"/>
      <c r="F5168" s="35">
        <f>SUMIFS(F5169:F9015,K5169:K9015,"0",B5169:B9015,"5 1 2 1 1 12 31111 6 M59 50000 000223 0000E 00001 00211 015 2112000 2024 CP1DA424*")</f>
        <v>944.96</v>
      </c>
      <c r="G5168" s="35">
        <f>SUMIFS(G5169:G9015,K5169:K9015,"0",B5169:B9015,"5 1 2 1 1 12 31111 6 M59 50000 000223 0000E 00001 00211 015 2112000 2024 CP1DA424*")</f>
        <v>0</v>
      </c>
      <c r="H5168" s="35">
        <f t="shared" si="81"/>
        <v>944.96</v>
      </c>
      <c r="I5168" s="35"/>
      <c r="K5168" t="s">
        <v>15</v>
      </c>
    </row>
    <row r="5169" spans="2:11" ht="41.25" x14ac:dyDescent="0.2">
      <c r="B5169" s="33" t="s">
        <v>6133</v>
      </c>
      <c r="C5169" s="33" t="s">
        <v>282</v>
      </c>
      <c r="D5169" s="35">
        <f>SUMIFS(D5170:D9015,K5170:K9015,"0",B5170:B9015,"5 1 2 1 1 12 31111 6 M59 50000 000223 0000E 00001 00211 015 2112000 2024 CP1DA424 001*")-SUMIFS(E5170:E9015,K5170:K9015,"0",B5170:B9015,"5 1 2 1 1 12 31111 6 M59 50000 000223 0000E 00001 00211 015 2112000 2024 CP1DA424 001*")</f>
        <v>0</v>
      </c>
      <c r="E5169"/>
      <c r="F5169" s="35">
        <f>SUMIFS(F5170:F9015,K5170:K9015,"0",B5170:B9015,"5 1 2 1 1 12 31111 6 M59 50000 000223 0000E 00001 00211 015 2112000 2024 CP1DA424 001*")</f>
        <v>944.96</v>
      </c>
      <c r="G5169" s="35">
        <f>SUMIFS(G5170:G9015,K5170:K9015,"0",B5170:B9015,"5 1 2 1 1 12 31111 6 M59 50000 000223 0000E 00001 00211 015 2112000 2024 CP1DA424 001*")</f>
        <v>0</v>
      </c>
      <c r="H5169" s="35">
        <f t="shared" si="81"/>
        <v>944.96</v>
      </c>
      <c r="I5169" s="35"/>
      <c r="K5169" t="s">
        <v>15</v>
      </c>
    </row>
    <row r="5170" spans="2:11" ht="33" x14ac:dyDescent="0.2">
      <c r="B5170" s="31" t="s">
        <v>6134</v>
      </c>
      <c r="C5170" s="31" t="s">
        <v>5827</v>
      </c>
      <c r="D5170" s="34">
        <v>0</v>
      </c>
      <c r="E5170" s="34"/>
      <c r="F5170" s="34">
        <v>944.96</v>
      </c>
      <c r="G5170" s="34">
        <v>0</v>
      </c>
      <c r="H5170" s="34">
        <f t="shared" si="81"/>
        <v>944.96</v>
      </c>
      <c r="I5170" s="34"/>
      <c r="K5170" t="s">
        <v>38</v>
      </c>
    </row>
    <row r="5171" spans="2:11" ht="16.5" x14ac:dyDescent="0.2">
      <c r="B5171" s="33" t="s">
        <v>6135</v>
      </c>
      <c r="C5171" s="33" t="s">
        <v>3294</v>
      </c>
      <c r="D5171" s="35">
        <f>SUMIFS(D5172:D9015,K5172:K9015,"0",B5172:B9015,"5 1 2 1 1 12 31111 6 M59 50100*")-SUMIFS(E5172:E9015,K5172:K9015,"0",B5172:B9015,"5 1 2 1 1 12 31111 6 M59 50100*")</f>
        <v>0</v>
      </c>
      <c r="E5171"/>
      <c r="F5171" s="35">
        <f>SUMIFS(F5172:F9015,K5172:K9015,"0",B5172:B9015,"5 1 2 1 1 12 31111 6 M59 50100*")</f>
        <v>250</v>
      </c>
      <c r="G5171" s="35">
        <f>SUMIFS(G5172:G9015,K5172:K9015,"0",B5172:B9015,"5 1 2 1 1 12 31111 6 M59 50100*")</f>
        <v>0</v>
      </c>
      <c r="H5171" s="35">
        <f t="shared" si="81"/>
        <v>250</v>
      </c>
      <c r="I5171" s="35"/>
      <c r="K5171" t="s">
        <v>15</v>
      </c>
    </row>
    <row r="5172" spans="2:11" ht="16.5" x14ac:dyDescent="0.2">
      <c r="B5172" s="33" t="s">
        <v>6136</v>
      </c>
      <c r="C5172" s="33" t="s">
        <v>648</v>
      </c>
      <c r="D5172" s="35">
        <f>SUMIFS(D5173:D9015,K5173:K9015,"0",B5173:B9015,"5 1 2 1 1 12 31111 6 M59 50100 000132*")-SUMIFS(E5173:E9015,K5173:K9015,"0",B5173:B9015,"5 1 2 1 1 12 31111 6 M59 50100 000132*")</f>
        <v>0</v>
      </c>
      <c r="E5172"/>
      <c r="F5172" s="35">
        <f>SUMIFS(F5173:F9015,K5173:K9015,"0",B5173:B9015,"5 1 2 1 1 12 31111 6 M59 50100 000132*")</f>
        <v>250</v>
      </c>
      <c r="G5172" s="35">
        <f>SUMIFS(G5173:G9015,K5173:K9015,"0",B5173:B9015,"5 1 2 1 1 12 31111 6 M59 50100 000132*")</f>
        <v>0</v>
      </c>
      <c r="H5172" s="35">
        <f t="shared" si="81"/>
        <v>250</v>
      </c>
      <c r="I5172" s="35"/>
      <c r="K5172" t="s">
        <v>15</v>
      </c>
    </row>
    <row r="5173" spans="2:11" ht="16.5" x14ac:dyDescent="0.2">
      <c r="B5173" s="33" t="s">
        <v>6137</v>
      </c>
      <c r="C5173" s="33" t="s">
        <v>650</v>
      </c>
      <c r="D5173" s="35">
        <f>SUMIFS(D5174:D9015,K5174:K9015,"0",B5174:B9015,"5 1 2 1 1 12 31111 6 M59 50100 000132 0000R*")-SUMIFS(E5174:E9015,K5174:K9015,"0",B5174:B9015,"5 1 2 1 1 12 31111 6 M59 50100 000132 0000R*")</f>
        <v>0</v>
      </c>
      <c r="E5173"/>
      <c r="F5173" s="35">
        <f>SUMIFS(F5174:F9015,K5174:K9015,"0",B5174:B9015,"5 1 2 1 1 12 31111 6 M59 50100 000132 0000R*")</f>
        <v>250</v>
      </c>
      <c r="G5173" s="35">
        <f>SUMIFS(G5174:G9015,K5174:K9015,"0",B5174:B9015,"5 1 2 1 1 12 31111 6 M59 50100 000132 0000R*")</f>
        <v>0</v>
      </c>
      <c r="H5173" s="35">
        <f t="shared" si="81"/>
        <v>250</v>
      </c>
      <c r="I5173" s="35"/>
      <c r="K5173" t="s">
        <v>15</v>
      </c>
    </row>
    <row r="5174" spans="2:11" ht="24.75" x14ac:dyDescent="0.2">
      <c r="B5174" s="33" t="s">
        <v>6138</v>
      </c>
      <c r="C5174" s="33" t="s">
        <v>282</v>
      </c>
      <c r="D5174" s="35">
        <f>SUMIFS(D5175:D9015,K5175:K9015,"0",B5175:B9015,"5 1 2 1 1 12 31111 6 M59 50100 000132 0000R 00001*")-SUMIFS(E5175:E9015,K5175:K9015,"0",B5175:B9015,"5 1 2 1 1 12 31111 6 M59 50100 000132 0000R 00001*")</f>
        <v>0</v>
      </c>
      <c r="E5174"/>
      <c r="F5174" s="35">
        <f>SUMIFS(F5175:F9015,K5175:K9015,"0",B5175:B9015,"5 1 2 1 1 12 31111 6 M59 50100 000132 0000R 00001*")</f>
        <v>250</v>
      </c>
      <c r="G5174" s="35">
        <f>SUMIFS(G5175:G9015,K5175:K9015,"0",B5175:B9015,"5 1 2 1 1 12 31111 6 M59 50100 000132 0000R 00001*")</f>
        <v>0</v>
      </c>
      <c r="H5174" s="35">
        <f t="shared" si="81"/>
        <v>250</v>
      </c>
      <c r="I5174" s="35"/>
      <c r="K5174" t="s">
        <v>15</v>
      </c>
    </row>
    <row r="5175" spans="2:11" ht="24.75" x14ac:dyDescent="0.2">
      <c r="B5175" s="33" t="s">
        <v>6139</v>
      </c>
      <c r="C5175" s="33" t="s">
        <v>5827</v>
      </c>
      <c r="D5175" s="35">
        <f>SUMIFS(D5176:D9015,K5176:K9015,"0",B5176:B9015,"5 1 2 1 1 12 31111 6 M59 50100 000132 0000R 00001 00211*")-SUMIFS(E5176:E9015,K5176:K9015,"0",B5176:B9015,"5 1 2 1 1 12 31111 6 M59 50100 000132 0000R 00001 00211*")</f>
        <v>0</v>
      </c>
      <c r="E5175"/>
      <c r="F5175" s="35">
        <f>SUMIFS(F5176:F9015,K5176:K9015,"0",B5176:B9015,"5 1 2 1 1 12 31111 6 M59 50100 000132 0000R 00001 00211*")</f>
        <v>250</v>
      </c>
      <c r="G5175" s="35">
        <f>SUMIFS(G5176:G9015,K5176:K9015,"0",B5176:B9015,"5 1 2 1 1 12 31111 6 M59 50100 000132 0000R 00001 00211*")</f>
        <v>0</v>
      </c>
      <c r="H5175" s="35">
        <f t="shared" si="81"/>
        <v>250</v>
      </c>
      <c r="I5175" s="35"/>
      <c r="K5175" t="s">
        <v>15</v>
      </c>
    </row>
    <row r="5176" spans="2:11" ht="24.75" x14ac:dyDescent="0.2">
      <c r="B5176" s="33" t="s">
        <v>6140</v>
      </c>
      <c r="C5176" s="33" t="s">
        <v>1051</v>
      </c>
      <c r="D5176" s="35">
        <f>SUMIFS(D5177:D9015,K5177:K9015,"0",B5177:B9015,"5 1 2 1 1 12 31111 6 M59 50100 000132 0000R 00001 00211 015*")-SUMIFS(E5177:E9015,K5177:K9015,"0",B5177:B9015,"5 1 2 1 1 12 31111 6 M59 50100 000132 0000R 00001 00211 015*")</f>
        <v>0</v>
      </c>
      <c r="E5176"/>
      <c r="F5176" s="35">
        <f>SUMIFS(F5177:F9015,K5177:K9015,"0",B5177:B9015,"5 1 2 1 1 12 31111 6 M59 50100 000132 0000R 00001 00211 015*")</f>
        <v>250</v>
      </c>
      <c r="G5176" s="35">
        <f>SUMIFS(G5177:G9015,K5177:K9015,"0",B5177:B9015,"5 1 2 1 1 12 31111 6 M59 50100 000132 0000R 00001 00211 015*")</f>
        <v>0</v>
      </c>
      <c r="H5176" s="35">
        <f t="shared" si="81"/>
        <v>250</v>
      </c>
      <c r="I5176" s="35"/>
      <c r="K5176" t="s">
        <v>15</v>
      </c>
    </row>
    <row r="5177" spans="2:11" ht="33" x14ac:dyDescent="0.2">
      <c r="B5177" s="33" t="s">
        <v>6141</v>
      </c>
      <c r="C5177" s="33" t="s">
        <v>5830</v>
      </c>
      <c r="D5177" s="35">
        <f>SUMIFS(D5178:D9015,K5178:K9015,"0",B5178:B9015,"5 1 2 1 1 12 31111 6 M59 50100 000132 0000R 00001 00211 015 2112000*")-SUMIFS(E5178:E9015,K5178:K9015,"0",B5178:B9015,"5 1 2 1 1 12 31111 6 M59 50100 000132 0000R 00001 00211 015 2112000*")</f>
        <v>0</v>
      </c>
      <c r="E5177"/>
      <c r="F5177" s="35">
        <f>SUMIFS(F5178:F9015,K5178:K9015,"0",B5178:B9015,"5 1 2 1 1 12 31111 6 M59 50100 000132 0000R 00001 00211 015 2112000*")</f>
        <v>250</v>
      </c>
      <c r="G5177" s="35">
        <f>SUMIFS(G5178:G9015,K5178:K9015,"0",B5178:B9015,"5 1 2 1 1 12 31111 6 M59 50100 000132 0000R 00001 00211 015 2112000*")</f>
        <v>0</v>
      </c>
      <c r="H5177" s="35">
        <f t="shared" si="81"/>
        <v>250</v>
      </c>
      <c r="I5177" s="35"/>
      <c r="K5177" t="s">
        <v>15</v>
      </c>
    </row>
    <row r="5178" spans="2:11" ht="33" x14ac:dyDescent="0.2">
      <c r="B5178" s="33" t="s">
        <v>6142</v>
      </c>
      <c r="C5178" s="33" t="s">
        <v>660</v>
      </c>
      <c r="D5178" s="35">
        <f>SUMIFS(D5179:D9015,K5179:K9015,"0",B5179:B9015,"5 1 2 1 1 12 31111 6 M59 50100 000132 0000R 00001 00211 015 2112000 2024*")-SUMIFS(E5179:E9015,K5179:K9015,"0",B5179:B9015,"5 1 2 1 1 12 31111 6 M59 50100 000132 0000R 00001 00211 015 2112000 2024*")</f>
        <v>0</v>
      </c>
      <c r="E5178"/>
      <c r="F5178" s="35">
        <f>SUMIFS(F5179:F9015,K5179:K9015,"0",B5179:B9015,"5 1 2 1 1 12 31111 6 M59 50100 000132 0000R 00001 00211 015 2112000 2024*")</f>
        <v>250</v>
      </c>
      <c r="G5178" s="35">
        <f>SUMIFS(G5179:G9015,K5179:K9015,"0",B5179:B9015,"5 1 2 1 1 12 31111 6 M59 50100 000132 0000R 00001 00211 015 2112000 2024*")</f>
        <v>0</v>
      </c>
      <c r="H5178" s="35">
        <f t="shared" si="81"/>
        <v>250</v>
      </c>
      <c r="I5178" s="35"/>
      <c r="K5178" t="s">
        <v>15</v>
      </c>
    </row>
    <row r="5179" spans="2:11" ht="41.25" x14ac:dyDescent="0.2">
      <c r="B5179" s="33" t="s">
        <v>6143</v>
      </c>
      <c r="C5179" s="33" t="s">
        <v>1056</v>
      </c>
      <c r="D5179" s="35">
        <f>SUMIFS(D5180:D9015,K5180:K9015,"0",B5180:B9015,"5 1 2 1 1 12 31111 6 M59 50100 000132 0000R 00001 00211 015 2112000 2024 CP1AG431*")-SUMIFS(E5180:E9015,K5180:K9015,"0",B5180:B9015,"5 1 2 1 1 12 31111 6 M59 50100 000132 0000R 00001 00211 015 2112000 2024 CP1AG431*")</f>
        <v>0</v>
      </c>
      <c r="E5179"/>
      <c r="F5179" s="35">
        <f>SUMIFS(F5180:F9015,K5180:K9015,"0",B5180:B9015,"5 1 2 1 1 12 31111 6 M59 50100 000132 0000R 00001 00211 015 2112000 2024 CP1AG431*")</f>
        <v>250</v>
      </c>
      <c r="G5179" s="35">
        <f>SUMIFS(G5180:G9015,K5180:K9015,"0",B5180:B9015,"5 1 2 1 1 12 31111 6 M59 50100 000132 0000R 00001 00211 015 2112000 2024 CP1AG431*")</f>
        <v>0</v>
      </c>
      <c r="H5179" s="35">
        <f t="shared" si="81"/>
        <v>250</v>
      </c>
      <c r="I5179" s="35"/>
      <c r="K5179" t="s">
        <v>15</v>
      </c>
    </row>
    <row r="5180" spans="2:11" ht="41.25" x14ac:dyDescent="0.2">
      <c r="B5180" s="33" t="s">
        <v>6144</v>
      </c>
      <c r="C5180" s="33" t="s">
        <v>282</v>
      </c>
      <c r="D5180" s="35">
        <f>SUMIFS(D5181:D9015,K5181:K9015,"0",B5181:B9015,"5 1 2 1 1 12 31111 6 M59 50100 000132 0000R 00001 00211 015 2112000 2024 CP1AG431 001*")-SUMIFS(E5181:E9015,K5181:K9015,"0",B5181:B9015,"5 1 2 1 1 12 31111 6 M59 50100 000132 0000R 00001 00211 015 2112000 2024 CP1AG431 001*")</f>
        <v>0</v>
      </c>
      <c r="E5180"/>
      <c r="F5180" s="35">
        <f>SUMIFS(F5181:F9015,K5181:K9015,"0",B5181:B9015,"5 1 2 1 1 12 31111 6 M59 50100 000132 0000R 00001 00211 015 2112000 2024 CP1AG431 001*")</f>
        <v>250</v>
      </c>
      <c r="G5180" s="35">
        <f>SUMIFS(G5181:G9015,K5181:K9015,"0",B5181:B9015,"5 1 2 1 1 12 31111 6 M59 50100 000132 0000R 00001 00211 015 2112000 2024 CP1AG431 001*")</f>
        <v>0</v>
      </c>
      <c r="H5180" s="35">
        <f t="shared" si="81"/>
        <v>250</v>
      </c>
      <c r="I5180" s="35"/>
      <c r="K5180" t="s">
        <v>15</v>
      </c>
    </row>
    <row r="5181" spans="2:11" ht="33" x14ac:dyDescent="0.2">
      <c r="B5181" s="31" t="s">
        <v>6145</v>
      </c>
      <c r="C5181" s="31" t="s">
        <v>5827</v>
      </c>
      <c r="D5181" s="34">
        <v>0</v>
      </c>
      <c r="E5181" s="34"/>
      <c r="F5181" s="34">
        <v>250</v>
      </c>
      <c r="G5181" s="34">
        <v>0</v>
      </c>
      <c r="H5181" s="34">
        <f t="shared" si="81"/>
        <v>250</v>
      </c>
      <c r="I5181" s="34"/>
      <c r="K5181" t="s">
        <v>38</v>
      </c>
    </row>
    <row r="5182" spans="2:11" ht="16.5" x14ac:dyDescent="0.2">
      <c r="B5182" s="33" t="s">
        <v>6146</v>
      </c>
      <c r="C5182" s="33" t="s">
        <v>1269</v>
      </c>
      <c r="D5182" s="35">
        <f>SUMIFS(D5183:D9015,K5183:K9015,"0",B5183:B9015,"5 1 2 1 1 12 31111 6 M59 60100*")-SUMIFS(E5183:E9015,K5183:K9015,"0",B5183:B9015,"5 1 2 1 1 12 31111 6 M59 60100*")</f>
        <v>0</v>
      </c>
      <c r="E5182"/>
      <c r="F5182" s="35">
        <f>SUMIFS(F5183:F9015,K5183:K9015,"0",B5183:B9015,"5 1 2 1 1 12 31111 6 M59 60100*")</f>
        <v>3450</v>
      </c>
      <c r="G5182" s="35">
        <f>SUMIFS(G5183:G9015,K5183:K9015,"0",B5183:B9015,"5 1 2 1 1 12 31111 6 M59 60100*")</f>
        <v>0</v>
      </c>
      <c r="H5182" s="35">
        <f t="shared" si="81"/>
        <v>3450</v>
      </c>
      <c r="I5182" s="35"/>
      <c r="K5182" t="s">
        <v>15</v>
      </c>
    </row>
    <row r="5183" spans="2:11" ht="16.5" x14ac:dyDescent="0.2">
      <c r="B5183" s="33" t="s">
        <v>6147</v>
      </c>
      <c r="C5183" s="33" t="s">
        <v>648</v>
      </c>
      <c r="D5183" s="35">
        <f>SUMIFS(D5184:D9015,K5184:K9015,"0",B5184:B9015,"5 1 2 1 1 12 31111 6 M59 60100 000132*")-SUMIFS(E5184:E9015,K5184:K9015,"0",B5184:B9015,"5 1 2 1 1 12 31111 6 M59 60100 000132*")</f>
        <v>0</v>
      </c>
      <c r="E5183"/>
      <c r="F5183" s="35">
        <f>SUMIFS(F5184:F9015,K5184:K9015,"0",B5184:B9015,"5 1 2 1 1 12 31111 6 M59 60100 000132*")</f>
        <v>3450</v>
      </c>
      <c r="G5183" s="35">
        <f>SUMIFS(G5184:G9015,K5184:K9015,"0",B5184:B9015,"5 1 2 1 1 12 31111 6 M59 60100 000132*")</f>
        <v>0</v>
      </c>
      <c r="H5183" s="35">
        <f t="shared" si="81"/>
        <v>3450</v>
      </c>
      <c r="I5183" s="35"/>
      <c r="K5183" t="s">
        <v>15</v>
      </c>
    </row>
    <row r="5184" spans="2:11" ht="16.5" x14ac:dyDescent="0.2">
      <c r="B5184" s="33" t="s">
        <v>6148</v>
      </c>
      <c r="C5184" s="33" t="s">
        <v>650</v>
      </c>
      <c r="D5184" s="35">
        <f>SUMIFS(D5185:D9015,K5185:K9015,"0",B5185:B9015,"5 1 2 1 1 12 31111 6 M59 60100 000132 0000R*")-SUMIFS(E5185:E9015,K5185:K9015,"0",B5185:B9015,"5 1 2 1 1 12 31111 6 M59 60100 000132 0000R*")</f>
        <v>0</v>
      </c>
      <c r="E5184"/>
      <c r="F5184" s="35">
        <f>SUMIFS(F5185:F9015,K5185:K9015,"0",B5185:B9015,"5 1 2 1 1 12 31111 6 M59 60100 000132 0000R*")</f>
        <v>3450</v>
      </c>
      <c r="G5184" s="35">
        <f>SUMIFS(G5185:G9015,K5185:K9015,"0",B5185:B9015,"5 1 2 1 1 12 31111 6 M59 60100 000132 0000R*")</f>
        <v>0</v>
      </c>
      <c r="H5184" s="35">
        <f t="shared" si="81"/>
        <v>3450</v>
      </c>
      <c r="I5184" s="35"/>
      <c r="K5184" t="s">
        <v>15</v>
      </c>
    </row>
    <row r="5185" spans="2:11" ht="24.75" x14ac:dyDescent="0.2">
      <c r="B5185" s="33" t="s">
        <v>6149</v>
      </c>
      <c r="C5185" s="33" t="s">
        <v>282</v>
      </c>
      <c r="D5185" s="35">
        <f>SUMIFS(D5186:D9015,K5186:K9015,"0",B5186:B9015,"5 1 2 1 1 12 31111 6 M59 60100 000132 0000R 00001*")-SUMIFS(E5186:E9015,K5186:K9015,"0",B5186:B9015,"5 1 2 1 1 12 31111 6 M59 60100 000132 0000R 00001*")</f>
        <v>0</v>
      </c>
      <c r="E5185"/>
      <c r="F5185" s="35">
        <f>SUMIFS(F5186:F9015,K5186:K9015,"0",B5186:B9015,"5 1 2 1 1 12 31111 6 M59 60100 000132 0000R 00001*")</f>
        <v>3450</v>
      </c>
      <c r="G5185" s="35">
        <f>SUMIFS(G5186:G9015,K5186:K9015,"0",B5186:B9015,"5 1 2 1 1 12 31111 6 M59 60100 000132 0000R 00001*")</f>
        <v>0</v>
      </c>
      <c r="H5185" s="35">
        <f t="shared" si="81"/>
        <v>3450</v>
      </c>
      <c r="I5185" s="35"/>
      <c r="K5185" t="s">
        <v>15</v>
      </c>
    </row>
    <row r="5186" spans="2:11" ht="24.75" x14ac:dyDescent="0.2">
      <c r="B5186" s="33" t="s">
        <v>6150</v>
      </c>
      <c r="C5186" s="33" t="s">
        <v>5827</v>
      </c>
      <c r="D5186" s="35">
        <f>SUMIFS(D5187:D9015,K5187:K9015,"0",B5187:B9015,"5 1 2 1 1 12 31111 6 M59 60100 000132 0000R 00001 00211*")-SUMIFS(E5187:E9015,K5187:K9015,"0",B5187:B9015,"5 1 2 1 1 12 31111 6 M59 60100 000132 0000R 00001 00211*")</f>
        <v>0</v>
      </c>
      <c r="E5186"/>
      <c r="F5186" s="35">
        <f>SUMIFS(F5187:F9015,K5187:K9015,"0",B5187:B9015,"5 1 2 1 1 12 31111 6 M59 60100 000132 0000R 00001 00211*")</f>
        <v>3450</v>
      </c>
      <c r="G5186" s="35">
        <f>SUMIFS(G5187:G9015,K5187:K9015,"0",B5187:B9015,"5 1 2 1 1 12 31111 6 M59 60100 000132 0000R 00001 00211*")</f>
        <v>0</v>
      </c>
      <c r="H5186" s="35">
        <f t="shared" si="81"/>
        <v>3450</v>
      </c>
      <c r="I5186" s="35"/>
      <c r="K5186" t="s">
        <v>15</v>
      </c>
    </row>
    <row r="5187" spans="2:11" ht="24.75" x14ac:dyDescent="0.2">
      <c r="B5187" s="33" t="s">
        <v>6151</v>
      </c>
      <c r="C5187" s="33" t="s">
        <v>1051</v>
      </c>
      <c r="D5187" s="35">
        <f>SUMIFS(D5188:D9015,K5188:K9015,"0",B5188:B9015,"5 1 2 1 1 12 31111 6 M59 60100 000132 0000R 00001 00211 015*")-SUMIFS(E5188:E9015,K5188:K9015,"0",B5188:B9015,"5 1 2 1 1 12 31111 6 M59 60100 000132 0000R 00001 00211 015*")</f>
        <v>0</v>
      </c>
      <c r="E5187"/>
      <c r="F5187" s="35">
        <f>SUMIFS(F5188:F9015,K5188:K9015,"0",B5188:B9015,"5 1 2 1 1 12 31111 6 M59 60100 000132 0000R 00001 00211 015*")</f>
        <v>3450</v>
      </c>
      <c r="G5187" s="35">
        <f>SUMIFS(G5188:G9015,K5188:K9015,"0",B5188:B9015,"5 1 2 1 1 12 31111 6 M59 60100 000132 0000R 00001 00211 015*")</f>
        <v>0</v>
      </c>
      <c r="H5187" s="35">
        <f t="shared" si="81"/>
        <v>3450</v>
      </c>
      <c r="I5187" s="35"/>
      <c r="K5187" t="s">
        <v>15</v>
      </c>
    </row>
    <row r="5188" spans="2:11" ht="33" x14ac:dyDescent="0.2">
      <c r="B5188" s="33" t="s">
        <v>6152</v>
      </c>
      <c r="C5188" s="33" t="s">
        <v>5830</v>
      </c>
      <c r="D5188" s="35">
        <f>SUMIFS(D5189:D9015,K5189:K9015,"0",B5189:B9015,"5 1 2 1 1 12 31111 6 M59 60100 000132 0000R 00001 00211 015 2112000*")-SUMIFS(E5189:E9015,K5189:K9015,"0",B5189:B9015,"5 1 2 1 1 12 31111 6 M59 60100 000132 0000R 00001 00211 015 2112000*")</f>
        <v>0</v>
      </c>
      <c r="E5188"/>
      <c r="F5188" s="35">
        <f>SUMIFS(F5189:F9015,K5189:K9015,"0",B5189:B9015,"5 1 2 1 1 12 31111 6 M59 60100 000132 0000R 00001 00211 015 2112000*")</f>
        <v>3450</v>
      </c>
      <c r="G5188" s="35">
        <f>SUMIFS(G5189:G9015,K5189:K9015,"0",B5189:B9015,"5 1 2 1 1 12 31111 6 M59 60100 000132 0000R 00001 00211 015 2112000*")</f>
        <v>0</v>
      </c>
      <c r="H5188" s="35">
        <f t="shared" ref="H5188:H5251" si="82">D5188 + F5188 - G5188</f>
        <v>3450</v>
      </c>
      <c r="I5188" s="35"/>
      <c r="K5188" t="s">
        <v>15</v>
      </c>
    </row>
    <row r="5189" spans="2:11" ht="33" x14ac:dyDescent="0.2">
      <c r="B5189" s="33" t="s">
        <v>6153</v>
      </c>
      <c r="C5189" s="33" t="s">
        <v>660</v>
      </c>
      <c r="D5189" s="35">
        <f>SUMIFS(D5190:D9015,K5190:K9015,"0",B5190:B9015,"5 1 2 1 1 12 31111 6 M59 60100 000132 0000R 00001 00211 015 2112000 2024*")-SUMIFS(E5190:E9015,K5190:K9015,"0",B5190:B9015,"5 1 2 1 1 12 31111 6 M59 60100 000132 0000R 00001 00211 015 2112000 2024*")</f>
        <v>0</v>
      </c>
      <c r="E5189"/>
      <c r="F5189" s="35">
        <f>SUMIFS(F5190:F9015,K5190:K9015,"0",B5190:B9015,"5 1 2 1 1 12 31111 6 M59 60100 000132 0000R 00001 00211 015 2112000 2024*")</f>
        <v>3450</v>
      </c>
      <c r="G5189" s="35">
        <f>SUMIFS(G5190:G9015,K5190:K9015,"0",B5190:B9015,"5 1 2 1 1 12 31111 6 M59 60100 000132 0000R 00001 00211 015 2112000 2024*")</f>
        <v>0</v>
      </c>
      <c r="H5189" s="35">
        <f t="shared" si="82"/>
        <v>3450</v>
      </c>
      <c r="I5189" s="35"/>
      <c r="K5189" t="s">
        <v>15</v>
      </c>
    </row>
    <row r="5190" spans="2:11" ht="41.25" x14ac:dyDescent="0.2">
      <c r="B5190" s="33" t="s">
        <v>6154</v>
      </c>
      <c r="C5190" s="33" t="s">
        <v>1056</v>
      </c>
      <c r="D5190" s="35">
        <f>SUMIFS(D5191:D9015,K5191:K9015,"0",B5191:B9015,"5 1 2 1 1 12 31111 6 M59 60100 000132 0000R 00001 00211 015 2112000 2024 CP1DM394*")-SUMIFS(E5191:E9015,K5191:K9015,"0",B5191:B9015,"5 1 2 1 1 12 31111 6 M59 60100 000132 0000R 00001 00211 015 2112000 2024 CP1DM394*")</f>
        <v>0</v>
      </c>
      <c r="E5190"/>
      <c r="F5190" s="35">
        <f>SUMIFS(F5191:F9015,K5191:K9015,"0",B5191:B9015,"5 1 2 1 1 12 31111 6 M59 60100 000132 0000R 00001 00211 015 2112000 2024 CP1DM394*")</f>
        <v>3450</v>
      </c>
      <c r="G5190" s="35">
        <f>SUMIFS(G5191:G9015,K5191:K9015,"0",B5191:B9015,"5 1 2 1 1 12 31111 6 M59 60100 000132 0000R 00001 00211 015 2112000 2024 CP1DM394*")</f>
        <v>0</v>
      </c>
      <c r="H5190" s="35">
        <f t="shared" si="82"/>
        <v>3450</v>
      </c>
      <c r="I5190" s="35"/>
      <c r="K5190" t="s">
        <v>15</v>
      </c>
    </row>
    <row r="5191" spans="2:11" ht="41.25" x14ac:dyDescent="0.2">
      <c r="B5191" s="33" t="s">
        <v>6155</v>
      </c>
      <c r="C5191" s="33" t="s">
        <v>282</v>
      </c>
      <c r="D5191" s="35">
        <f>SUMIFS(D5192:D9015,K5192:K9015,"0",B5192:B9015,"5 1 2 1 1 12 31111 6 M59 60100 000132 0000R 00001 00211 015 2112000 2024 CP1DM394 001*")-SUMIFS(E5192:E9015,K5192:K9015,"0",B5192:B9015,"5 1 2 1 1 12 31111 6 M59 60100 000132 0000R 00001 00211 015 2112000 2024 CP1DM394 001*")</f>
        <v>0</v>
      </c>
      <c r="E5191"/>
      <c r="F5191" s="35">
        <f>SUMIFS(F5192:F9015,K5192:K9015,"0",B5192:B9015,"5 1 2 1 1 12 31111 6 M59 60100 000132 0000R 00001 00211 015 2112000 2024 CP1DM394 001*")</f>
        <v>3450</v>
      </c>
      <c r="G5191" s="35">
        <f>SUMIFS(G5192:G9015,K5192:K9015,"0",B5192:B9015,"5 1 2 1 1 12 31111 6 M59 60100 000132 0000R 00001 00211 015 2112000 2024 CP1DM394 001*")</f>
        <v>0</v>
      </c>
      <c r="H5191" s="35">
        <f t="shared" si="82"/>
        <v>3450</v>
      </c>
      <c r="I5191" s="35"/>
      <c r="K5191" t="s">
        <v>15</v>
      </c>
    </row>
    <row r="5192" spans="2:11" ht="33" x14ac:dyDescent="0.2">
      <c r="B5192" s="31" t="s">
        <v>6156</v>
      </c>
      <c r="C5192" s="31" t="s">
        <v>5827</v>
      </c>
      <c r="D5192" s="34">
        <v>0</v>
      </c>
      <c r="E5192" s="34"/>
      <c r="F5192" s="34">
        <v>3450</v>
      </c>
      <c r="G5192" s="34">
        <v>0</v>
      </c>
      <c r="H5192" s="34">
        <f t="shared" si="82"/>
        <v>3450</v>
      </c>
      <c r="I5192" s="34"/>
      <c r="K5192" t="s">
        <v>38</v>
      </c>
    </row>
    <row r="5193" spans="2:11" ht="16.5" x14ac:dyDescent="0.2">
      <c r="B5193" s="33" t="s">
        <v>6157</v>
      </c>
      <c r="C5193" s="33" t="s">
        <v>3377</v>
      </c>
      <c r="D5193" s="35">
        <f>SUMIFS(D5194:D9015,K5194:K9015,"0",B5194:B9015,"5 1 2 1 1 12 31111 6 M59 70000*")-SUMIFS(E5194:E9015,K5194:K9015,"0",B5194:B9015,"5 1 2 1 1 12 31111 6 M59 70000*")</f>
        <v>0</v>
      </c>
      <c r="E5193"/>
      <c r="F5193" s="35">
        <f>SUMIFS(F5194:F9015,K5194:K9015,"0",B5194:B9015,"5 1 2 1 1 12 31111 6 M59 70000*")</f>
        <v>250</v>
      </c>
      <c r="G5193" s="35">
        <f>SUMIFS(G5194:G9015,K5194:K9015,"0",B5194:B9015,"5 1 2 1 1 12 31111 6 M59 70000*")</f>
        <v>0</v>
      </c>
      <c r="H5193" s="35">
        <f t="shared" si="82"/>
        <v>250</v>
      </c>
      <c r="I5193" s="35"/>
      <c r="K5193" t="s">
        <v>15</v>
      </c>
    </row>
    <row r="5194" spans="2:11" ht="16.5" x14ac:dyDescent="0.2">
      <c r="B5194" s="33" t="s">
        <v>6158</v>
      </c>
      <c r="C5194" s="33" t="s">
        <v>648</v>
      </c>
      <c r="D5194" s="35">
        <f>SUMIFS(D5195:D9015,K5195:K9015,"0",B5195:B9015,"5 1 2 1 1 12 31111 6 M59 70000 000132*")-SUMIFS(E5195:E9015,K5195:K9015,"0",B5195:B9015,"5 1 2 1 1 12 31111 6 M59 70000 000132*")</f>
        <v>0</v>
      </c>
      <c r="E5194"/>
      <c r="F5194" s="35">
        <f>SUMIFS(F5195:F9015,K5195:K9015,"0",B5195:B9015,"5 1 2 1 1 12 31111 6 M59 70000 000132*")</f>
        <v>250</v>
      </c>
      <c r="G5194" s="35">
        <f>SUMIFS(G5195:G9015,K5195:K9015,"0",B5195:B9015,"5 1 2 1 1 12 31111 6 M59 70000 000132*")</f>
        <v>0</v>
      </c>
      <c r="H5194" s="35">
        <f t="shared" si="82"/>
        <v>250</v>
      </c>
      <c r="I5194" s="35"/>
      <c r="K5194" t="s">
        <v>15</v>
      </c>
    </row>
    <row r="5195" spans="2:11" ht="16.5" x14ac:dyDescent="0.2">
      <c r="B5195" s="33" t="s">
        <v>6159</v>
      </c>
      <c r="C5195" s="33" t="s">
        <v>650</v>
      </c>
      <c r="D5195" s="35">
        <f>SUMIFS(D5196:D9015,K5196:K9015,"0",B5196:B9015,"5 1 2 1 1 12 31111 6 M59 70000 000132 0000R*")-SUMIFS(E5196:E9015,K5196:K9015,"0",B5196:B9015,"5 1 2 1 1 12 31111 6 M59 70000 000132 0000R*")</f>
        <v>0</v>
      </c>
      <c r="E5195"/>
      <c r="F5195" s="35">
        <f>SUMIFS(F5196:F9015,K5196:K9015,"0",B5196:B9015,"5 1 2 1 1 12 31111 6 M59 70000 000132 0000R*")</f>
        <v>250</v>
      </c>
      <c r="G5195" s="35">
        <f>SUMIFS(G5196:G9015,K5196:K9015,"0",B5196:B9015,"5 1 2 1 1 12 31111 6 M59 70000 000132 0000R*")</f>
        <v>0</v>
      </c>
      <c r="H5195" s="35">
        <f t="shared" si="82"/>
        <v>250</v>
      </c>
      <c r="I5195" s="35"/>
      <c r="K5195" t="s">
        <v>15</v>
      </c>
    </row>
    <row r="5196" spans="2:11" ht="24.75" x14ac:dyDescent="0.2">
      <c r="B5196" s="33" t="s">
        <v>6160</v>
      </c>
      <c r="C5196" s="33" t="s">
        <v>282</v>
      </c>
      <c r="D5196" s="35">
        <f>SUMIFS(D5197:D9015,K5197:K9015,"0",B5197:B9015,"5 1 2 1 1 12 31111 6 M59 70000 000132 0000R 00001*")-SUMIFS(E5197:E9015,K5197:K9015,"0",B5197:B9015,"5 1 2 1 1 12 31111 6 M59 70000 000132 0000R 00001*")</f>
        <v>0</v>
      </c>
      <c r="E5196"/>
      <c r="F5196" s="35">
        <f>SUMIFS(F5197:F9015,K5197:K9015,"0",B5197:B9015,"5 1 2 1 1 12 31111 6 M59 70000 000132 0000R 00001*")</f>
        <v>250</v>
      </c>
      <c r="G5196" s="35">
        <f>SUMIFS(G5197:G9015,K5197:K9015,"0",B5197:B9015,"5 1 2 1 1 12 31111 6 M59 70000 000132 0000R 00001*")</f>
        <v>0</v>
      </c>
      <c r="H5196" s="35">
        <f t="shared" si="82"/>
        <v>250</v>
      </c>
      <c r="I5196" s="35"/>
      <c r="K5196" t="s">
        <v>15</v>
      </c>
    </row>
    <row r="5197" spans="2:11" ht="24.75" x14ac:dyDescent="0.2">
      <c r="B5197" s="33" t="s">
        <v>6161</v>
      </c>
      <c r="C5197" s="33" t="s">
        <v>5827</v>
      </c>
      <c r="D5197" s="35">
        <f>SUMIFS(D5198:D9015,K5198:K9015,"0",B5198:B9015,"5 1 2 1 1 12 31111 6 M59 70000 000132 0000R 00001 00211*")-SUMIFS(E5198:E9015,K5198:K9015,"0",B5198:B9015,"5 1 2 1 1 12 31111 6 M59 70000 000132 0000R 00001 00211*")</f>
        <v>0</v>
      </c>
      <c r="E5197"/>
      <c r="F5197" s="35">
        <f>SUMIFS(F5198:F9015,K5198:K9015,"0",B5198:B9015,"5 1 2 1 1 12 31111 6 M59 70000 000132 0000R 00001 00211*")</f>
        <v>250</v>
      </c>
      <c r="G5197" s="35">
        <f>SUMIFS(G5198:G9015,K5198:K9015,"0",B5198:B9015,"5 1 2 1 1 12 31111 6 M59 70000 000132 0000R 00001 00211*")</f>
        <v>0</v>
      </c>
      <c r="H5197" s="35">
        <f t="shared" si="82"/>
        <v>250</v>
      </c>
      <c r="I5197" s="35"/>
      <c r="K5197" t="s">
        <v>15</v>
      </c>
    </row>
    <row r="5198" spans="2:11" ht="24.75" x14ac:dyDescent="0.2">
      <c r="B5198" s="33" t="s">
        <v>6162</v>
      </c>
      <c r="C5198" s="33" t="s">
        <v>1051</v>
      </c>
      <c r="D5198" s="35">
        <f>SUMIFS(D5199:D9015,K5199:K9015,"0",B5199:B9015,"5 1 2 1 1 12 31111 6 M59 70000 000132 0000R 00001 00211 015*")-SUMIFS(E5199:E9015,K5199:K9015,"0",B5199:B9015,"5 1 2 1 1 12 31111 6 M59 70000 000132 0000R 00001 00211 015*")</f>
        <v>0</v>
      </c>
      <c r="E5198"/>
      <c r="F5198" s="35">
        <f>SUMIFS(F5199:F9015,K5199:K9015,"0",B5199:B9015,"5 1 2 1 1 12 31111 6 M59 70000 000132 0000R 00001 00211 015*")</f>
        <v>250</v>
      </c>
      <c r="G5198" s="35">
        <f>SUMIFS(G5199:G9015,K5199:K9015,"0",B5199:B9015,"5 1 2 1 1 12 31111 6 M59 70000 000132 0000R 00001 00211 015*")</f>
        <v>0</v>
      </c>
      <c r="H5198" s="35">
        <f t="shared" si="82"/>
        <v>250</v>
      </c>
      <c r="I5198" s="35"/>
      <c r="K5198" t="s">
        <v>15</v>
      </c>
    </row>
    <row r="5199" spans="2:11" ht="33" x14ac:dyDescent="0.2">
      <c r="B5199" s="33" t="s">
        <v>6163</v>
      </c>
      <c r="C5199" s="33" t="s">
        <v>5830</v>
      </c>
      <c r="D5199" s="35">
        <f>SUMIFS(D5200:D9015,K5200:K9015,"0",B5200:B9015,"5 1 2 1 1 12 31111 6 M59 70000 000132 0000R 00001 00211 015 2112000*")-SUMIFS(E5200:E9015,K5200:K9015,"0",B5200:B9015,"5 1 2 1 1 12 31111 6 M59 70000 000132 0000R 00001 00211 015 2112000*")</f>
        <v>0</v>
      </c>
      <c r="E5199"/>
      <c r="F5199" s="35">
        <f>SUMIFS(F5200:F9015,K5200:K9015,"0",B5200:B9015,"5 1 2 1 1 12 31111 6 M59 70000 000132 0000R 00001 00211 015 2112000*")</f>
        <v>250</v>
      </c>
      <c r="G5199" s="35">
        <f>SUMIFS(G5200:G9015,K5200:K9015,"0",B5200:B9015,"5 1 2 1 1 12 31111 6 M59 70000 000132 0000R 00001 00211 015 2112000*")</f>
        <v>0</v>
      </c>
      <c r="H5199" s="35">
        <f t="shared" si="82"/>
        <v>250</v>
      </c>
      <c r="I5199" s="35"/>
      <c r="K5199" t="s">
        <v>15</v>
      </c>
    </row>
    <row r="5200" spans="2:11" ht="33" x14ac:dyDescent="0.2">
      <c r="B5200" s="33" t="s">
        <v>6164</v>
      </c>
      <c r="C5200" s="33" t="s">
        <v>660</v>
      </c>
      <c r="D5200" s="35">
        <f>SUMIFS(D5201:D9015,K5201:K9015,"0",B5201:B9015,"5 1 2 1 1 12 31111 6 M59 70000 000132 0000R 00001 00211 015 2112000 2024*")-SUMIFS(E5201:E9015,K5201:K9015,"0",B5201:B9015,"5 1 2 1 1 12 31111 6 M59 70000 000132 0000R 00001 00211 015 2112000 2024*")</f>
        <v>0</v>
      </c>
      <c r="E5200"/>
      <c r="F5200" s="35">
        <f>SUMIFS(F5201:F9015,K5201:K9015,"0",B5201:B9015,"5 1 2 1 1 12 31111 6 M59 70000 000132 0000R 00001 00211 015 2112000 2024*")</f>
        <v>250</v>
      </c>
      <c r="G5200" s="35">
        <f>SUMIFS(G5201:G9015,K5201:K9015,"0",B5201:B9015,"5 1 2 1 1 12 31111 6 M59 70000 000132 0000R 00001 00211 015 2112000 2024*")</f>
        <v>0</v>
      </c>
      <c r="H5200" s="35">
        <f t="shared" si="82"/>
        <v>250</v>
      </c>
      <c r="I5200" s="35"/>
      <c r="K5200" t="s">
        <v>15</v>
      </c>
    </row>
    <row r="5201" spans="2:11" ht="41.25" x14ac:dyDescent="0.2">
      <c r="B5201" s="33" t="s">
        <v>6165</v>
      </c>
      <c r="C5201" s="33" t="s">
        <v>1056</v>
      </c>
      <c r="D5201" s="35">
        <f>SUMIFS(D5202:D9015,K5202:K9015,"0",B5202:B9015,"5 1 2 1 1 12 31111 6 M59 70000 000132 0000R 00001 00211 015 2112000 2024 CP1DS387*")-SUMIFS(E5202:E9015,K5202:K9015,"0",B5202:B9015,"5 1 2 1 1 12 31111 6 M59 70000 000132 0000R 00001 00211 015 2112000 2024 CP1DS387*")</f>
        <v>0</v>
      </c>
      <c r="E5201"/>
      <c r="F5201" s="35">
        <f>SUMIFS(F5202:F9015,K5202:K9015,"0",B5202:B9015,"5 1 2 1 1 12 31111 6 M59 70000 000132 0000R 00001 00211 015 2112000 2024 CP1DS387*")</f>
        <v>250</v>
      </c>
      <c r="G5201" s="35">
        <f>SUMIFS(G5202:G9015,K5202:K9015,"0",B5202:B9015,"5 1 2 1 1 12 31111 6 M59 70000 000132 0000R 00001 00211 015 2112000 2024 CP1DS387*")</f>
        <v>0</v>
      </c>
      <c r="H5201" s="35">
        <f t="shared" si="82"/>
        <v>250</v>
      </c>
      <c r="I5201" s="35"/>
      <c r="K5201" t="s">
        <v>15</v>
      </c>
    </row>
    <row r="5202" spans="2:11" ht="41.25" x14ac:dyDescent="0.2">
      <c r="B5202" s="33" t="s">
        <v>6166</v>
      </c>
      <c r="C5202" s="33" t="s">
        <v>282</v>
      </c>
      <c r="D5202" s="35">
        <f>SUMIFS(D5203:D9015,K5203:K9015,"0",B5203:B9015,"5 1 2 1 1 12 31111 6 M59 70000 000132 0000R 00001 00211 015 2112000 2024 CP1DS387 001*")-SUMIFS(E5203:E9015,K5203:K9015,"0",B5203:B9015,"5 1 2 1 1 12 31111 6 M59 70000 000132 0000R 00001 00211 015 2112000 2024 CP1DS387 001*")</f>
        <v>0</v>
      </c>
      <c r="E5202"/>
      <c r="F5202" s="35">
        <f>SUMIFS(F5203:F9015,K5203:K9015,"0",B5203:B9015,"5 1 2 1 1 12 31111 6 M59 70000 000132 0000R 00001 00211 015 2112000 2024 CP1DS387 001*")</f>
        <v>250</v>
      </c>
      <c r="G5202" s="35">
        <f>SUMIFS(G5203:G9015,K5203:K9015,"0",B5203:B9015,"5 1 2 1 1 12 31111 6 M59 70000 000132 0000R 00001 00211 015 2112000 2024 CP1DS387 001*")</f>
        <v>0</v>
      </c>
      <c r="H5202" s="35">
        <f t="shared" si="82"/>
        <v>250</v>
      </c>
      <c r="I5202" s="35"/>
      <c r="K5202" t="s">
        <v>15</v>
      </c>
    </row>
    <row r="5203" spans="2:11" ht="33" x14ac:dyDescent="0.2">
      <c r="B5203" s="31" t="s">
        <v>6167</v>
      </c>
      <c r="C5203" s="31" t="s">
        <v>5827</v>
      </c>
      <c r="D5203" s="34">
        <v>0</v>
      </c>
      <c r="E5203" s="34"/>
      <c r="F5203" s="34">
        <v>250</v>
      </c>
      <c r="G5203" s="34">
        <v>0</v>
      </c>
      <c r="H5203" s="34">
        <f t="shared" si="82"/>
        <v>250</v>
      </c>
      <c r="I5203" s="34"/>
      <c r="K5203" t="s">
        <v>38</v>
      </c>
    </row>
    <row r="5204" spans="2:11" ht="16.5" x14ac:dyDescent="0.2">
      <c r="B5204" s="33" t="s">
        <v>6168</v>
      </c>
      <c r="C5204" s="33" t="s">
        <v>3389</v>
      </c>
      <c r="D5204" s="35">
        <f>SUMIFS(D5205:D9015,K5205:K9015,"0",B5205:B9015,"5 1 2 1 1 12 31111 6 M59 70100*")-SUMIFS(E5205:E9015,K5205:K9015,"0",B5205:B9015,"5 1 2 1 1 12 31111 6 M59 70100*")</f>
        <v>0</v>
      </c>
      <c r="E5204"/>
      <c r="F5204" s="35">
        <f>SUMIFS(F5205:F9015,K5205:K9015,"0",B5205:B9015,"5 1 2 1 1 12 31111 6 M59 70100*")</f>
        <v>250</v>
      </c>
      <c r="G5204" s="35">
        <f>SUMIFS(G5205:G9015,K5205:K9015,"0",B5205:B9015,"5 1 2 1 1 12 31111 6 M59 70100*")</f>
        <v>0</v>
      </c>
      <c r="H5204" s="35">
        <f t="shared" si="82"/>
        <v>250</v>
      </c>
      <c r="I5204" s="35"/>
      <c r="K5204" t="s">
        <v>15</v>
      </c>
    </row>
    <row r="5205" spans="2:11" ht="16.5" x14ac:dyDescent="0.2">
      <c r="B5205" s="33" t="s">
        <v>6169</v>
      </c>
      <c r="C5205" s="33" t="s">
        <v>648</v>
      </c>
      <c r="D5205" s="35">
        <f>SUMIFS(D5206:D9015,K5206:K9015,"0",B5206:B9015,"5 1 2 1 1 12 31111 6 M59 70100 000132*")-SUMIFS(E5206:E9015,K5206:K9015,"0",B5206:B9015,"5 1 2 1 1 12 31111 6 M59 70100 000132*")</f>
        <v>0</v>
      </c>
      <c r="E5205"/>
      <c r="F5205" s="35">
        <f>SUMIFS(F5206:F9015,K5206:K9015,"0",B5206:B9015,"5 1 2 1 1 12 31111 6 M59 70100 000132*")</f>
        <v>250</v>
      </c>
      <c r="G5205" s="35">
        <f>SUMIFS(G5206:G9015,K5206:K9015,"0",B5206:B9015,"5 1 2 1 1 12 31111 6 M59 70100 000132*")</f>
        <v>0</v>
      </c>
      <c r="H5205" s="35">
        <f t="shared" si="82"/>
        <v>250</v>
      </c>
      <c r="I5205" s="35"/>
      <c r="K5205" t="s">
        <v>15</v>
      </c>
    </row>
    <row r="5206" spans="2:11" ht="16.5" x14ac:dyDescent="0.2">
      <c r="B5206" s="33" t="s">
        <v>6170</v>
      </c>
      <c r="C5206" s="33" t="s">
        <v>650</v>
      </c>
      <c r="D5206" s="35">
        <f>SUMIFS(D5207:D9015,K5207:K9015,"0",B5207:B9015,"5 1 2 1 1 12 31111 6 M59 70100 000132 0000R*")-SUMIFS(E5207:E9015,K5207:K9015,"0",B5207:B9015,"5 1 2 1 1 12 31111 6 M59 70100 000132 0000R*")</f>
        <v>0</v>
      </c>
      <c r="E5206"/>
      <c r="F5206" s="35">
        <f>SUMIFS(F5207:F9015,K5207:K9015,"0",B5207:B9015,"5 1 2 1 1 12 31111 6 M59 70100 000132 0000R*")</f>
        <v>250</v>
      </c>
      <c r="G5206" s="35">
        <f>SUMIFS(G5207:G9015,K5207:K9015,"0",B5207:B9015,"5 1 2 1 1 12 31111 6 M59 70100 000132 0000R*")</f>
        <v>0</v>
      </c>
      <c r="H5206" s="35">
        <f t="shared" si="82"/>
        <v>250</v>
      </c>
      <c r="I5206" s="35"/>
      <c r="K5206" t="s">
        <v>15</v>
      </c>
    </row>
    <row r="5207" spans="2:11" ht="24.75" x14ac:dyDescent="0.2">
      <c r="B5207" s="33" t="s">
        <v>6171</v>
      </c>
      <c r="C5207" s="33" t="s">
        <v>282</v>
      </c>
      <c r="D5207" s="35">
        <f>SUMIFS(D5208:D9015,K5208:K9015,"0",B5208:B9015,"5 1 2 1 1 12 31111 6 M59 70100 000132 0000R 00001*")-SUMIFS(E5208:E9015,K5208:K9015,"0",B5208:B9015,"5 1 2 1 1 12 31111 6 M59 70100 000132 0000R 00001*")</f>
        <v>0</v>
      </c>
      <c r="E5207"/>
      <c r="F5207" s="35">
        <f>SUMIFS(F5208:F9015,K5208:K9015,"0",B5208:B9015,"5 1 2 1 1 12 31111 6 M59 70100 000132 0000R 00001*")</f>
        <v>250</v>
      </c>
      <c r="G5207" s="35">
        <f>SUMIFS(G5208:G9015,K5208:K9015,"0",B5208:B9015,"5 1 2 1 1 12 31111 6 M59 70100 000132 0000R 00001*")</f>
        <v>0</v>
      </c>
      <c r="H5207" s="35">
        <f t="shared" si="82"/>
        <v>250</v>
      </c>
      <c r="I5207" s="35"/>
      <c r="K5207" t="s">
        <v>15</v>
      </c>
    </row>
    <row r="5208" spans="2:11" ht="24.75" x14ac:dyDescent="0.2">
      <c r="B5208" s="33" t="s">
        <v>6172</v>
      </c>
      <c r="C5208" s="33" t="s">
        <v>5827</v>
      </c>
      <c r="D5208" s="35">
        <f>SUMIFS(D5209:D9015,K5209:K9015,"0",B5209:B9015,"5 1 2 1 1 12 31111 6 M59 70100 000132 0000R 00001 00211*")-SUMIFS(E5209:E9015,K5209:K9015,"0",B5209:B9015,"5 1 2 1 1 12 31111 6 M59 70100 000132 0000R 00001 00211*")</f>
        <v>0</v>
      </c>
      <c r="E5208"/>
      <c r="F5208" s="35">
        <f>SUMIFS(F5209:F9015,K5209:K9015,"0",B5209:B9015,"5 1 2 1 1 12 31111 6 M59 70100 000132 0000R 00001 00211*")</f>
        <v>250</v>
      </c>
      <c r="G5208" s="35">
        <f>SUMIFS(G5209:G9015,K5209:K9015,"0",B5209:B9015,"5 1 2 1 1 12 31111 6 M59 70100 000132 0000R 00001 00211*")</f>
        <v>0</v>
      </c>
      <c r="H5208" s="35">
        <f t="shared" si="82"/>
        <v>250</v>
      </c>
      <c r="I5208" s="35"/>
      <c r="K5208" t="s">
        <v>15</v>
      </c>
    </row>
    <row r="5209" spans="2:11" ht="24.75" x14ac:dyDescent="0.2">
      <c r="B5209" s="33" t="s">
        <v>6173</v>
      </c>
      <c r="C5209" s="33" t="s">
        <v>1051</v>
      </c>
      <c r="D5209" s="35">
        <f>SUMIFS(D5210:D9015,K5210:K9015,"0",B5210:B9015,"5 1 2 1 1 12 31111 6 M59 70100 000132 0000R 00001 00211 015*")-SUMIFS(E5210:E9015,K5210:K9015,"0",B5210:B9015,"5 1 2 1 1 12 31111 6 M59 70100 000132 0000R 00001 00211 015*")</f>
        <v>0</v>
      </c>
      <c r="E5209"/>
      <c r="F5209" s="35">
        <f>SUMIFS(F5210:F9015,K5210:K9015,"0",B5210:B9015,"5 1 2 1 1 12 31111 6 M59 70100 000132 0000R 00001 00211 015*")</f>
        <v>250</v>
      </c>
      <c r="G5209" s="35">
        <f>SUMIFS(G5210:G9015,K5210:K9015,"0",B5210:B9015,"5 1 2 1 1 12 31111 6 M59 70100 000132 0000R 00001 00211 015*")</f>
        <v>0</v>
      </c>
      <c r="H5209" s="35">
        <f t="shared" si="82"/>
        <v>250</v>
      </c>
      <c r="I5209" s="35"/>
      <c r="K5209" t="s">
        <v>15</v>
      </c>
    </row>
    <row r="5210" spans="2:11" ht="33" x14ac:dyDescent="0.2">
      <c r="B5210" s="33" t="s">
        <v>6174</v>
      </c>
      <c r="C5210" s="33" t="s">
        <v>5830</v>
      </c>
      <c r="D5210" s="35">
        <f>SUMIFS(D5211:D9015,K5211:K9015,"0",B5211:B9015,"5 1 2 1 1 12 31111 6 M59 70100 000132 0000R 00001 00211 015 2112000*")-SUMIFS(E5211:E9015,K5211:K9015,"0",B5211:B9015,"5 1 2 1 1 12 31111 6 M59 70100 000132 0000R 00001 00211 015 2112000*")</f>
        <v>0</v>
      </c>
      <c r="E5210"/>
      <c r="F5210" s="35">
        <f>SUMIFS(F5211:F9015,K5211:K9015,"0",B5211:B9015,"5 1 2 1 1 12 31111 6 M59 70100 000132 0000R 00001 00211 015 2112000*")</f>
        <v>250</v>
      </c>
      <c r="G5210" s="35">
        <f>SUMIFS(G5211:G9015,K5211:K9015,"0",B5211:B9015,"5 1 2 1 1 12 31111 6 M59 70100 000132 0000R 00001 00211 015 2112000*")</f>
        <v>0</v>
      </c>
      <c r="H5210" s="35">
        <f t="shared" si="82"/>
        <v>250</v>
      </c>
      <c r="I5210" s="35"/>
      <c r="K5210" t="s">
        <v>15</v>
      </c>
    </row>
    <row r="5211" spans="2:11" ht="33" x14ac:dyDescent="0.2">
      <c r="B5211" s="33" t="s">
        <v>6175</v>
      </c>
      <c r="C5211" s="33" t="s">
        <v>660</v>
      </c>
      <c r="D5211" s="35">
        <f>SUMIFS(D5212:D9015,K5212:K9015,"0",B5212:B9015,"5 1 2 1 1 12 31111 6 M59 70100 000132 0000R 00001 00211 015 2112000 2024*")-SUMIFS(E5212:E9015,K5212:K9015,"0",B5212:B9015,"5 1 2 1 1 12 31111 6 M59 70100 000132 0000R 00001 00211 015 2112000 2024*")</f>
        <v>0</v>
      </c>
      <c r="E5211"/>
      <c r="F5211" s="35">
        <f>SUMIFS(F5212:F9015,K5212:K9015,"0",B5212:B9015,"5 1 2 1 1 12 31111 6 M59 70100 000132 0000R 00001 00211 015 2112000 2024*")</f>
        <v>250</v>
      </c>
      <c r="G5211" s="35">
        <f>SUMIFS(G5212:G9015,K5212:K9015,"0",B5212:B9015,"5 1 2 1 1 12 31111 6 M59 70100 000132 0000R 00001 00211 015 2112000 2024*")</f>
        <v>0</v>
      </c>
      <c r="H5211" s="35">
        <f t="shared" si="82"/>
        <v>250</v>
      </c>
      <c r="I5211" s="35"/>
      <c r="K5211" t="s">
        <v>15</v>
      </c>
    </row>
    <row r="5212" spans="2:11" ht="41.25" x14ac:dyDescent="0.2">
      <c r="B5212" s="33" t="s">
        <v>6176</v>
      </c>
      <c r="C5212" s="33" t="s">
        <v>1056</v>
      </c>
      <c r="D5212" s="35">
        <f>SUMIFS(D5213:D9015,K5213:K9015,"0",B5213:B9015,"5 1 2 1 1 12 31111 6 M59 70100 000132 0000R 00001 00211 015 2112000 2024 CP1MM393*")-SUMIFS(E5213:E9015,K5213:K9015,"0",B5213:B9015,"5 1 2 1 1 12 31111 6 M59 70100 000132 0000R 00001 00211 015 2112000 2024 CP1MM393*")</f>
        <v>0</v>
      </c>
      <c r="E5212"/>
      <c r="F5212" s="35">
        <f>SUMIFS(F5213:F9015,K5213:K9015,"0",B5213:B9015,"5 1 2 1 1 12 31111 6 M59 70100 000132 0000R 00001 00211 015 2112000 2024 CP1MM393*")</f>
        <v>250</v>
      </c>
      <c r="G5212" s="35">
        <f>SUMIFS(G5213:G9015,K5213:K9015,"0",B5213:B9015,"5 1 2 1 1 12 31111 6 M59 70100 000132 0000R 00001 00211 015 2112000 2024 CP1MM393*")</f>
        <v>0</v>
      </c>
      <c r="H5212" s="35">
        <f t="shared" si="82"/>
        <v>250</v>
      </c>
      <c r="I5212" s="35"/>
      <c r="K5212" t="s">
        <v>15</v>
      </c>
    </row>
    <row r="5213" spans="2:11" ht="41.25" x14ac:dyDescent="0.2">
      <c r="B5213" s="33" t="s">
        <v>6177</v>
      </c>
      <c r="C5213" s="33" t="s">
        <v>282</v>
      </c>
      <c r="D5213" s="35">
        <f>SUMIFS(D5214:D9015,K5214:K9015,"0",B5214:B9015,"5 1 2 1 1 12 31111 6 M59 70100 000132 0000R 00001 00211 015 2112000 2024 CP1MM393 001*")-SUMIFS(E5214:E9015,K5214:K9015,"0",B5214:B9015,"5 1 2 1 1 12 31111 6 M59 70100 000132 0000R 00001 00211 015 2112000 2024 CP1MM393 001*")</f>
        <v>0</v>
      </c>
      <c r="E5213"/>
      <c r="F5213" s="35">
        <f>SUMIFS(F5214:F9015,K5214:K9015,"0",B5214:B9015,"5 1 2 1 1 12 31111 6 M59 70100 000132 0000R 00001 00211 015 2112000 2024 CP1MM393 001*")</f>
        <v>250</v>
      </c>
      <c r="G5213" s="35">
        <f>SUMIFS(G5214:G9015,K5214:K9015,"0",B5214:B9015,"5 1 2 1 1 12 31111 6 M59 70100 000132 0000R 00001 00211 015 2112000 2024 CP1MM393 001*")</f>
        <v>0</v>
      </c>
      <c r="H5213" s="35">
        <f t="shared" si="82"/>
        <v>250</v>
      </c>
      <c r="I5213" s="35"/>
      <c r="K5213" t="s">
        <v>15</v>
      </c>
    </row>
    <row r="5214" spans="2:11" ht="33" x14ac:dyDescent="0.2">
      <c r="B5214" s="31" t="s">
        <v>6178</v>
      </c>
      <c r="C5214" s="31" t="s">
        <v>5827</v>
      </c>
      <c r="D5214" s="34">
        <v>0</v>
      </c>
      <c r="E5214" s="34"/>
      <c r="F5214" s="34">
        <v>250</v>
      </c>
      <c r="G5214" s="34">
        <v>0</v>
      </c>
      <c r="H5214" s="34">
        <f t="shared" si="82"/>
        <v>250</v>
      </c>
      <c r="I5214" s="34"/>
      <c r="K5214" t="s">
        <v>38</v>
      </c>
    </row>
    <row r="5215" spans="2:11" ht="16.5" x14ac:dyDescent="0.2">
      <c r="B5215" s="33" t="s">
        <v>6179</v>
      </c>
      <c r="C5215" s="33" t="s">
        <v>3401</v>
      </c>
      <c r="D5215" s="35">
        <f>SUMIFS(D5216:D9015,K5216:K9015,"0",B5216:B9015,"5 1 2 1 1 12 31111 6 M59 70200*")-SUMIFS(E5216:E9015,K5216:K9015,"0",B5216:B9015,"5 1 2 1 1 12 31111 6 M59 70200*")</f>
        <v>0</v>
      </c>
      <c r="E5215"/>
      <c r="F5215" s="35">
        <f>SUMIFS(F5216:F9015,K5216:K9015,"0",B5216:B9015,"5 1 2 1 1 12 31111 6 M59 70200*")</f>
        <v>250</v>
      </c>
      <c r="G5215" s="35">
        <f>SUMIFS(G5216:G9015,K5216:K9015,"0",B5216:B9015,"5 1 2 1 1 12 31111 6 M59 70200*")</f>
        <v>0</v>
      </c>
      <c r="H5215" s="35">
        <f t="shared" si="82"/>
        <v>250</v>
      </c>
      <c r="I5215" s="35"/>
      <c r="K5215" t="s">
        <v>15</v>
      </c>
    </row>
    <row r="5216" spans="2:11" ht="16.5" x14ac:dyDescent="0.2">
      <c r="B5216" s="33" t="s">
        <v>6180</v>
      </c>
      <c r="C5216" s="33" t="s">
        <v>648</v>
      </c>
      <c r="D5216" s="35">
        <f>SUMIFS(D5217:D9015,K5217:K9015,"0",B5217:B9015,"5 1 2 1 1 12 31111 6 M59 70200 000132*")-SUMIFS(E5217:E9015,K5217:K9015,"0",B5217:B9015,"5 1 2 1 1 12 31111 6 M59 70200 000132*")</f>
        <v>0</v>
      </c>
      <c r="E5216"/>
      <c r="F5216" s="35">
        <f>SUMIFS(F5217:F9015,K5217:K9015,"0",B5217:B9015,"5 1 2 1 1 12 31111 6 M59 70200 000132*")</f>
        <v>250</v>
      </c>
      <c r="G5216" s="35">
        <f>SUMIFS(G5217:G9015,K5217:K9015,"0",B5217:B9015,"5 1 2 1 1 12 31111 6 M59 70200 000132*")</f>
        <v>0</v>
      </c>
      <c r="H5216" s="35">
        <f t="shared" si="82"/>
        <v>250</v>
      </c>
      <c r="I5216" s="35"/>
      <c r="K5216" t="s">
        <v>15</v>
      </c>
    </row>
    <row r="5217" spans="2:11" ht="16.5" x14ac:dyDescent="0.2">
      <c r="B5217" s="33" t="s">
        <v>6181</v>
      </c>
      <c r="C5217" s="33" t="s">
        <v>650</v>
      </c>
      <c r="D5217" s="35">
        <f>SUMIFS(D5218:D9015,K5218:K9015,"0",B5218:B9015,"5 1 2 1 1 12 31111 6 M59 70200 000132 0000R*")-SUMIFS(E5218:E9015,K5218:K9015,"0",B5218:B9015,"5 1 2 1 1 12 31111 6 M59 70200 000132 0000R*")</f>
        <v>0</v>
      </c>
      <c r="E5217"/>
      <c r="F5217" s="35">
        <f>SUMIFS(F5218:F9015,K5218:K9015,"0",B5218:B9015,"5 1 2 1 1 12 31111 6 M59 70200 000132 0000R*")</f>
        <v>250</v>
      </c>
      <c r="G5217" s="35">
        <f>SUMIFS(G5218:G9015,K5218:K9015,"0",B5218:B9015,"5 1 2 1 1 12 31111 6 M59 70200 000132 0000R*")</f>
        <v>0</v>
      </c>
      <c r="H5217" s="35">
        <f t="shared" si="82"/>
        <v>250</v>
      </c>
      <c r="I5217" s="35"/>
      <c r="K5217" t="s">
        <v>15</v>
      </c>
    </row>
    <row r="5218" spans="2:11" ht="24.75" x14ac:dyDescent="0.2">
      <c r="B5218" s="33" t="s">
        <v>6182</v>
      </c>
      <c r="C5218" s="33" t="s">
        <v>282</v>
      </c>
      <c r="D5218" s="35">
        <f>SUMIFS(D5219:D9015,K5219:K9015,"0",B5219:B9015,"5 1 2 1 1 12 31111 6 M59 70200 000132 0000R 00001*")-SUMIFS(E5219:E9015,K5219:K9015,"0",B5219:B9015,"5 1 2 1 1 12 31111 6 M59 70200 000132 0000R 00001*")</f>
        <v>0</v>
      </c>
      <c r="E5218"/>
      <c r="F5218" s="35">
        <f>SUMIFS(F5219:F9015,K5219:K9015,"0",B5219:B9015,"5 1 2 1 1 12 31111 6 M59 70200 000132 0000R 00001*")</f>
        <v>250</v>
      </c>
      <c r="G5218" s="35">
        <f>SUMIFS(G5219:G9015,K5219:K9015,"0",B5219:B9015,"5 1 2 1 1 12 31111 6 M59 70200 000132 0000R 00001*")</f>
        <v>0</v>
      </c>
      <c r="H5218" s="35">
        <f t="shared" si="82"/>
        <v>250</v>
      </c>
      <c r="I5218" s="35"/>
      <c r="K5218" t="s">
        <v>15</v>
      </c>
    </row>
    <row r="5219" spans="2:11" ht="24.75" x14ac:dyDescent="0.2">
      <c r="B5219" s="33" t="s">
        <v>6183</v>
      </c>
      <c r="C5219" s="33" t="s">
        <v>5827</v>
      </c>
      <c r="D5219" s="35">
        <f>SUMIFS(D5220:D9015,K5220:K9015,"0",B5220:B9015,"5 1 2 1 1 12 31111 6 M59 70200 000132 0000R 00001 00211*")-SUMIFS(E5220:E9015,K5220:K9015,"0",B5220:B9015,"5 1 2 1 1 12 31111 6 M59 70200 000132 0000R 00001 00211*")</f>
        <v>0</v>
      </c>
      <c r="E5219"/>
      <c r="F5219" s="35">
        <f>SUMIFS(F5220:F9015,K5220:K9015,"0",B5220:B9015,"5 1 2 1 1 12 31111 6 M59 70200 000132 0000R 00001 00211*")</f>
        <v>250</v>
      </c>
      <c r="G5219" s="35">
        <f>SUMIFS(G5220:G9015,K5220:K9015,"0",B5220:B9015,"5 1 2 1 1 12 31111 6 M59 70200 000132 0000R 00001 00211*")</f>
        <v>0</v>
      </c>
      <c r="H5219" s="35">
        <f t="shared" si="82"/>
        <v>250</v>
      </c>
      <c r="I5219" s="35"/>
      <c r="K5219" t="s">
        <v>15</v>
      </c>
    </row>
    <row r="5220" spans="2:11" ht="24.75" x14ac:dyDescent="0.2">
      <c r="B5220" s="33" t="s">
        <v>6184</v>
      </c>
      <c r="C5220" s="33" t="s">
        <v>1051</v>
      </c>
      <c r="D5220" s="35">
        <f>SUMIFS(D5221:D9015,K5221:K9015,"0",B5221:B9015,"5 1 2 1 1 12 31111 6 M59 70200 000132 0000R 00001 00211 015*")-SUMIFS(E5221:E9015,K5221:K9015,"0",B5221:B9015,"5 1 2 1 1 12 31111 6 M59 70200 000132 0000R 00001 00211 015*")</f>
        <v>0</v>
      </c>
      <c r="E5220"/>
      <c r="F5220" s="35">
        <f>SUMIFS(F5221:F9015,K5221:K9015,"0",B5221:B9015,"5 1 2 1 1 12 31111 6 M59 70200 000132 0000R 00001 00211 015*")</f>
        <v>250</v>
      </c>
      <c r="G5220" s="35">
        <f>SUMIFS(G5221:G9015,K5221:K9015,"0",B5221:B9015,"5 1 2 1 1 12 31111 6 M59 70200 000132 0000R 00001 00211 015*")</f>
        <v>0</v>
      </c>
      <c r="H5220" s="35">
        <f t="shared" si="82"/>
        <v>250</v>
      </c>
      <c r="I5220" s="35"/>
      <c r="K5220" t="s">
        <v>15</v>
      </c>
    </row>
    <row r="5221" spans="2:11" ht="33" x14ac:dyDescent="0.2">
      <c r="B5221" s="33" t="s">
        <v>6185</v>
      </c>
      <c r="C5221" s="33" t="s">
        <v>5830</v>
      </c>
      <c r="D5221" s="35">
        <f>SUMIFS(D5222:D9015,K5222:K9015,"0",B5222:B9015,"5 1 2 1 1 12 31111 6 M59 70200 000132 0000R 00001 00211 015 2112000*")-SUMIFS(E5222:E9015,K5222:K9015,"0",B5222:B9015,"5 1 2 1 1 12 31111 6 M59 70200 000132 0000R 00001 00211 015 2112000*")</f>
        <v>0</v>
      </c>
      <c r="E5221"/>
      <c r="F5221" s="35">
        <f>SUMIFS(F5222:F9015,K5222:K9015,"0",B5222:B9015,"5 1 2 1 1 12 31111 6 M59 70200 000132 0000R 00001 00211 015 2112000*")</f>
        <v>250</v>
      </c>
      <c r="G5221" s="35">
        <f>SUMIFS(G5222:G9015,K5222:K9015,"0",B5222:B9015,"5 1 2 1 1 12 31111 6 M59 70200 000132 0000R 00001 00211 015 2112000*")</f>
        <v>0</v>
      </c>
      <c r="H5221" s="35">
        <f t="shared" si="82"/>
        <v>250</v>
      </c>
      <c r="I5221" s="35"/>
      <c r="K5221" t="s">
        <v>15</v>
      </c>
    </row>
    <row r="5222" spans="2:11" ht="33" x14ac:dyDescent="0.2">
      <c r="B5222" s="33" t="s">
        <v>6186</v>
      </c>
      <c r="C5222" s="33" t="s">
        <v>660</v>
      </c>
      <c r="D5222" s="35">
        <f>SUMIFS(D5223:D9015,K5223:K9015,"0",B5223:B9015,"5 1 2 1 1 12 31111 6 M59 70200 000132 0000R 00001 00211 015 2112000 2024*")-SUMIFS(E5223:E9015,K5223:K9015,"0",B5223:B9015,"5 1 2 1 1 12 31111 6 M59 70200 000132 0000R 00001 00211 015 2112000 2024*")</f>
        <v>0</v>
      </c>
      <c r="E5222"/>
      <c r="F5222" s="35">
        <f>SUMIFS(F5223:F9015,K5223:K9015,"0",B5223:B9015,"5 1 2 1 1 12 31111 6 M59 70200 000132 0000R 00001 00211 015 2112000 2024*")</f>
        <v>250</v>
      </c>
      <c r="G5222" s="35">
        <f>SUMIFS(G5223:G9015,K5223:K9015,"0",B5223:B9015,"5 1 2 1 1 12 31111 6 M59 70200 000132 0000R 00001 00211 015 2112000 2024*")</f>
        <v>0</v>
      </c>
      <c r="H5222" s="35">
        <f t="shared" si="82"/>
        <v>250</v>
      </c>
      <c r="I5222" s="35"/>
      <c r="K5222" t="s">
        <v>15</v>
      </c>
    </row>
    <row r="5223" spans="2:11" ht="41.25" x14ac:dyDescent="0.2">
      <c r="B5223" s="33" t="s">
        <v>6187</v>
      </c>
      <c r="C5223" s="33" t="s">
        <v>1056</v>
      </c>
      <c r="D5223" s="35">
        <f>SUMIFS(D5224:D9015,K5224:K9015,"0",B5224:B9015,"5 1 2 1 1 12 31111 6 M59 70200 000132 0000R 00001 00211 015 2112000 2024 CP1SE410*")-SUMIFS(E5224:E9015,K5224:K9015,"0",B5224:B9015,"5 1 2 1 1 12 31111 6 M59 70200 000132 0000R 00001 00211 015 2112000 2024 CP1SE410*")</f>
        <v>0</v>
      </c>
      <c r="E5223"/>
      <c r="F5223" s="35">
        <f>SUMIFS(F5224:F9015,K5224:K9015,"0",B5224:B9015,"5 1 2 1 1 12 31111 6 M59 70200 000132 0000R 00001 00211 015 2112000 2024 CP1SE410*")</f>
        <v>250</v>
      </c>
      <c r="G5223" s="35">
        <f>SUMIFS(G5224:G9015,K5224:K9015,"0",B5224:B9015,"5 1 2 1 1 12 31111 6 M59 70200 000132 0000R 00001 00211 015 2112000 2024 CP1SE410*")</f>
        <v>0</v>
      </c>
      <c r="H5223" s="35">
        <f t="shared" si="82"/>
        <v>250</v>
      </c>
      <c r="I5223" s="35"/>
      <c r="K5223" t="s">
        <v>15</v>
      </c>
    </row>
    <row r="5224" spans="2:11" ht="41.25" x14ac:dyDescent="0.2">
      <c r="B5224" s="33" t="s">
        <v>6188</v>
      </c>
      <c r="C5224" s="33" t="s">
        <v>282</v>
      </c>
      <c r="D5224" s="35">
        <f>SUMIFS(D5225:D9015,K5225:K9015,"0",B5225:B9015,"5 1 2 1 1 12 31111 6 M59 70200 000132 0000R 00001 00211 015 2112000 2024 CP1SE410 001*")-SUMIFS(E5225:E9015,K5225:K9015,"0",B5225:B9015,"5 1 2 1 1 12 31111 6 M59 70200 000132 0000R 00001 00211 015 2112000 2024 CP1SE410 001*")</f>
        <v>0</v>
      </c>
      <c r="E5224"/>
      <c r="F5224" s="35">
        <f>SUMIFS(F5225:F9015,K5225:K9015,"0",B5225:B9015,"5 1 2 1 1 12 31111 6 M59 70200 000132 0000R 00001 00211 015 2112000 2024 CP1SE410 001*")</f>
        <v>250</v>
      </c>
      <c r="G5224" s="35">
        <f>SUMIFS(G5225:G9015,K5225:K9015,"0",B5225:B9015,"5 1 2 1 1 12 31111 6 M59 70200 000132 0000R 00001 00211 015 2112000 2024 CP1SE410 001*")</f>
        <v>0</v>
      </c>
      <c r="H5224" s="35">
        <f t="shared" si="82"/>
        <v>250</v>
      </c>
      <c r="I5224" s="35"/>
      <c r="K5224" t="s">
        <v>15</v>
      </c>
    </row>
    <row r="5225" spans="2:11" ht="33" x14ac:dyDescent="0.2">
      <c r="B5225" s="31" t="s">
        <v>6189</v>
      </c>
      <c r="C5225" s="31" t="s">
        <v>5827</v>
      </c>
      <c r="D5225" s="34">
        <v>0</v>
      </c>
      <c r="E5225" s="34"/>
      <c r="F5225" s="34">
        <v>250</v>
      </c>
      <c r="G5225" s="34">
        <v>0</v>
      </c>
      <c r="H5225" s="34">
        <f t="shared" si="82"/>
        <v>250</v>
      </c>
      <c r="I5225" s="34"/>
      <c r="K5225" t="s">
        <v>38</v>
      </c>
    </row>
    <row r="5226" spans="2:11" ht="16.5" x14ac:dyDescent="0.2">
      <c r="B5226" s="33" t="s">
        <v>6190</v>
      </c>
      <c r="C5226" s="33" t="s">
        <v>3413</v>
      </c>
      <c r="D5226" s="35">
        <f>SUMIFS(D5227:D9015,K5227:K9015,"0",B5227:B9015,"5 1 2 1 1 12 31111 6 M59 70300*")-SUMIFS(E5227:E9015,K5227:K9015,"0",B5227:B9015,"5 1 2 1 1 12 31111 6 M59 70300*")</f>
        <v>0</v>
      </c>
      <c r="E5226"/>
      <c r="F5226" s="35">
        <f>SUMIFS(F5227:F9015,K5227:K9015,"0",B5227:B9015,"5 1 2 1 1 12 31111 6 M59 70300*")</f>
        <v>250</v>
      </c>
      <c r="G5226" s="35">
        <f>SUMIFS(G5227:G9015,K5227:K9015,"0",B5227:B9015,"5 1 2 1 1 12 31111 6 M59 70300*")</f>
        <v>0</v>
      </c>
      <c r="H5226" s="35">
        <f t="shared" si="82"/>
        <v>250</v>
      </c>
      <c r="I5226" s="35"/>
      <c r="K5226" t="s">
        <v>15</v>
      </c>
    </row>
    <row r="5227" spans="2:11" ht="16.5" x14ac:dyDescent="0.2">
      <c r="B5227" s="33" t="s">
        <v>6191</v>
      </c>
      <c r="C5227" s="33" t="s">
        <v>648</v>
      </c>
      <c r="D5227" s="35">
        <f>SUMIFS(D5228:D9015,K5228:K9015,"0",B5228:B9015,"5 1 2 1 1 12 31111 6 M59 70300 000132*")-SUMIFS(E5228:E9015,K5228:K9015,"0",B5228:B9015,"5 1 2 1 1 12 31111 6 M59 70300 000132*")</f>
        <v>0</v>
      </c>
      <c r="E5227"/>
      <c r="F5227" s="35">
        <f>SUMIFS(F5228:F9015,K5228:K9015,"0",B5228:B9015,"5 1 2 1 1 12 31111 6 M59 70300 000132*")</f>
        <v>250</v>
      </c>
      <c r="G5227" s="35">
        <f>SUMIFS(G5228:G9015,K5228:K9015,"0",B5228:B9015,"5 1 2 1 1 12 31111 6 M59 70300 000132*")</f>
        <v>0</v>
      </c>
      <c r="H5227" s="35">
        <f t="shared" si="82"/>
        <v>250</v>
      </c>
      <c r="I5227" s="35"/>
      <c r="K5227" t="s">
        <v>15</v>
      </c>
    </row>
    <row r="5228" spans="2:11" ht="16.5" x14ac:dyDescent="0.2">
      <c r="B5228" s="33" t="s">
        <v>6192</v>
      </c>
      <c r="C5228" s="33" t="s">
        <v>650</v>
      </c>
      <c r="D5228" s="35">
        <f>SUMIFS(D5229:D9015,K5229:K9015,"0",B5229:B9015,"5 1 2 1 1 12 31111 6 M59 70300 000132 0000R*")-SUMIFS(E5229:E9015,K5229:K9015,"0",B5229:B9015,"5 1 2 1 1 12 31111 6 M59 70300 000132 0000R*")</f>
        <v>0</v>
      </c>
      <c r="E5228"/>
      <c r="F5228" s="35">
        <f>SUMIFS(F5229:F9015,K5229:K9015,"0",B5229:B9015,"5 1 2 1 1 12 31111 6 M59 70300 000132 0000R*")</f>
        <v>250</v>
      </c>
      <c r="G5228" s="35">
        <f>SUMIFS(G5229:G9015,K5229:K9015,"0",B5229:B9015,"5 1 2 1 1 12 31111 6 M59 70300 000132 0000R*")</f>
        <v>0</v>
      </c>
      <c r="H5228" s="35">
        <f t="shared" si="82"/>
        <v>250</v>
      </c>
      <c r="I5228" s="35"/>
      <c r="K5228" t="s">
        <v>15</v>
      </c>
    </row>
    <row r="5229" spans="2:11" ht="24.75" x14ac:dyDescent="0.2">
      <c r="B5229" s="33" t="s">
        <v>6193</v>
      </c>
      <c r="C5229" s="33" t="s">
        <v>282</v>
      </c>
      <c r="D5229" s="35">
        <f>SUMIFS(D5230:D9015,K5230:K9015,"0",B5230:B9015,"5 1 2 1 1 12 31111 6 M59 70300 000132 0000R 00001*")-SUMIFS(E5230:E9015,K5230:K9015,"0",B5230:B9015,"5 1 2 1 1 12 31111 6 M59 70300 000132 0000R 00001*")</f>
        <v>0</v>
      </c>
      <c r="E5229"/>
      <c r="F5229" s="35">
        <f>SUMIFS(F5230:F9015,K5230:K9015,"0",B5230:B9015,"5 1 2 1 1 12 31111 6 M59 70300 000132 0000R 00001*")</f>
        <v>250</v>
      </c>
      <c r="G5229" s="35">
        <f>SUMIFS(G5230:G9015,K5230:K9015,"0",B5230:B9015,"5 1 2 1 1 12 31111 6 M59 70300 000132 0000R 00001*")</f>
        <v>0</v>
      </c>
      <c r="H5229" s="35">
        <f t="shared" si="82"/>
        <v>250</v>
      </c>
      <c r="I5229" s="35"/>
      <c r="K5229" t="s">
        <v>15</v>
      </c>
    </row>
    <row r="5230" spans="2:11" ht="24.75" x14ac:dyDescent="0.2">
      <c r="B5230" s="33" t="s">
        <v>6194</v>
      </c>
      <c r="C5230" s="33" t="s">
        <v>5827</v>
      </c>
      <c r="D5230" s="35">
        <f>SUMIFS(D5231:D9015,K5231:K9015,"0",B5231:B9015,"5 1 2 1 1 12 31111 6 M59 70300 000132 0000R 00001 00211*")-SUMIFS(E5231:E9015,K5231:K9015,"0",B5231:B9015,"5 1 2 1 1 12 31111 6 M59 70300 000132 0000R 00001 00211*")</f>
        <v>0</v>
      </c>
      <c r="E5230"/>
      <c r="F5230" s="35">
        <f>SUMIFS(F5231:F9015,K5231:K9015,"0",B5231:B9015,"5 1 2 1 1 12 31111 6 M59 70300 000132 0000R 00001 00211*")</f>
        <v>250</v>
      </c>
      <c r="G5230" s="35">
        <f>SUMIFS(G5231:G9015,K5231:K9015,"0",B5231:B9015,"5 1 2 1 1 12 31111 6 M59 70300 000132 0000R 00001 00211*")</f>
        <v>0</v>
      </c>
      <c r="H5230" s="35">
        <f t="shared" si="82"/>
        <v>250</v>
      </c>
      <c r="I5230" s="35"/>
      <c r="K5230" t="s">
        <v>15</v>
      </c>
    </row>
    <row r="5231" spans="2:11" ht="24.75" x14ac:dyDescent="0.2">
      <c r="B5231" s="33" t="s">
        <v>6195</v>
      </c>
      <c r="C5231" s="33" t="s">
        <v>1051</v>
      </c>
      <c r="D5231" s="35">
        <f>SUMIFS(D5232:D9015,K5232:K9015,"0",B5232:B9015,"5 1 2 1 1 12 31111 6 M59 70300 000132 0000R 00001 00211 015*")-SUMIFS(E5232:E9015,K5232:K9015,"0",B5232:B9015,"5 1 2 1 1 12 31111 6 M59 70300 000132 0000R 00001 00211 015*")</f>
        <v>0</v>
      </c>
      <c r="E5231"/>
      <c r="F5231" s="35">
        <f>SUMIFS(F5232:F9015,K5232:K9015,"0",B5232:B9015,"5 1 2 1 1 12 31111 6 M59 70300 000132 0000R 00001 00211 015*")</f>
        <v>250</v>
      </c>
      <c r="G5231" s="35">
        <f>SUMIFS(G5232:G9015,K5232:K9015,"0",B5232:B9015,"5 1 2 1 1 12 31111 6 M59 70300 000132 0000R 00001 00211 015*")</f>
        <v>0</v>
      </c>
      <c r="H5231" s="35">
        <f t="shared" si="82"/>
        <v>250</v>
      </c>
      <c r="I5231" s="35"/>
      <c r="K5231" t="s">
        <v>15</v>
      </c>
    </row>
    <row r="5232" spans="2:11" ht="33" x14ac:dyDescent="0.2">
      <c r="B5232" s="33" t="s">
        <v>6196</v>
      </c>
      <c r="C5232" s="33" t="s">
        <v>5830</v>
      </c>
      <c r="D5232" s="35">
        <f>SUMIFS(D5233:D9015,K5233:K9015,"0",B5233:B9015,"5 1 2 1 1 12 31111 6 M59 70300 000132 0000R 00001 00211 015 2112000*")-SUMIFS(E5233:E9015,K5233:K9015,"0",B5233:B9015,"5 1 2 1 1 12 31111 6 M59 70300 000132 0000R 00001 00211 015 2112000*")</f>
        <v>0</v>
      </c>
      <c r="E5232"/>
      <c r="F5232" s="35">
        <f>SUMIFS(F5233:F9015,K5233:K9015,"0",B5233:B9015,"5 1 2 1 1 12 31111 6 M59 70300 000132 0000R 00001 00211 015 2112000*")</f>
        <v>250</v>
      </c>
      <c r="G5232" s="35">
        <f>SUMIFS(G5233:G9015,K5233:K9015,"0",B5233:B9015,"5 1 2 1 1 12 31111 6 M59 70300 000132 0000R 00001 00211 015 2112000*")</f>
        <v>0</v>
      </c>
      <c r="H5232" s="35">
        <f t="shared" si="82"/>
        <v>250</v>
      </c>
      <c r="I5232" s="35"/>
      <c r="K5232" t="s">
        <v>15</v>
      </c>
    </row>
    <row r="5233" spans="2:11" ht="33" x14ac:dyDescent="0.2">
      <c r="B5233" s="33" t="s">
        <v>6197</v>
      </c>
      <c r="C5233" s="33" t="s">
        <v>660</v>
      </c>
      <c r="D5233" s="35">
        <f>SUMIFS(D5234:D9015,K5234:K9015,"0",B5234:B9015,"5 1 2 1 1 12 31111 6 M59 70300 000132 0000R 00001 00211 015 2112000 2024*")-SUMIFS(E5234:E9015,K5234:K9015,"0",B5234:B9015,"5 1 2 1 1 12 31111 6 M59 70300 000132 0000R 00001 00211 015 2112000 2024*")</f>
        <v>0</v>
      </c>
      <c r="E5233"/>
      <c r="F5233" s="35">
        <f>SUMIFS(F5234:F9015,K5234:K9015,"0",B5234:B9015,"5 1 2 1 1 12 31111 6 M59 70300 000132 0000R 00001 00211 015 2112000 2024*")</f>
        <v>250</v>
      </c>
      <c r="G5233" s="35">
        <f>SUMIFS(G5234:G9015,K5234:K9015,"0",B5234:B9015,"5 1 2 1 1 12 31111 6 M59 70300 000132 0000R 00001 00211 015 2112000 2024*")</f>
        <v>0</v>
      </c>
      <c r="H5233" s="35">
        <f t="shared" si="82"/>
        <v>250</v>
      </c>
      <c r="I5233" s="35"/>
      <c r="K5233" t="s">
        <v>15</v>
      </c>
    </row>
    <row r="5234" spans="2:11" ht="41.25" x14ac:dyDescent="0.2">
      <c r="B5234" s="33" t="s">
        <v>6198</v>
      </c>
      <c r="C5234" s="33" t="s">
        <v>1056</v>
      </c>
      <c r="D5234" s="35">
        <f>SUMIFS(D5235:D9015,K5235:K9015,"0",B5235:B9015,"5 1 2 1 1 12 31111 6 M59 70300 000132 0000R 00001 00211 015 2112000 2024 CP1CU419*")-SUMIFS(E5235:E9015,K5235:K9015,"0",B5235:B9015,"5 1 2 1 1 12 31111 6 M59 70300 000132 0000R 00001 00211 015 2112000 2024 CP1CU419*")</f>
        <v>0</v>
      </c>
      <c r="E5234"/>
      <c r="F5234" s="35">
        <f>SUMIFS(F5235:F9015,K5235:K9015,"0",B5235:B9015,"5 1 2 1 1 12 31111 6 M59 70300 000132 0000R 00001 00211 015 2112000 2024 CP1CU419*")</f>
        <v>250</v>
      </c>
      <c r="G5234" s="35">
        <f>SUMIFS(G5235:G9015,K5235:K9015,"0",B5235:B9015,"5 1 2 1 1 12 31111 6 M59 70300 000132 0000R 00001 00211 015 2112000 2024 CP1CU419*")</f>
        <v>0</v>
      </c>
      <c r="H5234" s="35">
        <f t="shared" si="82"/>
        <v>250</v>
      </c>
      <c r="I5234" s="35"/>
      <c r="K5234" t="s">
        <v>15</v>
      </c>
    </row>
    <row r="5235" spans="2:11" ht="41.25" x14ac:dyDescent="0.2">
      <c r="B5235" s="33" t="s">
        <v>6199</v>
      </c>
      <c r="C5235" s="33" t="s">
        <v>282</v>
      </c>
      <c r="D5235" s="35">
        <f>SUMIFS(D5236:D9015,K5236:K9015,"0",B5236:B9015,"5 1 2 1 1 12 31111 6 M59 70300 000132 0000R 00001 00211 015 2112000 2024 CP1CU419 001*")-SUMIFS(E5236:E9015,K5236:K9015,"0",B5236:B9015,"5 1 2 1 1 12 31111 6 M59 70300 000132 0000R 00001 00211 015 2112000 2024 CP1CU419 001*")</f>
        <v>0</v>
      </c>
      <c r="E5235"/>
      <c r="F5235" s="35">
        <f>SUMIFS(F5236:F9015,K5236:K9015,"0",B5236:B9015,"5 1 2 1 1 12 31111 6 M59 70300 000132 0000R 00001 00211 015 2112000 2024 CP1CU419 001*")</f>
        <v>250</v>
      </c>
      <c r="G5235" s="35">
        <f>SUMIFS(G5236:G9015,K5236:K9015,"0",B5236:B9015,"5 1 2 1 1 12 31111 6 M59 70300 000132 0000R 00001 00211 015 2112000 2024 CP1CU419 001*")</f>
        <v>0</v>
      </c>
      <c r="H5235" s="35">
        <f t="shared" si="82"/>
        <v>250</v>
      </c>
      <c r="I5235" s="35"/>
      <c r="K5235" t="s">
        <v>15</v>
      </c>
    </row>
    <row r="5236" spans="2:11" ht="33" x14ac:dyDescent="0.2">
      <c r="B5236" s="31" t="s">
        <v>6200</v>
      </c>
      <c r="C5236" s="31" t="s">
        <v>5827</v>
      </c>
      <c r="D5236" s="34">
        <v>0</v>
      </c>
      <c r="E5236" s="34"/>
      <c r="F5236" s="34">
        <v>250</v>
      </c>
      <c r="G5236" s="34">
        <v>0</v>
      </c>
      <c r="H5236" s="34">
        <f t="shared" si="82"/>
        <v>250</v>
      </c>
      <c r="I5236" s="34"/>
      <c r="K5236" t="s">
        <v>38</v>
      </c>
    </row>
    <row r="5237" spans="2:11" ht="16.5" x14ac:dyDescent="0.2">
      <c r="B5237" s="33" t="s">
        <v>6201</v>
      </c>
      <c r="C5237" s="33" t="s">
        <v>3425</v>
      </c>
      <c r="D5237" s="35">
        <f>SUMIFS(D5238:D9015,K5238:K9015,"0",B5238:B9015,"5 1 2 1 1 12 31111 6 M59 70400*")-SUMIFS(E5238:E9015,K5238:K9015,"0",B5238:B9015,"5 1 2 1 1 12 31111 6 M59 70400*")</f>
        <v>0</v>
      </c>
      <c r="E5237"/>
      <c r="F5237" s="35">
        <f>SUMIFS(F5238:F9015,K5238:K9015,"0",B5238:B9015,"5 1 2 1 1 12 31111 6 M59 70400*")</f>
        <v>250</v>
      </c>
      <c r="G5237" s="35">
        <f>SUMIFS(G5238:G9015,K5238:K9015,"0",B5238:B9015,"5 1 2 1 1 12 31111 6 M59 70400*")</f>
        <v>0</v>
      </c>
      <c r="H5237" s="35">
        <f t="shared" si="82"/>
        <v>250</v>
      </c>
      <c r="I5237" s="35"/>
      <c r="K5237" t="s">
        <v>15</v>
      </c>
    </row>
    <row r="5238" spans="2:11" ht="16.5" x14ac:dyDescent="0.2">
      <c r="B5238" s="33" t="s">
        <v>6202</v>
      </c>
      <c r="C5238" s="33" t="s">
        <v>3427</v>
      </c>
      <c r="D5238" s="35">
        <f>SUMIFS(D5239:D9015,K5239:K9015,"0",B5239:B9015,"5 1 2 1 1 12 31111 6 M59 70400 000241*")-SUMIFS(E5239:E9015,K5239:K9015,"0",B5239:B9015,"5 1 2 1 1 12 31111 6 M59 70400 000241*")</f>
        <v>0</v>
      </c>
      <c r="E5238"/>
      <c r="F5238" s="35">
        <f>SUMIFS(F5239:F9015,K5239:K9015,"0",B5239:B9015,"5 1 2 1 1 12 31111 6 M59 70400 000241*")</f>
        <v>250</v>
      </c>
      <c r="G5238" s="35">
        <f>SUMIFS(G5239:G9015,K5239:K9015,"0",B5239:B9015,"5 1 2 1 1 12 31111 6 M59 70400 000241*")</f>
        <v>0</v>
      </c>
      <c r="H5238" s="35">
        <f t="shared" si="82"/>
        <v>250</v>
      </c>
      <c r="I5238" s="35"/>
      <c r="K5238" t="s">
        <v>15</v>
      </c>
    </row>
    <row r="5239" spans="2:11" ht="16.5" x14ac:dyDescent="0.2">
      <c r="B5239" s="33" t="s">
        <v>6203</v>
      </c>
      <c r="C5239" s="33" t="s">
        <v>650</v>
      </c>
      <c r="D5239" s="35">
        <f>SUMIFS(D5240:D9015,K5240:K9015,"0",B5240:B9015,"5 1 2 1 1 12 31111 6 M59 70400 000241 0000R*")-SUMIFS(E5240:E9015,K5240:K9015,"0",B5240:B9015,"5 1 2 1 1 12 31111 6 M59 70400 000241 0000R*")</f>
        <v>0</v>
      </c>
      <c r="E5239"/>
      <c r="F5239" s="35">
        <f>SUMIFS(F5240:F9015,K5240:K9015,"0",B5240:B9015,"5 1 2 1 1 12 31111 6 M59 70400 000241 0000R*")</f>
        <v>250</v>
      </c>
      <c r="G5239" s="35">
        <f>SUMIFS(G5240:G9015,K5240:K9015,"0",B5240:B9015,"5 1 2 1 1 12 31111 6 M59 70400 000241 0000R*")</f>
        <v>0</v>
      </c>
      <c r="H5239" s="35">
        <f t="shared" si="82"/>
        <v>250</v>
      </c>
      <c r="I5239" s="35"/>
      <c r="K5239" t="s">
        <v>15</v>
      </c>
    </row>
    <row r="5240" spans="2:11" ht="24.75" x14ac:dyDescent="0.2">
      <c r="B5240" s="33" t="s">
        <v>6204</v>
      </c>
      <c r="C5240" s="33" t="s">
        <v>282</v>
      </c>
      <c r="D5240" s="35">
        <f>SUMIFS(D5241:D9015,K5241:K9015,"0",B5241:B9015,"5 1 2 1 1 12 31111 6 M59 70400 000241 0000R 00001*")-SUMIFS(E5241:E9015,K5241:K9015,"0",B5241:B9015,"5 1 2 1 1 12 31111 6 M59 70400 000241 0000R 00001*")</f>
        <v>0</v>
      </c>
      <c r="E5240"/>
      <c r="F5240" s="35">
        <f>SUMIFS(F5241:F9015,K5241:K9015,"0",B5241:B9015,"5 1 2 1 1 12 31111 6 M59 70400 000241 0000R 00001*")</f>
        <v>250</v>
      </c>
      <c r="G5240" s="35">
        <f>SUMIFS(G5241:G9015,K5241:K9015,"0",B5241:B9015,"5 1 2 1 1 12 31111 6 M59 70400 000241 0000R 00001*")</f>
        <v>0</v>
      </c>
      <c r="H5240" s="35">
        <f t="shared" si="82"/>
        <v>250</v>
      </c>
      <c r="I5240" s="35"/>
      <c r="K5240" t="s">
        <v>15</v>
      </c>
    </row>
    <row r="5241" spans="2:11" ht="24.75" x14ac:dyDescent="0.2">
      <c r="B5241" s="33" t="s">
        <v>6205</v>
      </c>
      <c r="C5241" s="33" t="s">
        <v>5827</v>
      </c>
      <c r="D5241" s="35">
        <f>SUMIFS(D5242:D9015,K5242:K9015,"0",B5242:B9015,"5 1 2 1 1 12 31111 6 M59 70400 000241 0000R 00001 00211*")-SUMIFS(E5242:E9015,K5242:K9015,"0",B5242:B9015,"5 1 2 1 1 12 31111 6 M59 70400 000241 0000R 00001 00211*")</f>
        <v>0</v>
      </c>
      <c r="E5241"/>
      <c r="F5241" s="35">
        <f>SUMIFS(F5242:F9015,K5242:K9015,"0",B5242:B9015,"5 1 2 1 1 12 31111 6 M59 70400 000241 0000R 00001 00211*")</f>
        <v>250</v>
      </c>
      <c r="G5241" s="35">
        <f>SUMIFS(G5242:G9015,K5242:K9015,"0",B5242:B9015,"5 1 2 1 1 12 31111 6 M59 70400 000241 0000R 00001 00211*")</f>
        <v>0</v>
      </c>
      <c r="H5241" s="35">
        <f t="shared" si="82"/>
        <v>250</v>
      </c>
      <c r="I5241" s="35"/>
      <c r="K5241" t="s">
        <v>15</v>
      </c>
    </row>
    <row r="5242" spans="2:11" ht="24.75" x14ac:dyDescent="0.2">
      <c r="B5242" s="33" t="s">
        <v>6206</v>
      </c>
      <c r="C5242" s="33" t="s">
        <v>1051</v>
      </c>
      <c r="D5242" s="35">
        <f>SUMIFS(D5243:D9015,K5243:K9015,"0",B5243:B9015,"5 1 2 1 1 12 31111 6 M59 70400 000241 0000R 00001 00211 015*")-SUMIFS(E5243:E9015,K5243:K9015,"0",B5243:B9015,"5 1 2 1 1 12 31111 6 M59 70400 000241 0000R 00001 00211 015*")</f>
        <v>0</v>
      </c>
      <c r="E5242"/>
      <c r="F5242" s="35">
        <f>SUMIFS(F5243:F9015,K5243:K9015,"0",B5243:B9015,"5 1 2 1 1 12 31111 6 M59 70400 000241 0000R 00001 00211 015*")</f>
        <v>250</v>
      </c>
      <c r="G5242" s="35">
        <f>SUMIFS(G5243:G9015,K5243:K9015,"0",B5243:B9015,"5 1 2 1 1 12 31111 6 M59 70400 000241 0000R 00001 00211 015*")</f>
        <v>0</v>
      </c>
      <c r="H5242" s="35">
        <f t="shared" si="82"/>
        <v>250</v>
      </c>
      <c r="I5242" s="35"/>
      <c r="K5242" t="s">
        <v>15</v>
      </c>
    </row>
    <row r="5243" spans="2:11" ht="33" x14ac:dyDescent="0.2">
      <c r="B5243" s="33" t="s">
        <v>6207</v>
      </c>
      <c r="C5243" s="33" t="s">
        <v>5830</v>
      </c>
      <c r="D5243" s="35">
        <f>SUMIFS(D5244:D9015,K5244:K9015,"0",B5244:B9015,"5 1 2 1 1 12 31111 6 M59 70400 000241 0000R 00001 00211 015 2112000*")-SUMIFS(E5244:E9015,K5244:K9015,"0",B5244:B9015,"5 1 2 1 1 12 31111 6 M59 70400 000241 0000R 00001 00211 015 2112000*")</f>
        <v>0</v>
      </c>
      <c r="E5243"/>
      <c r="F5243" s="35">
        <f>SUMIFS(F5244:F9015,K5244:K9015,"0",B5244:B9015,"5 1 2 1 1 12 31111 6 M59 70400 000241 0000R 00001 00211 015 2112000*")</f>
        <v>250</v>
      </c>
      <c r="G5243" s="35">
        <f>SUMIFS(G5244:G9015,K5244:K9015,"0",B5244:B9015,"5 1 2 1 1 12 31111 6 M59 70400 000241 0000R 00001 00211 015 2112000*")</f>
        <v>0</v>
      </c>
      <c r="H5243" s="35">
        <f t="shared" si="82"/>
        <v>250</v>
      </c>
      <c r="I5243" s="35"/>
      <c r="K5243" t="s">
        <v>15</v>
      </c>
    </row>
    <row r="5244" spans="2:11" ht="33" x14ac:dyDescent="0.2">
      <c r="B5244" s="33" t="s">
        <v>6208</v>
      </c>
      <c r="C5244" s="33" t="s">
        <v>660</v>
      </c>
      <c r="D5244" s="35">
        <f>SUMIFS(D5245:D9015,K5245:K9015,"0",B5245:B9015,"5 1 2 1 1 12 31111 6 M59 70400 000241 0000R 00001 00211 015 2112000 2024*")-SUMIFS(E5245:E9015,K5245:K9015,"0",B5245:B9015,"5 1 2 1 1 12 31111 6 M59 70400 000241 0000R 00001 00211 015 2112000 2024*")</f>
        <v>0</v>
      </c>
      <c r="E5244"/>
      <c r="F5244" s="35">
        <f>SUMIFS(F5245:F9015,K5245:K9015,"0",B5245:B9015,"5 1 2 1 1 12 31111 6 M59 70400 000241 0000R 00001 00211 015 2112000 2024*")</f>
        <v>250</v>
      </c>
      <c r="G5244" s="35">
        <f>SUMIFS(G5245:G9015,K5245:K9015,"0",B5245:B9015,"5 1 2 1 1 12 31111 6 M59 70400 000241 0000R 00001 00211 015 2112000 2024*")</f>
        <v>0</v>
      </c>
      <c r="H5244" s="35">
        <f t="shared" si="82"/>
        <v>250</v>
      </c>
      <c r="I5244" s="35"/>
      <c r="K5244" t="s">
        <v>15</v>
      </c>
    </row>
    <row r="5245" spans="2:11" ht="41.25" x14ac:dyDescent="0.2">
      <c r="B5245" s="33" t="s">
        <v>6209</v>
      </c>
      <c r="C5245" s="33" t="s">
        <v>662</v>
      </c>
      <c r="D5245" s="35">
        <f>SUMIFS(D5246:D9015,K5246:K9015,"0",B5246:B9015,"5 1 2 1 1 12 31111 6 M59 70400 000241 0000R 00001 00211 015 2112000 2024 CP1DD418*")-SUMIFS(E5246:E9015,K5246:K9015,"0",B5246:B9015,"5 1 2 1 1 12 31111 6 M59 70400 000241 0000R 00001 00211 015 2112000 2024 CP1DD418*")</f>
        <v>0</v>
      </c>
      <c r="E5245"/>
      <c r="F5245" s="35">
        <f>SUMIFS(F5246:F9015,K5246:K9015,"0",B5246:B9015,"5 1 2 1 1 12 31111 6 M59 70400 000241 0000R 00001 00211 015 2112000 2024 CP1DD418*")</f>
        <v>250</v>
      </c>
      <c r="G5245" s="35">
        <f>SUMIFS(G5246:G9015,K5246:K9015,"0",B5246:B9015,"5 1 2 1 1 12 31111 6 M59 70400 000241 0000R 00001 00211 015 2112000 2024 CP1DD418*")</f>
        <v>0</v>
      </c>
      <c r="H5245" s="35">
        <f t="shared" si="82"/>
        <v>250</v>
      </c>
      <c r="I5245" s="35"/>
      <c r="K5245" t="s">
        <v>15</v>
      </c>
    </row>
    <row r="5246" spans="2:11" ht="41.25" x14ac:dyDescent="0.2">
      <c r="B5246" s="33" t="s">
        <v>6210</v>
      </c>
      <c r="C5246" s="33" t="s">
        <v>282</v>
      </c>
      <c r="D5246" s="35">
        <f>SUMIFS(D5247:D9015,K5247:K9015,"0",B5247:B9015,"5 1 2 1 1 12 31111 6 M59 70400 000241 0000R 00001 00211 015 2112000 2024 CP1DD418 001*")-SUMIFS(E5247:E9015,K5247:K9015,"0",B5247:B9015,"5 1 2 1 1 12 31111 6 M59 70400 000241 0000R 00001 00211 015 2112000 2024 CP1DD418 001*")</f>
        <v>0</v>
      </c>
      <c r="E5246"/>
      <c r="F5246" s="35">
        <f>SUMIFS(F5247:F9015,K5247:K9015,"0",B5247:B9015,"5 1 2 1 1 12 31111 6 M59 70400 000241 0000R 00001 00211 015 2112000 2024 CP1DD418 001*")</f>
        <v>250</v>
      </c>
      <c r="G5246" s="35">
        <f>SUMIFS(G5247:G9015,K5247:K9015,"0",B5247:B9015,"5 1 2 1 1 12 31111 6 M59 70400 000241 0000R 00001 00211 015 2112000 2024 CP1DD418 001*")</f>
        <v>0</v>
      </c>
      <c r="H5246" s="35">
        <f t="shared" si="82"/>
        <v>250</v>
      </c>
      <c r="I5246" s="35"/>
      <c r="K5246" t="s">
        <v>15</v>
      </c>
    </row>
    <row r="5247" spans="2:11" ht="33" x14ac:dyDescent="0.2">
      <c r="B5247" s="31" t="s">
        <v>6211</v>
      </c>
      <c r="C5247" s="31" t="s">
        <v>5827</v>
      </c>
      <c r="D5247" s="34">
        <v>0</v>
      </c>
      <c r="E5247" s="34"/>
      <c r="F5247" s="34">
        <v>250</v>
      </c>
      <c r="G5247" s="34">
        <v>0</v>
      </c>
      <c r="H5247" s="34">
        <f t="shared" si="82"/>
        <v>250</v>
      </c>
      <c r="I5247" s="34"/>
      <c r="K5247" t="s">
        <v>38</v>
      </c>
    </row>
    <row r="5248" spans="2:11" ht="16.5" x14ac:dyDescent="0.2">
      <c r="B5248" s="33" t="s">
        <v>6212</v>
      </c>
      <c r="C5248" s="33" t="s">
        <v>3438</v>
      </c>
      <c r="D5248" s="35">
        <f>SUMIFS(D5249:D9015,K5249:K9015,"0",B5249:B9015,"5 1 2 1 1 12 31111 6 M59 70500*")-SUMIFS(E5249:E9015,K5249:K9015,"0",B5249:B9015,"5 1 2 1 1 12 31111 6 M59 70500*")</f>
        <v>0</v>
      </c>
      <c r="E5248"/>
      <c r="F5248" s="35">
        <f>SUMIFS(F5249:F9015,K5249:K9015,"0",B5249:B9015,"5 1 2 1 1 12 31111 6 M59 70500*")</f>
        <v>250</v>
      </c>
      <c r="G5248" s="35">
        <f>SUMIFS(G5249:G9015,K5249:K9015,"0",B5249:B9015,"5 1 2 1 1 12 31111 6 M59 70500*")</f>
        <v>0</v>
      </c>
      <c r="H5248" s="35">
        <f t="shared" si="82"/>
        <v>250</v>
      </c>
      <c r="I5248" s="35"/>
      <c r="K5248" t="s">
        <v>15</v>
      </c>
    </row>
    <row r="5249" spans="2:11" ht="16.5" x14ac:dyDescent="0.2">
      <c r="B5249" s="33" t="s">
        <v>6213</v>
      </c>
      <c r="C5249" s="33" t="s">
        <v>648</v>
      </c>
      <c r="D5249" s="35">
        <f>SUMIFS(D5250:D9015,K5250:K9015,"0",B5250:B9015,"5 1 2 1 1 12 31111 6 M59 70500 000132*")-SUMIFS(E5250:E9015,K5250:K9015,"0",B5250:B9015,"5 1 2 1 1 12 31111 6 M59 70500 000132*")</f>
        <v>0</v>
      </c>
      <c r="E5249"/>
      <c r="F5249" s="35">
        <f>SUMIFS(F5250:F9015,K5250:K9015,"0",B5250:B9015,"5 1 2 1 1 12 31111 6 M59 70500 000132*")</f>
        <v>250</v>
      </c>
      <c r="G5249" s="35">
        <f>SUMIFS(G5250:G9015,K5250:K9015,"0",B5250:B9015,"5 1 2 1 1 12 31111 6 M59 70500 000132*")</f>
        <v>0</v>
      </c>
      <c r="H5249" s="35">
        <f t="shared" si="82"/>
        <v>250</v>
      </c>
      <c r="I5249" s="35"/>
      <c r="K5249" t="s">
        <v>15</v>
      </c>
    </row>
    <row r="5250" spans="2:11" ht="16.5" x14ac:dyDescent="0.2">
      <c r="B5250" s="33" t="s">
        <v>6214</v>
      </c>
      <c r="C5250" s="33" t="s">
        <v>650</v>
      </c>
      <c r="D5250" s="35">
        <f>SUMIFS(D5251:D9015,K5251:K9015,"0",B5251:B9015,"5 1 2 1 1 12 31111 6 M59 70500 000132 0000R*")-SUMIFS(E5251:E9015,K5251:K9015,"0",B5251:B9015,"5 1 2 1 1 12 31111 6 M59 70500 000132 0000R*")</f>
        <v>0</v>
      </c>
      <c r="E5250"/>
      <c r="F5250" s="35">
        <f>SUMIFS(F5251:F9015,K5251:K9015,"0",B5251:B9015,"5 1 2 1 1 12 31111 6 M59 70500 000132 0000R*")</f>
        <v>250</v>
      </c>
      <c r="G5250" s="35">
        <f>SUMIFS(G5251:G9015,K5251:K9015,"0",B5251:B9015,"5 1 2 1 1 12 31111 6 M59 70500 000132 0000R*")</f>
        <v>0</v>
      </c>
      <c r="H5250" s="35">
        <f t="shared" si="82"/>
        <v>250</v>
      </c>
      <c r="I5250" s="35"/>
      <c r="K5250" t="s">
        <v>15</v>
      </c>
    </row>
    <row r="5251" spans="2:11" ht="24.75" x14ac:dyDescent="0.2">
      <c r="B5251" s="33" t="s">
        <v>6215</v>
      </c>
      <c r="C5251" s="33" t="s">
        <v>282</v>
      </c>
      <c r="D5251" s="35">
        <f>SUMIFS(D5252:D9015,K5252:K9015,"0",B5252:B9015,"5 1 2 1 1 12 31111 6 M59 70500 000132 0000R 00001*")-SUMIFS(E5252:E9015,K5252:K9015,"0",B5252:B9015,"5 1 2 1 1 12 31111 6 M59 70500 000132 0000R 00001*")</f>
        <v>0</v>
      </c>
      <c r="E5251"/>
      <c r="F5251" s="35">
        <f>SUMIFS(F5252:F9015,K5252:K9015,"0",B5252:B9015,"5 1 2 1 1 12 31111 6 M59 70500 000132 0000R 00001*")</f>
        <v>250</v>
      </c>
      <c r="G5251" s="35">
        <f>SUMIFS(G5252:G9015,K5252:K9015,"0",B5252:B9015,"5 1 2 1 1 12 31111 6 M59 70500 000132 0000R 00001*")</f>
        <v>0</v>
      </c>
      <c r="H5251" s="35">
        <f t="shared" si="82"/>
        <v>250</v>
      </c>
      <c r="I5251" s="35"/>
      <c r="K5251" t="s">
        <v>15</v>
      </c>
    </row>
    <row r="5252" spans="2:11" ht="24.75" x14ac:dyDescent="0.2">
      <c r="B5252" s="33" t="s">
        <v>6216</v>
      </c>
      <c r="C5252" s="33" t="s">
        <v>5827</v>
      </c>
      <c r="D5252" s="35">
        <f>SUMIFS(D5253:D9015,K5253:K9015,"0",B5253:B9015,"5 1 2 1 1 12 31111 6 M59 70500 000132 0000R 00001 00211*")-SUMIFS(E5253:E9015,K5253:K9015,"0",B5253:B9015,"5 1 2 1 1 12 31111 6 M59 70500 000132 0000R 00001 00211*")</f>
        <v>0</v>
      </c>
      <c r="E5252"/>
      <c r="F5252" s="35">
        <f>SUMIFS(F5253:F9015,K5253:K9015,"0",B5253:B9015,"5 1 2 1 1 12 31111 6 M59 70500 000132 0000R 00001 00211*")</f>
        <v>250</v>
      </c>
      <c r="G5252" s="35">
        <f>SUMIFS(G5253:G9015,K5253:K9015,"0",B5253:B9015,"5 1 2 1 1 12 31111 6 M59 70500 000132 0000R 00001 00211*")</f>
        <v>0</v>
      </c>
      <c r="H5252" s="35">
        <f t="shared" ref="H5252:H5315" si="83">D5252 + F5252 - G5252</f>
        <v>250</v>
      </c>
      <c r="I5252" s="35"/>
      <c r="K5252" t="s">
        <v>15</v>
      </c>
    </row>
    <row r="5253" spans="2:11" ht="24.75" x14ac:dyDescent="0.2">
      <c r="B5253" s="33" t="s">
        <v>6217</v>
      </c>
      <c r="C5253" s="33" t="s">
        <v>1051</v>
      </c>
      <c r="D5253" s="35">
        <f>SUMIFS(D5254:D9015,K5254:K9015,"0",B5254:B9015,"5 1 2 1 1 12 31111 6 M59 70500 000132 0000R 00001 00211 015*")-SUMIFS(E5254:E9015,K5254:K9015,"0",B5254:B9015,"5 1 2 1 1 12 31111 6 M59 70500 000132 0000R 00001 00211 015*")</f>
        <v>0</v>
      </c>
      <c r="E5253"/>
      <c r="F5253" s="35">
        <f>SUMIFS(F5254:F9015,K5254:K9015,"0",B5254:B9015,"5 1 2 1 1 12 31111 6 M59 70500 000132 0000R 00001 00211 015*")</f>
        <v>250</v>
      </c>
      <c r="G5253" s="35">
        <f>SUMIFS(G5254:G9015,K5254:K9015,"0",B5254:B9015,"5 1 2 1 1 12 31111 6 M59 70500 000132 0000R 00001 00211 015*")</f>
        <v>0</v>
      </c>
      <c r="H5253" s="35">
        <f t="shared" si="83"/>
        <v>250</v>
      </c>
      <c r="I5253" s="35"/>
      <c r="K5253" t="s">
        <v>15</v>
      </c>
    </row>
    <row r="5254" spans="2:11" ht="33" x14ac:dyDescent="0.2">
      <c r="B5254" s="33" t="s">
        <v>6218</v>
      </c>
      <c r="C5254" s="33" t="s">
        <v>5830</v>
      </c>
      <c r="D5254" s="35">
        <f>SUMIFS(D5255:D9015,K5255:K9015,"0",B5255:B9015,"5 1 2 1 1 12 31111 6 M59 70500 000132 0000R 00001 00211 015 2112000*")-SUMIFS(E5255:E9015,K5255:K9015,"0",B5255:B9015,"5 1 2 1 1 12 31111 6 M59 70500 000132 0000R 00001 00211 015 2112000*")</f>
        <v>0</v>
      </c>
      <c r="E5254"/>
      <c r="F5254" s="35">
        <f>SUMIFS(F5255:F9015,K5255:K9015,"0",B5255:B9015,"5 1 2 1 1 12 31111 6 M59 70500 000132 0000R 00001 00211 015 2112000*")</f>
        <v>250</v>
      </c>
      <c r="G5254" s="35">
        <f>SUMIFS(G5255:G9015,K5255:K9015,"0",B5255:B9015,"5 1 2 1 1 12 31111 6 M59 70500 000132 0000R 00001 00211 015 2112000*")</f>
        <v>0</v>
      </c>
      <c r="H5254" s="35">
        <f t="shared" si="83"/>
        <v>250</v>
      </c>
      <c r="I5254" s="35"/>
      <c r="K5254" t="s">
        <v>15</v>
      </c>
    </row>
    <row r="5255" spans="2:11" ht="33" x14ac:dyDescent="0.2">
      <c r="B5255" s="33" t="s">
        <v>6219</v>
      </c>
      <c r="C5255" s="33" t="s">
        <v>660</v>
      </c>
      <c r="D5255" s="35">
        <f>SUMIFS(D5256:D9015,K5256:K9015,"0",B5256:B9015,"5 1 2 1 1 12 31111 6 M59 70500 000132 0000R 00001 00211 015 2112000 2024*")-SUMIFS(E5256:E9015,K5256:K9015,"0",B5256:B9015,"5 1 2 1 1 12 31111 6 M59 70500 000132 0000R 00001 00211 015 2112000 2024*")</f>
        <v>0</v>
      </c>
      <c r="E5255"/>
      <c r="F5255" s="35">
        <f>SUMIFS(F5256:F9015,K5256:K9015,"0",B5256:B9015,"5 1 2 1 1 12 31111 6 M59 70500 000132 0000R 00001 00211 015 2112000 2024*")</f>
        <v>250</v>
      </c>
      <c r="G5255" s="35">
        <f>SUMIFS(G5256:G9015,K5256:K9015,"0",B5256:B9015,"5 1 2 1 1 12 31111 6 M59 70500 000132 0000R 00001 00211 015 2112000 2024*")</f>
        <v>0</v>
      </c>
      <c r="H5255" s="35">
        <f t="shared" si="83"/>
        <v>250</v>
      </c>
      <c r="I5255" s="35"/>
      <c r="K5255" t="s">
        <v>15</v>
      </c>
    </row>
    <row r="5256" spans="2:11" ht="41.25" x14ac:dyDescent="0.2">
      <c r="B5256" s="33" t="s">
        <v>6220</v>
      </c>
      <c r="C5256" s="33" t="s">
        <v>1056</v>
      </c>
      <c r="D5256" s="35">
        <f>SUMIFS(D5257:D9015,K5257:K9015,"0",B5257:B9015,"5 1 2 1 1 12 31111 6 M59 70500 000132 0000R 00001 00211 015 2112000 2024 CP1DT395*")-SUMIFS(E5257:E9015,K5257:K9015,"0",B5257:B9015,"5 1 2 1 1 12 31111 6 M59 70500 000132 0000R 00001 00211 015 2112000 2024 CP1DT395*")</f>
        <v>0</v>
      </c>
      <c r="E5256"/>
      <c r="F5256" s="35">
        <f>SUMIFS(F5257:F9015,K5257:K9015,"0",B5257:B9015,"5 1 2 1 1 12 31111 6 M59 70500 000132 0000R 00001 00211 015 2112000 2024 CP1DT395*")</f>
        <v>250</v>
      </c>
      <c r="G5256" s="35">
        <f>SUMIFS(G5257:G9015,K5257:K9015,"0",B5257:B9015,"5 1 2 1 1 12 31111 6 M59 70500 000132 0000R 00001 00211 015 2112000 2024 CP1DT395*")</f>
        <v>0</v>
      </c>
      <c r="H5256" s="35">
        <f t="shared" si="83"/>
        <v>250</v>
      </c>
      <c r="I5256" s="35"/>
      <c r="K5256" t="s">
        <v>15</v>
      </c>
    </row>
    <row r="5257" spans="2:11" ht="41.25" x14ac:dyDescent="0.2">
      <c r="B5257" s="33" t="s">
        <v>6221</v>
      </c>
      <c r="C5257" s="33" t="s">
        <v>282</v>
      </c>
      <c r="D5257" s="35">
        <f>SUMIFS(D5258:D9015,K5258:K9015,"0",B5258:B9015,"5 1 2 1 1 12 31111 6 M59 70500 000132 0000R 00001 00211 015 2112000 2024 CP1DT395 001*")-SUMIFS(E5258:E9015,K5258:K9015,"0",B5258:B9015,"5 1 2 1 1 12 31111 6 M59 70500 000132 0000R 00001 00211 015 2112000 2024 CP1DT395 001*")</f>
        <v>0</v>
      </c>
      <c r="E5257"/>
      <c r="F5257" s="35">
        <f>SUMIFS(F5258:F9015,K5258:K9015,"0",B5258:B9015,"5 1 2 1 1 12 31111 6 M59 70500 000132 0000R 00001 00211 015 2112000 2024 CP1DT395 001*")</f>
        <v>250</v>
      </c>
      <c r="G5257" s="35">
        <f>SUMIFS(G5258:G9015,K5258:K9015,"0",B5258:B9015,"5 1 2 1 1 12 31111 6 M59 70500 000132 0000R 00001 00211 015 2112000 2024 CP1DT395 001*")</f>
        <v>0</v>
      </c>
      <c r="H5257" s="35">
        <f t="shared" si="83"/>
        <v>250</v>
      </c>
      <c r="I5257" s="35"/>
      <c r="K5257" t="s">
        <v>15</v>
      </c>
    </row>
    <row r="5258" spans="2:11" ht="33" x14ac:dyDescent="0.2">
      <c r="B5258" s="31" t="s">
        <v>6222</v>
      </c>
      <c r="C5258" s="31" t="s">
        <v>5827</v>
      </c>
      <c r="D5258" s="34">
        <v>0</v>
      </c>
      <c r="E5258" s="34"/>
      <c r="F5258" s="34">
        <v>250</v>
      </c>
      <c r="G5258" s="34">
        <v>0</v>
      </c>
      <c r="H5258" s="34">
        <f t="shared" si="83"/>
        <v>250</v>
      </c>
      <c r="I5258" s="34"/>
      <c r="K5258" t="s">
        <v>38</v>
      </c>
    </row>
    <row r="5259" spans="2:11" ht="16.5" x14ac:dyDescent="0.2">
      <c r="B5259" s="33" t="s">
        <v>6223</v>
      </c>
      <c r="C5259" s="33" t="s">
        <v>3450</v>
      </c>
      <c r="D5259" s="35">
        <f>SUMIFS(D5260:D9015,K5260:K9015,"0",B5260:B9015,"5 1 2 1 1 12 31111 6 M59 70600*")-SUMIFS(E5260:E9015,K5260:K9015,"0",B5260:B9015,"5 1 2 1 1 12 31111 6 M59 70600*")</f>
        <v>0</v>
      </c>
      <c r="E5259"/>
      <c r="F5259" s="35">
        <f>SUMIFS(F5260:F9015,K5260:K9015,"0",B5260:B9015,"5 1 2 1 1 12 31111 6 M59 70600*")</f>
        <v>250</v>
      </c>
      <c r="G5259" s="35">
        <f>SUMIFS(G5260:G9015,K5260:K9015,"0",B5260:B9015,"5 1 2 1 1 12 31111 6 M59 70600*")</f>
        <v>0</v>
      </c>
      <c r="H5259" s="35">
        <f t="shared" si="83"/>
        <v>250</v>
      </c>
      <c r="I5259" s="35"/>
      <c r="K5259" t="s">
        <v>15</v>
      </c>
    </row>
    <row r="5260" spans="2:11" ht="16.5" x14ac:dyDescent="0.2">
      <c r="B5260" s="33" t="s">
        <v>6224</v>
      </c>
      <c r="C5260" s="33" t="s">
        <v>648</v>
      </c>
      <c r="D5260" s="35">
        <f>SUMIFS(D5261:D9015,K5261:K9015,"0",B5261:B9015,"5 1 2 1 1 12 31111 6 M59 70600 000132*")-SUMIFS(E5261:E9015,K5261:K9015,"0",B5261:B9015,"5 1 2 1 1 12 31111 6 M59 70600 000132*")</f>
        <v>0</v>
      </c>
      <c r="E5260"/>
      <c r="F5260" s="35">
        <f>SUMIFS(F5261:F9015,K5261:K9015,"0",B5261:B9015,"5 1 2 1 1 12 31111 6 M59 70600 000132*")</f>
        <v>250</v>
      </c>
      <c r="G5260" s="35">
        <f>SUMIFS(G5261:G9015,K5261:K9015,"0",B5261:B9015,"5 1 2 1 1 12 31111 6 M59 70600 000132*")</f>
        <v>0</v>
      </c>
      <c r="H5260" s="35">
        <f t="shared" si="83"/>
        <v>250</v>
      </c>
      <c r="I5260" s="35"/>
      <c r="K5260" t="s">
        <v>15</v>
      </c>
    </row>
    <row r="5261" spans="2:11" ht="16.5" x14ac:dyDescent="0.2">
      <c r="B5261" s="33" t="s">
        <v>6225</v>
      </c>
      <c r="C5261" s="33" t="s">
        <v>650</v>
      </c>
      <c r="D5261" s="35">
        <f>SUMIFS(D5262:D9015,K5262:K9015,"0",B5262:B9015,"5 1 2 1 1 12 31111 6 M59 70600 000132 0000R*")-SUMIFS(E5262:E9015,K5262:K9015,"0",B5262:B9015,"5 1 2 1 1 12 31111 6 M59 70600 000132 0000R*")</f>
        <v>0</v>
      </c>
      <c r="E5261"/>
      <c r="F5261" s="35">
        <f>SUMIFS(F5262:F9015,K5262:K9015,"0",B5262:B9015,"5 1 2 1 1 12 31111 6 M59 70600 000132 0000R*")</f>
        <v>250</v>
      </c>
      <c r="G5261" s="35">
        <f>SUMIFS(G5262:G9015,K5262:K9015,"0",B5262:B9015,"5 1 2 1 1 12 31111 6 M59 70600 000132 0000R*")</f>
        <v>0</v>
      </c>
      <c r="H5261" s="35">
        <f t="shared" si="83"/>
        <v>250</v>
      </c>
      <c r="I5261" s="35"/>
      <c r="K5261" t="s">
        <v>15</v>
      </c>
    </row>
    <row r="5262" spans="2:11" ht="24.75" x14ac:dyDescent="0.2">
      <c r="B5262" s="33" t="s">
        <v>6226</v>
      </c>
      <c r="C5262" s="33" t="s">
        <v>282</v>
      </c>
      <c r="D5262" s="35">
        <f>SUMIFS(D5263:D9015,K5263:K9015,"0",B5263:B9015,"5 1 2 1 1 12 31111 6 M59 70600 000132 0000R 00001*")-SUMIFS(E5263:E9015,K5263:K9015,"0",B5263:B9015,"5 1 2 1 1 12 31111 6 M59 70600 000132 0000R 00001*")</f>
        <v>0</v>
      </c>
      <c r="E5262"/>
      <c r="F5262" s="35">
        <f>SUMIFS(F5263:F9015,K5263:K9015,"0",B5263:B9015,"5 1 2 1 1 12 31111 6 M59 70600 000132 0000R 00001*")</f>
        <v>250</v>
      </c>
      <c r="G5262" s="35">
        <f>SUMIFS(G5263:G9015,K5263:K9015,"0",B5263:B9015,"5 1 2 1 1 12 31111 6 M59 70600 000132 0000R 00001*")</f>
        <v>0</v>
      </c>
      <c r="H5262" s="35">
        <f t="shared" si="83"/>
        <v>250</v>
      </c>
      <c r="I5262" s="35"/>
      <c r="K5262" t="s">
        <v>15</v>
      </c>
    </row>
    <row r="5263" spans="2:11" ht="24.75" x14ac:dyDescent="0.2">
      <c r="B5263" s="33" t="s">
        <v>6227</v>
      </c>
      <c r="C5263" s="33" t="s">
        <v>5827</v>
      </c>
      <c r="D5263" s="35">
        <f>SUMIFS(D5264:D9015,K5264:K9015,"0",B5264:B9015,"5 1 2 1 1 12 31111 6 M59 70600 000132 0000R 00001 00211*")-SUMIFS(E5264:E9015,K5264:K9015,"0",B5264:B9015,"5 1 2 1 1 12 31111 6 M59 70600 000132 0000R 00001 00211*")</f>
        <v>0</v>
      </c>
      <c r="E5263"/>
      <c r="F5263" s="35">
        <f>SUMIFS(F5264:F9015,K5264:K9015,"0",B5264:B9015,"5 1 2 1 1 12 31111 6 M59 70600 000132 0000R 00001 00211*")</f>
        <v>250</v>
      </c>
      <c r="G5263" s="35">
        <f>SUMIFS(G5264:G9015,K5264:K9015,"0",B5264:B9015,"5 1 2 1 1 12 31111 6 M59 70600 000132 0000R 00001 00211*")</f>
        <v>0</v>
      </c>
      <c r="H5263" s="35">
        <f t="shared" si="83"/>
        <v>250</v>
      </c>
      <c r="I5263" s="35"/>
      <c r="K5263" t="s">
        <v>15</v>
      </c>
    </row>
    <row r="5264" spans="2:11" ht="24.75" x14ac:dyDescent="0.2">
      <c r="B5264" s="33" t="s">
        <v>6228</v>
      </c>
      <c r="C5264" s="33" t="s">
        <v>1051</v>
      </c>
      <c r="D5264" s="35">
        <f>SUMIFS(D5265:D9015,K5265:K9015,"0",B5265:B9015,"5 1 2 1 1 12 31111 6 M59 70600 000132 0000R 00001 00211 015*")-SUMIFS(E5265:E9015,K5265:K9015,"0",B5265:B9015,"5 1 2 1 1 12 31111 6 M59 70600 000132 0000R 00001 00211 015*")</f>
        <v>0</v>
      </c>
      <c r="E5264"/>
      <c r="F5264" s="35">
        <f>SUMIFS(F5265:F9015,K5265:K9015,"0",B5265:B9015,"5 1 2 1 1 12 31111 6 M59 70600 000132 0000R 00001 00211 015*")</f>
        <v>250</v>
      </c>
      <c r="G5264" s="35">
        <f>SUMIFS(G5265:G9015,K5265:K9015,"0",B5265:B9015,"5 1 2 1 1 12 31111 6 M59 70600 000132 0000R 00001 00211 015*")</f>
        <v>0</v>
      </c>
      <c r="H5264" s="35">
        <f t="shared" si="83"/>
        <v>250</v>
      </c>
      <c r="I5264" s="35"/>
      <c r="K5264" t="s">
        <v>15</v>
      </c>
    </row>
    <row r="5265" spans="2:11" ht="33" x14ac:dyDescent="0.2">
      <c r="B5265" s="33" t="s">
        <v>6229</v>
      </c>
      <c r="C5265" s="33" t="s">
        <v>5830</v>
      </c>
      <c r="D5265" s="35">
        <f>SUMIFS(D5266:D9015,K5266:K9015,"0",B5266:B9015,"5 1 2 1 1 12 31111 6 M59 70600 000132 0000R 00001 00211 015 2112000*")-SUMIFS(E5266:E9015,K5266:K9015,"0",B5266:B9015,"5 1 2 1 1 12 31111 6 M59 70600 000132 0000R 00001 00211 015 2112000*")</f>
        <v>0</v>
      </c>
      <c r="E5265"/>
      <c r="F5265" s="35">
        <f>SUMIFS(F5266:F9015,K5266:K9015,"0",B5266:B9015,"5 1 2 1 1 12 31111 6 M59 70600 000132 0000R 00001 00211 015 2112000*")</f>
        <v>250</v>
      </c>
      <c r="G5265" s="35">
        <f>SUMIFS(G5266:G9015,K5266:K9015,"0",B5266:B9015,"5 1 2 1 1 12 31111 6 M59 70600 000132 0000R 00001 00211 015 2112000*")</f>
        <v>0</v>
      </c>
      <c r="H5265" s="35">
        <f t="shared" si="83"/>
        <v>250</v>
      </c>
      <c r="I5265" s="35"/>
      <c r="K5265" t="s">
        <v>15</v>
      </c>
    </row>
    <row r="5266" spans="2:11" ht="33" x14ac:dyDescent="0.2">
      <c r="B5266" s="33" t="s">
        <v>6230</v>
      </c>
      <c r="C5266" s="33" t="s">
        <v>660</v>
      </c>
      <c r="D5266" s="35">
        <f>SUMIFS(D5267:D9015,K5267:K9015,"0",B5267:B9015,"5 1 2 1 1 12 31111 6 M59 70600 000132 0000R 00001 00211 015 2112000 2024*")-SUMIFS(E5267:E9015,K5267:K9015,"0",B5267:B9015,"5 1 2 1 1 12 31111 6 M59 70600 000132 0000R 00001 00211 015 2112000 2024*")</f>
        <v>0</v>
      </c>
      <c r="E5266"/>
      <c r="F5266" s="35">
        <f>SUMIFS(F5267:F9015,K5267:K9015,"0",B5267:B9015,"5 1 2 1 1 12 31111 6 M59 70600 000132 0000R 00001 00211 015 2112000 2024*")</f>
        <v>250</v>
      </c>
      <c r="G5266" s="35">
        <f>SUMIFS(G5267:G9015,K5267:K9015,"0",B5267:B9015,"5 1 2 1 1 12 31111 6 M59 70600 000132 0000R 00001 00211 015 2112000 2024*")</f>
        <v>0</v>
      </c>
      <c r="H5266" s="35">
        <f t="shared" si="83"/>
        <v>250</v>
      </c>
      <c r="I5266" s="35"/>
      <c r="K5266" t="s">
        <v>15</v>
      </c>
    </row>
    <row r="5267" spans="2:11" ht="41.25" x14ac:dyDescent="0.2">
      <c r="B5267" s="33" t="s">
        <v>6231</v>
      </c>
      <c r="C5267" s="33" t="s">
        <v>1056</v>
      </c>
      <c r="D5267" s="35">
        <f>SUMIFS(D5268:D9015,K5268:K9015,"0",B5268:B9015,"5 1 2 1 1 12 31111 6 M59 70600 000132 0000R 00001 00211 015 2112000 2024 CP1DJ409*")-SUMIFS(E5268:E9015,K5268:K9015,"0",B5268:B9015,"5 1 2 1 1 12 31111 6 M59 70600 000132 0000R 00001 00211 015 2112000 2024 CP1DJ409*")</f>
        <v>0</v>
      </c>
      <c r="E5267"/>
      <c r="F5267" s="35">
        <f>SUMIFS(F5268:F9015,K5268:K9015,"0",B5268:B9015,"5 1 2 1 1 12 31111 6 M59 70600 000132 0000R 00001 00211 015 2112000 2024 CP1DJ409*")</f>
        <v>250</v>
      </c>
      <c r="G5267" s="35">
        <f>SUMIFS(G5268:G9015,K5268:K9015,"0",B5268:B9015,"5 1 2 1 1 12 31111 6 M59 70600 000132 0000R 00001 00211 015 2112000 2024 CP1DJ409*")</f>
        <v>0</v>
      </c>
      <c r="H5267" s="35">
        <f t="shared" si="83"/>
        <v>250</v>
      </c>
      <c r="I5267" s="35"/>
      <c r="K5267" t="s">
        <v>15</v>
      </c>
    </row>
    <row r="5268" spans="2:11" ht="41.25" x14ac:dyDescent="0.2">
      <c r="B5268" s="33" t="s">
        <v>6232</v>
      </c>
      <c r="C5268" s="33" t="s">
        <v>282</v>
      </c>
      <c r="D5268" s="35">
        <f>SUMIFS(D5269:D9015,K5269:K9015,"0",B5269:B9015,"5 1 2 1 1 12 31111 6 M59 70600 000132 0000R 00001 00211 015 2112000 2024 CP1DJ409 001*")-SUMIFS(E5269:E9015,K5269:K9015,"0",B5269:B9015,"5 1 2 1 1 12 31111 6 M59 70600 000132 0000R 00001 00211 015 2112000 2024 CP1DJ409 001*")</f>
        <v>0</v>
      </c>
      <c r="E5268"/>
      <c r="F5268" s="35">
        <f>SUMIFS(F5269:F9015,K5269:K9015,"0",B5269:B9015,"5 1 2 1 1 12 31111 6 M59 70600 000132 0000R 00001 00211 015 2112000 2024 CP1DJ409 001*")</f>
        <v>250</v>
      </c>
      <c r="G5268" s="35">
        <f>SUMIFS(G5269:G9015,K5269:K9015,"0",B5269:B9015,"5 1 2 1 1 12 31111 6 M59 70600 000132 0000R 00001 00211 015 2112000 2024 CP1DJ409 001*")</f>
        <v>0</v>
      </c>
      <c r="H5268" s="35">
        <f t="shared" si="83"/>
        <v>250</v>
      </c>
      <c r="I5268" s="35"/>
      <c r="K5268" t="s">
        <v>15</v>
      </c>
    </row>
    <row r="5269" spans="2:11" ht="33" x14ac:dyDescent="0.2">
      <c r="B5269" s="31" t="s">
        <v>6233</v>
      </c>
      <c r="C5269" s="31" t="s">
        <v>5827</v>
      </c>
      <c r="D5269" s="34">
        <v>0</v>
      </c>
      <c r="E5269" s="34"/>
      <c r="F5269" s="34">
        <v>250</v>
      </c>
      <c r="G5269" s="34">
        <v>0</v>
      </c>
      <c r="H5269" s="34">
        <f t="shared" si="83"/>
        <v>250</v>
      </c>
      <c r="I5269" s="34"/>
      <c r="K5269" t="s">
        <v>38</v>
      </c>
    </row>
    <row r="5270" spans="2:11" ht="16.5" x14ac:dyDescent="0.2">
      <c r="B5270" s="33" t="s">
        <v>6234</v>
      </c>
      <c r="C5270" s="33" t="s">
        <v>3462</v>
      </c>
      <c r="D5270" s="35">
        <f>SUMIFS(D5271:D9015,K5271:K9015,"0",B5271:B9015,"5 1 2 1 1 12 31111 6 M59 70700*")-SUMIFS(E5271:E9015,K5271:K9015,"0",B5271:B9015,"5 1 2 1 1 12 31111 6 M59 70700*")</f>
        <v>0</v>
      </c>
      <c r="E5270"/>
      <c r="F5270" s="35">
        <f>SUMIFS(F5271:F9015,K5271:K9015,"0",B5271:B9015,"5 1 2 1 1 12 31111 6 M59 70700*")</f>
        <v>250</v>
      </c>
      <c r="G5270" s="35">
        <f>SUMIFS(G5271:G9015,K5271:K9015,"0",B5271:B9015,"5 1 2 1 1 12 31111 6 M59 70700*")</f>
        <v>0</v>
      </c>
      <c r="H5270" s="35">
        <f t="shared" si="83"/>
        <v>250</v>
      </c>
      <c r="I5270" s="35"/>
      <c r="K5270" t="s">
        <v>15</v>
      </c>
    </row>
    <row r="5271" spans="2:11" ht="16.5" x14ac:dyDescent="0.2">
      <c r="B5271" s="33" t="s">
        <v>6235</v>
      </c>
      <c r="C5271" s="33" t="s">
        <v>648</v>
      </c>
      <c r="D5271" s="35">
        <f>SUMIFS(D5272:D9015,K5272:K9015,"0",B5272:B9015,"5 1 2 1 1 12 31111 6 M59 70700 000132*")-SUMIFS(E5272:E9015,K5272:K9015,"0",B5272:B9015,"5 1 2 1 1 12 31111 6 M59 70700 000132*")</f>
        <v>0</v>
      </c>
      <c r="E5271"/>
      <c r="F5271" s="35">
        <f>SUMIFS(F5272:F9015,K5272:K9015,"0",B5272:B9015,"5 1 2 1 1 12 31111 6 M59 70700 000132*")</f>
        <v>250</v>
      </c>
      <c r="G5271" s="35">
        <f>SUMIFS(G5272:G9015,K5272:K9015,"0",B5272:B9015,"5 1 2 1 1 12 31111 6 M59 70700 000132*")</f>
        <v>0</v>
      </c>
      <c r="H5271" s="35">
        <f t="shared" si="83"/>
        <v>250</v>
      </c>
      <c r="I5271" s="35"/>
      <c r="K5271" t="s">
        <v>15</v>
      </c>
    </row>
    <row r="5272" spans="2:11" ht="16.5" x14ac:dyDescent="0.2">
      <c r="B5272" s="33" t="s">
        <v>6236</v>
      </c>
      <c r="C5272" s="33" t="s">
        <v>650</v>
      </c>
      <c r="D5272" s="35">
        <f>SUMIFS(D5273:D9015,K5273:K9015,"0",B5273:B9015,"5 1 2 1 1 12 31111 6 M59 70700 000132 0000R*")-SUMIFS(E5273:E9015,K5273:K9015,"0",B5273:B9015,"5 1 2 1 1 12 31111 6 M59 70700 000132 0000R*")</f>
        <v>0</v>
      </c>
      <c r="E5272"/>
      <c r="F5272" s="35">
        <f>SUMIFS(F5273:F9015,K5273:K9015,"0",B5273:B9015,"5 1 2 1 1 12 31111 6 M59 70700 000132 0000R*")</f>
        <v>250</v>
      </c>
      <c r="G5272" s="35">
        <f>SUMIFS(G5273:G9015,K5273:K9015,"0",B5273:B9015,"5 1 2 1 1 12 31111 6 M59 70700 000132 0000R*")</f>
        <v>0</v>
      </c>
      <c r="H5272" s="35">
        <f t="shared" si="83"/>
        <v>250</v>
      </c>
      <c r="I5272" s="35"/>
      <c r="K5272" t="s">
        <v>15</v>
      </c>
    </row>
    <row r="5273" spans="2:11" ht="24.75" x14ac:dyDescent="0.2">
      <c r="B5273" s="33" t="s">
        <v>6237</v>
      </c>
      <c r="C5273" s="33" t="s">
        <v>282</v>
      </c>
      <c r="D5273" s="35">
        <f>SUMIFS(D5274:D9015,K5274:K9015,"0",B5274:B9015,"5 1 2 1 1 12 31111 6 M59 70700 000132 0000R 00001*")-SUMIFS(E5274:E9015,K5274:K9015,"0",B5274:B9015,"5 1 2 1 1 12 31111 6 M59 70700 000132 0000R 00001*")</f>
        <v>0</v>
      </c>
      <c r="E5273"/>
      <c r="F5273" s="35">
        <f>SUMIFS(F5274:F9015,K5274:K9015,"0",B5274:B9015,"5 1 2 1 1 12 31111 6 M59 70700 000132 0000R 00001*")</f>
        <v>250</v>
      </c>
      <c r="G5273" s="35">
        <f>SUMIFS(G5274:G9015,K5274:K9015,"0",B5274:B9015,"5 1 2 1 1 12 31111 6 M59 70700 000132 0000R 00001*")</f>
        <v>0</v>
      </c>
      <c r="H5273" s="35">
        <f t="shared" si="83"/>
        <v>250</v>
      </c>
      <c r="I5273" s="35"/>
      <c r="K5273" t="s">
        <v>15</v>
      </c>
    </row>
    <row r="5274" spans="2:11" ht="24.75" x14ac:dyDescent="0.2">
      <c r="B5274" s="33" t="s">
        <v>6238</v>
      </c>
      <c r="C5274" s="33" t="s">
        <v>5827</v>
      </c>
      <c r="D5274" s="35">
        <f>SUMIFS(D5275:D9015,K5275:K9015,"0",B5275:B9015,"5 1 2 1 1 12 31111 6 M59 70700 000132 0000R 00001 00211*")-SUMIFS(E5275:E9015,K5275:K9015,"0",B5275:B9015,"5 1 2 1 1 12 31111 6 M59 70700 000132 0000R 00001 00211*")</f>
        <v>0</v>
      </c>
      <c r="E5274"/>
      <c r="F5274" s="35">
        <f>SUMIFS(F5275:F9015,K5275:K9015,"0",B5275:B9015,"5 1 2 1 1 12 31111 6 M59 70700 000132 0000R 00001 00211*")</f>
        <v>250</v>
      </c>
      <c r="G5274" s="35">
        <f>SUMIFS(G5275:G9015,K5275:K9015,"0",B5275:B9015,"5 1 2 1 1 12 31111 6 M59 70700 000132 0000R 00001 00211*")</f>
        <v>0</v>
      </c>
      <c r="H5274" s="35">
        <f t="shared" si="83"/>
        <v>250</v>
      </c>
      <c r="I5274" s="35"/>
      <c r="K5274" t="s">
        <v>15</v>
      </c>
    </row>
    <row r="5275" spans="2:11" ht="24.75" x14ac:dyDescent="0.2">
      <c r="B5275" s="33" t="s">
        <v>6239</v>
      </c>
      <c r="C5275" s="33" t="s">
        <v>1051</v>
      </c>
      <c r="D5275" s="35">
        <f>SUMIFS(D5276:D9015,K5276:K9015,"0",B5276:B9015,"5 1 2 1 1 12 31111 6 M59 70700 000132 0000R 00001 00211 015*")-SUMIFS(E5276:E9015,K5276:K9015,"0",B5276:B9015,"5 1 2 1 1 12 31111 6 M59 70700 000132 0000R 00001 00211 015*")</f>
        <v>0</v>
      </c>
      <c r="E5275"/>
      <c r="F5275" s="35">
        <f>SUMIFS(F5276:F9015,K5276:K9015,"0",B5276:B9015,"5 1 2 1 1 12 31111 6 M59 70700 000132 0000R 00001 00211 015*")</f>
        <v>250</v>
      </c>
      <c r="G5275" s="35">
        <f>SUMIFS(G5276:G9015,K5276:K9015,"0",B5276:B9015,"5 1 2 1 1 12 31111 6 M59 70700 000132 0000R 00001 00211 015*")</f>
        <v>0</v>
      </c>
      <c r="H5275" s="35">
        <f t="shared" si="83"/>
        <v>250</v>
      </c>
      <c r="I5275" s="35"/>
      <c r="K5275" t="s">
        <v>15</v>
      </c>
    </row>
    <row r="5276" spans="2:11" ht="33" x14ac:dyDescent="0.2">
      <c r="B5276" s="33" t="s">
        <v>6240</v>
      </c>
      <c r="C5276" s="33" t="s">
        <v>5830</v>
      </c>
      <c r="D5276" s="35">
        <f>SUMIFS(D5277:D9015,K5277:K9015,"0",B5277:B9015,"5 1 2 1 1 12 31111 6 M59 70700 000132 0000R 00001 00211 015 2112000*")-SUMIFS(E5277:E9015,K5277:K9015,"0",B5277:B9015,"5 1 2 1 1 12 31111 6 M59 70700 000132 0000R 00001 00211 015 2112000*")</f>
        <v>0</v>
      </c>
      <c r="E5276"/>
      <c r="F5276" s="35">
        <f>SUMIFS(F5277:F9015,K5277:K9015,"0",B5277:B9015,"5 1 2 1 1 12 31111 6 M59 70700 000132 0000R 00001 00211 015 2112000*")</f>
        <v>250</v>
      </c>
      <c r="G5276" s="35">
        <f>SUMIFS(G5277:G9015,K5277:K9015,"0",B5277:B9015,"5 1 2 1 1 12 31111 6 M59 70700 000132 0000R 00001 00211 015 2112000*")</f>
        <v>0</v>
      </c>
      <c r="H5276" s="35">
        <f t="shared" si="83"/>
        <v>250</v>
      </c>
      <c r="I5276" s="35"/>
      <c r="K5276" t="s">
        <v>15</v>
      </c>
    </row>
    <row r="5277" spans="2:11" ht="33" x14ac:dyDescent="0.2">
      <c r="B5277" s="33" t="s">
        <v>6241</v>
      </c>
      <c r="C5277" s="33" t="s">
        <v>660</v>
      </c>
      <c r="D5277" s="35">
        <f>SUMIFS(D5278:D9015,K5278:K9015,"0",B5278:B9015,"5 1 2 1 1 12 31111 6 M59 70700 000132 0000R 00001 00211 015 2112000 2024*")-SUMIFS(E5278:E9015,K5278:K9015,"0",B5278:B9015,"5 1 2 1 1 12 31111 6 M59 70700 000132 0000R 00001 00211 015 2112000 2024*")</f>
        <v>0</v>
      </c>
      <c r="E5277"/>
      <c r="F5277" s="35">
        <f>SUMIFS(F5278:F9015,K5278:K9015,"0",B5278:B9015,"5 1 2 1 1 12 31111 6 M59 70700 000132 0000R 00001 00211 015 2112000 2024*")</f>
        <v>250</v>
      </c>
      <c r="G5277" s="35">
        <f>SUMIFS(G5278:G9015,K5278:K9015,"0",B5278:B9015,"5 1 2 1 1 12 31111 6 M59 70700 000132 0000R 00001 00211 015 2112000 2024*")</f>
        <v>0</v>
      </c>
      <c r="H5277" s="35">
        <f t="shared" si="83"/>
        <v>250</v>
      </c>
      <c r="I5277" s="35"/>
      <c r="K5277" t="s">
        <v>15</v>
      </c>
    </row>
    <row r="5278" spans="2:11" ht="41.25" x14ac:dyDescent="0.2">
      <c r="B5278" s="33" t="s">
        <v>6242</v>
      </c>
      <c r="C5278" s="33" t="s">
        <v>1056</v>
      </c>
      <c r="D5278" s="35">
        <f>SUMIFS(D5279:D9015,K5279:K9015,"0",B5279:B9015,"5 1 2 1 1 12 31111 6 M59 70700 000132 0000R 00001 00211 015 2112000 2024 CP1SA397*")-SUMIFS(E5279:E9015,K5279:K9015,"0",B5279:B9015,"5 1 2 1 1 12 31111 6 M59 70700 000132 0000R 00001 00211 015 2112000 2024 CP1SA397*")</f>
        <v>0</v>
      </c>
      <c r="E5278"/>
      <c r="F5278" s="35">
        <f>SUMIFS(F5279:F9015,K5279:K9015,"0",B5279:B9015,"5 1 2 1 1 12 31111 6 M59 70700 000132 0000R 00001 00211 015 2112000 2024 CP1SA397*")</f>
        <v>250</v>
      </c>
      <c r="G5278" s="35">
        <f>SUMIFS(G5279:G9015,K5279:K9015,"0",B5279:B9015,"5 1 2 1 1 12 31111 6 M59 70700 000132 0000R 00001 00211 015 2112000 2024 CP1SA397*")</f>
        <v>0</v>
      </c>
      <c r="H5278" s="35">
        <f t="shared" si="83"/>
        <v>250</v>
      </c>
      <c r="I5278" s="35"/>
      <c r="K5278" t="s">
        <v>15</v>
      </c>
    </row>
    <row r="5279" spans="2:11" ht="41.25" x14ac:dyDescent="0.2">
      <c r="B5279" s="33" t="s">
        <v>6243</v>
      </c>
      <c r="C5279" s="33" t="s">
        <v>282</v>
      </c>
      <c r="D5279" s="35">
        <f>SUMIFS(D5280:D9015,K5280:K9015,"0",B5280:B9015,"5 1 2 1 1 12 31111 6 M59 70700 000132 0000R 00001 00211 015 2112000 2024 CP1SA397 001*")-SUMIFS(E5280:E9015,K5280:K9015,"0",B5280:B9015,"5 1 2 1 1 12 31111 6 M59 70700 000132 0000R 00001 00211 015 2112000 2024 CP1SA397 001*")</f>
        <v>0</v>
      </c>
      <c r="E5279"/>
      <c r="F5279" s="35">
        <f>SUMIFS(F5280:F9015,K5280:K9015,"0",B5280:B9015,"5 1 2 1 1 12 31111 6 M59 70700 000132 0000R 00001 00211 015 2112000 2024 CP1SA397 001*")</f>
        <v>250</v>
      </c>
      <c r="G5279" s="35">
        <f>SUMIFS(G5280:G9015,K5280:K9015,"0",B5280:B9015,"5 1 2 1 1 12 31111 6 M59 70700 000132 0000R 00001 00211 015 2112000 2024 CP1SA397 001*")</f>
        <v>0</v>
      </c>
      <c r="H5279" s="35">
        <f t="shared" si="83"/>
        <v>250</v>
      </c>
      <c r="I5279" s="35"/>
      <c r="K5279" t="s">
        <v>15</v>
      </c>
    </row>
    <row r="5280" spans="2:11" ht="33" x14ac:dyDescent="0.2">
      <c r="B5280" s="31" t="s">
        <v>6244</v>
      </c>
      <c r="C5280" s="31" t="s">
        <v>5827</v>
      </c>
      <c r="D5280" s="34">
        <v>0</v>
      </c>
      <c r="E5280" s="34"/>
      <c r="F5280" s="34">
        <v>250</v>
      </c>
      <c r="G5280" s="34">
        <v>0</v>
      </c>
      <c r="H5280" s="34">
        <f t="shared" si="83"/>
        <v>250</v>
      </c>
      <c r="I5280" s="34"/>
      <c r="K5280" t="s">
        <v>38</v>
      </c>
    </row>
    <row r="5281" spans="2:11" ht="16.5" x14ac:dyDescent="0.2">
      <c r="B5281" s="33" t="s">
        <v>6245</v>
      </c>
      <c r="C5281" s="33" t="s">
        <v>3474</v>
      </c>
      <c r="D5281" s="35">
        <f>SUMIFS(D5282:D9015,K5282:K9015,"0",B5282:B9015,"5 1 2 1 1 12 31111 6 M59 70800*")-SUMIFS(E5282:E9015,K5282:K9015,"0",B5282:B9015,"5 1 2 1 1 12 31111 6 M59 70800*")</f>
        <v>0</v>
      </c>
      <c r="E5281"/>
      <c r="F5281" s="35">
        <f>SUMIFS(F5282:F9015,K5282:K9015,"0",B5282:B9015,"5 1 2 1 1 12 31111 6 M59 70800*")</f>
        <v>250</v>
      </c>
      <c r="G5281" s="35">
        <f>SUMIFS(G5282:G9015,K5282:K9015,"0",B5282:B9015,"5 1 2 1 1 12 31111 6 M59 70800*")</f>
        <v>0</v>
      </c>
      <c r="H5281" s="35">
        <f t="shared" si="83"/>
        <v>250</v>
      </c>
      <c r="I5281" s="35"/>
      <c r="K5281" t="s">
        <v>15</v>
      </c>
    </row>
    <row r="5282" spans="2:11" ht="16.5" x14ac:dyDescent="0.2">
      <c r="B5282" s="33" t="s">
        <v>6246</v>
      </c>
      <c r="C5282" s="33" t="s">
        <v>648</v>
      </c>
      <c r="D5282" s="35">
        <f>SUMIFS(D5283:D9015,K5283:K9015,"0",B5283:B9015,"5 1 2 1 1 12 31111 6 M59 70800 000132*")-SUMIFS(E5283:E9015,K5283:K9015,"0",B5283:B9015,"5 1 2 1 1 12 31111 6 M59 70800 000132*")</f>
        <v>0</v>
      </c>
      <c r="E5282"/>
      <c r="F5282" s="35">
        <f>SUMIFS(F5283:F9015,K5283:K9015,"0",B5283:B9015,"5 1 2 1 1 12 31111 6 M59 70800 000132*")</f>
        <v>250</v>
      </c>
      <c r="G5282" s="35">
        <f>SUMIFS(G5283:G9015,K5283:K9015,"0",B5283:B9015,"5 1 2 1 1 12 31111 6 M59 70800 000132*")</f>
        <v>0</v>
      </c>
      <c r="H5282" s="35">
        <f t="shared" si="83"/>
        <v>250</v>
      </c>
      <c r="I5282" s="35"/>
      <c r="K5282" t="s">
        <v>15</v>
      </c>
    </row>
    <row r="5283" spans="2:11" ht="16.5" x14ac:dyDescent="0.2">
      <c r="B5283" s="33" t="s">
        <v>6247</v>
      </c>
      <c r="C5283" s="33" t="s">
        <v>650</v>
      </c>
      <c r="D5283" s="35">
        <f>SUMIFS(D5284:D9015,K5284:K9015,"0",B5284:B9015,"5 1 2 1 1 12 31111 6 M59 70800 000132 0000R*")-SUMIFS(E5284:E9015,K5284:K9015,"0",B5284:B9015,"5 1 2 1 1 12 31111 6 M59 70800 000132 0000R*")</f>
        <v>0</v>
      </c>
      <c r="E5283"/>
      <c r="F5283" s="35">
        <f>SUMIFS(F5284:F9015,K5284:K9015,"0",B5284:B9015,"5 1 2 1 1 12 31111 6 M59 70800 000132 0000R*")</f>
        <v>250</v>
      </c>
      <c r="G5283" s="35">
        <f>SUMIFS(G5284:G9015,K5284:K9015,"0",B5284:B9015,"5 1 2 1 1 12 31111 6 M59 70800 000132 0000R*")</f>
        <v>0</v>
      </c>
      <c r="H5283" s="35">
        <f t="shared" si="83"/>
        <v>250</v>
      </c>
      <c r="I5283" s="35"/>
      <c r="K5283" t="s">
        <v>15</v>
      </c>
    </row>
    <row r="5284" spans="2:11" ht="24.75" x14ac:dyDescent="0.2">
      <c r="B5284" s="33" t="s">
        <v>6248</v>
      </c>
      <c r="C5284" s="33" t="s">
        <v>282</v>
      </c>
      <c r="D5284" s="35">
        <f>SUMIFS(D5285:D9015,K5285:K9015,"0",B5285:B9015,"5 1 2 1 1 12 31111 6 M59 70800 000132 0000R 00001*")-SUMIFS(E5285:E9015,K5285:K9015,"0",B5285:B9015,"5 1 2 1 1 12 31111 6 M59 70800 000132 0000R 00001*")</f>
        <v>0</v>
      </c>
      <c r="E5284"/>
      <c r="F5284" s="35">
        <f>SUMIFS(F5285:F9015,K5285:K9015,"0",B5285:B9015,"5 1 2 1 1 12 31111 6 M59 70800 000132 0000R 00001*")</f>
        <v>250</v>
      </c>
      <c r="G5284" s="35">
        <f>SUMIFS(G5285:G9015,K5285:K9015,"0",B5285:B9015,"5 1 2 1 1 12 31111 6 M59 70800 000132 0000R 00001*")</f>
        <v>0</v>
      </c>
      <c r="H5284" s="35">
        <f t="shared" si="83"/>
        <v>250</v>
      </c>
      <c r="I5284" s="35"/>
      <c r="K5284" t="s">
        <v>15</v>
      </c>
    </row>
    <row r="5285" spans="2:11" ht="24.75" x14ac:dyDescent="0.2">
      <c r="B5285" s="33" t="s">
        <v>6249</v>
      </c>
      <c r="C5285" s="33" t="s">
        <v>5827</v>
      </c>
      <c r="D5285" s="35">
        <f>SUMIFS(D5286:D9015,K5286:K9015,"0",B5286:B9015,"5 1 2 1 1 12 31111 6 M59 70800 000132 0000R 00001 00211*")-SUMIFS(E5286:E9015,K5286:K9015,"0",B5286:B9015,"5 1 2 1 1 12 31111 6 M59 70800 000132 0000R 00001 00211*")</f>
        <v>0</v>
      </c>
      <c r="E5285"/>
      <c r="F5285" s="35">
        <f>SUMIFS(F5286:F9015,K5286:K9015,"0",B5286:B9015,"5 1 2 1 1 12 31111 6 M59 70800 000132 0000R 00001 00211*")</f>
        <v>250</v>
      </c>
      <c r="G5285" s="35">
        <f>SUMIFS(G5286:G9015,K5286:K9015,"0",B5286:B9015,"5 1 2 1 1 12 31111 6 M59 70800 000132 0000R 00001 00211*")</f>
        <v>0</v>
      </c>
      <c r="H5285" s="35">
        <f t="shared" si="83"/>
        <v>250</v>
      </c>
      <c r="I5285" s="35"/>
      <c r="K5285" t="s">
        <v>15</v>
      </c>
    </row>
    <row r="5286" spans="2:11" ht="24.75" x14ac:dyDescent="0.2">
      <c r="B5286" s="33" t="s">
        <v>6250</v>
      </c>
      <c r="C5286" s="33" t="s">
        <v>1051</v>
      </c>
      <c r="D5286" s="35">
        <f>SUMIFS(D5287:D9015,K5287:K9015,"0",B5287:B9015,"5 1 2 1 1 12 31111 6 M59 70800 000132 0000R 00001 00211 015*")-SUMIFS(E5287:E9015,K5287:K9015,"0",B5287:B9015,"5 1 2 1 1 12 31111 6 M59 70800 000132 0000R 00001 00211 015*")</f>
        <v>0</v>
      </c>
      <c r="E5286"/>
      <c r="F5286" s="35">
        <f>SUMIFS(F5287:F9015,K5287:K9015,"0",B5287:B9015,"5 1 2 1 1 12 31111 6 M59 70800 000132 0000R 00001 00211 015*")</f>
        <v>250</v>
      </c>
      <c r="G5286" s="35">
        <f>SUMIFS(G5287:G9015,K5287:K9015,"0",B5287:B9015,"5 1 2 1 1 12 31111 6 M59 70800 000132 0000R 00001 00211 015*")</f>
        <v>0</v>
      </c>
      <c r="H5286" s="35">
        <f t="shared" si="83"/>
        <v>250</v>
      </c>
      <c r="I5286" s="35"/>
      <c r="K5286" t="s">
        <v>15</v>
      </c>
    </row>
    <row r="5287" spans="2:11" ht="33" x14ac:dyDescent="0.2">
      <c r="B5287" s="33" t="s">
        <v>6251</v>
      </c>
      <c r="C5287" s="33" t="s">
        <v>5830</v>
      </c>
      <c r="D5287" s="35">
        <f>SUMIFS(D5288:D9015,K5288:K9015,"0",B5288:B9015,"5 1 2 1 1 12 31111 6 M59 70800 000132 0000R 00001 00211 015 2112000*")-SUMIFS(E5288:E9015,K5288:K9015,"0",B5288:B9015,"5 1 2 1 1 12 31111 6 M59 70800 000132 0000R 00001 00211 015 2112000*")</f>
        <v>0</v>
      </c>
      <c r="E5287"/>
      <c r="F5287" s="35">
        <f>SUMIFS(F5288:F9015,K5288:K9015,"0",B5288:B9015,"5 1 2 1 1 12 31111 6 M59 70800 000132 0000R 00001 00211 015 2112000*")</f>
        <v>250</v>
      </c>
      <c r="G5287" s="35">
        <f>SUMIFS(G5288:G9015,K5288:K9015,"0",B5288:B9015,"5 1 2 1 1 12 31111 6 M59 70800 000132 0000R 00001 00211 015 2112000*")</f>
        <v>0</v>
      </c>
      <c r="H5287" s="35">
        <f t="shared" si="83"/>
        <v>250</v>
      </c>
      <c r="I5287" s="35"/>
      <c r="K5287" t="s">
        <v>15</v>
      </c>
    </row>
    <row r="5288" spans="2:11" ht="33" x14ac:dyDescent="0.2">
      <c r="B5288" s="33" t="s">
        <v>6252</v>
      </c>
      <c r="C5288" s="33" t="s">
        <v>660</v>
      </c>
      <c r="D5288" s="35">
        <f>SUMIFS(D5289:D9015,K5289:K9015,"0",B5289:B9015,"5 1 2 1 1 12 31111 6 M59 70800 000132 0000R 00001 00211 015 2112000 2024*")-SUMIFS(E5289:E9015,K5289:K9015,"0",B5289:B9015,"5 1 2 1 1 12 31111 6 M59 70800 000132 0000R 00001 00211 015 2112000 2024*")</f>
        <v>0</v>
      </c>
      <c r="E5288"/>
      <c r="F5288" s="35">
        <f>SUMIFS(F5289:F9015,K5289:K9015,"0",B5289:B9015,"5 1 2 1 1 12 31111 6 M59 70800 000132 0000R 00001 00211 015 2112000 2024*")</f>
        <v>250</v>
      </c>
      <c r="G5288" s="35">
        <f>SUMIFS(G5289:G9015,K5289:K9015,"0",B5289:B9015,"5 1 2 1 1 12 31111 6 M59 70800 000132 0000R 00001 00211 015 2112000 2024*")</f>
        <v>0</v>
      </c>
      <c r="H5288" s="35">
        <f t="shared" si="83"/>
        <v>250</v>
      </c>
      <c r="I5288" s="35"/>
      <c r="K5288" t="s">
        <v>15</v>
      </c>
    </row>
    <row r="5289" spans="2:11" ht="41.25" x14ac:dyDescent="0.2">
      <c r="B5289" s="33" t="s">
        <v>6253</v>
      </c>
      <c r="C5289" s="33" t="s">
        <v>662</v>
      </c>
      <c r="D5289" s="35">
        <f>SUMIFS(D5290:D9015,K5290:K9015,"0",B5290:B9015,"5 1 2 1 1 12 31111 6 M59 70800 000132 0000R 00001 00211 015 2112000 2024 CP1ED416*")-SUMIFS(E5290:E9015,K5290:K9015,"0",B5290:B9015,"5 1 2 1 1 12 31111 6 M59 70800 000132 0000R 00001 00211 015 2112000 2024 CP1ED416*")</f>
        <v>0</v>
      </c>
      <c r="E5289"/>
      <c r="F5289" s="35">
        <f>SUMIFS(F5290:F9015,K5290:K9015,"0",B5290:B9015,"5 1 2 1 1 12 31111 6 M59 70800 000132 0000R 00001 00211 015 2112000 2024 CP1ED416*")</f>
        <v>250</v>
      </c>
      <c r="G5289" s="35">
        <f>SUMIFS(G5290:G9015,K5290:K9015,"0",B5290:B9015,"5 1 2 1 1 12 31111 6 M59 70800 000132 0000R 00001 00211 015 2112000 2024 CP1ED416*")</f>
        <v>0</v>
      </c>
      <c r="H5289" s="35">
        <f t="shared" si="83"/>
        <v>250</v>
      </c>
      <c r="I5289" s="35"/>
      <c r="K5289" t="s">
        <v>15</v>
      </c>
    </row>
    <row r="5290" spans="2:11" ht="41.25" x14ac:dyDescent="0.2">
      <c r="B5290" s="33" t="s">
        <v>6254</v>
      </c>
      <c r="C5290" s="33" t="s">
        <v>282</v>
      </c>
      <c r="D5290" s="35">
        <f>SUMIFS(D5291:D9015,K5291:K9015,"0",B5291:B9015,"5 1 2 1 1 12 31111 6 M59 70800 000132 0000R 00001 00211 015 2112000 2024 CP1ED416 001*")-SUMIFS(E5291:E9015,K5291:K9015,"0",B5291:B9015,"5 1 2 1 1 12 31111 6 M59 70800 000132 0000R 00001 00211 015 2112000 2024 CP1ED416 001*")</f>
        <v>0</v>
      </c>
      <c r="E5290"/>
      <c r="F5290" s="35">
        <f>SUMIFS(F5291:F9015,K5291:K9015,"0",B5291:B9015,"5 1 2 1 1 12 31111 6 M59 70800 000132 0000R 00001 00211 015 2112000 2024 CP1ED416 001*")</f>
        <v>250</v>
      </c>
      <c r="G5290" s="35">
        <f>SUMIFS(G5291:G9015,K5291:K9015,"0",B5291:B9015,"5 1 2 1 1 12 31111 6 M59 70800 000132 0000R 00001 00211 015 2112000 2024 CP1ED416 001*")</f>
        <v>0</v>
      </c>
      <c r="H5290" s="35">
        <f t="shared" si="83"/>
        <v>250</v>
      </c>
      <c r="I5290" s="35"/>
      <c r="K5290" t="s">
        <v>15</v>
      </c>
    </row>
    <row r="5291" spans="2:11" ht="33" x14ac:dyDescent="0.2">
      <c r="B5291" s="31" t="s">
        <v>6255</v>
      </c>
      <c r="C5291" s="31" t="s">
        <v>5827</v>
      </c>
      <c r="D5291" s="34">
        <v>0</v>
      </c>
      <c r="E5291" s="34"/>
      <c r="F5291" s="34">
        <v>250</v>
      </c>
      <c r="G5291" s="34">
        <v>0</v>
      </c>
      <c r="H5291" s="34">
        <f t="shared" si="83"/>
        <v>250</v>
      </c>
      <c r="I5291" s="34"/>
      <c r="K5291" t="s">
        <v>38</v>
      </c>
    </row>
    <row r="5292" spans="2:11" ht="16.5" x14ac:dyDescent="0.2">
      <c r="B5292" s="33" t="s">
        <v>6256</v>
      </c>
      <c r="C5292" s="33" t="s">
        <v>3486</v>
      </c>
      <c r="D5292" s="35">
        <f>SUMIFS(D5293:D9015,K5293:K9015,"0",B5293:B9015,"5 1 2 1 1 12 31111 6 M59 70900*")-SUMIFS(E5293:E9015,K5293:K9015,"0",B5293:B9015,"5 1 2 1 1 12 31111 6 M59 70900*")</f>
        <v>0</v>
      </c>
      <c r="E5292"/>
      <c r="F5292" s="35">
        <f>SUMIFS(F5293:F9015,K5293:K9015,"0",B5293:B9015,"5 1 2 1 1 12 31111 6 M59 70900*")</f>
        <v>250</v>
      </c>
      <c r="G5292" s="35">
        <f>SUMIFS(G5293:G9015,K5293:K9015,"0",B5293:B9015,"5 1 2 1 1 12 31111 6 M59 70900*")</f>
        <v>0</v>
      </c>
      <c r="H5292" s="35">
        <f t="shared" si="83"/>
        <v>250</v>
      </c>
      <c r="I5292" s="35"/>
      <c r="K5292" t="s">
        <v>15</v>
      </c>
    </row>
    <row r="5293" spans="2:11" ht="24.75" x14ac:dyDescent="0.2">
      <c r="B5293" s="33" t="s">
        <v>6257</v>
      </c>
      <c r="C5293" s="33" t="s">
        <v>3152</v>
      </c>
      <c r="D5293" s="35">
        <f>SUMIFS(D5294:D9015,K5294:K9015,"0",B5294:B9015,"5 1 2 1 1 12 31111 6 M59 70900 000181*")-SUMIFS(E5294:E9015,K5294:K9015,"0",B5294:B9015,"5 1 2 1 1 12 31111 6 M59 70900 000181*")</f>
        <v>0</v>
      </c>
      <c r="E5293"/>
      <c r="F5293" s="35">
        <f>SUMIFS(F5294:F9015,K5294:K9015,"0",B5294:B9015,"5 1 2 1 1 12 31111 6 M59 70900 000181*")</f>
        <v>250</v>
      </c>
      <c r="G5293" s="35">
        <f>SUMIFS(G5294:G9015,K5294:K9015,"0",B5294:B9015,"5 1 2 1 1 12 31111 6 M59 70900 000181*")</f>
        <v>0</v>
      </c>
      <c r="H5293" s="35">
        <f t="shared" si="83"/>
        <v>250</v>
      </c>
      <c r="I5293" s="35"/>
      <c r="K5293" t="s">
        <v>15</v>
      </c>
    </row>
    <row r="5294" spans="2:11" ht="16.5" x14ac:dyDescent="0.2">
      <c r="B5294" s="33" t="s">
        <v>6258</v>
      </c>
      <c r="C5294" s="33" t="s">
        <v>650</v>
      </c>
      <c r="D5294" s="35">
        <f>SUMIFS(D5295:D9015,K5295:K9015,"0",B5295:B9015,"5 1 2 1 1 12 31111 6 M59 70900 000181 0000R*")-SUMIFS(E5295:E9015,K5295:K9015,"0",B5295:B9015,"5 1 2 1 1 12 31111 6 M59 70900 000181 0000R*")</f>
        <v>0</v>
      </c>
      <c r="E5294"/>
      <c r="F5294" s="35">
        <f>SUMIFS(F5295:F9015,K5295:K9015,"0",B5295:B9015,"5 1 2 1 1 12 31111 6 M59 70900 000181 0000R*")</f>
        <v>250</v>
      </c>
      <c r="G5294" s="35">
        <f>SUMIFS(G5295:G9015,K5295:K9015,"0",B5295:B9015,"5 1 2 1 1 12 31111 6 M59 70900 000181 0000R*")</f>
        <v>0</v>
      </c>
      <c r="H5294" s="35">
        <f t="shared" si="83"/>
        <v>250</v>
      </c>
      <c r="I5294" s="35"/>
      <c r="K5294" t="s">
        <v>15</v>
      </c>
    </row>
    <row r="5295" spans="2:11" ht="24.75" x14ac:dyDescent="0.2">
      <c r="B5295" s="33" t="s">
        <v>6259</v>
      </c>
      <c r="C5295" s="33" t="s">
        <v>282</v>
      </c>
      <c r="D5295" s="35">
        <f>SUMIFS(D5296:D9015,K5296:K9015,"0",B5296:B9015,"5 1 2 1 1 12 31111 6 M59 70900 000181 0000R 00001*")-SUMIFS(E5296:E9015,K5296:K9015,"0",B5296:B9015,"5 1 2 1 1 12 31111 6 M59 70900 000181 0000R 00001*")</f>
        <v>0</v>
      </c>
      <c r="E5295"/>
      <c r="F5295" s="35">
        <f>SUMIFS(F5296:F9015,K5296:K9015,"0",B5296:B9015,"5 1 2 1 1 12 31111 6 M59 70900 000181 0000R 00001*")</f>
        <v>250</v>
      </c>
      <c r="G5295" s="35">
        <f>SUMIFS(G5296:G9015,K5296:K9015,"0",B5296:B9015,"5 1 2 1 1 12 31111 6 M59 70900 000181 0000R 00001*")</f>
        <v>0</v>
      </c>
      <c r="H5295" s="35">
        <f t="shared" si="83"/>
        <v>250</v>
      </c>
      <c r="I5295" s="35"/>
      <c r="K5295" t="s">
        <v>15</v>
      </c>
    </row>
    <row r="5296" spans="2:11" ht="24.75" x14ac:dyDescent="0.2">
      <c r="B5296" s="33" t="s">
        <v>6260</v>
      </c>
      <c r="C5296" s="33" t="s">
        <v>5827</v>
      </c>
      <c r="D5296" s="35">
        <f>SUMIFS(D5297:D9015,K5297:K9015,"0",B5297:B9015,"5 1 2 1 1 12 31111 6 M59 70900 000181 0000R 00001 00211*")-SUMIFS(E5297:E9015,K5297:K9015,"0",B5297:B9015,"5 1 2 1 1 12 31111 6 M59 70900 000181 0000R 00001 00211*")</f>
        <v>0</v>
      </c>
      <c r="E5296"/>
      <c r="F5296" s="35">
        <f>SUMIFS(F5297:F9015,K5297:K9015,"0",B5297:B9015,"5 1 2 1 1 12 31111 6 M59 70900 000181 0000R 00001 00211*")</f>
        <v>250</v>
      </c>
      <c r="G5296" s="35">
        <f>SUMIFS(G5297:G9015,K5297:K9015,"0",B5297:B9015,"5 1 2 1 1 12 31111 6 M59 70900 000181 0000R 00001 00211*")</f>
        <v>0</v>
      </c>
      <c r="H5296" s="35">
        <f t="shared" si="83"/>
        <v>250</v>
      </c>
      <c r="I5296" s="35"/>
      <c r="K5296" t="s">
        <v>15</v>
      </c>
    </row>
    <row r="5297" spans="2:11" ht="24.75" x14ac:dyDescent="0.2">
      <c r="B5297" s="33" t="s">
        <v>6261</v>
      </c>
      <c r="C5297" s="33" t="s">
        <v>1051</v>
      </c>
      <c r="D5297" s="35">
        <f>SUMIFS(D5298:D9015,K5298:K9015,"0",B5298:B9015,"5 1 2 1 1 12 31111 6 M59 70900 000181 0000R 00001 00211 015*")-SUMIFS(E5298:E9015,K5298:K9015,"0",B5298:B9015,"5 1 2 1 1 12 31111 6 M59 70900 000181 0000R 00001 00211 015*")</f>
        <v>0</v>
      </c>
      <c r="E5297"/>
      <c r="F5297" s="35">
        <f>SUMIFS(F5298:F9015,K5298:K9015,"0",B5298:B9015,"5 1 2 1 1 12 31111 6 M59 70900 000181 0000R 00001 00211 015*")</f>
        <v>250</v>
      </c>
      <c r="G5297" s="35">
        <f>SUMIFS(G5298:G9015,K5298:K9015,"0",B5298:B9015,"5 1 2 1 1 12 31111 6 M59 70900 000181 0000R 00001 00211 015*")</f>
        <v>0</v>
      </c>
      <c r="H5297" s="35">
        <f t="shared" si="83"/>
        <v>250</v>
      </c>
      <c r="I5297" s="35"/>
      <c r="K5297" t="s">
        <v>15</v>
      </c>
    </row>
    <row r="5298" spans="2:11" ht="33" x14ac:dyDescent="0.2">
      <c r="B5298" s="33" t="s">
        <v>6262</v>
      </c>
      <c r="C5298" s="33" t="s">
        <v>5830</v>
      </c>
      <c r="D5298" s="35">
        <f>SUMIFS(D5299:D9015,K5299:K9015,"0",B5299:B9015,"5 1 2 1 1 12 31111 6 M59 70900 000181 0000R 00001 00211 015 2112000*")-SUMIFS(E5299:E9015,K5299:K9015,"0",B5299:B9015,"5 1 2 1 1 12 31111 6 M59 70900 000181 0000R 00001 00211 015 2112000*")</f>
        <v>0</v>
      </c>
      <c r="E5298"/>
      <c r="F5298" s="35">
        <f>SUMIFS(F5299:F9015,K5299:K9015,"0",B5299:B9015,"5 1 2 1 1 12 31111 6 M59 70900 000181 0000R 00001 00211 015 2112000*")</f>
        <v>250</v>
      </c>
      <c r="G5298" s="35">
        <f>SUMIFS(G5299:G9015,K5299:K9015,"0",B5299:B9015,"5 1 2 1 1 12 31111 6 M59 70900 000181 0000R 00001 00211 015 2112000*")</f>
        <v>0</v>
      </c>
      <c r="H5298" s="35">
        <f t="shared" si="83"/>
        <v>250</v>
      </c>
      <c r="I5298" s="35"/>
      <c r="K5298" t="s">
        <v>15</v>
      </c>
    </row>
    <row r="5299" spans="2:11" ht="33" x14ac:dyDescent="0.2">
      <c r="B5299" s="33" t="s">
        <v>6263</v>
      </c>
      <c r="C5299" s="33" t="s">
        <v>660</v>
      </c>
      <c r="D5299" s="35">
        <f>SUMIFS(D5300:D9015,K5300:K9015,"0",B5300:B9015,"5 1 2 1 1 12 31111 6 M59 70900 000181 0000R 00001 00211 015 2112000 2024*")-SUMIFS(E5300:E9015,K5300:K9015,"0",B5300:B9015,"5 1 2 1 1 12 31111 6 M59 70900 000181 0000R 00001 00211 015 2112000 2024*")</f>
        <v>0</v>
      </c>
      <c r="E5299"/>
      <c r="F5299" s="35">
        <f>SUMIFS(F5300:F9015,K5300:K9015,"0",B5300:B9015,"5 1 2 1 1 12 31111 6 M59 70900 000181 0000R 00001 00211 015 2112000 2024*")</f>
        <v>250</v>
      </c>
      <c r="G5299" s="35">
        <f>SUMIFS(G5300:G9015,K5300:K9015,"0",B5300:B9015,"5 1 2 1 1 12 31111 6 M59 70900 000181 0000R 00001 00211 015 2112000 2024*")</f>
        <v>0</v>
      </c>
      <c r="H5299" s="35">
        <f t="shared" si="83"/>
        <v>250</v>
      </c>
      <c r="I5299" s="35"/>
      <c r="K5299" t="s">
        <v>15</v>
      </c>
    </row>
    <row r="5300" spans="2:11" ht="41.25" x14ac:dyDescent="0.2">
      <c r="B5300" s="33" t="s">
        <v>6264</v>
      </c>
      <c r="C5300" s="33" t="s">
        <v>3495</v>
      </c>
      <c r="D5300" s="35">
        <f>SUMIFS(D5301:D9015,K5301:K9015,"0",B5301:B9015,"5 1 2 1 1 12 31111 6 M59 70900 000181 0000R 00001 00211 015 2112000 2024 CP1EM392*")-SUMIFS(E5301:E9015,K5301:K9015,"0",B5301:B9015,"5 1 2 1 1 12 31111 6 M59 70900 000181 0000R 00001 00211 015 2112000 2024 CP1EM392*")</f>
        <v>0</v>
      </c>
      <c r="E5300"/>
      <c r="F5300" s="35">
        <f>SUMIFS(F5301:F9015,K5301:K9015,"0",B5301:B9015,"5 1 2 1 1 12 31111 6 M59 70900 000181 0000R 00001 00211 015 2112000 2024 CP1EM392*")</f>
        <v>250</v>
      </c>
      <c r="G5300" s="35">
        <f>SUMIFS(G5301:G9015,K5301:K9015,"0",B5301:B9015,"5 1 2 1 1 12 31111 6 M59 70900 000181 0000R 00001 00211 015 2112000 2024 CP1EM392*")</f>
        <v>0</v>
      </c>
      <c r="H5300" s="35">
        <f t="shared" si="83"/>
        <v>250</v>
      </c>
      <c r="I5300" s="35"/>
      <c r="K5300" t="s">
        <v>15</v>
      </c>
    </row>
    <row r="5301" spans="2:11" ht="41.25" x14ac:dyDescent="0.2">
      <c r="B5301" s="33" t="s">
        <v>6265</v>
      </c>
      <c r="C5301" s="33" t="s">
        <v>282</v>
      </c>
      <c r="D5301" s="35">
        <f>SUMIFS(D5302:D9015,K5302:K9015,"0",B5302:B9015,"5 1 2 1 1 12 31111 6 M59 70900 000181 0000R 00001 00211 015 2112000 2024 CP1EM392 001*")-SUMIFS(E5302:E9015,K5302:K9015,"0",B5302:B9015,"5 1 2 1 1 12 31111 6 M59 70900 000181 0000R 00001 00211 015 2112000 2024 CP1EM392 001*")</f>
        <v>0</v>
      </c>
      <c r="E5301"/>
      <c r="F5301" s="35">
        <f>SUMIFS(F5302:F9015,K5302:K9015,"0",B5302:B9015,"5 1 2 1 1 12 31111 6 M59 70900 000181 0000R 00001 00211 015 2112000 2024 CP1EM392 001*")</f>
        <v>250</v>
      </c>
      <c r="G5301" s="35">
        <f>SUMIFS(G5302:G9015,K5302:K9015,"0",B5302:B9015,"5 1 2 1 1 12 31111 6 M59 70900 000181 0000R 00001 00211 015 2112000 2024 CP1EM392 001*")</f>
        <v>0</v>
      </c>
      <c r="H5301" s="35">
        <f t="shared" si="83"/>
        <v>250</v>
      </c>
      <c r="I5301" s="35"/>
      <c r="K5301" t="s">
        <v>15</v>
      </c>
    </row>
    <row r="5302" spans="2:11" ht="33" x14ac:dyDescent="0.2">
      <c r="B5302" s="31" t="s">
        <v>6266</v>
      </c>
      <c r="C5302" s="31" t="s">
        <v>5827</v>
      </c>
      <c r="D5302" s="34">
        <v>0</v>
      </c>
      <c r="E5302" s="34"/>
      <c r="F5302" s="34">
        <v>250</v>
      </c>
      <c r="G5302" s="34">
        <v>0</v>
      </c>
      <c r="H5302" s="34">
        <f t="shared" si="83"/>
        <v>250</v>
      </c>
      <c r="I5302" s="34"/>
      <c r="K5302" t="s">
        <v>38</v>
      </c>
    </row>
    <row r="5303" spans="2:11" ht="16.5" x14ac:dyDescent="0.2">
      <c r="B5303" s="33" t="s">
        <v>6267</v>
      </c>
      <c r="C5303" s="33" t="s">
        <v>3499</v>
      </c>
      <c r="D5303" s="35">
        <f>SUMIFS(D5304:D9015,K5304:K9015,"0",B5304:B9015,"5 1 2 1 1 12 31111 6 M59 71000*")-SUMIFS(E5304:E9015,K5304:K9015,"0",B5304:B9015,"5 1 2 1 1 12 31111 6 M59 71000*")</f>
        <v>0</v>
      </c>
      <c r="E5303"/>
      <c r="F5303" s="35">
        <f>SUMIFS(F5304:F9015,K5304:K9015,"0",B5304:B9015,"5 1 2 1 1 12 31111 6 M59 71000*")</f>
        <v>250</v>
      </c>
      <c r="G5303" s="35">
        <f>SUMIFS(G5304:G9015,K5304:K9015,"0",B5304:B9015,"5 1 2 1 1 12 31111 6 M59 71000*")</f>
        <v>0</v>
      </c>
      <c r="H5303" s="35">
        <f t="shared" si="83"/>
        <v>250</v>
      </c>
      <c r="I5303" s="35"/>
      <c r="K5303" t="s">
        <v>15</v>
      </c>
    </row>
    <row r="5304" spans="2:11" ht="16.5" x14ac:dyDescent="0.2">
      <c r="B5304" s="33" t="s">
        <v>6268</v>
      </c>
      <c r="C5304" s="33" t="s">
        <v>648</v>
      </c>
      <c r="D5304" s="35">
        <f>SUMIFS(D5305:D9015,K5305:K9015,"0",B5305:B9015,"5 1 2 1 1 12 31111 6 M59 71000 000132*")-SUMIFS(E5305:E9015,K5305:K9015,"0",B5305:B9015,"5 1 2 1 1 12 31111 6 M59 71000 000132*")</f>
        <v>0</v>
      </c>
      <c r="E5304"/>
      <c r="F5304" s="35">
        <f>SUMIFS(F5305:F9015,K5305:K9015,"0",B5305:B9015,"5 1 2 1 1 12 31111 6 M59 71000 000132*")</f>
        <v>250</v>
      </c>
      <c r="G5304" s="35">
        <f>SUMIFS(G5305:G9015,K5305:K9015,"0",B5305:B9015,"5 1 2 1 1 12 31111 6 M59 71000 000132*")</f>
        <v>0</v>
      </c>
      <c r="H5304" s="35">
        <f t="shared" si="83"/>
        <v>250</v>
      </c>
      <c r="I5304" s="35"/>
      <c r="K5304" t="s">
        <v>15</v>
      </c>
    </row>
    <row r="5305" spans="2:11" ht="16.5" x14ac:dyDescent="0.2">
      <c r="B5305" s="33" t="s">
        <v>6269</v>
      </c>
      <c r="C5305" s="33" t="s">
        <v>650</v>
      </c>
      <c r="D5305" s="35">
        <f>SUMIFS(D5306:D9015,K5306:K9015,"0",B5306:B9015,"5 1 2 1 1 12 31111 6 M59 71000 000132 0000R*")-SUMIFS(E5306:E9015,K5306:K9015,"0",B5306:B9015,"5 1 2 1 1 12 31111 6 M59 71000 000132 0000R*")</f>
        <v>0</v>
      </c>
      <c r="E5305"/>
      <c r="F5305" s="35">
        <f>SUMIFS(F5306:F9015,K5306:K9015,"0",B5306:B9015,"5 1 2 1 1 12 31111 6 M59 71000 000132 0000R*")</f>
        <v>250</v>
      </c>
      <c r="G5305" s="35">
        <f>SUMIFS(G5306:G9015,K5306:K9015,"0",B5306:B9015,"5 1 2 1 1 12 31111 6 M59 71000 000132 0000R*")</f>
        <v>0</v>
      </c>
      <c r="H5305" s="35">
        <f t="shared" si="83"/>
        <v>250</v>
      </c>
      <c r="I5305" s="35"/>
      <c r="K5305" t="s">
        <v>15</v>
      </c>
    </row>
    <row r="5306" spans="2:11" ht="24.75" x14ac:dyDescent="0.2">
      <c r="B5306" s="33" t="s">
        <v>6270</v>
      </c>
      <c r="C5306" s="33" t="s">
        <v>282</v>
      </c>
      <c r="D5306" s="35">
        <f>SUMIFS(D5307:D9015,K5307:K9015,"0",B5307:B9015,"5 1 2 1 1 12 31111 6 M59 71000 000132 0000R 00001*")-SUMIFS(E5307:E9015,K5307:K9015,"0",B5307:B9015,"5 1 2 1 1 12 31111 6 M59 71000 000132 0000R 00001*")</f>
        <v>0</v>
      </c>
      <c r="E5306"/>
      <c r="F5306" s="35">
        <f>SUMIFS(F5307:F9015,K5307:K9015,"0",B5307:B9015,"5 1 2 1 1 12 31111 6 M59 71000 000132 0000R 00001*")</f>
        <v>250</v>
      </c>
      <c r="G5306" s="35">
        <f>SUMIFS(G5307:G9015,K5307:K9015,"0",B5307:B9015,"5 1 2 1 1 12 31111 6 M59 71000 000132 0000R 00001*")</f>
        <v>0</v>
      </c>
      <c r="H5306" s="35">
        <f t="shared" si="83"/>
        <v>250</v>
      </c>
      <c r="I5306" s="35"/>
      <c r="K5306" t="s">
        <v>15</v>
      </c>
    </row>
    <row r="5307" spans="2:11" ht="24.75" x14ac:dyDescent="0.2">
      <c r="B5307" s="33" t="s">
        <v>6271</v>
      </c>
      <c r="C5307" s="33" t="s">
        <v>5827</v>
      </c>
      <c r="D5307" s="35">
        <f>SUMIFS(D5308:D9015,K5308:K9015,"0",B5308:B9015,"5 1 2 1 1 12 31111 6 M59 71000 000132 0000R 00001 00211*")-SUMIFS(E5308:E9015,K5308:K9015,"0",B5308:B9015,"5 1 2 1 1 12 31111 6 M59 71000 000132 0000R 00001 00211*")</f>
        <v>0</v>
      </c>
      <c r="E5307"/>
      <c r="F5307" s="35">
        <f>SUMIFS(F5308:F9015,K5308:K9015,"0",B5308:B9015,"5 1 2 1 1 12 31111 6 M59 71000 000132 0000R 00001 00211*")</f>
        <v>250</v>
      </c>
      <c r="G5307" s="35">
        <f>SUMIFS(G5308:G9015,K5308:K9015,"0",B5308:B9015,"5 1 2 1 1 12 31111 6 M59 71000 000132 0000R 00001 00211*")</f>
        <v>0</v>
      </c>
      <c r="H5307" s="35">
        <f t="shared" si="83"/>
        <v>250</v>
      </c>
      <c r="I5307" s="35"/>
      <c r="K5307" t="s">
        <v>15</v>
      </c>
    </row>
    <row r="5308" spans="2:11" ht="24.75" x14ac:dyDescent="0.2">
      <c r="B5308" s="33" t="s">
        <v>6272</v>
      </c>
      <c r="C5308" s="33" t="s">
        <v>1051</v>
      </c>
      <c r="D5308" s="35">
        <f>SUMIFS(D5309:D9015,K5309:K9015,"0",B5309:B9015,"5 1 2 1 1 12 31111 6 M59 71000 000132 0000R 00001 00211 015*")-SUMIFS(E5309:E9015,K5309:K9015,"0",B5309:B9015,"5 1 2 1 1 12 31111 6 M59 71000 000132 0000R 00001 00211 015*")</f>
        <v>0</v>
      </c>
      <c r="E5308"/>
      <c r="F5308" s="35">
        <f>SUMIFS(F5309:F9015,K5309:K9015,"0",B5309:B9015,"5 1 2 1 1 12 31111 6 M59 71000 000132 0000R 00001 00211 015*")</f>
        <v>250</v>
      </c>
      <c r="G5308" s="35">
        <f>SUMIFS(G5309:G9015,K5309:K9015,"0",B5309:B9015,"5 1 2 1 1 12 31111 6 M59 71000 000132 0000R 00001 00211 015*")</f>
        <v>0</v>
      </c>
      <c r="H5308" s="35">
        <f t="shared" si="83"/>
        <v>250</v>
      </c>
      <c r="I5308" s="35"/>
      <c r="K5308" t="s">
        <v>15</v>
      </c>
    </row>
    <row r="5309" spans="2:11" ht="33" x14ac:dyDescent="0.2">
      <c r="B5309" s="33" t="s">
        <v>6273</v>
      </c>
      <c r="C5309" s="33" t="s">
        <v>5830</v>
      </c>
      <c r="D5309" s="35">
        <f>SUMIFS(D5310:D9015,K5310:K9015,"0",B5310:B9015,"5 1 2 1 1 12 31111 6 M59 71000 000132 0000R 00001 00211 015 2112000*")-SUMIFS(E5310:E9015,K5310:K9015,"0",B5310:B9015,"5 1 2 1 1 12 31111 6 M59 71000 000132 0000R 00001 00211 015 2112000*")</f>
        <v>0</v>
      </c>
      <c r="E5309"/>
      <c r="F5309" s="35">
        <f>SUMIFS(F5310:F9015,K5310:K9015,"0",B5310:B9015,"5 1 2 1 1 12 31111 6 M59 71000 000132 0000R 00001 00211 015 2112000*")</f>
        <v>250</v>
      </c>
      <c r="G5309" s="35">
        <f>SUMIFS(G5310:G9015,K5310:K9015,"0",B5310:B9015,"5 1 2 1 1 12 31111 6 M59 71000 000132 0000R 00001 00211 015 2112000*")</f>
        <v>0</v>
      </c>
      <c r="H5309" s="35">
        <f t="shared" si="83"/>
        <v>250</v>
      </c>
      <c r="I5309" s="35"/>
      <c r="K5309" t="s">
        <v>15</v>
      </c>
    </row>
    <row r="5310" spans="2:11" ht="33" x14ac:dyDescent="0.2">
      <c r="B5310" s="33" t="s">
        <v>6274</v>
      </c>
      <c r="C5310" s="33" t="s">
        <v>660</v>
      </c>
      <c r="D5310" s="35">
        <f>SUMIFS(D5311:D9015,K5311:K9015,"0",B5311:B9015,"5 1 2 1 1 12 31111 6 M59 71000 000132 0000R 00001 00211 015 2112000 2024*")-SUMIFS(E5311:E9015,K5311:K9015,"0",B5311:B9015,"5 1 2 1 1 12 31111 6 M59 71000 000132 0000R 00001 00211 015 2112000 2024*")</f>
        <v>0</v>
      </c>
      <c r="E5310"/>
      <c r="F5310" s="35">
        <f>SUMIFS(F5311:F9015,K5311:K9015,"0",B5311:B9015,"5 1 2 1 1 12 31111 6 M59 71000 000132 0000R 00001 00211 015 2112000 2024*")</f>
        <v>250</v>
      </c>
      <c r="G5310" s="35">
        <f>SUMIFS(G5311:G9015,K5311:K9015,"0",B5311:B9015,"5 1 2 1 1 12 31111 6 M59 71000 000132 0000R 00001 00211 015 2112000 2024*")</f>
        <v>0</v>
      </c>
      <c r="H5310" s="35">
        <f t="shared" si="83"/>
        <v>250</v>
      </c>
      <c r="I5310" s="35"/>
      <c r="K5310" t="s">
        <v>15</v>
      </c>
    </row>
    <row r="5311" spans="2:11" ht="41.25" x14ac:dyDescent="0.2">
      <c r="B5311" s="33" t="s">
        <v>6275</v>
      </c>
      <c r="C5311" s="33" t="s">
        <v>662</v>
      </c>
      <c r="D5311" s="35">
        <f>SUMIFS(D5312:D9015,K5312:K9015,"0",B5312:B9015,"5 1 2 1 1 12 31111 6 M59 71000 000132 0000R 00001 00211 015 2112000 2024 CP1AP422*")-SUMIFS(E5312:E9015,K5312:K9015,"0",B5312:B9015,"5 1 2 1 1 12 31111 6 M59 71000 000132 0000R 00001 00211 015 2112000 2024 CP1AP422*")</f>
        <v>0</v>
      </c>
      <c r="E5311"/>
      <c r="F5311" s="35">
        <f>SUMIFS(F5312:F9015,K5312:K9015,"0",B5312:B9015,"5 1 2 1 1 12 31111 6 M59 71000 000132 0000R 00001 00211 015 2112000 2024 CP1AP422*")</f>
        <v>250</v>
      </c>
      <c r="G5311" s="35">
        <f>SUMIFS(G5312:G9015,K5312:K9015,"0",B5312:B9015,"5 1 2 1 1 12 31111 6 M59 71000 000132 0000R 00001 00211 015 2112000 2024 CP1AP422*")</f>
        <v>0</v>
      </c>
      <c r="H5311" s="35">
        <f t="shared" si="83"/>
        <v>250</v>
      </c>
      <c r="I5311" s="35"/>
      <c r="K5311" t="s">
        <v>15</v>
      </c>
    </row>
    <row r="5312" spans="2:11" ht="41.25" x14ac:dyDescent="0.2">
      <c r="B5312" s="33" t="s">
        <v>6276</v>
      </c>
      <c r="C5312" s="33" t="s">
        <v>282</v>
      </c>
      <c r="D5312" s="35">
        <f>SUMIFS(D5313:D9015,K5313:K9015,"0",B5313:B9015,"5 1 2 1 1 12 31111 6 M59 71000 000132 0000R 00001 00211 015 2112000 2024 CP1AP422 001*")-SUMIFS(E5313:E9015,K5313:K9015,"0",B5313:B9015,"5 1 2 1 1 12 31111 6 M59 71000 000132 0000R 00001 00211 015 2112000 2024 CP1AP422 001*")</f>
        <v>0</v>
      </c>
      <c r="E5312"/>
      <c r="F5312" s="35">
        <f>SUMIFS(F5313:F9015,K5313:K9015,"0",B5313:B9015,"5 1 2 1 1 12 31111 6 M59 71000 000132 0000R 00001 00211 015 2112000 2024 CP1AP422 001*")</f>
        <v>250</v>
      </c>
      <c r="G5312" s="35">
        <f>SUMIFS(G5313:G9015,K5313:K9015,"0",B5313:B9015,"5 1 2 1 1 12 31111 6 M59 71000 000132 0000R 00001 00211 015 2112000 2024 CP1AP422 001*")</f>
        <v>0</v>
      </c>
      <c r="H5312" s="35">
        <f t="shared" si="83"/>
        <v>250</v>
      </c>
      <c r="I5312" s="35"/>
      <c r="K5312" t="s">
        <v>15</v>
      </c>
    </row>
    <row r="5313" spans="2:11" ht="33" x14ac:dyDescent="0.2">
      <c r="B5313" s="31" t="s">
        <v>6277</v>
      </c>
      <c r="C5313" s="31" t="s">
        <v>5827</v>
      </c>
      <c r="D5313" s="34">
        <v>0</v>
      </c>
      <c r="E5313" s="34"/>
      <c r="F5313" s="34">
        <v>250</v>
      </c>
      <c r="G5313" s="34">
        <v>0</v>
      </c>
      <c r="H5313" s="34">
        <f t="shared" si="83"/>
        <v>250</v>
      </c>
      <c r="I5313" s="34"/>
      <c r="K5313" t="s">
        <v>38</v>
      </c>
    </row>
    <row r="5314" spans="2:11" ht="16.5" x14ac:dyDescent="0.2">
      <c r="B5314" s="33" t="s">
        <v>6278</v>
      </c>
      <c r="C5314" s="33" t="s">
        <v>3535</v>
      </c>
      <c r="D5314" s="35">
        <f>SUMIFS(D5315:D9015,K5315:K9015,"0",B5315:B9015,"5 1 2 1 1 12 31111 6 M59 80100*")-SUMIFS(E5315:E9015,K5315:K9015,"0",B5315:B9015,"5 1 2 1 1 12 31111 6 M59 80100*")</f>
        <v>0</v>
      </c>
      <c r="E5314"/>
      <c r="F5314" s="35">
        <f>SUMIFS(F5315:F9015,K5315:K9015,"0",B5315:B9015,"5 1 2 1 1 12 31111 6 M59 80100*")</f>
        <v>250</v>
      </c>
      <c r="G5314" s="35">
        <f>SUMIFS(G5315:G9015,K5315:K9015,"0",B5315:B9015,"5 1 2 1 1 12 31111 6 M59 80100*")</f>
        <v>0</v>
      </c>
      <c r="H5314" s="35">
        <f t="shared" si="83"/>
        <v>250</v>
      </c>
      <c r="I5314" s="35"/>
      <c r="K5314" t="s">
        <v>15</v>
      </c>
    </row>
    <row r="5315" spans="2:11" ht="16.5" x14ac:dyDescent="0.2">
      <c r="B5315" s="33" t="s">
        <v>6279</v>
      </c>
      <c r="C5315" s="33" t="s">
        <v>648</v>
      </c>
      <c r="D5315" s="35">
        <f>SUMIFS(D5316:D9015,K5316:K9015,"0",B5316:B9015,"5 1 2 1 1 12 31111 6 M59 80100 000132*")-SUMIFS(E5316:E9015,K5316:K9015,"0",B5316:B9015,"5 1 2 1 1 12 31111 6 M59 80100 000132*")</f>
        <v>0</v>
      </c>
      <c r="E5315"/>
      <c r="F5315" s="35">
        <f>SUMIFS(F5316:F9015,K5316:K9015,"0",B5316:B9015,"5 1 2 1 1 12 31111 6 M59 80100 000132*")</f>
        <v>250</v>
      </c>
      <c r="G5315" s="35">
        <f>SUMIFS(G5316:G9015,K5316:K9015,"0",B5316:B9015,"5 1 2 1 1 12 31111 6 M59 80100 000132*")</f>
        <v>0</v>
      </c>
      <c r="H5315" s="35">
        <f t="shared" si="83"/>
        <v>250</v>
      </c>
      <c r="I5315" s="35"/>
      <c r="K5315" t="s">
        <v>15</v>
      </c>
    </row>
    <row r="5316" spans="2:11" ht="16.5" x14ac:dyDescent="0.2">
      <c r="B5316" s="33" t="s">
        <v>6280</v>
      </c>
      <c r="C5316" s="33" t="s">
        <v>650</v>
      </c>
      <c r="D5316" s="35">
        <f>SUMIFS(D5317:D9015,K5317:K9015,"0",B5317:B9015,"5 1 2 1 1 12 31111 6 M59 80100 000132 0000R*")-SUMIFS(E5317:E9015,K5317:K9015,"0",B5317:B9015,"5 1 2 1 1 12 31111 6 M59 80100 000132 0000R*")</f>
        <v>0</v>
      </c>
      <c r="E5316"/>
      <c r="F5316" s="35">
        <f>SUMIFS(F5317:F9015,K5317:K9015,"0",B5317:B9015,"5 1 2 1 1 12 31111 6 M59 80100 000132 0000R*")</f>
        <v>250</v>
      </c>
      <c r="G5316" s="35">
        <f>SUMIFS(G5317:G9015,K5317:K9015,"0",B5317:B9015,"5 1 2 1 1 12 31111 6 M59 80100 000132 0000R*")</f>
        <v>0</v>
      </c>
      <c r="H5316" s="35">
        <f t="shared" ref="H5316:H5379" si="84">D5316 + F5316 - G5316</f>
        <v>250</v>
      </c>
      <c r="I5316" s="35"/>
      <c r="K5316" t="s">
        <v>15</v>
      </c>
    </row>
    <row r="5317" spans="2:11" ht="24.75" x14ac:dyDescent="0.2">
      <c r="B5317" s="33" t="s">
        <v>6281</v>
      </c>
      <c r="C5317" s="33" t="s">
        <v>282</v>
      </c>
      <c r="D5317" s="35">
        <f>SUMIFS(D5318:D9015,K5318:K9015,"0",B5318:B9015,"5 1 2 1 1 12 31111 6 M59 80100 000132 0000R 00001*")-SUMIFS(E5318:E9015,K5318:K9015,"0",B5318:B9015,"5 1 2 1 1 12 31111 6 M59 80100 000132 0000R 00001*")</f>
        <v>0</v>
      </c>
      <c r="E5317"/>
      <c r="F5317" s="35">
        <f>SUMIFS(F5318:F9015,K5318:K9015,"0",B5318:B9015,"5 1 2 1 1 12 31111 6 M59 80100 000132 0000R 00001*")</f>
        <v>250</v>
      </c>
      <c r="G5317" s="35">
        <f>SUMIFS(G5318:G9015,K5318:K9015,"0",B5318:B9015,"5 1 2 1 1 12 31111 6 M59 80100 000132 0000R 00001*")</f>
        <v>0</v>
      </c>
      <c r="H5317" s="35">
        <f t="shared" si="84"/>
        <v>250</v>
      </c>
      <c r="I5317" s="35"/>
      <c r="K5317" t="s">
        <v>15</v>
      </c>
    </row>
    <row r="5318" spans="2:11" ht="24.75" x14ac:dyDescent="0.2">
      <c r="B5318" s="33" t="s">
        <v>6282</v>
      </c>
      <c r="C5318" s="33" t="s">
        <v>5827</v>
      </c>
      <c r="D5318" s="35">
        <f>SUMIFS(D5319:D9015,K5319:K9015,"0",B5319:B9015,"5 1 2 1 1 12 31111 6 M59 80100 000132 0000R 00001 00211*")-SUMIFS(E5319:E9015,K5319:K9015,"0",B5319:B9015,"5 1 2 1 1 12 31111 6 M59 80100 000132 0000R 00001 00211*")</f>
        <v>0</v>
      </c>
      <c r="E5318"/>
      <c r="F5318" s="35">
        <f>SUMIFS(F5319:F9015,K5319:K9015,"0",B5319:B9015,"5 1 2 1 1 12 31111 6 M59 80100 000132 0000R 00001 00211*")</f>
        <v>250</v>
      </c>
      <c r="G5318" s="35">
        <f>SUMIFS(G5319:G9015,K5319:K9015,"0",B5319:B9015,"5 1 2 1 1 12 31111 6 M59 80100 000132 0000R 00001 00211*")</f>
        <v>0</v>
      </c>
      <c r="H5318" s="35">
        <f t="shared" si="84"/>
        <v>250</v>
      </c>
      <c r="I5318" s="35"/>
      <c r="K5318" t="s">
        <v>15</v>
      </c>
    </row>
    <row r="5319" spans="2:11" ht="24.75" x14ac:dyDescent="0.2">
      <c r="B5319" s="33" t="s">
        <v>6283</v>
      </c>
      <c r="C5319" s="33" t="s">
        <v>1051</v>
      </c>
      <c r="D5319" s="35">
        <f>SUMIFS(D5320:D9015,K5320:K9015,"0",B5320:B9015,"5 1 2 1 1 12 31111 6 M59 80100 000132 0000R 00001 00211 015*")-SUMIFS(E5320:E9015,K5320:K9015,"0",B5320:B9015,"5 1 2 1 1 12 31111 6 M59 80100 000132 0000R 00001 00211 015*")</f>
        <v>0</v>
      </c>
      <c r="E5319"/>
      <c r="F5319" s="35">
        <f>SUMIFS(F5320:F9015,K5320:K9015,"0",B5320:B9015,"5 1 2 1 1 12 31111 6 M59 80100 000132 0000R 00001 00211 015*")</f>
        <v>250</v>
      </c>
      <c r="G5319" s="35">
        <f>SUMIFS(G5320:G9015,K5320:K9015,"0",B5320:B9015,"5 1 2 1 1 12 31111 6 M59 80100 000132 0000R 00001 00211 015*")</f>
        <v>0</v>
      </c>
      <c r="H5319" s="35">
        <f t="shared" si="84"/>
        <v>250</v>
      </c>
      <c r="I5319" s="35"/>
      <c r="K5319" t="s">
        <v>15</v>
      </c>
    </row>
    <row r="5320" spans="2:11" ht="33" x14ac:dyDescent="0.2">
      <c r="B5320" s="33" t="s">
        <v>6284</v>
      </c>
      <c r="C5320" s="33" t="s">
        <v>5830</v>
      </c>
      <c r="D5320" s="35">
        <f>SUMIFS(D5321:D9015,K5321:K9015,"0",B5321:B9015,"5 1 2 1 1 12 31111 6 M59 80100 000132 0000R 00001 00211 015 2112000*")-SUMIFS(E5321:E9015,K5321:K9015,"0",B5321:B9015,"5 1 2 1 1 12 31111 6 M59 80100 000132 0000R 00001 00211 015 2112000*")</f>
        <v>0</v>
      </c>
      <c r="E5320"/>
      <c r="F5320" s="35">
        <f>SUMIFS(F5321:F9015,K5321:K9015,"0",B5321:B9015,"5 1 2 1 1 12 31111 6 M59 80100 000132 0000R 00001 00211 015 2112000*")</f>
        <v>250</v>
      </c>
      <c r="G5320" s="35">
        <f>SUMIFS(G5321:G9015,K5321:K9015,"0",B5321:B9015,"5 1 2 1 1 12 31111 6 M59 80100 000132 0000R 00001 00211 015 2112000*")</f>
        <v>0</v>
      </c>
      <c r="H5320" s="35">
        <f t="shared" si="84"/>
        <v>250</v>
      </c>
      <c r="I5320" s="35"/>
      <c r="K5320" t="s">
        <v>15</v>
      </c>
    </row>
    <row r="5321" spans="2:11" ht="33" x14ac:dyDescent="0.2">
      <c r="B5321" s="33" t="s">
        <v>6285</v>
      </c>
      <c r="C5321" s="33" t="s">
        <v>660</v>
      </c>
      <c r="D5321" s="35">
        <f>SUMIFS(D5322:D9015,K5322:K9015,"0",B5322:B9015,"5 1 2 1 1 12 31111 6 M59 80100 000132 0000R 00001 00211 015 2112000 2024*")-SUMIFS(E5322:E9015,K5322:K9015,"0",B5322:B9015,"5 1 2 1 1 12 31111 6 M59 80100 000132 0000R 00001 00211 015 2112000 2024*")</f>
        <v>0</v>
      </c>
      <c r="E5321"/>
      <c r="F5321" s="35">
        <f>SUMIFS(F5322:F9015,K5322:K9015,"0",B5322:B9015,"5 1 2 1 1 12 31111 6 M59 80100 000132 0000R 00001 00211 015 2112000 2024*")</f>
        <v>250</v>
      </c>
      <c r="G5321" s="35">
        <f>SUMIFS(G5322:G9015,K5322:K9015,"0",B5322:B9015,"5 1 2 1 1 12 31111 6 M59 80100 000132 0000R 00001 00211 015 2112000 2024*")</f>
        <v>0</v>
      </c>
      <c r="H5321" s="35">
        <f t="shared" si="84"/>
        <v>250</v>
      </c>
      <c r="I5321" s="35"/>
      <c r="K5321" t="s">
        <v>15</v>
      </c>
    </row>
    <row r="5322" spans="2:11" ht="41.25" x14ac:dyDescent="0.2">
      <c r="B5322" s="33" t="s">
        <v>6286</v>
      </c>
      <c r="C5322" s="33" t="s">
        <v>1056</v>
      </c>
      <c r="D5322" s="35">
        <f>SUMIFS(D5323:D9015,K5323:K9015,"0",B5323:B9015,"5 1 2 1 1 12 31111 6 M59 80100 000132 0000R 00001 00211 015 2112000 2024 CP1AC425*")-SUMIFS(E5323:E9015,K5323:K9015,"0",B5323:B9015,"5 1 2 1 1 12 31111 6 M59 80100 000132 0000R 00001 00211 015 2112000 2024 CP1AC425*")</f>
        <v>0</v>
      </c>
      <c r="E5322"/>
      <c r="F5322" s="35">
        <f>SUMIFS(F5323:F9015,K5323:K9015,"0",B5323:B9015,"5 1 2 1 1 12 31111 6 M59 80100 000132 0000R 00001 00211 015 2112000 2024 CP1AC425*")</f>
        <v>250</v>
      </c>
      <c r="G5322" s="35">
        <f>SUMIFS(G5323:G9015,K5323:K9015,"0",B5323:B9015,"5 1 2 1 1 12 31111 6 M59 80100 000132 0000R 00001 00211 015 2112000 2024 CP1AC425*")</f>
        <v>0</v>
      </c>
      <c r="H5322" s="35">
        <f t="shared" si="84"/>
        <v>250</v>
      </c>
      <c r="I5322" s="35"/>
      <c r="K5322" t="s">
        <v>15</v>
      </c>
    </row>
    <row r="5323" spans="2:11" ht="41.25" x14ac:dyDescent="0.2">
      <c r="B5323" s="33" t="s">
        <v>6287</v>
      </c>
      <c r="C5323" s="33" t="s">
        <v>282</v>
      </c>
      <c r="D5323" s="35">
        <f>SUMIFS(D5324:D9015,K5324:K9015,"0",B5324:B9015,"5 1 2 1 1 12 31111 6 M59 80100 000132 0000R 00001 00211 015 2112000 2024 CP1AC425 001*")-SUMIFS(E5324:E9015,K5324:K9015,"0",B5324:B9015,"5 1 2 1 1 12 31111 6 M59 80100 000132 0000R 00001 00211 015 2112000 2024 CP1AC425 001*")</f>
        <v>0</v>
      </c>
      <c r="E5323"/>
      <c r="F5323" s="35">
        <f>SUMIFS(F5324:F9015,K5324:K9015,"0",B5324:B9015,"5 1 2 1 1 12 31111 6 M59 80100 000132 0000R 00001 00211 015 2112000 2024 CP1AC425 001*")</f>
        <v>250</v>
      </c>
      <c r="G5323" s="35">
        <f>SUMIFS(G5324:G9015,K5324:K9015,"0",B5324:B9015,"5 1 2 1 1 12 31111 6 M59 80100 000132 0000R 00001 00211 015 2112000 2024 CP1AC425 001*")</f>
        <v>0</v>
      </c>
      <c r="H5323" s="35">
        <f t="shared" si="84"/>
        <v>250</v>
      </c>
      <c r="I5323" s="35"/>
      <c r="K5323" t="s">
        <v>15</v>
      </c>
    </row>
    <row r="5324" spans="2:11" ht="33" x14ac:dyDescent="0.2">
      <c r="B5324" s="31" t="s">
        <v>6288</v>
      </c>
      <c r="C5324" s="31" t="s">
        <v>5827</v>
      </c>
      <c r="D5324" s="34">
        <v>0</v>
      </c>
      <c r="E5324" s="34"/>
      <c r="F5324" s="34">
        <v>250</v>
      </c>
      <c r="G5324" s="34">
        <v>0</v>
      </c>
      <c r="H5324" s="34">
        <f t="shared" si="84"/>
        <v>250</v>
      </c>
      <c r="I5324" s="34"/>
      <c r="K5324" t="s">
        <v>38</v>
      </c>
    </row>
    <row r="5325" spans="2:11" ht="16.5" x14ac:dyDescent="0.2">
      <c r="B5325" s="33" t="s">
        <v>6289</v>
      </c>
      <c r="C5325" s="33" t="s">
        <v>6290</v>
      </c>
      <c r="D5325" s="35">
        <f>SUMIFS(D5326:D9015,K5326:K9015,"0",B5326:B9015,"5 1 2 1 1 12 31111 6 M59 80200*")-SUMIFS(E5326:E9015,K5326:K9015,"0",B5326:B9015,"5 1 2 1 1 12 31111 6 M59 80200*")</f>
        <v>0</v>
      </c>
      <c r="E5325"/>
      <c r="F5325" s="35">
        <f>SUMIFS(F5326:F9015,K5326:K9015,"0",B5326:B9015,"5 1 2 1 1 12 31111 6 M59 80200*")</f>
        <v>250</v>
      </c>
      <c r="G5325" s="35">
        <f>SUMIFS(G5326:G9015,K5326:K9015,"0",B5326:B9015,"5 1 2 1 1 12 31111 6 M59 80200*")</f>
        <v>0</v>
      </c>
      <c r="H5325" s="35">
        <f t="shared" si="84"/>
        <v>250</v>
      </c>
      <c r="I5325" s="35"/>
      <c r="K5325" t="s">
        <v>15</v>
      </c>
    </row>
    <row r="5326" spans="2:11" ht="16.5" x14ac:dyDescent="0.2">
      <c r="B5326" s="33" t="s">
        <v>6291</v>
      </c>
      <c r="C5326" s="33" t="s">
        <v>648</v>
      </c>
      <c r="D5326" s="35">
        <f>SUMIFS(D5327:D9015,K5327:K9015,"0",B5327:B9015,"5 1 2 1 1 12 31111 6 M59 80200 000132*")-SUMIFS(E5327:E9015,K5327:K9015,"0",B5327:B9015,"5 1 2 1 1 12 31111 6 M59 80200 000132*")</f>
        <v>0</v>
      </c>
      <c r="E5326"/>
      <c r="F5326" s="35">
        <f>SUMIFS(F5327:F9015,K5327:K9015,"0",B5327:B9015,"5 1 2 1 1 12 31111 6 M59 80200 000132*")</f>
        <v>250</v>
      </c>
      <c r="G5326" s="35">
        <f>SUMIFS(G5327:G9015,K5327:K9015,"0",B5327:B9015,"5 1 2 1 1 12 31111 6 M59 80200 000132*")</f>
        <v>0</v>
      </c>
      <c r="H5326" s="35">
        <f t="shared" si="84"/>
        <v>250</v>
      </c>
      <c r="I5326" s="35"/>
      <c r="K5326" t="s">
        <v>15</v>
      </c>
    </row>
    <row r="5327" spans="2:11" ht="16.5" x14ac:dyDescent="0.2">
      <c r="B5327" s="33" t="s">
        <v>6292</v>
      </c>
      <c r="C5327" s="33" t="s">
        <v>650</v>
      </c>
      <c r="D5327" s="35">
        <f>SUMIFS(D5328:D9015,K5328:K9015,"0",B5328:B9015,"5 1 2 1 1 12 31111 6 M59 80200 000132 0000R*")-SUMIFS(E5328:E9015,K5328:K9015,"0",B5328:B9015,"5 1 2 1 1 12 31111 6 M59 80200 000132 0000R*")</f>
        <v>0</v>
      </c>
      <c r="E5327"/>
      <c r="F5327" s="35">
        <f>SUMIFS(F5328:F9015,K5328:K9015,"0",B5328:B9015,"5 1 2 1 1 12 31111 6 M59 80200 000132 0000R*")</f>
        <v>250</v>
      </c>
      <c r="G5327" s="35">
        <f>SUMIFS(G5328:G9015,K5328:K9015,"0",B5328:B9015,"5 1 2 1 1 12 31111 6 M59 80200 000132 0000R*")</f>
        <v>0</v>
      </c>
      <c r="H5327" s="35">
        <f t="shared" si="84"/>
        <v>250</v>
      </c>
      <c r="I5327" s="35"/>
      <c r="K5327" t="s">
        <v>15</v>
      </c>
    </row>
    <row r="5328" spans="2:11" ht="24.75" x14ac:dyDescent="0.2">
      <c r="B5328" s="33" t="s">
        <v>6293</v>
      </c>
      <c r="C5328" s="33" t="s">
        <v>282</v>
      </c>
      <c r="D5328" s="35">
        <f>SUMIFS(D5329:D9015,K5329:K9015,"0",B5329:B9015,"5 1 2 1 1 12 31111 6 M59 80200 000132 0000R 00001*")-SUMIFS(E5329:E9015,K5329:K9015,"0",B5329:B9015,"5 1 2 1 1 12 31111 6 M59 80200 000132 0000R 00001*")</f>
        <v>0</v>
      </c>
      <c r="E5328"/>
      <c r="F5328" s="35">
        <f>SUMIFS(F5329:F9015,K5329:K9015,"0",B5329:B9015,"5 1 2 1 1 12 31111 6 M59 80200 000132 0000R 00001*")</f>
        <v>250</v>
      </c>
      <c r="G5328" s="35">
        <f>SUMIFS(G5329:G9015,K5329:K9015,"0",B5329:B9015,"5 1 2 1 1 12 31111 6 M59 80200 000132 0000R 00001*")</f>
        <v>0</v>
      </c>
      <c r="H5328" s="35">
        <f t="shared" si="84"/>
        <v>250</v>
      </c>
      <c r="I5328" s="35"/>
      <c r="K5328" t="s">
        <v>15</v>
      </c>
    </row>
    <row r="5329" spans="2:11" ht="24.75" x14ac:dyDescent="0.2">
      <c r="B5329" s="33" t="s">
        <v>6294</v>
      </c>
      <c r="C5329" s="33" t="s">
        <v>5827</v>
      </c>
      <c r="D5329" s="35">
        <f>SUMIFS(D5330:D9015,K5330:K9015,"0",B5330:B9015,"5 1 2 1 1 12 31111 6 M59 80200 000132 0000R 00001 00211*")-SUMIFS(E5330:E9015,K5330:K9015,"0",B5330:B9015,"5 1 2 1 1 12 31111 6 M59 80200 000132 0000R 00001 00211*")</f>
        <v>0</v>
      </c>
      <c r="E5329"/>
      <c r="F5329" s="35">
        <f>SUMIFS(F5330:F9015,K5330:K9015,"0",B5330:B9015,"5 1 2 1 1 12 31111 6 M59 80200 000132 0000R 00001 00211*")</f>
        <v>250</v>
      </c>
      <c r="G5329" s="35">
        <f>SUMIFS(G5330:G9015,K5330:K9015,"0",B5330:B9015,"5 1 2 1 1 12 31111 6 M59 80200 000132 0000R 00001 00211*")</f>
        <v>0</v>
      </c>
      <c r="H5329" s="35">
        <f t="shared" si="84"/>
        <v>250</v>
      </c>
      <c r="I5329" s="35"/>
      <c r="K5329" t="s">
        <v>15</v>
      </c>
    </row>
    <row r="5330" spans="2:11" ht="24.75" x14ac:dyDescent="0.2">
      <c r="B5330" s="33" t="s">
        <v>6295</v>
      </c>
      <c r="C5330" s="33" t="s">
        <v>1051</v>
      </c>
      <c r="D5330" s="35">
        <f>SUMIFS(D5331:D9015,K5331:K9015,"0",B5331:B9015,"5 1 2 1 1 12 31111 6 M59 80200 000132 0000R 00001 00211 015*")-SUMIFS(E5331:E9015,K5331:K9015,"0",B5331:B9015,"5 1 2 1 1 12 31111 6 M59 80200 000132 0000R 00001 00211 015*")</f>
        <v>0</v>
      </c>
      <c r="E5330"/>
      <c r="F5330" s="35">
        <f>SUMIFS(F5331:F9015,K5331:K9015,"0",B5331:B9015,"5 1 2 1 1 12 31111 6 M59 80200 000132 0000R 00001 00211 015*")</f>
        <v>250</v>
      </c>
      <c r="G5330" s="35">
        <f>SUMIFS(G5331:G9015,K5331:K9015,"0",B5331:B9015,"5 1 2 1 1 12 31111 6 M59 80200 000132 0000R 00001 00211 015*")</f>
        <v>0</v>
      </c>
      <c r="H5330" s="35">
        <f t="shared" si="84"/>
        <v>250</v>
      </c>
      <c r="I5330" s="35"/>
      <c r="K5330" t="s">
        <v>15</v>
      </c>
    </row>
    <row r="5331" spans="2:11" ht="33" x14ac:dyDescent="0.2">
      <c r="B5331" s="33" t="s">
        <v>6296</v>
      </c>
      <c r="C5331" s="33" t="s">
        <v>5830</v>
      </c>
      <c r="D5331" s="35">
        <f>SUMIFS(D5332:D9015,K5332:K9015,"0",B5332:B9015,"5 1 2 1 1 12 31111 6 M59 80200 000132 0000R 00001 00211 015 2112000*")-SUMIFS(E5332:E9015,K5332:K9015,"0",B5332:B9015,"5 1 2 1 1 12 31111 6 M59 80200 000132 0000R 00001 00211 015 2112000*")</f>
        <v>0</v>
      </c>
      <c r="E5331"/>
      <c r="F5331" s="35">
        <f>SUMIFS(F5332:F9015,K5332:K9015,"0",B5332:B9015,"5 1 2 1 1 12 31111 6 M59 80200 000132 0000R 00001 00211 015 2112000*")</f>
        <v>250</v>
      </c>
      <c r="G5331" s="35">
        <f>SUMIFS(G5332:G9015,K5332:K9015,"0",B5332:B9015,"5 1 2 1 1 12 31111 6 M59 80200 000132 0000R 00001 00211 015 2112000*")</f>
        <v>0</v>
      </c>
      <c r="H5331" s="35">
        <f t="shared" si="84"/>
        <v>250</v>
      </c>
      <c r="I5331" s="35"/>
      <c r="K5331" t="s">
        <v>15</v>
      </c>
    </row>
    <row r="5332" spans="2:11" ht="33" x14ac:dyDescent="0.2">
      <c r="B5332" s="33" t="s">
        <v>6297</v>
      </c>
      <c r="C5332" s="33" t="s">
        <v>660</v>
      </c>
      <c r="D5332" s="35">
        <f>SUMIFS(D5333:D9015,K5333:K9015,"0",B5333:B9015,"5 1 2 1 1 12 31111 6 M59 80200 000132 0000R 00001 00211 015 2112000 2024*")-SUMIFS(E5333:E9015,K5333:K9015,"0",B5333:B9015,"5 1 2 1 1 12 31111 6 M59 80200 000132 0000R 00001 00211 015 2112000 2024*")</f>
        <v>0</v>
      </c>
      <c r="E5332"/>
      <c r="F5332" s="35">
        <f>SUMIFS(F5333:F9015,K5333:K9015,"0",B5333:B9015,"5 1 2 1 1 12 31111 6 M59 80200 000132 0000R 00001 00211 015 2112000 2024*")</f>
        <v>250</v>
      </c>
      <c r="G5332" s="35">
        <f>SUMIFS(G5333:G9015,K5333:K9015,"0",B5333:B9015,"5 1 2 1 1 12 31111 6 M59 80200 000132 0000R 00001 00211 015 2112000 2024*")</f>
        <v>0</v>
      </c>
      <c r="H5332" s="35">
        <f t="shared" si="84"/>
        <v>250</v>
      </c>
      <c r="I5332" s="35"/>
      <c r="K5332" t="s">
        <v>15</v>
      </c>
    </row>
    <row r="5333" spans="2:11" ht="41.25" x14ac:dyDescent="0.2">
      <c r="B5333" s="33" t="s">
        <v>6298</v>
      </c>
      <c r="C5333" s="33" t="s">
        <v>1056</v>
      </c>
      <c r="D5333" s="35">
        <f>SUMIFS(D5334:D9015,K5334:K9015,"0",B5334:B9015,"5 1 2 1 1 12 31111 6 M59 80200 000132 0000R 00001 00211 015 2112000 2024 CP1RF400*")-SUMIFS(E5334:E9015,K5334:K9015,"0",B5334:B9015,"5 1 2 1 1 12 31111 6 M59 80200 000132 0000R 00001 00211 015 2112000 2024 CP1RF400*")</f>
        <v>0</v>
      </c>
      <c r="E5333"/>
      <c r="F5333" s="35">
        <f>SUMIFS(F5334:F9015,K5334:K9015,"0",B5334:B9015,"5 1 2 1 1 12 31111 6 M59 80200 000132 0000R 00001 00211 015 2112000 2024 CP1RF400*")</f>
        <v>250</v>
      </c>
      <c r="G5333" s="35">
        <f>SUMIFS(G5334:G9015,K5334:K9015,"0",B5334:B9015,"5 1 2 1 1 12 31111 6 M59 80200 000132 0000R 00001 00211 015 2112000 2024 CP1RF400*")</f>
        <v>0</v>
      </c>
      <c r="H5333" s="35">
        <f t="shared" si="84"/>
        <v>250</v>
      </c>
      <c r="I5333" s="35"/>
      <c r="K5333" t="s">
        <v>15</v>
      </c>
    </row>
    <row r="5334" spans="2:11" ht="41.25" x14ac:dyDescent="0.2">
      <c r="B5334" s="33" t="s">
        <v>6299</v>
      </c>
      <c r="C5334" s="33" t="s">
        <v>282</v>
      </c>
      <c r="D5334" s="35">
        <f>SUMIFS(D5335:D9015,K5335:K9015,"0",B5335:B9015,"5 1 2 1 1 12 31111 6 M59 80200 000132 0000R 00001 00211 015 2112000 2024 CP1RF400 001*")-SUMIFS(E5335:E9015,K5335:K9015,"0",B5335:B9015,"5 1 2 1 1 12 31111 6 M59 80200 000132 0000R 00001 00211 015 2112000 2024 CP1RF400 001*")</f>
        <v>0</v>
      </c>
      <c r="E5334"/>
      <c r="F5334" s="35">
        <f>SUMIFS(F5335:F9015,K5335:K9015,"0",B5335:B9015,"5 1 2 1 1 12 31111 6 M59 80200 000132 0000R 00001 00211 015 2112000 2024 CP1RF400 001*")</f>
        <v>250</v>
      </c>
      <c r="G5334" s="35">
        <f>SUMIFS(G5335:G9015,K5335:K9015,"0",B5335:B9015,"5 1 2 1 1 12 31111 6 M59 80200 000132 0000R 00001 00211 015 2112000 2024 CP1RF400 001*")</f>
        <v>0</v>
      </c>
      <c r="H5334" s="35">
        <f t="shared" si="84"/>
        <v>250</v>
      </c>
      <c r="I5334" s="35"/>
      <c r="K5334" t="s">
        <v>15</v>
      </c>
    </row>
    <row r="5335" spans="2:11" ht="41.25" x14ac:dyDescent="0.2">
      <c r="B5335" s="31" t="s">
        <v>6300</v>
      </c>
      <c r="C5335" s="31" t="s">
        <v>5827</v>
      </c>
      <c r="D5335" s="34">
        <v>0</v>
      </c>
      <c r="E5335" s="34"/>
      <c r="F5335" s="34">
        <v>250</v>
      </c>
      <c r="G5335" s="34">
        <v>0</v>
      </c>
      <c r="H5335" s="34">
        <f t="shared" si="84"/>
        <v>250</v>
      </c>
      <c r="I5335" s="34"/>
      <c r="K5335" t="s">
        <v>38</v>
      </c>
    </row>
    <row r="5336" spans="2:11" ht="16.5" x14ac:dyDescent="0.2">
      <c r="B5336" s="33" t="s">
        <v>6301</v>
      </c>
      <c r="C5336" s="33" t="s">
        <v>3547</v>
      </c>
      <c r="D5336" s="35">
        <f>SUMIFS(D5337:D9015,K5337:K9015,"0",B5337:B9015,"5 1 2 1 1 12 31111 6 M59 80300*")-SUMIFS(E5337:E9015,K5337:K9015,"0",B5337:B9015,"5 1 2 1 1 12 31111 6 M59 80300*")</f>
        <v>0</v>
      </c>
      <c r="E5336"/>
      <c r="F5336" s="35">
        <f>SUMIFS(F5337:F9015,K5337:K9015,"0",B5337:B9015,"5 1 2 1 1 12 31111 6 M59 80300*")</f>
        <v>250</v>
      </c>
      <c r="G5336" s="35">
        <f>SUMIFS(G5337:G9015,K5337:K9015,"0",B5337:B9015,"5 1 2 1 1 12 31111 6 M59 80300*")</f>
        <v>0</v>
      </c>
      <c r="H5336" s="35">
        <f t="shared" si="84"/>
        <v>250</v>
      </c>
      <c r="I5336" s="35"/>
      <c r="K5336" t="s">
        <v>15</v>
      </c>
    </row>
    <row r="5337" spans="2:11" ht="16.5" x14ac:dyDescent="0.2">
      <c r="B5337" s="33" t="s">
        <v>6302</v>
      </c>
      <c r="C5337" s="33" t="s">
        <v>648</v>
      </c>
      <c r="D5337" s="35">
        <f>SUMIFS(D5338:D9015,K5338:K9015,"0",B5338:B9015,"5 1 2 1 1 12 31111 6 M59 80300 000132*")-SUMIFS(E5338:E9015,K5338:K9015,"0",B5338:B9015,"5 1 2 1 1 12 31111 6 M59 80300 000132*")</f>
        <v>0</v>
      </c>
      <c r="E5337"/>
      <c r="F5337" s="35">
        <f>SUMIFS(F5338:F9015,K5338:K9015,"0",B5338:B9015,"5 1 2 1 1 12 31111 6 M59 80300 000132*")</f>
        <v>250</v>
      </c>
      <c r="G5337" s="35">
        <f>SUMIFS(G5338:G9015,K5338:K9015,"0",B5338:B9015,"5 1 2 1 1 12 31111 6 M59 80300 000132*")</f>
        <v>0</v>
      </c>
      <c r="H5337" s="35">
        <f t="shared" si="84"/>
        <v>250</v>
      </c>
      <c r="I5337" s="35"/>
      <c r="K5337" t="s">
        <v>15</v>
      </c>
    </row>
    <row r="5338" spans="2:11" ht="16.5" x14ac:dyDescent="0.2">
      <c r="B5338" s="33" t="s">
        <v>6303</v>
      </c>
      <c r="C5338" s="33" t="s">
        <v>650</v>
      </c>
      <c r="D5338" s="35">
        <f>SUMIFS(D5339:D9015,K5339:K9015,"0",B5339:B9015,"5 1 2 1 1 12 31111 6 M59 80300 000132 0000R*")-SUMIFS(E5339:E9015,K5339:K9015,"0",B5339:B9015,"5 1 2 1 1 12 31111 6 M59 80300 000132 0000R*")</f>
        <v>0</v>
      </c>
      <c r="E5338"/>
      <c r="F5338" s="35">
        <f>SUMIFS(F5339:F9015,K5339:K9015,"0",B5339:B9015,"5 1 2 1 1 12 31111 6 M59 80300 000132 0000R*")</f>
        <v>250</v>
      </c>
      <c r="G5338" s="35">
        <f>SUMIFS(G5339:G9015,K5339:K9015,"0",B5339:B9015,"5 1 2 1 1 12 31111 6 M59 80300 000132 0000R*")</f>
        <v>0</v>
      </c>
      <c r="H5338" s="35">
        <f t="shared" si="84"/>
        <v>250</v>
      </c>
      <c r="I5338" s="35"/>
      <c r="K5338" t="s">
        <v>15</v>
      </c>
    </row>
    <row r="5339" spans="2:11" ht="24.75" x14ac:dyDescent="0.2">
      <c r="B5339" s="33" t="s">
        <v>6304</v>
      </c>
      <c r="C5339" s="33" t="s">
        <v>282</v>
      </c>
      <c r="D5339" s="35">
        <f>SUMIFS(D5340:D9015,K5340:K9015,"0",B5340:B9015,"5 1 2 1 1 12 31111 6 M59 80300 000132 0000R 00001*")-SUMIFS(E5340:E9015,K5340:K9015,"0",B5340:B9015,"5 1 2 1 1 12 31111 6 M59 80300 000132 0000R 00001*")</f>
        <v>0</v>
      </c>
      <c r="E5339"/>
      <c r="F5339" s="35">
        <f>SUMIFS(F5340:F9015,K5340:K9015,"0",B5340:B9015,"5 1 2 1 1 12 31111 6 M59 80300 000132 0000R 00001*")</f>
        <v>250</v>
      </c>
      <c r="G5339" s="35">
        <f>SUMIFS(G5340:G9015,K5340:K9015,"0",B5340:B9015,"5 1 2 1 1 12 31111 6 M59 80300 000132 0000R 00001*")</f>
        <v>0</v>
      </c>
      <c r="H5339" s="35">
        <f t="shared" si="84"/>
        <v>250</v>
      </c>
      <c r="I5339" s="35"/>
      <c r="K5339" t="s">
        <v>15</v>
      </c>
    </row>
    <row r="5340" spans="2:11" ht="24.75" x14ac:dyDescent="0.2">
      <c r="B5340" s="33" t="s">
        <v>6305</v>
      </c>
      <c r="C5340" s="33" t="s">
        <v>5827</v>
      </c>
      <c r="D5340" s="35">
        <f>SUMIFS(D5341:D9015,K5341:K9015,"0",B5341:B9015,"5 1 2 1 1 12 31111 6 M59 80300 000132 0000R 00001 00211*")-SUMIFS(E5341:E9015,K5341:K9015,"0",B5341:B9015,"5 1 2 1 1 12 31111 6 M59 80300 000132 0000R 00001 00211*")</f>
        <v>0</v>
      </c>
      <c r="E5340"/>
      <c r="F5340" s="35">
        <f>SUMIFS(F5341:F9015,K5341:K9015,"0",B5341:B9015,"5 1 2 1 1 12 31111 6 M59 80300 000132 0000R 00001 00211*")</f>
        <v>250</v>
      </c>
      <c r="G5340" s="35">
        <f>SUMIFS(G5341:G9015,K5341:K9015,"0",B5341:B9015,"5 1 2 1 1 12 31111 6 M59 80300 000132 0000R 00001 00211*")</f>
        <v>0</v>
      </c>
      <c r="H5340" s="35">
        <f t="shared" si="84"/>
        <v>250</v>
      </c>
      <c r="I5340" s="35"/>
      <c r="K5340" t="s">
        <v>15</v>
      </c>
    </row>
    <row r="5341" spans="2:11" ht="24.75" x14ac:dyDescent="0.2">
      <c r="B5341" s="33" t="s">
        <v>6306</v>
      </c>
      <c r="C5341" s="33" t="s">
        <v>1051</v>
      </c>
      <c r="D5341" s="35">
        <f>SUMIFS(D5342:D9015,K5342:K9015,"0",B5342:B9015,"5 1 2 1 1 12 31111 6 M59 80300 000132 0000R 00001 00211 015*")-SUMIFS(E5342:E9015,K5342:K9015,"0",B5342:B9015,"5 1 2 1 1 12 31111 6 M59 80300 000132 0000R 00001 00211 015*")</f>
        <v>0</v>
      </c>
      <c r="E5341"/>
      <c r="F5341" s="35">
        <f>SUMIFS(F5342:F9015,K5342:K9015,"0",B5342:B9015,"5 1 2 1 1 12 31111 6 M59 80300 000132 0000R 00001 00211 015*")</f>
        <v>250</v>
      </c>
      <c r="G5341" s="35">
        <f>SUMIFS(G5342:G9015,K5342:K9015,"0",B5342:B9015,"5 1 2 1 1 12 31111 6 M59 80300 000132 0000R 00001 00211 015*")</f>
        <v>0</v>
      </c>
      <c r="H5341" s="35">
        <f t="shared" si="84"/>
        <v>250</v>
      </c>
      <c r="I5341" s="35"/>
      <c r="K5341" t="s">
        <v>15</v>
      </c>
    </row>
    <row r="5342" spans="2:11" ht="33" x14ac:dyDescent="0.2">
      <c r="B5342" s="33" t="s">
        <v>6307</v>
      </c>
      <c r="C5342" s="33" t="s">
        <v>5830</v>
      </c>
      <c r="D5342" s="35">
        <f>SUMIFS(D5343:D9015,K5343:K9015,"0",B5343:B9015,"5 1 2 1 1 12 31111 6 M59 80300 000132 0000R 00001 00211 015 2112000*")-SUMIFS(E5343:E9015,K5343:K9015,"0",B5343:B9015,"5 1 2 1 1 12 31111 6 M59 80300 000132 0000R 00001 00211 015 2112000*")</f>
        <v>0</v>
      </c>
      <c r="E5342"/>
      <c r="F5342" s="35">
        <f>SUMIFS(F5343:F9015,K5343:K9015,"0",B5343:B9015,"5 1 2 1 1 12 31111 6 M59 80300 000132 0000R 00001 00211 015 2112000*")</f>
        <v>250</v>
      </c>
      <c r="G5342" s="35">
        <f>SUMIFS(G5343:G9015,K5343:K9015,"0",B5343:B9015,"5 1 2 1 1 12 31111 6 M59 80300 000132 0000R 00001 00211 015 2112000*")</f>
        <v>0</v>
      </c>
      <c r="H5342" s="35">
        <f t="shared" si="84"/>
        <v>250</v>
      </c>
      <c r="I5342" s="35"/>
      <c r="K5342" t="s">
        <v>15</v>
      </c>
    </row>
    <row r="5343" spans="2:11" ht="33" x14ac:dyDescent="0.2">
      <c r="B5343" s="33" t="s">
        <v>6308</v>
      </c>
      <c r="C5343" s="33" t="s">
        <v>660</v>
      </c>
      <c r="D5343" s="35">
        <f>SUMIFS(D5344:D9015,K5344:K9015,"0",B5344:B9015,"5 1 2 1 1 12 31111 6 M59 80300 000132 0000R 00001 00211 015 2112000 2024*")-SUMIFS(E5344:E9015,K5344:K9015,"0",B5344:B9015,"5 1 2 1 1 12 31111 6 M59 80300 000132 0000R 00001 00211 015 2112000 2024*")</f>
        <v>0</v>
      </c>
      <c r="E5343"/>
      <c r="F5343" s="35">
        <f>SUMIFS(F5344:F9015,K5344:K9015,"0",B5344:B9015,"5 1 2 1 1 12 31111 6 M59 80300 000132 0000R 00001 00211 015 2112000 2024*")</f>
        <v>250</v>
      </c>
      <c r="G5343" s="35">
        <f>SUMIFS(G5344:G9015,K5344:K9015,"0",B5344:B9015,"5 1 2 1 1 12 31111 6 M59 80300 000132 0000R 00001 00211 015 2112000 2024*")</f>
        <v>0</v>
      </c>
      <c r="H5343" s="35">
        <f t="shared" si="84"/>
        <v>250</v>
      </c>
      <c r="I5343" s="35"/>
      <c r="K5343" t="s">
        <v>15</v>
      </c>
    </row>
    <row r="5344" spans="2:11" ht="41.25" x14ac:dyDescent="0.2">
      <c r="B5344" s="33" t="s">
        <v>6309</v>
      </c>
      <c r="C5344" s="33" t="s">
        <v>1056</v>
      </c>
      <c r="D5344" s="35">
        <f>SUMIFS(D5345:D9015,K5345:K9015,"0",B5345:B9015,"5 1 2 1 1 12 31111 6 M59 80300 000132 0000R 00001 00211 015 2112000 2024 CP1GA414*")-SUMIFS(E5345:E9015,K5345:K9015,"0",B5345:B9015,"5 1 2 1 1 12 31111 6 M59 80300 000132 0000R 00001 00211 015 2112000 2024 CP1GA414*")</f>
        <v>0</v>
      </c>
      <c r="E5344"/>
      <c r="F5344" s="35">
        <f>SUMIFS(F5345:F9015,K5345:K9015,"0",B5345:B9015,"5 1 2 1 1 12 31111 6 M59 80300 000132 0000R 00001 00211 015 2112000 2024 CP1GA414*")</f>
        <v>250</v>
      </c>
      <c r="G5344" s="35">
        <f>SUMIFS(G5345:G9015,K5345:K9015,"0",B5345:B9015,"5 1 2 1 1 12 31111 6 M59 80300 000132 0000R 00001 00211 015 2112000 2024 CP1GA414*")</f>
        <v>0</v>
      </c>
      <c r="H5344" s="35">
        <f t="shared" si="84"/>
        <v>250</v>
      </c>
      <c r="I5344" s="35"/>
      <c r="K5344" t="s">
        <v>15</v>
      </c>
    </row>
    <row r="5345" spans="2:11" ht="41.25" x14ac:dyDescent="0.2">
      <c r="B5345" s="33" t="s">
        <v>6310</v>
      </c>
      <c r="C5345" s="33" t="s">
        <v>282</v>
      </c>
      <c r="D5345" s="35">
        <f>SUMIFS(D5346:D9015,K5346:K9015,"0",B5346:B9015,"5 1 2 1 1 12 31111 6 M59 80300 000132 0000R 00001 00211 015 2112000 2024 CP1GA414 001*")-SUMIFS(E5346:E9015,K5346:K9015,"0",B5346:B9015,"5 1 2 1 1 12 31111 6 M59 80300 000132 0000R 00001 00211 015 2112000 2024 CP1GA414 001*")</f>
        <v>0</v>
      </c>
      <c r="E5345"/>
      <c r="F5345" s="35">
        <f>SUMIFS(F5346:F9015,K5346:K9015,"0",B5346:B9015,"5 1 2 1 1 12 31111 6 M59 80300 000132 0000R 00001 00211 015 2112000 2024 CP1GA414 001*")</f>
        <v>250</v>
      </c>
      <c r="G5345" s="35">
        <f>SUMIFS(G5346:G9015,K5346:K9015,"0",B5346:B9015,"5 1 2 1 1 12 31111 6 M59 80300 000132 0000R 00001 00211 015 2112000 2024 CP1GA414 001*")</f>
        <v>0</v>
      </c>
      <c r="H5345" s="35">
        <f t="shared" si="84"/>
        <v>250</v>
      </c>
      <c r="I5345" s="35"/>
      <c r="K5345" t="s">
        <v>15</v>
      </c>
    </row>
    <row r="5346" spans="2:11" ht="41.25" x14ac:dyDescent="0.2">
      <c r="B5346" s="31" t="s">
        <v>6311</v>
      </c>
      <c r="C5346" s="31" t="s">
        <v>5827</v>
      </c>
      <c r="D5346" s="34">
        <v>0</v>
      </c>
      <c r="E5346" s="34"/>
      <c r="F5346" s="34">
        <v>250</v>
      </c>
      <c r="G5346" s="34">
        <v>0</v>
      </c>
      <c r="H5346" s="34">
        <f t="shared" si="84"/>
        <v>250</v>
      </c>
      <c r="I5346" s="34"/>
      <c r="K5346" t="s">
        <v>38</v>
      </c>
    </row>
    <row r="5347" spans="2:11" ht="16.5" x14ac:dyDescent="0.2">
      <c r="B5347" s="33" t="s">
        <v>6312</v>
      </c>
      <c r="C5347" s="33" t="s">
        <v>3559</v>
      </c>
      <c r="D5347" s="35">
        <f>SUMIFS(D5348:D9015,K5348:K9015,"0",B5348:B9015,"5 1 2 1 1 12 31111 6 M59 80400*")-SUMIFS(E5348:E9015,K5348:K9015,"0",B5348:B9015,"5 1 2 1 1 12 31111 6 M59 80400*")</f>
        <v>0</v>
      </c>
      <c r="E5347"/>
      <c r="F5347" s="35">
        <f>SUMIFS(F5348:F9015,K5348:K9015,"0",B5348:B9015,"5 1 2 1 1 12 31111 6 M59 80400*")</f>
        <v>250</v>
      </c>
      <c r="G5347" s="35">
        <f>SUMIFS(G5348:G9015,K5348:K9015,"0",B5348:B9015,"5 1 2 1 1 12 31111 6 M59 80400*")</f>
        <v>0</v>
      </c>
      <c r="H5347" s="35">
        <f t="shared" si="84"/>
        <v>250</v>
      </c>
      <c r="I5347" s="35"/>
      <c r="K5347" t="s">
        <v>15</v>
      </c>
    </row>
    <row r="5348" spans="2:11" ht="16.5" x14ac:dyDescent="0.2">
      <c r="B5348" s="33" t="s">
        <v>6313</v>
      </c>
      <c r="C5348" s="33" t="s">
        <v>648</v>
      </c>
      <c r="D5348" s="35">
        <f>SUMIFS(D5349:D9015,K5349:K9015,"0",B5349:B9015,"5 1 2 1 1 12 31111 6 M59 80400 000132*")-SUMIFS(E5349:E9015,K5349:K9015,"0",B5349:B9015,"5 1 2 1 1 12 31111 6 M59 80400 000132*")</f>
        <v>0</v>
      </c>
      <c r="E5348"/>
      <c r="F5348" s="35">
        <f>SUMIFS(F5349:F9015,K5349:K9015,"0",B5349:B9015,"5 1 2 1 1 12 31111 6 M59 80400 000132*")</f>
        <v>250</v>
      </c>
      <c r="G5348" s="35">
        <f>SUMIFS(G5349:G9015,K5349:K9015,"0",B5349:B9015,"5 1 2 1 1 12 31111 6 M59 80400 000132*")</f>
        <v>0</v>
      </c>
      <c r="H5348" s="35">
        <f t="shared" si="84"/>
        <v>250</v>
      </c>
      <c r="I5348" s="35"/>
      <c r="K5348" t="s">
        <v>15</v>
      </c>
    </row>
    <row r="5349" spans="2:11" ht="16.5" x14ac:dyDescent="0.2">
      <c r="B5349" s="33" t="s">
        <v>6314</v>
      </c>
      <c r="C5349" s="33" t="s">
        <v>650</v>
      </c>
      <c r="D5349" s="35">
        <f>SUMIFS(D5350:D9015,K5350:K9015,"0",B5350:B9015,"5 1 2 1 1 12 31111 6 M59 80400 000132 0000R*")-SUMIFS(E5350:E9015,K5350:K9015,"0",B5350:B9015,"5 1 2 1 1 12 31111 6 M59 80400 000132 0000R*")</f>
        <v>0</v>
      </c>
      <c r="E5349"/>
      <c r="F5349" s="35">
        <f>SUMIFS(F5350:F9015,K5350:K9015,"0",B5350:B9015,"5 1 2 1 1 12 31111 6 M59 80400 000132 0000R*")</f>
        <v>250</v>
      </c>
      <c r="G5349" s="35">
        <f>SUMIFS(G5350:G9015,K5350:K9015,"0",B5350:B9015,"5 1 2 1 1 12 31111 6 M59 80400 000132 0000R*")</f>
        <v>0</v>
      </c>
      <c r="H5349" s="35">
        <f t="shared" si="84"/>
        <v>250</v>
      </c>
      <c r="I5349" s="35"/>
      <c r="K5349" t="s">
        <v>15</v>
      </c>
    </row>
    <row r="5350" spans="2:11" ht="24.75" x14ac:dyDescent="0.2">
      <c r="B5350" s="33" t="s">
        <v>6315</v>
      </c>
      <c r="C5350" s="33" t="s">
        <v>282</v>
      </c>
      <c r="D5350" s="35">
        <f>SUMIFS(D5351:D9015,K5351:K9015,"0",B5351:B9015,"5 1 2 1 1 12 31111 6 M59 80400 000132 0000R 00001*")-SUMIFS(E5351:E9015,K5351:K9015,"0",B5351:B9015,"5 1 2 1 1 12 31111 6 M59 80400 000132 0000R 00001*")</f>
        <v>0</v>
      </c>
      <c r="E5350"/>
      <c r="F5350" s="35">
        <f>SUMIFS(F5351:F9015,K5351:K9015,"0",B5351:B9015,"5 1 2 1 1 12 31111 6 M59 80400 000132 0000R 00001*")</f>
        <v>250</v>
      </c>
      <c r="G5350" s="35">
        <f>SUMIFS(G5351:G9015,K5351:K9015,"0",B5351:B9015,"5 1 2 1 1 12 31111 6 M59 80400 000132 0000R 00001*")</f>
        <v>0</v>
      </c>
      <c r="H5350" s="35">
        <f t="shared" si="84"/>
        <v>250</v>
      </c>
      <c r="I5350" s="35"/>
      <c r="K5350" t="s">
        <v>15</v>
      </c>
    </row>
    <row r="5351" spans="2:11" ht="24.75" x14ac:dyDescent="0.2">
      <c r="B5351" s="33" t="s">
        <v>6316</v>
      </c>
      <c r="C5351" s="33" t="s">
        <v>5827</v>
      </c>
      <c r="D5351" s="35">
        <f>SUMIFS(D5352:D9015,K5352:K9015,"0",B5352:B9015,"5 1 2 1 1 12 31111 6 M59 80400 000132 0000R 00001 00211*")-SUMIFS(E5352:E9015,K5352:K9015,"0",B5352:B9015,"5 1 2 1 1 12 31111 6 M59 80400 000132 0000R 00001 00211*")</f>
        <v>0</v>
      </c>
      <c r="E5351"/>
      <c r="F5351" s="35">
        <f>SUMIFS(F5352:F9015,K5352:K9015,"0",B5352:B9015,"5 1 2 1 1 12 31111 6 M59 80400 000132 0000R 00001 00211*")</f>
        <v>250</v>
      </c>
      <c r="G5351" s="35">
        <f>SUMIFS(G5352:G9015,K5352:K9015,"0",B5352:B9015,"5 1 2 1 1 12 31111 6 M59 80400 000132 0000R 00001 00211*")</f>
        <v>0</v>
      </c>
      <c r="H5351" s="35">
        <f t="shared" si="84"/>
        <v>250</v>
      </c>
      <c r="I5351" s="35"/>
      <c r="K5351" t="s">
        <v>15</v>
      </c>
    </row>
    <row r="5352" spans="2:11" ht="24.75" x14ac:dyDescent="0.2">
      <c r="B5352" s="33" t="s">
        <v>6317</v>
      </c>
      <c r="C5352" s="33" t="s">
        <v>1051</v>
      </c>
      <c r="D5352" s="35">
        <f>SUMIFS(D5353:D9015,K5353:K9015,"0",B5353:B9015,"5 1 2 1 1 12 31111 6 M59 80400 000132 0000R 00001 00211 015*")-SUMIFS(E5353:E9015,K5353:K9015,"0",B5353:B9015,"5 1 2 1 1 12 31111 6 M59 80400 000132 0000R 00001 00211 015*")</f>
        <v>0</v>
      </c>
      <c r="E5352"/>
      <c r="F5352" s="35">
        <f>SUMIFS(F5353:F9015,K5353:K9015,"0",B5353:B9015,"5 1 2 1 1 12 31111 6 M59 80400 000132 0000R 00001 00211 015*")</f>
        <v>250</v>
      </c>
      <c r="G5352" s="35">
        <f>SUMIFS(G5353:G9015,K5353:K9015,"0",B5353:B9015,"5 1 2 1 1 12 31111 6 M59 80400 000132 0000R 00001 00211 015*")</f>
        <v>0</v>
      </c>
      <c r="H5352" s="35">
        <f t="shared" si="84"/>
        <v>250</v>
      </c>
      <c r="I5352" s="35"/>
      <c r="K5352" t="s">
        <v>15</v>
      </c>
    </row>
    <row r="5353" spans="2:11" ht="33" x14ac:dyDescent="0.2">
      <c r="B5353" s="33" t="s">
        <v>6318</v>
      </c>
      <c r="C5353" s="33" t="s">
        <v>5830</v>
      </c>
      <c r="D5353" s="35">
        <f>SUMIFS(D5354:D9015,K5354:K9015,"0",B5354:B9015,"5 1 2 1 1 12 31111 6 M59 80400 000132 0000R 00001 00211 015 2112000*")-SUMIFS(E5354:E9015,K5354:K9015,"0",B5354:B9015,"5 1 2 1 1 12 31111 6 M59 80400 000132 0000R 00001 00211 015 2112000*")</f>
        <v>0</v>
      </c>
      <c r="E5353"/>
      <c r="F5353" s="35">
        <f>SUMIFS(F5354:F9015,K5354:K9015,"0",B5354:B9015,"5 1 2 1 1 12 31111 6 M59 80400 000132 0000R 00001 00211 015 2112000*")</f>
        <v>250</v>
      </c>
      <c r="G5353" s="35">
        <f>SUMIFS(G5354:G9015,K5354:K9015,"0",B5354:B9015,"5 1 2 1 1 12 31111 6 M59 80400 000132 0000R 00001 00211 015 2112000*")</f>
        <v>0</v>
      </c>
      <c r="H5353" s="35">
        <f t="shared" si="84"/>
        <v>250</v>
      </c>
      <c r="I5353" s="35"/>
      <c r="K5353" t="s">
        <v>15</v>
      </c>
    </row>
    <row r="5354" spans="2:11" ht="33" x14ac:dyDescent="0.2">
      <c r="B5354" s="33" t="s">
        <v>6319</v>
      </c>
      <c r="C5354" s="33" t="s">
        <v>660</v>
      </c>
      <c r="D5354" s="35">
        <f>SUMIFS(D5355:D9015,K5355:K9015,"0",B5355:B9015,"5 1 2 1 1 12 31111 6 M59 80400 000132 0000R 00001 00211 015 2112000 2024*")-SUMIFS(E5355:E9015,K5355:K9015,"0",B5355:B9015,"5 1 2 1 1 12 31111 6 M59 80400 000132 0000R 00001 00211 015 2112000 2024*")</f>
        <v>0</v>
      </c>
      <c r="E5354"/>
      <c r="F5354" s="35">
        <f>SUMIFS(F5355:F9015,K5355:K9015,"0",B5355:B9015,"5 1 2 1 1 12 31111 6 M59 80400 000132 0000R 00001 00211 015 2112000 2024*")</f>
        <v>250</v>
      </c>
      <c r="G5354" s="35">
        <f>SUMIFS(G5355:G9015,K5355:K9015,"0",B5355:B9015,"5 1 2 1 1 12 31111 6 M59 80400 000132 0000R 00001 00211 015 2112000 2024*")</f>
        <v>0</v>
      </c>
      <c r="H5354" s="35">
        <f t="shared" si="84"/>
        <v>250</v>
      </c>
      <c r="I5354" s="35"/>
      <c r="K5354" t="s">
        <v>15</v>
      </c>
    </row>
    <row r="5355" spans="2:11" ht="41.25" x14ac:dyDescent="0.2">
      <c r="B5355" s="33" t="s">
        <v>6320</v>
      </c>
      <c r="C5355" s="33" t="s">
        <v>1056</v>
      </c>
      <c r="D5355" s="35">
        <f>SUMIFS(D5356:D9015,K5356:K9015,"0",B5356:B9015,"5 1 2 1 1 12 31111 6 M59 80400 000132 0000R 00001 00211 015 2112000 2024 CP1DP403*")-SUMIFS(E5356:E9015,K5356:K9015,"0",B5356:B9015,"5 1 2 1 1 12 31111 6 M59 80400 000132 0000R 00001 00211 015 2112000 2024 CP1DP403*")</f>
        <v>0</v>
      </c>
      <c r="E5355"/>
      <c r="F5355" s="35">
        <f>SUMIFS(F5356:F9015,K5356:K9015,"0",B5356:B9015,"5 1 2 1 1 12 31111 6 M59 80400 000132 0000R 00001 00211 015 2112000 2024 CP1DP403*")</f>
        <v>250</v>
      </c>
      <c r="G5355" s="35">
        <f>SUMIFS(G5356:G9015,K5356:K9015,"0",B5356:B9015,"5 1 2 1 1 12 31111 6 M59 80400 000132 0000R 00001 00211 015 2112000 2024 CP1DP403*")</f>
        <v>0</v>
      </c>
      <c r="H5355" s="35">
        <f t="shared" si="84"/>
        <v>250</v>
      </c>
      <c r="I5355" s="35"/>
      <c r="K5355" t="s">
        <v>15</v>
      </c>
    </row>
    <row r="5356" spans="2:11" ht="41.25" x14ac:dyDescent="0.2">
      <c r="B5356" s="33" t="s">
        <v>6321</v>
      </c>
      <c r="C5356" s="33" t="s">
        <v>282</v>
      </c>
      <c r="D5356" s="35">
        <f>SUMIFS(D5357:D9015,K5357:K9015,"0",B5357:B9015,"5 1 2 1 1 12 31111 6 M59 80400 000132 0000R 00001 00211 015 2112000 2024 CP1DP403 001*")-SUMIFS(E5357:E9015,K5357:K9015,"0",B5357:B9015,"5 1 2 1 1 12 31111 6 M59 80400 000132 0000R 00001 00211 015 2112000 2024 CP1DP403 001*")</f>
        <v>0</v>
      </c>
      <c r="E5356"/>
      <c r="F5356" s="35">
        <f>SUMIFS(F5357:F9015,K5357:K9015,"0",B5357:B9015,"5 1 2 1 1 12 31111 6 M59 80400 000132 0000R 00001 00211 015 2112000 2024 CP1DP403 001*")</f>
        <v>250</v>
      </c>
      <c r="G5356" s="35">
        <f>SUMIFS(G5357:G9015,K5357:K9015,"0",B5357:B9015,"5 1 2 1 1 12 31111 6 M59 80400 000132 0000R 00001 00211 015 2112000 2024 CP1DP403 001*")</f>
        <v>0</v>
      </c>
      <c r="H5356" s="35">
        <f t="shared" si="84"/>
        <v>250</v>
      </c>
      <c r="I5356" s="35"/>
      <c r="K5356" t="s">
        <v>15</v>
      </c>
    </row>
    <row r="5357" spans="2:11" ht="41.25" x14ac:dyDescent="0.2">
      <c r="B5357" s="31" t="s">
        <v>6322</v>
      </c>
      <c r="C5357" s="31" t="s">
        <v>5827</v>
      </c>
      <c r="D5357" s="34">
        <v>0</v>
      </c>
      <c r="E5357" s="34"/>
      <c r="F5357" s="34">
        <v>250</v>
      </c>
      <c r="G5357" s="34">
        <v>0</v>
      </c>
      <c r="H5357" s="34">
        <f t="shared" si="84"/>
        <v>250</v>
      </c>
      <c r="I5357" s="34"/>
      <c r="K5357" t="s">
        <v>38</v>
      </c>
    </row>
    <row r="5358" spans="2:11" ht="24.75" x14ac:dyDescent="0.2">
      <c r="B5358" s="33" t="s">
        <v>6323</v>
      </c>
      <c r="C5358" s="33" t="s">
        <v>3571</v>
      </c>
      <c r="D5358" s="35">
        <f>SUMIFS(D5359:D9015,K5359:K9015,"0",B5359:B9015,"5 1 2 1 1 12 31111 6 M59 80500*")-SUMIFS(E5359:E9015,K5359:K9015,"0",B5359:B9015,"5 1 2 1 1 12 31111 6 M59 80500*")</f>
        <v>0</v>
      </c>
      <c r="E5358"/>
      <c r="F5358" s="35">
        <f>SUMIFS(F5359:F9015,K5359:K9015,"0",B5359:B9015,"5 1 2 1 1 12 31111 6 M59 80500*")</f>
        <v>250</v>
      </c>
      <c r="G5358" s="35">
        <f>SUMIFS(G5359:G9015,K5359:K9015,"0",B5359:B9015,"5 1 2 1 1 12 31111 6 M59 80500*")</f>
        <v>0</v>
      </c>
      <c r="H5358" s="35">
        <f t="shared" si="84"/>
        <v>250</v>
      </c>
      <c r="I5358" s="35"/>
      <c r="K5358" t="s">
        <v>15</v>
      </c>
    </row>
    <row r="5359" spans="2:11" ht="16.5" x14ac:dyDescent="0.2">
      <c r="B5359" s="33" t="s">
        <v>6324</v>
      </c>
      <c r="C5359" s="33" t="s">
        <v>3573</v>
      </c>
      <c r="D5359" s="35">
        <f>SUMIFS(D5360:D9015,K5360:K9015,"0",B5360:B9015,"5 1 2 1 1 12 31111 6 M59 80500 000216*")-SUMIFS(E5360:E9015,K5360:K9015,"0",B5360:B9015,"5 1 2 1 1 12 31111 6 M59 80500 000216*")</f>
        <v>0</v>
      </c>
      <c r="E5359"/>
      <c r="F5359" s="35">
        <f>SUMIFS(F5360:F9015,K5360:K9015,"0",B5360:B9015,"5 1 2 1 1 12 31111 6 M59 80500 000216*")</f>
        <v>250</v>
      </c>
      <c r="G5359" s="35">
        <f>SUMIFS(G5360:G9015,K5360:K9015,"0",B5360:B9015,"5 1 2 1 1 12 31111 6 M59 80500 000216*")</f>
        <v>0</v>
      </c>
      <c r="H5359" s="35">
        <f t="shared" si="84"/>
        <v>250</v>
      </c>
      <c r="I5359" s="35"/>
      <c r="K5359" t="s">
        <v>15</v>
      </c>
    </row>
    <row r="5360" spans="2:11" ht="16.5" x14ac:dyDescent="0.2">
      <c r="B5360" s="33" t="s">
        <v>6325</v>
      </c>
      <c r="C5360" s="33" t="s">
        <v>650</v>
      </c>
      <c r="D5360" s="35">
        <f>SUMIFS(D5361:D9015,K5361:K9015,"0",B5361:B9015,"5 1 2 1 1 12 31111 6 M59 80500 000216 0000R*")-SUMIFS(E5361:E9015,K5361:K9015,"0",B5361:B9015,"5 1 2 1 1 12 31111 6 M59 80500 000216 0000R*")</f>
        <v>0</v>
      </c>
      <c r="E5360"/>
      <c r="F5360" s="35">
        <f>SUMIFS(F5361:F9015,K5361:K9015,"0",B5361:B9015,"5 1 2 1 1 12 31111 6 M59 80500 000216 0000R*")</f>
        <v>250</v>
      </c>
      <c r="G5360" s="35">
        <f>SUMIFS(G5361:G9015,K5361:K9015,"0",B5361:B9015,"5 1 2 1 1 12 31111 6 M59 80500 000216 0000R*")</f>
        <v>0</v>
      </c>
      <c r="H5360" s="35">
        <f t="shared" si="84"/>
        <v>250</v>
      </c>
      <c r="I5360" s="35"/>
      <c r="K5360" t="s">
        <v>15</v>
      </c>
    </row>
    <row r="5361" spans="2:11" ht="24.75" x14ac:dyDescent="0.2">
      <c r="B5361" s="33" t="s">
        <v>6326</v>
      </c>
      <c r="C5361" s="33" t="s">
        <v>282</v>
      </c>
      <c r="D5361" s="35">
        <f>SUMIFS(D5362:D9015,K5362:K9015,"0",B5362:B9015,"5 1 2 1 1 12 31111 6 M59 80500 000216 0000R 00001*")-SUMIFS(E5362:E9015,K5362:K9015,"0",B5362:B9015,"5 1 2 1 1 12 31111 6 M59 80500 000216 0000R 00001*")</f>
        <v>0</v>
      </c>
      <c r="E5361"/>
      <c r="F5361" s="35">
        <f>SUMIFS(F5362:F9015,K5362:K9015,"0",B5362:B9015,"5 1 2 1 1 12 31111 6 M59 80500 000216 0000R 00001*")</f>
        <v>250</v>
      </c>
      <c r="G5361" s="35">
        <f>SUMIFS(G5362:G9015,K5362:K9015,"0",B5362:B9015,"5 1 2 1 1 12 31111 6 M59 80500 000216 0000R 00001*")</f>
        <v>0</v>
      </c>
      <c r="H5361" s="35">
        <f t="shared" si="84"/>
        <v>250</v>
      </c>
      <c r="I5361" s="35"/>
      <c r="K5361" t="s">
        <v>15</v>
      </c>
    </row>
    <row r="5362" spans="2:11" ht="24.75" x14ac:dyDescent="0.2">
      <c r="B5362" s="33" t="s">
        <v>6327</v>
      </c>
      <c r="C5362" s="33" t="s">
        <v>5827</v>
      </c>
      <c r="D5362" s="35">
        <f>SUMIFS(D5363:D9015,K5363:K9015,"0",B5363:B9015,"5 1 2 1 1 12 31111 6 M59 80500 000216 0000R 00001 00211*")-SUMIFS(E5363:E9015,K5363:K9015,"0",B5363:B9015,"5 1 2 1 1 12 31111 6 M59 80500 000216 0000R 00001 00211*")</f>
        <v>0</v>
      </c>
      <c r="E5362"/>
      <c r="F5362" s="35">
        <f>SUMIFS(F5363:F9015,K5363:K9015,"0",B5363:B9015,"5 1 2 1 1 12 31111 6 M59 80500 000216 0000R 00001 00211*")</f>
        <v>250</v>
      </c>
      <c r="G5362" s="35">
        <f>SUMIFS(G5363:G9015,K5363:K9015,"0",B5363:B9015,"5 1 2 1 1 12 31111 6 M59 80500 000216 0000R 00001 00211*")</f>
        <v>0</v>
      </c>
      <c r="H5362" s="35">
        <f t="shared" si="84"/>
        <v>250</v>
      </c>
      <c r="I5362" s="35"/>
      <c r="K5362" t="s">
        <v>15</v>
      </c>
    </row>
    <row r="5363" spans="2:11" ht="24.75" x14ac:dyDescent="0.2">
      <c r="B5363" s="33" t="s">
        <v>6328</v>
      </c>
      <c r="C5363" s="33" t="s">
        <v>1051</v>
      </c>
      <c r="D5363" s="35">
        <f>SUMIFS(D5364:D9015,K5364:K9015,"0",B5364:B9015,"5 1 2 1 1 12 31111 6 M59 80500 000216 0000R 00001 00211 015*")-SUMIFS(E5364:E9015,K5364:K9015,"0",B5364:B9015,"5 1 2 1 1 12 31111 6 M59 80500 000216 0000R 00001 00211 015*")</f>
        <v>0</v>
      </c>
      <c r="E5363"/>
      <c r="F5363" s="35">
        <f>SUMIFS(F5364:F9015,K5364:K9015,"0",B5364:B9015,"5 1 2 1 1 12 31111 6 M59 80500 000216 0000R 00001 00211 015*")</f>
        <v>250</v>
      </c>
      <c r="G5363" s="35">
        <f>SUMIFS(G5364:G9015,K5364:K9015,"0",B5364:B9015,"5 1 2 1 1 12 31111 6 M59 80500 000216 0000R 00001 00211 015*")</f>
        <v>0</v>
      </c>
      <c r="H5363" s="35">
        <f t="shared" si="84"/>
        <v>250</v>
      </c>
      <c r="I5363" s="35"/>
      <c r="K5363" t="s">
        <v>15</v>
      </c>
    </row>
    <row r="5364" spans="2:11" ht="33" x14ac:dyDescent="0.2">
      <c r="B5364" s="33" t="s">
        <v>6329</v>
      </c>
      <c r="C5364" s="33" t="s">
        <v>5830</v>
      </c>
      <c r="D5364" s="35">
        <f>SUMIFS(D5365:D9015,K5365:K9015,"0",B5365:B9015,"5 1 2 1 1 12 31111 6 M59 80500 000216 0000R 00001 00211 015 2112000*")-SUMIFS(E5365:E9015,K5365:K9015,"0",B5365:B9015,"5 1 2 1 1 12 31111 6 M59 80500 000216 0000R 00001 00211 015 2112000*")</f>
        <v>0</v>
      </c>
      <c r="E5364"/>
      <c r="F5364" s="35">
        <f>SUMIFS(F5365:F9015,K5365:K9015,"0",B5365:B9015,"5 1 2 1 1 12 31111 6 M59 80500 000216 0000R 00001 00211 015 2112000*")</f>
        <v>250</v>
      </c>
      <c r="G5364" s="35">
        <f>SUMIFS(G5365:G9015,K5365:K9015,"0",B5365:B9015,"5 1 2 1 1 12 31111 6 M59 80500 000216 0000R 00001 00211 015 2112000*")</f>
        <v>0</v>
      </c>
      <c r="H5364" s="35">
        <f t="shared" si="84"/>
        <v>250</v>
      </c>
      <c r="I5364" s="35"/>
      <c r="K5364" t="s">
        <v>15</v>
      </c>
    </row>
    <row r="5365" spans="2:11" ht="33" x14ac:dyDescent="0.2">
      <c r="B5365" s="33" t="s">
        <v>6330</v>
      </c>
      <c r="C5365" s="33" t="s">
        <v>660</v>
      </c>
      <c r="D5365" s="35">
        <f>SUMIFS(D5366:D9015,K5366:K9015,"0",B5366:B9015,"5 1 2 1 1 12 31111 6 M59 80500 000216 0000R 00001 00211 015 2112000 2024*")-SUMIFS(E5366:E9015,K5366:K9015,"0",B5366:B9015,"5 1 2 1 1 12 31111 6 M59 80500 000216 0000R 00001 00211 015 2112000 2024*")</f>
        <v>0</v>
      </c>
      <c r="E5365"/>
      <c r="F5365" s="35">
        <f>SUMIFS(F5366:F9015,K5366:K9015,"0",B5366:B9015,"5 1 2 1 1 12 31111 6 M59 80500 000216 0000R 00001 00211 015 2112000 2024*")</f>
        <v>250</v>
      </c>
      <c r="G5365" s="35">
        <f>SUMIFS(G5366:G9015,K5366:K9015,"0",B5366:B9015,"5 1 2 1 1 12 31111 6 M59 80500 000216 0000R 00001 00211 015 2112000 2024*")</f>
        <v>0</v>
      </c>
      <c r="H5365" s="35">
        <f t="shared" si="84"/>
        <v>250</v>
      </c>
      <c r="I5365" s="35"/>
      <c r="K5365" t="s">
        <v>15</v>
      </c>
    </row>
    <row r="5366" spans="2:11" ht="41.25" x14ac:dyDescent="0.2">
      <c r="B5366" s="33" t="s">
        <v>6331</v>
      </c>
      <c r="C5366" s="33" t="s">
        <v>1056</v>
      </c>
      <c r="D5366" s="35">
        <f>SUMIFS(D5367:D9015,K5367:K9015,"0",B5367:B9015,"5 1 2 1 1 12 31111 6 M59 80500 000216 0000R 00001 00211 015 2112000 2024 CP1MA417*")-SUMIFS(E5367:E9015,K5367:K9015,"0",B5367:B9015,"5 1 2 1 1 12 31111 6 M59 80500 000216 0000R 00001 00211 015 2112000 2024 CP1MA417*")</f>
        <v>0</v>
      </c>
      <c r="E5366"/>
      <c r="F5366" s="35">
        <f>SUMIFS(F5367:F9015,K5367:K9015,"0",B5367:B9015,"5 1 2 1 1 12 31111 6 M59 80500 000216 0000R 00001 00211 015 2112000 2024 CP1MA417*")</f>
        <v>250</v>
      </c>
      <c r="G5366" s="35">
        <f>SUMIFS(G5367:G9015,K5367:K9015,"0",B5367:B9015,"5 1 2 1 1 12 31111 6 M59 80500 000216 0000R 00001 00211 015 2112000 2024 CP1MA417*")</f>
        <v>0</v>
      </c>
      <c r="H5366" s="35">
        <f t="shared" si="84"/>
        <v>250</v>
      </c>
      <c r="I5366" s="35"/>
      <c r="K5366" t="s">
        <v>15</v>
      </c>
    </row>
    <row r="5367" spans="2:11" ht="41.25" x14ac:dyDescent="0.2">
      <c r="B5367" s="33" t="s">
        <v>6332</v>
      </c>
      <c r="C5367" s="33" t="s">
        <v>282</v>
      </c>
      <c r="D5367" s="35">
        <f>SUMIFS(D5368:D9015,K5368:K9015,"0",B5368:B9015,"5 1 2 1 1 12 31111 6 M59 80500 000216 0000R 00001 00211 015 2112000 2024 CP1MA417 001*")-SUMIFS(E5368:E9015,K5368:K9015,"0",B5368:B9015,"5 1 2 1 1 12 31111 6 M59 80500 000216 0000R 00001 00211 015 2112000 2024 CP1MA417 001*")</f>
        <v>0</v>
      </c>
      <c r="E5367"/>
      <c r="F5367" s="35">
        <f>SUMIFS(F5368:F9015,K5368:K9015,"0",B5368:B9015,"5 1 2 1 1 12 31111 6 M59 80500 000216 0000R 00001 00211 015 2112000 2024 CP1MA417 001*")</f>
        <v>250</v>
      </c>
      <c r="G5367" s="35">
        <f>SUMIFS(G5368:G9015,K5368:K9015,"0",B5368:B9015,"5 1 2 1 1 12 31111 6 M59 80500 000216 0000R 00001 00211 015 2112000 2024 CP1MA417 001*")</f>
        <v>0</v>
      </c>
      <c r="H5367" s="35">
        <f t="shared" si="84"/>
        <v>250</v>
      </c>
      <c r="I5367" s="35"/>
      <c r="K5367" t="s">
        <v>15</v>
      </c>
    </row>
    <row r="5368" spans="2:11" ht="33" x14ac:dyDescent="0.2">
      <c r="B5368" s="31" t="s">
        <v>6333</v>
      </c>
      <c r="C5368" s="31" t="s">
        <v>5827</v>
      </c>
      <c r="D5368" s="34">
        <v>0</v>
      </c>
      <c r="E5368" s="34"/>
      <c r="F5368" s="34">
        <v>250</v>
      </c>
      <c r="G5368" s="34">
        <v>0</v>
      </c>
      <c r="H5368" s="34">
        <f t="shared" si="84"/>
        <v>250</v>
      </c>
      <c r="I5368" s="34"/>
      <c r="K5368" t="s">
        <v>38</v>
      </c>
    </row>
    <row r="5369" spans="2:11" ht="16.5" x14ac:dyDescent="0.2">
      <c r="B5369" s="33" t="s">
        <v>6334</v>
      </c>
      <c r="C5369" s="33" t="s">
        <v>3596</v>
      </c>
      <c r="D5369" s="35">
        <f>SUMIFS(D5370:D9015,K5370:K9015,"0",B5370:B9015,"5 1 2 1 1 12 31111 6 M59 90000*")-SUMIFS(E5370:E9015,K5370:K9015,"0",B5370:B9015,"5 1 2 1 1 12 31111 6 M59 90000*")</f>
        <v>0</v>
      </c>
      <c r="E5369"/>
      <c r="F5369" s="35">
        <f>SUMIFS(F5370:F9015,K5370:K9015,"0",B5370:B9015,"5 1 2 1 1 12 31111 6 M59 90000*")</f>
        <v>1849.99</v>
      </c>
      <c r="G5369" s="35">
        <f>SUMIFS(G5370:G9015,K5370:K9015,"0",B5370:B9015,"5 1 2 1 1 12 31111 6 M59 90000*")</f>
        <v>0</v>
      </c>
      <c r="H5369" s="35">
        <f t="shared" si="84"/>
        <v>1849.99</v>
      </c>
      <c r="I5369" s="35"/>
      <c r="K5369" t="s">
        <v>15</v>
      </c>
    </row>
    <row r="5370" spans="2:11" ht="16.5" x14ac:dyDescent="0.2">
      <c r="B5370" s="33" t="s">
        <v>6335</v>
      </c>
      <c r="C5370" s="33" t="s">
        <v>648</v>
      </c>
      <c r="D5370" s="35">
        <f>SUMIFS(D5371:D9015,K5371:K9015,"0",B5371:B9015,"5 1 2 1 1 12 31111 6 M59 90000 000132*")-SUMIFS(E5371:E9015,K5371:K9015,"0",B5371:B9015,"5 1 2 1 1 12 31111 6 M59 90000 000132*")</f>
        <v>0</v>
      </c>
      <c r="E5370"/>
      <c r="F5370" s="35">
        <f>SUMIFS(F5371:F9015,K5371:K9015,"0",B5371:B9015,"5 1 2 1 1 12 31111 6 M59 90000 000132*")</f>
        <v>1849.99</v>
      </c>
      <c r="G5370" s="35">
        <f>SUMIFS(G5371:G9015,K5371:K9015,"0",B5371:B9015,"5 1 2 1 1 12 31111 6 M59 90000 000132*")</f>
        <v>0</v>
      </c>
      <c r="H5370" s="35">
        <f t="shared" si="84"/>
        <v>1849.99</v>
      </c>
      <c r="I5370" s="35"/>
      <c r="K5370" t="s">
        <v>15</v>
      </c>
    </row>
    <row r="5371" spans="2:11" ht="16.5" x14ac:dyDescent="0.2">
      <c r="B5371" s="33" t="s">
        <v>6336</v>
      </c>
      <c r="C5371" s="33" t="s">
        <v>650</v>
      </c>
      <c r="D5371" s="35">
        <f>SUMIFS(D5372:D9015,K5372:K9015,"0",B5372:B9015,"5 1 2 1 1 12 31111 6 M59 90000 000132 0000R*")-SUMIFS(E5372:E9015,K5372:K9015,"0",B5372:B9015,"5 1 2 1 1 12 31111 6 M59 90000 000132 0000R*")</f>
        <v>0</v>
      </c>
      <c r="E5371"/>
      <c r="F5371" s="35">
        <f>SUMIFS(F5372:F9015,K5372:K9015,"0",B5372:B9015,"5 1 2 1 1 12 31111 6 M59 90000 000132 0000R*")</f>
        <v>1849.99</v>
      </c>
      <c r="G5371" s="35">
        <f>SUMIFS(G5372:G9015,K5372:K9015,"0",B5372:B9015,"5 1 2 1 1 12 31111 6 M59 90000 000132 0000R*")</f>
        <v>0</v>
      </c>
      <c r="H5371" s="35">
        <f t="shared" si="84"/>
        <v>1849.99</v>
      </c>
      <c r="I5371" s="35"/>
      <c r="K5371" t="s">
        <v>15</v>
      </c>
    </row>
    <row r="5372" spans="2:11" ht="24.75" x14ac:dyDescent="0.2">
      <c r="B5372" s="33" t="s">
        <v>6337</v>
      </c>
      <c r="C5372" s="33" t="s">
        <v>282</v>
      </c>
      <c r="D5372" s="35">
        <f>SUMIFS(D5373:D9015,K5373:K9015,"0",B5373:B9015,"5 1 2 1 1 12 31111 6 M59 90000 000132 0000R 00001*")-SUMIFS(E5373:E9015,K5373:K9015,"0",B5373:B9015,"5 1 2 1 1 12 31111 6 M59 90000 000132 0000R 00001*")</f>
        <v>0</v>
      </c>
      <c r="E5372"/>
      <c r="F5372" s="35">
        <f>SUMIFS(F5373:F9015,K5373:K9015,"0",B5373:B9015,"5 1 2 1 1 12 31111 6 M59 90000 000132 0000R 00001*")</f>
        <v>1849.99</v>
      </c>
      <c r="G5372" s="35">
        <f>SUMIFS(G5373:G9015,K5373:K9015,"0",B5373:B9015,"5 1 2 1 1 12 31111 6 M59 90000 000132 0000R 00001*")</f>
        <v>0</v>
      </c>
      <c r="H5372" s="35">
        <f t="shared" si="84"/>
        <v>1849.99</v>
      </c>
      <c r="I5372" s="35"/>
      <c r="K5372" t="s">
        <v>15</v>
      </c>
    </row>
    <row r="5373" spans="2:11" ht="24.75" x14ac:dyDescent="0.2">
      <c r="B5373" s="33" t="s">
        <v>6338</v>
      </c>
      <c r="C5373" s="33" t="s">
        <v>5827</v>
      </c>
      <c r="D5373" s="35">
        <f>SUMIFS(D5374:D9015,K5374:K9015,"0",B5374:B9015,"5 1 2 1 1 12 31111 6 M59 90000 000132 0000R 00001 00211*")-SUMIFS(E5374:E9015,K5374:K9015,"0",B5374:B9015,"5 1 2 1 1 12 31111 6 M59 90000 000132 0000R 00001 00211*")</f>
        <v>0</v>
      </c>
      <c r="E5373"/>
      <c r="F5373" s="35">
        <f>SUMIFS(F5374:F9015,K5374:K9015,"0",B5374:B9015,"5 1 2 1 1 12 31111 6 M59 90000 000132 0000R 00001 00211*")</f>
        <v>1849.99</v>
      </c>
      <c r="G5373" s="35">
        <f>SUMIFS(G5374:G9015,K5374:K9015,"0",B5374:B9015,"5 1 2 1 1 12 31111 6 M59 90000 000132 0000R 00001 00211*")</f>
        <v>0</v>
      </c>
      <c r="H5373" s="35">
        <f t="shared" si="84"/>
        <v>1849.99</v>
      </c>
      <c r="I5373" s="35"/>
      <c r="K5373" t="s">
        <v>15</v>
      </c>
    </row>
    <row r="5374" spans="2:11" ht="24.75" x14ac:dyDescent="0.2">
      <c r="B5374" s="33" t="s">
        <v>6339</v>
      </c>
      <c r="C5374" s="33" t="s">
        <v>1051</v>
      </c>
      <c r="D5374" s="35">
        <f>SUMIFS(D5375:D9015,K5375:K9015,"0",B5375:B9015,"5 1 2 1 1 12 31111 6 M59 90000 000132 0000R 00001 00211 015*")-SUMIFS(E5375:E9015,K5375:K9015,"0",B5375:B9015,"5 1 2 1 1 12 31111 6 M59 90000 000132 0000R 00001 00211 015*")</f>
        <v>0</v>
      </c>
      <c r="E5374"/>
      <c r="F5374" s="35">
        <f>SUMIFS(F5375:F9015,K5375:K9015,"0",B5375:B9015,"5 1 2 1 1 12 31111 6 M59 90000 000132 0000R 00001 00211 015*")</f>
        <v>1849.99</v>
      </c>
      <c r="G5374" s="35">
        <f>SUMIFS(G5375:G9015,K5375:K9015,"0",B5375:B9015,"5 1 2 1 1 12 31111 6 M59 90000 000132 0000R 00001 00211 015*")</f>
        <v>0</v>
      </c>
      <c r="H5374" s="35">
        <f t="shared" si="84"/>
        <v>1849.99</v>
      </c>
      <c r="I5374" s="35"/>
      <c r="K5374" t="s">
        <v>15</v>
      </c>
    </row>
    <row r="5375" spans="2:11" ht="33" x14ac:dyDescent="0.2">
      <c r="B5375" s="33" t="s">
        <v>6340</v>
      </c>
      <c r="C5375" s="33" t="s">
        <v>5830</v>
      </c>
      <c r="D5375" s="35">
        <f>SUMIFS(D5376:D9015,K5376:K9015,"0",B5376:B9015,"5 1 2 1 1 12 31111 6 M59 90000 000132 0000R 00001 00211 015 2112000*")-SUMIFS(E5376:E9015,K5376:K9015,"0",B5376:B9015,"5 1 2 1 1 12 31111 6 M59 90000 000132 0000R 00001 00211 015 2112000*")</f>
        <v>0</v>
      </c>
      <c r="E5375"/>
      <c r="F5375" s="35">
        <f>SUMIFS(F5376:F9015,K5376:K9015,"0",B5376:B9015,"5 1 2 1 1 12 31111 6 M59 90000 000132 0000R 00001 00211 015 2112000*")</f>
        <v>1849.99</v>
      </c>
      <c r="G5375" s="35">
        <f>SUMIFS(G5376:G9015,K5376:K9015,"0",B5376:B9015,"5 1 2 1 1 12 31111 6 M59 90000 000132 0000R 00001 00211 015 2112000*")</f>
        <v>0</v>
      </c>
      <c r="H5375" s="35">
        <f t="shared" si="84"/>
        <v>1849.99</v>
      </c>
      <c r="I5375" s="35"/>
      <c r="K5375" t="s">
        <v>15</v>
      </c>
    </row>
    <row r="5376" spans="2:11" ht="33" x14ac:dyDescent="0.2">
      <c r="B5376" s="33" t="s">
        <v>6341</v>
      </c>
      <c r="C5376" s="33" t="s">
        <v>660</v>
      </c>
      <c r="D5376" s="35">
        <f>SUMIFS(D5377:D9015,K5377:K9015,"0",B5377:B9015,"5 1 2 1 1 12 31111 6 M59 90000 000132 0000R 00001 00211 015 2112000 2024*")-SUMIFS(E5377:E9015,K5377:K9015,"0",B5377:B9015,"5 1 2 1 1 12 31111 6 M59 90000 000132 0000R 00001 00211 015 2112000 2024*")</f>
        <v>0</v>
      </c>
      <c r="E5376"/>
      <c r="F5376" s="35">
        <f>SUMIFS(F5377:F9015,K5377:K9015,"0",B5377:B9015,"5 1 2 1 1 12 31111 6 M59 90000 000132 0000R 00001 00211 015 2112000 2024*")</f>
        <v>1849.99</v>
      </c>
      <c r="G5376" s="35">
        <f>SUMIFS(G5377:G9015,K5377:K9015,"0",B5377:B9015,"5 1 2 1 1 12 31111 6 M59 90000 000132 0000R 00001 00211 015 2112000 2024*")</f>
        <v>0</v>
      </c>
      <c r="H5376" s="35">
        <f t="shared" si="84"/>
        <v>1849.99</v>
      </c>
      <c r="I5376" s="35"/>
      <c r="K5376" t="s">
        <v>15</v>
      </c>
    </row>
    <row r="5377" spans="2:11" ht="41.25" x14ac:dyDescent="0.2">
      <c r="B5377" s="33" t="s">
        <v>6342</v>
      </c>
      <c r="C5377" s="33" t="s">
        <v>1056</v>
      </c>
      <c r="D5377" s="35">
        <f>SUMIFS(D5378:D9015,K5378:K9015,"0",B5378:B9015,"5 1 2 1 1 12 31111 6 M59 90000 000132 0000R 00001 00211 015 2112000 2024 CP1SG383*")-SUMIFS(E5378:E9015,K5378:K9015,"0",B5378:B9015,"5 1 2 1 1 12 31111 6 M59 90000 000132 0000R 00001 00211 015 2112000 2024 CP1SG383*")</f>
        <v>0</v>
      </c>
      <c r="E5377"/>
      <c r="F5377" s="35">
        <f>SUMIFS(F5378:F9015,K5378:K9015,"0",B5378:B9015,"5 1 2 1 1 12 31111 6 M59 90000 000132 0000R 00001 00211 015 2112000 2024 CP1SG383*")</f>
        <v>1849.99</v>
      </c>
      <c r="G5377" s="35">
        <f>SUMIFS(G5378:G9015,K5378:K9015,"0",B5378:B9015,"5 1 2 1 1 12 31111 6 M59 90000 000132 0000R 00001 00211 015 2112000 2024 CP1SG383*")</f>
        <v>0</v>
      </c>
      <c r="H5377" s="35">
        <f t="shared" si="84"/>
        <v>1849.99</v>
      </c>
      <c r="I5377" s="35"/>
      <c r="K5377" t="s">
        <v>15</v>
      </c>
    </row>
    <row r="5378" spans="2:11" ht="41.25" x14ac:dyDescent="0.2">
      <c r="B5378" s="33" t="s">
        <v>6343</v>
      </c>
      <c r="C5378" s="33" t="s">
        <v>282</v>
      </c>
      <c r="D5378" s="35">
        <f>SUMIFS(D5379:D9015,K5379:K9015,"0",B5379:B9015,"5 1 2 1 1 12 31111 6 M59 90000 000132 0000R 00001 00211 015 2112000 2024 CP1SG383 001*")-SUMIFS(E5379:E9015,K5379:K9015,"0",B5379:B9015,"5 1 2 1 1 12 31111 6 M59 90000 000132 0000R 00001 00211 015 2112000 2024 CP1SG383 001*")</f>
        <v>0</v>
      </c>
      <c r="E5378"/>
      <c r="F5378" s="35">
        <f>SUMIFS(F5379:F9015,K5379:K9015,"0",B5379:B9015,"5 1 2 1 1 12 31111 6 M59 90000 000132 0000R 00001 00211 015 2112000 2024 CP1SG383 001*")</f>
        <v>1849.99</v>
      </c>
      <c r="G5378" s="35">
        <f>SUMIFS(G5379:G9015,K5379:K9015,"0",B5379:B9015,"5 1 2 1 1 12 31111 6 M59 90000 000132 0000R 00001 00211 015 2112000 2024 CP1SG383 001*")</f>
        <v>0</v>
      </c>
      <c r="H5378" s="35">
        <f t="shared" si="84"/>
        <v>1849.99</v>
      </c>
      <c r="I5378" s="35"/>
      <c r="K5378" t="s">
        <v>15</v>
      </c>
    </row>
    <row r="5379" spans="2:11" ht="41.25" x14ac:dyDescent="0.2">
      <c r="B5379" s="31" t="s">
        <v>6344</v>
      </c>
      <c r="C5379" s="31" t="s">
        <v>5827</v>
      </c>
      <c r="D5379" s="34">
        <v>0</v>
      </c>
      <c r="E5379" s="34"/>
      <c r="F5379" s="34">
        <v>1849.99</v>
      </c>
      <c r="G5379" s="34">
        <v>0</v>
      </c>
      <c r="H5379" s="34">
        <f t="shared" si="84"/>
        <v>1849.99</v>
      </c>
      <c r="I5379" s="34"/>
      <c r="K5379" t="s">
        <v>38</v>
      </c>
    </row>
    <row r="5380" spans="2:11" ht="16.5" x14ac:dyDescent="0.2">
      <c r="B5380" s="33" t="s">
        <v>6345</v>
      </c>
      <c r="C5380" s="33" t="s">
        <v>3608</v>
      </c>
      <c r="D5380" s="35">
        <f>SUMIFS(D5381:D9015,K5381:K9015,"0",B5381:B9015,"5 1 2 1 1 12 31111 6 M59 91000*")-SUMIFS(E5381:E9015,K5381:K9015,"0",B5381:B9015,"5 1 2 1 1 12 31111 6 M59 91000*")</f>
        <v>0</v>
      </c>
      <c r="E5380"/>
      <c r="F5380" s="35">
        <f>SUMIFS(F5381:F9015,K5381:K9015,"0",B5381:B9015,"5 1 2 1 1 12 31111 6 M59 91000*")</f>
        <v>899.99</v>
      </c>
      <c r="G5380" s="35">
        <f>SUMIFS(G5381:G9015,K5381:K9015,"0",B5381:B9015,"5 1 2 1 1 12 31111 6 M59 91000*")</f>
        <v>0</v>
      </c>
      <c r="H5380" s="35">
        <f t="shared" ref="H5380:H5443" si="85">D5380 + F5380 - G5380</f>
        <v>899.99</v>
      </c>
      <c r="I5380" s="35"/>
      <c r="K5380" t="s">
        <v>15</v>
      </c>
    </row>
    <row r="5381" spans="2:11" ht="16.5" x14ac:dyDescent="0.2">
      <c r="B5381" s="33" t="s">
        <v>6346</v>
      </c>
      <c r="C5381" s="33" t="s">
        <v>648</v>
      </c>
      <c r="D5381" s="35">
        <f>SUMIFS(D5382:D9015,K5382:K9015,"0",B5382:B9015,"5 1 2 1 1 12 31111 6 M59 91000 000132*")-SUMIFS(E5382:E9015,K5382:K9015,"0",B5382:B9015,"5 1 2 1 1 12 31111 6 M59 91000 000132*")</f>
        <v>0</v>
      </c>
      <c r="E5381"/>
      <c r="F5381" s="35">
        <f>SUMIFS(F5382:F9015,K5382:K9015,"0",B5382:B9015,"5 1 2 1 1 12 31111 6 M59 91000 000132*")</f>
        <v>899.99</v>
      </c>
      <c r="G5381" s="35">
        <f>SUMIFS(G5382:G9015,K5382:K9015,"0",B5382:B9015,"5 1 2 1 1 12 31111 6 M59 91000 000132*")</f>
        <v>0</v>
      </c>
      <c r="H5381" s="35">
        <f t="shared" si="85"/>
        <v>899.99</v>
      </c>
      <c r="I5381" s="35"/>
      <c r="K5381" t="s">
        <v>15</v>
      </c>
    </row>
    <row r="5382" spans="2:11" ht="16.5" x14ac:dyDescent="0.2">
      <c r="B5382" s="33" t="s">
        <v>6347</v>
      </c>
      <c r="C5382" s="33" t="s">
        <v>650</v>
      </c>
      <c r="D5382" s="35">
        <f>SUMIFS(D5383:D9015,K5383:K9015,"0",B5383:B9015,"5 1 2 1 1 12 31111 6 M59 91000 000132 0000R*")-SUMIFS(E5383:E9015,K5383:K9015,"0",B5383:B9015,"5 1 2 1 1 12 31111 6 M59 91000 000132 0000R*")</f>
        <v>0</v>
      </c>
      <c r="E5382"/>
      <c r="F5382" s="35">
        <f>SUMIFS(F5383:F9015,K5383:K9015,"0",B5383:B9015,"5 1 2 1 1 12 31111 6 M59 91000 000132 0000R*")</f>
        <v>899.99</v>
      </c>
      <c r="G5382" s="35">
        <f>SUMIFS(G5383:G9015,K5383:K9015,"0",B5383:B9015,"5 1 2 1 1 12 31111 6 M59 91000 000132 0000R*")</f>
        <v>0</v>
      </c>
      <c r="H5382" s="35">
        <f t="shared" si="85"/>
        <v>899.99</v>
      </c>
      <c r="I5382" s="35"/>
      <c r="K5382" t="s">
        <v>15</v>
      </c>
    </row>
    <row r="5383" spans="2:11" ht="24.75" x14ac:dyDescent="0.2">
      <c r="B5383" s="33" t="s">
        <v>6348</v>
      </c>
      <c r="C5383" s="33" t="s">
        <v>282</v>
      </c>
      <c r="D5383" s="35">
        <f>SUMIFS(D5384:D9015,K5384:K9015,"0",B5384:B9015,"5 1 2 1 1 12 31111 6 M59 91000 000132 0000R 00001*")-SUMIFS(E5384:E9015,K5384:K9015,"0",B5384:B9015,"5 1 2 1 1 12 31111 6 M59 91000 000132 0000R 00001*")</f>
        <v>0</v>
      </c>
      <c r="E5383"/>
      <c r="F5383" s="35">
        <f>SUMIFS(F5384:F9015,K5384:K9015,"0",B5384:B9015,"5 1 2 1 1 12 31111 6 M59 91000 000132 0000R 00001*")</f>
        <v>899.99</v>
      </c>
      <c r="G5383" s="35">
        <f>SUMIFS(G5384:G9015,K5384:K9015,"0",B5384:B9015,"5 1 2 1 1 12 31111 6 M59 91000 000132 0000R 00001*")</f>
        <v>0</v>
      </c>
      <c r="H5383" s="35">
        <f t="shared" si="85"/>
        <v>899.99</v>
      </c>
      <c r="I5383" s="35"/>
      <c r="K5383" t="s">
        <v>15</v>
      </c>
    </row>
    <row r="5384" spans="2:11" ht="24.75" x14ac:dyDescent="0.2">
      <c r="B5384" s="33" t="s">
        <v>6349</v>
      </c>
      <c r="C5384" s="33" t="s">
        <v>5827</v>
      </c>
      <c r="D5384" s="35">
        <f>SUMIFS(D5385:D9015,K5385:K9015,"0",B5385:B9015,"5 1 2 1 1 12 31111 6 M59 91000 000132 0000R 00001 00211*")-SUMIFS(E5385:E9015,K5385:K9015,"0",B5385:B9015,"5 1 2 1 1 12 31111 6 M59 91000 000132 0000R 00001 00211*")</f>
        <v>0</v>
      </c>
      <c r="E5384"/>
      <c r="F5384" s="35">
        <f>SUMIFS(F5385:F9015,K5385:K9015,"0",B5385:B9015,"5 1 2 1 1 12 31111 6 M59 91000 000132 0000R 00001 00211*")</f>
        <v>899.99</v>
      </c>
      <c r="G5384" s="35">
        <f>SUMIFS(G5385:G9015,K5385:K9015,"0",B5385:B9015,"5 1 2 1 1 12 31111 6 M59 91000 000132 0000R 00001 00211*")</f>
        <v>0</v>
      </c>
      <c r="H5384" s="35">
        <f t="shared" si="85"/>
        <v>899.99</v>
      </c>
      <c r="I5384" s="35"/>
      <c r="K5384" t="s">
        <v>15</v>
      </c>
    </row>
    <row r="5385" spans="2:11" ht="24.75" x14ac:dyDescent="0.2">
      <c r="B5385" s="33" t="s">
        <v>6350</v>
      </c>
      <c r="C5385" s="33" t="s">
        <v>1051</v>
      </c>
      <c r="D5385" s="35">
        <f>SUMIFS(D5386:D9015,K5386:K9015,"0",B5386:B9015,"5 1 2 1 1 12 31111 6 M59 91000 000132 0000R 00001 00211 015*")-SUMIFS(E5386:E9015,K5386:K9015,"0",B5386:B9015,"5 1 2 1 1 12 31111 6 M59 91000 000132 0000R 00001 00211 015*")</f>
        <v>0</v>
      </c>
      <c r="E5385"/>
      <c r="F5385" s="35">
        <f>SUMIFS(F5386:F9015,K5386:K9015,"0",B5386:B9015,"5 1 2 1 1 12 31111 6 M59 91000 000132 0000R 00001 00211 015*")</f>
        <v>899.99</v>
      </c>
      <c r="G5385" s="35">
        <f>SUMIFS(G5386:G9015,K5386:K9015,"0",B5386:B9015,"5 1 2 1 1 12 31111 6 M59 91000 000132 0000R 00001 00211 015*")</f>
        <v>0</v>
      </c>
      <c r="H5385" s="35">
        <f t="shared" si="85"/>
        <v>899.99</v>
      </c>
      <c r="I5385" s="35"/>
      <c r="K5385" t="s">
        <v>15</v>
      </c>
    </row>
    <row r="5386" spans="2:11" ht="33" x14ac:dyDescent="0.2">
      <c r="B5386" s="33" t="s">
        <v>6351</v>
      </c>
      <c r="C5386" s="33" t="s">
        <v>5830</v>
      </c>
      <c r="D5386" s="35">
        <f>SUMIFS(D5387:D9015,K5387:K9015,"0",B5387:B9015,"5 1 2 1 1 12 31111 6 M59 91000 000132 0000R 00001 00211 015 2112000*")-SUMIFS(E5387:E9015,K5387:K9015,"0",B5387:B9015,"5 1 2 1 1 12 31111 6 M59 91000 000132 0000R 00001 00211 015 2112000*")</f>
        <v>0</v>
      </c>
      <c r="E5386"/>
      <c r="F5386" s="35">
        <f>SUMIFS(F5387:F9015,K5387:K9015,"0",B5387:B9015,"5 1 2 1 1 12 31111 6 M59 91000 000132 0000R 00001 00211 015 2112000*")</f>
        <v>899.99</v>
      </c>
      <c r="G5386" s="35">
        <f>SUMIFS(G5387:G9015,K5387:K9015,"0",B5387:B9015,"5 1 2 1 1 12 31111 6 M59 91000 000132 0000R 00001 00211 015 2112000*")</f>
        <v>0</v>
      </c>
      <c r="H5386" s="35">
        <f t="shared" si="85"/>
        <v>899.99</v>
      </c>
      <c r="I5386" s="35"/>
      <c r="K5386" t="s">
        <v>15</v>
      </c>
    </row>
    <row r="5387" spans="2:11" ht="33" x14ac:dyDescent="0.2">
      <c r="B5387" s="33" t="s">
        <v>6352</v>
      </c>
      <c r="C5387" s="33" t="s">
        <v>660</v>
      </c>
      <c r="D5387" s="35">
        <f>SUMIFS(D5388:D9015,K5388:K9015,"0",B5388:B9015,"5 1 2 1 1 12 31111 6 M59 91000 000132 0000R 00001 00211 015 2112000 2024*")-SUMIFS(E5388:E9015,K5388:K9015,"0",B5388:B9015,"5 1 2 1 1 12 31111 6 M59 91000 000132 0000R 00001 00211 015 2112000 2024*")</f>
        <v>0</v>
      </c>
      <c r="E5387"/>
      <c r="F5387" s="35">
        <f>SUMIFS(F5388:F9015,K5388:K9015,"0",B5388:B9015,"5 1 2 1 1 12 31111 6 M59 91000 000132 0000R 00001 00211 015 2112000 2024*")</f>
        <v>899.99</v>
      </c>
      <c r="G5387" s="35">
        <f>SUMIFS(G5388:G9015,K5388:K9015,"0",B5388:B9015,"5 1 2 1 1 12 31111 6 M59 91000 000132 0000R 00001 00211 015 2112000 2024*")</f>
        <v>0</v>
      </c>
      <c r="H5387" s="35">
        <f t="shared" si="85"/>
        <v>899.99</v>
      </c>
      <c r="I5387" s="35"/>
      <c r="K5387" t="s">
        <v>15</v>
      </c>
    </row>
    <row r="5388" spans="2:11" ht="41.25" x14ac:dyDescent="0.2">
      <c r="B5388" s="33" t="s">
        <v>6353</v>
      </c>
      <c r="C5388" s="33" t="s">
        <v>1056</v>
      </c>
      <c r="D5388" s="35">
        <f>SUMIFS(D5389:D9015,K5389:K9015,"0",B5389:B9015,"5 1 2 1 1 12 31111 6 M59 91000 000132 0000R 00001 00211 015 2112000 2024 CP1RE398*")-SUMIFS(E5389:E9015,K5389:K9015,"0",B5389:B9015,"5 1 2 1 1 12 31111 6 M59 91000 000132 0000R 00001 00211 015 2112000 2024 CP1RE398*")</f>
        <v>0</v>
      </c>
      <c r="E5388"/>
      <c r="F5388" s="35">
        <f>SUMIFS(F5389:F9015,K5389:K9015,"0",B5389:B9015,"5 1 2 1 1 12 31111 6 M59 91000 000132 0000R 00001 00211 015 2112000 2024 CP1RE398*")</f>
        <v>899.99</v>
      </c>
      <c r="G5388" s="35">
        <f>SUMIFS(G5389:G9015,K5389:K9015,"0",B5389:B9015,"5 1 2 1 1 12 31111 6 M59 91000 000132 0000R 00001 00211 015 2112000 2024 CP1RE398*")</f>
        <v>0</v>
      </c>
      <c r="H5388" s="35">
        <f t="shared" si="85"/>
        <v>899.99</v>
      </c>
      <c r="I5388" s="35"/>
      <c r="K5388" t="s">
        <v>15</v>
      </c>
    </row>
    <row r="5389" spans="2:11" ht="41.25" x14ac:dyDescent="0.2">
      <c r="B5389" s="33" t="s">
        <v>6354</v>
      </c>
      <c r="C5389" s="33" t="s">
        <v>282</v>
      </c>
      <c r="D5389" s="35">
        <f>SUMIFS(D5390:D9015,K5390:K9015,"0",B5390:B9015,"5 1 2 1 1 12 31111 6 M59 91000 000132 0000R 00001 00211 015 2112000 2024 CP1RE398 001*")-SUMIFS(E5390:E9015,K5390:K9015,"0",B5390:B9015,"5 1 2 1 1 12 31111 6 M59 91000 000132 0000R 00001 00211 015 2112000 2024 CP1RE398 001*")</f>
        <v>0</v>
      </c>
      <c r="E5389"/>
      <c r="F5389" s="35">
        <f>SUMIFS(F5390:F9015,K5390:K9015,"0",B5390:B9015,"5 1 2 1 1 12 31111 6 M59 91000 000132 0000R 00001 00211 015 2112000 2024 CP1RE398 001*")</f>
        <v>899.99</v>
      </c>
      <c r="G5389" s="35">
        <f>SUMIFS(G5390:G9015,K5390:K9015,"0",B5390:B9015,"5 1 2 1 1 12 31111 6 M59 91000 000132 0000R 00001 00211 015 2112000 2024 CP1RE398 001*")</f>
        <v>0</v>
      </c>
      <c r="H5389" s="35">
        <f t="shared" si="85"/>
        <v>899.99</v>
      </c>
      <c r="I5389" s="35"/>
      <c r="K5389" t="s">
        <v>15</v>
      </c>
    </row>
    <row r="5390" spans="2:11" ht="33" x14ac:dyDescent="0.2">
      <c r="B5390" s="31" t="s">
        <v>6355</v>
      </c>
      <c r="C5390" s="31" t="s">
        <v>5827</v>
      </c>
      <c r="D5390" s="34">
        <v>0</v>
      </c>
      <c r="E5390" s="34"/>
      <c r="F5390" s="34">
        <v>899.99</v>
      </c>
      <c r="G5390" s="34">
        <v>0</v>
      </c>
      <c r="H5390" s="34">
        <f t="shared" si="85"/>
        <v>899.99</v>
      </c>
      <c r="I5390" s="34"/>
      <c r="K5390" t="s">
        <v>38</v>
      </c>
    </row>
    <row r="5391" spans="2:11" ht="16.5" x14ac:dyDescent="0.2">
      <c r="B5391" s="33" t="s">
        <v>6356</v>
      </c>
      <c r="C5391" s="33" t="s">
        <v>3620</v>
      </c>
      <c r="D5391" s="35">
        <f>SUMIFS(D5392:D9015,K5392:K9015,"0",B5392:B9015,"5 1 2 1 1 12 31111 6 M59 92000*")-SUMIFS(E5392:E9015,K5392:K9015,"0",B5392:B9015,"5 1 2 1 1 12 31111 6 M59 92000*")</f>
        <v>0</v>
      </c>
      <c r="E5391"/>
      <c r="F5391" s="35">
        <f>SUMIFS(F5392:F9015,K5392:K9015,"0",B5392:B9015,"5 1 2 1 1 12 31111 6 M59 92000*")</f>
        <v>1798704.91</v>
      </c>
      <c r="G5391" s="35">
        <f>SUMIFS(G5392:G9015,K5392:K9015,"0",B5392:B9015,"5 1 2 1 1 12 31111 6 M59 92000*")</f>
        <v>0</v>
      </c>
      <c r="H5391" s="35">
        <f t="shared" si="85"/>
        <v>1798704.91</v>
      </c>
      <c r="I5391" s="35"/>
      <c r="K5391" t="s">
        <v>15</v>
      </c>
    </row>
    <row r="5392" spans="2:11" ht="24.75" x14ac:dyDescent="0.2">
      <c r="B5392" s="33" t="s">
        <v>6357</v>
      </c>
      <c r="C5392" s="33" t="s">
        <v>3152</v>
      </c>
      <c r="D5392" s="35">
        <f>SUMIFS(D5393:D9015,K5393:K9015,"0",B5393:B9015,"5 1 2 1 1 12 31111 6 M59 92000 000181*")-SUMIFS(E5393:E9015,K5393:K9015,"0",B5393:B9015,"5 1 2 1 1 12 31111 6 M59 92000 000181*")</f>
        <v>0</v>
      </c>
      <c r="E5392"/>
      <c r="F5392" s="35">
        <f>SUMIFS(F5393:F9015,K5393:K9015,"0",B5393:B9015,"5 1 2 1 1 12 31111 6 M59 92000 000181*")</f>
        <v>1798704.91</v>
      </c>
      <c r="G5392" s="35">
        <f>SUMIFS(G5393:G9015,K5393:K9015,"0",B5393:B9015,"5 1 2 1 1 12 31111 6 M59 92000 000181*")</f>
        <v>0</v>
      </c>
      <c r="H5392" s="35">
        <f t="shared" si="85"/>
        <v>1798704.91</v>
      </c>
      <c r="I5392" s="35"/>
      <c r="K5392" t="s">
        <v>15</v>
      </c>
    </row>
    <row r="5393" spans="2:11" ht="16.5" x14ac:dyDescent="0.2">
      <c r="B5393" s="33" t="s">
        <v>6358</v>
      </c>
      <c r="C5393" s="33" t="s">
        <v>1065</v>
      </c>
      <c r="D5393" s="35">
        <f>SUMIFS(D5394:D9015,K5394:K9015,"0",B5394:B9015,"5 1 2 1 1 12 31111 6 M59 92000 000181 0000E*")-SUMIFS(E5394:E9015,K5394:K9015,"0",B5394:B9015,"5 1 2 1 1 12 31111 6 M59 92000 000181 0000E*")</f>
        <v>0</v>
      </c>
      <c r="E5393"/>
      <c r="F5393" s="35">
        <f>SUMIFS(F5394:F9015,K5394:K9015,"0",B5394:B9015,"5 1 2 1 1 12 31111 6 M59 92000 000181 0000E*")</f>
        <v>1798704.91</v>
      </c>
      <c r="G5393" s="35">
        <f>SUMIFS(G5394:G9015,K5394:K9015,"0",B5394:B9015,"5 1 2 1 1 12 31111 6 M59 92000 000181 0000E*")</f>
        <v>0</v>
      </c>
      <c r="H5393" s="35">
        <f t="shared" si="85"/>
        <v>1798704.91</v>
      </c>
      <c r="I5393" s="35"/>
      <c r="K5393" t="s">
        <v>15</v>
      </c>
    </row>
    <row r="5394" spans="2:11" ht="24.75" x14ac:dyDescent="0.2">
      <c r="B5394" s="33" t="s">
        <v>6359</v>
      </c>
      <c r="C5394" s="33" t="s">
        <v>282</v>
      </c>
      <c r="D5394" s="35">
        <f>SUMIFS(D5395:D9015,K5395:K9015,"0",B5395:B9015,"5 1 2 1 1 12 31111 6 M59 92000 000181 0000E 00001*")-SUMIFS(E5395:E9015,K5395:K9015,"0",B5395:B9015,"5 1 2 1 1 12 31111 6 M59 92000 000181 0000E 00001*")</f>
        <v>0</v>
      </c>
      <c r="E5394"/>
      <c r="F5394" s="35">
        <f>SUMIFS(F5395:F9015,K5395:K9015,"0",B5395:B9015,"5 1 2 1 1 12 31111 6 M59 92000 000181 0000E 00001*")</f>
        <v>1798704.91</v>
      </c>
      <c r="G5394" s="35">
        <f>SUMIFS(G5395:G9015,K5395:K9015,"0",B5395:B9015,"5 1 2 1 1 12 31111 6 M59 92000 000181 0000E 00001*")</f>
        <v>0</v>
      </c>
      <c r="H5394" s="35">
        <f t="shared" si="85"/>
        <v>1798704.91</v>
      </c>
      <c r="I5394" s="35"/>
      <c r="K5394" t="s">
        <v>15</v>
      </c>
    </row>
    <row r="5395" spans="2:11" ht="24.75" x14ac:dyDescent="0.2">
      <c r="B5395" s="33" t="s">
        <v>6360</v>
      </c>
      <c r="C5395" s="33" t="s">
        <v>5827</v>
      </c>
      <c r="D5395" s="35">
        <f>SUMIFS(D5396:D9015,K5396:K9015,"0",B5396:B9015,"5 1 2 1 1 12 31111 6 M59 92000 000181 0000E 00001 00211*")-SUMIFS(E5396:E9015,K5396:K9015,"0",B5396:B9015,"5 1 2 1 1 12 31111 6 M59 92000 000181 0000E 00001 00211*")</f>
        <v>0</v>
      </c>
      <c r="E5395"/>
      <c r="F5395" s="35">
        <f>SUMIFS(F5396:F9015,K5396:K9015,"0",B5396:B9015,"5 1 2 1 1 12 31111 6 M59 92000 000181 0000E 00001 00211*")</f>
        <v>1798704.91</v>
      </c>
      <c r="G5395" s="35">
        <f>SUMIFS(G5396:G9015,K5396:K9015,"0",B5396:B9015,"5 1 2 1 1 12 31111 6 M59 92000 000181 0000E 00001 00211*")</f>
        <v>0</v>
      </c>
      <c r="H5395" s="35">
        <f t="shared" si="85"/>
        <v>1798704.91</v>
      </c>
      <c r="I5395" s="35"/>
      <c r="K5395" t="s">
        <v>15</v>
      </c>
    </row>
    <row r="5396" spans="2:11" ht="24.75" x14ac:dyDescent="0.2">
      <c r="B5396" s="33" t="s">
        <v>6361</v>
      </c>
      <c r="C5396" s="33" t="s">
        <v>1051</v>
      </c>
      <c r="D5396" s="35">
        <f>SUMIFS(D5397:D9015,K5397:K9015,"0",B5397:B9015,"5 1 2 1 1 12 31111 6 M59 92000 000181 0000E 00001 00211 015*")-SUMIFS(E5397:E9015,K5397:K9015,"0",B5397:B9015,"5 1 2 1 1 12 31111 6 M59 92000 000181 0000E 00001 00211 015*")</f>
        <v>0</v>
      </c>
      <c r="E5396"/>
      <c r="F5396" s="35">
        <f>SUMIFS(F5397:F9015,K5397:K9015,"0",B5397:B9015,"5 1 2 1 1 12 31111 6 M59 92000 000181 0000E 00001 00211 015*")</f>
        <v>1798704.91</v>
      </c>
      <c r="G5396" s="35">
        <f>SUMIFS(G5397:G9015,K5397:K9015,"0",B5397:B9015,"5 1 2 1 1 12 31111 6 M59 92000 000181 0000E 00001 00211 015*")</f>
        <v>0</v>
      </c>
      <c r="H5396" s="35">
        <f t="shared" si="85"/>
        <v>1798704.91</v>
      </c>
      <c r="I5396" s="35"/>
      <c r="K5396" t="s">
        <v>15</v>
      </c>
    </row>
    <row r="5397" spans="2:11" ht="33" x14ac:dyDescent="0.2">
      <c r="B5397" s="33" t="s">
        <v>6362</v>
      </c>
      <c r="C5397" s="33" t="s">
        <v>5830</v>
      </c>
      <c r="D5397" s="35">
        <f>SUMIFS(D5398:D9015,K5398:K9015,"0",B5398:B9015,"5 1 2 1 1 12 31111 6 M59 92000 000181 0000E 00001 00211 015 2112000*")-SUMIFS(E5398:E9015,K5398:K9015,"0",B5398:B9015,"5 1 2 1 1 12 31111 6 M59 92000 000181 0000E 00001 00211 015 2112000*")</f>
        <v>0</v>
      </c>
      <c r="E5397"/>
      <c r="F5397" s="35">
        <f>SUMIFS(F5398:F9015,K5398:K9015,"0",B5398:B9015,"5 1 2 1 1 12 31111 6 M59 92000 000181 0000E 00001 00211 015 2112000*")</f>
        <v>1798704.91</v>
      </c>
      <c r="G5397" s="35">
        <f>SUMIFS(G5398:G9015,K5398:K9015,"0",B5398:B9015,"5 1 2 1 1 12 31111 6 M59 92000 000181 0000E 00001 00211 015 2112000*")</f>
        <v>0</v>
      </c>
      <c r="H5397" s="35">
        <f t="shared" si="85"/>
        <v>1798704.91</v>
      </c>
      <c r="I5397" s="35"/>
      <c r="K5397" t="s">
        <v>15</v>
      </c>
    </row>
    <row r="5398" spans="2:11" ht="33" x14ac:dyDescent="0.2">
      <c r="B5398" s="33" t="s">
        <v>6363</v>
      </c>
      <c r="C5398" s="33" t="s">
        <v>660</v>
      </c>
      <c r="D5398" s="35">
        <f>SUMIFS(D5399:D9015,K5399:K9015,"0",B5399:B9015,"5 1 2 1 1 12 31111 6 M59 92000 000181 0000E 00001 00211 015 2112000 2024*")-SUMIFS(E5399:E9015,K5399:K9015,"0",B5399:B9015,"5 1 2 1 1 12 31111 6 M59 92000 000181 0000E 00001 00211 015 2112000 2024*")</f>
        <v>0</v>
      </c>
      <c r="E5398"/>
      <c r="F5398" s="35">
        <f>SUMIFS(F5399:F9015,K5399:K9015,"0",B5399:B9015,"5 1 2 1 1 12 31111 6 M59 92000 000181 0000E 00001 00211 015 2112000 2024*")</f>
        <v>1798704.91</v>
      </c>
      <c r="G5398" s="35">
        <f>SUMIFS(G5399:G9015,K5399:K9015,"0",B5399:B9015,"5 1 2 1 1 12 31111 6 M59 92000 000181 0000E 00001 00211 015 2112000 2024*")</f>
        <v>0</v>
      </c>
      <c r="H5398" s="35">
        <f t="shared" si="85"/>
        <v>1798704.91</v>
      </c>
      <c r="I5398" s="35"/>
      <c r="K5398" t="s">
        <v>15</v>
      </c>
    </row>
    <row r="5399" spans="2:11" ht="41.25" x14ac:dyDescent="0.2">
      <c r="B5399" s="33" t="s">
        <v>6364</v>
      </c>
      <c r="C5399" s="33" t="s">
        <v>1056</v>
      </c>
      <c r="D5399" s="35">
        <f>SUMIFS(D5400:D9015,K5400:K9015,"0",B5400:B9015,"5 1 2 1 1 12 31111 6 M59 92000 000181 0000E 00001 00211 015 2112000 2024 CP1RC399*")-SUMIFS(E5400:E9015,K5400:K9015,"0",B5400:B9015,"5 1 2 1 1 12 31111 6 M59 92000 000181 0000E 00001 00211 015 2112000 2024 CP1RC399*")</f>
        <v>0</v>
      </c>
      <c r="E5399"/>
      <c r="F5399" s="35">
        <f>SUMIFS(F5400:F9015,K5400:K9015,"0",B5400:B9015,"5 1 2 1 1 12 31111 6 M59 92000 000181 0000E 00001 00211 015 2112000 2024 CP1RC399*")</f>
        <v>1798704.91</v>
      </c>
      <c r="G5399" s="35">
        <f>SUMIFS(G5400:G9015,K5400:K9015,"0",B5400:B9015,"5 1 2 1 1 12 31111 6 M59 92000 000181 0000E 00001 00211 015 2112000 2024 CP1RC399*")</f>
        <v>0</v>
      </c>
      <c r="H5399" s="35">
        <f t="shared" si="85"/>
        <v>1798704.91</v>
      </c>
      <c r="I5399" s="35"/>
      <c r="K5399" t="s">
        <v>15</v>
      </c>
    </row>
    <row r="5400" spans="2:11" ht="41.25" x14ac:dyDescent="0.2">
      <c r="B5400" s="33" t="s">
        <v>6365</v>
      </c>
      <c r="C5400" s="33" t="s">
        <v>282</v>
      </c>
      <c r="D5400" s="35">
        <f>SUMIFS(D5401:D9015,K5401:K9015,"0",B5401:B9015,"5 1 2 1 1 12 31111 6 M59 92000 000181 0000E 00001 00211 015 2112000 2024 CP1RC399 001*")-SUMIFS(E5401:E9015,K5401:K9015,"0",B5401:B9015,"5 1 2 1 1 12 31111 6 M59 92000 000181 0000E 00001 00211 015 2112000 2024 CP1RC399 001*")</f>
        <v>0</v>
      </c>
      <c r="E5400"/>
      <c r="F5400" s="35">
        <f>SUMIFS(F5401:F9015,K5401:K9015,"0",B5401:B9015,"5 1 2 1 1 12 31111 6 M59 92000 000181 0000E 00001 00211 015 2112000 2024 CP1RC399 001*")</f>
        <v>1798704.91</v>
      </c>
      <c r="G5400" s="35">
        <f>SUMIFS(G5401:G9015,K5401:K9015,"0",B5401:B9015,"5 1 2 1 1 12 31111 6 M59 92000 000181 0000E 00001 00211 015 2112000 2024 CP1RC399 001*")</f>
        <v>0</v>
      </c>
      <c r="H5400" s="35">
        <f t="shared" si="85"/>
        <v>1798704.91</v>
      </c>
      <c r="I5400" s="35"/>
      <c r="K5400" t="s">
        <v>15</v>
      </c>
    </row>
    <row r="5401" spans="2:11" ht="33" x14ac:dyDescent="0.2">
      <c r="B5401" s="31" t="s">
        <v>6366</v>
      </c>
      <c r="C5401" s="31" t="s">
        <v>5817</v>
      </c>
      <c r="D5401" s="34">
        <v>0</v>
      </c>
      <c r="E5401" s="34"/>
      <c r="F5401" s="34">
        <v>1798704.91</v>
      </c>
      <c r="G5401" s="34">
        <v>0</v>
      </c>
      <c r="H5401" s="34">
        <f t="shared" si="85"/>
        <v>1798704.91</v>
      </c>
      <c r="I5401" s="34"/>
      <c r="K5401" t="s">
        <v>38</v>
      </c>
    </row>
    <row r="5402" spans="2:11" ht="24.75" x14ac:dyDescent="0.2">
      <c r="B5402" s="33" t="s">
        <v>6367</v>
      </c>
      <c r="C5402" s="33" t="s">
        <v>3632</v>
      </c>
      <c r="D5402" s="35">
        <f>SUMIFS(D5403:D9015,K5403:K9015,"0",B5403:B9015,"5 1 2 1 1 12 31111 6 M59 93000*")-SUMIFS(E5403:E9015,K5403:K9015,"0",B5403:B9015,"5 1 2 1 1 12 31111 6 M59 93000*")</f>
        <v>0</v>
      </c>
      <c r="E5402"/>
      <c r="F5402" s="35">
        <f>SUMIFS(F5403:F9015,K5403:K9015,"0",B5403:B9015,"5 1 2 1 1 12 31111 6 M59 93000*")</f>
        <v>250</v>
      </c>
      <c r="G5402" s="35">
        <f>SUMIFS(G5403:G9015,K5403:K9015,"0",B5403:B9015,"5 1 2 1 1 12 31111 6 M59 93000*")</f>
        <v>0</v>
      </c>
      <c r="H5402" s="35">
        <f t="shared" si="85"/>
        <v>250</v>
      </c>
      <c r="I5402" s="35"/>
      <c r="K5402" t="s">
        <v>15</v>
      </c>
    </row>
    <row r="5403" spans="2:11" ht="16.5" x14ac:dyDescent="0.2">
      <c r="B5403" s="33" t="s">
        <v>6368</v>
      </c>
      <c r="C5403" s="33" t="s">
        <v>648</v>
      </c>
      <c r="D5403" s="35">
        <f>SUMIFS(D5404:D9015,K5404:K9015,"0",B5404:B9015,"5 1 2 1 1 12 31111 6 M59 93000 000132*")-SUMIFS(E5404:E9015,K5404:K9015,"0",B5404:B9015,"5 1 2 1 1 12 31111 6 M59 93000 000132*")</f>
        <v>0</v>
      </c>
      <c r="E5403"/>
      <c r="F5403" s="35">
        <f>SUMIFS(F5404:F9015,K5404:K9015,"0",B5404:B9015,"5 1 2 1 1 12 31111 6 M59 93000 000132*")</f>
        <v>250</v>
      </c>
      <c r="G5403" s="35">
        <f>SUMIFS(G5404:G9015,K5404:K9015,"0",B5404:B9015,"5 1 2 1 1 12 31111 6 M59 93000 000132*")</f>
        <v>0</v>
      </c>
      <c r="H5403" s="35">
        <f t="shared" si="85"/>
        <v>250</v>
      </c>
      <c r="I5403" s="35"/>
      <c r="K5403" t="s">
        <v>15</v>
      </c>
    </row>
    <row r="5404" spans="2:11" ht="16.5" x14ac:dyDescent="0.2">
      <c r="B5404" s="33" t="s">
        <v>6369</v>
      </c>
      <c r="C5404" s="33" t="s">
        <v>650</v>
      </c>
      <c r="D5404" s="35">
        <f>SUMIFS(D5405:D9015,K5405:K9015,"0",B5405:B9015,"5 1 2 1 1 12 31111 6 M59 93000 000132 0000R*")-SUMIFS(E5405:E9015,K5405:K9015,"0",B5405:B9015,"5 1 2 1 1 12 31111 6 M59 93000 000132 0000R*")</f>
        <v>0</v>
      </c>
      <c r="E5404"/>
      <c r="F5404" s="35">
        <f>SUMIFS(F5405:F9015,K5405:K9015,"0",B5405:B9015,"5 1 2 1 1 12 31111 6 M59 93000 000132 0000R*")</f>
        <v>250</v>
      </c>
      <c r="G5404" s="35">
        <f>SUMIFS(G5405:G9015,K5405:K9015,"0",B5405:B9015,"5 1 2 1 1 12 31111 6 M59 93000 000132 0000R*")</f>
        <v>0</v>
      </c>
      <c r="H5404" s="35">
        <f t="shared" si="85"/>
        <v>250</v>
      </c>
      <c r="I5404" s="35"/>
      <c r="K5404" t="s">
        <v>15</v>
      </c>
    </row>
    <row r="5405" spans="2:11" ht="24.75" x14ac:dyDescent="0.2">
      <c r="B5405" s="33" t="s">
        <v>6370</v>
      </c>
      <c r="C5405" s="33" t="s">
        <v>282</v>
      </c>
      <c r="D5405" s="35">
        <f>SUMIFS(D5406:D9015,K5406:K9015,"0",B5406:B9015,"5 1 2 1 1 12 31111 6 M59 93000 000132 0000R 00001*")-SUMIFS(E5406:E9015,K5406:K9015,"0",B5406:B9015,"5 1 2 1 1 12 31111 6 M59 93000 000132 0000R 00001*")</f>
        <v>0</v>
      </c>
      <c r="E5405"/>
      <c r="F5405" s="35">
        <f>SUMIFS(F5406:F9015,K5406:K9015,"0",B5406:B9015,"5 1 2 1 1 12 31111 6 M59 93000 000132 0000R 00001*")</f>
        <v>250</v>
      </c>
      <c r="G5405" s="35">
        <f>SUMIFS(G5406:G9015,K5406:K9015,"0",B5406:B9015,"5 1 2 1 1 12 31111 6 M59 93000 000132 0000R 00001*")</f>
        <v>0</v>
      </c>
      <c r="H5405" s="35">
        <f t="shared" si="85"/>
        <v>250</v>
      </c>
      <c r="I5405" s="35"/>
      <c r="K5405" t="s">
        <v>15</v>
      </c>
    </row>
    <row r="5406" spans="2:11" ht="24.75" x14ac:dyDescent="0.2">
      <c r="B5406" s="33" t="s">
        <v>6371</v>
      </c>
      <c r="C5406" s="33" t="s">
        <v>5827</v>
      </c>
      <c r="D5406" s="35">
        <f>SUMIFS(D5407:D9015,K5407:K9015,"0",B5407:B9015,"5 1 2 1 1 12 31111 6 M59 93000 000132 0000R 00001 00211*")-SUMIFS(E5407:E9015,K5407:K9015,"0",B5407:B9015,"5 1 2 1 1 12 31111 6 M59 93000 000132 0000R 00001 00211*")</f>
        <v>0</v>
      </c>
      <c r="E5406"/>
      <c r="F5406" s="35">
        <f>SUMIFS(F5407:F9015,K5407:K9015,"0",B5407:B9015,"5 1 2 1 1 12 31111 6 M59 93000 000132 0000R 00001 00211*")</f>
        <v>250</v>
      </c>
      <c r="G5406" s="35">
        <f>SUMIFS(G5407:G9015,K5407:K9015,"0",B5407:B9015,"5 1 2 1 1 12 31111 6 M59 93000 000132 0000R 00001 00211*")</f>
        <v>0</v>
      </c>
      <c r="H5406" s="35">
        <f t="shared" si="85"/>
        <v>250</v>
      </c>
      <c r="I5406" s="35"/>
      <c r="K5406" t="s">
        <v>15</v>
      </c>
    </row>
    <row r="5407" spans="2:11" ht="24.75" x14ac:dyDescent="0.2">
      <c r="B5407" s="33" t="s">
        <v>6372</v>
      </c>
      <c r="C5407" s="33" t="s">
        <v>1051</v>
      </c>
      <c r="D5407" s="35">
        <f>SUMIFS(D5408:D9015,K5408:K9015,"0",B5408:B9015,"5 1 2 1 1 12 31111 6 M59 93000 000132 0000R 00001 00211 015*")-SUMIFS(E5408:E9015,K5408:K9015,"0",B5408:B9015,"5 1 2 1 1 12 31111 6 M59 93000 000132 0000R 00001 00211 015*")</f>
        <v>0</v>
      </c>
      <c r="E5407"/>
      <c r="F5407" s="35">
        <f>SUMIFS(F5408:F9015,K5408:K9015,"0",B5408:B9015,"5 1 2 1 1 12 31111 6 M59 93000 000132 0000R 00001 00211 015*")</f>
        <v>250</v>
      </c>
      <c r="G5407" s="35">
        <f>SUMIFS(G5408:G9015,K5408:K9015,"0",B5408:B9015,"5 1 2 1 1 12 31111 6 M59 93000 000132 0000R 00001 00211 015*")</f>
        <v>0</v>
      </c>
      <c r="H5407" s="35">
        <f t="shared" si="85"/>
        <v>250</v>
      </c>
      <c r="I5407" s="35"/>
      <c r="K5407" t="s">
        <v>15</v>
      </c>
    </row>
    <row r="5408" spans="2:11" ht="33" x14ac:dyDescent="0.2">
      <c r="B5408" s="33" t="s">
        <v>6373</v>
      </c>
      <c r="C5408" s="33" t="s">
        <v>5830</v>
      </c>
      <c r="D5408" s="35">
        <f>SUMIFS(D5409:D9015,K5409:K9015,"0",B5409:B9015,"5 1 2 1 1 12 31111 6 M59 93000 000132 0000R 00001 00211 015 2112000*")-SUMIFS(E5409:E9015,K5409:K9015,"0",B5409:B9015,"5 1 2 1 1 12 31111 6 M59 93000 000132 0000R 00001 00211 015 2112000*")</f>
        <v>0</v>
      </c>
      <c r="E5408"/>
      <c r="F5408" s="35">
        <f>SUMIFS(F5409:F9015,K5409:K9015,"0",B5409:B9015,"5 1 2 1 1 12 31111 6 M59 93000 000132 0000R 00001 00211 015 2112000*")</f>
        <v>250</v>
      </c>
      <c r="G5408" s="35">
        <f>SUMIFS(G5409:G9015,K5409:K9015,"0",B5409:B9015,"5 1 2 1 1 12 31111 6 M59 93000 000132 0000R 00001 00211 015 2112000*")</f>
        <v>0</v>
      </c>
      <c r="H5408" s="35">
        <f t="shared" si="85"/>
        <v>250</v>
      </c>
      <c r="I5408" s="35"/>
      <c r="K5408" t="s">
        <v>15</v>
      </c>
    </row>
    <row r="5409" spans="2:11" ht="33" x14ac:dyDescent="0.2">
      <c r="B5409" s="33" t="s">
        <v>6374</v>
      </c>
      <c r="C5409" s="33" t="s">
        <v>660</v>
      </c>
      <c r="D5409" s="35">
        <f>SUMIFS(D5410:D9015,K5410:K9015,"0",B5410:B9015,"5 1 2 1 1 12 31111 6 M59 93000 000132 0000R 00001 00211 015 2112000 2024*")-SUMIFS(E5410:E9015,K5410:K9015,"0",B5410:B9015,"5 1 2 1 1 12 31111 6 M59 93000 000132 0000R 00001 00211 015 2112000 2024*")</f>
        <v>0</v>
      </c>
      <c r="E5409"/>
      <c r="F5409" s="35">
        <f>SUMIFS(F5410:F9015,K5410:K9015,"0",B5410:B9015,"5 1 2 1 1 12 31111 6 M59 93000 000132 0000R 00001 00211 015 2112000 2024*")</f>
        <v>250</v>
      </c>
      <c r="G5409" s="35">
        <f>SUMIFS(G5410:G9015,K5410:K9015,"0",B5410:B9015,"5 1 2 1 1 12 31111 6 M59 93000 000132 0000R 00001 00211 015 2112000 2024*")</f>
        <v>0</v>
      </c>
      <c r="H5409" s="35">
        <f t="shared" si="85"/>
        <v>250</v>
      </c>
      <c r="I5409" s="35"/>
      <c r="K5409" t="s">
        <v>15</v>
      </c>
    </row>
    <row r="5410" spans="2:11" ht="41.25" x14ac:dyDescent="0.2">
      <c r="B5410" s="33" t="s">
        <v>6375</v>
      </c>
      <c r="C5410" s="33" t="s">
        <v>1056</v>
      </c>
      <c r="D5410" s="35">
        <f>SUMIFS(D5411:D9015,K5411:K9015,"0",B5411:B9015,"5 1 2 1 1 12 31111 6 M59 93000 000132 0000R 00001 00211 015 2112000 2024 CP1RS429*")-SUMIFS(E5411:E9015,K5411:K9015,"0",B5411:B9015,"5 1 2 1 1 12 31111 6 M59 93000 000132 0000R 00001 00211 015 2112000 2024 CP1RS429*")</f>
        <v>0</v>
      </c>
      <c r="E5410"/>
      <c r="F5410" s="35">
        <f>SUMIFS(F5411:F9015,K5411:K9015,"0",B5411:B9015,"5 1 2 1 1 12 31111 6 M59 93000 000132 0000R 00001 00211 015 2112000 2024 CP1RS429*")</f>
        <v>250</v>
      </c>
      <c r="G5410" s="35">
        <f>SUMIFS(G5411:G9015,K5411:K9015,"0",B5411:B9015,"5 1 2 1 1 12 31111 6 M59 93000 000132 0000R 00001 00211 015 2112000 2024 CP1RS429*")</f>
        <v>0</v>
      </c>
      <c r="H5410" s="35">
        <f t="shared" si="85"/>
        <v>250</v>
      </c>
      <c r="I5410" s="35"/>
      <c r="K5410" t="s">
        <v>15</v>
      </c>
    </row>
    <row r="5411" spans="2:11" ht="41.25" x14ac:dyDescent="0.2">
      <c r="B5411" s="33" t="s">
        <v>6376</v>
      </c>
      <c r="C5411" s="33" t="s">
        <v>282</v>
      </c>
      <c r="D5411" s="35">
        <f>SUMIFS(D5412:D9015,K5412:K9015,"0",B5412:B9015,"5 1 2 1 1 12 31111 6 M59 93000 000132 0000R 00001 00211 015 2112000 2024 CP1RS429 001*")-SUMIFS(E5412:E9015,K5412:K9015,"0",B5412:B9015,"5 1 2 1 1 12 31111 6 M59 93000 000132 0000R 00001 00211 015 2112000 2024 CP1RS429 001*")</f>
        <v>0</v>
      </c>
      <c r="E5411"/>
      <c r="F5411" s="35">
        <f>SUMIFS(F5412:F9015,K5412:K9015,"0",B5412:B9015,"5 1 2 1 1 12 31111 6 M59 93000 000132 0000R 00001 00211 015 2112000 2024 CP1RS429 001*")</f>
        <v>250</v>
      </c>
      <c r="G5411" s="35">
        <f>SUMIFS(G5412:G9015,K5412:K9015,"0",B5412:B9015,"5 1 2 1 1 12 31111 6 M59 93000 000132 0000R 00001 00211 015 2112000 2024 CP1RS429 001*")</f>
        <v>0</v>
      </c>
      <c r="H5411" s="35">
        <f t="shared" si="85"/>
        <v>250</v>
      </c>
      <c r="I5411" s="35"/>
      <c r="K5411" t="s">
        <v>15</v>
      </c>
    </row>
    <row r="5412" spans="2:11" ht="41.25" x14ac:dyDescent="0.2">
      <c r="B5412" s="31" t="s">
        <v>6377</v>
      </c>
      <c r="C5412" s="31" t="s">
        <v>5827</v>
      </c>
      <c r="D5412" s="34">
        <v>0</v>
      </c>
      <c r="E5412" s="34"/>
      <c r="F5412" s="34">
        <v>250</v>
      </c>
      <c r="G5412" s="34">
        <v>0</v>
      </c>
      <c r="H5412" s="34">
        <f t="shared" si="85"/>
        <v>250</v>
      </c>
      <c r="I5412" s="34"/>
      <c r="K5412" t="s">
        <v>38</v>
      </c>
    </row>
    <row r="5413" spans="2:11" ht="16.5" x14ac:dyDescent="0.2">
      <c r="B5413" s="33" t="s">
        <v>6378</v>
      </c>
      <c r="C5413" s="33" t="s">
        <v>3644</v>
      </c>
      <c r="D5413" s="35">
        <f>SUMIFS(D5414:D9015,K5414:K9015,"0",B5414:B9015,"5 1 2 1 1 12 31111 6 M59 94000*")-SUMIFS(E5414:E9015,K5414:K9015,"0",B5414:B9015,"5 1 2 1 1 12 31111 6 M59 94000*")</f>
        <v>0</v>
      </c>
      <c r="E5413"/>
      <c r="F5413" s="35">
        <f>SUMIFS(F5414:F9015,K5414:K9015,"0",B5414:B9015,"5 1 2 1 1 12 31111 6 M59 94000*")</f>
        <v>1649342.51</v>
      </c>
      <c r="G5413" s="35">
        <f>SUMIFS(G5414:G9015,K5414:K9015,"0",B5414:B9015,"5 1 2 1 1 12 31111 6 M59 94000*")</f>
        <v>0</v>
      </c>
      <c r="H5413" s="35">
        <f t="shared" si="85"/>
        <v>1649342.51</v>
      </c>
      <c r="I5413" s="35"/>
      <c r="K5413" t="s">
        <v>15</v>
      </c>
    </row>
    <row r="5414" spans="2:11" ht="24.75" x14ac:dyDescent="0.2">
      <c r="B5414" s="33" t="s">
        <v>6379</v>
      </c>
      <c r="C5414" s="33" t="s">
        <v>3152</v>
      </c>
      <c r="D5414" s="35">
        <f>SUMIFS(D5415:D9015,K5415:K9015,"0",B5415:B9015,"5 1 2 1 1 12 31111 6 M59 94000 000181*")-SUMIFS(E5415:E9015,K5415:K9015,"0",B5415:B9015,"5 1 2 1 1 12 31111 6 M59 94000 000181*")</f>
        <v>0</v>
      </c>
      <c r="E5414"/>
      <c r="F5414" s="35">
        <f>SUMIFS(F5415:F9015,K5415:K9015,"0",B5415:B9015,"5 1 2 1 1 12 31111 6 M59 94000 000181*")</f>
        <v>1649342.51</v>
      </c>
      <c r="G5414" s="35">
        <f>SUMIFS(G5415:G9015,K5415:K9015,"0",B5415:B9015,"5 1 2 1 1 12 31111 6 M59 94000 000181*")</f>
        <v>0</v>
      </c>
      <c r="H5414" s="35">
        <f t="shared" si="85"/>
        <v>1649342.51</v>
      </c>
      <c r="I5414" s="35"/>
      <c r="K5414" t="s">
        <v>15</v>
      </c>
    </row>
    <row r="5415" spans="2:11" ht="16.5" x14ac:dyDescent="0.2">
      <c r="B5415" s="33" t="s">
        <v>6380</v>
      </c>
      <c r="C5415" s="33" t="s">
        <v>650</v>
      </c>
      <c r="D5415" s="35">
        <f>SUMIFS(D5416:D9015,K5416:K9015,"0",B5416:B9015,"5 1 2 1 1 12 31111 6 M59 94000 000181 0000R*")-SUMIFS(E5416:E9015,K5416:K9015,"0",B5416:B9015,"5 1 2 1 1 12 31111 6 M59 94000 000181 0000R*")</f>
        <v>0</v>
      </c>
      <c r="E5415"/>
      <c r="F5415" s="35">
        <f>SUMIFS(F5416:F9015,K5416:K9015,"0",B5416:B9015,"5 1 2 1 1 12 31111 6 M59 94000 000181 0000R*")</f>
        <v>1649342.51</v>
      </c>
      <c r="G5415" s="35">
        <f>SUMIFS(G5416:G9015,K5416:K9015,"0",B5416:B9015,"5 1 2 1 1 12 31111 6 M59 94000 000181 0000R*")</f>
        <v>0</v>
      </c>
      <c r="H5415" s="35">
        <f t="shared" si="85"/>
        <v>1649342.51</v>
      </c>
      <c r="I5415" s="35"/>
      <c r="K5415" t="s">
        <v>15</v>
      </c>
    </row>
    <row r="5416" spans="2:11" ht="24.75" x14ac:dyDescent="0.2">
      <c r="B5416" s="33" t="s">
        <v>6381</v>
      </c>
      <c r="C5416" s="33" t="s">
        <v>282</v>
      </c>
      <c r="D5416" s="35">
        <f>SUMIFS(D5417:D9015,K5417:K9015,"0",B5417:B9015,"5 1 2 1 1 12 31111 6 M59 94000 000181 0000R 00001*")-SUMIFS(E5417:E9015,K5417:K9015,"0",B5417:B9015,"5 1 2 1 1 12 31111 6 M59 94000 000181 0000R 00001*")</f>
        <v>0</v>
      </c>
      <c r="E5416"/>
      <c r="F5416" s="35">
        <f>SUMIFS(F5417:F9015,K5417:K9015,"0",B5417:B9015,"5 1 2 1 1 12 31111 6 M59 94000 000181 0000R 00001*")</f>
        <v>1649342.51</v>
      </c>
      <c r="G5416" s="35">
        <f>SUMIFS(G5417:G9015,K5417:K9015,"0",B5417:B9015,"5 1 2 1 1 12 31111 6 M59 94000 000181 0000R 00001*")</f>
        <v>0</v>
      </c>
      <c r="H5416" s="35">
        <f t="shared" si="85"/>
        <v>1649342.51</v>
      </c>
      <c r="I5416" s="35"/>
      <c r="K5416" t="s">
        <v>15</v>
      </c>
    </row>
    <row r="5417" spans="2:11" ht="24.75" x14ac:dyDescent="0.2">
      <c r="B5417" s="33" t="s">
        <v>6382</v>
      </c>
      <c r="C5417" s="33" t="s">
        <v>5827</v>
      </c>
      <c r="D5417" s="35">
        <f>SUMIFS(D5418:D9015,K5418:K9015,"0",B5418:B9015,"5 1 2 1 1 12 31111 6 M59 94000 000181 0000R 00001 00211*")-SUMIFS(E5418:E9015,K5418:K9015,"0",B5418:B9015,"5 1 2 1 1 12 31111 6 M59 94000 000181 0000R 00001 00211*")</f>
        <v>0</v>
      </c>
      <c r="E5417"/>
      <c r="F5417" s="35">
        <f>SUMIFS(F5418:F9015,K5418:K9015,"0",B5418:B9015,"5 1 2 1 1 12 31111 6 M59 94000 000181 0000R 00001 00211*")</f>
        <v>1649342.51</v>
      </c>
      <c r="G5417" s="35">
        <f>SUMIFS(G5418:G9015,K5418:K9015,"0",B5418:B9015,"5 1 2 1 1 12 31111 6 M59 94000 000181 0000R 00001 00211*")</f>
        <v>0</v>
      </c>
      <c r="H5417" s="35">
        <f t="shared" si="85"/>
        <v>1649342.51</v>
      </c>
      <c r="I5417" s="35"/>
      <c r="K5417" t="s">
        <v>15</v>
      </c>
    </row>
    <row r="5418" spans="2:11" ht="24.75" x14ac:dyDescent="0.2">
      <c r="B5418" s="33" t="s">
        <v>6383</v>
      </c>
      <c r="C5418" s="33" t="s">
        <v>1051</v>
      </c>
      <c r="D5418" s="35">
        <f>SUMIFS(D5419:D9015,K5419:K9015,"0",B5419:B9015,"5 1 2 1 1 12 31111 6 M59 94000 000181 0000R 00001 00211 015*")-SUMIFS(E5419:E9015,K5419:K9015,"0",B5419:B9015,"5 1 2 1 1 12 31111 6 M59 94000 000181 0000R 00001 00211 015*")</f>
        <v>0</v>
      </c>
      <c r="E5418"/>
      <c r="F5418" s="35">
        <f>SUMIFS(F5419:F9015,K5419:K9015,"0",B5419:B9015,"5 1 2 1 1 12 31111 6 M59 94000 000181 0000R 00001 00211 015*")</f>
        <v>1649342.51</v>
      </c>
      <c r="G5418" s="35">
        <f>SUMIFS(G5419:G9015,K5419:K9015,"0",B5419:B9015,"5 1 2 1 1 12 31111 6 M59 94000 000181 0000R 00001 00211 015*")</f>
        <v>0</v>
      </c>
      <c r="H5418" s="35">
        <f t="shared" si="85"/>
        <v>1649342.51</v>
      </c>
      <c r="I5418" s="35"/>
      <c r="K5418" t="s">
        <v>15</v>
      </c>
    </row>
    <row r="5419" spans="2:11" ht="33" x14ac:dyDescent="0.2">
      <c r="B5419" s="33" t="s">
        <v>6384</v>
      </c>
      <c r="C5419" s="33" t="s">
        <v>5830</v>
      </c>
      <c r="D5419" s="35">
        <f>SUMIFS(D5420:D9015,K5420:K9015,"0",B5420:B9015,"5 1 2 1 1 12 31111 6 M59 94000 000181 0000R 00001 00211 015 2112000*")-SUMIFS(E5420:E9015,K5420:K9015,"0",B5420:B9015,"5 1 2 1 1 12 31111 6 M59 94000 000181 0000R 00001 00211 015 2112000*")</f>
        <v>0</v>
      </c>
      <c r="E5419"/>
      <c r="F5419" s="35">
        <f>SUMIFS(F5420:F9015,K5420:K9015,"0",B5420:B9015,"5 1 2 1 1 12 31111 6 M59 94000 000181 0000R 00001 00211 015 2112000*")</f>
        <v>1649342.51</v>
      </c>
      <c r="G5419" s="35">
        <f>SUMIFS(G5420:G9015,K5420:K9015,"0",B5420:B9015,"5 1 2 1 1 12 31111 6 M59 94000 000181 0000R 00001 00211 015 2112000*")</f>
        <v>0</v>
      </c>
      <c r="H5419" s="35">
        <f t="shared" si="85"/>
        <v>1649342.51</v>
      </c>
      <c r="I5419" s="35"/>
      <c r="K5419" t="s">
        <v>15</v>
      </c>
    </row>
    <row r="5420" spans="2:11" ht="33" x14ac:dyDescent="0.2">
      <c r="B5420" s="33" t="s">
        <v>6385</v>
      </c>
      <c r="C5420" s="33" t="s">
        <v>660</v>
      </c>
      <c r="D5420" s="35">
        <f>SUMIFS(D5421:D9015,K5421:K9015,"0",B5421:B9015,"5 1 2 1 1 12 31111 6 M59 94000 000181 0000R 00001 00211 015 2112000 2024*")-SUMIFS(E5421:E9015,K5421:K9015,"0",B5421:B9015,"5 1 2 1 1 12 31111 6 M59 94000 000181 0000R 00001 00211 015 2112000 2024*")</f>
        <v>0</v>
      </c>
      <c r="E5420"/>
      <c r="F5420" s="35">
        <f>SUMIFS(F5421:F9015,K5421:K9015,"0",B5421:B9015,"5 1 2 1 1 12 31111 6 M59 94000 000181 0000R 00001 00211 015 2112000 2024*")</f>
        <v>1649342.51</v>
      </c>
      <c r="G5420" s="35">
        <f>SUMIFS(G5421:G9015,K5421:K9015,"0",B5421:B9015,"5 1 2 1 1 12 31111 6 M59 94000 000181 0000R 00001 00211 015 2112000 2024*")</f>
        <v>0</v>
      </c>
      <c r="H5420" s="35">
        <f t="shared" si="85"/>
        <v>1649342.51</v>
      </c>
      <c r="I5420" s="35"/>
      <c r="K5420" t="s">
        <v>15</v>
      </c>
    </row>
    <row r="5421" spans="2:11" ht="41.25" x14ac:dyDescent="0.2">
      <c r="B5421" s="33" t="s">
        <v>6386</v>
      </c>
      <c r="C5421" s="33" t="s">
        <v>1056</v>
      </c>
      <c r="D5421" s="35">
        <f>SUMIFS(D5422:D9015,K5422:K9015,"0",B5422:B9015,"5 1 2 1 1 12 31111 6 M59 94000 000181 0000R 00001 00211 015 2112000 2024 CP1OM392*")-SUMIFS(E5422:E9015,K5422:K9015,"0",B5422:B9015,"5 1 2 1 1 12 31111 6 M59 94000 000181 0000R 00001 00211 015 2112000 2024 CP1OM392*")</f>
        <v>0</v>
      </c>
      <c r="E5421"/>
      <c r="F5421" s="35">
        <f>SUMIFS(F5422:F9015,K5422:K9015,"0",B5422:B9015,"5 1 2 1 1 12 31111 6 M59 94000 000181 0000R 00001 00211 015 2112000 2024 CP1OM392*")</f>
        <v>1649342.51</v>
      </c>
      <c r="G5421" s="35">
        <f>SUMIFS(G5422:G9015,K5422:K9015,"0",B5422:B9015,"5 1 2 1 1 12 31111 6 M59 94000 000181 0000R 00001 00211 015 2112000 2024 CP1OM392*")</f>
        <v>0</v>
      </c>
      <c r="H5421" s="35">
        <f t="shared" si="85"/>
        <v>1649342.51</v>
      </c>
      <c r="I5421" s="35"/>
      <c r="K5421" t="s">
        <v>15</v>
      </c>
    </row>
    <row r="5422" spans="2:11" ht="41.25" x14ac:dyDescent="0.2">
      <c r="B5422" s="33" t="s">
        <v>6387</v>
      </c>
      <c r="C5422" s="33" t="s">
        <v>282</v>
      </c>
      <c r="D5422" s="35">
        <f>SUMIFS(D5423:D9015,K5423:K9015,"0",B5423:B9015,"5 1 2 1 1 12 31111 6 M59 94000 000181 0000R 00001 00211 015 2112000 2024 CP1OM392 001*")-SUMIFS(E5423:E9015,K5423:K9015,"0",B5423:B9015,"5 1 2 1 1 12 31111 6 M59 94000 000181 0000R 00001 00211 015 2112000 2024 CP1OM392 001*")</f>
        <v>0</v>
      </c>
      <c r="E5422"/>
      <c r="F5422" s="35">
        <f>SUMIFS(F5423:F9015,K5423:K9015,"0",B5423:B9015,"5 1 2 1 1 12 31111 6 M59 94000 000181 0000R 00001 00211 015 2112000 2024 CP1OM392 001*")</f>
        <v>1649342.51</v>
      </c>
      <c r="G5422" s="35">
        <f>SUMIFS(G5423:G9015,K5423:K9015,"0",B5423:B9015,"5 1 2 1 1 12 31111 6 M59 94000 000181 0000R 00001 00211 015 2112000 2024 CP1OM392 001*")</f>
        <v>0</v>
      </c>
      <c r="H5422" s="35">
        <f t="shared" si="85"/>
        <v>1649342.51</v>
      </c>
      <c r="I5422" s="35"/>
      <c r="K5422" t="s">
        <v>15</v>
      </c>
    </row>
    <row r="5423" spans="2:11" ht="33" x14ac:dyDescent="0.2">
      <c r="B5423" s="31" t="s">
        <v>6388</v>
      </c>
      <c r="C5423" s="31" t="s">
        <v>5817</v>
      </c>
      <c r="D5423" s="34">
        <v>0</v>
      </c>
      <c r="E5423" s="34"/>
      <c r="F5423" s="34">
        <v>1649342.51</v>
      </c>
      <c r="G5423" s="34">
        <v>0</v>
      </c>
      <c r="H5423" s="34">
        <f t="shared" si="85"/>
        <v>1649342.51</v>
      </c>
      <c r="I5423" s="34"/>
      <c r="K5423" t="s">
        <v>38</v>
      </c>
    </row>
    <row r="5424" spans="2:11" ht="16.5" x14ac:dyDescent="0.2">
      <c r="B5424" s="33" t="s">
        <v>6389</v>
      </c>
      <c r="C5424" s="33" t="s">
        <v>3656</v>
      </c>
      <c r="D5424" s="35">
        <f>SUMIFS(D5425:D9015,K5425:K9015,"0",B5425:B9015,"5 1 2 1 1 12 31111 6 M59 94100*")-SUMIFS(E5425:E9015,K5425:K9015,"0",B5425:B9015,"5 1 2 1 1 12 31111 6 M59 94100*")</f>
        <v>0</v>
      </c>
      <c r="E5424"/>
      <c r="F5424" s="35">
        <f>SUMIFS(F5425:F9015,K5425:K9015,"0",B5425:B9015,"5 1 2 1 1 12 31111 6 M59 94100*")</f>
        <v>1999.99</v>
      </c>
      <c r="G5424" s="35">
        <f>SUMIFS(G5425:G9015,K5425:K9015,"0",B5425:B9015,"5 1 2 1 1 12 31111 6 M59 94100*")</f>
        <v>0</v>
      </c>
      <c r="H5424" s="35">
        <f t="shared" si="85"/>
        <v>1999.99</v>
      </c>
      <c r="I5424" s="35"/>
      <c r="K5424" t="s">
        <v>15</v>
      </c>
    </row>
    <row r="5425" spans="2:11" ht="16.5" x14ac:dyDescent="0.2">
      <c r="B5425" s="33" t="s">
        <v>6390</v>
      </c>
      <c r="C5425" s="33" t="s">
        <v>648</v>
      </c>
      <c r="D5425" s="35">
        <f>SUMIFS(D5426:D9015,K5426:K9015,"0",B5426:B9015,"5 1 2 1 1 12 31111 6 M59 94100 000132*")-SUMIFS(E5426:E9015,K5426:K9015,"0",B5426:B9015,"5 1 2 1 1 12 31111 6 M59 94100 000132*")</f>
        <v>0</v>
      </c>
      <c r="E5425"/>
      <c r="F5425" s="35">
        <f>SUMIFS(F5426:F9015,K5426:K9015,"0",B5426:B9015,"5 1 2 1 1 12 31111 6 M59 94100 000132*")</f>
        <v>1999.99</v>
      </c>
      <c r="G5425" s="35">
        <f>SUMIFS(G5426:G9015,K5426:K9015,"0",B5426:B9015,"5 1 2 1 1 12 31111 6 M59 94100 000132*")</f>
        <v>0</v>
      </c>
      <c r="H5425" s="35">
        <f t="shared" si="85"/>
        <v>1999.99</v>
      </c>
      <c r="I5425" s="35"/>
      <c r="K5425" t="s">
        <v>15</v>
      </c>
    </row>
    <row r="5426" spans="2:11" ht="16.5" x14ac:dyDescent="0.2">
      <c r="B5426" s="33" t="s">
        <v>6391</v>
      </c>
      <c r="C5426" s="33" t="s">
        <v>650</v>
      </c>
      <c r="D5426" s="35">
        <f>SUMIFS(D5427:D9015,K5427:K9015,"0",B5427:B9015,"5 1 2 1 1 12 31111 6 M59 94100 000132 0000R*")-SUMIFS(E5427:E9015,K5427:K9015,"0",B5427:B9015,"5 1 2 1 1 12 31111 6 M59 94100 000132 0000R*")</f>
        <v>0</v>
      </c>
      <c r="E5426"/>
      <c r="F5426" s="35">
        <f>SUMIFS(F5427:F9015,K5427:K9015,"0",B5427:B9015,"5 1 2 1 1 12 31111 6 M59 94100 000132 0000R*")</f>
        <v>1999.99</v>
      </c>
      <c r="G5426" s="35">
        <f>SUMIFS(G5427:G9015,K5427:K9015,"0",B5427:B9015,"5 1 2 1 1 12 31111 6 M59 94100 000132 0000R*")</f>
        <v>0</v>
      </c>
      <c r="H5426" s="35">
        <f t="shared" si="85"/>
        <v>1999.99</v>
      </c>
      <c r="I5426" s="35"/>
      <c r="K5426" t="s">
        <v>15</v>
      </c>
    </row>
    <row r="5427" spans="2:11" ht="24.75" x14ac:dyDescent="0.2">
      <c r="B5427" s="33" t="s">
        <v>6392</v>
      </c>
      <c r="C5427" s="33" t="s">
        <v>282</v>
      </c>
      <c r="D5427" s="35">
        <f>SUMIFS(D5428:D9015,K5428:K9015,"0",B5428:B9015,"5 1 2 1 1 12 31111 6 M59 94100 000132 0000R 00001*")-SUMIFS(E5428:E9015,K5428:K9015,"0",B5428:B9015,"5 1 2 1 1 12 31111 6 M59 94100 000132 0000R 00001*")</f>
        <v>0</v>
      </c>
      <c r="E5427"/>
      <c r="F5427" s="35">
        <f>SUMIFS(F5428:F9015,K5428:K9015,"0",B5428:B9015,"5 1 2 1 1 12 31111 6 M59 94100 000132 0000R 00001*")</f>
        <v>1999.99</v>
      </c>
      <c r="G5427" s="35">
        <f>SUMIFS(G5428:G9015,K5428:K9015,"0",B5428:B9015,"5 1 2 1 1 12 31111 6 M59 94100 000132 0000R 00001*")</f>
        <v>0</v>
      </c>
      <c r="H5427" s="35">
        <f t="shared" si="85"/>
        <v>1999.99</v>
      </c>
      <c r="I5427" s="35"/>
      <c r="K5427" t="s">
        <v>15</v>
      </c>
    </row>
    <row r="5428" spans="2:11" ht="24.75" x14ac:dyDescent="0.2">
      <c r="B5428" s="33" t="s">
        <v>6393</v>
      </c>
      <c r="C5428" s="33" t="s">
        <v>5827</v>
      </c>
      <c r="D5428" s="35">
        <f>SUMIFS(D5429:D9015,K5429:K9015,"0",B5429:B9015,"5 1 2 1 1 12 31111 6 M59 94100 000132 0000R 00001 00211*")-SUMIFS(E5429:E9015,K5429:K9015,"0",B5429:B9015,"5 1 2 1 1 12 31111 6 M59 94100 000132 0000R 00001 00211*")</f>
        <v>0</v>
      </c>
      <c r="E5428"/>
      <c r="F5428" s="35">
        <f>SUMIFS(F5429:F9015,K5429:K9015,"0",B5429:B9015,"5 1 2 1 1 12 31111 6 M59 94100 000132 0000R 00001 00211*")</f>
        <v>1999.99</v>
      </c>
      <c r="G5428" s="35">
        <f>SUMIFS(G5429:G9015,K5429:K9015,"0",B5429:B9015,"5 1 2 1 1 12 31111 6 M59 94100 000132 0000R 00001 00211*")</f>
        <v>0</v>
      </c>
      <c r="H5428" s="35">
        <f t="shared" si="85"/>
        <v>1999.99</v>
      </c>
      <c r="I5428" s="35"/>
      <c r="K5428" t="s">
        <v>15</v>
      </c>
    </row>
    <row r="5429" spans="2:11" ht="24.75" x14ac:dyDescent="0.2">
      <c r="B5429" s="33" t="s">
        <v>6394</v>
      </c>
      <c r="C5429" s="33" t="s">
        <v>1051</v>
      </c>
      <c r="D5429" s="35">
        <f>SUMIFS(D5430:D9015,K5430:K9015,"0",B5430:B9015,"5 1 2 1 1 12 31111 6 M59 94100 000132 0000R 00001 00211 015*")-SUMIFS(E5430:E9015,K5430:K9015,"0",B5430:B9015,"5 1 2 1 1 12 31111 6 M59 94100 000132 0000R 00001 00211 015*")</f>
        <v>0</v>
      </c>
      <c r="E5429"/>
      <c r="F5429" s="35">
        <f>SUMIFS(F5430:F9015,K5430:K9015,"0",B5430:B9015,"5 1 2 1 1 12 31111 6 M59 94100 000132 0000R 00001 00211 015*")</f>
        <v>1999.99</v>
      </c>
      <c r="G5429" s="35">
        <f>SUMIFS(G5430:G9015,K5430:K9015,"0",B5430:B9015,"5 1 2 1 1 12 31111 6 M59 94100 000132 0000R 00001 00211 015*")</f>
        <v>0</v>
      </c>
      <c r="H5429" s="35">
        <f t="shared" si="85"/>
        <v>1999.99</v>
      </c>
      <c r="I5429" s="35"/>
      <c r="K5429" t="s">
        <v>15</v>
      </c>
    </row>
    <row r="5430" spans="2:11" ht="33" x14ac:dyDescent="0.2">
      <c r="B5430" s="33" t="s">
        <v>6395</v>
      </c>
      <c r="C5430" s="33" t="s">
        <v>5830</v>
      </c>
      <c r="D5430" s="35">
        <f>SUMIFS(D5431:D9015,K5431:K9015,"0",B5431:B9015,"5 1 2 1 1 12 31111 6 M59 94100 000132 0000R 00001 00211 015 2112000*")-SUMIFS(E5431:E9015,K5431:K9015,"0",B5431:B9015,"5 1 2 1 1 12 31111 6 M59 94100 000132 0000R 00001 00211 015 2112000*")</f>
        <v>0</v>
      </c>
      <c r="E5430"/>
      <c r="F5430" s="35">
        <f>SUMIFS(F5431:F9015,K5431:K9015,"0",B5431:B9015,"5 1 2 1 1 12 31111 6 M59 94100 000132 0000R 00001 00211 015 2112000*")</f>
        <v>1999.99</v>
      </c>
      <c r="G5430" s="35">
        <f>SUMIFS(G5431:G9015,K5431:K9015,"0",B5431:B9015,"5 1 2 1 1 12 31111 6 M59 94100 000132 0000R 00001 00211 015 2112000*")</f>
        <v>0</v>
      </c>
      <c r="H5430" s="35">
        <f t="shared" si="85"/>
        <v>1999.99</v>
      </c>
      <c r="I5430" s="35"/>
      <c r="K5430" t="s">
        <v>15</v>
      </c>
    </row>
    <row r="5431" spans="2:11" ht="33" x14ac:dyDescent="0.2">
      <c r="B5431" s="33" t="s">
        <v>6396</v>
      </c>
      <c r="C5431" s="33" t="s">
        <v>660</v>
      </c>
      <c r="D5431" s="35">
        <f>SUMIFS(D5432:D9015,K5432:K9015,"0",B5432:B9015,"5 1 2 1 1 12 31111 6 M59 94100 000132 0000R 00001 00211 015 2112000 2024*")-SUMIFS(E5432:E9015,K5432:K9015,"0",B5432:B9015,"5 1 2 1 1 12 31111 6 M59 94100 000132 0000R 00001 00211 015 2112000 2024*")</f>
        <v>0</v>
      </c>
      <c r="E5431"/>
      <c r="F5431" s="35">
        <f>SUMIFS(F5432:F9015,K5432:K9015,"0",B5432:B9015,"5 1 2 1 1 12 31111 6 M59 94100 000132 0000R 00001 00211 015 2112000 2024*")</f>
        <v>1999.99</v>
      </c>
      <c r="G5431" s="35">
        <f>SUMIFS(G5432:G9015,K5432:K9015,"0",B5432:B9015,"5 1 2 1 1 12 31111 6 M59 94100 000132 0000R 00001 00211 015 2112000 2024*")</f>
        <v>0</v>
      </c>
      <c r="H5431" s="35">
        <f t="shared" si="85"/>
        <v>1999.99</v>
      </c>
      <c r="I5431" s="35"/>
      <c r="K5431" t="s">
        <v>15</v>
      </c>
    </row>
    <row r="5432" spans="2:11" ht="41.25" x14ac:dyDescent="0.2">
      <c r="B5432" s="33" t="s">
        <v>6397</v>
      </c>
      <c r="C5432" s="33" t="s">
        <v>1056</v>
      </c>
      <c r="D5432" s="35">
        <f>SUMIFS(D5433:D9015,K5433:K9015,"0",B5433:B9015,"5 1 2 1 1 12 31111 6 M59 94100 000132 0000R 00001 00211 015 2112000 2024 CP1AT427*")-SUMIFS(E5433:E9015,K5433:K9015,"0",B5433:B9015,"5 1 2 1 1 12 31111 6 M59 94100 000132 0000R 00001 00211 015 2112000 2024 CP1AT427*")</f>
        <v>0</v>
      </c>
      <c r="E5432"/>
      <c r="F5432" s="35">
        <f>SUMIFS(F5433:F9015,K5433:K9015,"0",B5433:B9015,"5 1 2 1 1 12 31111 6 M59 94100 000132 0000R 00001 00211 015 2112000 2024 CP1AT427*")</f>
        <v>1999.99</v>
      </c>
      <c r="G5432" s="35">
        <f>SUMIFS(G5433:G9015,K5433:K9015,"0",B5433:B9015,"5 1 2 1 1 12 31111 6 M59 94100 000132 0000R 00001 00211 015 2112000 2024 CP1AT427*")</f>
        <v>0</v>
      </c>
      <c r="H5432" s="35">
        <f t="shared" si="85"/>
        <v>1999.99</v>
      </c>
      <c r="I5432" s="35"/>
      <c r="K5432" t="s">
        <v>15</v>
      </c>
    </row>
    <row r="5433" spans="2:11" ht="41.25" x14ac:dyDescent="0.2">
      <c r="B5433" s="33" t="s">
        <v>6398</v>
      </c>
      <c r="C5433" s="33" t="s">
        <v>282</v>
      </c>
      <c r="D5433" s="35">
        <f>SUMIFS(D5434:D9015,K5434:K9015,"0",B5434:B9015,"5 1 2 1 1 12 31111 6 M59 94100 000132 0000R 00001 00211 015 2112000 2024 CP1AT427 001*")-SUMIFS(E5434:E9015,K5434:K9015,"0",B5434:B9015,"5 1 2 1 1 12 31111 6 M59 94100 000132 0000R 00001 00211 015 2112000 2024 CP1AT427 001*")</f>
        <v>0</v>
      </c>
      <c r="E5433"/>
      <c r="F5433" s="35">
        <f>SUMIFS(F5434:F9015,K5434:K9015,"0",B5434:B9015,"5 1 2 1 1 12 31111 6 M59 94100 000132 0000R 00001 00211 015 2112000 2024 CP1AT427 001*")</f>
        <v>1999.99</v>
      </c>
      <c r="G5433" s="35">
        <f>SUMIFS(G5434:G9015,K5434:K9015,"0",B5434:B9015,"5 1 2 1 1 12 31111 6 M59 94100 000132 0000R 00001 00211 015 2112000 2024 CP1AT427 001*")</f>
        <v>0</v>
      </c>
      <c r="H5433" s="35">
        <f t="shared" si="85"/>
        <v>1999.99</v>
      </c>
      <c r="I5433" s="35"/>
      <c r="K5433" t="s">
        <v>15</v>
      </c>
    </row>
    <row r="5434" spans="2:11" ht="33" x14ac:dyDescent="0.2">
      <c r="B5434" s="31" t="s">
        <v>6399</v>
      </c>
      <c r="C5434" s="31" t="s">
        <v>5827</v>
      </c>
      <c r="D5434" s="34">
        <v>0</v>
      </c>
      <c r="E5434" s="34"/>
      <c r="F5434" s="34">
        <v>1999.99</v>
      </c>
      <c r="G5434" s="34">
        <v>0</v>
      </c>
      <c r="H5434" s="34">
        <f t="shared" si="85"/>
        <v>1999.99</v>
      </c>
      <c r="I5434" s="34"/>
      <c r="K5434" t="s">
        <v>38</v>
      </c>
    </row>
    <row r="5435" spans="2:11" ht="16.5" x14ac:dyDescent="0.2">
      <c r="B5435" s="33" t="s">
        <v>6400</v>
      </c>
      <c r="C5435" s="33" t="s">
        <v>3668</v>
      </c>
      <c r="D5435" s="35">
        <f>SUMIFS(D5436:D9015,K5436:K9015,"0",B5436:B9015,"5 1 2 1 1 12 31111 6 M59 95000*")-SUMIFS(E5436:E9015,K5436:K9015,"0",B5436:B9015,"5 1 2 1 1 12 31111 6 M59 95000*")</f>
        <v>0</v>
      </c>
      <c r="E5435"/>
      <c r="F5435" s="35">
        <f>SUMIFS(F5436:F9015,K5436:K9015,"0",B5436:B9015,"5 1 2 1 1 12 31111 6 M59 95000*")</f>
        <v>250</v>
      </c>
      <c r="G5435" s="35">
        <f>SUMIFS(G5436:G9015,K5436:K9015,"0",B5436:B9015,"5 1 2 1 1 12 31111 6 M59 95000*")</f>
        <v>0</v>
      </c>
      <c r="H5435" s="35">
        <f t="shared" si="85"/>
        <v>250</v>
      </c>
      <c r="I5435" s="35"/>
      <c r="K5435" t="s">
        <v>15</v>
      </c>
    </row>
    <row r="5436" spans="2:11" ht="16.5" x14ac:dyDescent="0.2">
      <c r="B5436" s="33" t="s">
        <v>6401</v>
      </c>
      <c r="C5436" s="33" t="s">
        <v>1063</v>
      </c>
      <c r="D5436" s="35">
        <f>SUMIFS(D5437:D9015,K5437:K9015,"0",B5437:B9015,"5 1 2 1 1 12 31111 6 M59 95000 000139*")-SUMIFS(E5437:E9015,K5437:K9015,"0",B5437:B9015,"5 1 2 1 1 12 31111 6 M59 95000 000139*")</f>
        <v>0</v>
      </c>
      <c r="E5436"/>
      <c r="F5436" s="35">
        <f>SUMIFS(F5437:F9015,K5437:K9015,"0",B5437:B9015,"5 1 2 1 1 12 31111 6 M59 95000 000139*")</f>
        <v>250</v>
      </c>
      <c r="G5436" s="35">
        <f>SUMIFS(G5437:G9015,K5437:K9015,"0",B5437:B9015,"5 1 2 1 1 12 31111 6 M59 95000 000139*")</f>
        <v>0</v>
      </c>
      <c r="H5436" s="35">
        <f t="shared" si="85"/>
        <v>250</v>
      </c>
      <c r="I5436" s="35"/>
      <c r="K5436" t="s">
        <v>15</v>
      </c>
    </row>
    <row r="5437" spans="2:11" ht="24.75" x14ac:dyDescent="0.2">
      <c r="B5437" s="33" t="s">
        <v>6402</v>
      </c>
      <c r="C5437" s="33" t="s">
        <v>3671</v>
      </c>
      <c r="D5437" s="35">
        <f>SUMIFS(D5438:D9015,K5438:K9015,"0",B5438:B9015,"5 1 2 1 1 12 31111 6 M59 95000 000139 0000L*")-SUMIFS(E5438:E9015,K5438:K9015,"0",B5438:B9015,"5 1 2 1 1 12 31111 6 M59 95000 000139 0000L*")</f>
        <v>0</v>
      </c>
      <c r="E5437"/>
      <c r="F5437" s="35">
        <f>SUMIFS(F5438:F9015,K5438:K9015,"0",B5438:B9015,"5 1 2 1 1 12 31111 6 M59 95000 000139 0000L*")</f>
        <v>250</v>
      </c>
      <c r="G5437" s="35">
        <f>SUMIFS(G5438:G9015,K5438:K9015,"0",B5438:B9015,"5 1 2 1 1 12 31111 6 M59 95000 000139 0000L*")</f>
        <v>0</v>
      </c>
      <c r="H5437" s="35">
        <f t="shared" si="85"/>
        <v>250</v>
      </c>
      <c r="I5437" s="35"/>
      <c r="K5437" t="s">
        <v>15</v>
      </c>
    </row>
    <row r="5438" spans="2:11" ht="24.75" x14ac:dyDescent="0.2">
      <c r="B5438" s="33" t="s">
        <v>6403</v>
      </c>
      <c r="C5438" s="33" t="s">
        <v>282</v>
      </c>
      <c r="D5438" s="35">
        <f>SUMIFS(D5439:D9015,K5439:K9015,"0",B5439:B9015,"5 1 2 1 1 12 31111 6 M59 95000 000139 0000L 00001*")-SUMIFS(E5439:E9015,K5439:K9015,"0",B5439:B9015,"5 1 2 1 1 12 31111 6 M59 95000 000139 0000L 00001*")</f>
        <v>0</v>
      </c>
      <c r="E5438"/>
      <c r="F5438" s="35">
        <f>SUMIFS(F5439:F9015,K5439:K9015,"0",B5439:B9015,"5 1 2 1 1 12 31111 6 M59 95000 000139 0000L 00001*")</f>
        <v>250</v>
      </c>
      <c r="G5438" s="35">
        <f>SUMIFS(G5439:G9015,K5439:K9015,"0",B5439:B9015,"5 1 2 1 1 12 31111 6 M59 95000 000139 0000L 00001*")</f>
        <v>0</v>
      </c>
      <c r="H5438" s="35">
        <f t="shared" si="85"/>
        <v>250</v>
      </c>
      <c r="I5438" s="35"/>
      <c r="K5438" t="s">
        <v>15</v>
      </c>
    </row>
    <row r="5439" spans="2:11" ht="24.75" x14ac:dyDescent="0.2">
      <c r="B5439" s="33" t="s">
        <v>6404</v>
      </c>
      <c r="C5439" s="33" t="s">
        <v>5827</v>
      </c>
      <c r="D5439" s="35">
        <f>SUMIFS(D5440:D9015,K5440:K9015,"0",B5440:B9015,"5 1 2 1 1 12 31111 6 M59 95000 000139 0000L 00001 00211*")-SUMIFS(E5440:E9015,K5440:K9015,"0",B5440:B9015,"5 1 2 1 1 12 31111 6 M59 95000 000139 0000L 00001 00211*")</f>
        <v>0</v>
      </c>
      <c r="E5439"/>
      <c r="F5439" s="35">
        <f>SUMIFS(F5440:F9015,K5440:K9015,"0",B5440:B9015,"5 1 2 1 1 12 31111 6 M59 95000 000139 0000L 00001 00211*")</f>
        <v>250</v>
      </c>
      <c r="G5439" s="35">
        <f>SUMIFS(G5440:G9015,K5440:K9015,"0",B5440:B9015,"5 1 2 1 1 12 31111 6 M59 95000 000139 0000L 00001 00211*")</f>
        <v>0</v>
      </c>
      <c r="H5439" s="35">
        <f t="shared" si="85"/>
        <v>250</v>
      </c>
      <c r="I5439" s="35"/>
      <c r="K5439" t="s">
        <v>15</v>
      </c>
    </row>
    <row r="5440" spans="2:11" ht="24.75" x14ac:dyDescent="0.2">
      <c r="B5440" s="33" t="s">
        <v>6405</v>
      </c>
      <c r="C5440" s="33" t="s">
        <v>1051</v>
      </c>
      <c r="D5440" s="35">
        <f>SUMIFS(D5441:D9015,K5441:K9015,"0",B5441:B9015,"5 1 2 1 1 12 31111 6 M59 95000 000139 0000L 00001 00211 015*")-SUMIFS(E5441:E9015,K5441:K9015,"0",B5441:B9015,"5 1 2 1 1 12 31111 6 M59 95000 000139 0000L 00001 00211 015*")</f>
        <v>0</v>
      </c>
      <c r="E5440"/>
      <c r="F5440" s="35">
        <f>SUMIFS(F5441:F9015,K5441:K9015,"0",B5441:B9015,"5 1 2 1 1 12 31111 6 M59 95000 000139 0000L 00001 00211 015*")</f>
        <v>250</v>
      </c>
      <c r="G5440" s="35">
        <f>SUMIFS(G5441:G9015,K5441:K9015,"0",B5441:B9015,"5 1 2 1 1 12 31111 6 M59 95000 000139 0000L 00001 00211 015*")</f>
        <v>0</v>
      </c>
      <c r="H5440" s="35">
        <f t="shared" si="85"/>
        <v>250</v>
      </c>
      <c r="I5440" s="35"/>
      <c r="K5440" t="s">
        <v>15</v>
      </c>
    </row>
    <row r="5441" spans="2:11" ht="33" x14ac:dyDescent="0.2">
      <c r="B5441" s="33" t="s">
        <v>6406</v>
      </c>
      <c r="C5441" s="33" t="s">
        <v>5830</v>
      </c>
      <c r="D5441" s="35">
        <f>SUMIFS(D5442:D9015,K5442:K9015,"0",B5442:B9015,"5 1 2 1 1 12 31111 6 M59 95000 000139 0000L 00001 00211 015 2112000*")-SUMIFS(E5442:E9015,K5442:K9015,"0",B5442:B9015,"5 1 2 1 1 12 31111 6 M59 95000 000139 0000L 00001 00211 015 2112000*")</f>
        <v>0</v>
      </c>
      <c r="E5441"/>
      <c r="F5441" s="35">
        <f>SUMIFS(F5442:F9015,K5442:K9015,"0",B5442:B9015,"5 1 2 1 1 12 31111 6 M59 95000 000139 0000L 00001 00211 015 2112000*")</f>
        <v>250</v>
      </c>
      <c r="G5441" s="35">
        <f>SUMIFS(G5442:G9015,K5442:K9015,"0",B5442:B9015,"5 1 2 1 1 12 31111 6 M59 95000 000139 0000L 00001 00211 015 2112000*")</f>
        <v>0</v>
      </c>
      <c r="H5441" s="35">
        <f t="shared" si="85"/>
        <v>250</v>
      </c>
      <c r="I5441" s="35"/>
      <c r="K5441" t="s">
        <v>15</v>
      </c>
    </row>
    <row r="5442" spans="2:11" ht="33" x14ac:dyDescent="0.2">
      <c r="B5442" s="33" t="s">
        <v>6407</v>
      </c>
      <c r="C5442" s="33" t="s">
        <v>660</v>
      </c>
      <c r="D5442" s="35">
        <f>SUMIFS(D5443:D9015,K5443:K9015,"0",B5443:B9015,"5 1 2 1 1 12 31111 6 M59 95000 000139 0000L 00001 00211 015 2112000 2024*")-SUMIFS(E5443:E9015,K5443:K9015,"0",B5443:B9015,"5 1 2 1 1 12 31111 6 M59 95000 000139 0000L 00001 00211 015 2112000 2024*")</f>
        <v>0</v>
      </c>
      <c r="E5442"/>
      <c r="F5442" s="35">
        <f>SUMIFS(F5443:F9015,K5443:K9015,"0",B5443:B9015,"5 1 2 1 1 12 31111 6 M59 95000 000139 0000L 00001 00211 015 2112000 2024*")</f>
        <v>250</v>
      </c>
      <c r="G5442" s="35">
        <f>SUMIFS(G5443:G9015,K5443:K9015,"0",B5443:B9015,"5 1 2 1 1 12 31111 6 M59 95000 000139 0000L 00001 00211 015 2112000 2024*")</f>
        <v>0</v>
      </c>
      <c r="H5442" s="35">
        <f t="shared" si="85"/>
        <v>250</v>
      </c>
      <c r="I5442" s="35"/>
      <c r="K5442" t="s">
        <v>15</v>
      </c>
    </row>
    <row r="5443" spans="2:11" ht="41.25" x14ac:dyDescent="0.2">
      <c r="B5443" s="33" t="s">
        <v>6408</v>
      </c>
      <c r="C5443" s="33" t="s">
        <v>1056</v>
      </c>
      <c r="D5443" s="35">
        <f>SUMIFS(D5444:D9015,K5444:K9015,"0",B5444:B9015,"5 1 2 1 1 12 31111 6 M59 95000 000139 0000L 00001 00211 015 2112000 2024 CP1AJ437*")-SUMIFS(E5444:E9015,K5444:K9015,"0",B5444:B9015,"5 1 2 1 1 12 31111 6 M59 95000 000139 0000L 00001 00211 015 2112000 2024 CP1AJ437*")</f>
        <v>0</v>
      </c>
      <c r="E5443"/>
      <c r="F5443" s="35">
        <f>SUMIFS(F5444:F9015,K5444:K9015,"0",B5444:B9015,"5 1 2 1 1 12 31111 6 M59 95000 000139 0000L 00001 00211 015 2112000 2024 CP1AJ437*")</f>
        <v>250</v>
      </c>
      <c r="G5443" s="35">
        <f>SUMIFS(G5444:G9015,K5444:K9015,"0",B5444:B9015,"5 1 2 1 1 12 31111 6 M59 95000 000139 0000L 00001 00211 015 2112000 2024 CP1AJ437*")</f>
        <v>0</v>
      </c>
      <c r="H5443" s="35">
        <f t="shared" si="85"/>
        <v>250</v>
      </c>
      <c r="I5443" s="35"/>
      <c r="K5443" t="s">
        <v>15</v>
      </c>
    </row>
    <row r="5444" spans="2:11" ht="41.25" x14ac:dyDescent="0.2">
      <c r="B5444" s="33" t="s">
        <v>6409</v>
      </c>
      <c r="C5444" s="33" t="s">
        <v>282</v>
      </c>
      <c r="D5444" s="35">
        <f>SUMIFS(D5445:D9015,K5445:K9015,"0",B5445:B9015,"5 1 2 1 1 12 31111 6 M59 95000 000139 0000L 00001 00211 015 2112000 2024 CP1AJ437 001*")-SUMIFS(E5445:E9015,K5445:K9015,"0",B5445:B9015,"5 1 2 1 1 12 31111 6 M59 95000 000139 0000L 00001 00211 015 2112000 2024 CP1AJ437 001*")</f>
        <v>0</v>
      </c>
      <c r="E5444"/>
      <c r="F5444" s="35">
        <f>SUMIFS(F5445:F9015,K5445:K9015,"0",B5445:B9015,"5 1 2 1 1 12 31111 6 M59 95000 000139 0000L 00001 00211 015 2112000 2024 CP1AJ437 001*")</f>
        <v>250</v>
      </c>
      <c r="G5444" s="35">
        <f>SUMIFS(G5445:G9015,K5445:K9015,"0",B5445:B9015,"5 1 2 1 1 12 31111 6 M59 95000 000139 0000L 00001 00211 015 2112000 2024 CP1AJ437 001*")</f>
        <v>0</v>
      </c>
      <c r="H5444" s="35">
        <f t="shared" ref="H5444:H5507" si="86">D5444 + F5444 - G5444</f>
        <v>250</v>
      </c>
      <c r="I5444" s="35"/>
      <c r="K5444" t="s">
        <v>15</v>
      </c>
    </row>
    <row r="5445" spans="2:11" ht="33" x14ac:dyDescent="0.2">
      <c r="B5445" s="31" t="s">
        <v>6410</v>
      </c>
      <c r="C5445" s="31" t="s">
        <v>5827</v>
      </c>
      <c r="D5445" s="34">
        <v>0</v>
      </c>
      <c r="E5445" s="34"/>
      <c r="F5445" s="34">
        <v>250</v>
      </c>
      <c r="G5445" s="34">
        <v>0</v>
      </c>
      <c r="H5445" s="34">
        <f t="shared" si="86"/>
        <v>250</v>
      </c>
      <c r="I5445" s="34"/>
      <c r="K5445" t="s">
        <v>38</v>
      </c>
    </row>
    <row r="5446" spans="2:11" ht="16.5" x14ac:dyDescent="0.2">
      <c r="B5446" s="33" t="s">
        <v>6411</v>
      </c>
      <c r="C5446" s="33" t="s">
        <v>3681</v>
      </c>
      <c r="D5446" s="35">
        <f>SUMIFS(D5447:D9015,K5447:K9015,"0",B5447:B9015,"5 1 2 1 1 12 31111 6 M59 96000*")-SUMIFS(E5447:E9015,K5447:K9015,"0",B5447:B9015,"5 1 2 1 1 12 31111 6 M59 96000*")</f>
        <v>0</v>
      </c>
      <c r="E5446"/>
      <c r="F5446" s="35">
        <f>SUMIFS(F5447:F9015,K5447:K9015,"0",B5447:B9015,"5 1 2 1 1 12 31111 6 M59 96000*")</f>
        <v>250</v>
      </c>
      <c r="G5446" s="35">
        <f>SUMIFS(G5447:G9015,K5447:K9015,"0",B5447:B9015,"5 1 2 1 1 12 31111 6 M59 96000*")</f>
        <v>0</v>
      </c>
      <c r="H5446" s="35">
        <f t="shared" si="86"/>
        <v>250</v>
      </c>
      <c r="I5446" s="35"/>
      <c r="K5446" t="s">
        <v>15</v>
      </c>
    </row>
    <row r="5447" spans="2:11" ht="16.5" x14ac:dyDescent="0.2">
      <c r="B5447" s="33" t="s">
        <v>6412</v>
      </c>
      <c r="C5447" s="33" t="s">
        <v>648</v>
      </c>
      <c r="D5447" s="35">
        <f>SUMIFS(D5448:D9015,K5448:K9015,"0",B5448:B9015,"5 1 2 1 1 12 31111 6 M59 96000 000132*")-SUMIFS(E5448:E9015,K5448:K9015,"0",B5448:B9015,"5 1 2 1 1 12 31111 6 M59 96000 000132*")</f>
        <v>0</v>
      </c>
      <c r="E5447"/>
      <c r="F5447" s="35">
        <f>SUMIFS(F5448:F9015,K5448:K9015,"0",B5448:B9015,"5 1 2 1 1 12 31111 6 M59 96000 000132*")</f>
        <v>250</v>
      </c>
      <c r="G5447" s="35">
        <f>SUMIFS(G5448:G9015,K5448:K9015,"0",B5448:B9015,"5 1 2 1 1 12 31111 6 M59 96000 000132*")</f>
        <v>0</v>
      </c>
      <c r="H5447" s="35">
        <f t="shared" si="86"/>
        <v>250</v>
      </c>
      <c r="I5447" s="35"/>
      <c r="K5447" t="s">
        <v>15</v>
      </c>
    </row>
    <row r="5448" spans="2:11" ht="16.5" x14ac:dyDescent="0.2">
      <c r="B5448" s="33" t="s">
        <v>6413</v>
      </c>
      <c r="C5448" s="33" t="s">
        <v>650</v>
      </c>
      <c r="D5448" s="35">
        <f>SUMIFS(D5449:D9015,K5449:K9015,"0",B5449:B9015,"5 1 2 1 1 12 31111 6 M59 96000 000132 0000R*")-SUMIFS(E5449:E9015,K5449:K9015,"0",B5449:B9015,"5 1 2 1 1 12 31111 6 M59 96000 000132 0000R*")</f>
        <v>0</v>
      </c>
      <c r="E5448"/>
      <c r="F5448" s="35">
        <f>SUMIFS(F5449:F9015,K5449:K9015,"0",B5449:B9015,"5 1 2 1 1 12 31111 6 M59 96000 000132 0000R*")</f>
        <v>250</v>
      </c>
      <c r="G5448" s="35">
        <f>SUMIFS(G5449:G9015,K5449:K9015,"0",B5449:B9015,"5 1 2 1 1 12 31111 6 M59 96000 000132 0000R*")</f>
        <v>0</v>
      </c>
      <c r="H5448" s="35">
        <f t="shared" si="86"/>
        <v>250</v>
      </c>
      <c r="I5448" s="35"/>
      <c r="K5448" t="s">
        <v>15</v>
      </c>
    </row>
    <row r="5449" spans="2:11" ht="24.75" x14ac:dyDescent="0.2">
      <c r="B5449" s="33" t="s">
        <v>6414</v>
      </c>
      <c r="C5449" s="33" t="s">
        <v>282</v>
      </c>
      <c r="D5449" s="35">
        <f>SUMIFS(D5450:D9015,K5450:K9015,"0",B5450:B9015,"5 1 2 1 1 12 31111 6 M59 96000 000132 0000R 00001*")-SUMIFS(E5450:E9015,K5450:K9015,"0",B5450:B9015,"5 1 2 1 1 12 31111 6 M59 96000 000132 0000R 00001*")</f>
        <v>0</v>
      </c>
      <c r="E5449"/>
      <c r="F5449" s="35">
        <f>SUMIFS(F5450:F9015,K5450:K9015,"0",B5450:B9015,"5 1 2 1 1 12 31111 6 M59 96000 000132 0000R 00001*")</f>
        <v>250</v>
      </c>
      <c r="G5449" s="35">
        <f>SUMIFS(G5450:G9015,K5450:K9015,"0",B5450:B9015,"5 1 2 1 1 12 31111 6 M59 96000 000132 0000R 00001*")</f>
        <v>0</v>
      </c>
      <c r="H5449" s="35">
        <f t="shared" si="86"/>
        <v>250</v>
      </c>
      <c r="I5449" s="35"/>
      <c r="K5449" t="s">
        <v>15</v>
      </c>
    </row>
    <row r="5450" spans="2:11" ht="24.75" x14ac:dyDescent="0.2">
      <c r="B5450" s="33" t="s">
        <v>6415</v>
      </c>
      <c r="C5450" s="33" t="s">
        <v>5827</v>
      </c>
      <c r="D5450" s="35">
        <f>SUMIFS(D5451:D9015,K5451:K9015,"0",B5451:B9015,"5 1 2 1 1 12 31111 6 M59 96000 000132 0000R 00001 00211*")-SUMIFS(E5451:E9015,K5451:K9015,"0",B5451:B9015,"5 1 2 1 1 12 31111 6 M59 96000 000132 0000R 00001 00211*")</f>
        <v>0</v>
      </c>
      <c r="E5450"/>
      <c r="F5450" s="35">
        <f>SUMIFS(F5451:F9015,K5451:K9015,"0",B5451:B9015,"5 1 2 1 1 12 31111 6 M59 96000 000132 0000R 00001 00211*")</f>
        <v>250</v>
      </c>
      <c r="G5450" s="35">
        <f>SUMIFS(G5451:G9015,K5451:K9015,"0",B5451:B9015,"5 1 2 1 1 12 31111 6 M59 96000 000132 0000R 00001 00211*")</f>
        <v>0</v>
      </c>
      <c r="H5450" s="35">
        <f t="shared" si="86"/>
        <v>250</v>
      </c>
      <c r="I5450" s="35"/>
      <c r="K5450" t="s">
        <v>15</v>
      </c>
    </row>
    <row r="5451" spans="2:11" ht="24.75" x14ac:dyDescent="0.2">
      <c r="B5451" s="33" t="s">
        <v>6416</v>
      </c>
      <c r="C5451" s="33" t="s">
        <v>1051</v>
      </c>
      <c r="D5451" s="35">
        <f>SUMIFS(D5452:D9015,K5452:K9015,"0",B5452:B9015,"5 1 2 1 1 12 31111 6 M59 96000 000132 0000R 00001 00211 015*")-SUMIFS(E5452:E9015,K5452:K9015,"0",B5452:B9015,"5 1 2 1 1 12 31111 6 M59 96000 000132 0000R 00001 00211 015*")</f>
        <v>0</v>
      </c>
      <c r="E5451"/>
      <c r="F5451" s="35">
        <f>SUMIFS(F5452:F9015,K5452:K9015,"0",B5452:B9015,"5 1 2 1 1 12 31111 6 M59 96000 000132 0000R 00001 00211 015*")</f>
        <v>250</v>
      </c>
      <c r="G5451" s="35">
        <f>SUMIFS(G5452:G9015,K5452:K9015,"0",B5452:B9015,"5 1 2 1 1 12 31111 6 M59 96000 000132 0000R 00001 00211 015*")</f>
        <v>0</v>
      </c>
      <c r="H5451" s="35">
        <f t="shared" si="86"/>
        <v>250</v>
      </c>
      <c r="I5451" s="35"/>
      <c r="K5451" t="s">
        <v>15</v>
      </c>
    </row>
    <row r="5452" spans="2:11" ht="33" x14ac:dyDescent="0.2">
      <c r="B5452" s="33" t="s">
        <v>6417</v>
      </c>
      <c r="C5452" s="33" t="s">
        <v>5830</v>
      </c>
      <c r="D5452" s="35">
        <f>SUMIFS(D5453:D9015,K5453:K9015,"0",B5453:B9015,"5 1 2 1 1 12 31111 6 M59 96000 000132 0000R 00001 00211 015 2112000*")-SUMIFS(E5453:E9015,K5453:K9015,"0",B5453:B9015,"5 1 2 1 1 12 31111 6 M59 96000 000132 0000R 00001 00211 015 2112000*")</f>
        <v>0</v>
      </c>
      <c r="E5452"/>
      <c r="F5452" s="35">
        <f>SUMIFS(F5453:F9015,K5453:K9015,"0",B5453:B9015,"5 1 2 1 1 12 31111 6 M59 96000 000132 0000R 00001 00211 015 2112000*")</f>
        <v>250</v>
      </c>
      <c r="G5452" s="35">
        <f>SUMIFS(G5453:G9015,K5453:K9015,"0",B5453:B9015,"5 1 2 1 1 12 31111 6 M59 96000 000132 0000R 00001 00211 015 2112000*")</f>
        <v>0</v>
      </c>
      <c r="H5452" s="35">
        <f t="shared" si="86"/>
        <v>250</v>
      </c>
      <c r="I5452" s="35"/>
      <c r="K5452" t="s">
        <v>15</v>
      </c>
    </row>
    <row r="5453" spans="2:11" ht="33" x14ac:dyDescent="0.2">
      <c r="B5453" s="33" t="s">
        <v>6418</v>
      </c>
      <c r="C5453" s="33" t="s">
        <v>660</v>
      </c>
      <c r="D5453" s="35">
        <f>SUMIFS(D5454:D9015,K5454:K9015,"0",B5454:B9015,"5 1 2 1 1 12 31111 6 M59 96000 000132 0000R 00001 00211 015 2112000 2024*")-SUMIFS(E5454:E9015,K5454:K9015,"0",B5454:B9015,"5 1 2 1 1 12 31111 6 M59 96000 000132 0000R 00001 00211 015 2112000 2024*")</f>
        <v>0</v>
      </c>
      <c r="E5453"/>
      <c r="F5453" s="35">
        <f>SUMIFS(F5454:F9015,K5454:K9015,"0",B5454:B9015,"5 1 2 1 1 12 31111 6 M59 96000 000132 0000R 00001 00211 015 2112000 2024*")</f>
        <v>250</v>
      </c>
      <c r="G5453" s="35">
        <f>SUMIFS(G5454:G9015,K5454:K9015,"0",B5454:B9015,"5 1 2 1 1 12 31111 6 M59 96000 000132 0000R 00001 00211 015 2112000 2024*")</f>
        <v>0</v>
      </c>
      <c r="H5453" s="35">
        <f t="shared" si="86"/>
        <v>250</v>
      </c>
      <c r="I5453" s="35"/>
      <c r="K5453" t="s">
        <v>15</v>
      </c>
    </row>
    <row r="5454" spans="2:11" ht="41.25" x14ac:dyDescent="0.2">
      <c r="B5454" s="33" t="s">
        <v>6419</v>
      </c>
      <c r="C5454" s="33" t="s">
        <v>662</v>
      </c>
      <c r="D5454" s="35">
        <f>SUMIFS(D5455:D9015,K5455:K9015,"0",B5455:B9015,"5 1 2 1 1 12 31111 6 M59 96000 000132 0000R 00001 00211 015 2112000 2024 CP1PA379*")-SUMIFS(E5455:E9015,K5455:K9015,"0",B5455:B9015,"5 1 2 1 1 12 31111 6 M59 96000 000132 0000R 00001 00211 015 2112000 2024 CP1PA379*")</f>
        <v>0</v>
      </c>
      <c r="E5454"/>
      <c r="F5454" s="35">
        <f>SUMIFS(F5455:F9015,K5455:K9015,"0",B5455:B9015,"5 1 2 1 1 12 31111 6 M59 96000 000132 0000R 00001 00211 015 2112000 2024 CP1PA379*")</f>
        <v>250</v>
      </c>
      <c r="G5454" s="35">
        <f>SUMIFS(G5455:G9015,K5455:K9015,"0",B5455:B9015,"5 1 2 1 1 12 31111 6 M59 96000 000132 0000R 00001 00211 015 2112000 2024 CP1PA379*")</f>
        <v>0</v>
      </c>
      <c r="H5454" s="35">
        <f t="shared" si="86"/>
        <v>250</v>
      </c>
      <c r="I5454" s="35"/>
      <c r="K5454" t="s">
        <v>15</v>
      </c>
    </row>
    <row r="5455" spans="2:11" ht="41.25" x14ac:dyDescent="0.2">
      <c r="B5455" s="33" t="s">
        <v>6420</v>
      </c>
      <c r="C5455" s="33" t="s">
        <v>282</v>
      </c>
      <c r="D5455" s="35">
        <f>SUMIFS(D5456:D9015,K5456:K9015,"0",B5456:B9015,"5 1 2 1 1 12 31111 6 M59 96000 000132 0000R 00001 00211 015 2112000 2024 CP1PA379 001*")-SUMIFS(E5456:E9015,K5456:K9015,"0",B5456:B9015,"5 1 2 1 1 12 31111 6 M59 96000 000132 0000R 00001 00211 015 2112000 2024 CP1PA379 001*")</f>
        <v>0</v>
      </c>
      <c r="E5455"/>
      <c r="F5455" s="35">
        <f>SUMIFS(F5456:F9015,K5456:K9015,"0",B5456:B9015,"5 1 2 1 1 12 31111 6 M59 96000 000132 0000R 00001 00211 015 2112000 2024 CP1PA379 001*")</f>
        <v>250</v>
      </c>
      <c r="G5455" s="35">
        <f>SUMIFS(G5456:G9015,K5456:K9015,"0",B5456:B9015,"5 1 2 1 1 12 31111 6 M59 96000 000132 0000R 00001 00211 015 2112000 2024 CP1PA379 001*")</f>
        <v>0</v>
      </c>
      <c r="H5455" s="35">
        <f t="shared" si="86"/>
        <v>250</v>
      </c>
      <c r="I5455" s="35"/>
      <c r="K5455" t="s">
        <v>15</v>
      </c>
    </row>
    <row r="5456" spans="2:11" ht="41.25" x14ac:dyDescent="0.2">
      <c r="B5456" s="31" t="s">
        <v>6421</v>
      </c>
      <c r="C5456" s="31" t="s">
        <v>5827</v>
      </c>
      <c r="D5456" s="34">
        <v>0</v>
      </c>
      <c r="E5456" s="34"/>
      <c r="F5456" s="34">
        <v>250</v>
      </c>
      <c r="G5456" s="34">
        <v>0</v>
      </c>
      <c r="H5456" s="34">
        <f t="shared" si="86"/>
        <v>250</v>
      </c>
      <c r="I5456" s="34"/>
      <c r="K5456" t="s">
        <v>38</v>
      </c>
    </row>
    <row r="5457" spans="2:11" ht="16.5" x14ac:dyDescent="0.2">
      <c r="B5457" s="33" t="s">
        <v>6422</v>
      </c>
      <c r="C5457" s="33" t="s">
        <v>3693</v>
      </c>
      <c r="D5457" s="35">
        <f>SUMIFS(D5458:D9015,K5458:K9015,"0",B5458:B9015,"5 1 2 1 1 12 31111 6 M59 96100*")-SUMIFS(E5458:E9015,K5458:K9015,"0",B5458:B9015,"5 1 2 1 1 12 31111 6 M59 96100*")</f>
        <v>0</v>
      </c>
      <c r="E5457"/>
      <c r="F5457" s="35">
        <f>SUMIFS(F5458:F9015,K5458:K9015,"0",B5458:B9015,"5 1 2 1 1 12 31111 6 M59 96100*")</f>
        <v>250</v>
      </c>
      <c r="G5457" s="35">
        <f>SUMIFS(G5458:G9015,K5458:K9015,"0",B5458:B9015,"5 1 2 1 1 12 31111 6 M59 96100*")</f>
        <v>0</v>
      </c>
      <c r="H5457" s="35">
        <f t="shared" si="86"/>
        <v>250</v>
      </c>
      <c r="I5457" s="35"/>
      <c r="K5457" t="s">
        <v>15</v>
      </c>
    </row>
    <row r="5458" spans="2:11" ht="16.5" x14ac:dyDescent="0.2">
      <c r="B5458" s="33" t="s">
        <v>6423</v>
      </c>
      <c r="C5458" s="33" t="s">
        <v>1310</v>
      </c>
      <c r="D5458" s="35">
        <f>SUMIFS(D5459:D9015,K5459:K9015,"0",B5459:B9015,"5 1 2 1 1 12 31111 6 M59 96100 000211*")-SUMIFS(E5459:E9015,K5459:K9015,"0",B5459:B9015,"5 1 2 1 1 12 31111 6 M59 96100 000211*")</f>
        <v>0</v>
      </c>
      <c r="E5458"/>
      <c r="F5458" s="35">
        <f>SUMIFS(F5459:F9015,K5459:K9015,"0",B5459:B9015,"5 1 2 1 1 12 31111 6 M59 96100 000211*")</f>
        <v>250</v>
      </c>
      <c r="G5458" s="35">
        <f>SUMIFS(G5459:G9015,K5459:K9015,"0",B5459:B9015,"5 1 2 1 1 12 31111 6 M59 96100 000211*")</f>
        <v>0</v>
      </c>
      <c r="H5458" s="35">
        <f t="shared" si="86"/>
        <v>250</v>
      </c>
      <c r="I5458" s="35"/>
      <c r="K5458" t="s">
        <v>15</v>
      </c>
    </row>
    <row r="5459" spans="2:11" ht="16.5" x14ac:dyDescent="0.2">
      <c r="B5459" s="33" t="s">
        <v>6424</v>
      </c>
      <c r="C5459" s="33" t="s">
        <v>3696</v>
      </c>
      <c r="D5459" s="35">
        <f>SUMIFS(D5460:D9015,K5460:K9015,"0",B5460:B9015,"5 1 2 1 1 12 31111 6 M59 96100 000211 0000U*")-SUMIFS(E5460:E9015,K5460:K9015,"0",B5460:B9015,"5 1 2 1 1 12 31111 6 M59 96100 000211 0000U*")</f>
        <v>0</v>
      </c>
      <c r="E5459"/>
      <c r="F5459" s="35">
        <f>SUMIFS(F5460:F9015,K5460:K9015,"0",B5460:B9015,"5 1 2 1 1 12 31111 6 M59 96100 000211 0000U*")</f>
        <v>250</v>
      </c>
      <c r="G5459" s="35">
        <f>SUMIFS(G5460:G9015,K5460:K9015,"0",B5460:B9015,"5 1 2 1 1 12 31111 6 M59 96100 000211 0000U*")</f>
        <v>0</v>
      </c>
      <c r="H5459" s="35">
        <f t="shared" si="86"/>
        <v>250</v>
      </c>
      <c r="I5459" s="35"/>
      <c r="K5459" t="s">
        <v>15</v>
      </c>
    </row>
    <row r="5460" spans="2:11" ht="24.75" x14ac:dyDescent="0.2">
      <c r="B5460" s="33" t="s">
        <v>6425</v>
      </c>
      <c r="C5460" s="33" t="s">
        <v>282</v>
      </c>
      <c r="D5460" s="35">
        <f>SUMIFS(D5461:D9015,K5461:K9015,"0",B5461:B9015,"5 1 2 1 1 12 31111 6 M59 96100 000211 0000U 00001*")-SUMIFS(E5461:E9015,K5461:K9015,"0",B5461:B9015,"5 1 2 1 1 12 31111 6 M59 96100 000211 0000U 00001*")</f>
        <v>0</v>
      </c>
      <c r="E5460"/>
      <c r="F5460" s="35">
        <f>SUMIFS(F5461:F9015,K5461:K9015,"0",B5461:B9015,"5 1 2 1 1 12 31111 6 M59 96100 000211 0000U 00001*")</f>
        <v>250</v>
      </c>
      <c r="G5460" s="35">
        <f>SUMIFS(G5461:G9015,K5461:K9015,"0",B5461:B9015,"5 1 2 1 1 12 31111 6 M59 96100 000211 0000U 00001*")</f>
        <v>0</v>
      </c>
      <c r="H5460" s="35">
        <f t="shared" si="86"/>
        <v>250</v>
      </c>
      <c r="I5460" s="35"/>
      <c r="K5460" t="s">
        <v>15</v>
      </c>
    </row>
    <row r="5461" spans="2:11" ht="24.75" x14ac:dyDescent="0.2">
      <c r="B5461" s="33" t="s">
        <v>6426</v>
      </c>
      <c r="C5461" s="33" t="s">
        <v>5827</v>
      </c>
      <c r="D5461" s="35">
        <f>SUMIFS(D5462:D9015,K5462:K9015,"0",B5462:B9015,"5 1 2 1 1 12 31111 6 M59 96100 000211 0000U 00001 00211*")-SUMIFS(E5462:E9015,K5462:K9015,"0",B5462:B9015,"5 1 2 1 1 12 31111 6 M59 96100 000211 0000U 00001 00211*")</f>
        <v>0</v>
      </c>
      <c r="E5461"/>
      <c r="F5461" s="35">
        <f>SUMIFS(F5462:F9015,K5462:K9015,"0",B5462:B9015,"5 1 2 1 1 12 31111 6 M59 96100 000211 0000U 00001 00211*")</f>
        <v>250</v>
      </c>
      <c r="G5461" s="35">
        <f>SUMIFS(G5462:G9015,K5462:K9015,"0",B5462:B9015,"5 1 2 1 1 12 31111 6 M59 96100 000211 0000U 00001 00211*")</f>
        <v>0</v>
      </c>
      <c r="H5461" s="35">
        <f t="shared" si="86"/>
        <v>250</v>
      </c>
      <c r="I5461" s="35"/>
      <c r="K5461" t="s">
        <v>15</v>
      </c>
    </row>
    <row r="5462" spans="2:11" ht="24.75" x14ac:dyDescent="0.2">
      <c r="B5462" s="33" t="s">
        <v>6427</v>
      </c>
      <c r="C5462" s="33" t="s">
        <v>1051</v>
      </c>
      <c r="D5462" s="35">
        <f>SUMIFS(D5463:D9015,K5463:K9015,"0",B5463:B9015,"5 1 2 1 1 12 31111 6 M59 96100 000211 0000U 00001 00211 015*")-SUMIFS(E5463:E9015,K5463:K9015,"0",B5463:B9015,"5 1 2 1 1 12 31111 6 M59 96100 000211 0000U 00001 00211 015*")</f>
        <v>0</v>
      </c>
      <c r="E5462"/>
      <c r="F5462" s="35">
        <f>SUMIFS(F5463:F9015,K5463:K9015,"0",B5463:B9015,"5 1 2 1 1 12 31111 6 M59 96100 000211 0000U 00001 00211 015*")</f>
        <v>250</v>
      </c>
      <c r="G5462" s="35">
        <f>SUMIFS(G5463:G9015,K5463:K9015,"0",B5463:B9015,"5 1 2 1 1 12 31111 6 M59 96100 000211 0000U 00001 00211 015*")</f>
        <v>0</v>
      </c>
      <c r="H5462" s="35">
        <f t="shared" si="86"/>
        <v>250</v>
      </c>
      <c r="I5462" s="35"/>
      <c r="K5462" t="s">
        <v>15</v>
      </c>
    </row>
    <row r="5463" spans="2:11" ht="33" x14ac:dyDescent="0.2">
      <c r="B5463" s="33" t="s">
        <v>6428</v>
      </c>
      <c r="C5463" s="33" t="s">
        <v>5830</v>
      </c>
      <c r="D5463" s="35">
        <f>SUMIFS(D5464:D9015,K5464:K9015,"0",B5464:B9015,"5 1 2 1 1 12 31111 6 M59 96100 000211 0000U 00001 00211 015 2112000*")-SUMIFS(E5464:E9015,K5464:K9015,"0",B5464:B9015,"5 1 2 1 1 12 31111 6 M59 96100 000211 0000U 00001 00211 015 2112000*")</f>
        <v>0</v>
      </c>
      <c r="E5463"/>
      <c r="F5463" s="35">
        <f>SUMIFS(F5464:F9015,K5464:K9015,"0",B5464:B9015,"5 1 2 1 1 12 31111 6 M59 96100 000211 0000U 00001 00211 015 2112000*")</f>
        <v>250</v>
      </c>
      <c r="G5463" s="35">
        <f>SUMIFS(G5464:G9015,K5464:K9015,"0",B5464:B9015,"5 1 2 1 1 12 31111 6 M59 96100 000211 0000U 00001 00211 015 2112000*")</f>
        <v>0</v>
      </c>
      <c r="H5463" s="35">
        <f t="shared" si="86"/>
        <v>250</v>
      </c>
      <c r="I5463" s="35"/>
      <c r="K5463" t="s">
        <v>15</v>
      </c>
    </row>
    <row r="5464" spans="2:11" ht="33" x14ac:dyDescent="0.2">
      <c r="B5464" s="33" t="s">
        <v>6429</v>
      </c>
      <c r="C5464" s="33" t="s">
        <v>660</v>
      </c>
      <c r="D5464" s="35">
        <f>SUMIFS(D5465:D9015,K5465:K9015,"0",B5465:B9015,"5 1 2 1 1 12 31111 6 M59 96100 000211 0000U 00001 00211 015 2112000 2024*")-SUMIFS(E5465:E9015,K5465:K9015,"0",B5465:B9015,"5 1 2 1 1 12 31111 6 M59 96100 000211 0000U 00001 00211 015 2112000 2024*")</f>
        <v>0</v>
      </c>
      <c r="E5464"/>
      <c r="F5464" s="35">
        <f>SUMIFS(F5465:F9015,K5465:K9015,"0",B5465:B9015,"5 1 2 1 1 12 31111 6 M59 96100 000211 0000U 00001 00211 015 2112000 2024*")</f>
        <v>250</v>
      </c>
      <c r="G5464" s="35">
        <f>SUMIFS(G5465:G9015,K5465:K9015,"0",B5465:B9015,"5 1 2 1 1 12 31111 6 M59 96100 000211 0000U 00001 00211 015 2112000 2024*")</f>
        <v>0</v>
      </c>
      <c r="H5464" s="35">
        <f t="shared" si="86"/>
        <v>250</v>
      </c>
      <c r="I5464" s="35"/>
      <c r="K5464" t="s">
        <v>15</v>
      </c>
    </row>
    <row r="5465" spans="2:11" ht="41.25" x14ac:dyDescent="0.2">
      <c r="B5465" s="33" t="s">
        <v>6430</v>
      </c>
      <c r="C5465" s="33" t="s">
        <v>1056</v>
      </c>
      <c r="D5465" s="35">
        <f>SUMIFS(D5466:D9015,K5466:K9015,"0",B5466:B9015,"5 1 2 1 1 12 31111 6 M59 96100 000211 0000U 00001 00211 015 2112000 2024 CP1IU412*")-SUMIFS(E5466:E9015,K5466:K9015,"0",B5466:B9015,"5 1 2 1 1 12 31111 6 M59 96100 000211 0000U 00001 00211 015 2112000 2024 CP1IU412*")</f>
        <v>0</v>
      </c>
      <c r="E5465"/>
      <c r="F5465" s="35">
        <f>SUMIFS(F5466:F9015,K5466:K9015,"0",B5466:B9015,"5 1 2 1 1 12 31111 6 M59 96100 000211 0000U 00001 00211 015 2112000 2024 CP1IU412*")</f>
        <v>250</v>
      </c>
      <c r="G5465" s="35">
        <f>SUMIFS(G5466:G9015,K5466:K9015,"0",B5466:B9015,"5 1 2 1 1 12 31111 6 M59 96100 000211 0000U 00001 00211 015 2112000 2024 CP1IU412*")</f>
        <v>0</v>
      </c>
      <c r="H5465" s="35">
        <f t="shared" si="86"/>
        <v>250</v>
      </c>
      <c r="I5465" s="35"/>
      <c r="K5465" t="s">
        <v>15</v>
      </c>
    </row>
    <row r="5466" spans="2:11" ht="41.25" x14ac:dyDescent="0.2">
      <c r="B5466" s="33" t="s">
        <v>6431</v>
      </c>
      <c r="C5466" s="33" t="s">
        <v>282</v>
      </c>
      <c r="D5466" s="35">
        <f>SUMIFS(D5467:D9015,K5467:K9015,"0",B5467:B9015,"5 1 2 1 1 12 31111 6 M59 96100 000211 0000U 00001 00211 015 2112000 2024 CP1IU412 001*")-SUMIFS(E5467:E9015,K5467:K9015,"0",B5467:B9015,"5 1 2 1 1 12 31111 6 M59 96100 000211 0000U 00001 00211 015 2112000 2024 CP1IU412 001*")</f>
        <v>0</v>
      </c>
      <c r="E5466"/>
      <c r="F5466" s="35">
        <f>SUMIFS(F5467:F9015,K5467:K9015,"0",B5467:B9015,"5 1 2 1 1 12 31111 6 M59 96100 000211 0000U 00001 00211 015 2112000 2024 CP1IU412 001*")</f>
        <v>250</v>
      </c>
      <c r="G5466" s="35">
        <f>SUMIFS(G5467:G9015,K5467:K9015,"0",B5467:B9015,"5 1 2 1 1 12 31111 6 M59 96100 000211 0000U 00001 00211 015 2112000 2024 CP1IU412 001*")</f>
        <v>0</v>
      </c>
      <c r="H5466" s="35">
        <f t="shared" si="86"/>
        <v>250</v>
      </c>
      <c r="I5466" s="35"/>
      <c r="K5466" t="s">
        <v>15</v>
      </c>
    </row>
    <row r="5467" spans="2:11" ht="33" x14ac:dyDescent="0.2">
      <c r="B5467" s="31" t="s">
        <v>6432</v>
      </c>
      <c r="C5467" s="31" t="s">
        <v>5827</v>
      </c>
      <c r="D5467" s="34">
        <v>0</v>
      </c>
      <c r="E5467" s="34"/>
      <c r="F5467" s="34">
        <v>250</v>
      </c>
      <c r="G5467" s="34">
        <v>0</v>
      </c>
      <c r="H5467" s="34">
        <f t="shared" si="86"/>
        <v>250</v>
      </c>
      <c r="I5467" s="34"/>
      <c r="K5467" t="s">
        <v>38</v>
      </c>
    </row>
    <row r="5468" spans="2:11" ht="16.5" x14ac:dyDescent="0.2">
      <c r="B5468" s="33" t="s">
        <v>6433</v>
      </c>
      <c r="C5468" s="33" t="s">
        <v>3706</v>
      </c>
      <c r="D5468" s="35">
        <f>SUMIFS(D5469:D9015,K5469:K9015,"0",B5469:B9015,"5 1 2 1 1 12 31111 6 M59 96200*")-SUMIFS(E5469:E9015,K5469:K9015,"0",B5469:B9015,"5 1 2 1 1 12 31111 6 M59 96200*")</f>
        <v>0</v>
      </c>
      <c r="E5468"/>
      <c r="F5468" s="35">
        <f>SUMIFS(F5469:F9015,K5469:K9015,"0",B5469:B9015,"5 1 2 1 1 12 31111 6 M59 96200*")</f>
        <v>250</v>
      </c>
      <c r="G5468" s="35">
        <f>SUMIFS(G5469:G9015,K5469:K9015,"0",B5469:B9015,"5 1 2 1 1 12 31111 6 M59 96200*")</f>
        <v>0</v>
      </c>
      <c r="H5468" s="35">
        <f t="shared" si="86"/>
        <v>250</v>
      </c>
      <c r="I5468" s="35"/>
      <c r="K5468" t="s">
        <v>15</v>
      </c>
    </row>
    <row r="5469" spans="2:11" ht="16.5" x14ac:dyDescent="0.2">
      <c r="B5469" s="33" t="s">
        <v>6434</v>
      </c>
      <c r="C5469" s="33" t="s">
        <v>648</v>
      </c>
      <c r="D5469" s="35">
        <f>SUMIFS(D5470:D9015,K5470:K9015,"0",B5470:B9015,"5 1 2 1 1 12 31111 6 M59 96200 000132*")-SUMIFS(E5470:E9015,K5470:K9015,"0",B5470:B9015,"5 1 2 1 1 12 31111 6 M59 96200 000132*")</f>
        <v>0</v>
      </c>
      <c r="E5469"/>
      <c r="F5469" s="35">
        <f>SUMIFS(F5470:F9015,K5470:K9015,"0",B5470:B9015,"5 1 2 1 1 12 31111 6 M59 96200 000132*")</f>
        <v>250</v>
      </c>
      <c r="G5469" s="35">
        <f>SUMIFS(G5470:G9015,K5470:K9015,"0",B5470:B9015,"5 1 2 1 1 12 31111 6 M59 96200 000132*")</f>
        <v>0</v>
      </c>
      <c r="H5469" s="35">
        <f t="shared" si="86"/>
        <v>250</v>
      </c>
      <c r="I5469" s="35"/>
      <c r="K5469" t="s">
        <v>15</v>
      </c>
    </row>
    <row r="5470" spans="2:11" ht="16.5" x14ac:dyDescent="0.2">
      <c r="B5470" s="33" t="s">
        <v>6435</v>
      </c>
      <c r="C5470" s="33" t="s">
        <v>650</v>
      </c>
      <c r="D5470" s="35">
        <f>SUMIFS(D5471:D9015,K5471:K9015,"0",B5471:B9015,"5 1 2 1 1 12 31111 6 M59 96200 000132 0000R*")-SUMIFS(E5471:E9015,K5471:K9015,"0",B5471:B9015,"5 1 2 1 1 12 31111 6 M59 96200 000132 0000R*")</f>
        <v>0</v>
      </c>
      <c r="E5470"/>
      <c r="F5470" s="35">
        <f>SUMIFS(F5471:F9015,K5471:K9015,"0",B5471:B9015,"5 1 2 1 1 12 31111 6 M59 96200 000132 0000R*")</f>
        <v>250</v>
      </c>
      <c r="G5470" s="35">
        <f>SUMIFS(G5471:G9015,K5471:K9015,"0",B5471:B9015,"5 1 2 1 1 12 31111 6 M59 96200 000132 0000R*")</f>
        <v>0</v>
      </c>
      <c r="H5470" s="35">
        <f t="shared" si="86"/>
        <v>250</v>
      </c>
      <c r="I5470" s="35"/>
      <c r="K5470" t="s">
        <v>15</v>
      </c>
    </row>
    <row r="5471" spans="2:11" ht="24.75" x14ac:dyDescent="0.2">
      <c r="B5471" s="33" t="s">
        <v>6436</v>
      </c>
      <c r="C5471" s="33" t="s">
        <v>282</v>
      </c>
      <c r="D5471" s="35">
        <f>SUMIFS(D5472:D9015,K5472:K9015,"0",B5472:B9015,"5 1 2 1 1 12 31111 6 M59 96200 000132 0000R 00001*")-SUMIFS(E5472:E9015,K5472:K9015,"0",B5472:B9015,"5 1 2 1 1 12 31111 6 M59 96200 000132 0000R 00001*")</f>
        <v>0</v>
      </c>
      <c r="E5471"/>
      <c r="F5471" s="35">
        <f>SUMIFS(F5472:F9015,K5472:K9015,"0",B5472:B9015,"5 1 2 1 1 12 31111 6 M59 96200 000132 0000R 00001*")</f>
        <v>250</v>
      </c>
      <c r="G5471" s="35">
        <f>SUMIFS(G5472:G9015,K5472:K9015,"0",B5472:B9015,"5 1 2 1 1 12 31111 6 M59 96200 000132 0000R 00001*")</f>
        <v>0</v>
      </c>
      <c r="H5471" s="35">
        <f t="shared" si="86"/>
        <v>250</v>
      </c>
      <c r="I5471" s="35"/>
      <c r="K5471" t="s">
        <v>15</v>
      </c>
    </row>
    <row r="5472" spans="2:11" ht="24.75" x14ac:dyDescent="0.2">
      <c r="B5472" s="33" t="s">
        <v>6437</v>
      </c>
      <c r="C5472" s="33" t="s">
        <v>5827</v>
      </c>
      <c r="D5472" s="35">
        <f>SUMIFS(D5473:D9015,K5473:K9015,"0",B5473:B9015,"5 1 2 1 1 12 31111 6 M59 96200 000132 0000R 00001 00211*")-SUMIFS(E5473:E9015,K5473:K9015,"0",B5473:B9015,"5 1 2 1 1 12 31111 6 M59 96200 000132 0000R 00001 00211*")</f>
        <v>0</v>
      </c>
      <c r="E5472"/>
      <c r="F5472" s="35">
        <f>SUMIFS(F5473:F9015,K5473:K9015,"0",B5473:B9015,"5 1 2 1 1 12 31111 6 M59 96200 000132 0000R 00001 00211*")</f>
        <v>250</v>
      </c>
      <c r="G5472" s="35">
        <f>SUMIFS(G5473:G9015,K5473:K9015,"0",B5473:B9015,"5 1 2 1 1 12 31111 6 M59 96200 000132 0000R 00001 00211*")</f>
        <v>0</v>
      </c>
      <c r="H5472" s="35">
        <f t="shared" si="86"/>
        <v>250</v>
      </c>
      <c r="I5472" s="35"/>
      <c r="K5472" t="s">
        <v>15</v>
      </c>
    </row>
    <row r="5473" spans="2:11" ht="24.75" x14ac:dyDescent="0.2">
      <c r="B5473" s="33" t="s">
        <v>6438</v>
      </c>
      <c r="C5473" s="33" t="s">
        <v>1051</v>
      </c>
      <c r="D5473" s="35">
        <f>SUMIFS(D5474:D9015,K5474:K9015,"0",B5474:B9015,"5 1 2 1 1 12 31111 6 M59 96200 000132 0000R 00001 00211 015*")-SUMIFS(E5474:E9015,K5474:K9015,"0",B5474:B9015,"5 1 2 1 1 12 31111 6 M59 96200 000132 0000R 00001 00211 015*")</f>
        <v>0</v>
      </c>
      <c r="E5473"/>
      <c r="F5473" s="35">
        <f>SUMIFS(F5474:F9015,K5474:K9015,"0",B5474:B9015,"5 1 2 1 1 12 31111 6 M59 96200 000132 0000R 00001 00211 015*")</f>
        <v>250</v>
      </c>
      <c r="G5473" s="35">
        <f>SUMIFS(G5474:G9015,K5474:K9015,"0",B5474:B9015,"5 1 2 1 1 12 31111 6 M59 96200 000132 0000R 00001 00211 015*")</f>
        <v>0</v>
      </c>
      <c r="H5473" s="35">
        <f t="shared" si="86"/>
        <v>250</v>
      </c>
      <c r="I5473" s="35"/>
      <c r="K5473" t="s">
        <v>15</v>
      </c>
    </row>
    <row r="5474" spans="2:11" ht="33" x14ac:dyDescent="0.2">
      <c r="B5474" s="33" t="s">
        <v>6439</v>
      </c>
      <c r="C5474" s="33" t="s">
        <v>5830</v>
      </c>
      <c r="D5474" s="35">
        <f>SUMIFS(D5475:D9015,K5475:K9015,"0",B5475:B9015,"5 1 2 1 1 12 31111 6 M59 96200 000132 0000R 00001 00211 015 2112000*")-SUMIFS(E5475:E9015,K5475:K9015,"0",B5475:B9015,"5 1 2 1 1 12 31111 6 M59 96200 000132 0000R 00001 00211 015 2112000*")</f>
        <v>0</v>
      </c>
      <c r="E5474"/>
      <c r="F5474" s="35">
        <f>SUMIFS(F5475:F9015,K5475:K9015,"0",B5475:B9015,"5 1 2 1 1 12 31111 6 M59 96200 000132 0000R 00001 00211 015 2112000*")</f>
        <v>250</v>
      </c>
      <c r="G5474" s="35">
        <f>SUMIFS(G5475:G9015,K5475:K9015,"0",B5475:B9015,"5 1 2 1 1 12 31111 6 M59 96200 000132 0000R 00001 00211 015 2112000*")</f>
        <v>0</v>
      </c>
      <c r="H5474" s="35">
        <f t="shared" si="86"/>
        <v>250</v>
      </c>
      <c r="I5474" s="35"/>
      <c r="K5474" t="s">
        <v>15</v>
      </c>
    </row>
    <row r="5475" spans="2:11" ht="33" x14ac:dyDescent="0.2">
      <c r="B5475" s="33" t="s">
        <v>6440</v>
      </c>
      <c r="C5475" s="33" t="s">
        <v>660</v>
      </c>
      <c r="D5475" s="35">
        <f>SUMIFS(D5476:D9015,K5476:K9015,"0",B5476:B9015,"5 1 2 1 1 12 31111 6 M59 96200 000132 0000R 00001 00211 015 2112000 2024*")-SUMIFS(E5476:E9015,K5476:K9015,"0",B5476:B9015,"5 1 2 1 1 12 31111 6 M59 96200 000132 0000R 00001 00211 015 2112000 2024*")</f>
        <v>0</v>
      </c>
      <c r="E5475"/>
      <c r="F5475" s="35">
        <f>SUMIFS(F5476:F9015,K5476:K9015,"0",B5476:B9015,"5 1 2 1 1 12 31111 6 M59 96200 000132 0000R 00001 00211 015 2112000 2024*")</f>
        <v>250</v>
      </c>
      <c r="G5475" s="35">
        <f>SUMIFS(G5476:G9015,K5476:K9015,"0",B5476:B9015,"5 1 2 1 1 12 31111 6 M59 96200 000132 0000R 00001 00211 015 2112000 2024*")</f>
        <v>0</v>
      </c>
      <c r="H5475" s="35">
        <f t="shared" si="86"/>
        <v>250</v>
      </c>
      <c r="I5475" s="35"/>
      <c r="K5475" t="s">
        <v>15</v>
      </c>
    </row>
    <row r="5476" spans="2:11" ht="41.25" x14ac:dyDescent="0.2">
      <c r="B5476" s="33" t="s">
        <v>6441</v>
      </c>
      <c r="C5476" s="33" t="s">
        <v>662</v>
      </c>
      <c r="D5476" s="35">
        <f>SUMIFS(D5477:D9015,K5477:K9015,"0",B5477:B9015,"5 1 2 1 1 12 31111 6 M59 96200 000132 0000R 00001 00211 015 2112000 2024 CP1AL423*")-SUMIFS(E5477:E9015,K5477:K9015,"0",B5477:B9015,"5 1 2 1 1 12 31111 6 M59 96200 000132 0000R 00001 00211 015 2112000 2024 CP1AL423*")</f>
        <v>0</v>
      </c>
      <c r="E5476"/>
      <c r="F5476" s="35">
        <f>SUMIFS(F5477:F9015,K5477:K9015,"0",B5477:B9015,"5 1 2 1 1 12 31111 6 M59 96200 000132 0000R 00001 00211 015 2112000 2024 CP1AL423*")</f>
        <v>250</v>
      </c>
      <c r="G5476" s="35">
        <f>SUMIFS(G5477:G9015,K5477:K9015,"0",B5477:B9015,"5 1 2 1 1 12 31111 6 M59 96200 000132 0000R 00001 00211 015 2112000 2024 CP1AL423*")</f>
        <v>0</v>
      </c>
      <c r="H5476" s="35">
        <f t="shared" si="86"/>
        <v>250</v>
      </c>
      <c r="I5476" s="35"/>
      <c r="K5476" t="s">
        <v>15</v>
      </c>
    </row>
    <row r="5477" spans="2:11" ht="41.25" x14ac:dyDescent="0.2">
      <c r="B5477" s="33" t="s">
        <v>6442</v>
      </c>
      <c r="C5477" s="33" t="s">
        <v>282</v>
      </c>
      <c r="D5477" s="35">
        <f>SUMIFS(D5478:D9015,K5478:K9015,"0",B5478:B9015,"5 1 2 1 1 12 31111 6 M59 96200 000132 0000R 00001 00211 015 2112000 2024 CP1AL423 001*")-SUMIFS(E5478:E9015,K5478:K9015,"0",B5478:B9015,"5 1 2 1 1 12 31111 6 M59 96200 000132 0000R 00001 00211 015 2112000 2024 CP1AL423 001*")</f>
        <v>0</v>
      </c>
      <c r="E5477"/>
      <c r="F5477" s="35">
        <f>SUMIFS(F5478:F9015,K5478:K9015,"0",B5478:B9015,"5 1 2 1 1 12 31111 6 M59 96200 000132 0000R 00001 00211 015 2112000 2024 CP1AL423 001*")</f>
        <v>250</v>
      </c>
      <c r="G5477" s="35">
        <f>SUMIFS(G5478:G9015,K5478:K9015,"0",B5478:B9015,"5 1 2 1 1 12 31111 6 M59 96200 000132 0000R 00001 00211 015 2112000 2024 CP1AL423 001*")</f>
        <v>0</v>
      </c>
      <c r="H5477" s="35">
        <f t="shared" si="86"/>
        <v>250</v>
      </c>
      <c r="I5477" s="35"/>
      <c r="K5477" t="s">
        <v>15</v>
      </c>
    </row>
    <row r="5478" spans="2:11" ht="41.25" x14ac:dyDescent="0.2">
      <c r="B5478" s="31" t="s">
        <v>6443</v>
      </c>
      <c r="C5478" s="31" t="s">
        <v>5827</v>
      </c>
      <c r="D5478" s="34">
        <v>0</v>
      </c>
      <c r="E5478" s="34"/>
      <c r="F5478" s="34">
        <v>250</v>
      </c>
      <c r="G5478" s="34">
        <v>0</v>
      </c>
      <c r="H5478" s="34">
        <f t="shared" si="86"/>
        <v>250</v>
      </c>
      <c r="I5478" s="34"/>
      <c r="K5478" t="s">
        <v>38</v>
      </c>
    </row>
    <row r="5479" spans="2:11" ht="16.5" x14ac:dyDescent="0.2">
      <c r="B5479" s="33" t="s">
        <v>6444</v>
      </c>
      <c r="C5479" s="33" t="s">
        <v>1308</v>
      </c>
      <c r="D5479" s="35">
        <f>SUMIFS(D5480:D9015,K5480:K9015,"0",B5480:B9015,"5 1 2 1 1 12 31111 6 M59 96300*")-SUMIFS(E5480:E9015,K5480:K9015,"0",B5480:B9015,"5 1 2 1 1 12 31111 6 M59 96300*")</f>
        <v>0</v>
      </c>
      <c r="E5479"/>
      <c r="F5479" s="35">
        <f>SUMIFS(F5480:F9015,K5480:K9015,"0",B5480:B9015,"5 1 2 1 1 12 31111 6 M59 96300*")</f>
        <v>250</v>
      </c>
      <c r="G5479" s="35">
        <f>SUMIFS(G5480:G9015,K5480:K9015,"0",B5480:B9015,"5 1 2 1 1 12 31111 6 M59 96300*")</f>
        <v>0</v>
      </c>
      <c r="H5479" s="35">
        <f t="shared" si="86"/>
        <v>250</v>
      </c>
      <c r="I5479" s="35"/>
      <c r="K5479" t="s">
        <v>15</v>
      </c>
    </row>
    <row r="5480" spans="2:11" ht="16.5" x14ac:dyDescent="0.2">
      <c r="B5480" s="33" t="s">
        <v>6445</v>
      </c>
      <c r="C5480" s="33" t="s">
        <v>1310</v>
      </c>
      <c r="D5480" s="35">
        <f>SUMIFS(D5481:D9015,K5481:K9015,"0",B5481:B9015,"5 1 2 1 1 12 31111 6 M59 96300 000211*")-SUMIFS(E5481:E9015,K5481:K9015,"0",B5481:B9015,"5 1 2 1 1 12 31111 6 M59 96300 000211*")</f>
        <v>0</v>
      </c>
      <c r="E5480"/>
      <c r="F5480" s="35">
        <f>SUMIFS(F5481:F9015,K5481:K9015,"0",B5481:B9015,"5 1 2 1 1 12 31111 6 M59 96300 000211*")</f>
        <v>250</v>
      </c>
      <c r="G5480" s="35">
        <f>SUMIFS(G5481:G9015,K5481:K9015,"0",B5481:B9015,"5 1 2 1 1 12 31111 6 M59 96300 000211*")</f>
        <v>0</v>
      </c>
      <c r="H5480" s="35">
        <f t="shared" si="86"/>
        <v>250</v>
      </c>
      <c r="I5480" s="35"/>
      <c r="K5480" t="s">
        <v>15</v>
      </c>
    </row>
    <row r="5481" spans="2:11" ht="16.5" x14ac:dyDescent="0.2">
      <c r="B5481" s="33" t="s">
        <v>6446</v>
      </c>
      <c r="C5481" s="33" t="s">
        <v>1065</v>
      </c>
      <c r="D5481" s="35">
        <f>SUMIFS(D5482:D9015,K5482:K9015,"0",B5482:B9015,"5 1 2 1 1 12 31111 6 M59 96300 000211 0000E*")-SUMIFS(E5482:E9015,K5482:K9015,"0",B5482:B9015,"5 1 2 1 1 12 31111 6 M59 96300 000211 0000E*")</f>
        <v>0</v>
      </c>
      <c r="E5481"/>
      <c r="F5481" s="35">
        <f>SUMIFS(F5482:F9015,K5482:K9015,"0",B5482:B9015,"5 1 2 1 1 12 31111 6 M59 96300 000211 0000E*")</f>
        <v>250</v>
      </c>
      <c r="G5481" s="35">
        <f>SUMIFS(G5482:G9015,K5482:K9015,"0",B5482:B9015,"5 1 2 1 1 12 31111 6 M59 96300 000211 0000E*")</f>
        <v>0</v>
      </c>
      <c r="H5481" s="35">
        <f t="shared" si="86"/>
        <v>250</v>
      </c>
      <c r="I5481" s="35"/>
      <c r="K5481" t="s">
        <v>15</v>
      </c>
    </row>
    <row r="5482" spans="2:11" ht="24.75" x14ac:dyDescent="0.2">
      <c r="B5482" s="33" t="s">
        <v>6447</v>
      </c>
      <c r="C5482" s="33" t="s">
        <v>282</v>
      </c>
      <c r="D5482" s="35">
        <f>SUMIFS(D5483:D9015,K5483:K9015,"0",B5483:B9015,"5 1 2 1 1 12 31111 6 M59 96300 000211 0000E 00001*")-SUMIFS(E5483:E9015,K5483:K9015,"0",B5483:B9015,"5 1 2 1 1 12 31111 6 M59 96300 000211 0000E 00001*")</f>
        <v>0</v>
      </c>
      <c r="E5482"/>
      <c r="F5482" s="35">
        <f>SUMIFS(F5483:F9015,K5483:K9015,"0",B5483:B9015,"5 1 2 1 1 12 31111 6 M59 96300 000211 0000E 00001*")</f>
        <v>250</v>
      </c>
      <c r="G5482" s="35">
        <f>SUMIFS(G5483:G9015,K5483:K9015,"0",B5483:B9015,"5 1 2 1 1 12 31111 6 M59 96300 000211 0000E 00001*")</f>
        <v>0</v>
      </c>
      <c r="H5482" s="35">
        <f t="shared" si="86"/>
        <v>250</v>
      </c>
      <c r="I5482" s="35"/>
      <c r="K5482" t="s">
        <v>15</v>
      </c>
    </row>
    <row r="5483" spans="2:11" ht="24.75" x14ac:dyDescent="0.2">
      <c r="B5483" s="33" t="s">
        <v>6448</v>
      </c>
      <c r="C5483" s="33" t="s">
        <v>5827</v>
      </c>
      <c r="D5483" s="35">
        <f>SUMIFS(D5484:D9015,K5484:K9015,"0",B5484:B9015,"5 1 2 1 1 12 31111 6 M59 96300 000211 0000E 00001 00211*")-SUMIFS(E5484:E9015,K5484:K9015,"0",B5484:B9015,"5 1 2 1 1 12 31111 6 M59 96300 000211 0000E 00001 00211*")</f>
        <v>0</v>
      </c>
      <c r="E5483"/>
      <c r="F5483" s="35">
        <f>SUMIFS(F5484:F9015,K5484:K9015,"0",B5484:B9015,"5 1 2 1 1 12 31111 6 M59 96300 000211 0000E 00001 00211*")</f>
        <v>250</v>
      </c>
      <c r="G5483" s="35">
        <f>SUMIFS(G5484:G9015,K5484:K9015,"0",B5484:B9015,"5 1 2 1 1 12 31111 6 M59 96300 000211 0000E 00001 00211*")</f>
        <v>0</v>
      </c>
      <c r="H5483" s="35">
        <f t="shared" si="86"/>
        <v>250</v>
      </c>
      <c r="I5483" s="35"/>
      <c r="K5483" t="s">
        <v>15</v>
      </c>
    </row>
    <row r="5484" spans="2:11" ht="24.75" x14ac:dyDescent="0.2">
      <c r="B5484" s="33" t="s">
        <v>6449</v>
      </c>
      <c r="C5484" s="33" t="s">
        <v>1051</v>
      </c>
      <c r="D5484" s="35">
        <f>SUMIFS(D5485:D9015,K5485:K9015,"0",B5485:B9015,"5 1 2 1 1 12 31111 6 M59 96300 000211 0000E 00001 00211 015*")-SUMIFS(E5485:E9015,K5485:K9015,"0",B5485:B9015,"5 1 2 1 1 12 31111 6 M59 96300 000211 0000E 00001 00211 015*")</f>
        <v>0</v>
      </c>
      <c r="E5484"/>
      <c r="F5484" s="35">
        <f>SUMIFS(F5485:F9015,K5485:K9015,"0",B5485:B9015,"5 1 2 1 1 12 31111 6 M59 96300 000211 0000E 00001 00211 015*")</f>
        <v>250</v>
      </c>
      <c r="G5484" s="35">
        <f>SUMIFS(G5485:G9015,K5485:K9015,"0",B5485:B9015,"5 1 2 1 1 12 31111 6 M59 96300 000211 0000E 00001 00211 015*")</f>
        <v>0</v>
      </c>
      <c r="H5484" s="35">
        <f t="shared" si="86"/>
        <v>250</v>
      </c>
      <c r="I5484" s="35"/>
      <c r="K5484" t="s">
        <v>15</v>
      </c>
    </row>
    <row r="5485" spans="2:11" ht="33" x14ac:dyDescent="0.2">
      <c r="B5485" s="33" t="s">
        <v>6450</v>
      </c>
      <c r="C5485" s="33" t="s">
        <v>5830</v>
      </c>
      <c r="D5485" s="35">
        <f>SUMIFS(D5486:D9015,K5486:K9015,"0",B5486:B9015,"5 1 2 1 1 12 31111 6 M59 96300 000211 0000E 00001 00211 015 2112000*")-SUMIFS(E5486:E9015,K5486:K9015,"0",B5486:B9015,"5 1 2 1 1 12 31111 6 M59 96300 000211 0000E 00001 00211 015 2112000*")</f>
        <v>0</v>
      </c>
      <c r="E5485"/>
      <c r="F5485" s="35">
        <f>SUMIFS(F5486:F9015,K5486:K9015,"0",B5486:B9015,"5 1 2 1 1 12 31111 6 M59 96300 000211 0000E 00001 00211 015 2112000*")</f>
        <v>250</v>
      </c>
      <c r="G5485" s="35">
        <f>SUMIFS(G5486:G9015,K5486:K9015,"0",B5486:B9015,"5 1 2 1 1 12 31111 6 M59 96300 000211 0000E 00001 00211 015 2112000*")</f>
        <v>0</v>
      </c>
      <c r="H5485" s="35">
        <f t="shared" si="86"/>
        <v>250</v>
      </c>
      <c r="I5485" s="35"/>
      <c r="K5485" t="s">
        <v>15</v>
      </c>
    </row>
    <row r="5486" spans="2:11" ht="33" x14ac:dyDescent="0.2">
      <c r="B5486" s="33" t="s">
        <v>6451</v>
      </c>
      <c r="C5486" s="33" t="s">
        <v>660</v>
      </c>
      <c r="D5486" s="35">
        <f>SUMIFS(D5487:D9015,K5487:K9015,"0",B5487:B9015,"5 1 2 1 1 12 31111 6 M59 96300 000211 0000E 00001 00211 015 2112000 2024*")-SUMIFS(E5487:E9015,K5487:K9015,"0",B5487:B9015,"5 1 2 1 1 12 31111 6 M59 96300 000211 0000E 00001 00211 015 2112000 2024*")</f>
        <v>0</v>
      </c>
      <c r="E5486"/>
      <c r="F5486" s="35">
        <f>SUMIFS(F5487:F9015,K5487:K9015,"0",B5487:B9015,"5 1 2 1 1 12 31111 6 M59 96300 000211 0000E 00001 00211 015 2112000 2024*")</f>
        <v>250</v>
      </c>
      <c r="G5486" s="35">
        <f>SUMIFS(G5487:G9015,K5487:K9015,"0",B5487:B9015,"5 1 2 1 1 12 31111 6 M59 96300 000211 0000E 00001 00211 015 2112000 2024*")</f>
        <v>0</v>
      </c>
      <c r="H5486" s="35">
        <f t="shared" si="86"/>
        <v>250</v>
      </c>
      <c r="I5486" s="35"/>
      <c r="K5486" t="s">
        <v>15</v>
      </c>
    </row>
    <row r="5487" spans="2:11" ht="41.25" x14ac:dyDescent="0.2">
      <c r="B5487" s="33" t="s">
        <v>6452</v>
      </c>
      <c r="C5487" s="33" t="s">
        <v>1056</v>
      </c>
      <c r="D5487" s="35">
        <f>SUMIFS(D5488:D9015,K5488:K9015,"0",B5488:B9015,"5 1 2 1 1 12 31111 6 M59 96300 000211 0000E 00001 00211 015 2112000 2024 CP1SB396*")-SUMIFS(E5488:E9015,K5488:K9015,"0",B5488:B9015,"5 1 2 1 1 12 31111 6 M59 96300 000211 0000E 00001 00211 015 2112000 2024 CP1SB396*")</f>
        <v>0</v>
      </c>
      <c r="E5487"/>
      <c r="F5487" s="35">
        <f>SUMIFS(F5488:F9015,K5488:K9015,"0",B5488:B9015,"5 1 2 1 1 12 31111 6 M59 96300 000211 0000E 00001 00211 015 2112000 2024 CP1SB396*")</f>
        <v>250</v>
      </c>
      <c r="G5487" s="35">
        <f>SUMIFS(G5488:G9015,K5488:K9015,"0",B5488:B9015,"5 1 2 1 1 12 31111 6 M59 96300 000211 0000E 00001 00211 015 2112000 2024 CP1SB396*")</f>
        <v>0</v>
      </c>
      <c r="H5487" s="35">
        <f t="shared" si="86"/>
        <v>250</v>
      </c>
      <c r="I5487" s="35"/>
      <c r="K5487" t="s">
        <v>15</v>
      </c>
    </row>
    <row r="5488" spans="2:11" ht="41.25" x14ac:dyDescent="0.2">
      <c r="B5488" s="33" t="s">
        <v>6453</v>
      </c>
      <c r="C5488" s="33" t="s">
        <v>282</v>
      </c>
      <c r="D5488" s="35">
        <f>SUMIFS(D5489:D9015,K5489:K9015,"0",B5489:B9015,"5 1 2 1 1 12 31111 6 M59 96300 000211 0000E 00001 00211 015 2112000 2024 CP1SB396 001*")-SUMIFS(E5489:E9015,K5489:K9015,"0",B5489:B9015,"5 1 2 1 1 12 31111 6 M59 96300 000211 0000E 00001 00211 015 2112000 2024 CP1SB396 001*")</f>
        <v>0</v>
      </c>
      <c r="E5488"/>
      <c r="F5488" s="35">
        <f>SUMIFS(F5489:F9015,K5489:K9015,"0",B5489:B9015,"5 1 2 1 1 12 31111 6 M59 96300 000211 0000E 00001 00211 015 2112000 2024 CP1SB396 001*")</f>
        <v>250</v>
      </c>
      <c r="G5488" s="35">
        <f>SUMIFS(G5489:G9015,K5489:K9015,"0",B5489:B9015,"5 1 2 1 1 12 31111 6 M59 96300 000211 0000E 00001 00211 015 2112000 2024 CP1SB396 001*")</f>
        <v>0</v>
      </c>
      <c r="H5488" s="35">
        <f t="shared" si="86"/>
        <v>250</v>
      </c>
      <c r="I5488" s="35"/>
      <c r="K5488" t="s">
        <v>15</v>
      </c>
    </row>
    <row r="5489" spans="2:11" ht="33" x14ac:dyDescent="0.2">
      <c r="B5489" s="31" t="s">
        <v>6454</v>
      </c>
      <c r="C5489" s="31" t="s">
        <v>5827</v>
      </c>
      <c r="D5489" s="34">
        <v>0</v>
      </c>
      <c r="E5489" s="34"/>
      <c r="F5489" s="34">
        <v>250</v>
      </c>
      <c r="G5489" s="34">
        <v>0</v>
      </c>
      <c r="H5489" s="34">
        <f t="shared" si="86"/>
        <v>250</v>
      </c>
      <c r="I5489" s="34"/>
      <c r="K5489" t="s">
        <v>38</v>
      </c>
    </row>
    <row r="5490" spans="2:11" ht="16.5" x14ac:dyDescent="0.2">
      <c r="B5490" s="33" t="s">
        <v>6455</v>
      </c>
      <c r="C5490" s="33" t="s">
        <v>3729</v>
      </c>
      <c r="D5490" s="35">
        <f>SUMIFS(D5491:D9015,K5491:K9015,"0",B5491:B9015,"5 1 2 1 1 12 31111 6 M59 97000*")-SUMIFS(E5491:E9015,K5491:K9015,"0",B5491:B9015,"5 1 2 1 1 12 31111 6 M59 97000*")</f>
        <v>0</v>
      </c>
      <c r="E5490"/>
      <c r="F5490" s="35">
        <f>SUMIFS(F5491:F9015,K5491:K9015,"0",B5491:B9015,"5 1 2 1 1 12 31111 6 M59 97000*")</f>
        <v>250</v>
      </c>
      <c r="G5490" s="35">
        <f>SUMIFS(G5491:G9015,K5491:K9015,"0",B5491:B9015,"5 1 2 1 1 12 31111 6 M59 97000*")</f>
        <v>0</v>
      </c>
      <c r="H5490" s="35">
        <f t="shared" si="86"/>
        <v>250</v>
      </c>
      <c r="I5490" s="35"/>
      <c r="K5490" t="s">
        <v>15</v>
      </c>
    </row>
    <row r="5491" spans="2:11" ht="16.5" x14ac:dyDescent="0.2">
      <c r="B5491" s="33" t="s">
        <v>6456</v>
      </c>
      <c r="C5491" s="33" t="s">
        <v>648</v>
      </c>
      <c r="D5491" s="35">
        <f>SUMIFS(D5492:D9015,K5492:K9015,"0",B5492:B9015,"5 1 2 1 1 12 31111 6 M59 97000 000132*")-SUMIFS(E5492:E9015,K5492:K9015,"0",B5492:B9015,"5 1 2 1 1 12 31111 6 M59 97000 000132*")</f>
        <v>0</v>
      </c>
      <c r="E5491"/>
      <c r="F5491" s="35">
        <f>SUMIFS(F5492:F9015,K5492:K9015,"0",B5492:B9015,"5 1 2 1 1 12 31111 6 M59 97000 000132*")</f>
        <v>250</v>
      </c>
      <c r="G5491" s="35">
        <f>SUMIFS(G5492:G9015,K5492:K9015,"0",B5492:B9015,"5 1 2 1 1 12 31111 6 M59 97000 000132*")</f>
        <v>0</v>
      </c>
      <c r="H5491" s="35">
        <f t="shared" si="86"/>
        <v>250</v>
      </c>
      <c r="I5491" s="35"/>
      <c r="K5491" t="s">
        <v>15</v>
      </c>
    </row>
    <row r="5492" spans="2:11" ht="16.5" x14ac:dyDescent="0.2">
      <c r="B5492" s="33" t="s">
        <v>6457</v>
      </c>
      <c r="C5492" s="33" t="s">
        <v>650</v>
      </c>
      <c r="D5492" s="35">
        <f>SUMIFS(D5493:D9015,K5493:K9015,"0",B5493:B9015,"5 1 2 1 1 12 31111 6 M59 97000 000132 0000R*")-SUMIFS(E5493:E9015,K5493:K9015,"0",B5493:B9015,"5 1 2 1 1 12 31111 6 M59 97000 000132 0000R*")</f>
        <v>0</v>
      </c>
      <c r="E5492"/>
      <c r="F5492" s="35">
        <f>SUMIFS(F5493:F9015,K5493:K9015,"0",B5493:B9015,"5 1 2 1 1 12 31111 6 M59 97000 000132 0000R*")</f>
        <v>250</v>
      </c>
      <c r="G5492" s="35">
        <f>SUMIFS(G5493:G9015,K5493:K9015,"0",B5493:B9015,"5 1 2 1 1 12 31111 6 M59 97000 000132 0000R*")</f>
        <v>0</v>
      </c>
      <c r="H5492" s="35">
        <f t="shared" si="86"/>
        <v>250</v>
      </c>
      <c r="I5492" s="35"/>
      <c r="K5492" t="s">
        <v>15</v>
      </c>
    </row>
    <row r="5493" spans="2:11" ht="24.75" x14ac:dyDescent="0.2">
      <c r="B5493" s="33" t="s">
        <v>6458</v>
      </c>
      <c r="C5493" s="33" t="s">
        <v>282</v>
      </c>
      <c r="D5493" s="35">
        <f>SUMIFS(D5494:D9015,K5494:K9015,"0",B5494:B9015,"5 1 2 1 1 12 31111 6 M59 97000 000132 0000R 00001*")-SUMIFS(E5494:E9015,K5494:K9015,"0",B5494:B9015,"5 1 2 1 1 12 31111 6 M59 97000 000132 0000R 00001*")</f>
        <v>0</v>
      </c>
      <c r="E5493"/>
      <c r="F5493" s="35">
        <f>SUMIFS(F5494:F9015,K5494:K9015,"0",B5494:B9015,"5 1 2 1 1 12 31111 6 M59 97000 000132 0000R 00001*")</f>
        <v>250</v>
      </c>
      <c r="G5493" s="35">
        <f>SUMIFS(G5494:G9015,K5494:K9015,"0",B5494:B9015,"5 1 2 1 1 12 31111 6 M59 97000 000132 0000R 00001*")</f>
        <v>0</v>
      </c>
      <c r="H5493" s="35">
        <f t="shared" si="86"/>
        <v>250</v>
      </c>
      <c r="I5493" s="35"/>
      <c r="K5493" t="s">
        <v>15</v>
      </c>
    </row>
    <row r="5494" spans="2:11" ht="24.75" x14ac:dyDescent="0.2">
      <c r="B5494" s="33" t="s">
        <v>6459</v>
      </c>
      <c r="C5494" s="33" t="s">
        <v>5827</v>
      </c>
      <c r="D5494" s="35">
        <f>SUMIFS(D5495:D9015,K5495:K9015,"0",B5495:B9015,"5 1 2 1 1 12 31111 6 M59 97000 000132 0000R 00001 00211*")-SUMIFS(E5495:E9015,K5495:K9015,"0",B5495:B9015,"5 1 2 1 1 12 31111 6 M59 97000 000132 0000R 00001 00211*")</f>
        <v>0</v>
      </c>
      <c r="E5494"/>
      <c r="F5494" s="35">
        <f>SUMIFS(F5495:F9015,K5495:K9015,"0",B5495:B9015,"5 1 2 1 1 12 31111 6 M59 97000 000132 0000R 00001 00211*")</f>
        <v>250</v>
      </c>
      <c r="G5494" s="35">
        <f>SUMIFS(G5495:G9015,K5495:K9015,"0",B5495:B9015,"5 1 2 1 1 12 31111 6 M59 97000 000132 0000R 00001 00211*")</f>
        <v>0</v>
      </c>
      <c r="H5494" s="35">
        <f t="shared" si="86"/>
        <v>250</v>
      </c>
      <c r="I5494" s="35"/>
      <c r="K5494" t="s">
        <v>15</v>
      </c>
    </row>
    <row r="5495" spans="2:11" ht="24.75" x14ac:dyDescent="0.2">
      <c r="B5495" s="33" t="s">
        <v>6460</v>
      </c>
      <c r="C5495" s="33" t="s">
        <v>1051</v>
      </c>
      <c r="D5495" s="35">
        <f>SUMIFS(D5496:D9015,K5496:K9015,"0",B5496:B9015,"5 1 2 1 1 12 31111 6 M59 97000 000132 0000R 00001 00211 015*")-SUMIFS(E5496:E9015,K5496:K9015,"0",B5496:B9015,"5 1 2 1 1 12 31111 6 M59 97000 000132 0000R 00001 00211 015*")</f>
        <v>0</v>
      </c>
      <c r="E5495"/>
      <c r="F5495" s="35">
        <f>SUMIFS(F5496:F9015,K5496:K9015,"0",B5496:B9015,"5 1 2 1 1 12 31111 6 M59 97000 000132 0000R 00001 00211 015*")</f>
        <v>250</v>
      </c>
      <c r="G5495" s="35">
        <f>SUMIFS(G5496:G9015,K5496:K9015,"0",B5496:B9015,"5 1 2 1 1 12 31111 6 M59 97000 000132 0000R 00001 00211 015*")</f>
        <v>0</v>
      </c>
      <c r="H5495" s="35">
        <f t="shared" si="86"/>
        <v>250</v>
      </c>
      <c r="I5495" s="35"/>
      <c r="K5495" t="s">
        <v>15</v>
      </c>
    </row>
    <row r="5496" spans="2:11" ht="33" x14ac:dyDescent="0.2">
      <c r="B5496" s="33" t="s">
        <v>6461</v>
      </c>
      <c r="C5496" s="33" t="s">
        <v>5830</v>
      </c>
      <c r="D5496" s="35">
        <f>SUMIFS(D5497:D9015,K5497:K9015,"0",B5497:B9015,"5 1 2 1 1 12 31111 6 M59 97000 000132 0000R 00001 00211 015 2112000*")-SUMIFS(E5497:E9015,K5497:K9015,"0",B5497:B9015,"5 1 2 1 1 12 31111 6 M59 97000 000132 0000R 00001 00211 015 2112000*")</f>
        <v>0</v>
      </c>
      <c r="E5496"/>
      <c r="F5496" s="35">
        <f>SUMIFS(F5497:F9015,K5497:K9015,"0",B5497:B9015,"5 1 2 1 1 12 31111 6 M59 97000 000132 0000R 00001 00211 015 2112000*")</f>
        <v>250</v>
      </c>
      <c r="G5496" s="35">
        <f>SUMIFS(G5497:G9015,K5497:K9015,"0",B5497:B9015,"5 1 2 1 1 12 31111 6 M59 97000 000132 0000R 00001 00211 015 2112000*")</f>
        <v>0</v>
      </c>
      <c r="H5496" s="35">
        <f t="shared" si="86"/>
        <v>250</v>
      </c>
      <c r="I5496" s="35"/>
      <c r="K5496" t="s">
        <v>15</v>
      </c>
    </row>
    <row r="5497" spans="2:11" ht="33" x14ac:dyDescent="0.2">
      <c r="B5497" s="33" t="s">
        <v>6462</v>
      </c>
      <c r="C5497" s="33" t="s">
        <v>660</v>
      </c>
      <c r="D5497" s="35">
        <f>SUMIFS(D5498:D9015,K5498:K9015,"0",B5498:B9015,"5 1 2 1 1 12 31111 6 M59 97000 000132 0000R 00001 00211 015 2112000 2024*")-SUMIFS(E5498:E9015,K5498:K9015,"0",B5498:B9015,"5 1 2 1 1 12 31111 6 M59 97000 000132 0000R 00001 00211 015 2112000 2024*")</f>
        <v>0</v>
      </c>
      <c r="E5497"/>
      <c r="F5497" s="35">
        <f>SUMIFS(F5498:F9015,K5498:K9015,"0",B5498:B9015,"5 1 2 1 1 12 31111 6 M59 97000 000132 0000R 00001 00211 015 2112000 2024*")</f>
        <v>250</v>
      </c>
      <c r="G5497" s="35">
        <f>SUMIFS(G5498:G9015,K5498:K9015,"0",B5498:B9015,"5 1 2 1 1 12 31111 6 M59 97000 000132 0000R 00001 00211 015 2112000 2024*")</f>
        <v>0</v>
      </c>
      <c r="H5497" s="35">
        <f t="shared" si="86"/>
        <v>250</v>
      </c>
      <c r="I5497" s="35"/>
      <c r="K5497" t="s">
        <v>15</v>
      </c>
    </row>
    <row r="5498" spans="2:11" ht="41.25" x14ac:dyDescent="0.2">
      <c r="B5498" s="33" t="s">
        <v>6463</v>
      </c>
      <c r="C5498" s="33" t="s">
        <v>1056</v>
      </c>
      <c r="D5498" s="35">
        <f>SUMIFS(D5499:D9015,K5499:K9015,"0",B5499:B9015,"5 1 2 1 1 12 31111 6 M59 97000 000132 0000R 00001 00211 015 2112000 2024 CP1SP428*")-SUMIFS(E5499:E9015,K5499:K9015,"0",B5499:B9015,"5 1 2 1 1 12 31111 6 M59 97000 000132 0000R 00001 00211 015 2112000 2024 CP1SP428*")</f>
        <v>0</v>
      </c>
      <c r="E5498"/>
      <c r="F5498" s="35">
        <f>SUMIFS(F5499:F9015,K5499:K9015,"0",B5499:B9015,"5 1 2 1 1 12 31111 6 M59 97000 000132 0000R 00001 00211 015 2112000 2024 CP1SP428*")</f>
        <v>250</v>
      </c>
      <c r="G5498" s="35">
        <f>SUMIFS(G5499:G9015,K5499:K9015,"0",B5499:B9015,"5 1 2 1 1 12 31111 6 M59 97000 000132 0000R 00001 00211 015 2112000 2024 CP1SP428*")</f>
        <v>0</v>
      </c>
      <c r="H5498" s="35">
        <f t="shared" si="86"/>
        <v>250</v>
      </c>
      <c r="I5498" s="35"/>
      <c r="K5498" t="s">
        <v>15</v>
      </c>
    </row>
    <row r="5499" spans="2:11" ht="41.25" x14ac:dyDescent="0.2">
      <c r="B5499" s="33" t="s">
        <v>6464</v>
      </c>
      <c r="C5499" s="33" t="s">
        <v>282</v>
      </c>
      <c r="D5499" s="35">
        <f>SUMIFS(D5500:D9015,K5500:K9015,"0",B5500:B9015,"5 1 2 1 1 12 31111 6 M59 97000 000132 0000R 00001 00211 015 2112000 2024 CP1SP428 001*")-SUMIFS(E5500:E9015,K5500:K9015,"0",B5500:B9015,"5 1 2 1 1 12 31111 6 M59 97000 000132 0000R 00001 00211 015 2112000 2024 CP1SP428 001*")</f>
        <v>0</v>
      </c>
      <c r="E5499"/>
      <c r="F5499" s="35">
        <f>SUMIFS(F5500:F9015,K5500:K9015,"0",B5500:B9015,"5 1 2 1 1 12 31111 6 M59 97000 000132 0000R 00001 00211 015 2112000 2024 CP1SP428 001*")</f>
        <v>250</v>
      </c>
      <c r="G5499" s="35">
        <f>SUMIFS(G5500:G9015,K5500:K9015,"0",B5500:B9015,"5 1 2 1 1 12 31111 6 M59 97000 000132 0000R 00001 00211 015 2112000 2024 CP1SP428 001*")</f>
        <v>0</v>
      </c>
      <c r="H5499" s="35">
        <f t="shared" si="86"/>
        <v>250</v>
      </c>
      <c r="I5499" s="35"/>
      <c r="K5499" t="s">
        <v>15</v>
      </c>
    </row>
    <row r="5500" spans="2:11" ht="33" x14ac:dyDescent="0.2">
      <c r="B5500" s="31" t="s">
        <v>6465</v>
      </c>
      <c r="C5500" s="31" t="s">
        <v>5817</v>
      </c>
      <c r="D5500" s="34">
        <v>0</v>
      </c>
      <c r="E5500" s="34"/>
      <c r="F5500" s="34">
        <v>250</v>
      </c>
      <c r="G5500" s="34">
        <v>0</v>
      </c>
      <c r="H5500" s="34">
        <f t="shared" si="86"/>
        <v>250</v>
      </c>
      <c r="I5500" s="34"/>
      <c r="K5500" t="s">
        <v>38</v>
      </c>
    </row>
    <row r="5501" spans="2:11" ht="16.5" x14ac:dyDescent="0.2">
      <c r="B5501" s="33" t="s">
        <v>6466</v>
      </c>
      <c r="C5501" s="33" t="s">
        <v>3741</v>
      </c>
      <c r="D5501" s="35">
        <f>SUMIFS(D5502:D9015,K5502:K9015,"0",B5502:B9015,"5 1 2 1 1 12 31111 6 M59 98000*")-SUMIFS(E5502:E9015,K5502:K9015,"0",B5502:B9015,"5 1 2 1 1 12 31111 6 M59 98000*")</f>
        <v>0</v>
      </c>
      <c r="E5501"/>
      <c r="F5501" s="35">
        <f>SUMIFS(F5502:F9015,K5502:K9015,"0",B5502:B9015,"5 1 2 1 1 12 31111 6 M59 98000*")</f>
        <v>250</v>
      </c>
      <c r="G5501" s="35">
        <f>SUMIFS(G5502:G9015,K5502:K9015,"0",B5502:B9015,"5 1 2 1 1 12 31111 6 M59 98000*")</f>
        <v>0</v>
      </c>
      <c r="H5501" s="35">
        <f t="shared" si="86"/>
        <v>250</v>
      </c>
      <c r="I5501" s="35"/>
      <c r="K5501" t="s">
        <v>15</v>
      </c>
    </row>
    <row r="5502" spans="2:11" ht="24.75" x14ac:dyDescent="0.2">
      <c r="B5502" s="33" t="s">
        <v>6467</v>
      </c>
      <c r="C5502" s="33" t="s">
        <v>3152</v>
      </c>
      <c r="D5502" s="35">
        <f>SUMIFS(D5503:D9015,K5503:K9015,"0",B5503:B9015,"5 1 2 1 1 12 31111 6 M59 98000 000181*")-SUMIFS(E5503:E9015,K5503:K9015,"0",B5503:B9015,"5 1 2 1 1 12 31111 6 M59 98000 000181*")</f>
        <v>0</v>
      </c>
      <c r="E5502"/>
      <c r="F5502" s="35">
        <f>SUMIFS(F5503:F9015,K5503:K9015,"0",B5503:B9015,"5 1 2 1 1 12 31111 6 M59 98000 000181*")</f>
        <v>250</v>
      </c>
      <c r="G5502" s="35">
        <f>SUMIFS(G5503:G9015,K5503:K9015,"0",B5503:B9015,"5 1 2 1 1 12 31111 6 M59 98000 000181*")</f>
        <v>0</v>
      </c>
      <c r="H5502" s="35">
        <f t="shared" si="86"/>
        <v>250</v>
      </c>
      <c r="I5502" s="35"/>
      <c r="K5502" t="s">
        <v>15</v>
      </c>
    </row>
    <row r="5503" spans="2:11" ht="16.5" x14ac:dyDescent="0.2">
      <c r="B5503" s="33" t="s">
        <v>6468</v>
      </c>
      <c r="C5503" s="33" t="s">
        <v>650</v>
      </c>
      <c r="D5503" s="35">
        <f>SUMIFS(D5504:D9015,K5504:K9015,"0",B5504:B9015,"5 1 2 1 1 12 31111 6 M59 98000 000181 0000R*")-SUMIFS(E5504:E9015,K5504:K9015,"0",B5504:B9015,"5 1 2 1 1 12 31111 6 M59 98000 000181 0000R*")</f>
        <v>0</v>
      </c>
      <c r="E5503"/>
      <c r="F5503" s="35">
        <f>SUMIFS(F5504:F9015,K5504:K9015,"0",B5504:B9015,"5 1 2 1 1 12 31111 6 M59 98000 000181 0000R*")</f>
        <v>250</v>
      </c>
      <c r="G5503" s="35">
        <f>SUMIFS(G5504:G9015,K5504:K9015,"0",B5504:B9015,"5 1 2 1 1 12 31111 6 M59 98000 000181 0000R*")</f>
        <v>0</v>
      </c>
      <c r="H5503" s="35">
        <f t="shared" si="86"/>
        <v>250</v>
      </c>
      <c r="I5503" s="35"/>
      <c r="K5503" t="s">
        <v>15</v>
      </c>
    </row>
    <row r="5504" spans="2:11" ht="24.75" x14ac:dyDescent="0.2">
      <c r="B5504" s="33" t="s">
        <v>6469</v>
      </c>
      <c r="C5504" s="33" t="s">
        <v>282</v>
      </c>
      <c r="D5504" s="35">
        <f>SUMIFS(D5505:D9015,K5505:K9015,"0",B5505:B9015,"5 1 2 1 1 12 31111 6 M59 98000 000181 0000R 00001*")-SUMIFS(E5505:E9015,K5505:K9015,"0",B5505:B9015,"5 1 2 1 1 12 31111 6 M59 98000 000181 0000R 00001*")</f>
        <v>0</v>
      </c>
      <c r="E5504"/>
      <c r="F5504" s="35">
        <f>SUMIFS(F5505:F9015,K5505:K9015,"0",B5505:B9015,"5 1 2 1 1 12 31111 6 M59 98000 000181 0000R 00001*")</f>
        <v>250</v>
      </c>
      <c r="G5504" s="35">
        <f>SUMIFS(G5505:G9015,K5505:K9015,"0",B5505:B9015,"5 1 2 1 1 12 31111 6 M59 98000 000181 0000R 00001*")</f>
        <v>0</v>
      </c>
      <c r="H5504" s="35">
        <f t="shared" si="86"/>
        <v>250</v>
      </c>
      <c r="I5504" s="35"/>
      <c r="K5504" t="s">
        <v>15</v>
      </c>
    </row>
    <row r="5505" spans="2:11" ht="24.75" x14ac:dyDescent="0.2">
      <c r="B5505" s="33" t="s">
        <v>6470</v>
      </c>
      <c r="C5505" s="33" t="s">
        <v>5827</v>
      </c>
      <c r="D5505" s="35">
        <f>SUMIFS(D5506:D9015,K5506:K9015,"0",B5506:B9015,"5 1 2 1 1 12 31111 6 M59 98000 000181 0000R 00001 00211*")-SUMIFS(E5506:E9015,K5506:K9015,"0",B5506:B9015,"5 1 2 1 1 12 31111 6 M59 98000 000181 0000R 00001 00211*")</f>
        <v>0</v>
      </c>
      <c r="E5505"/>
      <c r="F5505" s="35">
        <f>SUMIFS(F5506:F9015,K5506:K9015,"0",B5506:B9015,"5 1 2 1 1 12 31111 6 M59 98000 000181 0000R 00001 00211*")</f>
        <v>250</v>
      </c>
      <c r="G5505" s="35">
        <f>SUMIFS(G5506:G9015,K5506:K9015,"0",B5506:B9015,"5 1 2 1 1 12 31111 6 M59 98000 000181 0000R 00001 00211*")</f>
        <v>0</v>
      </c>
      <c r="H5505" s="35">
        <f t="shared" si="86"/>
        <v>250</v>
      </c>
      <c r="I5505" s="35"/>
      <c r="K5505" t="s">
        <v>15</v>
      </c>
    </row>
    <row r="5506" spans="2:11" ht="24.75" x14ac:dyDescent="0.2">
      <c r="B5506" s="33" t="s">
        <v>6471</v>
      </c>
      <c r="C5506" s="33" t="s">
        <v>1051</v>
      </c>
      <c r="D5506" s="35">
        <f>SUMIFS(D5507:D9015,K5507:K9015,"0",B5507:B9015,"5 1 2 1 1 12 31111 6 M59 98000 000181 0000R 00001 00211 015*")-SUMIFS(E5507:E9015,K5507:K9015,"0",B5507:B9015,"5 1 2 1 1 12 31111 6 M59 98000 000181 0000R 00001 00211 015*")</f>
        <v>0</v>
      </c>
      <c r="E5506"/>
      <c r="F5506" s="35">
        <f>SUMIFS(F5507:F9015,K5507:K9015,"0",B5507:B9015,"5 1 2 1 1 12 31111 6 M59 98000 000181 0000R 00001 00211 015*")</f>
        <v>250</v>
      </c>
      <c r="G5506" s="35">
        <f>SUMIFS(G5507:G9015,K5507:K9015,"0",B5507:B9015,"5 1 2 1 1 12 31111 6 M59 98000 000181 0000R 00001 00211 015*")</f>
        <v>0</v>
      </c>
      <c r="H5506" s="35">
        <f t="shared" si="86"/>
        <v>250</v>
      </c>
      <c r="I5506" s="35"/>
      <c r="K5506" t="s">
        <v>15</v>
      </c>
    </row>
    <row r="5507" spans="2:11" ht="33" x14ac:dyDescent="0.2">
      <c r="B5507" s="33" t="s">
        <v>6472</v>
      </c>
      <c r="C5507" s="33" t="s">
        <v>5830</v>
      </c>
      <c r="D5507" s="35">
        <f>SUMIFS(D5508:D9015,K5508:K9015,"0",B5508:B9015,"5 1 2 1 1 12 31111 6 M59 98000 000181 0000R 00001 00211 015 2112000*")-SUMIFS(E5508:E9015,K5508:K9015,"0",B5508:B9015,"5 1 2 1 1 12 31111 6 M59 98000 000181 0000R 00001 00211 015 2112000*")</f>
        <v>0</v>
      </c>
      <c r="E5507"/>
      <c r="F5507" s="35">
        <f>SUMIFS(F5508:F9015,K5508:K9015,"0",B5508:B9015,"5 1 2 1 1 12 31111 6 M59 98000 000181 0000R 00001 00211 015 2112000*")</f>
        <v>250</v>
      </c>
      <c r="G5507" s="35">
        <f>SUMIFS(G5508:G9015,K5508:K9015,"0",B5508:B9015,"5 1 2 1 1 12 31111 6 M59 98000 000181 0000R 00001 00211 015 2112000*")</f>
        <v>0</v>
      </c>
      <c r="H5507" s="35">
        <f t="shared" si="86"/>
        <v>250</v>
      </c>
      <c r="I5507" s="35"/>
      <c r="K5507" t="s">
        <v>15</v>
      </c>
    </row>
    <row r="5508" spans="2:11" ht="33" x14ac:dyDescent="0.2">
      <c r="B5508" s="33" t="s">
        <v>6473</v>
      </c>
      <c r="C5508" s="33" t="s">
        <v>660</v>
      </c>
      <c r="D5508" s="35">
        <f>SUMIFS(D5509:D9015,K5509:K9015,"0",B5509:B9015,"5 1 2 1 1 12 31111 6 M59 98000 000181 0000R 00001 00211 015 2112000 2024*")-SUMIFS(E5509:E9015,K5509:K9015,"0",B5509:B9015,"5 1 2 1 1 12 31111 6 M59 98000 000181 0000R 00001 00211 015 2112000 2024*")</f>
        <v>0</v>
      </c>
      <c r="E5508"/>
      <c r="F5508" s="35">
        <f>SUMIFS(F5509:F9015,K5509:K9015,"0",B5509:B9015,"5 1 2 1 1 12 31111 6 M59 98000 000181 0000R 00001 00211 015 2112000 2024*")</f>
        <v>250</v>
      </c>
      <c r="G5508" s="35">
        <f>SUMIFS(G5509:G9015,K5509:K9015,"0",B5509:B9015,"5 1 2 1 1 12 31111 6 M59 98000 000181 0000R 00001 00211 015 2112000 2024*")</f>
        <v>0</v>
      </c>
      <c r="H5508" s="35">
        <f t="shared" ref="H5508:H5571" si="87">D5508 + F5508 - G5508</f>
        <v>250</v>
      </c>
      <c r="I5508" s="35"/>
      <c r="K5508" t="s">
        <v>15</v>
      </c>
    </row>
    <row r="5509" spans="2:11" ht="41.25" x14ac:dyDescent="0.2">
      <c r="B5509" s="33" t="s">
        <v>6474</v>
      </c>
      <c r="C5509" s="33" t="s">
        <v>3495</v>
      </c>
      <c r="D5509" s="35">
        <f>SUMIFS(D5510:D9015,K5510:K9015,"0",B5510:B9015,"5 1 2 1 1 12 31111 6 M59 98000 000181 0000R 00001 00211 015 2112000 2024 CP1RH392*")-SUMIFS(E5510:E9015,K5510:K9015,"0",B5510:B9015,"5 1 2 1 1 12 31111 6 M59 98000 000181 0000R 00001 00211 015 2112000 2024 CP1RH392*")</f>
        <v>0</v>
      </c>
      <c r="E5509"/>
      <c r="F5509" s="35">
        <f>SUMIFS(F5510:F9015,K5510:K9015,"0",B5510:B9015,"5 1 2 1 1 12 31111 6 M59 98000 000181 0000R 00001 00211 015 2112000 2024 CP1RH392*")</f>
        <v>250</v>
      </c>
      <c r="G5509" s="35">
        <f>SUMIFS(G5510:G9015,K5510:K9015,"0",B5510:B9015,"5 1 2 1 1 12 31111 6 M59 98000 000181 0000R 00001 00211 015 2112000 2024 CP1RH392*")</f>
        <v>0</v>
      </c>
      <c r="H5509" s="35">
        <f t="shared" si="87"/>
        <v>250</v>
      </c>
      <c r="I5509" s="35"/>
      <c r="K5509" t="s">
        <v>15</v>
      </c>
    </row>
    <row r="5510" spans="2:11" ht="41.25" x14ac:dyDescent="0.2">
      <c r="B5510" s="33" t="s">
        <v>6475</v>
      </c>
      <c r="C5510" s="33" t="s">
        <v>282</v>
      </c>
      <c r="D5510" s="35">
        <f>SUMIFS(D5511:D9015,K5511:K9015,"0",B5511:B9015,"5 1 2 1 1 12 31111 6 M59 98000 000181 0000R 00001 00211 015 2112000 2024 CP1RH392 001*")-SUMIFS(E5511:E9015,K5511:K9015,"0",B5511:B9015,"5 1 2 1 1 12 31111 6 M59 98000 000181 0000R 00001 00211 015 2112000 2024 CP1RH392 001*")</f>
        <v>0</v>
      </c>
      <c r="E5510"/>
      <c r="F5510" s="35">
        <f>SUMIFS(F5511:F9015,K5511:K9015,"0",B5511:B9015,"5 1 2 1 1 12 31111 6 M59 98000 000181 0000R 00001 00211 015 2112000 2024 CP1RH392 001*")</f>
        <v>250</v>
      </c>
      <c r="G5510" s="35">
        <f>SUMIFS(G5511:G9015,K5511:K9015,"0",B5511:B9015,"5 1 2 1 1 12 31111 6 M59 98000 000181 0000R 00001 00211 015 2112000 2024 CP1RH392 001*")</f>
        <v>0</v>
      </c>
      <c r="H5510" s="35">
        <f t="shared" si="87"/>
        <v>250</v>
      </c>
      <c r="I5510" s="35"/>
      <c r="K5510" t="s">
        <v>15</v>
      </c>
    </row>
    <row r="5511" spans="2:11" ht="33" x14ac:dyDescent="0.2">
      <c r="B5511" s="31" t="s">
        <v>6476</v>
      </c>
      <c r="C5511" s="31" t="s">
        <v>5817</v>
      </c>
      <c r="D5511" s="34">
        <v>0</v>
      </c>
      <c r="E5511" s="34"/>
      <c r="F5511" s="34">
        <v>250</v>
      </c>
      <c r="G5511" s="34">
        <v>0</v>
      </c>
      <c r="H5511" s="34">
        <f t="shared" si="87"/>
        <v>250</v>
      </c>
      <c r="I5511" s="34"/>
      <c r="K5511" t="s">
        <v>38</v>
      </c>
    </row>
    <row r="5512" spans="2:11" ht="16.5" x14ac:dyDescent="0.2">
      <c r="B5512" s="33" t="s">
        <v>6477</v>
      </c>
      <c r="C5512" s="33" t="s">
        <v>3754</v>
      </c>
      <c r="D5512" s="35">
        <f>SUMIFS(D5513:D9015,K5513:K9015,"0",B5513:B9015,"5 1 2 1 1 12 31111 6 M59 99000*")-SUMIFS(E5513:E9015,K5513:K9015,"0",B5513:B9015,"5 1 2 1 1 12 31111 6 M59 99000*")</f>
        <v>0</v>
      </c>
      <c r="E5512"/>
      <c r="F5512" s="35">
        <f>SUMIFS(F5513:F9015,K5513:K9015,"0",B5513:B9015,"5 1 2 1 1 12 31111 6 M59 99000*")</f>
        <v>996.44</v>
      </c>
      <c r="G5512" s="35">
        <f>SUMIFS(G5513:G9015,K5513:K9015,"0",B5513:B9015,"5 1 2 1 1 12 31111 6 M59 99000*")</f>
        <v>0</v>
      </c>
      <c r="H5512" s="35">
        <f t="shared" si="87"/>
        <v>996.44</v>
      </c>
      <c r="I5512" s="35"/>
      <c r="K5512" t="s">
        <v>15</v>
      </c>
    </row>
    <row r="5513" spans="2:11" ht="16.5" x14ac:dyDescent="0.2">
      <c r="B5513" s="33" t="s">
        <v>6478</v>
      </c>
      <c r="C5513" s="33" t="s">
        <v>648</v>
      </c>
      <c r="D5513" s="35">
        <f>SUMIFS(D5514:D9015,K5514:K9015,"0",B5514:B9015,"5 1 2 1 1 12 31111 6 M59 99000 000132*")-SUMIFS(E5514:E9015,K5514:K9015,"0",B5514:B9015,"5 1 2 1 1 12 31111 6 M59 99000 000132*")</f>
        <v>0</v>
      </c>
      <c r="E5513"/>
      <c r="F5513" s="35">
        <f>SUMIFS(F5514:F9015,K5514:K9015,"0",B5514:B9015,"5 1 2 1 1 12 31111 6 M59 99000 000132*")</f>
        <v>996.44</v>
      </c>
      <c r="G5513" s="35">
        <f>SUMIFS(G5514:G9015,K5514:K9015,"0",B5514:B9015,"5 1 2 1 1 12 31111 6 M59 99000 000132*")</f>
        <v>0</v>
      </c>
      <c r="H5513" s="35">
        <f t="shared" si="87"/>
        <v>996.44</v>
      </c>
      <c r="I5513" s="35"/>
      <c r="K5513" t="s">
        <v>15</v>
      </c>
    </row>
    <row r="5514" spans="2:11" ht="16.5" x14ac:dyDescent="0.2">
      <c r="B5514" s="33" t="s">
        <v>6479</v>
      </c>
      <c r="C5514" s="33" t="s">
        <v>650</v>
      </c>
      <c r="D5514" s="35">
        <f>SUMIFS(D5515:D9015,K5515:K9015,"0",B5515:B9015,"5 1 2 1 1 12 31111 6 M59 99000 000132 0000R*")-SUMIFS(E5515:E9015,K5515:K9015,"0",B5515:B9015,"5 1 2 1 1 12 31111 6 M59 99000 000132 0000R*")</f>
        <v>0</v>
      </c>
      <c r="E5514"/>
      <c r="F5514" s="35">
        <f>SUMIFS(F5515:F9015,K5515:K9015,"0",B5515:B9015,"5 1 2 1 1 12 31111 6 M59 99000 000132 0000R*")</f>
        <v>996.44</v>
      </c>
      <c r="G5514" s="35">
        <f>SUMIFS(G5515:G9015,K5515:K9015,"0",B5515:B9015,"5 1 2 1 1 12 31111 6 M59 99000 000132 0000R*")</f>
        <v>0</v>
      </c>
      <c r="H5514" s="35">
        <f t="shared" si="87"/>
        <v>996.44</v>
      </c>
      <c r="I5514" s="35"/>
      <c r="K5514" t="s">
        <v>15</v>
      </c>
    </row>
    <row r="5515" spans="2:11" ht="24.75" x14ac:dyDescent="0.2">
      <c r="B5515" s="33" t="s">
        <v>6480</v>
      </c>
      <c r="C5515" s="33" t="s">
        <v>282</v>
      </c>
      <c r="D5515" s="35">
        <f>SUMIFS(D5516:D9015,K5516:K9015,"0",B5516:B9015,"5 1 2 1 1 12 31111 6 M59 99000 000132 0000R 00001*")-SUMIFS(E5516:E9015,K5516:K9015,"0",B5516:B9015,"5 1 2 1 1 12 31111 6 M59 99000 000132 0000R 00001*")</f>
        <v>0</v>
      </c>
      <c r="E5515"/>
      <c r="F5515" s="35">
        <f>SUMIFS(F5516:F9015,K5516:K9015,"0",B5516:B9015,"5 1 2 1 1 12 31111 6 M59 99000 000132 0000R 00001*")</f>
        <v>996.44</v>
      </c>
      <c r="G5515" s="35">
        <f>SUMIFS(G5516:G9015,K5516:K9015,"0",B5516:B9015,"5 1 2 1 1 12 31111 6 M59 99000 000132 0000R 00001*")</f>
        <v>0</v>
      </c>
      <c r="H5515" s="35">
        <f t="shared" si="87"/>
        <v>996.44</v>
      </c>
      <c r="I5515" s="35"/>
      <c r="K5515" t="s">
        <v>15</v>
      </c>
    </row>
    <row r="5516" spans="2:11" ht="24.75" x14ac:dyDescent="0.2">
      <c r="B5516" s="33" t="s">
        <v>6481</v>
      </c>
      <c r="C5516" s="33" t="s">
        <v>5827</v>
      </c>
      <c r="D5516" s="35">
        <f>SUMIFS(D5517:D9015,K5517:K9015,"0",B5517:B9015,"5 1 2 1 1 12 31111 6 M59 99000 000132 0000R 00001 00211*")-SUMIFS(E5517:E9015,K5517:K9015,"0",B5517:B9015,"5 1 2 1 1 12 31111 6 M59 99000 000132 0000R 00001 00211*")</f>
        <v>0</v>
      </c>
      <c r="E5516"/>
      <c r="F5516" s="35">
        <f>SUMIFS(F5517:F9015,K5517:K9015,"0",B5517:B9015,"5 1 2 1 1 12 31111 6 M59 99000 000132 0000R 00001 00211*")</f>
        <v>996.44</v>
      </c>
      <c r="G5516" s="35">
        <f>SUMIFS(G5517:G9015,K5517:K9015,"0",B5517:B9015,"5 1 2 1 1 12 31111 6 M59 99000 000132 0000R 00001 00211*")</f>
        <v>0</v>
      </c>
      <c r="H5516" s="35">
        <f t="shared" si="87"/>
        <v>996.44</v>
      </c>
      <c r="I5516" s="35"/>
      <c r="K5516" t="s">
        <v>15</v>
      </c>
    </row>
    <row r="5517" spans="2:11" ht="24.75" x14ac:dyDescent="0.2">
      <c r="B5517" s="33" t="s">
        <v>6482</v>
      </c>
      <c r="C5517" s="33" t="s">
        <v>1051</v>
      </c>
      <c r="D5517" s="35">
        <f>SUMIFS(D5518:D9015,K5518:K9015,"0",B5518:B9015,"5 1 2 1 1 12 31111 6 M59 99000 000132 0000R 00001 00211 015*")-SUMIFS(E5518:E9015,K5518:K9015,"0",B5518:B9015,"5 1 2 1 1 12 31111 6 M59 99000 000132 0000R 00001 00211 015*")</f>
        <v>0</v>
      </c>
      <c r="E5517"/>
      <c r="F5517" s="35">
        <f>SUMIFS(F5518:F9015,K5518:K9015,"0",B5518:B9015,"5 1 2 1 1 12 31111 6 M59 99000 000132 0000R 00001 00211 015*")</f>
        <v>996.44</v>
      </c>
      <c r="G5517" s="35">
        <f>SUMIFS(G5518:G9015,K5518:K9015,"0",B5518:B9015,"5 1 2 1 1 12 31111 6 M59 99000 000132 0000R 00001 00211 015*")</f>
        <v>0</v>
      </c>
      <c r="H5517" s="35">
        <f t="shared" si="87"/>
        <v>996.44</v>
      </c>
      <c r="I5517" s="35"/>
      <c r="K5517" t="s">
        <v>15</v>
      </c>
    </row>
    <row r="5518" spans="2:11" ht="33" x14ac:dyDescent="0.2">
      <c r="B5518" s="33" t="s">
        <v>6483</v>
      </c>
      <c r="C5518" s="33" t="s">
        <v>5830</v>
      </c>
      <c r="D5518" s="35">
        <f>SUMIFS(D5519:D9015,K5519:K9015,"0",B5519:B9015,"5 1 2 1 1 12 31111 6 M59 99000 000132 0000R 00001 00211 015 2112000*")-SUMIFS(E5519:E9015,K5519:K9015,"0",B5519:B9015,"5 1 2 1 1 12 31111 6 M59 99000 000132 0000R 00001 00211 015 2112000*")</f>
        <v>0</v>
      </c>
      <c r="E5518"/>
      <c r="F5518" s="35">
        <f>SUMIFS(F5519:F9015,K5519:K9015,"0",B5519:B9015,"5 1 2 1 1 12 31111 6 M59 99000 000132 0000R 00001 00211 015 2112000*")</f>
        <v>996.44</v>
      </c>
      <c r="G5518" s="35">
        <f>SUMIFS(G5519:G9015,K5519:K9015,"0",B5519:B9015,"5 1 2 1 1 12 31111 6 M59 99000 000132 0000R 00001 00211 015 2112000*")</f>
        <v>0</v>
      </c>
      <c r="H5518" s="35">
        <f t="shared" si="87"/>
        <v>996.44</v>
      </c>
      <c r="I5518" s="35"/>
      <c r="K5518" t="s">
        <v>15</v>
      </c>
    </row>
    <row r="5519" spans="2:11" ht="33" x14ac:dyDescent="0.2">
      <c r="B5519" s="33" t="s">
        <v>6484</v>
      </c>
      <c r="C5519" s="33" t="s">
        <v>660</v>
      </c>
      <c r="D5519" s="35">
        <f>SUMIFS(D5520:D9015,K5520:K9015,"0",B5520:B9015,"5 1 2 1 1 12 31111 6 M59 99000 000132 0000R 00001 00211 015 2112000 2024*")-SUMIFS(E5520:E9015,K5520:K9015,"0",B5520:B9015,"5 1 2 1 1 12 31111 6 M59 99000 000132 0000R 00001 00211 015 2112000 2024*")</f>
        <v>0</v>
      </c>
      <c r="E5519"/>
      <c r="F5519" s="35">
        <f>SUMIFS(F5520:F9015,K5520:K9015,"0",B5520:B9015,"5 1 2 1 1 12 31111 6 M59 99000 000132 0000R 00001 00211 015 2112000 2024*")</f>
        <v>996.44</v>
      </c>
      <c r="G5519" s="35">
        <f>SUMIFS(G5520:G9015,K5520:K9015,"0",B5520:B9015,"5 1 2 1 1 12 31111 6 M59 99000 000132 0000R 00001 00211 015 2112000 2024*")</f>
        <v>0</v>
      </c>
      <c r="H5519" s="35">
        <f t="shared" si="87"/>
        <v>996.44</v>
      </c>
      <c r="I5519" s="35"/>
      <c r="K5519" t="s">
        <v>15</v>
      </c>
    </row>
    <row r="5520" spans="2:11" ht="41.25" x14ac:dyDescent="0.2">
      <c r="B5520" s="33" t="s">
        <v>6485</v>
      </c>
      <c r="C5520" s="33" t="s">
        <v>1056</v>
      </c>
      <c r="D5520" s="35">
        <f>SUMIFS(D5521:D9015,K5521:K9015,"0",B5521:B9015,"5 1 2 1 1 12 31111 6 M59 99000 000132 0000R 00001 00211 015 2112000 2024 CP1MG408*")-SUMIFS(E5521:E9015,K5521:K9015,"0",B5521:B9015,"5 1 2 1 1 12 31111 6 M59 99000 000132 0000R 00001 00211 015 2112000 2024 CP1MG408*")</f>
        <v>0</v>
      </c>
      <c r="E5520"/>
      <c r="F5520" s="35">
        <f>SUMIFS(F5521:F9015,K5521:K9015,"0",B5521:B9015,"5 1 2 1 1 12 31111 6 M59 99000 000132 0000R 00001 00211 015 2112000 2024 CP1MG408*")</f>
        <v>996.44</v>
      </c>
      <c r="G5520" s="35">
        <f>SUMIFS(G5521:G9015,K5521:K9015,"0",B5521:B9015,"5 1 2 1 1 12 31111 6 M59 99000 000132 0000R 00001 00211 015 2112000 2024 CP1MG408*")</f>
        <v>0</v>
      </c>
      <c r="H5520" s="35">
        <f t="shared" si="87"/>
        <v>996.44</v>
      </c>
      <c r="I5520" s="35"/>
      <c r="K5520" t="s">
        <v>15</v>
      </c>
    </row>
    <row r="5521" spans="2:11" ht="41.25" x14ac:dyDescent="0.2">
      <c r="B5521" s="33" t="s">
        <v>6486</v>
      </c>
      <c r="C5521" s="33" t="s">
        <v>282</v>
      </c>
      <c r="D5521" s="35">
        <f>SUMIFS(D5522:D9015,K5522:K9015,"0",B5522:B9015,"5 1 2 1 1 12 31111 6 M59 99000 000132 0000R 00001 00211 015 2112000 2024 CP1MG408 001*")-SUMIFS(E5522:E9015,K5522:K9015,"0",B5522:B9015,"5 1 2 1 1 12 31111 6 M59 99000 000132 0000R 00001 00211 015 2112000 2024 CP1MG408 001*")</f>
        <v>0</v>
      </c>
      <c r="E5521"/>
      <c r="F5521" s="35">
        <f>SUMIFS(F5522:F9015,K5522:K9015,"0",B5522:B9015,"5 1 2 1 1 12 31111 6 M59 99000 000132 0000R 00001 00211 015 2112000 2024 CP1MG408 001*")</f>
        <v>996.44</v>
      </c>
      <c r="G5521" s="35">
        <f>SUMIFS(G5522:G9015,K5522:K9015,"0",B5522:B9015,"5 1 2 1 1 12 31111 6 M59 99000 000132 0000R 00001 00211 015 2112000 2024 CP1MG408 001*")</f>
        <v>0</v>
      </c>
      <c r="H5521" s="35">
        <f t="shared" si="87"/>
        <v>996.44</v>
      </c>
      <c r="I5521" s="35"/>
      <c r="K5521" t="s">
        <v>15</v>
      </c>
    </row>
    <row r="5522" spans="2:11" ht="41.25" x14ac:dyDescent="0.2">
      <c r="B5522" s="31" t="s">
        <v>6487</v>
      </c>
      <c r="C5522" s="31" t="s">
        <v>5817</v>
      </c>
      <c r="D5522" s="34">
        <v>0</v>
      </c>
      <c r="E5522" s="34"/>
      <c r="F5522" s="34">
        <v>996.44</v>
      </c>
      <c r="G5522" s="34">
        <v>0</v>
      </c>
      <c r="H5522" s="34">
        <f t="shared" si="87"/>
        <v>996.44</v>
      </c>
      <c r="I5522" s="34"/>
      <c r="K5522" t="s">
        <v>38</v>
      </c>
    </row>
    <row r="5523" spans="2:11" ht="16.5" x14ac:dyDescent="0.2">
      <c r="B5523" s="33" t="s">
        <v>6488</v>
      </c>
      <c r="C5523" s="33" t="s">
        <v>6489</v>
      </c>
      <c r="D5523" s="35">
        <f>SUMIFS(D5524:D9015,K5524:K9015,"0",B5524:B9015,"5 1 2 1 2*")-SUMIFS(E5524:E9015,K5524:K9015,"0",B5524:B9015,"5 1 2 1 2*")</f>
        <v>0</v>
      </c>
      <c r="E5523"/>
      <c r="F5523" s="35">
        <f>SUMIFS(F5524:F9015,K5524:K9015,"0",B5524:B9015,"5 1 2 1 2*")</f>
        <v>953892.34000000008</v>
      </c>
      <c r="G5523" s="35">
        <f>SUMIFS(G5524:G9015,K5524:K9015,"0",B5524:B9015,"5 1 2 1 2*")</f>
        <v>0</v>
      </c>
      <c r="H5523" s="35">
        <f t="shared" si="87"/>
        <v>953892.34000000008</v>
      </c>
      <c r="I5523" s="35"/>
      <c r="K5523" t="s">
        <v>15</v>
      </c>
    </row>
    <row r="5524" spans="2:11" ht="12.75" x14ac:dyDescent="0.2">
      <c r="B5524" s="33" t="s">
        <v>6490</v>
      </c>
      <c r="C5524" s="33" t="s">
        <v>26</v>
      </c>
      <c r="D5524" s="35">
        <f>SUMIFS(D5525:D9015,K5525:K9015,"0",B5525:B9015,"5 1 2 1 2 12*")-SUMIFS(E5525:E9015,K5525:K9015,"0",B5525:B9015,"5 1 2 1 2 12*")</f>
        <v>0</v>
      </c>
      <c r="E5524"/>
      <c r="F5524" s="35">
        <f>SUMIFS(F5525:F9015,K5525:K9015,"0",B5525:B9015,"5 1 2 1 2 12*")</f>
        <v>953892.34000000008</v>
      </c>
      <c r="G5524" s="35">
        <f>SUMIFS(G5525:G9015,K5525:K9015,"0",B5525:B9015,"5 1 2 1 2 12*")</f>
        <v>0</v>
      </c>
      <c r="H5524" s="35">
        <f t="shared" si="87"/>
        <v>953892.34000000008</v>
      </c>
      <c r="I5524" s="35"/>
      <c r="K5524" t="s">
        <v>15</v>
      </c>
    </row>
    <row r="5525" spans="2:11" ht="16.5" x14ac:dyDescent="0.2">
      <c r="B5525" s="33" t="s">
        <v>6491</v>
      </c>
      <c r="C5525" s="33" t="s">
        <v>28</v>
      </c>
      <c r="D5525" s="35">
        <f>SUMIFS(D5526:D9015,K5526:K9015,"0",B5526:B9015,"5 1 2 1 2 12 31111*")-SUMIFS(E5526:E9015,K5526:K9015,"0",B5526:B9015,"5 1 2 1 2 12 31111*")</f>
        <v>0</v>
      </c>
      <c r="E5525"/>
      <c r="F5525" s="35">
        <f>SUMIFS(F5526:F9015,K5526:K9015,"0",B5526:B9015,"5 1 2 1 2 12 31111*")</f>
        <v>953892.34000000008</v>
      </c>
      <c r="G5525" s="35">
        <f>SUMIFS(G5526:G9015,K5526:K9015,"0",B5526:B9015,"5 1 2 1 2 12 31111*")</f>
        <v>0</v>
      </c>
      <c r="H5525" s="35">
        <f t="shared" si="87"/>
        <v>953892.34000000008</v>
      </c>
      <c r="I5525" s="35"/>
      <c r="K5525" t="s">
        <v>15</v>
      </c>
    </row>
    <row r="5526" spans="2:11" ht="12.75" x14ac:dyDescent="0.2">
      <c r="B5526" s="33" t="s">
        <v>6492</v>
      </c>
      <c r="C5526" s="33" t="s">
        <v>30</v>
      </c>
      <c r="D5526" s="35">
        <f>SUMIFS(D5527:D9015,K5527:K9015,"0",B5527:B9015,"5 1 2 1 2 12 31111 6*")-SUMIFS(E5527:E9015,K5527:K9015,"0",B5527:B9015,"5 1 2 1 2 12 31111 6*")</f>
        <v>0</v>
      </c>
      <c r="E5526"/>
      <c r="F5526" s="35">
        <f>SUMIFS(F5527:F9015,K5527:K9015,"0",B5527:B9015,"5 1 2 1 2 12 31111 6*")</f>
        <v>953892.34000000008</v>
      </c>
      <c r="G5526" s="35">
        <f>SUMIFS(G5527:G9015,K5527:K9015,"0",B5527:B9015,"5 1 2 1 2 12 31111 6*")</f>
        <v>0</v>
      </c>
      <c r="H5526" s="35">
        <f t="shared" si="87"/>
        <v>953892.34000000008</v>
      </c>
      <c r="I5526" s="35"/>
      <c r="K5526" t="s">
        <v>15</v>
      </c>
    </row>
    <row r="5527" spans="2:11" ht="16.5" x14ac:dyDescent="0.2">
      <c r="B5527" s="33" t="s">
        <v>6493</v>
      </c>
      <c r="C5527" s="33" t="s">
        <v>2284</v>
      </c>
      <c r="D5527" s="35">
        <f>SUMIFS(D5528:D9015,K5528:K9015,"0",B5528:B9015,"5 1 2 1 2 12 31111 6 M59*")-SUMIFS(E5528:E9015,K5528:K9015,"0",B5528:B9015,"5 1 2 1 2 12 31111 6 M59*")</f>
        <v>0</v>
      </c>
      <c r="E5527"/>
      <c r="F5527" s="35">
        <f>SUMIFS(F5528:F9015,K5528:K9015,"0",B5528:B9015,"5 1 2 1 2 12 31111 6 M59*")</f>
        <v>953892.34000000008</v>
      </c>
      <c r="G5527" s="35">
        <f>SUMIFS(G5528:G9015,K5528:K9015,"0",B5528:B9015,"5 1 2 1 2 12 31111 6 M59*")</f>
        <v>0</v>
      </c>
      <c r="H5527" s="35">
        <f t="shared" si="87"/>
        <v>953892.34000000008</v>
      </c>
      <c r="I5527" s="35"/>
      <c r="K5527" t="s">
        <v>15</v>
      </c>
    </row>
    <row r="5528" spans="2:11" ht="16.5" x14ac:dyDescent="0.2">
      <c r="B5528" s="33" t="s">
        <v>6494</v>
      </c>
      <c r="C5528" s="33" t="s">
        <v>1044</v>
      </c>
      <c r="D5528" s="35">
        <f>SUMIFS(D5529:D9015,K5529:K9015,"0",B5529:B9015,"5 1 2 1 2 12 31111 6 M59 19000*")-SUMIFS(E5529:E9015,K5529:K9015,"0",B5529:B9015,"5 1 2 1 2 12 31111 6 M59 19000*")</f>
        <v>0</v>
      </c>
      <c r="E5528"/>
      <c r="F5528" s="35">
        <f>SUMIFS(F5529:F9015,K5529:K9015,"0",B5529:B9015,"5 1 2 1 2 12 31111 6 M59 19000*")</f>
        <v>485850</v>
      </c>
      <c r="G5528" s="35">
        <f>SUMIFS(G5529:G9015,K5529:K9015,"0",B5529:B9015,"5 1 2 1 2 12 31111 6 M59 19000*")</f>
        <v>0</v>
      </c>
      <c r="H5528" s="35">
        <f t="shared" si="87"/>
        <v>485850</v>
      </c>
      <c r="I5528" s="35"/>
      <c r="K5528" t="s">
        <v>15</v>
      </c>
    </row>
    <row r="5529" spans="2:11" ht="16.5" x14ac:dyDescent="0.2">
      <c r="B5529" s="33" t="s">
        <v>6495</v>
      </c>
      <c r="C5529" s="33" t="s">
        <v>648</v>
      </c>
      <c r="D5529" s="35">
        <f>SUMIFS(D5530:D9015,K5530:K9015,"0",B5530:B9015,"5 1 2 1 2 12 31111 6 M59 19000 000132*")-SUMIFS(E5530:E9015,K5530:K9015,"0",B5530:B9015,"5 1 2 1 2 12 31111 6 M59 19000 000132*")</f>
        <v>0</v>
      </c>
      <c r="E5529"/>
      <c r="F5529" s="35">
        <f>SUMIFS(F5530:F9015,K5530:K9015,"0",B5530:B9015,"5 1 2 1 2 12 31111 6 M59 19000 000132*")</f>
        <v>485850</v>
      </c>
      <c r="G5529" s="35">
        <f>SUMIFS(G5530:G9015,K5530:K9015,"0",B5530:B9015,"5 1 2 1 2 12 31111 6 M59 19000 000132*")</f>
        <v>0</v>
      </c>
      <c r="H5529" s="35">
        <f t="shared" si="87"/>
        <v>485850</v>
      </c>
      <c r="I5529" s="35"/>
      <c r="K5529" t="s">
        <v>15</v>
      </c>
    </row>
    <row r="5530" spans="2:11" ht="24.75" x14ac:dyDescent="0.2">
      <c r="B5530" s="33" t="s">
        <v>6496</v>
      </c>
      <c r="C5530" s="33" t="s">
        <v>650</v>
      </c>
      <c r="D5530" s="35">
        <f>SUMIFS(D5531:D9015,K5531:K9015,"0",B5531:B9015,"5 1 2 1 2 12 31111 6 M59 19000 000132 0000R*")-SUMIFS(E5531:E9015,K5531:K9015,"0",B5531:B9015,"5 1 2 1 2 12 31111 6 M59 19000 000132 0000R*")</f>
        <v>0</v>
      </c>
      <c r="E5530"/>
      <c r="F5530" s="35">
        <f>SUMIFS(F5531:F9015,K5531:K9015,"0",B5531:B9015,"5 1 2 1 2 12 31111 6 M59 19000 000132 0000R*")</f>
        <v>485850</v>
      </c>
      <c r="G5530" s="35">
        <f>SUMIFS(G5531:G9015,K5531:K9015,"0",B5531:B9015,"5 1 2 1 2 12 31111 6 M59 19000 000132 0000R*")</f>
        <v>0</v>
      </c>
      <c r="H5530" s="35">
        <f t="shared" si="87"/>
        <v>485850</v>
      </c>
      <c r="I5530" s="35"/>
      <c r="K5530" t="s">
        <v>15</v>
      </c>
    </row>
    <row r="5531" spans="2:11" ht="24.75" x14ac:dyDescent="0.2">
      <c r="B5531" s="33" t="s">
        <v>6497</v>
      </c>
      <c r="C5531" s="33" t="s">
        <v>282</v>
      </c>
      <c r="D5531" s="35">
        <f>SUMIFS(D5532:D9015,K5532:K9015,"0",B5532:B9015,"5 1 2 1 2 12 31111 6 M59 19000 000132 0000R 00001*")-SUMIFS(E5532:E9015,K5532:K9015,"0",B5532:B9015,"5 1 2 1 2 12 31111 6 M59 19000 000132 0000R 00001*")</f>
        <v>0</v>
      </c>
      <c r="E5531"/>
      <c r="F5531" s="35">
        <f>SUMIFS(F5532:F9015,K5532:K9015,"0",B5532:B9015,"5 1 2 1 2 12 31111 6 M59 19000 000132 0000R 00001*")</f>
        <v>485850</v>
      </c>
      <c r="G5531" s="35">
        <f>SUMIFS(G5532:G9015,K5532:K9015,"0",B5532:B9015,"5 1 2 1 2 12 31111 6 M59 19000 000132 0000R 00001*")</f>
        <v>0</v>
      </c>
      <c r="H5531" s="35">
        <f t="shared" si="87"/>
        <v>485850</v>
      </c>
      <c r="I5531" s="35"/>
      <c r="K5531" t="s">
        <v>15</v>
      </c>
    </row>
    <row r="5532" spans="2:11" ht="24.75" x14ac:dyDescent="0.2">
      <c r="B5532" s="33" t="s">
        <v>6498</v>
      </c>
      <c r="C5532" s="33" t="s">
        <v>6499</v>
      </c>
      <c r="D5532" s="35">
        <f>SUMIFS(D5533:D9015,K5533:K9015,"0",B5533:B9015,"5 1 2 1 2 12 31111 6 M59 19000 000132 0000R 00001 00212*")-SUMIFS(E5533:E9015,K5533:K9015,"0",B5533:B9015,"5 1 2 1 2 12 31111 6 M59 19000 000132 0000R 00001 00212*")</f>
        <v>0</v>
      </c>
      <c r="E5532"/>
      <c r="F5532" s="35">
        <f>SUMIFS(F5533:F9015,K5533:K9015,"0",B5533:B9015,"5 1 2 1 2 12 31111 6 M59 19000 000132 0000R 00001 00212*")</f>
        <v>485850</v>
      </c>
      <c r="G5532" s="35">
        <f>SUMIFS(G5533:G9015,K5533:K9015,"0",B5533:B9015,"5 1 2 1 2 12 31111 6 M59 19000 000132 0000R 00001 00212*")</f>
        <v>0</v>
      </c>
      <c r="H5532" s="35">
        <f t="shared" si="87"/>
        <v>485850</v>
      </c>
      <c r="I5532" s="35"/>
      <c r="K5532" t="s">
        <v>15</v>
      </c>
    </row>
    <row r="5533" spans="2:11" ht="33" x14ac:dyDescent="0.2">
      <c r="B5533" s="33" t="s">
        <v>6500</v>
      </c>
      <c r="C5533" s="33" t="s">
        <v>699</v>
      </c>
      <c r="D5533" s="35">
        <f>SUMIFS(D5534:D9015,K5534:K9015,"0",B5534:B9015,"5 1 2 1 2 12 31111 6 M59 19000 000132 0000R 00001 00212 011*")-SUMIFS(E5534:E9015,K5534:K9015,"0",B5534:B9015,"5 1 2 1 2 12 31111 6 M59 19000 000132 0000R 00001 00212 011*")</f>
        <v>0</v>
      </c>
      <c r="E5533"/>
      <c r="F5533" s="35">
        <f>SUMIFS(F5534:F9015,K5534:K9015,"0",B5534:B9015,"5 1 2 1 2 12 31111 6 M59 19000 000132 0000R 00001 00212 011*")</f>
        <v>450000</v>
      </c>
      <c r="G5533" s="35">
        <f>SUMIFS(G5534:G9015,K5534:K9015,"0",B5534:B9015,"5 1 2 1 2 12 31111 6 M59 19000 000132 0000R 00001 00212 011*")</f>
        <v>0</v>
      </c>
      <c r="H5533" s="35">
        <f t="shared" si="87"/>
        <v>450000</v>
      </c>
      <c r="I5533" s="35"/>
      <c r="K5533" t="s">
        <v>15</v>
      </c>
    </row>
    <row r="5534" spans="2:11" ht="33" x14ac:dyDescent="0.2">
      <c r="B5534" s="33" t="s">
        <v>6501</v>
      </c>
      <c r="C5534" s="33" t="s">
        <v>5830</v>
      </c>
      <c r="D5534" s="35">
        <f>SUMIFS(D5535:D9015,K5535:K9015,"0",B5535:B9015,"5 1 2 1 2 12 31111 6 M59 19000 000132 0000R 00001 00212 011 2112000*")-SUMIFS(E5535:E9015,K5535:K9015,"0",B5535:B9015,"5 1 2 1 2 12 31111 6 M59 19000 000132 0000R 00001 00212 011 2112000*")</f>
        <v>0</v>
      </c>
      <c r="E5534"/>
      <c r="F5534" s="35">
        <f>SUMIFS(F5535:F9015,K5535:K9015,"0",B5535:B9015,"5 1 2 1 2 12 31111 6 M59 19000 000132 0000R 00001 00212 011 2112000*")</f>
        <v>450000</v>
      </c>
      <c r="G5534" s="35">
        <f>SUMIFS(G5535:G9015,K5535:K9015,"0",B5535:B9015,"5 1 2 1 2 12 31111 6 M59 19000 000132 0000R 00001 00212 011 2112000*")</f>
        <v>0</v>
      </c>
      <c r="H5534" s="35">
        <f t="shared" si="87"/>
        <v>450000</v>
      </c>
      <c r="I5534" s="35"/>
      <c r="K5534" t="s">
        <v>15</v>
      </c>
    </row>
    <row r="5535" spans="2:11" ht="33" x14ac:dyDescent="0.2">
      <c r="B5535" s="33" t="s">
        <v>6502</v>
      </c>
      <c r="C5535" s="33" t="s">
        <v>660</v>
      </c>
      <c r="D5535" s="35">
        <f>SUMIFS(D5536:D9015,K5536:K9015,"0",B5536:B9015,"5 1 2 1 2 12 31111 6 M59 19000 000132 0000R 00001 00212 011 2112000 2024*")-SUMIFS(E5536:E9015,K5536:K9015,"0",B5536:B9015,"5 1 2 1 2 12 31111 6 M59 19000 000132 0000R 00001 00212 011 2112000 2024*")</f>
        <v>0</v>
      </c>
      <c r="E5535"/>
      <c r="F5535" s="35">
        <f>SUMIFS(F5536:F9015,K5536:K9015,"0",B5536:B9015,"5 1 2 1 2 12 31111 6 M59 19000 000132 0000R 00001 00212 011 2112000 2024*")</f>
        <v>450000</v>
      </c>
      <c r="G5535" s="35">
        <f>SUMIFS(G5536:G9015,K5536:K9015,"0",B5536:B9015,"5 1 2 1 2 12 31111 6 M59 19000 000132 0000R 00001 00212 011 2112000 2024*")</f>
        <v>0</v>
      </c>
      <c r="H5535" s="35">
        <f t="shared" si="87"/>
        <v>450000</v>
      </c>
      <c r="I5535" s="35"/>
      <c r="K5535" t="s">
        <v>15</v>
      </c>
    </row>
    <row r="5536" spans="2:11" ht="41.25" x14ac:dyDescent="0.2">
      <c r="B5536" s="33" t="s">
        <v>6503</v>
      </c>
      <c r="C5536" s="33" t="s">
        <v>662</v>
      </c>
      <c r="D5536" s="35">
        <f>SUMIFS(D5537:D9015,K5537:K9015,"0",B5537:B9015,"5 1 2 1 2 12 31111 6 M59 19000 000132 0000R 00001 00212 011 2112000 2024 CP1TM440*")-SUMIFS(E5537:E9015,K5537:K9015,"0",B5537:B9015,"5 1 2 1 2 12 31111 6 M59 19000 000132 0000R 00001 00212 011 2112000 2024 CP1TM440*")</f>
        <v>0</v>
      </c>
      <c r="E5536"/>
      <c r="F5536" s="35">
        <f>SUMIFS(F5537:F9015,K5537:K9015,"0",B5537:B9015,"5 1 2 1 2 12 31111 6 M59 19000 000132 0000R 00001 00212 011 2112000 2024 CP1TM440*")</f>
        <v>450000</v>
      </c>
      <c r="G5536" s="35">
        <f>SUMIFS(G5537:G9015,K5537:K9015,"0",B5537:B9015,"5 1 2 1 2 12 31111 6 M59 19000 000132 0000R 00001 00212 011 2112000 2024 CP1TM440*")</f>
        <v>0</v>
      </c>
      <c r="H5536" s="35">
        <f t="shared" si="87"/>
        <v>450000</v>
      </c>
      <c r="I5536" s="35"/>
      <c r="K5536" t="s">
        <v>15</v>
      </c>
    </row>
    <row r="5537" spans="2:11" ht="41.25" x14ac:dyDescent="0.2">
      <c r="B5537" s="33" t="s">
        <v>6504</v>
      </c>
      <c r="C5537" s="33" t="s">
        <v>46</v>
      </c>
      <c r="D5537" s="35">
        <f>SUMIFS(D5538:D9015,K5538:K9015,"0",B5538:B9015,"5 1 2 1 2 12 31111 6 M59 19000 000132 0000R 00001 00212 011 2112000 2024 CP1TM440 004*")-SUMIFS(E5538:E9015,K5538:K9015,"0",B5538:B9015,"5 1 2 1 2 12 31111 6 M59 19000 000132 0000R 00001 00212 011 2112000 2024 CP1TM440 004*")</f>
        <v>0</v>
      </c>
      <c r="E5537"/>
      <c r="F5537" s="35">
        <f>SUMIFS(F5538:F9015,K5538:K9015,"0",B5538:B9015,"5 1 2 1 2 12 31111 6 M59 19000 000132 0000R 00001 00212 011 2112000 2024 CP1TM440 004*")</f>
        <v>450000</v>
      </c>
      <c r="G5537" s="35">
        <f>SUMIFS(G5538:G9015,K5538:K9015,"0",B5538:B9015,"5 1 2 1 2 12 31111 6 M59 19000 000132 0000R 00001 00212 011 2112000 2024 CP1TM440 004*")</f>
        <v>0</v>
      </c>
      <c r="H5537" s="35">
        <f t="shared" si="87"/>
        <v>450000</v>
      </c>
      <c r="I5537" s="35"/>
      <c r="K5537" t="s">
        <v>15</v>
      </c>
    </row>
    <row r="5538" spans="2:11" ht="33" x14ac:dyDescent="0.2">
      <c r="B5538" s="31" t="s">
        <v>6505</v>
      </c>
      <c r="C5538" s="31" t="s">
        <v>6499</v>
      </c>
      <c r="D5538" s="34">
        <v>0</v>
      </c>
      <c r="E5538" s="34"/>
      <c r="F5538" s="34">
        <v>450000</v>
      </c>
      <c r="G5538" s="34">
        <v>0</v>
      </c>
      <c r="H5538" s="34">
        <f t="shared" si="87"/>
        <v>450000</v>
      </c>
      <c r="I5538" s="34"/>
      <c r="K5538" t="s">
        <v>38</v>
      </c>
    </row>
    <row r="5539" spans="2:11" ht="33" x14ac:dyDescent="0.2">
      <c r="B5539" s="33" t="s">
        <v>6506</v>
      </c>
      <c r="C5539" s="33" t="s">
        <v>1051</v>
      </c>
      <c r="D5539" s="35">
        <f>SUMIFS(D5540:D9015,K5540:K9015,"0",B5540:B9015,"5 1 2 1 2 12 31111 6 M59 19000 000132 0000R 00001 00212 015*")-SUMIFS(E5540:E9015,K5540:K9015,"0",B5540:B9015,"5 1 2 1 2 12 31111 6 M59 19000 000132 0000R 00001 00212 015*")</f>
        <v>0</v>
      </c>
      <c r="E5539"/>
      <c r="F5539" s="35">
        <f>SUMIFS(F5540:F9015,K5540:K9015,"0",B5540:B9015,"5 1 2 1 2 12 31111 6 M59 19000 000132 0000R 00001 00212 015*")</f>
        <v>35850</v>
      </c>
      <c r="G5539" s="35">
        <f>SUMIFS(G5540:G9015,K5540:K9015,"0",B5540:B9015,"5 1 2 1 2 12 31111 6 M59 19000 000132 0000R 00001 00212 015*")</f>
        <v>0</v>
      </c>
      <c r="H5539" s="35">
        <f t="shared" si="87"/>
        <v>35850</v>
      </c>
      <c r="I5539" s="35"/>
      <c r="K5539" t="s">
        <v>15</v>
      </c>
    </row>
    <row r="5540" spans="2:11" ht="33" x14ac:dyDescent="0.2">
      <c r="B5540" s="33" t="s">
        <v>6507</v>
      </c>
      <c r="C5540" s="33" t="s">
        <v>5830</v>
      </c>
      <c r="D5540" s="35">
        <f>SUMIFS(D5541:D9015,K5541:K9015,"0",B5541:B9015,"5 1 2 1 2 12 31111 6 M59 19000 000132 0000R 00001 00212 015 2112000*")-SUMIFS(E5541:E9015,K5541:K9015,"0",B5541:B9015,"5 1 2 1 2 12 31111 6 M59 19000 000132 0000R 00001 00212 015 2112000*")</f>
        <v>0</v>
      </c>
      <c r="E5540"/>
      <c r="F5540" s="35">
        <f>SUMIFS(F5541:F9015,K5541:K9015,"0",B5541:B9015,"5 1 2 1 2 12 31111 6 M59 19000 000132 0000R 00001 00212 015 2112000*")</f>
        <v>35850</v>
      </c>
      <c r="G5540" s="35">
        <f>SUMIFS(G5541:G9015,K5541:K9015,"0",B5541:B9015,"5 1 2 1 2 12 31111 6 M59 19000 000132 0000R 00001 00212 015 2112000*")</f>
        <v>0</v>
      </c>
      <c r="H5540" s="35">
        <f t="shared" si="87"/>
        <v>35850</v>
      </c>
      <c r="I5540" s="35"/>
      <c r="K5540" t="s">
        <v>15</v>
      </c>
    </row>
    <row r="5541" spans="2:11" ht="33" x14ac:dyDescent="0.2">
      <c r="B5541" s="33" t="s">
        <v>6508</v>
      </c>
      <c r="C5541" s="33" t="s">
        <v>660</v>
      </c>
      <c r="D5541" s="35">
        <f>SUMIFS(D5542:D9015,K5542:K9015,"0",B5542:B9015,"5 1 2 1 2 12 31111 6 M59 19000 000132 0000R 00001 00212 015 2112000 2024*")-SUMIFS(E5542:E9015,K5542:K9015,"0",B5542:B9015,"5 1 2 1 2 12 31111 6 M59 19000 000132 0000R 00001 00212 015 2112000 2024*")</f>
        <v>0</v>
      </c>
      <c r="E5541"/>
      <c r="F5541" s="35">
        <f>SUMIFS(F5542:F9015,K5542:K9015,"0",B5542:B9015,"5 1 2 1 2 12 31111 6 M59 19000 000132 0000R 00001 00212 015 2112000 2024*")</f>
        <v>35850</v>
      </c>
      <c r="G5541" s="35">
        <f>SUMIFS(G5542:G9015,K5542:K9015,"0",B5542:B9015,"5 1 2 1 2 12 31111 6 M59 19000 000132 0000R 00001 00212 015 2112000 2024*")</f>
        <v>0</v>
      </c>
      <c r="H5541" s="35">
        <f t="shared" si="87"/>
        <v>35850</v>
      </c>
      <c r="I5541" s="35"/>
      <c r="K5541" t="s">
        <v>15</v>
      </c>
    </row>
    <row r="5542" spans="2:11" ht="41.25" x14ac:dyDescent="0.2">
      <c r="B5542" s="33" t="s">
        <v>6509</v>
      </c>
      <c r="C5542" s="33" t="s">
        <v>662</v>
      </c>
      <c r="D5542" s="35">
        <f>SUMIFS(D5543:D9015,K5543:K9015,"0",B5543:B9015,"5 1 2 1 2 12 31111 6 M59 19000 000132 0000R 00001 00212 015 2112000 2024 CP1TM440*")-SUMIFS(E5543:E9015,K5543:K9015,"0",B5543:B9015,"5 1 2 1 2 12 31111 6 M59 19000 000132 0000R 00001 00212 015 2112000 2024 CP1TM440*")</f>
        <v>0</v>
      </c>
      <c r="E5542"/>
      <c r="F5542" s="35">
        <f>SUMIFS(F5543:F9015,K5543:K9015,"0",B5543:B9015,"5 1 2 1 2 12 31111 6 M59 19000 000132 0000R 00001 00212 015 2112000 2024 CP1TM440*")</f>
        <v>35850</v>
      </c>
      <c r="G5542" s="35">
        <f>SUMIFS(G5543:G9015,K5543:K9015,"0",B5543:B9015,"5 1 2 1 2 12 31111 6 M59 19000 000132 0000R 00001 00212 015 2112000 2024 CP1TM440*")</f>
        <v>0</v>
      </c>
      <c r="H5542" s="35">
        <f t="shared" si="87"/>
        <v>35850</v>
      </c>
      <c r="I5542" s="35"/>
      <c r="K5542" t="s">
        <v>15</v>
      </c>
    </row>
    <row r="5543" spans="2:11" ht="41.25" x14ac:dyDescent="0.2">
      <c r="B5543" s="33" t="s">
        <v>6510</v>
      </c>
      <c r="C5543" s="33" t="s">
        <v>282</v>
      </c>
      <c r="D5543" s="35">
        <f>SUMIFS(D5544:D9015,K5544:K9015,"0",B5544:B9015,"5 1 2 1 2 12 31111 6 M59 19000 000132 0000R 00001 00212 015 2112000 2024 CP1TM440 001*")-SUMIFS(E5544:E9015,K5544:K9015,"0",B5544:B9015,"5 1 2 1 2 12 31111 6 M59 19000 000132 0000R 00001 00212 015 2112000 2024 CP1TM440 001*")</f>
        <v>0</v>
      </c>
      <c r="E5543"/>
      <c r="F5543" s="35">
        <f>SUMIFS(F5544:F9015,K5544:K9015,"0",B5544:B9015,"5 1 2 1 2 12 31111 6 M59 19000 000132 0000R 00001 00212 015 2112000 2024 CP1TM440 001*")</f>
        <v>35850</v>
      </c>
      <c r="G5543" s="35">
        <f>SUMIFS(G5544:G9015,K5544:K9015,"0",B5544:B9015,"5 1 2 1 2 12 31111 6 M59 19000 000132 0000R 00001 00212 015 2112000 2024 CP1TM440 001*")</f>
        <v>0</v>
      </c>
      <c r="H5543" s="35">
        <f t="shared" si="87"/>
        <v>35850</v>
      </c>
      <c r="I5543" s="35"/>
      <c r="K5543" t="s">
        <v>15</v>
      </c>
    </row>
    <row r="5544" spans="2:11" ht="33" x14ac:dyDescent="0.2">
      <c r="B5544" s="31" t="s">
        <v>6511</v>
      </c>
      <c r="C5544" s="31" t="s">
        <v>6499</v>
      </c>
      <c r="D5544" s="34">
        <v>0</v>
      </c>
      <c r="E5544" s="34"/>
      <c r="F5544" s="34">
        <v>35850</v>
      </c>
      <c r="G5544" s="34">
        <v>0</v>
      </c>
      <c r="H5544" s="34">
        <f t="shared" si="87"/>
        <v>35850</v>
      </c>
      <c r="I5544" s="34"/>
      <c r="K5544" t="s">
        <v>38</v>
      </c>
    </row>
    <row r="5545" spans="2:11" ht="16.5" x14ac:dyDescent="0.2">
      <c r="B5545" s="33" t="s">
        <v>6512</v>
      </c>
      <c r="C5545" s="33" t="s">
        <v>1079</v>
      </c>
      <c r="D5545" s="35">
        <f>SUMIFS(D5546:D9015,K5546:K9015,"0",B5546:B9015,"5 1 2 1 2 12 31111 6 M59 20500*")-SUMIFS(E5546:E9015,K5546:K9015,"0",B5546:B9015,"5 1 2 1 2 12 31111 6 M59 20500*")</f>
        <v>0</v>
      </c>
      <c r="E5545"/>
      <c r="F5545" s="35">
        <f>SUMIFS(F5546:F9015,K5546:K9015,"0",B5546:B9015,"5 1 2 1 2 12 31111 6 M59 20500*")</f>
        <v>468042.34</v>
      </c>
      <c r="G5545" s="35">
        <f>SUMIFS(G5546:G9015,K5546:K9015,"0",B5546:B9015,"5 1 2 1 2 12 31111 6 M59 20500*")</f>
        <v>0</v>
      </c>
      <c r="H5545" s="35">
        <f t="shared" si="87"/>
        <v>468042.34</v>
      </c>
      <c r="I5545" s="35"/>
      <c r="K5545" t="s">
        <v>15</v>
      </c>
    </row>
    <row r="5546" spans="2:11" ht="16.5" x14ac:dyDescent="0.2">
      <c r="B5546" s="33" t="s">
        <v>6513</v>
      </c>
      <c r="C5546" s="33" t="s">
        <v>648</v>
      </c>
      <c r="D5546" s="35">
        <f>SUMIFS(D5547:D9015,K5547:K9015,"0",B5547:B9015,"5 1 2 1 2 12 31111 6 M59 20500 000132*")-SUMIFS(E5547:E9015,K5547:K9015,"0",B5547:B9015,"5 1 2 1 2 12 31111 6 M59 20500 000132*")</f>
        <v>0</v>
      </c>
      <c r="E5546"/>
      <c r="F5546" s="35">
        <f>SUMIFS(F5547:F9015,K5547:K9015,"0",B5547:B9015,"5 1 2 1 2 12 31111 6 M59 20500 000132*")</f>
        <v>468042.34</v>
      </c>
      <c r="G5546" s="35">
        <f>SUMIFS(G5547:G9015,K5547:K9015,"0",B5547:B9015,"5 1 2 1 2 12 31111 6 M59 20500 000132*")</f>
        <v>0</v>
      </c>
      <c r="H5546" s="35">
        <f t="shared" si="87"/>
        <v>468042.34</v>
      </c>
      <c r="I5546" s="35"/>
      <c r="K5546" t="s">
        <v>15</v>
      </c>
    </row>
    <row r="5547" spans="2:11" ht="24.75" x14ac:dyDescent="0.2">
      <c r="B5547" s="33" t="s">
        <v>6514</v>
      </c>
      <c r="C5547" s="33" t="s">
        <v>650</v>
      </c>
      <c r="D5547" s="35">
        <f>SUMIFS(D5548:D9015,K5548:K9015,"0",B5548:B9015,"5 1 2 1 2 12 31111 6 M59 20500 000132 0000R*")-SUMIFS(E5548:E9015,K5548:K9015,"0",B5548:B9015,"5 1 2 1 2 12 31111 6 M59 20500 000132 0000R*")</f>
        <v>0</v>
      </c>
      <c r="E5547"/>
      <c r="F5547" s="35">
        <f>SUMIFS(F5548:F9015,K5548:K9015,"0",B5548:B9015,"5 1 2 1 2 12 31111 6 M59 20500 000132 0000R*")</f>
        <v>468042.34</v>
      </c>
      <c r="G5547" s="35">
        <f>SUMIFS(G5548:G9015,K5548:K9015,"0",B5548:B9015,"5 1 2 1 2 12 31111 6 M59 20500 000132 0000R*")</f>
        <v>0</v>
      </c>
      <c r="H5547" s="35">
        <f t="shared" si="87"/>
        <v>468042.34</v>
      </c>
      <c r="I5547" s="35"/>
      <c r="K5547" t="s">
        <v>15</v>
      </c>
    </row>
    <row r="5548" spans="2:11" ht="24.75" x14ac:dyDescent="0.2">
      <c r="B5548" s="33" t="s">
        <v>6515</v>
      </c>
      <c r="C5548" s="33" t="s">
        <v>282</v>
      </c>
      <c r="D5548" s="35">
        <f>SUMIFS(D5549:D9015,K5549:K9015,"0",B5549:B9015,"5 1 2 1 2 12 31111 6 M59 20500 000132 0000R 00001*")-SUMIFS(E5549:E9015,K5549:K9015,"0",B5549:B9015,"5 1 2 1 2 12 31111 6 M59 20500 000132 0000R 00001*")</f>
        <v>0</v>
      </c>
      <c r="E5548"/>
      <c r="F5548" s="35">
        <f>SUMIFS(F5549:F9015,K5549:K9015,"0",B5549:B9015,"5 1 2 1 2 12 31111 6 M59 20500 000132 0000R 00001*")</f>
        <v>468042.34</v>
      </c>
      <c r="G5548" s="35">
        <f>SUMIFS(G5549:G9015,K5549:K9015,"0",B5549:B9015,"5 1 2 1 2 12 31111 6 M59 20500 000132 0000R 00001*")</f>
        <v>0</v>
      </c>
      <c r="H5548" s="35">
        <f t="shared" si="87"/>
        <v>468042.34</v>
      </c>
      <c r="I5548" s="35"/>
      <c r="K5548" t="s">
        <v>15</v>
      </c>
    </row>
    <row r="5549" spans="2:11" ht="24.75" x14ac:dyDescent="0.2">
      <c r="B5549" s="33" t="s">
        <v>6516</v>
      </c>
      <c r="C5549" s="33" t="s">
        <v>6499</v>
      </c>
      <c r="D5549" s="35">
        <f>SUMIFS(D5550:D9015,K5550:K9015,"0",B5550:B9015,"5 1 2 1 2 12 31111 6 M59 20500 000132 0000R 00001 00212*")-SUMIFS(E5550:E9015,K5550:K9015,"0",B5550:B9015,"5 1 2 1 2 12 31111 6 M59 20500 000132 0000R 00001 00212*")</f>
        <v>0</v>
      </c>
      <c r="E5549"/>
      <c r="F5549" s="35">
        <f>SUMIFS(F5550:F9015,K5550:K9015,"0",B5550:B9015,"5 1 2 1 2 12 31111 6 M59 20500 000132 0000R 00001 00212*")</f>
        <v>468042.34</v>
      </c>
      <c r="G5549" s="35">
        <f>SUMIFS(G5550:G9015,K5550:K9015,"0",B5550:B9015,"5 1 2 1 2 12 31111 6 M59 20500 000132 0000R 00001 00212*")</f>
        <v>0</v>
      </c>
      <c r="H5549" s="35">
        <f t="shared" si="87"/>
        <v>468042.34</v>
      </c>
      <c r="I5549" s="35"/>
      <c r="K5549" t="s">
        <v>15</v>
      </c>
    </row>
    <row r="5550" spans="2:11" ht="33" x14ac:dyDescent="0.2">
      <c r="B5550" s="33" t="s">
        <v>6517</v>
      </c>
      <c r="C5550" s="33" t="s">
        <v>1051</v>
      </c>
      <c r="D5550" s="35">
        <f>SUMIFS(D5551:D9015,K5551:K9015,"0",B5551:B9015,"5 1 2 1 2 12 31111 6 M59 20500 000132 0000R 00001 00212 015*")-SUMIFS(E5551:E9015,K5551:K9015,"0",B5551:B9015,"5 1 2 1 2 12 31111 6 M59 20500 000132 0000R 00001 00212 015*")</f>
        <v>0</v>
      </c>
      <c r="E5550"/>
      <c r="F5550" s="35">
        <f>SUMIFS(F5551:F9015,K5551:K9015,"0",B5551:B9015,"5 1 2 1 2 12 31111 6 M59 20500 000132 0000R 00001 00212 015*")</f>
        <v>468042.34</v>
      </c>
      <c r="G5550" s="35">
        <f>SUMIFS(G5551:G9015,K5551:K9015,"0",B5551:B9015,"5 1 2 1 2 12 31111 6 M59 20500 000132 0000R 00001 00212 015*")</f>
        <v>0</v>
      </c>
      <c r="H5550" s="35">
        <f t="shared" si="87"/>
        <v>468042.34</v>
      </c>
      <c r="I5550" s="35"/>
      <c r="K5550" t="s">
        <v>15</v>
      </c>
    </row>
    <row r="5551" spans="2:11" ht="33" x14ac:dyDescent="0.2">
      <c r="B5551" s="33" t="s">
        <v>6518</v>
      </c>
      <c r="C5551" s="33" t="s">
        <v>5830</v>
      </c>
      <c r="D5551" s="35">
        <f>SUMIFS(D5552:D9015,K5552:K9015,"0",B5552:B9015,"5 1 2 1 2 12 31111 6 M59 20500 000132 0000R 00001 00212 015 2112000*")-SUMIFS(E5552:E9015,K5552:K9015,"0",B5552:B9015,"5 1 2 1 2 12 31111 6 M59 20500 000132 0000R 00001 00212 015 2112000*")</f>
        <v>0</v>
      </c>
      <c r="E5551"/>
      <c r="F5551" s="35">
        <f>SUMIFS(F5552:F9015,K5552:K9015,"0",B5552:B9015,"5 1 2 1 2 12 31111 6 M59 20500 000132 0000R 00001 00212 015 2112000*")</f>
        <v>468042.34</v>
      </c>
      <c r="G5551" s="35">
        <f>SUMIFS(G5552:G9015,K5552:K9015,"0",B5552:B9015,"5 1 2 1 2 12 31111 6 M59 20500 000132 0000R 00001 00212 015 2112000*")</f>
        <v>0</v>
      </c>
      <c r="H5551" s="35">
        <f t="shared" si="87"/>
        <v>468042.34</v>
      </c>
      <c r="I5551" s="35"/>
      <c r="K5551" t="s">
        <v>15</v>
      </c>
    </row>
    <row r="5552" spans="2:11" ht="33" x14ac:dyDescent="0.2">
      <c r="B5552" s="33" t="s">
        <v>6519</v>
      </c>
      <c r="C5552" s="33" t="s">
        <v>660</v>
      </c>
      <c r="D5552" s="35">
        <f>SUMIFS(D5553:D9015,K5553:K9015,"0",B5553:B9015,"5 1 2 1 2 12 31111 6 M59 20500 000132 0000R 00001 00212 015 2112000 2024*")-SUMIFS(E5553:E9015,K5553:K9015,"0",B5553:B9015,"5 1 2 1 2 12 31111 6 M59 20500 000132 0000R 00001 00212 015 2112000 2024*")</f>
        <v>0</v>
      </c>
      <c r="E5552"/>
      <c r="F5552" s="35">
        <f>SUMIFS(F5553:F9015,K5553:K9015,"0",B5553:B9015,"5 1 2 1 2 12 31111 6 M59 20500 000132 0000R 00001 00212 015 2112000 2024*")</f>
        <v>468042.34</v>
      </c>
      <c r="G5552" s="35">
        <f>SUMIFS(G5553:G9015,K5553:K9015,"0",B5553:B9015,"5 1 2 1 2 12 31111 6 M59 20500 000132 0000R 00001 00212 015 2112000 2024*")</f>
        <v>0</v>
      </c>
      <c r="H5552" s="35">
        <f t="shared" si="87"/>
        <v>468042.34</v>
      </c>
      <c r="I5552" s="35"/>
      <c r="K5552" t="s">
        <v>15</v>
      </c>
    </row>
    <row r="5553" spans="2:11" ht="41.25" x14ac:dyDescent="0.2">
      <c r="B5553" s="33" t="s">
        <v>6520</v>
      </c>
      <c r="C5553" s="33" t="s">
        <v>1056</v>
      </c>
      <c r="D5553" s="35">
        <f>SUMIFS(D5554:D9015,K5554:K9015,"0",B5554:B9015,"5 1 2 1 2 12 31111 6 M59 20500 000132 0000R 00001 00212 015 2112000 2024 CP1CP420*")-SUMIFS(E5554:E9015,K5554:K9015,"0",B5554:B9015,"5 1 2 1 2 12 31111 6 M59 20500 000132 0000R 00001 00212 015 2112000 2024 CP1CP420*")</f>
        <v>0</v>
      </c>
      <c r="E5553"/>
      <c r="F5553" s="35">
        <f>SUMIFS(F5554:F9015,K5554:K9015,"0",B5554:B9015,"5 1 2 1 2 12 31111 6 M59 20500 000132 0000R 00001 00212 015 2112000 2024 CP1CP420*")</f>
        <v>468042.34</v>
      </c>
      <c r="G5553" s="35">
        <f>SUMIFS(G5554:G9015,K5554:K9015,"0",B5554:B9015,"5 1 2 1 2 12 31111 6 M59 20500 000132 0000R 00001 00212 015 2112000 2024 CP1CP420*")</f>
        <v>0</v>
      </c>
      <c r="H5553" s="35">
        <f t="shared" si="87"/>
        <v>468042.34</v>
      </c>
      <c r="I5553" s="35"/>
      <c r="K5553" t="s">
        <v>15</v>
      </c>
    </row>
    <row r="5554" spans="2:11" ht="41.25" x14ac:dyDescent="0.2">
      <c r="B5554" s="33" t="s">
        <v>6521</v>
      </c>
      <c r="C5554" s="33" t="s">
        <v>282</v>
      </c>
      <c r="D5554" s="35">
        <f>SUMIFS(D5555:D9015,K5555:K9015,"0",B5555:B9015,"5 1 2 1 2 12 31111 6 M59 20500 000132 0000R 00001 00212 015 2112000 2024 CP1CP420 001*")-SUMIFS(E5555:E9015,K5555:K9015,"0",B5555:B9015,"5 1 2 1 2 12 31111 6 M59 20500 000132 0000R 00001 00212 015 2112000 2024 CP1CP420 001*")</f>
        <v>0</v>
      </c>
      <c r="E5554"/>
      <c r="F5554" s="35">
        <f>SUMIFS(F5555:F9015,K5555:K9015,"0",B5555:B9015,"5 1 2 1 2 12 31111 6 M59 20500 000132 0000R 00001 00212 015 2112000 2024 CP1CP420 001*")</f>
        <v>468042.34</v>
      </c>
      <c r="G5554" s="35">
        <f>SUMIFS(G5555:G9015,K5555:K9015,"0",B5555:B9015,"5 1 2 1 2 12 31111 6 M59 20500 000132 0000R 00001 00212 015 2112000 2024 CP1CP420 001*")</f>
        <v>0</v>
      </c>
      <c r="H5554" s="35">
        <f t="shared" si="87"/>
        <v>468042.34</v>
      </c>
      <c r="I5554" s="35"/>
      <c r="K5554" t="s">
        <v>15</v>
      </c>
    </row>
    <row r="5555" spans="2:11" ht="33" x14ac:dyDescent="0.2">
      <c r="B5555" s="31" t="s">
        <v>6522</v>
      </c>
      <c r="C5555" s="31" t="s">
        <v>6489</v>
      </c>
      <c r="D5555" s="34">
        <v>0</v>
      </c>
      <c r="E5555" s="34"/>
      <c r="F5555" s="34">
        <v>468042.34</v>
      </c>
      <c r="G5555" s="34">
        <v>0</v>
      </c>
      <c r="H5555" s="34">
        <f t="shared" si="87"/>
        <v>468042.34</v>
      </c>
      <c r="I5555" s="34"/>
      <c r="K5555" t="s">
        <v>38</v>
      </c>
    </row>
    <row r="5556" spans="2:11" ht="41.25" x14ac:dyDescent="0.2">
      <c r="B5556" s="33" t="s">
        <v>6523</v>
      </c>
      <c r="C5556" s="33" t="s">
        <v>6524</v>
      </c>
      <c r="D5556" s="35">
        <f>SUMIFS(D5557:D9015,K5557:K9015,"0",B5557:B9015,"5 1 2 1 4*")-SUMIFS(E5557:E9015,K5557:K9015,"0",B5557:B9015,"5 1 2 1 4*")</f>
        <v>0</v>
      </c>
      <c r="E5556"/>
      <c r="F5556" s="35">
        <f>SUMIFS(F5557:F9015,K5557:K9015,"0",B5557:B9015,"5 1 2 1 4*")</f>
        <v>816046.5</v>
      </c>
      <c r="G5556" s="35">
        <f>SUMIFS(G5557:G9015,K5557:K9015,"0",B5557:B9015,"5 1 2 1 4*")</f>
        <v>0</v>
      </c>
      <c r="H5556" s="35">
        <f t="shared" si="87"/>
        <v>816046.5</v>
      </c>
      <c r="I5556" s="35"/>
      <c r="K5556" t="s">
        <v>15</v>
      </c>
    </row>
    <row r="5557" spans="2:11" ht="12.75" x14ac:dyDescent="0.2">
      <c r="B5557" s="33" t="s">
        <v>6525</v>
      </c>
      <c r="C5557" s="33" t="s">
        <v>26</v>
      </c>
      <c r="D5557" s="35">
        <f>SUMIFS(D5558:D9015,K5558:K9015,"0",B5558:B9015,"5 1 2 1 4 12*")-SUMIFS(E5558:E9015,K5558:K9015,"0",B5558:B9015,"5 1 2 1 4 12*")</f>
        <v>0</v>
      </c>
      <c r="E5557"/>
      <c r="F5557" s="35">
        <f>SUMIFS(F5558:F9015,K5558:K9015,"0",B5558:B9015,"5 1 2 1 4 12*")</f>
        <v>816046.5</v>
      </c>
      <c r="G5557" s="35">
        <f>SUMIFS(G5558:G9015,K5558:K9015,"0",B5558:B9015,"5 1 2 1 4 12*")</f>
        <v>0</v>
      </c>
      <c r="H5557" s="35">
        <f t="shared" si="87"/>
        <v>816046.5</v>
      </c>
      <c r="I5557" s="35"/>
      <c r="K5557" t="s">
        <v>15</v>
      </c>
    </row>
    <row r="5558" spans="2:11" ht="16.5" x14ac:dyDescent="0.2">
      <c r="B5558" s="33" t="s">
        <v>6526</v>
      </c>
      <c r="C5558" s="33" t="s">
        <v>28</v>
      </c>
      <c r="D5558" s="35">
        <f>SUMIFS(D5559:D9015,K5559:K9015,"0",B5559:B9015,"5 1 2 1 4 12 31111*")-SUMIFS(E5559:E9015,K5559:K9015,"0",B5559:B9015,"5 1 2 1 4 12 31111*")</f>
        <v>0</v>
      </c>
      <c r="E5558"/>
      <c r="F5558" s="35">
        <f>SUMIFS(F5559:F9015,K5559:K9015,"0",B5559:B9015,"5 1 2 1 4 12 31111*")</f>
        <v>816046.5</v>
      </c>
      <c r="G5558" s="35">
        <f>SUMIFS(G5559:G9015,K5559:K9015,"0",B5559:B9015,"5 1 2 1 4 12 31111*")</f>
        <v>0</v>
      </c>
      <c r="H5558" s="35">
        <f t="shared" si="87"/>
        <v>816046.5</v>
      </c>
      <c r="I5558" s="35"/>
      <c r="K5558" t="s">
        <v>15</v>
      </c>
    </row>
    <row r="5559" spans="2:11" ht="12.75" x14ac:dyDescent="0.2">
      <c r="B5559" s="33" t="s">
        <v>6527</v>
      </c>
      <c r="C5559" s="33" t="s">
        <v>30</v>
      </c>
      <c r="D5559" s="35">
        <f>SUMIFS(D5560:D9015,K5560:K9015,"0",B5560:B9015,"5 1 2 1 4 12 31111 6*")-SUMIFS(E5560:E9015,K5560:K9015,"0",B5560:B9015,"5 1 2 1 4 12 31111 6*")</f>
        <v>0</v>
      </c>
      <c r="E5559"/>
      <c r="F5559" s="35">
        <f>SUMIFS(F5560:F9015,K5560:K9015,"0",B5560:B9015,"5 1 2 1 4 12 31111 6*")</f>
        <v>816046.5</v>
      </c>
      <c r="G5559" s="35">
        <f>SUMIFS(G5560:G9015,K5560:K9015,"0",B5560:B9015,"5 1 2 1 4 12 31111 6*")</f>
        <v>0</v>
      </c>
      <c r="H5559" s="35">
        <f t="shared" si="87"/>
        <v>816046.5</v>
      </c>
      <c r="I5559" s="35"/>
      <c r="K5559" t="s">
        <v>15</v>
      </c>
    </row>
    <row r="5560" spans="2:11" ht="16.5" x14ac:dyDescent="0.2">
      <c r="B5560" s="33" t="s">
        <v>6528</v>
      </c>
      <c r="C5560" s="33" t="s">
        <v>2284</v>
      </c>
      <c r="D5560" s="35">
        <f>SUMIFS(D5561:D9015,K5561:K9015,"0",B5561:B9015,"5 1 2 1 4 12 31111 6 M59*")-SUMIFS(E5561:E9015,K5561:K9015,"0",B5561:B9015,"5 1 2 1 4 12 31111 6 M59*")</f>
        <v>0</v>
      </c>
      <c r="E5560"/>
      <c r="F5560" s="35">
        <f>SUMIFS(F5561:F9015,K5561:K9015,"0",B5561:B9015,"5 1 2 1 4 12 31111 6 M59*")</f>
        <v>816046.5</v>
      </c>
      <c r="G5560" s="35">
        <f>SUMIFS(G5561:G9015,K5561:K9015,"0",B5561:B9015,"5 1 2 1 4 12 31111 6 M59*")</f>
        <v>0</v>
      </c>
      <c r="H5560" s="35">
        <f t="shared" si="87"/>
        <v>816046.5</v>
      </c>
      <c r="I5560" s="35"/>
      <c r="K5560" t="s">
        <v>15</v>
      </c>
    </row>
    <row r="5561" spans="2:11" ht="16.5" x14ac:dyDescent="0.2">
      <c r="B5561" s="33" t="s">
        <v>6529</v>
      </c>
      <c r="C5561" s="33" t="s">
        <v>1044</v>
      </c>
      <c r="D5561" s="35">
        <f>SUMIFS(D5562:D9015,K5562:K9015,"0",B5562:B9015,"5 1 2 1 4 12 31111 6 M59 19000*")-SUMIFS(E5562:E9015,K5562:K9015,"0",B5562:B9015,"5 1 2 1 4 12 31111 6 M59 19000*")</f>
        <v>0</v>
      </c>
      <c r="E5561"/>
      <c r="F5561" s="35">
        <f>SUMIFS(F5562:F9015,K5562:K9015,"0",B5562:B9015,"5 1 2 1 4 12 31111 6 M59 19000*")</f>
        <v>469272.61</v>
      </c>
      <c r="G5561" s="35">
        <f>SUMIFS(G5562:G9015,K5562:K9015,"0",B5562:B9015,"5 1 2 1 4 12 31111 6 M59 19000*")</f>
        <v>0</v>
      </c>
      <c r="H5561" s="35">
        <f t="shared" si="87"/>
        <v>469272.61</v>
      </c>
      <c r="I5561" s="35"/>
      <c r="K5561" t="s">
        <v>15</v>
      </c>
    </row>
    <row r="5562" spans="2:11" ht="16.5" x14ac:dyDescent="0.2">
      <c r="B5562" s="33" t="s">
        <v>6530</v>
      </c>
      <c r="C5562" s="33" t="s">
        <v>648</v>
      </c>
      <c r="D5562" s="35">
        <f>SUMIFS(D5563:D9015,K5563:K9015,"0",B5563:B9015,"5 1 2 1 4 12 31111 6 M59 19000 000132*")-SUMIFS(E5563:E9015,K5563:K9015,"0",B5563:B9015,"5 1 2 1 4 12 31111 6 M59 19000 000132*")</f>
        <v>0</v>
      </c>
      <c r="E5562"/>
      <c r="F5562" s="35">
        <f>SUMIFS(F5563:F9015,K5563:K9015,"0",B5563:B9015,"5 1 2 1 4 12 31111 6 M59 19000 000132*")</f>
        <v>469272.61</v>
      </c>
      <c r="G5562" s="35">
        <f>SUMIFS(G5563:G9015,K5563:K9015,"0",B5563:B9015,"5 1 2 1 4 12 31111 6 M59 19000 000132*")</f>
        <v>0</v>
      </c>
      <c r="H5562" s="35">
        <f t="shared" si="87"/>
        <v>469272.61</v>
      </c>
      <c r="I5562" s="35"/>
      <c r="K5562" t="s">
        <v>15</v>
      </c>
    </row>
    <row r="5563" spans="2:11" ht="24.75" x14ac:dyDescent="0.2">
      <c r="B5563" s="33" t="s">
        <v>6531</v>
      </c>
      <c r="C5563" s="33" t="s">
        <v>650</v>
      </c>
      <c r="D5563" s="35">
        <f>SUMIFS(D5564:D9015,K5564:K9015,"0",B5564:B9015,"5 1 2 1 4 12 31111 6 M59 19000 000132 0000R*")-SUMIFS(E5564:E9015,K5564:K9015,"0",B5564:B9015,"5 1 2 1 4 12 31111 6 M59 19000 000132 0000R*")</f>
        <v>0</v>
      </c>
      <c r="E5563"/>
      <c r="F5563" s="35">
        <f>SUMIFS(F5564:F9015,K5564:K9015,"0",B5564:B9015,"5 1 2 1 4 12 31111 6 M59 19000 000132 0000R*")</f>
        <v>469272.61</v>
      </c>
      <c r="G5563" s="35">
        <f>SUMIFS(G5564:G9015,K5564:K9015,"0",B5564:B9015,"5 1 2 1 4 12 31111 6 M59 19000 000132 0000R*")</f>
        <v>0</v>
      </c>
      <c r="H5563" s="35">
        <f t="shared" si="87"/>
        <v>469272.61</v>
      </c>
      <c r="I5563" s="35"/>
      <c r="K5563" t="s">
        <v>15</v>
      </c>
    </row>
    <row r="5564" spans="2:11" ht="24.75" x14ac:dyDescent="0.2">
      <c r="B5564" s="33" t="s">
        <v>6532</v>
      </c>
      <c r="C5564" s="33" t="s">
        <v>282</v>
      </c>
      <c r="D5564" s="35">
        <f>SUMIFS(D5565:D9015,K5565:K9015,"0",B5565:B9015,"5 1 2 1 4 12 31111 6 M59 19000 000132 0000R 00001*")-SUMIFS(E5565:E9015,K5565:K9015,"0",B5565:B9015,"5 1 2 1 4 12 31111 6 M59 19000 000132 0000R 00001*")</f>
        <v>0</v>
      </c>
      <c r="E5564"/>
      <c r="F5564" s="35">
        <f>SUMIFS(F5565:F9015,K5565:K9015,"0",B5565:B9015,"5 1 2 1 4 12 31111 6 M59 19000 000132 0000R 00001*")</f>
        <v>469272.61</v>
      </c>
      <c r="G5564" s="35">
        <f>SUMIFS(G5565:G9015,K5565:K9015,"0",B5565:B9015,"5 1 2 1 4 12 31111 6 M59 19000 000132 0000R 00001*")</f>
        <v>0</v>
      </c>
      <c r="H5564" s="35">
        <f t="shared" si="87"/>
        <v>469272.61</v>
      </c>
      <c r="I5564" s="35"/>
      <c r="K5564" t="s">
        <v>15</v>
      </c>
    </row>
    <row r="5565" spans="2:11" ht="41.25" x14ac:dyDescent="0.2">
      <c r="B5565" s="33" t="s">
        <v>6533</v>
      </c>
      <c r="C5565" s="33" t="s">
        <v>6534</v>
      </c>
      <c r="D5565" s="35">
        <f>SUMIFS(D5566:D9015,K5566:K9015,"0",B5566:B9015,"5 1 2 1 4 12 31111 6 M59 19000 000132 0000R 00001 00214*")-SUMIFS(E5566:E9015,K5566:K9015,"0",B5566:B9015,"5 1 2 1 4 12 31111 6 M59 19000 000132 0000R 00001 00214*")</f>
        <v>0</v>
      </c>
      <c r="E5565"/>
      <c r="F5565" s="35">
        <f>SUMIFS(F5566:F9015,K5566:K9015,"0",B5566:B9015,"5 1 2 1 4 12 31111 6 M59 19000 000132 0000R 00001 00214*")</f>
        <v>469272.61</v>
      </c>
      <c r="G5565" s="35">
        <f>SUMIFS(G5566:G9015,K5566:K9015,"0",B5566:B9015,"5 1 2 1 4 12 31111 6 M59 19000 000132 0000R 00001 00214*")</f>
        <v>0</v>
      </c>
      <c r="H5565" s="35">
        <f t="shared" si="87"/>
        <v>469272.61</v>
      </c>
      <c r="I5565" s="35"/>
      <c r="K5565" t="s">
        <v>15</v>
      </c>
    </row>
    <row r="5566" spans="2:11" ht="33" x14ac:dyDescent="0.2">
      <c r="B5566" s="33" t="s">
        <v>6535</v>
      </c>
      <c r="C5566" s="33" t="s">
        <v>699</v>
      </c>
      <c r="D5566" s="35">
        <f>SUMIFS(D5567:D9015,K5567:K9015,"0",B5567:B9015,"5 1 2 1 4 12 31111 6 M59 19000 000132 0000R 00001 00214 011*")-SUMIFS(E5567:E9015,K5567:K9015,"0",B5567:B9015,"5 1 2 1 4 12 31111 6 M59 19000 000132 0000R 00001 00214 011*")</f>
        <v>0</v>
      </c>
      <c r="E5566"/>
      <c r="F5566" s="35">
        <f>SUMIFS(F5567:F9015,K5567:K9015,"0",B5567:B9015,"5 1 2 1 4 12 31111 6 M59 19000 000132 0000R 00001 00214 011*")</f>
        <v>469272.61</v>
      </c>
      <c r="G5566" s="35">
        <f>SUMIFS(G5567:G9015,K5567:K9015,"0",B5567:B9015,"5 1 2 1 4 12 31111 6 M59 19000 000132 0000R 00001 00214 011*")</f>
        <v>0</v>
      </c>
      <c r="H5566" s="35">
        <f t="shared" si="87"/>
        <v>469272.61</v>
      </c>
      <c r="I5566" s="35"/>
      <c r="K5566" t="s">
        <v>15</v>
      </c>
    </row>
    <row r="5567" spans="2:11" ht="33" x14ac:dyDescent="0.2">
      <c r="B5567" s="33" t="s">
        <v>6536</v>
      </c>
      <c r="C5567" s="33" t="s">
        <v>5830</v>
      </c>
      <c r="D5567" s="35">
        <f>SUMIFS(D5568:D9015,K5568:K9015,"0",B5568:B9015,"5 1 2 1 4 12 31111 6 M59 19000 000132 0000R 00001 00214 011 2112000*")-SUMIFS(E5568:E9015,K5568:K9015,"0",B5568:B9015,"5 1 2 1 4 12 31111 6 M59 19000 000132 0000R 00001 00214 011 2112000*")</f>
        <v>0</v>
      </c>
      <c r="E5567"/>
      <c r="F5567" s="35">
        <f>SUMIFS(F5568:F9015,K5568:K9015,"0",B5568:B9015,"5 1 2 1 4 12 31111 6 M59 19000 000132 0000R 00001 00214 011 2112000*")</f>
        <v>469272.61</v>
      </c>
      <c r="G5567" s="35">
        <f>SUMIFS(G5568:G9015,K5568:K9015,"0",B5568:B9015,"5 1 2 1 4 12 31111 6 M59 19000 000132 0000R 00001 00214 011 2112000*")</f>
        <v>0</v>
      </c>
      <c r="H5567" s="35">
        <f t="shared" si="87"/>
        <v>469272.61</v>
      </c>
      <c r="I5567" s="35"/>
      <c r="K5567" t="s">
        <v>15</v>
      </c>
    </row>
    <row r="5568" spans="2:11" ht="33" x14ac:dyDescent="0.2">
      <c r="B5568" s="33" t="s">
        <v>6537</v>
      </c>
      <c r="C5568" s="33" t="s">
        <v>660</v>
      </c>
      <c r="D5568" s="35">
        <f>SUMIFS(D5569:D9015,K5569:K9015,"0",B5569:B9015,"5 1 2 1 4 12 31111 6 M59 19000 000132 0000R 00001 00214 011 2112000 2024*")-SUMIFS(E5569:E9015,K5569:K9015,"0",B5569:B9015,"5 1 2 1 4 12 31111 6 M59 19000 000132 0000R 00001 00214 011 2112000 2024*")</f>
        <v>0</v>
      </c>
      <c r="E5568"/>
      <c r="F5568" s="35">
        <f>SUMIFS(F5569:F9015,K5569:K9015,"0",B5569:B9015,"5 1 2 1 4 12 31111 6 M59 19000 000132 0000R 00001 00214 011 2112000 2024*")</f>
        <v>469272.61</v>
      </c>
      <c r="G5568" s="35">
        <f>SUMIFS(G5569:G9015,K5569:K9015,"0",B5569:B9015,"5 1 2 1 4 12 31111 6 M59 19000 000132 0000R 00001 00214 011 2112000 2024*")</f>
        <v>0</v>
      </c>
      <c r="H5568" s="35">
        <f t="shared" si="87"/>
        <v>469272.61</v>
      </c>
      <c r="I5568" s="35"/>
      <c r="K5568" t="s">
        <v>15</v>
      </c>
    </row>
    <row r="5569" spans="2:11" ht="41.25" x14ac:dyDescent="0.2">
      <c r="B5569" s="33" t="s">
        <v>6538</v>
      </c>
      <c r="C5569" s="33" t="s">
        <v>662</v>
      </c>
      <c r="D5569" s="35">
        <f>SUMIFS(D5570:D9015,K5570:K9015,"0",B5570:B9015,"5 1 2 1 4 12 31111 6 M59 19000 000132 0000R 00001 00214 011 2112000 2024 CP1TM440*")-SUMIFS(E5570:E9015,K5570:K9015,"0",B5570:B9015,"5 1 2 1 4 12 31111 6 M59 19000 000132 0000R 00001 00214 011 2112000 2024 CP1TM440*")</f>
        <v>0</v>
      </c>
      <c r="E5569"/>
      <c r="F5569" s="35">
        <f>SUMIFS(F5570:F9015,K5570:K9015,"0",B5570:B9015,"5 1 2 1 4 12 31111 6 M59 19000 000132 0000R 00001 00214 011 2112000 2024 CP1TM440*")</f>
        <v>469272.61</v>
      </c>
      <c r="G5569" s="35">
        <f>SUMIFS(G5570:G9015,K5570:K9015,"0",B5570:B9015,"5 1 2 1 4 12 31111 6 M59 19000 000132 0000R 00001 00214 011 2112000 2024 CP1TM440*")</f>
        <v>0</v>
      </c>
      <c r="H5569" s="35">
        <f t="shared" si="87"/>
        <v>469272.61</v>
      </c>
      <c r="I5569" s="35"/>
      <c r="K5569" t="s">
        <v>15</v>
      </c>
    </row>
    <row r="5570" spans="2:11" ht="41.25" x14ac:dyDescent="0.2">
      <c r="B5570" s="33" t="s">
        <v>6539</v>
      </c>
      <c r="C5570" s="33" t="s">
        <v>46</v>
      </c>
      <c r="D5570" s="35">
        <f>SUMIFS(D5571:D9015,K5571:K9015,"0",B5571:B9015,"5 1 2 1 4 12 31111 6 M59 19000 000132 0000R 00001 00214 011 2112000 2024 CP1TM440 004*")-SUMIFS(E5571:E9015,K5571:K9015,"0",B5571:B9015,"5 1 2 1 4 12 31111 6 M59 19000 000132 0000R 00001 00214 011 2112000 2024 CP1TM440 004*")</f>
        <v>0</v>
      </c>
      <c r="E5570"/>
      <c r="F5570" s="35">
        <f>SUMIFS(F5571:F9015,K5571:K9015,"0",B5571:B9015,"5 1 2 1 4 12 31111 6 M59 19000 000132 0000R 00001 00214 011 2112000 2024 CP1TM440 004*")</f>
        <v>469272.61</v>
      </c>
      <c r="G5570" s="35">
        <f>SUMIFS(G5571:G9015,K5571:K9015,"0",B5571:B9015,"5 1 2 1 4 12 31111 6 M59 19000 000132 0000R 00001 00214 011 2112000 2024 CP1TM440 004*")</f>
        <v>0</v>
      </c>
      <c r="H5570" s="35">
        <f t="shared" si="87"/>
        <v>469272.61</v>
      </c>
      <c r="I5570" s="35"/>
      <c r="K5570" t="s">
        <v>15</v>
      </c>
    </row>
    <row r="5571" spans="2:11" ht="33" x14ac:dyDescent="0.2">
      <c r="B5571" s="31" t="s">
        <v>6540</v>
      </c>
      <c r="C5571" s="31" t="s">
        <v>6534</v>
      </c>
      <c r="D5571" s="34">
        <v>0</v>
      </c>
      <c r="E5571" s="34"/>
      <c r="F5571" s="34">
        <v>469272.61</v>
      </c>
      <c r="G5571" s="34">
        <v>0</v>
      </c>
      <c r="H5571" s="34">
        <f t="shared" si="87"/>
        <v>469272.61</v>
      </c>
      <c r="I5571" s="34"/>
      <c r="K5571" t="s">
        <v>38</v>
      </c>
    </row>
    <row r="5572" spans="2:11" ht="16.5" x14ac:dyDescent="0.2">
      <c r="B5572" s="33" t="s">
        <v>6541</v>
      </c>
      <c r="C5572" s="33" t="s">
        <v>1044</v>
      </c>
      <c r="D5572" s="35">
        <f>SUMIFS(D5573:D9015,K5573:K9015,"0",B5573:B9015,"5 1 2 1 4 12 31111 6 M59 20000*")-SUMIFS(E5573:E9015,K5573:K9015,"0",B5573:B9015,"5 1 2 1 4 12 31111 6 M59 20000*")</f>
        <v>0</v>
      </c>
      <c r="E5572"/>
      <c r="F5572" s="35">
        <f>SUMIFS(F5573:F9015,K5573:K9015,"0",B5573:B9015,"5 1 2 1 4 12 31111 6 M59 20000*")</f>
        <v>1633.35</v>
      </c>
      <c r="G5572" s="35">
        <f>SUMIFS(G5573:G9015,K5573:K9015,"0",B5573:B9015,"5 1 2 1 4 12 31111 6 M59 20000*")</f>
        <v>0</v>
      </c>
      <c r="H5572" s="35">
        <f t="shared" ref="H5572:H5635" si="88">D5572 + F5572 - G5572</f>
        <v>1633.35</v>
      </c>
      <c r="I5572" s="35"/>
      <c r="K5572" t="s">
        <v>15</v>
      </c>
    </row>
    <row r="5573" spans="2:11" ht="16.5" x14ac:dyDescent="0.2">
      <c r="B5573" s="33" t="s">
        <v>6542</v>
      </c>
      <c r="C5573" s="33" t="s">
        <v>648</v>
      </c>
      <c r="D5573" s="35">
        <f>SUMIFS(D5574:D9015,K5574:K9015,"0",B5574:B9015,"5 1 2 1 4 12 31111 6 M59 20000 000132*")-SUMIFS(E5574:E9015,K5574:K9015,"0",B5574:B9015,"5 1 2 1 4 12 31111 6 M59 20000 000132*")</f>
        <v>0</v>
      </c>
      <c r="E5573"/>
      <c r="F5573" s="35">
        <f>SUMIFS(F5574:F9015,K5574:K9015,"0",B5574:B9015,"5 1 2 1 4 12 31111 6 M59 20000 000132*")</f>
        <v>1633.35</v>
      </c>
      <c r="G5573" s="35">
        <f>SUMIFS(G5574:G9015,K5574:K9015,"0",B5574:B9015,"5 1 2 1 4 12 31111 6 M59 20000 000132*")</f>
        <v>0</v>
      </c>
      <c r="H5573" s="35">
        <f t="shared" si="88"/>
        <v>1633.35</v>
      </c>
      <c r="I5573" s="35"/>
      <c r="K5573" t="s">
        <v>15</v>
      </c>
    </row>
    <row r="5574" spans="2:11" ht="24.75" x14ac:dyDescent="0.2">
      <c r="B5574" s="33" t="s">
        <v>6543</v>
      </c>
      <c r="C5574" s="33" t="s">
        <v>650</v>
      </c>
      <c r="D5574" s="35">
        <f>SUMIFS(D5575:D9015,K5575:K9015,"0",B5575:B9015,"5 1 2 1 4 12 31111 6 M59 20000 000132 0000R*")-SUMIFS(E5575:E9015,K5575:K9015,"0",B5575:B9015,"5 1 2 1 4 12 31111 6 M59 20000 000132 0000R*")</f>
        <v>0</v>
      </c>
      <c r="E5574"/>
      <c r="F5574" s="35">
        <f>SUMIFS(F5575:F9015,K5575:K9015,"0",B5575:B9015,"5 1 2 1 4 12 31111 6 M59 20000 000132 0000R*")</f>
        <v>1633.35</v>
      </c>
      <c r="G5574" s="35">
        <f>SUMIFS(G5575:G9015,K5575:K9015,"0",B5575:B9015,"5 1 2 1 4 12 31111 6 M59 20000 000132 0000R*")</f>
        <v>0</v>
      </c>
      <c r="H5574" s="35">
        <f t="shared" si="88"/>
        <v>1633.35</v>
      </c>
      <c r="I5574" s="35"/>
      <c r="K5574" t="s">
        <v>15</v>
      </c>
    </row>
    <row r="5575" spans="2:11" ht="24.75" x14ac:dyDescent="0.2">
      <c r="B5575" s="33" t="s">
        <v>6544</v>
      </c>
      <c r="C5575" s="33" t="s">
        <v>282</v>
      </c>
      <c r="D5575" s="35">
        <f>SUMIFS(D5576:D9015,K5576:K9015,"0",B5576:B9015,"5 1 2 1 4 12 31111 6 M59 20000 000132 0000R 00001*")-SUMIFS(E5576:E9015,K5576:K9015,"0",B5576:B9015,"5 1 2 1 4 12 31111 6 M59 20000 000132 0000R 00001*")</f>
        <v>0</v>
      </c>
      <c r="E5575"/>
      <c r="F5575" s="35">
        <f>SUMIFS(F5576:F9015,K5576:K9015,"0",B5576:B9015,"5 1 2 1 4 12 31111 6 M59 20000 000132 0000R 00001*")</f>
        <v>1633.35</v>
      </c>
      <c r="G5575" s="35">
        <f>SUMIFS(G5576:G9015,K5576:K9015,"0",B5576:B9015,"5 1 2 1 4 12 31111 6 M59 20000 000132 0000R 00001*")</f>
        <v>0</v>
      </c>
      <c r="H5575" s="35">
        <f t="shared" si="88"/>
        <v>1633.35</v>
      </c>
      <c r="I5575" s="35"/>
      <c r="K5575" t="s">
        <v>15</v>
      </c>
    </row>
    <row r="5576" spans="2:11" ht="41.25" x14ac:dyDescent="0.2">
      <c r="B5576" s="33" t="s">
        <v>6545</v>
      </c>
      <c r="C5576" s="33" t="s">
        <v>6534</v>
      </c>
      <c r="D5576" s="35">
        <f>SUMIFS(D5577:D9015,K5577:K9015,"0",B5577:B9015,"5 1 2 1 4 12 31111 6 M59 20000 000132 0000R 00001 00214*")-SUMIFS(E5577:E9015,K5577:K9015,"0",B5577:B9015,"5 1 2 1 4 12 31111 6 M59 20000 000132 0000R 00001 00214*")</f>
        <v>0</v>
      </c>
      <c r="E5576"/>
      <c r="F5576" s="35">
        <f>SUMIFS(F5577:F9015,K5577:K9015,"0",B5577:B9015,"5 1 2 1 4 12 31111 6 M59 20000 000132 0000R 00001 00214*")</f>
        <v>1633.35</v>
      </c>
      <c r="G5576" s="35">
        <f>SUMIFS(G5577:G9015,K5577:K9015,"0",B5577:B9015,"5 1 2 1 4 12 31111 6 M59 20000 000132 0000R 00001 00214*")</f>
        <v>0</v>
      </c>
      <c r="H5576" s="35">
        <f t="shared" si="88"/>
        <v>1633.35</v>
      </c>
      <c r="I5576" s="35"/>
      <c r="K5576" t="s">
        <v>15</v>
      </c>
    </row>
    <row r="5577" spans="2:11" ht="33" x14ac:dyDescent="0.2">
      <c r="B5577" s="33" t="s">
        <v>6546</v>
      </c>
      <c r="C5577" s="33" t="s">
        <v>1051</v>
      </c>
      <c r="D5577" s="35">
        <f>SUMIFS(D5578:D9015,K5578:K9015,"0",B5578:B9015,"5 1 2 1 4 12 31111 6 M59 20000 000132 0000R 00001 00214 015*")-SUMIFS(E5578:E9015,K5578:K9015,"0",B5578:B9015,"5 1 2 1 4 12 31111 6 M59 20000 000132 0000R 00001 00214 015*")</f>
        <v>0</v>
      </c>
      <c r="E5577"/>
      <c r="F5577" s="35">
        <f>SUMIFS(F5578:F9015,K5578:K9015,"0",B5578:B9015,"5 1 2 1 4 12 31111 6 M59 20000 000132 0000R 00001 00214 015*")</f>
        <v>1633.35</v>
      </c>
      <c r="G5577" s="35">
        <f>SUMIFS(G5578:G9015,K5578:K9015,"0",B5578:B9015,"5 1 2 1 4 12 31111 6 M59 20000 000132 0000R 00001 00214 015*")</f>
        <v>0</v>
      </c>
      <c r="H5577" s="35">
        <f t="shared" si="88"/>
        <v>1633.35</v>
      </c>
      <c r="I5577" s="35"/>
      <c r="K5577" t="s">
        <v>15</v>
      </c>
    </row>
    <row r="5578" spans="2:11" ht="33" x14ac:dyDescent="0.2">
      <c r="B5578" s="33" t="s">
        <v>6547</v>
      </c>
      <c r="C5578" s="33" t="s">
        <v>5830</v>
      </c>
      <c r="D5578" s="35">
        <f>SUMIFS(D5579:D9015,K5579:K9015,"0",B5579:B9015,"5 1 2 1 4 12 31111 6 M59 20000 000132 0000R 00001 00214 015 2112000*")-SUMIFS(E5579:E9015,K5579:K9015,"0",B5579:B9015,"5 1 2 1 4 12 31111 6 M59 20000 000132 0000R 00001 00214 015 2112000*")</f>
        <v>0</v>
      </c>
      <c r="E5578"/>
      <c r="F5578" s="35">
        <f>SUMIFS(F5579:F9015,K5579:K9015,"0",B5579:B9015,"5 1 2 1 4 12 31111 6 M59 20000 000132 0000R 00001 00214 015 2112000*")</f>
        <v>1633.35</v>
      </c>
      <c r="G5578" s="35">
        <f>SUMIFS(G5579:G9015,K5579:K9015,"0",B5579:B9015,"5 1 2 1 4 12 31111 6 M59 20000 000132 0000R 00001 00214 015 2112000*")</f>
        <v>0</v>
      </c>
      <c r="H5578" s="35">
        <f t="shared" si="88"/>
        <v>1633.35</v>
      </c>
      <c r="I5578" s="35"/>
      <c r="K5578" t="s">
        <v>15</v>
      </c>
    </row>
    <row r="5579" spans="2:11" ht="33" x14ac:dyDescent="0.2">
      <c r="B5579" s="33" t="s">
        <v>6548</v>
      </c>
      <c r="C5579" s="33" t="s">
        <v>660</v>
      </c>
      <c r="D5579" s="35">
        <f>SUMIFS(D5580:D9015,K5580:K9015,"0",B5580:B9015,"5 1 2 1 4 12 31111 6 M59 20000 000132 0000R 00001 00214 015 2112000 2024*")-SUMIFS(E5580:E9015,K5580:K9015,"0",B5580:B9015,"5 1 2 1 4 12 31111 6 M59 20000 000132 0000R 00001 00214 015 2112000 2024*")</f>
        <v>0</v>
      </c>
      <c r="E5579"/>
      <c r="F5579" s="35">
        <f>SUMIFS(F5580:F9015,K5580:K9015,"0",B5580:B9015,"5 1 2 1 4 12 31111 6 M59 20000 000132 0000R 00001 00214 015 2112000 2024*")</f>
        <v>1633.35</v>
      </c>
      <c r="G5579" s="35">
        <f>SUMIFS(G5580:G9015,K5580:K9015,"0",B5580:B9015,"5 1 2 1 4 12 31111 6 M59 20000 000132 0000R 00001 00214 015 2112000 2024*")</f>
        <v>0</v>
      </c>
      <c r="H5579" s="35">
        <f t="shared" si="88"/>
        <v>1633.35</v>
      </c>
      <c r="I5579" s="35"/>
      <c r="K5579" t="s">
        <v>15</v>
      </c>
    </row>
    <row r="5580" spans="2:11" ht="41.25" x14ac:dyDescent="0.2">
      <c r="B5580" s="33" t="s">
        <v>6549</v>
      </c>
      <c r="C5580" s="33" t="s">
        <v>1056</v>
      </c>
      <c r="D5580" s="35">
        <f>SUMIFS(D5581:D9015,K5581:K9015,"0",B5581:B9015,"5 1 2 1 4 12 31111 6 M59 20000 000132 0000R 00001 00214 015 2112000 2024 CP1AF389*")-SUMIFS(E5581:E9015,K5581:K9015,"0",B5581:B9015,"5 1 2 1 4 12 31111 6 M59 20000 000132 0000R 00001 00214 015 2112000 2024 CP1AF389*")</f>
        <v>0</v>
      </c>
      <c r="E5580"/>
      <c r="F5580" s="35">
        <f>SUMIFS(F5581:F9015,K5581:K9015,"0",B5581:B9015,"5 1 2 1 4 12 31111 6 M59 20000 000132 0000R 00001 00214 015 2112000 2024 CP1AF389*")</f>
        <v>1633.35</v>
      </c>
      <c r="G5580" s="35">
        <f>SUMIFS(G5581:G9015,K5581:K9015,"0",B5581:B9015,"5 1 2 1 4 12 31111 6 M59 20000 000132 0000R 00001 00214 015 2112000 2024 CP1AF389*")</f>
        <v>0</v>
      </c>
      <c r="H5580" s="35">
        <f t="shared" si="88"/>
        <v>1633.35</v>
      </c>
      <c r="I5580" s="35"/>
      <c r="K5580" t="s">
        <v>15</v>
      </c>
    </row>
    <row r="5581" spans="2:11" ht="41.25" x14ac:dyDescent="0.2">
      <c r="B5581" s="33" t="s">
        <v>6550</v>
      </c>
      <c r="C5581" s="33" t="s">
        <v>282</v>
      </c>
      <c r="D5581" s="35">
        <f>SUMIFS(D5582:D9015,K5582:K9015,"0",B5582:B9015,"5 1 2 1 4 12 31111 6 M59 20000 000132 0000R 00001 00214 015 2112000 2024 CP1AF389 001*")-SUMIFS(E5582:E9015,K5582:K9015,"0",B5582:B9015,"5 1 2 1 4 12 31111 6 M59 20000 000132 0000R 00001 00214 015 2112000 2024 CP1AF389 001*")</f>
        <v>0</v>
      </c>
      <c r="E5581"/>
      <c r="F5581" s="35">
        <f>SUMIFS(F5582:F9015,K5582:K9015,"0",B5582:B9015,"5 1 2 1 4 12 31111 6 M59 20000 000132 0000R 00001 00214 015 2112000 2024 CP1AF389 001*")</f>
        <v>1633.35</v>
      </c>
      <c r="G5581" s="35">
        <f>SUMIFS(G5582:G9015,K5582:K9015,"0",B5582:B9015,"5 1 2 1 4 12 31111 6 M59 20000 000132 0000R 00001 00214 015 2112000 2024 CP1AF389 001*")</f>
        <v>0</v>
      </c>
      <c r="H5581" s="35">
        <f t="shared" si="88"/>
        <v>1633.35</v>
      </c>
      <c r="I5581" s="35"/>
      <c r="K5581" t="s">
        <v>15</v>
      </c>
    </row>
    <row r="5582" spans="2:11" ht="41.25" x14ac:dyDescent="0.2">
      <c r="B5582" s="31" t="s">
        <v>6551</v>
      </c>
      <c r="C5582" s="31" t="s">
        <v>6534</v>
      </c>
      <c r="D5582" s="34">
        <v>0</v>
      </c>
      <c r="E5582" s="34"/>
      <c r="F5582" s="34">
        <v>1633.35</v>
      </c>
      <c r="G5582" s="34">
        <v>0</v>
      </c>
      <c r="H5582" s="34">
        <f t="shared" si="88"/>
        <v>1633.35</v>
      </c>
      <c r="I5582" s="34"/>
      <c r="K5582" t="s">
        <v>38</v>
      </c>
    </row>
    <row r="5583" spans="2:11" ht="16.5" x14ac:dyDescent="0.2">
      <c r="B5583" s="33" t="s">
        <v>6552</v>
      </c>
      <c r="C5583" s="33" t="s">
        <v>1061</v>
      </c>
      <c r="D5583" s="35">
        <f>SUMIFS(D5584:D9015,K5584:K9015,"0",B5584:B9015,"5 1 2 1 4 12 31111 6 M59 20300*")-SUMIFS(E5584:E9015,K5584:K9015,"0",B5584:B9015,"5 1 2 1 4 12 31111 6 M59 20300*")</f>
        <v>0</v>
      </c>
      <c r="E5583"/>
      <c r="F5583" s="35">
        <f>SUMIFS(F5584:F9015,K5584:K9015,"0",B5584:B9015,"5 1 2 1 4 12 31111 6 M59 20300*")</f>
        <v>109468.04</v>
      </c>
      <c r="G5583" s="35">
        <f>SUMIFS(G5584:G9015,K5584:K9015,"0",B5584:B9015,"5 1 2 1 4 12 31111 6 M59 20300*")</f>
        <v>0</v>
      </c>
      <c r="H5583" s="35">
        <f t="shared" si="88"/>
        <v>109468.04</v>
      </c>
      <c r="I5583" s="35"/>
      <c r="K5583" t="s">
        <v>15</v>
      </c>
    </row>
    <row r="5584" spans="2:11" ht="16.5" x14ac:dyDescent="0.2">
      <c r="B5584" s="33" t="s">
        <v>6553</v>
      </c>
      <c r="C5584" s="33" t="s">
        <v>1063</v>
      </c>
      <c r="D5584" s="35">
        <f>SUMIFS(D5585:D9015,K5585:K9015,"0",B5585:B9015,"5 1 2 1 4 12 31111 6 M59 20300 000139*")-SUMIFS(E5585:E9015,K5585:K9015,"0",B5585:B9015,"5 1 2 1 4 12 31111 6 M59 20300 000139*")</f>
        <v>0</v>
      </c>
      <c r="E5584"/>
      <c r="F5584" s="35">
        <f>SUMIFS(F5585:F9015,K5585:K9015,"0",B5585:B9015,"5 1 2 1 4 12 31111 6 M59 20300 000139*")</f>
        <v>109468.04</v>
      </c>
      <c r="G5584" s="35">
        <f>SUMIFS(G5585:G9015,K5585:K9015,"0",B5585:B9015,"5 1 2 1 4 12 31111 6 M59 20300 000139*")</f>
        <v>0</v>
      </c>
      <c r="H5584" s="35">
        <f t="shared" si="88"/>
        <v>109468.04</v>
      </c>
      <c r="I5584" s="35"/>
      <c r="K5584" t="s">
        <v>15</v>
      </c>
    </row>
    <row r="5585" spans="2:11" ht="24.75" x14ac:dyDescent="0.2">
      <c r="B5585" s="33" t="s">
        <v>6554</v>
      </c>
      <c r="C5585" s="33" t="s">
        <v>1065</v>
      </c>
      <c r="D5585" s="35">
        <f>SUMIFS(D5586:D9015,K5586:K9015,"0",B5586:B9015,"5 1 2 1 4 12 31111 6 M59 20300 000139 0000E*")-SUMIFS(E5586:E9015,K5586:K9015,"0",B5586:B9015,"5 1 2 1 4 12 31111 6 M59 20300 000139 0000E*")</f>
        <v>0</v>
      </c>
      <c r="E5585"/>
      <c r="F5585" s="35">
        <f>SUMIFS(F5586:F9015,K5586:K9015,"0",B5586:B9015,"5 1 2 1 4 12 31111 6 M59 20300 000139 0000E*")</f>
        <v>109468.04</v>
      </c>
      <c r="G5585" s="35">
        <f>SUMIFS(G5586:G9015,K5586:K9015,"0",B5586:B9015,"5 1 2 1 4 12 31111 6 M59 20300 000139 0000E*")</f>
        <v>0</v>
      </c>
      <c r="H5585" s="35">
        <f t="shared" si="88"/>
        <v>109468.04</v>
      </c>
      <c r="I5585" s="35"/>
      <c r="K5585" t="s">
        <v>15</v>
      </c>
    </row>
    <row r="5586" spans="2:11" ht="24.75" x14ac:dyDescent="0.2">
      <c r="B5586" s="33" t="s">
        <v>6555</v>
      </c>
      <c r="C5586" s="33" t="s">
        <v>282</v>
      </c>
      <c r="D5586" s="35">
        <f>SUMIFS(D5587:D9015,K5587:K9015,"0",B5587:B9015,"5 1 2 1 4 12 31111 6 M59 20300 000139 0000E 00001*")-SUMIFS(E5587:E9015,K5587:K9015,"0",B5587:B9015,"5 1 2 1 4 12 31111 6 M59 20300 000139 0000E 00001*")</f>
        <v>0</v>
      </c>
      <c r="E5586"/>
      <c r="F5586" s="35">
        <f>SUMIFS(F5587:F9015,K5587:K9015,"0",B5587:B9015,"5 1 2 1 4 12 31111 6 M59 20300 000139 0000E 00001*")</f>
        <v>109468.04</v>
      </c>
      <c r="G5586" s="35">
        <f>SUMIFS(G5587:G9015,K5587:K9015,"0",B5587:B9015,"5 1 2 1 4 12 31111 6 M59 20300 000139 0000E 00001*")</f>
        <v>0</v>
      </c>
      <c r="H5586" s="35">
        <f t="shared" si="88"/>
        <v>109468.04</v>
      </c>
      <c r="I5586" s="35"/>
      <c r="K5586" t="s">
        <v>15</v>
      </c>
    </row>
    <row r="5587" spans="2:11" ht="41.25" x14ac:dyDescent="0.2">
      <c r="B5587" s="33" t="s">
        <v>6556</v>
      </c>
      <c r="C5587" s="33" t="s">
        <v>6534</v>
      </c>
      <c r="D5587" s="35">
        <f>SUMIFS(D5588:D9015,K5588:K9015,"0",B5588:B9015,"5 1 2 1 4 12 31111 6 M59 20300 000139 0000E 00001 00214*")-SUMIFS(E5588:E9015,K5588:K9015,"0",B5588:B9015,"5 1 2 1 4 12 31111 6 M59 20300 000139 0000E 00001 00214*")</f>
        <v>0</v>
      </c>
      <c r="E5587"/>
      <c r="F5587" s="35">
        <f>SUMIFS(F5588:F9015,K5588:K9015,"0",B5588:B9015,"5 1 2 1 4 12 31111 6 M59 20300 000139 0000E 00001 00214*")</f>
        <v>109468.04</v>
      </c>
      <c r="G5587" s="35">
        <f>SUMIFS(G5588:G9015,K5588:K9015,"0",B5588:B9015,"5 1 2 1 4 12 31111 6 M59 20300 000139 0000E 00001 00214*")</f>
        <v>0</v>
      </c>
      <c r="H5587" s="35">
        <f t="shared" si="88"/>
        <v>109468.04</v>
      </c>
      <c r="I5587" s="35"/>
      <c r="K5587" t="s">
        <v>15</v>
      </c>
    </row>
    <row r="5588" spans="2:11" ht="33" x14ac:dyDescent="0.2">
      <c r="B5588" s="33" t="s">
        <v>6557</v>
      </c>
      <c r="C5588" s="33" t="s">
        <v>1051</v>
      </c>
      <c r="D5588" s="35">
        <f>SUMIFS(D5589:D9015,K5589:K9015,"0",B5589:B9015,"5 1 2 1 4 12 31111 6 M59 20300 000139 0000E 00001 00214 015*")-SUMIFS(E5589:E9015,K5589:K9015,"0",B5589:B9015,"5 1 2 1 4 12 31111 6 M59 20300 000139 0000E 00001 00214 015*")</f>
        <v>0</v>
      </c>
      <c r="E5588"/>
      <c r="F5588" s="35">
        <f>SUMIFS(F5589:F9015,K5589:K9015,"0",B5589:B9015,"5 1 2 1 4 12 31111 6 M59 20300 000139 0000E 00001 00214 015*")</f>
        <v>109468.04</v>
      </c>
      <c r="G5588" s="35">
        <f>SUMIFS(G5589:G9015,K5589:K9015,"0",B5589:B9015,"5 1 2 1 4 12 31111 6 M59 20300 000139 0000E 00001 00214 015*")</f>
        <v>0</v>
      </c>
      <c r="H5588" s="35">
        <f t="shared" si="88"/>
        <v>109468.04</v>
      </c>
      <c r="I5588" s="35"/>
      <c r="K5588" t="s">
        <v>15</v>
      </c>
    </row>
    <row r="5589" spans="2:11" ht="33" x14ac:dyDescent="0.2">
      <c r="B5589" s="33" t="s">
        <v>6558</v>
      </c>
      <c r="C5589" s="33" t="s">
        <v>5830</v>
      </c>
      <c r="D5589" s="35">
        <f>SUMIFS(D5590:D9015,K5590:K9015,"0",B5590:B9015,"5 1 2 1 4 12 31111 6 M59 20300 000139 0000E 00001 00214 015 2112000*")-SUMIFS(E5590:E9015,K5590:K9015,"0",B5590:B9015,"5 1 2 1 4 12 31111 6 M59 20300 000139 0000E 00001 00214 015 2112000*")</f>
        <v>0</v>
      </c>
      <c r="E5589"/>
      <c r="F5589" s="35">
        <f>SUMIFS(F5590:F9015,K5590:K9015,"0",B5590:B9015,"5 1 2 1 4 12 31111 6 M59 20300 000139 0000E 00001 00214 015 2112000*")</f>
        <v>109468.04</v>
      </c>
      <c r="G5589" s="35">
        <f>SUMIFS(G5590:G9015,K5590:K9015,"0",B5590:B9015,"5 1 2 1 4 12 31111 6 M59 20300 000139 0000E 00001 00214 015 2112000*")</f>
        <v>0</v>
      </c>
      <c r="H5589" s="35">
        <f t="shared" si="88"/>
        <v>109468.04</v>
      </c>
      <c r="I5589" s="35"/>
      <c r="K5589" t="s">
        <v>15</v>
      </c>
    </row>
    <row r="5590" spans="2:11" ht="33" x14ac:dyDescent="0.2">
      <c r="B5590" s="33" t="s">
        <v>6559</v>
      </c>
      <c r="C5590" s="33" t="s">
        <v>660</v>
      </c>
      <c r="D5590" s="35">
        <f>SUMIFS(D5591:D9015,K5591:K9015,"0",B5591:B9015,"5 1 2 1 4 12 31111 6 M59 20300 000139 0000E 00001 00214 015 2112000 2024*")-SUMIFS(E5591:E9015,K5591:K9015,"0",B5591:B9015,"5 1 2 1 4 12 31111 6 M59 20300 000139 0000E 00001 00214 015 2112000 2024*")</f>
        <v>0</v>
      </c>
      <c r="E5590"/>
      <c r="F5590" s="35">
        <f>SUMIFS(F5591:F9015,K5591:K9015,"0",B5591:B9015,"5 1 2 1 4 12 31111 6 M59 20300 000139 0000E 00001 00214 015 2112000 2024*")</f>
        <v>109468.04</v>
      </c>
      <c r="G5590" s="35">
        <f>SUMIFS(G5591:G9015,K5591:K9015,"0",B5591:B9015,"5 1 2 1 4 12 31111 6 M59 20300 000139 0000E 00001 00214 015 2112000 2024*")</f>
        <v>0</v>
      </c>
      <c r="H5590" s="35">
        <f t="shared" si="88"/>
        <v>109468.04</v>
      </c>
      <c r="I5590" s="35"/>
      <c r="K5590" t="s">
        <v>15</v>
      </c>
    </row>
    <row r="5591" spans="2:11" ht="41.25" x14ac:dyDescent="0.2">
      <c r="B5591" s="33" t="s">
        <v>6560</v>
      </c>
      <c r="C5591" s="33" t="s">
        <v>1073</v>
      </c>
      <c r="D5591" s="35">
        <f>SUMIFS(D5592:D9015,K5592:K9015,"0",B5592:B9015,"5 1 2 1 4 12 31111 6 M59 20300 000139 0000E 00001 00214 015 2112000 2024 CP2DE533*")-SUMIFS(E5592:E9015,K5592:K9015,"0",B5592:B9015,"5 1 2 1 4 12 31111 6 M59 20300 000139 0000E 00001 00214 015 2112000 2024 CP2DE533*")</f>
        <v>0</v>
      </c>
      <c r="E5591"/>
      <c r="F5591" s="35">
        <f>SUMIFS(F5592:F9015,K5592:K9015,"0",B5592:B9015,"5 1 2 1 4 12 31111 6 M59 20300 000139 0000E 00001 00214 015 2112000 2024 CP2DE533*")</f>
        <v>109468.04</v>
      </c>
      <c r="G5591" s="35">
        <f>SUMIFS(G5592:G9015,K5592:K9015,"0",B5592:B9015,"5 1 2 1 4 12 31111 6 M59 20300 000139 0000E 00001 00214 015 2112000 2024 CP2DE533*")</f>
        <v>0</v>
      </c>
      <c r="H5591" s="35">
        <f t="shared" si="88"/>
        <v>109468.04</v>
      </c>
      <c r="I5591" s="35"/>
      <c r="K5591" t="s">
        <v>15</v>
      </c>
    </row>
    <row r="5592" spans="2:11" ht="41.25" x14ac:dyDescent="0.2">
      <c r="B5592" s="33" t="s">
        <v>6561</v>
      </c>
      <c r="C5592" s="33" t="s">
        <v>1075</v>
      </c>
      <c r="D5592" s="35">
        <f>SUMIFS(D5593:D9015,K5593:K9015,"0",B5593:B9015,"5 1 2 1 4 12 31111 6 M59 20300 000139 0000E 00001 00214 015 2112000 2024 CP2DE533 005*")-SUMIFS(E5593:E9015,K5593:K9015,"0",B5593:B9015,"5 1 2 1 4 12 31111 6 M59 20300 000139 0000E 00001 00214 015 2112000 2024 CP2DE533 005*")</f>
        <v>0</v>
      </c>
      <c r="E5592"/>
      <c r="F5592" s="35">
        <f>SUMIFS(F5593:F9015,K5593:K9015,"0",B5593:B9015,"5 1 2 1 4 12 31111 6 M59 20300 000139 0000E 00001 00214 015 2112000 2024 CP2DE533 005*")</f>
        <v>109468.04</v>
      </c>
      <c r="G5592" s="35">
        <f>SUMIFS(G5593:G9015,K5593:K9015,"0",B5593:B9015,"5 1 2 1 4 12 31111 6 M59 20300 000139 0000E 00001 00214 015 2112000 2024 CP2DE533 005*")</f>
        <v>0</v>
      </c>
      <c r="H5592" s="35">
        <f t="shared" si="88"/>
        <v>109468.04</v>
      </c>
      <c r="I5592" s="35"/>
      <c r="K5592" t="s">
        <v>15</v>
      </c>
    </row>
    <row r="5593" spans="2:11" ht="33" x14ac:dyDescent="0.2">
      <c r="B5593" s="31" t="s">
        <v>6562</v>
      </c>
      <c r="C5593" s="31" t="s">
        <v>6563</v>
      </c>
      <c r="D5593" s="34">
        <v>0</v>
      </c>
      <c r="E5593" s="34"/>
      <c r="F5593" s="34">
        <v>109468.04</v>
      </c>
      <c r="G5593" s="34">
        <v>0</v>
      </c>
      <c r="H5593" s="34">
        <f t="shared" si="88"/>
        <v>109468.04</v>
      </c>
      <c r="I5593" s="34"/>
      <c r="K5593" t="s">
        <v>38</v>
      </c>
    </row>
    <row r="5594" spans="2:11" ht="16.5" x14ac:dyDescent="0.2">
      <c r="B5594" s="33" t="s">
        <v>6564</v>
      </c>
      <c r="C5594" s="33" t="s">
        <v>1079</v>
      </c>
      <c r="D5594" s="35">
        <f>SUMIFS(D5595:D9015,K5595:K9015,"0",B5595:B9015,"5 1 2 1 4 12 31111 6 M59 20500*")-SUMIFS(E5595:E9015,K5595:K9015,"0",B5595:B9015,"5 1 2 1 4 12 31111 6 M59 20500*")</f>
        <v>0</v>
      </c>
      <c r="E5594"/>
      <c r="F5594" s="35">
        <f>SUMIFS(F5595:F9015,K5595:K9015,"0",B5595:B9015,"5 1 2 1 4 12 31111 6 M59 20500*")</f>
        <v>209</v>
      </c>
      <c r="G5594" s="35">
        <f>SUMIFS(G5595:G9015,K5595:K9015,"0",B5595:B9015,"5 1 2 1 4 12 31111 6 M59 20500*")</f>
        <v>0</v>
      </c>
      <c r="H5594" s="35">
        <f t="shared" si="88"/>
        <v>209</v>
      </c>
      <c r="I5594" s="35"/>
      <c r="K5594" t="s">
        <v>15</v>
      </c>
    </row>
    <row r="5595" spans="2:11" ht="16.5" x14ac:dyDescent="0.2">
      <c r="B5595" s="33" t="s">
        <v>6565</v>
      </c>
      <c r="C5595" s="33" t="s">
        <v>648</v>
      </c>
      <c r="D5595" s="35">
        <f>SUMIFS(D5596:D9015,K5596:K9015,"0",B5596:B9015,"5 1 2 1 4 12 31111 6 M59 20500 000132*")-SUMIFS(E5596:E9015,K5596:K9015,"0",B5596:B9015,"5 1 2 1 4 12 31111 6 M59 20500 000132*")</f>
        <v>0</v>
      </c>
      <c r="E5595"/>
      <c r="F5595" s="35">
        <f>SUMIFS(F5596:F9015,K5596:K9015,"0",B5596:B9015,"5 1 2 1 4 12 31111 6 M59 20500 000132*")</f>
        <v>209</v>
      </c>
      <c r="G5595" s="35">
        <f>SUMIFS(G5596:G9015,K5596:K9015,"0",B5596:B9015,"5 1 2 1 4 12 31111 6 M59 20500 000132*")</f>
        <v>0</v>
      </c>
      <c r="H5595" s="35">
        <f t="shared" si="88"/>
        <v>209</v>
      </c>
      <c r="I5595" s="35"/>
      <c r="K5595" t="s">
        <v>15</v>
      </c>
    </row>
    <row r="5596" spans="2:11" ht="24.75" x14ac:dyDescent="0.2">
      <c r="B5596" s="33" t="s">
        <v>6566</v>
      </c>
      <c r="C5596" s="33" t="s">
        <v>650</v>
      </c>
      <c r="D5596" s="35">
        <f>SUMIFS(D5597:D9015,K5597:K9015,"0",B5597:B9015,"5 1 2 1 4 12 31111 6 M59 20500 000132 0000R*")-SUMIFS(E5597:E9015,K5597:K9015,"0",B5597:B9015,"5 1 2 1 4 12 31111 6 M59 20500 000132 0000R*")</f>
        <v>0</v>
      </c>
      <c r="E5596"/>
      <c r="F5596" s="35">
        <f>SUMIFS(F5597:F9015,K5597:K9015,"0",B5597:B9015,"5 1 2 1 4 12 31111 6 M59 20500 000132 0000R*")</f>
        <v>209</v>
      </c>
      <c r="G5596" s="35">
        <f>SUMIFS(G5597:G9015,K5597:K9015,"0",B5597:B9015,"5 1 2 1 4 12 31111 6 M59 20500 000132 0000R*")</f>
        <v>0</v>
      </c>
      <c r="H5596" s="35">
        <f t="shared" si="88"/>
        <v>209</v>
      </c>
      <c r="I5596" s="35"/>
      <c r="K5596" t="s">
        <v>15</v>
      </c>
    </row>
    <row r="5597" spans="2:11" ht="24.75" x14ac:dyDescent="0.2">
      <c r="B5597" s="33" t="s">
        <v>6567</v>
      </c>
      <c r="C5597" s="33" t="s">
        <v>282</v>
      </c>
      <c r="D5597" s="35">
        <f>SUMIFS(D5598:D9015,K5598:K9015,"0",B5598:B9015,"5 1 2 1 4 12 31111 6 M59 20500 000132 0000R 00001*")-SUMIFS(E5598:E9015,K5598:K9015,"0",B5598:B9015,"5 1 2 1 4 12 31111 6 M59 20500 000132 0000R 00001*")</f>
        <v>0</v>
      </c>
      <c r="E5597"/>
      <c r="F5597" s="35">
        <f>SUMIFS(F5598:F9015,K5598:K9015,"0",B5598:B9015,"5 1 2 1 4 12 31111 6 M59 20500 000132 0000R 00001*")</f>
        <v>209</v>
      </c>
      <c r="G5597" s="35">
        <f>SUMIFS(G5598:G9015,K5598:K9015,"0",B5598:B9015,"5 1 2 1 4 12 31111 6 M59 20500 000132 0000R 00001*")</f>
        <v>0</v>
      </c>
      <c r="H5597" s="35">
        <f t="shared" si="88"/>
        <v>209</v>
      </c>
      <c r="I5597" s="35"/>
      <c r="K5597" t="s">
        <v>15</v>
      </c>
    </row>
    <row r="5598" spans="2:11" ht="41.25" x14ac:dyDescent="0.2">
      <c r="B5598" s="33" t="s">
        <v>6568</v>
      </c>
      <c r="C5598" s="33" t="s">
        <v>6534</v>
      </c>
      <c r="D5598" s="35">
        <f>SUMIFS(D5599:D9015,K5599:K9015,"0",B5599:B9015,"5 1 2 1 4 12 31111 6 M59 20500 000132 0000R 00001 00214*")-SUMIFS(E5599:E9015,K5599:K9015,"0",B5599:B9015,"5 1 2 1 4 12 31111 6 M59 20500 000132 0000R 00001 00214*")</f>
        <v>0</v>
      </c>
      <c r="E5598"/>
      <c r="F5598" s="35">
        <f>SUMIFS(F5599:F9015,K5599:K9015,"0",B5599:B9015,"5 1 2 1 4 12 31111 6 M59 20500 000132 0000R 00001 00214*")</f>
        <v>209</v>
      </c>
      <c r="G5598" s="35">
        <f>SUMIFS(G5599:G9015,K5599:K9015,"0",B5599:B9015,"5 1 2 1 4 12 31111 6 M59 20500 000132 0000R 00001 00214*")</f>
        <v>0</v>
      </c>
      <c r="H5598" s="35">
        <f t="shared" si="88"/>
        <v>209</v>
      </c>
      <c r="I5598" s="35"/>
      <c r="K5598" t="s">
        <v>15</v>
      </c>
    </row>
    <row r="5599" spans="2:11" ht="33" x14ac:dyDescent="0.2">
      <c r="B5599" s="33" t="s">
        <v>6569</v>
      </c>
      <c r="C5599" s="33" t="s">
        <v>1051</v>
      </c>
      <c r="D5599" s="35">
        <f>SUMIFS(D5600:D9015,K5600:K9015,"0",B5600:B9015,"5 1 2 1 4 12 31111 6 M59 20500 000132 0000R 00001 00214 015*")-SUMIFS(E5600:E9015,K5600:K9015,"0",B5600:B9015,"5 1 2 1 4 12 31111 6 M59 20500 000132 0000R 00001 00214 015*")</f>
        <v>0</v>
      </c>
      <c r="E5599"/>
      <c r="F5599" s="35">
        <f>SUMIFS(F5600:F9015,K5600:K9015,"0",B5600:B9015,"5 1 2 1 4 12 31111 6 M59 20500 000132 0000R 00001 00214 015*")</f>
        <v>209</v>
      </c>
      <c r="G5599" s="35">
        <f>SUMIFS(G5600:G9015,K5600:K9015,"0",B5600:B9015,"5 1 2 1 4 12 31111 6 M59 20500 000132 0000R 00001 00214 015*")</f>
        <v>0</v>
      </c>
      <c r="H5599" s="35">
        <f t="shared" si="88"/>
        <v>209</v>
      </c>
      <c r="I5599" s="35"/>
      <c r="K5599" t="s">
        <v>15</v>
      </c>
    </row>
    <row r="5600" spans="2:11" ht="33" x14ac:dyDescent="0.2">
      <c r="B5600" s="33" t="s">
        <v>6570</v>
      </c>
      <c r="C5600" s="33" t="s">
        <v>5830</v>
      </c>
      <c r="D5600" s="35">
        <f>SUMIFS(D5601:D9015,K5601:K9015,"0",B5601:B9015,"5 1 2 1 4 12 31111 6 M59 20500 000132 0000R 00001 00214 015 2112000*")-SUMIFS(E5601:E9015,K5601:K9015,"0",B5601:B9015,"5 1 2 1 4 12 31111 6 M59 20500 000132 0000R 00001 00214 015 2112000*")</f>
        <v>0</v>
      </c>
      <c r="E5600"/>
      <c r="F5600" s="35">
        <f>SUMIFS(F5601:F9015,K5601:K9015,"0",B5601:B9015,"5 1 2 1 4 12 31111 6 M59 20500 000132 0000R 00001 00214 015 2112000*")</f>
        <v>209</v>
      </c>
      <c r="G5600" s="35">
        <f>SUMIFS(G5601:G9015,K5601:K9015,"0",B5601:B9015,"5 1 2 1 4 12 31111 6 M59 20500 000132 0000R 00001 00214 015 2112000*")</f>
        <v>0</v>
      </c>
      <c r="H5600" s="35">
        <f t="shared" si="88"/>
        <v>209</v>
      </c>
      <c r="I5600" s="35"/>
      <c r="K5600" t="s">
        <v>15</v>
      </c>
    </row>
    <row r="5601" spans="2:11" ht="33" x14ac:dyDescent="0.2">
      <c r="B5601" s="33" t="s">
        <v>6571</v>
      </c>
      <c r="C5601" s="33" t="s">
        <v>660</v>
      </c>
      <c r="D5601" s="35">
        <f>SUMIFS(D5602:D9015,K5602:K9015,"0",B5602:B9015,"5 1 2 1 4 12 31111 6 M59 20500 000132 0000R 00001 00214 015 2112000 2024*")-SUMIFS(E5602:E9015,K5602:K9015,"0",B5602:B9015,"5 1 2 1 4 12 31111 6 M59 20500 000132 0000R 00001 00214 015 2112000 2024*")</f>
        <v>0</v>
      </c>
      <c r="E5601"/>
      <c r="F5601" s="35">
        <f>SUMIFS(F5602:F9015,K5602:K9015,"0",B5602:B9015,"5 1 2 1 4 12 31111 6 M59 20500 000132 0000R 00001 00214 015 2112000 2024*")</f>
        <v>209</v>
      </c>
      <c r="G5601" s="35">
        <f>SUMIFS(G5602:G9015,K5602:K9015,"0",B5602:B9015,"5 1 2 1 4 12 31111 6 M59 20500 000132 0000R 00001 00214 015 2112000 2024*")</f>
        <v>0</v>
      </c>
      <c r="H5601" s="35">
        <f t="shared" si="88"/>
        <v>209</v>
      </c>
      <c r="I5601" s="35"/>
      <c r="K5601" t="s">
        <v>15</v>
      </c>
    </row>
    <row r="5602" spans="2:11" ht="41.25" x14ac:dyDescent="0.2">
      <c r="B5602" s="33" t="s">
        <v>6572</v>
      </c>
      <c r="C5602" s="33" t="s">
        <v>1056</v>
      </c>
      <c r="D5602" s="35">
        <f>SUMIFS(D5603:D9015,K5603:K9015,"0",B5603:B9015,"5 1 2 1 4 12 31111 6 M59 20500 000132 0000R 00001 00214 015 2112000 2024 CP1CP420*")-SUMIFS(E5603:E9015,K5603:K9015,"0",B5603:B9015,"5 1 2 1 4 12 31111 6 M59 20500 000132 0000R 00001 00214 015 2112000 2024 CP1CP420*")</f>
        <v>0</v>
      </c>
      <c r="E5602"/>
      <c r="F5602" s="35">
        <f>SUMIFS(F5603:F9015,K5603:K9015,"0",B5603:B9015,"5 1 2 1 4 12 31111 6 M59 20500 000132 0000R 00001 00214 015 2112000 2024 CP1CP420*")</f>
        <v>209</v>
      </c>
      <c r="G5602" s="35">
        <f>SUMIFS(G5603:G9015,K5603:K9015,"0",B5603:B9015,"5 1 2 1 4 12 31111 6 M59 20500 000132 0000R 00001 00214 015 2112000 2024 CP1CP420*")</f>
        <v>0</v>
      </c>
      <c r="H5602" s="35">
        <f t="shared" si="88"/>
        <v>209</v>
      </c>
      <c r="I5602" s="35"/>
      <c r="K5602" t="s">
        <v>15</v>
      </c>
    </row>
    <row r="5603" spans="2:11" ht="41.25" x14ac:dyDescent="0.2">
      <c r="B5603" s="33" t="s">
        <v>6573</v>
      </c>
      <c r="C5603" s="33" t="s">
        <v>282</v>
      </c>
      <c r="D5603" s="35">
        <f>SUMIFS(D5604:D9015,K5604:K9015,"0",B5604:B9015,"5 1 2 1 4 12 31111 6 M59 20500 000132 0000R 00001 00214 015 2112000 2024 CP1CP420 001*")-SUMIFS(E5604:E9015,K5604:K9015,"0",B5604:B9015,"5 1 2 1 4 12 31111 6 M59 20500 000132 0000R 00001 00214 015 2112000 2024 CP1CP420 001*")</f>
        <v>0</v>
      </c>
      <c r="E5603"/>
      <c r="F5603" s="35">
        <f>SUMIFS(F5604:F9015,K5604:K9015,"0",B5604:B9015,"5 1 2 1 4 12 31111 6 M59 20500 000132 0000R 00001 00214 015 2112000 2024 CP1CP420 001*")</f>
        <v>209</v>
      </c>
      <c r="G5603" s="35">
        <f>SUMIFS(G5604:G9015,K5604:K9015,"0",B5604:B9015,"5 1 2 1 4 12 31111 6 M59 20500 000132 0000R 00001 00214 015 2112000 2024 CP1CP420 001*")</f>
        <v>0</v>
      </c>
      <c r="H5603" s="35">
        <f t="shared" si="88"/>
        <v>209</v>
      </c>
      <c r="I5603" s="35"/>
      <c r="K5603" t="s">
        <v>15</v>
      </c>
    </row>
    <row r="5604" spans="2:11" ht="33" x14ac:dyDescent="0.2">
      <c r="B5604" s="31" t="s">
        <v>6574</v>
      </c>
      <c r="C5604" s="31" t="s">
        <v>6534</v>
      </c>
      <c r="D5604" s="34">
        <v>0</v>
      </c>
      <c r="E5604" s="34"/>
      <c r="F5604" s="34">
        <v>209</v>
      </c>
      <c r="G5604" s="34">
        <v>0</v>
      </c>
      <c r="H5604" s="34">
        <f t="shared" si="88"/>
        <v>209</v>
      </c>
      <c r="I5604" s="34"/>
      <c r="K5604" t="s">
        <v>38</v>
      </c>
    </row>
    <row r="5605" spans="2:11" ht="16.5" x14ac:dyDescent="0.2">
      <c r="B5605" s="33" t="s">
        <v>6575</v>
      </c>
      <c r="C5605" s="33" t="s">
        <v>1092</v>
      </c>
      <c r="D5605" s="35">
        <f>SUMIFS(D5606:D9015,K5606:K9015,"0",B5606:B9015,"5 1 2 1 4 12 31111 6 M59 40000*")-SUMIFS(E5606:E9015,K5606:K9015,"0",B5606:B9015,"5 1 2 1 4 12 31111 6 M59 40000*")</f>
        <v>0</v>
      </c>
      <c r="E5605"/>
      <c r="F5605" s="35">
        <f>SUMIFS(F5606:F9015,K5606:K9015,"0",B5606:B9015,"5 1 2 1 4 12 31111 6 M59 40000*")</f>
        <v>58484.01</v>
      </c>
      <c r="G5605" s="35">
        <f>SUMIFS(G5606:G9015,K5606:K9015,"0",B5606:B9015,"5 1 2 1 4 12 31111 6 M59 40000*")</f>
        <v>0</v>
      </c>
      <c r="H5605" s="35">
        <f t="shared" si="88"/>
        <v>58484.01</v>
      </c>
      <c r="I5605" s="35"/>
      <c r="K5605" t="s">
        <v>15</v>
      </c>
    </row>
    <row r="5606" spans="2:11" ht="16.5" x14ac:dyDescent="0.2">
      <c r="B5606" s="33" t="s">
        <v>6576</v>
      </c>
      <c r="C5606" s="33" t="s">
        <v>1094</v>
      </c>
      <c r="D5606" s="35">
        <f>SUMIFS(D5607:D9015,K5607:K9015,"0",B5607:B9015,"5 1 2 1 4 12 31111 6 M59 40000 000161*")-SUMIFS(E5607:E9015,K5607:K9015,"0",B5607:B9015,"5 1 2 1 4 12 31111 6 M59 40000 000161*")</f>
        <v>0</v>
      </c>
      <c r="E5606"/>
      <c r="F5606" s="35">
        <f>SUMIFS(F5607:F9015,K5607:K9015,"0",B5607:B9015,"5 1 2 1 4 12 31111 6 M59 40000 000161*")</f>
        <v>58484.01</v>
      </c>
      <c r="G5606" s="35">
        <f>SUMIFS(G5607:G9015,K5607:K9015,"0",B5607:B9015,"5 1 2 1 4 12 31111 6 M59 40000 000161*")</f>
        <v>0</v>
      </c>
      <c r="H5606" s="35">
        <f t="shared" si="88"/>
        <v>58484.01</v>
      </c>
      <c r="I5606" s="35"/>
      <c r="K5606" t="s">
        <v>15</v>
      </c>
    </row>
    <row r="5607" spans="2:11" ht="24.75" x14ac:dyDescent="0.2">
      <c r="B5607" s="33" t="s">
        <v>6577</v>
      </c>
      <c r="C5607" s="33" t="s">
        <v>1065</v>
      </c>
      <c r="D5607" s="35">
        <f>SUMIFS(D5608:D9015,K5608:K9015,"0",B5608:B9015,"5 1 2 1 4 12 31111 6 M59 40000 000161 0000E*")-SUMIFS(E5608:E9015,K5608:K9015,"0",B5608:B9015,"5 1 2 1 4 12 31111 6 M59 40000 000161 0000E*")</f>
        <v>0</v>
      </c>
      <c r="E5607"/>
      <c r="F5607" s="35">
        <f>SUMIFS(F5608:F9015,K5608:K9015,"0",B5608:B9015,"5 1 2 1 4 12 31111 6 M59 40000 000161 0000E*")</f>
        <v>58484.01</v>
      </c>
      <c r="G5607" s="35">
        <f>SUMIFS(G5608:G9015,K5608:K9015,"0",B5608:B9015,"5 1 2 1 4 12 31111 6 M59 40000 000161 0000E*")</f>
        <v>0</v>
      </c>
      <c r="H5607" s="35">
        <f t="shared" si="88"/>
        <v>58484.01</v>
      </c>
      <c r="I5607" s="35"/>
      <c r="K5607" t="s">
        <v>15</v>
      </c>
    </row>
    <row r="5608" spans="2:11" ht="24.75" x14ac:dyDescent="0.2">
      <c r="B5608" s="33" t="s">
        <v>6578</v>
      </c>
      <c r="C5608" s="33" t="s">
        <v>282</v>
      </c>
      <c r="D5608" s="35">
        <f>SUMIFS(D5609:D9015,K5609:K9015,"0",B5609:B9015,"5 1 2 1 4 12 31111 6 M59 40000 000161 0000E 00001*")-SUMIFS(E5609:E9015,K5609:K9015,"0",B5609:B9015,"5 1 2 1 4 12 31111 6 M59 40000 000161 0000E 00001*")</f>
        <v>0</v>
      </c>
      <c r="E5608"/>
      <c r="F5608" s="35">
        <f>SUMIFS(F5609:F9015,K5609:K9015,"0",B5609:B9015,"5 1 2 1 4 12 31111 6 M59 40000 000161 0000E 00001*")</f>
        <v>58484.01</v>
      </c>
      <c r="G5608" s="35">
        <f>SUMIFS(G5609:G9015,K5609:K9015,"0",B5609:B9015,"5 1 2 1 4 12 31111 6 M59 40000 000161 0000E 00001*")</f>
        <v>0</v>
      </c>
      <c r="H5608" s="35">
        <f t="shared" si="88"/>
        <v>58484.01</v>
      </c>
      <c r="I5608" s="35"/>
      <c r="K5608" t="s">
        <v>15</v>
      </c>
    </row>
    <row r="5609" spans="2:11" ht="41.25" x14ac:dyDescent="0.2">
      <c r="B5609" s="33" t="s">
        <v>6579</v>
      </c>
      <c r="C5609" s="33" t="s">
        <v>6534</v>
      </c>
      <c r="D5609" s="35">
        <f>SUMIFS(D5610:D9015,K5610:K9015,"0",B5610:B9015,"5 1 2 1 4 12 31111 6 M59 40000 000161 0000E 00001 00214*")-SUMIFS(E5610:E9015,K5610:K9015,"0",B5610:B9015,"5 1 2 1 4 12 31111 6 M59 40000 000161 0000E 00001 00214*")</f>
        <v>0</v>
      </c>
      <c r="E5609"/>
      <c r="F5609" s="35">
        <f>SUMIFS(F5610:F9015,K5610:K9015,"0",B5610:B9015,"5 1 2 1 4 12 31111 6 M59 40000 000161 0000E 00001 00214*")</f>
        <v>58484.01</v>
      </c>
      <c r="G5609" s="35">
        <f>SUMIFS(G5610:G9015,K5610:K9015,"0",B5610:B9015,"5 1 2 1 4 12 31111 6 M59 40000 000161 0000E 00001 00214*")</f>
        <v>0</v>
      </c>
      <c r="H5609" s="35">
        <f t="shared" si="88"/>
        <v>58484.01</v>
      </c>
      <c r="I5609" s="35"/>
      <c r="K5609" t="s">
        <v>15</v>
      </c>
    </row>
    <row r="5610" spans="2:11" ht="33" x14ac:dyDescent="0.2">
      <c r="B5610" s="33" t="s">
        <v>6580</v>
      </c>
      <c r="C5610" s="33" t="s">
        <v>656</v>
      </c>
      <c r="D5610" s="35">
        <f>SUMIFS(D5611:D9015,K5611:K9015,"0",B5611:B9015,"5 1 2 1 4 12 31111 6 M59 40000 000161 0000E 00001 00214 025*")-SUMIFS(E5611:E9015,K5611:K9015,"0",B5611:B9015,"5 1 2 1 4 12 31111 6 M59 40000 000161 0000E 00001 00214 025*")</f>
        <v>0</v>
      </c>
      <c r="E5610"/>
      <c r="F5610" s="35">
        <f>SUMIFS(F5611:F9015,K5611:K9015,"0",B5611:B9015,"5 1 2 1 4 12 31111 6 M59 40000 000161 0000E 00001 00214 025*")</f>
        <v>58484.01</v>
      </c>
      <c r="G5610" s="35">
        <f>SUMIFS(G5611:G9015,K5611:K9015,"0",B5611:B9015,"5 1 2 1 4 12 31111 6 M59 40000 000161 0000E 00001 00214 025*")</f>
        <v>0</v>
      </c>
      <c r="H5610" s="35">
        <f t="shared" si="88"/>
        <v>58484.01</v>
      </c>
      <c r="I5610" s="35"/>
      <c r="K5610" t="s">
        <v>15</v>
      </c>
    </row>
    <row r="5611" spans="2:11" ht="33" x14ac:dyDescent="0.2">
      <c r="B5611" s="33" t="s">
        <v>6581</v>
      </c>
      <c r="C5611" s="33" t="s">
        <v>5830</v>
      </c>
      <c r="D5611" s="35">
        <f>SUMIFS(D5612:D9015,K5612:K9015,"0",B5612:B9015,"5 1 2 1 4 12 31111 6 M59 40000 000161 0000E 00001 00214 025 2112000*")-SUMIFS(E5612:E9015,K5612:K9015,"0",B5612:B9015,"5 1 2 1 4 12 31111 6 M59 40000 000161 0000E 00001 00214 025 2112000*")</f>
        <v>0</v>
      </c>
      <c r="E5611"/>
      <c r="F5611" s="35">
        <f>SUMIFS(F5612:F9015,K5612:K9015,"0",B5612:B9015,"5 1 2 1 4 12 31111 6 M59 40000 000161 0000E 00001 00214 025 2112000*")</f>
        <v>58484.01</v>
      </c>
      <c r="G5611" s="35">
        <f>SUMIFS(G5612:G9015,K5612:K9015,"0",B5612:B9015,"5 1 2 1 4 12 31111 6 M59 40000 000161 0000E 00001 00214 025 2112000*")</f>
        <v>0</v>
      </c>
      <c r="H5611" s="35">
        <f t="shared" si="88"/>
        <v>58484.01</v>
      </c>
      <c r="I5611" s="35"/>
      <c r="K5611" t="s">
        <v>15</v>
      </c>
    </row>
    <row r="5612" spans="2:11" ht="33" x14ac:dyDescent="0.2">
      <c r="B5612" s="33" t="s">
        <v>6582</v>
      </c>
      <c r="C5612" s="33" t="s">
        <v>660</v>
      </c>
      <c r="D5612" s="35">
        <f>SUMIFS(D5613:D9015,K5613:K9015,"0",B5613:B9015,"5 1 2 1 4 12 31111 6 M59 40000 000161 0000E 00001 00214 025 2112000 2024*")-SUMIFS(E5613:E9015,K5613:K9015,"0",B5613:B9015,"5 1 2 1 4 12 31111 6 M59 40000 000161 0000E 00001 00214 025 2112000 2024*")</f>
        <v>0</v>
      </c>
      <c r="E5612"/>
      <c r="F5612" s="35">
        <f>SUMIFS(F5613:F9015,K5613:K9015,"0",B5613:B9015,"5 1 2 1 4 12 31111 6 M59 40000 000161 0000E 00001 00214 025 2112000 2024*")</f>
        <v>58484.01</v>
      </c>
      <c r="G5612" s="35">
        <f>SUMIFS(G5613:G9015,K5613:K9015,"0",B5613:B9015,"5 1 2 1 4 12 31111 6 M59 40000 000161 0000E 00001 00214 025 2112000 2024*")</f>
        <v>0</v>
      </c>
      <c r="H5612" s="35">
        <f t="shared" si="88"/>
        <v>58484.01</v>
      </c>
      <c r="I5612" s="35"/>
      <c r="K5612" t="s">
        <v>15</v>
      </c>
    </row>
    <row r="5613" spans="2:11" ht="41.25" x14ac:dyDescent="0.2">
      <c r="B5613" s="33" t="s">
        <v>6583</v>
      </c>
      <c r="C5613" s="33" t="s">
        <v>662</v>
      </c>
      <c r="D5613" s="35">
        <f>SUMIFS(D5614:D9015,K5614:K9015,"0",B5614:B9015,"5 1 2 1 4 12 31111 6 M59 40000 000161 0000E 00001 00214 025 2112000 2024 CP4SP372*")-SUMIFS(E5614:E9015,K5614:K9015,"0",B5614:B9015,"5 1 2 1 4 12 31111 6 M59 40000 000161 0000E 00001 00214 025 2112000 2024 CP4SP372*")</f>
        <v>0</v>
      </c>
      <c r="E5613"/>
      <c r="F5613" s="35">
        <f>SUMIFS(F5614:F9015,K5614:K9015,"0",B5614:B9015,"5 1 2 1 4 12 31111 6 M59 40000 000161 0000E 00001 00214 025 2112000 2024 CP4SP372*")</f>
        <v>58484.01</v>
      </c>
      <c r="G5613" s="35">
        <f>SUMIFS(G5614:G9015,K5614:K9015,"0",B5614:B9015,"5 1 2 1 4 12 31111 6 M59 40000 000161 0000E 00001 00214 025 2112000 2024 CP4SP372*")</f>
        <v>0</v>
      </c>
      <c r="H5613" s="35">
        <f t="shared" si="88"/>
        <v>58484.01</v>
      </c>
      <c r="I5613" s="35"/>
      <c r="K5613" t="s">
        <v>15</v>
      </c>
    </row>
    <row r="5614" spans="2:11" ht="41.25" x14ac:dyDescent="0.2">
      <c r="B5614" s="33" t="s">
        <v>6584</v>
      </c>
      <c r="C5614" s="33" t="s">
        <v>664</v>
      </c>
      <c r="D5614" s="35">
        <f>SUMIFS(D5615:D9015,K5615:K9015,"0",B5615:B9015,"5 1 2 1 4 12 31111 6 M59 40000 000161 0000E 00001 00214 025 2112000 2024 CP4SP372 003*")-SUMIFS(E5615:E9015,K5615:K9015,"0",B5615:B9015,"5 1 2 1 4 12 31111 6 M59 40000 000161 0000E 00001 00214 025 2112000 2024 CP4SP372 003*")</f>
        <v>0</v>
      </c>
      <c r="E5614"/>
      <c r="F5614" s="35">
        <f>SUMIFS(F5615:F9015,K5615:K9015,"0",B5615:B9015,"5 1 2 1 4 12 31111 6 M59 40000 000161 0000E 00001 00214 025 2112000 2024 CP4SP372 003*")</f>
        <v>58484.01</v>
      </c>
      <c r="G5614" s="35">
        <f>SUMIFS(G5615:G9015,K5615:K9015,"0",B5615:B9015,"5 1 2 1 4 12 31111 6 M59 40000 000161 0000E 00001 00214 025 2112000 2024 CP4SP372 003*")</f>
        <v>0</v>
      </c>
      <c r="H5614" s="35">
        <f t="shared" si="88"/>
        <v>58484.01</v>
      </c>
      <c r="I5614" s="35"/>
      <c r="K5614" t="s">
        <v>15</v>
      </c>
    </row>
    <row r="5615" spans="2:11" ht="33" x14ac:dyDescent="0.2">
      <c r="B5615" s="31" t="s">
        <v>6585</v>
      </c>
      <c r="C5615" s="31" t="s">
        <v>6534</v>
      </c>
      <c r="D5615" s="34">
        <v>0</v>
      </c>
      <c r="E5615" s="34"/>
      <c r="F5615" s="34">
        <v>58484.01</v>
      </c>
      <c r="G5615" s="34">
        <v>0</v>
      </c>
      <c r="H5615" s="34">
        <f t="shared" si="88"/>
        <v>58484.01</v>
      </c>
      <c r="I5615" s="34"/>
      <c r="K5615" t="s">
        <v>38</v>
      </c>
    </row>
    <row r="5616" spans="2:11" ht="16.5" x14ac:dyDescent="0.2">
      <c r="B5616" s="33" t="s">
        <v>6586</v>
      </c>
      <c r="C5616" s="33" t="s">
        <v>1105</v>
      </c>
      <c r="D5616" s="35">
        <f>SUMIFS(D5617:D9015,K5617:K9015,"0",B5617:B9015,"5 1 2 1 4 12 31111 6 M59 40200*")-SUMIFS(E5617:E9015,K5617:K9015,"0",B5617:B9015,"5 1 2 1 4 12 31111 6 M59 40200*")</f>
        <v>0</v>
      </c>
      <c r="E5616"/>
      <c r="F5616" s="35">
        <f>SUMIFS(F5617:F9015,K5617:K9015,"0",B5617:B9015,"5 1 2 1 4 12 31111 6 M59 40200*")</f>
        <v>29707</v>
      </c>
      <c r="G5616" s="35">
        <f>SUMIFS(G5617:G9015,K5617:K9015,"0",B5617:B9015,"5 1 2 1 4 12 31111 6 M59 40200*")</f>
        <v>0</v>
      </c>
      <c r="H5616" s="35">
        <f t="shared" si="88"/>
        <v>29707</v>
      </c>
      <c r="I5616" s="35"/>
      <c r="K5616" t="s">
        <v>15</v>
      </c>
    </row>
    <row r="5617" spans="2:11" ht="16.5" x14ac:dyDescent="0.2">
      <c r="B5617" s="33" t="s">
        <v>6587</v>
      </c>
      <c r="C5617" s="33" t="s">
        <v>1107</v>
      </c>
      <c r="D5617" s="35">
        <f>SUMIFS(D5618:D9015,K5618:K9015,"0",B5618:B9015,"5 1 2 1 4 12 31111 6 M59 40200 000172*")-SUMIFS(E5618:E9015,K5618:K9015,"0",B5618:B9015,"5 1 2 1 4 12 31111 6 M59 40200 000172*")</f>
        <v>0</v>
      </c>
      <c r="E5617"/>
      <c r="F5617" s="35">
        <f>SUMIFS(F5618:F9015,K5618:K9015,"0",B5618:B9015,"5 1 2 1 4 12 31111 6 M59 40200 000172*")</f>
        <v>29707</v>
      </c>
      <c r="G5617" s="35">
        <f>SUMIFS(G5618:G9015,K5618:K9015,"0",B5618:B9015,"5 1 2 1 4 12 31111 6 M59 40200 000172*")</f>
        <v>0</v>
      </c>
      <c r="H5617" s="35">
        <f t="shared" si="88"/>
        <v>29707</v>
      </c>
      <c r="I5617" s="35"/>
      <c r="K5617" t="s">
        <v>15</v>
      </c>
    </row>
    <row r="5618" spans="2:11" ht="24.75" x14ac:dyDescent="0.2">
      <c r="B5618" s="33" t="s">
        <v>6588</v>
      </c>
      <c r="C5618" s="33" t="s">
        <v>650</v>
      </c>
      <c r="D5618" s="35">
        <f>SUMIFS(D5619:D9015,K5619:K9015,"0",B5619:B9015,"5 1 2 1 4 12 31111 6 M59 40200 000172 0000R*")-SUMIFS(E5619:E9015,K5619:K9015,"0",B5619:B9015,"5 1 2 1 4 12 31111 6 M59 40200 000172 0000R*")</f>
        <v>0</v>
      </c>
      <c r="E5618"/>
      <c r="F5618" s="35">
        <f>SUMIFS(F5619:F9015,K5619:K9015,"0",B5619:B9015,"5 1 2 1 4 12 31111 6 M59 40200 000172 0000R*")</f>
        <v>29707</v>
      </c>
      <c r="G5618" s="35">
        <f>SUMIFS(G5619:G9015,K5619:K9015,"0",B5619:B9015,"5 1 2 1 4 12 31111 6 M59 40200 000172 0000R*")</f>
        <v>0</v>
      </c>
      <c r="H5618" s="35">
        <f t="shared" si="88"/>
        <v>29707</v>
      </c>
      <c r="I5618" s="35"/>
      <c r="K5618" t="s">
        <v>15</v>
      </c>
    </row>
    <row r="5619" spans="2:11" ht="24.75" x14ac:dyDescent="0.2">
      <c r="B5619" s="33" t="s">
        <v>6589</v>
      </c>
      <c r="C5619" s="33" t="s">
        <v>282</v>
      </c>
      <c r="D5619" s="35">
        <f>SUMIFS(D5620:D9015,K5620:K9015,"0",B5620:B9015,"5 1 2 1 4 12 31111 6 M59 40200 000172 0000R 00001*")-SUMIFS(E5620:E9015,K5620:K9015,"0",B5620:B9015,"5 1 2 1 4 12 31111 6 M59 40200 000172 0000R 00001*")</f>
        <v>0</v>
      </c>
      <c r="E5619"/>
      <c r="F5619" s="35">
        <f>SUMIFS(F5620:F9015,K5620:K9015,"0",B5620:B9015,"5 1 2 1 4 12 31111 6 M59 40200 000172 0000R 00001*")</f>
        <v>29707</v>
      </c>
      <c r="G5619" s="35">
        <f>SUMIFS(G5620:G9015,K5620:K9015,"0",B5620:B9015,"5 1 2 1 4 12 31111 6 M59 40200 000172 0000R 00001*")</f>
        <v>0</v>
      </c>
      <c r="H5619" s="35">
        <f t="shared" si="88"/>
        <v>29707</v>
      </c>
      <c r="I5619" s="35"/>
      <c r="K5619" t="s">
        <v>15</v>
      </c>
    </row>
    <row r="5620" spans="2:11" ht="41.25" x14ac:dyDescent="0.2">
      <c r="B5620" s="33" t="s">
        <v>6590</v>
      </c>
      <c r="C5620" s="33" t="s">
        <v>6534</v>
      </c>
      <c r="D5620" s="35">
        <f>SUMIFS(D5621:D9015,K5621:K9015,"0",B5621:B9015,"5 1 2 1 4 12 31111 6 M59 40200 000172 0000R 00001 00214*")-SUMIFS(E5621:E9015,K5621:K9015,"0",B5621:B9015,"5 1 2 1 4 12 31111 6 M59 40200 000172 0000R 00001 00214*")</f>
        <v>0</v>
      </c>
      <c r="E5620"/>
      <c r="F5620" s="35">
        <f>SUMIFS(F5621:F9015,K5621:K9015,"0",B5621:B9015,"5 1 2 1 4 12 31111 6 M59 40200 000172 0000R 00001 00214*")</f>
        <v>29707</v>
      </c>
      <c r="G5620" s="35">
        <f>SUMIFS(G5621:G9015,K5621:K9015,"0",B5621:B9015,"5 1 2 1 4 12 31111 6 M59 40200 000172 0000R 00001 00214*")</f>
        <v>0</v>
      </c>
      <c r="H5620" s="35">
        <f t="shared" si="88"/>
        <v>29707</v>
      </c>
      <c r="I5620" s="35"/>
      <c r="K5620" t="s">
        <v>15</v>
      </c>
    </row>
    <row r="5621" spans="2:11" ht="33" x14ac:dyDescent="0.2">
      <c r="B5621" s="33" t="s">
        <v>6591</v>
      </c>
      <c r="C5621" s="33" t="s">
        <v>656</v>
      </c>
      <c r="D5621" s="35">
        <f>SUMIFS(D5622:D9015,K5622:K9015,"0",B5622:B9015,"5 1 2 1 4 12 31111 6 M59 40200 000172 0000R 00001 00214 025*")-SUMIFS(E5622:E9015,K5622:K9015,"0",B5622:B9015,"5 1 2 1 4 12 31111 6 M59 40200 000172 0000R 00001 00214 025*")</f>
        <v>0</v>
      </c>
      <c r="E5621"/>
      <c r="F5621" s="35">
        <f>SUMIFS(F5622:F9015,K5622:K9015,"0",B5622:B9015,"5 1 2 1 4 12 31111 6 M59 40200 000172 0000R 00001 00214 025*")</f>
        <v>29707</v>
      </c>
      <c r="G5621" s="35">
        <f>SUMIFS(G5622:G9015,K5622:K9015,"0",B5622:B9015,"5 1 2 1 4 12 31111 6 M59 40200 000172 0000R 00001 00214 025*")</f>
        <v>0</v>
      </c>
      <c r="H5621" s="35">
        <f t="shared" si="88"/>
        <v>29707</v>
      </c>
      <c r="I5621" s="35"/>
      <c r="K5621" t="s">
        <v>15</v>
      </c>
    </row>
    <row r="5622" spans="2:11" ht="33" x14ac:dyDescent="0.2">
      <c r="B5622" s="33" t="s">
        <v>6592</v>
      </c>
      <c r="C5622" s="33" t="s">
        <v>5830</v>
      </c>
      <c r="D5622" s="35">
        <f>SUMIFS(D5623:D9015,K5623:K9015,"0",B5623:B9015,"5 1 2 1 4 12 31111 6 M59 40200 000172 0000R 00001 00214 025 2112000*")-SUMIFS(E5623:E9015,K5623:K9015,"0",B5623:B9015,"5 1 2 1 4 12 31111 6 M59 40200 000172 0000R 00001 00214 025 2112000*")</f>
        <v>0</v>
      </c>
      <c r="E5622"/>
      <c r="F5622" s="35">
        <f>SUMIFS(F5623:F9015,K5623:K9015,"0",B5623:B9015,"5 1 2 1 4 12 31111 6 M59 40200 000172 0000R 00001 00214 025 2112000*")</f>
        <v>29707</v>
      </c>
      <c r="G5622" s="35">
        <f>SUMIFS(G5623:G9015,K5623:K9015,"0",B5623:B9015,"5 1 2 1 4 12 31111 6 M59 40200 000172 0000R 00001 00214 025 2112000*")</f>
        <v>0</v>
      </c>
      <c r="H5622" s="35">
        <f t="shared" si="88"/>
        <v>29707</v>
      </c>
      <c r="I5622" s="35"/>
      <c r="K5622" t="s">
        <v>15</v>
      </c>
    </row>
    <row r="5623" spans="2:11" ht="33" x14ac:dyDescent="0.2">
      <c r="B5623" s="33" t="s">
        <v>6593</v>
      </c>
      <c r="C5623" s="33" t="s">
        <v>660</v>
      </c>
      <c r="D5623" s="35">
        <f>SUMIFS(D5624:D9015,K5624:K9015,"0",B5624:B9015,"5 1 2 1 4 12 31111 6 M59 40200 000172 0000R 00001 00214 025 2112000 2024*")-SUMIFS(E5624:E9015,K5624:K9015,"0",B5624:B9015,"5 1 2 1 4 12 31111 6 M59 40200 000172 0000R 00001 00214 025 2112000 2024*")</f>
        <v>0</v>
      </c>
      <c r="E5623"/>
      <c r="F5623" s="35">
        <f>SUMIFS(F5624:F9015,K5624:K9015,"0",B5624:B9015,"5 1 2 1 4 12 31111 6 M59 40200 000172 0000R 00001 00214 025 2112000 2024*")</f>
        <v>29707</v>
      </c>
      <c r="G5623" s="35">
        <f>SUMIFS(G5624:G9015,K5624:K9015,"0",B5624:B9015,"5 1 2 1 4 12 31111 6 M59 40200 000172 0000R 00001 00214 025 2112000 2024*")</f>
        <v>0</v>
      </c>
      <c r="H5623" s="35">
        <f t="shared" si="88"/>
        <v>29707</v>
      </c>
      <c r="I5623" s="35"/>
      <c r="K5623" t="s">
        <v>15</v>
      </c>
    </row>
    <row r="5624" spans="2:11" ht="41.25" x14ac:dyDescent="0.2">
      <c r="B5624" s="33" t="s">
        <v>6594</v>
      </c>
      <c r="C5624" s="33" t="s">
        <v>1056</v>
      </c>
      <c r="D5624" s="35">
        <f>SUMIFS(D5625:D9015,K5625:K9015,"0",B5625:B9015,"5 1 2 1 4 12 31111 6 M59 40200 000172 0000R 00001 00214 025 2112000 2024 CP4PC370*")-SUMIFS(E5625:E9015,K5625:K9015,"0",B5625:B9015,"5 1 2 1 4 12 31111 6 M59 40200 000172 0000R 00001 00214 025 2112000 2024 CP4PC370*")</f>
        <v>0</v>
      </c>
      <c r="E5624"/>
      <c r="F5624" s="35">
        <f>SUMIFS(F5625:F9015,K5625:K9015,"0",B5625:B9015,"5 1 2 1 4 12 31111 6 M59 40200 000172 0000R 00001 00214 025 2112000 2024 CP4PC370*")</f>
        <v>29707</v>
      </c>
      <c r="G5624" s="35">
        <f>SUMIFS(G5625:G9015,K5625:K9015,"0",B5625:B9015,"5 1 2 1 4 12 31111 6 M59 40200 000172 0000R 00001 00214 025 2112000 2024 CP4PC370*")</f>
        <v>0</v>
      </c>
      <c r="H5624" s="35">
        <f t="shared" si="88"/>
        <v>29707</v>
      </c>
      <c r="I5624" s="35"/>
      <c r="K5624" t="s">
        <v>15</v>
      </c>
    </row>
    <row r="5625" spans="2:11" ht="41.25" x14ac:dyDescent="0.2">
      <c r="B5625" s="33" t="s">
        <v>6595</v>
      </c>
      <c r="C5625" s="33" t="s">
        <v>664</v>
      </c>
      <c r="D5625" s="35">
        <f>SUMIFS(D5626:D9015,K5626:K9015,"0",B5626:B9015,"5 1 2 1 4 12 31111 6 M59 40200 000172 0000R 00001 00214 025 2112000 2024 CP4PC370 003*")-SUMIFS(E5626:E9015,K5626:K9015,"0",B5626:B9015,"5 1 2 1 4 12 31111 6 M59 40200 000172 0000R 00001 00214 025 2112000 2024 CP4PC370 003*")</f>
        <v>0</v>
      </c>
      <c r="E5625"/>
      <c r="F5625" s="35">
        <f>SUMIFS(F5626:F9015,K5626:K9015,"0",B5626:B9015,"5 1 2 1 4 12 31111 6 M59 40200 000172 0000R 00001 00214 025 2112000 2024 CP4PC370 003*")</f>
        <v>29707</v>
      </c>
      <c r="G5625" s="35">
        <f>SUMIFS(G5626:G9015,K5626:K9015,"0",B5626:B9015,"5 1 2 1 4 12 31111 6 M59 40200 000172 0000R 00001 00214 025 2112000 2024 CP4PC370 003*")</f>
        <v>0</v>
      </c>
      <c r="H5625" s="35">
        <f t="shared" si="88"/>
        <v>29707</v>
      </c>
      <c r="I5625" s="35"/>
      <c r="K5625" t="s">
        <v>15</v>
      </c>
    </row>
    <row r="5626" spans="2:11" ht="33" x14ac:dyDescent="0.2">
      <c r="B5626" s="31" t="s">
        <v>6596</v>
      </c>
      <c r="C5626" s="31" t="s">
        <v>6534</v>
      </c>
      <c r="D5626" s="34">
        <v>0</v>
      </c>
      <c r="E5626" s="34"/>
      <c r="F5626" s="34">
        <v>29707</v>
      </c>
      <c r="G5626" s="34">
        <v>0</v>
      </c>
      <c r="H5626" s="34">
        <f t="shared" si="88"/>
        <v>29707</v>
      </c>
      <c r="I5626" s="34"/>
      <c r="K5626" t="s">
        <v>38</v>
      </c>
    </row>
    <row r="5627" spans="2:11" ht="16.5" x14ac:dyDescent="0.2">
      <c r="B5627" s="33" t="s">
        <v>6597</v>
      </c>
      <c r="C5627" s="33" t="s">
        <v>3268</v>
      </c>
      <c r="D5627" s="35">
        <f>SUMIFS(D5628:D9015,K5628:K9015,"0",B5628:B9015,"5 1 2 1 4 12 31111 6 M59 40400*")-SUMIFS(E5628:E9015,K5628:K9015,"0",B5628:B9015,"5 1 2 1 4 12 31111 6 M59 40400*")</f>
        <v>0</v>
      </c>
      <c r="E5627"/>
      <c r="F5627" s="35">
        <f>SUMIFS(F5628:F9015,K5628:K9015,"0",B5628:B9015,"5 1 2 1 4 12 31111 6 M59 40400*")</f>
        <v>147272.49</v>
      </c>
      <c r="G5627" s="35">
        <f>SUMIFS(G5628:G9015,K5628:K9015,"0",B5628:B9015,"5 1 2 1 4 12 31111 6 M59 40400*")</f>
        <v>0</v>
      </c>
      <c r="H5627" s="35">
        <f t="shared" si="88"/>
        <v>147272.49</v>
      </c>
      <c r="I5627" s="35"/>
      <c r="K5627" t="s">
        <v>15</v>
      </c>
    </row>
    <row r="5628" spans="2:11" ht="16.5" x14ac:dyDescent="0.2">
      <c r="B5628" s="33" t="s">
        <v>6598</v>
      </c>
      <c r="C5628" s="33" t="s">
        <v>3270</v>
      </c>
      <c r="D5628" s="35">
        <f>SUMIFS(D5629:D9015,K5629:K9015,"0",B5629:B9015,"5 1 2 1 4 12 31111 6 M59 40400 000173*")-SUMIFS(E5629:E9015,K5629:K9015,"0",B5629:B9015,"5 1 2 1 4 12 31111 6 M59 40400 000173*")</f>
        <v>0</v>
      </c>
      <c r="E5628"/>
      <c r="F5628" s="35">
        <f>SUMIFS(F5629:F9015,K5629:K9015,"0",B5629:B9015,"5 1 2 1 4 12 31111 6 M59 40400 000173*")</f>
        <v>147272.49</v>
      </c>
      <c r="G5628" s="35">
        <f>SUMIFS(G5629:G9015,K5629:K9015,"0",B5629:B9015,"5 1 2 1 4 12 31111 6 M59 40400 000173*")</f>
        <v>0</v>
      </c>
      <c r="H5628" s="35">
        <f t="shared" si="88"/>
        <v>147272.49</v>
      </c>
      <c r="I5628" s="35"/>
      <c r="K5628" t="s">
        <v>15</v>
      </c>
    </row>
    <row r="5629" spans="2:11" ht="24.75" x14ac:dyDescent="0.2">
      <c r="B5629" s="33" t="s">
        <v>6599</v>
      </c>
      <c r="C5629" s="33" t="s">
        <v>650</v>
      </c>
      <c r="D5629" s="35">
        <f>SUMIFS(D5630:D9015,K5630:K9015,"0",B5630:B9015,"5 1 2 1 4 12 31111 6 M59 40400 000173 0000R*")-SUMIFS(E5630:E9015,K5630:K9015,"0",B5630:B9015,"5 1 2 1 4 12 31111 6 M59 40400 000173 0000R*")</f>
        <v>0</v>
      </c>
      <c r="E5629"/>
      <c r="F5629" s="35">
        <f>SUMIFS(F5630:F9015,K5630:K9015,"0",B5630:B9015,"5 1 2 1 4 12 31111 6 M59 40400 000173 0000R*")</f>
        <v>147272.49</v>
      </c>
      <c r="G5629" s="35">
        <f>SUMIFS(G5630:G9015,K5630:K9015,"0",B5630:B9015,"5 1 2 1 4 12 31111 6 M59 40400 000173 0000R*")</f>
        <v>0</v>
      </c>
      <c r="H5629" s="35">
        <f t="shared" si="88"/>
        <v>147272.49</v>
      </c>
      <c r="I5629" s="35"/>
      <c r="K5629" t="s">
        <v>15</v>
      </c>
    </row>
    <row r="5630" spans="2:11" ht="24.75" x14ac:dyDescent="0.2">
      <c r="B5630" s="33" t="s">
        <v>6600</v>
      </c>
      <c r="C5630" s="33" t="s">
        <v>282</v>
      </c>
      <c r="D5630" s="35">
        <f>SUMIFS(D5631:D9015,K5631:K9015,"0",B5631:B9015,"5 1 2 1 4 12 31111 6 M59 40400 000173 0000R 00001*")-SUMIFS(E5631:E9015,K5631:K9015,"0",B5631:B9015,"5 1 2 1 4 12 31111 6 M59 40400 000173 0000R 00001*")</f>
        <v>0</v>
      </c>
      <c r="E5630"/>
      <c r="F5630" s="35">
        <f>SUMIFS(F5631:F9015,K5631:K9015,"0",B5631:B9015,"5 1 2 1 4 12 31111 6 M59 40400 000173 0000R 00001*")</f>
        <v>147272.49</v>
      </c>
      <c r="G5630" s="35">
        <f>SUMIFS(G5631:G9015,K5631:K9015,"0",B5631:B9015,"5 1 2 1 4 12 31111 6 M59 40400 000173 0000R 00001*")</f>
        <v>0</v>
      </c>
      <c r="H5630" s="35">
        <f t="shared" si="88"/>
        <v>147272.49</v>
      </c>
      <c r="I5630" s="35"/>
      <c r="K5630" t="s">
        <v>15</v>
      </c>
    </row>
    <row r="5631" spans="2:11" ht="41.25" x14ac:dyDescent="0.2">
      <c r="B5631" s="33" t="s">
        <v>6601</v>
      </c>
      <c r="C5631" s="33" t="s">
        <v>6534</v>
      </c>
      <c r="D5631" s="35">
        <f>SUMIFS(D5632:D9015,K5632:K9015,"0",B5632:B9015,"5 1 2 1 4 12 31111 6 M59 40400 000173 0000R 00001 00214*")-SUMIFS(E5632:E9015,K5632:K9015,"0",B5632:B9015,"5 1 2 1 4 12 31111 6 M59 40400 000173 0000R 00001 00214*")</f>
        <v>0</v>
      </c>
      <c r="E5631"/>
      <c r="F5631" s="35">
        <f>SUMIFS(F5632:F9015,K5632:K9015,"0",B5632:B9015,"5 1 2 1 4 12 31111 6 M59 40400 000173 0000R 00001 00214*")</f>
        <v>147272.49</v>
      </c>
      <c r="G5631" s="35">
        <f>SUMIFS(G5632:G9015,K5632:K9015,"0",B5632:B9015,"5 1 2 1 4 12 31111 6 M59 40400 000173 0000R 00001 00214*")</f>
        <v>0</v>
      </c>
      <c r="H5631" s="35">
        <f t="shared" si="88"/>
        <v>147272.49</v>
      </c>
      <c r="I5631" s="35"/>
      <c r="K5631" t="s">
        <v>15</v>
      </c>
    </row>
    <row r="5632" spans="2:11" ht="33" x14ac:dyDescent="0.2">
      <c r="B5632" s="33" t="s">
        <v>6602</v>
      </c>
      <c r="C5632" s="33" t="s">
        <v>656</v>
      </c>
      <c r="D5632" s="35">
        <f>SUMIFS(D5633:D9015,K5633:K9015,"0",B5633:B9015,"5 1 2 1 4 12 31111 6 M59 40400 000173 0000R 00001 00214 025*")-SUMIFS(E5633:E9015,K5633:K9015,"0",B5633:B9015,"5 1 2 1 4 12 31111 6 M59 40400 000173 0000R 00001 00214 025*")</f>
        <v>0</v>
      </c>
      <c r="E5632"/>
      <c r="F5632" s="35">
        <f>SUMIFS(F5633:F9015,K5633:K9015,"0",B5633:B9015,"5 1 2 1 4 12 31111 6 M59 40400 000173 0000R 00001 00214 025*")</f>
        <v>147272.49</v>
      </c>
      <c r="G5632" s="35">
        <f>SUMIFS(G5633:G9015,K5633:K9015,"0",B5633:B9015,"5 1 2 1 4 12 31111 6 M59 40400 000173 0000R 00001 00214 025*")</f>
        <v>0</v>
      </c>
      <c r="H5632" s="35">
        <f t="shared" si="88"/>
        <v>147272.49</v>
      </c>
      <c r="I5632" s="35"/>
      <c r="K5632" t="s">
        <v>15</v>
      </c>
    </row>
    <row r="5633" spans="2:11" ht="33" x14ac:dyDescent="0.2">
      <c r="B5633" s="33" t="s">
        <v>6603</v>
      </c>
      <c r="C5633" s="33" t="s">
        <v>5830</v>
      </c>
      <c r="D5633" s="35">
        <f>SUMIFS(D5634:D9015,K5634:K9015,"0",B5634:B9015,"5 1 2 1 4 12 31111 6 M59 40400 000173 0000R 00001 00214 025 2112000*")-SUMIFS(E5634:E9015,K5634:K9015,"0",B5634:B9015,"5 1 2 1 4 12 31111 6 M59 40400 000173 0000R 00001 00214 025 2112000*")</f>
        <v>0</v>
      </c>
      <c r="E5633"/>
      <c r="F5633" s="35">
        <f>SUMIFS(F5634:F9015,K5634:K9015,"0",B5634:B9015,"5 1 2 1 4 12 31111 6 M59 40400 000173 0000R 00001 00214 025 2112000*")</f>
        <v>147272.49</v>
      </c>
      <c r="G5633" s="35">
        <f>SUMIFS(G5634:G9015,K5634:K9015,"0",B5634:B9015,"5 1 2 1 4 12 31111 6 M59 40400 000173 0000R 00001 00214 025 2112000*")</f>
        <v>0</v>
      </c>
      <c r="H5633" s="35">
        <f t="shared" si="88"/>
        <v>147272.49</v>
      </c>
      <c r="I5633" s="35"/>
      <c r="K5633" t="s">
        <v>15</v>
      </c>
    </row>
    <row r="5634" spans="2:11" ht="33" x14ac:dyDescent="0.2">
      <c r="B5634" s="33" t="s">
        <v>6604</v>
      </c>
      <c r="C5634" s="33" t="s">
        <v>660</v>
      </c>
      <c r="D5634" s="35">
        <f>SUMIFS(D5635:D9015,K5635:K9015,"0",B5635:B9015,"5 1 2 1 4 12 31111 6 M59 40400 000173 0000R 00001 00214 025 2112000 2024*")-SUMIFS(E5635:E9015,K5635:K9015,"0",B5635:B9015,"5 1 2 1 4 12 31111 6 M59 40400 000173 0000R 00001 00214 025 2112000 2024*")</f>
        <v>0</v>
      </c>
      <c r="E5634"/>
      <c r="F5634" s="35">
        <f>SUMIFS(F5635:F9015,K5635:K9015,"0",B5635:B9015,"5 1 2 1 4 12 31111 6 M59 40400 000173 0000R 00001 00214 025 2112000 2024*")</f>
        <v>147272.49</v>
      </c>
      <c r="G5634" s="35">
        <f>SUMIFS(G5635:G9015,K5635:K9015,"0",B5635:B9015,"5 1 2 1 4 12 31111 6 M59 40400 000173 0000R 00001 00214 025 2112000 2024*")</f>
        <v>0</v>
      </c>
      <c r="H5634" s="35">
        <f t="shared" si="88"/>
        <v>147272.49</v>
      </c>
      <c r="I5634" s="35"/>
      <c r="K5634" t="s">
        <v>15</v>
      </c>
    </row>
    <row r="5635" spans="2:11" ht="41.25" x14ac:dyDescent="0.2">
      <c r="B5635" s="33" t="s">
        <v>6605</v>
      </c>
      <c r="C5635" s="33" t="s">
        <v>662</v>
      </c>
      <c r="D5635" s="35">
        <f>SUMIFS(D5636:D9015,K5636:K9015,"0",B5636:B9015,"5 1 2 1 4 12 31111 6 M59 40400 000173 0000R 00001 00214 025 2112000 2024 CP4PD369*")-SUMIFS(E5636:E9015,K5636:K9015,"0",B5636:B9015,"5 1 2 1 4 12 31111 6 M59 40400 000173 0000R 00001 00214 025 2112000 2024 CP4PD369*")</f>
        <v>0</v>
      </c>
      <c r="E5635"/>
      <c r="F5635" s="35">
        <f>SUMIFS(F5636:F9015,K5636:K9015,"0",B5636:B9015,"5 1 2 1 4 12 31111 6 M59 40400 000173 0000R 00001 00214 025 2112000 2024 CP4PD369*")</f>
        <v>147272.49</v>
      </c>
      <c r="G5635" s="35">
        <f>SUMIFS(G5636:G9015,K5636:K9015,"0",B5636:B9015,"5 1 2 1 4 12 31111 6 M59 40400 000173 0000R 00001 00214 025 2112000 2024 CP4PD369*")</f>
        <v>0</v>
      </c>
      <c r="H5635" s="35">
        <f t="shared" si="88"/>
        <v>147272.49</v>
      </c>
      <c r="I5635" s="35"/>
      <c r="K5635" t="s">
        <v>15</v>
      </c>
    </row>
    <row r="5636" spans="2:11" ht="41.25" x14ac:dyDescent="0.2">
      <c r="B5636" s="33" t="s">
        <v>6606</v>
      </c>
      <c r="C5636" s="33" t="s">
        <v>664</v>
      </c>
      <c r="D5636" s="35">
        <f>SUMIFS(D5637:D9015,K5637:K9015,"0",B5637:B9015,"5 1 2 1 4 12 31111 6 M59 40400 000173 0000R 00001 00214 025 2112000 2024 CP4PD369 003*")-SUMIFS(E5637:E9015,K5637:K9015,"0",B5637:B9015,"5 1 2 1 4 12 31111 6 M59 40400 000173 0000R 00001 00214 025 2112000 2024 CP4PD369 003*")</f>
        <v>0</v>
      </c>
      <c r="E5636"/>
      <c r="F5636" s="35">
        <f>SUMIFS(F5637:F9015,K5637:K9015,"0",B5637:B9015,"5 1 2 1 4 12 31111 6 M59 40400 000173 0000R 00001 00214 025 2112000 2024 CP4PD369 003*")</f>
        <v>147272.49</v>
      </c>
      <c r="G5636" s="35">
        <f>SUMIFS(G5637:G9015,K5637:K9015,"0",B5637:B9015,"5 1 2 1 4 12 31111 6 M59 40400 000173 0000R 00001 00214 025 2112000 2024 CP4PD369 003*")</f>
        <v>0</v>
      </c>
      <c r="H5636" s="35">
        <f t="shared" ref="H5636:H5699" si="89">D5636 + F5636 - G5636</f>
        <v>147272.49</v>
      </c>
      <c r="I5636" s="35"/>
      <c r="K5636" t="s">
        <v>15</v>
      </c>
    </row>
    <row r="5637" spans="2:11" ht="33" x14ac:dyDescent="0.2">
      <c r="B5637" s="31" t="s">
        <v>6607</v>
      </c>
      <c r="C5637" s="31" t="s">
        <v>6524</v>
      </c>
      <c r="D5637" s="34">
        <v>0</v>
      </c>
      <c r="E5637" s="34"/>
      <c r="F5637" s="34">
        <v>147272.49</v>
      </c>
      <c r="G5637" s="34">
        <v>0</v>
      </c>
      <c r="H5637" s="34">
        <f t="shared" si="89"/>
        <v>147272.49</v>
      </c>
      <c r="I5637" s="34"/>
      <c r="K5637" t="s">
        <v>38</v>
      </c>
    </row>
    <row r="5638" spans="2:11" ht="16.5" x14ac:dyDescent="0.2">
      <c r="B5638" s="33" t="s">
        <v>6608</v>
      </c>
      <c r="C5638" s="33" t="s">
        <v>6609</v>
      </c>
      <c r="D5638" s="35">
        <f>SUMIFS(D5639:D9015,K5639:K9015,"0",B5639:B9015,"5 1 2 1 5*")-SUMIFS(E5639:E9015,K5639:K9015,"0",B5639:B9015,"5 1 2 1 5*")</f>
        <v>0</v>
      </c>
      <c r="E5638"/>
      <c r="F5638" s="35">
        <f>SUMIFS(F5639:F9015,K5639:K9015,"0",B5639:B9015,"5 1 2 1 5*")</f>
        <v>75109.41</v>
      </c>
      <c r="G5638" s="35">
        <f>SUMIFS(G5639:G9015,K5639:K9015,"0",B5639:B9015,"5 1 2 1 5*")</f>
        <v>0</v>
      </c>
      <c r="H5638" s="35">
        <f t="shared" si="89"/>
        <v>75109.41</v>
      </c>
      <c r="I5638" s="35"/>
      <c r="K5638" t="s">
        <v>15</v>
      </c>
    </row>
    <row r="5639" spans="2:11" ht="12.75" x14ac:dyDescent="0.2">
      <c r="B5639" s="33" t="s">
        <v>6610</v>
      </c>
      <c r="C5639" s="33" t="s">
        <v>26</v>
      </c>
      <c r="D5639" s="35">
        <f>SUMIFS(D5640:D9015,K5640:K9015,"0",B5640:B9015,"5 1 2 1 5 12*")-SUMIFS(E5640:E9015,K5640:K9015,"0",B5640:B9015,"5 1 2 1 5 12*")</f>
        <v>0</v>
      </c>
      <c r="E5639"/>
      <c r="F5639" s="35">
        <f>SUMIFS(F5640:F9015,K5640:K9015,"0",B5640:B9015,"5 1 2 1 5 12*")</f>
        <v>75109.41</v>
      </c>
      <c r="G5639" s="35">
        <f>SUMIFS(G5640:G9015,K5640:K9015,"0",B5640:B9015,"5 1 2 1 5 12*")</f>
        <v>0</v>
      </c>
      <c r="H5639" s="35">
        <f t="shared" si="89"/>
        <v>75109.41</v>
      </c>
      <c r="I5639" s="35"/>
      <c r="K5639" t="s">
        <v>15</v>
      </c>
    </row>
    <row r="5640" spans="2:11" ht="16.5" x14ac:dyDescent="0.2">
      <c r="B5640" s="33" t="s">
        <v>6611</v>
      </c>
      <c r="C5640" s="33" t="s">
        <v>28</v>
      </c>
      <c r="D5640" s="35">
        <f>SUMIFS(D5641:D9015,K5641:K9015,"0",B5641:B9015,"5 1 2 1 5 12 31111*")-SUMIFS(E5641:E9015,K5641:K9015,"0",B5641:B9015,"5 1 2 1 5 12 31111*")</f>
        <v>0</v>
      </c>
      <c r="E5640"/>
      <c r="F5640" s="35">
        <f>SUMIFS(F5641:F9015,K5641:K9015,"0",B5641:B9015,"5 1 2 1 5 12 31111*")</f>
        <v>75109.41</v>
      </c>
      <c r="G5640" s="35">
        <f>SUMIFS(G5641:G9015,K5641:K9015,"0",B5641:B9015,"5 1 2 1 5 12 31111*")</f>
        <v>0</v>
      </c>
      <c r="H5640" s="35">
        <f t="shared" si="89"/>
        <v>75109.41</v>
      </c>
      <c r="I5640" s="35"/>
      <c r="K5640" t="s">
        <v>15</v>
      </c>
    </row>
    <row r="5641" spans="2:11" ht="12.75" x14ac:dyDescent="0.2">
      <c r="B5641" s="33" t="s">
        <v>6612</v>
      </c>
      <c r="C5641" s="33" t="s">
        <v>30</v>
      </c>
      <c r="D5641" s="35">
        <f>SUMIFS(D5642:D9015,K5642:K9015,"0",B5642:B9015,"5 1 2 1 5 12 31111 6*")-SUMIFS(E5642:E9015,K5642:K9015,"0",B5642:B9015,"5 1 2 1 5 12 31111 6*")</f>
        <v>0</v>
      </c>
      <c r="E5641"/>
      <c r="F5641" s="35">
        <f>SUMIFS(F5642:F9015,K5642:K9015,"0",B5642:B9015,"5 1 2 1 5 12 31111 6*")</f>
        <v>75109.41</v>
      </c>
      <c r="G5641" s="35">
        <f>SUMIFS(G5642:G9015,K5642:K9015,"0",B5642:B9015,"5 1 2 1 5 12 31111 6*")</f>
        <v>0</v>
      </c>
      <c r="H5641" s="35">
        <f t="shared" si="89"/>
        <v>75109.41</v>
      </c>
      <c r="I5641" s="35"/>
      <c r="K5641" t="s">
        <v>15</v>
      </c>
    </row>
    <row r="5642" spans="2:11" ht="16.5" x14ac:dyDescent="0.2">
      <c r="B5642" s="33" t="s">
        <v>6613</v>
      </c>
      <c r="C5642" s="33" t="s">
        <v>2284</v>
      </c>
      <c r="D5642" s="35">
        <f>SUMIFS(D5643:D9015,K5643:K9015,"0",B5643:B9015,"5 1 2 1 5 12 31111 6 M59*")-SUMIFS(E5643:E9015,K5643:K9015,"0",B5643:B9015,"5 1 2 1 5 12 31111 6 M59*")</f>
        <v>0</v>
      </c>
      <c r="E5642"/>
      <c r="F5642" s="35">
        <f>SUMIFS(F5643:F9015,K5643:K9015,"0",B5643:B9015,"5 1 2 1 5 12 31111 6 M59*")</f>
        <v>75109.41</v>
      </c>
      <c r="G5642" s="35">
        <f>SUMIFS(G5643:G9015,K5643:K9015,"0",B5643:B9015,"5 1 2 1 5 12 31111 6 M59*")</f>
        <v>0</v>
      </c>
      <c r="H5642" s="35">
        <f t="shared" si="89"/>
        <v>75109.41</v>
      </c>
      <c r="I5642" s="35"/>
      <c r="K5642" t="s">
        <v>15</v>
      </c>
    </row>
    <row r="5643" spans="2:11" ht="16.5" x14ac:dyDescent="0.2">
      <c r="B5643" s="33" t="s">
        <v>6614</v>
      </c>
      <c r="C5643" s="33" t="s">
        <v>1044</v>
      </c>
      <c r="D5643" s="35">
        <f>SUMIFS(D5644:D9015,K5644:K9015,"0",B5644:B9015,"5 1 2 1 5 12 31111 6 M59 19000*")-SUMIFS(E5644:E9015,K5644:K9015,"0",B5644:B9015,"5 1 2 1 5 12 31111 6 M59 19000*")</f>
        <v>0</v>
      </c>
      <c r="E5643"/>
      <c r="F5643" s="35">
        <f>SUMIFS(F5644:F9015,K5644:K9015,"0",B5644:B9015,"5 1 2 1 5 12 31111 6 M59 19000*")</f>
        <v>70620.210000000006</v>
      </c>
      <c r="G5643" s="35">
        <f>SUMIFS(G5644:G9015,K5644:K9015,"0",B5644:B9015,"5 1 2 1 5 12 31111 6 M59 19000*")</f>
        <v>0</v>
      </c>
      <c r="H5643" s="35">
        <f t="shared" si="89"/>
        <v>70620.210000000006</v>
      </c>
      <c r="I5643" s="35"/>
      <c r="K5643" t="s">
        <v>15</v>
      </c>
    </row>
    <row r="5644" spans="2:11" ht="16.5" x14ac:dyDescent="0.2">
      <c r="B5644" s="33" t="s">
        <v>6615</v>
      </c>
      <c r="C5644" s="33" t="s">
        <v>648</v>
      </c>
      <c r="D5644" s="35">
        <f>SUMIFS(D5645:D9015,K5645:K9015,"0",B5645:B9015,"5 1 2 1 5 12 31111 6 M59 19000 000132*")-SUMIFS(E5645:E9015,K5645:K9015,"0",B5645:B9015,"5 1 2 1 5 12 31111 6 M59 19000 000132*")</f>
        <v>0</v>
      </c>
      <c r="E5644"/>
      <c r="F5644" s="35">
        <f>SUMIFS(F5645:F9015,K5645:K9015,"0",B5645:B9015,"5 1 2 1 5 12 31111 6 M59 19000 000132*")</f>
        <v>70620.210000000006</v>
      </c>
      <c r="G5644" s="35">
        <f>SUMIFS(G5645:G9015,K5645:K9015,"0",B5645:B9015,"5 1 2 1 5 12 31111 6 M59 19000 000132*")</f>
        <v>0</v>
      </c>
      <c r="H5644" s="35">
        <f t="shared" si="89"/>
        <v>70620.210000000006</v>
      </c>
      <c r="I5644" s="35"/>
      <c r="K5644" t="s">
        <v>15</v>
      </c>
    </row>
    <row r="5645" spans="2:11" ht="16.5" x14ac:dyDescent="0.2">
      <c r="B5645" s="33" t="s">
        <v>6616</v>
      </c>
      <c r="C5645" s="33" t="s">
        <v>650</v>
      </c>
      <c r="D5645" s="35">
        <f>SUMIFS(D5646:D9015,K5646:K9015,"0",B5646:B9015,"5 1 2 1 5 12 31111 6 M59 19000 000132 0000R*")-SUMIFS(E5646:E9015,K5646:K9015,"0",B5646:B9015,"5 1 2 1 5 12 31111 6 M59 19000 000132 0000R*")</f>
        <v>0</v>
      </c>
      <c r="E5645"/>
      <c r="F5645" s="35">
        <f>SUMIFS(F5646:F9015,K5646:K9015,"0",B5646:B9015,"5 1 2 1 5 12 31111 6 M59 19000 000132 0000R*")</f>
        <v>70620.210000000006</v>
      </c>
      <c r="G5645" s="35">
        <f>SUMIFS(G5646:G9015,K5646:K9015,"0",B5646:B9015,"5 1 2 1 5 12 31111 6 M59 19000 000132 0000R*")</f>
        <v>0</v>
      </c>
      <c r="H5645" s="35">
        <f t="shared" si="89"/>
        <v>70620.210000000006</v>
      </c>
      <c r="I5645" s="35"/>
      <c r="K5645" t="s">
        <v>15</v>
      </c>
    </row>
    <row r="5646" spans="2:11" ht="24.75" x14ac:dyDescent="0.2">
      <c r="B5646" s="33" t="s">
        <v>6617</v>
      </c>
      <c r="C5646" s="33" t="s">
        <v>282</v>
      </c>
      <c r="D5646" s="35">
        <f>SUMIFS(D5647:D9015,K5647:K9015,"0",B5647:B9015,"5 1 2 1 5 12 31111 6 M59 19000 000132 0000R 00001*")-SUMIFS(E5647:E9015,K5647:K9015,"0",B5647:B9015,"5 1 2 1 5 12 31111 6 M59 19000 000132 0000R 00001*")</f>
        <v>0</v>
      </c>
      <c r="E5646"/>
      <c r="F5646" s="35">
        <f>SUMIFS(F5647:F9015,K5647:K9015,"0",B5647:B9015,"5 1 2 1 5 12 31111 6 M59 19000 000132 0000R 00001*")</f>
        <v>70620.210000000006</v>
      </c>
      <c r="G5646" s="35">
        <f>SUMIFS(G5647:G9015,K5647:K9015,"0",B5647:B9015,"5 1 2 1 5 12 31111 6 M59 19000 000132 0000R 00001*")</f>
        <v>0</v>
      </c>
      <c r="H5646" s="35">
        <f t="shared" si="89"/>
        <v>70620.210000000006</v>
      </c>
      <c r="I5646" s="35"/>
      <c r="K5646" t="s">
        <v>15</v>
      </c>
    </row>
    <row r="5647" spans="2:11" ht="24.75" x14ac:dyDescent="0.2">
      <c r="B5647" s="33" t="s">
        <v>6618</v>
      </c>
      <c r="C5647" s="33" t="s">
        <v>6619</v>
      </c>
      <c r="D5647" s="35">
        <f>SUMIFS(D5648:D9015,K5648:K9015,"0",B5648:B9015,"5 1 2 1 5 12 31111 6 M59 19000 000132 0000R 00001 00215*")-SUMIFS(E5648:E9015,K5648:K9015,"0",B5648:B9015,"5 1 2 1 5 12 31111 6 M59 19000 000132 0000R 00001 00215*")</f>
        <v>0</v>
      </c>
      <c r="E5647"/>
      <c r="F5647" s="35">
        <f>SUMIFS(F5648:F9015,K5648:K9015,"0",B5648:B9015,"5 1 2 1 5 12 31111 6 M59 19000 000132 0000R 00001 00215*")</f>
        <v>70620.210000000006</v>
      </c>
      <c r="G5647" s="35">
        <f>SUMIFS(G5648:G9015,K5648:K9015,"0",B5648:B9015,"5 1 2 1 5 12 31111 6 M59 19000 000132 0000R 00001 00215*")</f>
        <v>0</v>
      </c>
      <c r="H5647" s="35">
        <f t="shared" si="89"/>
        <v>70620.210000000006</v>
      </c>
      <c r="I5647" s="35"/>
      <c r="K5647" t="s">
        <v>15</v>
      </c>
    </row>
    <row r="5648" spans="2:11" ht="24.75" x14ac:dyDescent="0.2">
      <c r="B5648" s="33" t="s">
        <v>6620</v>
      </c>
      <c r="C5648" s="33" t="s">
        <v>699</v>
      </c>
      <c r="D5648" s="35">
        <f>SUMIFS(D5649:D9015,K5649:K9015,"0",B5649:B9015,"5 1 2 1 5 12 31111 6 M59 19000 000132 0000R 00001 00215 011*")-SUMIFS(E5649:E9015,K5649:K9015,"0",B5649:B9015,"5 1 2 1 5 12 31111 6 M59 19000 000132 0000R 00001 00215 011*")</f>
        <v>0</v>
      </c>
      <c r="E5648"/>
      <c r="F5648" s="35">
        <f>SUMIFS(F5649:F9015,K5649:K9015,"0",B5649:B9015,"5 1 2 1 5 12 31111 6 M59 19000 000132 0000R 00001 00215 011*")</f>
        <v>70620.210000000006</v>
      </c>
      <c r="G5648" s="35">
        <f>SUMIFS(G5649:G9015,K5649:K9015,"0",B5649:B9015,"5 1 2 1 5 12 31111 6 M59 19000 000132 0000R 00001 00215 011*")</f>
        <v>0</v>
      </c>
      <c r="H5648" s="35">
        <f t="shared" si="89"/>
        <v>70620.210000000006</v>
      </c>
      <c r="I5648" s="35"/>
      <c r="K5648" t="s">
        <v>15</v>
      </c>
    </row>
    <row r="5649" spans="2:11" ht="33" x14ac:dyDescent="0.2">
      <c r="B5649" s="33" t="s">
        <v>6621</v>
      </c>
      <c r="C5649" s="33" t="s">
        <v>5830</v>
      </c>
      <c r="D5649" s="35">
        <f>SUMIFS(D5650:D9015,K5650:K9015,"0",B5650:B9015,"5 1 2 1 5 12 31111 6 M59 19000 000132 0000R 00001 00215 011 2112000*")-SUMIFS(E5650:E9015,K5650:K9015,"0",B5650:B9015,"5 1 2 1 5 12 31111 6 M59 19000 000132 0000R 00001 00215 011 2112000*")</f>
        <v>0</v>
      </c>
      <c r="E5649"/>
      <c r="F5649" s="35">
        <f>SUMIFS(F5650:F9015,K5650:K9015,"0",B5650:B9015,"5 1 2 1 5 12 31111 6 M59 19000 000132 0000R 00001 00215 011 2112000*")</f>
        <v>70620.210000000006</v>
      </c>
      <c r="G5649" s="35">
        <f>SUMIFS(G5650:G9015,K5650:K9015,"0",B5650:B9015,"5 1 2 1 5 12 31111 6 M59 19000 000132 0000R 00001 00215 011 2112000*")</f>
        <v>0</v>
      </c>
      <c r="H5649" s="35">
        <f t="shared" si="89"/>
        <v>70620.210000000006</v>
      </c>
      <c r="I5649" s="35"/>
      <c r="K5649" t="s">
        <v>15</v>
      </c>
    </row>
    <row r="5650" spans="2:11" ht="33" x14ac:dyDescent="0.2">
      <c r="B5650" s="33" t="s">
        <v>6622</v>
      </c>
      <c r="C5650" s="33" t="s">
        <v>660</v>
      </c>
      <c r="D5650" s="35">
        <f>SUMIFS(D5651:D9015,K5651:K9015,"0",B5651:B9015,"5 1 2 1 5 12 31111 6 M59 19000 000132 0000R 00001 00215 011 2112000 2024*")-SUMIFS(E5651:E9015,K5651:K9015,"0",B5651:B9015,"5 1 2 1 5 12 31111 6 M59 19000 000132 0000R 00001 00215 011 2112000 2024*")</f>
        <v>0</v>
      </c>
      <c r="E5650"/>
      <c r="F5650" s="35">
        <f>SUMIFS(F5651:F9015,K5651:K9015,"0",B5651:B9015,"5 1 2 1 5 12 31111 6 M59 19000 000132 0000R 00001 00215 011 2112000 2024*")</f>
        <v>70620.210000000006</v>
      </c>
      <c r="G5650" s="35">
        <f>SUMIFS(G5651:G9015,K5651:K9015,"0",B5651:B9015,"5 1 2 1 5 12 31111 6 M59 19000 000132 0000R 00001 00215 011 2112000 2024*")</f>
        <v>0</v>
      </c>
      <c r="H5650" s="35">
        <f t="shared" si="89"/>
        <v>70620.210000000006</v>
      </c>
      <c r="I5650" s="35"/>
      <c r="K5650" t="s">
        <v>15</v>
      </c>
    </row>
    <row r="5651" spans="2:11" ht="41.25" x14ac:dyDescent="0.2">
      <c r="B5651" s="33" t="s">
        <v>6623</v>
      </c>
      <c r="C5651" s="33" t="s">
        <v>662</v>
      </c>
      <c r="D5651" s="35">
        <f>SUMIFS(D5652:D9015,K5652:K9015,"0",B5652:B9015,"5 1 2 1 5 12 31111 6 M59 19000 000132 0000R 00001 00215 011 2112000 2024 CP1TM440*")-SUMIFS(E5652:E9015,K5652:K9015,"0",B5652:B9015,"5 1 2 1 5 12 31111 6 M59 19000 000132 0000R 00001 00215 011 2112000 2024 CP1TM440*")</f>
        <v>0</v>
      </c>
      <c r="E5651"/>
      <c r="F5651" s="35">
        <f>SUMIFS(F5652:F9015,K5652:K9015,"0",B5652:B9015,"5 1 2 1 5 12 31111 6 M59 19000 000132 0000R 00001 00215 011 2112000 2024 CP1TM440*")</f>
        <v>70620.210000000006</v>
      </c>
      <c r="G5651" s="35">
        <f>SUMIFS(G5652:G9015,K5652:K9015,"0",B5652:B9015,"5 1 2 1 5 12 31111 6 M59 19000 000132 0000R 00001 00215 011 2112000 2024 CP1TM440*")</f>
        <v>0</v>
      </c>
      <c r="H5651" s="35">
        <f t="shared" si="89"/>
        <v>70620.210000000006</v>
      </c>
      <c r="I5651" s="35"/>
      <c r="K5651" t="s">
        <v>15</v>
      </c>
    </row>
    <row r="5652" spans="2:11" ht="41.25" x14ac:dyDescent="0.2">
      <c r="B5652" s="33" t="s">
        <v>6624</v>
      </c>
      <c r="C5652" s="33" t="s">
        <v>46</v>
      </c>
      <c r="D5652" s="35">
        <f>SUMIFS(D5653:D9015,K5653:K9015,"0",B5653:B9015,"5 1 2 1 5 12 31111 6 M59 19000 000132 0000R 00001 00215 011 2112000 2024 CP1TM440 004*")-SUMIFS(E5653:E9015,K5653:K9015,"0",B5653:B9015,"5 1 2 1 5 12 31111 6 M59 19000 000132 0000R 00001 00215 011 2112000 2024 CP1TM440 004*")</f>
        <v>0</v>
      </c>
      <c r="E5652"/>
      <c r="F5652" s="35">
        <f>SUMIFS(F5653:F9015,K5653:K9015,"0",B5653:B9015,"5 1 2 1 5 12 31111 6 M59 19000 000132 0000R 00001 00215 011 2112000 2024 CP1TM440 004*")</f>
        <v>70620.210000000006</v>
      </c>
      <c r="G5652" s="35">
        <f>SUMIFS(G5653:G9015,K5653:K9015,"0",B5653:B9015,"5 1 2 1 5 12 31111 6 M59 19000 000132 0000R 00001 00215 011 2112000 2024 CP1TM440 004*")</f>
        <v>0</v>
      </c>
      <c r="H5652" s="35">
        <f t="shared" si="89"/>
        <v>70620.210000000006</v>
      </c>
      <c r="I5652" s="35"/>
      <c r="K5652" t="s">
        <v>15</v>
      </c>
    </row>
    <row r="5653" spans="2:11" ht="33" x14ac:dyDescent="0.2">
      <c r="B5653" s="31" t="s">
        <v>6625</v>
      </c>
      <c r="C5653" s="31" t="s">
        <v>6619</v>
      </c>
      <c r="D5653" s="34">
        <v>0</v>
      </c>
      <c r="E5653" s="34"/>
      <c r="F5653" s="34">
        <v>70620.210000000006</v>
      </c>
      <c r="G5653" s="34">
        <v>0</v>
      </c>
      <c r="H5653" s="34">
        <f t="shared" si="89"/>
        <v>70620.210000000006</v>
      </c>
      <c r="I5653" s="34"/>
      <c r="K5653" t="s">
        <v>38</v>
      </c>
    </row>
    <row r="5654" spans="2:11" ht="16.5" x14ac:dyDescent="0.2">
      <c r="B5654" s="33" t="s">
        <v>6626</v>
      </c>
      <c r="C5654" s="33" t="s">
        <v>3608</v>
      </c>
      <c r="D5654" s="35">
        <f>SUMIFS(D5655:D9015,K5655:K9015,"0",B5655:B9015,"5 1 2 1 5 12 31111 6 M59 91000*")-SUMIFS(E5655:E9015,K5655:K9015,"0",B5655:B9015,"5 1 2 1 5 12 31111 6 M59 91000*")</f>
        <v>0</v>
      </c>
      <c r="E5654"/>
      <c r="F5654" s="35">
        <f>SUMIFS(F5655:F9015,K5655:K9015,"0",B5655:B9015,"5 1 2 1 5 12 31111 6 M59 91000*")</f>
        <v>4489.2</v>
      </c>
      <c r="G5654" s="35">
        <f>SUMIFS(G5655:G9015,K5655:K9015,"0",B5655:B9015,"5 1 2 1 5 12 31111 6 M59 91000*")</f>
        <v>0</v>
      </c>
      <c r="H5654" s="35">
        <f t="shared" si="89"/>
        <v>4489.2</v>
      </c>
      <c r="I5654" s="35"/>
      <c r="K5654" t="s">
        <v>15</v>
      </c>
    </row>
    <row r="5655" spans="2:11" ht="16.5" x14ac:dyDescent="0.2">
      <c r="B5655" s="33" t="s">
        <v>6627</v>
      </c>
      <c r="C5655" s="33" t="s">
        <v>648</v>
      </c>
      <c r="D5655" s="35">
        <f>SUMIFS(D5656:D9015,K5656:K9015,"0",B5656:B9015,"5 1 2 1 5 12 31111 6 M59 91000 000132*")-SUMIFS(E5656:E9015,K5656:K9015,"0",B5656:B9015,"5 1 2 1 5 12 31111 6 M59 91000 000132*")</f>
        <v>0</v>
      </c>
      <c r="E5655"/>
      <c r="F5655" s="35">
        <f>SUMIFS(F5656:F9015,K5656:K9015,"0",B5656:B9015,"5 1 2 1 5 12 31111 6 M59 91000 000132*")</f>
        <v>4489.2</v>
      </c>
      <c r="G5655" s="35">
        <f>SUMIFS(G5656:G9015,K5656:K9015,"0",B5656:B9015,"5 1 2 1 5 12 31111 6 M59 91000 000132*")</f>
        <v>0</v>
      </c>
      <c r="H5655" s="35">
        <f t="shared" si="89"/>
        <v>4489.2</v>
      </c>
      <c r="I5655" s="35"/>
      <c r="K5655" t="s">
        <v>15</v>
      </c>
    </row>
    <row r="5656" spans="2:11" ht="16.5" x14ac:dyDescent="0.2">
      <c r="B5656" s="33" t="s">
        <v>6628</v>
      </c>
      <c r="C5656" s="33" t="s">
        <v>650</v>
      </c>
      <c r="D5656" s="35">
        <f>SUMIFS(D5657:D9015,K5657:K9015,"0",B5657:B9015,"5 1 2 1 5 12 31111 6 M59 91000 000132 0000R*")-SUMIFS(E5657:E9015,K5657:K9015,"0",B5657:B9015,"5 1 2 1 5 12 31111 6 M59 91000 000132 0000R*")</f>
        <v>0</v>
      </c>
      <c r="E5656"/>
      <c r="F5656" s="35">
        <f>SUMIFS(F5657:F9015,K5657:K9015,"0",B5657:B9015,"5 1 2 1 5 12 31111 6 M59 91000 000132 0000R*")</f>
        <v>4489.2</v>
      </c>
      <c r="G5656" s="35">
        <f>SUMIFS(G5657:G9015,K5657:K9015,"0",B5657:B9015,"5 1 2 1 5 12 31111 6 M59 91000 000132 0000R*")</f>
        <v>0</v>
      </c>
      <c r="H5656" s="35">
        <f t="shared" si="89"/>
        <v>4489.2</v>
      </c>
      <c r="I5656" s="35"/>
      <c r="K5656" t="s">
        <v>15</v>
      </c>
    </row>
    <row r="5657" spans="2:11" ht="24.75" x14ac:dyDescent="0.2">
      <c r="B5657" s="33" t="s">
        <v>6629</v>
      </c>
      <c r="C5657" s="33" t="s">
        <v>282</v>
      </c>
      <c r="D5657" s="35">
        <f>SUMIFS(D5658:D9015,K5658:K9015,"0",B5658:B9015,"5 1 2 1 5 12 31111 6 M59 91000 000132 0000R 00001*")-SUMIFS(E5658:E9015,K5658:K9015,"0",B5658:B9015,"5 1 2 1 5 12 31111 6 M59 91000 000132 0000R 00001*")</f>
        <v>0</v>
      </c>
      <c r="E5657"/>
      <c r="F5657" s="35">
        <f>SUMIFS(F5658:F9015,K5658:K9015,"0",B5658:B9015,"5 1 2 1 5 12 31111 6 M59 91000 000132 0000R 00001*")</f>
        <v>4489.2</v>
      </c>
      <c r="G5657" s="35">
        <f>SUMIFS(G5658:G9015,K5658:K9015,"0",B5658:B9015,"5 1 2 1 5 12 31111 6 M59 91000 000132 0000R 00001*")</f>
        <v>0</v>
      </c>
      <c r="H5657" s="35">
        <f t="shared" si="89"/>
        <v>4489.2</v>
      </c>
      <c r="I5657" s="35"/>
      <c r="K5657" t="s">
        <v>15</v>
      </c>
    </row>
    <row r="5658" spans="2:11" ht="24.75" x14ac:dyDescent="0.2">
      <c r="B5658" s="33" t="s">
        <v>6630</v>
      </c>
      <c r="C5658" s="33" t="s">
        <v>6619</v>
      </c>
      <c r="D5658" s="35">
        <f>SUMIFS(D5659:D9015,K5659:K9015,"0",B5659:B9015,"5 1 2 1 5 12 31111 6 M59 91000 000132 0000R 00001 00215*")-SUMIFS(E5659:E9015,K5659:K9015,"0",B5659:B9015,"5 1 2 1 5 12 31111 6 M59 91000 000132 0000R 00001 00215*")</f>
        <v>0</v>
      </c>
      <c r="E5658"/>
      <c r="F5658" s="35">
        <f>SUMIFS(F5659:F9015,K5659:K9015,"0",B5659:B9015,"5 1 2 1 5 12 31111 6 M59 91000 000132 0000R 00001 00215*")</f>
        <v>4489.2</v>
      </c>
      <c r="G5658" s="35">
        <f>SUMIFS(G5659:G9015,K5659:K9015,"0",B5659:B9015,"5 1 2 1 5 12 31111 6 M59 91000 000132 0000R 00001 00215*")</f>
        <v>0</v>
      </c>
      <c r="H5658" s="35">
        <f t="shared" si="89"/>
        <v>4489.2</v>
      </c>
      <c r="I5658" s="35"/>
      <c r="K5658" t="s">
        <v>15</v>
      </c>
    </row>
    <row r="5659" spans="2:11" ht="24.75" x14ac:dyDescent="0.2">
      <c r="B5659" s="33" t="s">
        <v>6631</v>
      </c>
      <c r="C5659" s="33" t="s">
        <v>1051</v>
      </c>
      <c r="D5659" s="35">
        <f>SUMIFS(D5660:D9015,K5660:K9015,"0",B5660:B9015,"5 1 2 1 5 12 31111 6 M59 91000 000132 0000R 00001 00215 015*")-SUMIFS(E5660:E9015,K5660:K9015,"0",B5660:B9015,"5 1 2 1 5 12 31111 6 M59 91000 000132 0000R 00001 00215 015*")</f>
        <v>0</v>
      </c>
      <c r="E5659"/>
      <c r="F5659" s="35">
        <f>SUMIFS(F5660:F9015,K5660:K9015,"0",B5660:B9015,"5 1 2 1 5 12 31111 6 M59 91000 000132 0000R 00001 00215 015*")</f>
        <v>4489.2</v>
      </c>
      <c r="G5659" s="35">
        <f>SUMIFS(G5660:G9015,K5660:K9015,"0",B5660:B9015,"5 1 2 1 5 12 31111 6 M59 91000 000132 0000R 00001 00215 015*")</f>
        <v>0</v>
      </c>
      <c r="H5659" s="35">
        <f t="shared" si="89"/>
        <v>4489.2</v>
      </c>
      <c r="I5659" s="35"/>
      <c r="K5659" t="s">
        <v>15</v>
      </c>
    </row>
    <row r="5660" spans="2:11" ht="33" x14ac:dyDescent="0.2">
      <c r="B5660" s="33" t="s">
        <v>6632</v>
      </c>
      <c r="C5660" s="33" t="s">
        <v>5830</v>
      </c>
      <c r="D5660" s="35">
        <f>SUMIFS(D5661:D9015,K5661:K9015,"0",B5661:B9015,"5 1 2 1 5 12 31111 6 M59 91000 000132 0000R 00001 00215 015 2112000*")-SUMIFS(E5661:E9015,K5661:K9015,"0",B5661:B9015,"5 1 2 1 5 12 31111 6 M59 91000 000132 0000R 00001 00215 015 2112000*")</f>
        <v>0</v>
      </c>
      <c r="E5660"/>
      <c r="F5660" s="35">
        <f>SUMIFS(F5661:F9015,K5661:K9015,"0",B5661:B9015,"5 1 2 1 5 12 31111 6 M59 91000 000132 0000R 00001 00215 015 2112000*")</f>
        <v>4489.2</v>
      </c>
      <c r="G5660" s="35">
        <f>SUMIFS(G5661:G9015,K5661:K9015,"0",B5661:B9015,"5 1 2 1 5 12 31111 6 M59 91000 000132 0000R 00001 00215 015 2112000*")</f>
        <v>0</v>
      </c>
      <c r="H5660" s="35">
        <f t="shared" si="89"/>
        <v>4489.2</v>
      </c>
      <c r="I5660" s="35"/>
      <c r="K5660" t="s">
        <v>15</v>
      </c>
    </row>
    <row r="5661" spans="2:11" ht="33" x14ac:dyDescent="0.2">
      <c r="B5661" s="33" t="s">
        <v>6633</v>
      </c>
      <c r="C5661" s="33" t="s">
        <v>660</v>
      </c>
      <c r="D5661" s="35">
        <f>SUMIFS(D5662:D9015,K5662:K9015,"0",B5662:B9015,"5 1 2 1 5 12 31111 6 M59 91000 000132 0000R 00001 00215 015 2112000 2024*")-SUMIFS(E5662:E9015,K5662:K9015,"0",B5662:B9015,"5 1 2 1 5 12 31111 6 M59 91000 000132 0000R 00001 00215 015 2112000 2024*")</f>
        <v>0</v>
      </c>
      <c r="E5661"/>
      <c r="F5661" s="35">
        <f>SUMIFS(F5662:F9015,K5662:K9015,"0",B5662:B9015,"5 1 2 1 5 12 31111 6 M59 91000 000132 0000R 00001 00215 015 2112000 2024*")</f>
        <v>4489.2</v>
      </c>
      <c r="G5661" s="35">
        <f>SUMIFS(G5662:G9015,K5662:K9015,"0",B5662:B9015,"5 1 2 1 5 12 31111 6 M59 91000 000132 0000R 00001 00215 015 2112000 2024*")</f>
        <v>0</v>
      </c>
      <c r="H5661" s="35">
        <f t="shared" si="89"/>
        <v>4489.2</v>
      </c>
      <c r="I5661" s="35"/>
      <c r="K5661" t="s">
        <v>15</v>
      </c>
    </row>
    <row r="5662" spans="2:11" ht="41.25" x14ac:dyDescent="0.2">
      <c r="B5662" s="33" t="s">
        <v>6634</v>
      </c>
      <c r="C5662" s="33" t="s">
        <v>1056</v>
      </c>
      <c r="D5662" s="35">
        <f>SUMIFS(D5663:D9015,K5663:K9015,"0",B5663:B9015,"5 1 2 1 5 12 31111 6 M59 91000 000132 0000R 00001 00215 015 2112000 2024 CP1RE398*")-SUMIFS(E5663:E9015,K5663:K9015,"0",B5663:B9015,"5 1 2 1 5 12 31111 6 M59 91000 000132 0000R 00001 00215 015 2112000 2024 CP1RE398*")</f>
        <v>0</v>
      </c>
      <c r="E5662"/>
      <c r="F5662" s="35">
        <f>SUMIFS(F5663:F9015,K5663:K9015,"0",B5663:B9015,"5 1 2 1 5 12 31111 6 M59 91000 000132 0000R 00001 00215 015 2112000 2024 CP1RE398*")</f>
        <v>4489.2</v>
      </c>
      <c r="G5662" s="35">
        <f>SUMIFS(G5663:G9015,K5663:K9015,"0",B5663:B9015,"5 1 2 1 5 12 31111 6 M59 91000 000132 0000R 00001 00215 015 2112000 2024 CP1RE398*")</f>
        <v>0</v>
      </c>
      <c r="H5662" s="35">
        <f t="shared" si="89"/>
        <v>4489.2</v>
      </c>
      <c r="I5662" s="35"/>
      <c r="K5662" t="s">
        <v>15</v>
      </c>
    </row>
    <row r="5663" spans="2:11" ht="41.25" x14ac:dyDescent="0.2">
      <c r="B5663" s="33" t="s">
        <v>6635</v>
      </c>
      <c r="C5663" s="33" t="s">
        <v>282</v>
      </c>
      <c r="D5663" s="35">
        <f>SUMIFS(D5664:D9015,K5664:K9015,"0",B5664:B9015,"5 1 2 1 5 12 31111 6 M59 91000 000132 0000R 00001 00215 015 2112000 2024 CP1RE398 001*")-SUMIFS(E5664:E9015,K5664:K9015,"0",B5664:B9015,"5 1 2 1 5 12 31111 6 M59 91000 000132 0000R 00001 00215 015 2112000 2024 CP1RE398 001*")</f>
        <v>0</v>
      </c>
      <c r="E5663"/>
      <c r="F5663" s="35">
        <f>SUMIFS(F5664:F9015,K5664:K9015,"0",B5664:B9015,"5 1 2 1 5 12 31111 6 M59 91000 000132 0000R 00001 00215 015 2112000 2024 CP1RE398 001*")</f>
        <v>4489.2</v>
      </c>
      <c r="G5663" s="35">
        <f>SUMIFS(G5664:G9015,K5664:K9015,"0",B5664:B9015,"5 1 2 1 5 12 31111 6 M59 91000 000132 0000R 00001 00215 015 2112000 2024 CP1RE398 001*")</f>
        <v>0</v>
      </c>
      <c r="H5663" s="35">
        <f t="shared" si="89"/>
        <v>4489.2</v>
      </c>
      <c r="I5663" s="35"/>
      <c r="K5663" t="s">
        <v>15</v>
      </c>
    </row>
    <row r="5664" spans="2:11" ht="33" x14ac:dyDescent="0.2">
      <c r="B5664" s="31" t="s">
        <v>6636</v>
      </c>
      <c r="C5664" s="31" t="s">
        <v>6619</v>
      </c>
      <c r="D5664" s="34">
        <v>0</v>
      </c>
      <c r="E5664" s="34"/>
      <c r="F5664" s="34">
        <v>4489.2</v>
      </c>
      <c r="G5664" s="34">
        <v>0</v>
      </c>
      <c r="H5664" s="34">
        <f t="shared" si="89"/>
        <v>4489.2</v>
      </c>
      <c r="I5664" s="34"/>
      <c r="K5664" t="s">
        <v>38</v>
      </c>
    </row>
    <row r="5665" spans="2:11" ht="12.75" x14ac:dyDescent="0.2">
      <c r="B5665" s="33" t="s">
        <v>6637</v>
      </c>
      <c r="C5665" s="33" t="s">
        <v>6638</v>
      </c>
      <c r="D5665" s="35">
        <f>SUMIFS(D5666:D9015,K5666:K9015,"0",B5666:B9015,"5 1 2 1 6*")-SUMIFS(E5666:E9015,K5666:K9015,"0",B5666:B9015,"5 1 2 1 6*")</f>
        <v>0</v>
      </c>
      <c r="E5665"/>
      <c r="F5665" s="35">
        <f>SUMIFS(F5666:F9015,K5666:K9015,"0",B5666:B9015,"5 1 2 1 6*")</f>
        <v>25056152.619999997</v>
      </c>
      <c r="G5665" s="35">
        <f>SUMIFS(G5666:G9015,K5666:K9015,"0",B5666:B9015,"5 1 2 1 6*")</f>
        <v>0</v>
      </c>
      <c r="H5665" s="35">
        <f t="shared" si="89"/>
        <v>25056152.619999997</v>
      </c>
      <c r="I5665" s="35"/>
      <c r="K5665" t="s">
        <v>15</v>
      </c>
    </row>
    <row r="5666" spans="2:11" ht="12.75" x14ac:dyDescent="0.2">
      <c r="B5666" s="33" t="s">
        <v>6639</v>
      </c>
      <c r="C5666" s="33" t="s">
        <v>26</v>
      </c>
      <c r="D5666" s="35">
        <f>SUMIFS(D5667:D9015,K5667:K9015,"0",B5667:B9015,"5 1 2 1 6 12*")-SUMIFS(E5667:E9015,K5667:K9015,"0",B5667:B9015,"5 1 2 1 6 12*")</f>
        <v>0</v>
      </c>
      <c r="E5666"/>
      <c r="F5666" s="35">
        <f>SUMIFS(F5667:F9015,K5667:K9015,"0",B5667:B9015,"5 1 2 1 6 12*")</f>
        <v>25056152.619999997</v>
      </c>
      <c r="G5666" s="35">
        <f>SUMIFS(G5667:G9015,K5667:K9015,"0",B5667:B9015,"5 1 2 1 6 12*")</f>
        <v>0</v>
      </c>
      <c r="H5666" s="35">
        <f t="shared" si="89"/>
        <v>25056152.619999997</v>
      </c>
      <c r="I5666" s="35"/>
      <c r="K5666" t="s">
        <v>15</v>
      </c>
    </row>
    <row r="5667" spans="2:11" ht="16.5" x14ac:dyDescent="0.2">
      <c r="B5667" s="33" t="s">
        <v>6640</v>
      </c>
      <c r="C5667" s="33" t="s">
        <v>28</v>
      </c>
      <c r="D5667" s="35">
        <f>SUMIFS(D5668:D9015,K5668:K9015,"0",B5668:B9015,"5 1 2 1 6 12 31111*")-SUMIFS(E5668:E9015,K5668:K9015,"0",B5668:B9015,"5 1 2 1 6 12 31111*")</f>
        <v>0</v>
      </c>
      <c r="E5667"/>
      <c r="F5667" s="35">
        <f>SUMIFS(F5668:F9015,K5668:K9015,"0",B5668:B9015,"5 1 2 1 6 12 31111*")</f>
        <v>25056152.619999997</v>
      </c>
      <c r="G5667" s="35">
        <f>SUMIFS(G5668:G9015,K5668:K9015,"0",B5668:B9015,"5 1 2 1 6 12 31111*")</f>
        <v>0</v>
      </c>
      <c r="H5667" s="35">
        <f t="shared" si="89"/>
        <v>25056152.619999997</v>
      </c>
      <c r="I5667" s="35"/>
      <c r="K5667" t="s">
        <v>15</v>
      </c>
    </row>
    <row r="5668" spans="2:11" ht="12.75" x14ac:dyDescent="0.2">
      <c r="B5668" s="33" t="s">
        <v>6641</v>
      </c>
      <c r="C5668" s="33" t="s">
        <v>30</v>
      </c>
      <c r="D5668" s="35">
        <f>SUMIFS(D5669:D9015,K5669:K9015,"0",B5669:B9015,"5 1 2 1 6 12 31111 6*")-SUMIFS(E5669:E9015,K5669:K9015,"0",B5669:B9015,"5 1 2 1 6 12 31111 6*")</f>
        <v>0</v>
      </c>
      <c r="E5668"/>
      <c r="F5668" s="35">
        <f>SUMIFS(F5669:F9015,K5669:K9015,"0",B5669:B9015,"5 1 2 1 6 12 31111 6*")</f>
        <v>25056152.619999997</v>
      </c>
      <c r="G5668" s="35">
        <f>SUMIFS(G5669:G9015,K5669:K9015,"0",B5669:B9015,"5 1 2 1 6 12 31111 6*")</f>
        <v>0</v>
      </c>
      <c r="H5668" s="35">
        <f t="shared" si="89"/>
        <v>25056152.619999997</v>
      </c>
      <c r="I5668" s="35"/>
      <c r="K5668" t="s">
        <v>15</v>
      </c>
    </row>
    <row r="5669" spans="2:11" ht="16.5" x14ac:dyDescent="0.2">
      <c r="B5669" s="33" t="s">
        <v>6642</v>
      </c>
      <c r="C5669" s="33" t="s">
        <v>2284</v>
      </c>
      <c r="D5669" s="35">
        <f>SUMIFS(D5670:D9015,K5670:K9015,"0",B5670:B9015,"5 1 2 1 6 12 31111 6 M59*")-SUMIFS(E5670:E9015,K5670:K9015,"0",B5670:B9015,"5 1 2 1 6 12 31111 6 M59*")</f>
        <v>0</v>
      </c>
      <c r="E5669"/>
      <c r="F5669" s="35">
        <f>SUMIFS(F5670:F9015,K5670:K9015,"0",B5670:B9015,"5 1 2 1 6 12 31111 6 M59*")</f>
        <v>25056152.619999997</v>
      </c>
      <c r="G5669" s="35">
        <f>SUMIFS(G5670:G9015,K5670:K9015,"0",B5670:B9015,"5 1 2 1 6 12 31111 6 M59*")</f>
        <v>0</v>
      </c>
      <c r="H5669" s="35">
        <f t="shared" si="89"/>
        <v>25056152.619999997</v>
      </c>
      <c r="I5669" s="35"/>
      <c r="K5669" t="s">
        <v>15</v>
      </c>
    </row>
    <row r="5670" spans="2:11" ht="16.5" x14ac:dyDescent="0.2">
      <c r="B5670" s="33" t="s">
        <v>6643</v>
      </c>
      <c r="C5670" s="33" t="s">
        <v>1044</v>
      </c>
      <c r="D5670" s="35">
        <f>SUMIFS(D5671:D9015,K5671:K9015,"0",B5671:B9015,"5 1 2 1 6 12 31111 6 M59 19000*")-SUMIFS(E5671:E9015,K5671:K9015,"0",B5671:B9015,"5 1 2 1 6 12 31111 6 M59 19000*")</f>
        <v>0</v>
      </c>
      <c r="E5670"/>
      <c r="F5670" s="35">
        <f>SUMIFS(F5671:F9015,K5671:K9015,"0",B5671:B9015,"5 1 2 1 6 12 31111 6 M59 19000*")</f>
        <v>990066.28</v>
      </c>
      <c r="G5670" s="35">
        <f>SUMIFS(G5671:G9015,K5671:K9015,"0",B5671:B9015,"5 1 2 1 6 12 31111 6 M59 19000*")</f>
        <v>0</v>
      </c>
      <c r="H5670" s="35">
        <f t="shared" si="89"/>
        <v>990066.28</v>
      </c>
      <c r="I5670" s="35"/>
      <c r="K5670" t="s">
        <v>15</v>
      </c>
    </row>
    <row r="5671" spans="2:11" ht="16.5" x14ac:dyDescent="0.2">
      <c r="B5671" s="33" t="s">
        <v>6644</v>
      </c>
      <c r="C5671" s="33" t="s">
        <v>648</v>
      </c>
      <c r="D5671" s="35">
        <f>SUMIFS(D5672:D9015,K5672:K9015,"0",B5672:B9015,"5 1 2 1 6 12 31111 6 M59 19000 000132*")-SUMIFS(E5672:E9015,K5672:K9015,"0",B5672:B9015,"5 1 2 1 6 12 31111 6 M59 19000 000132*")</f>
        <v>0</v>
      </c>
      <c r="E5671"/>
      <c r="F5671" s="35">
        <f>SUMIFS(F5672:F9015,K5672:K9015,"0",B5672:B9015,"5 1 2 1 6 12 31111 6 M59 19000 000132*")</f>
        <v>990066.28</v>
      </c>
      <c r="G5671" s="35">
        <f>SUMIFS(G5672:G9015,K5672:K9015,"0",B5672:B9015,"5 1 2 1 6 12 31111 6 M59 19000 000132*")</f>
        <v>0</v>
      </c>
      <c r="H5671" s="35">
        <f t="shared" si="89"/>
        <v>990066.28</v>
      </c>
      <c r="I5671" s="35"/>
      <c r="K5671" t="s">
        <v>15</v>
      </c>
    </row>
    <row r="5672" spans="2:11" ht="24.75" x14ac:dyDescent="0.2">
      <c r="B5672" s="33" t="s">
        <v>6645</v>
      </c>
      <c r="C5672" s="33" t="s">
        <v>650</v>
      </c>
      <c r="D5672" s="35">
        <f>SUMIFS(D5673:D9015,K5673:K9015,"0",B5673:B9015,"5 1 2 1 6 12 31111 6 M59 19000 000132 0000R*")-SUMIFS(E5673:E9015,K5673:K9015,"0",B5673:B9015,"5 1 2 1 6 12 31111 6 M59 19000 000132 0000R*")</f>
        <v>0</v>
      </c>
      <c r="E5672"/>
      <c r="F5672" s="35">
        <f>SUMIFS(F5673:F9015,K5673:K9015,"0",B5673:B9015,"5 1 2 1 6 12 31111 6 M59 19000 000132 0000R*")</f>
        <v>990066.28</v>
      </c>
      <c r="G5672" s="35">
        <f>SUMIFS(G5673:G9015,K5673:K9015,"0",B5673:B9015,"5 1 2 1 6 12 31111 6 M59 19000 000132 0000R*")</f>
        <v>0</v>
      </c>
      <c r="H5672" s="35">
        <f t="shared" si="89"/>
        <v>990066.28</v>
      </c>
      <c r="I5672" s="35"/>
      <c r="K5672" t="s">
        <v>15</v>
      </c>
    </row>
    <row r="5673" spans="2:11" ht="24.75" x14ac:dyDescent="0.2">
      <c r="B5673" s="33" t="s">
        <v>6646</v>
      </c>
      <c r="C5673" s="33" t="s">
        <v>282</v>
      </c>
      <c r="D5673" s="35">
        <f>SUMIFS(D5674:D9015,K5674:K9015,"0",B5674:B9015,"5 1 2 1 6 12 31111 6 M59 19000 000132 0000R 00001*")-SUMIFS(E5674:E9015,K5674:K9015,"0",B5674:B9015,"5 1 2 1 6 12 31111 6 M59 19000 000132 0000R 00001*")</f>
        <v>0</v>
      </c>
      <c r="E5673"/>
      <c r="F5673" s="35">
        <f>SUMIFS(F5674:F9015,K5674:K9015,"0",B5674:B9015,"5 1 2 1 6 12 31111 6 M59 19000 000132 0000R 00001*")</f>
        <v>990066.28</v>
      </c>
      <c r="G5673" s="35">
        <f>SUMIFS(G5674:G9015,K5674:K9015,"0",B5674:B9015,"5 1 2 1 6 12 31111 6 M59 19000 000132 0000R 00001*")</f>
        <v>0</v>
      </c>
      <c r="H5673" s="35">
        <f t="shared" si="89"/>
        <v>990066.28</v>
      </c>
      <c r="I5673" s="35"/>
      <c r="K5673" t="s">
        <v>15</v>
      </c>
    </row>
    <row r="5674" spans="2:11" ht="24.75" x14ac:dyDescent="0.2">
      <c r="B5674" s="33" t="s">
        <v>6647</v>
      </c>
      <c r="C5674" s="33" t="s">
        <v>6648</v>
      </c>
      <c r="D5674" s="35">
        <f>SUMIFS(D5675:D9015,K5675:K9015,"0",B5675:B9015,"5 1 2 1 6 12 31111 6 M59 19000 000132 0000R 00001 00216*")-SUMIFS(E5675:E9015,K5675:K9015,"0",B5675:B9015,"5 1 2 1 6 12 31111 6 M59 19000 000132 0000R 00001 00216*")</f>
        <v>0</v>
      </c>
      <c r="E5674"/>
      <c r="F5674" s="35">
        <f>SUMIFS(F5675:F9015,K5675:K9015,"0",B5675:B9015,"5 1 2 1 6 12 31111 6 M59 19000 000132 0000R 00001 00216*")</f>
        <v>990066.28</v>
      </c>
      <c r="G5674" s="35">
        <f>SUMIFS(G5675:G9015,K5675:K9015,"0",B5675:B9015,"5 1 2 1 6 12 31111 6 M59 19000 000132 0000R 00001 00216*")</f>
        <v>0</v>
      </c>
      <c r="H5674" s="35">
        <f t="shared" si="89"/>
        <v>990066.28</v>
      </c>
      <c r="I5674" s="35"/>
      <c r="K5674" t="s">
        <v>15</v>
      </c>
    </row>
    <row r="5675" spans="2:11" ht="33" x14ac:dyDescent="0.2">
      <c r="B5675" s="33" t="s">
        <v>6649</v>
      </c>
      <c r="C5675" s="33" t="s">
        <v>699</v>
      </c>
      <c r="D5675" s="35">
        <f>SUMIFS(D5676:D9015,K5676:K9015,"0",B5676:B9015,"5 1 2 1 6 12 31111 6 M59 19000 000132 0000R 00001 00216 011*")-SUMIFS(E5676:E9015,K5676:K9015,"0",B5676:B9015,"5 1 2 1 6 12 31111 6 M59 19000 000132 0000R 00001 00216 011*")</f>
        <v>0</v>
      </c>
      <c r="E5675"/>
      <c r="F5675" s="35">
        <f>SUMIFS(F5676:F9015,K5676:K9015,"0",B5676:B9015,"5 1 2 1 6 12 31111 6 M59 19000 000132 0000R 00001 00216 011*")</f>
        <v>950000</v>
      </c>
      <c r="G5675" s="35">
        <f>SUMIFS(G5676:G9015,K5676:K9015,"0",B5676:B9015,"5 1 2 1 6 12 31111 6 M59 19000 000132 0000R 00001 00216 011*")</f>
        <v>0</v>
      </c>
      <c r="H5675" s="35">
        <f t="shared" si="89"/>
        <v>950000</v>
      </c>
      <c r="I5675" s="35"/>
      <c r="K5675" t="s">
        <v>15</v>
      </c>
    </row>
    <row r="5676" spans="2:11" ht="33" x14ac:dyDescent="0.2">
      <c r="B5676" s="33" t="s">
        <v>6650</v>
      </c>
      <c r="C5676" s="33" t="s">
        <v>5830</v>
      </c>
      <c r="D5676" s="35">
        <f>SUMIFS(D5677:D9015,K5677:K9015,"0",B5677:B9015,"5 1 2 1 6 12 31111 6 M59 19000 000132 0000R 00001 00216 011 2112000*")-SUMIFS(E5677:E9015,K5677:K9015,"0",B5677:B9015,"5 1 2 1 6 12 31111 6 M59 19000 000132 0000R 00001 00216 011 2112000*")</f>
        <v>0</v>
      </c>
      <c r="E5676"/>
      <c r="F5676" s="35">
        <f>SUMIFS(F5677:F9015,K5677:K9015,"0",B5677:B9015,"5 1 2 1 6 12 31111 6 M59 19000 000132 0000R 00001 00216 011 2112000*")</f>
        <v>950000</v>
      </c>
      <c r="G5676" s="35">
        <f>SUMIFS(G5677:G9015,K5677:K9015,"0",B5677:B9015,"5 1 2 1 6 12 31111 6 M59 19000 000132 0000R 00001 00216 011 2112000*")</f>
        <v>0</v>
      </c>
      <c r="H5676" s="35">
        <f t="shared" si="89"/>
        <v>950000</v>
      </c>
      <c r="I5676" s="35"/>
      <c r="K5676" t="s">
        <v>15</v>
      </c>
    </row>
    <row r="5677" spans="2:11" ht="33" x14ac:dyDescent="0.2">
      <c r="B5677" s="33" t="s">
        <v>6651</v>
      </c>
      <c r="C5677" s="33" t="s">
        <v>660</v>
      </c>
      <c r="D5677" s="35">
        <f>SUMIFS(D5678:D9015,K5678:K9015,"0",B5678:B9015,"5 1 2 1 6 12 31111 6 M59 19000 000132 0000R 00001 00216 011 2112000 2024*")-SUMIFS(E5678:E9015,K5678:K9015,"0",B5678:B9015,"5 1 2 1 6 12 31111 6 M59 19000 000132 0000R 00001 00216 011 2112000 2024*")</f>
        <v>0</v>
      </c>
      <c r="E5677"/>
      <c r="F5677" s="35">
        <f>SUMIFS(F5678:F9015,K5678:K9015,"0",B5678:B9015,"5 1 2 1 6 12 31111 6 M59 19000 000132 0000R 00001 00216 011 2112000 2024*")</f>
        <v>950000</v>
      </c>
      <c r="G5677" s="35">
        <f>SUMIFS(G5678:G9015,K5678:K9015,"0",B5678:B9015,"5 1 2 1 6 12 31111 6 M59 19000 000132 0000R 00001 00216 011 2112000 2024*")</f>
        <v>0</v>
      </c>
      <c r="H5677" s="35">
        <f t="shared" si="89"/>
        <v>950000</v>
      </c>
      <c r="I5677" s="35"/>
      <c r="K5677" t="s">
        <v>15</v>
      </c>
    </row>
    <row r="5678" spans="2:11" ht="41.25" x14ac:dyDescent="0.2">
      <c r="B5678" s="33" t="s">
        <v>6652</v>
      </c>
      <c r="C5678" s="33" t="s">
        <v>662</v>
      </c>
      <c r="D5678" s="35">
        <f>SUMIFS(D5679:D9015,K5679:K9015,"0",B5679:B9015,"5 1 2 1 6 12 31111 6 M59 19000 000132 0000R 00001 00216 011 2112000 2024 CP1TM440*")-SUMIFS(E5679:E9015,K5679:K9015,"0",B5679:B9015,"5 1 2 1 6 12 31111 6 M59 19000 000132 0000R 00001 00216 011 2112000 2024 CP1TM440*")</f>
        <v>0</v>
      </c>
      <c r="E5678"/>
      <c r="F5678" s="35">
        <f>SUMIFS(F5679:F9015,K5679:K9015,"0",B5679:B9015,"5 1 2 1 6 12 31111 6 M59 19000 000132 0000R 00001 00216 011 2112000 2024 CP1TM440*")</f>
        <v>950000</v>
      </c>
      <c r="G5678" s="35">
        <f>SUMIFS(G5679:G9015,K5679:K9015,"0",B5679:B9015,"5 1 2 1 6 12 31111 6 M59 19000 000132 0000R 00001 00216 011 2112000 2024 CP1TM440*")</f>
        <v>0</v>
      </c>
      <c r="H5678" s="35">
        <f t="shared" si="89"/>
        <v>950000</v>
      </c>
      <c r="I5678" s="35"/>
      <c r="K5678" t="s">
        <v>15</v>
      </c>
    </row>
    <row r="5679" spans="2:11" ht="41.25" x14ac:dyDescent="0.2">
      <c r="B5679" s="33" t="s">
        <v>6653</v>
      </c>
      <c r="C5679" s="33" t="s">
        <v>46</v>
      </c>
      <c r="D5679" s="35">
        <f>SUMIFS(D5680:D9015,K5680:K9015,"0",B5680:B9015,"5 1 2 1 6 12 31111 6 M59 19000 000132 0000R 00001 00216 011 2112000 2024 CP1TM440 004*")-SUMIFS(E5680:E9015,K5680:K9015,"0",B5680:B9015,"5 1 2 1 6 12 31111 6 M59 19000 000132 0000R 00001 00216 011 2112000 2024 CP1TM440 004*")</f>
        <v>0</v>
      </c>
      <c r="E5679"/>
      <c r="F5679" s="35">
        <f>SUMIFS(F5680:F9015,K5680:K9015,"0",B5680:B9015,"5 1 2 1 6 12 31111 6 M59 19000 000132 0000R 00001 00216 011 2112000 2024 CP1TM440 004*")</f>
        <v>950000</v>
      </c>
      <c r="G5679" s="35">
        <f>SUMIFS(G5680:G9015,K5680:K9015,"0",B5680:B9015,"5 1 2 1 6 12 31111 6 M59 19000 000132 0000R 00001 00216 011 2112000 2024 CP1TM440 004*")</f>
        <v>0</v>
      </c>
      <c r="H5679" s="35">
        <f t="shared" si="89"/>
        <v>950000</v>
      </c>
      <c r="I5679" s="35"/>
      <c r="K5679" t="s">
        <v>15</v>
      </c>
    </row>
    <row r="5680" spans="2:11" ht="33" x14ac:dyDescent="0.2">
      <c r="B5680" s="31" t="s">
        <v>6654</v>
      </c>
      <c r="C5680" s="31" t="s">
        <v>6648</v>
      </c>
      <c r="D5680" s="34">
        <v>0</v>
      </c>
      <c r="E5680" s="34"/>
      <c r="F5680" s="34">
        <v>950000</v>
      </c>
      <c r="G5680" s="34">
        <v>0</v>
      </c>
      <c r="H5680" s="34">
        <f t="shared" si="89"/>
        <v>950000</v>
      </c>
      <c r="I5680" s="34"/>
      <c r="K5680" t="s">
        <v>38</v>
      </c>
    </row>
    <row r="5681" spans="2:11" ht="33" x14ac:dyDescent="0.2">
      <c r="B5681" s="33" t="s">
        <v>6655</v>
      </c>
      <c r="C5681" s="33" t="s">
        <v>1051</v>
      </c>
      <c r="D5681" s="35">
        <f>SUMIFS(D5682:D9015,K5682:K9015,"0",B5682:B9015,"5 1 2 1 6 12 31111 6 M59 19000 000132 0000R 00001 00216 015*")-SUMIFS(E5682:E9015,K5682:K9015,"0",B5682:B9015,"5 1 2 1 6 12 31111 6 M59 19000 000132 0000R 00001 00216 015*")</f>
        <v>0</v>
      </c>
      <c r="E5681"/>
      <c r="F5681" s="35">
        <f>SUMIFS(F5682:F9015,K5682:K9015,"0",B5682:B9015,"5 1 2 1 6 12 31111 6 M59 19000 000132 0000R 00001 00216 015*")</f>
        <v>40066.28</v>
      </c>
      <c r="G5681" s="35">
        <f>SUMIFS(G5682:G9015,K5682:K9015,"0",B5682:B9015,"5 1 2 1 6 12 31111 6 M59 19000 000132 0000R 00001 00216 015*")</f>
        <v>0</v>
      </c>
      <c r="H5681" s="35">
        <f t="shared" si="89"/>
        <v>40066.28</v>
      </c>
      <c r="I5681" s="35"/>
      <c r="K5681" t="s">
        <v>15</v>
      </c>
    </row>
    <row r="5682" spans="2:11" ht="33" x14ac:dyDescent="0.2">
      <c r="B5682" s="33" t="s">
        <v>6656</v>
      </c>
      <c r="C5682" s="33" t="s">
        <v>5830</v>
      </c>
      <c r="D5682" s="35">
        <f>SUMIFS(D5683:D9015,K5683:K9015,"0",B5683:B9015,"5 1 2 1 6 12 31111 6 M59 19000 000132 0000R 00001 00216 015 2112000*")-SUMIFS(E5683:E9015,K5683:K9015,"0",B5683:B9015,"5 1 2 1 6 12 31111 6 M59 19000 000132 0000R 00001 00216 015 2112000*")</f>
        <v>0</v>
      </c>
      <c r="E5682"/>
      <c r="F5682" s="35">
        <f>SUMIFS(F5683:F9015,K5683:K9015,"0",B5683:B9015,"5 1 2 1 6 12 31111 6 M59 19000 000132 0000R 00001 00216 015 2112000*")</f>
        <v>40066.28</v>
      </c>
      <c r="G5682" s="35">
        <f>SUMIFS(G5683:G9015,K5683:K9015,"0",B5683:B9015,"5 1 2 1 6 12 31111 6 M59 19000 000132 0000R 00001 00216 015 2112000*")</f>
        <v>0</v>
      </c>
      <c r="H5682" s="35">
        <f t="shared" si="89"/>
        <v>40066.28</v>
      </c>
      <c r="I5682" s="35"/>
      <c r="K5682" t="s">
        <v>15</v>
      </c>
    </row>
    <row r="5683" spans="2:11" ht="33" x14ac:dyDescent="0.2">
      <c r="B5683" s="33" t="s">
        <v>6657</v>
      </c>
      <c r="C5683" s="33" t="s">
        <v>660</v>
      </c>
      <c r="D5683" s="35">
        <f>SUMIFS(D5684:D9015,K5684:K9015,"0",B5684:B9015,"5 1 2 1 6 12 31111 6 M59 19000 000132 0000R 00001 00216 015 2112000 2024*")-SUMIFS(E5684:E9015,K5684:K9015,"0",B5684:B9015,"5 1 2 1 6 12 31111 6 M59 19000 000132 0000R 00001 00216 015 2112000 2024*")</f>
        <v>0</v>
      </c>
      <c r="E5683"/>
      <c r="F5683" s="35">
        <f>SUMIFS(F5684:F9015,K5684:K9015,"0",B5684:B9015,"5 1 2 1 6 12 31111 6 M59 19000 000132 0000R 00001 00216 015 2112000 2024*")</f>
        <v>40066.28</v>
      </c>
      <c r="G5683" s="35">
        <f>SUMIFS(G5684:G9015,K5684:K9015,"0",B5684:B9015,"5 1 2 1 6 12 31111 6 M59 19000 000132 0000R 00001 00216 015 2112000 2024*")</f>
        <v>0</v>
      </c>
      <c r="H5683" s="35">
        <f t="shared" si="89"/>
        <v>40066.28</v>
      </c>
      <c r="I5683" s="35"/>
      <c r="K5683" t="s">
        <v>15</v>
      </c>
    </row>
    <row r="5684" spans="2:11" ht="41.25" x14ac:dyDescent="0.2">
      <c r="B5684" s="33" t="s">
        <v>6658</v>
      </c>
      <c r="C5684" s="33" t="s">
        <v>662</v>
      </c>
      <c r="D5684" s="35">
        <f>SUMIFS(D5685:D9015,K5685:K9015,"0",B5685:B9015,"5 1 2 1 6 12 31111 6 M59 19000 000132 0000R 00001 00216 015 2112000 2024 CP1TM440*")-SUMIFS(E5685:E9015,K5685:K9015,"0",B5685:B9015,"5 1 2 1 6 12 31111 6 M59 19000 000132 0000R 00001 00216 015 2112000 2024 CP1TM440*")</f>
        <v>0</v>
      </c>
      <c r="E5684"/>
      <c r="F5684" s="35">
        <f>SUMIFS(F5685:F9015,K5685:K9015,"0",B5685:B9015,"5 1 2 1 6 12 31111 6 M59 19000 000132 0000R 00001 00216 015 2112000 2024 CP1TM440*")</f>
        <v>40066.28</v>
      </c>
      <c r="G5684" s="35">
        <f>SUMIFS(G5685:G9015,K5685:K9015,"0",B5685:B9015,"5 1 2 1 6 12 31111 6 M59 19000 000132 0000R 00001 00216 015 2112000 2024 CP1TM440*")</f>
        <v>0</v>
      </c>
      <c r="H5684" s="35">
        <f t="shared" si="89"/>
        <v>40066.28</v>
      </c>
      <c r="I5684" s="35"/>
      <c r="K5684" t="s">
        <v>15</v>
      </c>
    </row>
    <row r="5685" spans="2:11" ht="41.25" x14ac:dyDescent="0.2">
      <c r="B5685" s="33" t="s">
        <v>6659</v>
      </c>
      <c r="C5685" s="33" t="s">
        <v>282</v>
      </c>
      <c r="D5685" s="35">
        <f>SUMIFS(D5686:D9015,K5686:K9015,"0",B5686:B9015,"5 1 2 1 6 12 31111 6 M59 19000 000132 0000R 00001 00216 015 2112000 2024 CP1TM440 001*")-SUMIFS(E5686:E9015,K5686:K9015,"0",B5686:B9015,"5 1 2 1 6 12 31111 6 M59 19000 000132 0000R 00001 00216 015 2112000 2024 CP1TM440 001*")</f>
        <v>0</v>
      </c>
      <c r="E5685"/>
      <c r="F5685" s="35">
        <f>SUMIFS(F5686:F9015,K5686:K9015,"0",B5686:B9015,"5 1 2 1 6 12 31111 6 M59 19000 000132 0000R 00001 00216 015 2112000 2024 CP1TM440 001*")</f>
        <v>40066.28</v>
      </c>
      <c r="G5685" s="35">
        <f>SUMIFS(G5686:G9015,K5686:K9015,"0",B5686:B9015,"5 1 2 1 6 12 31111 6 M59 19000 000132 0000R 00001 00216 015 2112000 2024 CP1TM440 001*")</f>
        <v>0</v>
      </c>
      <c r="H5685" s="35">
        <f t="shared" si="89"/>
        <v>40066.28</v>
      </c>
      <c r="I5685" s="35"/>
      <c r="K5685" t="s">
        <v>15</v>
      </c>
    </row>
    <row r="5686" spans="2:11" ht="33" x14ac:dyDescent="0.2">
      <c r="B5686" s="31" t="s">
        <v>6660</v>
      </c>
      <c r="C5686" s="31" t="s">
        <v>6648</v>
      </c>
      <c r="D5686" s="34">
        <v>0</v>
      </c>
      <c r="E5686" s="34"/>
      <c r="F5686" s="34">
        <v>40066.28</v>
      </c>
      <c r="G5686" s="34">
        <v>0</v>
      </c>
      <c r="H5686" s="34">
        <f t="shared" si="89"/>
        <v>40066.28</v>
      </c>
      <c r="I5686" s="34"/>
      <c r="K5686" t="s">
        <v>38</v>
      </c>
    </row>
    <row r="5687" spans="2:11" ht="16.5" x14ac:dyDescent="0.2">
      <c r="B5687" s="33" t="s">
        <v>6661</v>
      </c>
      <c r="C5687" s="33" t="s">
        <v>1044</v>
      </c>
      <c r="D5687" s="35">
        <f>SUMIFS(D5688:D9015,K5688:K9015,"0",B5688:B9015,"5 1 2 1 6 12 31111 6 M59 20000*")-SUMIFS(E5688:E9015,K5688:K9015,"0",B5688:B9015,"5 1 2 1 6 12 31111 6 M59 20000*")</f>
        <v>0</v>
      </c>
      <c r="E5687"/>
      <c r="F5687" s="35">
        <f>SUMIFS(F5688:F9015,K5688:K9015,"0",B5688:B9015,"5 1 2 1 6 12 31111 6 M59 20000*")</f>
        <v>27584.799999999999</v>
      </c>
      <c r="G5687" s="35">
        <f>SUMIFS(G5688:G9015,K5688:K9015,"0",B5688:B9015,"5 1 2 1 6 12 31111 6 M59 20000*")</f>
        <v>0</v>
      </c>
      <c r="H5687" s="35">
        <f t="shared" si="89"/>
        <v>27584.799999999999</v>
      </c>
      <c r="I5687" s="35"/>
      <c r="K5687" t="s">
        <v>15</v>
      </c>
    </row>
    <row r="5688" spans="2:11" ht="16.5" x14ac:dyDescent="0.2">
      <c r="B5688" s="33" t="s">
        <v>6662</v>
      </c>
      <c r="C5688" s="33" t="s">
        <v>648</v>
      </c>
      <c r="D5688" s="35">
        <f>SUMIFS(D5689:D9015,K5689:K9015,"0",B5689:B9015,"5 1 2 1 6 12 31111 6 M59 20000 000132*")-SUMIFS(E5689:E9015,K5689:K9015,"0",B5689:B9015,"5 1 2 1 6 12 31111 6 M59 20000 000132*")</f>
        <v>0</v>
      </c>
      <c r="E5688"/>
      <c r="F5688" s="35">
        <f>SUMIFS(F5689:F9015,K5689:K9015,"0",B5689:B9015,"5 1 2 1 6 12 31111 6 M59 20000 000132*")</f>
        <v>27584.799999999999</v>
      </c>
      <c r="G5688" s="35">
        <f>SUMIFS(G5689:G9015,K5689:K9015,"0",B5689:B9015,"5 1 2 1 6 12 31111 6 M59 20000 000132*")</f>
        <v>0</v>
      </c>
      <c r="H5688" s="35">
        <f t="shared" si="89"/>
        <v>27584.799999999999</v>
      </c>
      <c r="I5688" s="35"/>
      <c r="K5688" t="s">
        <v>15</v>
      </c>
    </row>
    <row r="5689" spans="2:11" ht="24.75" x14ac:dyDescent="0.2">
      <c r="B5689" s="33" t="s">
        <v>6663</v>
      </c>
      <c r="C5689" s="33" t="s">
        <v>650</v>
      </c>
      <c r="D5689" s="35">
        <f>SUMIFS(D5690:D9015,K5690:K9015,"0",B5690:B9015,"5 1 2 1 6 12 31111 6 M59 20000 000132 0000R*")-SUMIFS(E5690:E9015,K5690:K9015,"0",B5690:B9015,"5 1 2 1 6 12 31111 6 M59 20000 000132 0000R*")</f>
        <v>0</v>
      </c>
      <c r="E5689"/>
      <c r="F5689" s="35">
        <f>SUMIFS(F5690:F9015,K5690:K9015,"0",B5690:B9015,"5 1 2 1 6 12 31111 6 M59 20000 000132 0000R*")</f>
        <v>27584.799999999999</v>
      </c>
      <c r="G5689" s="35">
        <f>SUMIFS(G5690:G9015,K5690:K9015,"0",B5690:B9015,"5 1 2 1 6 12 31111 6 M59 20000 000132 0000R*")</f>
        <v>0</v>
      </c>
      <c r="H5689" s="35">
        <f t="shared" si="89"/>
        <v>27584.799999999999</v>
      </c>
      <c r="I5689" s="35"/>
      <c r="K5689" t="s">
        <v>15</v>
      </c>
    </row>
    <row r="5690" spans="2:11" ht="24.75" x14ac:dyDescent="0.2">
      <c r="B5690" s="33" t="s">
        <v>6664</v>
      </c>
      <c r="C5690" s="33" t="s">
        <v>282</v>
      </c>
      <c r="D5690" s="35">
        <f>SUMIFS(D5691:D9015,K5691:K9015,"0",B5691:B9015,"5 1 2 1 6 12 31111 6 M59 20000 000132 0000R 00001*")-SUMIFS(E5691:E9015,K5691:K9015,"0",B5691:B9015,"5 1 2 1 6 12 31111 6 M59 20000 000132 0000R 00001*")</f>
        <v>0</v>
      </c>
      <c r="E5690"/>
      <c r="F5690" s="35">
        <f>SUMIFS(F5691:F9015,K5691:K9015,"0",B5691:B9015,"5 1 2 1 6 12 31111 6 M59 20000 000132 0000R 00001*")</f>
        <v>27584.799999999999</v>
      </c>
      <c r="G5690" s="35">
        <f>SUMIFS(G5691:G9015,K5691:K9015,"0",B5691:B9015,"5 1 2 1 6 12 31111 6 M59 20000 000132 0000R 00001*")</f>
        <v>0</v>
      </c>
      <c r="H5690" s="35">
        <f t="shared" si="89"/>
        <v>27584.799999999999</v>
      </c>
      <c r="I5690" s="35"/>
      <c r="K5690" t="s">
        <v>15</v>
      </c>
    </row>
    <row r="5691" spans="2:11" ht="24.75" x14ac:dyDescent="0.2">
      <c r="B5691" s="33" t="s">
        <v>6665</v>
      </c>
      <c r="C5691" s="33" t="s">
        <v>6648</v>
      </c>
      <c r="D5691" s="35">
        <f>SUMIFS(D5692:D9015,K5692:K9015,"0",B5692:B9015,"5 1 2 1 6 12 31111 6 M59 20000 000132 0000R 00001 00216*")-SUMIFS(E5692:E9015,K5692:K9015,"0",B5692:B9015,"5 1 2 1 6 12 31111 6 M59 20000 000132 0000R 00001 00216*")</f>
        <v>0</v>
      </c>
      <c r="E5691"/>
      <c r="F5691" s="35">
        <f>SUMIFS(F5692:F9015,K5692:K9015,"0",B5692:B9015,"5 1 2 1 6 12 31111 6 M59 20000 000132 0000R 00001 00216*")</f>
        <v>27584.799999999999</v>
      </c>
      <c r="G5691" s="35">
        <f>SUMIFS(G5692:G9015,K5692:K9015,"0",B5692:B9015,"5 1 2 1 6 12 31111 6 M59 20000 000132 0000R 00001 00216*")</f>
        <v>0</v>
      </c>
      <c r="H5691" s="35">
        <f t="shared" si="89"/>
        <v>27584.799999999999</v>
      </c>
      <c r="I5691" s="35"/>
      <c r="K5691" t="s">
        <v>15</v>
      </c>
    </row>
    <row r="5692" spans="2:11" ht="33" x14ac:dyDescent="0.2">
      <c r="B5692" s="33" t="s">
        <v>6666</v>
      </c>
      <c r="C5692" s="33" t="s">
        <v>1051</v>
      </c>
      <c r="D5692" s="35">
        <f>SUMIFS(D5693:D9015,K5693:K9015,"0",B5693:B9015,"5 1 2 1 6 12 31111 6 M59 20000 000132 0000R 00001 00216 015*")-SUMIFS(E5693:E9015,K5693:K9015,"0",B5693:B9015,"5 1 2 1 6 12 31111 6 M59 20000 000132 0000R 00001 00216 015*")</f>
        <v>0</v>
      </c>
      <c r="E5692"/>
      <c r="F5692" s="35">
        <f>SUMIFS(F5693:F9015,K5693:K9015,"0",B5693:B9015,"5 1 2 1 6 12 31111 6 M59 20000 000132 0000R 00001 00216 015*")</f>
        <v>27584.799999999999</v>
      </c>
      <c r="G5692" s="35">
        <f>SUMIFS(G5693:G9015,K5693:K9015,"0",B5693:B9015,"5 1 2 1 6 12 31111 6 M59 20000 000132 0000R 00001 00216 015*")</f>
        <v>0</v>
      </c>
      <c r="H5692" s="35">
        <f t="shared" si="89"/>
        <v>27584.799999999999</v>
      </c>
      <c r="I5692" s="35"/>
      <c r="K5692" t="s">
        <v>15</v>
      </c>
    </row>
    <row r="5693" spans="2:11" ht="33" x14ac:dyDescent="0.2">
      <c r="B5693" s="33" t="s">
        <v>6667</v>
      </c>
      <c r="C5693" s="33" t="s">
        <v>5830</v>
      </c>
      <c r="D5693" s="35">
        <f>SUMIFS(D5694:D9015,K5694:K9015,"0",B5694:B9015,"5 1 2 1 6 12 31111 6 M59 20000 000132 0000R 00001 00216 015 2112000*")-SUMIFS(E5694:E9015,K5694:K9015,"0",B5694:B9015,"5 1 2 1 6 12 31111 6 M59 20000 000132 0000R 00001 00216 015 2112000*")</f>
        <v>0</v>
      </c>
      <c r="E5693"/>
      <c r="F5693" s="35">
        <f>SUMIFS(F5694:F9015,K5694:K9015,"0",B5694:B9015,"5 1 2 1 6 12 31111 6 M59 20000 000132 0000R 00001 00216 015 2112000*")</f>
        <v>27584.799999999999</v>
      </c>
      <c r="G5693" s="35">
        <f>SUMIFS(G5694:G9015,K5694:K9015,"0",B5694:B9015,"5 1 2 1 6 12 31111 6 M59 20000 000132 0000R 00001 00216 015 2112000*")</f>
        <v>0</v>
      </c>
      <c r="H5693" s="35">
        <f t="shared" si="89"/>
        <v>27584.799999999999</v>
      </c>
      <c r="I5693" s="35"/>
      <c r="K5693" t="s">
        <v>15</v>
      </c>
    </row>
    <row r="5694" spans="2:11" ht="33" x14ac:dyDescent="0.2">
      <c r="B5694" s="33" t="s">
        <v>6668</v>
      </c>
      <c r="C5694" s="33" t="s">
        <v>660</v>
      </c>
      <c r="D5694" s="35">
        <f>SUMIFS(D5695:D9015,K5695:K9015,"0",B5695:B9015,"5 1 2 1 6 12 31111 6 M59 20000 000132 0000R 00001 00216 015 2112000 2024*")-SUMIFS(E5695:E9015,K5695:K9015,"0",B5695:B9015,"5 1 2 1 6 12 31111 6 M59 20000 000132 0000R 00001 00216 015 2112000 2024*")</f>
        <v>0</v>
      </c>
      <c r="E5694"/>
      <c r="F5694" s="35">
        <f>SUMIFS(F5695:F9015,K5695:K9015,"0",B5695:B9015,"5 1 2 1 6 12 31111 6 M59 20000 000132 0000R 00001 00216 015 2112000 2024*")</f>
        <v>27584.799999999999</v>
      </c>
      <c r="G5694" s="35">
        <f>SUMIFS(G5695:G9015,K5695:K9015,"0",B5695:B9015,"5 1 2 1 6 12 31111 6 M59 20000 000132 0000R 00001 00216 015 2112000 2024*")</f>
        <v>0</v>
      </c>
      <c r="H5694" s="35">
        <f t="shared" si="89"/>
        <v>27584.799999999999</v>
      </c>
      <c r="I5694" s="35"/>
      <c r="K5694" t="s">
        <v>15</v>
      </c>
    </row>
    <row r="5695" spans="2:11" ht="41.25" x14ac:dyDescent="0.2">
      <c r="B5695" s="33" t="s">
        <v>6669</v>
      </c>
      <c r="C5695" s="33" t="s">
        <v>1056</v>
      </c>
      <c r="D5695" s="35">
        <f>SUMIFS(D5696:D9015,K5696:K9015,"0",B5696:B9015,"5 1 2 1 6 12 31111 6 M59 20000 000132 0000R 00001 00216 015 2112000 2024 CP1AF389*")-SUMIFS(E5696:E9015,K5696:K9015,"0",B5696:B9015,"5 1 2 1 6 12 31111 6 M59 20000 000132 0000R 00001 00216 015 2112000 2024 CP1AF389*")</f>
        <v>0</v>
      </c>
      <c r="E5695"/>
      <c r="F5695" s="35">
        <f>SUMIFS(F5696:F9015,K5696:K9015,"0",B5696:B9015,"5 1 2 1 6 12 31111 6 M59 20000 000132 0000R 00001 00216 015 2112000 2024 CP1AF389*")</f>
        <v>27584.799999999999</v>
      </c>
      <c r="G5695" s="35">
        <f>SUMIFS(G5696:G9015,K5696:K9015,"0",B5696:B9015,"5 1 2 1 6 12 31111 6 M59 20000 000132 0000R 00001 00216 015 2112000 2024 CP1AF389*")</f>
        <v>0</v>
      </c>
      <c r="H5695" s="35">
        <f t="shared" si="89"/>
        <v>27584.799999999999</v>
      </c>
      <c r="I5695" s="35"/>
      <c r="K5695" t="s">
        <v>15</v>
      </c>
    </row>
    <row r="5696" spans="2:11" ht="41.25" x14ac:dyDescent="0.2">
      <c r="B5696" s="33" t="s">
        <v>6670</v>
      </c>
      <c r="C5696" s="33" t="s">
        <v>282</v>
      </c>
      <c r="D5696" s="35">
        <f>SUMIFS(D5697:D9015,K5697:K9015,"0",B5697:B9015,"5 1 2 1 6 12 31111 6 M59 20000 000132 0000R 00001 00216 015 2112000 2024 CP1AF389 001*")-SUMIFS(E5697:E9015,K5697:K9015,"0",B5697:B9015,"5 1 2 1 6 12 31111 6 M59 20000 000132 0000R 00001 00216 015 2112000 2024 CP1AF389 001*")</f>
        <v>0</v>
      </c>
      <c r="E5696"/>
      <c r="F5696" s="35">
        <f>SUMIFS(F5697:F9015,K5697:K9015,"0",B5697:B9015,"5 1 2 1 6 12 31111 6 M59 20000 000132 0000R 00001 00216 015 2112000 2024 CP1AF389 001*")</f>
        <v>27584.799999999999</v>
      </c>
      <c r="G5696" s="35">
        <f>SUMIFS(G5697:G9015,K5697:K9015,"0",B5697:B9015,"5 1 2 1 6 12 31111 6 M59 20000 000132 0000R 00001 00216 015 2112000 2024 CP1AF389 001*")</f>
        <v>0</v>
      </c>
      <c r="H5696" s="35">
        <f t="shared" si="89"/>
        <v>27584.799999999999</v>
      </c>
      <c r="I5696" s="35"/>
      <c r="K5696" t="s">
        <v>15</v>
      </c>
    </row>
    <row r="5697" spans="2:11" ht="41.25" x14ac:dyDescent="0.2">
      <c r="B5697" s="31" t="s">
        <v>6671</v>
      </c>
      <c r="C5697" s="31" t="s">
        <v>6638</v>
      </c>
      <c r="D5697" s="34">
        <v>0</v>
      </c>
      <c r="E5697" s="34"/>
      <c r="F5697" s="34">
        <v>27584.799999999999</v>
      </c>
      <c r="G5697" s="34">
        <v>0</v>
      </c>
      <c r="H5697" s="34">
        <f t="shared" si="89"/>
        <v>27584.799999999999</v>
      </c>
      <c r="I5697" s="34"/>
      <c r="K5697" t="s">
        <v>38</v>
      </c>
    </row>
    <row r="5698" spans="2:11" ht="16.5" x14ac:dyDescent="0.2">
      <c r="B5698" s="33" t="s">
        <v>6672</v>
      </c>
      <c r="C5698" s="33" t="s">
        <v>1079</v>
      </c>
      <c r="D5698" s="35">
        <f>SUMIFS(D5699:D9015,K5699:K9015,"0",B5699:B9015,"5 1 2 1 6 12 31111 6 M59 20500*")-SUMIFS(E5699:E9015,K5699:K9015,"0",B5699:B9015,"5 1 2 1 6 12 31111 6 M59 20500*")</f>
        <v>0</v>
      </c>
      <c r="E5698"/>
      <c r="F5698" s="35">
        <f>SUMIFS(F5699:F9015,K5699:K9015,"0",B5699:B9015,"5 1 2 1 6 12 31111 6 M59 20500*")</f>
        <v>7480335</v>
      </c>
      <c r="G5698" s="35">
        <f>SUMIFS(G5699:G9015,K5699:K9015,"0",B5699:B9015,"5 1 2 1 6 12 31111 6 M59 20500*")</f>
        <v>0</v>
      </c>
      <c r="H5698" s="35">
        <f t="shared" si="89"/>
        <v>7480335</v>
      </c>
      <c r="I5698" s="35"/>
      <c r="K5698" t="s">
        <v>15</v>
      </c>
    </row>
    <row r="5699" spans="2:11" ht="16.5" x14ac:dyDescent="0.2">
      <c r="B5699" s="33" t="s">
        <v>6673</v>
      </c>
      <c r="C5699" s="33" t="s">
        <v>648</v>
      </c>
      <c r="D5699" s="35">
        <f>SUMIFS(D5700:D9015,K5700:K9015,"0",B5700:B9015,"5 1 2 1 6 12 31111 6 M59 20500 000132*")-SUMIFS(E5700:E9015,K5700:K9015,"0",B5700:B9015,"5 1 2 1 6 12 31111 6 M59 20500 000132*")</f>
        <v>0</v>
      </c>
      <c r="E5699"/>
      <c r="F5699" s="35">
        <f>SUMIFS(F5700:F9015,K5700:K9015,"0",B5700:B9015,"5 1 2 1 6 12 31111 6 M59 20500 000132*")</f>
        <v>6080335</v>
      </c>
      <c r="G5699" s="35">
        <f>SUMIFS(G5700:G9015,K5700:K9015,"0",B5700:B9015,"5 1 2 1 6 12 31111 6 M59 20500 000132*")</f>
        <v>0</v>
      </c>
      <c r="H5699" s="35">
        <f t="shared" si="89"/>
        <v>6080335</v>
      </c>
      <c r="I5699" s="35"/>
      <c r="K5699" t="s">
        <v>15</v>
      </c>
    </row>
    <row r="5700" spans="2:11" ht="24.75" x14ac:dyDescent="0.2">
      <c r="B5700" s="33" t="s">
        <v>6674</v>
      </c>
      <c r="C5700" s="33" t="s">
        <v>650</v>
      </c>
      <c r="D5700" s="35">
        <f>SUMIFS(D5701:D9015,K5701:K9015,"0",B5701:B9015,"5 1 2 1 6 12 31111 6 M59 20500 000132 0000R*")-SUMIFS(E5701:E9015,K5701:K9015,"0",B5701:B9015,"5 1 2 1 6 12 31111 6 M59 20500 000132 0000R*")</f>
        <v>0</v>
      </c>
      <c r="E5700"/>
      <c r="F5700" s="35">
        <f>SUMIFS(F5701:F9015,K5701:K9015,"0",B5701:B9015,"5 1 2 1 6 12 31111 6 M59 20500 000132 0000R*")</f>
        <v>6080335</v>
      </c>
      <c r="G5700" s="35">
        <f>SUMIFS(G5701:G9015,K5701:K9015,"0",B5701:B9015,"5 1 2 1 6 12 31111 6 M59 20500 000132 0000R*")</f>
        <v>0</v>
      </c>
      <c r="H5700" s="35">
        <f t="shared" ref="H5700:H5763" si="90">D5700 + F5700 - G5700</f>
        <v>6080335</v>
      </c>
      <c r="I5700" s="35"/>
      <c r="K5700" t="s">
        <v>15</v>
      </c>
    </row>
    <row r="5701" spans="2:11" ht="24.75" x14ac:dyDescent="0.2">
      <c r="B5701" s="33" t="s">
        <v>6675</v>
      </c>
      <c r="C5701" s="33" t="s">
        <v>282</v>
      </c>
      <c r="D5701" s="35">
        <f>SUMIFS(D5702:D9015,K5702:K9015,"0",B5702:B9015,"5 1 2 1 6 12 31111 6 M59 20500 000132 0000R 00001*")-SUMIFS(E5702:E9015,K5702:K9015,"0",B5702:B9015,"5 1 2 1 6 12 31111 6 M59 20500 000132 0000R 00001*")</f>
        <v>0</v>
      </c>
      <c r="E5701"/>
      <c r="F5701" s="35">
        <f>SUMIFS(F5702:F9015,K5702:K9015,"0",B5702:B9015,"5 1 2 1 6 12 31111 6 M59 20500 000132 0000R 00001*")</f>
        <v>6080335</v>
      </c>
      <c r="G5701" s="35">
        <f>SUMIFS(G5702:G9015,K5702:K9015,"0",B5702:B9015,"5 1 2 1 6 12 31111 6 M59 20500 000132 0000R 00001*")</f>
        <v>0</v>
      </c>
      <c r="H5701" s="35">
        <f t="shared" si="90"/>
        <v>6080335</v>
      </c>
      <c r="I5701" s="35"/>
      <c r="K5701" t="s">
        <v>15</v>
      </c>
    </row>
    <row r="5702" spans="2:11" ht="24.75" x14ac:dyDescent="0.2">
      <c r="B5702" s="33" t="s">
        <v>6676</v>
      </c>
      <c r="C5702" s="33" t="s">
        <v>6648</v>
      </c>
      <c r="D5702" s="35">
        <f>SUMIFS(D5703:D9015,K5703:K9015,"0",B5703:B9015,"5 1 2 1 6 12 31111 6 M59 20500 000132 0000R 00001 00216*")-SUMIFS(E5703:E9015,K5703:K9015,"0",B5703:B9015,"5 1 2 1 6 12 31111 6 M59 20500 000132 0000R 00001 00216*")</f>
        <v>0</v>
      </c>
      <c r="E5702"/>
      <c r="F5702" s="35">
        <f>SUMIFS(F5703:F9015,K5703:K9015,"0",B5703:B9015,"5 1 2 1 6 12 31111 6 M59 20500 000132 0000R 00001 00216*")</f>
        <v>6080335</v>
      </c>
      <c r="G5702" s="35">
        <f>SUMIFS(G5703:G9015,K5703:K9015,"0",B5703:B9015,"5 1 2 1 6 12 31111 6 M59 20500 000132 0000R 00001 00216*")</f>
        <v>0</v>
      </c>
      <c r="H5702" s="35">
        <f t="shared" si="90"/>
        <v>6080335</v>
      </c>
      <c r="I5702" s="35"/>
      <c r="K5702" t="s">
        <v>15</v>
      </c>
    </row>
    <row r="5703" spans="2:11" ht="33" x14ac:dyDescent="0.2">
      <c r="B5703" s="33" t="s">
        <v>6677</v>
      </c>
      <c r="C5703" s="33" t="s">
        <v>1051</v>
      </c>
      <c r="D5703" s="35">
        <f>SUMIFS(D5704:D9015,K5704:K9015,"0",B5704:B9015,"5 1 2 1 6 12 31111 6 M59 20500 000132 0000R 00001 00216 015*")-SUMIFS(E5704:E9015,K5704:K9015,"0",B5704:B9015,"5 1 2 1 6 12 31111 6 M59 20500 000132 0000R 00001 00216 015*")</f>
        <v>0</v>
      </c>
      <c r="E5703"/>
      <c r="F5703" s="35">
        <f>SUMIFS(F5704:F9015,K5704:K9015,"0",B5704:B9015,"5 1 2 1 6 12 31111 6 M59 20500 000132 0000R 00001 00216 015*")</f>
        <v>6080335</v>
      </c>
      <c r="G5703" s="35">
        <f>SUMIFS(G5704:G9015,K5704:K9015,"0",B5704:B9015,"5 1 2 1 6 12 31111 6 M59 20500 000132 0000R 00001 00216 015*")</f>
        <v>0</v>
      </c>
      <c r="H5703" s="35">
        <f t="shared" si="90"/>
        <v>6080335</v>
      </c>
      <c r="I5703" s="35"/>
      <c r="K5703" t="s">
        <v>15</v>
      </c>
    </row>
    <row r="5704" spans="2:11" ht="33" x14ac:dyDescent="0.2">
      <c r="B5704" s="33" t="s">
        <v>6678</v>
      </c>
      <c r="C5704" s="33" t="s">
        <v>5830</v>
      </c>
      <c r="D5704" s="35">
        <f>SUMIFS(D5705:D9015,K5705:K9015,"0",B5705:B9015,"5 1 2 1 6 12 31111 6 M59 20500 000132 0000R 00001 00216 015 2112000*")-SUMIFS(E5705:E9015,K5705:K9015,"0",B5705:B9015,"5 1 2 1 6 12 31111 6 M59 20500 000132 0000R 00001 00216 015 2112000*")</f>
        <v>0</v>
      </c>
      <c r="E5704"/>
      <c r="F5704" s="35">
        <f>SUMIFS(F5705:F9015,K5705:K9015,"0",B5705:B9015,"5 1 2 1 6 12 31111 6 M59 20500 000132 0000R 00001 00216 015 2112000*")</f>
        <v>6080335</v>
      </c>
      <c r="G5704" s="35">
        <f>SUMIFS(G5705:G9015,K5705:K9015,"0",B5705:B9015,"5 1 2 1 6 12 31111 6 M59 20500 000132 0000R 00001 00216 015 2112000*")</f>
        <v>0</v>
      </c>
      <c r="H5704" s="35">
        <f t="shared" si="90"/>
        <v>6080335</v>
      </c>
      <c r="I5704" s="35"/>
      <c r="K5704" t="s">
        <v>15</v>
      </c>
    </row>
    <row r="5705" spans="2:11" ht="33" x14ac:dyDescent="0.2">
      <c r="B5705" s="33" t="s">
        <v>6679</v>
      </c>
      <c r="C5705" s="33" t="s">
        <v>660</v>
      </c>
      <c r="D5705" s="35">
        <f>SUMIFS(D5706:D9015,K5706:K9015,"0",B5706:B9015,"5 1 2 1 6 12 31111 6 M59 20500 000132 0000R 00001 00216 015 2112000 2024*")-SUMIFS(E5706:E9015,K5706:K9015,"0",B5706:B9015,"5 1 2 1 6 12 31111 6 M59 20500 000132 0000R 00001 00216 015 2112000 2024*")</f>
        <v>0</v>
      </c>
      <c r="E5705"/>
      <c r="F5705" s="35">
        <f>SUMIFS(F5706:F9015,K5706:K9015,"0",B5706:B9015,"5 1 2 1 6 12 31111 6 M59 20500 000132 0000R 00001 00216 015 2112000 2024*")</f>
        <v>6080335</v>
      </c>
      <c r="G5705" s="35">
        <f>SUMIFS(G5706:G9015,K5706:K9015,"0",B5706:B9015,"5 1 2 1 6 12 31111 6 M59 20500 000132 0000R 00001 00216 015 2112000 2024*")</f>
        <v>0</v>
      </c>
      <c r="H5705" s="35">
        <f t="shared" si="90"/>
        <v>6080335</v>
      </c>
      <c r="I5705" s="35"/>
      <c r="K5705" t="s">
        <v>15</v>
      </c>
    </row>
    <row r="5706" spans="2:11" ht="41.25" x14ac:dyDescent="0.2">
      <c r="B5706" s="33" t="s">
        <v>6680</v>
      </c>
      <c r="C5706" s="33" t="s">
        <v>1056</v>
      </c>
      <c r="D5706" s="35">
        <f>SUMIFS(D5707:D9015,K5707:K9015,"0",B5707:B9015,"5 1 2 1 6 12 31111 6 M59 20500 000132 0000R 00001 00216 015 2112000 2024 CP1CP420*")-SUMIFS(E5707:E9015,K5707:K9015,"0",B5707:B9015,"5 1 2 1 6 12 31111 6 M59 20500 000132 0000R 00001 00216 015 2112000 2024 CP1CP420*")</f>
        <v>0</v>
      </c>
      <c r="E5706"/>
      <c r="F5706" s="35">
        <f>SUMIFS(F5707:F9015,K5707:K9015,"0",B5707:B9015,"5 1 2 1 6 12 31111 6 M59 20500 000132 0000R 00001 00216 015 2112000 2024 CP1CP420*")</f>
        <v>6080335</v>
      </c>
      <c r="G5706" s="35">
        <f>SUMIFS(G5707:G9015,K5707:K9015,"0",B5707:B9015,"5 1 2 1 6 12 31111 6 M59 20500 000132 0000R 00001 00216 015 2112000 2024 CP1CP420*")</f>
        <v>0</v>
      </c>
      <c r="H5706" s="35">
        <f t="shared" si="90"/>
        <v>6080335</v>
      </c>
      <c r="I5706" s="35"/>
      <c r="K5706" t="s">
        <v>15</v>
      </c>
    </row>
    <row r="5707" spans="2:11" ht="41.25" x14ac:dyDescent="0.2">
      <c r="B5707" s="33" t="s">
        <v>6681</v>
      </c>
      <c r="C5707" s="33" t="s">
        <v>282</v>
      </c>
      <c r="D5707" s="35">
        <f>SUMIFS(D5708:D9015,K5708:K9015,"0",B5708:B9015,"5 1 2 1 6 12 31111 6 M59 20500 000132 0000R 00001 00216 015 2112000 2024 CP1CP420 001*")-SUMIFS(E5708:E9015,K5708:K9015,"0",B5708:B9015,"5 1 2 1 6 12 31111 6 M59 20500 000132 0000R 00001 00216 015 2112000 2024 CP1CP420 001*")</f>
        <v>0</v>
      </c>
      <c r="E5707"/>
      <c r="F5707" s="35">
        <f>SUMIFS(F5708:F9015,K5708:K9015,"0",B5708:B9015,"5 1 2 1 6 12 31111 6 M59 20500 000132 0000R 00001 00216 015 2112000 2024 CP1CP420 001*")</f>
        <v>6080335</v>
      </c>
      <c r="G5707" s="35">
        <f>SUMIFS(G5708:G9015,K5708:K9015,"0",B5708:B9015,"5 1 2 1 6 12 31111 6 M59 20500 000132 0000R 00001 00216 015 2112000 2024 CP1CP420 001*")</f>
        <v>0</v>
      </c>
      <c r="H5707" s="35">
        <f t="shared" si="90"/>
        <v>6080335</v>
      </c>
      <c r="I5707" s="35"/>
      <c r="K5707" t="s">
        <v>15</v>
      </c>
    </row>
    <row r="5708" spans="2:11" ht="33" x14ac:dyDescent="0.2">
      <c r="B5708" s="31" t="s">
        <v>6682</v>
      </c>
      <c r="C5708" s="31" t="s">
        <v>6638</v>
      </c>
      <c r="D5708" s="34">
        <v>0</v>
      </c>
      <c r="E5708" s="34"/>
      <c r="F5708" s="34">
        <v>6080335</v>
      </c>
      <c r="G5708" s="34">
        <v>0</v>
      </c>
      <c r="H5708" s="34">
        <f t="shared" si="90"/>
        <v>6080335</v>
      </c>
      <c r="I5708" s="34"/>
      <c r="K5708" t="s">
        <v>38</v>
      </c>
    </row>
    <row r="5709" spans="2:11" ht="24.75" x14ac:dyDescent="0.2">
      <c r="B5709" s="33" t="s">
        <v>6683</v>
      </c>
      <c r="C5709" s="33" t="s">
        <v>3152</v>
      </c>
      <c r="D5709" s="35">
        <f>SUMIFS(D5710:D9015,K5710:K9015,"0",B5710:B9015,"5 1 2 1 6 12 31111 6 M59 20500 000181*")-SUMIFS(E5710:E9015,K5710:K9015,"0",B5710:B9015,"5 1 2 1 6 12 31111 6 M59 20500 000181*")</f>
        <v>0</v>
      </c>
      <c r="E5709"/>
      <c r="F5709" s="35">
        <f>SUMIFS(F5710:F9015,K5710:K9015,"0",B5710:B9015,"5 1 2 1 6 12 31111 6 M59 20500 000181*")</f>
        <v>1400000</v>
      </c>
      <c r="G5709" s="35">
        <f>SUMIFS(G5710:G9015,K5710:K9015,"0",B5710:B9015,"5 1 2 1 6 12 31111 6 M59 20500 000181*")</f>
        <v>0</v>
      </c>
      <c r="H5709" s="35">
        <f t="shared" si="90"/>
        <v>1400000</v>
      </c>
      <c r="I5709" s="35"/>
      <c r="K5709" t="s">
        <v>15</v>
      </c>
    </row>
    <row r="5710" spans="2:11" ht="24.75" x14ac:dyDescent="0.2">
      <c r="B5710" s="33" t="s">
        <v>6684</v>
      </c>
      <c r="C5710" s="33" t="s">
        <v>1065</v>
      </c>
      <c r="D5710" s="35">
        <f>SUMIFS(D5711:D9015,K5711:K9015,"0",B5711:B9015,"5 1 2 1 6 12 31111 6 M59 20500 000181 0000E*")-SUMIFS(E5711:E9015,K5711:K9015,"0",B5711:B9015,"5 1 2 1 6 12 31111 6 M59 20500 000181 0000E*")</f>
        <v>0</v>
      </c>
      <c r="E5710"/>
      <c r="F5710" s="35">
        <f>SUMIFS(F5711:F9015,K5711:K9015,"0",B5711:B9015,"5 1 2 1 6 12 31111 6 M59 20500 000181 0000E*")</f>
        <v>1400000</v>
      </c>
      <c r="G5710" s="35">
        <f>SUMIFS(G5711:G9015,K5711:K9015,"0",B5711:B9015,"5 1 2 1 6 12 31111 6 M59 20500 000181 0000E*")</f>
        <v>0</v>
      </c>
      <c r="H5710" s="35">
        <f t="shared" si="90"/>
        <v>1400000</v>
      </c>
      <c r="I5710" s="35"/>
      <c r="K5710" t="s">
        <v>15</v>
      </c>
    </row>
    <row r="5711" spans="2:11" ht="24.75" x14ac:dyDescent="0.2">
      <c r="B5711" s="33" t="s">
        <v>6685</v>
      </c>
      <c r="C5711" s="33" t="s">
        <v>282</v>
      </c>
      <c r="D5711" s="35">
        <f>SUMIFS(D5712:D9015,K5712:K9015,"0",B5712:B9015,"5 1 2 1 6 12 31111 6 M59 20500 000181 0000E 00001*")-SUMIFS(E5712:E9015,K5712:K9015,"0",B5712:B9015,"5 1 2 1 6 12 31111 6 M59 20500 000181 0000E 00001*")</f>
        <v>0</v>
      </c>
      <c r="E5711"/>
      <c r="F5711" s="35">
        <f>SUMIFS(F5712:F9015,K5712:K9015,"0",B5712:B9015,"5 1 2 1 6 12 31111 6 M59 20500 000181 0000E 00001*")</f>
        <v>1400000</v>
      </c>
      <c r="G5711" s="35">
        <f>SUMIFS(G5712:G9015,K5712:K9015,"0",B5712:B9015,"5 1 2 1 6 12 31111 6 M59 20500 000181 0000E 00001*")</f>
        <v>0</v>
      </c>
      <c r="H5711" s="35">
        <f t="shared" si="90"/>
        <v>1400000</v>
      </c>
      <c r="I5711" s="35"/>
      <c r="K5711" t="s">
        <v>15</v>
      </c>
    </row>
    <row r="5712" spans="2:11" ht="24.75" x14ac:dyDescent="0.2">
      <c r="B5712" s="33" t="s">
        <v>6686</v>
      </c>
      <c r="C5712" s="33" t="s">
        <v>6648</v>
      </c>
      <c r="D5712" s="35">
        <f>SUMIFS(D5713:D9015,K5713:K9015,"0",B5713:B9015,"5 1 2 1 6 12 31111 6 M59 20500 000181 0000E 00001 00216*")-SUMIFS(E5713:E9015,K5713:K9015,"0",B5713:B9015,"5 1 2 1 6 12 31111 6 M59 20500 000181 0000E 00001 00216*")</f>
        <v>0</v>
      </c>
      <c r="E5712"/>
      <c r="F5712" s="35">
        <f>SUMIFS(F5713:F9015,K5713:K9015,"0",B5713:B9015,"5 1 2 1 6 12 31111 6 M59 20500 000181 0000E 00001 00216*")</f>
        <v>1400000</v>
      </c>
      <c r="G5712" s="35">
        <f>SUMIFS(G5713:G9015,K5713:K9015,"0",B5713:B9015,"5 1 2 1 6 12 31111 6 M59 20500 000181 0000E 00001 00216*")</f>
        <v>0</v>
      </c>
      <c r="H5712" s="35">
        <f t="shared" si="90"/>
        <v>1400000</v>
      </c>
      <c r="I5712" s="35"/>
      <c r="K5712" t="s">
        <v>15</v>
      </c>
    </row>
    <row r="5713" spans="2:11" ht="33" x14ac:dyDescent="0.2">
      <c r="B5713" s="33" t="s">
        <v>6687</v>
      </c>
      <c r="C5713" s="33" t="s">
        <v>699</v>
      </c>
      <c r="D5713" s="35">
        <f>SUMIFS(D5714:D9015,K5714:K9015,"0",B5714:B9015,"5 1 2 1 6 12 31111 6 M59 20500 000181 0000E 00001 00216 011*")-SUMIFS(E5714:E9015,K5714:K9015,"0",B5714:B9015,"5 1 2 1 6 12 31111 6 M59 20500 000181 0000E 00001 00216 011*")</f>
        <v>0</v>
      </c>
      <c r="E5713"/>
      <c r="F5713" s="35">
        <f>SUMIFS(F5714:F9015,K5714:K9015,"0",B5714:B9015,"5 1 2 1 6 12 31111 6 M59 20500 000181 0000E 00001 00216 011*")</f>
        <v>1400000</v>
      </c>
      <c r="G5713" s="35">
        <f>SUMIFS(G5714:G9015,K5714:K9015,"0",B5714:B9015,"5 1 2 1 6 12 31111 6 M59 20500 000181 0000E 00001 00216 011*")</f>
        <v>0</v>
      </c>
      <c r="H5713" s="35">
        <f t="shared" si="90"/>
        <v>1400000</v>
      </c>
      <c r="I5713" s="35"/>
      <c r="K5713" t="s">
        <v>15</v>
      </c>
    </row>
    <row r="5714" spans="2:11" ht="33" x14ac:dyDescent="0.2">
      <c r="B5714" s="33" t="s">
        <v>6688</v>
      </c>
      <c r="C5714" s="33" t="s">
        <v>5830</v>
      </c>
      <c r="D5714" s="35">
        <f>SUMIFS(D5715:D9015,K5715:K9015,"0",B5715:B9015,"5 1 2 1 6 12 31111 6 M59 20500 000181 0000E 00001 00216 011 2112000*")-SUMIFS(E5715:E9015,K5715:K9015,"0",B5715:B9015,"5 1 2 1 6 12 31111 6 M59 20500 000181 0000E 00001 00216 011 2112000*")</f>
        <v>0</v>
      </c>
      <c r="E5714"/>
      <c r="F5714" s="35">
        <f>SUMIFS(F5715:F9015,K5715:K9015,"0",B5715:B9015,"5 1 2 1 6 12 31111 6 M59 20500 000181 0000E 00001 00216 011 2112000*")</f>
        <v>1400000</v>
      </c>
      <c r="G5714" s="35">
        <f>SUMIFS(G5715:G9015,K5715:K9015,"0",B5715:B9015,"5 1 2 1 6 12 31111 6 M59 20500 000181 0000E 00001 00216 011 2112000*")</f>
        <v>0</v>
      </c>
      <c r="H5714" s="35">
        <f t="shared" si="90"/>
        <v>1400000</v>
      </c>
      <c r="I5714" s="35"/>
      <c r="K5714" t="s">
        <v>15</v>
      </c>
    </row>
    <row r="5715" spans="2:11" ht="33" x14ac:dyDescent="0.2">
      <c r="B5715" s="33" t="s">
        <v>6689</v>
      </c>
      <c r="C5715" s="33" t="s">
        <v>660</v>
      </c>
      <c r="D5715" s="35">
        <f>SUMIFS(D5716:D9015,K5716:K9015,"0",B5716:B9015,"5 1 2 1 6 12 31111 6 M59 20500 000181 0000E 00001 00216 011 2112000 2024*")-SUMIFS(E5716:E9015,K5716:K9015,"0",B5716:B9015,"5 1 2 1 6 12 31111 6 M59 20500 000181 0000E 00001 00216 011 2112000 2024*")</f>
        <v>0</v>
      </c>
      <c r="E5715"/>
      <c r="F5715" s="35">
        <f>SUMIFS(F5716:F9015,K5716:K9015,"0",B5716:B9015,"5 1 2 1 6 12 31111 6 M59 20500 000181 0000E 00001 00216 011 2112000 2024*")</f>
        <v>1400000</v>
      </c>
      <c r="G5715" s="35">
        <f>SUMIFS(G5716:G9015,K5716:K9015,"0",B5716:B9015,"5 1 2 1 6 12 31111 6 M59 20500 000181 0000E 00001 00216 011 2112000 2024*")</f>
        <v>0</v>
      </c>
      <c r="H5715" s="35">
        <f t="shared" si="90"/>
        <v>1400000</v>
      </c>
      <c r="I5715" s="35"/>
      <c r="K5715" t="s">
        <v>15</v>
      </c>
    </row>
    <row r="5716" spans="2:11" ht="49.5" x14ac:dyDescent="0.2">
      <c r="B5716" s="33" t="s">
        <v>6690</v>
      </c>
      <c r="C5716" s="33" t="s">
        <v>5982</v>
      </c>
      <c r="D5716" s="35">
        <f>SUMIFS(D5717:D9015,K5717:K9015,"0",B5717:B9015,"5 1 2 1 6 12 31111 6 M59 20500 000181 0000E 00001 00216 011 2112000 2024 CP3CP471*")-SUMIFS(E5717:E9015,K5717:K9015,"0",B5717:B9015,"5 1 2 1 6 12 31111 6 M59 20500 000181 0000E 00001 00216 011 2112000 2024 CP3CP471*")</f>
        <v>0</v>
      </c>
      <c r="E5716"/>
      <c r="F5716" s="35">
        <f>SUMIFS(F5717:F9015,K5717:K9015,"0",B5717:B9015,"5 1 2 1 6 12 31111 6 M59 20500 000181 0000E 00001 00216 011 2112000 2024 CP3CP471*")</f>
        <v>1400000</v>
      </c>
      <c r="G5716" s="35">
        <f>SUMIFS(G5717:G9015,K5717:K9015,"0",B5717:B9015,"5 1 2 1 6 12 31111 6 M59 20500 000181 0000E 00001 00216 011 2112000 2024 CP3CP471*")</f>
        <v>0</v>
      </c>
      <c r="H5716" s="35">
        <f t="shared" si="90"/>
        <v>1400000</v>
      </c>
      <c r="I5716" s="35"/>
      <c r="K5716" t="s">
        <v>15</v>
      </c>
    </row>
    <row r="5717" spans="2:11" ht="41.25" x14ac:dyDescent="0.2">
      <c r="B5717" s="33" t="s">
        <v>6691</v>
      </c>
      <c r="C5717" s="33" t="s">
        <v>46</v>
      </c>
      <c r="D5717" s="35">
        <f>SUMIFS(D5718:D9015,K5718:K9015,"0",B5718:B9015,"5 1 2 1 6 12 31111 6 M59 20500 000181 0000E 00001 00216 011 2112000 2024 CP3CP471 004*")-SUMIFS(E5718:E9015,K5718:K9015,"0",B5718:B9015,"5 1 2 1 6 12 31111 6 M59 20500 000181 0000E 00001 00216 011 2112000 2024 CP3CP471 004*")</f>
        <v>0</v>
      </c>
      <c r="E5717"/>
      <c r="F5717" s="35">
        <f>SUMIFS(F5718:F9015,K5718:K9015,"0",B5718:B9015,"5 1 2 1 6 12 31111 6 M59 20500 000181 0000E 00001 00216 011 2112000 2024 CP3CP471 004*")</f>
        <v>1400000</v>
      </c>
      <c r="G5717" s="35">
        <f>SUMIFS(G5718:G9015,K5718:K9015,"0",B5718:B9015,"5 1 2 1 6 12 31111 6 M59 20500 000181 0000E 00001 00216 011 2112000 2024 CP3CP471 004*")</f>
        <v>0</v>
      </c>
      <c r="H5717" s="35">
        <f t="shared" si="90"/>
        <v>1400000</v>
      </c>
      <c r="I5717" s="35"/>
      <c r="K5717" t="s">
        <v>15</v>
      </c>
    </row>
    <row r="5718" spans="2:11" ht="33" x14ac:dyDescent="0.2">
      <c r="B5718" s="31" t="s">
        <v>6692</v>
      </c>
      <c r="C5718" s="31" t="s">
        <v>6638</v>
      </c>
      <c r="D5718" s="34">
        <v>0</v>
      </c>
      <c r="E5718" s="34"/>
      <c r="F5718" s="34">
        <v>1400000</v>
      </c>
      <c r="G5718" s="34">
        <v>0</v>
      </c>
      <c r="H5718" s="34">
        <f t="shared" si="90"/>
        <v>1400000</v>
      </c>
      <c r="I5718" s="34"/>
      <c r="K5718" t="s">
        <v>38</v>
      </c>
    </row>
    <row r="5719" spans="2:11" ht="16.5" x14ac:dyDescent="0.2">
      <c r="B5719" s="33" t="s">
        <v>6693</v>
      </c>
      <c r="C5719" s="33" t="s">
        <v>3138</v>
      </c>
      <c r="D5719" s="35">
        <f>SUMIFS(D5720:D9015,K5720:K9015,"0",B5720:B9015,"5 1 2 1 6 12 31111 6 M59 20700*")-SUMIFS(E5720:E9015,K5720:K9015,"0",B5720:B9015,"5 1 2 1 6 12 31111 6 M59 20700*")</f>
        <v>0</v>
      </c>
      <c r="E5719"/>
      <c r="F5719" s="35">
        <f>SUMIFS(F5720:F9015,K5720:K9015,"0",B5720:B9015,"5 1 2 1 6 12 31111 6 M59 20700*")</f>
        <v>3642727.5</v>
      </c>
      <c r="G5719" s="35">
        <f>SUMIFS(G5720:G9015,K5720:K9015,"0",B5720:B9015,"5 1 2 1 6 12 31111 6 M59 20700*")</f>
        <v>0</v>
      </c>
      <c r="H5719" s="35">
        <f t="shared" si="90"/>
        <v>3642727.5</v>
      </c>
      <c r="I5719" s="35"/>
      <c r="K5719" t="s">
        <v>15</v>
      </c>
    </row>
    <row r="5720" spans="2:11" ht="16.5" x14ac:dyDescent="0.2">
      <c r="B5720" s="33" t="s">
        <v>6694</v>
      </c>
      <c r="C5720" s="33" t="s">
        <v>648</v>
      </c>
      <c r="D5720" s="35">
        <f>SUMIFS(D5721:D9015,K5721:K9015,"0",B5721:B9015,"5 1 2 1 6 12 31111 6 M59 20700 000132*")-SUMIFS(E5721:E9015,K5721:K9015,"0",B5721:B9015,"5 1 2 1 6 12 31111 6 M59 20700 000132*")</f>
        <v>0</v>
      </c>
      <c r="E5720"/>
      <c r="F5720" s="35">
        <f>SUMIFS(F5721:F9015,K5721:K9015,"0",B5721:B9015,"5 1 2 1 6 12 31111 6 M59 20700 000132*")</f>
        <v>3642727.5</v>
      </c>
      <c r="G5720" s="35">
        <f>SUMIFS(G5721:G9015,K5721:K9015,"0",B5721:B9015,"5 1 2 1 6 12 31111 6 M59 20700 000132*")</f>
        <v>0</v>
      </c>
      <c r="H5720" s="35">
        <f t="shared" si="90"/>
        <v>3642727.5</v>
      </c>
      <c r="I5720" s="35"/>
      <c r="K5720" t="s">
        <v>15</v>
      </c>
    </row>
    <row r="5721" spans="2:11" ht="24.75" x14ac:dyDescent="0.2">
      <c r="B5721" s="33" t="s">
        <v>6695</v>
      </c>
      <c r="C5721" s="33" t="s">
        <v>650</v>
      </c>
      <c r="D5721" s="35">
        <f>SUMIFS(D5722:D9015,K5722:K9015,"0",B5722:B9015,"5 1 2 1 6 12 31111 6 M59 20700 000132 0000R*")-SUMIFS(E5722:E9015,K5722:K9015,"0",B5722:B9015,"5 1 2 1 6 12 31111 6 M59 20700 000132 0000R*")</f>
        <v>0</v>
      </c>
      <c r="E5721"/>
      <c r="F5721" s="35">
        <f>SUMIFS(F5722:F9015,K5722:K9015,"0",B5722:B9015,"5 1 2 1 6 12 31111 6 M59 20700 000132 0000R*")</f>
        <v>3642727.5</v>
      </c>
      <c r="G5721" s="35">
        <f>SUMIFS(G5722:G9015,K5722:K9015,"0",B5722:B9015,"5 1 2 1 6 12 31111 6 M59 20700 000132 0000R*")</f>
        <v>0</v>
      </c>
      <c r="H5721" s="35">
        <f t="shared" si="90"/>
        <v>3642727.5</v>
      </c>
      <c r="I5721" s="35"/>
      <c r="K5721" t="s">
        <v>15</v>
      </c>
    </row>
    <row r="5722" spans="2:11" ht="24.75" x14ac:dyDescent="0.2">
      <c r="B5722" s="33" t="s">
        <v>6696</v>
      </c>
      <c r="C5722" s="33" t="s">
        <v>282</v>
      </c>
      <c r="D5722" s="35">
        <f>SUMIFS(D5723:D9015,K5723:K9015,"0",B5723:B9015,"5 1 2 1 6 12 31111 6 M59 20700 000132 0000R 00001*")-SUMIFS(E5723:E9015,K5723:K9015,"0",B5723:B9015,"5 1 2 1 6 12 31111 6 M59 20700 000132 0000R 00001*")</f>
        <v>0</v>
      </c>
      <c r="E5722"/>
      <c r="F5722" s="35">
        <f>SUMIFS(F5723:F9015,K5723:K9015,"0",B5723:B9015,"5 1 2 1 6 12 31111 6 M59 20700 000132 0000R 00001*")</f>
        <v>3642727.5</v>
      </c>
      <c r="G5722" s="35">
        <f>SUMIFS(G5723:G9015,K5723:K9015,"0",B5723:B9015,"5 1 2 1 6 12 31111 6 M59 20700 000132 0000R 00001*")</f>
        <v>0</v>
      </c>
      <c r="H5722" s="35">
        <f t="shared" si="90"/>
        <v>3642727.5</v>
      </c>
      <c r="I5722" s="35"/>
      <c r="K5722" t="s">
        <v>15</v>
      </c>
    </row>
    <row r="5723" spans="2:11" ht="24.75" x14ac:dyDescent="0.2">
      <c r="B5723" s="33" t="s">
        <v>6697</v>
      </c>
      <c r="C5723" s="33" t="s">
        <v>6648</v>
      </c>
      <c r="D5723" s="35">
        <f>SUMIFS(D5724:D9015,K5724:K9015,"0",B5724:B9015,"5 1 2 1 6 12 31111 6 M59 20700 000132 0000R 00001 00216*")-SUMIFS(E5724:E9015,K5724:K9015,"0",B5724:B9015,"5 1 2 1 6 12 31111 6 M59 20700 000132 0000R 00001 00216*")</f>
        <v>0</v>
      </c>
      <c r="E5723"/>
      <c r="F5723" s="35">
        <f>SUMIFS(F5724:F9015,K5724:K9015,"0",B5724:B9015,"5 1 2 1 6 12 31111 6 M59 20700 000132 0000R 00001 00216*")</f>
        <v>3642727.5</v>
      </c>
      <c r="G5723" s="35">
        <f>SUMIFS(G5724:G9015,K5724:K9015,"0",B5724:B9015,"5 1 2 1 6 12 31111 6 M59 20700 000132 0000R 00001 00216*")</f>
        <v>0</v>
      </c>
      <c r="H5723" s="35">
        <f t="shared" si="90"/>
        <v>3642727.5</v>
      </c>
      <c r="I5723" s="35"/>
      <c r="K5723" t="s">
        <v>15</v>
      </c>
    </row>
    <row r="5724" spans="2:11" ht="33" x14ac:dyDescent="0.2">
      <c r="B5724" s="33" t="s">
        <v>6698</v>
      </c>
      <c r="C5724" s="33" t="s">
        <v>1051</v>
      </c>
      <c r="D5724" s="35">
        <f>SUMIFS(D5725:D9015,K5725:K9015,"0",B5725:B9015,"5 1 2 1 6 12 31111 6 M59 20700 000132 0000R 00001 00216 015*")-SUMIFS(E5725:E9015,K5725:K9015,"0",B5725:B9015,"5 1 2 1 6 12 31111 6 M59 20700 000132 0000R 00001 00216 015*")</f>
        <v>0</v>
      </c>
      <c r="E5724"/>
      <c r="F5724" s="35">
        <f>SUMIFS(F5725:F9015,K5725:K9015,"0",B5725:B9015,"5 1 2 1 6 12 31111 6 M59 20700 000132 0000R 00001 00216 015*")</f>
        <v>3642727.5</v>
      </c>
      <c r="G5724" s="35">
        <f>SUMIFS(G5725:G9015,K5725:K9015,"0",B5725:B9015,"5 1 2 1 6 12 31111 6 M59 20700 000132 0000R 00001 00216 015*")</f>
        <v>0</v>
      </c>
      <c r="H5724" s="35">
        <f t="shared" si="90"/>
        <v>3642727.5</v>
      </c>
      <c r="I5724" s="35"/>
      <c r="K5724" t="s">
        <v>15</v>
      </c>
    </row>
    <row r="5725" spans="2:11" ht="33" x14ac:dyDescent="0.2">
      <c r="B5725" s="33" t="s">
        <v>6699</v>
      </c>
      <c r="C5725" s="33" t="s">
        <v>5830</v>
      </c>
      <c r="D5725" s="35">
        <f>SUMIFS(D5726:D9015,K5726:K9015,"0",B5726:B9015,"5 1 2 1 6 12 31111 6 M59 20700 000132 0000R 00001 00216 015 2112000*")-SUMIFS(E5726:E9015,K5726:K9015,"0",B5726:B9015,"5 1 2 1 6 12 31111 6 M59 20700 000132 0000R 00001 00216 015 2112000*")</f>
        <v>0</v>
      </c>
      <c r="E5725"/>
      <c r="F5725" s="35">
        <f>SUMIFS(F5726:F9015,K5726:K9015,"0",B5726:B9015,"5 1 2 1 6 12 31111 6 M59 20700 000132 0000R 00001 00216 015 2112000*")</f>
        <v>3642727.5</v>
      </c>
      <c r="G5725" s="35">
        <f>SUMIFS(G5726:G9015,K5726:K9015,"0",B5726:B9015,"5 1 2 1 6 12 31111 6 M59 20700 000132 0000R 00001 00216 015 2112000*")</f>
        <v>0</v>
      </c>
      <c r="H5725" s="35">
        <f t="shared" si="90"/>
        <v>3642727.5</v>
      </c>
      <c r="I5725" s="35"/>
      <c r="K5725" t="s">
        <v>15</v>
      </c>
    </row>
    <row r="5726" spans="2:11" ht="33" x14ac:dyDescent="0.2">
      <c r="B5726" s="33" t="s">
        <v>6700</v>
      </c>
      <c r="C5726" s="33" t="s">
        <v>660</v>
      </c>
      <c r="D5726" s="35">
        <f>SUMIFS(D5727:D9015,K5727:K9015,"0",B5727:B9015,"5 1 2 1 6 12 31111 6 M59 20700 000132 0000R 00001 00216 015 2112000 2024*")-SUMIFS(E5727:E9015,K5727:K9015,"0",B5727:B9015,"5 1 2 1 6 12 31111 6 M59 20700 000132 0000R 00001 00216 015 2112000 2024*")</f>
        <v>0</v>
      </c>
      <c r="E5726"/>
      <c r="F5726" s="35">
        <f>SUMIFS(F5727:F9015,K5727:K9015,"0",B5727:B9015,"5 1 2 1 6 12 31111 6 M59 20700 000132 0000R 00001 00216 015 2112000 2024*")</f>
        <v>3642727.5</v>
      </c>
      <c r="G5726" s="35">
        <f>SUMIFS(G5727:G9015,K5727:K9015,"0",B5727:B9015,"5 1 2 1 6 12 31111 6 M59 20700 000132 0000R 00001 00216 015 2112000 2024*")</f>
        <v>0</v>
      </c>
      <c r="H5726" s="35">
        <f t="shared" si="90"/>
        <v>3642727.5</v>
      </c>
      <c r="I5726" s="35"/>
      <c r="K5726" t="s">
        <v>15</v>
      </c>
    </row>
    <row r="5727" spans="2:11" ht="41.25" x14ac:dyDescent="0.2">
      <c r="B5727" s="33" t="s">
        <v>6701</v>
      </c>
      <c r="C5727" s="33" t="s">
        <v>662</v>
      </c>
      <c r="D5727" s="35">
        <f>SUMIFS(D5728:D9015,K5728:K9015,"0",B5728:B9015,"5 1 2 1 6 12 31111 6 M59 20700 000132 0000R 00001 00216 015 2112000 2024 CP1RM401*")-SUMIFS(E5728:E9015,K5728:K9015,"0",B5728:B9015,"5 1 2 1 6 12 31111 6 M59 20700 000132 0000R 00001 00216 015 2112000 2024 CP1RM401*")</f>
        <v>0</v>
      </c>
      <c r="E5727"/>
      <c r="F5727" s="35">
        <f>SUMIFS(F5728:F9015,K5728:K9015,"0",B5728:B9015,"5 1 2 1 6 12 31111 6 M59 20700 000132 0000R 00001 00216 015 2112000 2024 CP1RM401*")</f>
        <v>3642727.5</v>
      </c>
      <c r="G5727" s="35">
        <f>SUMIFS(G5728:G9015,K5728:K9015,"0",B5728:B9015,"5 1 2 1 6 12 31111 6 M59 20700 000132 0000R 00001 00216 015 2112000 2024 CP1RM401*")</f>
        <v>0</v>
      </c>
      <c r="H5727" s="35">
        <f t="shared" si="90"/>
        <v>3642727.5</v>
      </c>
      <c r="I5727" s="35"/>
      <c r="K5727" t="s">
        <v>15</v>
      </c>
    </row>
    <row r="5728" spans="2:11" ht="41.25" x14ac:dyDescent="0.2">
      <c r="B5728" s="33" t="s">
        <v>6702</v>
      </c>
      <c r="C5728" s="33" t="s">
        <v>282</v>
      </c>
      <c r="D5728" s="35">
        <f>SUMIFS(D5729:D9015,K5729:K9015,"0",B5729:B9015,"5 1 2 1 6 12 31111 6 M59 20700 000132 0000R 00001 00216 015 2112000 2024 CP1RM401 001*")-SUMIFS(E5729:E9015,K5729:K9015,"0",B5729:B9015,"5 1 2 1 6 12 31111 6 M59 20700 000132 0000R 00001 00216 015 2112000 2024 CP1RM401 001*")</f>
        <v>0</v>
      </c>
      <c r="E5728"/>
      <c r="F5728" s="35">
        <f>SUMIFS(F5729:F9015,K5729:K9015,"0",B5729:B9015,"5 1 2 1 6 12 31111 6 M59 20700 000132 0000R 00001 00216 015 2112000 2024 CP1RM401 001*")</f>
        <v>3642727.5</v>
      </c>
      <c r="G5728" s="35">
        <f>SUMIFS(G5729:G9015,K5729:K9015,"0",B5729:B9015,"5 1 2 1 6 12 31111 6 M59 20700 000132 0000R 00001 00216 015 2112000 2024 CP1RM401 001*")</f>
        <v>0</v>
      </c>
      <c r="H5728" s="35">
        <f t="shared" si="90"/>
        <v>3642727.5</v>
      </c>
      <c r="I5728" s="35"/>
      <c r="K5728" t="s">
        <v>15</v>
      </c>
    </row>
    <row r="5729" spans="2:11" ht="33" x14ac:dyDescent="0.2">
      <c r="B5729" s="31" t="s">
        <v>6703</v>
      </c>
      <c r="C5729" s="31" t="s">
        <v>6638</v>
      </c>
      <c r="D5729" s="34">
        <v>0</v>
      </c>
      <c r="E5729" s="34"/>
      <c r="F5729" s="34">
        <v>3642727.5</v>
      </c>
      <c r="G5729" s="34">
        <v>0</v>
      </c>
      <c r="H5729" s="34">
        <f t="shared" si="90"/>
        <v>3642727.5</v>
      </c>
      <c r="I5729" s="34"/>
      <c r="K5729" t="s">
        <v>38</v>
      </c>
    </row>
    <row r="5730" spans="2:11" ht="16.5" x14ac:dyDescent="0.2">
      <c r="B5730" s="33" t="s">
        <v>6704</v>
      </c>
      <c r="C5730" s="33" t="s">
        <v>1092</v>
      </c>
      <c r="D5730" s="35">
        <f>SUMIFS(D5731:D9015,K5731:K9015,"0",B5731:B9015,"5 1 2 1 6 12 31111 6 M59 40000*")-SUMIFS(E5731:E9015,K5731:K9015,"0",B5731:B9015,"5 1 2 1 6 12 31111 6 M59 40000*")</f>
        <v>0</v>
      </c>
      <c r="E5730"/>
      <c r="F5730" s="35">
        <f>SUMIFS(F5731:F9015,K5731:K9015,"0",B5731:B9015,"5 1 2 1 6 12 31111 6 M59 40000*")</f>
        <v>207257</v>
      </c>
      <c r="G5730" s="35">
        <f>SUMIFS(G5731:G9015,K5731:K9015,"0",B5731:B9015,"5 1 2 1 6 12 31111 6 M59 40000*")</f>
        <v>0</v>
      </c>
      <c r="H5730" s="35">
        <f t="shared" si="90"/>
        <v>207257</v>
      </c>
      <c r="I5730" s="35"/>
      <c r="K5730" t="s">
        <v>15</v>
      </c>
    </row>
    <row r="5731" spans="2:11" ht="16.5" x14ac:dyDescent="0.2">
      <c r="B5731" s="33" t="s">
        <v>6705</v>
      </c>
      <c r="C5731" s="33" t="s">
        <v>1094</v>
      </c>
      <c r="D5731" s="35">
        <f>SUMIFS(D5732:D9015,K5732:K9015,"0",B5732:B9015,"5 1 2 1 6 12 31111 6 M59 40000 000161*")-SUMIFS(E5732:E9015,K5732:K9015,"0",B5732:B9015,"5 1 2 1 6 12 31111 6 M59 40000 000161*")</f>
        <v>0</v>
      </c>
      <c r="E5731"/>
      <c r="F5731" s="35">
        <f>SUMIFS(F5732:F9015,K5732:K9015,"0",B5732:B9015,"5 1 2 1 6 12 31111 6 M59 40000 000161*")</f>
        <v>207257</v>
      </c>
      <c r="G5731" s="35">
        <f>SUMIFS(G5732:G9015,K5732:K9015,"0",B5732:B9015,"5 1 2 1 6 12 31111 6 M59 40000 000161*")</f>
        <v>0</v>
      </c>
      <c r="H5731" s="35">
        <f t="shared" si="90"/>
        <v>207257</v>
      </c>
      <c r="I5731" s="35"/>
      <c r="K5731" t="s">
        <v>15</v>
      </c>
    </row>
    <row r="5732" spans="2:11" ht="24.75" x14ac:dyDescent="0.2">
      <c r="B5732" s="33" t="s">
        <v>6706</v>
      </c>
      <c r="C5732" s="33" t="s">
        <v>1065</v>
      </c>
      <c r="D5732" s="35">
        <f>SUMIFS(D5733:D9015,K5733:K9015,"0",B5733:B9015,"5 1 2 1 6 12 31111 6 M59 40000 000161 0000E*")-SUMIFS(E5733:E9015,K5733:K9015,"0",B5733:B9015,"5 1 2 1 6 12 31111 6 M59 40000 000161 0000E*")</f>
        <v>0</v>
      </c>
      <c r="E5732"/>
      <c r="F5732" s="35">
        <f>SUMIFS(F5733:F9015,K5733:K9015,"0",B5733:B9015,"5 1 2 1 6 12 31111 6 M59 40000 000161 0000E*")</f>
        <v>207257</v>
      </c>
      <c r="G5732" s="35">
        <f>SUMIFS(G5733:G9015,K5733:K9015,"0",B5733:B9015,"5 1 2 1 6 12 31111 6 M59 40000 000161 0000E*")</f>
        <v>0</v>
      </c>
      <c r="H5732" s="35">
        <f t="shared" si="90"/>
        <v>207257</v>
      </c>
      <c r="I5732" s="35"/>
      <c r="K5732" t="s">
        <v>15</v>
      </c>
    </row>
    <row r="5733" spans="2:11" ht="24.75" x14ac:dyDescent="0.2">
      <c r="B5733" s="33" t="s">
        <v>6707</v>
      </c>
      <c r="C5733" s="33" t="s">
        <v>282</v>
      </c>
      <c r="D5733" s="35">
        <f>SUMIFS(D5734:D9015,K5734:K9015,"0",B5734:B9015,"5 1 2 1 6 12 31111 6 M59 40000 000161 0000E 00001*")-SUMIFS(E5734:E9015,K5734:K9015,"0",B5734:B9015,"5 1 2 1 6 12 31111 6 M59 40000 000161 0000E 00001*")</f>
        <v>0</v>
      </c>
      <c r="E5733"/>
      <c r="F5733" s="35">
        <f>SUMIFS(F5734:F9015,K5734:K9015,"0",B5734:B9015,"5 1 2 1 6 12 31111 6 M59 40000 000161 0000E 00001*")</f>
        <v>207257</v>
      </c>
      <c r="G5733" s="35">
        <f>SUMIFS(G5734:G9015,K5734:K9015,"0",B5734:B9015,"5 1 2 1 6 12 31111 6 M59 40000 000161 0000E 00001*")</f>
        <v>0</v>
      </c>
      <c r="H5733" s="35">
        <f t="shared" si="90"/>
        <v>207257</v>
      </c>
      <c r="I5733" s="35"/>
      <c r="K5733" t="s">
        <v>15</v>
      </c>
    </row>
    <row r="5734" spans="2:11" ht="24.75" x14ac:dyDescent="0.2">
      <c r="B5734" s="33" t="s">
        <v>6708</v>
      </c>
      <c r="C5734" s="33" t="s">
        <v>6648</v>
      </c>
      <c r="D5734" s="35">
        <f>SUMIFS(D5735:D9015,K5735:K9015,"0",B5735:B9015,"5 1 2 1 6 12 31111 6 M59 40000 000161 0000E 00001 00216*")-SUMIFS(E5735:E9015,K5735:K9015,"0",B5735:B9015,"5 1 2 1 6 12 31111 6 M59 40000 000161 0000E 00001 00216*")</f>
        <v>0</v>
      </c>
      <c r="E5734"/>
      <c r="F5734" s="35">
        <f>SUMIFS(F5735:F9015,K5735:K9015,"0",B5735:B9015,"5 1 2 1 6 12 31111 6 M59 40000 000161 0000E 00001 00216*")</f>
        <v>207257</v>
      </c>
      <c r="G5734" s="35">
        <f>SUMIFS(G5735:G9015,K5735:K9015,"0",B5735:B9015,"5 1 2 1 6 12 31111 6 M59 40000 000161 0000E 00001 00216*")</f>
        <v>0</v>
      </c>
      <c r="H5734" s="35">
        <f t="shared" si="90"/>
        <v>207257</v>
      </c>
      <c r="I5734" s="35"/>
      <c r="K5734" t="s">
        <v>15</v>
      </c>
    </row>
    <row r="5735" spans="2:11" ht="33" x14ac:dyDescent="0.2">
      <c r="B5735" s="33" t="s">
        <v>6709</v>
      </c>
      <c r="C5735" s="33" t="s">
        <v>656</v>
      </c>
      <c r="D5735" s="35">
        <f>SUMIFS(D5736:D9015,K5736:K9015,"0",B5736:B9015,"5 1 2 1 6 12 31111 6 M59 40000 000161 0000E 00001 00216 025*")-SUMIFS(E5736:E9015,K5736:K9015,"0",B5736:B9015,"5 1 2 1 6 12 31111 6 M59 40000 000161 0000E 00001 00216 025*")</f>
        <v>0</v>
      </c>
      <c r="E5735"/>
      <c r="F5735" s="35">
        <f>SUMIFS(F5736:F9015,K5736:K9015,"0",B5736:B9015,"5 1 2 1 6 12 31111 6 M59 40000 000161 0000E 00001 00216 025*")</f>
        <v>207257</v>
      </c>
      <c r="G5735" s="35">
        <f>SUMIFS(G5736:G9015,K5736:K9015,"0",B5736:B9015,"5 1 2 1 6 12 31111 6 M59 40000 000161 0000E 00001 00216 025*")</f>
        <v>0</v>
      </c>
      <c r="H5735" s="35">
        <f t="shared" si="90"/>
        <v>207257</v>
      </c>
      <c r="I5735" s="35"/>
      <c r="K5735" t="s">
        <v>15</v>
      </c>
    </row>
    <row r="5736" spans="2:11" ht="33" x14ac:dyDescent="0.2">
      <c r="B5736" s="33" t="s">
        <v>6710</v>
      </c>
      <c r="C5736" s="33" t="s">
        <v>5830</v>
      </c>
      <c r="D5736" s="35">
        <f>SUMIFS(D5737:D9015,K5737:K9015,"0",B5737:B9015,"5 1 2 1 6 12 31111 6 M59 40000 000161 0000E 00001 00216 025 2112000*")-SUMIFS(E5737:E9015,K5737:K9015,"0",B5737:B9015,"5 1 2 1 6 12 31111 6 M59 40000 000161 0000E 00001 00216 025 2112000*")</f>
        <v>0</v>
      </c>
      <c r="E5736"/>
      <c r="F5736" s="35">
        <f>SUMIFS(F5737:F9015,K5737:K9015,"0",B5737:B9015,"5 1 2 1 6 12 31111 6 M59 40000 000161 0000E 00001 00216 025 2112000*")</f>
        <v>207257</v>
      </c>
      <c r="G5736" s="35">
        <f>SUMIFS(G5737:G9015,K5737:K9015,"0",B5737:B9015,"5 1 2 1 6 12 31111 6 M59 40000 000161 0000E 00001 00216 025 2112000*")</f>
        <v>0</v>
      </c>
      <c r="H5736" s="35">
        <f t="shared" si="90"/>
        <v>207257</v>
      </c>
      <c r="I5736" s="35"/>
      <c r="K5736" t="s">
        <v>15</v>
      </c>
    </row>
    <row r="5737" spans="2:11" ht="33" x14ac:dyDescent="0.2">
      <c r="B5737" s="33" t="s">
        <v>6711</v>
      </c>
      <c r="C5737" s="33" t="s">
        <v>660</v>
      </c>
      <c r="D5737" s="35">
        <f>SUMIFS(D5738:D9015,K5738:K9015,"0",B5738:B9015,"5 1 2 1 6 12 31111 6 M59 40000 000161 0000E 00001 00216 025 2112000 2024*")-SUMIFS(E5738:E9015,K5738:K9015,"0",B5738:B9015,"5 1 2 1 6 12 31111 6 M59 40000 000161 0000E 00001 00216 025 2112000 2024*")</f>
        <v>0</v>
      </c>
      <c r="E5737"/>
      <c r="F5737" s="35">
        <f>SUMIFS(F5738:F9015,K5738:K9015,"0",B5738:B9015,"5 1 2 1 6 12 31111 6 M59 40000 000161 0000E 00001 00216 025 2112000 2024*")</f>
        <v>207257</v>
      </c>
      <c r="G5737" s="35">
        <f>SUMIFS(G5738:G9015,K5738:K9015,"0",B5738:B9015,"5 1 2 1 6 12 31111 6 M59 40000 000161 0000E 00001 00216 025 2112000 2024*")</f>
        <v>0</v>
      </c>
      <c r="H5737" s="35">
        <f t="shared" si="90"/>
        <v>207257</v>
      </c>
      <c r="I5737" s="35"/>
      <c r="K5737" t="s">
        <v>15</v>
      </c>
    </row>
    <row r="5738" spans="2:11" ht="41.25" x14ac:dyDescent="0.2">
      <c r="B5738" s="33" t="s">
        <v>6712</v>
      </c>
      <c r="C5738" s="33" t="s">
        <v>662</v>
      </c>
      <c r="D5738" s="35">
        <f>SUMIFS(D5739:D9015,K5739:K9015,"0",B5739:B9015,"5 1 2 1 6 12 31111 6 M59 40000 000161 0000E 00001 00216 025 2112000 2024 CP4SP372*")-SUMIFS(E5739:E9015,K5739:K9015,"0",B5739:B9015,"5 1 2 1 6 12 31111 6 M59 40000 000161 0000E 00001 00216 025 2112000 2024 CP4SP372*")</f>
        <v>0</v>
      </c>
      <c r="E5738"/>
      <c r="F5738" s="35">
        <f>SUMIFS(F5739:F9015,K5739:K9015,"0",B5739:B9015,"5 1 2 1 6 12 31111 6 M59 40000 000161 0000E 00001 00216 025 2112000 2024 CP4SP372*")</f>
        <v>207257</v>
      </c>
      <c r="G5738" s="35">
        <f>SUMIFS(G5739:G9015,K5739:K9015,"0",B5739:B9015,"5 1 2 1 6 12 31111 6 M59 40000 000161 0000E 00001 00216 025 2112000 2024 CP4SP372*")</f>
        <v>0</v>
      </c>
      <c r="H5738" s="35">
        <f t="shared" si="90"/>
        <v>207257</v>
      </c>
      <c r="I5738" s="35"/>
      <c r="K5738" t="s">
        <v>15</v>
      </c>
    </row>
    <row r="5739" spans="2:11" ht="41.25" x14ac:dyDescent="0.2">
      <c r="B5739" s="33" t="s">
        <v>6713</v>
      </c>
      <c r="C5739" s="33" t="s">
        <v>664</v>
      </c>
      <c r="D5739" s="35">
        <f>SUMIFS(D5740:D9015,K5740:K9015,"0",B5740:B9015,"5 1 2 1 6 12 31111 6 M59 40000 000161 0000E 00001 00216 025 2112000 2024 CP4SP372 003*")-SUMIFS(E5740:E9015,K5740:K9015,"0",B5740:B9015,"5 1 2 1 6 12 31111 6 M59 40000 000161 0000E 00001 00216 025 2112000 2024 CP4SP372 003*")</f>
        <v>0</v>
      </c>
      <c r="E5739"/>
      <c r="F5739" s="35">
        <f>SUMIFS(F5740:F9015,K5740:K9015,"0",B5740:B9015,"5 1 2 1 6 12 31111 6 M59 40000 000161 0000E 00001 00216 025 2112000 2024 CP4SP372 003*")</f>
        <v>207257</v>
      </c>
      <c r="G5739" s="35">
        <f>SUMIFS(G5740:G9015,K5740:K9015,"0",B5740:B9015,"5 1 2 1 6 12 31111 6 M59 40000 000161 0000E 00001 00216 025 2112000 2024 CP4SP372 003*")</f>
        <v>0</v>
      </c>
      <c r="H5739" s="35">
        <f t="shared" si="90"/>
        <v>207257</v>
      </c>
      <c r="I5739" s="35"/>
      <c r="K5739" t="s">
        <v>15</v>
      </c>
    </row>
    <row r="5740" spans="2:11" ht="33" x14ac:dyDescent="0.2">
      <c r="B5740" s="31" t="s">
        <v>6714</v>
      </c>
      <c r="C5740" s="31" t="s">
        <v>6638</v>
      </c>
      <c r="D5740" s="34">
        <v>0</v>
      </c>
      <c r="E5740" s="34"/>
      <c r="F5740" s="34">
        <v>207257</v>
      </c>
      <c r="G5740" s="34">
        <v>0</v>
      </c>
      <c r="H5740" s="34">
        <f t="shared" si="90"/>
        <v>207257</v>
      </c>
      <c r="I5740" s="34"/>
      <c r="K5740" t="s">
        <v>38</v>
      </c>
    </row>
    <row r="5741" spans="2:11" ht="16.5" x14ac:dyDescent="0.2">
      <c r="B5741" s="33" t="s">
        <v>6715</v>
      </c>
      <c r="C5741" s="33" t="s">
        <v>3281</v>
      </c>
      <c r="D5741" s="35">
        <f>SUMIFS(D5742:D9015,K5742:K9015,"0",B5742:B9015,"5 1 2 1 6 12 31111 6 M59 50000*")-SUMIFS(E5742:E9015,K5742:K9015,"0",B5742:B9015,"5 1 2 1 6 12 31111 6 M59 50000*")</f>
        <v>0</v>
      </c>
      <c r="E5741"/>
      <c r="F5741" s="35">
        <f>SUMIFS(F5742:F9015,K5742:K9015,"0",B5742:B9015,"5 1 2 1 6 12 31111 6 M59 50000*")</f>
        <v>899.96</v>
      </c>
      <c r="G5741" s="35">
        <f>SUMIFS(G5742:G9015,K5742:K9015,"0",B5742:B9015,"5 1 2 1 6 12 31111 6 M59 50000*")</f>
        <v>0</v>
      </c>
      <c r="H5741" s="35">
        <f t="shared" si="90"/>
        <v>899.96</v>
      </c>
      <c r="I5741" s="35"/>
      <c r="K5741" t="s">
        <v>15</v>
      </c>
    </row>
    <row r="5742" spans="2:11" ht="16.5" x14ac:dyDescent="0.2">
      <c r="B5742" s="33" t="s">
        <v>6716</v>
      </c>
      <c r="C5742" s="33" t="s">
        <v>3283</v>
      </c>
      <c r="D5742" s="35">
        <f>SUMIFS(D5743:D9015,K5743:K9015,"0",B5743:B9015,"5 1 2 1 6 12 31111 6 M59 50000 000223*")-SUMIFS(E5743:E9015,K5743:K9015,"0",B5743:B9015,"5 1 2 1 6 12 31111 6 M59 50000 000223*")</f>
        <v>0</v>
      </c>
      <c r="E5742"/>
      <c r="F5742" s="35">
        <f>SUMIFS(F5743:F9015,K5743:K9015,"0",B5743:B9015,"5 1 2 1 6 12 31111 6 M59 50000 000223*")</f>
        <v>899.96</v>
      </c>
      <c r="G5742" s="35">
        <f>SUMIFS(G5743:G9015,K5743:K9015,"0",B5743:B9015,"5 1 2 1 6 12 31111 6 M59 50000 000223*")</f>
        <v>0</v>
      </c>
      <c r="H5742" s="35">
        <f t="shared" si="90"/>
        <v>899.96</v>
      </c>
      <c r="I5742" s="35"/>
      <c r="K5742" t="s">
        <v>15</v>
      </c>
    </row>
    <row r="5743" spans="2:11" ht="24.75" x14ac:dyDescent="0.2">
      <c r="B5743" s="33" t="s">
        <v>6717</v>
      </c>
      <c r="C5743" s="33" t="s">
        <v>1065</v>
      </c>
      <c r="D5743" s="35">
        <f>SUMIFS(D5744:D9015,K5744:K9015,"0",B5744:B9015,"5 1 2 1 6 12 31111 6 M59 50000 000223 0000E*")-SUMIFS(E5744:E9015,K5744:K9015,"0",B5744:B9015,"5 1 2 1 6 12 31111 6 M59 50000 000223 0000E*")</f>
        <v>0</v>
      </c>
      <c r="E5743"/>
      <c r="F5743" s="35">
        <f>SUMIFS(F5744:F9015,K5744:K9015,"0",B5744:B9015,"5 1 2 1 6 12 31111 6 M59 50000 000223 0000E*")</f>
        <v>899.96</v>
      </c>
      <c r="G5743" s="35">
        <f>SUMIFS(G5744:G9015,K5744:K9015,"0",B5744:B9015,"5 1 2 1 6 12 31111 6 M59 50000 000223 0000E*")</f>
        <v>0</v>
      </c>
      <c r="H5743" s="35">
        <f t="shared" si="90"/>
        <v>899.96</v>
      </c>
      <c r="I5743" s="35"/>
      <c r="K5743" t="s">
        <v>15</v>
      </c>
    </row>
    <row r="5744" spans="2:11" ht="24.75" x14ac:dyDescent="0.2">
      <c r="B5744" s="33" t="s">
        <v>6718</v>
      </c>
      <c r="C5744" s="33" t="s">
        <v>282</v>
      </c>
      <c r="D5744" s="35">
        <f>SUMIFS(D5745:D9015,K5745:K9015,"0",B5745:B9015,"5 1 2 1 6 12 31111 6 M59 50000 000223 0000E 00001*")-SUMIFS(E5745:E9015,K5745:K9015,"0",B5745:B9015,"5 1 2 1 6 12 31111 6 M59 50000 000223 0000E 00001*")</f>
        <v>0</v>
      </c>
      <c r="E5744"/>
      <c r="F5744" s="35">
        <f>SUMIFS(F5745:F9015,K5745:K9015,"0",B5745:B9015,"5 1 2 1 6 12 31111 6 M59 50000 000223 0000E 00001*")</f>
        <v>899.96</v>
      </c>
      <c r="G5744" s="35">
        <f>SUMIFS(G5745:G9015,K5745:K9015,"0",B5745:B9015,"5 1 2 1 6 12 31111 6 M59 50000 000223 0000E 00001*")</f>
        <v>0</v>
      </c>
      <c r="H5744" s="35">
        <f t="shared" si="90"/>
        <v>899.96</v>
      </c>
      <c r="I5744" s="35"/>
      <c r="K5744" t="s">
        <v>15</v>
      </c>
    </row>
    <row r="5745" spans="2:11" ht="24.75" x14ac:dyDescent="0.2">
      <c r="B5745" s="33" t="s">
        <v>6719</v>
      </c>
      <c r="C5745" s="33" t="s">
        <v>6648</v>
      </c>
      <c r="D5745" s="35">
        <f>SUMIFS(D5746:D9015,K5746:K9015,"0",B5746:B9015,"5 1 2 1 6 12 31111 6 M59 50000 000223 0000E 00001 00216*")-SUMIFS(E5746:E9015,K5746:K9015,"0",B5746:B9015,"5 1 2 1 6 12 31111 6 M59 50000 000223 0000E 00001 00216*")</f>
        <v>0</v>
      </c>
      <c r="E5745"/>
      <c r="F5745" s="35">
        <f>SUMIFS(F5746:F9015,K5746:K9015,"0",B5746:B9015,"5 1 2 1 6 12 31111 6 M59 50000 000223 0000E 00001 00216*")</f>
        <v>899.96</v>
      </c>
      <c r="G5745" s="35">
        <f>SUMIFS(G5746:G9015,K5746:K9015,"0",B5746:B9015,"5 1 2 1 6 12 31111 6 M59 50000 000223 0000E 00001 00216*")</f>
        <v>0</v>
      </c>
      <c r="H5745" s="35">
        <f t="shared" si="90"/>
        <v>899.96</v>
      </c>
      <c r="I5745" s="35"/>
      <c r="K5745" t="s">
        <v>15</v>
      </c>
    </row>
    <row r="5746" spans="2:11" ht="33" x14ac:dyDescent="0.2">
      <c r="B5746" s="33" t="s">
        <v>6720</v>
      </c>
      <c r="C5746" s="33" t="s">
        <v>1051</v>
      </c>
      <c r="D5746" s="35">
        <f>SUMIFS(D5747:D9015,K5747:K9015,"0",B5747:B9015,"5 1 2 1 6 12 31111 6 M59 50000 000223 0000E 00001 00216 015*")-SUMIFS(E5747:E9015,K5747:K9015,"0",B5747:B9015,"5 1 2 1 6 12 31111 6 M59 50000 000223 0000E 00001 00216 015*")</f>
        <v>0</v>
      </c>
      <c r="E5746"/>
      <c r="F5746" s="35">
        <f>SUMIFS(F5747:F9015,K5747:K9015,"0",B5747:B9015,"5 1 2 1 6 12 31111 6 M59 50000 000223 0000E 00001 00216 015*")</f>
        <v>899.96</v>
      </c>
      <c r="G5746" s="35">
        <f>SUMIFS(G5747:G9015,K5747:K9015,"0",B5747:B9015,"5 1 2 1 6 12 31111 6 M59 50000 000223 0000E 00001 00216 015*")</f>
        <v>0</v>
      </c>
      <c r="H5746" s="35">
        <f t="shared" si="90"/>
        <v>899.96</v>
      </c>
      <c r="I5746" s="35"/>
      <c r="K5746" t="s">
        <v>15</v>
      </c>
    </row>
    <row r="5747" spans="2:11" ht="33" x14ac:dyDescent="0.2">
      <c r="B5747" s="33" t="s">
        <v>6721</v>
      </c>
      <c r="C5747" s="33" t="s">
        <v>5830</v>
      </c>
      <c r="D5747" s="35">
        <f>SUMIFS(D5748:D9015,K5748:K9015,"0",B5748:B9015,"5 1 2 1 6 12 31111 6 M59 50000 000223 0000E 00001 00216 015 2112000*")-SUMIFS(E5748:E9015,K5748:K9015,"0",B5748:B9015,"5 1 2 1 6 12 31111 6 M59 50000 000223 0000E 00001 00216 015 2112000*")</f>
        <v>0</v>
      </c>
      <c r="E5747"/>
      <c r="F5747" s="35">
        <f>SUMIFS(F5748:F9015,K5748:K9015,"0",B5748:B9015,"5 1 2 1 6 12 31111 6 M59 50000 000223 0000E 00001 00216 015 2112000*")</f>
        <v>899.96</v>
      </c>
      <c r="G5747" s="35">
        <f>SUMIFS(G5748:G9015,K5748:K9015,"0",B5748:B9015,"5 1 2 1 6 12 31111 6 M59 50000 000223 0000E 00001 00216 015 2112000*")</f>
        <v>0</v>
      </c>
      <c r="H5747" s="35">
        <f t="shared" si="90"/>
        <v>899.96</v>
      </c>
      <c r="I5747" s="35"/>
      <c r="K5747" t="s">
        <v>15</v>
      </c>
    </row>
    <row r="5748" spans="2:11" ht="33" x14ac:dyDescent="0.2">
      <c r="B5748" s="33" t="s">
        <v>6722</v>
      </c>
      <c r="C5748" s="33" t="s">
        <v>660</v>
      </c>
      <c r="D5748" s="35">
        <f>SUMIFS(D5749:D9015,K5749:K9015,"0",B5749:B9015,"5 1 2 1 6 12 31111 6 M59 50000 000223 0000E 00001 00216 015 2112000 2024*")-SUMIFS(E5749:E9015,K5749:K9015,"0",B5749:B9015,"5 1 2 1 6 12 31111 6 M59 50000 000223 0000E 00001 00216 015 2112000 2024*")</f>
        <v>0</v>
      </c>
      <c r="E5748"/>
      <c r="F5748" s="35">
        <f>SUMIFS(F5749:F9015,K5749:K9015,"0",B5749:B9015,"5 1 2 1 6 12 31111 6 M59 50000 000223 0000E 00001 00216 015 2112000 2024*")</f>
        <v>899.96</v>
      </c>
      <c r="G5748" s="35">
        <f>SUMIFS(G5749:G9015,K5749:K9015,"0",B5749:B9015,"5 1 2 1 6 12 31111 6 M59 50000 000223 0000E 00001 00216 015 2112000 2024*")</f>
        <v>0</v>
      </c>
      <c r="H5748" s="35">
        <f t="shared" si="90"/>
        <v>899.96</v>
      </c>
      <c r="I5748" s="35"/>
      <c r="K5748" t="s">
        <v>15</v>
      </c>
    </row>
    <row r="5749" spans="2:11" ht="41.25" x14ac:dyDescent="0.2">
      <c r="B5749" s="33" t="s">
        <v>6723</v>
      </c>
      <c r="C5749" s="33" t="s">
        <v>662</v>
      </c>
      <c r="D5749" s="35">
        <f>SUMIFS(D5750:D9015,K5750:K9015,"0",B5750:B9015,"5 1 2 1 6 12 31111 6 M59 50000 000223 0000E 00001 00216 015 2112000 2024 CP1DA424*")-SUMIFS(E5750:E9015,K5750:K9015,"0",B5750:B9015,"5 1 2 1 6 12 31111 6 M59 50000 000223 0000E 00001 00216 015 2112000 2024 CP1DA424*")</f>
        <v>0</v>
      </c>
      <c r="E5749"/>
      <c r="F5749" s="35">
        <f>SUMIFS(F5750:F9015,K5750:K9015,"0",B5750:B9015,"5 1 2 1 6 12 31111 6 M59 50000 000223 0000E 00001 00216 015 2112000 2024 CP1DA424*")</f>
        <v>899.96</v>
      </c>
      <c r="G5749" s="35">
        <f>SUMIFS(G5750:G9015,K5750:K9015,"0",B5750:B9015,"5 1 2 1 6 12 31111 6 M59 50000 000223 0000E 00001 00216 015 2112000 2024 CP1DA424*")</f>
        <v>0</v>
      </c>
      <c r="H5749" s="35">
        <f t="shared" si="90"/>
        <v>899.96</v>
      </c>
      <c r="I5749" s="35"/>
      <c r="K5749" t="s">
        <v>15</v>
      </c>
    </row>
    <row r="5750" spans="2:11" ht="41.25" x14ac:dyDescent="0.2">
      <c r="B5750" s="33" t="s">
        <v>6724</v>
      </c>
      <c r="C5750" s="33" t="s">
        <v>282</v>
      </c>
      <c r="D5750" s="35">
        <f>SUMIFS(D5751:D9015,K5751:K9015,"0",B5751:B9015,"5 1 2 1 6 12 31111 6 M59 50000 000223 0000E 00001 00216 015 2112000 2024 CP1DA424 001*")-SUMIFS(E5751:E9015,K5751:K9015,"0",B5751:B9015,"5 1 2 1 6 12 31111 6 M59 50000 000223 0000E 00001 00216 015 2112000 2024 CP1DA424 001*")</f>
        <v>0</v>
      </c>
      <c r="E5750"/>
      <c r="F5750" s="35">
        <f>SUMIFS(F5751:F9015,K5751:K9015,"0",B5751:B9015,"5 1 2 1 6 12 31111 6 M59 50000 000223 0000E 00001 00216 015 2112000 2024 CP1DA424 001*")</f>
        <v>899.96</v>
      </c>
      <c r="G5750" s="35">
        <f>SUMIFS(G5751:G9015,K5751:K9015,"0",B5751:B9015,"5 1 2 1 6 12 31111 6 M59 50000 000223 0000E 00001 00216 015 2112000 2024 CP1DA424 001*")</f>
        <v>0</v>
      </c>
      <c r="H5750" s="35">
        <f t="shared" si="90"/>
        <v>899.96</v>
      </c>
      <c r="I5750" s="35"/>
      <c r="K5750" t="s">
        <v>15</v>
      </c>
    </row>
    <row r="5751" spans="2:11" ht="41.25" x14ac:dyDescent="0.2">
      <c r="B5751" s="31" t="s">
        <v>6725</v>
      </c>
      <c r="C5751" s="31" t="s">
        <v>6638</v>
      </c>
      <c r="D5751" s="34">
        <v>0</v>
      </c>
      <c r="E5751" s="34"/>
      <c r="F5751" s="34">
        <v>899.96</v>
      </c>
      <c r="G5751" s="34">
        <v>0</v>
      </c>
      <c r="H5751" s="34">
        <f t="shared" si="90"/>
        <v>899.96</v>
      </c>
      <c r="I5751" s="34"/>
      <c r="K5751" t="s">
        <v>38</v>
      </c>
    </row>
    <row r="5752" spans="2:11" ht="16.5" x14ac:dyDescent="0.2">
      <c r="B5752" s="33" t="s">
        <v>6726</v>
      </c>
      <c r="C5752" s="33" t="s">
        <v>3644</v>
      </c>
      <c r="D5752" s="35">
        <f>SUMIFS(D5753:D9015,K5753:K9015,"0",B5753:B9015,"5 1 2 1 6 12 31111 6 M59 94000*")-SUMIFS(E5753:E9015,K5753:K9015,"0",B5753:B9015,"5 1 2 1 6 12 31111 6 M59 94000*")</f>
        <v>0</v>
      </c>
      <c r="E5752"/>
      <c r="F5752" s="35">
        <f>SUMIFS(F5753:F9015,K5753:K9015,"0",B5753:B9015,"5 1 2 1 6 12 31111 6 M59 94000*")</f>
        <v>8719900.3599999994</v>
      </c>
      <c r="G5752" s="35">
        <f>SUMIFS(G5753:G9015,K5753:K9015,"0",B5753:B9015,"5 1 2 1 6 12 31111 6 M59 94000*")</f>
        <v>0</v>
      </c>
      <c r="H5752" s="35">
        <f t="shared" si="90"/>
        <v>8719900.3599999994</v>
      </c>
      <c r="I5752" s="35"/>
      <c r="K5752" t="s">
        <v>15</v>
      </c>
    </row>
    <row r="5753" spans="2:11" ht="24.75" x14ac:dyDescent="0.2">
      <c r="B5753" s="33" t="s">
        <v>6727</v>
      </c>
      <c r="C5753" s="33" t="s">
        <v>3152</v>
      </c>
      <c r="D5753" s="35">
        <f>SUMIFS(D5754:D9015,K5754:K9015,"0",B5754:B9015,"5 1 2 1 6 12 31111 6 M59 94000 000181*")-SUMIFS(E5754:E9015,K5754:K9015,"0",B5754:B9015,"5 1 2 1 6 12 31111 6 M59 94000 000181*")</f>
        <v>0</v>
      </c>
      <c r="E5753"/>
      <c r="F5753" s="35">
        <f>SUMIFS(F5754:F9015,K5754:K9015,"0",B5754:B9015,"5 1 2 1 6 12 31111 6 M59 94000 000181*")</f>
        <v>8719900.3599999994</v>
      </c>
      <c r="G5753" s="35">
        <f>SUMIFS(G5754:G9015,K5754:K9015,"0",B5754:B9015,"5 1 2 1 6 12 31111 6 M59 94000 000181*")</f>
        <v>0</v>
      </c>
      <c r="H5753" s="35">
        <f t="shared" si="90"/>
        <v>8719900.3599999994</v>
      </c>
      <c r="I5753" s="35"/>
      <c r="K5753" t="s">
        <v>15</v>
      </c>
    </row>
    <row r="5754" spans="2:11" ht="24.75" x14ac:dyDescent="0.2">
      <c r="B5754" s="33" t="s">
        <v>6728</v>
      </c>
      <c r="C5754" s="33" t="s">
        <v>650</v>
      </c>
      <c r="D5754" s="35">
        <f>SUMIFS(D5755:D9015,K5755:K9015,"0",B5755:B9015,"5 1 2 1 6 12 31111 6 M59 94000 000181 0000R*")-SUMIFS(E5755:E9015,K5755:K9015,"0",B5755:B9015,"5 1 2 1 6 12 31111 6 M59 94000 000181 0000R*")</f>
        <v>0</v>
      </c>
      <c r="E5754"/>
      <c r="F5754" s="35">
        <f>SUMIFS(F5755:F9015,K5755:K9015,"0",B5755:B9015,"5 1 2 1 6 12 31111 6 M59 94000 000181 0000R*")</f>
        <v>8719900.3599999994</v>
      </c>
      <c r="G5754" s="35">
        <f>SUMIFS(G5755:G9015,K5755:K9015,"0",B5755:B9015,"5 1 2 1 6 12 31111 6 M59 94000 000181 0000R*")</f>
        <v>0</v>
      </c>
      <c r="H5754" s="35">
        <f t="shared" si="90"/>
        <v>8719900.3599999994</v>
      </c>
      <c r="I5754" s="35"/>
      <c r="K5754" t="s">
        <v>15</v>
      </c>
    </row>
    <row r="5755" spans="2:11" ht="24.75" x14ac:dyDescent="0.2">
      <c r="B5755" s="33" t="s">
        <v>6729</v>
      </c>
      <c r="C5755" s="33" t="s">
        <v>282</v>
      </c>
      <c r="D5755" s="35">
        <f>SUMIFS(D5756:D9015,K5756:K9015,"0",B5756:B9015,"5 1 2 1 6 12 31111 6 M59 94000 000181 0000R 00001*")-SUMIFS(E5756:E9015,K5756:K9015,"0",B5756:B9015,"5 1 2 1 6 12 31111 6 M59 94000 000181 0000R 00001*")</f>
        <v>0</v>
      </c>
      <c r="E5755"/>
      <c r="F5755" s="35">
        <f>SUMIFS(F5756:F9015,K5756:K9015,"0",B5756:B9015,"5 1 2 1 6 12 31111 6 M59 94000 000181 0000R 00001*")</f>
        <v>8719900.3599999994</v>
      </c>
      <c r="G5755" s="35">
        <f>SUMIFS(G5756:G9015,K5756:K9015,"0",B5756:B9015,"5 1 2 1 6 12 31111 6 M59 94000 000181 0000R 00001*")</f>
        <v>0</v>
      </c>
      <c r="H5755" s="35">
        <f t="shared" si="90"/>
        <v>8719900.3599999994</v>
      </c>
      <c r="I5755" s="35"/>
      <c r="K5755" t="s">
        <v>15</v>
      </c>
    </row>
    <row r="5756" spans="2:11" ht="24.75" x14ac:dyDescent="0.2">
      <c r="B5756" s="33" t="s">
        <v>6730</v>
      </c>
      <c r="C5756" s="33" t="s">
        <v>6648</v>
      </c>
      <c r="D5756" s="35">
        <f>SUMIFS(D5757:D9015,K5757:K9015,"0",B5757:B9015,"5 1 2 1 6 12 31111 6 M59 94000 000181 0000R 00001 00216*")-SUMIFS(E5757:E9015,K5757:K9015,"0",B5757:B9015,"5 1 2 1 6 12 31111 6 M59 94000 000181 0000R 00001 00216*")</f>
        <v>0</v>
      </c>
      <c r="E5756"/>
      <c r="F5756" s="35">
        <f>SUMIFS(F5757:F9015,K5757:K9015,"0",B5757:B9015,"5 1 2 1 6 12 31111 6 M59 94000 000181 0000R 00001 00216*")</f>
        <v>8719900.3599999994</v>
      </c>
      <c r="G5756" s="35">
        <f>SUMIFS(G5757:G9015,K5757:K9015,"0",B5757:B9015,"5 1 2 1 6 12 31111 6 M59 94000 000181 0000R 00001 00216*")</f>
        <v>0</v>
      </c>
      <c r="H5756" s="35">
        <f t="shared" si="90"/>
        <v>8719900.3599999994</v>
      </c>
      <c r="I5756" s="35"/>
      <c r="K5756" t="s">
        <v>15</v>
      </c>
    </row>
    <row r="5757" spans="2:11" ht="33" x14ac:dyDescent="0.2">
      <c r="B5757" s="33" t="s">
        <v>6731</v>
      </c>
      <c r="C5757" s="33" t="s">
        <v>1051</v>
      </c>
      <c r="D5757" s="35">
        <f>SUMIFS(D5758:D9015,K5758:K9015,"0",B5758:B9015,"5 1 2 1 6 12 31111 6 M59 94000 000181 0000R 00001 00216 015*")-SUMIFS(E5758:E9015,K5758:K9015,"0",B5758:B9015,"5 1 2 1 6 12 31111 6 M59 94000 000181 0000R 00001 00216 015*")</f>
        <v>0</v>
      </c>
      <c r="E5757"/>
      <c r="F5757" s="35">
        <f>SUMIFS(F5758:F9015,K5758:K9015,"0",B5758:B9015,"5 1 2 1 6 12 31111 6 M59 94000 000181 0000R 00001 00216 015*")</f>
        <v>8719900.3599999994</v>
      </c>
      <c r="G5757" s="35">
        <f>SUMIFS(G5758:G9015,K5758:K9015,"0",B5758:B9015,"5 1 2 1 6 12 31111 6 M59 94000 000181 0000R 00001 00216 015*")</f>
        <v>0</v>
      </c>
      <c r="H5757" s="35">
        <f t="shared" si="90"/>
        <v>8719900.3599999994</v>
      </c>
      <c r="I5757" s="35"/>
      <c r="K5757" t="s">
        <v>15</v>
      </c>
    </row>
    <row r="5758" spans="2:11" ht="33" x14ac:dyDescent="0.2">
      <c r="B5758" s="33" t="s">
        <v>6732</v>
      </c>
      <c r="C5758" s="33" t="s">
        <v>5830</v>
      </c>
      <c r="D5758" s="35">
        <f>SUMIFS(D5759:D9015,K5759:K9015,"0",B5759:B9015,"5 1 2 1 6 12 31111 6 M59 94000 000181 0000R 00001 00216 015 2112000*")-SUMIFS(E5759:E9015,K5759:K9015,"0",B5759:B9015,"5 1 2 1 6 12 31111 6 M59 94000 000181 0000R 00001 00216 015 2112000*")</f>
        <v>0</v>
      </c>
      <c r="E5758"/>
      <c r="F5758" s="35">
        <f>SUMIFS(F5759:F9015,K5759:K9015,"0",B5759:B9015,"5 1 2 1 6 12 31111 6 M59 94000 000181 0000R 00001 00216 015 2112000*")</f>
        <v>8719900.3599999994</v>
      </c>
      <c r="G5758" s="35">
        <f>SUMIFS(G5759:G9015,K5759:K9015,"0",B5759:B9015,"5 1 2 1 6 12 31111 6 M59 94000 000181 0000R 00001 00216 015 2112000*")</f>
        <v>0</v>
      </c>
      <c r="H5758" s="35">
        <f t="shared" si="90"/>
        <v>8719900.3599999994</v>
      </c>
      <c r="I5758" s="35"/>
      <c r="K5758" t="s">
        <v>15</v>
      </c>
    </row>
    <row r="5759" spans="2:11" ht="33" x14ac:dyDescent="0.2">
      <c r="B5759" s="33" t="s">
        <v>6733</v>
      </c>
      <c r="C5759" s="33" t="s">
        <v>660</v>
      </c>
      <c r="D5759" s="35">
        <f>SUMIFS(D5760:D9015,K5760:K9015,"0",B5760:B9015,"5 1 2 1 6 12 31111 6 M59 94000 000181 0000R 00001 00216 015 2112000 2024*")-SUMIFS(E5760:E9015,K5760:K9015,"0",B5760:B9015,"5 1 2 1 6 12 31111 6 M59 94000 000181 0000R 00001 00216 015 2112000 2024*")</f>
        <v>0</v>
      </c>
      <c r="E5759"/>
      <c r="F5759" s="35">
        <f>SUMIFS(F5760:F9015,K5760:K9015,"0",B5760:B9015,"5 1 2 1 6 12 31111 6 M59 94000 000181 0000R 00001 00216 015 2112000 2024*")</f>
        <v>8719900.3599999994</v>
      </c>
      <c r="G5759" s="35">
        <f>SUMIFS(G5760:G9015,K5760:K9015,"0",B5760:B9015,"5 1 2 1 6 12 31111 6 M59 94000 000181 0000R 00001 00216 015 2112000 2024*")</f>
        <v>0</v>
      </c>
      <c r="H5759" s="35">
        <f t="shared" si="90"/>
        <v>8719900.3599999994</v>
      </c>
      <c r="I5759" s="35"/>
      <c r="K5759" t="s">
        <v>15</v>
      </c>
    </row>
    <row r="5760" spans="2:11" ht="41.25" x14ac:dyDescent="0.2">
      <c r="B5760" s="33" t="s">
        <v>6734</v>
      </c>
      <c r="C5760" s="33" t="s">
        <v>1056</v>
      </c>
      <c r="D5760" s="35">
        <f>SUMIFS(D5761:D9015,K5761:K9015,"0",B5761:B9015,"5 1 2 1 6 12 31111 6 M59 94000 000181 0000R 00001 00216 015 2112000 2024 CP1OM392*")-SUMIFS(E5761:E9015,K5761:K9015,"0",B5761:B9015,"5 1 2 1 6 12 31111 6 M59 94000 000181 0000R 00001 00216 015 2112000 2024 CP1OM392*")</f>
        <v>0</v>
      </c>
      <c r="E5760"/>
      <c r="F5760" s="35">
        <f>SUMIFS(F5761:F9015,K5761:K9015,"0",B5761:B9015,"5 1 2 1 6 12 31111 6 M59 94000 000181 0000R 00001 00216 015 2112000 2024 CP1OM392*")</f>
        <v>8719900.3599999994</v>
      </c>
      <c r="G5760" s="35">
        <f>SUMIFS(G5761:G9015,K5761:K9015,"0",B5761:B9015,"5 1 2 1 6 12 31111 6 M59 94000 000181 0000R 00001 00216 015 2112000 2024 CP1OM392*")</f>
        <v>0</v>
      </c>
      <c r="H5760" s="35">
        <f t="shared" si="90"/>
        <v>8719900.3599999994</v>
      </c>
      <c r="I5760" s="35"/>
      <c r="K5760" t="s">
        <v>15</v>
      </c>
    </row>
    <row r="5761" spans="2:11" ht="41.25" x14ac:dyDescent="0.2">
      <c r="B5761" s="33" t="s">
        <v>6735</v>
      </c>
      <c r="C5761" s="33" t="s">
        <v>282</v>
      </c>
      <c r="D5761" s="35">
        <f>SUMIFS(D5762:D9015,K5762:K9015,"0",B5762:B9015,"5 1 2 1 6 12 31111 6 M59 94000 000181 0000R 00001 00216 015 2112000 2024 CP1OM392 001*")-SUMIFS(E5762:E9015,K5762:K9015,"0",B5762:B9015,"5 1 2 1 6 12 31111 6 M59 94000 000181 0000R 00001 00216 015 2112000 2024 CP1OM392 001*")</f>
        <v>0</v>
      </c>
      <c r="E5761"/>
      <c r="F5761" s="35">
        <f>SUMIFS(F5762:F9015,K5762:K9015,"0",B5762:B9015,"5 1 2 1 6 12 31111 6 M59 94000 000181 0000R 00001 00216 015 2112000 2024 CP1OM392 001*")</f>
        <v>8719900.3599999994</v>
      </c>
      <c r="G5761" s="35">
        <f>SUMIFS(G5762:G9015,K5762:K9015,"0",B5762:B9015,"5 1 2 1 6 12 31111 6 M59 94000 000181 0000R 00001 00216 015 2112000 2024 CP1OM392 001*")</f>
        <v>0</v>
      </c>
      <c r="H5761" s="35">
        <f t="shared" si="90"/>
        <v>8719900.3599999994</v>
      </c>
      <c r="I5761" s="35"/>
      <c r="K5761" t="s">
        <v>15</v>
      </c>
    </row>
    <row r="5762" spans="2:11" ht="33" x14ac:dyDescent="0.2">
      <c r="B5762" s="31" t="s">
        <v>6736</v>
      </c>
      <c r="C5762" s="31" t="s">
        <v>6638</v>
      </c>
      <c r="D5762" s="34">
        <v>0</v>
      </c>
      <c r="E5762" s="34"/>
      <c r="F5762" s="34">
        <v>8719900.3599999994</v>
      </c>
      <c r="G5762" s="34">
        <v>0</v>
      </c>
      <c r="H5762" s="34">
        <f t="shared" si="90"/>
        <v>8719900.3599999994</v>
      </c>
      <c r="I5762" s="34"/>
      <c r="K5762" t="s">
        <v>38</v>
      </c>
    </row>
    <row r="5763" spans="2:11" ht="16.5" x14ac:dyDescent="0.2">
      <c r="B5763" s="33" t="s">
        <v>6737</v>
      </c>
      <c r="C5763" s="33" t="s">
        <v>3693</v>
      </c>
      <c r="D5763" s="35">
        <f>SUMIFS(D5764:D9015,K5764:K9015,"0",B5764:B9015,"5 1 2 1 6 12 31111 6 M59 96100*")-SUMIFS(E5764:E9015,K5764:K9015,"0",B5764:B9015,"5 1 2 1 6 12 31111 6 M59 96100*")</f>
        <v>0</v>
      </c>
      <c r="E5763"/>
      <c r="F5763" s="35">
        <f>SUMIFS(F5764:F9015,K5764:K9015,"0",B5764:B9015,"5 1 2 1 6 12 31111 6 M59 96100*")</f>
        <v>3836933.31</v>
      </c>
      <c r="G5763" s="35">
        <f>SUMIFS(G5764:G9015,K5764:K9015,"0",B5764:B9015,"5 1 2 1 6 12 31111 6 M59 96100*")</f>
        <v>0</v>
      </c>
      <c r="H5763" s="35">
        <f t="shared" si="90"/>
        <v>3836933.31</v>
      </c>
      <c r="I5763" s="35"/>
      <c r="K5763" t="s">
        <v>15</v>
      </c>
    </row>
    <row r="5764" spans="2:11" ht="16.5" x14ac:dyDescent="0.2">
      <c r="B5764" s="33" t="s">
        <v>6738</v>
      </c>
      <c r="C5764" s="33" t="s">
        <v>1310</v>
      </c>
      <c r="D5764" s="35">
        <f>SUMIFS(D5765:D9015,K5765:K9015,"0",B5765:B9015,"5 1 2 1 6 12 31111 6 M59 96100 000211*")-SUMIFS(E5765:E9015,K5765:K9015,"0",B5765:B9015,"5 1 2 1 6 12 31111 6 M59 96100 000211*")</f>
        <v>0</v>
      </c>
      <c r="E5764"/>
      <c r="F5764" s="35">
        <f>SUMIFS(F5765:F9015,K5765:K9015,"0",B5765:B9015,"5 1 2 1 6 12 31111 6 M59 96100 000211*")</f>
        <v>3836933.31</v>
      </c>
      <c r="G5764" s="35">
        <f>SUMIFS(G5765:G9015,K5765:K9015,"0",B5765:B9015,"5 1 2 1 6 12 31111 6 M59 96100 000211*")</f>
        <v>0</v>
      </c>
      <c r="H5764" s="35">
        <f t="shared" ref="H5764:H5827" si="91">D5764 + F5764 - G5764</f>
        <v>3836933.31</v>
      </c>
      <c r="I5764" s="35"/>
      <c r="K5764" t="s">
        <v>15</v>
      </c>
    </row>
    <row r="5765" spans="2:11" ht="24.75" x14ac:dyDescent="0.2">
      <c r="B5765" s="33" t="s">
        <v>6739</v>
      </c>
      <c r="C5765" s="33" t="s">
        <v>3696</v>
      </c>
      <c r="D5765" s="35">
        <f>SUMIFS(D5766:D9015,K5766:K9015,"0",B5766:B9015,"5 1 2 1 6 12 31111 6 M59 96100 000211 0000U*")-SUMIFS(E5766:E9015,K5766:K9015,"0",B5766:B9015,"5 1 2 1 6 12 31111 6 M59 96100 000211 0000U*")</f>
        <v>0</v>
      </c>
      <c r="E5765"/>
      <c r="F5765" s="35">
        <f>SUMIFS(F5766:F9015,K5766:K9015,"0",B5766:B9015,"5 1 2 1 6 12 31111 6 M59 96100 000211 0000U*")</f>
        <v>3836933.31</v>
      </c>
      <c r="G5765" s="35">
        <f>SUMIFS(G5766:G9015,K5766:K9015,"0",B5766:B9015,"5 1 2 1 6 12 31111 6 M59 96100 000211 0000U*")</f>
        <v>0</v>
      </c>
      <c r="H5765" s="35">
        <f t="shared" si="91"/>
        <v>3836933.31</v>
      </c>
      <c r="I5765" s="35"/>
      <c r="K5765" t="s">
        <v>15</v>
      </c>
    </row>
    <row r="5766" spans="2:11" ht="24.75" x14ac:dyDescent="0.2">
      <c r="B5766" s="33" t="s">
        <v>6740</v>
      </c>
      <c r="C5766" s="33" t="s">
        <v>282</v>
      </c>
      <c r="D5766" s="35">
        <f>SUMIFS(D5767:D9015,K5767:K9015,"0",B5767:B9015,"5 1 2 1 6 12 31111 6 M59 96100 000211 0000U 00001*")-SUMIFS(E5767:E9015,K5767:K9015,"0",B5767:B9015,"5 1 2 1 6 12 31111 6 M59 96100 000211 0000U 00001*")</f>
        <v>0</v>
      </c>
      <c r="E5766"/>
      <c r="F5766" s="35">
        <f>SUMIFS(F5767:F9015,K5767:K9015,"0",B5767:B9015,"5 1 2 1 6 12 31111 6 M59 96100 000211 0000U 00001*")</f>
        <v>3836933.31</v>
      </c>
      <c r="G5766" s="35">
        <f>SUMIFS(G5767:G9015,K5767:K9015,"0",B5767:B9015,"5 1 2 1 6 12 31111 6 M59 96100 000211 0000U 00001*")</f>
        <v>0</v>
      </c>
      <c r="H5766" s="35">
        <f t="shared" si="91"/>
        <v>3836933.31</v>
      </c>
      <c r="I5766" s="35"/>
      <c r="K5766" t="s">
        <v>15</v>
      </c>
    </row>
    <row r="5767" spans="2:11" ht="24.75" x14ac:dyDescent="0.2">
      <c r="B5767" s="33" t="s">
        <v>6741</v>
      </c>
      <c r="C5767" s="33" t="s">
        <v>6648</v>
      </c>
      <c r="D5767" s="35">
        <f>SUMIFS(D5768:D9015,K5768:K9015,"0",B5768:B9015,"5 1 2 1 6 12 31111 6 M59 96100 000211 0000U 00001 00216*")-SUMIFS(E5768:E9015,K5768:K9015,"0",B5768:B9015,"5 1 2 1 6 12 31111 6 M59 96100 000211 0000U 00001 00216*")</f>
        <v>0</v>
      </c>
      <c r="E5767"/>
      <c r="F5767" s="35">
        <f>SUMIFS(F5768:F9015,K5768:K9015,"0",B5768:B9015,"5 1 2 1 6 12 31111 6 M59 96100 000211 0000U 00001 00216*")</f>
        <v>3836933.31</v>
      </c>
      <c r="G5767" s="35">
        <f>SUMIFS(G5768:G9015,K5768:K9015,"0",B5768:B9015,"5 1 2 1 6 12 31111 6 M59 96100 000211 0000U 00001 00216*")</f>
        <v>0</v>
      </c>
      <c r="H5767" s="35">
        <f t="shared" si="91"/>
        <v>3836933.31</v>
      </c>
      <c r="I5767" s="35"/>
      <c r="K5767" t="s">
        <v>15</v>
      </c>
    </row>
    <row r="5768" spans="2:11" ht="33" x14ac:dyDescent="0.2">
      <c r="B5768" s="33" t="s">
        <v>6742</v>
      </c>
      <c r="C5768" s="33" t="s">
        <v>1051</v>
      </c>
      <c r="D5768" s="35">
        <f>SUMIFS(D5769:D9015,K5769:K9015,"0",B5769:B9015,"5 1 2 1 6 12 31111 6 M59 96100 000211 0000U 00001 00216 015*")-SUMIFS(E5769:E9015,K5769:K9015,"0",B5769:B9015,"5 1 2 1 6 12 31111 6 M59 96100 000211 0000U 00001 00216 015*")</f>
        <v>0</v>
      </c>
      <c r="E5768"/>
      <c r="F5768" s="35">
        <f>SUMIFS(F5769:F9015,K5769:K9015,"0",B5769:B9015,"5 1 2 1 6 12 31111 6 M59 96100 000211 0000U 00001 00216 015*")</f>
        <v>3836933.31</v>
      </c>
      <c r="G5768" s="35">
        <f>SUMIFS(G5769:G9015,K5769:K9015,"0",B5769:B9015,"5 1 2 1 6 12 31111 6 M59 96100 000211 0000U 00001 00216 015*")</f>
        <v>0</v>
      </c>
      <c r="H5768" s="35">
        <f t="shared" si="91"/>
        <v>3836933.31</v>
      </c>
      <c r="I5768" s="35"/>
      <c r="K5768" t="s">
        <v>15</v>
      </c>
    </row>
    <row r="5769" spans="2:11" ht="33" x14ac:dyDescent="0.2">
      <c r="B5769" s="33" t="s">
        <v>6743</v>
      </c>
      <c r="C5769" s="33" t="s">
        <v>5830</v>
      </c>
      <c r="D5769" s="35">
        <f>SUMIFS(D5770:D9015,K5770:K9015,"0",B5770:B9015,"5 1 2 1 6 12 31111 6 M59 96100 000211 0000U 00001 00216 015 2112000*")-SUMIFS(E5770:E9015,K5770:K9015,"0",B5770:B9015,"5 1 2 1 6 12 31111 6 M59 96100 000211 0000U 00001 00216 015 2112000*")</f>
        <v>0</v>
      </c>
      <c r="E5769"/>
      <c r="F5769" s="35">
        <f>SUMIFS(F5770:F9015,K5770:K9015,"0",B5770:B9015,"5 1 2 1 6 12 31111 6 M59 96100 000211 0000U 00001 00216 015 2112000*")</f>
        <v>3836933.31</v>
      </c>
      <c r="G5769" s="35">
        <f>SUMIFS(G5770:G9015,K5770:K9015,"0",B5770:B9015,"5 1 2 1 6 12 31111 6 M59 96100 000211 0000U 00001 00216 015 2112000*")</f>
        <v>0</v>
      </c>
      <c r="H5769" s="35">
        <f t="shared" si="91"/>
        <v>3836933.31</v>
      </c>
      <c r="I5769" s="35"/>
      <c r="K5769" t="s">
        <v>15</v>
      </c>
    </row>
    <row r="5770" spans="2:11" ht="33" x14ac:dyDescent="0.2">
      <c r="B5770" s="33" t="s">
        <v>6744</v>
      </c>
      <c r="C5770" s="33" t="s">
        <v>660</v>
      </c>
      <c r="D5770" s="35">
        <f>SUMIFS(D5771:D9015,K5771:K9015,"0",B5771:B9015,"5 1 2 1 6 12 31111 6 M59 96100 000211 0000U 00001 00216 015 2112000 2024*")-SUMIFS(E5771:E9015,K5771:K9015,"0",B5771:B9015,"5 1 2 1 6 12 31111 6 M59 96100 000211 0000U 00001 00216 015 2112000 2024*")</f>
        <v>0</v>
      </c>
      <c r="E5770"/>
      <c r="F5770" s="35">
        <f>SUMIFS(F5771:F9015,K5771:K9015,"0",B5771:B9015,"5 1 2 1 6 12 31111 6 M59 96100 000211 0000U 00001 00216 015 2112000 2024*")</f>
        <v>3836933.31</v>
      </c>
      <c r="G5770" s="35">
        <f>SUMIFS(G5771:G9015,K5771:K9015,"0",B5771:B9015,"5 1 2 1 6 12 31111 6 M59 96100 000211 0000U 00001 00216 015 2112000 2024*")</f>
        <v>0</v>
      </c>
      <c r="H5770" s="35">
        <f t="shared" si="91"/>
        <v>3836933.31</v>
      </c>
      <c r="I5770" s="35"/>
      <c r="K5770" t="s">
        <v>15</v>
      </c>
    </row>
    <row r="5771" spans="2:11" ht="41.25" x14ac:dyDescent="0.2">
      <c r="B5771" s="33" t="s">
        <v>6745</v>
      </c>
      <c r="C5771" s="33" t="s">
        <v>1056</v>
      </c>
      <c r="D5771" s="35">
        <f>SUMIFS(D5772:D9015,K5772:K9015,"0",B5772:B9015,"5 1 2 1 6 12 31111 6 M59 96100 000211 0000U 00001 00216 015 2112000 2024 CP1IU412*")-SUMIFS(E5772:E9015,K5772:K9015,"0",B5772:B9015,"5 1 2 1 6 12 31111 6 M59 96100 000211 0000U 00001 00216 015 2112000 2024 CP1IU412*")</f>
        <v>0</v>
      </c>
      <c r="E5771"/>
      <c r="F5771" s="35">
        <f>SUMIFS(F5772:F9015,K5772:K9015,"0",B5772:B9015,"5 1 2 1 6 12 31111 6 M59 96100 000211 0000U 00001 00216 015 2112000 2024 CP1IU412*")</f>
        <v>3836933.31</v>
      </c>
      <c r="G5771" s="35">
        <f>SUMIFS(G5772:G9015,K5772:K9015,"0",B5772:B9015,"5 1 2 1 6 12 31111 6 M59 96100 000211 0000U 00001 00216 015 2112000 2024 CP1IU412*")</f>
        <v>0</v>
      </c>
      <c r="H5771" s="35">
        <f t="shared" si="91"/>
        <v>3836933.31</v>
      </c>
      <c r="I5771" s="35"/>
      <c r="K5771" t="s">
        <v>15</v>
      </c>
    </row>
    <row r="5772" spans="2:11" ht="41.25" x14ac:dyDescent="0.2">
      <c r="B5772" s="33" t="s">
        <v>6746</v>
      </c>
      <c r="C5772" s="33" t="s">
        <v>282</v>
      </c>
      <c r="D5772" s="35">
        <f>SUMIFS(D5773:D9015,K5773:K9015,"0",B5773:B9015,"5 1 2 1 6 12 31111 6 M59 96100 000211 0000U 00001 00216 015 2112000 2024 CP1IU412 001*")-SUMIFS(E5773:E9015,K5773:K9015,"0",B5773:B9015,"5 1 2 1 6 12 31111 6 M59 96100 000211 0000U 00001 00216 015 2112000 2024 CP1IU412 001*")</f>
        <v>0</v>
      </c>
      <c r="E5772"/>
      <c r="F5772" s="35">
        <f>SUMIFS(F5773:F9015,K5773:K9015,"0",B5773:B9015,"5 1 2 1 6 12 31111 6 M59 96100 000211 0000U 00001 00216 015 2112000 2024 CP1IU412 001*")</f>
        <v>3836933.31</v>
      </c>
      <c r="G5772" s="35">
        <f>SUMIFS(G5773:G9015,K5773:K9015,"0",B5773:B9015,"5 1 2 1 6 12 31111 6 M59 96100 000211 0000U 00001 00216 015 2112000 2024 CP1IU412 001*")</f>
        <v>0</v>
      </c>
      <c r="H5772" s="35">
        <f t="shared" si="91"/>
        <v>3836933.31</v>
      </c>
      <c r="I5772" s="35"/>
      <c r="K5772" t="s">
        <v>15</v>
      </c>
    </row>
    <row r="5773" spans="2:11" ht="33" x14ac:dyDescent="0.2">
      <c r="B5773" s="31" t="s">
        <v>6747</v>
      </c>
      <c r="C5773" s="31" t="s">
        <v>6638</v>
      </c>
      <c r="D5773" s="34">
        <v>0</v>
      </c>
      <c r="E5773" s="34"/>
      <c r="F5773" s="34">
        <v>3836933.31</v>
      </c>
      <c r="G5773" s="34">
        <v>0</v>
      </c>
      <c r="H5773" s="34">
        <f t="shared" si="91"/>
        <v>3836933.31</v>
      </c>
      <c r="I5773" s="34"/>
      <c r="K5773" t="s">
        <v>38</v>
      </c>
    </row>
    <row r="5774" spans="2:11" ht="16.5" x14ac:dyDescent="0.2">
      <c r="B5774" s="33" t="s">
        <v>6748</v>
      </c>
      <c r="C5774" s="33" t="s">
        <v>1308</v>
      </c>
      <c r="D5774" s="35">
        <f>SUMIFS(D5775:D9015,K5775:K9015,"0",B5775:B9015,"5 1 2 1 6 12 31111 6 M59 96300*")-SUMIFS(E5775:E9015,K5775:K9015,"0",B5775:B9015,"5 1 2 1 6 12 31111 6 M59 96300*")</f>
        <v>0</v>
      </c>
      <c r="E5774"/>
      <c r="F5774" s="35">
        <f>SUMIFS(F5775:F9015,K5775:K9015,"0",B5775:B9015,"5 1 2 1 6 12 31111 6 M59 96300*")</f>
        <v>150448.41</v>
      </c>
      <c r="G5774" s="35">
        <f>SUMIFS(G5775:G9015,K5775:K9015,"0",B5775:B9015,"5 1 2 1 6 12 31111 6 M59 96300*")</f>
        <v>0</v>
      </c>
      <c r="H5774" s="35">
        <f t="shared" si="91"/>
        <v>150448.41</v>
      </c>
      <c r="I5774" s="35"/>
      <c r="K5774" t="s">
        <v>15</v>
      </c>
    </row>
    <row r="5775" spans="2:11" ht="16.5" x14ac:dyDescent="0.2">
      <c r="B5775" s="33" t="s">
        <v>6749</v>
      </c>
      <c r="C5775" s="33" t="s">
        <v>1310</v>
      </c>
      <c r="D5775" s="35">
        <f>SUMIFS(D5776:D9015,K5776:K9015,"0",B5776:B9015,"5 1 2 1 6 12 31111 6 M59 96300 000211*")-SUMIFS(E5776:E9015,K5776:K9015,"0",B5776:B9015,"5 1 2 1 6 12 31111 6 M59 96300 000211*")</f>
        <v>0</v>
      </c>
      <c r="E5775"/>
      <c r="F5775" s="35">
        <f>SUMIFS(F5776:F9015,K5776:K9015,"0",B5776:B9015,"5 1 2 1 6 12 31111 6 M59 96300 000211*")</f>
        <v>150448.41</v>
      </c>
      <c r="G5775" s="35">
        <f>SUMIFS(G5776:G9015,K5776:K9015,"0",B5776:B9015,"5 1 2 1 6 12 31111 6 M59 96300 000211*")</f>
        <v>0</v>
      </c>
      <c r="H5775" s="35">
        <f t="shared" si="91"/>
        <v>150448.41</v>
      </c>
      <c r="I5775" s="35"/>
      <c r="K5775" t="s">
        <v>15</v>
      </c>
    </row>
    <row r="5776" spans="2:11" ht="24.75" x14ac:dyDescent="0.2">
      <c r="B5776" s="33" t="s">
        <v>6750</v>
      </c>
      <c r="C5776" s="33" t="s">
        <v>1065</v>
      </c>
      <c r="D5776" s="35">
        <f>SUMIFS(D5777:D9015,K5777:K9015,"0",B5777:B9015,"5 1 2 1 6 12 31111 6 M59 96300 000211 0000E*")-SUMIFS(E5777:E9015,K5777:K9015,"0",B5777:B9015,"5 1 2 1 6 12 31111 6 M59 96300 000211 0000E*")</f>
        <v>0</v>
      </c>
      <c r="E5776"/>
      <c r="F5776" s="35">
        <f>SUMIFS(F5777:F9015,K5777:K9015,"0",B5777:B9015,"5 1 2 1 6 12 31111 6 M59 96300 000211 0000E*")</f>
        <v>150448.41</v>
      </c>
      <c r="G5776" s="35">
        <f>SUMIFS(G5777:G9015,K5777:K9015,"0",B5777:B9015,"5 1 2 1 6 12 31111 6 M59 96300 000211 0000E*")</f>
        <v>0</v>
      </c>
      <c r="H5776" s="35">
        <f t="shared" si="91"/>
        <v>150448.41</v>
      </c>
      <c r="I5776" s="35"/>
      <c r="K5776" t="s">
        <v>15</v>
      </c>
    </row>
    <row r="5777" spans="2:11" ht="24.75" x14ac:dyDescent="0.2">
      <c r="B5777" s="33" t="s">
        <v>6751</v>
      </c>
      <c r="C5777" s="33" t="s">
        <v>282</v>
      </c>
      <c r="D5777" s="35">
        <f>SUMIFS(D5778:D9015,K5778:K9015,"0",B5778:B9015,"5 1 2 1 6 12 31111 6 M59 96300 000211 0000E 00001*")-SUMIFS(E5778:E9015,K5778:K9015,"0",B5778:B9015,"5 1 2 1 6 12 31111 6 M59 96300 000211 0000E 00001*")</f>
        <v>0</v>
      </c>
      <c r="E5777"/>
      <c r="F5777" s="35">
        <f>SUMIFS(F5778:F9015,K5778:K9015,"0",B5778:B9015,"5 1 2 1 6 12 31111 6 M59 96300 000211 0000E 00001*")</f>
        <v>150448.41</v>
      </c>
      <c r="G5777" s="35">
        <f>SUMIFS(G5778:G9015,K5778:K9015,"0",B5778:B9015,"5 1 2 1 6 12 31111 6 M59 96300 000211 0000E 00001*")</f>
        <v>0</v>
      </c>
      <c r="H5777" s="35">
        <f t="shared" si="91"/>
        <v>150448.41</v>
      </c>
      <c r="I5777" s="35"/>
      <c r="K5777" t="s">
        <v>15</v>
      </c>
    </row>
    <row r="5778" spans="2:11" ht="24.75" x14ac:dyDescent="0.2">
      <c r="B5778" s="33" t="s">
        <v>6752</v>
      </c>
      <c r="C5778" s="33" t="s">
        <v>6648</v>
      </c>
      <c r="D5778" s="35">
        <f>SUMIFS(D5779:D9015,K5779:K9015,"0",B5779:B9015,"5 1 2 1 6 12 31111 6 M59 96300 000211 0000E 00001 00216*")-SUMIFS(E5779:E9015,K5779:K9015,"0",B5779:B9015,"5 1 2 1 6 12 31111 6 M59 96300 000211 0000E 00001 00216*")</f>
        <v>0</v>
      </c>
      <c r="E5778"/>
      <c r="F5778" s="35">
        <f>SUMIFS(F5779:F9015,K5779:K9015,"0",B5779:B9015,"5 1 2 1 6 12 31111 6 M59 96300 000211 0000E 00001 00216*")</f>
        <v>150448.41</v>
      </c>
      <c r="G5778" s="35">
        <f>SUMIFS(G5779:G9015,K5779:K9015,"0",B5779:B9015,"5 1 2 1 6 12 31111 6 M59 96300 000211 0000E 00001 00216*")</f>
        <v>0</v>
      </c>
      <c r="H5778" s="35">
        <f t="shared" si="91"/>
        <v>150448.41</v>
      </c>
      <c r="I5778" s="35"/>
      <c r="K5778" t="s">
        <v>15</v>
      </c>
    </row>
    <row r="5779" spans="2:11" ht="33" x14ac:dyDescent="0.2">
      <c r="B5779" s="33" t="s">
        <v>6753</v>
      </c>
      <c r="C5779" s="33" t="s">
        <v>699</v>
      </c>
      <c r="D5779" s="35">
        <f>SUMIFS(D5780:D9015,K5780:K9015,"0",B5780:B9015,"5 1 2 1 6 12 31111 6 M59 96300 000211 0000E 00001 00216 011*")-SUMIFS(E5780:E9015,K5780:K9015,"0",B5780:B9015,"5 1 2 1 6 12 31111 6 M59 96300 000211 0000E 00001 00216 011*")</f>
        <v>0</v>
      </c>
      <c r="E5779"/>
      <c r="F5779" s="35">
        <f>SUMIFS(F5780:F9015,K5780:K9015,"0",B5780:B9015,"5 1 2 1 6 12 31111 6 M59 96300 000211 0000E 00001 00216 011*")</f>
        <v>40000</v>
      </c>
      <c r="G5779" s="35">
        <f>SUMIFS(G5780:G9015,K5780:K9015,"0",B5780:B9015,"5 1 2 1 6 12 31111 6 M59 96300 000211 0000E 00001 00216 011*")</f>
        <v>0</v>
      </c>
      <c r="H5779" s="35">
        <f t="shared" si="91"/>
        <v>40000</v>
      </c>
      <c r="I5779" s="35"/>
      <c r="K5779" t="s">
        <v>15</v>
      </c>
    </row>
    <row r="5780" spans="2:11" ht="33" x14ac:dyDescent="0.2">
      <c r="B5780" s="33" t="s">
        <v>6754</v>
      </c>
      <c r="C5780" s="33" t="s">
        <v>5830</v>
      </c>
      <c r="D5780" s="35">
        <f>SUMIFS(D5781:D9015,K5781:K9015,"0",B5781:B9015,"5 1 2 1 6 12 31111 6 M59 96300 000211 0000E 00001 00216 011 2112000*")-SUMIFS(E5781:E9015,K5781:K9015,"0",B5781:B9015,"5 1 2 1 6 12 31111 6 M59 96300 000211 0000E 00001 00216 011 2112000*")</f>
        <v>0</v>
      </c>
      <c r="E5780"/>
      <c r="F5780" s="35">
        <f>SUMIFS(F5781:F9015,K5781:K9015,"0",B5781:B9015,"5 1 2 1 6 12 31111 6 M59 96300 000211 0000E 00001 00216 011 2112000*")</f>
        <v>40000</v>
      </c>
      <c r="G5780" s="35">
        <f>SUMIFS(G5781:G9015,K5781:K9015,"0",B5781:B9015,"5 1 2 1 6 12 31111 6 M59 96300 000211 0000E 00001 00216 011 2112000*")</f>
        <v>0</v>
      </c>
      <c r="H5780" s="35">
        <f t="shared" si="91"/>
        <v>40000</v>
      </c>
      <c r="I5780" s="35"/>
      <c r="K5780" t="s">
        <v>15</v>
      </c>
    </row>
    <row r="5781" spans="2:11" ht="33" x14ac:dyDescent="0.2">
      <c r="B5781" s="33" t="s">
        <v>6755</v>
      </c>
      <c r="C5781" s="33" t="s">
        <v>660</v>
      </c>
      <c r="D5781" s="35">
        <f>SUMIFS(D5782:D9015,K5782:K9015,"0",B5782:B9015,"5 1 2 1 6 12 31111 6 M59 96300 000211 0000E 00001 00216 011 2112000 2024*")-SUMIFS(E5782:E9015,K5782:K9015,"0",B5782:B9015,"5 1 2 1 6 12 31111 6 M59 96300 000211 0000E 00001 00216 011 2112000 2024*")</f>
        <v>0</v>
      </c>
      <c r="E5781"/>
      <c r="F5781" s="35">
        <f>SUMIFS(F5782:F9015,K5782:K9015,"0",B5782:B9015,"5 1 2 1 6 12 31111 6 M59 96300 000211 0000E 00001 00216 011 2112000 2024*")</f>
        <v>40000</v>
      </c>
      <c r="G5781" s="35">
        <f>SUMIFS(G5782:G9015,K5782:K9015,"0",B5782:B9015,"5 1 2 1 6 12 31111 6 M59 96300 000211 0000E 00001 00216 011 2112000 2024*")</f>
        <v>0</v>
      </c>
      <c r="H5781" s="35">
        <f t="shared" si="91"/>
        <v>40000</v>
      </c>
      <c r="I5781" s="35"/>
      <c r="K5781" t="s">
        <v>15</v>
      </c>
    </row>
    <row r="5782" spans="2:11" ht="41.25" x14ac:dyDescent="0.2">
      <c r="B5782" s="33" t="s">
        <v>6756</v>
      </c>
      <c r="C5782" s="33" t="s">
        <v>6757</v>
      </c>
      <c r="D5782" s="35">
        <f>SUMIFS(D5783:D9015,K5783:K9015,"0",B5783:B9015,"5 1 2 1 6 12 31111 6 M59 96300 000211 0000E 00001 00216 011 2112000 2024 CP3SB474*")-SUMIFS(E5783:E9015,K5783:K9015,"0",B5783:B9015,"5 1 2 1 6 12 31111 6 M59 96300 000211 0000E 00001 00216 011 2112000 2024 CP3SB474*")</f>
        <v>0</v>
      </c>
      <c r="E5782"/>
      <c r="F5782" s="35">
        <f>SUMIFS(F5783:F9015,K5783:K9015,"0",B5783:B9015,"5 1 2 1 6 12 31111 6 M59 96300 000211 0000E 00001 00216 011 2112000 2024 CP3SB474*")</f>
        <v>40000</v>
      </c>
      <c r="G5782" s="35">
        <f>SUMIFS(G5783:G9015,K5783:K9015,"0",B5783:B9015,"5 1 2 1 6 12 31111 6 M59 96300 000211 0000E 00001 00216 011 2112000 2024 CP3SB474*")</f>
        <v>0</v>
      </c>
      <c r="H5782" s="35">
        <f t="shared" si="91"/>
        <v>40000</v>
      </c>
      <c r="I5782" s="35"/>
      <c r="K5782" t="s">
        <v>15</v>
      </c>
    </row>
    <row r="5783" spans="2:11" ht="41.25" x14ac:dyDescent="0.2">
      <c r="B5783" s="33" t="s">
        <v>6758</v>
      </c>
      <c r="C5783" s="33" t="s">
        <v>46</v>
      </c>
      <c r="D5783" s="35">
        <f>SUMIFS(D5784:D9015,K5784:K9015,"0",B5784:B9015,"5 1 2 1 6 12 31111 6 M59 96300 000211 0000E 00001 00216 011 2112000 2024 CP3SB474 004*")-SUMIFS(E5784:E9015,K5784:K9015,"0",B5784:B9015,"5 1 2 1 6 12 31111 6 M59 96300 000211 0000E 00001 00216 011 2112000 2024 CP3SB474 004*")</f>
        <v>0</v>
      </c>
      <c r="E5783"/>
      <c r="F5783" s="35">
        <f>SUMIFS(F5784:F9015,K5784:K9015,"0",B5784:B9015,"5 1 2 1 6 12 31111 6 M59 96300 000211 0000E 00001 00216 011 2112000 2024 CP3SB474 004*")</f>
        <v>40000</v>
      </c>
      <c r="G5783" s="35">
        <f>SUMIFS(G5784:G9015,K5784:K9015,"0",B5784:B9015,"5 1 2 1 6 12 31111 6 M59 96300 000211 0000E 00001 00216 011 2112000 2024 CP3SB474 004*")</f>
        <v>0</v>
      </c>
      <c r="H5783" s="35">
        <f t="shared" si="91"/>
        <v>40000</v>
      </c>
      <c r="I5783" s="35"/>
      <c r="K5783" t="s">
        <v>15</v>
      </c>
    </row>
    <row r="5784" spans="2:11" ht="33" x14ac:dyDescent="0.2">
      <c r="B5784" s="31" t="s">
        <v>6759</v>
      </c>
      <c r="C5784" s="31" t="s">
        <v>6638</v>
      </c>
      <c r="D5784" s="34">
        <v>0</v>
      </c>
      <c r="E5784" s="34"/>
      <c r="F5784" s="34">
        <v>40000</v>
      </c>
      <c r="G5784" s="34">
        <v>0</v>
      </c>
      <c r="H5784" s="34">
        <f t="shared" si="91"/>
        <v>40000</v>
      </c>
      <c r="I5784" s="34"/>
      <c r="K5784" t="s">
        <v>38</v>
      </c>
    </row>
    <row r="5785" spans="2:11" ht="33" x14ac:dyDescent="0.2">
      <c r="B5785" s="33" t="s">
        <v>6760</v>
      </c>
      <c r="C5785" s="33" t="s">
        <v>1051</v>
      </c>
      <c r="D5785" s="35">
        <f>SUMIFS(D5786:D9015,K5786:K9015,"0",B5786:B9015,"5 1 2 1 6 12 31111 6 M59 96300 000211 0000E 00001 00216 015*")-SUMIFS(E5786:E9015,K5786:K9015,"0",B5786:B9015,"5 1 2 1 6 12 31111 6 M59 96300 000211 0000E 00001 00216 015*")</f>
        <v>0</v>
      </c>
      <c r="E5785"/>
      <c r="F5785" s="35">
        <f>SUMIFS(F5786:F9015,K5786:K9015,"0",B5786:B9015,"5 1 2 1 6 12 31111 6 M59 96300 000211 0000E 00001 00216 015*")</f>
        <v>110448.41</v>
      </c>
      <c r="G5785" s="35">
        <f>SUMIFS(G5786:G9015,K5786:K9015,"0",B5786:B9015,"5 1 2 1 6 12 31111 6 M59 96300 000211 0000E 00001 00216 015*")</f>
        <v>0</v>
      </c>
      <c r="H5785" s="35">
        <f t="shared" si="91"/>
        <v>110448.41</v>
      </c>
      <c r="I5785" s="35"/>
      <c r="K5785" t="s">
        <v>15</v>
      </c>
    </row>
    <row r="5786" spans="2:11" ht="33" x14ac:dyDescent="0.2">
      <c r="B5786" s="33" t="s">
        <v>6761</v>
      </c>
      <c r="C5786" s="33" t="s">
        <v>5830</v>
      </c>
      <c r="D5786" s="35">
        <f>SUMIFS(D5787:D9015,K5787:K9015,"0",B5787:B9015,"5 1 2 1 6 12 31111 6 M59 96300 000211 0000E 00001 00216 015 2112000*")-SUMIFS(E5787:E9015,K5787:K9015,"0",B5787:B9015,"5 1 2 1 6 12 31111 6 M59 96300 000211 0000E 00001 00216 015 2112000*")</f>
        <v>0</v>
      </c>
      <c r="E5786"/>
      <c r="F5786" s="35">
        <f>SUMIFS(F5787:F9015,K5787:K9015,"0",B5787:B9015,"5 1 2 1 6 12 31111 6 M59 96300 000211 0000E 00001 00216 015 2112000*")</f>
        <v>110448.41</v>
      </c>
      <c r="G5786" s="35">
        <f>SUMIFS(G5787:G9015,K5787:K9015,"0",B5787:B9015,"5 1 2 1 6 12 31111 6 M59 96300 000211 0000E 00001 00216 015 2112000*")</f>
        <v>0</v>
      </c>
      <c r="H5786" s="35">
        <f t="shared" si="91"/>
        <v>110448.41</v>
      </c>
      <c r="I5786" s="35"/>
      <c r="K5786" t="s">
        <v>15</v>
      </c>
    </row>
    <row r="5787" spans="2:11" ht="33" x14ac:dyDescent="0.2">
      <c r="B5787" s="33" t="s">
        <v>6762</v>
      </c>
      <c r="C5787" s="33" t="s">
        <v>660</v>
      </c>
      <c r="D5787" s="35">
        <f>SUMIFS(D5788:D9015,K5788:K9015,"0",B5788:B9015,"5 1 2 1 6 12 31111 6 M59 96300 000211 0000E 00001 00216 015 2112000 2024*")-SUMIFS(E5788:E9015,K5788:K9015,"0",B5788:B9015,"5 1 2 1 6 12 31111 6 M59 96300 000211 0000E 00001 00216 015 2112000 2024*")</f>
        <v>0</v>
      </c>
      <c r="E5787"/>
      <c r="F5787" s="35">
        <f>SUMIFS(F5788:F9015,K5788:K9015,"0",B5788:B9015,"5 1 2 1 6 12 31111 6 M59 96300 000211 0000E 00001 00216 015 2112000 2024*")</f>
        <v>110448.41</v>
      </c>
      <c r="G5787" s="35">
        <f>SUMIFS(G5788:G9015,K5788:K9015,"0",B5788:B9015,"5 1 2 1 6 12 31111 6 M59 96300 000211 0000E 00001 00216 015 2112000 2024*")</f>
        <v>0</v>
      </c>
      <c r="H5787" s="35">
        <f t="shared" si="91"/>
        <v>110448.41</v>
      </c>
      <c r="I5787" s="35"/>
      <c r="K5787" t="s">
        <v>15</v>
      </c>
    </row>
    <row r="5788" spans="2:11" ht="41.25" x14ac:dyDescent="0.2">
      <c r="B5788" s="33" t="s">
        <v>6763</v>
      </c>
      <c r="C5788" s="33" t="s">
        <v>1056</v>
      </c>
      <c r="D5788" s="35">
        <f>SUMIFS(D5789:D9015,K5789:K9015,"0",B5789:B9015,"5 1 2 1 6 12 31111 6 M59 96300 000211 0000E 00001 00216 015 2112000 2024 CP1SB396*")-SUMIFS(E5789:E9015,K5789:K9015,"0",B5789:B9015,"5 1 2 1 6 12 31111 6 M59 96300 000211 0000E 00001 00216 015 2112000 2024 CP1SB396*")</f>
        <v>0</v>
      </c>
      <c r="E5788"/>
      <c r="F5788" s="35">
        <f>SUMIFS(F5789:F9015,K5789:K9015,"0",B5789:B9015,"5 1 2 1 6 12 31111 6 M59 96300 000211 0000E 00001 00216 015 2112000 2024 CP1SB396*")</f>
        <v>110448.41</v>
      </c>
      <c r="G5788" s="35">
        <f>SUMIFS(G5789:G9015,K5789:K9015,"0",B5789:B9015,"5 1 2 1 6 12 31111 6 M59 96300 000211 0000E 00001 00216 015 2112000 2024 CP1SB396*")</f>
        <v>0</v>
      </c>
      <c r="H5788" s="35">
        <f t="shared" si="91"/>
        <v>110448.41</v>
      </c>
      <c r="I5788" s="35"/>
      <c r="K5788" t="s">
        <v>15</v>
      </c>
    </row>
    <row r="5789" spans="2:11" ht="41.25" x14ac:dyDescent="0.2">
      <c r="B5789" s="33" t="s">
        <v>6764</v>
      </c>
      <c r="C5789" s="33" t="s">
        <v>282</v>
      </c>
      <c r="D5789" s="35">
        <f>SUMIFS(D5790:D9015,K5790:K9015,"0",B5790:B9015,"5 1 2 1 6 12 31111 6 M59 96300 000211 0000E 00001 00216 015 2112000 2024 CP1SB396 001*")-SUMIFS(E5790:E9015,K5790:K9015,"0",B5790:B9015,"5 1 2 1 6 12 31111 6 M59 96300 000211 0000E 00001 00216 015 2112000 2024 CP1SB396 001*")</f>
        <v>0</v>
      </c>
      <c r="E5789"/>
      <c r="F5789" s="35">
        <f>SUMIFS(F5790:F9015,K5790:K9015,"0",B5790:B9015,"5 1 2 1 6 12 31111 6 M59 96300 000211 0000E 00001 00216 015 2112000 2024 CP1SB396 001*")</f>
        <v>110448.41</v>
      </c>
      <c r="G5789" s="35">
        <f>SUMIFS(G5790:G9015,K5790:K9015,"0",B5790:B9015,"5 1 2 1 6 12 31111 6 M59 96300 000211 0000E 00001 00216 015 2112000 2024 CP1SB396 001*")</f>
        <v>0</v>
      </c>
      <c r="H5789" s="35">
        <f t="shared" si="91"/>
        <v>110448.41</v>
      </c>
      <c r="I5789" s="35"/>
      <c r="K5789" t="s">
        <v>15</v>
      </c>
    </row>
    <row r="5790" spans="2:11" ht="33" x14ac:dyDescent="0.2">
      <c r="B5790" s="31" t="s">
        <v>6765</v>
      </c>
      <c r="C5790" s="31" t="s">
        <v>6648</v>
      </c>
      <c r="D5790" s="34">
        <v>0</v>
      </c>
      <c r="E5790" s="34"/>
      <c r="F5790" s="34">
        <v>110448.41</v>
      </c>
      <c r="G5790" s="34">
        <v>0</v>
      </c>
      <c r="H5790" s="34">
        <f t="shared" si="91"/>
        <v>110448.41</v>
      </c>
      <c r="I5790" s="34"/>
      <c r="K5790" t="s">
        <v>38</v>
      </c>
    </row>
    <row r="5791" spans="2:11" ht="24.75" x14ac:dyDescent="0.2">
      <c r="B5791" s="33" t="s">
        <v>6766</v>
      </c>
      <c r="C5791" s="33" t="s">
        <v>6767</v>
      </c>
      <c r="D5791" s="35">
        <f>SUMIFS(D5792:D9015,K5792:K9015,"0",B5792:B9015,"5 1 2 1 8*")-SUMIFS(E5792:E9015,K5792:K9015,"0",B5792:B9015,"5 1 2 1 8*")</f>
        <v>0</v>
      </c>
      <c r="E5791"/>
      <c r="F5791" s="35">
        <f>SUMIFS(F5792:F9015,K5792:K9015,"0",B5792:B9015,"5 1 2 1 8*")</f>
        <v>39369.5</v>
      </c>
      <c r="G5791" s="35">
        <f>SUMIFS(G5792:G9015,K5792:K9015,"0",B5792:B9015,"5 1 2 1 8*")</f>
        <v>0</v>
      </c>
      <c r="H5791" s="35">
        <f t="shared" si="91"/>
        <v>39369.5</v>
      </c>
      <c r="I5791" s="35"/>
      <c r="K5791" t="s">
        <v>15</v>
      </c>
    </row>
    <row r="5792" spans="2:11" ht="12.75" x14ac:dyDescent="0.2">
      <c r="B5792" s="33" t="s">
        <v>6768</v>
      </c>
      <c r="C5792" s="33" t="s">
        <v>26</v>
      </c>
      <c r="D5792" s="35">
        <f>SUMIFS(D5793:D9015,K5793:K9015,"0",B5793:B9015,"5 1 2 1 8 12*")-SUMIFS(E5793:E9015,K5793:K9015,"0",B5793:B9015,"5 1 2 1 8 12*")</f>
        <v>0</v>
      </c>
      <c r="E5792"/>
      <c r="F5792" s="35">
        <f>SUMIFS(F5793:F9015,K5793:K9015,"0",B5793:B9015,"5 1 2 1 8 12*")</f>
        <v>39369.5</v>
      </c>
      <c r="G5792" s="35">
        <f>SUMIFS(G5793:G9015,K5793:K9015,"0",B5793:B9015,"5 1 2 1 8 12*")</f>
        <v>0</v>
      </c>
      <c r="H5792" s="35">
        <f t="shared" si="91"/>
        <v>39369.5</v>
      </c>
      <c r="I5792" s="35"/>
      <c r="K5792" t="s">
        <v>15</v>
      </c>
    </row>
    <row r="5793" spans="2:11" ht="16.5" x14ac:dyDescent="0.2">
      <c r="B5793" s="33" t="s">
        <v>6769</v>
      </c>
      <c r="C5793" s="33" t="s">
        <v>28</v>
      </c>
      <c r="D5793" s="35">
        <f>SUMIFS(D5794:D9015,K5794:K9015,"0",B5794:B9015,"5 1 2 1 8 12 31111*")-SUMIFS(E5794:E9015,K5794:K9015,"0",B5794:B9015,"5 1 2 1 8 12 31111*")</f>
        <v>0</v>
      </c>
      <c r="E5793"/>
      <c r="F5793" s="35">
        <f>SUMIFS(F5794:F9015,K5794:K9015,"0",B5794:B9015,"5 1 2 1 8 12 31111*")</f>
        <v>39369.5</v>
      </c>
      <c r="G5793" s="35">
        <f>SUMIFS(G5794:G9015,K5794:K9015,"0",B5794:B9015,"5 1 2 1 8 12 31111*")</f>
        <v>0</v>
      </c>
      <c r="H5793" s="35">
        <f t="shared" si="91"/>
        <v>39369.5</v>
      </c>
      <c r="I5793" s="35"/>
      <c r="K5793" t="s">
        <v>15</v>
      </c>
    </row>
    <row r="5794" spans="2:11" ht="12.75" x14ac:dyDescent="0.2">
      <c r="B5794" s="33" t="s">
        <v>6770</v>
      </c>
      <c r="C5794" s="33" t="s">
        <v>30</v>
      </c>
      <c r="D5794" s="35">
        <f>SUMIFS(D5795:D9015,K5795:K9015,"0",B5795:B9015,"5 1 2 1 8 12 31111 6*")-SUMIFS(E5795:E9015,K5795:K9015,"0",B5795:B9015,"5 1 2 1 8 12 31111 6*")</f>
        <v>0</v>
      </c>
      <c r="E5794"/>
      <c r="F5794" s="35">
        <f>SUMIFS(F5795:F9015,K5795:K9015,"0",B5795:B9015,"5 1 2 1 8 12 31111 6*")</f>
        <v>39369.5</v>
      </c>
      <c r="G5794" s="35">
        <f>SUMIFS(G5795:G9015,K5795:K9015,"0",B5795:B9015,"5 1 2 1 8 12 31111 6*")</f>
        <v>0</v>
      </c>
      <c r="H5794" s="35">
        <f t="shared" si="91"/>
        <v>39369.5</v>
      </c>
      <c r="I5794" s="35"/>
      <c r="K5794" t="s">
        <v>15</v>
      </c>
    </row>
    <row r="5795" spans="2:11" ht="16.5" x14ac:dyDescent="0.2">
      <c r="B5795" s="33" t="s">
        <v>6771</v>
      </c>
      <c r="C5795" s="33" t="s">
        <v>2284</v>
      </c>
      <c r="D5795" s="35">
        <f>SUMIFS(D5796:D9015,K5796:K9015,"0",B5796:B9015,"5 1 2 1 8 12 31111 6 M59*")-SUMIFS(E5796:E9015,K5796:K9015,"0",B5796:B9015,"5 1 2 1 8 12 31111 6 M59*")</f>
        <v>0</v>
      </c>
      <c r="E5795"/>
      <c r="F5795" s="35">
        <f>SUMIFS(F5796:F9015,K5796:K9015,"0",B5796:B9015,"5 1 2 1 8 12 31111 6 M59*")</f>
        <v>39369.5</v>
      </c>
      <c r="G5795" s="35">
        <f>SUMIFS(G5796:G9015,K5796:K9015,"0",B5796:B9015,"5 1 2 1 8 12 31111 6 M59*")</f>
        <v>0</v>
      </c>
      <c r="H5795" s="35">
        <f t="shared" si="91"/>
        <v>39369.5</v>
      </c>
      <c r="I5795" s="35"/>
      <c r="K5795" t="s">
        <v>15</v>
      </c>
    </row>
    <row r="5796" spans="2:11" ht="16.5" x14ac:dyDescent="0.2">
      <c r="B5796" s="33" t="s">
        <v>6772</v>
      </c>
      <c r="C5796" s="33" t="s">
        <v>1044</v>
      </c>
      <c r="D5796" s="35">
        <f>SUMIFS(D5797:D9015,K5797:K9015,"0",B5797:B9015,"5 1 2 1 8 12 31111 6 M59 19000*")-SUMIFS(E5797:E9015,K5797:K9015,"0",B5797:B9015,"5 1 2 1 8 12 31111 6 M59 19000*")</f>
        <v>0</v>
      </c>
      <c r="E5796"/>
      <c r="F5796" s="35">
        <f>SUMIFS(F5797:F9015,K5797:K9015,"0",B5797:B9015,"5 1 2 1 8 12 31111 6 M59 19000*")</f>
        <v>39200</v>
      </c>
      <c r="G5796" s="35">
        <f>SUMIFS(G5797:G9015,K5797:K9015,"0",B5797:B9015,"5 1 2 1 8 12 31111 6 M59 19000*")</f>
        <v>0</v>
      </c>
      <c r="H5796" s="35">
        <f t="shared" si="91"/>
        <v>39200</v>
      </c>
      <c r="I5796" s="35"/>
      <c r="K5796" t="s">
        <v>15</v>
      </c>
    </row>
    <row r="5797" spans="2:11" ht="16.5" x14ac:dyDescent="0.2">
      <c r="B5797" s="33" t="s">
        <v>6773</v>
      </c>
      <c r="C5797" s="33" t="s">
        <v>648</v>
      </c>
      <c r="D5797" s="35">
        <f>SUMIFS(D5798:D9015,K5798:K9015,"0",B5798:B9015,"5 1 2 1 8 12 31111 6 M59 19000 000132*")-SUMIFS(E5798:E9015,K5798:K9015,"0",B5798:B9015,"5 1 2 1 8 12 31111 6 M59 19000 000132*")</f>
        <v>0</v>
      </c>
      <c r="E5797"/>
      <c r="F5797" s="35">
        <f>SUMIFS(F5798:F9015,K5798:K9015,"0",B5798:B9015,"5 1 2 1 8 12 31111 6 M59 19000 000132*")</f>
        <v>39200</v>
      </c>
      <c r="G5797" s="35">
        <f>SUMIFS(G5798:G9015,K5798:K9015,"0",B5798:B9015,"5 1 2 1 8 12 31111 6 M59 19000 000132*")</f>
        <v>0</v>
      </c>
      <c r="H5797" s="35">
        <f t="shared" si="91"/>
        <v>39200</v>
      </c>
      <c r="I5797" s="35"/>
      <c r="K5797" t="s">
        <v>15</v>
      </c>
    </row>
    <row r="5798" spans="2:11" ht="24.75" x14ac:dyDescent="0.2">
      <c r="B5798" s="33" t="s">
        <v>6774</v>
      </c>
      <c r="C5798" s="33" t="s">
        <v>650</v>
      </c>
      <c r="D5798" s="35">
        <f>SUMIFS(D5799:D9015,K5799:K9015,"0",B5799:B9015,"5 1 2 1 8 12 31111 6 M59 19000 000132 0000R*")-SUMIFS(E5799:E9015,K5799:K9015,"0",B5799:B9015,"5 1 2 1 8 12 31111 6 M59 19000 000132 0000R*")</f>
        <v>0</v>
      </c>
      <c r="E5798"/>
      <c r="F5798" s="35">
        <f>SUMIFS(F5799:F9015,K5799:K9015,"0",B5799:B9015,"5 1 2 1 8 12 31111 6 M59 19000 000132 0000R*")</f>
        <v>39200</v>
      </c>
      <c r="G5798" s="35">
        <f>SUMIFS(G5799:G9015,K5799:K9015,"0",B5799:B9015,"5 1 2 1 8 12 31111 6 M59 19000 000132 0000R*")</f>
        <v>0</v>
      </c>
      <c r="H5798" s="35">
        <f t="shared" si="91"/>
        <v>39200</v>
      </c>
      <c r="I5798" s="35"/>
      <c r="K5798" t="s">
        <v>15</v>
      </c>
    </row>
    <row r="5799" spans="2:11" ht="24.75" x14ac:dyDescent="0.2">
      <c r="B5799" s="33" t="s">
        <v>6775</v>
      </c>
      <c r="C5799" s="33" t="s">
        <v>282</v>
      </c>
      <c r="D5799" s="35">
        <f>SUMIFS(D5800:D9015,K5800:K9015,"0",B5800:B9015,"5 1 2 1 8 12 31111 6 M59 19000 000132 0000R 00001*")-SUMIFS(E5800:E9015,K5800:K9015,"0",B5800:B9015,"5 1 2 1 8 12 31111 6 M59 19000 000132 0000R 00001*")</f>
        <v>0</v>
      </c>
      <c r="E5799"/>
      <c r="F5799" s="35">
        <f>SUMIFS(F5800:F9015,K5800:K9015,"0",B5800:B9015,"5 1 2 1 8 12 31111 6 M59 19000 000132 0000R 00001*")</f>
        <v>39200</v>
      </c>
      <c r="G5799" s="35">
        <f>SUMIFS(G5800:G9015,K5800:K9015,"0",B5800:B9015,"5 1 2 1 8 12 31111 6 M59 19000 000132 0000R 00001*")</f>
        <v>0</v>
      </c>
      <c r="H5799" s="35">
        <f t="shared" si="91"/>
        <v>39200</v>
      </c>
      <c r="I5799" s="35"/>
      <c r="K5799" t="s">
        <v>15</v>
      </c>
    </row>
    <row r="5800" spans="2:11" ht="24.75" x14ac:dyDescent="0.2">
      <c r="B5800" s="33" t="s">
        <v>6776</v>
      </c>
      <c r="C5800" s="33" t="s">
        <v>6777</v>
      </c>
      <c r="D5800" s="35">
        <f>SUMIFS(D5801:D9015,K5801:K9015,"0",B5801:B9015,"5 1 2 1 8 12 31111 6 M59 19000 000132 0000R 00001 00218*")-SUMIFS(E5801:E9015,K5801:K9015,"0",B5801:B9015,"5 1 2 1 8 12 31111 6 M59 19000 000132 0000R 00001 00218*")</f>
        <v>0</v>
      </c>
      <c r="E5800"/>
      <c r="F5800" s="35">
        <f>SUMIFS(F5801:F9015,K5801:K9015,"0",B5801:B9015,"5 1 2 1 8 12 31111 6 M59 19000 000132 0000R 00001 00218*")</f>
        <v>39200</v>
      </c>
      <c r="G5800" s="35">
        <f>SUMIFS(G5801:G9015,K5801:K9015,"0",B5801:B9015,"5 1 2 1 8 12 31111 6 M59 19000 000132 0000R 00001 00218*")</f>
        <v>0</v>
      </c>
      <c r="H5800" s="35">
        <f t="shared" si="91"/>
        <v>39200</v>
      </c>
      <c r="I5800" s="35"/>
      <c r="K5800" t="s">
        <v>15</v>
      </c>
    </row>
    <row r="5801" spans="2:11" ht="33" x14ac:dyDescent="0.2">
      <c r="B5801" s="33" t="s">
        <v>6778</v>
      </c>
      <c r="C5801" s="33" t="s">
        <v>699</v>
      </c>
      <c r="D5801" s="35">
        <f>SUMIFS(D5802:D9015,K5802:K9015,"0",B5802:B9015,"5 1 2 1 8 12 31111 6 M59 19000 000132 0000R 00001 00218 011*")-SUMIFS(E5802:E9015,K5802:K9015,"0",B5802:B9015,"5 1 2 1 8 12 31111 6 M59 19000 000132 0000R 00001 00218 011*")</f>
        <v>0</v>
      </c>
      <c r="E5801"/>
      <c r="F5801" s="35">
        <f>SUMIFS(F5802:F9015,K5802:K9015,"0",B5802:B9015,"5 1 2 1 8 12 31111 6 M59 19000 000132 0000R 00001 00218 011*")</f>
        <v>39200</v>
      </c>
      <c r="G5801" s="35">
        <f>SUMIFS(G5802:G9015,K5802:K9015,"0",B5802:B9015,"5 1 2 1 8 12 31111 6 M59 19000 000132 0000R 00001 00218 011*")</f>
        <v>0</v>
      </c>
      <c r="H5801" s="35">
        <f t="shared" si="91"/>
        <v>39200</v>
      </c>
      <c r="I5801" s="35"/>
      <c r="K5801" t="s">
        <v>15</v>
      </c>
    </row>
    <row r="5802" spans="2:11" ht="33" x14ac:dyDescent="0.2">
      <c r="B5802" s="33" t="s">
        <v>6779</v>
      </c>
      <c r="C5802" s="33" t="s">
        <v>5830</v>
      </c>
      <c r="D5802" s="35">
        <f>SUMIFS(D5803:D9015,K5803:K9015,"0",B5803:B9015,"5 1 2 1 8 12 31111 6 M59 19000 000132 0000R 00001 00218 011 2112000*")-SUMIFS(E5803:E9015,K5803:K9015,"0",B5803:B9015,"5 1 2 1 8 12 31111 6 M59 19000 000132 0000R 00001 00218 011 2112000*")</f>
        <v>0</v>
      </c>
      <c r="E5802"/>
      <c r="F5802" s="35">
        <f>SUMIFS(F5803:F9015,K5803:K9015,"0",B5803:B9015,"5 1 2 1 8 12 31111 6 M59 19000 000132 0000R 00001 00218 011 2112000*")</f>
        <v>39200</v>
      </c>
      <c r="G5802" s="35">
        <f>SUMIFS(G5803:G9015,K5803:K9015,"0",B5803:B9015,"5 1 2 1 8 12 31111 6 M59 19000 000132 0000R 00001 00218 011 2112000*")</f>
        <v>0</v>
      </c>
      <c r="H5802" s="35">
        <f t="shared" si="91"/>
        <v>39200</v>
      </c>
      <c r="I5802" s="35"/>
      <c r="K5802" t="s">
        <v>15</v>
      </c>
    </row>
    <row r="5803" spans="2:11" ht="33" x14ac:dyDescent="0.2">
      <c r="B5803" s="33" t="s">
        <v>6780</v>
      </c>
      <c r="C5803" s="33" t="s">
        <v>660</v>
      </c>
      <c r="D5803" s="35">
        <f>SUMIFS(D5804:D9015,K5804:K9015,"0",B5804:B9015,"5 1 2 1 8 12 31111 6 M59 19000 000132 0000R 00001 00218 011 2112000 2024*")-SUMIFS(E5804:E9015,K5804:K9015,"0",B5804:B9015,"5 1 2 1 8 12 31111 6 M59 19000 000132 0000R 00001 00218 011 2112000 2024*")</f>
        <v>0</v>
      </c>
      <c r="E5803"/>
      <c r="F5803" s="35">
        <f>SUMIFS(F5804:F9015,K5804:K9015,"0",B5804:B9015,"5 1 2 1 8 12 31111 6 M59 19000 000132 0000R 00001 00218 011 2112000 2024*")</f>
        <v>39200</v>
      </c>
      <c r="G5803" s="35">
        <f>SUMIFS(G5804:G9015,K5804:K9015,"0",B5804:B9015,"5 1 2 1 8 12 31111 6 M59 19000 000132 0000R 00001 00218 011 2112000 2024*")</f>
        <v>0</v>
      </c>
      <c r="H5803" s="35">
        <f t="shared" si="91"/>
        <v>39200</v>
      </c>
      <c r="I5803" s="35"/>
      <c r="K5803" t="s">
        <v>15</v>
      </c>
    </row>
    <row r="5804" spans="2:11" ht="41.25" x14ac:dyDescent="0.2">
      <c r="B5804" s="33" t="s">
        <v>6781</v>
      </c>
      <c r="C5804" s="33" t="s">
        <v>662</v>
      </c>
      <c r="D5804" s="35">
        <f>SUMIFS(D5805:D9015,K5805:K9015,"0",B5805:B9015,"5 1 2 1 8 12 31111 6 M59 19000 000132 0000R 00001 00218 011 2112000 2024 CP1TM440*")-SUMIFS(E5805:E9015,K5805:K9015,"0",B5805:B9015,"5 1 2 1 8 12 31111 6 M59 19000 000132 0000R 00001 00218 011 2112000 2024 CP1TM440*")</f>
        <v>0</v>
      </c>
      <c r="E5804"/>
      <c r="F5804" s="35">
        <f>SUMIFS(F5805:F9015,K5805:K9015,"0",B5805:B9015,"5 1 2 1 8 12 31111 6 M59 19000 000132 0000R 00001 00218 011 2112000 2024 CP1TM440*")</f>
        <v>39200</v>
      </c>
      <c r="G5804" s="35">
        <f>SUMIFS(G5805:G9015,K5805:K9015,"0",B5805:B9015,"5 1 2 1 8 12 31111 6 M59 19000 000132 0000R 00001 00218 011 2112000 2024 CP1TM440*")</f>
        <v>0</v>
      </c>
      <c r="H5804" s="35">
        <f t="shared" si="91"/>
        <v>39200</v>
      </c>
      <c r="I5804" s="35"/>
      <c r="K5804" t="s">
        <v>15</v>
      </c>
    </row>
    <row r="5805" spans="2:11" ht="41.25" x14ac:dyDescent="0.2">
      <c r="B5805" s="33" t="s">
        <v>6782</v>
      </c>
      <c r="C5805" s="33" t="s">
        <v>46</v>
      </c>
      <c r="D5805" s="35">
        <f>SUMIFS(D5806:D9015,K5806:K9015,"0",B5806:B9015,"5 1 2 1 8 12 31111 6 M59 19000 000132 0000R 00001 00218 011 2112000 2024 CP1TM440 004*")-SUMIFS(E5806:E9015,K5806:K9015,"0",B5806:B9015,"5 1 2 1 8 12 31111 6 M59 19000 000132 0000R 00001 00218 011 2112000 2024 CP1TM440 004*")</f>
        <v>0</v>
      </c>
      <c r="E5805"/>
      <c r="F5805" s="35">
        <f>SUMIFS(F5806:F9015,K5806:K9015,"0",B5806:B9015,"5 1 2 1 8 12 31111 6 M59 19000 000132 0000R 00001 00218 011 2112000 2024 CP1TM440 004*")</f>
        <v>39200</v>
      </c>
      <c r="G5805" s="35">
        <f>SUMIFS(G5806:G9015,K5806:K9015,"0",B5806:B9015,"5 1 2 1 8 12 31111 6 M59 19000 000132 0000R 00001 00218 011 2112000 2024 CP1TM440 004*")</f>
        <v>0</v>
      </c>
      <c r="H5805" s="35">
        <f t="shared" si="91"/>
        <v>39200</v>
      </c>
      <c r="I5805" s="35"/>
      <c r="K5805" t="s">
        <v>15</v>
      </c>
    </row>
    <row r="5806" spans="2:11" ht="33" x14ac:dyDescent="0.2">
      <c r="B5806" s="31" t="s">
        <v>6783</v>
      </c>
      <c r="C5806" s="31" t="s">
        <v>6777</v>
      </c>
      <c r="D5806" s="34">
        <v>0</v>
      </c>
      <c r="E5806" s="34"/>
      <c r="F5806" s="34">
        <v>39200</v>
      </c>
      <c r="G5806" s="34">
        <v>0</v>
      </c>
      <c r="H5806" s="34">
        <f t="shared" si="91"/>
        <v>39200</v>
      </c>
      <c r="I5806" s="34"/>
      <c r="K5806" t="s">
        <v>38</v>
      </c>
    </row>
    <row r="5807" spans="2:11" ht="16.5" x14ac:dyDescent="0.2">
      <c r="B5807" s="33" t="s">
        <v>6784</v>
      </c>
      <c r="C5807" s="33" t="s">
        <v>1079</v>
      </c>
      <c r="D5807" s="35">
        <f>SUMIFS(D5808:D9015,K5808:K9015,"0",B5808:B9015,"5 1 2 1 8 12 31111 6 M59 20500*")-SUMIFS(E5808:E9015,K5808:K9015,"0",B5808:B9015,"5 1 2 1 8 12 31111 6 M59 20500*")</f>
        <v>0</v>
      </c>
      <c r="E5807"/>
      <c r="F5807" s="35">
        <f>SUMIFS(F5808:F9015,K5808:K9015,"0",B5808:B9015,"5 1 2 1 8 12 31111 6 M59 20500*")</f>
        <v>169.5</v>
      </c>
      <c r="G5807" s="35">
        <f>SUMIFS(G5808:G9015,K5808:K9015,"0",B5808:B9015,"5 1 2 1 8 12 31111 6 M59 20500*")</f>
        <v>0</v>
      </c>
      <c r="H5807" s="35">
        <f t="shared" si="91"/>
        <v>169.5</v>
      </c>
      <c r="I5807" s="35"/>
      <c r="K5807" t="s">
        <v>15</v>
      </c>
    </row>
    <row r="5808" spans="2:11" ht="24.75" x14ac:dyDescent="0.2">
      <c r="B5808" s="33" t="s">
        <v>6785</v>
      </c>
      <c r="C5808" s="33" t="s">
        <v>3152</v>
      </c>
      <c r="D5808" s="35">
        <f>SUMIFS(D5809:D9015,K5809:K9015,"0",B5809:B9015,"5 1 2 1 8 12 31111 6 M59 20500 000181*")-SUMIFS(E5809:E9015,K5809:K9015,"0",B5809:B9015,"5 1 2 1 8 12 31111 6 M59 20500 000181*")</f>
        <v>0</v>
      </c>
      <c r="E5808"/>
      <c r="F5808" s="35">
        <f>SUMIFS(F5809:F9015,K5809:K9015,"0",B5809:B9015,"5 1 2 1 8 12 31111 6 M59 20500 000181*")</f>
        <v>169.5</v>
      </c>
      <c r="G5808" s="35">
        <f>SUMIFS(G5809:G9015,K5809:K9015,"0",B5809:B9015,"5 1 2 1 8 12 31111 6 M59 20500 000181*")</f>
        <v>0</v>
      </c>
      <c r="H5808" s="35">
        <f t="shared" si="91"/>
        <v>169.5</v>
      </c>
      <c r="I5808" s="35"/>
      <c r="K5808" t="s">
        <v>15</v>
      </c>
    </row>
    <row r="5809" spans="2:11" ht="24.75" x14ac:dyDescent="0.2">
      <c r="B5809" s="33" t="s">
        <v>6786</v>
      </c>
      <c r="C5809" s="33" t="s">
        <v>1065</v>
      </c>
      <c r="D5809" s="35">
        <f>SUMIFS(D5810:D9015,K5810:K9015,"0",B5810:B9015,"5 1 2 1 8 12 31111 6 M59 20500 000181 0000E*")-SUMIFS(E5810:E9015,K5810:K9015,"0",B5810:B9015,"5 1 2 1 8 12 31111 6 M59 20500 000181 0000E*")</f>
        <v>0</v>
      </c>
      <c r="E5809"/>
      <c r="F5809" s="35">
        <f>SUMIFS(F5810:F9015,K5810:K9015,"0",B5810:B9015,"5 1 2 1 8 12 31111 6 M59 20500 000181 0000E*")</f>
        <v>169.5</v>
      </c>
      <c r="G5809" s="35">
        <f>SUMIFS(G5810:G9015,K5810:K9015,"0",B5810:B9015,"5 1 2 1 8 12 31111 6 M59 20500 000181 0000E*")</f>
        <v>0</v>
      </c>
      <c r="H5809" s="35">
        <f t="shared" si="91"/>
        <v>169.5</v>
      </c>
      <c r="I5809" s="35"/>
      <c r="K5809" t="s">
        <v>15</v>
      </c>
    </row>
    <row r="5810" spans="2:11" ht="24.75" x14ac:dyDescent="0.2">
      <c r="B5810" s="33" t="s">
        <v>6787</v>
      </c>
      <c r="C5810" s="33" t="s">
        <v>282</v>
      </c>
      <c r="D5810" s="35">
        <f>SUMIFS(D5811:D9015,K5811:K9015,"0",B5811:B9015,"5 1 2 1 8 12 31111 6 M59 20500 000181 0000E 00001*")-SUMIFS(E5811:E9015,K5811:K9015,"0",B5811:B9015,"5 1 2 1 8 12 31111 6 M59 20500 000181 0000E 00001*")</f>
        <v>0</v>
      </c>
      <c r="E5810"/>
      <c r="F5810" s="35">
        <f>SUMIFS(F5811:F9015,K5811:K9015,"0",B5811:B9015,"5 1 2 1 8 12 31111 6 M59 20500 000181 0000E 00001*")</f>
        <v>169.5</v>
      </c>
      <c r="G5810" s="35">
        <f>SUMIFS(G5811:G9015,K5811:K9015,"0",B5811:B9015,"5 1 2 1 8 12 31111 6 M59 20500 000181 0000E 00001*")</f>
        <v>0</v>
      </c>
      <c r="H5810" s="35">
        <f t="shared" si="91"/>
        <v>169.5</v>
      </c>
      <c r="I5810" s="35"/>
      <c r="K5810" t="s">
        <v>15</v>
      </c>
    </row>
    <row r="5811" spans="2:11" ht="24.75" x14ac:dyDescent="0.2">
      <c r="B5811" s="33" t="s">
        <v>6788</v>
      </c>
      <c r="C5811" s="33" t="s">
        <v>6777</v>
      </c>
      <c r="D5811" s="35">
        <f>SUMIFS(D5812:D9015,K5812:K9015,"0",B5812:B9015,"5 1 2 1 8 12 31111 6 M59 20500 000181 0000E 00001 00218*")-SUMIFS(E5812:E9015,K5812:K9015,"0",B5812:B9015,"5 1 2 1 8 12 31111 6 M59 20500 000181 0000E 00001 00218*")</f>
        <v>0</v>
      </c>
      <c r="E5811"/>
      <c r="F5811" s="35">
        <f>SUMIFS(F5812:F9015,K5812:K9015,"0",B5812:B9015,"5 1 2 1 8 12 31111 6 M59 20500 000181 0000E 00001 00218*")</f>
        <v>169.5</v>
      </c>
      <c r="G5811" s="35">
        <f>SUMIFS(G5812:G9015,K5812:K9015,"0",B5812:B9015,"5 1 2 1 8 12 31111 6 M59 20500 000181 0000E 00001 00218*")</f>
        <v>0</v>
      </c>
      <c r="H5811" s="35">
        <f t="shared" si="91"/>
        <v>169.5</v>
      </c>
      <c r="I5811" s="35"/>
      <c r="K5811" t="s">
        <v>15</v>
      </c>
    </row>
    <row r="5812" spans="2:11" ht="33" x14ac:dyDescent="0.2">
      <c r="B5812" s="33" t="s">
        <v>6789</v>
      </c>
      <c r="C5812" s="33" t="s">
        <v>699</v>
      </c>
      <c r="D5812" s="35">
        <f>SUMIFS(D5813:D9015,K5813:K9015,"0",B5813:B9015,"5 1 2 1 8 12 31111 6 M59 20500 000181 0000E 00001 00218 011*")-SUMIFS(E5813:E9015,K5813:K9015,"0",B5813:B9015,"5 1 2 1 8 12 31111 6 M59 20500 000181 0000E 00001 00218 011*")</f>
        <v>0</v>
      </c>
      <c r="E5812"/>
      <c r="F5812" s="35">
        <f>SUMIFS(F5813:F9015,K5813:K9015,"0",B5813:B9015,"5 1 2 1 8 12 31111 6 M59 20500 000181 0000E 00001 00218 011*")</f>
        <v>169.5</v>
      </c>
      <c r="G5812" s="35">
        <f>SUMIFS(G5813:G9015,K5813:K9015,"0",B5813:B9015,"5 1 2 1 8 12 31111 6 M59 20500 000181 0000E 00001 00218 011*")</f>
        <v>0</v>
      </c>
      <c r="H5812" s="35">
        <f t="shared" si="91"/>
        <v>169.5</v>
      </c>
      <c r="I5812" s="35"/>
      <c r="K5812" t="s">
        <v>15</v>
      </c>
    </row>
    <row r="5813" spans="2:11" ht="33" x14ac:dyDescent="0.2">
      <c r="B5813" s="33" t="s">
        <v>6790</v>
      </c>
      <c r="C5813" s="33" t="s">
        <v>5830</v>
      </c>
      <c r="D5813" s="35">
        <f>SUMIFS(D5814:D9015,K5814:K9015,"0",B5814:B9015,"5 1 2 1 8 12 31111 6 M59 20500 000181 0000E 00001 00218 011 2112000*")-SUMIFS(E5814:E9015,K5814:K9015,"0",B5814:B9015,"5 1 2 1 8 12 31111 6 M59 20500 000181 0000E 00001 00218 011 2112000*")</f>
        <v>0</v>
      </c>
      <c r="E5813"/>
      <c r="F5813" s="35">
        <f>SUMIFS(F5814:F9015,K5814:K9015,"0",B5814:B9015,"5 1 2 1 8 12 31111 6 M59 20500 000181 0000E 00001 00218 011 2112000*")</f>
        <v>169.5</v>
      </c>
      <c r="G5813" s="35">
        <f>SUMIFS(G5814:G9015,K5814:K9015,"0",B5814:B9015,"5 1 2 1 8 12 31111 6 M59 20500 000181 0000E 00001 00218 011 2112000*")</f>
        <v>0</v>
      </c>
      <c r="H5813" s="35">
        <f t="shared" si="91"/>
        <v>169.5</v>
      </c>
      <c r="I5813" s="35"/>
      <c r="K5813" t="s">
        <v>15</v>
      </c>
    </row>
    <row r="5814" spans="2:11" ht="33" x14ac:dyDescent="0.2">
      <c r="B5814" s="33" t="s">
        <v>6791</v>
      </c>
      <c r="C5814" s="33" t="s">
        <v>660</v>
      </c>
      <c r="D5814" s="35">
        <f>SUMIFS(D5815:D9015,K5815:K9015,"0",B5815:B9015,"5 1 2 1 8 12 31111 6 M59 20500 000181 0000E 00001 00218 011 2112000 2024*")-SUMIFS(E5815:E9015,K5815:K9015,"0",B5815:B9015,"5 1 2 1 8 12 31111 6 M59 20500 000181 0000E 00001 00218 011 2112000 2024*")</f>
        <v>0</v>
      </c>
      <c r="E5814"/>
      <c r="F5814" s="35">
        <f>SUMIFS(F5815:F9015,K5815:K9015,"0",B5815:B9015,"5 1 2 1 8 12 31111 6 M59 20500 000181 0000E 00001 00218 011 2112000 2024*")</f>
        <v>169.5</v>
      </c>
      <c r="G5814" s="35">
        <f>SUMIFS(G5815:G9015,K5815:K9015,"0",B5815:B9015,"5 1 2 1 8 12 31111 6 M59 20500 000181 0000E 00001 00218 011 2112000 2024*")</f>
        <v>0</v>
      </c>
      <c r="H5814" s="35">
        <f t="shared" si="91"/>
        <v>169.5</v>
      </c>
      <c r="I5814" s="35"/>
      <c r="K5814" t="s">
        <v>15</v>
      </c>
    </row>
    <row r="5815" spans="2:11" ht="49.5" x14ac:dyDescent="0.2">
      <c r="B5815" s="33" t="s">
        <v>6792</v>
      </c>
      <c r="C5815" s="33" t="s">
        <v>5982</v>
      </c>
      <c r="D5815" s="35">
        <f>SUMIFS(D5816:D9015,K5816:K9015,"0",B5816:B9015,"5 1 2 1 8 12 31111 6 M59 20500 000181 0000E 00001 00218 011 2112000 2024 CP3CP471*")-SUMIFS(E5816:E9015,K5816:K9015,"0",B5816:B9015,"5 1 2 1 8 12 31111 6 M59 20500 000181 0000E 00001 00218 011 2112000 2024 CP3CP471*")</f>
        <v>0</v>
      </c>
      <c r="E5815"/>
      <c r="F5815" s="35">
        <f>SUMIFS(F5816:F9015,K5816:K9015,"0",B5816:B9015,"5 1 2 1 8 12 31111 6 M59 20500 000181 0000E 00001 00218 011 2112000 2024 CP3CP471*")</f>
        <v>169.5</v>
      </c>
      <c r="G5815" s="35">
        <f>SUMIFS(G5816:G9015,K5816:K9015,"0",B5816:B9015,"5 1 2 1 8 12 31111 6 M59 20500 000181 0000E 00001 00218 011 2112000 2024 CP3CP471*")</f>
        <v>0</v>
      </c>
      <c r="H5815" s="35">
        <f t="shared" si="91"/>
        <v>169.5</v>
      </c>
      <c r="I5815" s="35"/>
      <c r="K5815" t="s">
        <v>15</v>
      </c>
    </row>
    <row r="5816" spans="2:11" ht="41.25" x14ac:dyDescent="0.2">
      <c r="B5816" s="33" t="s">
        <v>6793</v>
      </c>
      <c r="C5816" s="33" t="s">
        <v>46</v>
      </c>
      <c r="D5816" s="35">
        <f>SUMIFS(D5817:D9015,K5817:K9015,"0",B5817:B9015,"5 1 2 1 8 12 31111 6 M59 20500 000181 0000E 00001 00218 011 2112000 2024 CP3CP471 004*")-SUMIFS(E5817:E9015,K5817:K9015,"0",B5817:B9015,"5 1 2 1 8 12 31111 6 M59 20500 000181 0000E 00001 00218 011 2112000 2024 CP3CP471 004*")</f>
        <v>0</v>
      </c>
      <c r="E5816"/>
      <c r="F5816" s="35">
        <f>SUMIFS(F5817:F9015,K5817:K9015,"0",B5817:B9015,"5 1 2 1 8 12 31111 6 M59 20500 000181 0000E 00001 00218 011 2112000 2024 CP3CP471 004*")</f>
        <v>169.5</v>
      </c>
      <c r="G5816" s="35">
        <f>SUMIFS(G5817:G9015,K5817:K9015,"0",B5817:B9015,"5 1 2 1 8 12 31111 6 M59 20500 000181 0000E 00001 00218 011 2112000 2024 CP3CP471 004*")</f>
        <v>0</v>
      </c>
      <c r="H5816" s="35">
        <f t="shared" si="91"/>
        <v>169.5</v>
      </c>
      <c r="I5816" s="35"/>
      <c r="K5816" t="s">
        <v>15</v>
      </c>
    </row>
    <row r="5817" spans="2:11" ht="33" x14ac:dyDescent="0.2">
      <c r="B5817" s="31" t="s">
        <v>6794</v>
      </c>
      <c r="C5817" s="31" t="s">
        <v>6795</v>
      </c>
      <c r="D5817" s="34">
        <v>0</v>
      </c>
      <c r="E5817" s="34"/>
      <c r="F5817" s="34">
        <v>169.5</v>
      </c>
      <c r="G5817" s="34">
        <v>0</v>
      </c>
      <c r="H5817" s="34">
        <f t="shared" si="91"/>
        <v>169.5</v>
      </c>
      <c r="I5817" s="34"/>
      <c r="K5817" t="s">
        <v>38</v>
      </c>
    </row>
    <row r="5818" spans="2:11" ht="12.75" x14ac:dyDescent="0.2">
      <c r="B5818" s="33" t="s">
        <v>6796</v>
      </c>
      <c r="C5818" s="33" t="s">
        <v>507</v>
      </c>
      <c r="D5818" s="35">
        <f>SUMIFS(D5819:D9015,K5819:K9015,"0",B5819:B9015,"5 1 2 2*")-SUMIFS(E5819:E9015,K5819:K9015,"0",B5819:B9015,"5 1 2 2*")</f>
        <v>0</v>
      </c>
      <c r="E5818"/>
      <c r="F5818" s="35">
        <f>SUMIFS(F5819:F9015,K5819:K9015,"0",B5819:B9015,"5 1 2 2*")</f>
        <v>48032.37</v>
      </c>
      <c r="G5818" s="35">
        <f>SUMIFS(G5819:G9015,K5819:K9015,"0",B5819:B9015,"5 1 2 2*")</f>
        <v>0</v>
      </c>
      <c r="H5818" s="35">
        <f t="shared" si="91"/>
        <v>48032.37</v>
      </c>
      <c r="I5818" s="35"/>
      <c r="K5818" t="s">
        <v>15</v>
      </c>
    </row>
    <row r="5819" spans="2:11" ht="16.5" x14ac:dyDescent="0.2">
      <c r="B5819" s="33" t="s">
        <v>6797</v>
      </c>
      <c r="C5819" s="33" t="s">
        <v>6798</v>
      </c>
      <c r="D5819" s="35">
        <f>SUMIFS(D5820:D9015,K5820:K9015,"0",B5820:B9015,"5 1 2 2 1*")-SUMIFS(E5820:E9015,K5820:K9015,"0",B5820:B9015,"5 1 2 2 1*")</f>
        <v>0</v>
      </c>
      <c r="E5819"/>
      <c r="F5819" s="35">
        <f>SUMIFS(F5820:F9015,K5820:K9015,"0",B5820:B9015,"5 1 2 2 1*")</f>
        <v>43013.47</v>
      </c>
      <c r="G5819" s="35">
        <f>SUMIFS(G5820:G9015,K5820:K9015,"0",B5820:B9015,"5 1 2 2 1*")</f>
        <v>0</v>
      </c>
      <c r="H5819" s="35">
        <f t="shared" si="91"/>
        <v>43013.47</v>
      </c>
      <c r="I5819" s="35"/>
      <c r="K5819" t="s">
        <v>15</v>
      </c>
    </row>
    <row r="5820" spans="2:11" ht="12.75" x14ac:dyDescent="0.2">
      <c r="B5820" s="33" t="s">
        <v>6799</v>
      </c>
      <c r="C5820" s="33" t="s">
        <v>26</v>
      </c>
      <c r="D5820" s="35">
        <f>SUMIFS(D5821:D9015,K5821:K9015,"0",B5821:B9015,"5 1 2 2 1 12*")-SUMIFS(E5821:E9015,K5821:K9015,"0",B5821:B9015,"5 1 2 2 1 12*")</f>
        <v>0</v>
      </c>
      <c r="E5820"/>
      <c r="F5820" s="35">
        <f>SUMIFS(F5821:F9015,K5821:K9015,"0",B5821:B9015,"5 1 2 2 1 12*")</f>
        <v>43013.47</v>
      </c>
      <c r="G5820" s="35">
        <f>SUMIFS(G5821:G9015,K5821:K9015,"0",B5821:B9015,"5 1 2 2 1 12*")</f>
        <v>0</v>
      </c>
      <c r="H5820" s="35">
        <f t="shared" si="91"/>
        <v>43013.47</v>
      </c>
      <c r="I5820" s="35"/>
      <c r="K5820" t="s">
        <v>15</v>
      </c>
    </row>
    <row r="5821" spans="2:11" ht="16.5" x14ac:dyDescent="0.2">
      <c r="B5821" s="33" t="s">
        <v>6800</v>
      </c>
      <c r="C5821" s="33" t="s">
        <v>28</v>
      </c>
      <c r="D5821" s="35">
        <f>SUMIFS(D5822:D9015,K5822:K9015,"0",B5822:B9015,"5 1 2 2 1 12 31111*")-SUMIFS(E5822:E9015,K5822:K9015,"0",B5822:B9015,"5 1 2 2 1 12 31111*")</f>
        <v>0</v>
      </c>
      <c r="E5821"/>
      <c r="F5821" s="35">
        <f>SUMIFS(F5822:F9015,K5822:K9015,"0",B5822:B9015,"5 1 2 2 1 12 31111*")</f>
        <v>43013.47</v>
      </c>
      <c r="G5821" s="35">
        <f>SUMIFS(G5822:G9015,K5822:K9015,"0",B5822:B9015,"5 1 2 2 1 12 31111*")</f>
        <v>0</v>
      </c>
      <c r="H5821" s="35">
        <f t="shared" si="91"/>
        <v>43013.47</v>
      </c>
      <c r="I5821" s="35"/>
      <c r="K5821" t="s">
        <v>15</v>
      </c>
    </row>
    <row r="5822" spans="2:11" ht="12.75" x14ac:dyDescent="0.2">
      <c r="B5822" s="33" t="s">
        <v>6801</v>
      </c>
      <c r="C5822" s="33" t="s">
        <v>30</v>
      </c>
      <c r="D5822" s="35">
        <f>SUMIFS(D5823:D9015,K5823:K9015,"0",B5823:B9015,"5 1 2 2 1 12 31111 6*")-SUMIFS(E5823:E9015,K5823:K9015,"0",B5823:B9015,"5 1 2 2 1 12 31111 6*")</f>
        <v>0</v>
      </c>
      <c r="E5822"/>
      <c r="F5822" s="35">
        <f>SUMIFS(F5823:F9015,K5823:K9015,"0",B5823:B9015,"5 1 2 2 1 12 31111 6*")</f>
        <v>43013.47</v>
      </c>
      <c r="G5822" s="35">
        <f>SUMIFS(G5823:G9015,K5823:K9015,"0",B5823:B9015,"5 1 2 2 1 12 31111 6*")</f>
        <v>0</v>
      </c>
      <c r="H5822" s="35">
        <f t="shared" si="91"/>
        <v>43013.47</v>
      </c>
      <c r="I5822" s="35"/>
      <c r="K5822" t="s">
        <v>15</v>
      </c>
    </row>
    <row r="5823" spans="2:11" ht="16.5" x14ac:dyDescent="0.2">
      <c r="B5823" s="33" t="s">
        <v>6802</v>
      </c>
      <c r="C5823" s="33" t="s">
        <v>2284</v>
      </c>
      <c r="D5823" s="35">
        <f>SUMIFS(D5824:D9015,K5824:K9015,"0",B5824:B9015,"5 1 2 2 1 12 31111 6 M59*")-SUMIFS(E5824:E9015,K5824:K9015,"0",B5824:B9015,"5 1 2 2 1 12 31111 6 M59*")</f>
        <v>0</v>
      </c>
      <c r="E5823"/>
      <c r="F5823" s="35">
        <f>SUMIFS(F5824:F9015,K5824:K9015,"0",B5824:B9015,"5 1 2 2 1 12 31111 6 M59*")</f>
        <v>43013.47</v>
      </c>
      <c r="G5823" s="35">
        <f>SUMIFS(G5824:G9015,K5824:K9015,"0",B5824:B9015,"5 1 2 2 1 12 31111 6 M59*")</f>
        <v>0</v>
      </c>
      <c r="H5823" s="35">
        <f t="shared" si="91"/>
        <v>43013.47</v>
      </c>
      <c r="I5823" s="35"/>
      <c r="K5823" t="s">
        <v>15</v>
      </c>
    </row>
    <row r="5824" spans="2:11" ht="16.5" x14ac:dyDescent="0.2">
      <c r="B5824" s="33" t="s">
        <v>6803</v>
      </c>
      <c r="C5824" s="33" t="s">
        <v>1044</v>
      </c>
      <c r="D5824" s="35">
        <f>SUMIFS(D5825:D9015,K5825:K9015,"0",B5825:B9015,"5 1 2 2 1 12 31111 6 M59 19000*")-SUMIFS(E5825:E9015,K5825:K9015,"0",B5825:B9015,"5 1 2 2 1 12 31111 6 M59 19000*")</f>
        <v>0</v>
      </c>
      <c r="E5824"/>
      <c r="F5824" s="35">
        <f>SUMIFS(F5825:F9015,K5825:K9015,"0",B5825:B9015,"5 1 2 2 1 12 31111 6 M59 19000*")</f>
        <v>2937</v>
      </c>
      <c r="G5824" s="35">
        <f>SUMIFS(G5825:G9015,K5825:K9015,"0",B5825:B9015,"5 1 2 2 1 12 31111 6 M59 19000*")</f>
        <v>0</v>
      </c>
      <c r="H5824" s="35">
        <f t="shared" si="91"/>
        <v>2937</v>
      </c>
      <c r="I5824" s="35"/>
      <c r="K5824" t="s">
        <v>15</v>
      </c>
    </row>
    <row r="5825" spans="2:11" ht="16.5" x14ac:dyDescent="0.2">
      <c r="B5825" s="33" t="s">
        <v>6804</v>
      </c>
      <c r="C5825" s="33" t="s">
        <v>648</v>
      </c>
      <c r="D5825" s="35">
        <f>SUMIFS(D5826:D9015,K5826:K9015,"0",B5826:B9015,"5 1 2 2 1 12 31111 6 M59 19000 000132*")-SUMIFS(E5826:E9015,K5826:K9015,"0",B5826:B9015,"5 1 2 2 1 12 31111 6 M59 19000 000132*")</f>
        <v>0</v>
      </c>
      <c r="E5825"/>
      <c r="F5825" s="35">
        <f>SUMIFS(F5826:F9015,K5826:K9015,"0",B5826:B9015,"5 1 2 2 1 12 31111 6 M59 19000 000132*")</f>
        <v>2937</v>
      </c>
      <c r="G5825" s="35">
        <f>SUMIFS(G5826:G9015,K5826:K9015,"0",B5826:B9015,"5 1 2 2 1 12 31111 6 M59 19000 000132*")</f>
        <v>0</v>
      </c>
      <c r="H5825" s="35">
        <f t="shared" si="91"/>
        <v>2937</v>
      </c>
      <c r="I5825" s="35"/>
      <c r="K5825" t="s">
        <v>15</v>
      </c>
    </row>
    <row r="5826" spans="2:11" ht="24.75" x14ac:dyDescent="0.2">
      <c r="B5826" s="33" t="s">
        <v>6805</v>
      </c>
      <c r="C5826" s="33" t="s">
        <v>650</v>
      </c>
      <c r="D5826" s="35">
        <f>SUMIFS(D5827:D9015,K5827:K9015,"0",B5827:B9015,"5 1 2 2 1 12 31111 6 M59 19000 000132 0000R*")-SUMIFS(E5827:E9015,K5827:K9015,"0",B5827:B9015,"5 1 2 2 1 12 31111 6 M59 19000 000132 0000R*")</f>
        <v>0</v>
      </c>
      <c r="E5826"/>
      <c r="F5826" s="35">
        <f>SUMIFS(F5827:F9015,K5827:K9015,"0",B5827:B9015,"5 1 2 2 1 12 31111 6 M59 19000 000132 0000R*")</f>
        <v>2937</v>
      </c>
      <c r="G5826" s="35">
        <f>SUMIFS(G5827:G9015,K5827:K9015,"0",B5827:B9015,"5 1 2 2 1 12 31111 6 M59 19000 000132 0000R*")</f>
        <v>0</v>
      </c>
      <c r="H5826" s="35">
        <f t="shared" si="91"/>
        <v>2937</v>
      </c>
      <c r="I5826" s="35"/>
      <c r="K5826" t="s">
        <v>15</v>
      </c>
    </row>
    <row r="5827" spans="2:11" ht="24.75" x14ac:dyDescent="0.2">
      <c r="B5827" s="33" t="s">
        <v>6806</v>
      </c>
      <c r="C5827" s="33" t="s">
        <v>282</v>
      </c>
      <c r="D5827" s="35">
        <f>SUMIFS(D5828:D9015,K5828:K9015,"0",B5828:B9015,"5 1 2 2 1 12 31111 6 M59 19000 000132 0000R 00001*")-SUMIFS(E5828:E9015,K5828:K9015,"0",B5828:B9015,"5 1 2 2 1 12 31111 6 M59 19000 000132 0000R 00001*")</f>
        <v>0</v>
      </c>
      <c r="E5827"/>
      <c r="F5827" s="35">
        <f>SUMIFS(F5828:F9015,K5828:K9015,"0",B5828:B9015,"5 1 2 2 1 12 31111 6 M59 19000 000132 0000R 00001*")</f>
        <v>2937</v>
      </c>
      <c r="G5827" s="35">
        <f>SUMIFS(G5828:G9015,K5828:K9015,"0",B5828:B9015,"5 1 2 2 1 12 31111 6 M59 19000 000132 0000R 00001*")</f>
        <v>0</v>
      </c>
      <c r="H5827" s="35">
        <f t="shared" si="91"/>
        <v>2937</v>
      </c>
      <c r="I5827" s="35"/>
      <c r="K5827" t="s">
        <v>15</v>
      </c>
    </row>
    <row r="5828" spans="2:11" ht="24.75" x14ac:dyDescent="0.2">
      <c r="B5828" s="33" t="s">
        <v>6807</v>
      </c>
      <c r="C5828" s="33" t="s">
        <v>6808</v>
      </c>
      <c r="D5828" s="35">
        <f>SUMIFS(D5829:D9015,K5829:K9015,"0",B5829:B9015,"5 1 2 2 1 12 31111 6 M59 19000 000132 0000R 00001 00221*")-SUMIFS(E5829:E9015,K5829:K9015,"0",B5829:B9015,"5 1 2 2 1 12 31111 6 M59 19000 000132 0000R 00001 00221*")</f>
        <v>0</v>
      </c>
      <c r="E5828"/>
      <c r="F5828" s="35">
        <f>SUMIFS(F5829:F9015,K5829:K9015,"0",B5829:B9015,"5 1 2 2 1 12 31111 6 M59 19000 000132 0000R 00001 00221*")</f>
        <v>2937</v>
      </c>
      <c r="G5828" s="35">
        <f>SUMIFS(G5829:G9015,K5829:K9015,"0",B5829:B9015,"5 1 2 2 1 12 31111 6 M59 19000 000132 0000R 00001 00221*")</f>
        <v>0</v>
      </c>
      <c r="H5828" s="35">
        <f t="shared" ref="H5828:H5891" si="92">D5828 + F5828 - G5828</f>
        <v>2937</v>
      </c>
      <c r="I5828" s="35"/>
      <c r="K5828" t="s">
        <v>15</v>
      </c>
    </row>
    <row r="5829" spans="2:11" ht="33" x14ac:dyDescent="0.2">
      <c r="B5829" s="33" t="s">
        <v>6809</v>
      </c>
      <c r="C5829" s="33" t="s">
        <v>1051</v>
      </c>
      <c r="D5829" s="35">
        <f>SUMIFS(D5830:D9015,K5830:K9015,"0",B5830:B9015,"5 1 2 2 1 12 31111 6 M59 19000 000132 0000R 00001 00221 015*")-SUMIFS(E5830:E9015,K5830:K9015,"0",B5830:B9015,"5 1 2 2 1 12 31111 6 M59 19000 000132 0000R 00001 00221 015*")</f>
        <v>0</v>
      </c>
      <c r="E5829"/>
      <c r="F5829" s="35">
        <f>SUMIFS(F5830:F9015,K5830:K9015,"0",B5830:B9015,"5 1 2 2 1 12 31111 6 M59 19000 000132 0000R 00001 00221 015*")</f>
        <v>2937</v>
      </c>
      <c r="G5829" s="35">
        <f>SUMIFS(G5830:G9015,K5830:K9015,"0",B5830:B9015,"5 1 2 2 1 12 31111 6 M59 19000 000132 0000R 00001 00221 015*")</f>
        <v>0</v>
      </c>
      <c r="H5829" s="35">
        <f t="shared" si="92"/>
        <v>2937</v>
      </c>
      <c r="I5829" s="35"/>
      <c r="K5829" t="s">
        <v>15</v>
      </c>
    </row>
    <row r="5830" spans="2:11" ht="33" x14ac:dyDescent="0.2">
      <c r="B5830" s="33" t="s">
        <v>6810</v>
      </c>
      <c r="C5830" s="33" t="s">
        <v>5830</v>
      </c>
      <c r="D5830" s="35">
        <f>SUMIFS(D5831:D9015,K5831:K9015,"0",B5831:B9015,"5 1 2 2 1 12 31111 6 M59 19000 000132 0000R 00001 00221 015 2112000*")-SUMIFS(E5831:E9015,K5831:K9015,"0",B5831:B9015,"5 1 2 2 1 12 31111 6 M59 19000 000132 0000R 00001 00221 015 2112000*")</f>
        <v>0</v>
      </c>
      <c r="E5830"/>
      <c r="F5830" s="35">
        <f>SUMIFS(F5831:F9015,K5831:K9015,"0",B5831:B9015,"5 1 2 2 1 12 31111 6 M59 19000 000132 0000R 00001 00221 015 2112000*")</f>
        <v>2937</v>
      </c>
      <c r="G5830" s="35">
        <f>SUMIFS(G5831:G9015,K5831:K9015,"0",B5831:B9015,"5 1 2 2 1 12 31111 6 M59 19000 000132 0000R 00001 00221 015 2112000*")</f>
        <v>0</v>
      </c>
      <c r="H5830" s="35">
        <f t="shared" si="92"/>
        <v>2937</v>
      </c>
      <c r="I5830" s="35"/>
      <c r="K5830" t="s">
        <v>15</v>
      </c>
    </row>
    <row r="5831" spans="2:11" ht="33" x14ac:dyDescent="0.2">
      <c r="B5831" s="33" t="s">
        <v>6811</v>
      </c>
      <c r="C5831" s="33" t="s">
        <v>660</v>
      </c>
      <c r="D5831" s="35">
        <f>SUMIFS(D5832:D9015,K5832:K9015,"0",B5832:B9015,"5 1 2 2 1 12 31111 6 M59 19000 000132 0000R 00001 00221 015 2112000 2024*")-SUMIFS(E5832:E9015,K5832:K9015,"0",B5832:B9015,"5 1 2 2 1 12 31111 6 M59 19000 000132 0000R 00001 00221 015 2112000 2024*")</f>
        <v>0</v>
      </c>
      <c r="E5831"/>
      <c r="F5831" s="35">
        <f>SUMIFS(F5832:F9015,K5832:K9015,"0",B5832:B9015,"5 1 2 2 1 12 31111 6 M59 19000 000132 0000R 00001 00221 015 2112000 2024*")</f>
        <v>2937</v>
      </c>
      <c r="G5831" s="35">
        <f>SUMIFS(G5832:G9015,K5832:K9015,"0",B5832:B9015,"5 1 2 2 1 12 31111 6 M59 19000 000132 0000R 00001 00221 015 2112000 2024*")</f>
        <v>0</v>
      </c>
      <c r="H5831" s="35">
        <f t="shared" si="92"/>
        <v>2937</v>
      </c>
      <c r="I5831" s="35"/>
      <c r="K5831" t="s">
        <v>15</v>
      </c>
    </row>
    <row r="5832" spans="2:11" ht="41.25" x14ac:dyDescent="0.2">
      <c r="B5832" s="33" t="s">
        <v>6812</v>
      </c>
      <c r="C5832" s="33" t="s">
        <v>662</v>
      </c>
      <c r="D5832" s="35">
        <f>SUMIFS(D5833:D9015,K5833:K9015,"0",B5833:B9015,"5 1 2 2 1 12 31111 6 M59 19000 000132 0000R 00001 00221 015 2112000 2024 CP1TM440*")-SUMIFS(E5833:E9015,K5833:K9015,"0",B5833:B9015,"5 1 2 2 1 12 31111 6 M59 19000 000132 0000R 00001 00221 015 2112000 2024 CP1TM440*")</f>
        <v>0</v>
      </c>
      <c r="E5832"/>
      <c r="F5832" s="35">
        <f>SUMIFS(F5833:F9015,K5833:K9015,"0",B5833:B9015,"5 1 2 2 1 12 31111 6 M59 19000 000132 0000R 00001 00221 015 2112000 2024 CP1TM440*")</f>
        <v>2937</v>
      </c>
      <c r="G5832" s="35">
        <f>SUMIFS(G5833:G9015,K5833:K9015,"0",B5833:B9015,"5 1 2 2 1 12 31111 6 M59 19000 000132 0000R 00001 00221 015 2112000 2024 CP1TM440*")</f>
        <v>0</v>
      </c>
      <c r="H5832" s="35">
        <f t="shared" si="92"/>
        <v>2937</v>
      </c>
      <c r="I5832" s="35"/>
      <c r="K5832" t="s">
        <v>15</v>
      </c>
    </row>
    <row r="5833" spans="2:11" ht="41.25" x14ac:dyDescent="0.2">
      <c r="B5833" s="33" t="s">
        <v>6813</v>
      </c>
      <c r="C5833" s="33" t="s">
        <v>282</v>
      </c>
      <c r="D5833" s="35">
        <f>SUMIFS(D5834:D9015,K5834:K9015,"0",B5834:B9015,"5 1 2 2 1 12 31111 6 M59 19000 000132 0000R 00001 00221 015 2112000 2024 CP1TM440 001*")-SUMIFS(E5834:E9015,K5834:K9015,"0",B5834:B9015,"5 1 2 2 1 12 31111 6 M59 19000 000132 0000R 00001 00221 015 2112000 2024 CP1TM440 001*")</f>
        <v>0</v>
      </c>
      <c r="E5833"/>
      <c r="F5833" s="35">
        <f>SUMIFS(F5834:F9015,K5834:K9015,"0",B5834:B9015,"5 1 2 2 1 12 31111 6 M59 19000 000132 0000R 00001 00221 015 2112000 2024 CP1TM440 001*")</f>
        <v>2937</v>
      </c>
      <c r="G5833" s="35">
        <f>SUMIFS(G5834:G9015,K5834:K9015,"0",B5834:B9015,"5 1 2 2 1 12 31111 6 M59 19000 000132 0000R 00001 00221 015 2112000 2024 CP1TM440 001*")</f>
        <v>0</v>
      </c>
      <c r="H5833" s="35">
        <f t="shared" si="92"/>
        <v>2937</v>
      </c>
      <c r="I5833" s="35"/>
      <c r="K5833" t="s">
        <v>15</v>
      </c>
    </row>
    <row r="5834" spans="2:11" ht="33" x14ac:dyDescent="0.2">
      <c r="B5834" s="31" t="s">
        <v>6814</v>
      </c>
      <c r="C5834" s="31" t="s">
        <v>6808</v>
      </c>
      <c r="D5834" s="34">
        <v>0</v>
      </c>
      <c r="E5834" s="34"/>
      <c r="F5834" s="34">
        <v>2937</v>
      </c>
      <c r="G5834" s="34">
        <v>0</v>
      </c>
      <c r="H5834" s="34">
        <f t="shared" si="92"/>
        <v>2937</v>
      </c>
      <c r="I5834" s="34"/>
      <c r="K5834" t="s">
        <v>38</v>
      </c>
    </row>
    <row r="5835" spans="2:11" ht="16.5" x14ac:dyDescent="0.2">
      <c r="B5835" s="33" t="s">
        <v>6815</v>
      </c>
      <c r="C5835" s="33" t="s">
        <v>1079</v>
      </c>
      <c r="D5835" s="35">
        <f>SUMIFS(D5836:D9015,K5836:K9015,"0",B5836:B9015,"5 1 2 2 1 12 31111 6 M59 20500*")-SUMIFS(E5836:E9015,K5836:K9015,"0",B5836:B9015,"5 1 2 2 1 12 31111 6 M59 20500*")</f>
        <v>0</v>
      </c>
      <c r="E5835"/>
      <c r="F5835" s="35">
        <f>SUMIFS(F5836:F9015,K5836:K9015,"0",B5836:B9015,"5 1 2 2 1 12 31111 6 M59 20500*")</f>
        <v>37749.47</v>
      </c>
      <c r="G5835" s="35">
        <f>SUMIFS(G5836:G9015,K5836:K9015,"0",B5836:B9015,"5 1 2 2 1 12 31111 6 M59 20500*")</f>
        <v>0</v>
      </c>
      <c r="H5835" s="35">
        <f t="shared" si="92"/>
        <v>37749.47</v>
      </c>
      <c r="I5835" s="35"/>
      <c r="K5835" t="s">
        <v>15</v>
      </c>
    </row>
    <row r="5836" spans="2:11" ht="16.5" x14ac:dyDescent="0.2">
      <c r="B5836" s="33" t="s">
        <v>6816</v>
      </c>
      <c r="C5836" s="33" t="s">
        <v>648</v>
      </c>
      <c r="D5836" s="35">
        <f>SUMIFS(D5837:D9015,K5837:K9015,"0",B5837:B9015,"5 1 2 2 1 12 31111 6 M59 20500 000132*")-SUMIFS(E5837:E9015,K5837:K9015,"0",B5837:B9015,"5 1 2 2 1 12 31111 6 M59 20500 000132*")</f>
        <v>0</v>
      </c>
      <c r="E5836"/>
      <c r="F5836" s="35">
        <f>SUMIFS(F5837:F9015,K5837:K9015,"0",B5837:B9015,"5 1 2 2 1 12 31111 6 M59 20500 000132*")</f>
        <v>12015.05</v>
      </c>
      <c r="G5836" s="35">
        <f>SUMIFS(G5837:G9015,K5837:K9015,"0",B5837:B9015,"5 1 2 2 1 12 31111 6 M59 20500 000132*")</f>
        <v>0</v>
      </c>
      <c r="H5836" s="35">
        <f t="shared" si="92"/>
        <v>12015.05</v>
      </c>
      <c r="I5836" s="35"/>
      <c r="K5836" t="s">
        <v>15</v>
      </c>
    </row>
    <row r="5837" spans="2:11" ht="24.75" x14ac:dyDescent="0.2">
      <c r="B5837" s="33" t="s">
        <v>6817</v>
      </c>
      <c r="C5837" s="33" t="s">
        <v>650</v>
      </c>
      <c r="D5837" s="35">
        <f>SUMIFS(D5838:D9015,K5838:K9015,"0",B5838:B9015,"5 1 2 2 1 12 31111 6 M59 20500 000132 0000R*")-SUMIFS(E5838:E9015,K5838:K9015,"0",B5838:B9015,"5 1 2 2 1 12 31111 6 M59 20500 000132 0000R*")</f>
        <v>0</v>
      </c>
      <c r="E5837"/>
      <c r="F5837" s="35">
        <f>SUMIFS(F5838:F9015,K5838:K9015,"0",B5838:B9015,"5 1 2 2 1 12 31111 6 M59 20500 000132 0000R*")</f>
        <v>12015.05</v>
      </c>
      <c r="G5837" s="35">
        <f>SUMIFS(G5838:G9015,K5838:K9015,"0",B5838:B9015,"5 1 2 2 1 12 31111 6 M59 20500 000132 0000R*")</f>
        <v>0</v>
      </c>
      <c r="H5837" s="35">
        <f t="shared" si="92"/>
        <v>12015.05</v>
      </c>
      <c r="I5837" s="35"/>
      <c r="K5837" t="s">
        <v>15</v>
      </c>
    </row>
    <row r="5838" spans="2:11" ht="24.75" x14ac:dyDescent="0.2">
      <c r="B5838" s="33" t="s">
        <v>6818</v>
      </c>
      <c r="C5838" s="33" t="s">
        <v>282</v>
      </c>
      <c r="D5838" s="35">
        <f>SUMIFS(D5839:D9015,K5839:K9015,"0",B5839:B9015,"5 1 2 2 1 12 31111 6 M59 20500 000132 0000R 00001*")-SUMIFS(E5839:E9015,K5839:K9015,"0",B5839:B9015,"5 1 2 2 1 12 31111 6 M59 20500 000132 0000R 00001*")</f>
        <v>0</v>
      </c>
      <c r="E5838"/>
      <c r="F5838" s="35">
        <f>SUMIFS(F5839:F9015,K5839:K9015,"0",B5839:B9015,"5 1 2 2 1 12 31111 6 M59 20500 000132 0000R 00001*")</f>
        <v>12015.05</v>
      </c>
      <c r="G5838" s="35">
        <f>SUMIFS(G5839:G9015,K5839:K9015,"0",B5839:B9015,"5 1 2 2 1 12 31111 6 M59 20500 000132 0000R 00001*")</f>
        <v>0</v>
      </c>
      <c r="H5838" s="35">
        <f t="shared" si="92"/>
        <v>12015.05</v>
      </c>
      <c r="I5838" s="35"/>
      <c r="K5838" t="s">
        <v>15</v>
      </c>
    </row>
    <row r="5839" spans="2:11" ht="24.75" x14ac:dyDescent="0.2">
      <c r="B5839" s="33" t="s">
        <v>6819</v>
      </c>
      <c r="C5839" s="33" t="s">
        <v>6808</v>
      </c>
      <c r="D5839" s="35">
        <f>SUMIFS(D5840:D9015,K5840:K9015,"0",B5840:B9015,"5 1 2 2 1 12 31111 6 M59 20500 000132 0000R 00001 00221*")-SUMIFS(E5840:E9015,K5840:K9015,"0",B5840:B9015,"5 1 2 2 1 12 31111 6 M59 20500 000132 0000R 00001 00221*")</f>
        <v>0</v>
      </c>
      <c r="E5839"/>
      <c r="F5839" s="35">
        <f>SUMIFS(F5840:F9015,K5840:K9015,"0",B5840:B9015,"5 1 2 2 1 12 31111 6 M59 20500 000132 0000R 00001 00221*")</f>
        <v>12015.05</v>
      </c>
      <c r="G5839" s="35">
        <f>SUMIFS(G5840:G9015,K5840:K9015,"0",B5840:B9015,"5 1 2 2 1 12 31111 6 M59 20500 000132 0000R 00001 00221*")</f>
        <v>0</v>
      </c>
      <c r="H5839" s="35">
        <f t="shared" si="92"/>
        <v>12015.05</v>
      </c>
      <c r="I5839" s="35"/>
      <c r="K5839" t="s">
        <v>15</v>
      </c>
    </row>
    <row r="5840" spans="2:11" ht="33" x14ac:dyDescent="0.2">
      <c r="B5840" s="33" t="s">
        <v>6820</v>
      </c>
      <c r="C5840" s="33" t="s">
        <v>1051</v>
      </c>
      <c r="D5840" s="35">
        <f>SUMIFS(D5841:D9015,K5841:K9015,"0",B5841:B9015,"5 1 2 2 1 12 31111 6 M59 20500 000132 0000R 00001 00221 015*")-SUMIFS(E5841:E9015,K5841:K9015,"0",B5841:B9015,"5 1 2 2 1 12 31111 6 M59 20500 000132 0000R 00001 00221 015*")</f>
        <v>0</v>
      </c>
      <c r="E5840"/>
      <c r="F5840" s="35">
        <f>SUMIFS(F5841:F9015,K5841:K9015,"0",B5841:B9015,"5 1 2 2 1 12 31111 6 M59 20500 000132 0000R 00001 00221 015*")</f>
        <v>12015.05</v>
      </c>
      <c r="G5840" s="35">
        <f>SUMIFS(G5841:G9015,K5841:K9015,"0",B5841:B9015,"5 1 2 2 1 12 31111 6 M59 20500 000132 0000R 00001 00221 015*")</f>
        <v>0</v>
      </c>
      <c r="H5840" s="35">
        <f t="shared" si="92"/>
        <v>12015.05</v>
      </c>
      <c r="I5840" s="35"/>
      <c r="K5840" t="s">
        <v>15</v>
      </c>
    </row>
    <row r="5841" spans="2:11" ht="33" x14ac:dyDescent="0.2">
      <c r="B5841" s="33" t="s">
        <v>6821</v>
      </c>
      <c r="C5841" s="33" t="s">
        <v>5830</v>
      </c>
      <c r="D5841" s="35">
        <f>SUMIFS(D5842:D9015,K5842:K9015,"0",B5842:B9015,"5 1 2 2 1 12 31111 6 M59 20500 000132 0000R 00001 00221 015 2112000*")-SUMIFS(E5842:E9015,K5842:K9015,"0",B5842:B9015,"5 1 2 2 1 12 31111 6 M59 20500 000132 0000R 00001 00221 015 2112000*")</f>
        <v>0</v>
      </c>
      <c r="E5841"/>
      <c r="F5841" s="35">
        <f>SUMIFS(F5842:F9015,K5842:K9015,"0",B5842:B9015,"5 1 2 2 1 12 31111 6 M59 20500 000132 0000R 00001 00221 015 2112000*")</f>
        <v>12015.05</v>
      </c>
      <c r="G5841" s="35">
        <f>SUMIFS(G5842:G9015,K5842:K9015,"0",B5842:B9015,"5 1 2 2 1 12 31111 6 M59 20500 000132 0000R 00001 00221 015 2112000*")</f>
        <v>0</v>
      </c>
      <c r="H5841" s="35">
        <f t="shared" si="92"/>
        <v>12015.05</v>
      </c>
      <c r="I5841" s="35"/>
      <c r="K5841" t="s">
        <v>15</v>
      </c>
    </row>
    <row r="5842" spans="2:11" ht="33" x14ac:dyDescent="0.2">
      <c r="B5842" s="33" t="s">
        <v>6822</v>
      </c>
      <c r="C5842" s="33" t="s">
        <v>660</v>
      </c>
      <c r="D5842" s="35">
        <f>SUMIFS(D5843:D9015,K5843:K9015,"0",B5843:B9015,"5 1 2 2 1 12 31111 6 M59 20500 000132 0000R 00001 00221 015 2112000 2024*")-SUMIFS(E5843:E9015,K5843:K9015,"0",B5843:B9015,"5 1 2 2 1 12 31111 6 M59 20500 000132 0000R 00001 00221 015 2112000 2024*")</f>
        <v>0</v>
      </c>
      <c r="E5842"/>
      <c r="F5842" s="35">
        <f>SUMIFS(F5843:F9015,K5843:K9015,"0",B5843:B9015,"5 1 2 2 1 12 31111 6 M59 20500 000132 0000R 00001 00221 015 2112000 2024*")</f>
        <v>12015.05</v>
      </c>
      <c r="G5842" s="35">
        <f>SUMIFS(G5843:G9015,K5843:K9015,"0",B5843:B9015,"5 1 2 2 1 12 31111 6 M59 20500 000132 0000R 00001 00221 015 2112000 2024*")</f>
        <v>0</v>
      </c>
      <c r="H5842" s="35">
        <f t="shared" si="92"/>
        <v>12015.05</v>
      </c>
      <c r="I5842" s="35"/>
      <c r="K5842" t="s">
        <v>15</v>
      </c>
    </row>
    <row r="5843" spans="2:11" ht="41.25" x14ac:dyDescent="0.2">
      <c r="B5843" s="33" t="s">
        <v>6823</v>
      </c>
      <c r="C5843" s="33" t="s">
        <v>1056</v>
      </c>
      <c r="D5843" s="35">
        <f>SUMIFS(D5844:D9015,K5844:K9015,"0",B5844:B9015,"5 1 2 2 1 12 31111 6 M59 20500 000132 0000R 00001 00221 015 2112000 2024 CP1CP420*")-SUMIFS(E5844:E9015,K5844:K9015,"0",B5844:B9015,"5 1 2 2 1 12 31111 6 M59 20500 000132 0000R 00001 00221 015 2112000 2024 CP1CP420*")</f>
        <v>0</v>
      </c>
      <c r="E5843"/>
      <c r="F5843" s="35">
        <f>SUMIFS(F5844:F9015,K5844:K9015,"0",B5844:B9015,"5 1 2 2 1 12 31111 6 M59 20500 000132 0000R 00001 00221 015 2112000 2024 CP1CP420*")</f>
        <v>12015.05</v>
      </c>
      <c r="G5843" s="35">
        <f>SUMIFS(G5844:G9015,K5844:K9015,"0",B5844:B9015,"5 1 2 2 1 12 31111 6 M59 20500 000132 0000R 00001 00221 015 2112000 2024 CP1CP420*")</f>
        <v>0</v>
      </c>
      <c r="H5843" s="35">
        <f t="shared" si="92"/>
        <v>12015.05</v>
      </c>
      <c r="I5843" s="35"/>
      <c r="K5843" t="s">
        <v>15</v>
      </c>
    </row>
    <row r="5844" spans="2:11" ht="41.25" x14ac:dyDescent="0.2">
      <c r="B5844" s="33" t="s">
        <v>6824</v>
      </c>
      <c r="C5844" s="33" t="s">
        <v>282</v>
      </c>
      <c r="D5844" s="35">
        <f>SUMIFS(D5845:D9015,K5845:K9015,"0",B5845:B9015,"5 1 2 2 1 12 31111 6 M59 20500 000132 0000R 00001 00221 015 2112000 2024 CP1CP420 001*")-SUMIFS(E5845:E9015,K5845:K9015,"0",B5845:B9015,"5 1 2 2 1 12 31111 6 M59 20500 000132 0000R 00001 00221 015 2112000 2024 CP1CP420 001*")</f>
        <v>0</v>
      </c>
      <c r="E5844"/>
      <c r="F5844" s="35">
        <f>SUMIFS(F5845:F9015,K5845:K9015,"0",B5845:B9015,"5 1 2 2 1 12 31111 6 M59 20500 000132 0000R 00001 00221 015 2112000 2024 CP1CP420 001*")</f>
        <v>12015.05</v>
      </c>
      <c r="G5844" s="35">
        <f>SUMIFS(G5845:G9015,K5845:K9015,"0",B5845:B9015,"5 1 2 2 1 12 31111 6 M59 20500 000132 0000R 00001 00221 015 2112000 2024 CP1CP420 001*")</f>
        <v>0</v>
      </c>
      <c r="H5844" s="35">
        <f t="shared" si="92"/>
        <v>12015.05</v>
      </c>
      <c r="I5844" s="35"/>
      <c r="K5844" t="s">
        <v>15</v>
      </c>
    </row>
    <row r="5845" spans="2:11" ht="33" x14ac:dyDescent="0.2">
      <c r="B5845" s="31" t="s">
        <v>6825</v>
      </c>
      <c r="C5845" s="31" t="s">
        <v>6798</v>
      </c>
      <c r="D5845" s="34">
        <v>0</v>
      </c>
      <c r="E5845" s="34"/>
      <c r="F5845" s="34">
        <v>12015.05</v>
      </c>
      <c r="G5845" s="34">
        <v>0</v>
      </c>
      <c r="H5845" s="34">
        <f t="shared" si="92"/>
        <v>12015.05</v>
      </c>
      <c r="I5845" s="34"/>
      <c r="K5845" t="s">
        <v>38</v>
      </c>
    </row>
    <row r="5846" spans="2:11" ht="24.75" x14ac:dyDescent="0.2">
      <c r="B5846" s="33" t="s">
        <v>6826</v>
      </c>
      <c r="C5846" s="33" t="s">
        <v>3152</v>
      </c>
      <c r="D5846" s="35">
        <f>SUMIFS(D5847:D9015,K5847:K9015,"0",B5847:B9015,"5 1 2 2 1 12 31111 6 M59 20500 000181*")-SUMIFS(E5847:E9015,K5847:K9015,"0",B5847:B9015,"5 1 2 2 1 12 31111 6 M59 20500 000181*")</f>
        <v>0</v>
      </c>
      <c r="E5846"/>
      <c r="F5846" s="35">
        <f>SUMIFS(F5847:F9015,K5847:K9015,"0",B5847:B9015,"5 1 2 2 1 12 31111 6 M59 20500 000181*")</f>
        <v>25734.42</v>
      </c>
      <c r="G5846" s="35">
        <f>SUMIFS(G5847:G9015,K5847:K9015,"0",B5847:B9015,"5 1 2 2 1 12 31111 6 M59 20500 000181*")</f>
        <v>0</v>
      </c>
      <c r="H5846" s="35">
        <f t="shared" si="92"/>
        <v>25734.42</v>
      </c>
      <c r="I5846" s="35"/>
      <c r="K5846" t="s">
        <v>15</v>
      </c>
    </row>
    <row r="5847" spans="2:11" ht="24.75" x14ac:dyDescent="0.2">
      <c r="B5847" s="33" t="s">
        <v>6827</v>
      </c>
      <c r="C5847" s="33" t="s">
        <v>1065</v>
      </c>
      <c r="D5847" s="35">
        <f>SUMIFS(D5848:D9015,K5848:K9015,"0",B5848:B9015,"5 1 2 2 1 12 31111 6 M59 20500 000181 0000E*")-SUMIFS(E5848:E9015,K5848:K9015,"0",B5848:B9015,"5 1 2 2 1 12 31111 6 M59 20500 000181 0000E*")</f>
        <v>0</v>
      </c>
      <c r="E5847"/>
      <c r="F5847" s="35">
        <f>SUMIFS(F5848:F9015,K5848:K9015,"0",B5848:B9015,"5 1 2 2 1 12 31111 6 M59 20500 000181 0000E*")</f>
        <v>25734.42</v>
      </c>
      <c r="G5847" s="35">
        <f>SUMIFS(G5848:G9015,K5848:K9015,"0",B5848:B9015,"5 1 2 2 1 12 31111 6 M59 20500 000181 0000E*")</f>
        <v>0</v>
      </c>
      <c r="H5847" s="35">
        <f t="shared" si="92"/>
        <v>25734.42</v>
      </c>
      <c r="I5847" s="35"/>
      <c r="K5847" t="s">
        <v>15</v>
      </c>
    </row>
    <row r="5848" spans="2:11" ht="24.75" x14ac:dyDescent="0.2">
      <c r="B5848" s="33" t="s">
        <v>6828</v>
      </c>
      <c r="C5848" s="33" t="s">
        <v>282</v>
      </c>
      <c r="D5848" s="35">
        <f>SUMIFS(D5849:D9015,K5849:K9015,"0",B5849:B9015,"5 1 2 2 1 12 31111 6 M59 20500 000181 0000E 00001*")-SUMIFS(E5849:E9015,K5849:K9015,"0",B5849:B9015,"5 1 2 2 1 12 31111 6 M59 20500 000181 0000E 00001*")</f>
        <v>0</v>
      </c>
      <c r="E5848"/>
      <c r="F5848" s="35">
        <f>SUMIFS(F5849:F9015,K5849:K9015,"0",B5849:B9015,"5 1 2 2 1 12 31111 6 M59 20500 000181 0000E 00001*")</f>
        <v>25734.42</v>
      </c>
      <c r="G5848" s="35">
        <f>SUMIFS(G5849:G9015,K5849:K9015,"0",B5849:B9015,"5 1 2 2 1 12 31111 6 M59 20500 000181 0000E 00001*")</f>
        <v>0</v>
      </c>
      <c r="H5848" s="35">
        <f t="shared" si="92"/>
        <v>25734.42</v>
      </c>
      <c r="I5848" s="35"/>
      <c r="K5848" t="s">
        <v>15</v>
      </c>
    </row>
    <row r="5849" spans="2:11" ht="24.75" x14ac:dyDescent="0.2">
      <c r="B5849" s="33" t="s">
        <v>6829</v>
      </c>
      <c r="C5849" s="33" t="s">
        <v>6808</v>
      </c>
      <c r="D5849" s="35">
        <f>SUMIFS(D5850:D9015,K5850:K9015,"0",B5850:B9015,"5 1 2 2 1 12 31111 6 M59 20500 000181 0000E 00001 00221*")-SUMIFS(E5850:E9015,K5850:K9015,"0",B5850:B9015,"5 1 2 2 1 12 31111 6 M59 20500 000181 0000E 00001 00221*")</f>
        <v>0</v>
      </c>
      <c r="E5849"/>
      <c r="F5849" s="35">
        <f>SUMIFS(F5850:F9015,K5850:K9015,"0",B5850:B9015,"5 1 2 2 1 12 31111 6 M59 20500 000181 0000E 00001 00221*")</f>
        <v>25734.42</v>
      </c>
      <c r="G5849" s="35">
        <f>SUMIFS(G5850:G9015,K5850:K9015,"0",B5850:B9015,"5 1 2 2 1 12 31111 6 M59 20500 000181 0000E 00001 00221*")</f>
        <v>0</v>
      </c>
      <c r="H5849" s="35">
        <f t="shared" si="92"/>
        <v>25734.42</v>
      </c>
      <c r="I5849" s="35"/>
      <c r="K5849" t="s">
        <v>15</v>
      </c>
    </row>
    <row r="5850" spans="2:11" ht="33" x14ac:dyDescent="0.2">
      <c r="B5850" s="33" t="s">
        <v>6830</v>
      </c>
      <c r="C5850" s="33" t="s">
        <v>699</v>
      </c>
      <c r="D5850" s="35">
        <f>SUMIFS(D5851:D9015,K5851:K9015,"0",B5851:B9015,"5 1 2 2 1 12 31111 6 M59 20500 000181 0000E 00001 00221 011*")-SUMIFS(E5851:E9015,K5851:K9015,"0",B5851:B9015,"5 1 2 2 1 12 31111 6 M59 20500 000181 0000E 00001 00221 011*")</f>
        <v>0</v>
      </c>
      <c r="E5850"/>
      <c r="F5850" s="35">
        <f>SUMIFS(F5851:F9015,K5851:K9015,"0",B5851:B9015,"5 1 2 2 1 12 31111 6 M59 20500 000181 0000E 00001 00221 011*")</f>
        <v>25734.42</v>
      </c>
      <c r="G5850" s="35">
        <f>SUMIFS(G5851:G9015,K5851:K9015,"0",B5851:B9015,"5 1 2 2 1 12 31111 6 M59 20500 000181 0000E 00001 00221 011*")</f>
        <v>0</v>
      </c>
      <c r="H5850" s="35">
        <f t="shared" si="92"/>
        <v>25734.42</v>
      </c>
      <c r="I5850" s="35"/>
      <c r="K5850" t="s">
        <v>15</v>
      </c>
    </row>
    <row r="5851" spans="2:11" ht="33" x14ac:dyDescent="0.2">
      <c r="B5851" s="33" t="s">
        <v>6831</v>
      </c>
      <c r="C5851" s="33" t="s">
        <v>5830</v>
      </c>
      <c r="D5851" s="35">
        <f>SUMIFS(D5852:D9015,K5852:K9015,"0",B5852:B9015,"5 1 2 2 1 12 31111 6 M59 20500 000181 0000E 00001 00221 011 2112000*")-SUMIFS(E5852:E9015,K5852:K9015,"0",B5852:B9015,"5 1 2 2 1 12 31111 6 M59 20500 000181 0000E 00001 00221 011 2112000*")</f>
        <v>0</v>
      </c>
      <c r="E5851"/>
      <c r="F5851" s="35">
        <f>SUMIFS(F5852:F9015,K5852:K9015,"0",B5852:B9015,"5 1 2 2 1 12 31111 6 M59 20500 000181 0000E 00001 00221 011 2112000*")</f>
        <v>25734.42</v>
      </c>
      <c r="G5851" s="35">
        <f>SUMIFS(G5852:G9015,K5852:K9015,"0",B5852:B9015,"5 1 2 2 1 12 31111 6 M59 20500 000181 0000E 00001 00221 011 2112000*")</f>
        <v>0</v>
      </c>
      <c r="H5851" s="35">
        <f t="shared" si="92"/>
        <v>25734.42</v>
      </c>
      <c r="I5851" s="35"/>
      <c r="K5851" t="s">
        <v>15</v>
      </c>
    </row>
    <row r="5852" spans="2:11" ht="33" x14ac:dyDescent="0.2">
      <c r="B5852" s="33" t="s">
        <v>6832</v>
      </c>
      <c r="C5852" s="33" t="s">
        <v>660</v>
      </c>
      <c r="D5852" s="35">
        <f>SUMIFS(D5853:D9015,K5853:K9015,"0",B5853:B9015,"5 1 2 2 1 12 31111 6 M59 20500 000181 0000E 00001 00221 011 2112000 2024*")-SUMIFS(E5853:E9015,K5853:K9015,"0",B5853:B9015,"5 1 2 2 1 12 31111 6 M59 20500 000181 0000E 00001 00221 011 2112000 2024*")</f>
        <v>0</v>
      </c>
      <c r="E5852"/>
      <c r="F5852" s="35">
        <f>SUMIFS(F5853:F9015,K5853:K9015,"0",B5853:B9015,"5 1 2 2 1 12 31111 6 M59 20500 000181 0000E 00001 00221 011 2112000 2024*")</f>
        <v>25734.42</v>
      </c>
      <c r="G5852" s="35">
        <f>SUMIFS(G5853:G9015,K5853:K9015,"0",B5853:B9015,"5 1 2 2 1 12 31111 6 M59 20500 000181 0000E 00001 00221 011 2112000 2024*")</f>
        <v>0</v>
      </c>
      <c r="H5852" s="35">
        <f t="shared" si="92"/>
        <v>25734.42</v>
      </c>
      <c r="I5852" s="35"/>
      <c r="K5852" t="s">
        <v>15</v>
      </c>
    </row>
    <row r="5853" spans="2:11" ht="49.5" x14ac:dyDescent="0.2">
      <c r="B5853" s="33" t="s">
        <v>6833</v>
      </c>
      <c r="C5853" s="33" t="s">
        <v>5982</v>
      </c>
      <c r="D5853" s="35">
        <f>SUMIFS(D5854:D9015,K5854:K9015,"0",B5854:B9015,"5 1 2 2 1 12 31111 6 M59 20500 000181 0000E 00001 00221 011 2112000 2024 CP3CP471*")-SUMIFS(E5854:E9015,K5854:K9015,"0",B5854:B9015,"5 1 2 2 1 12 31111 6 M59 20500 000181 0000E 00001 00221 011 2112000 2024 CP3CP471*")</f>
        <v>0</v>
      </c>
      <c r="E5853"/>
      <c r="F5853" s="35">
        <f>SUMIFS(F5854:F9015,K5854:K9015,"0",B5854:B9015,"5 1 2 2 1 12 31111 6 M59 20500 000181 0000E 00001 00221 011 2112000 2024 CP3CP471*")</f>
        <v>25734.42</v>
      </c>
      <c r="G5853" s="35">
        <f>SUMIFS(G5854:G9015,K5854:K9015,"0",B5854:B9015,"5 1 2 2 1 12 31111 6 M59 20500 000181 0000E 00001 00221 011 2112000 2024 CP3CP471*")</f>
        <v>0</v>
      </c>
      <c r="H5853" s="35">
        <f t="shared" si="92"/>
        <v>25734.42</v>
      </c>
      <c r="I5853" s="35"/>
      <c r="K5853" t="s">
        <v>15</v>
      </c>
    </row>
    <row r="5854" spans="2:11" ht="41.25" x14ac:dyDescent="0.2">
      <c r="B5854" s="33" t="s">
        <v>6834</v>
      </c>
      <c r="C5854" s="33" t="s">
        <v>46</v>
      </c>
      <c r="D5854" s="35">
        <f>SUMIFS(D5855:D9015,K5855:K9015,"0",B5855:B9015,"5 1 2 2 1 12 31111 6 M59 20500 000181 0000E 00001 00221 011 2112000 2024 CP3CP471 004*")-SUMIFS(E5855:E9015,K5855:K9015,"0",B5855:B9015,"5 1 2 2 1 12 31111 6 M59 20500 000181 0000E 00001 00221 011 2112000 2024 CP3CP471 004*")</f>
        <v>0</v>
      </c>
      <c r="E5854"/>
      <c r="F5854" s="35">
        <f>SUMIFS(F5855:F9015,K5855:K9015,"0",B5855:B9015,"5 1 2 2 1 12 31111 6 M59 20500 000181 0000E 00001 00221 011 2112000 2024 CP3CP471 004*")</f>
        <v>25734.42</v>
      </c>
      <c r="G5854" s="35">
        <f>SUMIFS(G5855:G9015,K5855:K9015,"0",B5855:B9015,"5 1 2 2 1 12 31111 6 M59 20500 000181 0000E 00001 00221 011 2112000 2024 CP3CP471 004*")</f>
        <v>0</v>
      </c>
      <c r="H5854" s="35">
        <f t="shared" si="92"/>
        <v>25734.42</v>
      </c>
      <c r="I5854" s="35"/>
      <c r="K5854" t="s">
        <v>15</v>
      </c>
    </row>
    <row r="5855" spans="2:11" ht="33" x14ac:dyDescent="0.2">
      <c r="B5855" s="31" t="s">
        <v>6835</v>
      </c>
      <c r="C5855" s="31" t="s">
        <v>6798</v>
      </c>
      <c r="D5855" s="34">
        <v>0</v>
      </c>
      <c r="E5855" s="34"/>
      <c r="F5855" s="34">
        <v>25734.42</v>
      </c>
      <c r="G5855" s="34">
        <v>0</v>
      </c>
      <c r="H5855" s="34">
        <f t="shared" si="92"/>
        <v>25734.42</v>
      </c>
      <c r="I5855" s="34"/>
      <c r="K5855" t="s">
        <v>38</v>
      </c>
    </row>
    <row r="5856" spans="2:11" ht="16.5" x14ac:dyDescent="0.2">
      <c r="B5856" s="33" t="s">
        <v>6836</v>
      </c>
      <c r="C5856" s="33" t="s">
        <v>1092</v>
      </c>
      <c r="D5856" s="35">
        <f>SUMIFS(D5857:D9015,K5857:K9015,"0",B5857:B9015,"5 1 2 2 1 12 31111 6 M59 40000*")-SUMIFS(E5857:E9015,K5857:K9015,"0",B5857:B9015,"5 1 2 2 1 12 31111 6 M59 40000*")</f>
        <v>0</v>
      </c>
      <c r="E5856"/>
      <c r="F5856" s="35">
        <f>SUMIFS(F5857:F9015,K5857:K9015,"0",B5857:B9015,"5 1 2 2 1 12 31111 6 M59 40000*")</f>
        <v>2327</v>
      </c>
      <c r="G5856" s="35">
        <f>SUMIFS(G5857:G9015,K5857:K9015,"0",B5857:B9015,"5 1 2 2 1 12 31111 6 M59 40000*")</f>
        <v>0</v>
      </c>
      <c r="H5856" s="35">
        <f t="shared" si="92"/>
        <v>2327</v>
      </c>
      <c r="I5856" s="35"/>
      <c r="K5856" t="s">
        <v>15</v>
      </c>
    </row>
    <row r="5857" spans="2:11" ht="16.5" x14ac:dyDescent="0.2">
      <c r="B5857" s="33" t="s">
        <v>6837</v>
      </c>
      <c r="C5857" s="33" t="s">
        <v>1094</v>
      </c>
      <c r="D5857" s="35">
        <f>SUMIFS(D5858:D9015,K5858:K9015,"0",B5858:B9015,"5 1 2 2 1 12 31111 6 M59 40000 000161*")-SUMIFS(E5858:E9015,K5858:K9015,"0",B5858:B9015,"5 1 2 2 1 12 31111 6 M59 40000 000161*")</f>
        <v>0</v>
      </c>
      <c r="E5857"/>
      <c r="F5857" s="35">
        <f>SUMIFS(F5858:F9015,K5858:K9015,"0",B5858:B9015,"5 1 2 2 1 12 31111 6 M59 40000 000161*")</f>
        <v>2327</v>
      </c>
      <c r="G5857" s="35">
        <f>SUMIFS(G5858:G9015,K5858:K9015,"0",B5858:B9015,"5 1 2 2 1 12 31111 6 M59 40000 000161*")</f>
        <v>0</v>
      </c>
      <c r="H5857" s="35">
        <f t="shared" si="92"/>
        <v>2327</v>
      </c>
      <c r="I5857" s="35"/>
      <c r="K5857" t="s">
        <v>15</v>
      </c>
    </row>
    <row r="5858" spans="2:11" ht="24.75" x14ac:dyDescent="0.2">
      <c r="B5858" s="33" t="s">
        <v>6838</v>
      </c>
      <c r="C5858" s="33" t="s">
        <v>1065</v>
      </c>
      <c r="D5858" s="35">
        <f>SUMIFS(D5859:D9015,K5859:K9015,"0",B5859:B9015,"5 1 2 2 1 12 31111 6 M59 40000 000161 0000E*")-SUMIFS(E5859:E9015,K5859:K9015,"0",B5859:B9015,"5 1 2 2 1 12 31111 6 M59 40000 000161 0000E*")</f>
        <v>0</v>
      </c>
      <c r="E5858"/>
      <c r="F5858" s="35">
        <f>SUMIFS(F5859:F9015,K5859:K9015,"0",B5859:B9015,"5 1 2 2 1 12 31111 6 M59 40000 000161 0000E*")</f>
        <v>2327</v>
      </c>
      <c r="G5858" s="35">
        <f>SUMIFS(G5859:G9015,K5859:K9015,"0",B5859:B9015,"5 1 2 2 1 12 31111 6 M59 40000 000161 0000E*")</f>
        <v>0</v>
      </c>
      <c r="H5858" s="35">
        <f t="shared" si="92"/>
        <v>2327</v>
      </c>
      <c r="I5858" s="35"/>
      <c r="K5858" t="s">
        <v>15</v>
      </c>
    </row>
    <row r="5859" spans="2:11" ht="24.75" x14ac:dyDescent="0.2">
      <c r="B5859" s="33" t="s">
        <v>6839</v>
      </c>
      <c r="C5859" s="33" t="s">
        <v>282</v>
      </c>
      <c r="D5859" s="35">
        <f>SUMIFS(D5860:D9015,K5860:K9015,"0",B5860:B9015,"5 1 2 2 1 12 31111 6 M59 40000 000161 0000E 00001*")-SUMIFS(E5860:E9015,K5860:K9015,"0",B5860:B9015,"5 1 2 2 1 12 31111 6 M59 40000 000161 0000E 00001*")</f>
        <v>0</v>
      </c>
      <c r="E5859"/>
      <c r="F5859" s="35">
        <f>SUMIFS(F5860:F9015,K5860:K9015,"0",B5860:B9015,"5 1 2 2 1 12 31111 6 M59 40000 000161 0000E 00001*")</f>
        <v>2327</v>
      </c>
      <c r="G5859" s="35">
        <f>SUMIFS(G5860:G9015,K5860:K9015,"0",B5860:B9015,"5 1 2 2 1 12 31111 6 M59 40000 000161 0000E 00001*")</f>
        <v>0</v>
      </c>
      <c r="H5859" s="35">
        <f t="shared" si="92"/>
        <v>2327</v>
      </c>
      <c r="I5859" s="35"/>
      <c r="K5859" t="s">
        <v>15</v>
      </c>
    </row>
    <row r="5860" spans="2:11" ht="24.75" x14ac:dyDescent="0.2">
      <c r="B5860" s="33" t="s">
        <v>6840</v>
      </c>
      <c r="C5860" s="33" t="s">
        <v>6808</v>
      </c>
      <c r="D5860" s="35">
        <f>SUMIFS(D5861:D9015,K5861:K9015,"0",B5861:B9015,"5 1 2 2 1 12 31111 6 M59 40000 000161 0000E 00001 00221*")-SUMIFS(E5861:E9015,K5861:K9015,"0",B5861:B9015,"5 1 2 2 1 12 31111 6 M59 40000 000161 0000E 00001 00221*")</f>
        <v>0</v>
      </c>
      <c r="E5860"/>
      <c r="F5860" s="35">
        <f>SUMIFS(F5861:F9015,K5861:K9015,"0",B5861:B9015,"5 1 2 2 1 12 31111 6 M59 40000 000161 0000E 00001 00221*")</f>
        <v>2327</v>
      </c>
      <c r="G5860" s="35">
        <f>SUMIFS(G5861:G9015,K5861:K9015,"0",B5861:B9015,"5 1 2 2 1 12 31111 6 M59 40000 000161 0000E 00001 00221*")</f>
        <v>0</v>
      </c>
      <c r="H5860" s="35">
        <f t="shared" si="92"/>
        <v>2327</v>
      </c>
      <c r="I5860" s="35"/>
      <c r="K5860" t="s">
        <v>15</v>
      </c>
    </row>
    <row r="5861" spans="2:11" ht="33" x14ac:dyDescent="0.2">
      <c r="B5861" s="33" t="s">
        <v>6841</v>
      </c>
      <c r="C5861" s="33" t="s">
        <v>656</v>
      </c>
      <c r="D5861" s="35">
        <f>SUMIFS(D5862:D9015,K5862:K9015,"0",B5862:B9015,"5 1 2 2 1 12 31111 6 M59 40000 000161 0000E 00001 00221 025*")-SUMIFS(E5862:E9015,K5862:K9015,"0",B5862:B9015,"5 1 2 2 1 12 31111 6 M59 40000 000161 0000E 00001 00221 025*")</f>
        <v>0</v>
      </c>
      <c r="E5861"/>
      <c r="F5861" s="35">
        <f>SUMIFS(F5862:F9015,K5862:K9015,"0",B5862:B9015,"5 1 2 2 1 12 31111 6 M59 40000 000161 0000E 00001 00221 025*")</f>
        <v>2327</v>
      </c>
      <c r="G5861" s="35">
        <f>SUMIFS(G5862:G9015,K5862:K9015,"0",B5862:B9015,"5 1 2 2 1 12 31111 6 M59 40000 000161 0000E 00001 00221 025*")</f>
        <v>0</v>
      </c>
      <c r="H5861" s="35">
        <f t="shared" si="92"/>
        <v>2327</v>
      </c>
      <c r="I5861" s="35"/>
      <c r="K5861" t="s">
        <v>15</v>
      </c>
    </row>
    <row r="5862" spans="2:11" ht="33" x14ac:dyDescent="0.2">
      <c r="B5862" s="33" t="s">
        <v>6842</v>
      </c>
      <c r="C5862" s="33" t="s">
        <v>5830</v>
      </c>
      <c r="D5862" s="35">
        <f>SUMIFS(D5863:D9015,K5863:K9015,"0",B5863:B9015,"5 1 2 2 1 12 31111 6 M59 40000 000161 0000E 00001 00221 025 2112000*")-SUMIFS(E5863:E9015,K5863:K9015,"0",B5863:B9015,"5 1 2 2 1 12 31111 6 M59 40000 000161 0000E 00001 00221 025 2112000*")</f>
        <v>0</v>
      </c>
      <c r="E5862"/>
      <c r="F5862" s="35">
        <f>SUMIFS(F5863:F9015,K5863:K9015,"0",B5863:B9015,"5 1 2 2 1 12 31111 6 M59 40000 000161 0000E 00001 00221 025 2112000*")</f>
        <v>2327</v>
      </c>
      <c r="G5862" s="35">
        <f>SUMIFS(G5863:G9015,K5863:K9015,"0",B5863:B9015,"5 1 2 2 1 12 31111 6 M59 40000 000161 0000E 00001 00221 025 2112000*")</f>
        <v>0</v>
      </c>
      <c r="H5862" s="35">
        <f t="shared" si="92"/>
        <v>2327</v>
      </c>
      <c r="I5862" s="35"/>
      <c r="K5862" t="s">
        <v>15</v>
      </c>
    </row>
    <row r="5863" spans="2:11" ht="33" x14ac:dyDescent="0.2">
      <c r="B5863" s="33" t="s">
        <v>6843</v>
      </c>
      <c r="C5863" s="33" t="s">
        <v>660</v>
      </c>
      <c r="D5863" s="35">
        <f>SUMIFS(D5864:D9015,K5864:K9015,"0",B5864:B9015,"5 1 2 2 1 12 31111 6 M59 40000 000161 0000E 00001 00221 025 2112000 2024*")-SUMIFS(E5864:E9015,K5864:K9015,"0",B5864:B9015,"5 1 2 2 1 12 31111 6 M59 40000 000161 0000E 00001 00221 025 2112000 2024*")</f>
        <v>0</v>
      </c>
      <c r="E5863"/>
      <c r="F5863" s="35">
        <f>SUMIFS(F5864:F9015,K5864:K9015,"0",B5864:B9015,"5 1 2 2 1 12 31111 6 M59 40000 000161 0000E 00001 00221 025 2112000 2024*")</f>
        <v>2327</v>
      </c>
      <c r="G5863" s="35">
        <f>SUMIFS(G5864:G9015,K5864:K9015,"0",B5864:B9015,"5 1 2 2 1 12 31111 6 M59 40000 000161 0000E 00001 00221 025 2112000 2024*")</f>
        <v>0</v>
      </c>
      <c r="H5863" s="35">
        <f t="shared" si="92"/>
        <v>2327</v>
      </c>
      <c r="I5863" s="35"/>
      <c r="K5863" t="s">
        <v>15</v>
      </c>
    </row>
    <row r="5864" spans="2:11" ht="41.25" x14ac:dyDescent="0.2">
      <c r="B5864" s="33" t="s">
        <v>6844</v>
      </c>
      <c r="C5864" s="33" t="s">
        <v>662</v>
      </c>
      <c r="D5864" s="35">
        <f>SUMIFS(D5865:D9015,K5865:K9015,"0",B5865:B9015,"5 1 2 2 1 12 31111 6 M59 40000 000161 0000E 00001 00221 025 2112000 2024 CP4SP372*")-SUMIFS(E5865:E9015,K5865:K9015,"0",B5865:B9015,"5 1 2 2 1 12 31111 6 M59 40000 000161 0000E 00001 00221 025 2112000 2024 CP4SP372*")</f>
        <v>0</v>
      </c>
      <c r="E5864"/>
      <c r="F5864" s="35">
        <f>SUMIFS(F5865:F9015,K5865:K9015,"0",B5865:B9015,"5 1 2 2 1 12 31111 6 M59 40000 000161 0000E 00001 00221 025 2112000 2024 CP4SP372*")</f>
        <v>2327</v>
      </c>
      <c r="G5864" s="35">
        <f>SUMIFS(G5865:G9015,K5865:K9015,"0",B5865:B9015,"5 1 2 2 1 12 31111 6 M59 40000 000161 0000E 00001 00221 025 2112000 2024 CP4SP372*")</f>
        <v>0</v>
      </c>
      <c r="H5864" s="35">
        <f t="shared" si="92"/>
        <v>2327</v>
      </c>
      <c r="I5864" s="35"/>
      <c r="K5864" t="s">
        <v>15</v>
      </c>
    </row>
    <row r="5865" spans="2:11" ht="41.25" x14ac:dyDescent="0.2">
      <c r="B5865" s="33" t="s">
        <v>6845</v>
      </c>
      <c r="C5865" s="33" t="s">
        <v>664</v>
      </c>
      <c r="D5865" s="35">
        <f>SUMIFS(D5866:D9015,K5866:K9015,"0",B5866:B9015,"5 1 2 2 1 12 31111 6 M59 40000 000161 0000E 00001 00221 025 2112000 2024 CP4SP372 003*")-SUMIFS(E5866:E9015,K5866:K9015,"0",B5866:B9015,"5 1 2 2 1 12 31111 6 M59 40000 000161 0000E 00001 00221 025 2112000 2024 CP4SP372 003*")</f>
        <v>0</v>
      </c>
      <c r="E5865"/>
      <c r="F5865" s="35">
        <f>SUMIFS(F5866:F9015,K5866:K9015,"0",B5866:B9015,"5 1 2 2 1 12 31111 6 M59 40000 000161 0000E 00001 00221 025 2112000 2024 CP4SP372 003*")</f>
        <v>2327</v>
      </c>
      <c r="G5865" s="35">
        <f>SUMIFS(G5866:G9015,K5866:K9015,"0",B5866:B9015,"5 1 2 2 1 12 31111 6 M59 40000 000161 0000E 00001 00221 025 2112000 2024 CP4SP372 003*")</f>
        <v>0</v>
      </c>
      <c r="H5865" s="35">
        <f t="shared" si="92"/>
        <v>2327</v>
      </c>
      <c r="I5865" s="35"/>
      <c r="K5865" t="s">
        <v>15</v>
      </c>
    </row>
    <row r="5866" spans="2:11" ht="33" x14ac:dyDescent="0.2">
      <c r="B5866" s="31" t="s">
        <v>6846</v>
      </c>
      <c r="C5866" s="31" t="s">
        <v>6808</v>
      </c>
      <c r="D5866" s="34">
        <v>0</v>
      </c>
      <c r="E5866" s="34"/>
      <c r="F5866" s="34">
        <v>2327</v>
      </c>
      <c r="G5866" s="34">
        <v>0</v>
      </c>
      <c r="H5866" s="34">
        <f t="shared" si="92"/>
        <v>2327</v>
      </c>
      <c r="I5866" s="34"/>
      <c r="K5866" t="s">
        <v>38</v>
      </c>
    </row>
    <row r="5867" spans="2:11" ht="16.5" x14ac:dyDescent="0.2">
      <c r="B5867" s="33" t="s">
        <v>6847</v>
      </c>
      <c r="C5867" s="33" t="s">
        <v>6848</v>
      </c>
      <c r="D5867" s="35">
        <f>SUMIFS(D5868:D9015,K5868:K9015,"0",B5868:B9015,"5 1 2 2 3*")-SUMIFS(E5868:E9015,K5868:K9015,"0",B5868:B9015,"5 1 2 2 3*")</f>
        <v>0</v>
      </c>
      <c r="E5867"/>
      <c r="F5867" s="35">
        <f>SUMIFS(F5868:F9015,K5868:K9015,"0",B5868:B9015,"5 1 2 2 3*")</f>
        <v>5018.8999999999996</v>
      </c>
      <c r="G5867" s="35">
        <f>SUMIFS(G5868:G9015,K5868:K9015,"0",B5868:B9015,"5 1 2 2 3*")</f>
        <v>0</v>
      </c>
      <c r="H5867" s="35">
        <f t="shared" si="92"/>
        <v>5018.8999999999996</v>
      </c>
      <c r="I5867" s="35"/>
      <c r="K5867" t="s">
        <v>15</v>
      </c>
    </row>
    <row r="5868" spans="2:11" ht="12.75" x14ac:dyDescent="0.2">
      <c r="B5868" s="33" t="s">
        <v>6849</v>
      </c>
      <c r="C5868" s="33" t="s">
        <v>26</v>
      </c>
      <c r="D5868" s="35">
        <f>SUMIFS(D5869:D9015,K5869:K9015,"0",B5869:B9015,"5 1 2 2 3 12*")-SUMIFS(E5869:E9015,K5869:K9015,"0",B5869:B9015,"5 1 2 2 3 12*")</f>
        <v>0</v>
      </c>
      <c r="E5868"/>
      <c r="F5868" s="35">
        <f>SUMIFS(F5869:F9015,K5869:K9015,"0",B5869:B9015,"5 1 2 2 3 12*")</f>
        <v>5018.8999999999996</v>
      </c>
      <c r="G5868" s="35">
        <f>SUMIFS(G5869:G9015,K5869:K9015,"0",B5869:B9015,"5 1 2 2 3 12*")</f>
        <v>0</v>
      </c>
      <c r="H5868" s="35">
        <f t="shared" si="92"/>
        <v>5018.8999999999996</v>
      </c>
      <c r="I5868" s="35"/>
      <c r="K5868" t="s">
        <v>15</v>
      </c>
    </row>
    <row r="5869" spans="2:11" ht="16.5" x14ac:dyDescent="0.2">
      <c r="B5869" s="33" t="s">
        <v>6850</v>
      </c>
      <c r="C5869" s="33" t="s">
        <v>28</v>
      </c>
      <c r="D5869" s="35">
        <f>SUMIFS(D5870:D9015,K5870:K9015,"0",B5870:B9015,"5 1 2 2 3 12 31111*")-SUMIFS(E5870:E9015,K5870:K9015,"0",B5870:B9015,"5 1 2 2 3 12 31111*")</f>
        <v>0</v>
      </c>
      <c r="E5869"/>
      <c r="F5869" s="35">
        <f>SUMIFS(F5870:F9015,K5870:K9015,"0",B5870:B9015,"5 1 2 2 3 12 31111*")</f>
        <v>5018.8999999999996</v>
      </c>
      <c r="G5869" s="35">
        <f>SUMIFS(G5870:G9015,K5870:K9015,"0",B5870:B9015,"5 1 2 2 3 12 31111*")</f>
        <v>0</v>
      </c>
      <c r="H5869" s="35">
        <f t="shared" si="92"/>
        <v>5018.8999999999996</v>
      </c>
      <c r="I5869" s="35"/>
      <c r="K5869" t="s">
        <v>15</v>
      </c>
    </row>
    <row r="5870" spans="2:11" ht="12.75" x14ac:dyDescent="0.2">
      <c r="B5870" s="33" t="s">
        <v>6851</v>
      </c>
      <c r="C5870" s="33" t="s">
        <v>30</v>
      </c>
      <c r="D5870" s="35">
        <f>SUMIFS(D5871:D9015,K5871:K9015,"0",B5871:B9015,"5 1 2 2 3 12 31111 6*")-SUMIFS(E5871:E9015,K5871:K9015,"0",B5871:B9015,"5 1 2 2 3 12 31111 6*")</f>
        <v>0</v>
      </c>
      <c r="E5870"/>
      <c r="F5870" s="35">
        <f>SUMIFS(F5871:F9015,K5871:K9015,"0",B5871:B9015,"5 1 2 2 3 12 31111 6*")</f>
        <v>5018.8999999999996</v>
      </c>
      <c r="G5870" s="35">
        <f>SUMIFS(G5871:G9015,K5871:K9015,"0",B5871:B9015,"5 1 2 2 3 12 31111 6*")</f>
        <v>0</v>
      </c>
      <c r="H5870" s="35">
        <f t="shared" si="92"/>
        <v>5018.8999999999996</v>
      </c>
      <c r="I5870" s="35"/>
      <c r="K5870" t="s">
        <v>15</v>
      </c>
    </row>
    <row r="5871" spans="2:11" ht="16.5" x14ac:dyDescent="0.2">
      <c r="B5871" s="33" t="s">
        <v>6852</v>
      </c>
      <c r="C5871" s="33" t="s">
        <v>2284</v>
      </c>
      <c r="D5871" s="35">
        <f>SUMIFS(D5872:D9015,K5872:K9015,"0",B5872:B9015,"5 1 2 2 3 12 31111 6 M59*")-SUMIFS(E5872:E9015,K5872:K9015,"0",B5872:B9015,"5 1 2 2 3 12 31111 6 M59*")</f>
        <v>0</v>
      </c>
      <c r="E5871"/>
      <c r="F5871" s="35">
        <f>SUMIFS(F5872:F9015,K5872:K9015,"0",B5872:B9015,"5 1 2 2 3 12 31111 6 M59*")</f>
        <v>5018.8999999999996</v>
      </c>
      <c r="G5871" s="35">
        <f>SUMIFS(G5872:G9015,K5872:K9015,"0",B5872:B9015,"5 1 2 2 3 12 31111 6 M59*")</f>
        <v>0</v>
      </c>
      <c r="H5871" s="35">
        <f t="shared" si="92"/>
        <v>5018.8999999999996</v>
      </c>
      <c r="I5871" s="35"/>
      <c r="K5871" t="s">
        <v>15</v>
      </c>
    </row>
    <row r="5872" spans="2:11" ht="16.5" x14ac:dyDescent="0.2">
      <c r="B5872" s="33" t="s">
        <v>6853</v>
      </c>
      <c r="C5872" s="33" t="s">
        <v>1044</v>
      </c>
      <c r="D5872" s="35">
        <f>SUMIFS(D5873:D9015,K5873:K9015,"0",B5873:B9015,"5 1 2 2 3 12 31111 6 M59 20000*")-SUMIFS(E5873:E9015,K5873:K9015,"0",B5873:B9015,"5 1 2 2 3 12 31111 6 M59 20000*")</f>
        <v>0</v>
      </c>
      <c r="E5872"/>
      <c r="F5872" s="35">
        <f>SUMIFS(F5873:F9015,K5873:K9015,"0",B5873:B9015,"5 1 2 2 3 12 31111 6 M59 20000*")</f>
        <v>269.98</v>
      </c>
      <c r="G5872" s="35">
        <f>SUMIFS(G5873:G9015,K5873:K9015,"0",B5873:B9015,"5 1 2 2 3 12 31111 6 M59 20000*")</f>
        <v>0</v>
      </c>
      <c r="H5872" s="35">
        <f t="shared" si="92"/>
        <v>269.98</v>
      </c>
      <c r="I5872" s="35"/>
      <c r="K5872" t="s">
        <v>15</v>
      </c>
    </row>
    <row r="5873" spans="2:11" ht="16.5" x14ac:dyDescent="0.2">
      <c r="B5873" s="33" t="s">
        <v>6854</v>
      </c>
      <c r="C5873" s="33" t="s">
        <v>648</v>
      </c>
      <c r="D5873" s="35">
        <f>SUMIFS(D5874:D9015,K5874:K9015,"0",B5874:B9015,"5 1 2 2 3 12 31111 6 M59 20000 000132*")-SUMIFS(E5874:E9015,K5874:K9015,"0",B5874:B9015,"5 1 2 2 3 12 31111 6 M59 20000 000132*")</f>
        <v>0</v>
      </c>
      <c r="E5873"/>
      <c r="F5873" s="35">
        <f>SUMIFS(F5874:F9015,K5874:K9015,"0",B5874:B9015,"5 1 2 2 3 12 31111 6 M59 20000 000132*")</f>
        <v>269.98</v>
      </c>
      <c r="G5873" s="35">
        <f>SUMIFS(G5874:G9015,K5874:K9015,"0",B5874:B9015,"5 1 2 2 3 12 31111 6 M59 20000 000132*")</f>
        <v>0</v>
      </c>
      <c r="H5873" s="35">
        <f t="shared" si="92"/>
        <v>269.98</v>
      </c>
      <c r="I5873" s="35"/>
      <c r="K5873" t="s">
        <v>15</v>
      </c>
    </row>
    <row r="5874" spans="2:11" ht="24.75" x14ac:dyDescent="0.2">
      <c r="B5874" s="33" t="s">
        <v>6855</v>
      </c>
      <c r="C5874" s="33" t="s">
        <v>650</v>
      </c>
      <c r="D5874" s="35">
        <f>SUMIFS(D5875:D9015,K5875:K9015,"0",B5875:B9015,"5 1 2 2 3 12 31111 6 M59 20000 000132 0000R*")-SUMIFS(E5875:E9015,K5875:K9015,"0",B5875:B9015,"5 1 2 2 3 12 31111 6 M59 20000 000132 0000R*")</f>
        <v>0</v>
      </c>
      <c r="E5874"/>
      <c r="F5874" s="35">
        <f>SUMIFS(F5875:F9015,K5875:K9015,"0",B5875:B9015,"5 1 2 2 3 12 31111 6 M59 20000 000132 0000R*")</f>
        <v>269.98</v>
      </c>
      <c r="G5874" s="35">
        <f>SUMIFS(G5875:G9015,K5875:K9015,"0",B5875:B9015,"5 1 2 2 3 12 31111 6 M59 20000 000132 0000R*")</f>
        <v>0</v>
      </c>
      <c r="H5874" s="35">
        <f t="shared" si="92"/>
        <v>269.98</v>
      </c>
      <c r="I5874" s="35"/>
      <c r="K5874" t="s">
        <v>15</v>
      </c>
    </row>
    <row r="5875" spans="2:11" ht="24.75" x14ac:dyDescent="0.2">
      <c r="B5875" s="33" t="s">
        <v>6856</v>
      </c>
      <c r="C5875" s="33" t="s">
        <v>282</v>
      </c>
      <c r="D5875" s="35">
        <f>SUMIFS(D5876:D9015,K5876:K9015,"0",B5876:B9015,"5 1 2 2 3 12 31111 6 M59 20000 000132 0000R 00001*")-SUMIFS(E5876:E9015,K5876:K9015,"0",B5876:B9015,"5 1 2 2 3 12 31111 6 M59 20000 000132 0000R 00001*")</f>
        <v>0</v>
      </c>
      <c r="E5875"/>
      <c r="F5875" s="35">
        <f>SUMIFS(F5876:F9015,K5876:K9015,"0",B5876:B9015,"5 1 2 2 3 12 31111 6 M59 20000 000132 0000R 00001*")</f>
        <v>269.98</v>
      </c>
      <c r="G5875" s="35">
        <f>SUMIFS(G5876:G9015,K5876:K9015,"0",B5876:B9015,"5 1 2 2 3 12 31111 6 M59 20000 000132 0000R 00001*")</f>
        <v>0</v>
      </c>
      <c r="H5875" s="35">
        <f t="shared" si="92"/>
        <v>269.98</v>
      </c>
      <c r="I5875" s="35"/>
      <c r="K5875" t="s">
        <v>15</v>
      </c>
    </row>
    <row r="5876" spans="2:11" ht="24.75" x14ac:dyDescent="0.2">
      <c r="B5876" s="33" t="s">
        <v>6857</v>
      </c>
      <c r="C5876" s="33" t="s">
        <v>6858</v>
      </c>
      <c r="D5876" s="35">
        <f>SUMIFS(D5877:D9015,K5877:K9015,"0",B5877:B9015,"5 1 2 2 3 12 31111 6 M59 20000 000132 0000R 00001 00223*")-SUMIFS(E5877:E9015,K5877:K9015,"0",B5877:B9015,"5 1 2 2 3 12 31111 6 M59 20000 000132 0000R 00001 00223*")</f>
        <v>0</v>
      </c>
      <c r="E5876"/>
      <c r="F5876" s="35">
        <f>SUMIFS(F5877:F9015,K5877:K9015,"0",B5877:B9015,"5 1 2 2 3 12 31111 6 M59 20000 000132 0000R 00001 00223*")</f>
        <v>269.98</v>
      </c>
      <c r="G5876" s="35">
        <f>SUMIFS(G5877:G9015,K5877:K9015,"0",B5877:B9015,"5 1 2 2 3 12 31111 6 M59 20000 000132 0000R 00001 00223*")</f>
        <v>0</v>
      </c>
      <c r="H5876" s="35">
        <f t="shared" si="92"/>
        <v>269.98</v>
      </c>
      <c r="I5876" s="35"/>
      <c r="K5876" t="s">
        <v>15</v>
      </c>
    </row>
    <row r="5877" spans="2:11" ht="33" x14ac:dyDescent="0.2">
      <c r="B5877" s="33" t="s">
        <v>6859</v>
      </c>
      <c r="C5877" s="33" t="s">
        <v>1051</v>
      </c>
      <c r="D5877" s="35">
        <f>SUMIFS(D5878:D9015,K5878:K9015,"0",B5878:B9015,"5 1 2 2 3 12 31111 6 M59 20000 000132 0000R 00001 00223 015*")-SUMIFS(E5878:E9015,K5878:K9015,"0",B5878:B9015,"5 1 2 2 3 12 31111 6 M59 20000 000132 0000R 00001 00223 015*")</f>
        <v>0</v>
      </c>
      <c r="E5877"/>
      <c r="F5877" s="35">
        <f>SUMIFS(F5878:F9015,K5878:K9015,"0",B5878:B9015,"5 1 2 2 3 12 31111 6 M59 20000 000132 0000R 00001 00223 015*")</f>
        <v>269.98</v>
      </c>
      <c r="G5877" s="35">
        <f>SUMIFS(G5878:G9015,K5878:K9015,"0",B5878:B9015,"5 1 2 2 3 12 31111 6 M59 20000 000132 0000R 00001 00223 015*")</f>
        <v>0</v>
      </c>
      <c r="H5877" s="35">
        <f t="shared" si="92"/>
        <v>269.98</v>
      </c>
      <c r="I5877" s="35"/>
      <c r="K5877" t="s">
        <v>15</v>
      </c>
    </row>
    <row r="5878" spans="2:11" ht="33" x14ac:dyDescent="0.2">
      <c r="B5878" s="33" t="s">
        <v>6860</v>
      </c>
      <c r="C5878" s="33" t="s">
        <v>5830</v>
      </c>
      <c r="D5878" s="35">
        <f>SUMIFS(D5879:D9015,K5879:K9015,"0",B5879:B9015,"5 1 2 2 3 12 31111 6 M59 20000 000132 0000R 00001 00223 015 2112000*")-SUMIFS(E5879:E9015,K5879:K9015,"0",B5879:B9015,"5 1 2 2 3 12 31111 6 M59 20000 000132 0000R 00001 00223 015 2112000*")</f>
        <v>0</v>
      </c>
      <c r="E5878"/>
      <c r="F5878" s="35">
        <f>SUMIFS(F5879:F9015,K5879:K9015,"0",B5879:B9015,"5 1 2 2 3 12 31111 6 M59 20000 000132 0000R 00001 00223 015 2112000*")</f>
        <v>269.98</v>
      </c>
      <c r="G5878" s="35">
        <f>SUMIFS(G5879:G9015,K5879:K9015,"0",B5879:B9015,"5 1 2 2 3 12 31111 6 M59 20000 000132 0000R 00001 00223 015 2112000*")</f>
        <v>0</v>
      </c>
      <c r="H5878" s="35">
        <f t="shared" si="92"/>
        <v>269.98</v>
      </c>
      <c r="I5878" s="35"/>
      <c r="K5878" t="s">
        <v>15</v>
      </c>
    </row>
    <row r="5879" spans="2:11" ht="33" x14ac:dyDescent="0.2">
      <c r="B5879" s="33" t="s">
        <v>6861</v>
      </c>
      <c r="C5879" s="33" t="s">
        <v>660</v>
      </c>
      <c r="D5879" s="35">
        <f>SUMIFS(D5880:D9015,K5880:K9015,"0",B5880:B9015,"5 1 2 2 3 12 31111 6 M59 20000 000132 0000R 00001 00223 015 2112000 2024*")-SUMIFS(E5880:E9015,K5880:K9015,"0",B5880:B9015,"5 1 2 2 3 12 31111 6 M59 20000 000132 0000R 00001 00223 015 2112000 2024*")</f>
        <v>0</v>
      </c>
      <c r="E5879"/>
      <c r="F5879" s="35">
        <f>SUMIFS(F5880:F9015,K5880:K9015,"0",B5880:B9015,"5 1 2 2 3 12 31111 6 M59 20000 000132 0000R 00001 00223 015 2112000 2024*")</f>
        <v>269.98</v>
      </c>
      <c r="G5879" s="35">
        <f>SUMIFS(G5880:G9015,K5880:K9015,"0",B5880:B9015,"5 1 2 2 3 12 31111 6 M59 20000 000132 0000R 00001 00223 015 2112000 2024*")</f>
        <v>0</v>
      </c>
      <c r="H5879" s="35">
        <f t="shared" si="92"/>
        <v>269.98</v>
      </c>
      <c r="I5879" s="35"/>
      <c r="K5879" t="s">
        <v>15</v>
      </c>
    </row>
    <row r="5880" spans="2:11" ht="41.25" x14ac:dyDescent="0.2">
      <c r="B5880" s="33" t="s">
        <v>6862</v>
      </c>
      <c r="C5880" s="33" t="s">
        <v>1056</v>
      </c>
      <c r="D5880" s="35">
        <f>SUMIFS(D5881:D9015,K5881:K9015,"0",B5881:B9015,"5 1 2 2 3 12 31111 6 M59 20000 000132 0000R 00001 00223 015 2112000 2024 CP1AF389*")-SUMIFS(E5881:E9015,K5881:K9015,"0",B5881:B9015,"5 1 2 2 3 12 31111 6 M59 20000 000132 0000R 00001 00223 015 2112000 2024 CP1AF389*")</f>
        <v>0</v>
      </c>
      <c r="E5880"/>
      <c r="F5880" s="35">
        <f>SUMIFS(F5881:F9015,K5881:K9015,"0",B5881:B9015,"5 1 2 2 3 12 31111 6 M59 20000 000132 0000R 00001 00223 015 2112000 2024 CP1AF389*")</f>
        <v>269.98</v>
      </c>
      <c r="G5880" s="35">
        <f>SUMIFS(G5881:G9015,K5881:K9015,"0",B5881:B9015,"5 1 2 2 3 12 31111 6 M59 20000 000132 0000R 00001 00223 015 2112000 2024 CP1AF389*")</f>
        <v>0</v>
      </c>
      <c r="H5880" s="35">
        <f t="shared" si="92"/>
        <v>269.98</v>
      </c>
      <c r="I5880" s="35"/>
      <c r="K5880" t="s">
        <v>15</v>
      </c>
    </row>
    <row r="5881" spans="2:11" ht="41.25" x14ac:dyDescent="0.2">
      <c r="B5881" s="33" t="s">
        <v>6863</v>
      </c>
      <c r="C5881" s="33" t="s">
        <v>282</v>
      </c>
      <c r="D5881" s="35">
        <f>SUMIFS(D5882:D9015,K5882:K9015,"0",B5882:B9015,"5 1 2 2 3 12 31111 6 M59 20000 000132 0000R 00001 00223 015 2112000 2024 CP1AF389 001*")-SUMIFS(E5882:E9015,K5882:K9015,"0",B5882:B9015,"5 1 2 2 3 12 31111 6 M59 20000 000132 0000R 00001 00223 015 2112000 2024 CP1AF389 001*")</f>
        <v>0</v>
      </c>
      <c r="E5881"/>
      <c r="F5881" s="35">
        <f>SUMIFS(F5882:F9015,K5882:K9015,"0",B5882:B9015,"5 1 2 2 3 12 31111 6 M59 20000 000132 0000R 00001 00223 015 2112000 2024 CP1AF389 001*")</f>
        <v>269.98</v>
      </c>
      <c r="G5881" s="35">
        <f>SUMIFS(G5882:G9015,K5882:K9015,"0",B5882:B9015,"5 1 2 2 3 12 31111 6 M59 20000 000132 0000R 00001 00223 015 2112000 2024 CP1AF389 001*")</f>
        <v>0</v>
      </c>
      <c r="H5881" s="35">
        <f t="shared" si="92"/>
        <v>269.98</v>
      </c>
      <c r="I5881" s="35"/>
      <c r="K5881" t="s">
        <v>15</v>
      </c>
    </row>
    <row r="5882" spans="2:11" ht="41.25" x14ac:dyDescent="0.2">
      <c r="B5882" s="31" t="s">
        <v>6864</v>
      </c>
      <c r="C5882" s="31" t="s">
        <v>6865</v>
      </c>
      <c r="D5882" s="34">
        <v>0</v>
      </c>
      <c r="E5882" s="34"/>
      <c r="F5882" s="34">
        <v>269.98</v>
      </c>
      <c r="G5882" s="34">
        <v>0</v>
      </c>
      <c r="H5882" s="34">
        <f t="shared" si="92"/>
        <v>269.98</v>
      </c>
      <c r="I5882" s="34"/>
      <c r="K5882" t="s">
        <v>38</v>
      </c>
    </row>
    <row r="5883" spans="2:11" ht="16.5" x14ac:dyDescent="0.2">
      <c r="B5883" s="33" t="s">
        <v>6866</v>
      </c>
      <c r="C5883" s="33" t="s">
        <v>1079</v>
      </c>
      <c r="D5883" s="35">
        <f>SUMIFS(D5884:D9015,K5884:K9015,"0",B5884:B9015,"5 1 2 2 3 12 31111 6 M59 20500*")-SUMIFS(E5884:E9015,K5884:K9015,"0",B5884:B9015,"5 1 2 2 3 12 31111 6 M59 20500*")</f>
        <v>0</v>
      </c>
      <c r="E5883"/>
      <c r="F5883" s="35">
        <f>SUMIFS(F5884:F9015,K5884:K9015,"0",B5884:B9015,"5 1 2 2 3 12 31111 6 M59 20500*")</f>
        <v>4748.92</v>
      </c>
      <c r="G5883" s="35">
        <f>SUMIFS(G5884:G9015,K5884:K9015,"0",B5884:B9015,"5 1 2 2 3 12 31111 6 M59 20500*")</f>
        <v>0</v>
      </c>
      <c r="H5883" s="35">
        <f t="shared" si="92"/>
        <v>4748.92</v>
      </c>
      <c r="I5883" s="35"/>
      <c r="K5883" t="s">
        <v>15</v>
      </c>
    </row>
    <row r="5884" spans="2:11" ht="16.5" x14ac:dyDescent="0.2">
      <c r="B5884" s="33" t="s">
        <v>6867</v>
      </c>
      <c r="C5884" s="33" t="s">
        <v>648</v>
      </c>
      <c r="D5884" s="35">
        <f>SUMIFS(D5885:D9015,K5885:K9015,"0",B5885:B9015,"5 1 2 2 3 12 31111 6 M59 20500 000132*")-SUMIFS(E5885:E9015,K5885:K9015,"0",B5885:B9015,"5 1 2 2 3 12 31111 6 M59 20500 000132*")</f>
        <v>0</v>
      </c>
      <c r="E5884"/>
      <c r="F5884" s="35">
        <f>SUMIFS(F5885:F9015,K5885:K9015,"0",B5885:B9015,"5 1 2 2 3 12 31111 6 M59 20500 000132*")</f>
        <v>4748.92</v>
      </c>
      <c r="G5884" s="35">
        <f>SUMIFS(G5885:G9015,K5885:K9015,"0",B5885:B9015,"5 1 2 2 3 12 31111 6 M59 20500 000132*")</f>
        <v>0</v>
      </c>
      <c r="H5884" s="35">
        <f t="shared" si="92"/>
        <v>4748.92</v>
      </c>
      <c r="I5884" s="35"/>
      <c r="K5884" t="s">
        <v>15</v>
      </c>
    </row>
    <row r="5885" spans="2:11" ht="24.75" x14ac:dyDescent="0.2">
      <c r="B5885" s="33" t="s">
        <v>6868</v>
      </c>
      <c r="C5885" s="33" t="s">
        <v>650</v>
      </c>
      <c r="D5885" s="35">
        <f>SUMIFS(D5886:D9015,K5886:K9015,"0",B5886:B9015,"5 1 2 2 3 12 31111 6 M59 20500 000132 0000R*")-SUMIFS(E5886:E9015,K5886:K9015,"0",B5886:B9015,"5 1 2 2 3 12 31111 6 M59 20500 000132 0000R*")</f>
        <v>0</v>
      </c>
      <c r="E5885"/>
      <c r="F5885" s="35">
        <f>SUMIFS(F5886:F9015,K5886:K9015,"0",B5886:B9015,"5 1 2 2 3 12 31111 6 M59 20500 000132 0000R*")</f>
        <v>4748.92</v>
      </c>
      <c r="G5885" s="35">
        <f>SUMIFS(G5886:G9015,K5886:K9015,"0",B5886:B9015,"5 1 2 2 3 12 31111 6 M59 20500 000132 0000R*")</f>
        <v>0</v>
      </c>
      <c r="H5885" s="35">
        <f t="shared" si="92"/>
        <v>4748.92</v>
      </c>
      <c r="I5885" s="35"/>
      <c r="K5885" t="s">
        <v>15</v>
      </c>
    </row>
    <row r="5886" spans="2:11" ht="24.75" x14ac:dyDescent="0.2">
      <c r="B5886" s="33" t="s">
        <v>6869</v>
      </c>
      <c r="C5886" s="33" t="s">
        <v>282</v>
      </c>
      <c r="D5886" s="35">
        <f>SUMIFS(D5887:D9015,K5887:K9015,"0",B5887:B9015,"5 1 2 2 3 12 31111 6 M59 20500 000132 0000R 00001*")-SUMIFS(E5887:E9015,K5887:K9015,"0",B5887:B9015,"5 1 2 2 3 12 31111 6 M59 20500 000132 0000R 00001*")</f>
        <v>0</v>
      </c>
      <c r="E5886"/>
      <c r="F5886" s="35">
        <f>SUMIFS(F5887:F9015,K5887:K9015,"0",B5887:B9015,"5 1 2 2 3 12 31111 6 M59 20500 000132 0000R 00001*")</f>
        <v>4748.92</v>
      </c>
      <c r="G5886" s="35">
        <f>SUMIFS(G5887:G9015,K5887:K9015,"0",B5887:B9015,"5 1 2 2 3 12 31111 6 M59 20500 000132 0000R 00001*")</f>
        <v>0</v>
      </c>
      <c r="H5886" s="35">
        <f t="shared" si="92"/>
        <v>4748.92</v>
      </c>
      <c r="I5886" s="35"/>
      <c r="K5886" t="s">
        <v>15</v>
      </c>
    </row>
    <row r="5887" spans="2:11" ht="24.75" x14ac:dyDescent="0.2">
      <c r="B5887" s="33" t="s">
        <v>6870</v>
      </c>
      <c r="C5887" s="33" t="s">
        <v>6858</v>
      </c>
      <c r="D5887" s="35">
        <f>SUMIFS(D5888:D9015,K5888:K9015,"0",B5888:B9015,"5 1 2 2 3 12 31111 6 M59 20500 000132 0000R 00001 00223*")-SUMIFS(E5888:E9015,K5888:K9015,"0",B5888:B9015,"5 1 2 2 3 12 31111 6 M59 20500 000132 0000R 00001 00223*")</f>
        <v>0</v>
      </c>
      <c r="E5887"/>
      <c r="F5887" s="35">
        <f>SUMIFS(F5888:F9015,K5888:K9015,"0",B5888:B9015,"5 1 2 2 3 12 31111 6 M59 20500 000132 0000R 00001 00223*")</f>
        <v>4748.92</v>
      </c>
      <c r="G5887" s="35">
        <f>SUMIFS(G5888:G9015,K5888:K9015,"0",B5888:B9015,"5 1 2 2 3 12 31111 6 M59 20500 000132 0000R 00001 00223*")</f>
        <v>0</v>
      </c>
      <c r="H5887" s="35">
        <f t="shared" si="92"/>
        <v>4748.92</v>
      </c>
      <c r="I5887" s="35"/>
      <c r="K5887" t="s">
        <v>15</v>
      </c>
    </row>
    <row r="5888" spans="2:11" ht="33" x14ac:dyDescent="0.2">
      <c r="B5888" s="33" t="s">
        <v>6871</v>
      </c>
      <c r="C5888" s="33" t="s">
        <v>1051</v>
      </c>
      <c r="D5888" s="35">
        <f>SUMIFS(D5889:D9015,K5889:K9015,"0",B5889:B9015,"5 1 2 2 3 12 31111 6 M59 20500 000132 0000R 00001 00223 015*")-SUMIFS(E5889:E9015,K5889:K9015,"0",B5889:B9015,"5 1 2 2 3 12 31111 6 M59 20500 000132 0000R 00001 00223 015*")</f>
        <v>0</v>
      </c>
      <c r="E5888"/>
      <c r="F5888" s="35">
        <f>SUMIFS(F5889:F9015,K5889:K9015,"0",B5889:B9015,"5 1 2 2 3 12 31111 6 M59 20500 000132 0000R 00001 00223 015*")</f>
        <v>4748.92</v>
      </c>
      <c r="G5888" s="35">
        <f>SUMIFS(G5889:G9015,K5889:K9015,"0",B5889:B9015,"5 1 2 2 3 12 31111 6 M59 20500 000132 0000R 00001 00223 015*")</f>
        <v>0</v>
      </c>
      <c r="H5888" s="35">
        <f t="shared" si="92"/>
        <v>4748.92</v>
      </c>
      <c r="I5888" s="35"/>
      <c r="K5888" t="s">
        <v>15</v>
      </c>
    </row>
    <row r="5889" spans="2:11" ht="33" x14ac:dyDescent="0.2">
      <c r="B5889" s="33" t="s">
        <v>6872</v>
      </c>
      <c r="C5889" s="33" t="s">
        <v>5830</v>
      </c>
      <c r="D5889" s="35">
        <f>SUMIFS(D5890:D9015,K5890:K9015,"0",B5890:B9015,"5 1 2 2 3 12 31111 6 M59 20500 000132 0000R 00001 00223 015 2112000*")-SUMIFS(E5890:E9015,K5890:K9015,"0",B5890:B9015,"5 1 2 2 3 12 31111 6 M59 20500 000132 0000R 00001 00223 015 2112000*")</f>
        <v>0</v>
      </c>
      <c r="E5889"/>
      <c r="F5889" s="35">
        <f>SUMIFS(F5890:F9015,K5890:K9015,"0",B5890:B9015,"5 1 2 2 3 12 31111 6 M59 20500 000132 0000R 00001 00223 015 2112000*")</f>
        <v>4748.92</v>
      </c>
      <c r="G5889" s="35">
        <f>SUMIFS(G5890:G9015,K5890:K9015,"0",B5890:B9015,"5 1 2 2 3 12 31111 6 M59 20500 000132 0000R 00001 00223 015 2112000*")</f>
        <v>0</v>
      </c>
      <c r="H5889" s="35">
        <f t="shared" si="92"/>
        <v>4748.92</v>
      </c>
      <c r="I5889" s="35"/>
      <c r="K5889" t="s">
        <v>15</v>
      </c>
    </row>
    <row r="5890" spans="2:11" ht="33" x14ac:dyDescent="0.2">
      <c r="B5890" s="33" t="s">
        <v>6873</v>
      </c>
      <c r="C5890" s="33" t="s">
        <v>660</v>
      </c>
      <c r="D5890" s="35">
        <f>SUMIFS(D5891:D9015,K5891:K9015,"0",B5891:B9015,"5 1 2 2 3 12 31111 6 M59 20500 000132 0000R 00001 00223 015 2112000 2024*")-SUMIFS(E5891:E9015,K5891:K9015,"0",B5891:B9015,"5 1 2 2 3 12 31111 6 M59 20500 000132 0000R 00001 00223 015 2112000 2024*")</f>
        <v>0</v>
      </c>
      <c r="E5890"/>
      <c r="F5890" s="35">
        <f>SUMIFS(F5891:F9015,K5891:K9015,"0",B5891:B9015,"5 1 2 2 3 12 31111 6 M59 20500 000132 0000R 00001 00223 015 2112000 2024*")</f>
        <v>4748.92</v>
      </c>
      <c r="G5890" s="35">
        <f>SUMIFS(G5891:G9015,K5891:K9015,"0",B5891:B9015,"5 1 2 2 3 12 31111 6 M59 20500 000132 0000R 00001 00223 015 2112000 2024*")</f>
        <v>0</v>
      </c>
      <c r="H5890" s="35">
        <f t="shared" si="92"/>
        <v>4748.92</v>
      </c>
      <c r="I5890" s="35"/>
      <c r="K5890" t="s">
        <v>15</v>
      </c>
    </row>
    <row r="5891" spans="2:11" ht="41.25" x14ac:dyDescent="0.2">
      <c r="B5891" s="33" t="s">
        <v>6874</v>
      </c>
      <c r="C5891" s="33" t="s">
        <v>1056</v>
      </c>
      <c r="D5891" s="35">
        <f>SUMIFS(D5892:D9015,K5892:K9015,"0",B5892:B9015,"5 1 2 2 3 12 31111 6 M59 20500 000132 0000R 00001 00223 015 2112000 2024 CP1CP420*")-SUMIFS(E5892:E9015,K5892:K9015,"0",B5892:B9015,"5 1 2 2 3 12 31111 6 M59 20500 000132 0000R 00001 00223 015 2112000 2024 CP1CP420*")</f>
        <v>0</v>
      </c>
      <c r="E5891"/>
      <c r="F5891" s="35">
        <f>SUMIFS(F5892:F9015,K5892:K9015,"0",B5892:B9015,"5 1 2 2 3 12 31111 6 M59 20500 000132 0000R 00001 00223 015 2112000 2024 CP1CP420*")</f>
        <v>4748.92</v>
      </c>
      <c r="G5891" s="35">
        <f>SUMIFS(G5892:G9015,K5892:K9015,"0",B5892:B9015,"5 1 2 2 3 12 31111 6 M59 20500 000132 0000R 00001 00223 015 2112000 2024 CP1CP420*")</f>
        <v>0</v>
      </c>
      <c r="H5891" s="35">
        <f t="shared" si="92"/>
        <v>4748.92</v>
      </c>
      <c r="I5891" s="35"/>
      <c r="K5891" t="s">
        <v>15</v>
      </c>
    </row>
    <row r="5892" spans="2:11" ht="41.25" x14ac:dyDescent="0.2">
      <c r="B5892" s="33" t="s">
        <v>6875</v>
      </c>
      <c r="C5892" s="33" t="s">
        <v>282</v>
      </c>
      <c r="D5892" s="35">
        <f>SUMIFS(D5893:D9015,K5893:K9015,"0",B5893:B9015,"5 1 2 2 3 12 31111 6 M59 20500 000132 0000R 00001 00223 015 2112000 2024 CP1CP420 001*")-SUMIFS(E5893:E9015,K5893:K9015,"0",B5893:B9015,"5 1 2 2 3 12 31111 6 M59 20500 000132 0000R 00001 00223 015 2112000 2024 CP1CP420 001*")</f>
        <v>0</v>
      </c>
      <c r="E5892"/>
      <c r="F5892" s="35">
        <f>SUMIFS(F5893:F9015,K5893:K9015,"0",B5893:B9015,"5 1 2 2 3 12 31111 6 M59 20500 000132 0000R 00001 00223 015 2112000 2024 CP1CP420 001*")</f>
        <v>4748.92</v>
      </c>
      <c r="G5892" s="35">
        <f>SUMIFS(G5893:G9015,K5893:K9015,"0",B5893:B9015,"5 1 2 2 3 12 31111 6 M59 20500 000132 0000R 00001 00223 015 2112000 2024 CP1CP420 001*")</f>
        <v>0</v>
      </c>
      <c r="H5892" s="35">
        <f t="shared" ref="H5892:H5955" si="93">D5892 + F5892 - G5892</f>
        <v>4748.92</v>
      </c>
      <c r="I5892" s="35"/>
      <c r="K5892" t="s">
        <v>15</v>
      </c>
    </row>
    <row r="5893" spans="2:11" ht="33" x14ac:dyDescent="0.2">
      <c r="B5893" s="31" t="s">
        <v>6876</v>
      </c>
      <c r="C5893" s="31" t="s">
        <v>6848</v>
      </c>
      <c r="D5893" s="34">
        <v>0</v>
      </c>
      <c r="E5893" s="34"/>
      <c r="F5893" s="34">
        <v>4748.92</v>
      </c>
      <c r="G5893" s="34">
        <v>0</v>
      </c>
      <c r="H5893" s="34">
        <f t="shared" si="93"/>
        <v>4748.92</v>
      </c>
      <c r="I5893" s="34"/>
      <c r="K5893" t="s">
        <v>38</v>
      </c>
    </row>
    <row r="5894" spans="2:11" ht="24.75" x14ac:dyDescent="0.2">
      <c r="B5894" s="33" t="s">
        <v>6877</v>
      </c>
      <c r="C5894" s="33" t="s">
        <v>6878</v>
      </c>
      <c r="D5894" s="35">
        <f>SUMIFS(D5895:D9015,K5895:K9015,"0",B5895:B9015,"5 1 2 3*")-SUMIFS(E5895:E9015,K5895:K9015,"0",B5895:B9015,"5 1 2 3*")</f>
        <v>0</v>
      </c>
      <c r="E5894"/>
      <c r="F5894" s="35">
        <f>SUMIFS(F5895:F9015,K5895:K9015,"0",B5895:B9015,"5 1 2 3*")</f>
        <v>99.99</v>
      </c>
      <c r="G5894" s="35">
        <f>SUMIFS(G5895:G9015,K5895:K9015,"0",B5895:B9015,"5 1 2 3*")</f>
        <v>0</v>
      </c>
      <c r="H5894" s="35">
        <f t="shared" si="93"/>
        <v>99.99</v>
      </c>
      <c r="I5894" s="35"/>
      <c r="K5894" t="s">
        <v>15</v>
      </c>
    </row>
    <row r="5895" spans="2:11" ht="24.75" x14ac:dyDescent="0.2">
      <c r="B5895" s="33" t="s">
        <v>6879</v>
      </c>
      <c r="C5895" s="33" t="s">
        <v>6880</v>
      </c>
      <c r="D5895" s="35">
        <f>SUMIFS(D5896:D9015,K5896:K9015,"0",B5896:B9015,"5 1 2 3 2*")-SUMIFS(E5896:E9015,K5896:K9015,"0",B5896:B9015,"5 1 2 3 2*")</f>
        <v>0</v>
      </c>
      <c r="E5895"/>
      <c r="F5895" s="35">
        <f>SUMIFS(F5896:F9015,K5896:K9015,"0",B5896:B9015,"5 1 2 3 2*")</f>
        <v>99.99</v>
      </c>
      <c r="G5895" s="35">
        <f>SUMIFS(G5896:G9015,K5896:K9015,"0",B5896:B9015,"5 1 2 3 2*")</f>
        <v>0</v>
      </c>
      <c r="H5895" s="35">
        <f t="shared" si="93"/>
        <v>99.99</v>
      </c>
      <c r="I5895" s="35"/>
      <c r="K5895" t="s">
        <v>15</v>
      </c>
    </row>
    <row r="5896" spans="2:11" ht="12.75" x14ac:dyDescent="0.2">
      <c r="B5896" s="33" t="s">
        <v>6881</v>
      </c>
      <c r="C5896" s="33" t="s">
        <v>26</v>
      </c>
      <c r="D5896" s="35">
        <f>SUMIFS(D5897:D9015,K5897:K9015,"0",B5897:B9015,"5 1 2 3 2 12*")-SUMIFS(E5897:E9015,K5897:K9015,"0",B5897:B9015,"5 1 2 3 2 12*")</f>
        <v>0</v>
      </c>
      <c r="E5896"/>
      <c r="F5896" s="35">
        <f>SUMIFS(F5897:F9015,K5897:K9015,"0",B5897:B9015,"5 1 2 3 2 12*")</f>
        <v>99.99</v>
      </c>
      <c r="G5896" s="35">
        <f>SUMIFS(G5897:G9015,K5897:K9015,"0",B5897:B9015,"5 1 2 3 2 12*")</f>
        <v>0</v>
      </c>
      <c r="H5896" s="35">
        <f t="shared" si="93"/>
        <v>99.99</v>
      </c>
      <c r="I5896" s="35"/>
      <c r="K5896" t="s">
        <v>15</v>
      </c>
    </row>
    <row r="5897" spans="2:11" ht="16.5" x14ac:dyDescent="0.2">
      <c r="B5897" s="33" t="s">
        <v>6882</v>
      </c>
      <c r="C5897" s="33" t="s">
        <v>28</v>
      </c>
      <c r="D5897" s="35">
        <f>SUMIFS(D5898:D9015,K5898:K9015,"0",B5898:B9015,"5 1 2 3 2 12 31111*")-SUMIFS(E5898:E9015,K5898:K9015,"0",B5898:B9015,"5 1 2 3 2 12 31111*")</f>
        <v>0</v>
      </c>
      <c r="E5897"/>
      <c r="F5897" s="35">
        <f>SUMIFS(F5898:F9015,K5898:K9015,"0",B5898:B9015,"5 1 2 3 2 12 31111*")</f>
        <v>99.99</v>
      </c>
      <c r="G5897" s="35">
        <f>SUMIFS(G5898:G9015,K5898:K9015,"0",B5898:B9015,"5 1 2 3 2 12 31111*")</f>
        <v>0</v>
      </c>
      <c r="H5897" s="35">
        <f t="shared" si="93"/>
        <v>99.99</v>
      </c>
      <c r="I5897" s="35"/>
      <c r="K5897" t="s">
        <v>15</v>
      </c>
    </row>
    <row r="5898" spans="2:11" ht="12.75" x14ac:dyDescent="0.2">
      <c r="B5898" s="33" t="s">
        <v>6883</v>
      </c>
      <c r="C5898" s="33" t="s">
        <v>30</v>
      </c>
      <c r="D5898" s="35">
        <f>SUMIFS(D5899:D9015,K5899:K9015,"0",B5899:B9015,"5 1 2 3 2 12 31111 6*")-SUMIFS(E5899:E9015,K5899:K9015,"0",B5899:B9015,"5 1 2 3 2 12 31111 6*")</f>
        <v>0</v>
      </c>
      <c r="E5898"/>
      <c r="F5898" s="35">
        <f>SUMIFS(F5899:F9015,K5899:K9015,"0",B5899:B9015,"5 1 2 3 2 12 31111 6*")</f>
        <v>99.99</v>
      </c>
      <c r="G5898" s="35">
        <f>SUMIFS(G5899:G9015,K5899:K9015,"0",B5899:B9015,"5 1 2 3 2 12 31111 6*")</f>
        <v>0</v>
      </c>
      <c r="H5898" s="35">
        <f t="shared" si="93"/>
        <v>99.99</v>
      </c>
      <c r="I5898" s="35"/>
      <c r="K5898" t="s">
        <v>15</v>
      </c>
    </row>
    <row r="5899" spans="2:11" ht="16.5" x14ac:dyDescent="0.2">
      <c r="B5899" s="33" t="s">
        <v>6884</v>
      </c>
      <c r="C5899" s="33" t="s">
        <v>2284</v>
      </c>
      <c r="D5899" s="35">
        <f>SUMIFS(D5900:D9015,K5900:K9015,"0",B5900:B9015,"5 1 2 3 2 12 31111 6 M59*")-SUMIFS(E5900:E9015,K5900:K9015,"0",B5900:B9015,"5 1 2 3 2 12 31111 6 M59*")</f>
        <v>0</v>
      </c>
      <c r="E5899"/>
      <c r="F5899" s="35">
        <f>SUMIFS(F5900:F9015,K5900:K9015,"0",B5900:B9015,"5 1 2 3 2 12 31111 6 M59*")</f>
        <v>99.99</v>
      </c>
      <c r="G5899" s="35">
        <f>SUMIFS(G5900:G9015,K5900:K9015,"0",B5900:B9015,"5 1 2 3 2 12 31111 6 M59*")</f>
        <v>0</v>
      </c>
      <c r="H5899" s="35">
        <f t="shared" si="93"/>
        <v>99.99</v>
      </c>
      <c r="I5899" s="35"/>
      <c r="K5899" t="s">
        <v>15</v>
      </c>
    </row>
    <row r="5900" spans="2:11" ht="16.5" x14ac:dyDescent="0.2">
      <c r="B5900" s="33" t="s">
        <v>6885</v>
      </c>
      <c r="C5900" s="33" t="s">
        <v>3281</v>
      </c>
      <c r="D5900" s="35">
        <f>SUMIFS(D5901:D9015,K5901:K9015,"0",B5901:B9015,"5 1 2 3 2 12 31111 6 M59 50000*")-SUMIFS(E5901:E9015,K5901:K9015,"0",B5901:B9015,"5 1 2 3 2 12 31111 6 M59 50000*")</f>
        <v>0</v>
      </c>
      <c r="E5900"/>
      <c r="F5900" s="35">
        <f>SUMIFS(F5901:F9015,K5901:K9015,"0",B5901:B9015,"5 1 2 3 2 12 31111 6 M59 50000*")</f>
        <v>99.99</v>
      </c>
      <c r="G5900" s="35">
        <f>SUMIFS(G5901:G9015,K5901:K9015,"0",B5901:B9015,"5 1 2 3 2 12 31111 6 M59 50000*")</f>
        <v>0</v>
      </c>
      <c r="H5900" s="35">
        <f t="shared" si="93"/>
        <v>99.99</v>
      </c>
      <c r="I5900" s="35"/>
      <c r="K5900" t="s">
        <v>15</v>
      </c>
    </row>
    <row r="5901" spans="2:11" ht="16.5" x14ac:dyDescent="0.2">
      <c r="B5901" s="33" t="s">
        <v>6886</v>
      </c>
      <c r="C5901" s="33" t="s">
        <v>3283</v>
      </c>
      <c r="D5901" s="35">
        <f>SUMIFS(D5902:D9015,K5902:K9015,"0",B5902:B9015,"5 1 2 3 2 12 31111 6 M59 50000 000223*")-SUMIFS(E5902:E9015,K5902:K9015,"0",B5902:B9015,"5 1 2 3 2 12 31111 6 M59 50000 000223*")</f>
        <v>0</v>
      </c>
      <c r="E5901"/>
      <c r="F5901" s="35">
        <f>SUMIFS(F5902:F9015,K5902:K9015,"0",B5902:B9015,"5 1 2 3 2 12 31111 6 M59 50000 000223*")</f>
        <v>99.99</v>
      </c>
      <c r="G5901" s="35">
        <f>SUMIFS(G5902:G9015,K5902:K9015,"0",B5902:B9015,"5 1 2 3 2 12 31111 6 M59 50000 000223*")</f>
        <v>0</v>
      </c>
      <c r="H5901" s="35">
        <f t="shared" si="93"/>
        <v>99.99</v>
      </c>
      <c r="I5901" s="35"/>
      <c r="K5901" t="s">
        <v>15</v>
      </c>
    </row>
    <row r="5902" spans="2:11" ht="24.75" x14ac:dyDescent="0.2">
      <c r="B5902" s="33" t="s">
        <v>6887</v>
      </c>
      <c r="C5902" s="33" t="s">
        <v>1065</v>
      </c>
      <c r="D5902" s="35">
        <f>SUMIFS(D5903:D9015,K5903:K9015,"0",B5903:B9015,"5 1 2 3 2 12 31111 6 M59 50000 000223 0000E*")-SUMIFS(E5903:E9015,K5903:K9015,"0",B5903:B9015,"5 1 2 3 2 12 31111 6 M59 50000 000223 0000E*")</f>
        <v>0</v>
      </c>
      <c r="E5902"/>
      <c r="F5902" s="35">
        <f>SUMIFS(F5903:F9015,K5903:K9015,"0",B5903:B9015,"5 1 2 3 2 12 31111 6 M59 50000 000223 0000E*")</f>
        <v>99.99</v>
      </c>
      <c r="G5902" s="35">
        <f>SUMIFS(G5903:G9015,K5903:K9015,"0",B5903:B9015,"5 1 2 3 2 12 31111 6 M59 50000 000223 0000E*")</f>
        <v>0</v>
      </c>
      <c r="H5902" s="35">
        <f t="shared" si="93"/>
        <v>99.99</v>
      </c>
      <c r="I5902" s="35"/>
      <c r="K5902" t="s">
        <v>15</v>
      </c>
    </row>
    <row r="5903" spans="2:11" ht="24.75" x14ac:dyDescent="0.2">
      <c r="B5903" s="33" t="s">
        <v>6888</v>
      </c>
      <c r="C5903" s="33" t="s">
        <v>282</v>
      </c>
      <c r="D5903" s="35">
        <f>SUMIFS(D5904:D9015,K5904:K9015,"0",B5904:B9015,"5 1 2 3 2 12 31111 6 M59 50000 000223 0000E 00001*")-SUMIFS(E5904:E9015,K5904:K9015,"0",B5904:B9015,"5 1 2 3 2 12 31111 6 M59 50000 000223 0000E 00001*")</f>
        <v>0</v>
      </c>
      <c r="E5903"/>
      <c r="F5903" s="35">
        <f>SUMIFS(F5904:F9015,K5904:K9015,"0",B5904:B9015,"5 1 2 3 2 12 31111 6 M59 50000 000223 0000E 00001*")</f>
        <v>99.99</v>
      </c>
      <c r="G5903" s="35">
        <f>SUMIFS(G5904:G9015,K5904:K9015,"0",B5904:B9015,"5 1 2 3 2 12 31111 6 M59 50000 000223 0000E 00001*")</f>
        <v>0</v>
      </c>
      <c r="H5903" s="35">
        <f t="shared" si="93"/>
        <v>99.99</v>
      </c>
      <c r="I5903" s="35"/>
      <c r="K5903" t="s">
        <v>15</v>
      </c>
    </row>
    <row r="5904" spans="2:11" ht="24.75" x14ac:dyDescent="0.2">
      <c r="B5904" s="33" t="s">
        <v>6889</v>
      </c>
      <c r="C5904" s="33" t="s">
        <v>6890</v>
      </c>
      <c r="D5904" s="35">
        <f>SUMIFS(D5905:D9015,K5905:K9015,"0",B5905:B9015,"5 1 2 3 2 12 31111 6 M59 50000 000223 0000E 00001 00232*")-SUMIFS(E5905:E9015,K5905:K9015,"0",B5905:B9015,"5 1 2 3 2 12 31111 6 M59 50000 000223 0000E 00001 00232*")</f>
        <v>0</v>
      </c>
      <c r="E5904"/>
      <c r="F5904" s="35">
        <f>SUMIFS(F5905:F9015,K5905:K9015,"0",B5905:B9015,"5 1 2 3 2 12 31111 6 M59 50000 000223 0000E 00001 00232*")</f>
        <v>99.99</v>
      </c>
      <c r="G5904" s="35">
        <f>SUMIFS(G5905:G9015,K5905:K9015,"0",B5905:B9015,"5 1 2 3 2 12 31111 6 M59 50000 000223 0000E 00001 00232*")</f>
        <v>0</v>
      </c>
      <c r="H5904" s="35">
        <f t="shared" si="93"/>
        <v>99.99</v>
      </c>
      <c r="I5904" s="35"/>
      <c r="K5904" t="s">
        <v>15</v>
      </c>
    </row>
    <row r="5905" spans="2:11" ht="33" x14ac:dyDescent="0.2">
      <c r="B5905" s="33" t="s">
        <v>6891</v>
      </c>
      <c r="C5905" s="33" t="s">
        <v>1051</v>
      </c>
      <c r="D5905" s="35">
        <f>SUMIFS(D5906:D9015,K5906:K9015,"0",B5906:B9015,"5 1 2 3 2 12 31111 6 M59 50000 000223 0000E 00001 00232 015*")-SUMIFS(E5906:E9015,K5906:K9015,"0",B5906:B9015,"5 1 2 3 2 12 31111 6 M59 50000 000223 0000E 00001 00232 015*")</f>
        <v>0</v>
      </c>
      <c r="E5905"/>
      <c r="F5905" s="35">
        <f>SUMIFS(F5906:F9015,K5906:K9015,"0",B5906:B9015,"5 1 2 3 2 12 31111 6 M59 50000 000223 0000E 00001 00232 015*")</f>
        <v>99.99</v>
      </c>
      <c r="G5905" s="35">
        <f>SUMIFS(G5906:G9015,K5906:K9015,"0",B5906:B9015,"5 1 2 3 2 12 31111 6 M59 50000 000223 0000E 00001 00232 015*")</f>
        <v>0</v>
      </c>
      <c r="H5905" s="35">
        <f t="shared" si="93"/>
        <v>99.99</v>
      </c>
      <c r="I5905" s="35"/>
      <c r="K5905" t="s">
        <v>15</v>
      </c>
    </row>
    <row r="5906" spans="2:11" ht="33" x14ac:dyDescent="0.2">
      <c r="B5906" s="33" t="s">
        <v>6892</v>
      </c>
      <c r="C5906" s="33" t="s">
        <v>5830</v>
      </c>
      <c r="D5906" s="35">
        <f>SUMIFS(D5907:D9015,K5907:K9015,"0",B5907:B9015,"5 1 2 3 2 12 31111 6 M59 50000 000223 0000E 00001 00232 015 2112000*")-SUMIFS(E5907:E9015,K5907:K9015,"0",B5907:B9015,"5 1 2 3 2 12 31111 6 M59 50000 000223 0000E 00001 00232 015 2112000*")</f>
        <v>0</v>
      </c>
      <c r="E5906"/>
      <c r="F5906" s="35">
        <f>SUMIFS(F5907:F9015,K5907:K9015,"0",B5907:B9015,"5 1 2 3 2 12 31111 6 M59 50000 000223 0000E 00001 00232 015 2112000*")</f>
        <v>99.99</v>
      </c>
      <c r="G5906" s="35">
        <f>SUMIFS(G5907:G9015,K5907:K9015,"0",B5907:B9015,"5 1 2 3 2 12 31111 6 M59 50000 000223 0000E 00001 00232 015 2112000*")</f>
        <v>0</v>
      </c>
      <c r="H5906" s="35">
        <f t="shared" si="93"/>
        <v>99.99</v>
      </c>
      <c r="I5906" s="35"/>
      <c r="K5906" t="s">
        <v>15</v>
      </c>
    </row>
    <row r="5907" spans="2:11" ht="33" x14ac:dyDescent="0.2">
      <c r="B5907" s="33" t="s">
        <v>6893</v>
      </c>
      <c r="C5907" s="33" t="s">
        <v>660</v>
      </c>
      <c r="D5907" s="35">
        <f>SUMIFS(D5908:D9015,K5908:K9015,"0",B5908:B9015,"5 1 2 3 2 12 31111 6 M59 50000 000223 0000E 00001 00232 015 2112000 2024*")-SUMIFS(E5908:E9015,K5908:K9015,"0",B5908:B9015,"5 1 2 3 2 12 31111 6 M59 50000 000223 0000E 00001 00232 015 2112000 2024*")</f>
        <v>0</v>
      </c>
      <c r="E5907"/>
      <c r="F5907" s="35">
        <f>SUMIFS(F5908:F9015,K5908:K9015,"0",B5908:B9015,"5 1 2 3 2 12 31111 6 M59 50000 000223 0000E 00001 00232 015 2112000 2024*")</f>
        <v>99.99</v>
      </c>
      <c r="G5907" s="35">
        <f>SUMIFS(G5908:G9015,K5908:K9015,"0",B5908:B9015,"5 1 2 3 2 12 31111 6 M59 50000 000223 0000E 00001 00232 015 2112000 2024*")</f>
        <v>0</v>
      </c>
      <c r="H5907" s="35">
        <f t="shared" si="93"/>
        <v>99.99</v>
      </c>
      <c r="I5907" s="35"/>
      <c r="K5907" t="s">
        <v>15</v>
      </c>
    </row>
    <row r="5908" spans="2:11" ht="41.25" x14ac:dyDescent="0.2">
      <c r="B5908" s="33" t="s">
        <v>6894</v>
      </c>
      <c r="C5908" s="33" t="s">
        <v>662</v>
      </c>
      <c r="D5908" s="35">
        <f>SUMIFS(D5909:D9015,K5909:K9015,"0",B5909:B9015,"5 1 2 3 2 12 31111 6 M59 50000 000223 0000E 00001 00232 015 2112000 2024 CP1DA424*")-SUMIFS(E5909:E9015,K5909:K9015,"0",B5909:B9015,"5 1 2 3 2 12 31111 6 M59 50000 000223 0000E 00001 00232 015 2112000 2024 CP1DA424*")</f>
        <v>0</v>
      </c>
      <c r="E5908"/>
      <c r="F5908" s="35">
        <f>SUMIFS(F5909:F9015,K5909:K9015,"0",B5909:B9015,"5 1 2 3 2 12 31111 6 M59 50000 000223 0000E 00001 00232 015 2112000 2024 CP1DA424*")</f>
        <v>99.99</v>
      </c>
      <c r="G5908" s="35">
        <f>SUMIFS(G5909:G9015,K5909:K9015,"0",B5909:B9015,"5 1 2 3 2 12 31111 6 M59 50000 000223 0000E 00001 00232 015 2112000 2024 CP1DA424*")</f>
        <v>0</v>
      </c>
      <c r="H5908" s="35">
        <f t="shared" si="93"/>
        <v>99.99</v>
      </c>
      <c r="I5908" s="35"/>
      <c r="K5908" t="s">
        <v>15</v>
      </c>
    </row>
    <row r="5909" spans="2:11" ht="41.25" x14ac:dyDescent="0.2">
      <c r="B5909" s="33" t="s">
        <v>6895</v>
      </c>
      <c r="C5909" s="33" t="s">
        <v>282</v>
      </c>
      <c r="D5909" s="35">
        <f>SUMIFS(D5910:D9015,K5910:K9015,"0",B5910:B9015,"5 1 2 3 2 12 31111 6 M59 50000 000223 0000E 00001 00232 015 2112000 2024 CP1DA424 001*")-SUMIFS(E5910:E9015,K5910:K9015,"0",B5910:B9015,"5 1 2 3 2 12 31111 6 M59 50000 000223 0000E 00001 00232 015 2112000 2024 CP1DA424 001*")</f>
        <v>0</v>
      </c>
      <c r="E5909"/>
      <c r="F5909" s="35">
        <f>SUMIFS(F5910:F9015,K5910:K9015,"0",B5910:B9015,"5 1 2 3 2 12 31111 6 M59 50000 000223 0000E 00001 00232 015 2112000 2024 CP1DA424 001*")</f>
        <v>99.99</v>
      </c>
      <c r="G5909" s="35">
        <f>SUMIFS(G5910:G9015,K5910:K9015,"0",B5910:B9015,"5 1 2 3 2 12 31111 6 M59 50000 000223 0000E 00001 00232 015 2112000 2024 CP1DA424 001*")</f>
        <v>0</v>
      </c>
      <c r="H5909" s="35">
        <f t="shared" si="93"/>
        <v>99.99</v>
      </c>
      <c r="I5909" s="35"/>
      <c r="K5909" t="s">
        <v>15</v>
      </c>
    </row>
    <row r="5910" spans="2:11" ht="41.25" x14ac:dyDescent="0.2">
      <c r="B5910" s="31" t="s">
        <v>6896</v>
      </c>
      <c r="C5910" s="31" t="s">
        <v>6890</v>
      </c>
      <c r="D5910" s="34">
        <v>0</v>
      </c>
      <c r="E5910" s="34"/>
      <c r="F5910" s="34">
        <v>99.99</v>
      </c>
      <c r="G5910" s="34">
        <v>0</v>
      </c>
      <c r="H5910" s="34">
        <f t="shared" si="93"/>
        <v>99.99</v>
      </c>
      <c r="I5910" s="34"/>
      <c r="K5910" t="s">
        <v>38</v>
      </c>
    </row>
    <row r="5911" spans="2:11" ht="24.75" x14ac:dyDescent="0.2">
      <c r="B5911" s="33" t="s">
        <v>6897</v>
      </c>
      <c r="C5911" s="33" t="s">
        <v>518</v>
      </c>
      <c r="D5911" s="35">
        <f>SUMIFS(D5912:D9015,K5912:K9015,"0",B5912:B9015,"5 1 2 4*")-SUMIFS(E5912:E9015,K5912:K9015,"0",B5912:B9015,"5 1 2 4*")</f>
        <v>0</v>
      </c>
      <c r="E5911"/>
      <c r="F5911" s="35">
        <f>SUMIFS(F5912:F9015,K5912:K9015,"0",B5912:B9015,"5 1 2 4*")</f>
        <v>1051121.5299999998</v>
      </c>
      <c r="G5911" s="35">
        <f>SUMIFS(G5912:G9015,K5912:K9015,"0",B5912:B9015,"5 1 2 4*")</f>
        <v>0</v>
      </c>
      <c r="H5911" s="35">
        <f t="shared" si="93"/>
        <v>1051121.5299999998</v>
      </c>
      <c r="I5911" s="35"/>
      <c r="K5911" t="s">
        <v>15</v>
      </c>
    </row>
    <row r="5912" spans="2:11" ht="16.5" x14ac:dyDescent="0.2">
      <c r="B5912" s="33" t="s">
        <v>6898</v>
      </c>
      <c r="C5912" s="33" t="s">
        <v>6899</v>
      </c>
      <c r="D5912" s="35">
        <f>SUMIFS(D5913:D9015,K5913:K9015,"0",B5913:B9015,"5 1 2 4 1*")-SUMIFS(E5913:E9015,K5913:K9015,"0",B5913:B9015,"5 1 2 4 1*")</f>
        <v>0</v>
      </c>
      <c r="E5912"/>
      <c r="F5912" s="35">
        <f>SUMIFS(F5913:F9015,K5913:K9015,"0",B5913:B9015,"5 1 2 4 1*")</f>
        <v>4613.9399999999996</v>
      </c>
      <c r="G5912" s="35">
        <f>SUMIFS(G5913:G9015,K5913:K9015,"0",B5913:B9015,"5 1 2 4 1*")</f>
        <v>0</v>
      </c>
      <c r="H5912" s="35">
        <f t="shared" si="93"/>
        <v>4613.9399999999996</v>
      </c>
      <c r="I5912" s="35"/>
      <c r="K5912" t="s">
        <v>15</v>
      </c>
    </row>
    <row r="5913" spans="2:11" ht="12.75" x14ac:dyDescent="0.2">
      <c r="B5913" s="33" t="s">
        <v>6900</v>
      </c>
      <c r="C5913" s="33" t="s">
        <v>26</v>
      </c>
      <c r="D5913" s="35">
        <f>SUMIFS(D5914:D9015,K5914:K9015,"0",B5914:B9015,"5 1 2 4 1 12*")-SUMIFS(E5914:E9015,K5914:K9015,"0",B5914:B9015,"5 1 2 4 1 12*")</f>
        <v>0</v>
      </c>
      <c r="E5913"/>
      <c r="F5913" s="35">
        <f>SUMIFS(F5914:F9015,K5914:K9015,"0",B5914:B9015,"5 1 2 4 1 12*")</f>
        <v>4613.9399999999996</v>
      </c>
      <c r="G5913" s="35">
        <f>SUMIFS(G5914:G9015,K5914:K9015,"0",B5914:B9015,"5 1 2 4 1 12*")</f>
        <v>0</v>
      </c>
      <c r="H5913" s="35">
        <f t="shared" si="93"/>
        <v>4613.9399999999996</v>
      </c>
      <c r="I5913" s="35"/>
      <c r="K5913" t="s">
        <v>15</v>
      </c>
    </row>
    <row r="5914" spans="2:11" ht="16.5" x14ac:dyDescent="0.2">
      <c r="B5914" s="33" t="s">
        <v>6901</v>
      </c>
      <c r="C5914" s="33" t="s">
        <v>28</v>
      </c>
      <c r="D5914" s="35">
        <f>SUMIFS(D5915:D9015,K5915:K9015,"0",B5915:B9015,"5 1 2 4 1 12 31111*")-SUMIFS(E5915:E9015,K5915:K9015,"0",B5915:B9015,"5 1 2 4 1 12 31111*")</f>
        <v>0</v>
      </c>
      <c r="E5914"/>
      <c r="F5914" s="35">
        <f>SUMIFS(F5915:F9015,K5915:K9015,"0",B5915:B9015,"5 1 2 4 1 12 31111*")</f>
        <v>4613.9399999999996</v>
      </c>
      <c r="G5914" s="35">
        <f>SUMIFS(G5915:G9015,K5915:K9015,"0",B5915:B9015,"5 1 2 4 1 12 31111*")</f>
        <v>0</v>
      </c>
      <c r="H5914" s="35">
        <f t="shared" si="93"/>
        <v>4613.9399999999996</v>
      </c>
      <c r="I5914" s="35"/>
      <c r="K5914" t="s">
        <v>15</v>
      </c>
    </row>
    <row r="5915" spans="2:11" ht="12.75" x14ac:dyDescent="0.2">
      <c r="B5915" s="33" t="s">
        <v>6902</v>
      </c>
      <c r="C5915" s="33" t="s">
        <v>30</v>
      </c>
      <c r="D5915" s="35">
        <f>SUMIFS(D5916:D9015,K5916:K9015,"0",B5916:B9015,"5 1 2 4 1 12 31111 6*")-SUMIFS(E5916:E9015,K5916:K9015,"0",B5916:B9015,"5 1 2 4 1 12 31111 6*")</f>
        <v>0</v>
      </c>
      <c r="E5915"/>
      <c r="F5915" s="35">
        <f>SUMIFS(F5916:F9015,K5916:K9015,"0",B5916:B9015,"5 1 2 4 1 12 31111 6*")</f>
        <v>4613.9399999999996</v>
      </c>
      <c r="G5915" s="35">
        <f>SUMIFS(G5916:G9015,K5916:K9015,"0",B5916:B9015,"5 1 2 4 1 12 31111 6*")</f>
        <v>0</v>
      </c>
      <c r="H5915" s="35">
        <f t="shared" si="93"/>
        <v>4613.9399999999996</v>
      </c>
      <c r="I5915" s="35"/>
      <c r="K5915" t="s">
        <v>15</v>
      </c>
    </row>
    <row r="5916" spans="2:11" ht="16.5" x14ac:dyDescent="0.2">
      <c r="B5916" s="33" t="s">
        <v>6903</v>
      </c>
      <c r="C5916" s="33" t="s">
        <v>2284</v>
      </c>
      <c r="D5916" s="35">
        <f>SUMIFS(D5917:D9015,K5917:K9015,"0",B5917:B9015,"5 1 2 4 1 12 31111 6 M59*")-SUMIFS(E5917:E9015,K5917:K9015,"0",B5917:B9015,"5 1 2 4 1 12 31111 6 M59*")</f>
        <v>0</v>
      </c>
      <c r="E5916"/>
      <c r="F5916" s="35">
        <f>SUMIFS(F5917:F9015,K5917:K9015,"0",B5917:B9015,"5 1 2 4 1 12 31111 6 M59*")</f>
        <v>4613.9399999999996</v>
      </c>
      <c r="G5916" s="35">
        <f>SUMIFS(G5917:G9015,K5917:K9015,"0",B5917:B9015,"5 1 2 4 1 12 31111 6 M59*")</f>
        <v>0</v>
      </c>
      <c r="H5916" s="35">
        <f t="shared" si="93"/>
        <v>4613.9399999999996</v>
      </c>
      <c r="I5916" s="35"/>
      <c r="K5916" t="s">
        <v>15</v>
      </c>
    </row>
    <row r="5917" spans="2:11" ht="16.5" x14ac:dyDescent="0.2">
      <c r="B5917" s="33" t="s">
        <v>6904</v>
      </c>
      <c r="C5917" s="33" t="s">
        <v>1044</v>
      </c>
      <c r="D5917" s="35">
        <f>SUMIFS(D5918:D9015,K5918:K9015,"0",B5918:B9015,"5 1 2 4 1 12 31111 6 M59 19000*")-SUMIFS(E5918:E9015,K5918:K9015,"0",B5918:B9015,"5 1 2 4 1 12 31111 6 M59 19000*")</f>
        <v>0</v>
      </c>
      <c r="E5917"/>
      <c r="F5917" s="35">
        <f>SUMIFS(F5918:F9015,K5918:K9015,"0",B5918:B9015,"5 1 2 4 1 12 31111 6 M59 19000*")</f>
        <v>3760</v>
      </c>
      <c r="G5917" s="35">
        <f>SUMIFS(G5918:G9015,K5918:K9015,"0",B5918:B9015,"5 1 2 4 1 12 31111 6 M59 19000*")</f>
        <v>0</v>
      </c>
      <c r="H5917" s="35">
        <f t="shared" si="93"/>
        <v>3760</v>
      </c>
      <c r="I5917" s="35"/>
      <c r="K5917" t="s">
        <v>15</v>
      </c>
    </row>
    <row r="5918" spans="2:11" ht="16.5" x14ac:dyDescent="0.2">
      <c r="B5918" s="33" t="s">
        <v>6905</v>
      </c>
      <c r="C5918" s="33" t="s">
        <v>648</v>
      </c>
      <c r="D5918" s="35">
        <f>SUMIFS(D5919:D9015,K5919:K9015,"0",B5919:B9015,"5 1 2 4 1 12 31111 6 M59 19000 000132*")-SUMIFS(E5919:E9015,K5919:K9015,"0",B5919:B9015,"5 1 2 4 1 12 31111 6 M59 19000 000132*")</f>
        <v>0</v>
      </c>
      <c r="E5918"/>
      <c r="F5918" s="35">
        <f>SUMIFS(F5919:F9015,K5919:K9015,"0",B5919:B9015,"5 1 2 4 1 12 31111 6 M59 19000 000132*")</f>
        <v>3760</v>
      </c>
      <c r="G5918" s="35">
        <f>SUMIFS(G5919:G9015,K5919:K9015,"0",B5919:B9015,"5 1 2 4 1 12 31111 6 M59 19000 000132*")</f>
        <v>0</v>
      </c>
      <c r="H5918" s="35">
        <f t="shared" si="93"/>
        <v>3760</v>
      </c>
      <c r="I5918" s="35"/>
      <c r="K5918" t="s">
        <v>15</v>
      </c>
    </row>
    <row r="5919" spans="2:11" ht="24.75" x14ac:dyDescent="0.2">
      <c r="B5919" s="33" t="s">
        <v>6906</v>
      </c>
      <c r="C5919" s="33" t="s">
        <v>650</v>
      </c>
      <c r="D5919" s="35">
        <f>SUMIFS(D5920:D9015,K5920:K9015,"0",B5920:B9015,"5 1 2 4 1 12 31111 6 M59 19000 000132 0000R*")-SUMIFS(E5920:E9015,K5920:K9015,"0",B5920:B9015,"5 1 2 4 1 12 31111 6 M59 19000 000132 0000R*")</f>
        <v>0</v>
      </c>
      <c r="E5919"/>
      <c r="F5919" s="35">
        <f>SUMIFS(F5920:F9015,K5920:K9015,"0",B5920:B9015,"5 1 2 4 1 12 31111 6 M59 19000 000132 0000R*")</f>
        <v>3760</v>
      </c>
      <c r="G5919" s="35">
        <f>SUMIFS(G5920:G9015,K5920:K9015,"0",B5920:B9015,"5 1 2 4 1 12 31111 6 M59 19000 000132 0000R*")</f>
        <v>0</v>
      </c>
      <c r="H5919" s="35">
        <f t="shared" si="93"/>
        <v>3760</v>
      </c>
      <c r="I5919" s="35"/>
      <c r="K5919" t="s">
        <v>15</v>
      </c>
    </row>
    <row r="5920" spans="2:11" ht="24.75" x14ac:dyDescent="0.2">
      <c r="B5920" s="33" t="s">
        <v>6907</v>
      </c>
      <c r="C5920" s="33" t="s">
        <v>282</v>
      </c>
      <c r="D5920" s="35">
        <f>SUMIFS(D5921:D9015,K5921:K9015,"0",B5921:B9015,"5 1 2 4 1 12 31111 6 M59 19000 000132 0000R 00001*")-SUMIFS(E5921:E9015,K5921:K9015,"0",B5921:B9015,"5 1 2 4 1 12 31111 6 M59 19000 000132 0000R 00001*")</f>
        <v>0</v>
      </c>
      <c r="E5920"/>
      <c r="F5920" s="35">
        <f>SUMIFS(F5921:F9015,K5921:K9015,"0",B5921:B9015,"5 1 2 4 1 12 31111 6 M59 19000 000132 0000R 00001*")</f>
        <v>3760</v>
      </c>
      <c r="G5920" s="35">
        <f>SUMIFS(G5921:G9015,K5921:K9015,"0",B5921:B9015,"5 1 2 4 1 12 31111 6 M59 19000 000132 0000R 00001*")</f>
        <v>0</v>
      </c>
      <c r="H5920" s="35">
        <f t="shared" si="93"/>
        <v>3760</v>
      </c>
      <c r="I5920" s="35"/>
      <c r="K5920" t="s">
        <v>15</v>
      </c>
    </row>
    <row r="5921" spans="2:11" ht="24.75" x14ac:dyDescent="0.2">
      <c r="B5921" s="33" t="s">
        <v>6908</v>
      </c>
      <c r="C5921" s="33" t="s">
        <v>6909</v>
      </c>
      <c r="D5921" s="35">
        <f>SUMIFS(D5922:D9015,K5922:K9015,"0",B5922:B9015,"5 1 2 4 1 12 31111 6 M59 19000 000132 0000R 00001 00241*")-SUMIFS(E5922:E9015,K5922:K9015,"0",B5922:B9015,"5 1 2 4 1 12 31111 6 M59 19000 000132 0000R 00001 00241*")</f>
        <v>0</v>
      </c>
      <c r="E5921"/>
      <c r="F5921" s="35">
        <f>SUMIFS(F5922:F9015,K5922:K9015,"0",B5922:B9015,"5 1 2 4 1 12 31111 6 M59 19000 000132 0000R 00001 00241*")</f>
        <v>3760</v>
      </c>
      <c r="G5921" s="35">
        <f>SUMIFS(G5922:G9015,K5922:K9015,"0",B5922:B9015,"5 1 2 4 1 12 31111 6 M59 19000 000132 0000R 00001 00241*")</f>
        <v>0</v>
      </c>
      <c r="H5921" s="35">
        <f t="shared" si="93"/>
        <v>3760</v>
      </c>
      <c r="I5921" s="35"/>
      <c r="K5921" t="s">
        <v>15</v>
      </c>
    </row>
    <row r="5922" spans="2:11" ht="33" x14ac:dyDescent="0.2">
      <c r="B5922" s="33" t="s">
        <v>6910</v>
      </c>
      <c r="C5922" s="33" t="s">
        <v>699</v>
      </c>
      <c r="D5922" s="35">
        <f>SUMIFS(D5923:D9015,K5923:K9015,"0",B5923:B9015,"5 1 2 4 1 12 31111 6 M59 19000 000132 0000R 00001 00241 011*")-SUMIFS(E5923:E9015,K5923:K9015,"0",B5923:B9015,"5 1 2 4 1 12 31111 6 M59 19000 000132 0000R 00001 00241 011*")</f>
        <v>0</v>
      </c>
      <c r="E5922"/>
      <c r="F5922" s="35">
        <f>SUMIFS(F5923:F9015,K5923:K9015,"0",B5923:B9015,"5 1 2 4 1 12 31111 6 M59 19000 000132 0000R 00001 00241 011*")</f>
        <v>3760</v>
      </c>
      <c r="G5922" s="35">
        <f>SUMIFS(G5923:G9015,K5923:K9015,"0",B5923:B9015,"5 1 2 4 1 12 31111 6 M59 19000 000132 0000R 00001 00241 011*")</f>
        <v>0</v>
      </c>
      <c r="H5922" s="35">
        <f t="shared" si="93"/>
        <v>3760</v>
      </c>
      <c r="I5922" s="35"/>
      <c r="K5922" t="s">
        <v>15</v>
      </c>
    </row>
    <row r="5923" spans="2:11" ht="33" x14ac:dyDescent="0.2">
      <c r="B5923" s="33" t="s">
        <v>6911</v>
      </c>
      <c r="C5923" s="33" t="s">
        <v>5830</v>
      </c>
      <c r="D5923" s="35">
        <f>SUMIFS(D5924:D9015,K5924:K9015,"0",B5924:B9015,"5 1 2 4 1 12 31111 6 M59 19000 000132 0000R 00001 00241 011 2112000*")-SUMIFS(E5924:E9015,K5924:K9015,"0",B5924:B9015,"5 1 2 4 1 12 31111 6 M59 19000 000132 0000R 00001 00241 011 2112000*")</f>
        <v>0</v>
      </c>
      <c r="E5923"/>
      <c r="F5923" s="35">
        <f>SUMIFS(F5924:F9015,K5924:K9015,"0",B5924:B9015,"5 1 2 4 1 12 31111 6 M59 19000 000132 0000R 00001 00241 011 2112000*")</f>
        <v>3760</v>
      </c>
      <c r="G5923" s="35">
        <f>SUMIFS(G5924:G9015,K5924:K9015,"0",B5924:B9015,"5 1 2 4 1 12 31111 6 M59 19000 000132 0000R 00001 00241 011 2112000*")</f>
        <v>0</v>
      </c>
      <c r="H5923" s="35">
        <f t="shared" si="93"/>
        <v>3760</v>
      </c>
      <c r="I5923" s="35"/>
      <c r="K5923" t="s">
        <v>15</v>
      </c>
    </row>
    <row r="5924" spans="2:11" ht="33" x14ac:dyDescent="0.2">
      <c r="B5924" s="33" t="s">
        <v>6912</v>
      </c>
      <c r="C5924" s="33" t="s">
        <v>660</v>
      </c>
      <c r="D5924" s="35">
        <f>SUMIFS(D5925:D9015,K5925:K9015,"0",B5925:B9015,"5 1 2 4 1 12 31111 6 M59 19000 000132 0000R 00001 00241 011 2112000 2024*")-SUMIFS(E5925:E9015,K5925:K9015,"0",B5925:B9015,"5 1 2 4 1 12 31111 6 M59 19000 000132 0000R 00001 00241 011 2112000 2024*")</f>
        <v>0</v>
      </c>
      <c r="E5924"/>
      <c r="F5924" s="35">
        <f>SUMIFS(F5925:F9015,K5925:K9015,"0",B5925:B9015,"5 1 2 4 1 12 31111 6 M59 19000 000132 0000R 00001 00241 011 2112000 2024*")</f>
        <v>3760</v>
      </c>
      <c r="G5924" s="35">
        <f>SUMIFS(G5925:G9015,K5925:K9015,"0",B5925:B9015,"5 1 2 4 1 12 31111 6 M59 19000 000132 0000R 00001 00241 011 2112000 2024*")</f>
        <v>0</v>
      </c>
      <c r="H5924" s="35">
        <f t="shared" si="93"/>
        <v>3760</v>
      </c>
      <c r="I5924" s="35"/>
      <c r="K5924" t="s">
        <v>15</v>
      </c>
    </row>
    <row r="5925" spans="2:11" ht="41.25" x14ac:dyDescent="0.2">
      <c r="B5925" s="33" t="s">
        <v>6913</v>
      </c>
      <c r="C5925" s="33" t="s">
        <v>662</v>
      </c>
      <c r="D5925" s="35">
        <f>SUMIFS(D5926:D9015,K5926:K9015,"0",B5926:B9015,"5 1 2 4 1 12 31111 6 M59 19000 000132 0000R 00001 00241 011 2112000 2024 CP1TM440*")-SUMIFS(E5926:E9015,K5926:K9015,"0",B5926:B9015,"5 1 2 4 1 12 31111 6 M59 19000 000132 0000R 00001 00241 011 2112000 2024 CP1TM440*")</f>
        <v>0</v>
      </c>
      <c r="E5925"/>
      <c r="F5925" s="35">
        <f>SUMIFS(F5926:F9015,K5926:K9015,"0",B5926:B9015,"5 1 2 4 1 12 31111 6 M59 19000 000132 0000R 00001 00241 011 2112000 2024 CP1TM440*")</f>
        <v>3760</v>
      </c>
      <c r="G5925" s="35">
        <f>SUMIFS(G5926:G9015,K5926:K9015,"0",B5926:B9015,"5 1 2 4 1 12 31111 6 M59 19000 000132 0000R 00001 00241 011 2112000 2024 CP1TM440*")</f>
        <v>0</v>
      </c>
      <c r="H5925" s="35">
        <f t="shared" si="93"/>
        <v>3760</v>
      </c>
      <c r="I5925" s="35"/>
      <c r="K5925" t="s">
        <v>15</v>
      </c>
    </row>
    <row r="5926" spans="2:11" ht="41.25" x14ac:dyDescent="0.2">
      <c r="B5926" s="33" t="s">
        <v>6914</v>
      </c>
      <c r="C5926" s="33" t="s">
        <v>46</v>
      </c>
      <c r="D5926" s="35">
        <f>SUMIFS(D5927:D9015,K5927:K9015,"0",B5927:B9015,"5 1 2 4 1 12 31111 6 M59 19000 000132 0000R 00001 00241 011 2112000 2024 CP1TM440 004*")-SUMIFS(E5927:E9015,K5927:K9015,"0",B5927:B9015,"5 1 2 4 1 12 31111 6 M59 19000 000132 0000R 00001 00241 011 2112000 2024 CP1TM440 004*")</f>
        <v>0</v>
      </c>
      <c r="E5926"/>
      <c r="F5926" s="35">
        <f>SUMIFS(F5927:F9015,K5927:K9015,"0",B5927:B9015,"5 1 2 4 1 12 31111 6 M59 19000 000132 0000R 00001 00241 011 2112000 2024 CP1TM440 004*")</f>
        <v>3760</v>
      </c>
      <c r="G5926" s="35">
        <f>SUMIFS(G5927:G9015,K5927:K9015,"0",B5927:B9015,"5 1 2 4 1 12 31111 6 M59 19000 000132 0000R 00001 00241 011 2112000 2024 CP1TM440 004*")</f>
        <v>0</v>
      </c>
      <c r="H5926" s="35">
        <f t="shared" si="93"/>
        <v>3760</v>
      </c>
      <c r="I5926" s="35"/>
      <c r="K5926" t="s">
        <v>15</v>
      </c>
    </row>
    <row r="5927" spans="2:11" ht="33" x14ac:dyDescent="0.2">
      <c r="B5927" s="31" t="s">
        <v>6915</v>
      </c>
      <c r="C5927" s="31" t="s">
        <v>6909</v>
      </c>
      <c r="D5927" s="34">
        <v>0</v>
      </c>
      <c r="E5927" s="34"/>
      <c r="F5927" s="34">
        <v>3760</v>
      </c>
      <c r="G5927" s="34">
        <v>0</v>
      </c>
      <c r="H5927" s="34">
        <f t="shared" si="93"/>
        <v>3760</v>
      </c>
      <c r="I5927" s="34"/>
      <c r="K5927" t="s">
        <v>38</v>
      </c>
    </row>
    <row r="5928" spans="2:11" ht="16.5" x14ac:dyDescent="0.2">
      <c r="B5928" s="33" t="s">
        <v>6916</v>
      </c>
      <c r="C5928" s="33" t="s">
        <v>3103</v>
      </c>
      <c r="D5928" s="35">
        <f>SUMIFS(D5929:D9015,K5929:K9015,"0",B5929:B9015,"5 1 2 4 1 12 31111 6 M59 20400*")-SUMIFS(E5929:E9015,K5929:K9015,"0",B5929:B9015,"5 1 2 4 1 12 31111 6 M59 20400*")</f>
        <v>0</v>
      </c>
      <c r="E5928"/>
      <c r="F5928" s="35">
        <f>SUMIFS(F5929:F9015,K5929:K9015,"0",B5929:B9015,"5 1 2 4 1 12 31111 6 M59 20400*")</f>
        <v>304.99</v>
      </c>
      <c r="G5928" s="35">
        <f>SUMIFS(G5929:G9015,K5929:K9015,"0",B5929:B9015,"5 1 2 4 1 12 31111 6 M59 20400*")</f>
        <v>0</v>
      </c>
      <c r="H5928" s="35">
        <f t="shared" si="93"/>
        <v>304.99</v>
      </c>
      <c r="I5928" s="35"/>
      <c r="K5928" t="s">
        <v>15</v>
      </c>
    </row>
    <row r="5929" spans="2:11" ht="16.5" x14ac:dyDescent="0.2">
      <c r="B5929" s="33" t="s">
        <v>6917</v>
      </c>
      <c r="C5929" s="33" t="s">
        <v>648</v>
      </c>
      <c r="D5929" s="35">
        <f>SUMIFS(D5930:D9015,K5930:K9015,"0",B5930:B9015,"5 1 2 4 1 12 31111 6 M59 20400 000132*")-SUMIFS(E5930:E9015,K5930:K9015,"0",B5930:B9015,"5 1 2 4 1 12 31111 6 M59 20400 000132*")</f>
        <v>0</v>
      </c>
      <c r="E5929"/>
      <c r="F5929" s="35">
        <f>SUMIFS(F5930:F9015,K5930:K9015,"0",B5930:B9015,"5 1 2 4 1 12 31111 6 M59 20400 000132*")</f>
        <v>304.99</v>
      </c>
      <c r="G5929" s="35">
        <f>SUMIFS(G5930:G9015,K5930:K9015,"0",B5930:B9015,"5 1 2 4 1 12 31111 6 M59 20400 000132*")</f>
        <v>0</v>
      </c>
      <c r="H5929" s="35">
        <f t="shared" si="93"/>
        <v>304.99</v>
      </c>
      <c r="I5929" s="35"/>
      <c r="K5929" t="s">
        <v>15</v>
      </c>
    </row>
    <row r="5930" spans="2:11" ht="24.75" x14ac:dyDescent="0.2">
      <c r="B5930" s="33" t="s">
        <v>6918</v>
      </c>
      <c r="C5930" s="33" t="s">
        <v>650</v>
      </c>
      <c r="D5930" s="35">
        <f>SUMIFS(D5931:D9015,K5931:K9015,"0",B5931:B9015,"5 1 2 4 1 12 31111 6 M59 20400 000132 0000R*")-SUMIFS(E5931:E9015,K5931:K9015,"0",B5931:B9015,"5 1 2 4 1 12 31111 6 M59 20400 000132 0000R*")</f>
        <v>0</v>
      </c>
      <c r="E5930"/>
      <c r="F5930" s="35">
        <f>SUMIFS(F5931:F9015,K5931:K9015,"0",B5931:B9015,"5 1 2 4 1 12 31111 6 M59 20400 000132 0000R*")</f>
        <v>304.99</v>
      </c>
      <c r="G5930" s="35">
        <f>SUMIFS(G5931:G9015,K5931:K9015,"0",B5931:B9015,"5 1 2 4 1 12 31111 6 M59 20400 000132 0000R*")</f>
        <v>0</v>
      </c>
      <c r="H5930" s="35">
        <f t="shared" si="93"/>
        <v>304.99</v>
      </c>
      <c r="I5930" s="35"/>
      <c r="K5930" t="s">
        <v>15</v>
      </c>
    </row>
    <row r="5931" spans="2:11" ht="24.75" x14ac:dyDescent="0.2">
      <c r="B5931" s="33" t="s">
        <v>6919</v>
      </c>
      <c r="C5931" s="33" t="s">
        <v>282</v>
      </c>
      <c r="D5931" s="35">
        <f>SUMIFS(D5932:D9015,K5932:K9015,"0",B5932:B9015,"5 1 2 4 1 12 31111 6 M59 20400 000132 0000R 00001*")-SUMIFS(E5932:E9015,K5932:K9015,"0",B5932:B9015,"5 1 2 4 1 12 31111 6 M59 20400 000132 0000R 00001*")</f>
        <v>0</v>
      </c>
      <c r="E5931"/>
      <c r="F5931" s="35">
        <f>SUMIFS(F5932:F9015,K5932:K9015,"0",B5932:B9015,"5 1 2 4 1 12 31111 6 M59 20400 000132 0000R 00001*")</f>
        <v>304.99</v>
      </c>
      <c r="G5931" s="35">
        <f>SUMIFS(G5932:G9015,K5932:K9015,"0",B5932:B9015,"5 1 2 4 1 12 31111 6 M59 20400 000132 0000R 00001*")</f>
        <v>0</v>
      </c>
      <c r="H5931" s="35">
        <f t="shared" si="93"/>
        <v>304.99</v>
      </c>
      <c r="I5931" s="35"/>
      <c r="K5931" t="s">
        <v>15</v>
      </c>
    </row>
    <row r="5932" spans="2:11" ht="24.75" x14ac:dyDescent="0.2">
      <c r="B5932" s="33" t="s">
        <v>6920</v>
      </c>
      <c r="C5932" s="33" t="s">
        <v>6909</v>
      </c>
      <c r="D5932" s="35">
        <f>SUMIFS(D5933:D9015,K5933:K9015,"0",B5933:B9015,"5 1 2 4 1 12 31111 6 M59 20400 000132 0000R 00001 00241*")-SUMIFS(E5933:E9015,K5933:K9015,"0",B5933:B9015,"5 1 2 4 1 12 31111 6 M59 20400 000132 0000R 00001 00241*")</f>
        <v>0</v>
      </c>
      <c r="E5932"/>
      <c r="F5932" s="35">
        <f>SUMIFS(F5933:F9015,K5933:K9015,"0",B5933:B9015,"5 1 2 4 1 12 31111 6 M59 20400 000132 0000R 00001 00241*")</f>
        <v>304.99</v>
      </c>
      <c r="G5932" s="35">
        <f>SUMIFS(G5933:G9015,K5933:K9015,"0",B5933:B9015,"5 1 2 4 1 12 31111 6 M59 20400 000132 0000R 00001 00241*")</f>
        <v>0</v>
      </c>
      <c r="H5932" s="35">
        <f t="shared" si="93"/>
        <v>304.99</v>
      </c>
      <c r="I5932" s="35"/>
      <c r="K5932" t="s">
        <v>15</v>
      </c>
    </row>
    <row r="5933" spans="2:11" ht="33" x14ac:dyDescent="0.2">
      <c r="B5933" s="33" t="s">
        <v>6921</v>
      </c>
      <c r="C5933" s="33" t="s">
        <v>1051</v>
      </c>
      <c r="D5933" s="35">
        <f>SUMIFS(D5934:D9015,K5934:K9015,"0",B5934:B9015,"5 1 2 4 1 12 31111 6 M59 20400 000132 0000R 00001 00241 015*")-SUMIFS(E5934:E9015,K5934:K9015,"0",B5934:B9015,"5 1 2 4 1 12 31111 6 M59 20400 000132 0000R 00001 00241 015*")</f>
        <v>0</v>
      </c>
      <c r="E5933"/>
      <c r="F5933" s="35">
        <f>SUMIFS(F5934:F9015,K5934:K9015,"0",B5934:B9015,"5 1 2 4 1 12 31111 6 M59 20400 000132 0000R 00001 00241 015*")</f>
        <v>304.99</v>
      </c>
      <c r="G5933" s="35">
        <f>SUMIFS(G5934:G9015,K5934:K9015,"0",B5934:B9015,"5 1 2 4 1 12 31111 6 M59 20400 000132 0000R 00001 00241 015*")</f>
        <v>0</v>
      </c>
      <c r="H5933" s="35">
        <f t="shared" si="93"/>
        <v>304.99</v>
      </c>
      <c r="I5933" s="35"/>
      <c r="K5933" t="s">
        <v>15</v>
      </c>
    </row>
    <row r="5934" spans="2:11" ht="33" x14ac:dyDescent="0.2">
      <c r="B5934" s="33" t="s">
        <v>6922</v>
      </c>
      <c r="C5934" s="33" t="s">
        <v>5830</v>
      </c>
      <c r="D5934" s="35">
        <f>SUMIFS(D5935:D9015,K5935:K9015,"0",B5935:B9015,"5 1 2 4 1 12 31111 6 M59 20400 000132 0000R 00001 00241 015 2112000*")-SUMIFS(E5935:E9015,K5935:K9015,"0",B5935:B9015,"5 1 2 4 1 12 31111 6 M59 20400 000132 0000R 00001 00241 015 2112000*")</f>
        <v>0</v>
      </c>
      <c r="E5934"/>
      <c r="F5934" s="35">
        <f>SUMIFS(F5935:F9015,K5935:K9015,"0",B5935:B9015,"5 1 2 4 1 12 31111 6 M59 20400 000132 0000R 00001 00241 015 2112000*")</f>
        <v>304.99</v>
      </c>
      <c r="G5934" s="35">
        <f>SUMIFS(G5935:G9015,K5935:K9015,"0",B5935:B9015,"5 1 2 4 1 12 31111 6 M59 20400 000132 0000R 00001 00241 015 2112000*")</f>
        <v>0</v>
      </c>
      <c r="H5934" s="35">
        <f t="shared" si="93"/>
        <v>304.99</v>
      </c>
      <c r="I5934" s="35"/>
      <c r="K5934" t="s">
        <v>15</v>
      </c>
    </row>
    <row r="5935" spans="2:11" ht="33" x14ac:dyDescent="0.2">
      <c r="B5935" s="33" t="s">
        <v>6923</v>
      </c>
      <c r="C5935" s="33" t="s">
        <v>660</v>
      </c>
      <c r="D5935" s="35">
        <f>SUMIFS(D5936:D9015,K5936:K9015,"0",B5936:B9015,"5 1 2 4 1 12 31111 6 M59 20400 000132 0000R 00001 00241 015 2112000 2024*")-SUMIFS(E5936:E9015,K5936:K9015,"0",B5936:B9015,"5 1 2 4 1 12 31111 6 M59 20400 000132 0000R 00001 00241 015 2112000 2024*")</f>
        <v>0</v>
      </c>
      <c r="E5935"/>
      <c r="F5935" s="35">
        <f>SUMIFS(F5936:F9015,K5936:K9015,"0",B5936:B9015,"5 1 2 4 1 12 31111 6 M59 20400 000132 0000R 00001 00241 015 2112000 2024*")</f>
        <v>304.99</v>
      </c>
      <c r="G5935" s="35">
        <f>SUMIFS(G5936:G9015,K5936:K9015,"0",B5936:B9015,"5 1 2 4 1 12 31111 6 M59 20400 000132 0000R 00001 00241 015 2112000 2024*")</f>
        <v>0</v>
      </c>
      <c r="H5935" s="35">
        <f t="shared" si="93"/>
        <v>304.99</v>
      </c>
      <c r="I5935" s="35"/>
      <c r="K5935" t="s">
        <v>15</v>
      </c>
    </row>
    <row r="5936" spans="2:11" ht="41.25" x14ac:dyDescent="0.2">
      <c r="B5936" s="33" t="s">
        <v>6924</v>
      </c>
      <c r="C5936" s="33" t="s">
        <v>1056</v>
      </c>
      <c r="D5936" s="35">
        <f>SUMIFS(D5937:D9015,K5937:K9015,"0",B5937:B9015,"5 1 2 4 1 12 31111 6 M59 20400 000132 0000R 00001 00241 015 2112000 2024 CP1PV404*")-SUMIFS(E5937:E9015,K5937:K9015,"0",B5937:B9015,"5 1 2 4 1 12 31111 6 M59 20400 000132 0000R 00001 00241 015 2112000 2024 CP1PV404*")</f>
        <v>0</v>
      </c>
      <c r="E5936"/>
      <c r="F5936" s="35">
        <f>SUMIFS(F5937:F9015,K5937:K9015,"0",B5937:B9015,"5 1 2 4 1 12 31111 6 M59 20400 000132 0000R 00001 00241 015 2112000 2024 CP1PV404*")</f>
        <v>304.99</v>
      </c>
      <c r="G5936" s="35">
        <f>SUMIFS(G5937:G9015,K5937:K9015,"0",B5937:B9015,"5 1 2 4 1 12 31111 6 M59 20400 000132 0000R 00001 00241 015 2112000 2024 CP1PV404*")</f>
        <v>0</v>
      </c>
      <c r="H5936" s="35">
        <f t="shared" si="93"/>
        <v>304.99</v>
      </c>
      <c r="I5936" s="35"/>
      <c r="K5936" t="s">
        <v>15</v>
      </c>
    </row>
    <row r="5937" spans="2:11" ht="41.25" x14ac:dyDescent="0.2">
      <c r="B5937" s="33" t="s">
        <v>6925</v>
      </c>
      <c r="C5937" s="33" t="s">
        <v>282</v>
      </c>
      <c r="D5937" s="35">
        <f>SUMIFS(D5938:D9015,K5938:K9015,"0",B5938:B9015,"5 1 2 4 1 12 31111 6 M59 20400 000132 0000R 00001 00241 015 2112000 2024 CP1PV404 001*")-SUMIFS(E5938:E9015,K5938:K9015,"0",B5938:B9015,"5 1 2 4 1 12 31111 6 M59 20400 000132 0000R 00001 00241 015 2112000 2024 CP1PV404 001*")</f>
        <v>0</v>
      </c>
      <c r="E5937"/>
      <c r="F5937" s="35">
        <f>SUMIFS(F5938:F9015,K5938:K9015,"0",B5938:B9015,"5 1 2 4 1 12 31111 6 M59 20400 000132 0000R 00001 00241 015 2112000 2024 CP1PV404 001*")</f>
        <v>304.99</v>
      </c>
      <c r="G5937" s="35">
        <f>SUMIFS(G5938:G9015,K5938:K9015,"0",B5938:B9015,"5 1 2 4 1 12 31111 6 M59 20400 000132 0000R 00001 00241 015 2112000 2024 CP1PV404 001*")</f>
        <v>0</v>
      </c>
      <c r="H5937" s="35">
        <f t="shared" si="93"/>
        <v>304.99</v>
      </c>
      <c r="I5937" s="35"/>
      <c r="K5937" t="s">
        <v>15</v>
      </c>
    </row>
    <row r="5938" spans="2:11" ht="41.25" x14ac:dyDescent="0.2">
      <c r="B5938" s="31" t="s">
        <v>6926</v>
      </c>
      <c r="C5938" s="31" t="s">
        <v>6909</v>
      </c>
      <c r="D5938" s="34">
        <v>0</v>
      </c>
      <c r="E5938" s="34"/>
      <c r="F5938" s="34">
        <v>304.99</v>
      </c>
      <c r="G5938" s="34">
        <v>0</v>
      </c>
      <c r="H5938" s="34">
        <f t="shared" si="93"/>
        <v>304.99</v>
      </c>
      <c r="I5938" s="34"/>
      <c r="K5938" t="s">
        <v>38</v>
      </c>
    </row>
    <row r="5939" spans="2:11" ht="16.5" x14ac:dyDescent="0.2">
      <c r="B5939" s="33" t="s">
        <v>6927</v>
      </c>
      <c r="C5939" s="33" t="s">
        <v>3281</v>
      </c>
      <c r="D5939" s="35">
        <f>SUMIFS(D5940:D9015,K5940:K9015,"0",B5940:B9015,"5 1 2 4 1 12 31111 6 M59 50000*")-SUMIFS(E5940:E9015,K5940:K9015,"0",B5940:B9015,"5 1 2 4 1 12 31111 6 M59 50000*")</f>
        <v>0</v>
      </c>
      <c r="E5939"/>
      <c r="F5939" s="35">
        <f>SUMIFS(F5940:F9015,K5940:K9015,"0",B5940:B9015,"5 1 2 4 1 12 31111 6 M59 50000*")</f>
        <v>152.49</v>
      </c>
      <c r="G5939" s="35">
        <f>SUMIFS(G5940:G9015,K5940:K9015,"0",B5940:B9015,"5 1 2 4 1 12 31111 6 M59 50000*")</f>
        <v>0</v>
      </c>
      <c r="H5939" s="35">
        <f t="shared" si="93"/>
        <v>152.49</v>
      </c>
      <c r="I5939" s="35"/>
      <c r="K5939" t="s">
        <v>15</v>
      </c>
    </row>
    <row r="5940" spans="2:11" ht="16.5" x14ac:dyDescent="0.2">
      <c r="B5940" s="33" t="s">
        <v>6928</v>
      </c>
      <c r="C5940" s="33" t="s">
        <v>3283</v>
      </c>
      <c r="D5940" s="35">
        <f>SUMIFS(D5941:D9015,K5941:K9015,"0",B5941:B9015,"5 1 2 4 1 12 31111 6 M59 50000 000223*")-SUMIFS(E5941:E9015,K5941:K9015,"0",B5941:B9015,"5 1 2 4 1 12 31111 6 M59 50000 000223*")</f>
        <v>0</v>
      </c>
      <c r="E5940"/>
      <c r="F5940" s="35">
        <f>SUMIFS(F5941:F9015,K5941:K9015,"0",B5941:B9015,"5 1 2 4 1 12 31111 6 M59 50000 000223*")</f>
        <v>152.49</v>
      </c>
      <c r="G5940" s="35">
        <f>SUMIFS(G5941:G9015,K5941:K9015,"0",B5941:B9015,"5 1 2 4 1 12 31111 6 M59 50000 000223*")</f>
        <v>0</v>
      </c>
      <c r="H5940" s="35">
        <f t="shared" si="93"/>
        <v>152.49</v>
      </c>
      <c r="I5940" s="35"/>
      <c r="K5940" t="s">
        <v>15</v>
      </c>
    </row>
    <row r="5941" spans="2:11" ht="24.75" x14ac:dyDescent="0.2">
      <c r="B5941" s="33" t="s">
        <v>6929</v>
      </c>
      <c r="C5941" s="33" t="s">
        <v>1065</v>
      </c>
      <c r="D5941" s="35">
        <f>SUMIFS(D5942:D9015,K5942:K9015,"0",B5942:B9015,"5 1 2 4 1 12 31111 6 M59 50000 000223 0000E*")-SUMIFS(E5942:E9015,K5942:K9015,"0",B5942:B9015,"5 1 2 4 1 12 31111 6 M59 50000 000223 0000E*")</f>
        <v>0</v>
      </c>
      <c r="E5941"/>
      <c r="F5941" s="35">
        <f>SUMIFS(F5942:F9015,K5942:K9015,"0",B5942:B9015,"5 1 2 4 1 12 31111 6 M59 50000 000223 0000E*")</f>
        <v>152.49</v>
      </c>
      <c r="G5941" s="35">
        <f>SUMIFS(G5942:G9015,K5942:K9015,"0",B5942:B9015,"5 1 2 4 1 12 31111 6 M59 50000 000223 0000E*")</f>
        <v>0</v>
      </c>
      <c r="H5941" s="35">
        <f t="shared" si="93"/>
        <v>152.49</v>
      </c>
      <c r="I5941" s="35"/>
      <c r="K5941" t="s">
        <v>15</v>
      </c>
    </row>
    <row r="5942" spans="2:11" ht="24.75" x14ac:dyDescent="0.2">
      <c r="B5942" s="33" t="s">
        <v>6930</v>
      </c>
      <c r="C5942" s="33" t="s">
        <v>282</v>
      </c>
      <c r="D5942" s="35">
        <f>SUMIFS(D5943:D9015,K5943:K9015,"0",B5943:B9015,"5 1 2 4 1 12 31111 6 M59 50000 000223 0000E 00001*")-SUMIFS(E5943:E9015,K5943:K9015,"0",B5943:B9015,"5 1 2 4 1 12 31111 6 M59 50000 000223 0000E 00001*")</f>
        <v>0</v>
      </c>
      <c r="E5942"/>
      <c r="F5942" s="35">
        <f>SUMIFS(F5943:F9015,K5943:K9015,"0",B5943:B9015,"5 1 2 4 1 12 31111 6 M59 50000 000223 0000E 00001*")</f>
        <v>152.49</v>
      </c>
      <c r="G5942" s="35">
        <f>SUMIFS(G5943:G9015,K5943:K9015,"0",B5943:B9015,"5 1 2 4 1 12 31111 6 M59 50000 000223 0000E 00001*")</f>
        <v>0</v>
      </c>
      <c r="H5942" s="35">
        <f t="shared" si="93"/>
        <v>152.49</v>
      </c>
      <c r="I5942" s="35"/>
      <c r="K5942" t="s">
        <v>15</v>
      </c>
    </row>
    <row r="5943" spans="2:11" ht="24.75" x14ac:dyDescent="0.2">
      <c r="B5943" s="33" t="s">
        <v>6931</v>
      </c>
      <c r="C5943" s="33" t="s">
        <v>6909</v>
      </c>
      <c r="D5943" s="35">
        <f>SUMIFS(D5944:D9015,K5944:K9015,"0",B5944:B9015,"5 1 2 4 1 12 31111 6 M59 50000 000223 0000E 00001 00241*")-SUMIFS(E5944:E9015,K5944:K9015,"0",B5944:B9015,"5 1 2 4 1 12 31111 6 M59 50000 000223 0000E 00001 00241*")</f>
        <v>0</v>
      </c>
      <c r="E5943"/>
      <c r="F5943" s="35">
        <f>SUMIFS(F5944:F9015,K5944:K9015,"0",B5944:B9015,"5 1 2 4 1 12 31111 6 M59 50000 000223 0000E 00001 00241*")</f>
        <v>152.49</v>
      </c>
      <c r="G5943" s="35">
        <f>SUMIFS(G5944:G9015,K5944:K9015,"0",B5944:B9015,"5 1 2 4 1 12 31111 6 M59 50000 000223 0000E 00001 00241*")</f>
        <v>0</v>
      </c>
      <c r="H5943" s="35">
        <f t="shared" si="93"/>
        <v>152.49</v>
      </c>
      <c r="I5943" s="35"/>
      <c r="K5943" t="s">
        <v>15</v>
      </c>
    </row>
    <row r="5944" spans="2:11" ht="33" x14ac:dyDescent="0.2">
      <c r="B5944" s="33" t="s">
        <v>6932</v>
      </c>
      <c r="C5944" s="33" t="s">
        <v>1051</v>
      </c>
      <c r="D5944" s="35">
        <f>SUMIFS(D5945:D9015,K5945:K9015,"0",B5945:B9015,"5 1 2 4 1 12 31111 6 M59 50000 000223 0000E 00001 00241 015*")-SUMIFS(E5945:E9015,K5945:K9015,"0",B5945:B9015,"5 1 2 4 1 12 31111 6 M59 50000 000223 0000E 00001 00241 015*")</f>
        <v>0</v>
      </c>
      <c r="E5944"/>
      <c r="F5944" s="35">
        <f>SUMIFS(F5945:F9015,K5945:K9015,"0",B5945:B9015,"5 1 2 4 1 12 31111 6 M59 50000 000223 0000E 00001 00241 015*")</f>
        <v>152.49</v>
      </c>
      <c r="G5944" s="35">
        <f>SUMIFS(G5945:G9015,K5945:K9015,"0",B5945:B9015,"5 1 2 4 1 12 31111 6 M59 50000 000223 0000E 00001 00241 015*")</f>
        <v>0</v>
      </c>
      <c r="H5944" s="35">
        <f t="shared" si="93"/>
        <v>152.49</v>
      </c>
      <c r="I5944" s="35"/>
      <c r="K5944" t="s">
        <v>15</v>
      </c>
    </row>
    <row r="5945" spans="2:11" ht="33" x14ac:dyDescent="0.2">
      <c r="B5945" s="33" t="s">
        <v>6933</v>
      </c>
      <c r="C5945" s="33" t="s">
        <v>5830</v>
      </c>
      <c r="D5945" s="35">
        <f>SUMIFS(D5946:D9015,K5946:K9015,"0",B5946:B9015,"5 1 2 4 1 12 31111 6 M59 50000 000223 0000E 00001 00241 015 2112000*")-SUMIFS(E5946:E9015,K5946:K9015,"0",B5946:B9015,"5 1 2 4 1 12 31111 6 M59 50000 000223 0000E 00001 00241 015 2112000*")</f>
        <v>0</v>
      </c>
      <c r="E5945"/>
      <c r="F5945" s="35">
        <f>SUMIFS(F5946:F9015,K5946:K9015,"0",B5946:B9015,"5 1 2 4 1 12 31111 6 M59 50000 000223 0000E 00001 00241 015 2112000*")</f>
        <v>152.49</v>
      </c>
      <c r="G5945" s="35">
        <f>SUMIFS(G5946:G9015,K5946:K9015,"0",B5946:B9015,"5 1 2 4 1 12 31111 6 M59 50000 000223 0000E 00001 00241 015 2112000*")</f>
        <v>0</v>
      </c>
      <c r="H5945" s="35">
        <f t="shared" si="93"/>
        <v>152.49</v>
      </c>
      <c r="I5945" s="35"/>
      <c r="K5945" t="s">
        <v>15</v>
      </c>
    </row>
    <row r="5946" spans="2:11" ht="33" x14ac:dyDescent="0.2">
      <c r="B5946" s="33" t="s">
        <v>6934</v>
      </c>
      <c r="C5946" s="33" t="s">
        <v>660</v>
      </c>
      <c r="D5946" s="35">
        <f>SUMIFS(D5947:D9015,K5947:K9015,"0",B5947:B9015,"5 1 2 4 1 12 31111 6 M59 50000 000223 0000E 00001 00241 015 2112000 2024*")-SUMIFS(E5947:E9015,K5947:K9015,"0",B5947:B9015,"5 1 2 4 1 12 31111 6 M59 50000 000223 0000E 00001 00241 015 2112000 2024*")</f>
        <v>0</v>
      </c>
      <c r="E5946"/>
      <c r="F5946" s="35">
        <f>SUMIFS(F5947:F9015,K5947:K9015,"0",B5947:B9015,"5 1 2 4 1 12 31111 6 M59 50000 000223 0000E 00001 00241 015 2112000 2024*")</f>
        <v>152.49</v>
      </c>
      <c r="G5946" s="35">
        <f>SUMIFS(G5947:G9015,K5947:K9015,"0",B5947:B9015,"5 1 2 4 1 12 31111 6 M59 50000 000223 0000E 00001 00241 015 2112000 2024*")</f>
        <v>0</v>
      </c>
      <c r="H5946" s="35">
        <f t="shared" si="93"/>
        <v>152.49</v>
      </c>
      <c r="I5946" s="35"/>
      <c r="K5946" t="s">
        <v>15</v>
      </c>
    </row>
    <row r="5947" spans="2:11" ht="41.25" x14ac:dyDescent="0.2">
      <c r="B5947" s="33" t="s">
        <v>6935</v>
      </c>
      <c r="C5947" s="33" t="s">
        <v>662</v>
      </c>
      <c r="D5947" s="35">
        <f>SUMIFS(D5948:D9015,K5948:K9015,"0",B5948:B9015,"5 1 2 4 1 12 31111 6 M59 50000 000223 0000E 00001 00241 015 2112000 2024 CP1DA424*")-SUMIFS(E5948:E9015,K5948:K9015,"0",B5948:B9015,"5 1 2 4 1 12 31111 6 M59 50000 000223 0000E 00001 00241 015 2112000 2024 CP1DA424*")</f>
        <v>0</v>
      </c>
      <c r="E5947"/>
      <c r="F5947" s="35">
        <f>SUMIFS(F5948:F9015,K5948:K9015,"0",B5948:B9015,"5 1 2 4 1 12 31111 6 M59 50000 000223 0000E 00001 00241 015 2112000 2024 CP1DA424*")</f>
        <v>152.49</v>
      </c>
      <c r="G5947" s="35">
        <f>SUMIFS(G5948:G9015,K5948:K9015,"0",B5948:B9015,"5 1 2 4 1 12 31111 6 M59 50000 000223 0000E 00001 00241 015 2112000 2024 CP1DA424*")</f>
        <v>0</v>
      </c>
      <c r="H5947" s="35">
        <f t="shared" si="93"/>
        <v>152.49</v>
      </c>
      <c r="I5947" s="35"/>
      <c r="K5947" t="s">
        <v>15</v>
      </c>
    </row>
    <row r="5948" spans="2:11" ht="41.25" x14ac:dyDescent="0.2">
      <c r="B5948" s="33" t="s">
        <v>6936</v>
      </c>
      <c r="C5948" s="33" t="s">
        <v>282</v>
      </c>
      <c r="D5948" s="35">
        <f>SUMIFS(D5949:D9015,K5949:K9015,"0",B5949:B9015,"5 1 2 4 1 12 31111 6 M59 50000 000223 0000E 00001 00241 015 2112000 2024 CP1DA424 001*")-SUMIFS(E5949:E9015,K5949:K9015,"0",B5949:B9015,"5 1 2 4 1 12 31111 6 M59 50000 000223 0000E 00001 00241 015 2112000 2024 CP1DA424 001*")</f>
        <v>0</v>
      </c>
      <c r="E5948"/>
      <c r="F5948" s="35">
        <f>SUMIFS(F5949:F9015,K5949:K9015,"0",B5949:B9015,"5 1 2 4 1 12 31111 6 M59 50000 000223 0000E 00001 00241 015 2112000 2024 CP1DA424 001*")</f>
        <v>152.49</v>
      </c>
      <c r="G5948" s="35">
        <f>SUMIFS(G5949:G9015,K5949:K9015,"0",B5949:B9015,"5 1 2 4 1 12 31111 6 M59 50000 000223 0000E 00001 00241 015 2112000 2024 CP1DA424 001*")</f>
        <v>0</v>
      </c>
      <c r="H5948" s="35">
        <f t="shared" si="93"/>
        <v>152.49</v>
      </c>
      <c r="I5948" s="35"/>
      <c r="K5948" t="s">
        <v>15</v>
      </c>
    </row>
    <row r="5949" spans="2:11" ht="41.25" x14ac:dyDescent="0.2">
      <c r="B5949" s="31" t="s">
        <v>6937</v>
      </c>
      <c r="C5949" s="31" t="s">
        <v>6909</v>
      </c>
      <c r="D5949" s="34">
        <v>0</v>
      </c>
      <c r="E5949" s="34"/>
      <c r="F5949" s="34">
        <v>152.49</v>
      </c>
      <c r="G5949" s="34">
        <v>0</v>
      </c>
      <c r="H5949" s="34">
        <f t="shared" si="93"/>
        <v>152.49</v>
      </c>
      <c r="I5949" s="34"/>
      <c r="K5949" t="s">
        <v>38</v>
      </c>
    </row>
    <row r="5950" spans="2:11" ht="16.5" x14ac:dyDescent="0.2">
      <c r="B5950" s="33" t="s">
        <v>6938</v>
      </c>
      <c r="C5950" s="33" t="s">
        <v>3754</v>
      </c>
      <c r="D5950" s="35">
        <f>SUMIFS(D5951:D9015,K5951:K9015,"0",B5951:B9015,"5 1 2 4 1 12 31111 6 M59 99000*")-SUMIFS(E5951:E9015,K5951:K9015,"0",B5951:B9015,"5 1 2 4 1 12 31111 6 M59 99000*")</f>
        <v>0</v>
      </c>
      <c r="E5950"/>
      <c r="F5950" s="35">
        <f>SUMIFS(F5951:F9015,K5951:K9015,"0",B5951:B9015,"5 1 2 4 1 12 31111 6 M59 99000*")</f>
        <v>396.46</v>
      </c>
      <c r="G5950" s="35">
        <f>SUMIFS(G5951:G9015,K5951:K9015,"0",B5951:B9015,"5 1 2 4 1 12 31111 6 M59 99000*")</f>
        <v>0</v>
      </c>
      <c r="H5950" s="35">
        <f t="shared" si="93"/>
        <v>396.46</v>
      </c>
      <c r="I5950" s="35"/>
      <c r="K5950" t="s">
        <v>15</v>
      </c>
    </row>
    <row r="5951" spans="2:11" ht="16.5" x14ac:dyDescent="0.2">
      <c r="B5951" s="33" t="s">
        <v>6939</v>
      </c>
      <c r="C5951" s="33" t="s">
        <v>648</v>
      </c>
      <c r="D5951" s="35">
        <f>SUMIFS(D5952:D9015,K5952:K9015,"0",B5952:B9015,"5 1 2 4 1 12 31111 6 M59 99000 000132*")-SUMIFS(E5952:E9015,K5952:K9015,"0",B5952:B9015,"5 1 2 4 1 12 31111 6 M59 99000 000132*")</f>
        <v>0</v>
      </c>
      <c r="E5951"/>
      <c r="F5951" s="35">
        <f>SUMIFS(F5952:F9015,K5952:K9015,"0",B5952:B9015,"5 1 2 4 1 12 31111 6 M59 99000 000132*")</f>
        <v>396.46</v>
      </c>
      <c r="G5951" s="35">
        <f>SUMIFS(G5952:G9015,K5952:K9015,"0",B5952:B9015,"5 1 2 4 1 12 31111 6 M59 99000 000132*")</f>
        <v>0</v>
      </c>
      <c r="H5951" s="35">
        <f t="shared" si="93"/>
        <v>396.46</v>
      </c>
      <c r="I5951" s="35"/>
      <c r="K5951" t="s">
        <v>15</v>
      </c>
    </row>
    <row r="5952" spans="2:11" ht="24.75" x14ac:dyDescent="0.2">
      <c r="B5952" s="33" t="s">
        <v>6940</v>
      </c>
      <c r="C5952" s="33" t="s">
        <v>650</v>
      </c>
      <c r="D5952" s="35">
        <f>SUMIFS(D5953:D9015,K5953:K9015,"0",B5953:B9015,"5 1 2 4 1 12 31111 6 M59 99000 000132 0000R*")-SUMIFS(E5953:E9015,K5953:K9015,"0",B5953:B9015,"5 1 2 4 1 12 31111 6 M59 99000 000132 0000R*")</f>
        <v>0</v>
      </c>
      <c r="E5952"/>
      <c r="F5952" s="35">
        <f>SUMIFS(F5953:F9015,K5953:K9015,"0",B5953:B9015,"5 1 2 4 1 12 31111 6 M59 99000 000132 0000R*")</f>
        <v>396.46</v>
      </c>
      <c r="G5952" s="35">
        <f>SUMIFS(G5953:G9015,K5953:K9015,"0",B5953:B9015,"5 1 2 4 1 12 31111 6 M59 99000 000132 0000R*")</f>
        <v>0</v>
      </c>
      <c r="H5952" s="35">
        <f t="shared" si="93"/>
        <v>396.46</v>
      </c>
      <c r="I5952" s="35"/>
      <c r="K5952" t="s">
        <v>15</v>
      </c>
    </row>
    <row r="5953" spans="2:11" ht="24.75" x14ac:dyDescent="0.2">
      <c r="B5953" s="33" t="s">
        <v>6941</v>
      </c>
      <c r="C5953" s="33" t="s">
        <v>282</v>
      </c>
      <c r="D5953" s="35">
        <f>SUMIFS(D5954:D9015,K5954:K9015,"0",B5954:B9015,"5 1 2 4 1 12 31111 6 M59 99000 000132 0000R 00001*")-SUMIFS(E5954:E9015,K5954:K9015,"0",B5954:B9015,"5 1 2 4 1 12 31111 6 M59 99000 000132 0000R 00001*")</f>
        <v>0</v>
      </c>
      <c r="E5953"/>
      <c r="F5953" s="35">
        <f>SUMIFS(F5954:F9015,K5954:K9015,"0",B5954:B9015,"5 1 2 4 1 12 31111 6 M59 99000 000132 0000R 00001*")</f>
        <v>396.46</v>
      </c>
      <c r="G5953" s="35">
        <f>SUMIFS(G5954:G9015,K5954:K9015,"0",B5954:B9015,"5 1 2 4 1 12 31111 6 M59 99000 000132 0000R 00001*")</f>
        <v>0</v>
      </c>
      <c r="H5953" s="35">
        <f t="shared" si="93"/>
        <v>396.46</v>
      </c>
      <c r="I5953" s="35"/>
      <c r="K5953" t="s">
        <v>15</v>
      </c>
    </row>
    <row r="5954" spans="2:11" ht="24.75" x14ac:dyDescent="0.2">
      <c r="B5954" s="33" t="s">
        <v>6942</v>
      </c>
      <c r="C5954" s="33" t="s">
        <v>6909</v>
      </c>
      <c r="D5954" s="35">
        <f>SUMIFS(D5955:D9015,K5955:K9015,"0",B5955:B9015,"5 1 2 4 1 12 31111 6 M59 99000 000132 0000R 00001 00241*")-SUMIFS(E5955:E9015,K5955:K9015,"0",B5955:B9015,"5 1 2 4 1 12 31111 6 M59 99000 000132 0000R 00001 00241*")</f>
        <v>0</v>
      </c>
      <c r="E5954"/>
      <c r="F5954" s="35">
        <f>SUMIFS(F5955:F9015,K5955:K9015,"0",B5955:B9015,"5 1 2 4 1 12 31111 6 M59 99000 000132 0000R 00001 00241*")</f>
        <v>396.46</v>
      </c>
      <c r="G5954" s="35">
        <f>SUMIFS(G5955:G9015,K5955:K9015,"0",B5955:B9015,"5 1 2 4 1 12 31111 6 M59 99000 000132 0000R 00001 00241*")</f>
        <v>0</v>
      </c>
      <c r="H5954" s="35">
        <f t="shared" si="93"/>
        <v>396.46</v>
      </c>
      <c r="I5954" s="35"/>
      <c r="K5954" t="s">
        <v>15</v>
      </c>
    </row>
    <row r="5955" spans="2:11" ht="33" x14ac:dyDescent="0.2">
      <c r="B5955" s="33" t="s">
        <v>6943</v>
      </c>
      <c r="C5955" s="33" t="s">
        <v>1051</v>
      </c>
      <c r="D5955" s="35">
        <f>SUMIFS(D5956:D9015,K5956:K9015,"0",B5956:B9015,"5 1 2 4 1 12 31111 6 M59 99000 000132 0000R 00001 00241 015*")-SUMIFS(E5956:E9015,K5956:K9015,"0",B5956:B9015,"5 1 2 4 1 12 31111 6 M59 99000 000132 0000R 00001 00241 015*")</f>
        <v>0</v>
      </c>
      <c r="E5955"/>
      <c r="F5955" s="35">
        <f>SUMIFS(F5956:F9015,K5956:K9015,"0",B5956:B9015,"5 1 2 4 1 12 31111 6 M59 99000 000132 0000R 00001 00241 015*")</f>
        <v>396.46</v>
      </c>
      <c r="G5955" s="35">
        <f>SUMIFS(G5956:G9015,K5956:K9015,"0",B5956:B9015,"5 1 2 4 1 12 31111 6 M59 99000 000132 0000R 00001 00241 015*")</f>
        <v>0</v>
      </c>
      <c r="H5955" s="35">
        <f t="shared" si="93"/>
        <v>396.46</v>
      </c>
      <c r="I5955" s="35"/>
      <c r="K5955" t="s">
        <v>15</v>
      </c>
    </row>
    <row r="5956" spans="2:11" ht="33" x14ac:dyDescent="0.2">
      <c r="B5956" s="33" t="s">
        <v>6944</v>
      </c>
      <c r="C5956" s="33" t="s">
        <v>5830</v>
      </c>
      <c r="D5956" s="35">
        <f>SUMIFS(D5957:D9015,K5957:K9015,"0",B5957:B9015,"5 1 2 4 1 12 31111 6 M59 99000 000132 0000R 00001 00241 015 2112000*")-SUMIFS(E5957:E9015,K5957:K9015,"0",B5957:B9015,"5 1 2 4 1 12 31111 6 M59 99000 000132 0000R 00001 00241 015 2112000*")</f>
        <v>0</v>
      </c>
      <c r="E5956"/>
      <c r="F5956" s="35">
        <f>SUMIFS(F5957:F9015,K5957:K9015,"0",B5957:B9015,"5 1 2 4 1 12 31111 6 M59 99000 000132 0000R 00001 00241 015 2112000*")</f>
        <v>396.46</v>
      </c>
      <c r="G5956" s="35">
        <f>SUMIFS(G5957:G9015,K5957:K9015,"0",B5957:B9015,"5 1 2 4 1 12 31111 6 M59 99000 000132 0000R 00001 00241 015 2112000*")</f>
        <v>0</v>
      </c>
      <c r="H5956" s="35">
        <f t="shared" ref="H5956:H6019" si="94">D5956 + F5956 - G5956</f>
        <v>396.46</v>
      </c>
      <c r="I5956" s="35"/>
      <c r="K5956" t="s">
        <v>15</v>
      </c>
    </row>
    <row r="5957" spans="2:11" ht="33" x14ac:dyDescent="0.2">
      <c r="B5957" s="33" t="s">
        <v>6945</v>
      </c>
      <c r="C5957" s="33" t="s">
        <v>660</v>
      </c>
      <c r="D5957" s="35">
        <f>SUMIFS(D5958:D9015,K5958:K9015,"0",B5958:B9015,"5 1 2 4 1 12 31111 6 M59 99000 000132 0000R 00001 00241 015 2112000 2024*")-SUMIFS(E5958:E9015,K5958:K9015,"0",B5958:B9015,"5 1 2 4 1 12 31111 6 M59 99000 000132 0000R 00001 00241 015 2112000 2024*")</f>
        <v>0</v>
      </c>
      <c r="E5957"/>
      <c r="F5957" s="35">
        <f>SUMIFS(F5958:F9015,K5958:K9015,"0",B5958:B9015,"5 1 2 4 1 12 31111 6 M59 99000 000132 0000R 00001 00241 015 2112000 2024*")</f>
        <v>396.46</v>
      </c>
      <c r="G5957" s="35">
        <f>SUMIFS(G5958:G9015,K5958:K9015,"0",B5958:B9015,"5 1 2 4 1 12 31111 6 M59 99000 000132 0000R 00001 00241 015 2112000 2024*")</f>
        <v>0</v>
      </c>
      <c r="H5957" s="35">
        <f t="shared" si="94"/>
        <v>396.46</v>
      </c>
      <c r="I5957" s="35"/>
      <c r="K5957" t="s">
        <v>15</v>
      </c>
    </row>
    <row r="5958" spans="2:11" ht="41.25" x14ac:dyDescent="0.2">
      <c r="B5958" s="33" t="s">
        <v>6946</v>
      </c>
      <c r="C5958" s="33" t="s">
        <v>1056</v>
      </c>
      <c r="D5958" s="35">
        <f>SUMIFS(D5959:D9015,K5959:K9015,"0",B5959:B9015,"5 1 2 4 1 12 31111 6 M59 99000 000132 0000R 00001 00241 015 2112000 2024 CP1MG408*")-SUMIFS(E5959:E9015,K5959:K9015,"0",B5959:B9015,"5 1 2 4 1 12 31111 6 M59 99000 000132 0000R 00001 00241 015 2112000 2024 CP1MG408*")</f>
        <v>0</v>
      </c>
      <c r="E5958"/>
      <c r="F5958" s="35">
        <f>SUMIFS(F5959:F9015,K5959:K9015,"0",B5959:B9015,"5 1 2 4 1 12 31111 6 M59 99000 000132 0000R 00001 00241 015 2112000 2024 CP1MG408*")</f>
        <v>396.46</v>
      </c>
      <c r="G5958" s="35">
        <f>SUMIFS(G5959:G9015,K5959:K9015,"0",B5959:B9015,"5 1 2 4 1 12 31111 6 M59 99000 000132 0000R 00001 00241 015 2112000 2024 CP1MG408*")</f>
        <v>0</v>
      </c>
      <c r="H5958" s="35">
        <f t="shared" si="94"/>
        <v>396.46</v>
      </c>
      <c r="I5958" s="35"/>
      <c r="K5958" t="s">
        <v>15</v>
      </c>
    </row>
    <row r="5959" spans="2:11" ht="41.25" x14ac:dyDescent="0.2">
      <c r="B5959" s="33" t="s">
        <v>6947</v>
      </c>
      <c r="C5959" s="33" t="s">
        <v>282</v>
      </c>
      <c r="D5959" s="35">
        <f>SUMIFS(D5960:D9015,K5960:K9015,"0",B5960:B9015,"5 1 2 4 1 12 31111 6 M59 99000 000132 0000R 00001 00241 015 2112000 2024 CP1MG408 001*")-SUMIFS(E5960:E9015,K5960:K9015,"0",B5960:B9015,"5 1 2 4 1 12 31111 6 M59 99000 000132 0000R 00001 00241 015 2112000 2024 CP1MG408 001*")</f>
        <v>0</v>
      </c>
      <c r="E5959"/>
      <c r="F5959" s="35">
        <f>SUMIFS(F5960:F9015,K5960:K9015,"0",B5960:B9015,"5 1 2 4 1 12 31111 6 M59 99000 000132 0000R 00001 00241 015 2112000 2024 CP1MG408 001*")</f>
        <v>396.46</v>
      </c>
      <c r="G5959" s="35">
        <f>SUMIFS(G5960:G9015,K5960:K9015,"0",B5960:B9015,"5 1 2 4 1 12 31111 6 M59 99000 000132 0000R 00001 00241 015 2112000 2024 CP1MG408 001*")</f>
        <v>0</v>
      </c>
      <c r="H5959" s="35">
        <f t="shared" si="94"/>
        <v>396.46</v>
      </c>
      <c r="I5959" s="35"/>
      <c r="K5959" t="s">
        <v>15</v>
      </c>
    </row>
    <row r="5960" spans="2:11" ht="41.25" x14ac:dyDescent="0.2">
      <c r="B5960" s="31" t="s">
        <v>6948</v>
      </c>
      <c r="C5960" s="31" t="s">
        <v>6899</v>
      </c>
      <c r="D5960" s="34">
        <v>0</v>
      </c>
      <c r="E5960" s="34"/>
      <c r="F5960" s="34">
        <v>396.46</v>
      </c>
      <c r="G5960" s="34">
        <v>0</v>
      </c>
      <c r="H5960" s="34">
        <f t="shared" si="94"/>
        <v>396.46</v>
      </c>
      <c r="I5960" s="34"/>
      <c r="K5960" t="s">
        <v>38</v>
      </c>
    </row>
    <row r="5961" spans="2:11" ht="16.5" x14ac:dyDescent="0.2">
      <c r="B5961" s="33" t="s">
        <v>6949</v>
      </c>
      <c r="C5961" s="33" t="s">
        <v>6950</v>
      </c>
      <c r="D5961" s="35">
        <f>SUMIFS(D5962:D9015,K5962:K9015,"0",B5962:B9015,"5 1 2 4 2*")-SUMIFS(E5962:E9015,K5962:K9015,"0",B5962:B9015,"5 1 2 4 2*")</f>
        <v>0</v>
      </c>
      <c r="E5961"/>
      <c r="F5961" s="35">
        <f>SUMIFS(F5962:F9015,K5962:K9015,"0",B5962:B9015,"5 1 2 4 2*")</f>
        <v>289149.98</v>
      </c>
      <c r="G5961" s="35">
        <f>SUMIFS(G5962:G9015,K5962:K9015,"0",B5962:B9015,"5 1 2 4 2*")</f>
        <v>0</v>
      </c>
      <c r="H5961" s="35">
        <f t="shared" si="94"/>
        <v>289149.98</v>
      </c>
      <c r="I5961" s="35"/>
      <c r="K5961" t="s">
        <v>15</v>
      </c>
    </row>
    <row r="5962" spans="2:11" ht="12.75" x14ac:dyDescent="0.2">
      <c r="B5962" s="33" t="s">
        <v>6951</v>
      </c>
      <c r="C5962" s="33" t="s">
        <v>26</v>
      </c>
      <c r="D5962" s="35">
        <f>SUMIFS(D5963:D9015,K5963:K9015,"0",B5963:B9015,"5 1 2 4 2 12*")-SUMIFS(E5963:E9015,K5963:K9015,"0",B5963:B9015,"5 1 2 4 2 12*")</f>
        <v>0</v>
      </c>
      <c r="E5962"/>
      <c r="F5962" s="35">
        <f>SUMIFS(F5963:F9015,K5963:K9015,"0",B5963:B9015,"5 1 2 4 2 12*")</f>
        <v>289149.98</v>
      </c>
      <c r="G5962" s="35">
        <f>SUMIFS(G5963:G9015,K5963:K9015,"0",B5963:B9015,"5 1 2 4 2 12*")</f>
        <v>0</v>
      </c>
      <c r="H5962" s="35">
        <f t="shared" si="94"/>
        <v>289149.98</v>
      </c>
      <c r="I5962" s="35"/>
      <c r="K5962" t="s">
        <v>15</v>
      </c>
    </row>
    <row r="5963" spans="2:11" ht="16.5" x14ac:dyDescent="0.2">
      <c r="B5963" s="33" t="s">
        <v>6952</v>
      </c>
      <c r="C5963" s="33" t="s">
        <v>28</v>
      </c>
      <c r="D5963" s="35">
        <f>SUMIFS(D5964:D9015,K5964:K9015,"0",B5964:B9015,"5 1 2 4 2 12 31111*")-SUMIFS(E5964:E9015,K5964:K9015,"0",B5964:B9015,"5 1 2 4 2 12 31111*")</f>
        <v>0</v>
      </c>
      <c r="E5963"/>
      <c r="F5963" s="35">
        <f>SUMIFS(F5964:F9015,K5964:K9015,"0",B5964:B9015,"5 1 2 4 2 12 31111*")</f>
        <v>289149.98</v>
      </c>
      <c r="G5963" s="35">
        <f>SUMIFS(G5964:G9015,K5964:K9015,"0",B5964:B9015,"5 1 2 4 2 12 31111*")</f>
        <v>0</v>
      </c>
      <c r="H5963" s="35">
        <f t="shared" si="94"/>
        <v>289149.98</v>
      </c>
      <c r="I5963" s="35"/>
      <c r="K5963" t="s">
        <v>15</v>
      </c>
    </row>
    <row r="5964" spans="2:11" ht="12.75" x14ac:dyDescent="0.2">
      <c r="B5964" s="33" t="s">
        <v>6953</v>
      </c>
      <c r="C5964" s="33" t="s">
        <v>30</v>
      </c>
      <c r="D5964" s="35">
        <f>SUMIFS(D5965:D9015,K5965:K9015,"0",B5965:B9015,"5 1 2 4 2 12 31111 6*")-SUMIFS(E5965:E9015,K5965:K9015,"0",B5965:B9015,"5 1 2 4 2 12 31111 6*")</f>
        <v>0</v>
      </c>
      <c r="E5964"/>
      <c r="F5964" s="35">
        <f>SUMIFS(F5965:F9015,K5965:K9015,"0",B5965:B9015,"5 1 2 4 2 12 31111 6*")</f>
        <v>289149.98</v>
      </c>
      <c r="G5964" s="35">
        <f>SUMIFS(G5965:G9015,K5965:K9015,"0",B5965:B9015,"5 1 2 4 2 12 31111 6*")</f>
        <v>0</v>
      </c>
      <c r="H5964" s="35">
        <f t="shared" si="94"/>
        <v>289149.98</v>
      </c>
      <c r="I5964" s="35"/>
      <c r="K5964" t="s">
        <v>15</v>
      </c>
    </row>
    <row r="5965" spans="2:11" ht="16.5" x14ac:dyDescent="0.2">
      <c r="B5965" s="33" t="s">
        <v>6954</v>
      </c>
      <c r="C5965" s="33" t="s">
        <v>2284</v>
      </c>
      <c r="D5965" s="35">
        <f>SUMIFS(D5966:D9015,K5966:K9015,"0",B5966:B9015,"5 1 2 4 2 12 31111 6 M59*")-SUMIFS(E5966:E9015,K5966:K9015,"0",B5966:B9015,"5 1 2 4 2 12 31111 6 M59*")</f>
        <v>0</v>
      </c>
      <c r="E5965"/>
      <c r="F5965" s="35">
        <f>SUMIFS(F5966:F9015,K5966:K9015,"0",B5966:B9015,"5 1 2 4 2 12 31111 6 M59*")</f>
        <v>289149.98</v>
      </c>
      <c r="G5965" s="35">
        <f>SUMIFS(G5966:G9015,K5966:K9015,"0",B5966:B9015,"5 1 2 4 2 12 31111 6 M59*")</f>
        <v>0</v>
      </c>
      <c r="H5965" s="35">
        <f t="shared" si="94"/>
        <v>289149.98</v>
      </c>
      <c r="I5965" s="35"/>
      <c r="K5965" t="s">
        <v>15</v>
      </c>
    </row>
    <row r="5966" spans="2:11" ht="16.5" x14ac:dyDescent="0.2">
      <c r="B5966" s="33" t="s">
        <v>6955</v>
      </c>
      <c r="C5966" s="33" t="s">
        <v>1044</v>
      </c>
      <c r="D5966" s="35">
        <f>SUMIFS(D5967:D9015,K5967:K9015,"0",B5967:B9015,"5 1 2 4 2 12 31111 6 M59 19000*")-SUMIFS(E5967:E9015,K5967:K9015,"0",B5967:B9015,"5 1 2 4 2 12 31111 6 M59 19000*")</f>
        <v>0</v>
      </c>
      <c r="E5966"/>
      <c r="F5966" s="35">
        <f>SUMIFS(F5967:F9015,K5967:K9015,"0",B5967:B9015,"5 1 2 4 2 12 31111 6 M59 19000*")</f>
        <v>2070</v>
      </c>
      <c r="G5966" s="35">
        <f>SUMIFS(G5967:G9015,K5967:K9015,"0",B5967:B9015,"5 1 2 4 2 12 31111 6 M59 19000*")</f>
        <v>0</v>
      </c>
      <c r="H5966" s="35">
        <f t="shared" si="94"/>
        <v>2070</v>
      </c>
      <c r="I5966" s="35"/>
      <c r="K5966" t="s">
        <v>15</v>
      </c>
    </row>
    <row r="5967" spans="2:11" ht="16.5" x14ac:dyDescent="0.2">
      <c r="B5967" s="33" t="s">
        <v>6956</v>
      </c>
      <c r="C5967" s="33" t="s">
        <v>648</v>
      </c>
      <c r="D5967" s="35">
        <f>SUMIFS(D5968:D9015,K5968:K9015,"0",B5968:B9015,"5 1 2 4 2 12 31111 6 M59 19000 000132*")-SUMIFS(E5968:E9015,K5968:K9015,"0",B5968:B9015,"5 1 2 4 2 12 31111 6 M59 19000 000132*")</f>
        <v>0</v>
      </c>
      <c r="E5967"/>
      <c r="F5967" s="35">
        <f>SUMIFS(F5968:F9015,K5968:K9015,"0",B5968:B9015,"5 1 2 4 2 12 31111 6 M59 19000 000132*")</f>
        <v>2070</v>
      </c>
      <c r="G5967" s="35">
        <f>SUMIFS(G5968:G9015,K5968:K9015,"0",B5968:B9015,"5 1 2 4 2 12 31111 6 M59 19000 000132*")</f>
        <v>0</v>
      </c>
      <c r="H5967" s="35">
        <f t="shared" si="94"/>
        <v>2070</v>
      </c>
      <c r="I5967" s="35"/>
      <c r="K5967" t="s">
        <v>15</v>
      </c>
    </row>
    <row r="5968" spans="2:11" ht="24.75" x14ac:dyDescent="0.2">
      <c r="B5968" s="33" t="s">
        <v>6957</v>
      </c>
      <c r="C5968" s="33" t="s">
        <v>650</v>
      </c>
      <c r="D5968" s="35">
        <f>SUMIFS(D5969:D9015,K5969:K9015,"0",B5969:B9015,"5 1 2 4 2 12 31111 6 M59 19000 000132 0000R*")-SUMIFS(E5969:E9015,K5969:K9015,"0",B5969:B9015,"5 1 2 4 2 12 31111 6 M59 19000 000132 0000R*")</f>
        <v>0</v>
      </c>
      <c r="E5968"/>
      <c r="F5968" s="35">
        <f>SUMIFS(F5969:F9015,K5969:K9015,"0",B5969:B9015,"5 1 2 4 2 12 31111 6 M59 19000 000132 0000R*")</f>
        <v>2070</v>
      </c>
      <c r="G5968" s="35">
        <f>SUMIFS(G5969:G9015,K5969:K9015,"0",B5969:B9015,"5 1 2 4 2 12 31111 6 M59 19000 000132 0000R*")</f>
        <v>0</v>
      </c>
      <c r="H5968" s="35">
        <f t="shared" si="94"/>
        <v>2070</v>
      </c>
      <c r="I5968" s="35"/>
      <c r="K5968" t="s">
        <v>15</v>
      </c>
    </row>
    <row r="5969" spans="2:11" ht="24.75" x14ac:dyDescent="0.2">
      <c r="B5969" s="33" t="s">
        <v>6958</v>
      </c>
      <c r="C5969" s="33" t="s">
        <v>282</v>
      </c>
      <c r="D5969" s="35">
        <f>SUMIFS(D5970:D9015,K5970:K9015,"0",B5970:B9015,"5 1 2 4 2 12 31111 6 M59 19000 000132 0000R 00001*")-SUMIFS(E5970:E9015,K5970:K9015,"0",B5970:B9015,"5 1 2 4 2 12 31111 6 M59 19000 000132 0000R 00001*")</f>
        <v>0</v>
      </c>
      <c r="E5969"/>
      <c r="F5969" s="35">
        <f>SUMIFS(F5970:F9015,K5970:K9015,"0",B5970:B9015,"5 1 2 4 2 12 31111 6 M59 19000 000132 0000R 00001*")</f>
        <v>2070</v>
      </c>
      <c r="G5969" s="35">
        <f>SUMIFS(G5970:G9015,K5970:K9015,"0",B5970:B9015,"5 1 2 4 2 12 31111 6 M59 19000 000132 0000R 00001*")</f>
        <v>0</v>
      </c>
      <c r="H5969" s="35">
        <f t="shared" si="94"/>
        <v>2070</v>
      </c>
      <c r="I5969" s="35"/>
      <c r="K5969" t="s">
        <v>15</v>
      </c>
    </row>
    <row r="5970" spans="2:11" ht="24.75" x14ac:dyDescent="0.2">
      <c r="B5970" s="33" t="s">
        <v>6959</v>
      </c>
      <c r="C5970" s="33" t="s">
        <v>6960</v>
      </c>
      <c r="D5970" s="35">
        <f>SUMIFS(D5971:D9015,K5971:K9015,"0",B5971:B9015,"5 1 2 4 2 12 31111 6 M59 19000 000132 0000R 00001 00242*")-SUMIFS(E5971:E9015,K5971:K9015,"0",B5971:B9015,"5 1 2 4 2 12 31111 6 M59 19000 000132 0000R 00001 00242*")</f>
        <v>0</v>
      </c>
      <c r="E5970"/>
      <c r="F5970" s="35">
        <f>SUMIFS(F5971:F9015,K5971:K9015,"0",B5971:B9015,"5 1 2 4 2 12 31111 6 M59 19000 000132 0000R 00001 00242*")</f>
        <v>2070</v>
      </c>
      <c r="G5970" s="35">
        <f>SUMIFS(G5971:G9015,K5971:K9015,"0",B5971:B9015,"5 1 2 4 2 12 31111 6 M59 19000 000132 0000R 00001 00242*")</f>
        <v>0</v>
      </c>
      <c r="H5970" s="35">
        <f t="shared" si="94"/>
        <v>2070</v>
      </c>
      <c r="I5970" s="35"/>
      <c r="K5970" t="s">
        <v>15</v>
      </c>
    </row>
    <row r="5971" spans="2:11" ht="33" x14ac:dyDescent="0.2">
      <c r="B5971" s="33" t="s">
        <v>6961</v>
      </c>
      <c r="C5971" s="33" t="s">
        <v>699</v>
      </c>
      <c r="D5971" s="35">
        <f>SUMIFS(D5972:D9015,K5972:K9015,"0",B5972:B9015,"5 1 2 4 2 12 31111 6 M59 19000 000132 0000R 00001 00242 011*")-SUMIFS(E5972:E9015,K5972:K9015,"0",B5972:B9015,"5 1 2 4 2 12 31111 6 M59 19000 000132 0000R 00001 00242 011*")</f>
        <v>0</v>
      </c>
      <c r="E5971"/>
      <c r="F5971" s="35">
        <f>SUMIFS(F5972:F9015,K5972:K9015,"0",B5972:B9015,"5 1 2 4 2 12 31111 6 M59 19000 000132 0000R 00001 00242 011*")</f>
        <v>2070</v>
      </c>
      <c r="G5971" s="35">
        <f>SUMIFS(G5972:G9015,K5972:K9015,"0",B5972:B9015,"5 1 2 4 2 12 31111 6 M59 19000 000132 0000R 00001 00242 011*")</f>
        <v>0</v>
      </c>
      <c r="H5971" s="35">
        <f t="shared" si="94"/>
        <v>2070</v>
      </c>
      <c r="I5971" s="35"/>
      <c r="K5971" t="s">
        <v>15</v>
      </c>
    </row>
    <row r="5972" spans="2:11" ht="33" x14ac:dyDescent="0.2">
      <c r="B5972" s="33" t="s">
        <v>6962</v>
      </c>
      <c r="C5972" s="33" t="s">
        <v>5830</v>
      </c>
      <c r="D5972" s="35">
        <f>SUMIFS(D5973:D9015,K5973:K9015,"0",B5973:B9015,"5 1 2 4 2 12 31111 6 M59 19000 000132 0000R 00001 00242 011 2112000*")-SUMIFS(E5973:E9015,K5973:K9015,"0",B5973:B9015,"5 1 2 4 2 12 31111 6 M59 19000 000132 0000R 00001 00242 011 2112000*")</f>
        <v>0</v>
      </c>
      <c r="E5972"/>
      <c r="F5972" s="35">
        <f>SUMIFS(F5973:F9015,K5973:K9015,"0",B5973:B9015,"5 1 2 4 2 12 31111 6 M59 19000 000132 0000R 00001 00242 011 2112000*")</f>
        <v>2070</v>
      </c>
      <c r="G5972" s="35">
        <f>SUMIFS(G5973:G9015,K5973:K9015,"0",B5973:B9015,"5 1 2 4 2 12 31111 6 M59 19000 000132 0000R 00001 00242 011 2112000*")</f>
        <v>0</v>
      </c>
      <c r="H5972" s="35">
        <f t="shared" si="94"/>
        <v>2070</v>
      </c>
      <c r="I5972" s="35"/>
      <c r="K5972" t="s">
        <v>15</v>
      </c>
    </row>
    <row r="5973" spans="2:11" ht="33" x14ac:dyDescent="0.2">
      <c r="B5973" s="33" t="s">
        <v>6963</v>
      </c>
      <c r="C5973" s="33" t="s">
        <v>660</v>
      </c>
      <c r="D5973" s="35">
        <f>SUMIFS(D5974:D9015,K5974:K9015,"0",B5974:B9015,"5 1 2 4 2 12 31111 6 M59 19000 000132 0000R 00001 00242 011 2112000 2024*")-SUMIFS(E5974:E9015,K5974:K9015,"0",B5974:B9015,"5 1 2 4 2 12 31111 6 M59 19000 000132 0000R 00001 00242 011 2112000 2024*")</f>
        <v>0</v>
      </c>
      <c r="E5973"/>
      <c r="F5973" s="35">
        <f>SUMIFS(F5974:F9015,K5974:K9015,"0",B5974:B9015,"5 1 2 4 2 12 31111 6 M59 19000 000132 0000R 00001 00242 011 2112000 2024*")</f>
        <v>2070</v>
      </c>
      <c r="G5973" s="35">
        <f>SUMIFS(G5974:G9015,K5974:K9015,"0",B5974:B9015,"5 1 2 4 2 12 31111 6 M59 19000 000132 0000R 00001 00242 011 2112000 2024*")</f>
        <v>0</v>
      </c>
      <c r="H5973" s="35">
        <f t="shared" si="94"/>
        <v>2070</v>
      </c>
      <c r="I5973" s="35"/>
      <c r="K5973" t="s">
        <v>15</v>
      </c>
    </row>
    <row r="5974" spans="2:11" ht="41.25" x14ac:dyDescent="0.2">
      <c r="B5974" s="33" t="s">
        <v>6964</v>
      </c>
      <c r="C5974" s="33" t="s">
        <v>662</v>
      </c>
      <c r="D5974" s="35">
        <f>SUMIFS(D5975:D9015,K5975:K9015,"0",B5975:B9015,"5 1 2 4 2 12 31111 6 M59 19000 000132 0000R 00001 00242 011 2112000 2024 CP1TM440*")-SUMIFS(E5975:E9015,K5975:K9015,"0",B5975:B9015,"5 1 2 4 2 12 31111 6 M59 19000 000132 0000R 00001 00242 011 2112000 2024 CP1TM440*")</f>
        <v>0</v>
      </c>
      <c r="E5974"/>
      <c r="F5974" s="35">
        <f>SUMIFS(F5975:F9015,K5975:K9015,"0",B5975:B9015,"5 1 2 4 2 12 31111 6 M59 19000 000132 0000R 00001 00242 011 2112000 2024 CP1TM440*")</f>
        <v>2070</v>
      </c>
      <c r="G5974" s="35">
        <f>SUMIFS(G5975:G9015,K5975:K9015,"0",B5975:B9015,"5 1 2 4 2 12 31111 6 M59 19000 000132 0000R 00001 00242 011 2112000 2024 CP1TM440*")</f>
        <v>0</v>
      </c>
      <c r="H5974" s="35">
        <f t="shared" si="94"/>
        <v>2070</v>
      </c>
      <c r="I5974" s="35"/>
      <c r="K5974" t="s">
        <v>15</v>
      </c>
    </row>
    <row r="5975" spans="2:11" ht="41.25" x14ac:dyDescent="0.2">
      <c r="B5975" s="33" t="s">
        <v>6965</v>
      </c>
      <c r="C5975" s="33" t="s">
        <v>46</v>
      </c>
      <c r="D5975" s="35">
        <f>SUMIFS(D5976:D9015,K5976:K9015,"0",B5976:B9015,"5 1 2 4 2 12 31111 6 M59 19000 000132 0000R 00001 00242 011 2112000 2024 CP1TM440 004*")-SUMIFS(E5976:E9015,K5976:K9015,"0",B5976:B9015,"5 1 2 4 2 12 31111 6 M59 19000 000132 0000R 00001 00242 011 2112000 2024 CP1TM440 004*")</f>
        <v>0</v>
      </c>
      <c r="E5975"/>
      <c r="F5975" s="35">
        <f>SUMIFS(F5976:F9015,K5976:K9015,"0",B5976:B9015,"5 1 2 4 2 12 31111 6 M59 19000 000132 0000R 00001 00242 011 2112000 2024 CP1TM440 004*")</f>
        <v>2070</v>
      </c>
      <c r="G5975" s="35">
        <f>SUMIFS(G5976:G9015,K5976:K9015,"0",B5976:B9015,"5 1 2 4 2 12 31111 6 M59 19000 000132 0000R 00001 00242 011 2112000 2024 CP1TM440 004*")</f>
        <v>0</v>
      </c>
      <c r="H5975" s="35">
        <f t="shared" si="94"/>
        <v>2070</v>
      </c>
      <c r="I5975" s="35"/>
      <c r="K5975" t="s">
        <v>15</v>
      </c>
    </row>
    <row r="5976" spans="2:11" ht="33" x14ac:dyDescent="0.2">
      <c r="B5976" s="31" t="s">
        <v>6966</v>
      </c>
      <c r="C5976" s="31" t="s">
        <v>6960</v>
      </c>
      <c r="D5976" s="34">
        <v>0</v>
      </c>
      <c r="E5976" s="34"/>
      <c r="F5976" s="34">
        <v>2070</v>
      </c>
      <c r="G5976" s="34">
        <v>0</v>
      </c>
      <c r="H5976" s="34">
        <f t="shared" si="94"/>
        <v>2070</v>
      </c>
      <c r="I5976" s="34"/>
      <c r="K5976" t="s">
        <v>38</v>
      </c>
    </row>
    <row r="5977" spans="2:11" ht="16.5" x14ac:dyDescent="0.2">
      <c r="B5977" s="33" t="s">
        <v>6967</v>
      </c>
      <c r="C5977" s="33" t="s">
        <v>1092</v>
      </c>
      <c r="D5977" s="35">
        <f>SUMIFS(D5978:D9015,K5978:K9015,"0",B5978:B9015,"5 1 2 4 2 12 31111 6 M59 40000*")-SUMIFS(E5978:E9015,K5978:K9015,"0",B5978:B9015,"5 1 2 4 2 12 31111 6 M59 40000*")</f>
        <v>0</v>
      </c>
      <c r="E5977"/>
      <c r="F5977" s="35">
        <f>SUMIFS(F5978:F9015,K5978:K9015,"0",B5978:B9015,"5 1 2 4 2 12 31111 6 M59 40000*")</f>
        <v>53.98</v>
      </c>
      <c r="G5977" s="35">
        <f>SUMIFS(G5978:G9015,K5978:K9015,"0",B5978:B9015,"5 1 2 4 2 12 31111 6 M59 40000*")</f>
        <v>0</v>
      </c>
      <c r="H5977" s="35">
        <f t="shared" si="94"/>
        <v>53.98</v>
      </c>
      <c r="I5977" s="35"/>
      <c r="K5977" t="s">
        <v>15</v>
      </c>
    </row>
    <row r="5978" spans="2:11" ht="16.5" x14ac:dyDescent="0.2">
      <c r="B5978" s="33" t="s">
        <v>6968</v>
      </c>
      <c r="C5978" s="33" t="s">
        <v>1094</v>
      </c>
      <c r="D5978" s="35">
        <f>SUMIFS(D5979:D9015,K5979:K9015,"0",B5979:B9015,"5 1 2 4 2 12 31111 6 M59 40000 000161*")-SUMIFS(E5979:E9015,K5979:K9015,"0",B5979:B9015,"5 1 2 4 2 12 31111 6 M59 40000 000161*")</f>
        <v>0</v>
      </c>
      <c r="E5978"/>
      <c r="F5978" s="35">
        <f>SUMIFS(F5979:F9015,K5979:K9015,"0",B5979:B9015,"5 1 2 4 2 12 31111 6 M59 40000 000161*")</f>
        <v>53.98</v>
      </c>
      <c r="G5978" s="35">
        <f>SUMIFS(G5979:G9015,K5979:K9015,"0",B5979:B9015,"5 1 2 4 2 12 31111 6 M59 40000 000161*")</f>
        <v>0</v>
      </c>
      <c r="H5978" s="35">
        <f t="shared" si="94"/>
        <v>53.98</v>
      </c>
      <c r="I5978" s="35"/>
      <c r="K5978" t="s">
        <v>15</v>
      </c>
    </row>
    <row r="5979" spans="2:11" ht="24.75" x14ac:dyDescent="0.2">
      <c r="B5979" s="33" t="s">
        <v>6969</v>
      </c>
      <c r="C5979" s="33" t="s">
        <v>1065</v>
      </c>
      <c r="D5979" s="35">
        <f>SUMIFS(D5980:D9015,K5980:K9015,"0",B5980:B9015,"5 1 2 4 2 12 31111 6 M59 40000 000161 0000E*")-SUMIFS(E5980:E9015,K5980:K9015,"0",B5980:B9015,"5 1 2 4 2 12 31111 6 M59 40000 000161 0000E*")</f>
        <v>0</v>
      </c>
      <c r="E5979"/>
      <c r="F5979" s="35">
        <f>SUMIFS(F5980:F9015,K5980:K9015,"0",B5980:B9015,"5 1 2 4 2 12 31111 6 M59 40000 000161 0000E*")</f>
        <v>53.98</v>
      </c>
      <c r="G5979" s="35">
        <f>SUMIFS(G5980:G9015,K5980:K9015,"0",B5980:B9015,"5 1 2 4 2 12 31111 6 M59 40000 000161 0000E*")</f>
        <v>0</v>
      </c>
      <c r="H5979" s="35">
        <f t="shared" si="94"/>
        <v>53.98</v>
      </c>
      <c r="I5979" s="35"/>
      <c r="K5979" t="s">
        <v>15</v>
      </c>
    </row>
    <row r="5980" spans="2:11" ht="24.75" x14ac:dyDescent="0.2">
      <c r="B5980" s="33" t="s">
        <v>6970</v>
      </c>
      <c r="C5980" s="33" t="s">
        <v>282</v>
      </c>
      <c r="D5980" s="35">
        <f>SUMIFS(D5981:D9015,K5981:K9015,"0",B5981:B9015,"5 1 2 4 2 12 31111 6 M59 40000 000161 0000E 00001*")-SUMIFS(E5981:E9015,K5981:K9015,"0",B5981:B9015,"5 1 2 4 2 12 31111 6 M59 40000 000161 0000E 00001*")</f>
        <v>0</v>
      </c>
      <c r="E5980"/>
      <c r="F5980" s="35">
        <f>SUMIFS(F5981:F9015,K5981:K9015,"0",B5981:B9015,"5 1 2 4 2 12 31111 6 M59 40000 000161 0000E 00001*")</f>
        <v>53.98</v>
      </c>
      <c r="G5980" s="35">
        <f>SUMIFS(G5981:G9015,K5981:K9015,"0",B5981:B9015,"5 1 2 4 2 12 31111 6 M59 40000 000161 0000E 00001*")</f>
        <v>0</v>
      </c>
      <c r="H5980" s="35">
        <f t="shared" si="94"/>
        <v>53.98</v>
      </c>
      <c r="I5980" s="35"/>
      <c r="K5980" t="s">
        <v>15</v>
      </c>
    </row>
    <row r="5981" spans="2:11" ht="24.75" x14ac:dyDescent="0.2">
      <c r="B5981" s="33" t="s">
        <v>6971</v>
      </c>
      <c r="C5981" s="33" t="s">
        <v>6960</v>
      </c>
      <c r="D5981" s="35">
        <f>SUMIFS(D5982:D9015,K5982:K9015,"0",B5982:B9015,"5 1 2 4 2 12 31111 6 M59 40000 000161 0000E 00001 00242*")-SUMIFS(E5982:E9015,K5982:K9015,"0",B5982:B9015,"5 1 2 4 2 12 31111 6 M59 40000 000161 0000E 00001 00242*")</f>
        <v>0</v>
      </c>
      <c r="E5981"/>
      <c r="F5981" s="35">
        <f>SUMIFS(F5982:F9015,K5982:K9015,"0",B5982:B9015,"5 1 2 4 2 12 31111 6 M59 40000 000161 0000E 00001 00242*")</f>
        <v>53.98</v>
      </c>
      <c r="G5981" s="35">
        <f>SUMIFS(G5982:G9015,K5982:K9015,"0",B5982:B9015,"5 1 2 4 2 12 31111 6 M59 40000 000161 0000E 00001 00242*")</f>
        <v>0</v>
      </c>
      <c r="H5981" s="35">
        <f t="shared" si="94"/>
        <v>53.98</v>
      </c>
      <c r="I5981" s="35"/>
      <c r="K5981" t="s">
        <v>15</v>
      </c>
    </row>
    <row r="5982" spans="2:11" ht="33" x14ac:dyDescent="0.2">
      <c r="B5982" s="33" t="s">
        <v>6972</v>
      </c>
      <c r="C5982" s="33" t="s">
        <v>656</v>
      </c>
      <c r="D5982" s="35">
        <f>SUMIFS(D5983:D9015,K5983:K9015,"0",B5983:B9015,"5 1 2 4 2 12 31111 6 M59 40000 000161 0000E 00001 00242 025*")-SUMIFS(E5983:E9015,K5983:K9015,"0",B5983:B9015,"5 1 2 4 2 12 31111 6 M59 40000 000161 0000E 00001 00242 025*")</f>
        <v>0</v>
      </c>
      <c r="E5982"/>
      <c r="F5982" s="35">
        <f>SUMIFS(F5983:F9015,K5983:K9015,"0",B5983:B9015,"5 1 2 4 2 12 31111 6 M59 40000 000161 0000E 00001 00242 025*")</f>
        <v>53.98</v>
      </c>
      <c r="G5982" s="35">
        <f>SUMIFS(G5983:G9015,K5983:K9015,"0",B5983:B9015,"5 1 2 4 2 12 31111 6 M59 40000 000161 0000E 00001 00242 025*")</f>
        <v>0</v>
      </c>
      <c r="H5982" s="35">
        <f t="shared" si="94"/>
        <v>53.98</v>
      </c>
      <c r="I5982" s="35"/>
      <c r="K5982" t="s">
        <v>15</v>
      </c>
    </row>
    <row r="5983" spans="2:11" ht="33" x14ac:dyDescent="0.2">
      <c r="B5983" s="33" t="s">
        <v>6973</v>
      </c>
      <c r="C5983" s="33" t="s">
        <v>5830</v>
      </c>
      <c r="D5983" s="35">
        <f>SUMIFS(D5984:D9015,K5984:K9015,"0",B5984:B9015,"5 1 2 4 2 12 31111 6 M59 40000 000161 0000E 00001 00242 025 2112000*")-SUMIFS(E5984:E9015,K5984:K9015,"0",B5984:B9015,"5 1 2 4 2 12 31111 6 M59 40000 000161 0000E 00001 00242 025 2112000*")</f>
        <v>0</v>
      </c>
      <c r="E5983"/>
      <c r="F5983" s="35">
        <f>SUMIFS(F5984:F9015,K5984:K9015,"0",B5984:B9015,"5 1 2 4 2 12 31111 6 M59 40000 000161 0000E 00001 00242 025 2112000*")</f>
        <v>53.98</v>
      </c>
      <c r="G5983" s="35">
        <f>SUMIFS(G5984:G9015,K5984:K9015,"0",B5984:B9015,"5 1 2 4 2 12 31111 6 M59 40000 000161 0000E 00001 00242 025 2112000*")</f>
        <v>0</v>
      </c>
      <c r="H5983" s="35">
        <f t="shared" si="94"/>
        <v>53.98</v>
      </c>
      <c r="I5983" s="35"/>
      <c r="K5983" t="s">
        <v>15</v>
      </c>
    </row>
    <row r="5984" spans="2:11" ht="33" x14ac:dyDescent="0.2">
      <c r="B5984" s="33" t="s">
        <v>6974</v>
      </c>
      <c r="C5984" s="33" t="s">
        <v>660</v>
      </c>
      <c r="D5984" s="35">
        <f>SUMIFS(D5985:D9015,K5985:K9015,"0",B5985:B9015,"5 1 2 4 2 12 31111 6 M59 40000 000161 0000E 00001 00242 025 2112000 2024*")-SUMIFS(E5985:E9015,K5985:K9015,"0",B5985:B9015,"5 1 2 4 2 12 31111 6 M59 40000 000161 0000E 00001 00242 025 2112000 2024*")</f>
        <v>0</v>
      </c>
      <c r="E5984"/>
      <c r="F5984" s="35">
        <f>SUMIFS(F5985:F9015,K5985:K9015,"0",B5985:B9015,"5 1 2 4 2 12 31111 6 M59 40000 000161 0000E 00001 00242 025 2112000 2024*")</f>
        <v>53.98</v>
      </c>
      <c r="G5984" s="35">
        <f>SUMIFS(G5985:G9015,K5985:K9015,"0",B5985:B9015,"5 1 2 4 2 12 31111 6 M59 40000 000161 0000E 00001 00242 025 2112000 2024*")</f>
        <v>0</v>
      </c>
      <c r="H5984" s="35">
        <f t="shared" si="94"/>
        <v>53.98</v>
      </c>
      <c r="I5984" s="35"/>
      <c r="K5984" t="s">
        <v>15</v>
      </c>
    </row>
    <row r="5985" spans="2:11" ht="41.25" x14ac:dyDescent="0.2">
      <c r="B5985" s="33" t="s">
        <v>6975</v>
      </c>
      <c r="C5985" s="33" t="s">
        <v>662</v>
      </c>
      <c r="D5985" s="35">
        <f>SUMIFS(D5986:D9015,K5986:K9015,"0",B5986:B9015,"5 1 2 4 2 12 31111 6 M59 40000 000161 0000E 00001 00242 025 2112000 2024 CP4SP372*")-SUMIFS(E5986:E9015,K5986:K9015,"0",B5986:B9015,"5 1 2 4 2 12 31111 6 M59 40000 000161 0000E 00001 00242 025 2112000 2024 CP4SP372*")</f>
        <v>0</v>
      </c>
      <c r="E5985"/>
      <c r="F5985" s="35">
        <f>SUMIFS(F5986:F9015,K5986:K9015,"0",B5986:B9015,"5 1 2 4 2 12 31111 6 M59 40000 000161 0000E 00001 00242 025 2112000 2024 CP4SP372*")</f>
        <v>53.98</v>
      </c>
      <c r="G5985" s="35">
        <f>SUMIFS(G5986:G9015,K5986:K9015,"0",B5986:B9015,"5 1 2 4 2 12 31111 6 M59 40000 000161 0000E 00001 00242 025 2112000 2024 CP4SP372*")</f>
        <v>0</v>
      </c>
      <c r="H5985" s="35">
        <f t="shared" si="94"/>
        <v>53.98</v>
      </c>
      <c r="I5985" s="35"/>
      <c r="K5985" t="s">
        <v>15</v>
      </c>
    </row>
    <row r="5986" spans="2:11" ht="41.25" x14ac:dyDescent="0.2">
      <c r="B5986" s="33" t="s">
        <v>6976</v>
      </c>
      <c r="C5986" s="33" t="s">
        <v>664</v>
      </c>
      <c r="D5986" s="35">
        <f>SUMIFS(D5987:D9015,K5987:K9015,"0",B5987:B9015,"5 1 2 4 2 12 31111 6 M59 40000 000161 0000E 00001 00242 025 2112000 2024 CP4SP372 003*")-SUMIFS(E5987:E9015,K5987:K9015,"0",B5987:B9015,"5 1 2 4 2 12 31111 6 M59 40000 000161 0000E 00001 00242 025 2112000 2024 CP4SP372 003*")</f>
        <v>0</v>
      </c>
      <c r="E5986"/>
      <c r="F5986" s="35">
        <f>SUMIFS(F5987:F9015,K5987:K9015,"0",B5987:B9015,"5 1 2 4 2 12 31111 6 M59 40000 000161 0000E 00001 00242 025 2112000 2024 CP4SP372 003*")</f>
        <v>53.98</v>
      </c>
      <c r="G5986" s="35">
        <f>SUMIFS(G5987:G9015,K5987:K9015,"0",B5987:B9015,"5 1 2 4 2 12 31111 6 M59 40000 000161 0000E 00001 00242 025 2112000 2024 CP4SP372 003*")</f>
        <v>0</v>
      </c>
      <c r="H5986" s="35">
        <f t="shared" si="94"/>
        <v>53.98</v>
      </c>
      <c r="I5986" s="35"/>
      <c r="K5986" t="s">
        <v>15</v>
      </c>
    </row>
    <row r="5987" spans="2:11" ht="33" x14ac:dyDescent="0.2">
      <c r="B5987" s="31" t="s">
        <v>6977</v>
      </c>
      <c r="C5987" s="31" t="s">
        <v>6960</v>
      </c>
      <c r="D5987" s="34">
        <v>0</v>
      </c>
      <c r="E5987" s="34"/>
      <c r="F5987" s="34">
        <v>53.98</v>
      </c>
      <c r="G5987" s="34">
        <v>0</v>
      </c>
      <c r="H5987" s="34">
        <f t="shared" si="94"/>
        <v>53.98</v>
      </c>
      <c r="I5987" s="34"/>
      <c r="K5987" t="s">
        <v>38</v>
      </c>
    </row>
    <row r="5988" spans="2:11" ht="16.5" x14ac:dyDescent="0.2">
      <c r="B5988" s="33" t="s">
        <v>6978</v>
      </c>
      <c r="C5988" s="33" t="s">
        <v>3693</v>
      </c>
      <c r="D5988" s="35">
        <f>SUMIFS(D5989:D9015,K5989:K9015,"0",B5989:B9015,"5 1 2 4 2 12 31111 6 M59 96100*")-SUMIFS(E5989:E9015,K5989:K9015,"0",B5989:B9015,"5 1 2 4 2 12 31111 6 M59 96100*")</f>
        <v>0</v>
      </c>
      <c r="E5988"/>
      <c r="F5988" s="35">
        <f>SUMIFS(F5989:F9015,K5989:K9015,"0",B5989:B9015,"5 1 2 4 2 12 31111 6 M59 96100*")</f>
        <v>286996</v>
      </c>
      <c r="G5988" s="35">
        <f>SUMIFS(G5989:G9015,K5989:K9015,"0",B5989:B9015,"5 1 2 4 2 12 31111 6 M59 96100*")</f>
        <v>0</v>
      </c>
      <c r="H5988" s="35">
        <f t="shared" si="94"/>
        <v>286996</v>
      </c>
      <c r="I5988" s="35"/>
      <c r="K5988" t="s">
        <v>15</v>
      </c>
    </row>
    <row r="5989" spans="2:11" ht="16.5" x14ac:dyDescent="0.2">
      <c r="B5989" s="33" t="s">
        <v>6979</v>
      </c>
      <c r="C5989" s="33" t="s">
        <v>1310</v>
      </c>
      <c r="D5989" s="35">
        <f>SUMIFS(D5990:D9015,K5990:K9015,"0",B5990:B9015,"5 1 2 4 2 12 31111 6 M59 96100 000211*")-SUMIFS(E5990:E9015,K5990:K9015,"0",B5990:B9015,"5 1 2 4 2 12 31111 6 M59 96100 000211*")</f>
        <v>0</v>
      </c>
      <c r="E5989"/>
      <c r="F5989" s="35">
        <f>SUMIFS(F5990:F9015,K5990:K9015,"0",B5990:B9015,"5 1 2 4 2 12 31111 6 M59 96100 000211*")</f>
        <v>286996</v>
      </c>
      <c r="G5989" s="35">
        <f>SUMIFS(G5990:G9015,K5990:K9015,"0",B5990:B9015,"5 1 2 4 2 12 31111 6 M59 96100 000211*")</f>
        <v>0</v>
      </c>
      <c r="H5989" s="35">
        <f t="shared" si="94"/>
        <v>286996</v>
      </c>
      <c r="I5989" s="35"/>
      <c r="K5989" t="s">
        <v>15</v>
      </c>
    </row>
    <row r="5990" spans="2:11" ht="24.75" x14ac:dyDescent="0.2">
      <c r="B5990" s="33" t="s">
        <v>6980</v>
      </c>
      <c r="C5990" s="33" t="s">
        <v>3696</v>
      </c>
      <c r="D5990" s="35">
        <f>SUMIFS(D5991:D9015,K5991:K9015,"0",B5991:B9015,"5 1 2 4 2 12 31111 6 M59 96100 000211 0000U*")-SUMIFS(E5991:E9015,K5991:K9015,"0",B5991:B9015,"5 1 2 4 2 12 31111 6 M59 96100 000211 0000U*")</f>
        <v>0</v>
      </c>
      <c r="E5990"/>
      <c r="F5990" s="35">
        <f>SUMIFS(F5991:F9015,K5991:K9015,"0",B5991:B9015,"5 1 2 4 2 12 31111 6 M59 96100 000211 0000U*")</f>
        <v>286996</v>
      </c>
      <c r="G5990" s="35">
        <f>SUMIFS(G5991:G9015,K5991:K9015,"0",B5991:B9015,"5 1 2 4 2 12 31111 6 M59 96100 000211 0000U*")</f>
        <v>0</v>
      </c>
      <c r="H5990" s="35">
        <f t="shared" si="94"/>
        <v>286996</v>
      </c>
      <c r="I5990" s="35"/>
      <c r="K5990" t="s">
        <v>15</v>
      </c>
    </row>
    <row r="5991" spans="2:11" ht="24.75" x14ac:dyDescent="0.2">
      <c r="B5991" s="33" t="s">
        <v>6981</v>
      </c>
      <c r="C5991" s="33" t="s">
        <v>282</v>
      </c>
      <c r="D5991" s="35">
        <f>SUMIFS(D5992:D9015,K5992:K9015,"0",B5992:B9015,"5 1 2 4 2 12 31111 6 M59 96100 000211 0000U 00001*")-SUMIFS(E5992:E9015,K5992:K9015,"0",B5992:B9015,"5 1 2 4 2 12 31111 6 M59 96100 000211 0000U 00001*")</f>
        <v>0</v>
      </c>
      <c r="E5991"/>
      <c r="F5991" s="35">
        <f>SUMIFS(F5992:F9015,K5992:K9015,"0",B5992:B9015,"5 1 2 4 2 12 31111 6 M59 96100 000211 0000U 00001*")</f>
        <v>286996</v>
      </c>
      <c r="G5991" s="35">
        <f>SUMIFS(G5992:G9015,K5992:K9015,"0",B5992:B9015,"5 1 2 4 2 12 31111 6 M59 96100 000211 0000U 00001*")</f>
        <v>0</v>
      </c>
      <c r="H5991" s="35">
        <f t="shared" si="94"/>
        <v>286996</v>
      </c>
      <c r="I5991" s="35"/>
      <c r="K5991" t="s">
        <v>15</v>
      </c>
    </row>
    <row r="5992" spans="2:11" ht="24.75" x14ac:dyDescent="0.2">
      <c r="B5992" s="33" t="s">
        <v>6982</v>
      </c>
      <c r="C5992" s="33" t="s">
        <v>6960</v>
      </c>
      <c r="D5992" s="35">
        <f>SUMIFS(D5993:D9015,K5993:K9015,"0",B5993:B9015,"5 1 2 4 2 12 31111 6 M59 96100 000211 0000U 00001 00242*")-SUMIFS(E5993:E9015,K5993:K9015,"0",B5993:B9015,"5 1 2 4 2 12 31111 6 M59 96100 000211 0000U 00001 00242*")</f>
        <v>0</v>
      </c>
      <c r="E5992"/>
      <c r="F5992" s="35">
        <f>SUMIFS(F5993:F9015,K5993:K9015,"0",B5993:B9015,"5 1 2 4 2 12 31111 6 M59 96100 000211 0000U 00001 00242*")</f>
        <v>286996</v>
      </c>
      <c r="G5992" s="35">
        <f>SUMIFS(G5993:G9015,K5993:K9015,"0",B5993:B9015,"5 1 2 4 2 12 31111 6 M59 96100 000211 0000U 00001 00242*")</f>
        <v>0</v>
      </c>
      <c r="H5992" s="35">
        <f t="shared" si="94"/>
        <v>286996</v>
      </c>
      <c r="I5992" s="35"/>
      <c r="K5992" t="s">
        <v>15</v>
      </c>
    </row>
    <row r="5993" spans="2:11" ht="33" x14ac:dyDescent="0.2">
      <c r="B5993" s="33" t="s">
        <v>6983</v>
      </c>
      <c r="C5993" s="33" t="s">
        <v>1051</v>
      </c>
      <c r="D5993" s="35">
        <f>SUMIFS(D5994:D9015,K5994:K9015,"0",B5994:B9015,"5 1 2 4 2 12 31111 6 M59 96100 000211 0000U 00001 00242 015*")-SUMIFS(E5994:E9015,K5994:K9015,"0",B5994:B9015,"5 1 2 4 2 12 31111 6 M59 96100 000211 0000U 00001 00242 015*")</f>
        <v>0</v>
      </c>
      <c r="E5993"/>
      <c r="F5993" s="35">
        <f>SUMIFS(F5994:F9015,K5994:K9015,"0",B5994:B9015,"5 1 2 4 2 12 31111 6 M59 96100 000211 0000U 00001 00242 015*")</f>
        <v>286996</v>
      </c>
      <c r="G5993" s="35">
        <f>SUMIFS(G5994:G9015,K5994:K9015,"0",B5994:B9015,"5 1 2 4 2 12 31111 6 M59 96100 000211 0000U 00001 00242 015*")</f>
        <v>0</v>
      </c>
      <c r="H5993" s="35">
        <f t="shared" si="94"/>
        <v>286996</v>
      </c>
      <c r="I5993" s="35"/>
      <c r="K5993" t="s">
        <v>15</v>
      </c>
    </row>
    <row r="5994" spans="2:11" ht="33" x14ac:dyDescent="0.2">
      <c r="B5994" s="33" t="s">
        <v>6984</v>
      </c>
      <c r="C5994" s="33" t="s">
        <v>5830</v>
      </c>
      <c r="D5994" s="35">
        <f>SUMIFS(D5995:D9015,K5995:K9015,"0",B5995:B9015,"5 1 2 4 2 12 31111 6 M59 96100 000211 0000U 00001 00242 015 2112000*")-SUMIFS(E5995:E9015,K5995:K9015,"0",B5995:B9015,"5 1 2 4 2 12 31111 6 M59 96100 000211 0000U 00001 00242 015 2112000*")</f>
        <v>0</v>
      </c>
      <c r="E5994"/>
      <c r="F5994" s="35">
        <f>SUMIFS(F5995:F9015,K5995:K9015,"0",B5995:B9015,"5 1 2 4 2 12 31111 6 M59 96100 000211 0000U 00001 00242 015 2112000*")</f>
        <v>286996</v>
      </c>
      <c r="G5994" s="35">
        <f>SUMIFS(G5995:G9015,K5995:K9015,"0",B5995:B9015,"5 1 2 4 2 12 31111 6 M59 96100 000211 0000U 00001 00242 015 2112000*")</f>
        <v>0</v>
      </c>
      <c r="H5994" s="35">
        <f t="shared" si="94"/>
        <v>286996</v>
      </c>
      <c r="I5994" s="35"/>
      <c r="K5994" t="s">
        <v>15</v>
      </c>
    </row>
    <row r="5995" spans="2:11" ht="33" x14ac:dyDescent="0.2">
      <c r="B5995" s="33" t="s">
        <v>6985</v>
      </c>
      <c r="C5995" s="33" t="s">
        <v>660</v>
      </c>
      <c r="D5995" s="35">
        <f>SUMIFS(D5996:D9015,K5996:K9015,"0",B5996:B9015,"5 1 2 4 2 12 31111 6 M59 96100 000211 0000U 00001 00242 015 2112000 2024*")-SUMIFS(E5996:E9015,K5996:K9015,"0",B5996:B9015,"5 1 2 4 2 12 31111 6 M59 96100 000211 0000U 00001 00242 015 2112000 2024*")</f>
        <v>0</v>
      </c>
      <c r="E5995"/>
      <c r="F5995" s="35">
        <f>SUMIFS(F5996:F9015,K5996:K9015,"0",B5996:B9015,"5 1 2 4 2 12 31111 6 M59 96100 000211 0000U 00001 00242 015 2112000 2024*")</f>
        <v>286996</v>
      </c>
      <c r="G5995" s="35">
        <f>SUMIFS(G5996:G9015,K5996:K9015,"0",B5996:B9015,"5 1 2 4 2 12 31111 6 M59 96100 000211 0000U 00001 00242 015 2112000 2024*")</f>
        <v>0</v>
      </c>
      <c r="H5995" s="35">
        <f t="shared" si="94"/>
        <v>286996</v>
      </c>
      <c r="I5995" s="35"/>
      <c r="K5995" t="s">
        <v>15</v>
      </c>
    </row>
    <row r="5996" spans="2:11" ht="41.25" x14ac:dyDescent="0.2">
      <c r="B5996" s="33" t="s">
        <v>6986</v>
      </c>
      <c r="C5996" s="33" t="s">
        <v>1056</v>
      </c>
      <c r="D5996" s="35">
        <f>SUMIFS(D5997:D9015,K5997:K9015,"0",B5997:B9015,"5 1 2 4 2 12 31111 6 M59 96100 000211 0000U 00001 00242 015 2112000 2024 CP1IU412*")-SUMIFS(E5997:E9015,K5997:K9015,"0",B5997:B9015,"5 1 2 4 2 12 31111 6 M59 96100 000211 0000U 00001 00242 015 2112000 2024 CP1IU412*")</f>
        <v>0</v>
      </c>
      <c r="E5996"/>
      <c r="F5996" s="35">
        <f>SUMIFS(F5997:F9015,K5997:K9015,"0",B5997:B9015,"5 1 2 4 2 12 31111 6 M59 96100 000211 0000U 00001 00242 015 2112000 2024 CP1IU412*")</f>
        <v>286996</v>
      </c>
      <c r="G5996" s="35">
        <f>SUMIFS(G5997:G9015,K5997:K9015,"0",B5997:B9015,"5 1 2 4 2 12 31111 6 M59 96100 000211 0000U 00001 00242 015 2112000 2024 CP1IU412*")</f>
        <v>0</v>
      </c>
      <c r="H5996" s="35">
        <f t="shared" si="94"/>
        <v>286996</v>
      </c>
      <c r="I5996" s="35"/>
      <c r="K5996" t="s">
        <v>15</v>
      </c>
    </row>
    <row r="5997" spans="2:11" ht="41.25" x14ac:dyDescent="0.2">
      <c r="B5997" s="33" t="s">
        <v>6987</v>
      </c>
      <c r="C5997" s="33" t="s">
        <v>282</v>
      </c>
      <c r="D5997" s="35">
        <f>SUMIFS(D5998:D9015,K5998:K9015,"0",B5998:B9015,"5 1 2 4 2 12 31111 6 M59 96100 000211 0000U 00001 00242 015 2112000 2024 CP1IU412 001*")-SUMIFS(E5998:E9015,K5998:K9015,"0",B5998:B9015,"5 1 2 4 2 12 31111 6 M59 96100 000211 0000U 00001 00242 015 2112000 2024 CP1IU412 001*")</f>
        <v>0</v>
      </c>
      <c r="E5997"/>
      <c r="F5997" s="35">
        <f>SUMIFS(F5998:F9015,K5998:K9015,"0",B5998:B9015,"5 1 2 4 2 12 31111 6 M59 96100 000211 0000U 00001 00242 015 2112000 2024 CP1IU412 001*")</f>
        <v>286996</v>
      </c>
      <c r="G5997" s="35">
        <f>SUMIFS(G5998:G9015,K5998:K9015,"0",B5998:B9015,"5 1 2 4 2 12 31111 6 M59 96100 000211 0000U 00001 00242 015 2112000 2024 CP1IU412 001*")</f>
        <v>0</v>
      </c>
      <c r="H5997" s="35">
        <f t="shared" si="94"/>
        <v>286996</v>
      </c>
      <c r="I5997" s="35"/>
      <c r="K5997" t="s">
        <v>15</v>
      </c>
    </row>
    <row r="5998" spans="2:11" ht="33" x14ac:dyDescent="0.2">
      <c r="B5998" s="31" t="s">
        <v>6988</v>
      </c>
      <c r="C5998" s="31" t="s">
        <v>6950</v>
      </c>
      <c r="D5998" s="34">
        <v>0</v>
      </c>
      <c r="E5998" s="34"/>
      <c r="F5998" s="34">
        <v>286996</v>
      </c>
      <c r="G5998" s="34">
        <v>0</v>
      </c>
      <c r="H5998" s="34">
        <f t="shared" si="94"/>
        <v>286996</v>
      </c>
      <c r="I5998" s="34"/>
      <c r="K5998" t="s">
        <v>38</v>
      </c>
    </row>
    <row r="5999" spans="2:11" ht="16.5" x14ac:dyDescent="0.2">
      <c r="B5999" s="33" t="s">
        <v>6989</v>
      </c>
      <c r="C5999" s="33" t="s">
        <v>3754</v>
      </c>
      <c r="D5999" s="35">
        <f>SUMIFS(D6000:D9015,K6000:K9015,"0",B6000:B9015,"5 1 2 4 2 12 31111 6 M59 99000*")-SUMIFS(E6000:E9015,K6000:K9015,"0",B6000:B9015,"5 1 2 4 2 12 31111 6 M59 99000*")</f>
        <v>0</v>
      </c>
      <c r="E5999"/>
      <c r="F5999" s="35">
        <f>SUMIFS(F6000:F9015,K6000:K9015,"0",B6000:B9015,"5 1 2 4 2 12 31111 6 M59 99000*")</f>
        <v>30</v>
      </c>
      <c r="G5999" s="35">
        <f>SUMIFS(G6000:G9015,K6000:K9015,"0",B6000:B9015,"5 1 2 4 2 12 31111 6 M59 99000*")</f>
        <v>0</v>
      </c>
      <c r="H5999" s="35">
        <f t="shared" si="94"/>
        <v>30</v>
      </c>
      <c r="I5999" s="35"/>
      <c r="K5999" t="s">
        <v>15</v>
      </c>
    </row>
    <row r="6000" spans="2:11" ht="16.5" x14ac:dyDescent="0.2">
      <c r="B6000" s="33" t="s">
        <v>6990</v>
      </c>
      <c r="C6000" s="33" t="s">
        <v>648</v>
      </c>
      <c r="D6000" s="35">
        <f>SUMIFS(D6001:D9015,K6001:K9015,"0",B6001:B9015,"5 1 2 4 2 12 31111 6 M59 99000 000132*")-SUMIFS(E6001:E9015,K6001:K9015,"0",B6001:B9015,"5 1 2 4 2 12 31111 6 M59 99000 000132*")</f>
        <v>0</v>
      </c>
      <c r="E6000"/>
      <c r="F6000" s="35">
        <f>SUMIFS(F6001:F9015,K6001:K9015,"0",B6001:B9015,"5 1 2 4 2 12 31111 6 M59 99000 000132*")</f>
        <v>30</v>
      </c>
      <c r="G6000" s="35">
        <f>SUMIFS(G6001:G9015,K6001:K9015,"0",B6001:B9015,"5 1 2 4 2 12 31111 6 M59 99000 000132*")</f>
        <v>0</v>
      </c>
      <c r="H6000" s="35">
        <f t="shared" si="94"/>
        <v>30</v>
      </c>
      <c r="I6000" s="35"/>
      <c r="K6000" t="s">
        <v>15</v>
      </c>
    </row>
    <row r="6001" spans="2:11" ht="24.75" x14ac:dyDescent="0.2">
      <c r="B6001" s="33" t="s">
        <v>6991</v>
      </c>
      <c r="C6001" s="33" t="s">
        <v>650</v>
      </c>
      <c r="D6001" s="35">
        <f>SUMIFS(D6002:D9015,K6002:K9015,"0",B6002:B9015,"5 1 2 4 2 12 31111 6 M59 99000 000132 0000R*")-SUMIFS(E6002:E9015,K6002:K9015,"0",B6002:B9015,"5 1 2 4 2 12 31111 6 M59 99000 000132 0000R*")</f>
        <v>0</v>
      </c>
      <c r="E6001"/>
      <c r="F6001" s="35">
        <f>SUMIFS(F6002:F9015,K6002:K9015,"0",B6002:B9015,"5 1 2 4 2 12 31111 6 M59 99000 000132 0000R*")</f>
        <v>30</v>
      </c>
      <c r="G6001" s="35">
        <f>SUMIFS(G6002:G9015,K6002:K9015,"0",B6002:B9015,"5 1 2 4 2 12 31111 6 M59 99000 000132 0000R*")</f>
        <v>0</v>
      </c>
      <c r="H6001" s="35">
        <f t="shared" si="94"/>
        <v>30</v>
      </c>
      <c r="I6001" s="35"/>
      <c r="K6001" t="s">
        <v>15</v>
      </c>
    </row>
    <row r="6002" spans="2:11" ht="24.75" x14ac:dyDescent="0.2">
      <c r="B6002" s="33" t="s">
        <v>6992</v>
      </c>
      <c r="C6002" s="33" t="s">
        <v>282</v>
      </c>
      <c r="D6002" s="35">
        <f>SUMIFS(D6003:D9015,K6003:K9015,"0",B6003:B9015,"5 1 2 4 2 12 31111 6 M59 99000 000132 0000R 00001*")-SUMIFS(E6003:E9015,K6003:K9015,"0",B6003:B9015,"5 1 2 4 2 12 31111 6 M59 99000 000132 0000R 00001*")</f>
        <v>0</v>
      </c>
      <c r="E6002"/>
      <c r="F6002" s="35">
        <f>SUMIFS(F6003:F9015,K6003:K9015,"0",B6003:B9015,"5 1 2 4 2 12 31111 6 M59 99000 000132 0000R 00001*")</f>
        <v>30</v>
      </c>
      <c r="G6002" s="35">
        <f>SUMIFS(G6003:G9015,K6003:K9015,"0",B6003:B9015,"5 1 2 4 2 12 31111 6 M59 99000 000132 0000R 00001*")</f>
        <v>0</v>
      </c>
      <c r="H6002" s="35">
        <f t="shared" si="94"/>
        <v>30</v>
      </c>
      <c r="I6002" s="35"/>
      <c r="K6002" t="s">
        <v>15</v>
      </c>
    </row>
    <row r="6003" spans="2:11" ht="24.75" x14ac:dyDescent="0.2">
      <c r="B6003" s="33" t="s">
        <v>6993</v>
      </c>
      <c r="C6003" s="33" t="s">
        <v>6960</v>
      </c>
      <c r="D6003" s="35">
        <f>SUMIFS(D6004:D9015,K6004:K9015,"0",B6004:B9015,"5 1 2 4 2 12 31111 6 M59 99000 000132 0000R 00001 00242*")-SUMIFS(E6004:E9015,K6004:K9015,"0",B6004:B9015,"5 1 2 4 2 12 31111 6 M59 99000 000132 0000R 00001 00242*")</f>
        <v>0</v>
      </c>
      <c r="E6003"/>
      <c r="F6003" s="35">
        <f>SUMIFS(F6004:F9015,K6004:K9015,"0",B6004:B9015,"5 1 2 4 2 12 31111 6 M59 99000 000132 0000R 00001 00242*")</f>
        <v>30</v>
      </c>
      <c r="G6003" s="35">
        <f>SUMIFS(G6004:G9015,K6004:K9015,"0",B6004:B9015,"5 1 2 4 2 12 31111 6 M59 99000 000132 0000R 00001 00242*")</f>
        <v>0</v>
      </c>
      <c r="H6003" s="35">
        <f t="shared" si="94"/>
        <v>30</v>
      </c>
      <c r="I6003" s="35"/>
      <c r="K6003" t="s">
        <v>15</v>
      </c>
    </row>
    <row r="6004" spans="2:11" ht="33" x14ac:dyDescent="0.2">
      <c r="B6004" s="33" t="s">
        <v>6994</v>
      </c>
      <c r="C6004" s="33" t="s">
        <v>1051</v>
      </c>
      <c r="D6004" s="35">
        <f>SUMIFS(D6005:D9015,K6005:K9015,"0",B6005:B9015,"5 1 2 4 2 12 31111 6 M59 99000 000132 0000R 00001 00242 015*")-SUMIFS(E6005:E9015,K6005:K9015,"0",B6005:B9015,"5 1 2 4 2 12 31111 6 M59 99000 000132 0000R 00001 00242 015*")</f>
        <v>0</v>
      </c>
      <c r="E6004"/>
      <c r="F6004" s="35">
        <f>SUMIFS(F6005:F9015,K6005:K9015,"0",B6005:B9015,"5 1 2 4 2 12 31111 6 M59 99000 000132 0000R 00001 00242 015*")</f>
        <v>30</v>
      </c>
      <c r="G6004" s="35">
        <f>SUMIFS(G6005:G9015,K6005:K9015,"0",B6005:B9015,"5 1 2 4 2 12 31111 6 M59 99000 000132 0000R 00001 00242 015*")</f>
        <v>0</v>
      </c>
      <c r="H6004" s="35">
        <f t="shared" si="94"/>
        <v>30</v>
      </c>
      <c r="I6004" s="35"/>
      <c r="K6004" t="s">
        <v>15</v>
      </c>
    </row>
    <row r="6005" spans="2:11" ht="33" x14ac:dyDescent="0.2">
      <c r="B6005" s="33" t="s">
        <v>6995</v>
      </c>
      <c r="C6005" s="33" t="s">
        <v>5830</v>
      </c>
      <c r="D6005" s="35">
        <f>SUMIFS(D6006:D9015,K6006:K9015,"0",B6006:B9015,"5 1 2 4 2 12 31111 6 M59 99000 000132 0000R 00001 00242 015 2112000*")-SUMIFS(E6006:E9015,K6006:K9015,"0",B6006:B9015,"5 1 2 4 2 12 31111 6 M59 99000 000132 0000R 00001 00242 015 2112000*")</f>
        <v>0</v>
      </c>
      <c r="E6005"/>
      <c r="F6005" s="35">
        <f>SUMIFS(F6006:F9015,K6006:K9015,"0",B6006:B9015,"5 1 2 4 2 12 31111 6 M59 99000 000132 0000R 00001 00242 015 2112000*")</f>
        <v>30</v>
      </c>
      <c r="G6005" s="35">
        <f>SUMIFS(G6006:G9015,K6006:K9015,"0",B6006:B9015,"5 1 2 4 2 12 31111 6 M59 99000 000132 0000R 00001 00242 015 2112000*")</f>
        <v>0</v>
      </c>
      <c r="H6005" s="35">
        <f t="shared" si="94"/>
        <v>30</v>
      </c>
      <c r="I6005" s="35"/>
      <c r="K6005" t="s">
        <v>15</v>
      </c>
    </row>
    <row r="6006" spans="2:11" ht="33" x14ac:dyDescent="0.2">
      <c r="B6006" s="33" t="s">
        <v>6996</v>
      </c>
      <c r="C6006" s="33" t="s">
        <v>660</v>
      </c>
      <c r="D6006" s="35">
        <f>SUMIFS(D6007:D9015,K6007:K9015,"0",B6007:B9015,"5 1 2 4 2 12 31111 6 M59 99000 000132 0000R 00001 00242 015 2112000 2024*")-SUMIFS(E6007:E9015,K6007:K9015,"0",B6007:B9015,"5 1 2 4 2 12 31111 6 M59 99000 000132 0000R 00001 00242 015 2112000 2024*")</f>
        <v>0</v>
      </c>
      <c r="E6006"/>
      <c r="F6006" s="35">
        <f>SUMIFS(F6007:F9015,K6007:K9015,"0",B6007:B9015,"5 1 2 4 2 12 31111 6 M59 99000 000132 0000R 00001 00242 015 2112000 2024*")</f>
        <v>30</v>
      </c>
      <c r="G6006" s="35">
        <f>SUMIFS(G6007:G9015,K6007:K9015,"0",B6007:B9015,"5 1 2 4 2 12 31111 6 M59 99000 000132 0000R 00001 00242 015 2112000 2024*")</f>
        <v>0</v>
      </c>
      <c r="H6006" s="35">
        <f t="shared" si="94"/>
        <v>30</v>
      </c>
      <c r="I6006" s="35"/>
      <c r="K6006" t="s">
        <v>15</v>
      </c>
    </row>
    <row r="6007" spans="2:11" ht="41.25" x14ac:dyDescent="0.2">
      <c r="B6007" s="33" t="s">
        <v>6997</v>
      </c>
      <c r="C6007" s="33" t="s">
        <v>1056</v>
      </c>
      <c r="D6007" s="35">
        <f>SUMIFS(D6008:D9015,K6008:K9015,"0",B6008:B9015,"5 1 2 4 2 12 31111 6 M59 99000 000132 0000R 00001 00242 015 2112000 2024 CP1MG408*")-SUMIFS(E6008:E9015,K6008:K9015,"0",B6008:B9015,"5 1 2 4 2 12 31111 6 M59 99000 000132 0000R 00001 00242 015 2112000 2024 CP1MG408*")</f>
        <v>0</v>
      </c>
      <c r="E6007"/>
      <c r="F6007" s="35">
        <f>SUMIFS(F6008:F9015,K6008:K9015,"0",B6008:B9015,"5 1 2 4 2 12 31111 6 M59 99000 000132 0000R 00001 00242 015 2112000 2024 CP1MG408*")</f>
        <v>30</v>
      </c>
      <c r="G6007" s="35">
        <f>SUMIFS(G6008:G9015,K6008:K9015,"0",B6008:B9015,"5 1 2 4 2 12 31111 6 M59 99000 000132 0000R 00001 00242 015 2112000 2024 CP1MG408*")</f>
        <v>0</v>
      </c>
      <c r="H6007" s="35">
        <f t="shared" si="94"/>
        <v>30</v>
      </c>
      <c r="I6007" s="35"/>
      <c r="K6007" t="s">
        <v>15</v>
      </c>
    </row>
    <row r="6008" spans="2:11" ht="41.25" x14ac:dyDescent="0.2">
      <c r="B6008" s="33" t="s">
        <v>6998</v>
      </c>
      <c r="C6008" s="33" t="s">
        <v>282</v>
      </c>
      <c r="D6008" s="35">
        <f>SUMIFS(D6009:D9015,K6009:K9015,"0",B6009:B9015,"5 1 2 4 2 12 31111 6 M59 99000 000132 0000R 00001 00242 015 2112000 2024 CP1MG408 001*")-SUMIFS(E6009:E9015,K6009:K9015,"0",B6009:B9015,"5 1 2 4 2 12 31111 6 M59 99000 000132 0000R 00001 00242 015 2112000 2024 CP1MG408 001*")</f>
        <v>0</v>
      </c>
      <c r="E6008"/>
      <c r="F6008" s="35">
        <f>SUMIFS(F6009:F9015,K6009:K9015,"0",B6009:B9015,"5 1 2 4 2 12 31111 6 M59 99000 000132 0000R 00001 00242 015 2112000 2024 CP1MG408 001*")</f>
        <v>30</v>
      </c>
      <c r="G6008" s="35">
        <f>SUMIFS(G6009:G9015,K6009:K9015,"0",B6009:B9015,"5 1 2 4 2 12 31111 6 M59 99000 000132 0000R 00001 00242 015 2112000 2024 CP1MG408 001*")</f>
        <v>0</v>
      </c>
      <c r="H6008" s="35">
        <f t="shared" si="94"/>
        <v>30</v>
      </c>
      <c r="I6008" s="35"/>
      <c r="K6008" t="s">
        <v>15</v>
      </c>
    </row>
    <row r="6009" spans="2:11" ht="41.25" x14ac:dyDescent="0.2">
      <c r="B6009" s="31" t="s">
        <v>6999</v>
      </c>
      <c r="C6009" s="31" t="s">
        <v>6950</v>
      </c>
      <c r="D6009" s="34">
        <v>0</v>
      </c>
      <c r="E6009" s="34"/>
      <c r="F6009" s="34">
        <v>30</v>
      </c>
      <c r="G6009" s="34">
        <v>0</v>
      </c>
      <c r="H6009" s="34">
        <f t="shared" si="94"/>
        <v>30</v>
      </c>
      <c r="I6009" s="34"/>
      <c r="K6009" t="s">
        <v>38</v>
      </c>
    </row>
    <row r="6010" spans="2:11" ht="16.5" x14ac:dyDescent="0.2">
      <c r="B6010" s="33" t="s">
        <v>7000</v>
      </c>
      <c r="C6010" s="33" t="s">
        <v>7001</v>
      </c>
      <c r="D6010" s="35">
        <f>SUMIFS(D6011:D9015,K6011:K9015,"0",B6011:B9015,"5 1 2 4 4*")-SUMIFS(E6011:E9015,K6011:K9015,"0",B6011:B9015,"5 1 2 4 4*")</f>
        <v>0</v>
      </c>
      <c r="E6010"/>
      <c r="F6010" s="35">
        <f>SUMIFS(F6011:F9015,K6011:K9015,"0",B6011:B9015,"5 1 2 4 4*")</f>
        <v>9484.39</v>
      </c>
      <c r="G6010" s="35">
        <f>SUMIFS(G6011:G9015,K6011:K9015,"0",B6011:B9015,"5 1 2 4 4*")</f>
        <v>0</v>
      </c>
      <c r="H6010" s="35">
        <f t="shared" si="94"/>
        <v>9484.39</v>
      </c>
      <c r="I6010" s="35"/>
      <c r="K6010" t="s">
        <v>15</v>
      </c>
    </row>
    <row r="6011" spans="2:11" ht="12.75" x14ac:dyDescent="0.2">
      <c r="B6011" s="33" t="s">
        <v>7002</v>
      </c>
      <c r="C6011" s="33" t="s">
        <v>26</v>
      </c>
      <c r="D6011" s="35">
        <f>SUMIFS(D6012:D9015,K6012:K9015,"0",B6012:B9015,"5 1 2 4 4 12*")-SUMIFS(E6012:E9015,K6012:K9015,"0",B6012:B9015,"5 1 2 4 4 12*")</f>
        <v>0</v>
      </c>
      <c r="E6011"/>
      <c r="F6011" s="35">
        <f>SUMIFS(F6012:F9015,K6012:K9015,"0",B6012:B9015,"5 1 2 4 4 12*")</f>
        <v>9484.39</v>
      </c>
      <c r="G6011" s="35">
        <f>SUMIFS(G6012:G9015,K6012:K9015,"0",B6012:B9015,"5 1 2 4 4 12*")</f>
        <v>0</v>
      </c>
      <c r="H6011" s="35">
        <f t="shared" si="94"/>
        <v>9484.39</v>
      </c>
      <c r="I6011" s="35"/>
      <c r="K6011" t="s">
        <v>15</v>
      </c>
    </row>
    <row r="6012" spans="2:11" ht="16.5" x14ac:dyDescent="0.2">
      <c r="B6012" s="33" t="s">
        <v>7003</v>
      </c>
      <c r="C6012" s="33" t="s">
        <v>28</v>
      </c>
      <c r="D6012" s="35">
        <f>SUMIFS(D6013:D9015,K6013:K9015,"0",B6013:B9015,"5 1 2 4 4 12 31111*")-SUMIFS(E6013:E9015,K6013:K9015,"0",B6013:B9015,"5 1 2 4 4 12 31111*")</f>
        <v>0</v>
      </c>
      <c r="E6012"/>
      <c r="F6012" s="35">
        <f>SUMIFS(F6013:F9015,K6013:K9015,"0",B6013:B9015,"5 1 2 4 4 12 31111*")</f>
        <v>9484.39</v>
      </c>
      <c r="G6012" s="35">
        <f>SUMIFS(G6013:G9015,K6013:K9015,"0",B6013:B9015,"5 1 2 4 4 12 31111*")</f>
        <v>0</v>
      </c>
      <c r="H6012" s="35">
        <f t="shared" si="94"/>
        <v>9484.39</v>
      </c>
      <c r="I6012" s="35"/>
      <c r="K6012" t="s">
        <v>15</v>
      </c>
    </row>
    <row r="6013" spans="2:11" ht="12.75" x14ac:dyDescent="0.2">
      <c r="B6013" s="33" t="s">
        <v>7004</v>
      </c>
      <c r="C6013" s="33" t="s">
        <v>30</v>
      </c>
      <c r="D6013" s="35">
        <f>SUMIFS(D6014:D9015,K6014:K9015,"0",B6014:B9015,"5 1 2 4 4 12 31111 6*")-SUMIFS(E6014:E9015,K6014:K9015,"0",B6014:B9015,"5 1 2 4 4 12 31111 6*")</f>
        <v>0</v>
      </c>
      <c r="E6013"/>
      <c r="F6013" s="35">
        <f>SUMIFS(F6014:F9015,K6014:K9015,"0",B6014:B9015,"5 1 2 4 4 12 31111 6*")</f>
        <v>9484.39</v>
      </c>
      <c r="G6013" s="35">
        <f>SUMIFS(G6014:G9015,K6014:K9015,"0",B6014:B9015,"5 1 2 4 4 12 31111 6*")</f>
        <v>0</v>
      </c>
      <c r="H6013" s="35">
        <f t="shared" si="94"/>
        <v>9484.39</v>
      </c>
      <c r="I6013" s="35"/>
      <c r="K6013" t="s">
        <v>15</v>
      </c>
    </row>
    <row r="6014" spans="2:11" ht="16.5" x14ac:dyDescent="0.2">
      <c r="B6014" s="33" t="s">
        <v>7005</v>
      </c>
      <c r="C6014" s="33" t="s">
        <v>2284</v>
      </c>
      <c r="D6014" s="35">
        <f>SUMIFS(D6015:D9015,K6015:K9015,"0",B6015:B9015,"5 1 2 4 4 12 31111 6 M59*")-SUMIFS(E6015:E9015,K6015:K9015,"0",B6015:B9015,"5 1 2 4 4 12 31111 6 M59*")</f>
        <v>0</v>
      </c>
      <c r="E6014"/>
      <c r="F6014" s="35">
        <f>SUMIFS(F6015:F9015,K6015:K9015,"0",B6015:B9015,"5 1 2 4 4 12 31111 6 M59*")</f>
        <v>9484.39</v>
      </c>
      <c r="G6014" s="35">
        <f>SUMIFS(G6015:G9015,K6015:K9015,"0",B6015:B9015,"5 1 2 4 4 12 31111 6 M59*")</f>
        <v>0</v>
      </c>
      <c r="H6014" s="35">
        <f t="shared" si="94"/>
        <v>9484.39</v>
      </c>
      <c r="I6014" s="35"/>
      <c r="K6014" t="s">
        <v>15</v>
      </c>
    </row>
    <row r="6015" spans="2:11" ht="16.5" x14ac:dyDescent="0.2">
      <c r="B6015" s="33" t="s">
        <v>7006</v>
      </c>
      <c r="C6015" s="33" t="s">
        <v>1044</v>
      </c>
      <c r="D6015" s="35">
        <f>SUMIFS(D6016:D9015,K6016:K9015,"0",B6016:B9015,"5 1 2 4 4 12 31111 6 M59 19000*")-SUMIFS(E6016:E9015,K6016:K9015,"0",B6016:B9015,"5 1 2 4 4 12 31111 6 M59 19000*")</f>
        <v>0</v>
      </c>
      <c r="E6015"/>
      <c r="F6015" s="35">
        <f>SUMIFS(F6016:F9015,K6016:K9015,"0",B6016:B9015,"5 1 2 4 4 12 31111 6 M59 19000*")</f>
        <v>1555.4</v>
      </c>
      <c r="G6015" s="35">
        <f>SUMIFS(G6016:G9015,K6016:K9015,"0",B6016:B9015,"5 1 2 4 4 12 31111 6 M59 19000*")</f>
        <v>0</v>
      </c>
      <c r="H6015" s="35">
        <f t="shared" si="94"/>
        <v>1555.4</v>
      </c>
      <c r="I6015" s="35"/>
      <c r="K6015" t="s">
        <v>15</v>
      </c>
    </row>
    <row r="6016" spans="2:11" ht="16.5" x14ac:dyDescent="0.2">
      <c r="B6016" s="33" t="s">
        <v>7007</v>
      </c>
      <c r="C6016" s="33" t="s">
        <v>648</v>
      </c>
      <c r="D6016" s="35">
        <f>SUMIFS(D6017:D9015,K6017:K9015,"0",B6017:B9015,"5 1 2 4 4 12 31111 6 M59 19000 000132*")-SUMIFS(E6017:E9015,K6017:K9015,"0",B6017:B9015,"5 1 2 4 4 12 31111 6 M59 19000 000132*")</f>
        <v>0</v>
      </c>
      <c r="E6016"/>
      <c r="F6016" s="35">
        <f>SUMIFS(F6017:F9015,K6017:K9015,"0",B6017:B9015,"5 1 2 4 4 12 31111 6 M59 19000 000132*")</f>
        <v>1555.4</v>
      </c>
      <c r="G6016" s="35">
        <f>SUMIFS(G6017:G9015,K6017:K9015,"0",B6017:B9015,"5 1 2 4 4 12 31111 6 M59 19000 000132*")</f>
        <v>0</v>
      </c>
      <c r="H6016" s="35">
        <f t="shared" si="94"/>
        <v>1555.4</v>
      </c>
      <c r="I6016" s="35"/>
      <c r="K6016" t="s">
        <v>15</v>
      </c>
    </row>
    <row r="6017" spans="2:11" ht="24.75" x14ac:dyDescent="0.2">
      <c r="B6017" s="33" t="s">
        <v>7008</v>
      </c>
      <c r="C6017" s="33" t="s">
        <v>650</v>
      </c>
      <c r="D6017" s="35">
        <f>SUMIFS(D6018:D9015,K6018:K9015,"0",B6018:B9015,"5 1 2 4 4 12 31111 6 M59 19000 000132 0000R*")-SUMIFS(E6018:E9015,K6018:K9015,"0",B6018:B9015,"5 1 2 4 4 12 31111 6 M59 19000 000132 0000R*")</f>
        <v>0</v>
      </c>
      <c r="E6017"/>
      <c r="F6017" s="35">
        <f>SUMIFS(F6018:F9015,K6018:K9015,"0",B6018:B9015,"5 1 2 4 4 12 31111 6 M59 19000 000132 0000R*")</f>
        <v>1555.4</v>
      </c>
      <c r="G6017" s="35">
        <f>SUMIFS(G6018:G9015,K6018:K9015,"0",B6018:B9015,"5 1 2 4 4 12 31111 6 M59 19000 000132 0000R*")</f>
        <v>0</v>
      </c>
      <c r="H6017" s="35">
        <f t="shared" si="94"/>
        <v>1555.4</v>
      </c>
      <c r="I6017" s="35"/>
      <c r="K6017" t="s">
        <v>15</v>
      </c>
    </row>
    <row r="6018" spans="2:11" ht="24.75" x14ac:dyDescent="0.2">
      <c r="B6018" s="33" t="s">
        <v>7009</v>
      </c>
      <c r="C6018" s="33" t="s">
        <v>282</v>
      </c>
      <c r="D6018" s="35">
        <f>SUMIFS(D6019:D9015,K6019:K9015,"0",B6019:B9015,"5 1 2 4 4 12 31111 6 M59 19000 000132 0000R 00001*")-SUMIFS(E6019:E9015,K6019:K9015,"0",B6019:B9015,"5 1 2 4 4 12 31111 6 M59 19000 000132 0000R 00001*")</f>
        <v>0</v>
      </c>
      <c r="E6018"/>
      <c r="F6018" s="35">
        <f>SUMIFS(F6019:F9015,K6019:K9015,"0",B6019:B9015,"5 1 2 4 4 12 31111 6 M59 19000 000132 0000R 00001*")</f>
        <v>1555.4</v>
      </c>
      <c r="G6018" s="35">
        <f>SUMIFS(G6019:G9015,K6019:K9015,"0",B6019:B9015,"5 1 2 4 4 12 31111 6 M59 19000 000132 0000R 00001*")</f>
        <v>0</v>
      </c>
      <c r="H6018" s="35">
        <f t="shared" si="94"/>
        <v>1555.4</v>
      </c>
      <c r="I6018" s="35"/>
      <c r="K6018" t="s">
        <v>15</v>
      </c>
    </row>
    <row r="6019" spans="2:11" ht="24.75" x14ac:dyDescent="0.2">
      <c r="B6019" s="33" t="s">
        <v>7010</v>
      </c>
      <c r="C6019" s="33" t="s">
        <v>7011</v>
      </c>
      <c r="D6019" s="35">
        <f>SUMIFS(D6020:D9015,K6020:K9015,"0",B6020:B9015,"5 1 2 4 4 12 31111 6 M59 19000 000132 0000R 00001 00244*")-SUMIFS(E6020:E9015,K6020:K9015,"0",B6020:B9015,"5 1 2 4 4 12 31111 6 M59 19000 000132 0000R 00001 00244*")</f>
        <v>0</v>
      </c>
      <c r="E6019"/>
      <c r="F6019" s="35">
        <f>SUMIFS(F6020:F9015,K6020:K9015,"0",B6020:B9015,"5 1 2 4 4 12 31111 6 M59 19000 000132 0000R 00001 00244*")</f>
        <v>1555.4</v>
      </c>
      <c r="G6019" s="35">
        <f>SUMIFS(G6020:G9015,K6020:K9015,"0",B6020:B9015,"5 1 2 4 4 12 31111 6 M59 19000 000132 0000R 00001 00244*")</f>
        <v>0</v>
      </c>
      <c r="H6019" s="35">
        <f t="shared" si="94"/>
        <v>1555.4</v>
      </c>
      <c r="I6019" s="35"/>
      <c r="K6019" t="s">
        <v>15</v>
      </c>
    </row>
    <row r="6020" spans="2:11" ht="33" x14ac:dyDescent="0.2">
      <c r="B6020" s="33" t="s">
        <v>7012</v>
      </c>
      <c r="C6020" s="33" t="s">
        <v>1051</v>
      </c>
      <c r="D6020" s="35">
        <f>SUMIFS(D6021:D9015,K6021:K9015,"0",B6021:B9015,"5 1 2 4 4 12 31111 6 M59 19000 000132 0000R 00001 00244 015*")-SUMIFS(E6021:E9015,K6021:K9015,"0",B6021:B9015,"5 1 2 4 4 12 31111 6 M59 19000 000132 0000R 00001 00244 015*")</f>
        <v>0</v>
      </c>
      <c r="E6020"/>
      <c r="F6020" s="35">
        <f>SUMIFS(F6021:F9015,K6021:K9015,"0",B6021:B9015,"5 1 2 4 4 12 31111 6 M59 19000 000132 0000R 00001 00244 015*")</f>
        <v>1555.4</v>
      </c>
      <c r="G6020" s="35">
        <f>SUMIFS(G6021:G9015,K6021:K9015,"0",B6021:B9015,"5 1 2 4 4 12 31111 6 M59 19000 000132 0000R 00001 00244 015*")</f>
        <v>0</v>
      </c>
      <c r="H6020" s="35">
        <f t="shared" ref="H6020:H6083" si="95">D6020 + F6020 - G6020</f>
        <v>1555.4</v>
      </c>
      <c r="I6020" s="35"/>
      <c r="K6020" t="s">
        <v>15</v>
      </c>
    </row>
    <row r="6021" spans="2:11" ht="33" x14ac:dyDescent="0.2">
      <c r="B6021" s="33" t="s">
        <v>7013</v>
      </c>
      <c r="C6021" s="33" t="s">
        <v>5830</v>
      </c>
      <c r="D6021" s="35">
        <f>SUMIFS(D6022:D9015,K6022:K9015,"0",B6022:B9015,"5 1 2 4 4 12 31111 6 M59 19000 000132 0000R 00001 00244 015 2112000*")-SUMIFS(E6022:E9015,K6022:K9015,"0",B6022:B9015,"5 1 2 4 4 12 31111 6 M59 19000 000132 0000R 00001 00244 015 2112000*")</f>
        <v>0</v>
      </c>
      <c r="E6021"/>
      <c r="F6021" s="35">
        <f>SUMIFS(F6022:F9015,K6022:K9015,"0",B6022:B9015,"5 1 2 4 4 12 31111 6 M59 19000 000132 0000R 00001 00244 015 2112000*")</f>
        <v>1555.4</v>
      </c>
      <c r="G6021" s="35">
        <f>SUMIFS(G6022:G9015,K6022:K9015,"0",B6022:B9015,"5 1 2 4 4 12 31111 6 M59 19000 000132 0000R 00001 00244 015 2112000*")</f>
        <v>0</v>
      </c>
      <c r="H6021" s="35">
        <f t="shared" si="95"/>
        <v>1555.4</v>
      </c>
      <c r="I6021" s="35"/>
      <c r="K6021" t="s">
        <v>15</v>
      </c>
    </row>
    <row r="6022" spans="2:11" ht="33" x14ac:dyDescent="0.2">
      <c r="B6022" s="33" t="s">
        <v>7014</v>
      </c>
      <c r="C6022" s="33" t="s">
        <v>660</v>
      </c>
      <c r="D6022" s="35">
        <f>SUMIFS(D6023:D9015,K6023:K9015,"0",B6023:B9015,"5 1 2 4 4 12 31111 6 M59 19000 000132 0000R 00001 00244 015 2112000 2024*")-SUMIFS(E6023:E9015,K6023:K9015,"0",B6023:B9015,"5 1 2 4 4 12 31111 6 M59 19000 000132 0000R 00001 00244 015 2112000 2024*")</f>
        <v>0</v>
      </c>
      <c r="E6022"/>
      <c r="F6022" s="35">
        <f>SUMIFS(F6023:F9015,K6023:K9015,"0",B6023:B9015,"5 1 2 4 4 12 31111 6 M59 19000 000132 0000R 00001 00244 015 2112000 2024*")</f>
        <v>1555.4</v>
      </c>
      <c r="G6022" s="35">
        <f>SUMIFS(G6023:G9015,K6023:K9015,"0",B6023:B9015,"5 1 2 4 4 12 31111 6 M59 19000 000132 0000R 00001 00244 015 2112000 2024*")</f>
        <v>0</v>
      </c>
      <c r="H6022" s="35">
        <f t="shared" si="95"/>
        <v>1555.4</v>
      </c>
      <c r="I6022" s="35"/>
      <c r="K6022" t="s">
        <v>15</v>
      </c>
    </row>
    <row r="6023" spans="2:11" ht="41.25" x14ac:dyDescent="0.2">
      <c r="B6023" s="33" t="s">
        <v>7015</v>
      </c>
      <c r="C6023" s="33" t="s">
        <v>662</v>
      </c>
      <c r="D6023" s="35">
        <f>SUMIFS(D6024:D9015,K6024:K9015,"0",B6024:B9015,"5 1 2 4 4 12 31111 6 M59 19000 000132 0000R 00001 00244 015 2112000 2024 CP1TM440*")-SUMIFS(E6024:E9015,K6024:K9015,"0",B6024:B9015,"5 1 2 4 4 12 31111 6 M59 19000 000132 0000R 00001 00244 015 2112000 2024 CP1TM440*")</f>
        <v>0</v>
      </c>
      <c r="E6023"/>
      <c r="F6023" s="35">
        <f>SUMIFS(F6024:F9015,K6024:K9015,"0",B6024:B9015,"5 1 2 4 4 12 31111 6 M59 19000 000132 0000R 00001 00244 015 2112000 2024 CP1TM440*")</f>
        <v>1555.4</v>
      </c>
      <c r="G6023" s="35">
        <f>SUMIFS(G6024:G9015,K6024:K9015,"0",B6024:B9015,"5 1 2 4 4 12 31111 6 M59 19000 000132 0000R 00001 00244 015 2112000 2024 CP1TM440*")</f>
        <v>0</v>
      </c>
      <c r="H6023" s="35">
        <f t="shared" si="95"/>
        <v>1555.4</v>
      </c>
      <c r="I6023" s="35"/>
      <c r="K6023" t="s">
        <v>15</v>
      </c>
    </row>
    <row r="6024" spans="2:11" ht="33" x14ac:dyDescent="0.2">
      <c r="B6024" s="31" t="s">
        <v>7016</v>
      </c>
      <c r="C6024" s="31" t="s">
        <v>282</v>
      </c>
      <c r="D6024" s="34">
        <v>0</v>
      </c>
      <c r="E6024" s="34"/>
      <c r="F6024" s="34">
        <v>1555.4</v>
      </c>
      <c r="G6024" s="34">
        <v>0</v>
      </c>
      <c r="H6024" s="34">
        <f t="shared" si="95"/>
        <v>1555.4</v>
      </c>
      <c r="I6024" s="34"/>
      <c r="K6024" t="s">
        <v>38</v>
      </c>
    </row>
    <row r="6025" spans="2:11" ht="16.5" x14ac:dyDescent="0.2">
      <c r="B6025" s="33" t="s">
        <v>7017</v>
      </c>
      <c r="C6025" s="33" t="s">
        <v>3281</v>
      </c>
      <c r="D6025" s="35">
        <f>SUMIFS(D6026:D9015,K6026:K9015,"0",B6026:B9015,"5 1 2 4 4 12 31111 6 M59 50000*")-SUMIFS(E6026:E9015,K6026:K9015,"0",B6026:B9015,"5 1 2 4 4 12 31111 6 M59 50000*")</f>
        <v>0</v>
      </c>
      <c r="E6025"/>
      <c r="F6025" s="35">
        <f>SUMIFS(F6026:F9015,K6026:K9015,"0",B6026:B9015,"5 1 2 4 4 12 31111 6 M59 50000*")</f>
        <v>156.99</v>
      </c>
      <c r="G6025" s="35">
        <f>SUMIFS(G6026:G9015,K6026:K9015,"0",B6026:B9015,"5 1 2 4 4 12 31111 6 M59 50000*")</f>
        <v>0</v>
      </c>
      <c r="H6025" s="35">
        <f t="shared" si="95"/>
        <v>156.99</v>
      </c>
      <c r="I6025" s="35"/>
      <c r="K6025" t="s">
        <v>15</v>
      </c>
    </row>
    <row r="6026" spans="2:11" ht="16.5" x14ac:dyDescent="0.2">
      <c r="B6026" s="33" t="s">
        <v>7018</v>
      </c>
      <c r="C6026" s="33" t="s">
        <v>3283</v>
      </c>
      <c r="D6026" s="35">
        <f>SUMIFS(D6027:D9015,K6027:K9015,"0",B6027:B9015,"5 1 2 4 4 12 31111 6 M59 50000 000223*")-SUMIFS(E6027:E9015,K6027:K9015,"0",B6027:B9015,"5 1 2 4 4 12 31111 6 M59 50000 000223*")</f>
        <v>0</v>
      </c>
      <c r="E6026"/>
      <c r="F6026" s="35">
        <f>SUMIFS(F6027:F9015,K6027:K9015,"0",B6027:B9015,"5 1 2 4 4 12 31111 6 M59 50000 000223*")</f>
        <v>156.99</v>
      </c>
      <c r="G6026" s="35">
        <f>SUMIFS(G6027:G9015,K6027:K9015,"0",B6027:B9015,"5 1 2 4 4 12 31111 6 M59 50000 000223*")</f>
        <v>0</v>
      </c>
      <c r="H6026" s="35">
        <f t="shared" si="95"/>
        <v>156.99</v>
      </c>
      <c r="I6026" s="35"/>
      <c r="K6026" t="s">
        <v>15</v>
      </c>
    </row>
    <row r="6027" spans="2:11" ht="24.75" x14ac:dyDescent="0.2">
      <c r="B6027" s="33" t="s">
        <v>7019</v>
      </c>
      <c r="C6027" s="33" t="s">
        <v>1065</v>
      </c>
      <c r="D6027" s="35">
        <f>SUMIFS(D6028:D9015,K6028:K9015,"0",B6028:B9015,"5 1 2 4 4 12 31111 6 M59 50000 000223 0000E*")-SUMIFS(E6028:E9015,K6028:K9015,"0",B6028:B9015,"5 1 2 4 4 12 31111 6 M59 50000 000223 0000E*")</f>
        <v>0</v>
      </c>
      <c r="E6027"/>
      <c r="F6027" s="35">
        <f>SUMIFS(F6028:F9015,K6028:K9015,"0",B6028:B9015,"5 1 2 4 4 12 31111 6 M59 50000 000223 0000E*")</f>
        <v>156.99</v>
      </c>
      <c r="G6027" s="35">
        <f>SUMIFS(G6028:G9015,K6028:K9015,"0",B6028:B9015,"5 1 2 4 4 12 31111 6 M59 50000 000223 0000E*")</f>
        <v>0</v>
      </c>
      <c r="H6027" s="35">
        <f t="shared" si="95"/>
        <v>156.99</v>
      </c>
      <c r="I6027" s="35"/>
      <c r="K6027" t="s">
        <v>15</v>
      </c>
    </row>
    <row r="6028" spans="2:11" ht="24.75" x14ac:dyDescent="0.2">
      <c r="B6028" s="33" t="s">
        <v>7020</v>
      </c>
      <c r="C6028" s="33" t="s">
        <v>282</v>
      </c>
      <c r="D6028" s="35">
        <f>SUMIFS(D6029:D9015,K6029:K9015,"0",B6029:B9015,"5 1 2 4 4 12 31111 6 M59 50000 000223 0000E 00001*")-SUMIFS(E6029:E9015,K6029:K9015,"0",B6029:B9015,"5 1 2 4 4 12 31111 6 M59 50000 000223 0000E 00001*")</f>
        <v>0</v>
      </c>
      <c r="E6028"/>
      <c r="F6028" s="35">
        <f>SUMIFS(F6029:F9015,K6029:K9015,"0",B6029:B9015,"5 1 2 4 4 12 31111 6 M59 50000 000223 0000E 00001*")</f>
        <v>156.99</v>
      </c>
      <c r="G6028" s="35">
        <f>SUMIFS(G6029:G9015,K6029:K9015,"0",B6029:B9015,"5 1 2 4 4 12 31111 6 M59 50000 000223 0000E 00001*")</f>
        <v>0</v>
      </c>
      <c r="H6028" s="35">
        <f t="shared" si="95"/>
        <v>156.99</v>
      </c>
      <c r="I6028" s="35"/>
      <c r="K6028" t="s">
        <v>15</v>
      </c>
    </row>
    <row r="6029" spans="2:11" ht="24.75" x14ac:dyDescent="0.2">
      <c r="B6029" s="33" t="s">
        <v>7021</v>
      </c>
      <c r="C6029" s="33" t="s">
        <v>7011</v>
      </c>
      <c r="D6029" s="35">
        <f>SUMIFS(D6030:D9015,K6030:K9015,"0",B6030:B9015,"5 1 2 4 4 12 31111 6 M59 50000 000223 0000E 00001 00244*")-SUMIFS(E6030:E9015,K6030:K9015,"0",B6030:B9015,"5 1 2 4 4 12 31111 6 M59 50000 000223 0000E 00001 00244*")</f>
        <v>0</v>
      </c>
      <c r="E6029"/>
      <c r="F6029" s="35">
        <f>SUMIFS(F6030:F9015,K6030:K9015,"0",B6030:B9015,"5 1 2 4 4 12 31111 6 M59 50000 000223 0000E 00001 00244*")</f>
        <v>156.99</v>
      </c>
      <c r="G6029" s="35">
        <f>SUMIFS(G6030:G9015,K6030:K9015,"0",B6030:B9015,"5 1 2 4 4 12 31111 6 M59 50000 000223 0000E 00001 00244*")</f>
        <v>0</v>
      </c>
      <c r="H6029" s="35">
        <f t="shared" si="95"/>
        <v>156.99</v>
      </c>
      <c r="I6029" s="35"/>
      <c r="K6029" t="s">
        <v>15</v>
      </c>
    </row>
    <row r="6030" spans="2:11" ht="33" x14ac:dyDescent="0.2">
      <c r="B6030" s="33" t="s">
        <v>7022</v>
      </c>
      <c r="C6030" s="33" t="s">
        <v>1051</v>
      </c>
      <c r="D6030" s="35">
        <f>SUMIFS(D6031:D9015,K6031:K9015,"0",B6031:B9015,"5 1 2 4 4 12 31111 6 M59 50000 000223 0000E 00001 00244 015*")-SUMIFS(E6031:E9015,K6031:K9015,"0",B6031:B9015,"5 1 2 4 4 12 31111 6 M59 50000 000223 0000E 00001 00244 015*")</f>
        <v>0</v>
      </c>
      <c r="E6030"/>
      <c r="F6030" s="35">
        <f>SUMIFS(F6031:F9015,K6031:K9015,"0",B6031:B9015,"5 1 2 4 4 12 31111 6 M59 50000 000223 0000E 00001 00244 015*")</f>
        <v>156.99</v>
      </c>
      <c r="G6030" s="35">
        <f>SUMIFS(G6031:G9015,K6031:K9015,"0",B6031:B9015,"5 1 2 4 4 12 31111 6 M59 50000 000223 0000E 00001 00244 015*")</f>
        <v>0</v>
      </c>
      <c r="H6030" s="35">
        <f t="shared" si="95"/>
        <v>156.99</v>
      </c>
      <c r="I6030" s="35"/>
      <c r="K6030" t="s">
        <v>15</v>
      </c>
    </row>
    <row r="6031" spans="2:11" ht="33" x14ac:dyDescent="0.2">
      <c r="B6031" s="33" t="s">
        <v>7023</v>
      </c>
      <c r="C6031" s="33" t="s">
        <v>5830</v>
      </c>
      <c r="D6031" s="35">
        <f>SUMIFS(D6032:D9015,K6032:K9015,"0",B6032:B9015,"5 1 2 4 4 12 31111 6 M59 50000 000223 0000E 00001 00244 015 2112000*")-SUMIFS(E6032:E9015,K6032:K9015,"0",B6032:B9015,"5 1 2 4 4 12 31111 6 M59 50000 000223 0000E 00001 00244 015 2112000*")</f>
        <v>0</v>
      </c>
      <c r="E6031"/>
      <c r="F6031" s="35">
        <f>SUMIFS(F6032:F9015,K6032:K9015,"0",B6032:B9015,"5 1 2 4 4 12 31111 6 M59 50000 000223 0000E 00001 00244 015 2112000*")</f>
        <v>156.99</v>
      </c>
      <c r="G6031" s="35">
        <f>SUMIFS(G6032:G9015,K6032:K9015,"0",B6032:B9015,"5 1 2 4 4 12 31111 6 M59 50000 000223 0000E 00001 00244 015 2112000*")</f>
        <v>0</v>
      </c>
      <c r="H6031" s="35">
        <f t="shared" si="95"/>
        <v>156.99</v>
      </c>
      <c r="I6031" s="35"/>
      <c r="K6031" t="s">
        <v>15</v>
      </c>
    </row>
    <row r="6032" spans="2:11" ht="33" x14ac:dyDescent="0.2">
      <c r="B6032" s="33" t="s">
        <v>7024</v>
      </c>
      <c r="C6032" s="33" t="s">
        <v>660</v>
      </c>
      <c r="D6032" s="35">
        <f>SUMIFS(D6033:D9015,K6033:K9015,"0",B6033:B9015,"5 1 2 4 4 12 31111 6 M59 50000 000223 0000E 00001 00244 015 2112000 2024*")-SUMIFS(E6033:E9015,K6033:K9015,"0",B6033:B9015,"5 1 2 4 4 12 31111 6 M59 50000 000223 0000E 00001 00244 015 2112000 2024*")</f>
        <v>0</v>
      </c>
      <c r="E6032"/>
      <c r="F6032" s="35">
        <f>SUMIFS(F6033:F9015,K6033:K9015,"0",B6033:B9015,"5 1 2 4 4 12 31111 6 M59 50000 000223 0000E 00001 00244 015 2112000 2024*")</f>
        <v>156.99</v>
      </c>
      <c r="G6032" s="35">
        <f>SUMIFS(G6033:G9015,K6033:K9015,"0",B6033:B9015,"5 1 2 4 4 12 31111 6 M59 50000 000223 0000E 00001 00244 015 2112000 2024*")</f>
        <v>0</v>
      </c>
      <c r="H6032" s="35">
        <f t="shared" si="95"/>
        <v>156.99</v>
      </c>
      <c r="I6032" s="35"/>
      <c r="K6032" t="s">
        <v>15</v>
      </c>
    </row>
    <row r="6033" spans="2:11" ht="41.25" x14ac:dyDescent="0.2">
      <c r="B6033" s="33" t="s">
        <v>7025</v>
      </c>
      <c r="C6033" s="33" t="s">
        <v>662</v>
      </c>
      <c r="D6033" s="35">
        <f>SUMIFS(D6034:D9015,K6034:K9015,"0",B6034:B9015,"5 1 2 4 4 12 31111 6 M59 50000 000223 0000E 00001 00244 015 2112000 2024 CP1DA424*")-SUMIFS(E6034:E9015,K6034:K9015,"0",B6034:B9015,"5 1 2 4 4 12 31111 6 M59 50000 000223 0000E 00001 00244 015 2112000 2024 CP1DA424*")</f>
        <v>0</v>
      </c>
      <c r="E6033"/>
      <c r="F6033" s="35">
        <f>SUMIFS(F6034:F9015,K6034:K9015,"0",B6034:B9015,"5 1 2 4 4 12 31111 6 M59 50000 000223 0000E 00001 00244 015 2112000 2024 CP1DA424*")</f>
        <v>156.99</v>
      </c>
      <c r="G6033" s="35">
        <f>SUMIFS(G6034:G9015,K6034:K9015,"0",B6034:B9015,"5 1 2 4 4 12 31111 6 M59 50000 000223 0000E 00001 00244 015 2112000 2024 CP1DA424*")</f>
        <v>0</v>
      </c>
      <c r="H6033" s="35">
        <f t="shared" si="95"/>
        <v>156.99</v>
      </c>
      <c r="I6033" s="35"/>
      <c r="K6033" t="s">
        <v>15</v>
      </c>
    </row>
    <row r="6034" spans="2:11" ht="41.25" x14ac:dyDescent="0.2">
      <c r="B6034" s="33" t="s">
        <v>7026</v>
      </c>
      <c r="C6034" s="33" t="s">
        <v>282</v>
      </c>
      <c r="D6034" s="35">
        <f>SUMIFS(D6035:D9015,K6035:K9015,"0",B6035:B9015,"5 1 2 4 4 12 31111 6 M59 50000 000223 0000E 00001 00244 015 2112000 2024 CP1DA424 001*")-SUMIFS(E6035:E9015,K6035:K9015,"0",B6035:B9015,"5 1 2 4 4 12 31111 6 M59 50000 000223 0000E 00001 00244 015 2112000 2024 CP1DA424 001*")</f>
        <v>0</v>
      </c>
      <c r="E6034"/>
      <c r="F6034" s="35">
        <f>SUMIFS(F6035:F9015,K6035:K9015,"0",B6035:B9015,"5 1 2 4 4 12 31111 6 M59 50000 000223 0000E 00001 00244 015 2112000 2024 CP1DA424 001*")</f>
        <v>156.99</v>
      </c>
      <c r="G6034" s="35">
        <f>SUMIFS(G6035:G9015,K6035:K9015,"0",B6035:B9015,"5 1 2 4 4 12 31111 6 M59 50000 000223 0000E 00001 00244 015 2112000 2024 CP1DA424 001*")</f>
        <v>0</v>
      </c>
      <c r="H6034" s="35">
        <f t="shared" si="95"/>
        <v>156.99</v>
      </c>
      <c r="I6034" s="35"/>
      <c r="K6034" t="s">
        <v>15</v>
      </c>
    </row>
    <row r="6035" spans="2:11" ht="41.25" x14ac:dyDescent="0.2">
      <c r="B6035" s="31" t="s">
        <v>7027</v>
      </c>
      <c r="C6035" s="31" t="s">
        <v>7011</v>
      </c>
      <c r="D6035" s="34">
        <v>0</v>
      </c>
      <c r="E6035" s="34"/>
      <c r="F6035" s="34">
        <v>156.99</v>
      </c>
      <c r="G6035" s="34">
        <v>0</v>
      </c>
      <c r="H6035" s="34">
        <f t="shared" si="95"/>
        <v>156.99</v>
      </c>
      <c r="I6035" s="34"/>
      <c r="K6035" t="s">
        <v>38</v>
      </c>
    </row>
    <row r="6036" spans="2:11" ht="16.5" x14ac:dyDescent="0.2">
      <c r="B6036" s="33" t="s">
        <v>7028</v>
      </c>
      <c r="C6036" s="33" t="s">
        <v>3693</v>
      </c>
      <c r="D6036" s="35">
        <f>SUMIFS(D6037:D9015,K6037:K9015,"0",B6037:B9015,"5 1 2 4 4 12 31111 6 M59 96100*")-SUMIFS(E6037:E9015,K6037:K9015,"0",B6037:B9015,"5 1 2 4 4 12 31111 6 M59 96100*")</f>
        <v>0</v>
      </c>
      <c r="E6036"/>
      <c r="F6036" s="35">
        <f>SUMIFS(F6037:F9015,K6037:K9015,"0",B6037:B9015,"5 1 2 4 4 12 31111 6 M59 96100*")</f>
        <v>7772</v>
      </c>
      <c r="G6036" s="35">
        <f>SUMIFS(G6037:G9015,K6037:K9015,"0",B6037:B9015,"5 1 2 4 4 12 31111 6 M59 96100*")</f>
        <v>0</v>
      </c>
      <c r="H6036" s="35">
        <f t="shared" si="95"/>
        <v>7772</v>
      </c>
      <c r="I6036" s="35"/>
      <c r="K6036" t="s">
        <v>15</v>
      </c>
    </row>
    <row r="6037" spans="2:11" ht="16.5" x14ac:dyDescent="0.2">
      <c r="B6037" s="33" t="s">
        <v>7029</v>
      </c>
      <c r="C6037" s="33" t="s">
        <v>1310</v>
      </c>
      <c r="D6037" s="35">
        <f>SUMIFS(D6038:D9015,K6038:K9015,"0",B6038:B9015,"5 1 2 4 4 12 31111 6 M59 96100 000211*")-SUMIFS(E6038:E9015,K6038:K9015,"0",B6038:B9015,"5 1 2 4 4 12 31111 6 M59 96100 000211*")</f>
        <v>0</v>
      </c>
      <c r="E6037"/>
      <c r="F6037" s="35">
        <f>SUMIFS(F6038:F9015,K6038:K9015,"0",B6038:B9015,"5 1 2 4 4 12 31111 6 M59 96100 000211*")</f>
        <v>7772</v>
      </c>
      <c r="G6037" s="35">
        <f>SUMIFS(G6038:G9015,K6038:K9015,"0",B6038:B9015,"5 1 2 4 4 12 31111 6 M59 96100 000211*")</f>
        <v>0</v>
      </c>
      <c r="H6037" s="35">
        <f t="shared" si="95"/>
        <v>7772</v>
      </c>
      <c r="I6037" s="35"/>
      <c r="K6037" t="s">
        <v>15</v>
      </c>
    </row>
    <row r="6038" spans="2:11" ht="24.75" x14ac:dyDescent="0.2">
      <c r="B6038" s="33" t="s">
        <v>7030</v>
      </c>
      <c r="C6038" s="33" t="s">
        <v>3696</v>
      </c>
      <c r="D6038" s="35">
        <f>SUMIFS(D6039:D9015,K6039:K9015,"0",B6039:B9015,"5 1 2 4 4 12 31111 6 M59 96100 000211 0000U*")-SUMIFS(E6039:E9015,K6039:K9015,"0",B6039:B9015,"5 1 2 4 4 12 31111 6 M59 96100 000211 0000U*")</f>
        <v>0</v>
      </c>
      <c r="E6038"/>
      <c r="F6038" s="35">
        <f>SUMIFS(F6039:F9015,K6039:K9015,"0",B6039:B9015,"5 1 2 4 4 12 31111 6 M59 96100 000211 0000U*")</f>
        <v>7772</v>
      </c>
      <c r="G6038" s="35">
        <f>SUMIFS(G6039:G9015,K6039:K9015,"0",B6039:B9015,"5 1 2 4 4 12 31111 6 M59 96100 000211 0000U*")</f>
        <v>0</v>
      </c>
      <c r="H6038" s="35">
        <f t="shared" si="95"/>
        <v>7772</v>
      </c>
      <c r="I6038" s="35"/>
      <c r="K6038" t="s">
        <v>15</v>
      </c>
    </row>
    <row r="6039" spans="2:11" ht="24.75" x14ac:dyDescent="0.2">
      <c r="B6039" s="33" t="s">
        <v>7031</v>
      </c>
      <c r="C6039" s="33" t="s">
        <v>282</v>
      </c>
      <c r="D6039" s="35">
        <f>SUMIFS(D6040:D9015,K6040:K9015,"0",B6040:B9015,"5 1 2 4 4 12 31111 6 M59 96100 000211 0000U 00001*")-SUMIFS(E6040:E9015,K6040:K9015,"0",B6040:B9015,"5 1 2 4 4 12 31111 6 M59 96100 000211 0000U 00001*")</f>
        <v>0</v>
      </c>
      <c r="E6039"/>
      <c r="F6039" s="35">
        <f>SUMIFS(F6040:F9015,K6040:K9015,"0",B6040:B9015,"5 1 2 4 4 12 31111 6 M59 96100 000211 0000U 00001*")</f>
        <v>7772</v>
      </c>
      <c r="G6039" s="35">
        <f>SUMIFS(G6040:G9015,K6040:K9015,"0",B6040:B9015,"5 1 2 4 4 12 31111 6 M59 96100 000211 0000U 00001*")</f>
        <v>0</v>
      </c>
      <c r="H6039" s="35">
        <f t="shared" si="95"/>
        <v>7772</v>
      </c>
      <c r="I6039" s="35"/>
      <c r="K6039" t="s">
        <v>15</v>
      </c>
    </row>
    <row r="6040" spans="2:11" ht="24.75" x14ac:dyDescent="0.2">
      <c r="B6040" s="33" t="s">
        <v>7032</v>
      </c>
      <c r="C6040" s="33" t="s">
        <v>7011</v>
      </c>
      <c r="D6040" s="35">
        <f>SUMIFS(D6041:D9015,K6041:K9015,"0",B6041:B9015,"5 1 2 4 4 12 31111 6 M59 96100 000211 0000U 00001 00244*")-SUMIFS(E6041:E9015,K6041:K9015,"0",B6041:B9015,"5 1 2 4 4 12 31111 6 M59 96100 000211 0000U 00001 00244*")</f>
        <v>0</v>
      </c>
      <c r="E6040"/>
      <c r="F6040" s="35">
        <f>SUMIFS(F6041:F9015,K6041:K9015,"0",B6041:B9015,"5 1 2 4 4 12 31111 6 M59 96100 000211 0000U 00001 00244*")</f>
        <v>7772</v>
      </c>
      <c r="G6040" s="35">
        <f>SUMIFS(G6041:G9015,K6041:K9015,"0",B6041:B9015,"5 1 2 4 4 12 31111 6 M59 96100 000211 0000U 00001 00244*")</f>
        <v>0</v>
      </c>
      <c r="H6040" s="35">
        <f t="shared" si="95"/>
        <v>7772</v>
      </c>
      <c r="I6040" s="35"/>
      <c r="K6040" t="s">
        <v>15</v>
      </c>
    </row>
    <row r="6041" spans="2:11" ht="33" x14ac:dyDescent="0.2">
      <c r="B6041" s="33" t="s">
        <v>7033</v>
      </c>
      <c r="C6041" s="33" t="s">
        <v>1051</v>
      </c>
      <c r="D6041" s="35">
        <f>SUMIFS(D6042:D9015,K6042:K9015,"0",B6042:B9015,"5 1 2 4 4 12 31111 6 M59 96100 000211 0000U 00001 00244 015*")-SUMIFS(E6042:E9015,K6042:K9015,"0",B6042:B9015,"5 1 2 4 4 12 31111 6 M59 96100 000211 0000U 00001 00244 015*")</f>
        <v>0</v>
      </c>
      <c r="E6041"/>
      <c r="F6041" s="35">
        <f>SUMIFS(F6042:F9015,K6042:K9015,"0",B6042:B9015,"5 1 2 4 4 12 31111 6 M59 96100 000211 0000U 00001 00244 015*")</f>
        <v>7772</v>
      </c>
      <c r="G6041" s="35">
        <f>SUMIFS(G6042:G9015,K6042:K9015,"0",B6042:B9015,"5 1 2 4 4 12 31111 6 M59 96100 000211 0000U 00001 00244 015*")</f>
        <v>0</v>
      </c>
      <c r="H6041" s="35">
        <f t="shared" si="95"/>
        <v>7772</v>
      </c>
      <c r="I6041" s="35"/>
      <c r="K6041" t="s">
        <v>15</v>
      </c>
    </row>
    <row r="6042" spans="2:11" ht="33" x14ac:dyDescent="0.2">
      <c r="B6042" s="33" t="s">
        <v>7034</v>
      </c>
      <c r="C6042" s="33" t="s">
        <v>5830</v>
      </c>
      <c r="D6042" s="35">
        <f>SUMIFS(D6043:D9015,K6043:K9015,"0",B6043:B9015,"5 1 2 4 4 12 31111 6 M59 96100 000211 0000U 00001 00244 015 2112000*")-SUMIFS(E6043:E9015,K6043:K9015,"0",B6043:B9015,"5 1 2 4 4 12 31111 6 M59 96100 000211 0000U 00001 00244 015 2112000*")</f>
        <v>0</v>
      </c>
      <c r="E6042"/>
      <c r="F6042" s="35">
        <f>SUMIFS(F6043:F9015,K6043:K9015,"0",B6043:B9015,"5 1 2 4 4 12 31111 6 M59 96100 000211 0000U 00001 00244 015 2112000*")</f>
        <v>7772</v>
      </c>
      <c r="G6042" s="35">
        <f>SUMIFS(G6043:G9015,K6043:K9015,"0",B6043:B9015,"5 1 2 4 4 12 31111 6 M59 96100 000211 0000U 00001 00244 015 2112000*")</f>
        <v>0</v>
      </c>
      <c r="H6042" s="35">
        <f t="shared" si="95"/>
        <v>7772</v>
      </c>
      <c r="I6042" s="35"/>
      <c r="K6042" t="s">
        <v>15</v>
      </c>
    </row>
    <row r="6043" spans="2:11" ht="33" x14ac:dyDescent="0.2">
      <c r="B6043" s="33" t="s">
        <v>7035</v>
      </c>
      <c r="C6043" s="33" t="s">
        <v>660</v>
      </c>
      <c r="D6043" s="35">
        <f>SUMIFS(D6044:D9015,K6044:K9015,"0",B6044:B9015,"5 1 2 4 4 12 31111 6 M59 96100 000211 0000U 00001 00244 015 2112000 2024*")-SUMIFS(E6044:E9015,K6044:K9015,"0",B6044:B9015,"5 1 2 4 4 12 31111 6 M59 96100 000211 0000U 00001 00244 015 2112000 2024*")</f>
        <v>0</v>
      </c>
      <c r="E6043"/>
      <c r="F6043" s="35">
        <f>SUMIFS(F6044:F9015,K6044:K9015,"0",B6044:B9015,"5 1 2 4 4 12 31111 6 M59 96100 000211 0000U 00001 00244 015 2112000 2024*")</f>
        <v>7772</v>
      </c>
      <c r="G6043" s="35">
        <f>SUMIFS(G6044:G9015,K6044:K9015,"0",B6044:B9015,"5 1 2 4 4 12 31111 6 M59 96100 000211 0000U 00001 00244 015 2112000 2024*")</f>
        <v>0</v>
      </c>
      <c r="H6043" s="35">
        <f t="shared" si="95"/>
        <v>7772</v>
      </c>
      <c r="I6043" s="35"/>
      <c r="K6043" t="s">
        <v>15</v>
      </c>
    </row>
    <row r="6044" spans="2:11" ht="41.25" x14ac:dyDescent="0.2">
      <c r="B6044" s="33" t="s">
        <v>7036</v>
      </c>
      <c r="C6044" s="33" t="s">
        <v>1056</v>
      </c>
      <c r="D6044" s="35">
        <f>SUMIFS(D6045:D9015,K6045:K9015,"0",B6045:B9015,"5 1 2 4 4 12 31111 6 M59 96100 000211 0000U 00001 00244 015 2112000 2024 CP1IU412*")-SUMIFS(E6045:E9015,K6045:K9015,"0",B6045:B9015,"5 1 2 4 4 12 31111 6 M59 96100 000211 0000U 00001 00244 015 2112000 2024 CP1IU412*")</f>
        <v>0</v>
      </c>
      <c r="E6044"/>
      <c r="F6044" s="35">
        <f>SUMIFS(F6045:F9015,K6045:K9015,"0",B6045:B9015,"5 1 2 4 4 12 31111 6 M59 96100 000211 0000U 00001 00244 015 2112000 2024 CP1IU412*")</f>
        <v>7772</v>
      </c>
      <c r="G6044" s="35">
        <f>SUMIFS(G6045:G9015,K6045:K9015,"0",B6045:B9015,"5 1 2 4 4 12 31111 6 M59 96100 000211 0000U 00001 00244 015 2112000 2024 CP1IU412*")</f>
        <v>0</v>
      </c>
      <c r="H6044" s="35">
        <f t="shared" si="95"/>
        <v>7772</v>
      </c>
      <c r="I6044" s="35"/>
      <c r="K6044" t="s">
        <v>15</v>
      </c>
    </row>
    <row r="6045" spans="2:11" ht="41.25" x14ac:dyDescent="0.2">
      <c r="B6045" s="33" t="s">
        <v>7037</v>
      </c>
      <c r="C6045" s="33" t="s">
        <v>282</v>
      </c>
      <c r="D6045" s="35">
        <f>SUMIFS(D6046:D9015,K6046:K9015,"0",B6046:B9015,"5 1 2 4 4 12 31111 6 M59 96100 000211 0000U 00001 00244 015 2112000 2024 CP1IU412 001*")-SUMIFS(E6046:E9015,K6046:K9015,"0",B6046:B9015,"5 1 2 4 4 12 31111 6 M59 96100 000211 0000U 00001 00244 015 2112000 2024 CP1IU412 001*")</f>
        <v>0</v>
      </c>
      <c r="E6045"/>
      <c r="F6045" s="35">
        <f>SUMIFS(F6046:F9015,K6046:K9015,"0",B6046:B9015,"5 1 2 4 4 12 31111 6 M59 96100 000211 0000U 00001 00244 015 2112000 2024 CP1IU412 001*")</f>
        <v>7772</v>
      </c>
      <c r="G6045" s="35">
        <f>SUMIFS(G6046:G9015,K6046:K9015,"0",B6046:B9015,"5 1 2 4 4 12 31111 6 M59 96100 000211 0000U 00001 00244 015 2112000 2024 CP1IU412 001*")</f>
        <v>0</v>
      </c>
      <c r="H6045" s="35">
        <f t="shared" si="95"/>
        <v>7772</v>
      </c>
      <c r="I6045" s="35"/>
      <c r="K6045" t="s">
        <v>15</v>
      </c>
    </row>
    <row r="6046" spans="2:11" ht="33" x14ac:dyDescent="0.2">
      <c r="B6046" s="31" t="s">
        <v>7038</v>
      </c>
      <c r="C6046" s="31" t="s">
        <v>7011</v>
      </c>
      <c r="D6046" s="34">
        <v>0</v>
      </c>
      <c r="E6046" s="34"/>
      <c r="F6046" s="34">
        <v>7772</v>
      </c>
      <c r="G6046" s="34">
        <v>0</v>
      </c>
      <c r="H6046" s="34">
        <f t="shared" si="95"/>
        <v>7772</v>
      </c>
      <c r="I6046" s="34"/>
      <c r="K6046" t="s">
        <v>38</v>
      </c>
    </row>
    <row r="6047" spans="2:11" ht="16.5" x14ac:dyDescent="0.2">
      <c r="B6047" s="33" t="s">
        <v>7039</v>
      </c>
      <c r="C6047" s="33" t="s">
        <v>7040</v>
      </c>
      <c r="D6047" s="35">
        <f>SUMIFS(D6048:D9015,K6048:K9015,"0",B6048:B9015,"5 1 2 4 6*")-SUMIFS(E6048:E9015,K6048:K9015,"0",B6048:B9015,"5 1 2 4 6*")</f>
        <v>0</v>
      </c>
      <c r="E6047"/>
      <c r="F6047" s="35">
        <f>SUMIFS(F6048:F9015,K6048:K9015,"0",B6048:B9015,"5 1 2 4 6*")</f>
        <v>219413.27</v>
      </c>
      <c r="G6047" s="35">
        <f>SUMIFS(G6048:G9015,K6048:K9015,"0",B6048:B9015,"5 1 2 4 6*")</f>
        <v>0</v>
      </c>
      <c r="H6047" s="35">
        <f t="shared" si="95"/>
        <v>219413.27</v>
      </c>
      <c r="I6047" s="35"/>
      <c r="K6047" t="s">
        <v>15</v>
      </c>
    </row>
    <row r="6048" spans="2:11" ht="12.75" x14ac:dyDescent="0.2">
      <c r="B6048" s="33" t="s">
        <v>7041</v>
      </c>
      <c r="C6048" s="33" t="s">
        <v>26</v>
      </c>
      <c r="D6048" s="35">
        <f>SUMIFS(D6049:D9015,K6049:K9015,"0",B6049:B9015,"5 1 2 4 6 12*")-SUMIFS(E6049:E9015,K6049:K9015,"0",B6049:B9015,"5 1 2 4 6 12*")</f>
        <v>0</v>
      </c>
      <c r="E6048"/>
      <c r="F6048" s="35">
        <f>SUMIFS(F6049:F9015,K6049:K9015,"0",B6049:B9015,"5 1 2 4 6 12*")</f>
        <v>219413.27</v>
      </c>
      <c r="G6048" s="35">
        <f>SUMIFS(G6049:G9015,K6049:K9015,"0",B6049:B9015,"5 1 2 4 6 12*")</f>
        <v>0</v>
      </c>
      <c r="H6048" s="35">
        <f t="shared" si="95"/>
        <v>219413.27</v>
      </c>
      <c r="I6048" s="35"/>
      <c r="K6048" t="s">
        <v>15</v>
      </c>
    </row>
    <row r="6049" spans="2:11" ht="16.5" x14ac:dyDescent="0.2">
      <c r="B6049" s="33" t="s">
        <v>7042</v>
      </c>
      <c r="C6049" s="33" t="s">
        <v>28</v>
      </c>
      <c r="D6049" s="35">
        <f>SUMIFS(D6050:D9015,K6050:K9015,"0",B6050:B9015,"5 1 2 4 6 12 31111*")-SUMIFS(E6050:E9015,K6050:K9015,"0",B6050:B9015,"5 1 2 4 6 12 31111*")</f>
        <v>0</v>
      </c>
      <c r="E6049"/>
      <c r="F6049" s="35">
        <f>SUMIFS(F6050:F9015,K6050:K9015,"0",B6050:B9015,"5 1 2 4 6 12 31111*")</f>
        <v>219413.27</v>
      </c>
      <c r="G6049" s="35">
        <f>SUMIFS(G6050:G9015,K6050:K9015,"0",B6050:B9015,"5 1 2 4 6 12 31111*")</f>
        <v>0</v>
      </c>
      <c r="H6049" s="35">
        <f t="shared" si="95"/>
        <v>219413.27</v>
      </c>
      <c r="I6049" s="35"/>
      <c r="K6049" t="s">
        <v>15</v>
      </c>
    </row>
    <row r="6050" spans="2:11" ht="12.75" x14ac:dyDescent="0.2">
      <c r="B6050" s="33" t="s">
        <v>7043</v>
      </c>
      <c r="C6050" s="33" t="s">
        <v>30</v>
      </c>
      <c r="D6050" s="35">
        <f>SUMIFS(D6051:D9015,K6051:K9015,"0",B6051:B9015,"5 1 2 4 6 12 31111 6*")-SUMIFS(E6051:E9015,K6051:K9015,"0",B6051:B9015,"5 1 2 4 6 12 31111 6*")</f>
        <v>0</v>
      </c>
      <c r="E6050"/>
      <c r="F6050" s="35">
        <f>SUMIFS(F6051:F9015,K6051:K9015,"0",B6051:B9015,"5 1 2 4 6 12 31111 6*")</f>
        <v>219413.27</v>
      </c>
      <c r="G6050" s="35">
        <f>SUMIFS(G6051:G9015,K6051:K9015,"0",B6051:B9015,"5 1 2 4 6 12 31111 6*")</f>
        <v>0</v>
      </c>
      <c r="H6050" s="35">
        <f t="shared" si="95"/>
        <v>219413.27</v>
      </c>
      <c r="I6050" s="35"/>
      <c r="K6050" t="s">
        <v>15</v>
      </c>
    </row>
    <row r="6051" spans="2:11" ht="16.5" x14ac:dyDescent="0.2">
      <c r="B6051" s="33" t="s">
        <v>7044</v>
      </c>
      <c r="C6051" s="33" t="s">
        <v>2284</v>
      </c>
      <c r="D6051" s="35">
        <f>SUMIFS(D6052:D9015,K6052:K9015,"0",B6052:B9015,"5 1 2 4 6 12 31111 6 M59*")-SUMIFS(E6052:E9015,K6052:K9015,"0",B6052:B9015,"5 1 2 4 6 12 31111 6 M59*")</f>
        <v>0</v>
      </c>
      <c r="E6051"/>
      <c r="F6051" s="35">
        <f>SUMIFS(F6052:F9015,K6052:K9015,"0",B6052:B9015,"5 1 2 4 6 12 31111 6 M59*")</f>
        <v>219413.27</v>
      </c>
      <c r="G6051" s="35">
        <f>SUMIFS(G6052:G9015,K6052:K9015,"0",B6052:B9015,"5 1 2 4 6 12 31111 6 M59*")</f>
        <v>0</v>
      </c>
      <c r="H6051" s="35">
        <f t="shared" si="95"/>
        <v>219413.27</v>
      </c>
      <c r="I6051" s="35"/>
      <c r="K6051" t="s">
        <v>15</v>
      </c>
    </row>
    <row r="6052" spans="2:11" ht="16.5" x14ac:dyDescent="0.2">
      <c r="B6052" s="33" t="s">
        <v>7045</v>
      </c>
      <c r="C6052" s="33" t="s">
        <v>1044</v>
      </c>
      <c r="D6052" s="35">
        <f>SUMIFS(D6053:D9015,K6053:K9015,"0",B6053:B9015,"5 1 2 4 6 12 31111 6 M59 19000*")-SUMIFS(E6053:E9015,K6053:K9015,"0",B6053:B9015,"5 1 2 4 6 12 31111 6 M59 19000*")</f>
        <v>0</v>
      </c>
      <c r="E6052"/>
      <c r="F6052" s="35">
        <f>SUMIFS(F6053:F9015,K6053:K9015,"0",B6053:B9015,"5 1 2 4 6 12 31111 6 M59 19000*")</f>
        <v>52546.1</v>
      </c>
      <c r="G6052" s="35">
        <f>SUMIFS(G6053:G9015,K6053:K9015,"0",B6053:B9015,"5 1 2 4 6 12 31111 6 M59 19000*")</f>
        <v>0</v>
      </c>
      <c r="H6052" s="35">
        <f t="shared" si="95"/>
        <v>52546.1</v>
      </c>
      <c r="I6052" s="35"/>
      <c r="K6052" t="s">
        <v>15</v>
      </c>
    </row>
    <row r="6053" spans="2:11" ht="16.5" x14ac:dyDescent="0.2">
      <c r="B6053" s="33" t="s">
        <v>7046</v>
      </c>
      <c r="C6053" s="33" t="s">
        <v>648</v>
      </c>
      <c r="D6053" s="35">
        <f>SUMIFS(D6054:D9015,K6054:K9015,"0",B6054:B9015,"5 1 2 4 6 12 31111 6 M59 19000 000132*")-SUMIFS(E6054:E9015,K6054:K9015,"0",B6054:B9015,"5 1 2 4 6 12 31111 6 M59 19000 000132*")</f>
        <v>0</v>
      </c>
      <c r="E6053"/>
      <c r="F6053" s="35">
        <f>SUMIFS(F6054:F9015,K6054:K9015,"0",B6054:B9015,"5 1 2 4 6 12 31111 6 M59 19000 000132*")</f>
        <v>52546.1</v>
      </c>
      <c r="G6053" s="35">
        <f>SUMIFS(G6054:G9015,K6054:K9015,"0",B6054:B9015,"5 1 2 4 6 12 31111 6 M59 19000 000132*")</f>
        <v>0</v>
      </c>
      <c r="H6053" s="35">
        <f t="shared" si="95"/>
        <v>52546.1</v>
      </c>
      <c r="I6053" s="35"/>
      <c r="K6053" t="s">
        <v>15</v>
      </c>
    </row>
    <row r="6054" spans="2:11" ht="24.75" x14ac:dyDescent="0.2">
      <c r="B6054" s="33" t="s">
        <v>7047</v>
      </c>
      <c r="C6054" s="33" t="s">
        <v>650</v>
      </c>
      <c r="D6054" s="35">
        <f>SUMIFS(D6055:D9015,K6055:K9015,"0",B6055:B9015,"5 1 2 4 6 12 31111 6 M59 19000 000132 0000R*")-SUMIFS(E6055:E9015,K6055:K9015,"0",B6055:B9015,"5 1 2 4 6 12 31111 6 M59 19000 000132 0000R*")</f>
        <v>0</v>
      </c>
      <c r="E6054"/>
      <c r="F6054" s="35">
        <f>SUMIFS(F6055:F9015,K6055:K9015,"0",B6055:B9015,"5 1 2 4 6 12 31111 6 M59 19000 000132 0000R*")</f>
        <v>52546.1</v>
      </c>
      <c r="G6054" s="35">
        <f>SUMIFS(G6055:G9015,K6055:K9015,"0",B6055:B9015,"5 1 2 4 6 12 31111 6 M59 19000 000132 0000R*")</f>
        <v>0</v>
      </c>
      <c r="H6054" s="35">
        <f t="shared" si="95"/>
        <v>52546.1</v>
      </c>
      <c r="I6054" s="35"/>
      <c r="K6054" t="s">
        <v>15</v>
      </c>
    </row>
    <row r="6055" spans="2:11" ht="24.75" x14ac:dyDescent="0.2">
      <c r="B6055" s="33" t="s">
        <v>7048</v>
      </c>
      <c r="C6055" s="33" t="s">
        <v>282</v>
      </c>
      <c r="D6055" s="35">
        <f>SUMIFS(D6056:D9015,K6056:K9015,"0",B6056:B9015,"5 1 2 4 6 12 31111 6 M59 19000 000132 0000R 00001*")-SUMIFS(E6056:E9015,K6056:K9015,"0",B6056:B9015,"5 1 2 4 6 12 31111 6 M59 19000 000132 0000R 00001*")</f>
        <v>0</v>
      </c>
      <c r="E6055"/>
      <c r="F6055" s="35">
        <f>SUMIFS(F6056:F9015,K6056:K9015,"0",B6056:B9015,"5 1 2 4 6 12 31111 6 M59 19000 000132 0000R 00001*")</f>
        <v>52546.1</v>
      </c>
      <c r="G6055" s="35">
        <f>SUMIFS(G6056:G9015,K6056:K9015,"0",B6056:B9015,"5 1 2 4 6 12 31111 6 M59 19000 000132 0000R 00001*")</f>
        <v>0</v>
      </c>
      <c r="H6055" s="35">
        <f t="shared" si="95"/>
        <v>52546.1</v>
      </c>
      <c r="I6055" s="35"/>
      <c r="K6055" t="s">
        <v>15</v>
      </c>
    </row>
    <row r="6056" spans="2:11" ht="24.75" x14ac:dyDescent="0.2">
      <c r="B6056" s="33" t="s">
        <v>7049</v>
      </c>
      <c r="C6056" s="33" t="s">
        <v>7050</v>
      </c>
      <c r="D6056" s="35">
        <f>SUMIFS(D6057:D9015,K6057:K9015,"0",B6057:B9015,"5 1 2 4 6 12 31111 6 M59 19000 000132 0000R 00001 00246*")-SUMIFS(E6057:E9015,K6057:K9015,"0",B6057:B9015,"5 1 2 4 6 12 31111 6 M59 19000 000132 0000R 00001 00246*")</f>
        <v>0</v>
      </c>
      <c r="E6056"/>
      <c r="F6056" s="35">
        <f>SUMIFS(F6057:F9015,K6057:K9015,"0",B6057:B9015,"5 1 2 4 6 12 31111 6 M59 19000 000132 0000R 00001 00246*")</f>
        <v>52546.1</v>
      </c>
      <c r="G6056" s="35">
        <f>SUMIFS(G6057:G9015,K6057:K9015,"0",B6057:B9015,"5 1 2 4 6 12 31111 6 M59 19000 000132 0000R 00001 00246*")</f>
        <v>0</v>
      </c>
      <c r="H6056" s="35">
        <f t="shared" si="95"/>
        <v>52546.1</v>
      </c>
      <c r="I6056" s="35"/>
      <c r="K6056" t="s">
        <v>15</v>
      </c>
    </row>
    <row r="6057" spans="2:11" ht="33" x14ac:dyDescent="0.2">
      <c r="B6057" s="33" t="s">
        <v>7051</v>
      </c>
      <c r="C6057" s="33" t="s">
        <v>699</v>
      </c>
      <c r="D6057" s="35">
        <f>SUMIFS(D6058:D9015,K6058:K9015,"0",B6058:B9015,"5 1 2 4 6 12 31111 6 M59 19000 000132 0000R 00001 00246 011*")-SUMIFS(E6058:E9015,K6058:K9015,"0",B6058:B9015,"5 1 2 4 6 12 31111 6 M59 19000 000132 0000R 00001 00246 011*")</f>
        <v>0</v>
      </c>
      <c r="E6057"/>
      <c r="F6057" s="35">
        <f>SUMIFS(F6058:F9015,K6058:K9015,"0",B6058:B9015,"5 1 2 4 6 12 31111 6 M59 19000 000132 0000R 00001 00246 011*")</f>
        <v>52546.1</v>
      </c>
      <c r="G6057" s="35">
        <f>SUMIFS(G6058:G9015,K6058:K9015,"0",B6058:B9015,"5 1 2 4 6 12 31111 6 M59 19000 000132 0000R 00001 00246 011*")</f>
        <v>0</v>
      </c>
      <c r="H6057" s="35">
        <f t="shared" si="95"/>
        <v>52546.1</v>
      </c>
      <c r="I6057" s="35"/>
      <c r="K6057" t="s">
        <v>15</v>
      </c>
    </row>
    <row r="6058" spans="2:11" ht="33" x14ac:dyDescent="0.2">
      <c r="B6058" s="33" t="s">
        <v>7052</v>
      </c>
      <c r="C6058" s="33" t="s">
        <v>5830</v>
      </c>
      <c r="D6058" s="35">
        <f>SUMIFS(D6059:D9015,K6059:K9015,"0",B6059:B9015,"5 1 2 4 6 12 31111 6 M59 19000 000132 0000R 00001 00246 011 2112000*")-SUMIFS(E6059:E9015,K6059:K9015,"0",B6059:B9015,"5 1 2 4 6 12 31111 6 M59 19000 000132 0000R 00001 00246 011 2112000*")</f>
        <v>0</v>
      </c>
      <c r="E6058"/>
      <c r="F6058" s="35">
        <f>SUMIFS(F6059:F9015,K6059:K9015,"0",B6059:B9015,"5 1 2 4 6 12 31111 6 M59 19000 000132 0000R 00001 00246 011 2112000*")</f>
        <v>52546.1</v>
      </c>
      <c r="G6058" s="35">
        <f>SUMIFS(G6059:G9015,K6059:K9015,"0",B6059:B9015,"5 1 2 4 6 12 31111 6 M59 19000 000132 0000R 00001 00246 011 2112000*")</f>
        <v>0</v>
      </c>
      <c r="H6058" s="35">
        <f t="shared" si="95"/>
        <v>52546.1</v>
      </c>
      <c r="I6058" s="35"/>
      <c r="K6058" t="s">
        <v>15</v>
      </c>
    </row>
    <row r="6059" spans="2:11" ht="33" x14ac:dyDescent="0.2">
      <c r="B6059" s="33" t="s">
        <v>7053</v>
      </c>
      <c r="C6059" s="33" t="s">
        <v>660</v>
      </c>
      <c r="D6059" s="35">
        <f>SUMIFS(D6060:D9015,K6060:K9015,"0",B6060:B9015,"5 1 2 4 6 12 31111 6 M59 19000 000132 0000R 00001 00246 011 2112000 2024*")-SUMIFS(E6060:E9015,K6060:K9015,"0",B6060:B9015,"5 1 2 4 6 12 31111 6 M59 19000 000132 0000R 00001 00246 011 2112000 2024*")</f>
        <v>0</v>
      </c>
      <c r="E6059"/>
      <c r="F6059" s="35">
        <f>SUMIFS(F6060:F9015,K6060:K9015,"0",B6060:B9015,"5 1 2 4 6 12 31111 6 M59 19000 000132 0000R 00001 00246 011 2112000 2024*")</f>
        <v>52546.1</v>
      </c>
      <c r="G6059" s="35">
        <f>SUMIFS(G6060:G9015,K6060:K9015,"0",B6060:B9015,"5 1 2 4 6 12 31111 6 M59 19000 000132 0000R 00001 00246 011 2112000 2024*")</f>
        <v>0</v>
      </c>
      <c r="H6059" s="35">
        <f t="shared" si="95"/>
        <v>52546.1</v>
      </c>
      <c r="I6059" s="35"/>
      <c r="K6059" t="s">
        <v>15</v>
      </c>
    </row>
    <row r="6060" spans="2:11" ht="41.25" x14ac:dyDescent="0.2">
      <c r="B6060" s="33" t="s">
        <v>7054</v>
      </c>
      <c r="C6060" s="33" t="s">
        <v>662</v>
      </c>
      <c r="D6060" s="35">
        <f>SUMIFS(D6061:D9015,K6061:K9015,"0",B6061:B9015,"5 1 2 4 6 12 31111 6 M59 19000 000132 0000R 00001 00246 011 2112000 2024 CP1TM440*")-SUMIFS(E6061:E9015,K6061:K9015,"0",B6061:B9015,"5 1 2 4 6 12 31111 6 M59 19000 000132 0000R 00001 00246 011 2112000 2024 CP1TM440*")</f>
        <v>0</v>
      </c>
      <c r="E6060"/>
      <c r="F6060" s="35">
        <f>SUMIFS(F6061:F9015,K6061:K9015,"0",B6061:B9015,"5 1 2 4 6 12 31111 6 M59 19000 000132 0000R 00001 00246 011 2112000 2024 CP1TM440*")</f>
        <v>52546.1</v>
      </c>
      <c r="G6060" s="35">
        <f>SUMIFS(G6061:G9015,K6061:K9015,"0",B6061:B9015,"5 1 2 4 6 12 31111 6 M59 19000 000132 0000R 00001 00246 011 2112000 2024 CP1TM440*")</f>
        <v>0</v>
      </c>
      <c r="H6060" s="35">
        <f t="shared" si="95"/>
        <v>52546.1</v>
      </c>
      <c r="I6060" s="35"/>
      <c r="K6060" t="s">
        <v>15</v>
      </c>
    </row>
    <row r="6061" spans="2:11" ht="41.25" x14ac:dyDescent="0.2">
      <c r="B6061" s="33" t="s">
        <v>7055</v>
      </c>
      <c r="C6061" s="33" t="s">
        <v>46</v>
      </c>
      <c r="D6061" s="35">
        <f>SUMIFS(D6062:D9015,K6062:K9015,"0",B6062:B9015,"5 1 2 4 6 12 31111 6 M59 19000 000132 0000R 00001 00246 011 2112000 2024 CP1TM440 004*")-SUMIFS(E6062:E9015,K6062:K9015,"0",B6062:B9015,"5 1 2 4 6 12 31111 6 M59 19000 000132 0000R 00001 00246 011 2112000 2024 CP1TM440 004*")</f>
        <v>0</v>
      </c>
      <c r="E6061"/>
      <c r="F6061" s="35">
        <f>SUMIFS(F6062:F9015,K6062:K9015,"0",B6062:B9015,"5 1 2 4 6 12 31111 6 M59 19000 000132 0000R 00001 00246 011 2112000 2024 CP1TM440 004*")</f>
        <v>52546.1</v>
      </c>
      <c r="G6061" s="35">
        <f>SUMIFS(G6062:G9015,K6062:K9015,"0",B6062:B9015,"5 1 2 4 6 12 31111 6 M59 19000 000132 0000R 00001 00246 011 2112000 2024 CP1TM440 004*")</f>
        <v>0</v>
      </c>
      <c r="H6061" s="35">
        <f t="shared" si="95"/>
        <v>52546.1</v>
      </c>
      <c r="I6061" s="35"/>
      <c r="K6061" t="s">
        <v>15</v>
      </c>
    </row>
    <row r="6062" spans="2:11" ht="33" x14ac:dyDescent="0.2">
      <c r="B6062" s="31" t="s">
        <v>7056</v>
      </c>
      <c r="C6062" s="31" t="s">
        <v>7057</v>
      </c>
      <c r="D6062" s="34">
        <v>0</v>
      </c>
      <c r="E6062" s="34"/>
      <c r="F6062" s="34">
        <v>52546.1</v>
      </c>
      <c r="G6062" s="34">
        <v>0</v>
      </c>
      <c r="H6062" s="34">
        <f t="shared" si="95"/>
        <v>52546.1</v>
      </c>
      <c r="I6062" s="34"/>
      <c r="K6062" t="s">
        <v>38</v>
      </c>
    </row>
    <row r="6063" spans="2:11" ht="16.5" x14ac:dyDescent="0.2">
      <c r="B6063" s="33" t="s">
        <v>7058</v>
      </c>
      <c r="C6063" s="33" t="s">
        <v>3103</v>
      </c>
      <c r="D6063" s="35">
        <f>SUMIFS(D6064:D9015,K6064:K9015,"0",B6064:B9015,"5 1 2 4 6 12 31111 6 M59 20400*")-SUMIFS(E6064:E9015,K6064:K9015,"0",B6064:B9015,"5 1 2 4 6 12 31111 6 M59 20400*")</f>
        <v>0</v>
      </c>
      <c r="E6063"/>
      <c r="F6063" s="35">
        <f>SUMIFS(F6064:F9015,K6064:K9015,"0",B6064:B9015,"5 1 2 4 6 12 31111 6 M59 20400*")</f>
        <v>5077.53</v>
      </c>
      <c r="G6063" s="35">
        <f>SUMIFS(G6064:G9015,K6064:K9015,"0",B6064:B9015,"5 1 2 4 6 12 31111 6 M59 20400*")</f>
        <v>0</v>
      </c>
      <c r="H6063" s="35">
        <f t="shared" si="95"/>
        <v>5077.53</v>
      </c>
      <c r="I6063" s="35"/>
      <c r="K6063" t="s">
        <v>15</v>
      </c>
    </row>
    <row r="6064" spans="2:11" ht="16.5" x14ac:dyDescent="0.2">
      <c r="B6064" s="33" t="s">
        <v>7059</v>
      </c>
      <c r="C6064" s="33" t="s">
        <v>648</v>
      </c>
      <c r="D6064" s="35">
        <f>SUMIFS(D6065:D9015,K6065:K9015,"0",B6065:B9015,"5 1 2 4 6 12 31111 6 M59 20400 000132*")-SUMIFS(E6065:E9015,K6065:K9015,"0",B6065:B9015,"5 1 2 4 6 12 31111 6 M59 20400 000132*")</f>
        <v>0</v>
      </c>
      <c r="E6064"/>
      <c r="F6064" s="35">
        <f>SUMIFS(F6065:F9015,K6065:K9015,"0",B6065:B9015,"5 1 2 4 6 12 31111 6 M59 20400 000132*")</f>
        <v>5077.53</v>
      </c>
      <c r="G6064" s="35">
        <f>SUMIFS(G6065:G9015,K6065:K9015,"0",B6065:B9015,"5 1 2 4 6 12 31111 6 M59 20400 000132*")</f>
        <v>0</v>
      </c>
      <c r="H6064" s="35">
        <f t="shared" si="95"/>
        <v>5077.53</v>
      </c>
      <c r="I6064" s="35"/>
      <c r="K6064" t="s">
        <v>15</v>
      </c>
    </row>
    <row r="6065" spans="2:11" ht="24.75" x14ac:dyDescent="0.2">
      <c r="B6065" s="33" t="s">
        <v>7060</v>
      </c>
      <c r="C6065" s="33" t="s">
        <v>650</v>
      </c>
      <c r="D6065" s="35">
        <f>SUMIFS(D6066:D9015,K6066:K9015,"0",B6066:B9015,"5 1 2 4 6 12 31111 6 M59 20400 000132 0000R*")-SUMIFS(E6066:E9015,K6066:K9015,"0",B6066:B9015,"5 1 2 4 6 12 31111 6 M59 20400 000132 0000R*")</f>
        <v>0</v>
      </c>
      <c r="E6065"/>
      <c r="F6065" s="35">
        <f>SUMIFS(F6066:F9015,K6066:K9015,"0",B6066:B9015,"5 1 2 4 6 12 31111 6 M59 20400 000132 0000R*")</f>
        <v>5077.53</v>
      </c>
      <c r="G6065" s="35">
        <f>SUMIFS(G6066:G9015,K6066:K9015,"0",B6066:B9015,"5 1 2 4 6 12 31111 6 M59 20400 000132 0000R*")</f>
        <v>0</v>
      </c>
      <c r="H6065" s="35">
        <f t="shared" si="95"/>
        <v>5077.53</v>
      </c>
      <c r="I6065" s="35"/>
      <c r="K6065" t="s">
        <v>15</v>
      </c>
    </row>
    <row r="6066" spans="2:11" ht="24.75" x14ac:dyDescent="0.2">
      <c r="B6066" s="33" t="s">
        <v>7061</v>
      </c>
      <c r="C6066" s="33" t="s">
        <v>282</v>
      </c>
      <c r="D6066" s="35">
        <f>SUMIFS(D6067:D9015,K6067:K9015,"0",B6067:B9015,"5 1 2 4 6 12 31111 6 M59 20400 000132 0000R 00001*")-SUMIFS(E6067:E9015,K6067:K9015,"0",B6067:B9015,"5 1 2 4 6 12 31111 6 M59 20400 000132 0000R 00001*")</f>
        <v>0</v>
      </c>
      <c r="E6066"/>
      <c r="F6066" s="35">
        <f>SUMIFS(F6067:F9015,K6067:K9015,"0",B6067:B9015,"5 1 2 4 6 12 31111 6 M59 20400 000132 0000R 00001*")</f>
        <v>5077.53</v>
      </c>
      <c r="G6066" s="35">
        <f>SUMIFS(G6067:G9015,K6067:K9015,"0",B6067:B9015,"5 1 2 4 6 12 31111 6 M59 20400 000132 0000R 00001*")</f>
        <v>0</v>
      </c>
      <c r="H6066" s="35">
        <f t="shared" si="95"/>
        <v>5077.53</v>
      </c>
      <c r="I6066" s="35"/>
      <c r="K6066" t="s">
        <v>15</v>
      </c>
    </row>
    <row r="6067" spans="2:11" ht="24.75" x14ac:dyDescent="0.2">
      <c r="B6067" s="33" t="s">
        <v>7062</v>
      </c>
      <c r="C6067" s="33" t="s">
        <v>7050</v>
      </c>
      <c r="D6067" s="35">
        <f>SUMIFS(D6068:D9015,K6068:K9015,"0",B6068:B9015,"5 1 2 4 6 12 31111 6 M59 20400 000132 0000R 00001 00246*")-SUMIFS(E6068:E9015,K6068:K9015,"0",B6068:B9015,"5 1 2 4 6 12 31111 6 M59 20400 000132 0000R 00001 00246*")</f>
        <v>0</v>
      </c>
      <c r="E6067"/>
      <c r="F6067" s="35">
        <f>SUMIFS(F6068:F9015,K6068:K9015,"0",B6068:B9015,"5 1 2 4 6 12 31111 6 M59 20400 000132 0000R 00001 00246*")</f>
        <v>5077.53</v>
      </c>
      <c r="G6067" s="35">
        <f>SUMIFS(G6068:G9015,K6068:K9015,"0",B6068:B9015,"5 1 2 4 6 12 31111 6 M59 20400 000132 0000R 00001 00246*")</f>
        <v>0</v>
      </c>
      <c r="H6067" s="35">
        <f t="shared" si="95"/>
        <v>5077.53</v>
      </c>
      <c r="I6067" s="35"/>
      <c r="K6067" t="s">
        <v>15</v>
      </c>
    </row>
    <row r="6068" spans="2:11" ht="33" x14ac:dyDescent="0.2">
      <c r="B6068" s="33" t="s">
        <v>7063</v>
      </c>
      <c r="C6068" s="33" t="s">
        <v>1051</v>
      </c>
      <c r="D6068" s="35">
        <f>SUMIFS(D6069:D9015,K6069:K9015,"0",B6069:B9015,"5 1 2 4 6 12 31111 6 M59 20400 000132 0000R 00001 00246 015*")-SUMIFS(E6069:E9015,K6069:K9015,"0",B6069:B9015,"5 1 2 4 6 12 31111 6 M59 20400 000132 0000R 00001 00246 015*")</f>
        <v>0</v>
      </c>
      <c r="E6068"/>
      <c r="F6068" s="35">
        <f>SUMIFS(F6069:F9015,K6069:K9015,"0",B6069:B9015,"5 1 2 4 6 12 31111 6 M59 20400 000132 0000R 00001 00246 015*")</f>
        <v>5077.53</v>
      </c>
      <c r="G6068" s="35">
        <f>SUMIFS(G6069:G9015,K6069:K9015,"0",B6069:B9015,"5 1 2 4 6 12 31111 6 M59 20400 000132 0000R 00001 00246 015*")</f>
        <v>0</v>
      </c>
      <c r="H6068" s="35">
        <f t="shared" si="95"/>
        <v>5077.53</v>
      </c>
      <c r="I6068" s="35"/>
      <c r="K6068" t="s">
        <v>15</v>
      </c>
    </row>
    <row r="6069" spans="2:11" ht="33" x14ac:dyDescent="0.2">
      <c r="B6069" s="33" t="s">
        <v>7064</v>
      </c>
      <c r="C6069" s="33" t="s">
        <v>5830</v>
      </c>
      <c r="D6069" s="35">
        <f>SUMIFS(D6070:D9015,K6070:K9015,"0",B6070:B9015,"5 1 2 4 6 12 31111 6 M59 20400 000132 0000R 00001 00246 015 2112000*")-SUMIFS(E6070:E9015,K6070:K9015,"0",B6070:B9015,"5 1 2 4 6 12 31111 6 M59 20400 000132 0000R 00001 00246 015 2112000*")</f>
        <v>0</v>
      </c>
      <c r="E6069"/>
      <c r="F6069" s="35">
        <f>SUMIFS(F6070:F9015,K6070:K9015,"0",B6070:B9015,"5 1 2 4 6 12 31111 6 M59 20400 000132 0000R 00001 00246 015 2112000*")</f>
        <v>5077.53</v>
      </c>
      <c r="G6069" s="35">
        <f>SUMIFS(G6070:G9015,K6070:K9015,"0",B6070:B9015,"5 1 2 4 6 12 31111 6 M59 20400 000132 0000R 00001 00246 015 2112000*")</f>
        <v>0</v>
      </c>
      <c r="H6069" s="35">
        <f t="shared" si="95"/>
        <v>5077.53</v>
      </c>
      <c r="I6069" s="35"/>
      <c r="K6069" t="s">
        <v>15</v>
      </c>
    </row>
    <row r="6070" spans="2:11" ht="33" x14ac:dyDescent="0.2">
      <c r="B6070" s="33" t="s">
        <v>7065</v>
      </c>
      <c r="C6070" s="33" t="s">
        <v>660</v>
      </c>
      <c r="D6070" s="35">
        <f>SUMIFS(D6071:D9015,K6071:K9015,"0",B6071:B9015,"5 1 2 4 6 12 31111 6 M59 20400 000132 0000R 00001 00246 015 2112000 2024*")-SUMIFS(E6071:E9015,K6071:K9015,"0",B6071:B9015,"5 1 2 4 6 12 31111 6 M59 20400 000132 0000R 00001 00246 015 2112000 2024*")</f>
        <v>0</v>
      </c>
      <c r="E6070"/>
      <c r="F6070" s="35">
        <f>SUMIFS(F6071:F9015,K6071:K9015,"0",B6071:B9015,"5 1 2 4 6 12 31111 6 M59 20400 000132 0000R 00001 00246 015 2112000 2024*")</f>
        <v>5077.53</v>
      </c>
      <c r="G6070" s="35">
        <f>SUMIFS(G6071:G9015,K6071:K9015,"0",B6071:B9015,"5 1 2 4 6 12 31111 6 M59 20400 000132 0000R 00001 00246 015 2112000 2024*")</f>
        <v>0</v>
      </c>
      <c r="H6070" s="35">
        <f t="shared" si="95"/>
        <v>5077.53</v>
      </c>
      <c r="I6070" s="35"/>
      <c r="K6070" t="s">
        <v>15</v>
      </c>
    </row>
    <row r="6071" spans="2:11" ht="41.25" x14ac:dyDescent="0.2">
      <c r="B6071" s="33" t="s">
        <v>7066</v>
      </c>
      <c r="C6071" s="33" t="s">
        <v>1056</v>
      </c>
      <c r="D6071" s="35">
        <f>SUMIFS(D6072:D9015,K6072:K9015,"0",B6072:B9015,"5 1 2 4 6 12 31111 6 M59 20400 000132 0000R 00001 00246 015 2112000 2024 CP1PV404*")-SUMIFS(E6072:E9015,K6072:K9015,"0",B6072:B9015,"5 1 2 4 6 12 31111 6 M59 20400 000132 0000R 00001 00246 015 2112000 2024 CP1PV404*")</f>
        <v>0</v>
      </c>
      <c r="E6071"/>
      <c r="F6071" s="35">
        <f>SUMIFS(F6072:F9015,K6072:K9015,"0",B6072:B9015,"5 1 2 4 6 12 31111 6 M59 20400 000132 0000R 00001 00246 015 2112000 2024 CP1PV404*")</f>
        <v>5077.53</v>
      </c>
      <c r="G6071" s="35">
        <f>SUMIFS(G6072:G9015,K6072:K9015,"0",B6072:B9015,"5 1 2 4 6 12 31111 6 M59 20400 000132 0000R 00001 00246 015 2112000 2024 CP1PV404*")</f>
        <v>0</v>
      </c>
      <c r="H6071" s="35">
        <f t="shared" si="95"/>
        <v>5077.53</v>
      </c>
      <c r="I6071" s="35"/>
      <c r="K6071" t="s">
        <v>15</v>
      </c>
    </row>
    <row r="6072" spans="2:11" ht="41.25" x14ac:dyDescent="0.2">
      <c r="B6072" s="33" t="s">
        <v>7067</v>
      </c>
      <c r="C6072" s="33" t="s">
        <v>282</v>
      </c>
      <c r="D6072" s="35">
        <f>SUMIFS(D6073:D9015,K6073:K9015,"0",B6073:B9015,"5 1 2 4 6 12 31111 6 M59 20400 000132 0000R 00001 00246 015 2112000 2024 CP1PV404 001*")-SUMIFS(E6073:E9015,K6073:K9015,"0",B6073:B9015,"5 1 2 4 6 12 31111 6 M59 20400 000132 0000R 00001 00246 015 2112000 2024 CP1PV404 001*")</f>
        <v>0</v>
      </c>
      <c r="E6072"/>
      <c r="F6072" s="35">
        <f>SUMIFS(F6073:F9015,K6073:K9015,"0",B6073:B9015,"5 1 2 4 6 12 31111 6 M59 20400 000132 0000R 00001 00246 015 2112000 2024 CP1PV404 001*")</f>
        <v>5077.53</v>
      </c>
      <c r="G6072" s="35">
        <f>SUMIFS(G6073:G9015,K6073:K9015,"0",B6073:B9015,"5 1 2 4 6 12 31111 6 M59 20400 000132 0000R 00001 00246 015 2112000 2024 CP1PV404 001*")</f>
        <v>0</v>
      </c>
      <c r="H6072" s="35">
        <f t="shared" si="95"/>
        <v>5077.53</v>
      </c>
      <c r="I6072" s="35"/>
      <c r="K6072" t="s">
        <v>15</v>
      </c>
    </row>
    <row r="6073" spans="2:11" ht="41.25" x14ac:dyDescent="0.2">
      <c r="B6073" s="31" t="s">
        <v>7068</v>
      </c>
      <c r="C6073" s="31" t="s">
        <v>7050</v>
      </c>
      <c r="D6073" s="34">
        <v>0</v>
      </c>
      <c r="E6073" s="34"/>
      <c r="F6073" s="34">
        <v>5077.53</v>
      </c>
      <c r="G6073" s="34">
        <v>0</v>
      </c>
      <c r="H6073" s="34">
        <f t="shared" si="95"/>
        <v>5077.53</v>
      </c>
      <c r="I6073" s="34"/>
      <c r="K6073" t="s">
        <v>38</v>
      </c>
    </row>
    <row r="6074" spans="2:11" ht="16.5" x14ac:dyDescent="0.2">
      <c r="B6074" s="33" t="s">
        <v>7069</v>
      </c>
      <c r="C6074" s="33" t="s">
        <v>3138</v>
      </c>
      <c r="D6074" s="35">
        <f>SUMIFS(D6075:D9015,K6075:K9015,"0",B6075:B9015,"5 1 2 4 6 12 31111 6 M59 20700*")-SUMIFS(E6075:E9015,K6075:K9015,"0",B6075:B9015,"5 1 2 4 6 12 31111 6 M59 20700*")</f>
        <v>0</v>
      </c>
      <c r="E6074"/>
      <c r="F6074" s="35">
        <f>SUMIFS(F6075:F9015,K6075:K9015,"0",B6075:B9015,"5 1 2 4 6 12 31111 6 M59 20700*")</f>
        <v>16290.13</v>
      </c>
      <c r="G6074" s="35">
        <f>SUMIFS(G6075:G9015,K6075:K9015,"0",B6075:B9015,"5 1 2 4 6 12 31111 6 M59 20700*")</f>
        <v>0</v>
      </c>
      <c r="H6074" s="35">
        <f t="shared" si="95"/>
        <v>16290.13</v>
      </c>
      <c r="I6074" s="35"/>
      <c r="K6074" t="s">
        <v>15</v>
      </c>
    </row>
    <row r="6075" spans="2:11" ht="16.5" x14ac:dyDescent="0.2">
      <c r="B6075" s="33" t="s">
        <v>7070</v>
      </c>
      <c r="C6075" s="33" t="s">
        <v>648</v>
      </c>
      <c r="D6075" s="35">
        <f>SUMIFS(D6076:D9015,K6076:K9015,"0",B6076:B9015,"5 1 2 4 6 12 31111 6 M59 20700 000132*")-SUMIFS(E6076:E9015,K6076:K9015,"0",B6076:B9015,"5 1 2 4 6 12 31111 6 M59 20700 000132*")</f>
        <v>0</v>
      </c>
      <c r="E6075"/>
      <c r="F6075" s="35">
        <f>SUMIFS(F6076:F9015,K6076:K9015,"0",B6076:B9015,"5 1 2 4 6 12 31111 6 M59 20700 000132*")</f>
        <v>16290.13</v>
      </c>
      <c r="G6075" s="35">
        <f>SUMIFS(G6076:G9015,K6076:K9015,"0",B6076:B9015,"5 1 2 4 6 12 31111 6 M59 20700 000132*")</f>
        <v>0</v>
      </c>
      <c r="H6075" s="35">
        <f t="shared" si="95"/>
        <v>16290.13</v>
      </c>
      <c r="I6075" s="35"/>
      <c r="K6075" t="s">
        <v>15</v>
      </c>
    </row>
    <row r="6076" spans="2:11" ht="24.75" x14ac:dyDescent="0.2">
      <c r="B6076" s="33" t="s">
        <v>7071</v>
      </c>
      <c r="C6076" s="33" t="s">
        <v>650</v>
      </c>
      <c r="D6076" s="35">
        <f>SUMIFS(D6077:D9015,K6077:K9015,"0",B6077:B9015,"5 1 2 4 6 12 31111 6 M59 20700 000132 0000R*")-SUMIFS(E6077:E9015,K6077:K9015,"0",B6077:B9015,"5 1 2 4 6 12 31111 6 M59 20700 000132 0000R*")</f>
        <v>0</v>
      </c>
      <c r="E6076"/>
      <c r="F6076" s="35">
        <f>SUMIFS(F6077:F9015,K6077:K9015,"0",B6077:B9015,"5 1 2 4 6 12 31111 6 M59 20700 000132 0000R*")</f>
        <v>16290.13</v>
      </c>
      <c r="G6076" s="35">
        <f>SUMIFS(G6077:G9015,K6077:K9015,"0",B6077:B9015,"5 1 2 4 6 12 31111 6 M59 20700 000132 0000R*")</f>
        <v>0</v>
      </c>
      <c r="H6076" s="35">
        <f t="shared" si="95"/>
        <v>16290.13</v>
      </c>
      <c r="I6076" s="35"/>
      <c r="K6076" t="s">
        <v>15</v>
      </c>
    </row>
    <row r="6077" spans="2:11" ht="24.75" x14ac:dyDescent="0.2">
      <c r="B6077" s="33" t="s">
        <v>7072</v>
      </c>
      <c r="C6077" s="33" t="s">
        <v>282</v>
      </c>
      <c r="D6077" s="35">
        <f>SUMIFS(D6078:D9015,K6078:K9015,"0",B6078:B9015,"5 1 2 4 6 12 31111 6 M59 20700 000132 0000R 00001*")-SUMIFS(E6078:E9015,K6078:K9015,"0",B6078:B9015,"5 1 2 4 6 12 31111 6 M59 20700 000132 0000R 00001*")</f>
        <v>0</v>
      </c>
      <c r="E6077"/>
      <c r="F6077" s="35">
        <f>SUMIFS(F6078:F9015,K6078:K9015,"0",B6078:B9015,"5 1 2 4 6 12 31111 6 M59 20700 000132 0000R 00001*")</f>
        <v>16290.13</v>
      </c>
      <c r="G6077" s="35">
        <f>SUMIFS(G6078:G9015,K6078:K9015,"0",B6078:B9015,"5 1 2 4 6 12 31111 6 M59 20700 000132 0000R 00001*")</f>
        <v>0</v>
      </c>
      <c r="H6077" s="35">
        <f t="shared" si="95"/>
        <v>16290.13</v>
      </c>
      <c r="I6077" s="35"/>
      <c r="K6077" t="s">
        <v>15</v>
      </c>
    </row>
    <row r="6078" spans="2:11" ht="24.75" x14ac:dyDescent="0.2">
      <c r="B6078" s="33" t="s">
        <v>7073</v>
      </c>
      <c r="C6078" s="33" t="s">
        <v>7050</v>
      </c>
      <c r="D6078" s="35">
        <f>SUMIFS(D6079:D9015,K6079:K9015,"0",B6079:B9015,"5 1 2 4 6 12 31111 6 M59 20700 000132 0000R 00001 00246*")-SUMIFS(E6079:E9015,K6079:K9015,"0",B6079:B9015,"5 1 2 4 6 12 31111 6 M59 20700 000132 0000R 00001 00246*")</f>
        <v>0</v>
      </c>
      <c r="E6078"/>
      <c r="F6078" s="35">
        <f>SUMIFS(F6079:F9015,K6079:K9015,"0",B6079:B9015,"5 1 2 4 6 12 31111 6 M59 20700 000132 0000R 00001 00246*")</f>
        <v>16290.13</v>
      </c>
      <c r="G6078" s="35">
        <f>SUMIFS(G6079:G9015,K6079:K9015,"0",B6079:B9015,"5 1 2 4 6 12 31111 6 M59 20700 000132 0000R 00001 00246*")</f>
        <v>0</v>
      </c>
      <c r="H6078" s="35">
        <f t="shared" si="95"/>
        <v>16290.13</v>
      </c>
      <c r="I6078" s="35"/>
      <c r="K6078" t="s">
        <v>15</v>
      </c>
    </row>
    <row r="6079" spans="2:11" ht="33" x14ac:dyDescent="0.2">
      <c r="B6079" s="33" t="s">
        <v>7074</v>
      </c>
      <c r="C6079" s="33" t="s">
        <v>1051</v>
      </c>
      <c r="D6079" s="35">
        <f>SUMIFS(D6080:D9015,K6080:K9015,"0",B6080:B9015,"5 1 2 4 6 12 31111 6 M59 20700 000132 0000R 00001 00246 015*")-SUMIFS(E6080:E9015,K6080:K9015,"0",B6080:B9015,"5 1 2 4 6 12 31111 6 M59 20700 000132 0000R 00001 00246 015*")</f>
        <v>0</v>
      </c>
      <c r="E6079"/>
      <c r="F6079" s="35">
        <f>SUMIFS(F6080:F9015,K6080:K9015,"0",B6080:B9015,"5 1 2 4 6 12 31111 6 M59 20700 000132 0000R 00001 00246 015*")</f>
        <v>16290.13</v>
      </c>
      <c r="G6079" s="35">
        <f>SUMIFS(G6080:G9015,K6080:K9015,"0",B6080:B9015,"5 1 2 4 6 12 31111 6 M59 20700 000132 0000R 00001 00246 015*")</f>
        <v>0</v>
      </c>
      <c r="H6079" s="35">
        <f t="shared" si="95"/>
        <v>16290.13</v>
      </c>
      <c r="I6079" s="35"/>
      <c r="K6079" t="s">
        <v>15</v>
      </c>
    </row>
    <row r="6080" spans="2:11" ht="33" x14ac:dyDescent="0.2">
      <c r="B6080" s="33" t="s">
        <v>7075</v>
      </c>
      <c r="C6080" s="33" t="s">
        <v>5830</v>
      </c>
      <c r="D6080" s="35">
        <f>SUMIFS(D6081:D9015,K6081:K9015,"0",B6081:B9015,"5 1 2 4 6 12 31111 6 M59 20700 000132 0000R 00001 00246 015 2112000*")-SUMIFS(E6081:E9015,K6081:K9015,"0",B6081:B9015,"5 1 2 4 6 12 31111 6 M59 20700 000132 0000R 00001 00246 015 2112000*")</f>
        <v>0</v>
      </c>
      <c r="E6080"/>
      <c r="F6080" s="35">
        <f>SUMIFS(F6081:F9015,K6081:K9015,"0",B6081:B9015,"5 1 2 4 6 12 31111 6 M59 20700 000132 0000R 00001 00246 015 2112000*")</f>
        <v>16290.13</v>
      </c>
      <c r="G6080" s="35">
        <f>SUMIFS(G6081:G9015,K6081:K9015,"0",B6081:B9015,"5 1 2 4 6 12 31111 6 M59 20700 000132 0000R 00001 00246 015 2112000*")</f>
        <v>0</v>
      </c>
      <c r="H6080" s="35">
        <f t="shared" si="95"/>
        <v>16290.13</v>
      </c>
      <c r="I6080" s="35"/>
      <c r="K6080" t="s">
        <v>15</v>
      </c>
    </row>
    <row r="6081" spans="2:11" ht="33" x14ac:dyDescent="0.2">
      <c r="B6081" s="33" t="s">
        <v>7076</v>
      </c>
      <c r="C6081" s="33" t="s">
        <v>660</v>
      </c>
      <c r="D6081" s="35">
        <f>SUMIFS(D6082:D9015,K6082:K9015,"0",B6082:B9015,"5 1 2 4 6 12 31111 6 M59 20700 000132 0000R 00001 00246 015 2112000 2024*")-SUMIFS(E6082:E9015,K6082:K9015,"0",B6082:B9015,"5 1 2 4 6 12 31111 6 M59 20700 000132 0000R 00001 00246 015 2112000 2024*")</f>
        <v>0</v>
      </c>
      <c r="E6081"/>
      <c r="F6081" s="35">
        <f>SUMIFS(F6082:F9015,K6082:K9015,"0",B6082:B9015,"5 1 2 4 6 12 31111 6 M59 20700 000132 0000R 00001 00246 015 2112000 2024*")</f>
        <v>16290.13</v>
      </c>
      <c r="G6081" s="35">
        <f>SUMIFS(G6082:G9015,K6082:K9015,"0",B6082:B9015,"5 1 2 4 6 12 31111 6 M59 20700 000132 0000R 00001 00246 015 2112000 2024*")</f>
        <v>0</v>
      </c>
      <c r="H6081" s="35">
        <f t="shared" si="95"/>
        <v>16290.13</v>
      </c>
      <c r="I6081" s="35"/>
      <c r="K6081" t="s">
        <v>15</v>
      </c>
    </row>
    <row r="6082" spans="2:11" ht="41.25" x14ac:dyDescent="0.2">
      <c r="B6082" s="33" t="s">
        <v>7077</v>
      </c>
      <c r="C6082" s="33" t="s">
        <v>662</v>
      </c>
      <c r="D6082" s="35">
        <f>SUMIFS(D6083:D9015,K6083:K9015,"0",B6083:B9015,"5 1 2 4 6 12 31111 6 M59 20700 000132 0000R 00001 00246 015 2112000 2024 CP1RM401*")-SUMIFS(E6083:E9015,K6083:K9015,"0",B6083:B9015,"5 1 2 4 6 12 31111 6 M59 20700 000132 0000R 00001 00246 015 2112000 2024 CP1RM401*")</f>
        <v>0</v>
      </c>
      <c r="E6082"/>
      <c r="F6082" s="35">
        <f>SUMIFS(F6083:F9015,K6083:K9015,"0",B6083:B9015,"5 1 2 4 6 12 31111 6 M59 20700 000132 0000R 00001 00246 015 2112000 2024 CP1RM401*")</f>
        <v>16290.13</v>
      </c>
      <c r="G6082" s="35">
        <f>SUMIFS(G6083:G9015,K6083:K9015,"0",B6083:B9015,"5 1 2 4 6 12 31111 6 M59 20700 000132 0000R 00001 00246 015 2112000 2024 CP1RM401*")</f>
        <v>0</v>
      </c>
      <c r="H6082" s="35">
        <f t="shared" si="95"/>
        <v>16290.13</v>
      </c>
      <c r="I6082" s="35"/>
      <c r="K6082" t="s">
        <v>15</v>
      </c>
    </row>
    <row r="6083" spans="2:11" ht="41.25" x14ac:dyDescent="0.2">
      <c r="B6083" s="33" t="s">
        <v>7078</v>
      </c>
      <c r="C6083" s="33" t="s">
        <v>282</v>
      </c>
      <c r="D6083" s="35">
        <f>SUMIFS(D6084:D9015,K6084:K9015,"0",B6084:B9015,"5 1 2 4 6 12 31111 6 M59 20700 000132 0000R 00001 00246 015 2112000 2024 CP1RM401 001*")-SUMIFS(E6084:E9015,K6084:K9015,"0",B6084:B9015,"5 1 2 4 6 12 31111 6 M59 20700 000132 0000R 00001 00246 015 2112000 2024 CP1RM401 001*")</f>
        <v>0</v>
      </c>
      <c r="E6083"/>
      <c r="F6083" s="35">
        <f>SUMIFS(F6084:F9015,K6084:K9015,"0",B6084:B9015,"5 1 2 4 6 12 31111 6 M59 20700 000132 0000R 00001 00246 015 2112000 2024 CP1RM401 001*")</f>
        <v>16290.13</v>
      </c>
      <c r="G6083" s="35">
        <f>SUMIFS(G6084:G9015,K6084:K9015,"0",B6084:B9015,"5 1 2 4 6 12 31111 6 M59 20700 000132 0000R 00001 00246 015 2112000 2024 CP1RM401 001*")</f>
        <v>0</v>
      </c>
      <c r="H6083" s="35">
        <f t="shared" si="95"/>
        <v>16290.13</v>
      </c>
      <c r="I6083" s="35"/>
      <c r="K6083" t="s">
        <v>15</v>
      </c>
    </row>
    <row r="6084" spans="2:11" ht="33" x14ac:dyDescent="0.2">
      <c r="B6084" s="31" t="s">
        <v>7079</v>
      </c>
      <c r="C6084" s="31" t="s">
        <v>7040</v>
      </c>
      <c r="D6084" s="34">
        <v>0</v>
      </c>
      <c r="E6084" s="34"/>
      <c r="F6084" s="34">
        <v>16290.13</v>
      </c>
      <c r="G6084" s="34">
        <v>0</v>
      </c>
      <c r="H6084" s="34">
        <f t="shared" ref="H6084:H6147" si="96">D6084 + F6084 - G6084</f>
        <v>16290.13</v>
      </c>
      <c r="I6084" s="34"/>
      <c r="K6084" t="s">
        <v>38</v>
      </c>
    </row>
    <row r="6085" spans="2:11" ht="16.5" x14ac:dyDescent="0.2">
      <c r="B6085" s="33" t="s">
        <v>7080</v>
      </c>
      <c r="C6085" s="33" t="s">
        <v>1092</v>
      </c>
      <c r="D6085" s="35">
        <f>SUMIFS(D6086:D9015,K6086:K9015,"0",B6086:B9015,"5 1 2 4 6 12 31111 6 M59 40000*")-SUMIFS(E6086:E9015,K6086:K9015,"0",B6086:B9015,"5 1 2 4 6 12 31111 6 M59 40000*")</f>
        <v>0</v>
      </c>
      <c r="E6085"/>
      <c r="F6085" s="35">
        <f>SUMIFS(F6086:F9015,K6086:K9015,"0",B6086:B9015,"5 1 2 4 6 12 31111 6 M59 40000*")</f>
        <v>24481.54</v>
      </c>
      <c r="G6085" s="35">
        <f>SUMIFS(G6086:G9015,K6086:K9015,"0",B6086:B9015,"5 1 2 4 6 12 31111 6 M59 40000*")</f>
        <v>0</v>
      </c>
      <c r="H6085" s="35">
        <f t="shared" si="96"/>
        <v>24481.54</v>
      </c>
      <c r="I6085" s="35"/>
      <c r="K6085" t="s">
        <v>15</v>
      </c>
    </row>
    <row r="6086" spans="2:11" ht="16.5" x14ac:dyDescent="0.2">
      <c r="B6086" s="33" t="s">
        <v>7081</v>
      </c>
      <c r="C6086" s="33" t="s">
        <v>1094</v>
      </c>
      <c r="D6086" s="35">
        <f>SUMIFS(D6087:D9015,K6087:K9015,"0",B6087:B9015,"5 1 2 4 6 12 31111 6 M59 40000 000161*")-SUMIFS(E6087:E9015,K6087:K9015,"0",B6087:B9015,"5 1 2 4 6 12 31111 6 M59 40000 000161*")</f>
        <v>0</v>
      </c>
      <c r="E6086"/>
      <c r="F6086" s="35">
        <f>SUMIFS(F6087:F9015,K6087:K9015,"0",B6087:B9015,"5 1 2 4 6 12 31111 6 M59 40000 000161*")</f>
        <v>24481.54</v>
      </c>
      <c r="G6086" s="35">
        <f>SUMIFS(G6087:G9015,K6087:K9015,"0",B6087:B9015,"5 1 2 4 6 12 31111 6 M59 40000 000161*")</f>
        <v>0</v>
      </c>
      <c r="H6086" s="35">
        <f t="shared" si="96"/>
        <v>24481.54</v>
      </c>
      <c r="I6086" s="35"/>
      <c r="K6086" t="s">
        <v>15</v>
      </c>
    </row>
    <row r="6087" spans="2:11" ht="24.75" x14ac:dyDescent="0.2">
      <c r="B6087" s="33" t="s">
        <v>7082</v>
      </c>
      <c r="C6087" s="33" t="s">
        <v>1065</v>
      </c>
      <c r="D6087" s="35">
        <f>SUMIFS(D6088:D9015,K6088:K9015,"0",B6088:B9015,"5 1 2 4 6 12 31111 6 M59 40000 000161 0000E*")-SUMIFS(E6088:E9015,K6088:K9015,"0",B6088:B9015,"5 1 2 4 6 12 31111 6 M59 40000 000161 0000E*")</f>
        <v>0</v>
      </c>
      <c r="E6087"/>
      <c r="F6087" s="35">
        <f>SUMIFS(F6088:F9015,K6088:K9015,"0",B6088:B9015,"5 1 2 4 6 12 31111 6 M59 40000 000161 0000E*")</f>
        <v>24481.54</v>
      </c>
      <c r="G6087" s="35">
        <f>SUMIFS(G6088:G9015,K6088:K9015,"0",B6088:B9015,"5 1 2 4 6 12 31111 6 M59 40000 000161 0000E*")</f>
        <v>0</v>
      </c>
      <c r="H6087" s="35">
        <f t="shared" si="96"/>
        <v>24481.54</v>
      </c>
      <c r="I6087" s="35"/>
      <c r="K6087" t="s">
        <v>15</v>
      </c>
    </row>
    <row r="6088" spans="2:11" ht="24.75" x14ac:dyDescent="0.2">
      <c r="B6088" s="33" t="s">
        <v>7083</v>
      </c>
      <c r="C6088" s="33" t="s">
        <v>282</v>
      </c>
      <c r="D6088" s="35">
        <f>SUMIFS(D6089:D9015,K6089:K9015,"0",B6089:B9015,"5 1 2 4 6 12 31111 6 M59 40000 000161 0000E 00001*")-SUMIFS(E6089:E9015,K6089:K9015,"0",B6089:B9015,"5 1 2 4 6 12 31111 6 M59 40000 000161 0000E 00001*")</f>
        <v>0</v>
      </c>
      <c r="E6088"/>
      <c r="F6088" s="35">
        <f>SUMIFS(F6089:F9015,K6089:K9015,"0",B6089:B9015,"5 1 2 4 6 12 31111 6 M59 40000 000161 0000E 00001*")</f>
        <v>24481.54</v>
      </c>
      <c r="G6088" s="35">
        <f>SUMIFS(G6089:G9015,K6089:K9015,"0",B6089:B9015,"5 1 2 4 6 12 31111 6 M59 40000 000161 0000E 00001*")</f>
        <v>0</v>
      </c>
      <c r="H6088" s="35">
        <f t="shared" si="96"/>
        <v>24481.54</v>
      </c>
      <c r="I6088" s="35"/>
      <c r="K6088" t="s">
        <v>15</v>
      </c>
    </row>
    <row r="6089" spans="2:11" ht="24.75" x14ac:dyDescent="0.2">
      <c r="B6089" s="33" t="s">
        <v>7084</v>
      </c>
      <c r="C6089" s="33" t="s">
        <v>7050</v>
      </c>
      <c r="D6089" s="35">
        <f>SUMIFS(D6090:D9015,K6090:K9015,"0",B6090:B9015,"5 1 2 4 6 12 31111 6 M59 40000 000161 0000E 00001 00246*")-SUMIFS(E6090:E9015,K6090:K9015,"0",B6090:B9015,"5 1 2 4 6 12 31111 6 M59 40000 000161 0000E 00001 00246*")</f>
        <v>0</v>
      </c>
      <c r="E6089"/>
      <c r="F6089" s="35">
        <f>SUMIFS(F6090:F9015,K6090:K9015,"0",B6090:B9015,"5 1 2 4 6 12 31111 6 M59 40000 000161 0000E 00001 00246*")</f>
        <v>24481.54</v>
      </c>
      <c r="G6089" s="35">
        <f>SUMIFS(G6090:G9015,K6090:K9015,"0",B6090:B9015,"5 1 2 4 6 12 31111 6 M59 40000 000161 0000E 00001 00246*")</f>
        <v>0</v>
      </c>
      <c r="H6089" s="35">
        <f t="shared" si="96"/>
        <v>24481.54</v>
      </c>
      <c r="I6089" s="35"/>
      <c r="K6089" t="s">
        <v>15</v>
      </c>
    </row>
    <row r="6090" spans="2:11" ht="33" x14ac:dyDescent="0.2">
      <c r="B6090" s="33" t="s">
        <v>7085</v>
      </c>
      <c r="C6090" s="33" t="s">
        <v>656</v>
      </c>
      <c r="D6090" s="35">
        <f>SUMIFS(D6091:D9015,K6091:K9015,"0",B6091:B9015,"5 1 2 4 6 12 31111 6 M59 40000 000161 0000E 00001 00246 025*")-SUMIFS(E6091:E9015,K6091:K9015,"0",B6091:B9015,"5 1 2 4 6 12 31111 6 M59 40000 000161 0000E 00001 00246 025*")</f>
        <v>0</v>
      </c>
      <c r="E6090"/>
      <c r="F6090" s="35">
        <f>SUMIFS(F6091:F9015,K6091:K9015,"0",B6091:B9015,"5 1 2 4 6 12 31111 6 M59 40000 000161 0000E 00001 00246 025*")</f>
        <v>24481.54</v>
      </c>
      <c r="G6090" s="35">
        <f>SUMIFS(G6091:G9015,K6091:K9015,"0",B6091:B9015,"5 1 2 4 6 12 31111 6 M59 40000 000161 0000E 00001 00246 025*")</f>
        <v>0</v>
      </c>
      <c r="H6090" s="35">
        <f t="shared" si="96"/>
        <v>24481.54</v>
      </c>
      <c r="I6090" s="35"/>
      <c r="K6090" t="s">
        <v>15</v>
      </c>
    </row>
    <row r="6091" spans="2:11" ht="33" x14ac:dyDescent="0.2">
      <c r="B6091" s="33" t="s">
        <v>7086</v>
      </c>
      <c r="C6091" s="33" t="s">
        <v>5830</v>
      </c>
      <c r="D6091" s="35">
        <f>SUMIFS(D6092:D9015,K6092:K9015,"0",B6092:B9015,"5 1 2 4 6 12 31111 6 M59 40000 000161 0000E 00001 00246 025 2112000*")-SUMIFS(E6092:E9015,K6092:K9015,"0",B6092:B9015,"5 1 2 4 6 12 31111 6 M59 40000 000161 0000E 00001 00246 025 2112000*")</f>
        <v>0</v>
      </c>
      <c r="E6091"/>
      <c r="F6091" s="35">
        <f>SUMIFS(F6092:F9015,K6092:K9015,"0",B6092:B9015,"5 1 2 4 6 12 31111 6 M59 40000 000161 0000E 00001 00246 025 2112000*")</f>
        <v>24481.54</v>
      </c>
      <c r="G6091" s="35">
        <f>SUMIFS(G6092:G9015,K6092:K9015,"0",B6092:B9015,"5 1 2 4 6 12 31111 6 M59 40000 000161 0000E 00001 00246 025 2112000*")</f>
        <v>0</v>
      </c>
      <c r="H6091" s="35">
        <f t="shared" si="96"/>
        <v>24481.54</v>
      </c>
      <c r="I6091" s="35"/>
      <c r="K6091" t="s">
        <v>15</v>
      </c>
    </row>
    <row r="6092" spans="2:11" ht="33" x14ac:dyDescent="0.2">
      <c r="B6092" s="33" t="s">
        <v>7087</v>
      </c>
      <c r="C6092" s="33" t="s">
        <v>660</v>
      </c>
      <c r="D6092" s="35">
        <f>SUMIFS(D6093:D9015,K6093:K9015,"0",B6093:B9015,"5 1 2 4 6 12 31111 6 M59 40000 000161 0000E 00001 00246 025 2112000 2024*")-SUMIFS(E6093:E9015,K6093:K9015,"0",B6093:B9015,"5 1 2 4 6 12 31111 6 M59 40000 000161 0000E 00001 00246 025 2112000 2024*")</f>
        <v>0</v>
      </c>
      <c r="E6092"/>
      <c r="F6092" s="35">
        <f>SUMIFS(F6093:F9015,K6093:K9015,"0",B6093:B9015,"5 1 2 4 6 12 31111 6 M59 40000 000161 0000E 00001 00246 025 2112000 2024*")</f>
        <v>24481.54</v>
      </c>
      <c r="G6092" s="35">
        <f>SUMIFS(G6093:G9015,K6093:K9015,"0",B6093:B9015,"5 1 2 4 6 12 31111 6 M59 40000 000161 0000E 00001 00246 025 2112000 2024*")</f>
        <v>0</v>
      </c>
      <c r="H6092" s="35">
        <f t="shared" si="96"/>
        <v>24481.54</v>
      </c>
      <c r="I6092" s="35"/>
      <c r="K6092" t="s">
        <v>15</v>
      </c>
    </row>
    <row r="6093" spans="2:11" ht="41.25" x14ac:dyDescent="0.2">
      <c r="B6093" s="33" t="s">
        <v>7088</v>
      </c>
      <c r="C6093" s="33" t="s">
        <v>662</v>
      </c>
      <c r="D6093" s="35">
        <f>SUMIFS(D6094:D9015,K6094:K9015,"0",B6094:B9015,"5 1 2 4 6 12 31111 6 M59 40000 000161 0000E 00001 00246 025 2112000 2024 CP4SP372*")-SUMIFS(E6094:E9015,K6094:K9015,"0",B6094:B9015,"5 1 2 4 6 12 31111 6 M59 40000 000161 0000E 00001 00246 025 2112000 2024 CP4SP372*")</f>
        <v>0</v>
      </c>
      <c r="E6093"/>
      <c r="F6093" s="35">
        <f>SUMIFS(F6094:F9015,K6094:K9015,"0",B6094:B9015,"5 1 2 4 6 12 31111 6 M59 40000 000161 0000E 00001 00246 025 2112000 2024 CP4SP372*")</f>
        <v>24481.54</v>
      </c>
      <c r="G6093" s="35">
        <f>SUMIFS(G6094:G9015,K6094:K9015,"0",B6094:B9015,"5 1 2 4 6 12 31111 6 M59 40000 000161 0000E 00001 00246 025 2112000 2024 CP4SP372*")</f>
        <v>0</v>
      </c>
      <c r="H6093" s="35">
        <f t="shared" si="96"/>
        <v>24481.54</v>
      </c>
      <c r="I6093" s="35"/>
      <c r="K6093" t="s">
        <v>15</v>
      </c>
    </row>
    <row r="6094" spans="2:11" ht="41.25" x14ac:dyDescent="0.2">
      <c r="B6094" s="33" t="s">
        <v>7089</v>
      </c>
      <c r="C6094" s="33" t="s">
        <v>664</v>
      </c>
      <c r="D6094" s="35">
        <f>SUMIFS(D6095:D9015,K6095:K9015,"0",B6095:B9015,"5 1 2 4 6 12 31111 6 M59 40000 000161 0000E 00001 00246 025 2112000 2024 CP4SP372 003*")-SUMIFS(E6095:E9015,K6095:K9015,"0",B6095:B9015,"5 1 2 4 6 12 31111 6 M59 40000 000161 0000E 00001 00246 025 2112000 2024 CP4SP372 003*")</f>
        <v>0</v>
      </c>
      <c r="E6094"/>
      <c r="F6094" s="35">
        <f>SUMIFS(F6095:F9015,K6095:K9015,"0",B6095:B9015,"5 1 2 4 6 12 31111 6 M59 40000 000161 0000E 00001 00246 025 2112000 2024 CP4SP372 003*")</f>
        <v>24481.54</v>
      </c>
      <c r="G6094" s="35">
        <f>SUMIFS(G6095:G9015,K6095:K9015,"0",B6095:B9015,"5 1 2 4 6 12 31111 6 M59 40000 000161 0000E 00001 00246 025 2112000 2024 CP4SP372 003*")</f>
        <v>0</v>
      </c>
      <c r="H6094" s="35">
        <f t="shared" si="96"/>
        <v>24481.54</v>
      </c>
      <c r="I6094" s="35"/>
      <c r="K6094" t="s">
        <v>15</v>
      </c>
    </row>
    <row r="6095" spans="2:11" ht="33" x14ac:dyDescent="0.2">
      <c r="B6095" s="31" t="s">
        <v>7090</v>
      </c>
      <c r="C6095" s="31" t="s">
        <v>7050</v>
      </c>
      <c r="D6095" s="34">
        <v>0</v>
      </c>
      <c r="E6095" s="34"/>
      <c r="F6095" s="34">
        <v>24481.54</v>
      </c>
      <c r="G6095" s="34">
        <v>0</v>
      </c>
      <c r="H6095" s="34">
        <f t="shared" si="96"/>
        <v>24481.54</v>
      </c>
      <c r="I6095" s="34"/>
      <c r="K6095" t="s">
        <v>38</v>
      </c>
    </row>
    <row r="6096" spans="2:11" ht="16.5" x14ac:dyDescent="0.2">
      <c r="B6096" s="33" t="s">
        <v>7091</v>
      </c>
      <c r="C6096" s="33" t="s">
        <v>3281</v>
      </c>
      <c r="D6096" s="35">
        <f>SUMIFS(D6097:D9015,K6097:K9015,"0",B6097:B9015,"5 1 2 4 6 12 31111 6 M59 50000*")-SUMIFS(E6097:E9015,K6097:K9015,"0",B6097:B9015,"5 1 2 4 6 12 31111 6 M59 50000*")</f>
        <v>0</v>
      </c>
      <c r="E6096"/>
      <c r="F6096" s="35">
        <f>SUMIFS(F6097:F9015,K6097:K9015,"0",B6097:B9015,"5 1 2 4 6 12 31111 6 M59 50000*")</f>
        <v>6797.36</v>
      </c>
      <c r="G6096" s="35">
        <f>SUMIFS(G6097:G9015,K6097:K9015,"0",B6097:B9015,"5 1 2 4 6 12 31111 6 M59 50000*")</f>
        <v>0</v>
      </c>
      <c r="H6096" s="35">
        <f t="shared" si="96"/>
        <v>6797.36</v>
      </c>
      <c r="I6096" s="35"/>
      <c r="K6096" t="s">
        <v>15</v>
      </c>
    </row>
    <row r="6097" spans="2:11" ht="16.5" x14ac:dyDescent="0.2">
      <c r="B6097" s="33" t="s">
        <v>7092</v>
      </c>
      <c r="C6097" s="33" t="s">
        <v>3283</v>
      </c>
      <c r="D6097" s="35">
        <f>SUMIFS(D6098:D9015,K6098:K9015,"0",B6098:B9015,"5 1 2 4 6 12 31111 6 M59 50000 000223*")-SUMIFS(E6098:E9015,K6098:K9015,"0",B6098:B9015,"5 1 2 4 6 12 31111 6 M59 50000 000223*")</f>
        <v>0</v>
      </c>
      <c r="E6097"/>
      <c r="F6097" s="35">
        <f>SUMIFS(F6098:F9015,K6098:K9015,"0",B6098:B9015,"5 1 2 4 6 12 31111 6 M59 50000 000223*")</f>
        <v>6797.36</v>
      </c>
      <c r="G6097" s="35">
        <f>SUMIFS(G6098:G9015,K6098:K9015,"0",B6098:B9015,"5 1 2 4 6 12 31111 6 M59 50000 000223*")</f>
        <v>0</v>
      </c>
      <c r="H6097" s="35">
        <f t="shared" si="96"/>
        <v>6797.36</v>
      </c>
      <c r="I6097" s="35"/>
      <c r="K6097" t="s">
        <v>15</v>
      </c>
    </row>
    <row r="6098" spans="2:11" ht="24.75" x14ac:dyDescent="0.2">
      <c r="B6098" s="33" t="s">
        <v>7093</v>
      </c>
      <c r="C6098" s="33" t="s">
        <v>1065</v>
      </c>
      <c r="D6098" s="35">
        <f>SUMIFS(D6099:D9015,K6099:K9015,"0",B6099:B9015,"5 1 2 4 6 12 31111 6 M59 50000 000223 0000E*")-SUMIFS(E6099:E9015,K6099:K9015,"0",B6099:B9015,"5 1 2 4 6 12 31111 6 M59 50000 000223 0000E*")</f>
        <v>0</v>
      </c>
      <c r="E6098"/>
      <c r="F6098" s="35">
        <f>SUMIFS(F6099:F9015,K6099:K9015,"0",B6099:B9015,"5 1 2 4 6 12 31111 6 M59 50000 000223 0000E*")</f>
        <v>6797.36</v>
      </c>
      <c r="G6098" s="35">
        <f>SUMIFS(G6099:G9015,K6099:K9015,"0",B6099:B9015,"5 1 2 4 6 12 31111 6 M59 50000 000223 0000E*")</f>
        <v>0</v>
      </c>
      <c r="H6098" s="35">
        <f t="shared" si="96"/>
        <v>6797.36</v>
      </c>
      <c r="I6098" s="35"/>
      <c r="K6098" t="s">
        <v>15</v>
      </c>
    </row>
    <row r="6099" spans="2:11" ht="24.75" x14ac:dyDescent="0.2">
      <c r="B6099" s="33" t="s">
        <v>7094</v>
      </c>
      <c r="C6099" s="33" t="s">
        <v>282</v>
      </c>
      <c r="D6099" s="35">
        <f>SUMIFS(D6100:D9015,K6100:K9015,"0",B6100:B9015,"5 1 2 4 6 12 31111 6 M59 50000 000223 0000E 00001*")-SUMIFS(E6100:E9015,K6100:K9015,"0",B6100:B9015,"5 1 2 4 6 12 31111 6 M59 50000 000223 0000E 00001*")</f>
        <v>0</v>
      </c>
      <c r="E6099"/>
      <c r="F6099" s="35">
        <f>SUMIFS(F6100:F9015,K6100:K9015,"0",B6100:B9015,"5 1 2 4 6 12 31111 6 M59 50000 000223 0000E 00001*")</f>
        <v>6797.36</v>
      </c>
      <c r="G6099" s="35">
        <f>SUMIFS(G6100:G9015,K6100:K9015,"0",B6100:B9015,"5 1 2 4 6 12 31111 6 M59 50000 000223 0000E 00001*")</f>
        <v>0</v>
      </c>
      <c r="H6099" s="35">
        <f t="shared" si="96"/>
        <v>6797.36</v>
      </c>
      <c r="I6099" s="35"/>
      <c r="K6099" t="s">
        <v>15</v>
      </c>
    </row>
    <row r="6100" spans="2:11" ht="24.75" x14ac:dyDescent="0.2">
      <c r="B6100" s="33" t="s">
        <v>7095</v>
      </c>
      <c r="C6100" s="33" t="s">
        <v>7050</v>
      </c>
      <c r="D6100" s="35">
        <f>SUMIFS(D6101:D9015,K6101:K9015,"0",B6101:B9015,"5 1 2 4 6 12 31111 6 M59 50000 000223 0000E 00001 00246*")-SUMIFS(E6101:E9015,K6101:K9015,"0",B6101:B9015,"5 1 2 4 6 12 31111 6 M59 50000 000223 0000E 00001 00246*")</f>
        <v>0</v>
      </c>
      <c r="E6100"/>
      <c r="F6100" s="35">
        <f>SUMIFS(F6101:F9015,K6101:K9015,"0",B6101:B9015,"5 1 2 4 6 12 31111 6 M59 50000 000223 0000E 00001 00246*")</f>
        <v>6797.36</v>
      </c>
      <c r="G6100" s="35">
        <f>SUMIFS(G6101:G9015,K6101:K9015,"0",B6101:B9015,"5 1 2 4 6 12 31111 6 M59 50000 000223 0000E 00001 00246*")</f>
        <v>0</v>
      </c>
      <c r="H6100" s="35">
        <f t="shared" si="96"/>
        <v>6797.36</v>
      </c>
      <c r="I6100" s="35"/>
      <c r="K6100" t="s">
        <v>15</v>
      </c>
    </row>
    <row r="6101" spans="2:11" ht="33" x14ac:dyDescent="0.2">
      <c r="B6101" s="33" t="s">
        <v>7096</v>
      </c>
      <c r="C6101" s="33" t="s">
        <v>1051</v>
      </c>
      <c r="D6101" s="35">
        <f>SUMIFS(D6102:D9015,K6102:K9015,"0",B6102:B9015,"5 1 2 4 6 12 31111 6 M59 50000 000223 0000E 00001 00246 015*")-SUMIFS(E6102:E9015,K6102:K9015,"0",B6102:B9015,"5 1 2 4 6 12 31111 6 M59 50000 000223 0000E 00001 00246 015*")</f>
        <v>0</v>
      </c>
      <c r="E6101"/>
      <c r="F6101" s="35">
        <f>SUMIFS(F6102:F9015,K6102:K9015,"0",B6102:B9015,"5 1 2 4 6 12 31111 6 M59 50000 000223 0000E 00001 00246 015*")</f>
        <v>6797.36</v>
      </c>
      <c r="G6101" s="35">
        <f>SUMIFS(G6102:G9015,K6102:K9015,"0",B6102:B9015,"5 1 2 4 6 12 31111 6 M59 50000 000223 0000E 00001 00246 015*")</f>
        <v>0</v>
      </c>
      <c r="H6101" s="35">
        <f t="shared" si="96"/>
        <v>6797.36</v>
      </c>
      <c r="I6101" s="35"/>
      <c r="K6101" t="s">
        <v>15</v>
      </c>
    </row>
    <row r="6102" spans="2:11" ht="33" x14ac:dyDescent="0.2">
      <c r="B6102" s="33" t="s">
        <v>7097</v>
      </c>
      <c r="C6102" s="33" t="s">
        <v>5830</v>
      </c>
      <c r="D6102" s="35">
        <f>SUMIFS(D6103:D9015,K6103:K9015,"0",B6103:B9015,"5 1 2 4 6 12 31111 6 M59 50000 000223 0000E 00001 00246 015 2112000*")-SUMIFS(E6103:E9015,K6103:K9015,"0",B6103:B9015,"5 1 2 4 6 12 31111 6 M59 50000 000223 0000E 00001 00246 015 2112000*")</f>
        <v>0</v>
      </c>
      <c r="E6102"/>
      <c r="F6102" s="35">
        <f>SUMIFS(F6103:F9015,K6103:K9015,"0",B6103:B9015,"5 1 2 4 6 12 31111 6 M59 50000 000223 0000E 00001 00246 015 2112000*")</f>
        <v>6797.36</v>
      </c>
      <c r="G6102" s="35">
        <f>SUMIFS(G6103:G9015,K6103:K9015,"0",B6103:B9015,"5 1 2 4 6 12 31111 6 M59 50000 000223 0000E 00001 00246 015 2112000*")</f>
        <v>0</v>
      </c>
      <c r="H6102" s="35">
        <f t="shared" si="96"/>
        <v>6797.36</v>
      </c>
      <c r="I6102" s="35"/>
      <c r="K6102" t="s">
        <v>15</v>
      </c>
    </row>
    <row r="6103" spans="2:11" ht="33" x14ac:dyDescent="0.2">
      <c r="B6103" s="33" t="s">
        <v>7098</v>
      </c>
      <c r="C6103" s="33" t="s">
        <v>660</v>
      </c>
      <c r="D6103" s="35">
        <f>SUMIFS(D6104:D9015,K6104:K9015,"0",B6104:B9015,"5 1 2 4 6 12 31111 6 M59 50000 000223 0000E 00001 00246 015 2112000 2024*")-SUMIFS(E6104:E9015,K6104:K9015,"0",B6104:B9015,"5 1 2 4 6 12 31111 6 M59 50000 000223 0000E 00001 00246 015 2112000 2024*")</f>
        <v>0</v>
      </c>
      <c r="E6103"/>
      <c r="F6103" s="35">
        <f>SUMIFS(F6104:F9015,K6104:K9015,"0",B6104:B9015,"5 1 2 4 6 12 31111 6 M59 50000 000223 0000E 00001 00246 015 2112000 2024*")</f>
        <v>6797.36</v>
      </c>
      <c r="G6103" s="35">
        <f>SUMIFS(G6104:G9015,K6104:K9015,"0",B6104:B9015,"5 1 2 4 6 12 31111 6 M59 50000 000223 0000E 00001 00246 015 2112000 2024*")</f>
        <v>0</v>
      </c>
      <c r="H6103" s="35">
        <f t="shared" si="96"/>
        <v>6797.36</v>
      </c>
      <c r="I6103" s="35"/>
      <c r="K6103" t="s">
        <v>15</v>
      </c>
    </row>
    <row r="6104" spans="2:11" ht="41.25" x14ac:dyDescent="0.2">
      <c r="B6104" s="33" t="s">
        <v>7099</v>
      </c>
      <c r="C6104" s="33" t="s">
        <v>662</v>
      </c>
      <c r="D6104" s="35">
        <f>SUMIFS(D6105:D9015,K6105:K9015,"0",B6105:B9015,"5 1 2 4 6 12 31111 6 M59 50000 000223 0000E 00001 00246 015 2112000 2024 CP1DA424*")-SUMIFS(E6105:E9015,K6105:K9015,"0",B6105:B9015,"5 1 2 4 6 12 31111 6 M59 50000 000223 0000E 00001 00246 015 2112000 2024 CP1DA424*")</f>
        <v>0</v>
      </c>
      <c r="E6104"/>
      <c r="F6104" s="35">
        <f>SUMIFS(F6105:F9015,K6105:K9015,"0",B6105:B9015,"5 1 2 4 6 12 31111 6 M59 50000 000223 0000E 00001 00246 015 2112000 2024 CP1DA424*")</f>
        <v>6797.36</v>
      </c>
      <c r="G6104" s="35">
        <f>SUMIFS(G6105:G9015,K6105:K9015,"0",B6105:B9015,"5 1 2 4 6 12 31111 6 M59 50000 000223 0000E 00001 00246 015 2112000 2024 CP1DA424*")</f>
        <v>0</v>
      </c>
      <c r="H6104" s="35">
        <f t="shared" si="96"/>
        <v>6797.36</v>
      </c>
      <c r="I6104" s="35"/>
      <c r="K6104" t="s">
        <v>15</v>
      </c>
    </row>
    <row r="6105" spans="2:11" ht="41.25" x14ac:dyDescent="0.2">
      <c r="B6105" s="33" t="s">
        <v>7100</v>
      </c>
      <c r="C6105" s="33" t="s">
        <v>282</v>
      </c>
      <c r="D6105" s="35">
        <f>SUMIFS(D6106:D9015,K6106:K9015,"0",B6106:B9015,"5 1 2 4 6 12 31111 6 M59 50000 000223 0000E 00001 00246 015 2112000 2024 CP1DA424 001*")-SUMIFS(E6106:E9015,K6106:K9015,"0",B6106:B9015,"5 1 2 4 6 12 31111 6 M59 50000 000223 0000E 00001 00246 015 2112000 2024 CP1DA424 001*")</f>
        <v>0</v>
      </c>
      <c r="E6105"/>
      <c r="F6105" s="35">
        <f>SUMIFS(F6106:F9015,K6106:K9015,"0",B6106:B9015,"5 1 2 4 6 12 31111 6 M59 50000 000223 0000E 00001 00246 015 2112000 2024 CP1DA424 001*")</f>
        <v>6797.36</v>
      </c>
      <c r="G6105" s="35">
        <f>SUMIFS(G6106:G9015,K6106:K9015,"0",B6106:B9015,"5 1 2 4 6 12 31111 6 M59 50000 000223 0000E 00001 00246 015 2112000 2024 CP1DA424 001*")</f>
        <v>0</v>
      </c>
      <c r="H6105" s="35">
        <f t="shared" si="96"/>
        <v>6797.36</v>
      </c>
      <c r="I6105" s="35"/>
      <c r="K6105" t="s">
        <v>15</v>
      </c>
    </row>
    <row r="6106" spans="2:11" ht="41.25" x14ac:dyDescent="0.2">
      <c r="B6106" s="31" t="s">
        <v>7101</v>
      </c>
      <c r="C6106" s="31" t="s">
        <v>7050</v>
      </c>
      <c r="D6106" s="34">
        <v>0</v>
      </c>
      <c r="E6106" s="34"/>
      <c r="F6106" s="34">
        <v>6797.36</v>
      </c>
      <c r="G6106" s="34">
        <v>0</v>
      </c>
      <c r="H6106" s="34">
        <f t="shared" si="96"/>
        <v>6797.36</v>
      </c>
      <c r="I6106" s="34"/>
      <c r="K6106" t="s">
        <v>38</v>
      </c>
    </row>
    <row r="6107" spans="2:11" ht="16.5" x14ac:dyDescent="0.2">
      <c r="B6107" s="33" t="s">
        <v>7102</v>
      </c>
      <c r="C6107" s="33" t="s">
        <v>1269</v>
      </c>
      <c r="D6107" s="35">
        <f>SUMIFS(D6108:D9015,K6108:K9015,"0",B6108:B9015,"5 1 2 4 6 12 31111 6 M59 60100*")-SUMIFS(E6108:E9015,K6108:K9015,"0",B6108:B9015,"5 1 2 4 6 12 31111 6 M59 60100*")</f>
        <v>0</v>
      </c>
      <c r="E6107"/>
      <c r="F6107" s="35">
        <f>SUMIFS(F6108:F9015,K6108:K9015,"0",B6108:B9015,"5 1 2 4 6 12 31111 6 M59 60100*")</f>
        <v>659.98</v>
      </c>
      <c r="G6107" s="35">
        <f>SUMIFS(G6108:G9015,K6108:K9015,"0",B6108:B9015,"5 1 2 4 6 12 31111 6 M59 60100*")</f>
        <v>0</v>
      </c>
      <c r="H6107" s="35">
        <f t="shared" si="96"/>
        <v>659.98</v>
      </c>
      <c r="I6107" s="35"/>
      <c r="K6107" t="s">
        <v>15</v>
      </c>
    </row>
    <row r="6108" spans="2:11" ht="16.5" x14ac:dyDescent="0.2">
      <c r="B6108" s="33" t="s">
        <v>7103</v>
      </c>
      <c r="C6108" s="33" t="s">
        <v>648</v>
      </c>
      <c r="D6108" s="35">
        <f>SUMIFS(D6109:D9015,K6109:K9015,"0",B6109:B9015,"5 1 2 4 6 12 31111 6 M59 60100 000132*")-SUMIFS(E6109:E9015,K6109:K9015,"0",B6109:B9015,"5 1 2 4 6 12 31111 6 M59 60100 000132*")</f>
        <v>0</v>
      </c>
      <c r="E6108"/>
      <c r="F6108" s="35">
        <f>SUMIFS(F6109:F9015,K6109:K9015,"0",B6109:B9015,"5 1 2 4 6 12 31111 6 M59 60100 000132*")</f>
        <v>659.98</v>
      </c>
      <c r="G6108" s="35">
        <f>SUMIFS(G6109:G9015,K6109:K9015,"0",B6109:B9015,"5 1 2 4 6 12 31111 6 M59 60100 000132*")</f>
        <v>0</v>
      </c>
      <c r="H6108" s="35">
        <f t="shared" si="96"/>
        <v>659.98</v>
      </c>
      <c r="I6108" s="35"/>
      <c r="K6108" t="s">
        <v>15</v>
      </c>
    </row>
    <row r="6109" spans="2:11" ht="24.75" x14ac:dyDescent="0.2">
      <c r="B6109" s="33" t="s">
        <v>7104</v>
      </c>
      <c r="C6109" s="33" t="s">
        <v>650</v>
      </c>
      <c r="D6109" s="35">
        <f>SUMIFS(D6110:D9015,K6110:K9015,"0",B6110:B9015,"5 1 2 4 6 12 31111 6 M59 60100 000132 0000R*")-SUMIFS(E6110:E9015,K6110:K9015,"0",B6110:B9015,"5 1 2 4 6 12 31111 6 M59 60100 000132 0000R*")</f>
        <v>0</v>
      </c>
      <c r="E6109"/>
      <c r="F6109" s="35">
        <f>SUMIFS(F6110:F9015,K6110:K9015,"0",B6110:B9015,"5 1 2 4 6 12 31111 6 M59 60100 000132 0000R*")</f>
        <v>659.98</v>
      </c>
      <c r="G6109" s="35">
        <f>SUMIFS(G6110:G9015,K6110:K9015,"0",B6110:B9015,"5 1 2 4 6 12 31111 6 M59 60100 000132 0000R*")</f>
        <v>0</v>
      </c>
      <c r="H6109" s="35">
        <f t="shared" si="96"/>
        <v>659.98</v>
      </c>
      <c r="I6109" s="35"/>
      <c r="K6109" t="s">
        <v>15</v>
      </c>
    </row>
    <row r="6110" spans="2:11" ht="24.75" x14ac:dyDescent="0.2">
      <c r="B6110" s="33" t="s">
        <v>7105</v>
      </c>
      <c r="C6110" s="33" t="s">
        <v>282</v>
      </c>
      <c r="D6110" s="35">
        <f>SUMIFS(D6111:D9015,K6111:K9015,"0",B6111:B9015,"5 1 2 4 6 12 31111 6 M59 60100 000132 0000R 00001*")-SUMIFS(E6111:E9015,K6111:K9015,"0",B6111:B9015,"5 1 2 4 6 12 31111 6 M59 60100 000132 0000R 00001*")</f>
        <v>0</v>
      </c>
      <c r="E6110"/>
      <c r="F6110" s="35">
        <f>SUMIFS(F6111:F9015,K6111:K9015,"0",B6111:B9015,"5 1 2 4 6 12 31111 6 M59 60100 000132 0000R 00001*")</f>
        <v>659.98</v>
      </c>
      <c r="G6110" s="35">
        <f>SUMIFS(G6111:G9015,K6111:K9015,"0",B6111:B9015,"5 1 2 4 6 12 31111 6 M59 60100 000132 0000R 00001*")</f>
        <v>0</v>
      </c>
      <c r="H6110" s="35">
        <f t="shared" si="96"/>
        <v>659.98</v>
      </c>
      <c r="I6110" s="35"/>
      <c r="K6110" t="s">
        <v>15</v>
      </c>
    </row>
    <row r="6111" spans="2:11" ht="24.75" x14ac:dyDescent="0.2">
      <c r="B6111" s="33" t="s">
        <v>7106</v>
      </c>
      <c r="C6111" s="33" t="s">
        <v>7050</v>
      </c>
      <c r="D6111" s="35">
        <f>SUMIFS(D6112:D9015,K6112:K9015,"0",B6112:B9015,"5 1 2 4 6 12 31111 6 M59 60100 000132 0000R 00001 00246*")-SUMIFS(E6112:E9015,K6112:K9015,"0",B6112:B9015,"5 1 2 4 6 12 31111 6 M59 60100 000132 0000R 00001 00246*")</f>
        <v>0</v>
      </c>
      <c r="E6111"/>
      <c r="F6111" s="35">
        <f>SUMIFS(F6112:F9015,K6112:K9015,"0",B6112:B9015,"5 1 2 4 6 12 31111 6 M59 60100 000132 0000R 00001 00246*")</f>
        <v>659.98</v>
      </c>
      <c r="G6111" s="35">
        <f>SUMIFS(G6112:G9015,K6112:K9015,"0",B6112:B9015,"5 1 2 4 6 12 31111 6 M59 60100 000132 0000R 00001 00246*")</f>
        <v>0</v>
      </c>
      <c r="H6111" s="35">
        <f t="shared" si="96"/>
        <v>659.98</v>
      </c>
      <c r="I6111" s="35"/>
      <c r="K6111" t="s">
        <v>15</v>
      </c>
    </row>
    <row r="6112" spans="2:11" ht="33" x14ac:dyDescent="0.2">
      <c r="B6112" s="33" t="s">
        <v>7107</v>
      </c>
      <c r="C6112" s="33" t="s">
        <v>1051</v>
      </c>
      <c r="D6112" s="35">
        <f>SUMIFS(D6113:D9015,K6113:K9015,"0",B6113:B9015,"5 1 2 4 6 12 31111 6 M59 60100 000132 0000R 00001 00246 015*")-SUMIFS(E6113:E9015,K6113:K9015,"0",B6113:B9015,"5 1 2 4 6 12 31111 6 M59 60100 000132 0000R 00001 00246 015*")</f>
        <v>0</v>
      </c>
      <c r="E6112"/>
      <c r="F6112" s="35">
        <f>SUMIFS(F6113:F9015,K6113:K9015,"0",B6113:B9015,"5 1 2 4 6 12 31111 6 M59 60100 000132 0000R 00001 00246 015*")</f>
        <v>659.98</v>
      </c>
      <c r="G6112" s="35">
        <f>SUMIFS(G6113:G9015,K6113:K9015,"0",B6113:B9015,"5 1 2 4 6 12 31111 6 M59 60100 000132 0000R 00001 00246 015*")</f>
        <v>0</v>
      </c>
      <c r="H6112" s="35">
        <f t="shared" si="96"/>
        <v>659.98</v>
      </c>
      <c r="I6112" s="35"/>
      <c r="K6112" t="s">
        <v>15</v>
      </c>
    </row>
    <row r="6113" spans="2:11" ht="33" x14ac:dyDescent="0.2">
      <c r="B6113" s="33" t="s">
        <v>7108</v>
      </c>
      <c r="C6113" s="33" t="s">
        <v>5830</v>
      </c>
      <c r="D6113" s="35">
        <f>SUMIFS(D6114:D9015,K6114:K9015,"0",B6114:B9015,"5 1 2 4 6 12 31111 6 M59 60100 000132 0000R 00001 00246 015 2112000*")-SUMIFS(E6114:E9015,K6114:K9015,"0",B6114:B9015,"5 1 2 4 6 12 31111 6 M59 60100 000132 0000R 00001 00246 015 2112000*")</f>
        <v>0</v>
      </c>
      <c r="E6113"/>
      <c r="F6113" s="35">
        <f>SUMIFS(F6114:F9015,K6114:K9015,"0",B6114:B9015,"5 1 2 4 6 12 31111 6 M59 60100 000132 0000R 00001 00246 015 2112000*")</f>
        <v>659.98</v>
      </c>
      <c r="G6113" s="35">
        <f>SUMIFS(G6114:G9015,K6114:K9015,"0",B6114:B9015,"5 1 2 4 6 12 31111 6 M59 60100 000132 0000R 00001 00246 015 2112000*")</f>
        <v>0</v>
      </c>
      <c r="H6113" s="35">
        <f t="shared" si="96"/>
        <v>659.98</v>
      </c>
      <c r="I6113" s="35"/>
      <c r="K6113" t="s">
        <v>15</v>
      </c>
    </row>
    <row r="6114" spans="2:11" ht="33" x14ac:dyDescent="0.2">
      <c r="B6114" s="33" t="s">
        <v>7109</v>
      </c>
      <c r="C6114" s="33" t="s">
        <v>660</v>
      </c>
      <c r="D6114" s="35">
        <f>SUMIFS(D6115:D9015,K6115:K9015,"0",B6115:B9015,"5 1 2 4 6 12 31111 6 M59 60100 000132 0000R 00001 00246 015 2112000 2024*")-SUMIFS(E6115:E9015,K6115:K9015,"0",B6115:B9015,"5 1 2 4 6 12 31111 6 M59 60100 000132 0000R 00001 00246 015 2112000 2024*")</f>
        <v>0</v>
      </c>
      <c r="E6114"/>
      <c r="F6114" s="35">
        <f>SUMIFS(F6115:F9015,K6115:K9015,"0",B6115:B9015,"5 1 2 4 6 12 31111 6 M59 60100 000132 0000R 00001 00246 015 2112000 2024*")</f>
        <v>659.98</v>
      </c>
      <c r="G6114" s="35">
        <f>SUMIFS(G6115:G9015,K6115:K9015,"0",B6115:B9015,"5 1 2 4 6 12 31111 6 M59 60100 000132 0000R 00001 00246 015 2112000 2024*")</f>
        <v>0</v>
      </c>
      <c r="H6114" s="35">
        <f t="shared" si="96"/>
        <v>659.98</v>
      </c>
      <c r="I6114" s="35"/>
      <c r="K6114" t="s">
        <v>15</v>
      </c>
    </row>
    <row r="6115" spans="2:11" ht="41.25" x14ac:dyDescent="0.2">
      <c r="B6115" s="33" t="s">
        <v>7110</v>
      </c>
      <c r="C6115" s="33" t="s">
        <v>1056</v>
      </c>
      <c r="D6115" s="35">
        <f>SUMIFS(D6116:D9015,K6116:K9015,"0",B6116:B9015,"5 1 2 4 6 12 31111 6 M59 60100 000132 0000R 00001 00246 015 2112000 2024 CP1DM394*")-SUMIFS(E6116:E9015,K6116:K9015,"0",B6116:B9015,"5 1 2 4 6 12 31111 6 M59 60100 000132 0000R 00001 00246 015 2112000 2024 CP1DM394*")</f>
        <v>0</v>
      </c>
      <c r="E6115"/>
      <c r="F6115" s="35">
        <f>SUMIFS(F6116:F9015,K6116:K9015,"0",B6116:B9015,"5 1 2 4 6 12 31111 6 M59 60100 000132 0000R 00001 00246 015 2112000 2024 CP1DM394*")</f>
        <v>659.98</v>
      </c>
      <c r="G6115" s="35">
        <f>SUMIFS(G6116:G9015,K6116:K9015,"0",B6116:B9015,"5 1 2 4 6 12 31111 6 M59 60100 000132 0000R 00001 00246 015 2112000 2024 CP1DM394*")</f>
        <v>0</v>
      </c>
      <c r="H6115" s="35">
        <f t="shared" si="96"/>
        <v>659.98</v>
      </c>
      <c r="I6115" s="35"/>
      <c r="K6115" t="s">
        <v>15</v>
      </c>
    </row>
    <row r="6116" spans="2:11" ht="41.25" x14ac:dyDescent="0.2">
      <c r="B6116" s="33" t="s">
        <v>7111</v>
      </c>
      <c r="C6116" s="33" t="s">
        <v>282</v>
      </c>
      <c r="D6116" s="35">
        <f>SUMIFS(D6117:D9015,K6117:K9015,"0",B6117:B9015,"5 1 2 4 6 12 31111 6 M59 60100 000132 0000R 00001 00246 015 2112000 2024 CP1DM394 001*")-SUMIFS(E6117:E9015,K6117:K9015,"0",B6117:B9015,"5 1 2 4 6 12 31111 6 M59 60100 000132 0000R 00001 00246 015 2112000 2024 CP1DM394 001*")</f>
        <v>0</v>
      </c>
      <c r="E6116"/>
      <c r="F6116" s="35">
        <f>SUMIFS(F6117:F9015,K6117:K9015,"0",B6117:B9015,"5 1 2 4 6 12 31111 6 M59 60100 000132 0000R 00001 00246 015 2112000 2024 CP1DM394 001*")</f>
        <v>659.98</v>
      </c>
      <c r="G6116" s="35">
        <f>SUMIFS(G6117:G9015,K6117:K9015,"0",B6117:B9015,"5 1 2 4 6 12 31111 6 M59 60100 000132 0000R 00001 00246 015 2112000 2024 CP1DM394 001*")</f>
        <v>0</v>
      </c>
      <c r="H6116" s="35">
        <f t="shared" si="96"/>
        <v>659.98</v>
      </c>
      <c r="I6116" s="35"/>
      <c r="K6116" t="s">
        <v>15</v>
      </c>
    </row>
    <row r="6117" spans="2:11" ht="33" x14ac:dyDescent="0.2">
      <c r="B6117" s="31" t="s">
        <v>7112</v>
      </c>
      <c r="C6117" s="31" t="s">
        <v>7050</v>
      </c>
      <c r="D6117" s="34">
        <v>0</v>
      </c>
      <c r="E6117" s="34"/>
      <c r="F6117" s="34">
        <v>659.98</v>
      </c>
      <c r="G6117" s="34">
        <v>0</v>
      </c>
      <c r="H6117" s="34">
        <f t="shared" si="96"/>
        <v>659.98</v>
      </c>
      <c r="I6117" s="34"/>
      <c r="K6117" t="s">
        <v>38</v>
      </c>
    </row>
    <row r="6118" spans="2:11" ht="16.5" x14ac:dyDescent="0.2">
      <c r="B6118" s="33" t="s">
        <v>7113</v>
      </c>
      <c r="C6118" s="33" t="s">
        <v>3693</v>
      </c>
      <c r="D6118" s="35">
        <f>SUMIFS(D6119:D9015,K6119:K9015,"0",B6119:B9015,"5 1 2 4 6 12 31111 6 M59 96100*")-SUMIFS(E6119:E9015,K6119:K9015,"0",B6119:B9015,"5 1 2 4 6 12 31111 6 M59 96100*")</f>
        <v>0</v>
      </c>
      <c r="E6118"/>
      <c r="F6118" s="35">
        <f>SUMIFS(F6119:F9015,K6119:K9015,"0",B6119:B9015,"5 1 2 4 6 12 31111 6 M59 96100*")</f>
        <v>1888.45</v>
      </c>
      <c r="G6118" s="35">
        <f>SUMIFS(G6119:G9015,K6119:K9015,"0",B6119:B9015,"5 1 2 4 6 12 31111 6 M59 96100*")</f>
        <v>0</v>
      </c>
      <c r="H6118" s="35">
        <f t="shared" si="96"/>
        <v>1888.45</v>
      </c>
      <c r="I6118" s="35"/>
      <c r="K6118" t="s">
        <v>15</v>
      </c>
    </row>
    <row r="6119" spans="2:11" ht="16.5" x14ac:dyDescent="0.2">
      <c r="B6119" s="33" t="s">
        <v>7114</v>
      </c>
      <c r="C6119" s="33" t="s">
        <v>1310</v>
      </c>
      <c r="D6119" s="35">
        <f>SUMIFS(D6120:D9015,K6120:K9015,"0",B6120:B9015,"5 1 2 4 6 12 31111 6 M59 96100 000211*")-SUMIFS(E6120:E9015,K6120:K9015,"0",B6120:B9015,"5 1 2 4 6 12 31111 6 M59 96100 000211*")</f>
        <v>0</v>
      </c>
      <c r="E6119"/>
      <c r="F6119" s="35">
        <f>SUMIFS(F6120:F9015,K6120:K9015,"0",B6120:B9015,"5 1 2 4 6 12 31111 6 M59 96100 000211*")</f>
        <v>1888.45</v>
      </c>
      <c r="G6119" s="35">
        <f>SUMIFS(G6120:G9015,K6120:K9015,"0",B6120:B9015,"5 1 2 4 6 12 31111 6 M59 96100 000211*")</f>
        <v>0</v>
      </c>
      <c r="H6119" s="35">
        <f t="shared" si="96"/>
        <v>1888.45</v>
      </c>
      <c r="I6119" s="35"/>
      <c r="K6119" t="s">
        <v>15</v>
      </c>
    </row>
    <row r="6120" spans="2:11" ht="24.75" x14ac:dyDescent="0.2">
      <c r="B6120" s="33" t="s">
        <v>7115</v>
      </c>
      <c r="C6120" s="33" t="s">
        <v>3696</v>
      </c>
      <c r="D6120" s="35">
        <f>SUMIFS(D6121:D9015,K6121:K9015,"0",B6121:B9015,"5 1 2 4 6 12 31111 6 M59 96100 000211 0000U*")-SUMIFS(E6121:E9015,K6121:K9015,"0",B6121:B9015,"5 1 2 4 6 12 31111 6 M59 96100 000211 0000U*")</f>
        <v>0</v>
      </c>
      <c r="E6120"/>
      <c r="F6120" s="35">
        <f>SUMIFS(F6121:F9015,K6121:K9015,"0",B6121:B9015,"5 1 2 4 6 12 31111 6 M59 96100 000211 0000U*")</f>
        <v>1888.45</v>
      </c>
      <c r="G6120" s="35">
        <f>SUMIFS(G6121:G9015,K6121:K9015,"0",B6121:B9015,"5 1 2 4 6 12 31111 6 M59 96100 000211 0000U*")</f>
        <v>0</v>
      </c>
      <c r="H6120" s="35">
        <f t="shared" si="96"/>
        <v>1888.45</v>
      </c>
      <c r="I6120" s="35"/>
      <c r="K6120" t="s">
        <v>15</v>
      </c>
    </row>
    <row r="6121" spans="2:11" ht="24.75" x14ac:dyDescent="0.2">
      <c r="B6121" s="33" t="s">
        <v>7116</v>
      </c>
      <c r="C6121" s="33" t="s">
        <v>282</v>
      </c>
      <c r="D6121" s="35">
        <f>SUMIFS(D6122:D9015,K6122:K9015,"0",B6122:B9015,"5 1 2 4 6 12 31111 6 M59 96100 000211 0000U 00001*")-SUMIFS(E6122:E9015,K6122:K9015,"0",B6122:B9015,"5 1 2 4 6 12 31111 6 M59 96100 000211 0000U 00001*")</f>
        <v>0</v>
      </c>
      <c r="E6121"/>
      <c r="F6121" s="35">
        <f>SUMIFS(F6122:F9015,K6122:K9015,"0",B6122:B9015,"5 1 2 4 6 12 31111 6 M59 96100 000211 0000U 00001*")</f>
        <v>1888.45</v>
      </c>
      <c r="G6121" s="35">
        <f>SUMIFS(G6122:G9015,K6122:K9015,"0",B6122:B9015,"5 1 2 4 6 12 31111 6 M59 96100 000211 0000U 00001*")</f>
        <v>0</v>
      </c>
      <c r="H6121" s="35">
        <f t="shared" si="96"/>
        <v>1888.45</v>
      </c>
      <c r="I6121" s="35"/>
      <c r="K6121" t="s">
        <v>15</v>
      </c>
    </row>
    <row r="6122" spans="2:11" ht="24.75" x14ac:dyDescent="0.2">
      <c r="B6122" s="33" t="s">
        <v>7117</v>
      </c>
      <c r="C6122" s="33" t="s">
        <v>7050</v>
      </c>
      <c r="D6122" s="35">
        <f>SUMIFS(D6123:D9015,K6123:K9015,"0",B6123:B9015,"5 1 2 4 6 12 31111 6 M59 96100 000211 0000U 00001 00246*")-SUMIFS(E6123:E9015,K6123:K9015,"0",B6123:B9015,"5 1 2 4 6 12 31111 6 M59 96100 000211 0000U 00001 00246*")</f>
        <v>0</v>
      </c>
      <c r="E6122"/>
      <c r="F6122" s="35">
        <f>SUMIFS(F6123:F9015,K6123:K9015,"0",B6123:B9015,"5 1 2 4 6 12 31111 6 M59 96100 000211 0000U 00001 00246*")</f>
        <v>1888.45</v>
      </c>
      <c r="G6122" s="35">
        <f>SUMIFS(G6123:G9015,K6123:K9015,"0",B6123:B9015,"5 1 2 4 6 12 31111 6 M59 96100 000211 0000U 00001 00246*")</f>
        <v>0</v>
      </c>
      <c r="H6122" s="35">
        <f t="shared" si="96"/>
        <v>1888.45</v>
      </c>
      <c r="I6122" s="35"/>
      <c r="K6122" t="s">
        <v>15</v>
      </c>
    </row>
    <row r="6123" spans="2:11" ht="33" x14ac:dyDescent="0.2">
      <c r="B6123" s="33" t="s">
        <v>7118</v>
      </c>
      <c r="C6123" s="33" t="s">
        <v>1051</v>
      </c>
      <c r="D6123" s="35">
        <f>SUMIFS(D6124:D9015,K6124:K9015,"0",B6124:B9015,"5 1 2 4 6 12 31111 6 M59 96100 000211 0000U 00001 00246 015*")-SUMIFS(E6124:E9015,K6124:K9015,"0",B6124:B9015,"5 1 2 4 6 12 31111 6 M59 96100 000211 0000U 00001 00246 015*")</f>
        <v>0</v>
      </c>
      <c r="E6123"/>
      <c r="F6123" s="35">
        <f>SUMIFS(F6124:F9015,K6124:K9015,"0",B6124:B9015,"5 1 2 4 6 12 31111 6 M59 96100 000211 0000U 00001 00246 015*")</f>
        <v>1888.45</v>
      </c>
      <c r="G6123" s="35">
        <f>SUMIFS(G6124:G9015,K6124:K9015,"0",B6124:B9015,"5 1 2 4 6 12 31111 6 M59 96100 000211 0000U 00001 00246 015*")</f>
        <v>0</v>
      </c>
      <c r="H6123" s="35">
        <f t="shared" si="96"/>
        <v>1888.45</v>
      </c>
      <c r="I6123" s="35"/>
      <c r="K6123" t="s">
        <v>15</v>
      </c>
    </row>
    <row r="6124" spans="2:11" ht="33" x14ac:dyDescent="0.2">
      <c r="B6124" s="33" t="s">
        <v>7119</v>
      </c>
      <c r="C6124" s="33" t="s">
        <v>5830</v>
      </c>
      <c r="D6124" s="35">
        <f>SUMIFS(D6125:D9015,K6125:K9015,"0",B6125:B9015,"5 1 2 4 6 12 31111 6 M59 96100 000211 0000U 00001 00246 015 2112000*")-SUMIFS(E6125:E9015,K6125:K9015,"0",B6125:B9015,"5 1 2 4 6 12 31111 6 M59 96100 000211 0000U 00001 00246 015 2112000*")</f>
        <v>0</v>
      </c>
      <c r="E6124"/>
      <c r="F6124" s="35">
        <f>SUMIFS(F6125:F9015,K6125:K9015,"0",B6125:B9015,"5 1 2 4 6 12 31111 6 M59 96100 000211 0000U 00001 00246 015 2112000*")</f>
        <v>1888.45</v>
      </c>
      <c r="G6124" s="35">
        <f>SUMIFS(G6125:G9015,K6125:K9015,"0",B6125:B9015,"5 1 2 4 6 12 31111 6 M59 96100 000211 0000U 00001 00246 015 2112000*")</f>
        <v>0</v>
      </c>
      <c r="H6124" s="35">
        <f t="shared" si="96"/>
        <v>1888.45</v>
      </c>
      <c r="I6124" s="35"/>
      <c r="K6124" t="s">
        <v>15</v>
      </c>
    </row>
    <row r="6125" spans="2:11" ht="33" x14ac:dyDescent="0.2">
      <c r="B6125" s="33" t="s">
        <v>7120</v>
      </c>
      <c r="C6125" s="33" t="s">
        <v>660</v>
      </c>
      <c r="D6125" s="35">
        <f>SUMIFS(D6126:D9015,K6126:K9015,"0",B6126:B9015,"5 1 2 4 6 12 31111 6 M59 96100 000211 0000U 00001 00246 015 2112000 2024*")-SUMIFS(E6126:E9015,K6126:K9015,"0",B6126:B9015,"5 1 2 4 6 12 31111 6 M59 96100 000211 0000U 00001 00246 015 2112000 2024*")</f>
        <v>0</v>
      </c>
      <c r="E6125"/>
      <c r="F6125" s="35">
        <f>SUMIFS(F6126:F9015,K6126:K9015,"0",B6126:B9015,"5 1 2 4 6 12 31111 6 M59 96100 000211 0000U 00001 00246 015 2112000 2024*")</f>
        <v>1888.45</v>
      </c>
      <c r="G6125" s="35">
        <f>SUMIFS(G6126:G9015,K6126:K9015,"0",B6126:B9015,"5 1 2 4 6 12 31111 6 M59 96100 000211 0000U 00001 00246 015 2112000 2024*")</f>
        <v>0</v>
      </c>
      <c r="H6125" s="35">
        <f t="shared" si="96"/>
        <v>1888.45</v>
      </c>
      <c r="I6125" s="35"/>
      <c r="K6125" t="s">
        <v>15</v>
      </c>
    </row>
    <row r="6126" spans="2:11" ht="41.25" x14ac:dyDescent="0.2">
      <c r="B6126" s="33" t="s">
        <v>7121</v>
      </c>
      <c r="C6126" s="33" t="s">
        <v>1056</v>
      </c>
      <c r="D6126" s="35">
        <f>SUMIFS(D6127:D9015,K6127:K9015,"0",B6127:B9015,"5 1 2 4 6 12 31111 6 M59 96100 000211 0000U 00001 00246 015 2112000 2024 CP1IU412*")-SUMIFS(E6127:E9015,K6127:K9015,"0",B6127:B9015,"5 1 2 4 6 12 31111 6 M59 96100 000211 0000U 00001 00246 015 2112000 2024 CP1IU412*")</f>
        <v>0</v>
      </c>
      <c r="E6126"/>
      <c r="F6126" s="35">
        <f>SUMIFS(F6127:F9015,K6127:K9015,"0",B6127:B9015,"5 1 2 4 6 12 31111 6 M59 96100 000211 0000U 00001 00246 015 2112000 2024 CP1IU412*")</f>
        <v>1888.45</v>
      </c>
      <c r="G6126" s="35">
        <f>SUMIFS(G6127:G9015,K6127:K9015,"0",B6127:B9015,"5 1 2 4 6 12 31111 6 M59 96100 000211 0000U 00001 00246 015 2112000 2024 CP1IU412*")</f>
        <v>0</v>
      </c>
      <c r="H6126" s="35">
        <f t="shared" si="96"/>
        <v>1888.45</v>
      </c>
      <c r="I6126" s="35"/>
      <c r="K6126" t="s">
        <v>15</v>
      </c>
    </row>
    <row r="6127" spans="2:11" ht="41.25" x14ac:dyDescent="0.2">
      <c r="B6127" s="33" t="s">
        <v>7122</v>
      </c>
      <c r="C6127" s="33" t="s">
        <v>282</v>
      </c>
      <c r="D6127" s="35">
        <f>SUMIFS(D6128:D9015,K6128:K9015,"0",B6128:B9015,"5 1 2 4 6 12 31111 6 M59 96100 000211 0000U 00001 00246 015 2112000 2024 CP1IU412 001*")-SUMIFS(E6128:E9015,K6128:K9015,"0",B6128:B9015,"5 1 2 4 6 12 31111 6 M59 96100 000211 0000U 00001 00246 015 2112000 2024 CP1IU412 001*")</f>
        <v>0</v>
      </c>
      <c r="E6127"/>
      <c r="F6127" s="35">
        <f>SUMIFS(F6128:F9015,K6128:K9015,"0",B6128:B9015,"5 1 2 4 6 12 31111 6 M59 96100 000211 0000U 00001 00246 015 2112000 2024 CP1IU412 001*")</f>
        <v>1888.45</v>
      </c>
      <c r="G6127" s="35">
        <f>SUMIFS(G6128:G9015,K6128:K9015,"0",B6128:B9015,"5 1 2 4 6 12 31111 6 M59 96100 000211 0000U 00001 00246 015 2112000 2024 CP1IU412 001*")</f>
        <v>0</v>
      </c>
      <c r="H6127" s="35">
        <f t="shared" si="96"/>
        <v>1888.45</v>
      </c>
      <c r="I6127" s="35"/>
      <c r="K6127" t="s">
        <v>15</v>
      </c>
    </row>
    <row r="6128" spans="2:11" ht="33" x14ac:dyDescent="0.2">
      <c r="B6128" s="31" t="s">
        <v>7123</v>
      </c>
      <c r="C6128" s="31" t="s">
        <v>7040</v>
      </c>
      <c r="D6128" s="34">
        <v>0</v>
      </c>
      <c r="E6128" s="34"/>
      <c r="F6128" s="34">
        <v>1888.45</v>
      </c>
      <c r="G6128" s="34">
        <v>0</v>
      </c>
      <c r="H6128" s="34">
        <f t="shared" si="96"/>
        <v>1888.45</v>
      </c>
      <c r="I6128" s="34"/>
      <c r="K6128" t="s">
        <v>38</v>
      </c>
    </row>
    <row r="6129" spans="2:11" ht="16.5" x14ac:dyDescent="0.2">
      <c r="B6129" s="33" t="s">
        <v>7124</v>
      </c>
      <c r="C6129" s="33" t="s">
        <v>3706</v>
      </c>
      <c r="D6129" s="35">
        <f>SUMIFS(D6130:D9015,K6130:K9015,"0",B6130:B9015,"5 1 2 4 6 12 31111 6 M59 96200*")-SUMIFS(E6130:E9015,K6130:K9015,"0",B6130:B9015,"5 1 2 4 6 12 31111 6 M59 96200*")</f>
        <v>0</v>
      </c>
      <c r="E6129"/>
      <c r="F6129" s="35">
        <f>SUMIFS(F6130:F9015,K6130:K9015,"0",B6130:B9015,"5 1 2 4 6 12 31111 6 M59 96200*")</f>
        <v>93680.67</v>
      </c>
      <c r="G6129" s="35">
        <f>SUMIFS(G6130:G9015,K6130:K9015,"0",B6130:B9015,"5 1 2 4 6 12 31111 6 M59 96200*")</f>
        <v>0</v>
      </c>
      <c r="H6129" s="35">
        <f t="shared" si="96"/>
        <v>93680.67</v>
      </c>
      <c r="I6129" s="35"/>
      <c r="K6129" t="s">
        <v>15</v>
      </c>
    </row>
    <row r="6130" spans="2:11" ht="16.5" x14ac:dyDescent="0.2">
      <c r="B6130" s="33" t="s">
        <v>7125</v>
      </c>
      <c r="C6130" s="33" t="s">
        <v>648</v>
      </c>
      <c r="D6130" s="35">
        <f>SUMIFS(D6131:D9015,K6131:K9015,"0",B6131:B9015,"5 1 2 4 6 12 31111 6 M59 96200 000132*")-SUMIFS(E6131:E9015,K6131:K9015,"0",B6131:B9015,"5 1 2 4 6 12 31111 6 M59 96200 000132*")</f>
        <v>0</v>
      </c>
      <c r="E6130"/>
      <c r="F6130" s="35">
        <f>SUMIFS(F6131:F9015,K6131:K9015,"0",B6131:B9015,"5 1 2 4 6 12 31111 6 M59 96200 000132*")</f>
        <v>93680.67</v>
      </c>
      <c r="G6130" s="35">
        <f>SUMIFS(G6131:G9015,K6131:K9015,"0",B6131:B9015,"5 1 2 4 6 12 31111 6 M59 96200 000132*")</f>
        <v>0</v>
      </c>
      <c r="H6130" s="35">
        <f t="shared" si="96"/>
        <v>93680.67</v>
      </c>
      <c r="I6130" s="35"/>
      <c r="K6130" t="s">
        <v>15</v>
      </c>
    </row>
    <row r="6131" spans="2:11" ht="24.75" x14ac:dyDescent="0.2">
      <c r="B6131" s="33" t="s">
        <v>7126</v>
      </c>
      <c r="C6131" s="33" t="s">
        <v>650</v>
      </c>
      <c r="D6131" s="35">
        <f>SUMIFS(D6132:D9015,K6132:K9015,"0",B6132:B9015,"5 1 2 4 6 12 31111 6 M59 96200 000132 0000R*")-SUMIFS(E6132:E9015,K6132:K9015,"0",B6132:B9015,"5 1 2 4 6 12 31111 6 M59 96200 000132 0000R*")</f>
        <v>0</v>
      </c>
      <c r="E6131"/>
      <c r="F6131" s="35">
        <f>SUMIFS(F6132:F9015,K6132:K9015,"0",B6132:B9015,"5 1 2 4 6 12 31111 6 M59 96200 000132 0000R*")</f>
        <v>93680.67</v>
      </c>
      <c r="G6131" s="35">
        <f>SUMIFS(G6132:G9015,K6132:K9015,"0",B6132:B9015,"5 1 2 4 6 12 31111 6 M59 96200 000132 0000R*")</f>
        <v>0</v>
      </c>
      <c r="H6131" s="35">
        <f t="shared" si="96"/>
        <v>93680.67</v>
      </c>
      <c r="I6131" s="35"/>
      <c r="K6131" t="s">
        <v>15</v>
      </c>
    </row>
    <row r="6132" spans="2:11" ht="24.75" x14ac:dyDescent="0.2">
      <c r="B6132" s="33" t="s">
        <v>7127</v>
      </c>
      <c r="C6132" s="33" t="s">
        <v>282</v>
      </c>
      <c r="D6132" s="35">
        <f>SUMIFS(D6133:D9015,K6133:K9015,"0",B6133:B9015,"5 1 2 4 6 12 31111 6 M59 96200 000132 0000R 00001*")-SUMIFS(E6133:E9015,K6133:K9015,"0",B6133:B9015,"5 1 2 4 6 12 31111 6 M59 96200 000132 0000R 00001*")</f>
        <v>0</v>
      </c>
      <c r="E6132"/>
      <c r="F6132" s="35">
        <f>SUMIFS(F6133:F9015,K6133:K9015,"0",B6133:B9015,"5 1 2 4 6 12 31111 6 M59 96200 000132 0000R 00001*")</f>
        <v>93680.67</v>
      </c>
      <c r="G6132" s="35">
        <f>SUMIFS(G6133:G9015,K6133:K9015,"0",B6133:B9015,"5 1 2 4 6 12 31111 6 M59 96200 000132 0000R 00001*")</f>
        <v>0</v>
      </c>
      <c r="H6132" s="35">
        <f t="shared" si="96"/>
        <v>93680.67</v>
      </c>
      <c r="I6132" s="35"/>
      <c r="K6132" t="s">
        <v>15</v>
      </c>
    </row>
    <row r="6133" spans="2:11" ht="24.75" x14ac:dyDescent="0.2">
      <c r="B6133" s="33" t="s">
        <v>7128</v>
      </c>
      <c r="C6133" s="33" t="s">
        <v>7050</v>
      </c>
      <c r="D6133" s="35">
        <f>SUMIFS(D6134:D9015,K6134:K9015,"0",B6134:B9015,"5 1 2 4 6 12 31111 6 M59 96200 000132 0000R 00001 00246*")-SUMIFS(E6134:E9015,K6134:K9015,"0",B6134:B9015,"5 1 2 4 6 12 31111 6 M59 96200 000132 0000R 00001 00246*")</f>
        <v>0</v>
      </c>
      <c r="E6133"/>
      <c r="F6133" s="35">
        <f>SUMIFS(F6134:F9015,K6134:K9015,"0",B6134:B9015,"5 1 2 4 6 12 31111 6 M59 96200 000132 0000R 00001 00246*")</f>
        <v>93680.67</v>
      </c>
      <c r="G6133" s="35">
        <f>SUMIFS(G6134:G9015,K6134:K9015,"0",B6134:B9015,"5 1 2 4 6 12 31111 6 M59 96200 000132 0000R 00001 00246*")</f>
        <v>0</v>
      </c>
      <c r="H6133" s="35">
        <f t="shared" si="96"/>
        <v>93680.67</v>
      </c>
      <c r="I6133" s="35"/>
      <c r="K6133" t="s">
        <v>15</v>
      </c>
    </row>
    <row r="6134" spans="2:11" ht="33" x14ac:dyDescent="0.2">
      <c r="B6134" s="33" t="s">
        <v>7129</v>
      </c>
      <c r="C6134" s="33" t="s">
        <v>1051</v>
      </c>
      <c r="D6134" s="35">
        <f>SUMIFS(D6135:D9015,K6135:K9015,"0",B6135:B9015,"5 1 2 4 6 12 31111 6 M59 96200 000132 0000R 00001 00246 015*")-SUMIFS(E6135:E9015,K6135:K9015,"0",B6135:B9015,"5 1 2 4 6 12 31111 6 M59 96200 000132 0000R 00001 00246 015*")</f>
        <v>0</v>
      </c>
      <c r="E6134"/>
      <c r="F6134" s="35">
        <f>SUMIFS(F6135:F9015,K6135:K9015,"0",B6135:B9015,"5 1 2 4 6 12 31111 6 M59 96200 000132 0000R 00001 00246 015*")</f>
        <v>93680.67</v>
      </c>
      <c r="G6134" s="35">
        <f>SUMIFS(G6135:G9015,K6135:K9015,"0",B6135:B9015,"5 1 2 4 6 12 31111 6 M59 96200 000132 0000R 00001 00246 015*")</f>
        <v>0</v>
      </c>
      <c r="H6134" s="35">
        <f t="shared" si="96"/>
        <v>93680.67</v>
      </c>
      <c r="I6134" s="35"/>
      <c r="K6134" t="s">
        <v>15</v>
      </c>
    </row>
    <row r="6135" spans="2:11" ht="33" x14ac:dyDescent="0.2">
      <c r="B6135" s="33" t="s">
        <v>7130</v>
      </c>
      <c r="C6135" s="33" t="s">
        <v>5830</v>
      </c>
      <c r="D6135" s="35">
        <f>SUMIFS(D6136:D9015,K6136:K9015,"0",B6136:B9015,"5 1 2 4 6 12 31111 6 M59 96200 000132 0000R 00001 00246 015 2112000*")-SUMIFS(E6136:E9015,K6136:K9015,"0",B6136:B9015,"5 1 2 4 6 12 31111 6 M59 96200 000132 0000R 00001 00246 015 2112000*")</f>
        <v>0</v>
      </c>
      <c r="E6135"/>
      <c r="F6135" s="35">
        <f>SUMIFS(F6136:F9015,K6136:K9015,"0",B6136:B9015,"5 1 2 4 6 12 31111 6 M59 96200 000132 0000R 00001 00246 015 2112000*")</f>
        <v>93680.67</v>
      </c>
      <c r="G6135" s="35">
        <f>SUMIFS(G6136:G9015,K6136:K9015,"0",B6136:B9015,"5 1 2 4 6 12 31111 6 M59 96200 000132 0000R 00001 00246 015 2112000*")</f>
        <v>0</v>
      </c>
      <c r="H6135" s="35">
        <f t="shared" si="96"/>
        <v>93680.67</v>
      </c>
      <c r="I6135" s="35"/>
      <c r="K6135" t="s">
        <v>15</v>
      </c>
    </row>
    <row r="6136" spans="2:11" ht="33" x14ac:dyDescent="0.2">
      <c r="B6136" s="33" t="s">
        <v>7131</v>
      </c>
      <c r="C6136" s="33" t="s">
        <v>660</v>
      </c>
      <c r="D6136" s="35">
        <f>SUMIFS(D6137:D9015,K6137:K9015,"0",B6137:B9015,"5 1 2 4 6 12 31111 6 M59 96200 000132 0000R 00001 00246 015 2112000 2024*")-SUMIFS(E6137:E9015,K6137:K9015,"0",B6137:B9015,"5 1 2 4 6 12 31111 6 M59 96200 000132 0000R 00001 00246 015 2112000 2024*")</f>
        <v>0</v>
      </c>
      <c r="E6136"/>
      <c r="F6136" s="35">
        <f>SUMIFS(F6137:F9015,K6137:K9015,"0",B6137:B9015,"5 1 2 4 6 12 31111 6 M59 96200 000132 0000R 00001 00246 015 2112000 2024*")</f>
        <v>93680.67</v>
      </c>
      <c r="G6136" s="35">
        <f>SUMIFS(G6137:G9015,K6137:K9015,"0",B6137:B9015,"5 1 2 4 6 12 31111 6 M59 96200 000132 0000R 00001 00246 015 2112000 2024*")</f>
        <v>0</v>
      </c>
      <c r="H6136" s="35">
        <f t="shared" si="96"/>
        <v>93680.67</v>
      </c>
      <c r="I6136" s="35"/>
      <c r="K6136" t="s">
        <v>15</v>
      </c>
    </row>
    <row r="6137" spans="2:11" ht="41.25" x14ac:dyDescent="0.2">
      <c r="B6137" s="33" t="s">
        <v>7132</v>
      </c>
      <c r="C6137" s="33" t="s">
        <v>662</v>
      </c>
      <c r="D6137" s="35">
        <f>SUMIFS(D6138:D9015,K6138:K9015,"0",B6138:B9015,"5 1 2 4 6 12 31111 6 M59 96200 000132 0000R 00001 00246 015 2112000 2024 CP1AL423*")-SUMIFS(E6138:E9015,K6138:K9015,"0",B6138:B9015,"5 1 2 4 6 12 31111 6 M59 96200 000132 0000R 00001 00246 015 2112000 2024 CP1AL423*")</f>
        <v>0</v>
      </c>
      <c r="E6137"/>
      <c r="F6137" s="35">
        <f>SUMIFS(F6138:F9015,K6138:K9015,"0",B6138:B9015,"5 1 2 4 6 12 31111 6 M59 96200 000132 0000R 00001 00246 015 2112000 2024 CP1AL423*")</f>
        <v>93680.67</v>
      </c>
      <c r="G6137" s="35">
        <f>SUMIFS(G6138:G9015,K6138:K9015,"0",B6138:B9015,"5 1 2 4 6 12 31111 6 M59 96200 000132 0000R 00001 00246 015 2112000 2024 CP1AL423*")</f>
        <v>0</v>
      </c>
      <c r="H6137" s="35">
        <f t="shared" si="96"/>
        <v>93680.67</v>
      </c>
      <c r="I6137" s="35"/>
      <c r="K6137" t="s">
        <v>15</v>
      </c>
    </row>
    <row r="6138" spans="2:11" ht="41.25" x14ac:dyDescent="0.2">
      <c r="B6138" s="33" t="s">
        <v>7133</v>
      </c>
      <c r="C6138" s="33" t="s">
        <v>282</v>
      </c>
      <c r="D6138" s="35">
        <f>SUMIFS(D6139:D9015,K6139:K9015,"0",B6139:B9015,"5 1 2 4 6 12 31111 6 M59 96200 000132 0000R 00001 00246 015 2112000 2024 CP1AL423 001*")-SUMIFS(E6139:E9015,K6139:K9015,"0",B6139:B9015,"5 1 2 4 6 12 31111 6 M59 96200 000132 0000R 00001 00246 015 2112000 2024 CP1AL423 001*")</f>
        <v>0</v>
      </c>
      <c r="E6138"/>
      <c r="F6138" s="35">
        <f>SUMIFS(F6139:F9015,K6139:K9015,"0",B6139:B9015,"5 1 2 4 6 12 31111 6 M59 96200 000132 0000R 00001 00246 015 2112000 2024 CP1AL423 001*")</f>
        <v>93680.67</v>
      </c>
      <c r="G6138" s="35">
        <f>SUMIFS(G6139:G9015,K6139:K9015,"0",B6139:B9015,"5 1 2 4 6 12 31111 6 M59 96200 000132 0000R 00001 00246 015 2112000 2024 CP1AL423 001*")</f>
        <v>0</v>
      </c>
      <c r="H6138" s="35">
        <f t="shared" si="96"/>
        <v>93680.67</v>
      </c>
      <c r="I6138" s="35"/>
      <c r="K6138" t="s">
        <v>15</v>
      </c>
    </row>
    <row r="6139" spans="2:11" ht="41.25" x14ac:dyDescent="0.2">
      <c r="B6139" s="31" t="s">
        <v>7134</v>
      </c>
      <c r="C6139" s="31" t="s">
        <v>7050</v>
      </c>
      <c r="D6139" s="34">
        <v>0</v>
      </c>
      <c r="E6139" s="34"/>
      <c r="F6139" s="34">
        <v>93680.67</v>
      </c>
      <c r="G6139" s="34">
        <v>0</v>
      </c>
      <c r="H6139" s="34">
        <f t="shared" si="96"/>
        <v>93680.67</v>
      </c>
      <c r="I6139" s="34"/>
      <c r="K6139" t="s">
        <v>38</v>
      </c>
    </row>
    <row r="6140" spans="2:11" ht="16.5" x14ac:dyDescent="0.2">
      <c r="B6140" s="33" t="s">
        <v>7135</v>
      </c>
      <c r="C6140" s="33" t="s">
        <v>3754</v>
      </c>
      <c r="D6140" s="35">
        <f>SUMIFS(D6141:D9015,K6141:K9015,"0",B6141:B9015,"5 1 2 4 6 12 31111 6 M59 99000*")-SUMIFS(E6141:E9015,K6141:K9015,"0",B6141:B9015,"5 1 2 4 6 12 31111 6 M59 99000*")</f>
        <v>0</v>
      </c>
      <c r="E6140"/>
      <c r="F6140" s="35">
        <f>SUMIFS(F6141:F9015,K6141:K9015,"0",B6141:B9015,"5 1 2 4 6 12 31111 6 M59 99000*")</f>
        <v>17991.509999999998</v>
      </c>
      <c r="G6140" s="35">
        <f>SUMIFS(G6141:G9015,K6141:K9015,"0",B6141:B9015,"5 1 2 4 6 12 31111 6 M59 99000*")</f>
        <v>0</v>
      </c>
      <c r="H6140" s="35">
        <f t="shared" si="96"/>
        <v>17991.509999999998</v>
      </c>
      <c r="I6140" s="35"/>
      <c r="K6140" t="s">
        <v>15</v>
      </c>
    </row>
    <row r="6141" spans="2:11" ht="16.5" x14ac:dyDescent="0.2">
      <c r="B6141" s="33" t="s">
        <v>7136</v>
      </c>
      <c r="C6141" s="33" t="s">
        <v>648</v>
      </c>
      <c r="D6141" s="35">
        <f>SUMIFS(D6142:D9015,K6142:K9015,"0",B6142:B9015,"5 1 2 4 6 12 31111 6 M59 99000 000132*")-SUMIFS(E6142:E9015,K6142:K9015,"0",B6142:B9015,"5 1 2 4 6 12 31111 6 M59 99000 000132*")</f>
        <v>0</v>
      </c>
      <c r="E6141"/>
      <c r="F6141" s="35">
        <f>SUMIFS(F6142:F9015,K6142:K9015,"0",B6142:B9015,"5 1 2 4 6 12 31111 6 M59 99000 000132*")</f>
        <v>17991.509999999998</v>
      </c>
      <c r="G6141" s="35">
        <f>SUMIFS(G6142:G9015,K6142:K9015,"0",B6142:B9015,"5 1 2 4 6 12 31111 6 M59 99000 000132*")</f>
        <v>0</v>
      </c>
      <c r="H6141" s="35">
        <f t="shared" si="96"/>
        <v>17991.509999999998</v>
      </c>
      <c r="I6141" s="35"/>
      <c r="K6141" t="s">
        <v>15</v>
      </c>
    </row>
    <row r="6142" spans="2:11" ht="24.75" x14ac:dyDescent="0.2">
      <c r="B6142" s="33" t="s">
        <v>7137</v>
      </c>
      <c r="C6142" s="33" t="s">
        <v>650</v>
      </c>
      <c r="D6142" s="35">
        <f>SUMIFS(D6143:D9015,K6143:K9015,"0",B6143:B9015,"5 1 2 4 6 12 31111 6 M59 99000 000132 0000R*")-SUMIFS(E6143:E9015,K6143:K9015,"0",B6143:B9015,"5 1 2 4 6 12 31111 6 M59 99000 000132 0000R*")</f>
        <v>0</v>
      </c>
      <c r="E6142"/>
      <c r="F6142" s="35">
        <f>SUMIFS(F6143:F9015,K6143:K9015,"0",B6143:B9015,"5 1 2 4 6 12 31111 6 M59 99000 000132 0000R*")</f>
        <v>17991.509999999998</v>
      </c>
      <c r="G6142" s="35">
        <f>SUMIFS(G6143:G9015,K6143:K9015,"0",B6143:B9015,"5 1 2 4 6 12 31111 6 M59 99000 000132 0000R*")</f>
        <v>0</v>
      </c>
      <c r="H6142" s="35">
        <f t="shared" si="96"/>
        <v>17991.509999999998</v>
      </c>
      <c r="I6142" s="35"/>
      <c r="K6142" t="s">
        <v>15</v>
      </c>
    </row>
    <row r="6143" spans="2:11" ht="24.75" x14ac:dyDescent="0.2">
      <c r="B6143" s="33" t="s">
        <v>7138</v>
      </c>
      <c r="C6143" s="33" t="s">
        <v>282</v>
      </c>
      <c r="D6143" s="35">
        <f>SUMIFS(D6144:D9015,K6144:K9015,"0",B6144:B9015,"5 1 2 4 6 12 31111 6 M59 99000 000132 0000R 00001*")-SUMIFS(E6144:E9015,K6144:K9015,"0",B6144:B9015,"5 1 2 4 6 12 31111 6 M59 99000 000132 0000R 00001*")</f>
        <v>0</v>
      </c>
      <c r="E6143"/>
      <c r="F6143" s="35">
        <f>SUMIFS(F6144:F9015,K6144:K9015,"0",B6144:B9015,"5 1 2 4 6 12 31111 6 M59 99000 000132 0000R 00001*")</f>
        <v>17991.509999999998</v>
      </c>
      <c r="G6143" s="35">
        <f>SUMIFS(G6144:G9015,K6144:K9015,"0",B6144:B9015,"5 1 2 4 6 12 31111 6 M59 99000 000132 0000R 00001*")</f>
        <v>0</v>
      </c>
      <c r="H6143" s="35">
        <f t="shared" si="96"/>
        <v>17991.509999999998</v>
      </c>
      <c r="I6143" s="35"/>
      <c r="K6143" t="s">
        <v>15</v>
      </c>
    </row>
    <row r="6144" spans="2:11" ht="24.75" x14ac:dyDescent="0.2">
      <c r="B6144" s="33" t="s">
        <v>7139</v>
      </c>
      <c r="C6144" s="33" t="s">
        <v>7050</v>
      </c>
      <c r="D6144" s="35">
        <f>SUMIFS(D6145:D9015,K6145:K9015,"0",B6145:B9015,"5 1 2 4 6 12 31111 6 M59 99000 000132 0000R 00001 00246*")-SUMIFS(E6145:E9015,K6145:K9015,"0",B6145:B9015,"5 1 2 4 6 12 31111 6 M59 99000 000132 0000R 00001 00246*")</f>
        <v>0</v>
      </c>
      <c r="E6144"/>
      <c r="F6144" s="35">
        <f>SUMIFS(F6145:F9015,K6145:K9015,"0",B6145:B9015,"5 1 2 4 6 12 31111 6 M59 99000 000132 0000R 00001 00246*")</f>
        <v>17991.509999999998</v>
      </c>
      <c r="G6144" s="35">
        <f>SUMIFS(G6145:G9015,K6145:K9015,"0",B6145:B9015,"5 1 2 4 6 12 31111 6 M59 99000 000132 0000R 00001 00246*")</f>
        <v>0</v>
      </c>
      <c r="H6144" s="35">
        <f t="shared" si="96"/>
        <v>17991.509999999998</v>
      </c>
      <c r="I6144" s="35"/>
      <c r="K6144" t="s">
        <v>15</v>
      </c>
    </row>
    <row r="6145" spans="2:11" ht="33" x14ac:dyDescent="0.2">
      <c r="B6145" s="33" t="s">
        <v>7140</v>
      </c>
      <c r="C6145" s="33" t="s">
        <v>1051</v>
      </c>
      <c r="D6145" s="35">
        <f>SUMIFS(D6146:D9015,K6146:K9015,"0",B6146:B9015,"5 1 2 4 6 12 31111 6 M59 99000 000132 0000R 00001 00246 015*")-SUMIFS(E6146:E9015,K6146:K9015,"0",B6146:B9015,"5 1 2 4 6 12 31111 6 M59 99000 000132 0000R 00001 00246 015*")</f>
        <v>0</v>
      </c>
      <c r="E6145"/>
      <c r="F6145" s="35">
        <f>SUMIFS(F6146:F9015,K6146:K9015,"0",B6146:B9015,"5 1 2 4 6 12 31111 6 M59 99000 000132 0000R 00001 00246 015*")</f>
        <v>17991.509999999998</v>
      </c>
      <c r="G6145" s="35">
        <f>SUMIFS(G6146:G9015,K6146:K9015,"0",B6146:B9015,"5 1 2 4 6 12 31111 6 M59 99000 000132 0000R 00001 00246 015*")</f>
        <v>0</v>
      </c>
      <c r="H6145" s="35">
        <f t="shared" si="96"/>
        <v>17991.509999999998</v>
      </c>
      <c r="I6145" s="35"/>
      <c r="K6145" t="s">
        <v>15</v>
      </c>
    </row>
    <row r="6146" spans="2:11" ht="33" x14ac:dyDescent="0.2">
      <c r="B6146" s="33" t="s">
        <v>7141</v>
      </c>
      <c r="C6146" s="33" t="s">
        <v>5830</v>
      </c>
      <c r="D6146" s="35">
        <f>SUMIFS(D6147:D9015,K6147:K9015,"0",B6147:B9015,"5 1 2 4 6 12 31111 6 M59 99000 000132 0000R 00001 00246 015 2112000*")-SUMIFS(E6147:E9015,K6147:K9015,"0",B6147:B9015,"5 1 2 4 6 12 31111 6 M59 99000 000132 0000R 00001 00246 015 2112000*")</f>
        <v>0</v>
      </c>
      <c r="E6146"/>
      <c r="F6146" s="35">
        <f>SUMIFS(F6147:F9015,K6147:K9015,"0",B6147:B9015,"5 1 2 4 6 12 31111 6 M59 99000 000132 0000R 00001 00246 015 2112000*")</f>
        <v>17991.509999999998</v>
      </c>
      <c r="G6146" s="35">
        <f>SUMIFS(G6147:G9015,K6147:K9015,"0",B6147:B9015,"5 1 2 4 6 12 31111 6 M59 99000 000132 0000R 00001 00246 015 2112000*")</f>
        <v>0</v>
      </c>
      <c r="H6146" s="35">
        <f t="shared" si="96"/>
        <v>17991.509999999998</v>
      </c>
      <c r="I6146" s="35"/>
      <c r="K6146" t="s">
        <v>15</v>
      </c>
    </row>
    <row r="6147" spans="2:11" ht="33" x14ac:dyDescent="0.2">
      <c r="B6147" s="33" t="s">
        <v>7142</v>
      </c>
      <c r="C6147" s="33" t="s">
        <v>660</v>
      </c>
      <c r="D6147" s="35">
        <f>SUMIFS(D6148:D9015,K6148:K9015,"0",B6148:B9015,"5 1 2 4 6 12 31111 6 M59 99000 000132 0000R 00001 00246 015 2112000 2024*")-SUMIFS(E6148:E9015,K6148:K9015,"0",B6148:B9015,"5 1 2 4 6 12 31111 6 M59 99000 000132 0000R 00001 00246 015 2112000 2024*")</f>
        <v>0</v>
      </c>
      <c r="E6147"/>
      <c r="F6147" s="35">
        <f>SUMIFS(F6148:F9015,K6148:K9015,"0",B6148:B9015,"5 1 2 4 6 12 31111 6 M59 99000 000132 0000R 00001 00246 015 2112000 2024*")</f>
        <v>17991.509999999998</v>
      </c>
      <c r="G6147" s="35">
        <f>SUMIFS(G6148:G9015,K6148:K9015,"0",B6148:B9015,"5 1 2 4 6 12 31111 6 M59 99000 000132 0000R 00001 00246 015 2112000 2024*")</f>
        <v>0</v>
      </c>
      <c r="H6147" s="35">
        <f t="shared" si="96"/>
        <v>17991.509999999998</v>
      </c>
      <c r="I6147" s="35"/>
      <c r="K6147" t="s">
        <v>15</v>
      </c>
    </row>
    <row r="6148" spans="2:11" ht="41.25" x14ac:dyDescent="0.2">
      <c r="B6148" s="33" t="s">
        <v>7143</v>
      </c>
      <c r="C6148" s="33" t="s">
        <v>1056</v>
      </c>
      <c r="D6148" s="35">
        <f>SUMIFS(D6149:D9015,K6149:K9015,"0",B6149:B9015,"5 1 2 4 6 12 31111 6 M59 99000 000132 0000R 00001 00246 015 2112000 2024 CP1MG408*")-SUMIFS(E6149:E9015,K6149:K9015,"0",B6149:B9015,"5 1 2 4 6 12 31111 6 M59 99000 000132 0000R 00001 00246 015 2112000 2024 CP1MG408*")</f>
        <v>0</v>
      </c>
      <c r="E6148"/>
      <c r="F6148" s="35">
        <f>SUMIFS(F6149:F9015,K6149:K9015,"0",B6149:B9015,"5 1 2 4 6 12 31111 6 M59 99000 000132 0000R 00001 00246 015 2112000 2024 CP1MG408*")</f>
        <v>17991.509999999998</v>
      </c>
      <c r="G6148" s="35">
        <f>SUMIFS(G6149:G9015,K6149:K9015,"0",B6149:B9015,"5 1 2 4 6 12 31111 6 M59 99000 000132 0000R 00001 00246 015 2112000 2024 CP1MG408*")</f>
        <v>0</v>
      </c>
      <c r="H6148" s="35">
        <f t="shared" ref="H6148:H6211" si="97">D6148 + F6148 - G6148</f>
        <v>17991.509999999998</v>
      </c>
      <c r="I6148" s="35"/>
      <c r="K6148" t="s">
        <v>15</v>
      </c>
    </row>
    <row r="6149" spans="2:11" ht="41.25" x14ac:dyDescent="0.2">
      <c r="B6149" s="33" t="s">
        <v>7144</v>
      </c>
      <c r="C6149" s="33" t="s">
        <v>282</v>
      </c>
      <c r="D6149" s="35">
        <f>SUMIFS(D6150:D9015,K6150:K9015,"0",B6150:B9015,"5 1 2 4 6 12 31111 6 M59 99000 000132 0000R 00001 00246 015 2112000 2024 CP1MG408 001*")-SUMIFS(E6150:E9015,K6150:K9015,"0",B6150:B9015,"5 1 2 4 6 12 31111 6 M59 99000 000132 0000R 00001 00246 015 2112000 2024 CP1MG408 001*")</f>
        <v>0</v>
      </c>
      <c r="E6149"/>
      <c r="F6149" s="35">
        <f>SUMIFS(F6150:F9015,K6150:K9015,"0",B6150:B9015,"5 1 2 4 6 12 31111 6 M59 99000 000132 0000R 00001 00246 015 2112000 2024 CP1MG408 001*")</f>
        <v>17991.509999999998</v>
      </c>
      <c r="G6149" s="35">
        <f>SUMIFS(G6150:G9015,K6150:K9015,"0",B6150:B9015,"5 1 2 4 6 12 31111 6 M59 99000 000132 0000R 00001 00246 015 2112000 2024 CP1MG408 001*")</f>
        <v>0</v>
      </c>
      <c r="H6149" s="35">
        <f t="shared" si="97"/>
        <v>17991.509999999998</v>
      </c>
      <c r="I6149" s="35"/>
      <c r="K6149" t="s">
        <v>15</v>
      </c>
    </row>
    <row r="6150" spans="2:11" ht="41.25" x14ac:dyDescent="0.2">
      <c r="B6150" s="31" t="s">
        <v>7145</v>
      </c>
      <c r="C6150" s="31" t="s">
        <v>7040</v>
      </c>
      <c r="D6150" s="34">
        <v>0</v>
      </c>
      <c r="E6150" s="34"/>
      <c r="F6150" s="34">
        <v>17991.509999999998</v>
      </c>
      <c r="G6150" s="34">
        <v>0</v>
      </c>
      <c r="H6150" s="34">
        <f t="shared" si="97"/>
        <v>17991.509999999998</v>
      </c>
      <c r="I6150" s="34"/>
      <c r="K6150" t="s">
        <v>38</v>
      </c>
    </row>
    <row r="6151" spans="2:11" ht="16.5" x14ac:dyDescent="0.2">
      <c r="B6151" s="33" t="s">
        <v>7146</v>
      </c>
      <c r="C6151" s="33" t="s">
        <v>7147</v>
      </c>
      <c r="D6151" s="35">
        <f>SUMIFS(D6152:D9015,K6152:K9015,"0",B6152:B9015,"5 1 2 4 7*")-SUMIFS(E6152:E9015,K6152:K9015,"0",B6152:B9015,"5 1 2 4 7*")</f>
        <v>0</v>
      </c>
      <c r="E6151"/>
      <c r="F6151" s="35">
        <f>SUMIFS(F6152:F9015,K6152:K9015,"0",B6152:B9015,"5 1 2 4 7*")</f>
        <v>170115.05</v>
      </c>
      <c r="G6151" s="35">
        <f>SUMIFS(G6152:G9015,K6152:K9015,"0",B6152:B9015,"5 1 2 4 7*")</f>
        <v>0</v>
      </c>
      <c r="H6151" s="35">
        <f t="shared" si="97"/>
        <v>170115.05</v>
      </c>
      <c r="I6151" s="35"/>
      <c r="K6151" t="s">
        <v>15</v>
      </c>
    </row>
    <row r="6152" spans="2:11" ht="12.75" x14ac:dyDescent="0.2">
      <c r="B6152" s="33" t="s">
        <v>7148</v>
      </c>
      <c r="C6152" s="33" t="s">
        <v>26</v>
      </c>
      <c r="D6152" s="35">
        <f>SUMIFS(D6153:D9015,K6153:K9015,"0",B6153:B9015,"5 1 2 4 7 12*")-SUMIFS(E6153:E9015,K6153:K9015,"0",B6153:B9015,"5 1 2 4 7 12*")</f>
        <v>0</v>
      </c>
      <c r="E6152"/>
      <c r="F6152" s="35">
        <f>SUMIFS(F6153:F9015,K6153:K9015,"0",B6153:B9015,"5 1 2 4 7 12*")</f>
        <v>170115.05</v>
      </c>
      <c r="G6152" s="35">
        <f>SUMIFS(G6153:G9015,K6153:K9015,"0",B6153:B9015,"5 1 2 4 7 12*")</f>
        <v>0</v>
      </c>
      <c r="H6152" s="35">
        <f t="shared" si="97"/>
        <v>170115.05</v>
      </c>
      <c r="I6152" s="35"/>
      <c r="K6152" t="s">
        <v>15</v>
      </c>
    </row>
    <row r="6153" spans="2:11" ht="16.5" x14ac:dyDescent="0.2">
      <c r="B6153" s="33" t="s">
        <v>7149</v>
      </c>
      <c r="C6153" s="33" t="s">
        <v>28</v>
      </c>
      <c r="D6153" s="35">
        <f>SUMIFS(D6154:D9015,K6154:K9015,"0",B6154:B9015,"5 1 2 4 7 12 31111*")-SUMIFS(E6154:E9015,K6154:K9015,"0",B6154:B9015,"5 1 2 4 7 12 31111*")</f>
        <v>0</v>
      </c>
      <c r="E6153"/>
      <c r="F6153" s="35">
        <f>SUMIFS(F6154:F9015,K6154:K9015,"0",B6154:B9015,"5 1 2 4 7 12 31111*")</f>
        <v>170115.05</v>
      </c>
      <c r="G6153" s="35">
        <f>SUMIFS(G6154:G9015,K6154:K9015,"0",B6154:B9015,"5 1 2 4 7 12 31111*")</f>
        <v>0</v>
      </c>
      <c r="H6153" s="35">
        <f t="shared" si="97"/>
        <v>170115.05</v>
      </c>
      <c r="I6153" s="35"/>
      <c r="K6153" t="s">
        <v>15</v>
      </c>
    </row>
    <row r="6154" spans="2:11" ht="12.75" x14ac:dyDescent="0.2">
      <c r="B6154" s="33" t="s">
        <v>7150</v>
      </c>
      <c r="C6154" s="33" t="s">
        <v>30</v>
      </c>
      <c r="D6154" s="35">
        <f>SUMIFS(D6155:D9015,K6155:K9015,"0",B6155:B9015,"5 1 2 4 7 12 31111 6*")-SUMIFS(E6155:E9015,K6155:K9015,"0",B6155:B9015,"5 1 2 4 7 12 31111 6*")</f>
        <v>0</v>
      </c>
      <c r="E6154"/>
      <c r="F6154" s="35">
        <f>SUMIFS(F6155:F9015,K6155:K9015,"0",B6155:B9015,"5 1 2 4 7 12 31111 6*")</f>
        <v>170115.05</v>
      </c>
      <c r="G6154" s="35">
        <f>SUMIFS(G6155:G9015,K6155:K9015,"0",B6155:B9015,"5 1 2 4 7 12 31111 6*")</f>
        <v>0</v>
      </c>
      <c r="H6154" s="35">
        <f t="shared" si="97"/>
        <v>170115.05</v>
      </c>
      <c r="I6154" s="35"/>
      <c r="K6154" t="s">
        <v>15</v>
      </c>
    </row>
    <row r="6155" spans="2:11" ht="16.5" x14ac:dyDescent="0.2">
      <c r="B6155" s="33" t="s">
        <v>7151</v>
      </c>
      <c r="C6155" s="33" t="s">
        <v>2284</v>
      </c>
      <c r="D6155" s="35">
        <f>SUMIFS(D6156:D9015,K6156:K9015,"0",B6156:B9015,"5 1 2 4 7 12 31111 6 M59*")-SUMIFS(E6156:E9015,K6156:K9015,"0",B6156:B9015,"5 1 2 4 7 12 31111 6 M59*")</f>
        <v>0</v>
      </c>
      <c r="E6155"/>
      <c r="F6155" s="35">
        <f>SUMIFS(F6156:F9015,K6156:K9015,"0",B6156:B9015,"5 1 2 4 7 12 31111 6 M59*")</f>
        <v>170115.05</v>
      </c>
      <c r="G6155" s="35">
        <f>SUMIFS(G6156:G9015,K6156:K9015,"0",B6156:B9015,"5 1 2 4 7 12 31111 6 M59*")</f>
        <v>0</v>
      </c>
      <c r="H6155" s="35">
        <f t="shared" si="97"/>
        <v>170115.05</v>
      </c>
      <c r="I6155" s="35"/>
      <c r="K6155" t="s">
        <v>15</v>
      </c>
    </row>
    <row r="6156" spans="2:11" ht="16.5" x14ac:dyDescent="0.2">
      <c r="B6156" s="33" t="s">
        <v>7152</v>
      </c>
      <c r="C6156" s="33" t="s">
        <v>1044</v>
      </c>
      <c r="D6156" s="35">
        <f>SUMIFS(D6157:D9015,K6157:K9015,"0",B6157:B9015,"5 1 2 4 7 12 31111 6 M59 19000*")-SUMIFS(E6157:E9015,K6157:K9015,"0",B6157:B9015,"5 1 2 4 7 12 31111 6 M59 19000*")</f>
        <v>0</v>
      </c>
      <c r="E6156"/>
      <c r="F6156" s="35">
        <f>SUMIFS(F6157:F9015,K6157:K9015,"0",B6157:B9015,"5 1 2 4 7 12 31111 6 M59 19000*")</f>
        <v>2826.26</v>
      </c>
      <c r="G6156" s="35">
        <f>SUMIFS(G6157:G9015,K6157:K9015,"0",B6157:B9015,"5 1 2 4 7 12 31111 6 M59 19000*")</f>
        <v>0</v>
      </c>
      <c r="H6156" s="35">
        <f t="shared" si="97"/>
        <v>2826.26</v>
      </c>
      <c r="I6156" s="35"/>
      <c r="K6156" t="s">
        <v>15</v>
      </c>
    </row>
    <row r="6157" spans="2:11" ht="16.5" x14ac:dyDescent="0.2">
      <c r="B6157" s="33" t="s">
        <v>7153</v>
      </c>
      <c r="C6157" s="33" t="s">
        <v>648</v>
      </c>
      <c r="D6157" s="35">
        <f>SUMIFS(D6158:D9015,K6158:K9015,"0",B6158:B9015,"5 1 2 4 7 12 31111 6 M59 19000 000132*")-SUMIFS(E6158:E9015,K6158:K9015,"0",B6158:B9015,"5 1 2 4 7 12 31111 6 M59 19000 000132*")</f>
        <v>0</v>
      </c>
      <c r="E6157"/>
      <c r="F6157" s="35">
        <f>SUMIFS(F6158:F9015,K6158:K9015,"0",B6158:B9015,"5 1 2 4 7 12 31111 6 M59 19000 000132*")</f>
        <v>2826.26</v>
      </c>
      <c r="G6157" s="35">
        <f>SUMIFS(G6158:G9015,K6158:K9015,"0",B6158:B9015,"5 1 2 4 7 12 31111 6 M59 19000 000132*")</f>
        <v>0</v>
      </c>
      <c r="H6157" s="35">
        <f t="shared" si="97"/>
        <v>2826.26</v>
      </c>
      <c r="I6157" s="35"/>
      <c r="K6157" t="s">
        <v>15</v>
      </c>
    </row>
    <row r="6158" spans="2:11" ht="24.75" x14ac:dyDescent="0.2">
      <c r="B6158" s="33" t="s">
        <v>7154</v>
      </c>
      <c r="C6158" s="33" t="s">
        <v>650</v>
      </c>
      <c r="D6158" s="35">
        <f>SUMIFS(D6159:D9015,K6159:K9015,"0",B6159:B9015,"5 1 2 4 7 12 31111 6 M59 19000 000132 0000R*")-SUMIFS(E6159:E9015,K6159:K9015,"0",B6159:B9015,"5 1 2 4 7 12 31111 6 M59 19000 000132 0000R*")</f>
        <v>0</v>
      </c>
      <c r="E6158"/>
      <c r="F6158" s="35">
        <f>SUMIFS(F6159:F9015,K6159:K9015,"0",B6159:B9015,"5 1 2 4 7 12 31111 6 M59 19000 000132 0000R*")</f>
        <v>2826.26</v>
      </c>
      <c r="G6158" s="35">
        <f>SUMIFS(G6159:G9015,K6159:K9015,"0",B6159:B9015,"5 1 2 4 7 12 31111 6 M59 19000 000132 0000R*")</f>
        <v>0</v>
      </c>
      <c r="H6158" s="35">
        <f t="shared" si="97"/>
        <v>2826.26</v>
      </c>
      <c r="I6158" s="35"/>
      <c r="K6158" t="s">
        <v>15</v>
      </c>
    </row>
    <row r="6159" spans="2:11" ht="24.75" x14ac:dyDescent="0.2">
      <c r="B6159" s="33" t="s">
        <v>7155</v>
      </c>
      <c r="C6159" s="33" t="s">
        <v>282</v>
      </c>
      <c r="D6159" s="35">
        <f>SUMIFS(D6160:D9015,K6160:K9015,"0",B6160:B9015,"5 1 2 4 7 12 31111 6 M59 19000 000132 0000R 00001*")-SUMIFS(E6160:E9015,K6160:K9015,"0",B6160:B9015,"5 1 2 4 7 12 31111 6 M59 19000 000132 0000R 00001*")</f>
        <v>0</v>
      </c>
      <c r="E6159"/>
      <c r="F6159" s="35">
        <f>SUMIFS(F6160:F9015,K6160:K9015,"0",B6160:B9015,"5 1 2 4 7 12 31111 6 M59 19000 000132 0000R 00001*")</f>
        <v>2826.26</v>
      </c>
      <c r="G6159" s="35">
        <f>SUMIFS(G6160:G9015,K6160:K9015,"0",B6160:B9015,"5 1 2 4 7 12 31111 6 M59 19000 000132 0000R 00001*")</f>
        <v>0</v>
      </c>
      <c r="H6159" s="35">
        <f t="shared" si="97"/>
        <v>2826.26</v>
      </c>
      <c r="I6159" s="35"/>
      <c r="K6159" t="s">
        <v>15</v>
      </c>
    </row>
    <row r="6160" spans="2:11" ht="24.75" x14ac:dyDescent="0.2">
      <c r="B6160" s="33" t="s">
        <v>7156</v>
      </c>
      <c r="C6160" s="33" t="s">
        <v>7157</v>
      </c>
      <c r="D6160" s="35">
        <f>SUMIFS(D6161:D9015,K6161:K9015,"0",B6161:B9015,"5 1 2 4 7 12 31111 6 M59 19000 000132 0000R 00001 00247*")-SUMIFS(E6161:E9015,K6161:K9015,"0",B6161:B9015,"5 1 2 4 7 12 31111 6 M59 19000 000132 0000R 00001 00247*")</f>
        <v>0</v>
      </c>
      <c r="E6160"/>
      <c r="F6160" s="35">
        <f>SUMIFS(F6161:F9015,K6161:K9015,"0",B6161:B9015,"5 1 2 4 7 12 31111 6 M59 19000 000132 0000R 00001 00247*")</f>
        <v>2826.26</v>
      </c>
      <c r="G6160" s="35">
        <f>SUMIFS(G6161:G9015,K6161:K9015,"0",B6161:B9015,"5 1 2 4 7 12 31111 6 M59 19000 000132 0000R 00001 00247*")</f>
        <v>0</v>
      </c>
      <c r="H6160" s="35">
        <f t="shared" si="97"/>
        <v>2826.26</v>
      </c>
      <c r="I6160" s="35"/>
      <c r="K6160" t="s">
        <v>15</v>
      </c>
    </row>
    <row r="6161" spans="2:11" ht="33" x14ac:dyDescent="0.2">
      <c r="B6161" s="33" t="s">
        <v>7158</v>
      </c>
      <c r="C6161" s="33" t="s">
        <v>699</v>
      </c>
      <c r="D6161" s="35">
        <f>SUMIFS(D6162:D9015,K6162:K9015,"0",B6162:B9015,"5 1 2 4 7 12 31111 6 M59 19000 000132 0000R 00001 00247 011*")-SUMIFS(E6162:E9015,K6162:K9015,"0",B6162:B9015,"5 1 2 4 7 12 31111 6 M59 19000 000132 0000R 00001 00247 011*")</f>
        <v>0</v>
      </c>
      <c r="E6161"/>
      <c r="F6161" s="35">
        <f>SUMIFS(F6162:F9015,K6162:K9015,"0",B6162:B9015,"5 1 2 4 7 12 31111 6 M59 19000 000132 0000R 00001 00247 011*")</f>
        <v>2826.26</v>
      </c>
      <c r="G6161" s="35">
        <f>SUMIFS(G6162:G9015,K6162:K9015,"0",B6162:B9015,"5 1 2 4 7 12 31111 6 M59 19000 000132 0000R 00001 00247 011*")</f>
        <v>0</v>
      </c>
      <c r="H6161" s="35">
        <f t="shared" si="97"/>
        <v>2826.26</v>
      </c>
      <c r="I6161" s="35"/>
      <c r="K6161" t="s">
        <v>15</v>
      </c>
    </row>
    <row r="6162" spans="2:11" ht="33" x14ac:dyDescent="0.2">
      <c r="B6162" s="33" t="s">
        <v>7159</v>
      </c>
      <c r="C6162" s="33" t="s">
        <v>5830</v>
      </c>
      <c r="D6162" s="35">
        <f>SUMIFS(D6163:D9015,K6163:K9015,"0",B6163:B9015,"5 1 2 4 7 12 31111 6 M59 19000 000132 0000R 00001 00247 011 2112000*")-SUMIFS(E6163:E9015,K6163:K9015,"0",B6163:B9015,"5 1 2 4 7 12 31111 6 M59 19000 000132 0000R 00001 00247 011 2112000*")</f>
        <v>0</v>
      </c>
      <c r="E6162"/>
      <c r="F6162" s="35">
        <f>SUMIFS(F6163:F9015,K6163:K9015,"0",B6163:B9015,"5 1 2 4 7 12 31111 6 M59 19000 000132 0000R 00001 00247 011 2112000*")</f>
        <v>2826.26</v>
      </c>
      <c r="G6162" s="35">
        <f>SUMIFS(G6163:G9015,K6163:K9015,"0",B6163:B9015,"5 1 2 4 7 12 31111 6 M59 19000 000132 0000R 00001 00247 011 2112000*")</f>
        <v>0</v>
      </c>
      <c r="H6162" s="35">
        <f t="shared" si="97"/>
        <v>2826.26</v>
      </c>
      <c r="I6162" s="35"/>
      <c r="K6162" t="s">
        <v>15</v>
      </c>
    </row>
    <row r="6163" spans="2:11" ht="33" x14ac:dyDescent="0.2">
      <c r="B6163" s="33" t="s">
        <v>7160</v>
      </c>
      <c r="C6163" s="33" t="s">
        <v>660</v>
      </c>
      <c r="D6163" s="35">
        <f>SUMIFS(D6164:D9015,K6164:K9015,"0",B6164:B9015,"5 1 2 4 7 12 31111 6 M59 19000 000132 0000R 00001 00247 011 2112000 2024*")-SUMIFS(E6164:E9015,K6164:K9015,"0",B6164:B9015,"5 1 2 4 7 12 31111 6 M59 19000 000132 0000R 00001 00247 011 2112000 2024*")</f>
        <v>0</v>
      </c>
      <c r="E6163"/>
      <c r="F6163" s="35">
        <f>SUMIFS(F6164:F9015,K6164:K9015,"0",B6164:B9015,"5 1 2 4 7 12 31111 6 M59 19000 000132 0000R 00001 00247 011 2112000 2024*")</f>
        <v>2826.26</v>
      </c>
      <c r="G6163" s="35">
        <f>SUMIFS(G6164:G9015,K6164:K9015,"0",B6164:B9015,"5 1 2 4 7 12 31111 6 M59 19000 000132 0000R 00001 00247 011 2112000 2024*")</f>
        <v>0</v>
      </c>
      <c r="H6163" s="35">
        <f t="shared" si="97"/>
        <v>2826.26</v>
      </c>
      <c r="I6163" s="35"/>
      <c r="K6163" t="s">
        <v>15</v>
      </c>
    </row>
    <row r="6164" spans="2:11" ht="41.25" x14ac:dyDescent="0.2">
      <c r="B6164" s="33" t="s">
        <v>7161</v>
      </c>
      <c r="C6164" s="33" t="s">
        <v>662</v>
      </c>
      <c r="D6164" s="35">
        <f>SUMIFS(D6165:D9015,K6165:K9015,"0",B6165:B9015,"5 1 2 4 7 12 31111 6 M59 19000 000132 0000R 00001 00247 011 2112000 2024 CP1TM440*")-SUMIFS(E6165:E9015,K6165:K9015,"0",B6165:B9015,"5 1 2 4 7 12 31111 6 M59 19000 000132 0000R 00001 00247 011 2112000 2024 CP1TM440*")</f>
        <v>0</v>
      </c>
      <c r="E6164"/>
      <c r="F6164" s="35">
        <f>SUMIFS(F6165:F9015,K6165:K9015,"0",B6165:B9015,"5 1 2 4 7 12 31111 6 M59 19000 000132 0000R 00001 00247 011 2112000 2024 CP1TM440*")</f>
        <v>2826.26</v>
      </c>
      <c r="G6164" s="35">
        <f>SUMIFS(G6165:G9015,K6165:K9015,"0",B6165:B9015,"5 1 2 4 7 12 31111 6 M59 19000 000132 0000R 00001 00247 011 2112000 2024 CP1TM440*")</f>
        <v>0</v>
      </c>
      <c r="H6164" s="35">
        <f t="shared" si="97"/>
        <v>2826.26</v>
      </c>
      <c r="I6164" s="35"/>
      <c r="K6164" t="s">
        <v>15</v>
      </c>
    </row>
    <row r="6165" spans="2:11" ht="41.25" x14ac:dyDescent="0.2">
      <c r="B6165" s="33" t="s">
        <v>7162</v>
      </c>
      <c r="C6165" s="33" t="s">
        <v>46</v>
      </c>
      <c r="D6165" s="35">
        <f>SUMIFS(D6166:D9015,K6166:K9015,"0",B6166:B9015,"5 1 2 4 7 12 31111 6 M59 19000 000132 0000R 00001 00247 011 2112000 2024 CP1TM440 004*")-SUMIFS(E6166:E9015,K6166:K9015,"0",B6166:B9015,"5 1 2 4 7 12 31111 6 M59 19000 000132 0000R 00001 00247 011 2112000 2024 CP1TM440 004*")</f>
        <v>0</v>
      </c>
      <c r="E6165"/>
      <c r="F6165" s="35">
        <f>SUMIFS(F6166:F9015,K6166:K9015,"0",B6166:B9015,"5 1 2 4 7 12 31111 6 M59 19000 000132 0000R 00001 00247 011 2112000 2024 CP1TM440 004*")</f>
        <v>2826.26</v>
      </c>
      <c r="G6165" s="35">
        <f>SUMIFS(G6166:G9015,K6166:K9015,"0",B6166:B9015,"5 1 2 4 7 12 31111 6 M59 19000 000132 0000R 00001 00247 011 2112000 2024 CP1TM440 004*")</f>
        <v>0</v>
      </c>
      <c r="H6165" s="35">
        <f t="shared" si="97"/>
        <v>2826.26</v>
      </c>
      <c r="I6165" s="35"/>
      <c r="K6165" t="s">
        <v>15</v>
      </c>
    </row>
    <row r="6166" spans="2:11" ht="33" x14ac:dyDescent="0.2">
      <c r="B6166" s="31" t="s">
        <v>7163</v>
      </c>
      <c r="C6166" s="31" t="s">
        <v>7157</v>
      </c>
      <c r="D6166" s="34">
        <v>0</v>
      </c>
      <c r="E6166" s="34"/>
      <c r="F6166" s="34">
        <v>2826.26</v>
      </c>
      <c r="G6166" s="34">
        <v>0</v>
      </c>
      <c r="H6166" s="34">
        <f t="shared" si="97"/>
        <v>2826.26</v>
      </c>
      <c r="I6166" s="34"/>
      <c r="K6166" t="s">
        <v>38</v>
      </c>
    </row>
    <row r="6167" spans="2:11" ht="16.5" x14ac:dyDescent="0.2">
      <c r="B6167" s="33" t="s">
        <v>7164</v>
      </c>
      <c r="C6167" s="33" t="s">
        <v>3103</v>
      </c>
      <c r="D6167" s="35">
        <f>SUMIFS(D6168:D9015,K6168:K9015,"0",B6168:B9015,"5 1 2 4 7 12 31111 6 M59 20400*")-SUMIFS(E6168:E9015,K6168:K9015,"0",B6168:B9015,"5 1 2 4 7 12 31111 6 M59 20400*")</f>
        <v>0</v>
      </c>
      <c r="E6167"/>
      <c r="F6167" s="35">
        <f>SUMIFS(F6168:F9015,K6168:K9015,"0",B6168:B9015,"5 1 2 4 7 12 31111 6 M59 20400*")</f>
        <v>2387.4299999999998</v>
      </c>
      <c r="G6167" s="35">
        <f>SUMIFS(G6168:G9015,K6168:K9015,"0",B6168:B9015,"5 1 2 4 7 12 31111 6 M59 20400*")</f>
        <v>0</v>
      </c>
      <c r="H6167" s="35">
        <f t="shared" si="97"/>
        <v>2387.4299999999998</v>
      </c>
      <c r="I6167" s="35"/>
      <c r="K6167" t="s">
        <v>15</v>
      </c>
    </row>
    <row r="6168" spans="2:11" ht="16.5" x14ac:dyDescent="0.2">
      <c r="B6168" s="33" t="s">
        <v>7165</v>
      </c>
      <c r="C6168" s="33" t="s">
        <v>648</v>
      </c>
      <c r="D6168" s="35">
        <f>SUMIFS(D6169:D9015,K6169:K9015,"0",B6169:B9015,"5 1 2 4 7 12 31111 6 M59 20400 000132*")-SUMIFS(E6169:E9015,K6169:K9015,"0",B6169:B9015,"5 1 2 4 7 12 31111 6 M59 20400 000132*")</f>
        <v>0</v>
      </c>
      <c r="E6168"/>
      <c r="F6168" s="35">
        <f>SUMIFS(F6169:F9015,K6169:K9015,"0",B6169:B9015,"5 1 2 4 7 12 31111 6 M59 20400 000132*")</f>
        <v>2387.4299999999998</v>
      </c>
      <c r="G6168" s="35">
        <f>SUMIFS(G6169:G9015,K6169:K9015,"0",B6169:B9015,"5 1 2 4 7 12 31111 6 M59 20400 000132*")</f>
        <v>0</v>
      </c>
      <c r="H6168" s="35">
        <f t="shared" si="97"/>
        <v>2387.4299999999998</v>
      </c>
      <c r="I6168" s="35"/>
      <c r="K6168" t="s">
        <v>15</v>
      </c>
    </row>
    <row r="6169" spans="2:11" ht="24.75" x14ac:dyDescent="0.2">
      <c r="B6169" s="33" t="s">
        <v>7166</v>
      </c>
      <c r="C6169" s="33" t="s">
        <v>650</v>
      </c>
      <c r="D6169" s="35">
        <f>SUMIFS(D6170:D9015,K6170:K9015,"0",B6170:B9015,"5 1 2 4 7 12 31111 6 M59 20400 000132 0000R*")-SUMIFS(E6170:E9015,K6170:K9015,"0",B6170:B9015,"5 1 2 4 7 12 31111 6 M59 20400 000132 0000R*")</f>
        <v>0</v>
      </c>
      <c r="E6169"/>
      <c r="F6169" s="35">
        <f>SUMIFS(F6170:F9015,K6170:K9015,"0",B6170:B9015,"5 1 2 4 7 12 31111 6 M59 20400 000132 0000R*")</f>
        <v>2387.4299999999998</v>
      </c>
      <c r="G6169" s="35">
        <f>SUMIFS(G6170:G9015,K6170:K9015,"0",B6170:B9015,"5 1 2 4 7 12 31111 6 M59 20400 000132 0000R*")</f>
        <v>0</v>
      </c>
      <c r="H6169" s="35">
        <f t="shared" si="97"/>
        <v>2387.4299999999998</v>
      </c>
      <c r="I6169" s="35"/>
      <c r="K6169" t="s">
        <v>15</v>
      </c>
    </row>
    <row r="6170" spans="2:11" ht="24.75" x14ac:dyDescent="0.2">
      <c r="B6170" s="33" t="s">
        <v>7167</v>
      </c>
      <c r="C6170" s="33" t="s">
        <v>282</v>
      </c>
      <c r="D6170" s="35">
        <f>SUMIFS(D6171:D9015,K6171:K9015,"0",B6171:B9015,"5 1 2 4 7 12 31111 6 M59 20400 000132 0000R 00001*")-SUMIFS(E6171:E9015,K6171:K9015,"0",B6171:B9015,"5 1 2 4 7 12 31111 6 M59 20400 000132 0000R 00001*")</f>
        <v>0</v>
      </c>
      <c r="E6170"/>
      <c r="F6170" s="35">
        <f>SUMIFS(F6171:F9015,K6171:K9015,"0",B6171:B9015,"5 1 2 4 7 12 31111 6 M59 20400 000132 0000R 00001*")</f>
        <v>2387.4299999999998</v>
      </c>
      <c r="G6170" s="35">
        <f>SUMIFS(G6171:G9015,K6171:K9015,"0",B6171:B9015,"5 1 2 4 7 12 31111 6 M59 20400 000132 0000R 00001*")</f>
        <v>0</v>
      </c>
      <c r="H6170" s="35">
        <f t="shared" si="97"/>
        <v>2387.4299999999998</v>
      </c>
      <c r="I6170" s="35"/>
      <c r="K6170" t="s">
        <v>15</v>
      </c>
    </row>
    <row r="6171" spans="2:11" ht="24.75" x14ac:dyDescent="0.2">
      <c r="B6171" s="33" t="s">
        <v>7168</v>
      </c>
      <c r="C6171" s="33" t="s">
        <v>7157</v>
      </c>
      <c r="D6171" s="35">
        <f>SUMIFS(D6172:D9015,K6172:K9015,"0",B6172:B9015,"5 1 2 4 7 12 31111 6 M59 20400 000132 0000R 00001 00247*")-SUMIFS(E6172:E9015,K6172:K9015,"0",B6172:B9015,"5 1 2 4 7 12 31111 6 M59 20400 000132 0000R 00001 00247*")</f>
        <v>0</v>
      </c>
      <c r="E6171"/>
      <c r="F6171" s="35">
        <f>SUMIFS(F6172:F9015,K6172:K9015,"0",B6172:B9015,"5 1 2 4 7 12 31111 6 M59 20400 000132 0000R 00001 00247*")</f>
        <v>2387.4299999999998</v>
      </c>
      <c r="G6171" s="35">
        <f>SUMIFS(G6172:G9015,K6172:K9015,"0",B6172:B9015,"5 1 2 4 7 12 31111 6 M59 20400 000132 0000R 00001 00247*")</f>
        <v>0</v>
      </c>
      <c r="H6171" s="35">
        <f t="shared" si="97"/>
        <v>2387.4299999999998</v>
      </c>
      <c r="I6171" s="35"/>
      <c r="K6171" t="s">
        <v>15</v>
      </c>
    </row>
    <row r="6172" spans="2:11" ht="33" x14ac:dyDescent="0.2">
      <c r="B6172" s="33" t="s">
        <v>7169</v>
      </c>
      <c r="C6172" s="33" t="s">
        <v>1051</v>
      </c>
      <c r="D6172" s="35">
        <f>SUMIFS(D6173:D9015,K6173:K9015,"0",B6173:B9015,"5 1 2 4 7 12 31111 6 M59 20400 000132 0000R 00001 00247 015*")-SUMIFS(E6173:E9015,K6173:K9015,"0",B6173:B9015,"5 1 2 4 7 12 31111 6 M59 20400 000132 0000R 00001 00247 015*")</f>
        <v>0</v>
      </c>
      <c r="E6172"/>
      <c r="F6172" s="35">
        <f>SUMIFS(F6173:F9015,K6173:K9015,"0",B6173:B9015,"5 1 2 4 7 12 31111 6 M59 20400 000132 0000R 00001 00247 015*")</f>
        <v>2387.4299999999998</v>
      </c>
      <c r="G6172" s="35">
        <f>SUMIFS(G6173:G9015,K6173:K9015,"0",B6173:B9015,"5 1 2 4 7 12 31111 6 M59 20400 000132 0000R 00001 00247 015*")</f>
        <v>0</v>
      </c>
      <c r="H6172" s="35">
        <f t="shared" si="97"/>
        <v>2387.4299999999998</v>
      </c>
      <c r="I6172" s="35"/>
      <c r="K6172" t="s">
        <v>15</v>
      </c>
    </row>
    <row r="6173" spans="2:11" ht="33" x14ac:dyDescent="0.2">
      <c r="B6173" s="33" t="s">
        <v>7170</v>
      </c>
      <c r="C6173" s="33" t="s">
        <v>5830</v>
      </c>
      <c r="D6173" s="35">
        <f>SUMIFS(D6174:D9015,K6174:K9015,"0",B6174:B9015,"5 1 2 4 7 12 31111 6 M59 20400 000132 0000R 00001 00247 015 2112000*")-SUMIFS(E6174:E9015,K6174:K9015,"0",B6174:B9015,"5 1 2 4 7 12 31111 6 M59 20400 000132 0000R 00001 00247 015 2112000*")</f>
        <v>0</v>
      </c>
      <c r="E6173"/>
      <c r="F6173" s="35">
        <f>SUMIFS(F6174:F9015,K6174:K9015,"0",B6174:B9015,"5 1 2 4 7 12 31111 6 M59 20400 000132 0000R 00001 00247 015 2112000*")</f>
        <v>2387.4299999999998</v>
      </c>
      <c r="G6173" s="35">
        <f>SUMIFS(G6174:G9015,K6174:K9015,"0",B6174:B9015,"5 1 2 4 7 12 31111 6 M59 20400 000132 0000R 00001 00247 015 2112000*")</f>
        <v>0</v>
      </c>
      <c r="H6173" s="35">
        <f t="shared" si="97"/>
        <v>2387.4299999999998</v>
      </c>
      <c r="I6173" s="35"/>
      <c r="K6173" t="s">
        <v>15</v>
      </c>
    </row>
    <row r="6174" spans="2:11" ht="33" x14ac:dyDescent="0.2">
      <c r="B6174" s="33" t="s">
        <v>7171</v>
      </c>
      <c r="C6174" s="33" t="s">
        <v>660</v>
      </c>
      <c r="D6174" s="35">
        <f>SUMIFS(D6175:D9015,K6175:K9015,"0",B6175:B9015,"5 1 2 4 7 12 31111 6 M59 20400 000132 0000R 00001 00247 015 2112000 2024*")-SUMIFS(E6175:E9015,K6175:K9015,"0",B6175:B9015,"5 1 2 4 7 12 31111 6 M59 20400 000132 0000R 00001 00247 015 2112000 2024*")</f>
        <v>0</v>
      </c>
      <c r="E6174"/>
      <c r="F6174" s="35">
        <f>SUMIFS(F6175:F9015,K6175:K9015,"0",B6175:B9015,"5 1 2 4 7 12 31111 6 M59 20400 000132 0000R 00001 00247 015 2112000 2024*")</f>
        <v>2387.4299999999998</v>
      </c>
      <c r="G6174" s="35">
        <f>SUMIFS(G6175:G9015,K6175:K9015,"0",B6175:B9015,"5 1 2 4 7 12 31111 6 M59 20400 000132 0000R 00001 00247 015 2112000 2024*")</f>
        <v>0</v>
      </c>
      <c r="H6174" s="35">
        <f t="shared" si="97"/>
        <v>2387.4299999999998</v>
      </c>
      <c r="I6174" s="35"/>
      <c r="K6174" t="s">
        <v>15</v>
      </c>
    </row>
    <row r="6175" spans="2:11" ht="41.25" x14ac:dyDescent="0.2">
      <c r="B6175" s="33" t="s">
        <v>7172</v>
      </c>
      <c r="C6175" s="33" t="s">
        <v>1056</v>
      </c>
      <c r="D6175" s="35">
        <f>SUMIFS(D6176:D9015,K6176:K9015,"0",B6176:B9015,"5 1 2 4 7 12 31111 6 M59 20400 000132 0000R 00001 00247 015 2112000 2024 CP1PV404*")-SUMIFS(E6176:E9015,K6176:K9015,"0",B6176:B9015,"5 1 2 4 7 12 31111 6 M59 20400 000132 0000R 00001 00247 015 2112000 2024 CP1PV404*")</f>
        <v>0</v>
      </c>
      <c r="E6175"/>
      <c r="F6175" s="35">
        <f>SUMIFS(F6176:F9015,K6176:K9015,"0",B6176:B9015,"5 1 2 4 7 12 31111 6 M59 20400 000132 0000R 00001 00247 015 2112000 2024 CP1PV404*")</f>
        <v>2387.4299999999998</v>
      </c>
      <c r="G6175" s="35">
        <f>SUMIFS(G6176:G9015,K6176:K9015,"0",B6176:B9015,"5 1 2 4 7 12 31111 6 M59 20400 000132 0000R 00001 00247 015 2112000 2024 CP1PV404*")</f>
        <v>0</v>
      </c>
      <c r="H6175" s="35">
        <f t="shared" si="97"/>
        <v>2387.4299999999998</v>
      </c>
      <c r="I6175" s="35"/>
      <c r="K6175" t="s">
        <v>15</v>
      </c>
    </row>
    <row r="6176" spans="2:11" ht="41.25" x14ac:dyDescent="0.2">
      <c r="B6176" s="33" t="s">
        <v>7173</v>
      </c>
      <c r="C6176" s="33" t="s">
        <v>282</v>
      </c>
      <c r="D6176" s="35">
        <f>SUMIFS(D6177:D9015,K6177:K9015,"0",B6177:B9015,"5 1 2 4 7 12 31111 6 M59 20400 000132 0000R 00001 00247 015 2112000 2024 CP1PV404 001*")-SUMIFS(E6177:E9015,K6177:K9015,"0",B6177:B9015,"5 1 2 4 7 12 31111 6 M59 20400 000132 0000R 00001 00247 015 2112000 2024 CP1PV404 001*")</f>
        <v>0</v>
      </c>
      <c r="E6176"/>
      <c r="F6176" s="35">
        <f>SUMIFS(F6177:F9015,K6177:K9015,"0",B6177:B9015,"5 1 2 4 7 12 31111 6 M59 20400 000132 0000R 00001 00247 015 2112000 2024 CP1PV404 001*")</f>
        <v>2387.4299999999998</v>
      </c>
      <c r="G6176" s="35">
        <f>SUMIFS(G6177:G9015,K6177:K9015,"0",B6177:B9015,"5 1 2 4 7 12 31111 6 M59 20400 000132 0000R 00001 00247 015 2112000 2024 CP1PV404 001*")</f>
        <v>0</v>
      </c>
      <c r="H6176" s="35">
        <f t="shared" si="97"/>
        <v>2387.4299999999998</v>
      </c>
      <c r="I6176" s="35"/>
      <c r="K6176" t="s">
        <v>15</v>
      </c>
    </row>
    <row r="6177" spans="2:11" ht="41.25" x14ac:dyDescent="0.2">
      <c r="B6177" s="31" t="s">
        <v>7174</v>
      </c>
      <c r="C6177" s="31" t="s">
        <v>7157</v>
      </c>
      <c r="D6177" s="34">
        <v>0</v>
      </c>
      <c r="E6177" s="34"/>
      <c r="F6177" s="34">
        <v>2387.4299999999998</v>
      </c>
      <c r="G6177" s="34">
        <v>0</v>
      </c>
      <c r="H6177" s="34">
        <f t="shared" si="97"/>
        <v>2387.4299999999998</v>
      </c>
      <c r="I6177" s="34"/>
      <c r="K6177" t="s">
        <v>38</v>
      </c>
    </row>
    <row r="6178" spans="2:11" ht="16.5" x14ac:dyDescent="0.2">
      <c r="B6178" s="33" t="s">
        <v>7175</v>
      </c>
      <c r="C6178" s="33" t="s">
        <v>3138</v>
      </c>
      <c r="D6178" s="35">
        <f>SUMIFS(D6179:D9015,K6179:K9015,"0",B6179:B9015,"5 1 2 4 7 12 31111 6 M59 20700*")-SUMIFS(E6179:E9015,K6179:K9015,"0",B6179:B9015,"5 1 2 4 7 12 31111 6 M59 20700*")</f>
        <v>0</v>
      </c>
      <c r="E6178"/>
      <c r="F6178" s="35">
        <f>SUMIFS(F6179:F9015,K6179:K9015,"0",B6179:B9015,"5 1 2 4 7 12 31111 6 M59 20700*")</f>
        <v>132.47</v>
      </c>
      <c r="G6178" s="35">
        <f>SUMIFS(G6179:G9015,K6179:K9015,"0",B6179:B9015,"5 1 2 4 7 12 31111 6 M59 20700*")</f>
        <v>0</v>
      </c>
      <c r="H6178" s="35">
        <f t="shared" si="97"/>
        <v>132.47</v>
      </c>
      <c r="I6178" s="35"/>
      <c r="K6178" t="s">
        <v>15</v>
      </c>
    </row>
    <row r="6179" spans="2:11" ht="16.5" x14ac:dyDescent="0.2">
      <c r="B6179" s="33" t="s">
        <v>7176</v>
      </c>
      <c r="C6179" s="33" t="s">
        <v>648</v>
      </c>
      <c r="D6179" s="35">
        <f>SUMIFS(D6180:D9015,K6180:K9015,"0",B6180:B9015,"5 1 2 4 7 12 31111 6 M59 20700 000132*")-SUMIFS(E6180:E9015,K6180:K9015,"0",B6180:B9015,"5 1 2 4 7 12 31111 6 M59 20700 000132*")</f>
        <v>0</v>
      </c>
      <c r="E6179"/>
      <c r="F6179" s="35">
        <f>SUMIFS(F6180:F9015,K6180:K9015,"0",B6180:B9015,"5 1 2 4 7 12 31111 6 M59 20700 000132*")</f>
        <v>132.47</v>
      </c>
      <c r="G6179" s="35">
        <f>SUMIFS(G6180:G9015,K6180:K9015,"0",B6180:B9015,"5 1 2 4 7 12 31111 6 M59 20700 000132*")</f>
        <v>0</v>
      </c>
      <c r="H6179" s="35">
        <f t="shared" si="97"/>
        <v>132.47</v>
      </c>
      <c r="I6179" s="35"/>
      <c r="K6179" t="s">
        <v>15</v>
      </c>
    </row>
    <row r="6180" spans="2:11" ht="24.75" x14ac:dyDescent="0.2">
      <c r="B6180" s="33" t="s">
        <v>7177</v>
      </c>
      <c r="C6180" s="33" t="s">
        <v>650</v>
      </c>
      <c r="D6180" s="35">
        <f>SUMIFS(D6181:D9015,K6181:K9015,"0",B6181:B9015,"5 1 2 4 7 12 31111 6 M59 20700 000132 0000R*")-SUMIFS(E6181:E9015,K6181:K9015,"0",B6181:B9015,"5 1 2 4 7 12 31111 6 M59 20700 000132 0000R*")</f>
        <v>0</v>
      </c>
      <c r="E6180"/>
      <c r="F6180" s="35">
        <f>SUMIFS(F6181:F9015,K6181:K9015,"0",B6181:B9015,"5 1 2 4 7 12 31111 6 M59 20700 000132 0000R*")</f>
        <v>132.47</v>
      </c>
      <c r="G6180" s="35">
        <f>SUMIFS(G6181:G9015,K6181:K9015,"0",B6181:B9015,"5 1 2 4 7 12 31111 6 M59 20700 000132 0000R*")</f>
        <v>0</v>
      </c>
      <c r="H6180" s="35">
        <f t="shared" si="97"/>
        <v>132.47</v>
      </c>
      <c r="I6180" s="35"/>
      <c r="K6180" t="s">
        <v>15</v>
      </c>
    </row>
    <row r="6181" spans="2:11" ht="24.75" x14ac:dyDescent="0.2">
      <c r="B6181" s="33" t="s">
        <v>7178</v>
      </c>
      <c r="C6181" s="33" t="s">
        <v>282</v>
      </c>
      <c r="D6181" s="35">
        <f>SUMIFS(D6182:D9015,K6182:K9015,"0",B6182:B9015,"5 1 2 4 7 12 31111 6 M59 20700 000132 0000R 00001*")-SUMIFS(E6182:E9015,K6182:K9015,"0",B6182:B9015,"5 1 2 4 7 12 31111 6 M59 20700 000132 0000R 00001*")</f>
        <v>0</v>
      </c>
      <c r="E6181"/>
      <c r="F6181" s="35">
        <f>SUMIFS(F6182:F9015,K6182:K9015,"0",B6182:B9015,"5 1 2 4 7 12 31111 6 M59 20700 000132 0000R 00001*")</f>
        <v>132.47</v>
      </c>
      <c r="G6181" s="35">
        <f>SUMIFS(G6182:G9015,K6182:K9015,"0",B6182:B9015,"5 1 2 4 7 12 31111 6 M59 20700 000132 0000R 00001*")</f>
        <v>0</v>
      </c>
      <c r="H6181" s="35">
        <f t="shared" si="97"/>
        <v>132.47</v>
      </c>
      <c r="I6181" s="35"/>
      <c r="K6181" t="s">
        <v>15</v>
      </c>
    </row>
    <row r="6182" spans="2:11" ht="24.75" x14ac:dyDescent="0.2">
      <c r="B6182" s="33" t="s">
        <v>7179</v>
      </c>
      <c r="C6182" s="33" t="s">
        <v>7157</v>
      </c>
      <c r="D6182" s="35">
        <f>SUMIFS(D6183:D9015,K6183:K9015,"0",B6183:B9015,"5 1 2 4 7 12 31111 6 M59 20700 000132 0000R 00001 00247*")-SUMIFS(E6183:E9015,K6183:K9015,"0",B6183:B9015,"5 1 2 4 7 12 31111 6 M59 20700 000132 0000R 00001 00247*")</f>
        <v>0</v>
      </c>
      <c r="E6182"/>
      <c r="F6182" s="35">
        <f>SUMIFS(F6183:F9015,K6183:K9015,"0",B6183:B9015,"5 1 2 4 7 12 31111 6 M59 20700 000132 0000R 00001 00247*")</f>
        <v>132.47</v>
      </c>
      <c r="G6182" s="35">
        <f>SUMIFS(G6183:G9015,K6183:K9015,"0",B6183:B9015,"5 1 2 4 7 12 31111 6 M59 20700 000132 0000R 00001 00247*")</f>
        <v>0</v>
      </c>
      <c r="H6182" s="35">
        <f t="shared" si="97"/>
        <v>132.47</v>
      </c>
      <c r="I6182" s="35"/>
      <c r="K6182" t="s">
        <v>15</v>
      </c>
    </row>
    <row r="6183" spans="2:11" ht="33" x14ac:dyDescent="0.2">
      <c r="B6183" s="33" t="s">
        <v>7180</v>
      </c>
      <c r="C6183" s="33" t="s">
        <v>1051</v>
      </c>
      <c r="D6183" s="35">
        <f>SUMIFS(D6184:D9015,K6184:K9015,"0",B6184:B9015,"5 1 2 4 7 12 31111 6 M59 20700 000132 0000R 00001 00247 015*")-SUMIFS(E6184:E9015,K6184:K9015,"0",B6184:B9015,"5 1 2 4 7 12 31111 6 M59 20700 000132 0000R 00001 00247 015*")</f>
        <v>0</v>
      </c>
      <c r="E6183"/>
      <c r="F6183" s="35">
        <f>SUMIFS(F6184:F9015,K6184:K9015,"0",B6184:B9015,"5 1 2 4 7 12 31111 6 M59 20700 000132 0000R 00001 00247 015*")</f>
        <v>132.47</v>
      </c>
      <c r="G6183" s="35">
        <f>SUMIFS(G6184:G9015,K6184:K9015,"0",B6184:B9015,"5 1 2 4 7 12 31111 6 M59 20700 000132 0000R 00001 00247 015*")</f>
        <v>0</v>
      </c>
      <c r="H6183" s="35">
        <f t="shared" si="97"/>
        <v>132.47</v>
      </c>
      <c r="I6183" s="35"/>
      <c r="K6183" t="s">
        <v>15</v>
      </c>
    </row>
    <row r="6184" spans="2:11" ht="33" x14ac:dyDescent="0.2">
      <c r="B6184" s="33" t="s">
        <v>7181</v>
      </c>
      <c r="C6184" s="33" t="s">
        <v>5830</v>
      </c>
      <c r="D6184" s="35">
        <f>SUMIFS(D6185:D9015,K6185:K9015,"0",B6185:B9015,"5 1 2 4 7 12 31111 6 M59 20700 000132 0000R 00001 00247 015 2112000*")-SUMIFS(E6185:E9015,K6185:K9015,"0",B6185:B9015,"5 1 2 4 7 12 31111 6 M59 20700 000132 0000R 00001 00247 015 2112000*")</f>
        <v>0</v>
      </c>
      <c r="E6184"/>
      <c r="F6184" s="35">
        <f>SUMIFS(F6185:F9015,K6185:K9015,"0",B6185:B9015,"5 1 2 4 7 12 31111 6 M59 20700 000132 0000R 00001 00247 015 2112000*")</f>
        <v>132.47</v>
      </c>
      <c r="G6184" s="35">
        <f>SUMIFS(G6185:G9015,K6185:K9015,"0",B6185:B9015,"5 1 2 4 7 12 31111 6 M59 20700 000132 0000R 00001 00247 015 2112000*")</f>
        <v>0</v>
      </c>
      <c r="H6184" s="35">
        <f t="shared" si="97"/>
        <v>132.47</v>
      </c>
      <c r="I6184" s="35"/>
      <c r="K6184" t="s">
        <v>15</v>
      </c>
    </row>
    <row r="6185" spans="2:11" ht="33" x14ac:dyDescent="0.2">
      <c r="B6185" s="33" t="s">
        <v>7182</v>
      </c>
      <c r="C6185" s="33" t="s">
        <v>660</v>
      </c>
      <c r="D6185" s="35">
        <f>SUMIFS(D6186:D9015,K6186:K9015,"0",B6186:B9015,"5 1 2 4 7 12 31111 6 M59 20700 000132 0000R 00001 00247 015 2112000 2024*")-SUMIFS(E6186:E9015,K6186:K9015,"0",B6186:B9015,"5 1 2 4 7 12 31111 6 M59 20700 000132 0000R 00001 00247 015 2112000 2024*")</f>
        <v>0</v>
      </c>
      <c r="E6185"/>
      <c r="F6185" s="35">
        <f>SUMIFS(F6186:F9015,K6186:K9015,"0",B6186:B9015,"5 1 2 4 7 12 31111 6 M59 20700 000132 0000R 00001 00247 015 2112000 2024*")</f>
        <v>132.47</v>
      </c>
      <c r="G6185" s="35">
        <f>SUMIFS(G6186:G9015,K6186:K9015,"0",B6186:B9015,"5 1 2 4 7 12 31111 6 M59 20700 000132 0000R 00001 00247 015 2112000 2024*")</f>
        <v>0</v>
      </c>
      <c r="H6185" s="35">
        <f t="shared" si="97"/>
        <v>132.47</v>
      </c>
      <c r="I6185" s="35"/>
      <c r="K6185" t="s">
        <v>15</v>
      </c>
    </row>
    <row r="6186" spans="2:11" ht="41.25" x14ac:dyDescent="0.2">
      <c r="B6186" s="33" t="s">
        <v>7183</v>
      </c>
      <c r="C6186" s="33" t="s">
        <v>662</v>
      </c>
      <c r="D6186" s="35">
        <f>SUMIFS(D6187:D9015,K6187:K9015,"0",B6187:B9015,"5 1 2 4 7 12 31111 6 M59 20700 000132 0000R 00001 00247 015 2112000 2024 CP1RM401*")-SUMIFS(E6187:E9015,K6187:K9015,"0",B6187:B9015,"5 1 2 4 7 12 31111 6 M59 20700 000132 0000R 00001 00247 015 2112000 2024 CP1RM401*")</f>
        <v>0</v>
      </c>
      <c r="E6186"/>
      <c r="F6186" s="35">
        <f>SUMIFS(F6187:F9015,K6187:K9015,"0",B6187:B9015,"5 1 2 4 7 12 31111 6 M59 20700 000132 0000R 00001 00247 015 2112000 2024 CP1RM401*")</f>
        <v>132.47</v>
      </c>
      <c r="G6186" s="35">
        <f>SUMIFS(G6187:G9015,K6187:K9015,"0",B6187:B9015,"5 1 2 4 7 12 31111 6 M59 20700 000132 0000R 00001 00247 015 2112000 2024 CP1RM401*")</f>
        <v>0</v>
      </c>
      <c r="H6186" s="35">
        <f t="shared" si="97"/>
        <v>132.47</v>
      </c>
      <c r="I6186" s="35"/>
      <c r="K6186" t="s">
        <v>15</v>
      </c>
    </row>
    <row r="6187" spans="2:11" ht="41.25" x14ac:dyDescent="0.2">
      <c r="B6187" s="33" t="s">
        <v>7184</v>
      </c>
      <c r="C6187" s="33" t="s">
        <v>282</v>
      </c>
      <c r="D6187" s="35">
        <f>SUMIFS(D6188:D9015,K6188:K9015,"0",B6188:B9015,"5 1 2 4 7 12 31111 6 M59 20700 000132 0000R 00001 00247 015 2112000 2024 CP1RM401 001*")-SUMIFS(E6188:E9015,K6188:K9015,"0",B6188:B9015,"5 1 2 4 7 12 31111 6 M59 20700 000132 0000R 00001 00247 015 2112000 2024 CP1RM401 001*")</f>
        <v>0</v>
      </c>
      <c r="E6187"/>
      <c r="F6187" s="35">
        <f>SUMIFS(F6188:F9015,K6188:K9015,"0",B6188:B9015,"5 1 2 4 7 12 31111 6 M59 20700 000132 0000R 00001 00247 015 2112000 2024 CP1RM401 001*")</f>
        <v>132.47</v>
      </c>
      <c r="G6187" s="35">
        <f>SUMIFS(G6188:G9015,K6188:K9015,"0",B6188:B9015,"5 1 2 4 7 12 31111 6 M59 20700 000132 0000R 00001 00247 015 2112000 2024 CP1RM401 001*")</f>
        <v>0</v>
      </c>
      <c r="H6187" s="35">
        <f t="shared" si="97"/>
        <v>132.47</v>
      </c>
      <c r="I6187" s="35"/>
      <c r="K6187" t="s">
        <v>15</v>
      </c>
    </row>
    <row r="6188" spans="2:11" ht="33" x14ac:dyDescent="0.2">
      <c r="B6188" s="31" t="s">
        <v>7185</v>
      </c>
      <c r="C6188" s="31" t="s">
        <v>7157</v>
      </c>
      <c r="D6188" s="34">
        <v>0</v>
      </c>
      <c r="E6188" s="34"/>
      <c r="F6188" s="34">
        <v>132.47</v>
      </c>
      <c r="G6188" s="34">
        <v>0</v>
      </c>
      <c r="H6188" s="34">
        <f t="shared" si="97"/>
        <v>132.47</v>
      </c>
      <c r="I6188" s="34"/>
      <c r="K6188" t="s">
        <v>38</v>
      </c>
    </row>
    <row r="6189" spans="2:11" ht="16.5" x14ac:dyDescent="0.2">
      <c r="B6189" s="33" t="s">
        <v>7186</v>
      </c>
      <c r="C6189" s="33" t="s">
        <v>3281</v>
      </c>
      <c r="D6189" s="35">
        <f>SUMIFS(D6190:D9015,K6190:K9015,"0",B6190:B9015,"5 1 2 4 7 12 31111 6 M59 50000*")-SUMIFS(E6190:E9015,K6190:K9015,"0",B6190:B9015,"5 1 2 4 7 12 31111 6 M59 50000*")</f>
        <v>0</v>
      </c>
      <c r="E6189"/>
      <c r="F6189" s="35">
        <f>SUMIFS(F6190:F9015,K6190:K9015,"0",B6190:B9015,"5 1 2 4 7 12 31111 6 M59 50000*")</f>
        <v>157646.88</v>
      </c>
      <c r="G6189" s="35">
        <f>SUMIFS(G6190:G9015,K6190:K9015,"0",B6190:B9015,"5 1 2 4 7 12 31111 6 M59 50000*")</f>
        <v>0</v>
      </c>
      <c r="H6189" s="35">
        <f t="shared" si="97"/>
        <v>157646.88</v>
      </c>
      <c r="I6189" s="35"/>
      <c r="K6189" t="s">
        <v>15</v>
      </c>
    </row>
    <row r="6190" spans="2:11" ht="16.5" x14ac:dyDescent="0.2">
      <c r="B6190" s="33" t="s">
        <v>7187</v>
      </c>
      <c r="C6190" s="33" t="s">
        <v>3283</v>
      </c>
      <c r="D6190" s="35">
        <f>SUMIFS(D6191:D9015,K6191:K9015,"0",B6191:B9015,"5 1 2 4 7 12 31111 6 M59 50000 000223*")-SUMIFS(E6191:E9015,K6191:K9015,"0",B6191:B9015,"5 1 2 4 7 12 31111 6 M59 50000 000223*")</f>
        <v>0</v>
      </c>
      <c r="E6190"/>
      <c r="F6190" s="35">
        <f>SUMIFS(F6191:F9015,K6191:K9015,"0",B6191:B9015,"5 1 2 4 7 12 31111 6 M59 50000 000223*")</f>
        <v>157646.88</v>
      </c>
      <c r="G6190" s="35">
        <f>SUMIFS(G6191:G9015,K6191:K9015,"0",B6191:B9015,"5 1 2 4 7 12 31111 6 M59 50000 000223*")</f>
        <v>0</v>
      </c>
      <c r="H6190" s="35">
        <f t="shared" si="97"/>
        <v>157646.88</v>
      </c>
      <c r="I6190" s="35"/>
      <c r="K6190" t="s">
        <v>15</v>
      </c>
    </row>
    <row r="6191" spans="2:11" ht="24.75" x14ac:dyDescent="0.2">
      <c r="B6191" s="33" t="s">
        <v>7188</v>
      </c>
      <c r="C6191" s="33" t="s">
        <v>1065</v>
      </c>
      <c r="D6191" s="35">
        <f>SUMIFS(D6192:D9015,K6192:K9015,"0",B6192:B9015,"5 1 2 4 7 12 31111 6 M59 50000 000223 0000E*")-SUMIFS(E6192:E9015,K6192:K9015,"0",B6192:B9015,"5 1 2 4 7 12 31111 6 M59 50000 000223 0000E*")</f>
        <v>0</v>
      </c>
      <c r="E6191"/>
      <c r="F6191" s="35">
        <f>SUMIFS(F6192:F9015,K6192:K9015,"0",B6192:B9015,"5 1 2 4 7 12 31111 6 M59 50000 000223 0000E*")</f>
        <v>157646.88</v>
      </c>
      <c r="G6191" s="35">
        <f>SUMIFS(G6192:G9015,K6192:K9015,"0",B6192:B9015,"5 1 2 4 7 12 31111 6 M59 50000 000223 0000E*")</f>
        <v>0</v>
      </c>
      <c r="H6191" s="35">
        <f t="shared" si="97"/>
        <v>157646.88</v>
      </c>
      <c r="I6191" s="35"/>
      <c r="K6191" t="s">
        <v>15</v>
      </c>
    </row>
    <row r="6192" spans="2:11" ht="24.75" x14ac:dyDescent="0.2">
      <c r="B6192" s="33" t="s">
        <v>7189</v>
      </c>
      <c r="C6192" s="33" t="s">
        <v>282</v>
      </c>
      <c r="D6192" s="35">
        <f>SUMIFS(D6193:D9015,K6193:K9015,"0",B6193:B9015,"5 1 2 4 7 12 31111 6 M59 50000 000223 0000E 00001*")-SUMIFS(E6193:E9015,K6193:K9015,"0",B6193:B9015,"5 1 2 4 7 12 31111 6 M59 50000 000223 0000E 00001*")</f>
        <v>0</v>
      </c>
      <c r="E6192"/>
      <c r="F6192" s="35">
        <f>SUMIFS(F6193:F9015,K6193:K9015,"0",B6193:B9015,"5 1 2 4 7 12 31111 6 M59 50000 000223 0000E 00001*")</f>
        <v>157646.88</v>
      </c>
      <c r="G6192" s="35">
        <f>SUMIFS(G6193:G9015,K6193:K9015,"0",B6193:B9015,"5 1 2 4 7 12 31111 6 M59 50000 000223 0000E 00001*")</f>
        <v>0</v>
      </c>
      <c r="H6192" s="35">
        <f t="shared" si="97"/>
        <v>157646.88</v>
      </c>
      <c r="I6192" s="35"/>
      <c r="K6192" t="s">
        <v>15</v>
      </c>
    </row>
    <row r="6193" spans="2:11" ht="24.75" x14ac:dyDescent="0.2">
      <c r="B6193" s="33" t="s">
        <v>7190</v>
      </c>
      <c r="C6193" s="33" t="s">
        <v>7157</v>
      </c>
      <c r="D6193" s="35">
        <f>SUMIFS(D6194:D9015,K6194:K9015,"0",B6194:B9015,"5 1 2 4 7 12 31111 6 M59 50000 000223 0000E 00001 00247*")-SUMIFS(E6194:E9015,K6194:K9015,"0",B6194:B9015,"5 1 2 4 7 12 31111 6 M59 50000 000223 0000E 00001 00247*")</f>
        <v>0</v>
      </c>
      <c r="E6193"/>
      <c r="F6193" s="35">
        <f>SUMIFS(F6194:F9015,K6194:K9015,"0",B6194:B9015,"5 1 2 4 7 12 31111 6 M59 50000 000223 0000E 00001 00247*")</f>
        <v>157646.88</v>
      </c>
      <c r="G6193" s="35">
        <f>SUMIFS(G6194:G9015,K6194:K9015,"0",B6194:B9015,"5 1 2 4 7 12 31111 6 M59 50000 000223 0000E 00001 00247*")</f>
        <v>0</v>
      </c>
      <c r="H6193" s="35">
        <f t="shared" si="97"/>
        <v>157646.88</v>
      </c>
      <c r="I6193" s="35"/>
      <c r="K6193" t="s">
        <v>15</v>
      </c>
    </row>
    <row r="6194" spans="2:11" ht="33" x14ac:dyDescent="0.2">
      <c r="B6194" s="33" t="s">
        <v>7191</v>
      </c>
      <c r="C6194" s="33" t="s">
        <v>1051</v>
      </c>
      <c r="D6194" s="35">
        <f>SUMIFS(D6195:D9015,K6195:K9015,"0",B6195:B9015,"5 1 2 4 7 12 31111 6 M59 50000 000223 0000E 00001 00247 015*")-SUMIFS(E6195:E9015,K6195:K9015,"0",B6195:B9015,"5 1 2 4 7 12 31111 6 M59 50000 000223 0000E 00001 00247 015*")</f>
        <v>0</v>
      </c>
      <c r="E6194"/>
      <c r="F6194" s="35">
        <f>SUMIFS(F6195:F9015,K6195:K9015,"0",B6195:B9015,"5 1 2 4 7 12 31111 6 M59 50000 000223 0000E 00001 00247 015*")</f>
        <v>157646.88</v>
      </c>
      <c r="G6194" s="35">
        <f>SUMIFS(G6195:G9015,K6195:K9015,"0",B6195:B9015,"5 1 2 4 7 12 31111 6 M59 50000 000223 0000E 00001 00247 015*")</f>
        <v>0</v>
      </c>
      <c r="H6194" s="35">
        <f t="shared" si="97"/>
        <v>157646.88</v>
      </c>
      <c r="I6194" s="35"/>
      <c r="K6194" t="s">
        <v>15</v>
      </c>
    </row>
    <row r="6195" spans="2:11" ht="33" x14ac:dyDescent="0.2">
      <c r="B6195" s="33" t="s">
        <v>7192</v>
      </c>
      <c r="C6195" s="33" t="s">
        <v>5830</v>
      </c>
      <c r="D6195" s="35">
        <f>SUMIFS(D6196:D9015,K6196:K9015,"0",B6196:B9015,"5 1 2 4 7 12 31111 6 M59 50000 000223 0000E 00001 00247 015 2112000*")-SUMIFS(E6196:E9015,K6196:K9015,"0",B6196:B9015,"5 1 2 4 7 12 31111 6 M59 50000 000223 0000E 00001 00247 015 2112000*")</f>
        <v>0</v>
      </c>
      <c r="E6195"/>
      <c r="F6195" s="35">
        <f>SUMIFS(F6196:F9015,K6196:K9015,"0",B6196:B9015,"5 1 2 4 7 12 31111 6 M59 50000 000223 0000E 00001 00247 015 2112000*")</f>
        <v>157646.88</v>
      </c>
      <c r="G6195" s="35">
        <f>SUMIFS(G6196:G9015,K6196:K9015,"0",B6196:B9015,"5 1 2 4 7 12 31111 6 M59 50000 000223 0000E 00001 00247 015 2112000*")</f>
        <v>0</v>
      </c>
      <c r="H6195" s="35">
        <f t="shared" si="97"/>
        <v>157646.88</v>
      </c>
      <c r="I6195" s="35"/>
      <c r="K6195" t="s">
        <v>15</v>
      </c>
    </row>
    <row r="6196" spans="2:11" ht="33" x14ac:dyDescent="0.2">
      <c r="B6196" s="33" t="s">
        <v>7193</v>
      </c>
      <c r="C6196" s="33" t="s">
        <v>660</v>
      </c>
      <c r="D6196" s="35">
        <f>SUMIFS(D6197:D9015,K6197:K9015,"0",B6197:B9015,"5 1 2 4 7 12 31111 6 M59 50000 000223 0000E 00001 00247 015 2112000 2024*")-SUMIFS(E6197:E9015,K6197:K9015,"0",B6197:B9015,"5 1 2 4 7 12 31111 6 M59 50000 000223 0000E 00001 00247 015 2112000 2024*")</f>
        <v>0</v>
      </c>
      <c r="E6196"/>
      <c r="F6196" s="35">
        <f>SUMIFS(F6197:F9015,K6197:K9015,"0",B6197:B9015,"5 1 2 4 7 12 31111 6 M59 50000 000223 0000E 00001 00247 015 2112000 2024*")</f>
        <v>157646.88</v>
      </c>
      <c r="G6196" s="35">
        <f>SUMIFS(G6197:G9015,K6197:K9015,"0",B6197:B9015,"5 1 2 4 7 12 31111 6 M59 50000 000223 0000E 00001 00247 015 2112000 2024*")</f>
        <v>0</v>
      </c>
      <c r="H6196" s="35">
        <f t="shared" si="97"/>
        <v>157646.88</v>
      </c>
      <c r="I6196" s="35"/>
      <c r="K6196" t="s">
        <v>15</v>
      </c>
    </row>
    <row r="6197" spans="2:11" ht="41.25" x14ac:dyDescent="0.2">
      <c r="B6197" s="33" t="s">
        <v>7194</v>
      </c>
      <c r="C6197" s="33" t="s">
        <v>662</v>
      </c>
      <c r="D6197" s="35">
        <f>SUMIFS(D6198:D9015,K6198:K9015,"0",B6198:B9015,"5 1 2 4 7 12 31111 6 M59 50000 000223 0000E 00001 00247 015 2112000 2024 CP1DA424*")-SUMIFS(E6198:E9015,K6198:K9015,"0",B6198:B9015,"5 1 2 4 7 12 31111 6 M59 50000 000223 0000E 00001 00247 015 2112000 2024 CP1DA424*")</f>
        <v>0</v>
      </c>
      <c r="E6197"/>
      <c r="F6197" s="35">
        <f>SUMIFS(F6198:F9015,K6198:K9015,"0",B6198:B9015,"5 1 2 4 7 12 31111 6 M59 50000 000223 0000E 00001 00247 015 2112000 2024 CP1DA424*")</f>
        <v>157646.88</v>
      </c>
      <c r="G6197" s="35">
        <f>SUMIFS(G6198:G9015,K6198:K9015,"0",B6198:B9015,"5 1 2 4 7 12 31111 6 M59 50000 000223 0000E 00001 00247 015 2112000 2024 CP1DA424*")</f>
        <v>0</v>
      </c>
      <c r="H6197" s="35">
        <f t="shared" si="97"/>
        <v>157646.88</v>
      </c>
      <c r="I6197" s="35"/>
      <c r="K6197" t="s">
        <v>15</v>
      </c>
    </row>
    <row r="6198" spans="2:11" ht="41.25" x14ac:dyDescent="0.2">
      <c r="B6198" s="33" t="s">
        <v>7195</v>
      </c>
      <c r="C6198" s="33" t="s">
        <v>282</v>
      </c>
      <c r="D6198" s="35">
        <f>SUMIFS(D6199:D9015,K6199:K9015,"0",B6199:B9015,"5 1 2 4 7 12 31111 6 M59 50000 000223 0000E 00001 00247 015 2112000 2024 CP1DA424 001*")-SUMIFS(E6199:E9015,K6199:K9015,"0",B6199:B9015,"5 1 2 4 7 12 31111 6 M59 50000 000223 0000E 00001 00247 015 2112000 2024 CP1DA424 001*")</f>
        <v>0</v>
      </c>
      <c r="E6198"/>
      <c r="F6198" s="35">
        <f>SUMIFS(F6199:F9015,K6199:K9015,"0",B6199:B9015,"5 1 2 4 7 12 31111 6 M59 50000 000223 0000E 00001 00247 015 2112000 2024 CP1DA424 001*")</f>
        <v>157646.88</v>
      </c>
      <c r="G6198" s="35">
        <f>SUMIFS(G6199:G9015,K6199:K9015,"0",B6199:B9015,"5 1 2 4 7 12 31111 6 M59 50000 000223 0000E 00001 00247 015 2112000 2024 CP1DA424 001*")</f>
        <v>0</v>
      </c>
      <c r="H6198" s="35">
        <f t="shared" si="97"/>
        <v>157646.88</v>
      </c>
      <c r="I6198" s="35"/>
      <c r="K6198" t="s">
        <v>15</v>
      </c>
    </row>
    <row r="6199" spans="2:11" ht="41.25" x14ac:dyDescent="0.2">
      <c r="B6199" s="31" t="s">
        <v>7196</v>
      </c>
      <c r="C6199" s="31" t="s">
        <v>7147</v>
      </c>
      <c r="D6199" s="34">
        <v>0</v>
      </c>
      <c r="E6199" s="34"/>
      <c r="F6199" s="34">
        <v>157646.88</v>
      </c>
      <c r="G6199" s="34">
        <v>0</v>
      </c>
      <c r="H6199" s="34">
        <f t="shared" si="97"/>
        <v>157646.88</v>
      </c>
      <c r="I6199" s="34"/>
      <c r="K6199" t="s">
        <v>38</v>
      </c>
    </row>
    <row r="6200" spans="2:11" ht="16.5" x14ac:dyDescent="0.2">
      <c r="B6200" s="33" t="s">
        <v>7197</v>
      </c>
      <c r="C6200" s="33" t="s">
        <v>1269</v>
      </c>
      <c r="D6200" s="35">
        <f>SUMIFS(D6201:D9015,K6201:K9015,"0",B6201:B9015,"5 1 2 4 7 12 31111 6 M59 60100*")-SUMIFS(E6201:E9015,K6201:K9015,"0",B6201:B9015,"5 1 2 4 7 12 31111 6 M59 60100*")</f>
        <v>0</v>
      </c>
      <c r="E6200"/>
      <c r="F6200" s="35">
        <f>SUMIFS(F6201:F9015,K6201:K9015,"0",B6201:B9015,"5 1 2 4 7 12 31111 6 M59 60100*")</f>
        <v>665.47</v>
      </c>
      <c r="G6200" s="35">
        <f>SUMIFS(G6201:G9015,K6201:K9015,"0",B6201:B9015,"5 1 2 4 7 12 31111 6 M59 60100*")</f>
        <v>0</v>
      </c>
      <c r="H6200" s="35">
        <f t="shared" si="97"/>
        <v>665.47</v>
      </c>
      <c r="I6200" s="35"/>
      <c r="K6200" t="s">
        <v>15</v>
      </c>
    </row>
    <row r="6201" spans="2:11" ht="16.5" x14ac:dyDescent="0.2">
      <c r="B6201" s="33" t="s">
        <v>7198</v>
      </c>
      <c r="C6201" s="33" t="s">
        <v>648</v>
      </c>
      <c r="D6201" s="35">
        <f>SUMIFS(D6202:D9015,K6202:K9015,"0",B6202:B9015,"5 1 2 4 7 12 31111 6 M59 60100 000132*")-SUMIFS(E6202:E9015,K6202:K9015,"0",B6202:B9015,"5 1 2 4 7 12 31111 6 M59 60100 000132*")</f>
        <v>0</v>
      </c>
      <c r="E6201"/>
      <c r="F6201" s="35">
        <f>SUMIFS(F6202:F9015,K6202:K9015,"0",B6202:B9015,"5 1 2 4 7 12 31111 6 M59 60100 000132*")</f>
        <v>665.47</v>
      </c>
      <c r="G6201" s="35">
        <f>SUMIFS(G6202:G9015,K6202:K9015,"0",B6202:B9015,"5 1 2 4 7 12 31111 6 M59 60100 000132*")</f>
        <v>0</v>
      </c>
      <c r="H6201" s="35">
        <f t="shared" si="97"/>
        <v>665.47</v>
      </c>
      <c r="I6201" s="35"/>
      <c r="K6201" t="s">
        <v>15</v>
      </c>
    </row>
    <row r="6202" spans="2:11" ht="24.75" x14ac:dyDescent="0.2">
      <c r="B6202" s="33" t="s">
        <v>7199</v>
      </c>
      <c r="C6202" s="33" t="s">
        <v>650</v>
      </c>
      <c r="D6202" s="35">
        <f>SUMIFS(D6203:D9015,K6203:K9015,"0",B6203:B9015,"5 1 2 4 7 12 31111 6 M59 60100 000132 0000R*")-SUMIFS(E6203:E9015,K6203:K9015,"0",B6203:B9015,"5 1 2 4 7 12 31111 6 M59 60100 000132 0000R*")</f>
        <v>0</v>
      </c>
      <c r="E6202"/>
      <c r="F6202" s="35">
        <f>SUMIFS(F6203:F9015,K6203:K9015,"0",B6203:B9015,"5 1 2 4 7 12 31111 6 M59 60100 000132 0000R*")</f>
        <v>665.47</v>
      </c>
      <c r="G6202" s="35">
        <f>SUMIFS(G6203:G9015,K6203:K9015,"0",B6203:B9015,"5 1 2 4 7 12 31111 6 M59 60100 000132 0000R*")</f>
        <v>0</v>
      </c>
      <c r="H6202" s="35">
        <f t="shared" si="97"/>
        <v>665.47</v>
      </c>
      <c r="I6202" s="35"/>
      <c r="K6202" t="s">
        <v>15</v>
      </c>
    </row>
    <row r="6203" spans="2:11" ht="24.75" x14ac:dyDescent="0.2">
      <c r="B6203" s="33" t="s">
        <v>7200</v>
      </c>
      <c r="C6203" s="33" t="s">
        <v>282</v>
      </c>
      <c r="D6203" s="35">
        <f>SUMIFS(D6204:D9015,K6204:K9015,"0",B6204:B9015,"5 1 2 4 7 12 31111 6 M59 60100 000132 0000R 00001*")-SUMIFS(E6204:E9015,K6204:K9015,"0",B6204:B9015,"5 1 2 4 7 12 31111 6 M59 60100 000132 0000R 00001*")</f>
        <v>0</v>
      </c>
      <c r="E6203"/>
      <c r="F6203" s="35">
        <f>SUMIFS(F6204:F9015,K6204:K9015,"0",B6204:B9015,"5 1 2 4 7 12 31111 6 M59 60100 000132 0000R 00001*")</f>
        <v>665.47</v>
      </c>
      <c r="G6203" s="35">
        <f>SUMIFS(G6204:G9015,K6204:K9015,"0",B6204:B9015,"5 1 2 4 7 12 31111 6 M59 60100 000132 0000R 00001*")</f>
        <v>0</v>
      </c>
      <c r="H6203" s="35">
        <f t="shared" si="97"/>
        <v>665.47</v>
      </c>
      <c r="I6203" s="35"/>
      <c r="K6203" t="s">
        <v>15</v>
      </c>
    </row>
    <row r="6204" spans="2:11" ht="24.75" x14ac:dyDescent="0.2">
      <c r="B6204" s="33" t="s">
        <v>7201</v>
      </c>
      <c r="C6204" s="33" t="s">
        <v>7157</v>
      </c>
      <c r="D6204" s="35">
        <f>SUMIFS(D6205:D9015,K6205:K9015,"0",B6205:B9015,"5 1 2 4 7 12 31111 6 M59 60100 000132 0000R 00001 00247*")-SUMIFS(E6205:E9015,K6205:K9015,"0",B6205:B9015,"5 1 2 4 7 12 31111 6 M59 60100 000132 0000R 00001 00247*")</f>
        <v>0</v>
      </c>
      <c r="E6204"/>
      <c r="F6204" s="35">
        <f>SUMIFS(F6205:F9015,K6205:K9015,"0",B6205:B9015,"5 1 2 4 7 12 31111 6 M59 60100 000132 0000R 00001 00247*")</f>
        <v>665.47</v>
      </c>
      <c r="G6204" s="35">
        <f>SUMIFS(G6205:G9015,K6205:K9015,"0",B6205:B9015,"5 1 2 4 7 12 31111 6 M59 60100 000132 0000R 00001 00247*")</f>
        <v>0</v>
      </c>
      <c r="H6204" s="35">
        <f t="shared" si="97"/>
        <v>665.47</v>
      </c>
      <c r="I6204" s="35"/>
      <c r="K6204" t="s">
        <v>15</v>
      </c>
    </row>
    <row r="6205" spans="2:11" ht="33" x14ac:dyDescent="0.2">
      <c r="B6205" s="33" t="s">
        <v>7202</v>
      </c>
      <c r="C6205" s="33" t="s">
        <v>1051</v>
      </c>
      <c r="D6205" s="35">
        <f>SUMIFS(D6206:D9015,K6206:K9015,"0",B6206:B9015,"5 1 2 4 7 12 31111 6 M59 60100 000132 0000R 00001 00247 015*")-SUMIFS(E6206:E9015,K6206:K9015,"0",B6206:B9015,"5 1 2 4 7 12 31111 6 M59 60100 000132 0000R 00001 00247 015*")</f>
        <v>0</v>
      </c>
      <c r="E6205"/>
      <c r="F6205" s="35">
        <f>SUMIFS(F6206:F9015,K6206:K9015,"0",B6206:B9015,"5 1 2 4 7 12 31111 6 M59 60100 000132 0000R 00001 00247 015*")</f>
        <v>665.47</v>
      </c>
      <c r="G6205" s="35">
        <f>SUMIFS(G6206:G9015,K6206:K9015,"0",B6206:B9015,"5 1 2 4 7 12 31111 6 M59 60100 000132 0000R 00001 00247 015*")</f>
        <v>0</v>
      </c>
      <c r="H6205" s="35">
        <f t="shared" si="97"/>
        <v>665.47</v>
      </c>
      <c r="I6205" s="35"/>
      <c r="K6205" t="s">
        <v>15</v>
      </c>
    </row>
    <row r="6206" spans="2:11" ht="33" x14ac:dyDescent="0.2">
      <c r="B6206" s="33" t="s">
        <v>7203</v>
      </c>
      <c r="C6206" s="33" t="s">
        <v>5830</v>
      </c>
      <c r="D6206" s="35">
        <f>SUMIFS(D6207:D9015,K6207:K9015,"0",B6207:B9015,"5 1 2 4 7 12 31111 6 M59 60100 000132 0000R 00001 00247 015 2112000*")-SUMIFS(E6207:E9015,K6207:K9015,"0",B6207:B9015,"5 1 2 4 7 12 31111 6 M59 60100 000132 0000R 00001 00247 015 2112000*")</f>
        <v>0</v>
      </c>
      <c r="E6206"/>
      <c r="F6206" s="35">
        <f>SUMIFS(F6207:F9015,K6207:K9015,"0",B6207:B9015,"5 1 2 4 7 12 31111 6 M59 60100 000132 0000R 00001 00247 015 2112000*")</f>
        <v>665.47</v>
      </c>
      <c r="G6206" s="35">
        <f>SUMIFS(G6207:G9015,K6207:K9015,"0",B6207:B9015,"5 1 2 4 7 12 31111 6 M59 60100 000132 0000R 00001 00247 015 2112000*")</f>
        <v>0</v>
      </c>
      <c r="H6206" s="35">
        <f t="shared" si="97"/>
        <v>665.47</v>
      </c>
      <c r="I6206" s="35"/>
      <c r="K6206" t="s">
        <v>15</v>
      </c>
    </row>
    <row r="6207" spans="2:11" ht="33" x14ac:dyDescent="0.2">
      <c r="B6207" s="33" t="s">
        <v>7204</v>
      </c>
      <c r="C6207" s="33" t="s">
        <v>660</v>
      </c>
      <c r="D6207" s="35">
        <f>SUMIFS(D6208:D9015,K6208:K9015,"0",B6208:B9015,"5 1 2 4 7 12 31111 6 M59 60100 000132 0000R 00001 00247 015 2112000 2024*")-SUMIFS(E6208:E9015,K6208:K9015,"0",B6208:B9015,"5 1 2 4 7 12 31111 6 M59 60100 000132 0000R 00001 00247 015 2112000 2024*")</f>
        <v>0</v>
      </c>
      <c r="E6207"/>
      <c r="F6207" s="35">
        <f>SUMIFS(F6208:F9015,K6208:K9015,"0",B6208:B9015,"5 1 2 4 7 12 31111 6 M59 60100 000132 0000R 00001 00247 015 2112000 2024*")</f>
        <v>665.47</v>
      </c>
      <c r="G6207" s="35">
        <f>SUMIFS(G6208:G9015,K6208:K9015,"0",B6208:B9015,"5 1 2 4 7 12 31111 6 M59 60100 000132 0000R 00001 00247 015 2112000 2024*")</f>
        <v>0</v>
      </c>
      <c r="H6207" s="35">
        <f t="shared" si="97"/>
        <v>665.47</v>
      </c>
      <c r="I6207" s="35"/>
      <c r="K6207" t="s">
        <v>15</v>
      </c>
    </row>
    <row r="6208" spans="2:11" ht="41.25" x14ac:dyDescent="0.2">
      <c r="B6208" s="33" t="s">
        <v>7205</v>
      </c>
      <c r="C6208" s="33" t="s">
        <v>1056</v>
      </c>
      <c r="D6208" s="35">
        <f>SUMIFS(D6209:D9015,K6209:K9015,"0",B6209:B9015,"5 1 2 4 7 12 31111 6 M59 60100 000132 0000R 00001 00247 015 2112000 2024 CP1DM394*")-SUMIFS(E6209:E9015,K6209:K9015,"0",B6209:B9015,"5 1 2 4 7 12 31111 6 M59 60100 000132 0000R 00001 00247 015 2112000 2024 CP1DM394*")</f>
        <v>0</v>
      </c>
      <c r="E6208"/>
      <c r="F6208" s="35">
        <f>SUMIFS(F6209:F9015,K6209:K9015,"0",B6209:B9015,"5 1 2 4 7 12 31111 6 M59 60100 000132 0000R 00001 00247 015 2112000 2024 CP1DM394*")</f>
        <v>665.47</v>
      </c>
      <c r="G6208" s="35">
        <f>SUMIFS(G6209:G9015,K6209:K9015,"0",B6209:B9015,"5 1 2 4 7 12 31111 6 M59 60100 000132 0000R 00001 00247 015 2112000 2024 CP1DM394*")</f>
        <v>0</v>
      </c>
      <c r="H6208" s="35">
        <f t="shared" si="97"/>
        <v>665.47</v>
      </c>
      <c r="I6208" s="35"/>
      <c r="K6208" t="s">
        <v>15</v>
      </c>
    </row>
    <row r="6209" spans="2:11" ht="41.25" x14ac:dyDescent="0.2">
      <c r="B6209" s="33" t="s">
        <v>7206</v>
      </c>
      <c r="C6209" s="33" t="s">
        <v>282</v>
      </c>
      <c r="D6209" s="35">
        <f>SUMIFS(D6210:D9015,K6210:K9015,"0",B6210:B9015,"5 1 2 4 7 12 31111 6 M59 60100 000132 0000R 00001 00247 015 2112000 2024 CP1DM394 001*")-SUMIFS(E6210:E9015,K6210:K9015,"0",B6210:B9015,"5 1 2 4 7 12 31111 6 M59 60100 000132 0000R 00001 00247 015 2112000 2024 CP1DM394 001*")</f>
        <v>0</v>
      </c>
      <c r="E6209"/>
      <c r="F6209" s="35">
        <f>SUMIFS(F6210:F9015,K6210:K9015,"0",B6210:B9015,"5 1 2 4 7 12 31111 6 M59 60100 000132 0000R 00001 00247 015 2112000 2024 CP1DM394 001*")</f>
        <v>665.47</v>
      </c>
      <c r="G6209" s="35">
        <f>SUMIFS(G6210:G9015,K6210:K9015,"0",B6210:B9015,"5 1 2 4 7 12 31111 6 M59 60100 000132 0000R 00001 00247 015 2112000 2024 CP1DM394 001*")</f>
        <v>0</v>
      </c>
      <c r="H6209" s="35">
        <f t="shared" si="97"/>
        <v>665.47</v>
      </c>
      <c r="I6209" s="35"/>
      <c r="K6209" t="s">
        <v>15</v>
      </c>
    </row>
    <row r="6210" spans="2:11" ht="33" x14ac:dyDescent="0.2">
      <c r="B6210" s="31" t="s">
        <v>7207</v>
      </c>
      <c r="C6210" s="31" t="s">
        <v>7157</v>
      </c>
      <c r="D6210" s="34">
        <v>0</v>
      </c>
      <c r="E6210" s="34"/>
      <c r="F6210" s="34">
        <v>665.47</v>
      </c>
      <c r="G6210" s="34">
        <v>0</v>
      </c>
      <c r="H6210" s="34">
        <f t="shared" si="97"/>
        <v>665.47</v>
      </c>
      <c r="I6210" s="34"/>
      <c r="K6210" t="s">
        <v>38</v>
      </c>
    </row>
    <row r="6211" spans="2:11" ht="16.5" x14ac:dyDescent="0.2">
      <c r="B6211" s="33" t="s">
        <v>7208</v>
      </c>
      <c r="C6211" s="33" t="s">
        <v>3706</v>
      </c>
      <c r="D6211" s="35">
        <f>SUMIFS(D6212:D9015,K6212:K9015,"0",B6212:B9015,"5 1 2 4 7 12 31111 6 M59 96200*")-SUMIFS(E6212:E9015,K6212:K9015,"0",B6212:B9015,"5 1 2 4 7 12 31111 6 M59 96200*")</f>
        <v>0</v>
      </c>
      <c r="E6211"/>
      <c r="F6211" s="35">
        <f>SUMIFS(F6212:F9015,K6212:K9015,"0",B6212:B9015,"5 1 2 4 7 12 31111 6 M59 96200*")</f>
        <v>3736.21</v>
      </c>
      <c r="G6211" s="35">
        <f>SUMIFS(G6212:G9015,K6212:K9015,"0",B6212:B9015,"5 1 2 4 7 12 31111 6 M59 96200*")</f>
        <v>0</v>
      </c>
      <c r="H6211" s="35">
        <f t="shared" si="97"/>
        <v>3736.21</v>
      </c>
      <c r="I6211" s="35"/>
      <c r="K6211" t="s">
        <v>15</v>
      </c>
    </row>
    <row r="6212" spans="2:11" ht="16.5" x14ac:dyDescent="0.2">
      <c r="B6212" s="33" t="s">
        <v>7209</v>
      </c>
      <c r="C6212" s="33" t="s">
        <v>648</v>
      </c>
      <c r="D6212" s="35">
        <f>SUMIFS(D6213:D9015,K6213:K9015,"0",B6213:B9015,"5 1 2 4 7 12 31111 6 M59 96200 000132*")-SUMIFS(E6213:E9015,K6213:K9015,"0",B6213:B9015,"5 1 2 4 7 12 31111 6 M59 96200 000132*")</f>
        <v>0</v>
      </c>
      <c r="E6212"/>
      <c r="F6212" s="35">
        <f>SUMIFS(F6213:F9015,K6213:K9015,"0",B6213:B9015,"5 1 2 4 7 12 31111 6 M59 96200 000132*")</f>
        <v>3736.21</v>
      </c>
      <c r="G6212" s="35">
        <f>SUMIFS(G6213:G9015,K6213:K9015,"0",B6213:B9015,"5 1 2 4 7 12 31111 6 M59 96200 000132*")</f>
        <v>0</v>
      </c>
      <c r="H6212" s="35">
        <f t="shared" ref="H6212:H6275" si="98">D6212 + F6212 - G6212</f>
        <v>3736.21</v>
      </c>
      <c r="I6212" s="35"/>
      <c r="K6212" t="s">
        <v>15</v>
      </c>
    </row>
    <row r="6213" spans="2:11" ht="24.75" x14ac:dyDescent="0.2">
      <c r="B6213" s="33" t="s">
        <v>7210</v>
      </c>
      <c r="C6213" s="33" t="s">
        <v>650</v>
      </c>
      <c r="D6213" s="35">
        <f>SUMIFS(D6214:D9015,K6214:K9015,"0",B6214:B9015,"5 1 2 4 7 12 31111 6 M59 96200 000132 0000R*")-SUMIFS(E6214:E9015,K6214:K9015,"0",B6214:B9015,"5 1 2 4 7 12 31111 6 M59 96200 000132 0000R*")</f>
        <v>0</v>
      </c>
      <c r="E6213"/>
      <c r="F6213" s="35">
        <f>SUMIFS(F6214:F9015,K6214:K9015,"0",B6214:B9015,"5 1 2 4 7 12 31111 6 M59 96200 000132 0000R*")</f>
        <v>3736.21</v>
      </c>
      <c r="G6213" s="35">
        <f>SUMIFS(G6214:G9015,K6214:K9015,"0",B6214:B9015,"5 1 2 4 7 12 31111 6 M59 96200 000132 0000R*")</f>
        <v>0</v>
      </c>
      <c r="H6213" s="35">
        <f t="shared" si="98"/>
        <v>3736.21</v>
      </c>
      <c r="I6213" s="35"/>
      <c r="K6213" t="s">
        <v>15</v>
      </c>
    </row>
    <row r="6214" spans="2:11" ht="24.75" x14ac:dyDescent="0.2">
      <c r="B6214" s="33" t="s">
        <v>7211</v>
      </c>
      <c r="C6214" s="33" t="s">
        <v>282</v>
      </c>
      <c r="D6214" s="35">
        <f>SUMIFS(D6215:D9015,K6215:K9015,"0",B6215:B9015,"5 1 2 4 7 12 31111 6 M59 96200 000132 0000R 00001*")-SUMIFS(E6215:E9015,K6215:K9015,"0",B6215:B9015,"5 1 2 4 7 12 31111 6 M59 96200 000132 0000R 00001*")</f>
        <v>0</v>
      </c>
      <c r="E6214"/>
      <c r="F6214" s="35">
        <f>SUMIFS(F6215:F9015,K6215:K9015,"0",B6215:B9015,"5 1 2 4 7 12 31111 6 M59 96200 000132 0000R 00001*")</f>
        <v>3736.21</v>
      </c>
      <c r="G6214" s="35">
        <f>SUMIFS(G6215:G9015,K6215:K9015,"0",B6215:B9015,"5 1 2 4 7 12 31111 6 M59 96200 000132 0000R 00001*")</f>
        <v>0</v>
      </c>
      <c r="H6214" s="35">
        <f t="shared" si="98"/>
        <v>3736.21</v>
      </c>
      <c r="I6214" s="35"/>
      <c r="K6214" t="s">
        <v>15</v>
      </c>
    </row>
    <row r="6215" spans="2:11" ht="24.75" x14ac:dyDescent="0.2">
      <c r="B6215" s="33" t="s">
        <v>7212</v>
      </c>
      <c r="C6215" s="33" t="s">
        <v>7157</v>
      </c>
      <c r="D6215" s="35">
        <f>SUMIFS(D6216:D9015,K6216:K9015,"0",B6216:B9015,"5 1 2 4 7 12 31111 6 M59 96200 000132 0000R 00001 00247*")-SUMIFS(E6216:E9015,K6216:K9015,"0",B6216:B9015,"5 1 2 4 7 12 31111 6 M59 96200 000132 0000R 00001 00247*")</f>
        <v>0</v>
      </c>
      <c r="E6215"/>
      <c r="F6215" s="35">
        <f>SUMIFS(F6216:F9015,K6216:K9015,"0",B6216:B9015,"5 1 2 4 7 12 31111 6 M59 96200 000132 0000R 00001 00247*")</f>
        <v>3736.21</v>
      </c>
      <c r="G6215" s="35">
        <f>SUMIFS(G6216:G9015,K6216:K9015,"0",B6216:B9015,"5 1 2 4 7 12 31111 6 M59 96200 000132 0000R 00001 00247*")</f>
        <v>0</v>
      </c>
      <c r="H6215" s="35">
        <f t="shared" si="98"/>
        <v>3736.21</v>
      </c>
      <c r="I6215" s="35"/>
      <c r="K6215" t="s">
        <v>15</v>
      </c>
    </row>
    <row r="6216" spans="2:11" ht="33" x14ac:dyDescent="0.2">
      <c r="B6216" s="33" t="s">
        <v>7213</v>
      </c>
      <c r="C6216" s="33" t="s">
        <v>1051</v>
      </c>
      <c r="D6216" s="35">
        <f>SUMIFS(D6217:D9015,K6217:K9015,"0",B6217:B9015,"5 1 2 4 7 12 31111 6 M59 96200 000132 0000R 00001 00247 015*")-SUMIFS(E6217:E9015,K6217:K9015,"0",B6217:B9015,"5 1 2 4 7 12 31111 6 M59 96200 000132 0000R 00001 00247 015*")</f>
        <v>0</v>
      </c>
      <c r="E6216"/>
      <c r="F6216" s="35">
        <f>SUMIFS(F6217:F9015,K6217:K9015,"0",B6217:B9015,"5 1 2 4 7 12 31111 6 M59 96200 000132 0000R 00001 00247 015*")</f>
        <v>3736.21</v>
      </c>
      <c r="G6216" s="35">
        <f>SUMIFS(G6217:G9015,K6217:K9015,"0",B6217:B9015,"5 1 2 4 7 12 31111 6 M59 96200 000132 0000R 00001 00247 015*")</f>
        <v>0</v>
      </c>
      <c r="H6216" s="35">
        <f t="shared" si="98"/>
        <v>3736.21</v>
      </c>
      <c r="I6216" s="35"/>
      <c r="K6216" t="s">
        <v>15</v>
      </c>
    </row>
    <row r="6217" spans="2:11" ht="33" x14ac:dyDescent="0.2">
      <c r="B6217" s="33" t="s">
        <v>7214</v>
      </c>
      <c r="C6217" s="33" t="s">
        <v>5830</v>
      </c>
      <c r="D6217" s="35">
        <f>SUMIFS(D6218:D9015,K6218:K9015,"0",B6218:B9015,"5 1 2 4 7 12 31111 6 M59 96200 000132 0000R 00001 00247 015 2112000*")-SUMIFS(E6218:E9015,K6218:K9015,"0",B6218:B9015,"5 1 2 4 7 12 31111 6 M59 96200 000132 0000R 00001 00247 015 2112000*")</f>
        <v>0</v>
      </c>
      <c r="E6217"/>
      <c r="F6217" s="35">
        <f>SUMIFS(F6218:F9015,K6218:K9015,"0",B6218:B9015,"5 1 2 4 7 12 31111 6 M59 96200 000132 0000R 00001 00247 015 2112000*")</f>
        <v>3736.21</v>
      </c>
      <c r="G6217" s="35">
        <f>SUMIFS(G6218:G9015,K6218:K9015,"0",B6218:B9015,"5 1 2 4 7 12 31111 6 M59 96200 000132 0000R 00001 00247 015 2112000*")</f>
        <v>0</v>
      </c>
      <c r="H6217" s="35">
        <f t="shared" si="98"/>
        <v>3736.21</v>
      </c>
      <c r="I6217" s="35"/>
      <c r="K6217" t="s">
        <v>15</v>
      </c>
    </row>
    <row r="6218" spans="2:11" ht="33" x14ac:dyDescent="0.2">
      <c r="B6218" s="33" t="s">
        <v>7215</v>
      </c>
      <c r="C6218" s="33" t="s">
        <v>660</v>
      </c>
      <c r="D6218" s="35">
        <f>SUMIFS(D6219:D9015,K6219:K9015,"0",B6219:B9015,"5 1 2 4 7 12 31111 6 M59 96200 000132 0000R 00001 00247 015 2112000 2024*")-SUMIFS(E6219:E9015,K6219:K9015,"0",B6219:B9015,"5 1 2 4 7 12 31111 6 M59 96200 000132 0000R 00001 00247 015 2112000 2024*")</f>
        <v>0</v>
      </c>
      <c r="E6218"/>
      <c r="F6218" s="35">
        <f>SUMIFS(F6219:F9015,K6219:K9015,"0",B6219:B9015,"5 1 2 4 7 12 31111 6 M59 96200 000132 0000R 00001 00247 015 2112000 2024*")</f>
        <v>3736.21</v>
      </c>
      <c r="G6218" s="35">
        <f>SUMIFS(G6219:G9015,K6219:K9015,"0",B6219:B9015,"5 1 2 4 7 12 31111 6 M59 96200 000132 0000R 00001 00247 015 2112000 2024*")</f>
        <v>0</v>
      </c>
      <c r="H6218" s="35">
        <f t="shared" si="98"/>
        <v>3736.21</v>
      </c>
      <c r="I6218" s="35"/>
      <c r="K6218" t="s">
        <v>15</v>
      </c>
    </row>
    <row r="6219" spans="2:11" ht="41.25" x14ac:dyDescent="0.2">
      <c r="B6219" s="33" t="s">
        <v>7216</v>
      </c>
      <c r="C6219" s="33" t="s">
        <v>662</v>
      </c>
      <c r="D6219" s="35">
        <f>SUMIFS(D6220:D9015,K6220:K9015,"0",B6220:B9015,"5 1 2 4 7 12 31111 6 M59 96200 000132 0000R 00001 00247 015 2112000 2024 CP1AL423*")-SUMIFS(E6220:E9015,K6220:K9015,"0",B6220:B9015,"5 1 2 4 7 12 31111 6 M59 96200 000132 0000R 00001 00247 015 2112000 2024 CP1AL423*")</f>
        <v>0</v>
      </c>
      <c r="E6219"/>
      <c r="F6219" s="35">
        <f>SUMIFS(F6220:F9015,K6220:K9015,"0",B6220:B9015,"5 1 2 4 7 12 31111 6 M59 96200 000132 0000R 00001 00247 015 2112000 2024 CP1AL423*")</f>
        <v>3736.21</v>
      </c>
      <c r="G6219" s="35">
        <f>SUMIFS(G6220:G9015,K6220:K9015,"0",B6220:B9015,"5 1 2 4 7 12 31111 6 M59 96200 000132 0000R 00001 00247 015 2112000 2024 CP1AL423*")</f>
        <v>0</v>
      </c>
      <c r="H6219" s="35">
        <f t="shared" si="98"/>
        <v>3736.21</v>
      </c>
      <c r="I6219" s="35"/>
      <c r="K6219" t="s">
        <v>15</v>
      </c>
    </row>
    <row r="6220" spans="2:11" ht="41.25" x14ac:dyDescent="0.2">
      <c r="B6220" s="33" t="s">
        <v>7217</v>
      </c>
      <c r="C6220" s="33" t="s">
        <v>282</v>
      </c>
      <c r="D6220" s="35">
        <f>SUMIFS(D6221:D9015,K6221:K9015,"0",B6221:B9015,"5 1 2 4 7 12 31111 6 M59 96200 000132 0000R 00001 00247 015 2112000 2024 CP1AL423 001*")-SUMIFS(E6221:E9015,K6221:K9015,"0",B6221:B9015,"5 1 2 4 7 12 31111 6 M59 96200 000132 0000R 00001 00247 015 2112000 2024 CP1AL423 001*")</f>
        <v>0</v>
      </c>
      <c r="E6220"/>
      <c r="F6220" s="35">
        <f>SUMIFS(F6221:F9015,K6221:K9015,"0",B6221:B9015,"5 1 2 4 7 12 31111 6 M59 96200 000132 0000R 00001 00247 015 2112000 2024 CP1AL423 001*")</f>
        <v>3736.21</v>
      </c>
      <c r="G6220" s="35">
        <f>SUMIFS(G6221:G9015,K6221:K9015,"0",B6221:B9015,"5 1 2 4 7 12 31111 6 M59 96200 000132 0000R 00001 00247 015 2112000 2024 CP1AL423 001*")</f>
        <v>0</v>
      </c>
      <c r="H6220" s="35">
        <f t="shared" si="98"/>
        <v>3736.21</v>
      </c>
      <c r="I6220" s="35"/>
      <c r="K6220" t="s">
        <v>15</v>
      </c>
    </row>
    <row r="6221" spans="2:11" ht="41.25" x14ac:dyDescent="0.2">
      <c r="B6221" s="31" t="s">
        <v>7218</v>
      </c>
      <c r="C6221" s="31" t="s">
        <v>7157</v>
      </c>
      <c r="D6221" s="34">
        <v>0</v>
      </c>
      <c r="E6221" s="34"/>
      <c r="F6221" s="34">
        <v>3736.21</v>
      </c>
      <c r="G6221" s="34">
        <v>0</v>
      </c>
      <c r="H6221" s="34">
        <f t="shared" si="98"/>
        <v>3736.21</v>
      </c>
      <c r="I6221" s="34"/>
      <c r="K6221" t="s">
        <v>38</v>
      </c>
    </row>
    <row r="6222" spans="2:11" ht="16.5" x14ac:dyDescent="0.2">
      <c r="B6222" s="33" t="s">
        <v>7219</v>
      </c>
      <c r="C6222" s="33" t="s">
        <v>3754</v>
      </c>
      <c r="D6222" s="35">
        <f>SUMIFS(D6223:D9015,K6223:K9015,"0",B6223:B9015,"5 1 2 4 7 12 31111 6 M59 99000*")-SUMIFS(E6223:E9015,K6223:K9015,"0",B6223:B9015,"5 1 2 4 7 12 31111 6 M59 99000*")</f>
        <v>0</v>
      </c>
      <c r="E6222"/>
      <c r="F6222" s="35">
        <f>SUMIFS(F6223:F9015,K6223:K9015,"0",B6223:B9015,"5 1 2 4 7 12 31111 6 M59 99000*")</f>
        <v>2720.33</v>
      </c>
      <c r="G6222" s="35">
        <f>SUMIFS(G6223:G9015,K6223:K9015,"0",B6223:B9015,"5 1 2 4 7 12 31111 6 M59 99000*")</f>
        <v>0</v>
      </c>
      <c r="H6222" s="35">
        <f t="shared" si="98"/>
        <v>2720.33</v>
      </c>
      <c r="I6222" s="35"/>
      <c r="K6222" t="s">
        <v>15</v>
      </c>
    </row>
    <row r="6223" spans="2:11" ht="16.5" x14ac:dyDescent="0.2">
      <c r="B6223" s="33" t="s">
        <v>7220</v>
      </c>
      <c r="C6223" s="33" t="s">
        <v>648</v>
      </c>
      <c r="D6223" s="35">
        <f>SUMIFS(D6224:D9015,K6224:K9015,"0",B6224:B9015,"5 1 2 4 7 12 31111 6 M59 99000 000132*")-SUMIFS(E6224:E9015,K6224:K9015,"0",B6224:B9015,"5 1 2 4 7 12 31111 6 M59 99000 000132*")</f>
        <v>0</v>
      </c>
      <c r="E6223"/>
      <c r="F6223" s="35">
        <f>SUMIFS(F6224:F9015,K6224:K9015,"0",B6224:B9015,"5 1 2 4 7 12 31111 6 M59 99000 000132*")</f>
        <v>2720.33</v>
      </c>
      <c r="G6223" s="35">
        <f>SUMIFS(G6224:G9015,K6224:K9015,"0",B6224:B9015,"5 1 2 4 7 12 31111 6 M59 99000 000132*")</f>
        <v>0</v>
      </c>
      <c r="H6223" s="35">
        <f t="shared" si="98"/>
        <v>2720.33</v>
      </c>
      <c r="I6223" s="35"/>
      <c r="K6223" t="s">
        <v>15</v>
      </c>
    </row>
    <row r="6224" spans="2:11" ht="24.75" x14ac:dyDescent="0.2">
      <c r="B6224" s="33" t="s">
        <v>7221</v>
      </c>
      <c r="C6224" s="33" t="s">
        <v>650</v>
      </c>
      <c r="D6224" s="35">
        <f>SUMIFS(D6225:D9015,K6225:K9015,"0",B6225:B9015,"5 1 2 4 7 12 31111 6 M59 99000 000132 0000R*")-SUMIFS(E6225:E9015,K6225:K9015,"0",B6225:B9015,"5 1 2 4 7 12 31111 6 M59 99000 000132 0000R*")</f>
        <v>0</v>
      </c>
      <c r="E6224"/>
      <c r="F6224" s="35">
        <f>SUMIFS(F6225:F9015,K6225:K9015,"0",B6225:B9015,"5 1 2 4 7 12 31111 6 M59 99000 000132 0000R*")</f>
        <v>2720.33</v>
      </c>
      <c r="G6224" s="35">
        <f>SUMIFS(G6225:G9015,K6225:K9015,"0",B6225:B9015,"5 1 2 4 7 12 31111 6 M59 99000 000132 0000R*")</f>
        <v>0</v>
      </c>
      <c r="H6224" s="35">
        <f t="shared" si="98"/>
        <v>2720.33</v>
      </c>
      <c r="I6224" s="35"/>
      <c r="K6224" t="s">
        <v>15</v>
      </c>
    </row>
    <row r="6225" spans="2:11" ht="24.75" x14ac:dyDescent="0.2">
      <c r="B6225" s="33" t="s">
        <v>7222</v>
      </c>
      <c r="C6225" s="33" t="s">
        <v>282</v>
      </c>
      <c r="D6225" s="35">
        <f>SUMIFS(D6226:D9015,K6226:K9015,"0",B6226:B9015,"5 1 2 4 7 12 31111 6 M59 99000 000132 0000R 00001*")-SUMIFS(E6226:E9015,K6226:K9015,"0",B6226:B9015,"5 1 2 4 7 12 31111 6 M59 99000 000132 0000R 00001*")</f>
        <v>0</v>
      </c>
      <c r="E6225"/>
      <c r="F6225" s="35">
        <f>SUMIFS(F6226:F9015,K6226:K9015,"0",B6226:B9015,"5 1 2 4 7 12 31111 6 M59 99000 000132 0000R 00001*")</f>
        <v>2720.33</v>
      </c>
      <c r="G6225" s="35">
        <f>SUMIFS(G6226:G9015,K6226:K9015,"0",B6226:B9015,"5 1 2 4 7 12 31111 6 M59 99000 000132 0000R 00001*")</f>
        <v>0</v>
      </c>
      <c r="H6225" s="35">
        <f t="shared" si="98"/>
        <v>2720.33</v>
      </c>
      <c r="I6225" s="35"/>
      <c r="K6225" t="s">
        <v>15</v>
      </c>
    </row>
    <row r="6226" spans="2:11" ht="24.75" x14ac:dyDescent="0.2">
      <c r="B6226" s="33" t="s">
        <v>7223</v>
      </c>
      <c r="C6226" s="33" t="s">
        <v>7157</v>
      </c>
      <c r="D6226" s="35">
        <f>SUMIFS(D6227:D9015,K6227:K9015,"0",B6227:B9015,"5 1 2 4 7 12 31111 6 M59 99000 000132 0000R 00001 00247*")-SUMIFS(E6227:E9015,K6227:K9015,"0",B6227:B9015,"5 1 2 4 7 12 31111 6 M59 99000 000132 0000R 00001 00247*")</f>
        <v>0</v>
      </c>
      <c r="E6226"/>
      <c r="F6226" s="35">
        <f>SUMIFS(F6227:F9015,K6227:K9015,"0",B6227:B9015,"5 1 2 4 7 12 31111 6 M59 99000 000132 0000R 00001 00247*")</f>
        <v>2720.33</v>
      </c>
      <c r="G6226" s="35">
        <f>SUMIFS(G6227:G9015,K6227:K9015,"0",B6227:B9015,"5 1 2 4 7 12 31111 6 M59 99000 000132 0000R 00001 00247*")</f>
        <v>0</v>
      </c>
      <c r="H6226" s="35">
        <f t="shared" si="98"/>
        <v>2720.33</v>
      </c>
      <c r="I6226" s="35"/>
      <c r="K6226" t="s">
        <v>15</v>
      </c>
    </row>
    <row r="6227" spans="2:11" ht="33" x14ac:dyDescent="0.2">
      <c r="B6227" s="33" t="s">
        <v>7224</v>
      </c>
      <c r="C6227" s="33" t="s">
        <v>1051</v>
      </c>
      <c r="D6227" s="35">
        <f>SUMIFS(D6228:D9015,K6228:K9015,"0",B6228:B9015,"5 1 2 4 7 12 31111 6 M59 99000 000132 0000R 00001 00247 015*")-SUMIFS(E6228:E9015,K6228:K9015,"0",B6228:B9015,"5 1 2 4 7 12 31111 6 M59 99000 000132 0000R 00001 00247 015*")</f>
        <v>0</v>
      </c>
      <c r="E6227"/>
      <c r="F6227" s="35">
        <f>SUMIFS(F6228:F9015,K6228:K9015,"0",B6228:B9015,"5 1 2 4 7 12 31111 6 M59 99000 000132 0000R 00001 00247 015*")</f>
        <v>2720.33</v>
      </c>
      <c r="G6227" s="35">
        <f>SUMIFS(G6228:G9015,K6228:K9015,"0",B6228:B9015,"5 1 2 4 7 12 31111 6 M59 99000 000132 0000R 00001 00247 015*")</f>
        <v>0</v>
      </c>
      <c r="H6227" s="35">
        <f t="shared" si="98"/>
        <v>2720.33</v>
      </c>
      <c r="I6227" s="35"/>
      <c r="K6227" t="s">
        <v>15</v>
      </c>
    </row>
    <row r="6228" spans="2:11" ht="33" x14ac:dyDescent="0.2">
      <c r="B6228" s="33" t="s">
        <v>7225</v>
      </c>
      <c r="C6228" s="33" t="s">
        <v>5830</v>
      </c>
      <c r="D6228" s="35">
        <f>SUMIFS(D6229:D9015,K6229:K9015,"0",B6229:B9015,"5 1 2 4 7 12 31111 6 M59 99000 000132 0000R 00001 00247 015 2112000*")-SUMIFS(E6229:E9015,K6229:K9015,"0",B6229:B9015,"5 1 2 4 7 12 31111 6 M59 99000 000132 0000R 00001 00247 015 2112000*")</f>
        <v>0</v>
      </c>
      <c r="E6228"/>
      <c r="F6228" s="35">
        <f>SUMIFS(F6229:F9015,K6229:K9015,"0",B6229:B9015,"5 1 2 4 7 12 31111 6 M59 99000 000132 0000R 00001 00247 015 2112000*")</f>
        <v>2720.33</v>
      </c>
      <c r="G6228" s="35">
        <f>SUMIFS(G6229:G9015,K6229:K9015,"0",B6229:B9015,"5 1 2 4 7 12 31111 6 M59 99000 000132 0000R 00001 00247 015 2112000*")</f>
        <v>0</v>
      </c>
      <c r="H6228" s="35">
        <f t="shared" si="98"/>
        <v>2720.33</v>
      </c>
      <c r="I6228" s="35"/>
      <c r="K6228" t="s">
        <v>15</v>
      </c>
    </row>
    <row r="6229" spans="2:11" ht="33" x14ac:dyDescent="0.2">
      <c r="B6229" s="33" t="s">
        <v>7226</v>
      </c>
      <c r="C6229" s="33" t="s">
        <v>660</v>
      </c>
      <c r="D6229" s="35">
        <f>SUMIFS(D6230:D9015,K6230:K9015,"0",B6230:B9015,"5 1 2 4 7 12 31111 6 M59 99000 000132 0000R 00001 00247 015 2112000 2024*")-SUMIFS(E6230:E9015,K6230:K9015,"0",B6230:B9015,"5 1 2 4 7 12 31111 6 M59 99000 000132 0000R 00001 00247 015 2112000 2024*")</f>
        <v>0</v>
      </c>
      <c r="E6229"/>
      <c r="F6229" s="35">
        <f>SUMIFS(F6230:F9015,K6230:K9015,"0",B6230:B9015,"5 1 2 4 7 12 31111 6 M59 99000 000132 0000R 00001 00247 015 2112000 2024*")</f>
        <v>2720.33</v>
      </c>
      <c r="G6229" s="35">
        <f>SUMIFS(G6230:G9015,K6230:K9015,"0",B6230:B9015,"5 1 2 4 7 12 31111 6 M59 99000 000132 0000R 00001 00247 015 2112000 2024*")</f>
        <v>0</v>
      </c>
      <c r="H6229" s="35">
        <f t="shared" si="98"/>
        <v>2720.33</v>
      </c>
      <c r="I6229" s="35"/>
      <c r="K6229" t="s">
        <v>15</v>
      </c>
    </row>
    <row r="6230" spans="2:11" ht="41.25" x14ac:dyDescent="0.2">
      <c r="B6230" s="33" t="s">
        <v>7227</v>
      </c>
      <c r="C6230" s="33" t="s">
        <v>1056</v>
      </c>
      <c r="D6230" s="35">
        <f>SUMIFS(D6231:D9015,K6231:K9015,"0",B6231:B9015,"5 1 2 4 7 12 31111 6 M59 99000 000132 0000R 00001 00247 015 2112000 2024 CP1MG408*")-SUMIFS(E6231:E9015,K6231:K9015,"0",B6231:B9015,"5 1 2 4 7 12 31111 6 M59 99000 000132 0000R 00001 00247 015 2112000 2024 CP1MG408*")</f>
        <v>0</v>
      </c>
      <c r="E6230"/>
      <c r="F6230" s="35">
        <f>SUMIFS(F6231:F9015,K6231:K9015,"0",B6231:B9015,"5 1 2 4 7 12 31111 6 M59 99000 000132 0000R 00001 00247 015 2112000 2024 CP1MG408*")</f>
        <v>2720.33</v>
      </c>
      <c r="G6230" s="35">
        <f>SUMIFS(G6231:G9015,K6231:K9015,"0",B6231:B9015,"5 1 2 4 7 12 31111 6 M59 99000 000132 0000R 00001 00247 015 2112000 2024 CP1MG408*")</f>
        <v>0</v>
      </c>
      <c r="H6230" s="35">
        <f t="shared" si="98"/>
        <v>2720.33</v>
      </c>
      <c r="I6230" s="35"/>
      <c r="K6230" t="s">
        <v>15</v>
      </c>
    </row>
    <row r="6231" spans="2:11" ht="41.25" x14ac:dyDescent="0.2">
      <c r="B6231" s="33" t="s">
        <v>7228</v>
      </c>
      <c r="C6231" s="33" t="s">
        <v>282</v>
      </c>
      <c r="D6231" s="35">
        <f>SUMIFS(D6232:D9015,K6232:K9015,"0",B6232:B9015,"5 1 2 4 7 12 31111 6 M59 99000 000132 0000R 00001 00247 015 2112000 2024 CP1MG408 001*")-SUMIFS(E6232:E9015,K6232:K9015,"0",B6232:B9015,"5 1 2 4 7 12 31111 6 M59 99000 000132 0000R 00001 00247 015 2112000 2024 CP1MG408 001*")</f>
        <v>0</v>
      </c>
      <c r="E6231"/>
      <c r="F6231" s="35">
        <f>SUMIFS(F6232:F9015,K6232:K9015,"0",B6232:B9015,"5 1 2 4 7 12 31111 6 M59 99000 000132 0000R 00001 00247 015 2112000 2024 CP1MG408 001*")</f>
        <v>2720.33</v>
      </c>
      <c r="G6231" s="35">
        <f>SUMIFS(G6232:G9015,K6232:K9015,"0",B6232:B9015,"5 1 2 4 7 12 31111 6 M59 99000 000132 0000R 00001 00247 015 2112000 2024 CP1MG408 001*")</f>
        <v>0</v>
      </c>
      <c r="H6231" s="35">
        <f t="shared" si="98"/>
        <v>2720.33</v>
      </c>
      <c r="I6231" s="35"/>
      <c r="K6231" t="s">
        <v>15</v>
      </c>
    </row>
    <row r="6232" spans="2:11" ht="41.25" x14ac:dyDescent="0.2">
      <c r="B6232" s="31" t="s">
        <v>7229</v>
      </c>
      <c r="C6232" s="31" t="s">
        <v>7147</v>
      </c>
      <c r="D6232" s="34">
        <v>0</v>
      </c>
      <c r="E6232" s="34"/>
      <c r="F6232" s="34">
        <v>2720.33</v>
      </c>
      <c r="G6232" s="34">
        <v>0</v>
      </c>
      <c r="H6232" s="34">
        <f t="shared" si="98"/>
        <v>2720.33</v>
      </c>
      <c r="I6232" s="34"/>
      <c r="K6232" t="s">
        <v>38</v>
      </c>
    </row>
    <row r="6233" spans="2:11" ht="16.5" x14ac:dyDescent="0.2">
      <c r="B6233" s="33" t="s">
        <v>7230</v>
      </c>
      <c r="C6233" s="33" t="s">
        <v>7231</v>
      </c>
      <c r="D6233" s="35">
        <f>SUMIFS(D6234:D9015,K6234:K9015,"0",B6234:B9015,"5 1 2 4 8*")-SUMIFS(E6234:E9015,K6234:K9015,"0",B6234:B9015,"5 1 2 4 8*")</f>
        <v>0</v>
      </c>
      <c r="E6233"/>
      <c r="F6233" s="35">
        <f>SUMIFS(F6234:F9015,K6234:K9015,"0",B6234:B9015,"5 1 2 4 8*")</f>
        <v>1954.93</v>
      </c>
      <c r="G6233" s="35">
        <f>SUMIFS(G6234:G9015,K6234:K9015,"0",B6234:B9015,"5 1 2 4 8*")</f>
        <v>0</v>
      </c>
      <c r="H6233" s="35">
        <f t="shared" si="98"/>
        <v>1954.93</v>
      </c>
      <c r="I6233" s="35"/>
      <c r="K6233" t="s">
        <v>15</v>
      </c>
    </row>
    <row r="6234" spans="2:11" ht="12.75" x14ac:dyDescent="0.2">
      <c r="B6234" s="33" t="s">
        <v>7232</v>
      </c>
      <c r="C6234" s="33" t="s">
        <v>26</v>
      </c>
      <c r="D6234" s="35">
        <f>SUMIFS(D6235:D9015,K6235:K9015,"0",B6235:B9015,"5 1 2 4 8 12*")-SUMIFS(E6235:E9015,K6235:K9015,"0",B6235:B9015,"5 1 2 4 8 12*")</f>
        <v>0</v>
      </c>
      <c r="E6234"/>
      <c r="F6234" s="35">
        <f>SUMIFS(F6235:F9015,K6235:K9015,"0",B6235:B9015,"5 1 2 4 8 12*")</f>
        <v>1954.93</v>
      </c>
      <c r="G6234" s="35">
        <f>SUMIFS(G6235:G9015,K6235:K9015,"0",B6235:B9015,"5 1 2 4 8 12*")</f>
        <v>0</v>
      </c>
      <c r="H6234" s="35">
        <f t="shared" si="98"/>
        <v>1954.93</v>
      </c>
      <c r="I6234" s="35"/>
      <c r="K6234" t="s">
        <v>15</v>
      </c>
    </row>
    <row r="6235" spans="2:11" ht="16.5" x14ac:dyDescent="0.2">
      <c r="B6235" s="33" t="s">
        <v>7233</v>
      </c>
      <c r="C6235" s="33" t="s">
        <v>28</v>
      </c>
      <c r="D6235" s="35">
        <f>SUMIFS(D6236:D9015,K6236:K9015,"0",B6236:B9015,"5 1 2 4 8 12 31111*")-SUMIFS(E6236:E9015,K6236:K9015,"0",B6236:B9015,"5 1 2 4 8 12 31111*")</f>
        <v>0</v>
      </c>
      <c r="E6235"/>
      <c r="F6235" s="35">
        <f>SUMIFS(F6236:F9015,K6236:K9015,"0",B6236:B9015,"5 1 2 4 8 12 31111*")</f>
        <v>1954.93</v>
      </c>
      <c r="G6235" s="35">
        <f>SUMIFS(G6236:G9015,K6236:K9015,"0",B6236:B9015,"5 1 2 4 8 12 31111*")</f>
        <v>0</v>
      </c>
      <c r="H6235" s="35">
        <f t="shared" si="98"/>
        <v>1954.93</v>
      </c>
      <c r="I6235" s="35"/>
      <c r="K6235" t="s">
        <v>15</v>
      </c>
    </row>
    <row r="6236" spans="2:11" ht="12.75" x14ac:dyDescent="0.2">
      <c r="B6236" s="33" t="s">
        <v>7234</v>
      </c>
      <c r="C6236" s="33" t="s">
        <v>30</v>
      </c>
      <c r="D6236" s="35">
        <f>SUMIFS(D6237:D9015,K6237:K9015,"0",B6237:B9015,"5 1 2 4 8 12 31111 6*")-SUMIFS(E6237:E9015,K6237:K9015,"0",B6237:B9015,"5 1 2 4 8 12 31111 6*")</f>
        <v>0</v>
      </c>
      <c r="E6236"/>
      <c r="F6236" s="35">
        <f>SUMIFS(F6237:F9015,K6237:K9015,"0",B6237:B9015,"5 1 2 4 8 12 31111 6*")</f>
        <v>1954.93</v>
      </c>
      <c r="G6236" s="35">
        <f>SUMIFS(G6237:G9015,K6237:K9015,"0",B6237:B9015,"5 1 2 4 8 12 31111 6*")</f>
        <v>0</v>
      </c>
      <c r="H6236" s="35">
        <f t="shared" si="98"/>
        <v>1954.93</v>
      </c>
      <c r="I6236" s="35"/>
      <c r="K6236" t="s">
        <v>15</v>
      </c>
    </row>
    <row r="6237" spans="2:11" ht="16.5" x14ac:dyDescent="0.2">
      <c r="B6237" s="33" t="s">
        <v>7235</v>
      </c>
      <c r="C6237" s="33" t="s">
        <v>2284</v>
      </c>
      <c r="D6237" s="35">
        <f>SUMIFS(D6238:D9015,K6238:K9015,"0",B6238:B9015,"5 1 2 4 8 12 31111 6 M59*")-SUMIFS(E6238:E9015,K6238:K9015,"0",B6238:B9015,"5 1 2 4 8 12 31111 6 M59*")</f>
        <v>0</v>
      </c>
      <c r="E6237"/>
      <c r="F6237" s="35">
        <f>SUMIFS(F6238:F9015,K6238:K9015,"0",B6238:B9015,"5 1 2 4 8 12 31111 6 M59*")</f>
        <v>1954.93</v>
      </c>
      <c r="G6237" s="35">
        <f>SUMIFS(G6238:G9015,K6238:K9015,"0",B6238:B9015,"5 1 2 4 8 12 31111 6 M59*")</f>
        <v>0</v>
      </c>
      <c r="H6237" s="35">
        <f t="shared" si="98"/>
        <v>1954.93</v>
      </c>
      <c r="I6237" s="35"/>
      <c r="K6237" t="s">
        <v>15</v>
      </c>
    </row>
    <row r="6238" spans="2:11" ht="16.5" x14ac:dyDescent="0.2">
      <c r="B6238" s="33" t="s">
        <v>7236</v>
      </c>
      <c r="C6238" s="33" t="s">
        <v>3103</v>
      </c>
      <c r="D6238" s="35">
        <f>SUMIFS(D6239:D9015,K6239:K9015,"0",B6239:B9015,"5 1 2 4 8 12 31111 6 M59 20400*")-SUMIFS(E6239:E9015,K6239:K9015,"0",B6239:B9015,"5 1 2 4 8 12 31111 6 M59 20400*")</f>
        <v>0</v>
      </c>
      <c r="E6238"/>
      <c r="F6238" s="35">
        <f>SUMIFS(F6239:F9015,K6239:K9015,"0",B6239:B9015,"5 1 2 4 8 12 31111 6 M59 20400*")</f>
        <v>43.99</v>
      </c>
      <c r="G6238" s="35">
        <f>SUMIFS(G6239:G9015,K6239:K9015,"0",B6239:B9015,"5 1 2 4 8 12 31111 6 M59 20400*")</f>
        <v>0</v>
      </c>
      <c r="H6238" s="35">
        <f t="shared" si="98"/>
        <v>43.99</v>
      </c>
      <c r="I6238" s="35"/>
      <c r="K6238" t="s">
        <v>15</v>
      </c>
    </row>
    <row r="6239" spans="2:11" ht="16.5" x14ac:dyDescent="0.2">
      <c r="B6239" s="33" t="s">
        <v>7237</v>
      </c>
      <c r="C6239" s="33" t="s">
        <v>648</v>
      </c>
      <c r="D6239" s="35">
        <f>SUMIFS(D6240:D9015,K6240:K9015,"0",B6240:B9015,"5 1 2 4 8 12 31111 6 M59 20400 000132*")-SUMIFS(E6240:E9015,K6240:K9015,"0",B6240:B9015,"5 1 2 4 8 12 31111 6 M59 20400 000132*")</f>
        <v>0</v>
      </c>
      <c r="E6239"/>
      <c r="F6239" s="35">
        <f>SUMIFS(F6240:F9015,K6240:K9015,"0",B6240:B9015,"5 1 2 4 8 12 31111 6 M59 20400 000132*")</f>
        <v>43.99</v>
      </c>
      <c r="G6239" s="35">
        <f>SUMIFS(G6240:G9015,K6240:K9015,"0",B6240:B9015,"5 1 2 4 8 12 31111 6 M59 20400 000132*")</f>
        <v>0</v>
      </c>
      <c r="H6239" s="35">
        <f t="shared" si="98"/>
        <v>43.99</v>
      </c>
      <c r="I6239" s="35"/>
      <c r="K6239" t="s">
        <v>15</v>
      </c>
    </row>
    <row r="6240" spans="2:11" ht="24.75" x14ac:dyDescent="0.2">
      <c r="B6240" s="33" t="s">
        <v>7238</v>
      </c>
      <c r="C6240" s="33" t="s">
        <v>650</v>
      </c>
      <c r="D6240" s="35">
        <f>SUMIFS(D6241:D9015,K6241:K9015,"0",B6241:B9015,"5 1 2 4 8 12 31111 6 M59 20400 000132 0000R*")-SUMIFS(E6241:E9015,K6241:K9015,"0",B6241:B9015,"5 1 2 4 8 12 31111 6 M59 20400 000132 0000R*")</f>
        <v>0</v>
      </c>
      <c r="E6240"/>
      <c r="F6240" s="35">
        <f>SUMIFS(F6241:F9015,K6241:K9015,"0",B6241:B9015,"5 1 2 4 8 12 31111 6 M59 20400 000132 0000R*")</f>
        <v>43.99</v>
      </c>
      <c r="G6240" s="35">
        <f>SUMIFS(G6241:G9015,K6241:K9015,"0",B6241:B9015,"5 1 2 4 8 12 31111 6 M59 20400 000132 0000R*")</f>
        <v>0</v>
      </c>
      <c r="H6240" s="35">
        <f t="shared" si="98"/>
        <v>43.99</v>
      </c>
      <c r="I6240" s="35"/>
      <c r="K6240" t="s">
        <v>15</v>
      </c>
    </row>
    <row r="6241" spans="2:11" ht="24.75" x14ac:dyDescent="0.2">
      <c r="B6241" s="33" t="s">
        <v>7239</v>
      </c>
      <c r="C6241" s="33" t="s">
        <v>282</v>
      </c>
      <c r="D6241" s="35">
        <f>SUMIFS(D6242:D9015,K6242:K9015,"0",B6242:B9015,"5 1 2 4 8 12 31111 6 M59 20400 000132 0000R 00001*")-SUMIFS(E6242:E9015,K6242:K9015,"0",B6242:B9015,"5 1 2 4 8 12 31111 6 M59 20400 000132 0000R 00001*")</f>
        <v>0</v>
      </c>
      <c r="E6241"/>
      <c r="F6241" s="35">
        <f>SUMIFS(F6242:F9015,K6242:K9015,"0",B6242:B9015,"5 1 2 4 8 12 31111 6 M59 20400 000132 0000R 00001*")</f>
        <v>43.99</v>
      </c>
      <c r="G6241" s="35">
        <f>SUMIFS(G6242:G9015,K6242:K9015,"0",B6242:B9015,"5 1 2 4 8 12 31111 6 M59 20400 000132 0000R 00001*")</f>
        <v>0</v>
      </c>
      <c r="H6241" s="35">
        <f t="shared" si="98"/>
        <v>43.99</v>
      </c>
      <c r="I6241" s="35"/>
      <c r="K6241" t="s">
        <v>15</v>
      </c>
    </row>
    <row r="6242" spans="2:11" ht="24.75" x14ac:dyDescent="0.2">
      <c r="B6242" s="33" t="s">
        <v>7240</v>
      </c>
      <c r="C6242" s="33" t="s">
        <v>7241</v>
      </c>
      <c r="D6242" s="35">
        <f>SUMIFS(D6243:D9015,K6243:K9015,"0",B6243:B9015,"5 1 2 4 8 12 31111 6 M59 20400 000132 0000R 00001 00248*")-SUMIFS(E6243:E9015,K6243:K9015,"0",B6243:B9015,"5 1 2 4 8 12 31111 6 M59 20400 000132 0000R 00001 00248*")</f>
        <v>0</v>
      </c>
      <c r="E6242"/>
      <c r="F6242" s="35">
        <f>SUMIFS(F6243:F9015,K6243:K9015,"0",B6243:B9015,"5 1 2 4 8 12 31111 6 M59 20400 000132 0000R 00001 00248*")</f>
        <v>43.99</v>
      </c>
      <c r="G6242" s="35">
        <f>SUMIFS(G6243:G9015,K6243:K9015,"0",B6243:B9015,"5 1 2 4 8 12 31111 6 M59 20400 000132 0000R 00001 00248*")</f>
        <v>0</v>
      </c>
      <c r="H6242" s="35">
        <f t="shared" si="98"/>
        <v>43.99</v>
      </c>
      <c r="I6242" s="35"/>
      <c r="K6242" t="s">
        <v>15</v>
      </c>
    </row>
    <row r="6243" spans="2:11" ht="33" x14ac:dyDescent="0.2">
      <c r="B6243" s="33" t="s">
        <v>7242</v>
      </c>
      <c r="C6243" s="33" t="s">
        <v>1051</v>
      </c>
      <c r="D6243" s="35">
        <f>SUMIFS(D6244:D9015,K6244:K9015,"0",B6244:B9015,"5 1 2 4 8 12 31111 6 M59 20400 000132 0000R 00001 00248 015*")-SUMIFS(E6244:E9015,K6244:K9015,"0",B6244:B9015,"5 1 2 4 8 12 31111 6 M59 20400 000132 0000R 00001 00248 015*")</f>
        <v>0</v>
      </c>
      <c r="E6243"/>
      <c r="F6243" s="35">
        <f>SUMIFS(F6244:F9015,K6244:K9015,"0",B6244:B9015,"5 1 2 4 8 12 31111 6 M59 20400 000132 0000R 00001 00248 015*")</f>
        <v>43.99</v>
      </c>
      <c r="G6243" s="35">
        <f>SUMIFS(G6244:G9015,K6244:K9015,"0",B6244:B9015,"5 1 2 4 8 12 31111 6 M59 20400 000132 0000R 00001 00248 015*")</f>
        <v>0</v>
      </c>
      <c r="H6243" s="35">
        <f t="shared" si="98"/>
        <v>43.99</v>
      </c>
      <c r="I6243" s="35"/>
      <c r="K6243" t="s">
        <v>15</v>
      </c>
    </row>
    <row r="6244" spans="2:11" ht="33" x14ac:dyDescent="0.2">
      <c r="B6244" s="33" t="s">
        <v>7243</v>
      </c>
      <c r="C6244" s="33" t="s">
        <v>5830</v>
      </c>
      <c r="D6244" s="35">
        <f>SUMIFS(D6245:D9015,K6245:K9015,"0",B6245:B9015,"5 1 2 4 8 12 31111 6 M59 20400 000132 0000R 00001 00248 015 2112000*")-SUMIFS(E6245:E9015,K6245:K9015,"0",B6245:B9015,"5 1 2 4 8 12 31111 6 M59 20400 000132 0000R 00001 00248 015 2112000*")</f>
        <v>0</v>
      </c>
      <c r="E6244"/>
      <c r="F6244" s="35">
        <f>SUMIFS(F6245:F9015,K6245:K9015,"0",B6245:B9015,"5 1 2 4 8 12 31111 6 M59 20400 000132 0000R 00001 00248 015 2112000*")</f>
        <v>43.99</v>
      </c>
      <c r="G6244" s="35">
        <f>SUMIFS(G6245:G9015,K6245:K9015,"0",B6245:B9015,"5 1 2 4 8 12 31111 6 M59 20400 000132 0000R 00001 00248 015 2112000*")</f>
        <v>0</v>
      </c>
      <c r="H6244" s="35">
        <f t="shared" si="98"/>
        <v>43.99</v>
      </c>
      <c r="I6244" s="35"/>
      <c r="K6244" t="s">
        <v>15</v>
      </c>
    </row>
    <row r="6245" spans="2:11" ht="33" x14ac:dyDescent="0.2">
      <c r="B6245" s="33" t="s">
        <v>7244</v>
      </c>
      <c r="C6245" s="33" t="s">
        <v>660</v>
      </c>
      <c r="D6245" s="35">
        <f>SUMIFS(D6246:D9015,K6246:K9015,"0",B6246:B9015,"5 1 2 4 8 12 31111 6 M59 20400 000132 0000R 00001 00248 015 2112000 2024*")-SUMIFS(E6246:E9015,K6246:K9015,"0",B6246:B9015,"5 1 2 4 8 12 31111 6 M59 20400 000132 0000R 00001 00248 015 2112000 2024*")</f>
        <v>0</v>
      </c>
      <c r="E6245"/>
      <c r="F6245" s="35">
        <f>SUMIFS(F6246:F9015,K6246:K9015,"0",B6246:B9015,"5 1 2 4 8 12 31111 6 M59 20400 000132 0000R 00001 00248 015 2112000 2024*")</f>
        <v>43.99</v>
      </c>
      <c r="G6245" s="35">
        <f>SUMIFS(G6246:G9015,K6246:K9015,"0",B6246:B9015,"5 1 2 4 8 12 31111 6 M59 20400 000132 0000R 00001 00248 015 2112000 2024*")</f>
        <v>0</v>
      </c>
      <c r="H6245" s="35">
        <f t="shared" si="98"/>
        <v>43.99</v>
      </c>
      <c r="I6245" s="35"/>
      <c r="K6245" t="s">
        <v>15</v>
      </c>
    </row>
    <row r="6246" spans="2:11" ht="41.25" x14ac:dyDescent="0.2">
      <c r="B6246" s="33" t="s">
        <v>7245</v>
      </c>
      <c r="C6246" s="33" t="s">
        <v>1056</v>
      </c>
      <c r="D6246" s="35">
        <f>SUMIFS(D6247:D9015,K6247:K9015,"0",B6247:B9015,"5 1 2 4 8 12 31111 6 M59 20400 000132 0000R 00001 00248 015 2112000 2024 CP1PV404*")-SUMIFS(E6247:E9015,K6247:K9015,"0",B6247:B9015,"5 1 2 4 8 12 31111 6 M59 20400 000132 0000R 00001 00248 015 2112000 2024 CP1PV404*")</f>
        <v>0</v>
      </c>
      <c r="E6246"/>
      <c r="F6246" s="35">
        <f>SUMIFS(F6247:F9015,K6247:K9015,"0",B6247:B9015,"5 1 2 4 8 12 31111 6 M59 20400 000132 0000R 00001 00248 015 2112000 2024 CP1PV404*")</f>
        <v>43.99</v>
      </c>
      <c r="G6246" s="35">
        <f>SUMIFS(G6247:G9015,K6247:K9015,"0",B6247:B9015,"5 1 2 4 8 12 31111 6 M59 20400 000132 0000R 00001 00248 015 2112000 2024 CP1PV404*")</f>
        <v>0</v>
      </c>
      <c r="H6246" s="35">
        <f t="shared" si="98"/>
        <v>43.99</v>
      </c>
      <c r="I6246" s="35"/>
      <c r="K6246" t="s">
        <v>15</v>
      </c>
    </row>
    <row r="6247" spans="2:11" ht="41.25" x14ac:dyDescent="0.2">
      <c r="B6247" s="33" t="s">
        <v>7246</v>
      </c>
      <c r="C6247" s="33" t="s">
        <v>282</v>
      </c>
      <c r="D6247" s="35">
        <f>SUMIFS(D6248:D9015,K6248:K9015,"0",B6248:B9015,"5 1 2 4 8 12 31111 6 M59 20400 000132 0000R 00001 00248 015 2112000 2024 CP1PV404 001*")-SUMIFS(E6248:E9015,K6248:K9015,"0",B6248:B9015,"5 1 2 4 8 12 31111 6 M59 20400 000132 0000R 00001 00248 015 2112000 2024 CP1PV404 001*")</f>
        <v>0</v>
      </c>
      <c r="E6247"/>
      <c r="F6247" s="35">
        <f>SUMIFS(F6248:F9015,K6248:K9015,"0",B6248:B9015,"5 1 2 4 8 12 31111 6 M59 20400 000132 0000R 00001 00248 015 2112000 2024 CP1PV404 001*")</f>
        <v>43.99</v>
      </c>
      <c r="G6247" s="35">
        <f>SUMIFS(G6248:G9015,K6248:K9015,"0",B6248:B9015,"5 1 2 4 8 12 31111 6 M59 20400 000132 0000R 00001 00248 015 2112000 2024 CP1PV404 001*")</f>
        <v>0</v>
      </c>
      <c r="H6247" s="35">
        <f t="shared" si="98"/>
        <v>43.99</v>
      </c>
      <c r="I6247" s="35"/>
      <c r="K6247" t="s">
        <v>15</v>
      </c>
    </row>
    <row r="6248" spans="2:11" ht="41.25" x14ac:dyDescent="0.2">
      <c r="B6248" s="31" t="s">
        <v>7247</v>
      </c>
      <c r="C6248" s="31" t="s">
        <v>7241</v>
      </c>
      <c r="D6248" s="34">
        <v>0</v>
      </c>
      <c r="E6248" s="34"/>
      <c r="F6248" s="34">
        <v>43.99</v>
      </c>
      <c r="G6248" s="34">
        <v>0</v>
      </c>
      <c r="H6248" s="34">
        <f t="shared" si="98"/>
        <v>43.99</v>
      </c>
      <c r="I6248" s="34"/>
      <c r="K6248" t="s">
        <v>38</v>
      </c>
    </row>
    <row r="6249" spans="2:11" ht="16.5" x14ac:dyDescent="0.2">
      <c r="B6249" s="33" t="s">
        <v>7248</v>
      </c>
      <c r="C6249" s="33" t="s">
        <v>3754</v>
      </c>
      <c r="D6249" s="35">
        <f>SUMIFS(D6250:D9015,K6250:K9015,"0",B6250:B9015,"5 1 2 4 8 12 31111 6 M59 99000*")-SUMIFS(E6250:E9015,K6250:K9015,"0",B6250:B9015,"5 1 2 4 8 12 31111 6 M59 99000*")</f>
        <v>0</v>
      </c>
      <c r="E6249"/>
      <c r="F6249" s="35">
        <f>SUMIFS(F6250:F9015,K6250:K9015,"0",B6250:B9015,"5 1 2 4 8 12 31111 6 M59 99000*")</f>
        <v>1910.94</v>
      </c>
      <c r="G6249" s="35">
        <f>SUMIFS(G6250:G9015,K6250:K9015,"0",B6250:B9015,"5 1 2 4 8 12 31111 6 M59 99000*")</f>
        <v>0</v>
      </c>
      <c r="H6249" s="35">
        <f t="shared" si="98"/>
        <v>1910.94</v>
      </c>
      <c r="I6249" s="35"/>
      <c r="K6249" t="s">
        <v>15</v>
      </c>
    </row>
    <row r="6250" spans="2:11" ht="16.5" x14ac:dyDescent="0.2">
      <c r="B6250" s="33" t="s">
        <v>7249</v>
      </c>
      <c r="C6250" s="33" t="s">
        <v>648</v>
      </c>
      <c r="D6250" s="35">
        <f>SUMIFS(D6251:D9015,K6251:K9015,"0",B6251:B9015,"5 1 2 4 8 12 31111 6 M59 99000 000132*")-SUMIFS(E6251:E9015,K6251:K9015,"0",B6251:B9015,"5 1 2 4 8 12 31111 6 M59 99000 000132*")</f>
        <v>0</v>
      </c>
      <c r="E6250"/>
      <c r="F6250" s="35">
        <f>SUMIFS(F6251:F9015,K6251:K9015,"0",B6251:B9015,"5 1 2 4 8 12 31111 6 M59 99000 000132*")</f>
        <v>1910.94</v>
      </c>
      <c r="G6250" s="35">
        <f>SUMIFS(G6251:G9015,K6251:K9015,"0",B6251:B9015,"5 1 2 4 8 12 31111 6 M59 99000 000132*")</f>
        <v>0</v>
      </c>
      <c r="H6250" s="35">
        <f t="shared" si="98"/>
        <v>1910.94</v>
      </c>
      <c r="I6250" s="35"/>
      <c r="K6250" t="s">
        <v>15</v>
      </c>
    </row>
    <row r="6251" spans="2:11" ht="24.75" x14ac:dyDescent="0.2">
      <c r="B6251" s="33" t="s">
        <v>7250</v>
      </c>
      <c r="C6251" s="33" t="s">
        <v>650</v>
      </c>
      <c r="D6251" s="35">
        <f>SUMIFS(D6252:D9015,K6252:K9015,"0",B6252:B9015,"5 1 2 4 8 12 31111 6 M59 99000 000132 0000R*")-SUMIFS(E6252:E9015,K6252:K9015,"0",B6252:B9015,"5 1 2 4 8 12 31111 6 M59 99000 000132 0000R*")</f>
        <v>0</v>
      </c>
      <c r="E6251"/>
      <c r="F6251" s="35">
        <f>SUMIFS(F6252:F9015,K6252:K9015,"0",B6252:B9015,"5 1 2 4 8 12 31111 6 M59 99000 000132 0000R*")</f>
        <v>1910.94</v>
      </c>
      <c r="G6251" s="35">
        <f>SUMIFS(G6252:G9015,K6252:K9015,"0",B6252:B9015,"5 1 2 4 8 12 31111 6 M59 99000 000132 0000R*")</f>
        <v>0</v>
      </c>
      <c r="H6251" s="35">
        <f t="shared" si="98"/>
        <v>1910.94</v>
      </c>
      <c r="I6251" s="35"/>
      <c r="K6251" t="s">
        <v>15</v>
      </c>
    </row>
    <row r="6252" spans="2:11" ht="24.75" x14ac:dyDescent="0.2">
      <c r="B6252" s="33" t="s">
        <v>7251</v>
      </c>
      <c r="C6252" s="33" t="s">
        <v>282</v>
      </c>
      <c r="D6252" s="35">
        <f>SUMIFS(D6253:D9015,K6253:K9015,"0",B6253:B9015,"5 1 2 4 8 12 31111 6 M59 99000 000132 0000R 00001*")-SUMIFS(E6253:E9015,K6253:K9015,"0",B6253:B9015,"5 1 2 4 8 12 31111 6 M59 99000 000132 0000R 00001*")</f>
        <v>0</v>
      </c>
      <c r="E6252"/>
      <c r="F6252" s="35">
        <f>SUMIFS(F6253:F9015,K6253:K9015,"0",B6253:B9015,"5 1 2 4 8 12 31111 6 M59 99000 000132 0000R 00001*")</f>
        <v>1910.94</v>
      </c>
      <c r="G6252" s="35">
        <f>SUMIFS(G6253:G9015,K6253:K9015,"0",B6253:B9015,"5 1 2 4 8 12 31111 6 M59 99000 000132 0000R 00001*")</f>
        <v>0</v>
      </c>
      <c r="H6252" s="35">
        <f t="shared" si="98"/>
        <v>1910.94</v>
      </c>
      <c r="I6252" s="35"/>
      <c r="K6252" t="s">
        <v>15</v>
      </c>
    </row>
    <row r="6253" spans="2:11" ht="24.75" x14ac:dyDescent="0.2">
      <c r="B6253" s="33" t="s">
        <v>7252</v>
      </c>
      <c r="C6253" s="33" t="s">
        <v>7241</v>
      </c>
      <c r="D6253" s="35">
        <f>SUMIFS(D6254:D9015,K6254:K9015,"0",B6254:B9015,"5 1 2 4 8 12 31111 6 M59 99000 000132 0000R 00001 00248*")-SUMIFS(E6254:E9015,K6254:K9015,"0",B6254:B9015,"5 1 2 4 8 12 31111 6 M59 99000 000132 0000R 00001 00248*")</f>
        <v>0</v>
      </c>
      <c r="E6253"/>
      <c r="F6253" s="35">
        <f>SUMIFS(F6254:F9015,K6254:K9015,"0",B6254:B9015,"5 1 2 4 8 12 31111 6 M59 99000 000132 0000R 00001 00248*")</f>
        <v>1910.94</v>
      </c>
      <c r="G6253" s="35">
        <f>SUMIFS(G6254:G9015,K6254:K9015,"0",B6254:B9015,"5 1 2 4 8 12 31111 6 M59 99000 000132 0000R 00001 00248*")</f>
        <v>0</v>
      </c>
      <c r="H6253" s="35">
        <f t="shared" si="98"/>
        <v>1910.94</v>
      </c>
      <c r="I6253" s="35"/>
      <c r="K6253" t="s">
        <v>15</v>
      </c>
    </row>
    <row r="6254" spans="2:11" ht="33" x14ac:dyDescent="0.2">
      <c r="B6254" s="33" t="s">
        <v>7253</v>
      </c>
      <c r="C6254" s="33" t="s">
        <v>1051</v>
      </c>
      <c r="D6254" s="35">
        <f>SUMIFS(D6255:D9015,K6255:K9015,"0",B6255:B9015,"5 1 2 4 8 12 31111 6 M59 99000 000132 0000R 00001 00248 015*")-SUMIFS(E6255:E9015,K6255:K9015,"0",B6255:B9015,"5 1 2 4 8 12 31111 6 M59 99000 000132 0000R 00001 00248 015*")</f>
        <v>0</v>
      </c>
      <c r="E6254"/>
      <c r="F6254" s="35">
        <f>SUMIFS(F6255:F9015,K6255:K9015,"0",B6255:B9015,"5 1 2 4 8 12 31111 6 M59 99000 000132 0000R 00001 00248 015*")</f>
        <v>1910.94</v>
      </c>
      <c r="G6254" s="35">
        <f>SUMIFS(G6255:G9015,K6255:K9015,"0",B6255:B9015,"5 1 2 4 8 12 31111 6 M59 99000 000132 0000R 00001 00248 015*")</f>
        <v>0</v>
      </c>
      <c r="H6254" s="35">
        <f t="shared" si="98"/>
        <v>1910.94</v>
      </c>
      <c r="I6254" s="35"/>
      <c r="K6254" t="s">
        <v>15</v>
      </c>
    </row>
    <row r="6255" spans="2:11" ht="33" x14ac:dyDescent="0.2">
      <c r="B6255" s="33" t="s">
        <v>7254</v>
      </c>
      <c r="C6255" s="33" t="s">
        <v>5830</v>
      </c>
      <c r="D6255" s="35">
        <f>SUMIFS(D6256:D9015,K6256:K9015,"0",B6256:B9015,"5 1 2 4 8 12 31111 6 M59 99000 000132 0000R 00001 00248 015 2112000*")-SUMIFS(E6256:E9015,K6256:K9015,"0",B6256:B9015,"5 1 2 4 8 12 31111 6 M59 99000 000132 0000R 00001 00248 015 2112000*")</f>
        <v>0</v>
      </c>
      <c r="E6255"/>
      <c r="F6255" s="35">
        <f>SUMIFS(F6256:F9015,K6256:K9015,"0",B6256:B9015,"5 1 2 4 8 12 31111 6 M59 99000 000132 0000R 00001 00248 015 2112000*")</f>
        <v>1910.94</v>
      </c>
      <c r="G6255" s="35">
        <f>SUMIFS(G6256:G9015,K6256:K9015,"0",B6256:B9015,"5 1 2 4 8 12 31111 6 M59 99000 000132 0000R 00001 00248 015 2112000*")</f>
        <v>0</v>
      </c>
      <c r="H6255" s="35">
        <f t="shared" si="98"/>
        <v>1910.94</v>
      </c>
      <c r="I6255" s="35"/>
      <c r="K6255" t="s">
        <v>15</v>
      </c>
    </row>
    <row r="6256" spans="2:11" ht="33" x14ac:dyDescent="0.2">
      <c r="B6256" s="33" t="s">
        <v>7255</v>
      </c>
      <c r="C6256" s="33" t="s">
        <v>660</v>
      </c>
      <c r="D6256" s="35">
        <f>SUMIFS(D6257:D9015,K6257:K9015,"0",B6257:B9015,"5 1 2 4 8 12 31111 6 M59 99000 000132 0000R 00001 00248 015 2112000 2024*")-SUMIFS(E6257:E9015,K6257:K9015,"0",B6257:B9015,"5 1 2 4 8 12 31111 6 M59 99000 000132 0000R 00001 00248 015 2112000 2024*")</f>
        <v>0</v>
      </c>
      <c r="E6256"/>
      <c r="F6256" s="35">
        <f>SUMIFS(F6257:F9015,K6257:K9015,"0",B6257:B9015,"5 1 2 4 8 12 31111 6 M59 99000 000132 0000R 00001 00248 015 2112000 2024*")</f>
        <v>1910.94</v>
      </c>
      <c r="G6256" s="35">
        <f>SUMIFS(G6257:G9015,K6257:K9015,"0",B6257:B9015,"5 1 2 4 8 12 31111 6 M59 99000 000132 0000R 00001 00248 015 2112000 2024*")</f>
        <v>0</v>
      </c>
      <c r="H6256" s="35">
        <f t="shared" si="98"/>
        <v>1910.94</v>
      </c>
      <c r="I6256" s="35"/>
      <c r="K6256" t="s">
        <v>15</v>
      </c>
    </row>
    <row r="6257" spans="2:11" ht="41.25" x14ac:dyDescent="0.2">
      <c r="B6257" s="33" t="s">
        <v>7256</v>
      </c>
      <c r="C6257" s="33" t="s">
        <v>1056</v>
      </c>
      <c r="D6257" s="35">
        <f>SUMIFS(D6258:D9015,K6258:K9015,"0",B6258:B9015,"5 1 2 4 8 12 31111 6 M59 99000 000132 0000R 00001 00248 015 2112000 2024 CP1MG408*")-SUMIFS(E6258:E9015,K6258:K9015,"0",B6258:B9015,"5 1 2 4 8 12 31111 6 M59 99000 000132 0000R 00001 00248 015 2112000 2024 CP1MG408*")</f>
        <v>0</v>
      </c>
      <c r="E6257"/>
      <c r="F6257" s="35">
        <f>SUMIFS(F6258:F9015,K6258:K9015,"0",B6258:B9015,"5 1 2 4 8 12 31111 6 M59 99000 000132 0000R 00001 00248 015 2112000 2024 CP1MG408*")</f>
        <v>1910.94</v>
      </c>
      <c r="G6257" s="35">
        <f>SUMIFS(G6258:G9015,K6258:K9015,"0",B6258:B9015,"5 1 2 4 8 12 31111 6 M59 99000 000132 0000R 00001 00248 015 2112000 2024 CP1MG408*")</f>
        <v>0</v>
      </c>
      <c r="H6257" s="35">
        <f t="shared" si="98"/>
        <v>1910.94</v>
      </c>
      <c r="I6257" s="35"/>
      <c r="K6257" t="s">
        <v>15</v>
      </c>
    </row>
    <row r="6258" spans="2:11" ht="41.25" x14ac:dyDescent="0.2">
      <c r="B6258" s="33" t="s">
        <v>7257</v>
      </c>
      <c r="C6258" s="33" t="s">
        <v>282</v>
      </c>
      <c r="D6258" s="35">
        <f>SUMIFS(D6259:D9015,K6259:K9015,"0",B6259:B9015,"5 1 2 4 8 12 31111 6 M59 99000 000132 0000R 00001 00248 015 2112000 2024 CP1MG408 001*")-SUMIFS(E6259:E9015,K6259:K9015,"0",B6259:B9015,"5 1 2 4 8 12 31111 6 M59 99000 000132 0000R 00001 00248 015 2112000 2024 CP1MG408 001*")</f>
        <v>0</v>
      </c>
      <c r="E6258"/>
      <c r="F6258" s="35">
        <f>SUMIFS(F6259:F9015,K6259:K9015,"0",B6259:B9015,"5 1 2 4 8 12 31111 6 M59 99000 000132 0000R 00001 00248 015 2112000 2024 CP1MG408 001*")</f>
        <v>1910.94</v>
      </c>
      <c r="G6258" s="35">
        <f>SUMIFS(G6259:G9015,K6259:K9015,"0",B6259:B9015,"5 1 2 4 8 12 31111 6 M59 99000 000132 0000R 00001 00248 015 2112000 2024 CP1MG408 001*")</f>
        <v>0</v>
      </c>
      <c r="H6258" s="35">
        <f t="shared" si="98"/>
        <v>1910.94</v>
      </c>
      <c r="I6258" s="35"/>
      <c r="K6258" t="s">
        <v>15</v>
      </c>
    </row>
    <row r="6259" spans="2:11" ht="41.25" x14ac:dyDescent="0.2">
      <c r="B6259" s="31" t="s">
        <v>7258</v>
      </c>
      <c r="C6259" s="31" t="s">
        <v>7259</v>
      </c>
      <c r="D6259" s="34">
        <v>0</v>
      </c>
      <c r="E6259" s="34"/>
      <c r="F6259" s="34">
        <v>1910.94</v>
      </c>
      <c r="G6259" s="34">
        <v>0</v>
      </c>
      <c r="H6259" s="34">
        <f t="shared" si="98"/>
        <v>1910.94</v>
      </c>
      <c r="I6259" s="34"/>
      <c r="K6259" t="s">
        <v>38</v>
      </c>
    </row>
    <row r="6260" spans="2:11" ht="33" x14ac:dyDescent="0.2">
      <c r="B6260" s="33" t="s">
        <v>7260</v>
      </c>
      <c r="C6260" s="33" t="s">
        <v>7261</v>
      </c>
      <c r="D6260" s="35">
        <f>SUMIFS(D6261:D9015,K6261:K9015,"0",B6261:B9015,"5 1 2 4 9*")-SUMIFS(E6261:E9015,K6261:K9015,"0",B6261:B9015,"5 1 2 4 9*")</f>
        <v>0</v>
      </c>
      <c r="E6260"/>
      <c r="F6260" s="35">
        <f>SUMIFS(F6261:F9015,K6261:K9015,"0",B6261:B9015,"5 1 2 4 9*")</f>
        <v>356389.96999999991</v>
      </c>
      <c r="G6260" s="35">
        <f>SUMIFS(G6261:G9015,K6261:K9015,"0",B6261:B9015,"5 1 2 4 9*")</f>
        <v>0</v>
      </c>
      <c r="H6260" s="35">
        <f t="shared" si="98"/>
        <v>356389.96999999991</v>
      </c>
      <c r="I6260" s="35"/>
      <c r="K6260" t="s">
        <v>15</v>
      </c>
    </row>
    <row r="6261" spans="2:11" ht="12.75" x14ac:dyDescent="0.2">
      <c r="B6261" s="33" t="s">
        <v>7262</v>
      </c>
      <c r="C6261" s="33" t="s">
        <v>26</v>
      </c>
      <c r="D6261" s="35">
        <f>SUMIFS(D6262:D9015,K6262:K9015,"0",B6262:B9015,"5 1 2 4 9 12*")-SUMIFS(E6262:E9015,K6262:K9015,"0",B6262:B9015,"5 1 2 4 9 12*")</f>
        <v>0</v>
      </c>
      <c r="E6261"/>
      <c r="F6261" s="35">
        <f>SUMIFS(F6262:F9015,K6262:K9015,"0",B6262:B9015,"5 1 2 4 9 12*")</f>
        <v>356389.96999999991</v>
      </c>
      <c r="G6261" s="35">
        <f>SUMIFS(G6262:G9015,K6262:K9015,"0",B6262:B9015,"5 1 2 4 9 12*")</f>
        <v>0</v>
      </c>
      <c r="H6261" s="35">
        <f t="shared" si="98"/>
        <v>356389.96999999991</v>
      </c>
      <c r="I6261" s="35"/>
      <c r="K6261" t="s">
        <v>15</v>
      </c>
    </row>
    <row r="6262" spans="2:11" ht="16.5" x14ac:dyDescent="0.2">
      <c r="B6262" s="33" t="s">
        <v>7263</v>
      </c>
      <c r="C6262" s="33" t="s">
        <v>28</v>
      </c>
      <c r="D6262" s="35">
        <f>SUMIFS(D6263:D9015,K6263:K9015,"0",B6263:B9015,"5 1 2 4 9 12 31111*")-SUMIFS(E6263:E9015,K6263:K9015,"0",B6263:B9015,"5 1 2 4 9 12 31111*")</f>
        <v>0</v>
      </c>
      <c r="E6262"/>
      <c r="F6262" s="35">
        <f>SUMIFS(F6263:F9015,K6263:K9015,"0",B6263:B9015,"5 1 2 4 9 12 31111*")</f>
        <v>356389.96999999991</v>
      </c>
      <c r="G6262" s="35">
        <f>SUMIFS(G6263:G9015,K6263:K9015,"0",B6263:B9015,"5 1 2 4 9 12 31111*")</f>
        <v>0</v>
      </c>
      <c r="H6262" s="35">
        <f t="shared" si="98"/>
        <v>356389.96999999991</v>
      </c>
      <c r="I6262" s="35"/>
      <c r="K6262" t="s">
        <v>15</v>
      </c>
    </row>
    <row r="6263" spans="2:11" ht="12.75" x14ac:dyDescent="0.2">
      <c r="B6263" s="33" t="s">
        <v>7264</v>
      </c>
      <c r="C6263" s="33" t="s">
        <v>30</v>
      </c>
      <c r="D6263" s="35">
        <f>SUMIFS(D6264:D9015,K6264:K9015,"0",B6264:B9015,"5 1 2 4 9 12 31111 6*")-SUMIFS(E6264:E9015,K6264:K9015,"0",B6264:B9015,"5 1 2 4 9 12 31111 6*")</f>
        <v>0</v>
      </c>
      <c r="E6263"/>
      <c r="F6263" s="35">
        <f>SUMIFS(F6264:F9015,K6264:K9015,"0",B6264:B9015,"5 1 2 4 9 12 31111 6*")</f>
        <v>356389.96999999991</v>
      </c>
      <c r="G6263" s="35">
        <f>SUMIFS(G6264:G9015,K6264:K9015,"0",B6264:B9015,"5 1 2 4 9 12 31111 6*")</f>
        <v>0</v>
      </c>
      <c r="H6263" s="35">
        <f t="shared" si="98"/>
        <v>356389.96999999991</v>
      </c>
      <c r="I6263" s="35"/>
      <c r="K6263" t="s">
        <v>15</v>
      </c>
    </row>
    <row r="6264" spans="2:11" ht="16.5" x14ac:dyDescent="0.2">
      <c r="B6264" s="33" t="s">
        <v>7265</v>
      </c>
      <c r="C6264" s="33" t="s">
        <v>2284</v>
      </c>
      <c r="D6264" s="35">
        <f>SUMIFS(D6265:D9015,K6265:K9015,"0",B6265:B9015,"5 1 2 4 9 12 31111 6 M59*")-SUMIFS(E6265:E9015,K6265:K9015,"0",B6265:B9015,"5 1 2 4 9 12 31111 6 M59*")</f>
        <v>0</v>
      </c>
      <c r="E6264"/>
      <c r="F6264" s="35">
        <f>SUMIFS(F6265:F9015,K6265:K9015,"0",B6265:B9015,"5 1 2 4 9 12 31111 6 M59*")</f>
        <v>356389.96999999991</v>
      </c>
      <c r="G6264" s="35">
        <f>SUMIFS(G6265:G9015,K6265:K9015,"0",B6265:B9015,"5 1 2 4 9 12 31111 6 M59*")</f>
        <v>0</v>
      </c>
      <c r="H6264" s="35">
        <f t="shared" si="98"/>
        <v>356389.96999999991</v>
      </c>
      <c r="I6264" s="35"/>
      <c r="K6264" t="s">
        <v>15</v>
      </c>
    </row>
    <row r="6265" spans="2:11" ht="16.5" x14ac:dyDescent="0.2">
      <c r="B6265" s="33" t="s">
        <v>7266</v>
      </c>
      <c r="C6265" s="33" t="s">
        <v>1044</v>
      </c>
      <c r="D6265" s="35">
        <f>SUMIFS(D6266:D9015,K6266:K9015,"0",B6266:B9015,"5 1 2 4 9 12 31111 6 M59 19000*")-SUMIFS(E6266:E9015,K6266:K9015,"0",B6266:B9015,"5 1 2 4 9 12 31111 6 M59 19000*")</f>
        <v>0</v>
      </c>
      <c r="E6265"/>
      <c r="F6265" s="35">
        <f>SUMIFS(F6266:F9015,K6266:K9015,"0",B6266:B9015,"5 1 2 4 9 12 31111 6 M59 19000*")</f>
        <v>64003</v>
      </c>
      <c r="G6265" s="35">
        <f>SUMIFS(G6266:G9015,K6266:K9015,"0",B6266:B9015,"5 1 2 4 9 12 31111 6 M59 19000*")</f>
        <v>0</v>
      </c>
      <c r="H6265" s="35">
        <f t="shared" si="98"/>
        <v>64003</v>
      </c>
      <c r="I6265" s="35"/>
      <c r="K6265" t="s">
        <v>15</v>
      </c>
    </row>
    <row r="6266" spans="2:11" ht="16.5" x14ac:dyDescent="0.2">
      <c r="B6266" s="33" t="s">
        <v>7267</v>
      </c>
      <c r="C6266" s="33" t="s">
        <v>648</v>
      </c>
      <c r="D6266" s="35">
        <f>SUMIFS(D6267:D9015,K6267:K9015,"0",B6267:B9015,"5 1 2 4 9 12 31111 6 M59 19000 000132*")-SUMIFS(E6267:E9015,K6267:K9015,"0",B6267:B9015,"5 1 2 4 9 12 31111 6 M59 19000 000132*")</f>
        <v>0</v>
      </c>
      <c r="E6266"/>
      <c r="F6266" s="35">
        <f>SUMIFS(F6267:F9015,K6267:K9015,"0",B6267:B9015,"5 1 2 4 9 12 31111 6 M59 19000 000132*")</f>
        <v>64003</v>
      </c>
      <c r="G6266" s="35">
        <f>SUMIFS(G6267:G9015,K6267:K9015,"0",B6267:B9015,"5 1 2 4 9 12 31111 6 M59 19000 000132*")</f>
        <v>0</v>
      </c>
      <c r="H6266" s="35">
        <f t="shared" si="98"/>
        <v>64003</v>
      </c>
      <c r="I6266" s="35"/>
      <c r="K6266" t="s">
        <v>15</v>
      </c>
    </row>
    <row r="6267" spans="2:11" ht="24.75" x14ac:dyDescent="0.2">
      <c r="B6267" s="33" t="s">
        <v>7268</v>
      </c>
      <c r="C6267" s="33" t="s">
        <v>650</v>
      </c>
      <c r="D6267" s="35">
        <f>SUMIFS(D6268:D9015,K6268:K9015,"0",B6268:B9015,"5 1 2 4 9 12 31111 6 M59 19000 000132 0000R*")-SUMIFS(E6268:E9015,K6268:K9015,"0",B6268:B9015,"5 1 2 4 9 12 31111 6 M59 19000 000132 0000R*")</f>
        <v>0</v>
      </c>
      <c r="E6267"/>
      <c r="F6267" s="35">
        <f>SUMIFS(F6268:F9015,K6268:K9015,"0",B6268:B9015,"5 1 2 4 9 12 31111 6 M59 19000 000132 0000R*")</f>
        <v>64003</v>
      </c>
      <c r="G6267" s="35">
        <f>SUMIFS(G6268:G9015,K6268:K9015,"0",B6268:B9015,"5 1 2 4 9 12 31111 6 M59 19000 000132 0000R*")</f>
        <v>0</v>
      </c>
      <c r="H6267" s="35">
        <f t="shared" si="98"/>
        <v>64003</v>
      </c>
      <c r="I6267" s="35"/>
      <c r="K6267" t="s">
        <v>15</v>
      </c>
    </row>
    <row r="6268" spans="2:11" ht="24.75" x14ac:dyDescent="0.2">
      <c r="B6268" s="33" t="s">
        <v>7269</v>
      </c>
      <c r="C6268" s="33" t="s">
        <v>282</v>
      </c>
      <c r="D6268" s="35">
        <f>SUMIFS(D6269:D9015,K6269:K9015,"0",B6269:B9015,"5 1 2 4 9 12 31111 6 M59 19000 000132 0000R 00001*")-SUMIFS(E6269:E9015,K6269:K9015,"0",B6269:B9015,"5 1 2 4 9 12 31111 6 M59 19000 000132 0000R 00001*")</f>
        <v>0</v>
      </c>
      <c r="E6268"/>
      <c r="F6268" s="35">
        <f>SUMIFS(F6269:F9015,K6269:K9015,"0",B6269:B9015,"5 1 2 4 9 12 31111 6 M59 19000 000132 0000R 00001*")</f>
        <v>64003</v>
      </c>
      <c r="G6268" s="35">
        <f>SUMIFS(G6269:G9015,K6269:K9015,"0",B6269:B9015,"5 1 2 4 9 12 31111 6 M59 19000 000132 0000R 00001*")</f>
        <v>0</v>
      </c>
      <c r="H6268" s="35">
        <f t="shared" si="98"/>
        <v>64003</v>
      </c>
      <c r="I6268" s="35"/>
      <c r="K6268" t="s">
        <v>15</v>
      </c>
    </row>
    <row r="6269" spans="2:11" ht="33" x14ac:dyDescent="0.2">
      <c r="B6269" s="33" t="s">
        <v>7270</v>
      </c>
      <c r="C6269" s="33" t="s">
        <v>7271</v>
      </c>
      <c r="D6269" s="35">
        <f>SUMIFS(D6270:D9015,K6270:K9015,"0",B6270:B9015,"5 1 2 4 9 12 31111 6 M59 19000 000132 0000R 00001 00249*")-SUMIFS(E6270:E9015,K6270:K9015,"0",B6270:B9015,"5 1 2 4 9 12 31111 6 M59 19000 000132 0000R 00001 00249*")</f>
        <v>0</v>
      </c>
      <c r="E6269"/>
      <c r="F6269" s="35">
        <f>SUMIFS(F6270:F9015,K6270:K9015,"0",B6270:B9015,"5 1 2 4 9 12 31111 6 M59 19000 000132 0000R 00001 00249*")</f>
        <v>64003</v>
      </c>
      <c r="G6269" s="35">
        <f>SUMIFS(G6270:G9015,K6270:K9015,"0",B6270:B9015,"5 1 2 4 9 12 31111 6 M59 19000 000132 0000R 00001 00249*")</f>
        <v>0</v>
      </c>
      <c r="H6269" s="35">
        <f t="shared" si="98"/>
        <v>64003</v>
      </c>
      <c r="I6269" s="35"/>
      <c r="K6269" t="s">
        <v>15</v>
      </c>
    </row>
    <row r="6270" spans="2:11" ht="33" x14ac:dyDescent="0.2">
      <c r="B6270" s="33" t="s">
        <v>7272</v>
      </c>
      <c r="C6270" s="33" t="s">
        <v>699</v>
      </c>
      <c r="D6270" s="35">
        <f>SUMIFS(D6271:D9015,K6271:K9015,"0",B6271:B9015,"5 1 2 4 9 12 31111 6 M59 19000 000132 0000R 00001 00249 011*")-SUMIFS(E6271:E9015,K6271:K9015,"0",B6271:B9015,"5 1 2 4 9 12 31111 6 M59 19000 000132 0000R 00001 00249 011*")</f>
        <v>0</v>
      </c>
      <c r="E6270"/>
      <c r="F6270" s="35">
        <f>SUMIFS(F6271:F9015,K6271:K9015,"0",B6271:B9015,"5 1 2 4 9 12 31111 6 M59 19000 000132 0000R 00001 00249 011*")</f>
        <v>64003</v>
      </c>
      <c r="G6270" s="35">
        <f>SUMIFS(G6271:G9015,K6271:K9015,"0",B6271:B9015,"5 1 2 4 9 12 31111 6 M59 19000 000132 0000R 00001 00249 011*")</f>
        <v>0</v>
      </c>
      <c r="H6270" s="35">
        <f t="shared" si="98"/>
        <v>64003</v>
      </c>
      <c r="I6270" s="35"/>
      <c r="K6270" t="s">
        <v>15</v>
      </c>
    </row>
    <row r="6271" spans="2:11" ht="33" x14ac:dyDescent="0.2">
      <c r="B6271" s="33" t="s">
        <v>7273</v>
      </c>
      <c r="C6271" s="33" t="s">
        <v>5830</v>
      </c>
      <c r="D6271" s="35">
        <f>SUMIFS(D6272:D9015,K6272:K9015,"0",B6272:B9015,"5 1 2 4 9 12 31111 6 M59 19000 000132 0000R 00001 00249 011 2112000*")-SUMIFS(E6272:E9015,K6272:K9015,"0",B6272:B9015,"5 1 2 4 9 12 31111 6 M59 19000 000132 0000R 00001 00249 011 2112000*")</f>
        <v>0</v>
      </c>
      <c r="E6271"/>
      <c r="F6271" s="35">
        <f>SUMIFS(F6272:F9015,K6272:K9015,"0",B6272:B9015,"5 1 2 4 9 12 31111 6 M59 19000 000132 0000R 00001 00249 011 2112000*")</f>
        <v>64003</v>
      </c>
      <c r="G6271" s="35">
        <f>SUMIFS(G6272:G9015,K6272:K9015,"0",B6272:B9015,"5 1 2 4 9 12 31111 6 M59 19000 000132 0000R 00001 00249 011 2112000*")</f>
        <v>0</v>
      </c>
      <c r="H6271" s="35">
        <f t="shared" si="98"/>
        <v>64003</v>
      </c>
      <c r="I6271" s="35"/>
      <c r="K6271" t="s">
        <v>15</v>
      </c>
    </row>
    <row r="6272" spans="2:11" ht="33" x14ac:dyDescent="0.2">
      <c r="B6272" s="33" t="s">
        <v>7274</v>
      </c>
      <c r="C6272" s="33" t="s">
        <v>660</v>
      </c>
      <c r="D6272" s="35">
        <f>SUMIFS(D6273:D9015,K6273:K9015,"0",B6273:B9015,"5 1 2 4 9 12 31111 6 M59 19000 000132 0000R 00001 00249 011 2112000 2024*")-SUMIFS(E6273:E9015,K6273:K9015,"0",B6273:B9015,"5 1 2 4 9 12 31111 6 M59 19000 000132 0000R 00001 00249 011 2112000 2024*")</f>
        <v>0</v>
      </c>
      <c r="E6272"/>
      <c r="F6272" s="35">
        <f>SUMIFS(F6273:F9015,K6273:K9015,"0",B6273:B9015,"5 1 2 4 9 12 31111 6 M59 19000 000132 0000R 00001 00249 011 2112000 2024*")</f>
        <v>64003</v>
      </c>
      <c r="G6272" s="35">
        <f>SUMIFS(G6273:G9015,K6273:K9015,"0",B6273:B9015,"5 1 2 4 9 12 31111 6 M59 19000 000132 0000R 00001 00249 011 2112000 2024*")</f>
        <v>0</v>
      </c>
      <c r="H6272" s="35">
        <f t="shared" si="98"/>
        <v>64003</v>
      </c>
      <c r="I6272" s="35"/>
      <c r="K6272" t="s">
        <v>15</v>
      </c>
    </row>
    <row r="6273" spans="2:11" ht="41.25" x14ac:dyDescent="0.2">
      <c r="B6273" s="33" t="s">
        <v>7275</v>
      </c>
      <c r="C6273" s="33" t="s">
        <v>662</v>
      </c>
      <c r="D6273" s="35">
        <f>SUMIFS(D6274:D9015,K6274:K9015,"0",B6274:B9015,"5 1 2 4 9 12 31111 6 M59 19000 000132 0000R 00001 00249 011 2112000 2024 CP1TM440*")-SUMIFS(E6274:E9015,K6274:K9015,"0",B6274:B9015,"5 1 2 4 9 12 31111 6 M59 19000 000132 0000R 00001 00249 011 2112000 2024 CP1TM440*")</f>
        <v>0</v>
      </c>
      <c r="E6273"/>
      <c r="F6273" s="35">
        <f>SUMIFS(F6274:F9015,K6274:K9015,"0",B6274:B9015,"5 1 2 4 9 12 31111 6 M59 19000 000132 0000R 00001 00249 011 2112000 2024 CP1TM440*")</f>
        <v>64003</v>
      </c>
      <c r="G6273" s="35">
        <f>SUMIFS(G6274:G9015,K6274:K9015,"0",B6274:B9015,"5 1 2 4 9 12 31111 6 M59 19000 000132 0000R 00001 00249 011 2112000 2024 CP1TM440*")</f>
        <v>0</v>
      </c>
      <c r="H6273" s="35">
        <f t="shared" si="98"/>
        <v>64003</v>
      </c>
      <c r="I6273" s="35"/>
      <c r="K6273" t="s">
        <v>15</v>
      </c>
    </row>
    <row r="6274" spans="2:11" ht="41.25" x14ac:dyDescent="0.2">
      <c r="B6274" s="33" t="s">
        <v>7276</v>
      </c>
      <c r="C6274" s="33" t="s">
        <v>46</v>
      </c>
      <c r="D6274" s="35">
        <f>SUMIFS(D6275:D9015,K6275:K9015,"0",B6275:B9015,"5 1 2 4 9 12 31111 6 M59 19000 000132 0000R 00001 00249 011 2112000 2024 CP1TM440 004*")-SUMIFS(E6275:E9015,K6275:K9015,"0",B6275:B9015,"5 1 2 4 9 12 31111 6 M59 19000 000132 0000R 00001 00249 011 2112000 2024 CP1TM440 004*")</f>
        <v>0</v>
      </c>
      <c r="E6274"/>
      <c r="F6274" s="35">
        <f>SUMIFS(F6275:F9015,K6275:K9015,"0",B6275:B9015,"5 1 2 4 9 12 31111 6 M59 19000 000132 0000R 00001 00249 011 2112000 2024 CP1TM440 004*")</f>
        <v>64003</v>
      </c>
      <c r="G6274" s="35">
        <f>SUMIFS(G6275:G9015,K6275:K9015,"0",B6275:B9015,"5 1 2 4 9 12 31111 6 M59 19000 000132 0000R 00001 00249 011 2112000 2024 CP1TM440 004*")</f>
        <v>0</v>
      </c>
      <c r="H6274" s="35">
        <f t="shared" si="98"/>
        <v>64003</v>
      </c>
      <c r="I6274" s="35"/>
      <c r="K6274" t="s">
        <v>15</v>
      </c>
    </row>
    <row r="6275" spans="2:11" ht="33" x14ac:dyDescent="0.2">
      <c r="B6275" s="31" t="s">
        <v>7277</v>
      </c>
      <c r="C6275" s="31" t="s">
        <v>7271</v>
      </c>
      <c r="D6275" s="34">
        <v>0</v>
      </c>
      <c r="E6275" s="34"/>
      <c r="F6275" s="34">
        <v>64003</v>
      </c>
      <c r="G6275" s="34">
        <v>0</v>
      </c>
      <c r="H6275" s="34">
        <f t="shared" si="98"/>
        <v>64003</v>
      </c>
      <c r="I6275" s="34"/>
      <c r="K6275" t="s">
        <v>38</v>
      </c>
    </row>
    <row r="6276" spans="2:11" ht="16.5" x14ac:dyDescent="0.2">
      <c r="B6276" s="33" t="s">
        <v>7278</v>
      </c>
      <c r="C6276" s="33" t="s">
        <v>3103</v>
      </c>
      <c r="D6276" s="35">
        <f>SUMIFS(D6277:D9015,K6277:K9015,"0",B6277:B9015,"5 1 2 4 9 12 31111 6 M59 20400*")-SUMIFS(E6277:E9015,K6277:K9015,"0",B6277:B9015,"5 1 2 4 9 12 31111 6 M59 20400*")</f>
        <v>0</v>
      </c>
      <c r="E6276"/>
      <c r="F6276" s="35">
        <f>SUMIFS(F6277:F9015,K6277:K9015,"0",B6277:B9015,"5 1 2 4 9 12 31111 6 M59 20400*")</f>
        <v>450.46</v>
      </c>
      <c r="G6276" s="35">
        <f>SUMIFS(G6277:G9015,K6277:K9015,"0",B6277:B9015,"5 1 2 4 9 12 31111 6 M59 20400*")</f>
        <v>0</v>
      </c>
      <c r="H6276" s="35">
        <f t="shared" ref="H6276:H6339" si="99">D6276 + F6276 - G6276</f>
        <v>450.46</v>
      </c>
      <c r="I6276" s="35"/>
      <c r="K6276" t="s">
        <v>15</v>
      </c>
    </row>
    <row r="6277" spans="2:11" ht="16.5" x14ac:dyDescent="0.2">
      <c r="B6277" s="33" t="s">
        <v>7279</v>
      </c>
      <c r="C6277" s="33" t="s">
        <v>648</v>
      </c>
      <c r="D6277" s="35">
        <f>SUMIFS(D6278:D9015,K6278:K9015,"0",B6278:B9015,"5 1 2 4 9 12 31111 6 M59 20400 000132*")-SUMIFS(E6278:E9015,K6278:K9015,"0",B6278:B9015,"5 1 2 4 9 12 31111 6 M59 20400 000132*")</f>
        <v>0</v>
      </c>
      <c r="E6277"/>
      <c r="F6277" s="35">
        <f>SUMIFS(F6278:F9015,K6278:K9015,"0",B6278:B9015,"5 1 2 4 9 12 31111 6 M59 20400 000132*")</f>
        <v>450.46</v>
      </c>
      <c r="G6277" s="35">
        <f>SUMIFS(G6278:G9015,K6278:K9015,"0",B6278:B9015,"5 1 2 4 9 12 31111 6 M59 20400 000132*")</f>
        <v>0</v>
      </c>
      <c r="H6277" s="35">
        <f t="shared" si="99"/>
        <v>450.46</v>
      </c>
      <c r="I6277" s="35"/>
      <c r="K6277" t="s">
        <v>15</v>
      </c>
    </row>
    <row r="6278" spans="2:11" ht="24.75" x14ac:dyDescent="0.2">
      <c r="B6278" s="33" t="s">
        <v>7280</v>
      </c>
      <c r="C6278" s="33" t="s">
        <v>650</v>
      </c>
      <c r="D6278" s="35">
        <f>SUMIFS(D6279:D9015,K6279:K9015,"0",B6279:B9015,"5 1 2 4 9 12 31111 6 M59 20400 000132 0000R*")-SUMIFS(E6279:E9015,K6279:K9015,"0",B6279:B9015,"5 1 2 4 9 12 31111 6 M59 20400 000132 0000R*")</f>
        <v>0</v>
      </c>
      <c r="E6278"/>
      <c r="F6278" s="35">
        <f>SUMIFS(F6279:F9015,K6279:K9015,"0",B6279:B9015,"5 1 2 4 9 12 31111 6 M59 20400 000132 0000R*")</f>
        <v>450.46</v>
      </c>
      <c r="G6278" s="35">
        <f>SUMIFS(G6279:G9015,K6279:K9015,"0",B6279:B9015,"5 1 2 4 9 12 31111 6 M59 20400 000132 0000R*")</f>
        <v>0</v>
      </c>
      <c r="H6278" s="35">
        <f t="shared" si="99"/>
        <v>450.46</v>
      </c>
      <c r="I6278" s="35"/>
      <c r="K6278" t="s">
        <v>15</v>
      </c>
    </row>
    <row r="6279" spans="2:11" ht="24.75" x14ac:dyDescent="0.2">
      <c r="B6279" s="33" t="s">
        <v>7281</v>
      </c>
      <c r="C6279" s="33" t="s">
        <v>282</v>
      </c>
      <c r="D6279" s="35">
        <f>SUMIFS(D6280:D9015,K6280:K9015,"0",B6280:B9015,"5 1 2 4 9 12 31111 6 M59 20400 000132 0000R 00001*")-SUMIFS(E6280:E9015,K6280:K9015,"0",B6280:B9015,"5 1 2 4 9 12 31111 6 M59 20400 000132 0000R 00001*")</f>
        <v>0</v>
      </c>
      <c r="E6279"/>
      <c r="F6279" s="35">
        <f>SUMIFS(F6280:F9015,K6280:K9015,"0",B6280:B9015,"5 1 2 4 9 12 31111 6 M59 20400 000132 0000R 00001*")</f>
        <v>450.46</v>
      </c>
      <c r="G6279" s="35">
        <f>SUMIFS(G6280:G9015,K6280:K9015,"0",B6280:B9015,"5 1 2 4 9 12 31111 6 M59 20400 000132 0000R 00001*")</f>
        <v>0</v>
      </c>
      <c r="H6279" s="35">
        <f t="shared" si="99"/>
        <v>450.46</v>
      </c>
      <c r="I6279" s="35"/>
      <c r="K6279" t="s">
        <v>15</v>
      </c>
    </row>
    <row r="6280" spans="2:11" ht="33" x14ac:dyDescent="0.2">
      <c r="B6280" s="33" t="s">
        <v>7282</v>
      </c>
      <c r="C6280" s="33" t="s">
        <v>7271</v>
      </c>
      <c r="D6280" s="35">
        <f>SUMIFS(D6281:D9015,K6281:K9015,"0",B6281:B9015,"5 1 2 4 9 12 31111 6 M59 20400 000132 0000R 00001 00249*")-SUMIFS(E6281:E9015,K6281:K9015,"0",B6281:B9015,"5 1 2 4 9 12 31111 6 M59 20400 000132 0000R 00001 00249*")</f>
        <v>0</v>
      </c>
      <c r="E6280"/>
      <c r="F6280" s="35">
        <f>SUMIFS(F6281:F9015,K6281:K9015,"0",B6281:B9015,"5 1 2 4 9 12 31111 6 M59 20400 000132 0000R 00001 00249*")</f>
        <v>450.46</v>
      </c>
      <c r="G6280" s="35">
        <f>SUMIFS(G6281:G9015,K6281:K9015,"0",B6281:B9015,"5 1 2 4 9 12 31111 6 M59 20400 000132 0000R 00001 00249*")</f>
        <v>0</v>
      </c>
      <c r="H6280" s="35">
        <f t="shared" si="99"/>
        <v>450.46</v>
      </c>
      <c r="I6280" s="35"/>
      <c r="K6280" t="s">
        <v>15</v>
      </c>
    </row>
    <row r="6281" spans="2:11" ht="33" x14ac:dyDescent="0.2">
      <c r="B6281" s="33" t="s">
        <v>7283</v>
      </c>
      <c r="C6281" s="33" t="s">
        <v>1051</v>
      </c>
      <c r="D6281" s="35">
        <f>SUMIFS(D6282:D9015,K6282:K9015,"0",B6282:B9015,"5 1 2 4 9 12 31111 6 M59 20400 000132 0000R 00001 00249 015*")-SUMIFS(E6282:E9015,K6282:K9015,"0",B6282:B9015,"5 1 2 4 9 12 31111 6 M59 20400 000132 0000R 00001 00249 015*")</f>
        <v>0</v>
      </c>
      <c r="E6281"/>
      <c r="F6281" s="35">
        <f>SUMIFS(F6282:F9015,K6282:K9015,"0",B6282:B9015,"5 1 2 4 9 12 31111 6 M59 20400 000132 0000R 00001 00249 015*")</f>
        <v>450.46</v>
      </c>
      <c r="G6281" s="35">
        <f>SUMIFS(G6282:G9015,K6282:K9015,"0",B6282:B9015,"5 1 2 4 9 12 31111 6 M59 20400 000132 0000R 00001 00249 015*")</f>
        <v>0</v>
      </c>
      <c r="H6281" s="35">
        <f t="shared" si="99"/>
        <v>450.46</v>
      </c>
      <c r="I6281" s="35"/>
      <c r="K6281" t="s">
        <v>15</v>
      </c>
    </row>
    <row r="6282" spans="2:11" ht="33" x14ac:dyDescent="0.2">
      <c r="B6282" s="33" t="s">
        <v>7284</v>
      </c>
      <c r="C6282" s="33" t="s">
        <v>5830</v>
      </c>
      <c r="D6282" s="35">
        <f>SUMIFS(D6283:D9015,K6283:K9015,"0",B6283:B9015,"5 1 2 4 9 12 31111 6 M59 20400 000132 0000R 00001 00249 015 2112000*")-SUMIFS(E6283:E9015,K6283:K9015,"0",B6283:B9015,"5 1 2 4 9 12 31111 6 M59 20400 000132 0000R 00001 00249 015 2112000*")</f>
        <v>0</v>
      </c>
      <c r="E6282"/>
      <c r="F6282" s="35">
        <f>SUMIFS(F6283:F9015,K6283:K9015,"0",B6283:B9015,"5 1 2 4 9 12 31111 6 M59 20400 000132 0000R 00001 00249 015 2112000*")</f>
        <v>450.46</v>
      </c>
      <c r="G6282" s="35">
        <f>SUMIFS(G6283:G9015,K6283:K9015,"0",B6283:B9015,"5 1 2 4 9 12 31111 6 M59 20400 000132 0000R 00001 00249 015 2112000*")</f>
        <v>0</v>
      </c>
      <c r="H6282" s="35">
        <f t="shared" si="99"/>
        <v>450.46</v>
      </c>
      <c r="I6282" s="35"/>
      <c r="K6282" t="s">
        <v>15</v>
      </c>
    </row>
    <row r="6283" spans="2:11" ht="33" x14ac:dyDescent="0.2">
      <c r="B6283" s="33" t="s">
        <v>7285</v>
      </c>
      <c r="C6283" s="33" t="s">
        <v>660</v>
      </c>
      <c r="D6283" s="35">
        <f>SUMIFS(D6284:D9015,K6284:K9015,"0",B6284:B9015,"5 1 2 4 9 12 31111 6 M59 20400 000132 0000R 00001 00249 015 2112000 2024*")-SUMIFS(E6284:E9015,K6284:K9015,"0",B6284:B9015,"5 1 2 4 9 12 31111 6 M59 20400 000132 0000R 00001 00249 015 2112000 2024*")</f>
        <v>0</v>
      </c>
      <c r="E6283"/>
      <c r="F6283" s="35">
        <f>SUMIFS(F6284:F9015,K6284:K9015,"0",B6284:B9015,"5 1 2 4 9 12 31111 6 M59 20400 000132 0000R 00001 00249 015 2112000 2024*")</f>
        <v>450.46</v>
      </c>
      <c r="G6283" s="35">
        <f>SUMIFS(G6284:G9015,K6284:K9015,"0",B6284:B9015,"5 1 2 4 9 12 31111 6 M59 20400 000132 0000R 00001 00249 015 2112000 2024*")</f>
        <v>0</v>
      </c>
      <c r="H6283" s="35">
        <f t="shared" si="99"/>
        <v>450.46</v>
      </c>
      <c r="I6283" s="35"/>
      <c r="K6283" t="s">
        <v>15</v>
      </c>
    </row>
    <row r="6284" spans="2:11" ht="41.25" x14ac:dyDescent="0.2">
      <c r="B6284" s="33" t="s">
        <v>7286</v>
      </c>
      <c r="C6284" s="33" t="s">
        <v>1056</v>
      </c>
      <c r="D6284" s="35">
        <f>SUMIFS(D6285:D9015,K6285:K9015,"0",B6285:B9015,"5 1 2 4 9 12 31111 6 M59 20400 000132 0000R 00001 00249 015 2112000 2024 CP1PV404*")-SUMIFS(E6285:E9015,K6285:K9015,"0",B6285:B9015,"5 1 2 4 9 12 31111 6 M59 20400 000132 0000R 00001 00249 015 2112000 2024 CP1PV404*")</f>
        <v>0</v>
      </c>
      <c r="E6284"/>
      <c r="F6284" s="35">
        <f>SUMIFS(F6285:F9015,K6285:K9015,"0",B6285:B9015,"5 1 2 4 9 12 31111 6 M59 20400 000132 0000R 00001 00249 015 2112000 2024 CP1PV404*")</f>
        <v>450.46</v>
      </c>
      <c r="G6284" s="35">
        <f>SUMIFS(G6285:G9015,K6285:K9015,"0",B6285:B9015,"5 1 2 4 9 12 31111 6 M59 20400 000132 0000R 00001 00249 015 2112000 2024 CP1PV404*")</f>
        <v>0</v>
      </c>
      <c r="H6284" s="35">
        <f t="shared" si="99"/>
        <v>450.46</v>
      </c>
      <c r="I6284" s="35"/>
      <c r="K6284" t="s">
        <v>15</v>
      </c>
    </row>
    <row r="6285" spans="2:11" ht="41.25" x14ac:dyDescent="0.2">
      <c r="B6285" s="33" t="s">
        <v>7287</v>
      </c>
      <c r="C6285" s="33" t="s">
        <v>282</v>
      </c>
      <c r="D6285" s="35">
        <f>SUMIFS(D6286:D9015,K6286:K9015,"0",B6286:B9015,"5 1 2 4 9 12 31111 6 M59 20400 000132 0000R 00001 00249 015 2112000 2024 CP1PV404 001*")-SUMIFS(E6286:E9015,K6286:K9015,"0",B6286:B9015,"5 1 2 4 9 12 31111 6 M59 20400 000132 0000R 00001 00249 015 2112000 2024 CP1PV404 001*")</f>
        <v>0</v>
      </c>
      <c r="E6285"/>
      <c r="F6285" s="35">
        <f>SUMIFS(F6286:F9015,K6286:K9015,"0",B6286:B9015,"5 1 2 4 9 12 31111 6 M59 20400 000132 0000R 00001 00249 015 2112000 2024 CP1PV404 001*")</f>
        <v>450.46</v>
      </c>
      <c r="G6285" s="35">
        <f>SUMIFS(G6286:G9015,K6286:K9015,"0",B6286:B9015,"5 1 2 4 9 12 31111 6 M59 20400 000132 0000R 00001 00249 015 2112000 2024 CP1PV404 001*")</f>
        <v>0</v>
      </c>
      <c r="H6285" s="35">
        <f t="shared" si="99"/>
        <v>450.46</v>
      </c>
      <c r="I6285" s="35"/>
      <c r="K6285" t="s">
        <v>15</v>
      </c>
    </row>
    <row r="6286" spans="2:11" ht="41.25" x14ac:dyDescent="0.2">
      <c r="B6286" s="31" t="s">
        <v>7288</v>
      </c>
      <c r="C6286" s="31" t="s">
        <v>7271</v>
      </c>
      <c r="D6286" s="34">
        <v>0</v>
      </c>
      <c r="E6286" s="34"/>
      <c r="F6286" s="34">
        <v>450.46</v>
      </c>
      <c r="G6286" s="34">
        <v>0</v>
      </c>
      <c r="H6286" s="34">
        <f t="shared" si="99"/>
        <v>450.46</v>
      </c>
      <c r="I6286" s="34"/>
      <c r="K6286" t="s">
        <v>38</v>
      </c>
    </row>
    <row r="6287" spans="2:11" ht="16.5" x14ac:dyDescent="0.2">
      <c r="B6287" s="33" t="s">
        <v>7289</v>
      </c>
      <c r="C6287" s="33" t="s">
        <v>1079</v>
      </c>
      <c r="D6287" s="35">
        <f>SUMIFS(D6288:D9015,K6288:K9015,"0",B6288:B9015,"5 1 2 4 9 12 31111 6 M59 20500*")-SUMIFS(E6288:E9015,K6288:K9015,"0",B6288:B9015,"5 1 2 4 9 12 31111 6 M59 20500*")</f>
        <v>0</v>
      </c>
      <c r="E6287"/>
      <c r="F6287" s="35">
        <f>SUMIFS(F6288:F9015,K6288:K9015,"0",B6288:B9015,"5 1 2 4 9 12 31111 6 M59 20500*")</f>
        <v>180350.23</v>
      </c>
      <c r="G6287" s="35">
        <f>SUMIFS(G6288:G9015,K6288:K9015,"0",B6288:B9015,"5 1 2 4 9 12 31111 6 M59 20500*")</f>
        <v>0</v>
      </c>
      <c r="H6287" s="35">
        <f t="shared" si="99"/>
        <v>180350.23</v>
      </c>
      <c r="I6287" s="35"/>
      <c r="K6287" t="s">
        <v>15</v>
      </c>
    </row>
    <row r="6288" spans="2:11" ht="24.75" x14ac:dyDescent="0.2">
      <c r="B6288" s="33" t="s">
        <v>7290</v>
      </c>
      <c r="C6288" s="33" t="s">
        <v>3152</v>
      </c>
      <c r="D6288" s="35">
        <f>SUMIFS(D6289:D9015,K6289:K9015,"0",B6289:B9015,"5 1 2 4 9 12 31111 6 M59 20500 000181*")-SUMIFS(E6289:E9015,K6289:K9015,"0",B6289:B9015,"5 1 2 4 9 12 31111 6 M59 20500 000181*")</f>
        <v>0</v>
      </c>
      <c r="E6288"/>
      <c r="F6288" s="35">
        <f>SUMIFS(F6289:F9015,K6289:K9015,"0",B6289:B9015,"5 1 2 4 9 12 31111 6 M59 20500 000181*")</f>
        <v>180350.23</v>
      </c>
      <c r="G6288" s="35">
        <f>SUMIFS(G6289:G9015,K6289:K9015,"0",B6289:B9015,"5 1 2 4 9 12 31111 6 M59 20500 000181*")</f>
        <v>0</v>
      </c>
      <c r="H6288" s="35">
        <f t="shared" si="99"/>
        <v>180350.23</v>
      </c>
      <c r="I6288" s="35"/>
      <c r="K6288" t="s">
        <v>15</v>
      </c>
    </row>
    <row r="6289" spans="2:11" ht="24.75" x14ac:dyDescent="0.2">
      <c r="B6289" s="33" t="s">
        <v>7291</v>
      </c>
      <c r="C6289" s="33" t="s">
        <v>1065</v>
      </c>
      <c r="D6289" s="35">
        <f>SUMIFS(D6290:D9015,K6290:K9015,"0",B6290:B9015,"5 1 2 4 9 12 31111 6 M59 20500 000181 0000E*")-SUMIFS(E6290:E9015,K6290:K9015,"0",B6290:B9015,"5 1 2 4 9 12 31111 6 M59 20500 000181 0000E*")</f>
        <v>0</v>
      </c>
      <c r="E6289"/>
      <c r="F6289" s="35">
        <f>SUMIFS(F6290:F9015,K6290:K9015,"0",B6290:B9015,"5 1 2 4 9 12 31111 6 M59 20500 000181 0000E*")</f>
        <v>180350.23</v>
      </c>
      <c r="G6289" s="35">
        <f>SUMIFS(G6290:G9015,K6290:K9015,"0",B6290:B9015,"5 1 2 4 9 12 31111 6 M59 20500 000181 0000E*")</f>
        <v>0</v>
      </c>
      <c r="H6289" s="35">
        <f t="shared" si="99"/>
        <v>180350.23</v>
      </c>
      <c r="I6289" s="35"/>
      <c r="K6289" t="s">
        <v>15</v>
      </c>
    </row>
    <row r="6290" spans="2:11" ht="24.75" x14ac:dyDescent="0.2">
      <c r="B6290" s="33" t="s">
        <v>7292</v>
      </c>
      <c r="C6290" s="33" t="s">
        <v>282</v>
      </c>
      <c r="D6290" s="35">
        <f>SUMIFS(D6291:D9015,K6291:K9015,"0",B6291:B9015,"5 1 2 4 9 12 31111 6 M59 20500 000181 0000E 00001*")-SUMIFS(E6291:E9015,K6291:K9015,"0",B6291:B9015,"5 1 2 4 9 12 31111 6 M59 20500 000181 0000E 00001*")</f>
        <v>0</v>
      </c>
      <c r="E6290"/>
      <c r="F6290" s="35">
        <f>SUMIFS(F6291:F9015,K6291:K9015,"0",B6291:B9015,"5 1 2 4 9 12 31111 6 M59 20500 000181 0000E 00001*")</f>
        <v>180350.23</v>
      </c>
      <c r="G6290" s="35">
        <f>SUMIFS(G6291:G9015,K6291:K9015,"0",B6291:B9015,"5 1 2 4 9 12 31111 6 M59 20500 000181 0000E 00001*")</f>
        <v>0</v>
      </c>
      <c r="H6290" s="35">
        <f t="shared" si="99"/>
        <v>180350.23</v>
      </c>
      <c r="I6290" s="35"/>
      <c r="K6290" t="s">
        <v>15</v>
      </c>
    </row>
    <row r="6291" spans="2:11" ht="33" x14ac:dyDescent="0.2">
      <c r="B6291" s="33" t="s">
        <v>7293</v>
      </c>
      <c r="C6291" s="33" t="s">
        <v>7271</v>
      </c>
      <c r="D6291" s="35">
        <f>SUMIFS(D6292:D9015,K6292:K9015,"0",B6292:B9015,"5 1 2 4 9 12 31111 6 M59 20500 000181 0000E 00001 00249*")-SUMIFS(E6292:E9015,K6292:K9015,"0",B6292:B9015,"5 1 2 4 9 12 31111 6 M59 20500 000181 0000E 00001 00249*")</f>
        <v>0</v>
      </c>
      <c r="E6291"/>
      <c r="F6291" s="35">
        <f>SUMIFS(F6292:F9015,K6292:K9015,"0",B6292:B9015,"5 1 2 4 9 12 31111 6 M59 20500 000181 0000E 00001 00249*")</f>
        <v>180350.23</v>
      </c>
      <c r="G6291" s="35">
        <f>SUMIFS(G6292:G9015,K6292:K9015,"0",B6292:B9015,"5 1 2 4 9 12 31111 6 M59 20500 000181 0000E 00001 00249*")</f>
        <v>0</v>
      </c>
      <c r="H6291" s="35">
        <f t="shared" si="99"/>
        <v>180350.23</v>
      </c>
      <c r="I6291" s="35"/>
      <c r="K6291" t="s">
        <v>15</v>
      </c>
    </row>
    <row r="6292" spans="2:11" ht="33" x14ac:dyDescent="0.2">
      <c r="B6292" s="33" t="s">
        <v>7294</v>
      </c>
      <c r="C6292" s="33" t="s">
        <v>699</v>
      </c>
      <c r="D6292" s="35">
        <f>SUMIFS(D6293:D9015,K6293:K9015,"0",B6293:B9015,"5 1 2 4 9 12 31111 6 M59 20500 000181 0000E 00001 00249 011*")-SUMIFS(E6293:E9015,K6293:K9015,"0",B6293:B9015,"5 1 2 4 9 12 31111 6 M59 20500 000181 0000E 00001 00249 011*")</f>
        <v>0</v>
      </c>
      <c r="E6292"/>
      <c r="F6292" s="35">
        <f>SUMIFS(F6293:F9015,K6293:K9015,"0",B6293:B9015,"5 1 2 4 9 12 31111 6 M59 20500 000181 0000E 00001 00249 011*")</f>
        <v>180350.23</v>
      </c>
      <c r="G6292" s="35">
        <f>SUMIFS(G6293:G9015,K6293:K9015,"0",B6293:B9015,"5 1 2 4 9 12 31111 6 M59 20500 000181 0000E 00001 00249 011*")</f>
        <v>0</v>
      </c>
      <c r="H6292" s="35">
        <f t="shared" si="99"/>
        <v>180350.23</v>
      </c>
      <c r="I6292" s="35"/>
      <c r="K6292" t="s">
        <v>15</v>
      </c>
    </row>
    <row r="6293" spans="2:11" ht="33" x14ac:dyDescent="0.2">
      <c r="B6293" s="33" t="s">
        <v>7295</v>
      </c>
      <c r="C6293" s="33" t="s">
        <v>5830</v>
      </c>
      <c r="D6293" s="35">
        <f>SUMIFS(D6294:D9015,K6294:K9015,"0",B6294:B9015,"5 1 2 4 9 12 31111 6 M59 20500 000181 0000E 00001 00249 011 2112000*")-SUMIFS(E6294:E9015,K6294:K9015,"0",B6294:B9015,"5 1 2 4 9 12 31111 6 M59 20500 000181 0000E 00001 00249 011 2112000*")</f>
        <v>0</v>
      </c>
      <c r="E6293"/>
      <c r="F6293" s="35">
        <f>SUMIFS(F6294:F9015,K6294:K9015,"0",B6294:B9015,"5 1 2 4 9 12 31111 6 M59 20500 000181 0000E 00001 00249 011 2112000*")</f>
        <v>180350.23</v>
      </c>
      <c r="G6293" s="35">
        <f>SUMIFS(G6294:G9015,K6294:K9015,"0",B6294:B9015,"5 1 2 4 9 12 31111 6 M59 20500 000181 0000E 00001 00249 011 2112000*")</f>
        <v>0</v>
      </c>
      <c r="H6293" s="35">
        <f t="shared" si="99"/>
        <v>180350.23</v>
      </c>
      <c r="I6293" s="35"/>
      <c r="K6293" t="s">
        <v>15</v>
      </c>
    </row>
    <row r="6294" spans="2:11" ht="33" x14ac:dyDescent="0.2">
      <c r="B6294" s="33" t="s">
        <v>7296</v>
      </c>
      <c r="C6294" s="33" t="s">
        <v>660</v>
      </c>
      <c r="D6294" s="35">
        <f>SUMIFS(D6295:D9015,K6295:K9015,"0",B6295:B9015,"5 1 2 4 9 12 31111 6 M59 20500 000181 0000E 00001 00249 011 2112000 2024*")-SUMIFS(E6295:E9015,K6295:K9015,"0",B6295:B9015,"5 1 2 4 9 12 31111 6 M59 20500 000181 0000E 00001 00249 011 2112000 2024*")</f>
        <v>0</v>
      </c>
      <c r="E6294"/>
      <c r="F6294" s="35">
        <f>SUMIFS(F6295:F9015,K6295:K9015,"0",B6295:B9015,"5 1 2 4 9 12 31111 6 M59 20500 000181 0000E 00001 00249 011 2112000 2024*")</f>
        <v>180350.23</v>
      </c>
      <c r="G6294" s="35">
        <f>SUMIFS(G6295:G9015,K6295:K9015,"0",B6295:B9015,"5 1 2 4 9 12 31111 6 M59 20500 000181 0000E 00001 00249 011 2112000 2024*")</f>
        <v>0</v>
      </c>
      <c r="H6294" s="35">
        <f t="shared" si="99"/>
        <v>180350.23</v>
      </c>
      <c r="I6294" s="35"/>
      <c r="K6294" t="s">
        <v>15</v>
      </c>
    </row>
    <row r="6295" spans="2:11" ht="49.5" x14ac:dyDescent="0.2">
      <c r="B6295" s="33" t="s">
        <v>7297</v>
      </c>
      <c r="C6295" s="33" t="s">
        <v>5982</v>
      </c>
      <c r="D6295" s="35">
        <f>SUMIFS(D6296:D9015,K6296:K9015,"0",B6296:B9015,"5 1 2 4 9 12 31111 6 M59 20500 000181 0000E 00001 00249 011 2112000 2024 CP3CP471*")-SUMIFS(E6296:E9015,K6296:K9015,"0",B6296:B9015,"5 1 2 4 9 12 31111 6 M59 20500 000181 0000E 00001 00249 011 2112000 2024 CP3CP471*")</f>
        <v>0</v>
      </c>
      <c r="E6295"/>
      <c r="F6295" s="35">
        <f>SUMIFS(F6296:F9015,K6296:K9015,"0",B6296:B9015,"5 1 2 4 9 12 31111 6 M59 20500 000181 0000E 00001 00249 011 2112000 2024 CP3CP471*")</f>
        <v>180350.23</v>
      </c>
      <c r="G6295" s="35">
        <f>SUMIFS(G6296:G9015,K6296:K9015,"0",B6296:B9015,"5 1 2 4 9 12 31111 6 M59 20500 000181 0000E 00001 00249 011 2112000 2024 CP3CP471*")</f>
        <v>0</v>
      </c>
      <c r="H6295" s="35">
        <f t="shared" si="99"/>
        <v>180350.23</v>
      </c>
      <c r="I6295" s="35"/>
      <c r="K6295" t="s">
        <v>15</v>
      </c>
    </row>
    <row r="6296" spans="2:11" ht="41.25" x14ac:dyDescent="0.2">
      <c r="B6296" s="33" t="s">
        <v>7298</v>
      </c>
      <c r="C6296" s="33" t="s">
        <v>46</v>
      </c>
      <c r="D6296" s="35">
        <f>SUMIFS(D6297:D9015,K6297:K9015,"0",B6297:B9015,"5 1 2 4 9 12 31111 6 M59 20500 000181 0000E 00001 00249 011 2112000 2024 CP3CP471 004*")-SUMIFS(E6297:E9015,K6297:K9015,"0",B6297:B9015,"5 1 2 4 9 12 31111 6 M59 20500 000181 0000E 00001 00249 011 2112000 2024 CP3CP471 004*")</f>
        <v>0</v>
      </c>
      <c r="E6296"/>
      <c r="F6296" s="35">
        <f>SUMIFS(F6297:F9015,K6297:K9015,"0",B6297:B9015,"5 1 2 4 9 12 31111 6 M59 20500 000181 0000E 00001 00249 011 2112000 2024 CP3CP471 004*")</f>
        <v>180350.23</v>
      </c>
      <c r="G6296" s="35">
        <f>SUMIFS(G6297:G9015,K6297:K9015,"0",B6297:B9015,"5 1 2 4 9 12 31111 6 M59 20500 000181 0000E 00001 00249 011 2112000 2024 CP3CP471 004*")</f>
        <v>0</v>
      </c>
      <c r="H6296" s="35">
        <f t="shared" si="99"/>
        <v>180350.23</v>
      </c>
      <c r="I6296" s="35"/>
      <c r="K6296" t="s">
        <v>15</v>
      </c>
    </row>
    <row r="6297" spans="2:11" ht="33" x14ac:dyDescent="0.2">
      <c r="B6297" s="31" t="s">
        <v>7299</v>
      </c>
      <c r="C6297" s="31" t="s">
        <v>7261</v>
      </c>
      <c r="D6297" s="34">
        <v>0</v>
      </c>
      <c r="E6297" s="34"/>
      <c r="F6297" s="34">
        <v>180350.23</v>
      </c>
      <c r="G6297" s="34">
        <v>0</v>
      </c>
      <c r="H6297" s="34">
        <f t="shared" si="99"/>
        <v>180350.23</v>
      </c>
      <c r="I6297" s="34"/>
      <c r="K6297" t="s">
        <v>38</v>
      </c>
    </row>
    <row r="6298" spans="2:11" ht="16.5" x14ac:dyDescent="0.2">
      <c r="B6298" s="33" t="s">
        <v>7300</v>
      </c>
      <c r="C6298" s="33" t="s">
        <v>3138</v>
      </c>
      <c r="D6298" s="35">
        <f>SUMIFS(D6299:D9015,K6299:K9015,"0",B6299:B9015,"5 1 2 4 9 12 31111 6 M59 20700*")-SUMIFS(E6299:E9015,K6299:K9015,"0",B6299:B9015,"5 1 2 4 9 12 31111 6 M59 20700*")</f>
        <v>0</v>
      </c>
      <c r="E6298"/>
      <c r="F6298" s="35">
        <f>SUMIFS(F6299:F9015,K6299:K9015,"0",B6299:B9015,"5 1 2 4 9 12 31111 6 M59 20700*")</f>
        <v>226.99</v>
      </c>
      <c r="G6298" s="35">
        <f>SUMIFS(G6299:G9015,K6299:K9015,"0",B6299:B9015,"5 1 2 4 9 12 31111 6 M59 20700*")</f>
        <v>0</v>
      </c>
      <c r="H6298" s="35">
        <f t="shared" si="99"/>
        <v>226.99</v>
      </c>
      <c r="I6298" s="35"/>
      <c r="K6298" t="s">
        <v>15</v>
      </c>
    </row>
    <row r="6299" spans="2:11" ht="16.5" x14ac:dyDescent="0.2">
      <c r="B6299" s="33" t="s">
        <v>7301</v>
      </c>
      <c r="C6299" s="33" t="s">
        <v>648</v>
      </c>
      <c r="D6299" s="35">
        <f>SUMIFS(D6300:D9015,K6300:K9015,"0",B6300:B9015,"5 1 2 4 9 12 31111 6 M59 20700 000132*")-SUMIFS(E6300:E9015,K6300:K9015,"0",B6300:B9015,"5 1 2 4 9 12 31111 6 M59 20700 000132*")</f>
        <v>0</v>
      </c>
      <c r="E6299"/>
      <c r="F6299" s="35">
        <f>SUMIFS(F6300:F9015,K6300:K9015,"0",B6300:B9015,"5 1 2 4 9 12 31111 6 M59 20700 000132*")</f>
        <v>226.99</v>
      </c>
      <c r="G6299" s="35">
        <f>SUMIFS(G6300:G9015,K6300:K9015,"0",B6300:B9015,"5 1 2 4 9 12 31111 6 M59 20700 000132*")</f>
        <v>0</v>
      </c>
      <c r="H6299" s="35">
        <f t="shared" si="99"/>
        <v>226.99</v>
      </c>
      <c r="I6299" s="35"/>
      <c r="K6299" t="s">
        <v>15</v>
      </c>
    </row>
    <row r="6300" spans="2:11" ht="24.75" x14ac:dyDescent="0.2">
      <c r="B6300" s="33" t="s">
        <v>7302</v>
      </c>
      <c r="C6300" s="33" t="s">
        <v>650</v>
      </c>
      <c r="D6300" s="35">
        <f>SUMIFS(D6301:D9015,K6301:K9015,"0",B6301:B9015,"5 1 2 4 9 12 31111 6 M59 20700 000132 0000R*")-SUMIFS(E6301:E9015,K6301:K9015,"0",B6301:B9015,"5 1 2 4 9 12 31111 6 M59 20700 000132 0000R*")</f>
        <v>0</v>
      </c>
      <c r="E6300"/>
      <c r="F6300" s="35">
        <f>SUMIFS(F6301:F9015,K6301:K9015,"0",B6301:B9015,"5 1 2 4 9 12 31111 6 M59 20700 000132 0000R*")</f>
        <v>226.99</v>
      </c>
      <c r="G6300" s="35">
        <f>SUMIFS(G6301:G9015,K6301:K9015,"0",B6301:B9015,"5 1 2 4 9 12 31111 6 M59 20700 000132 0000R*")</f>
        <v>0</v>
      </c>
      <c r="H6300" s="35">
        <f t="shared" si="99"/>
        <v>226.99</v>
      </c>
      <c r="I6300" s="35"/>
      <c r="K6300" t="s">
        <v>15</v>
      </c>
    </row>
    <row r="6301" spans="2:11" ht="24.75" x14ac:dyDescent="0.2">
      <c r="B6301" s="33" t="s">
        <v>7303</v>
      </c>
      <c r="C6301" s="33" t="s">
        <v>282</v>
      </c>
      <c r="D6301" s="35">
        <f>SUMIFS(D6302:D9015,K6302:K9015,"0",B6302:B9015,"5 1 2 4 9 12 31111 6 M59 20700 000132 0000R 00001*")-SUMIFS(E6302:E9015,K6302:K9015,"0",B6302:B9015,"5 1 2 4 9 12 31111 6 M59 20700 000132 0000R 00001*")</f>
        <v>0</v>
      </c>
      <c r="E6301"/>
      <c r="F6301" s="35">
        <f>SUMIFS(F6302:F9015,K6302:K9015,"0",B6302:B9015,"5 1 2 4 9 12 31111 6 M59 20700 000132 0000R 00001*")</f>
        <v>226.99</v>
      </c>
      <c r="G6301" s="35">
        <f>SUMIFS(G6302:G9015,K6302:K9015,"0",B6302:B9015,"5 1 2 4 9 12 31111 6 M59 20700 000132 0000R 00001*")</f>
        <v>0</v>
      </c>
      <c r="H6301" s="35">
        <f t="shared" si="99"/>
        <v>226.99</v>
      </c>
      <c r="I6301" s="35"/>
      <c r="K6301" t="s">
        <v>15</v>
      </c>
    </row>
    <row r="6302" spans="2:11" ht="33" x14ac:dyDescent="0.2">
      <c r="B6302" s="33" t="s">
        <v>7304</v>
      </c>
      <c r="C6302" s="33" t="s">
        <v>7271</v>
      </c>
      <c r="D6302" s="35">
        <f>SUMIFS(D6303:D9015,K6303:K9015,"0",B6303:B9015,"5 1 2 4 9 12 31111 6 M59 20700 000132 0000R 00001 00249*")-SUMIFS(E6303:E9015,K6303:K9015,"0",B6303:B9015,"5 1 2 4 9 12 31111 6 M59 20700 000132 0000R 00001 00249*")</f>
        <v>0</v>
      </c>
      <c r="E6302"/>
      <c r="F6302" s="35">
        <f>SUMIFS(F6303:F9015,K6303:K9015,"0",B6303:B9015,"5 1 2 4 9 12 31111 6 M59 20700 000132 0000R 00001 00249*")</f>
        <v>226.99</v>
      </c>
      <c r="G6302" s="35">
        <f>SUMIFS(G6303:G9015,K6303:K9015,"0",B6303:B9015,"5 1 2 4 9 12 31111 6 M59 20700 000132 0000R 00001 00249*")</f>
        <v>0</v>
      </c>
      <c r="H6302" s="35">
        <f t="shared" si="99"/>
        <v>226.99</v>
      </c>
      <c r="I6302" s="35"/>
      <c r="K6302" t="s">
        <v>15</v>
      </c>
    </row>
    <row r="6303" spans="2:11" ht="33" x14ac:dyDescent="0.2">
      <c r="B6303" s="33" t="s">
        <v>7305</v>
      </c>
      <c r="C6303" s="33" t="s">
        <v>1051</v>
      </c>
      <c r="D6303" s="35">
        <f>SUMIFS(D6304:D9015,K6304:K9015,"0",B6304:B9015,"5 1 2 4 9 12 31111 6 M59 20700 000132 0000R 00001 00249 015*")-SUMIFS(E6304:E9015,K6304:K9015,"0",B6304:B9015,"5 1 2 4 9 12 31111 6 M59 20700 000132 0000R 00001 00249 015*")</f>
        <v>0</v>
      </c>
      <c r="E6303"/>
      <c r="F6303" s="35">
        <f>SUMIFS(F6304:F9015,K6304:K9015,"0",B6304:B9015,"5 1 2 4 9 12 31111 6 M59 20700 000132 0000R 00001 00249 015*")</f>
        <v>226.99</v>
      </c>
      <c r="G6303" s="35">
        <f>SUMIFS(G6304:G9015,K6304:K9015,"0",B6304:B9015,"5 1 2 4 9 12 31111 6 M59 20700 000132 0000R 00001 00249 015*")</f>
        <v>0</v>
      </c>
      <c r="H6303" s="35">
        <f t="shared" si="99"/>
        <v>226.99</v>
      </c>
      <c r="I6303" s="35"/>
      <c r="K6303" t="s">
        <v>15</v>
      </c>
    </row>
    <row r="6304" spans="2:11" ht="33" x14ac:dyDescent="0.2">
      <c r="B6304" s="33" t="s">
        <v>7306</v>
      </c>
      <c r="C6304" s="33" t="s">
        <v>5830</v>
      </c>
      <c r="D6304" s="35">
        <f>SUMIFS(D6305:D9015,K6305:K9015,"0",B6305:B9015,"5 1 2 4 9 12 31111 6 M59 20700 000132 0000R 00001 00249 015 2112000*")-SUMIFS(E6305:E9015,K6305:K9015,"0",B6305:B9015,"5 1 2 4 9 12 31111 6 M59 20700 000132 0000R 00001 00249 015 2112000*")</f>
        <v>0</v>
      </c>
      <c r="E6304"/>
      <c r="F6304" s="35">
        <f>SUMIFS(F6305:F9015,K6305:K9015,"0",B6305:B9015,"5 1 2 4 9 12 31111 6 M59 20700 000132 0000R 00001 00249 015 2112000*")</f>
        <v>226.99</v>
      </c>
      <c r="G6304" s="35">
        <f>SUMIFS(G6305:G9015,K6305:K9015,"0",B6305:B9015,"5 1 2 4 9 12 31111 6 M59 20700 000132 0000R 00001 00249 015 2112000*")</f>
        <v>0</v>
      </c>
      <c r="H6304" s="35">
        <f t="shared" si="99"/>
        <v>226.99</v>
      </c>
      <c r="I6304" s="35"/>
      <c r="K6304" t="s">
        <v>15</v>
      </c>
    </row>
    <row r="6305" spans="2:11" ht="33" x14ac:dyDescent="0.2">
      <c r="B6305" s="33" t="s">
        <v>7307</v>
      </c>
      <c r="C6305" s="33" t="s">
        <v>660</v>
      </c>
      <c r="D6305" s="35">
        <f>SUMIFS(D6306:D9015,K6306:K9015,"0",B6306:B9015,"5 1 2 4 9 12 31111 6 M59 20700 000132 0000R 00001 00249 015 2112000 2024*")-SUMIFS(E6306:E9015,K6306:K9015,"0",B6306:B9015,"5 1 2 4 9 12 31111 6 M59 20700 000132 0000R 00001 00249 015 2112000 2024*")</f>
        <v>0</v>
      </c>
      <c r="E6305"/>
      <c r="F6305" s="35">
        <f>SUMIFS(F6306:F9015,K6306:K9015,"0",B6306:B9015,"5 1 2 4 9 12 31111 6 M59 20700 000132 0000R 00001 00249 015 2112000 2024*")</f>
        <v>226.99</v>
      </c>
      <c r="G6305" s="35">
        <f>SUMIFS(G6306:G9015,K6306:K9015,"0",B6306:B9015,"5 1 2 4 9 12 31111 6 M59 20700 000132 0000R 00001 00249 015 2112000 2024*")</f>
        <v>0</v>
      </c>
      <c r="H6305" s="35">
        <f t="shared" si="99"/>
        <v>226.99</v>
      </c>
      <c r="I6305" s="35"/>
      <c r="K6305" t="s">
        <v>15</v>
      </c>
    </row>
    <row r="6306" spans="2:11" ht="41.25" x14ac:dyDescent="0.2">
      <c r="B6306" s="33" t="s">
        <v>7308</v>
      </c>
      <c r="C6306" s="33" t="s">
        <v>662</v>
      </c>
      <c r="D6306" s="35">
        <f>SUMIFS(D6307:D9015,K6307:K9015,"0",B6307:B9015,"5 1 2 4 9 12 31111 6 M59 20700 000132 0000R 00001 00249 015 2112000 2024 CP1RM401*")-SUMIFS(E6307:E9015,K6307:K9015,"0",B6307:B9015,"5 1 2 4 9 12 31111 6 M59 20700 000132 0000R 00001 00249 015 2112000 2024 CP1RM401*")</f>
        <v>0</v>
      </c>
      <c r="E6306"/>
      <c r="F6306" s="35">
        <f>SUMIFS(F6307:F9015,K6307:K9015,"0",B6307:B9015,"5 1 2 4 9 12 31111 6 M59 20700 000132 0000R 00001 00249 015 2112000 2024 CP1RM401*")</f>
        <v>226.99</v>
      </c>
      <c r="G6306" s="35">
        <f>SUMIFS(G6307:G9015,K6307:K9015,"0",B6307:B9015,"5 1 2 4 9 12 31111 6 M59 20700 000132 0000R 00001 00249 015 2112000 2024 CP1RM401*")</f>
        <v>0</v>
      </c>
      <c r="H6306" s="35">
        <f t="shared" si="99"/>
        <v>226.99</v>
      </c>
      <c r="I6306" s="35"/>
      <c r="K6306" t="s">
        <v>15</v>
      </c>
    </row>
    <row r="6307" spans="2:11" ht="41.25" x14ac:dyDescent="0.2">
      <c r="B6307" s="33" t="s">
        <v>7309</v>
      </c>
      <c r="C6307" s="33" t="s">
        <v>282</v>
      </c>
      <c r="D6307" s="35">
        <f>SUMIFS(D6308:D9015,K6308:K9015,"0",B6308:B9015,"5 1 2 4 9 12 31111 6 M59 20700 000132 0000R 00001 00249 015 2112000 2024 CP1RM401 001*")-SUMIFS(E6308:E9015,K6308:K9015,"0",B6308:B9015,"5 1 2 4 9 12 31111 6 M59 20700 000132 0000R 00001 00249 015 2112000 2024 CP1RM401 001*")</f>
        <v>0</v>
      </c>
      <c r="E6307"/>
      <c r="F6307" s="35">
        <f>SUMIFS(F6308:F9015,K6308:K9015,"0",B6308:B9015,"5 1 2 4 9 12 31111 6 M59 20700 000132 0000R 00001 00249 015 2112000 2024 CP1RM401 001*")</f>
        <v>226.99</v>
      </c>
      <c r="G6307" s="35">
        <f>SUMIFS(G6308:G9015,K6308:K9015,"0",B6308:B9015,"5 1 2 4 9 12 31111 6 M59 20700 000132 0000R 00001 00249 015 2112000 2024 CP1RM401 001*")</f>
        <v>0</v>
      </c>
      <c r="H6307" s="35">
        <f t="shared" si="99"/>
        <v>226.99</v>
      </c>
      <c r="I6307" s="35"/>
      <c r="K6307" t="s">
        <v>15</v>
      </c>
    </row>
    <row r="6308" spans="2:11" ht="33" x14ac:dyDescent="0.2">
      <c r="B6308" s="31" t="s">
        <v>7310</v>
      </c>
      <c r="C6308" s="31" t="s">
        <v>7261</v>
      </c>
      <c r="D6308" s="34">
        <v>0</v>
      </c>
      <c r="E6308" s="34"/>
      <c r="F6308" s="34">
        <v>226.99</v>
      </c>
      <c r="G6308" s="34">
        <v>0</v>
      </c>
      <c r="H6308" s="34">
        <f t="shared" si="99"/>
        <v>226.99</v>
      </c>
      <c r="I6308" s="34"/>
      <c r="K6308" t="s">
        <v>38</v>
      </c>
    </row>
    <row r="6309" spans="2:11" ht="16.5" x14ac:dyDescent="0.2">
      <c r="B6309" s="33" t="s">
        <v>7311</v>
      </c>
      <c r="C6309" s="33" t="s">
        <v>1092</v>
      </c>
      <c r="D6309" s="35">
        <f>SUMIFS(D6310:D9015,K6310:K9015,"0",B6310:B9015,"5 1 2 4 9 12 31111 6 M59 40000*")-SUMIFS(E6310:E9015,K6310:K9015,"0",B6310:B9015,"5 1 2 4 9 12 31111 6 M59 40000*")</f>
        <v>0</v>
      </c>
      <c r="E6309"/>
      <c r="F6309" s="35">
        <f>SUMIFS(F6310:F9015,K6310:K9015,"0",B6310:B9015,"5 1 2 4 9 12 31111 6 M59 40000*")</f>
        <v>3272.42</v>
      </c>
      <c r="G6309" s="35">
        <f>SUMIFS(G6310:G9015,K6310:K9015,"0",B6310:B9015,"5 1 2 4 9 12 31111 6 M59 40000*")</f>
        <v>0</v>
      </c>
      <c r="H6309" s="35">
        <f t="shared" si="99"/>
        <v>3272.42</v>
      </c>
      <c r="I6309" s="35"/>
      <c r="K6309" t="s">
        <v>15</v>
      </c>
    </row>
    <row r="6310" spans="2:11" ht="16.5" x14ac:dyDescent="0.2">
      <c r="B6310" s="33" t="s">
        <v>7312</v>
      </c>
      <c r="C6310" s="33" t="s">
        <v>1094</v>
      </c>
      <c r="D6310" s="35">
        <f>SUMIFS(D6311:D9015,K6311:K9015,"0",B6311:B9015,"5 1 2 4 9 12 31111 6 M59 40000 000161*")-SUMIFS(E6311:E9015,K6311:K9015,"0",B6311:B9015,"5 1 2 4 9 12 31111 6 M59 40000 000161*")</f>
        <v>0</v>
      </c>
      <c r="E6310"/>
      <c r="F6310" s="35">
        <f>SUMIFS(F6311:F9015,K6311:K9015,"0",B6311:B9015,"5 1 2 4 9 12 31111 6 M59 40000 000161*")</f>
        <v>3272.42</v>
      </c>
      <c r="G6310" s="35">
        <f>SUMIFS(G6311:G9015,K6311:K9015,"0",B6311:B9015,"5 1 2 4 9 12 31111 6 M59 40000 000161*")</f>
        <v>0</v>
      </c>
      <c r="H6310" s="35">
        <f t="shared" si="99"/>
        <v>3272.42</v>
      </c>
      <c r="I6310" s="35"/>
      <c r="K6310" t="s">
        <v>15</v>
      </c>
    </row>
    <row r="6311" spans="2:11" ht="24.75" x14ac:dyDescent="0.2">
      <c r="B6311" s="33" t="s">
        <v>7313</v>
      </c>
      <c r="C6311" s="33" t="s">
        <v>1065</v>
      </c>
      <c r="D6311" s="35">
        <f>SUMIFS(D6312:D9015,K6312:K9015,"0",B6312:B9015,"5 1 2 4 9 12 31111 6 M59 40000 000161 0000E*")-SUMIFS(E6312:E9015,K6312:K9015,"0",B6312:B9015,"5 1 2 4 9 12 31111 6 M59 40000 000161 0000E*")</f>
        <v>0</v>
      </c>
      <c r="E6311"/>
      <c r="F6311" s="35">
        <f>SUMIFS(F6312:F9015,K6312:K9015,"0",B6312:B9015,"5 1 2 4 9 12 31111 6 M59 40000 000161 0000E*")</f>
        <v>3272.42</v>
      </c>
      <c r="G6311" s="35">
        <f>SUMIFS(G6312:G9015,K6312:K9015,"0",B6312:B9015,"5 1 2 4 9 12 31111 6 M59 40000 000161 0000E*")</f>
        <v>0</v>
      </c>
      <c r="H6311" s="35">
        <f t="shared" si="99"/>
        <v>3272.42</v>
      </c>
      <c r="I6311" s="35"/>
      <c r="K6311" t="s">
        <v>15</v>
      </c>
    </row>
    <row r="6312" spans="2:11" ht="24.75" x14ac:dyDescent="0.2">
      <c r="B6312" s="33" t="s">
        <v>7314</v>
      </c>
      <c r="C6312" s="33" t="s">
        <v>282</v>
      </c>
      <c r="D6312" s="35">
        <f>SUMIFS(D6313:D9015,K6313:K9015,"0",B6313:B9015,"5 1 2 4 9 12 31111 6 M59 40000 000161 0000E 00001*")-SUMIFS(E6313:E9015,K6313:K9015,"0",B6313:B9015,"5 1 2 4 9 12 31111 6 M59 40000 000161 0000E 00001*")</f>
        <v>0</v>
      </c>
      <c r="E6312"/>
      <c r="F6312" s="35">
        <f>SUMIFS(F6313:F9015,K6313:K9015,"0",B6313:B9015,"5 1 2 4 9 12 31111 6 M59 40000 000161 0000E 00001*")</f>
        <v>3272.42</v>
      </c>
      <c r="G6312" s="35">
        <f>SUMIFS(G6313:G9015,K6313:K9015,"0",B6313:B9015,"5 1 2 4 9 12 31111 6 M59 40000 000161 0000E 00001*")</f>
        <v>0</v>
      </c>
      <c r="H6312" s="35">
        <f t="shared" si="99"/>
        <v>3272.42</v>
      </c>
      <c r="I6312" s="35"/>
      <c r="K6312" t="s">
        <v>15</v>
      </c>
    </row>
    <row r="6313" spans="2:11" ht="33" x14ac:dyDescent="0.2">
      <c r="B6313" s="33" t="s">
        <v>7315</v>
      </c>
      <c r="C6313" s="33" t="s">
        <v>7271</v>
      </c>
      <c r="D6313" s="35">
        <f>SUMIFS(D6314:D9015,K6314:K9015,"0",B6314:B9015,"5 1 2 4 9 12 31111 6 M59 40000 000161 0000E 00001 00249*")-SUMIFS(E6314:E9015,K6314:K9015,"0",B6314:B9015,"5 1 2 4 9 12 31111 6 M59 40000 000161 0000E 00001 00249*")</f>
        <v>0</v>
      </c>
      <c r="E6313"/>
      <c r="F6313" s="35">
        <f>SUMIFS(F6314:F9015,K6314:K9015,"0",B6314:B9015,"5 1 2 4 9 12 31111 6 M59 40000 000161 0000E 00001 00249*")</f>
        <v>3272.42</v>
      </c>
      <c r="G6313" s="35">
        <f>SUMIFS(G6314:G9015,K6314:K9015,"0",B6314:B9015,"5 1 2 4 9 12 31111 6 M59 40000 000161 0000E 00001 00249*")</f>
        <v>0</v>
      </c>
      <c r="H6313" s="35">
        <f t="shared" si="99"/>
        <v>3272.42</v>
      </c>
      <c r="I6313" s="35"/>
      <c r="K6313" t="s">
        <v>15</v>
      </c>
    </row>
    <row r="6314" spans="2:11" ht="33" x14ac:dyDescent="0.2">
      <c r="B6314" s="33" t="s">
        <v>7316</v>
      </c>
      <c r="C6314" s="33" t="s">
        <v>656</v>
      </c>
      <c r="D6314" s="35">
        <f>SUMIFS(D6315:D9015,K6315:K9015,"0",B6315:B9015,"5 1 2 4 9 12 31111 6 M59 40000 000161 0000E 00001 00249 025*")-SUMIFS(E6315:E9015,K6315:K9015,"0",B6315:B9015,"5 1 2 4 9 12 31111 6 M59 40000 000161 0000E 00001 00249 025*")</f>
        <v>0</v>
      </c>
      <c r="E6314"/>
      <c r="F6314" s="35">
        <f>SUMIFS(F6315:F9015,K6315:K9015,"0",B6315:B9015,"5 1 2 4 9 12 31111 6 M59 40000 000161 0000E 00001 00249 025*")</f>
        <v>3272.42</v>
      </c>
      <c r="G6314" s="35">
        <f>SUMIFS(G6315:G9015,K6315:K9015,"0",B6315:B9015,"5 1 2 4 9 12 31111 6 M59 40000 000161 0000E 00001 00249 025*")</f>
        <v>0</v>
      </c>
      <c r="H6314" s="35">
        <f t="shared" si="99"/>
        <v>3272.42</v>
      </c>
      <c r="I6314" s="35"/>
      <c r="K6314" t="s">
        <v>15</v>
      </c>
    </row>
    <row r="6315" spans="2:11" ht="33" x14ac:dyDescent="0.2">
      <c r="B6315" s="33" t="s">
        <v>7317</v>
      </c>
      <c r="C6315" s="33" t="s">
        <v>5830</v>
      </c>
      <c r="D6315" s="35">
        <f>SUMIFS(D6316:D9015,K6316:K9015,"0",B6316:B9015,"5 1 2 4 9 12 31111 6 M59 40000 000161 0000E 00001 00249 025 2112000*")-SUMIFS(E6316:E9015,K6316:K9015,"0",B6316:B9015,"5 1 2 4 9 12 31111 6 M59 40000 000161 0000E 00001 00249 025 2112000*")</f>
        <v>0</v>
      </c>
      <c r="E6315"/>
      <c r="F6315" s="35">
        <f>SUMIFS(F6316:F9015,K6316:K9015,"0",B6316:B9015,"5 1 2 4 9 12 31111 6 M59 40000 000161 0000E 00001 00249 025 2112000*")</f>
        <v>3272.42</v>
      </c>
      <c r="G6315" s="35">
        <f>SUMIFS(G6316:G9015,K6316:K9015,"0",B6316:B9015,"5 1 2 4 9 12 31111 6 M59 40000 000161 0000E 00001 00249 025 2112000*")</f>
        <v>0</v>
      </c>
      <c r="H6315" s="35">
        <f t="shared" si="99"/>
        <v>3272.42</v>
      </c>
      <c r="I6315" s="35"/>
      <c r="K6315" t="s">
        <v>15</v>
      </c>
    </row>
    <row r="6316" spans="2:11" ht="33" x14ac:dyDescent="0.2">
      <c r="B6316" s="33" t="s">
        <v>7318</v>
      </c>
      <c r="C6316" s="33" t="s">
        <v>660</v>
      </c>
      <c r="D6316" s="35">
        <f>SUMIFS(D6317:D9015,K6317:K9015,"0",B6317:B9015,"5 1 2 4 9 12 31111 6 M59 40000 000161 0000E 00001 00249 025 2112000 2024*")-SUMIFS(E6317:E9015,K6317:K9015,"0",B6317:B9015,"5 1 2 4 9 12 31111 6 M59 40000 000161 0000E 00001 00249 025 2112000 2024*")</f>
        <v>0</v>
      </c>
      <c r="E6316"/>
      <c r="F6316" s="35">
        <f>SUMIFS(F6317:F9015,K6317:K9015,"0",B6317:B9015,"5 1 2 4 9 12 31111 6 M59 40000 000161 0000E 00001 00249 025 2112000 2024*")</f>
        <v>3272.42</v>
      </c>
      <c r="G6316" s="35">
        <f>SUMIFS(G6317:G9015,K6317:K9015,"0",B6317:B9015,"5 1 2 4 9 12 31111 6 M59 40000 000161 0000E 00001 00249 025 2112000 2024*")</f>
        <v>0</v>
      </c>
      <c r="H6316" s="35">
        <f t="shared" si="99"/>
        <v>3272.42</v>
      </c>
      <c r="I6316" s="35"/>
      <c r="K6316" t="s">
        <v>15</v>
      </c>
    </row>
    <row r="6317" spans="2:11" ht="41.25" x14ac:dyDescent="0.2">
      <c r="B6317" s="33" t="s">
        <v>7319</v>
      </c>
      <c r="C6317" s="33" t="s">
        <v>662</v>
      </c>
      <c r="D6317" s="35">
        <f>SUMIFS(D6318:D9015,K6318:K9015,"0",B6318:B9015,"5 1 2 4 9 12 31111 6 M59 40000 000161 0000E 00001 00249 025 2112000 2024 CP4SP372*")-SUMIFS(E6318:E9015,K6318:K9015,"0",B6318:B9015,"5 1 2 4 9 12 31111 6 M59 40000 000161 0000E 00001 00249 025 2112000 2024 CP4SP372*")</f>
        <v>0</v>
      </c>
      <c r="E6317"/>
      <c r="F6317" s="35">
        <f>SUMIFS(F6318:F9015,K6318:K9015,"0",B6318:B9015,"5 1 2 4 9 12 31111 6 M59 40000 000161 0000E 00001 00249 025 2112000 2024 CP4SP372*")</f>
        <v>3272.42</v>
      </c>
      <c r="G6317" s="35">
        <f>SUMIFS(G6318:G9015,K6318:K9015,"0",B6318:B9015,"5 1 2 4 9 12 31111 6 M59 40000 000161 0000E 00001 00249 025 2112000 2024 CP4SP372*")</f>
        <v>0</v>
      </c>
      <c r="H6317" s="35">
        <f t="shared" si="99"/>
        <v>3272.42</v>
      </c>
      <c r="I6317" s="35"/>
      <c r="K6317" t="s">
        <v>15</v>
      </c>
    </row>
    <row r="6318" spans="2:11" ht="41.25" x14ac:dyDescent="0.2">
      <c r="B6318" s="33" t="s">
        <v>7320</v>
      </c>
      <c r="C6318" s="33" t="s">
        <v>664</v>
      </c>
      <c r="D6318" s="35">
        <f>SUMIFS(D6319:D9015,K6319:K9015,"0",B6319:B9015,"5 1 2 4 9 12 31111 6 M59 40000 000161 0000E 00001 00249 025 2112000 2024 CP4SP372 003*")-SUMIFS(E6319:E9015,K6319:K9015,"0",B6319:B9015,"5 1 2 4 9 12 31111 6 M59 40000 000161 0000E 00001 00249 025 2112000 2024 CP4SP372 003*")</f>
        <v>0</v>
      </c>
      <c r="E6318"/>
      <c r="F6318" s="35">
        <f>SUMIFS(F6319:F9015,K6319:K9015,"0",B6319:B9015,"5 1 2 4 9 12 31111 6 M59 40000 000161 0000E 00001 00249 025 2112000 2024 CP4SP372 003*")</f>
        <v>3272.42</v>
      </c>
      <c r="G6318" s="35">
        <f>SUMIFS(G6319:G9015,K6319:K9015,"0",B6319:B9015,"5 1 2 4 9 12 31111 6 M59 40000 000161 0000E 00001 00249 025 2112000 2024 CP4SP372 003*")</f>
        <v>0</v>
      </c>
      <c r="H6318" s="35">
        <f t="shared" si="99"/>
        <v>3272.42</v>
      </c>
      <c r="I6318" s="35"/>
      <c r="K6318" t="s">
        <v>15</v>
      </c>
    </row>
    <row r="6319" spans="2:11" ht="33" x14ac:dyDescent="0.2">
      <c r="B6319" s="31" t="s">
        <v>7321</v>
      </c>
      <c r="C6319" s="31" t="s">
        <v>7322</v>
      </c>
      <c r="D6319" s="34">
        <v>0</v>
      </c>
      <c r="E6319" s="34"/>
      <c r="F6319" s="34">
        <v>3272.42</v>
      </c>
      <c r="G6319" s="34">
        <v>0</v>
      </c>
      <c r="H6319" s="34">
        <f t="shared" si="99"/>
        <v>3272.42</v>
      </c>
      <c r="I6319" s="34"/>
      <c r="K6319" t="s">
        <v>38</v>
      </c>
    </row>
    <row r="6320" spans="2:11" ht="16.5" x14ac:dyDescent="0.2">
      <c r="B6320" s="33" t="s">
        <v>7323</v>
      </c>
      <c r="C6320" s="33" t="s">
        <v>3281</v>
      </c>
      <c r="D6320" s="35">
        <f>SUMIFS(D6321:D9015,K6321:K9015,"0",B6321:B9015,"5 1 2 4 9 12 31111 6 M59 50000*")-SUMIFS(E6321:E9015,K6321:K9015,"0",B6321:B9015,"5 1 2 4 9 12 31111 6 M59 50000*")</f>
        <v>0</v>
      </c>
      <c r="E6320"/>
      <c r="F6320" s="35">
        <f>SUMIFS(F6321:F9015,K6321:K9015,"0",B6321:B9015,"5 1 2 4 9 12 31111 6 M59 50000*")</f>
        <v>5305.59</v>
      </c>
      <c r="G6320" s="35">
        <f>SUMIFS(G6321:G9015,K6321:K9015,"0",B6321:B9015,"5 1 2 4 9 12 31111 6 M59 50000*")</f>
        <v>0</v>
      </c>
      <c r="H6320" s="35">
        <f t="shared" si="99"/>
        <v>5305.59</v>
      </c>
      <c r="I6320" s="35"/>
      <c r="K6320" t="s">
        <v>15</v>
      </c>
    </row>
    <row r="6321" spans="2:11" ht="16.5" x14ac:dyDescent="0.2">
      <c r="B6321" s="33" t="s">
        <v>7324</v>
      </c>
      <c r="C6321" s="33" t="s">
        <v>3283</v>
      </c>
      <c r="D6321" s="35">
        <f>SUMIFS(D6322:D9015,K6322:K9015,"0",B6322:B9015,"5 1 2 4 9 12 31111 6 M59 50000 000223*")-SUMIFS(E6322:E9015,K6322:K9015,"0",B6322:B9015,"5 1 2 4 9 12 31111 6 M59 50000 000223*")</f>
        <v>0</v>
      </c>
      <c r="E6321"/>
      <c r="F6321" s="35">
        <f>SUMIFS(F6322:F9015,K6322:K9015,"0",B6322:B9015,"5 1 2 4 9 12 31111 6 M59 50000 000223*")</f>
        <v>5305.59</v>
      </c>
      <c r="G6321" s="35">
        <f>SUMIFS(G6322:G9015,K6322:K9015,"0",B6322:B9015,"5 1 2 4 9 12 31111 6 M59 50000 000223*")</f>
        <v>0</v>
      </c>
      <c r="H6321" s="35">
        <f t="shared" si="99"/>
        <v>5305.59</v>
      </c>
      <c r="I6321" s="35"/>
      <c r="K6321" t="s">
        <v>15</v>
      </c>
    </row>
    <row r="6322" spans="2:11" ht="24.75" x14ac:dyDescent="0.2">
      <c r="B6322" s="33" t="s">
        <v>7325</v>
      </c>
      <c r="C6322" s="33" t="s">
        <v>1065</v>
      </c>
      <c r="D6322" s="35">
        <f>SUMIFS(D6323:D9015,K6323:K9015,"0",B6323:B9015,"5 1 2 4 9 12 31111 6 M59 50000 000223 0000E*")-SUMIFS(E6323:E9015,K6323:K9015,"0",B6323:B9015,"5 1 2 4 9 12 31111 6 M59 50000 000223 0000E*")</f>
        <v>0</v>
      </c>
      <c r="E6322"/>
      <c r="F6322" s="35">
        <f>SUMIFS(F6323:F9015,K6323:K9015,"0",B6323:B9015,"5 1 2 4 9 12 31111 6 M59 50000 000223 0000E*")</f>
        <v>5305.59</v>
      </c>
      <c r="G6322" s="35">
        <f>SUMIFS(G6323:G9015,K6323:K9015,"0",B6323:B9015,"5 1 2 4 9 12 31111 6 M59 50000 000223 0000E*")</f>
        <v>0</v>
      </c>
      <c r="H6322" s="35">
        <f t="shared" si="99"/>
        <v>5305.59</v>
      </c>
      <c r="I6322" s="35"/>
      <c r="K6322" t="s">
        <v>15</v>
      </c>
    </row>
    <row r="6323" spans="2:11" ht="24.75" x14ac:dyDescent="0.2">
      <c r="B6323" s="33" t="s">
        <v>7326</v>
      </c>
      <c r="C6323" s="33" t="s">
        <v>282</v>
      </c>
      <c r="D6323" s="35">
        <f>SUMIFS(D6324:D9015,K6324:K9015,"0",B6324:B9015,"5 1 2 4 9 12 31111 6 M59 50000 000223 0000E 00001*")-SUMIFS(E6324:E9015,K6324:K9015,"0",B6324:B9015,"5 1 2 4 9 12 31111 6 M59 50000 000223 0000E 00001*")</f>
        <v>0</v>
      </c>
      <c r="E6323"/>
      <c r="F6323" s="35">
        <f>SUMIFS(F6324:F9015,K6324:K9015,"0",B6324:B9015,"5 1 2 4 9 12 31111 6 M59 50000 000223 0000E 00001*")</f>
        <v>5305.59</v>
      </c>
      <c r="G6323" s="35">
        <f>SUMIFS(G6324:G9015,K6324:K9015,"0",B6324:B9015,"5 1 2 4 9 12 31111 6 M59 50000 000223 0000E 00001*")</f>
        <v>0</v>
      </c>
      <c r="H6323" s="35">
        <f t="shared" si="99"/>
        <v>5305.59</v>
      </c>
      <c r="I6323" s="35"/>
      <c r="K6323" t="s">
        <v>15</v>
      </c>
    </row>
    <row r="6324" spans="2:11" ht="33" x14ac:dyDescent="0.2">
      <c r="B6324" s="33" t="s">
        <v>7327</v>
      </c>
      <c r="C6324" s="33" t="s">
        <v>7271</v>
      </c>
      <c r="D6324" s="35">
        <f>SUMIFS(D6325:D9015,K6325:K9015,"0",B6325:B9015,"5 1 2 4 9 12 31111 6 M59 50000 000223 0000E 00001 00249*")-SUMIFS(E6325:E9015,K6325:K9015,"0",B6325:B9015,"5 1 2 4 9 12 31111 6 M59 50000 000223 0000E 00001 00249*")</f>
        <v>0</v>
      </c>
      <c r="E6324"/>
      <c r="F6324" s="35">
        <f>SUMIFS(F6325:F9015,K6325:K9015,"0",B6325:B9015,"5 1 2 4 9 12 31111 6 M59 50000 000223 0000E 00001 00249*")</f>
        <v>5305.59</v>
      </c>
      <c r="G6324" s="35">
        <f>SUMIFS(G6325:G9015,K6325:K9015,"0",B6325:B9015,"5 1 2 4 9 12 31111 6 M59 50000 000223 0000E 00001 00249*")</f>
        <v>0</v>
      </c>
      <c r="H6324" s="35">
        <f t="shared" si="99"/>
        <v>5305.59</v>
      </c>
      <c r="I6324" s="35"/>
      <c r="K6324" t="s">
        <v>15</v>
      </c>
    </row>
    <row r="6325" spans="2:11" ht="33" x14ac:dyDescent="0.2">
      <c r="B6325" s="33" t="s">
        <v>7328</v>
      </c>
      <c r="C6325" s="33" t="s">
        <v>1051</v>
      </c>
      <c r="D6325" s="35">
        <f>SUMIFS(D6326:D9015,K6326:K9015,"0",B6326:B9015,"5 1 2 4 9 12 31111 6 M59 50000 000223 0000E 00001 00249 015*")-SUMIFS(E6326:E9015,K6326:K9015,"0",B6326:B9015,"5 1 2 4 9 12 31111 6 M59 50000 000223 0000E 00001 00249 015*")</f>
        <v>0</v>
      </c>
      <c r="E6325"/>
      <c r="F6325" s="35">
        <f>SUMIFS(F6326:F9015,K6326:K9015,"0",B6326:B9015,"5 1 2 4 9 12 31111 6 M59 50000 000223 0000E 00001 00249 015*")</f>
        <v>5305.59</v>
      </c>
      <c r="G6325" s="35">
        <f>SUMIFS(G6326:G9015,K6326:K9015,"0",B6326:B9015,"5 1 2 4 9 12 31111 6 M59 50000 000223 0000E 00001 00249 015*")</f>
        <v>0</v>
      </c>
      <c r="H6325" s="35">
        <f t="shared" si="99"/>
        <v>5305.59</v>
      </c>
      <c r="I6325" s="35"/>
      <c r="K6325" t="s">
        <v>15</v>
      </c>
    </row>
    <row r="6326" spans="2:11" ht="33" x14ac:dyDescent="0.2">
      <c r="B6326" s="33" t="s">
        <v>7329</v>
      </c>
      <c r="C6326" s="33" t="s">
        <v>5830</v>
      </c>
      <c r="D6326" s="35">
        <f>SUMIFS(D6327:D9015,K6327:K9015,"0",B6327:B9015,"5 1 2 4 9 12 31111 6 M59 50000 000223 0000E 00001 00249 015 2112000*")-SUMIFS(E6327:E9015,K6327:K9015,"0",B6327:B9015,"5 1 2 4 9 12 31111 6 M59 50000 000223 0000E 00001 00249 015 2112000*")</f>
        <v>0</v>
      </c>
      <c r="E6326"/>
      <c r="F6326" s="35">
        <f>SUMIFS(F6327:F9015,K6327:K9015,"0",B6327:B9015,"5 1 2 4 9 12 31111 6 M59 50000 000223 0000E 00001 00249 015 2112000*")</f>
        <v>5305.59</v>
      </c>
      <c r="G6326" s="35">
        <f>SUMIFS(G6327:G9015,K6327:K9015,"0",B6327:B9015,"5 1 2 4 9 12 31111 6 M59 50000 000223 0000E 00001 00249 015 2112000*")</f>
        <v>0</v>
      </c>
      <c r="H6326" s="35">
        <f t="shared" si="99"/>
        <v>5305.59</v>
      </c>
      <c r="I6326" s="35"/>
      <c r="K6326" t="s">
        <v>15</v>
      </c>
    </row>
    <row r="6327" spans="2:11" ht="33" x14ac:dyDescent="0.2">
      <c r="B6327" s="33" t="s">
        <v>7330</v>
      </c>
      <c r="C6327" s="33" t="s">
        <v>660</v>
      </c>
      <c r="D6327" s="35">
        <f>SUMIFS(D6328:D9015,K6328:K9015,"0",B6328:B9015,"5 1 2 4 9 12 31111 6 M59 50000 000223 0000E 00001 00249 015 2112000 2024*")-SUMIFS(E6328:E9015,K6328:K9015,"0",B6328:B9015,"5 1 2 4 9 12 31111 6 M59 50000 000223 0000E 00001 00249 015 2112000 2024*")</f>
        <v>0</v>
      </c>
      <c r="E6327"/>
      <c r="F6327" s="35">
        <f>SUMIFS(F6328:F9015,K6328:K9015,"0",B6328:B9015,"5 1 2 4 9 12 31111 6 M59 50000 000223 0000E 00001 00249 015 2112000 2024*")</f>
        <v>5305.59</v>
      </c>
      <c r="G6327" s="35">
        <f>SUMIFS(G6328:G9015,K6328:K9015,"0",B6328:B9015,"5 1 2 4 9 12 31111 6 M59 50000 000223 0000E 00001 00249 015 2112000 2024*")</f>
        <v>0</v>
      </c>
      <c r="H6327" s="35">
        <f t="shared" si="99"/>
        <v>5305.59</v>
      </c>
      <c r="I6327" s="35"/>
      <c r="K6327" t="s">
        <v>15</v>
      </c>
    </row>
    <row r="6328" spans="2:11" ht="41.25" x14ac:dyDescent="0.2">
      <c r="B6328" s="33" t="s">
        <v>7331</v>
      </c>
      <c r="C6328" s="33" t="s">
        <v>662</v>
      </c>
      <c r="D6328" s="35">
        <f>SUMIFS(D6329:D9015,K6329:K9015,"0",B6329:B9015,"5 1 2 4 9 12 31111 6 M59 50000 000223 0000E 00001 00249 015 2112000 2024 CP1DA424*")-SUMIFS(E6329:E9015,K6329:K9015,"0",B6329:B9015,"5 1 2 4 9 12 31111 6 M59 50000 000223 0000E 00001 00249 015 2112000 2024 CP1DA424*")</f>
        <v>0</v>
      </c>
      <c r="E6328"/>
      <c r="F6328" s="35">
        <f>SUMIFS(F6329:F9015,K6329:K9015,"0",B6329:B9015,"5 1 2 4 9 12 31111 6 M59 50000 000223 0000E 00001 00249 015 2112000 2024 CP1DA424*")</f>
        <v>5305.59</v>
      </c>
      <c r="G6328" s="35">
        <f>SUMIFS(G6329:G9015,K6329:K9015,"0",B6329:B9015,"5 1 2 4 9 12 31111 6 M59 50000 000223 0000E 00001 00249 015 2112000 2024 CP1DA424*")</f>
        <v>0</v>
      </c>
      <c r="H6328" s="35">
        <f t="shared" si="99"/>
        <v>5305.59</v>
      </c>
      <c r="I6328" s="35"/>
      <c r="K6328" t="s">
        <v>15</v>
      </c>
    </row>
    <row r="6329" spans="2:11" ht="41.25" x14ac:dyDescent="0.2">
      <c r="B6329" s="33" t="s">
        <v>7332</v>
      </c>
      <c r="C6329" s="33" t="s">
        <v>282</v>
      </c>
      <c r="D6329" s="35">
        <f>SUMIFS(D6330:D9015,K6330:K9015,"0",B6330:B9015,"5 1 2 4 9 12 31111 6 M59 50000 000223 0000E 00001 00249 015 2112000 2024 CP1DA424 001*")-SUMIFS(E6330:E9015,K6330:K9015,"0",B6330:B9015,"5 1 2 4 9 12 31111 6 M59 50000 000223 0000E 00001 00249 015 2112000 2024 CP1DA424 001*")</f>
        <v>0</v>
      </c>
      <c r="E6329"/>
      <c r="F6329" s="35">
        <f>SUMIFS(F6330:F9015,K6330:K9015,"0",B6330:B9015,"5 1 2 4 9 12 31111 6 M59 50000 000223 0000E 00001 00249 015 2112000 2024 CP1DA424 001*")</f>
        <v>5305.59</v>
      </c>
      <c r="G6329" s="35">
        <f>SUMIFS(G6330:G9015,K6330:K9015,"0",B6330:B9015,"5 1 2 4 9 12 31111 6 M59 50000 000223 0000E 00001 00249 015 2112000 2024 CP1DA424 001*")</f>
        <v>0</v>
      </c>
      <c r="H6329" s="35">
        <f t="shared" si="99"/>
        <v>5305.59</v>
      </c>
      <c r="I6329" s="35"/>
      <c r="K6329" t="s">
        <v>15</v>
      </c>
    </row>
    <row r="6330" spans="2:11" ht="41.25" x14ac:dyDescent="0.2">
      <c r="B6330" s="31" t="s">
        <v>7333</v>
      </c>
      <c r="C6330" s="31" t="s">
        <v>7261</v>
      </c>
      <c r="D6330" s="34">
        <v>0</v>
      </c>
      <c r="E6330" s="34"/>
      <c r="F6330" s="34">
        <v>5305.59</v>
      </c>
      <c r="G6330" s="34">
        <v>0</v>
      </c>
      <c r="H6330" s="34">
        <f t="shared" si="99"/>
        <v>5305.59</v>
      </c>
      <c r="I6330" s="34"/>
      <c r="K6330" t="s">
        <v>38</v>
      </c>
    </row>
    <row r="6331" spans="2:11" ht="16.5" x14ac:dyDescent="0.2">
      <c r="B6331" s="33" t="s">
        <v>7334</v>
      </c>
      <c r="C6331" s="33" t="s">
        <v>1269</v>
      </c>
      <c r="D6331" s="35">
        <f>SUMIFS(D6332:D9015,K6332:K9015,"0",B6332:B9015,"5 1 2 4 9 12 31111 6 M59 60100*")-SUMIFS(E6332:E9015,K6332:K9015,"0",B6332:B9015,"5 1 2 4 9 12 31111 6 M59 60100*")</f>
        <v>0</v>
      </c>
      <c r="E6331"/>
      <c r="F6331" s="35">
        <f>SUMIFS(F6332:F9015,K6332:K9015,"0",B6332:B9015,"5 1 2 4 9 12 31111 6 M59 60100*")</f>
        <v>1277.99</v>
      </c>
      <c r="G6331" s="35">
        <f>SUMIFS(G6332:G9015,K6332:K9015,"0",B6332:B9015,"5 1 2 4 9 12 31111 6 M59 60100*")</f>
        <v>0</v>
      </c>
      <c r="H6331" s="35">
        <f t="shared" si="99"/>
        <v>1277.99</v>
      </c>
      <c r="I6331" s="35"/>
      <c r="K6331" t="s">
        <v>15</v>
      </c>
    </row>
    <row r="6332" spans="2:11" ht="16.5" x14ac:dyDescent="0.2">
      <c r="B6332" s="33" t="s">
        <v>7335</v>
      </c>
      <c r="C6332" s="33" t="s">
        <v>648</v>
      </c>
      <c r="D6332" s="35">
        <f>SUMIFS(D6333:D9015,K6333:K9015,"0",B6333:B9015,"5 1 2 4 9 12 31111 6 M59 60100 000132*")-SUMIFS(E6333:E9015,K6333:K9015,"0",B6333:B9015,"5 1 2 4 9 12 31111 6 M59 60100 000132*")</f>
        <v>0</v>
      </c>
      <c r="E6332"/>
      <c r="F6332" s="35">
        <f>SUMIFS(F6333:F9015,K6333:K9015,"0",B6333:B9015,"5 1 2 4 9 12 31111 6 M59 60100 000132*")</f>
        <v>1277.99</v>
      </c>
      <c r="G6332" s="35">
        <f>SUMIFS(G6333:G9015,K6333:K9015,"0",B6333:B9015,"5 1 2 4 9 12 31111 6 M59 60100 000132*")</f>
        <v>0</v>
      </c>
      <c r="H6332" s="35">
        <f t="shared" si="99"/>
        <v>1277.99</v>
      </c>
      <c r="I6332" s="35"/>
      <c r="K6332" t="s">
        <v>15</v>
      </c>
    </row>
    <row r="6333" spans="2:11" ht="24.75" x14ac:dyDescent="0.2">
      <c r="B6333" s="33" t="s">
        <v>7336</v>
      </c>
      <c r="C6333" s="33" t="s">
        <v>650</v>
      </c>
      <c r="D6333" s="35">
        <f>SUMIFS(D6334:D9015,K6334:K9015,"0",B6334:B9015,"5 1 2 4 9 12 31111 6 M59 60100 000132 0000R*")-SUMIFS(E6334:E9015,K6334:K9015,"0",B6334:B9015,"5 1 2 4 9 12 31111 6 M59 60100 000132 0000R*")</f>
        <v>0</v>
      </c>
      <c r="E6333"/>
      <c r="F6333" s="35">
        <f>SUMIFS(F6334:F9015,K6334:K9015,"0",B6334:B9015,"5 1 2 4 9 12 31111 6 M59 60100 000132 0000R*")</f>
        <v>1277.99</v>
      </c>
      <c r="G6333" s="35">
        <f>SUMIFS(G6334:G9015,K6334:K9015,"0",B6334:B9015,"5 1 2 4 9 12 31111 6 M59 60100 000132 0000R*")</f>
        <v>0</v>
      </c>
      <c r="H6333" s="35">
        <f t="shared" si="99"/>
        <v>1277.99</v>
      </c>
      <c r="I6333" s="35"/>
      <c r="K6333" t="s">
        <v>15</v>
      </c>
    </row>
    <row r="6334" spans="2:11" ht="24.75" x14ac:dyDescent="0.2">
      <c r="B6334" s="33" t="s">
        <v>7337</v>
      </c>
      <c r="C6334" s="33" t="s">
        <v>282</v>
      </c>
      <c r="D6334" s="35">
        <f>SUMIFS(D6335:D9015,K6335:K9015,"0",B6335:B9015,"5 1 2 4 9 12 31111 6 M59 60100 000132 0000R 00001*")-SUMIFS(E6335:E9015,K6335:K9015,"0",B6335:B9015,"5 1 2 4 9 12 31111 6 M59 60100 000132 0000R 00001*")</f>
        <v>0</v>
      </c>
      <c r="E6334"/>
      <c r="F6334" s="35">
        <f>SUMIFS(F6335:F9015,K6335:K9015,"0",B6335:B9015,"5 1 2 4 9 12 31111 6 M59 60100 000132 0000R 00001*")</f>
        <v>1277.99</v>
      </c>
      <c r="G6334" s="35">
        <f>SUMIFS(G6335:G9015,K6335:K9015,"0",B6335:B9015,"5 1 2 4 9 12 31111 6 M59 60100 000132 0000R 00001*")</f>
        <v>0</v>
      </c>
      <c r="H6334" s="35">
        <f t="shared" si="99"/>
        <v>1277.99</v>
      </c>
      <c r="I6334" s="35"/>
      <c r="K6334" t="s">
        <v>15</v>
      </c>
    </row>
    <row r="6335" spans="2:11" ht="33" x14ac:dyDescent="0.2">
      <c r="B6335" s="33" t="s">
        <v>7338</v>
      </c>
      <c r="C6335" s="33" t="s">
        <v>7271</v>
      </c>
      <c r="D6335" s="35">
        <f>SUMIFS(D6336:D9015,K6336:K9015,"0",B6336:B9015,"5 1 2 4 9 12 31111 6 M59 60100 000132 0000R 00001 00249*")-SUMIFS(E6336:E9015,K6336:K9015,"0",B6336:B9015,"5 1 2 4 9 12 31111 6 M59 60100 000132 0000R 00001 00249*")</f>
        <v>0</v>
      </c>
      <c r="E6335"/>
      <c r="F6335" s="35">
        <f>SUMIFS(F6336:F9015,K6336:K9015,"0",B6336:B9015,"5 1 2 4 9 12 31111 6 M59 60100 000132 0000R 00001 00249*")</f>
        <v>1277.99</v>
      </c>
      <c r="G6335" s="35">
        <f>SUMIFS(G6336:G9015,K6336:K9015,"0",B6336:B9015,"5 1 2 4 9 12 31111 6 M59 60100 000132 0000R 00001 00249*")</f>
        <v>0</v>
      </c>
      <c r="H6335" s="35">
        <f t="shared" si="99"/>
        <v>1277.99</v>
      </c>
      <c r="I6335" s="35"/>
      <c r="K6335" t="s">
        <v>15</v>
      </c>
    </row>
    <row r="6336" spans="2:11" ht="33" x14ac:dyDescent="0.2">
      <c r="B6336" s="33" t="s">
        <v>7339</v>
      </c>
      <c r="C6336" s="33" t="s">
        <v>1051</v>
      </c>
      <c r="D6336" s="35">
        <f>SUMIFS(D6337:D9015,K6337:K9015,"0",B6337:B9015,"5 1 2 4 9 12 31111 6 M59 60100 000132 0000R 00001 00249 015*")-SUMIFS(E6337:E9015,K6337:K9015,"0",B6337:B9015,"5 1 2 4 9 12 31111 6 M59 60100 000132 0000R 00001 00249 015*")</f>
        <v>0</v>
      </c>
      <c r="E6336"/>
      <c r="F6336" s="35">
        <f>SUMIFS(F6337:F9015,K6337:K9015,"0",B6337:B9015,"5 1 2 4 9 12 31111 6 M59 60100 000132 0000R 00001 00249 015*")</f>
        <v>1277.99</v>
      </c>
      <c r="G6336" s="35">
        <f>SUMIFS(G6337:G9015,K6337:K9015,"0",B6337:B9015,"5 1 2 4 9 12 31111 6 M59 60100 000132 0000R 00001 00249 015*")</f>
        <v>0</v>
      </c>
      <c r="H6336" s="35">
        <f t="shared" si="99"/>
        <v>1277.99</v>
      </c>
      <c r="I6336" s="35"/>
      <c r="K6336" t="s">
        <v>15</v>
      </c>
    </row>
    <row r="6337" spans="2:11" ht="33" x14ac:dyDescent="0.2">
      <c r="B6337" s="33" t="s">
        <v>7340</v>
      </c>
      <c r="C6337" s="33" t="s">
        <v>5830</v>
      </c>
      <c r="D6337" s="35">
        <f>SUMIFS(D6338:D9015,K6338:K9015,"0",B6338:B9015,"5 1 2 4 9 12 31111 6 M59 60100 000132 0000R 00001 00249 015 2112000*")-SUMIFS(E6338:E9015,K6338:K9015,"0",B6338:B9015,"5 1 2 4 9 12 31111 6 M59 60100 000132 0000R 00001 00249 015 2112000*")</f>
        <v>0</v>
      </c>
      <c r="E6337"/>
      <c r="F6337" s="35">
        <f>SUMIFS(F6338:F9015,K6338:K9015,"0",B6338:B9015,"5 1 2 4 9 12 31111 6 M59 60100 000132 0000R 00001 00249 015 2112000*")</f>
        <v>1277.99</v>
      </c>
      <c r="G6337" s="35">
        <f>SUMIFS(G6338:G9015,K6338:K9015,"0",B6338:B9015,"5 1 2 4 9 12 31111 6 M59 60100 000132 0000R 00001 00249 015 2112000*")</f>
        <v>0</v>
      </c>
      <c r="H6337" s="35">
        <f t="shared" si="99"/>
        <v>1277.99</v>
      </c>
      <c r="I6337" s="35"/>
      <c r="K6337" t="s">
        <v>15</v>
      </c>
    </row>
    <row r="6338" spans="2:11" ht="33" x14ac:dyDescent="0.2">
      <c r="B6338" s="33" t="s">
        <v>7341</v>
      </c>
      <c r="C6338" s="33" t="s">
        <v>660</v>
      </c>
      <c r="D6338" s="35">
        <f>SUMIFS(D6339:D9015,K6339:K9015,"0",B6339:B9015,"5 1 2 4 9 12 31111 6 M59 60100 000132 0000R 00001 00249 015 2112000 2024*")-SUMIFS(E6339:E9015,K6339:K9015,"0",B6339:B9015,"5 1 2 4 9 12 31111 6 M59 60100 000132 0000R 00001 00249 015 2112000 2024*")</f>
        <v>0</v>
      </c>
      <c r="E6338"/>
      <c r="F6338" s="35">
        <f>SUMIFS(F6339:F9015,K6339:K9015,"0",B6339:B9015,"5 1 2 4 9 12 31111 6 M59 60100 000132 0000R 00001 00249 015 2112000 2024*")</f>
        <v>1277.99</v>
      </c>
      <c r="G6338" s="35">
        <f>SUMIFS(G6339:G9015,K6339:K9015,"0",B6339:B9015,"5 1 2 4 9 12 31111 6 M59 60100 000132 0000R 00001 00249 015 2112000 2024*")</f>
        <v>0</v>
      </c>
      <c r="H6338" s="35">
        <f t="shared" si="99"/>
        <v>1277.99</v>
      </c>
      <c r="I6338" s="35"/>
      <c r="K6338" t="s">
        <v>15</v>
      </c>
    </row>
    <row r="6339" spans="2:11" ht="41.25" x14ac:dyDescent="0.2">
      <c r="B6339" s="33" t="s">
        <v>7342</v>
      </c>
      <c r="C6339" s="33" t="s">
        <v>1056</v>
      </c>
      <c r="D6339" s="35">
        <f>SUMIFS(D6340:D9015,K6340:K9015,"0",B6340:B9015,"5 1 2 4 9 12 31111 6 M59 60100 000132 0000R 00001 00249 015 2112000 2024 CP1DM394*")-SUMIFS(E6340:E9015,K6340:K9015,"0",B6340:B9015,"5 1 2 4 9 12 31111 6 M59 60100 000132 0000R 00001 00249 015 2112000 2024 CP1DM394*")</f>
        <v>0</v>
      </c>
      <c r="E6339"/>
      <c r="F6339" s="35">
        <f>SUMIFS(F6340:F9015,K6340:K9015,"0",B6340:B9015,"5 1 2 4 9 12 31111 6 M59 60100 000132 0000R 00001 00249 015 2112000 2024 CP1DM394*")</f>
        <v>1277.99</v>
      </c>
      <c r="G6339" s="35">
        <f>SUMIFS(G6340:G9015,K6340:K9015,"0",B6340:B9015,"5 1 2 4 9 12 31111 6 M59 60100 000132 0000R 00001 00249 015 2112000 2024 CP1DM394*")</f>
        <v>0</v>
      </c>
      <c r="H6339" s="35">
        <f t="shared" si="99"/>
        <v>1277.99</v>
      </c>
      <c r="I6339" s="35"/>
      <c r="K6339" t="s">
        <v>15</v>
      </c>
    </row>
    <row r="6340" spans="2:11" ht="41.25" x14ac:dyDescent="0.2">
      <c r="B6340" s="33" t="s">
        <v>7343</v>
      </c>
      <c r="C6340" s="33" t="s">
        <v>282</v>
      </c>
      <c r="D6340" s="35">
        <f>SUMIFS(D6341:D9015,K6341:K9015,"0",B6341:B9015,"5 1 2 4 9 12 31111 6 M59 60100 000132 0000R 00001 00249 015 2112000 2024 CP1DM394 001*")-SUMIFS(E6341:E9015,K6341:K9015,"0",B6341:B9015,"5 1 2 4 9 12 31111 6 M59 60100 000132 0000R 00001 00249 015 2112000 2024 CP1DM394 001*")</f>
        <v>0</v>
      </c>
      <c r="E6340"/>
      <c r="F6340" s="35">
        <f>SUMIFS(F6341:F9015,K6341:K9015,"0",B6341:B9015,"5 1 2 4 9 12 31111 6 M59 60100 000132 0000R 00001 00249 015 2112000 2024 CP1DM394 001*")</f>
        <v>1277.99</v>
      </c>
      <c r="G6340" s="35">
        <f>SUMIFS(G6341:G9015,K6341:K9015,"0",B6341:B9015,"5 1 2 4 9 12 31111 6 M59 60100 000132 0000R 00001 00249 015 2112000 2024 CP1DM394 001*")</f>
        <v>0</v>
      </c>
      <c r="H6340" s="35">
        <f t="shared" ref="H6340:H6403" si="100">D6340 + F6340 - G6340</f>
        <v>1277.99</v>
      </c>
      <c r="I6340" s="35"/>
      <c r="K6340" t="s">
        <v>15</v>
      </c>
    </row>
    <row r="6341" spans="2:11" ht="33" x14ac:dyDescent="0.2">
      <c r="B6341" s="31" t="s">
        <v>7344</v>
      </c>
      <c r="C6341" s="31" t="s">
        <v>7271</v>
      </c>
      <c r="D6341" s="34">
        <v>0</v>
      </c>
      <c r="E6341" s="34"/>
      <c r="F6341" s="34">
        <v>1277.99</v>
      </c>
      <c r="G6341" s="34">
        <v>0</v>
      </c>
      <c r="H6341" s="34">
        <f t="shared" si="100"/>
        <v>1277.99</v>
      </c>
      <c r="I6341" s="34"/>
      <c r="K6341" t="s">
        <v>38</v>
      </c>
    </row>
    <row r="6342" spans="2:11" ht="16.5" x14ac:dyDescent="0.2">
      <c r="B6342" s="33" t="s">
        <v>7345</v>
      </c>
      <c r="C6342" s="33" t="s">
        <v>3425</v>
      </c>
      <c r="D6342" s="35">
        <f>SUMIFS(D6343:D9015,K6343:K9015,"0",B6343:B9015,"5 1 2 4 9 12 31111 6 M59 70400*")-SUMIFS(E6343:E9015,K6343:K9015,"0",B6343:B9015,"5 1 2 4 9 12 31111 6 M59 70400*")</f>
        <v>0</v>
      </c>
      <c r="E6342"/>
      <c r="F6342" s="35">
        <f>SUMIFS(F6343:F9015,K6343:K9015,"0",B6343:B9015,"5 1 2 4 9 12 31111 6 M59 70400*")</f>
        <v>53114.99</v>
      </c>
      <c r="G6342" s="35">
        <f>SUMIFS(G6343:G9015,K6343:K9015,"0",B6343:B9015,"5 1 2 4 9 12 31111 6 M59 70400*")</f>
        <v>0</v>
      </c>
      <c r="H6342" s="35">
        <f t="shared" si="100"/>
        <v>53114.99</v>
      </c>
      <c r="I6342" s="35"/>
      <c r="K6342" t="s">
        <v>15</v>
      </c>
    </row>
    <row r="6343" spans="2:11" ht="16.5" x14ac:dyDescent="0.2">
      <c r="B6343" s="33" t="s">
        <v>7346</v>
      </c>
      <c r="C6343" s="33" t="s">
        <v>3427</v>
      </c>
      <c r="D6343" s="35">
        <f>SUMIFS(D6344:D9015,K6344:K9015,"0",B6344:B9015,"5 1 2 4 9 12 31111 6 M59 70400 000241*")-SUMIFS(E6344:E9015,K6344:K9015,"0",B6344:B9015,"5 1 2 4 9 12 31111 6 M59 70400 000241*")</f>
        <v>0</v>
      </c>
      <c r="E6343"/>
      <c r="F6343" s="35">
        <f>SUMIFS(F6344:F9015,K6344:K9015,"0",B6344:B9015,"5 1 2 4 9 12 31111 6 M59 70400 000241*")</f>
        <v>53114.99</v>
      </c>
      <c r="G6343" s="35">
        <f>SUMIFS(G6344:G9015,K6344:K9015,"0",B6344:B9015,"5 1 2 4 9 12 31111 6 M59 70400 000241*")</f>
        <v>0</v>
      </c>
      <c r="H6343" s="35">
        <f t="shared" si="100"/>
        <v>53114.99</v>
      </c>
      <c r="I6343" s="35"/>
      <c r="K6343" t="s">
        <v>15</v>
      </c>
    </row>
    <row r="6344" spans="2:11" ht="24.75" x14ac:dyDescent="0.2">
      <c r="B6344" s="33" t="s">
        <v>7347</v>
      </c>
      <c r="C6344" s="33" t="s">
        <v>650</v>
      </c>
      <c r="D6344" s="35">
        <f>SUMIFS(D6345:D9015,K6345:K9015,"0",B6345:B9015,"5 1 2 4 9 12 31111 6 M59 70400 000241 0000R*")-SUMIFS(E6345:E9015,K6345:K9015,"0",B6345:B9015,"5 1 2 4 9 12 31111 6 M59 70400 000241 0000R*")</f>
        <v>0</v>
      </c>
      <c r="E6344"/>
      <c r="F6344" s="35">
        <f>SUMIFS(F6345:F9015,K6345:K9015,"0",B6345:B9015,"5 1 2 4 9 12 31111 6 M59 70400 000241 0000R*")</f>
        <v>53114.99</v>
      </c>
      <c r="G6344" s="35">
        <f>SUMIFS(G6345:G9015,K6345:K9015,"0",B6345:B9015,"5 1 2 4 9 12 31111 6 M59 70400 000241 0000R*")</f>
        <v>0</v>
      </c>
      <c r="H6344" s="35">
        <f t="shared" si="100"/>
        <v>53114.99</v>
      </c>
      <c r="I6344" s="35"/>
      <c r="K6344" t="s">
        <v>15</v>
      </c>
    </row>
    <row r="6345" spans="2:11" ht="24.75" x14ac:dyDescent="0.2">
      <c r="B6345" s="33" t="s">
        <v>7348</v>
      </c>
      <c r="C6345" s="33" t="s">
        <v>282</v>
      </c>
      <c r="D6345" s="35">
        <f>SUMIFS(D6346:D9015,K6346:K9015,"0",B6346:B9015,"5 1 2 4 9 12 31111 6 M59 70400 000241 0000R 00001*")-SUMIFS(E6346:E9015,K6346:K9015,"0",B6346:B9015,"5 1 2 4 9 12 31111 6 M59 70400 000241 0000R 00001*")</f>
        <v>0</v>
      </c>
      <c r="E6345"/>
      <c r="F6345" s="35">
        <f>SUMIFS(F6346:F9015,K6346:K9015,"0",B6346:B9015,"5 1 2 4 9 12 31111 6 M59 70400 000241 0000R 00001*")</f>
        <v>53114.99</v>
      </c>
      <c r="G6345" s="35">
        <f>SUMIFS(G6346:G9015,K6346:K9015,"0",B6346:B9015,"5 1 2 4 9 12 31111 6 M59 70400 000241 0000R 00001*")</f>
        <v>0</v>
      </c>
      <c r="H6345" s="35">
        <f t="shared" si="100"/>
        <v>53114.99</v>
      </c>
      <c r="I6345" s="35"/>
      <c r="K6345" t="s">
        <v>15</v>
      </c>
    </row>
    <row r="6346" spans="2:11" ht="33" x14ac:dyDescent="0.2">
      <c r="B6346" s="33" t="s">
        <v>7349</v>
      </c>
      <c r="C6346" s="33" t="s">
        <v>7271</v>
      </c>
      <c r="D6346" s="35">
        <f>SUMIFS(D6347:D9015,K6347:K9015,"0",B6347:B9015,"5 1 2 4 9 12 31111 6 M59 70400 000241 0000R 00001 00249*")-SUMIFS(E6347:E9015,K6347:K9015,"0",B6347:B9015,"5 1 2 4 9 12 31111 6 M59 70400 000241 0000R 00001 00249*")</f>
        <v>0</v>
      </c>
      <c r="E6346"/>
      <c r="F6346" s="35">
        <f>SUMIFS(F6347:F9015,K6347:K9015,"0",B6347:B9015,"5 1 2 4 9 12 31111 6 M59 70400 000241 0000R 00001 00249*")</f>
        <v>53114.99</v>
      </c>
      <c r="G6346" s="35">
        <f>SUMIFS(G6347:G9015,K6347:K9015,"0",B6347:B9015,"5 1 2 4 9 12 31111 6 M59 70400 000241 0000R 00001 00249*")</f>
        <v>0</v>
      </c>
      <c r="H6346" s="35">
        <f t="shared" si="100"/>
        <v>53114.99</v>
      </c>
      <c r="I6346" s="35"/>
      <c r="K6346" t="s">
        <v>15</v>
      </c>
    </row>
    <row r="6347" spans="2:11" ht="33" x14ac:dyDescent="0.2">
      <c r="B6347" s="33" t="s">
        <v>7350</v>
      </c>
      <c r="C6347" s="33" t="s">
        <v>1051</v>
      </c>
      <c r="D6347" s="35">
        <f>SUMIFS(D6348:D9015,K6348:K9015,"0",B6348:B9015,"5 1 2 4 9 12 31111 6 M59 70400 000241 0000R 00001 00249 015*")-SUMIFS(E6348:E9015,K6348:K9015,"0",B6348:B9015,"5 1 2 4 9 12 31111 6 M59 70400 000241 0000R 00001 00249 015*")</f>
        <v>0</v>
      </c>
      <c r="E6347"/>
      <c r="F6347" s="35">
        <f>SUMIFS(F6348:F9015,K6348:K9015,"0",B6348:B9015,"5 1 2 4 9 12 31111 6 M59 70400 000241 0000R 00001 00249 015*")</f>
        <v>53114.99</v>
      </c>
      <c r="G6347" s="35">
        <f>SUMIFS(G6348:G9015,K6348:K9015,"0",B6348:B9015,"5 1 2 4 9 12 31111 6 M59 70400 000241 0000R 00001 00249 015*")</f>
        <v>0</v>
      </c>
      <c r="H6347" s="35">
        <f t="shared" si="100"/>
        <v>53114.99</v>
      </c>
      <c r="I6347" s="35"/>
      <c r="K6347" t="s">
        <v>15</v>
      </c>
    </row>
    <row r="6348" spans="2:11" ht="33" x14ac:dyDescent="0.2">
      <c r="B6348" s="33" t="s">
        <v>7351</v>
      </c>
      <c r="C6348" s="33" t="s">
        <v>5830</v>
      </c>
      <c r="D6348" s="35">
        <f>SUMIFS(D6349:D9015,K6349:K9015,"0",B6349:B9015,"5 1 2 4 9 12 31111 6 M59 70400 000241 0000R 00001 00249 015 2112000*")-SUMIFS(E6349:E9015,K6349:K9015,"0",B6349:B9015,"5 1 2 4 9 12 31111 6 M59 70400 000241 0000R 00001 00249 015 2112000*")</f>
        <v>0</v>
      </c>
      <c r="E6348"/>
      <c r="F6348" s="35">
        <f>SUMIFS(F6349:F9015,K6349:K9015,"0",B6349:B9015,"5 1 2 4 9 12 31111 6 M59 70400 000241 0000R 00001 00249 015 2112000*")</f>
        <v>53114.99</v>
      </c>
      <c r="G6348" s="35">
        <f>SUMIFS(G6349:G9015,K6349:K9015,"0",B6349:B9015,"5 1 2 4 9 12 31111 6 M59 70400 000241 0000R 00001 00249 015 2112000*")</f>
        <v>0</v>
      </c>
      <c r="H6348" s="35">
        <f t="shared" si="100"/>
        <v>53114.99</v>
      </c>
      <c r="I6348" s="35"/>
      <c r="K6348" t="s">
        <v>15</v>
      </c>
    </row>
    <row r="6349" spans="2:11" ht="33" x14ac:dyDescent="0.2">
      <c r="B6349" s="33" t="s">
        <v>7352</v>
      </c>
      <c r="C6349" s="33" t="s">
        <v>660</v>
      </c>
      <c r="D6349" s="35">
        <f>SUMIFS(D6350:D9015,K6350:K9015,"0",B6350:B9015,"5 1 2 4 9 12 31111 6 M59 70400 000241 0000R 00001 00249 015 2112000 2024*")-SUMIFS(E6350:E9015,K6350:K9015,"0",B6350:B9015,"5 1 2 4 9 12 31111 6 M59 70400 000241 0000R 00001 00249 015 2112000 2024*")</f>
        <v>0</v>
      </c>
      <c r="E6349"/>
      <c r="F6349" s="35">
        <f>SUMIFS(F6350:F9015,K6350:K9015,"0",B6350:B9015,"5 1 2 4 9 12 31111 6 M59 70400 000241 0000R 00001 00249 015 2112000 2024*")</f>
        <v>53114.99</v>
      </c>
      <c r="G6349" s="35">
        <f>SUMIFS(G6350:G9015,K6350:K9015,"0",B6350:B9015,"5 1 2 4 9 12 31111 6 M59 70400 000241 0000R 00001 00249 015 2112000 2024*")</f>
        <v>0</v>
      </c>
      <c r="H6349" s="35">
        <f t="shared" si="100"/>
        <v>53114.99</v>
      </c>
      <c r="I6349" s="35"/>
      <c r="K6349" t="s">
        <v>15</v>
      </c>
    </row>
    <row r="6350" spans="2:11" ht="41.25" x14ac:dyDescent="0.2">
      <c r="B6350" s="33" t="s">
        <v>7353</v>
      </c>
      <c r="C6350" s="33" t="s">
        <v>662</v>
      </c>
      <c r="D6350" s="35">
        <f>SUMIFS(D6351:D9015,K6351:K9015,"0",B6351:B9015,"5 1 2 4 9 12 31111 6 M59 70400 000241 0000R 00001 00249 015 2112000 2024 CP1DD418*")-SUMIFS(E6351:E9015,K6351:K9015,"0",B6351:B9015,"5 1 2 4 9 12 31111 6 M59 70400 000241 0000R 00001 00249 015 2112000 2024 CP1DD418*")</f>
        <v>0</v>
      </c>
      <c r="E6350"/>
      <c r="F6350" s="35">
        <f>SUMIFS(F6351:F9015,K6351:K9015,"0",B6351:B9015,"5 1 2 4 9 12 31111 6 M59 70400 000241 0000R 00001 00249 015 2112000 2024 CP1DD418*")</f>
        <v>53114.99</v>
      </c>
      <c r="G6350" s="35">
        <f>SUMIFS(G6351:G9015,K6351:K9015,"0",B6351:B9015,"5 1 2 4 9 12 31111 6 M59 70400 000241 0000R 00001 00249 015 2112000 2024 CP1DD418*")</f>
        <v>0</v>
      </c>
      <c r="H6350" s="35">
        <f t="shared" si="100"/>
        <v>53114.99</v>
      </c>
      <c r="I6350" s="35"/>
      <c r="K6350" t="s">
        <v>15</v>
      </c>
    </row>
    <row r="6351" spans="2:11" ht="41.25" x14ac:dyDescent="0.2">
      <c r="B6351" s="33" t="s">
        <v>7354</v>
      </c>
      <c r="C6351" s="33" t="s">
        <v>282</v>
      </c>
      <c r="D6351" s="35">
        <f>SUMIFS(D6352:D9015,K6352:K9015,"0",B6352:B9015,"5 1 2 4 9 12 31111 6 M59 70400 000241 0000R 00001 00249 015 2112000 2024 CP1DD418 001*")-SUMIFS(E6352:E9015,K6352:K9015,"0",B6352:B9015,"5 1 2 4 9 12 31111 6 M59 70400 000241 0000R 00001 00249 015 2112000 2024 CP1DD418 001*")</f>
        <v>0</v>
      </c>
      <c r="E6351"/>
      <c r="F6351" s="35">
        <f>SUMIFS(F6352:F9015,K6352:K9015,"0",B6352:B9015,"5 1 2 4 9 12 31111 6 M59 70400 000241 0000R 00001 00249 015 2112000 2024 CP1DD418 001*")</f>
        <v>53114.99</v>
      </c>
      <c r="G6351" s="35">
        <f>SUMIFS(G6352:G9015,K6352:K9015,"0",B6352:B9015,"5 1 2 4 9 12 31111 6 M59 70400 000241 0000R 00001 00249 015 2112000 2024 CP1DD418 001*")</f>
        <v>0</v>
      </c>
      <c r="H6351" s="35">
        <f t="shared" si="100"/>
        <v>53114.99</v>
      </c>
      <c r="I6351" s="35"/>
      <c r="K6351" t="s">
        <v>15</v>
      </c>
    </row>
    <row r="6352" spans="2:11" ht="33" x14ac:dyDescent="0.2">
      <c r="B6352" s="31" t="s">
        <v>7355</v>
      </c>
      <c r="C6352" s="31" t="s">
        <v>7322</v>
      </c>
      <c r="D6352" s="34">
        <v>0</v>
      </c>
      <c r="E6352" s="34"/>
      <c r="F6352" s="34">
        <v>53114.99</v>
      </c>
      <c r="G6352" s="34">
        <v>0</v>
      </c>
      <c r="H6352" s="34">
        <f t="shared" si="100"/>
        <v>53114.99</v>
      </c>
      <c r="I6352" s="34"/>
      <c r="K6352" t="s">
        <v>38</v>
      </c>
    </row>
    <row r="6353" spans="2:11" ht="16.5" x14ac:dyDescent="0.2">
      <c r="B6353" s="33" t="s">
        <v>7356</v>
      </c>
      <c r="C6353" s="33" t="s">
        <v>3693</v>
      </c>
      <c r="D6353" s="35">
        <f>SUMIFS(D6354:D9015,K6354:K9015,"0",B6354:B9015,"5 1 2 4 9 12 31111 6 M59 96100*")-SUMIFS(E6354:E9015,K6354:K9015,"0",B6354:B9015,"5 1 2 4 9 12 31111 6 M59 96100*")</f>
        <v>0</v>
      </c>
      <c r="E6353"/>
      <c r="F6353" s="35">
        <f>SUMIFS(F6354:F9015,K6354:K9015,"0",B6354:B9015,"5 1 2 4 9 12 31111 6 M59 96100*")</f>
        <v>44344.66</v>
      </c>
      <c r="G6353" s="35">
        <f>SUMIFS(G6354:G9015,K6354:K9015,"0",B6354:B9015,"5 1 2 4 9 12 31111 6 M59 96100*")</f>
        <v>0</v>
      </c>
      <c r="H6353" s="35">
        <f t="shared" si="100"/>
        <v>44344.66</v>
      </c>
      <c r="I6353" s="35"/>
      <c r="K6353" t="s">
        <v>15</v>
      </c>
    </row>
    <row r="6354" spans="2:11" ht="16.5" x14ac:dyDescent="0.2">
      <c r="B6354" s="33" t="s">
        <v>7357</v>
      </c>
      <c r="C6354" s="33" t="s">
        <v>1310</v>
      </c>
      <c r="D6354" s="35">
        <f>SUMIFS(D6355:D9015,K6355:K9015,"0",B6355:B9015,"5 1 2 4 9 12 31111 6 M59 96100 000211*")-SUMIFS(E6355:E9015,K6355:K9015,"0",B6355:B9015,"5 1 2 4 9 12 31111 6 M59 96100 000211*")</f>
        <v>0</v>
      </c>
      <c r="E6354"/>
      <c r="F6354" s="35">
        <f>SUMIFS(F6355:F9015,K6355:K9015,"0",B6355:B9015,"5 1 2 4 9 12 31111 6 M59 96100 000211*")</f>
        <v>44344.66</v>
      </c>
      <c r="G6354" s="35">
        <f>SUMIFS(G6355:G9015,K6355:K9015,"0",B6355:B9015,"5 1 2 4 9 12 31111 6 M59 96100 000211*")</f>
        <v>0</v>
      </c>
      <c r="H6354" s="35">
        <f t="shared" si="100"/>
        <v>44344.66</v>
      </c>
      <c r="I6354" s="35"/>
      <c r="K6354" t="s">
        <v>15</v>
      </c>
    </row>
    <row r="6355" spans="2:11" ht="24.75" x14ac:dyDescent="0.2">
      <c r="B6355" s="33" t="s">
        <v>7358</v>
      </c>
      <c r="C6355" s="33" t="s">
        <v>3696</v>
      </c>
      <c r="D6355" s="35">
        <f>SUMIFS(D6356:D9015,K6356:K9015,"0",B6356:B9015,"5 1 2 4 9 12 31111 6 M59 96100 000211 0000U*")-SUMIFS(E6356:E9015,K6356:K9015,"0",B6356:B9015,"5 1 2 4 9 12 31111 6 M59 96100 000211 0000U*")</f>
        <v>0</v>
      </c>
      <c r="E6355"/>
      <c r="F6355" s="35">
        <f>SUMIFS(F6356:F9015,K6356:K9015,"0",B6356:B9015,"5 1 2 4 9 12 31111 6 M59 96100 000211 0000U*")</f>
        <v>44344.66</v>
      </c>
      <c r="G6355" s="35">
        <f>SUMIFS(G6356:G9015,K6356:K9015,"0",B6356:B9015,"5 1 2 4 9 12 31111 6 M59 96100 000211 0000U*")</f>
        <v>0</v>
      </c>
      <c r="H6355" s="35">
        <f t="shared" si="100"/>
        <v>44344.66</v>
      </c>
      <c r="I6355" s="35"/>
      <c r="K6355" t="s">
        <v>15</v>
      </c>
    </row>
    <row r="6356" spans="2:11" ht="24.75" x14ac:dyDescent="0.2">
      <c r="B6356" s="33" t="s">
        <v>7359</v>
      </c>
      <c r="C6356" s="33" t="s">
        <v>282</v>
      </c>
      <c r="D6356" s="35">
        <f>SUMIFS(D6357:D9015,K6357:K9015,"0",B6357:B9015,"5 1 2 4 9 12 31111 6 M59 96100 000211 0000U 00001*")-SUMIFS(E6357:E9015,K6357:K9015,"0",B6357:B9015,"5 1 2 4 9 12 31111 6 M59 96100 000211 0000U 00001*")</f>
        <v>0</v>
      </c>
      <c r="E6356"/>
      <c r="F6356" s="35">
        <f>SUMIFS(F6357:F9015,K6357:K9015,"0",B6357:B9015,"5 1 2 4 9 12 31111 6 M59 96100 000211 0000U 00001*")</f>
        <v>44344.66</v>
      </c>
      <c r="G6356" s="35">
        <f>SUMIFS(G6357:G9015,K6357:K9015,"0",B6357:B9015,"5 1 2 4 9 12 31111 6 M59 96100 000211 0000U 00001*")</f>
        <v>0</v>
      </c>
      <c r="H6356" s="35">
        <f t="shared" si="100"/>
        <v>44344.66</v>
      </c>
      <c r="I6356" s="35"/>
      <c r="K6356" t="s">
        <v>15</v>
      </c>
    </row>
    <row r="6357" spans="2:11" ht="33" x14ac:dyDescent="0.2">
      <c r="B6357" s="33" t="s">
        <v>7360</v>
      </c>
      <c r="C6357" s="33" t="s">
        <v>7271</v>
      </c>
      <c r="D6357" s="35">
        <f>SUMIFS(D6358:D9015,K6358:K9015,"0",B6358:B9015,"5 1 2 4 9 12 31111 6 M59 96100 000211 0000U 00001 00249*")-SUMIFS(E6358:E9015,K6358:K9015,"0",B6358:B9015,"5 1 2 4 9 12 31111 6 M59 96100 000211 0000U 00001 00249*")</f>
        <v>0</v>
      </c>
      <c r="E6357"/>
      <c r="F6357" s="35">
        <f>SUMIFS(F6358:F9015,K6358:K9015,"0",B6358:B9015,"5 1 2 4 9 12 31111 6 M59 96100 000211 0000U 00001 00249*")</f>
        <v>44344.66</v>
      </c>
      <c r="G6357" s="35">
        <f>SUMIFS(G6358:G9015,K6358:K9015,"0",B6358:B9015,"5 1 2 4 9 12 31111 6 M59 96100 000211 0000U 00001 00249*")</f>
        <v>0</v>
      </c>
      <c r="H6357" s="35">
        <f t="shared" si="100"/>
        <v>44344.66</v>
      </c>
      <c r="I6357" s="35"/>
      <c r="K6357" t="s">
        <v>15</v>
      </c>
    </row>
    <row r="6358" spans="2:11" ht="33" x14ac:dyDescent="0.2">
      <c r="B6358" s="33" t="s">
        <v>7361</v>
      </c>
      <c r="C6358" s="33" t="s">
        <v>1051</v>
      </c>
      <c r="D6358" s="35">
        <f>SUMIFS(D6359:D9015,K6359:K9015,"0",B6359:B9015,"5 1 2 4 9 12 31111 6 M59 96100 000211 0000U 00001 00249 015*")-SUMIFS(E6359:E9015,K6359:K9015,"0",B6359:B9015,"5 1 2 4 9 12 31111 6 M59 96100 000211 0000U 00001 00249 015*")</f>
        <v>0</v>
      </c>
      <c r="E6358"/>
      <c r="F6358" s="35">
        <f>SUMIFS(F6359:F9015,K6359:K9015,"0",B6359:B9015,"5 1 2 4 9 12 31111 6 M59 96100 000211 0000U 00001 00249 015*")</f>
        <v>44344.66</v>
      </c>
      <c r="G6358" s="35">
        <f>SUMIFS(G6359:G9015,K6359:K9015,"0",B6359:B9015,"5 1 2 4 9 12 31111 6 M59 96100 000211 0000U 00001 00249 015*")</f>
        <v>0</v>
      </c>
      <c r="H6358" s="35">
        <f t="shared" si="100"/>
        <v>44344.66</v>
      </c>
      <c r="I6358" s="35"/>
      <c r="K6358" t="s">
        <v>15</v>
      </c>
    </row>
    <row r="6359" spans="2:11" ht="33" x14ac:dyDescent="0.2">
      <c r="B6359" s="33" t="s">
        <v>7362</v>
      </c>
      <c r="C6359" s="33" t="s">
        <v>5830</v>
      </c>
      <c r="D6359" s="35">
        <f>SUMIFS(D6360:D9015,K6360:K9015,"0",B6360:B9015,"5 1 2 4 9 12 31111 6 M59 96100 000211 0000U 00001 00249 015 2112000*")-SUMIFS(E6360:E9015,K6360:K9015,"0",B6360:B9015,"5 1 2 4 9 12 31111 6 M59 96100 000211 0000U 00001 00249 015 2112000*")</f>
        <v>0</v>
      </c>
      <c r="E6359"/>
      <c r="F6359" s="35">
        <f>SUMIFS(F6360:F9015,K6360:K9015,"0",B6360:B9015,"5 1 2 4 9 12 31111 6 M59 96100 000211 0000U 00001 00249 015 2112000*")</f>
        <v>44344.66</v>
      </c>
      <c r="G6359" s="35">
        <f>SUMIFS(G6360:G9015,K6360:K9015,"0",B6360:B9015,"5 1 2 4 9 12 31111 6 M59 96100 000211 0000U 00001 00249 015 2112000*")</f>
        <v>0</v>
      </c>
      <c r="H6359" s="35">
        <f t="shared" si="100"/>
        <v>44344.66</v>
      </c>
      <c r="I6359" s="35"/>
      <c r="K6359" t="s">
        <v>15</v>
      </c>
    </row>
    <row r="6360" spans="2:11" ht="33" x14ac:dyDescent="0.2">
      <c r="B6360" s="33" t="s">
        <v>7363</v>
      </c>
      <c r="C6360" s="33" t="s">
        <v>660</v>
      </c>
      <c r="D6360" s="35">
        <f>SUMIFS(D6361:D9015,K6361:K9015,"0",B6361:B9015,"5 1 2 4 9 12 31111 6 M59 96100 000211 0000U 00001 00249 015 2112000 2024*")-SUMIFS(E6361:E9015,K6361:K9015,"0",B6361:B9015,"5 1 2 4 9 12 31111 6 M59 96100 000211 0000U 00001 00249 015 2112000 2024*")</f>
        <v>0</v>
      </c>
      <c r="E6360"/>
      <c r="F6360" s="35">
        <f>SUMIFS(F6361:F9015,K6361:K9015,"0",B6361:B9015,"5 1 2 4 9 12 31111 6 M59 96100 000211 0000U 00001 00249 015 2112000 2024*")</f>
        <v>44344.66</v>
      </c>
      <c r="G6360" s="35">
        <f>SUMIFS(G6361:G9015,K6361:K9015,"0",B6361:B9015,"5 1 2 4 9 12 31111 6 M59 96100 000211 0000U 00001 00249 015 2112000 2024*")</f>
        <v>0</v>
      </c>
      <c r="H6360" s="35">
        <f t="shared" si="100"/>
        <v>44344.66</v>
      </c>
      <c r="I6360" s="35"/>
      <c r="K6360" t="s">
        <v>15</v>
      </c>
    </row>
    <row r="6361" spans="2:11" ht="41.25" x14ac:dyDescent="0.2">
      <c r="B6361" s="33" t="s">
        <v>7364</v>
      </c>
      <c r="C6361" s="33" t="s">
        <v>1056</v>
      </c>
      <c r="D6361" s="35">
        <f>SUMIFS(D6362:D9015,K6362:K9015,"0",B6362:B9015,"5 1 2 4 9 12 31111 6 M59 96100 000211 0000U 00001 00249 015 2112000 2024 CP1IU412*")-SUMIFS(E6362:E9015,K6362:K9015,"0",B6362:B9015,"5 1 2 4 9 12 31111 6 M59 96100 000211 0000U 00001 00249 015 2112000 2024 CP1IU412*")</f>
        <v>0</v>
      </c>
      <c r="E6361"/>
      <c r="F6361" s="35">
        <f>SUMIFS(F6362:F9015,K6362:K9015,"0",B6362:B9015,"5 1 2 4 9 12 31111 6 M59 96100 000211 0000U 00001 00249 015 2112000 2024 CP1IU412*")</f>
        <v>44344.66</v>
      </c>
      <c r="G6361" s="35">
        <f>SUMIFS(G6362:G9015,K6362:K9015,"0",B6362:B9015,"5 1 2 4 9 12 31111 6 M59 96100 000211 0000U 00001 00249 015 2112000 2024 CP1IU412*")</f>
        <v>0</v>
      </c>
      <c r="H6361" s="35">
        <f t="shared" si="100"/>
        <v>44344.66</v>
      </c>
      <c r="I6361" s="35"/>
      <c r="K6361" t="s">
        <v>15</v>
      </c>
    </row>
    <row r="6362" spans="2:11" ht="41.25" x14ac:dyDescent="0.2">
      <c r="B6362" s="33" t="s">
        <v>7365</v>
      </c>
      <c r="C6362" s="33" t="s">
        <v>282</v>
      </c>
      <c r="D6362" s="35">
        <f>SUMIFS(D6363:D9015,K6363:K9015,"0",B6363:B9015,"5 1 2 4 9 12 31111 6 M59 96100 000211 0000U 00001 00249 015 2112000 2024 CP1IU412 001*")-SUMIFS(E6363:E9015,K6363:K9015,"0",B6363:B9015,"5 1 2 4 9 12 31111 6 M59 96100 000211 0000U 00001 00249 015 2112000 2024 CP1IU412 001*")</f>
        <v>0</v>
      </c>
      <c r="E6362"/>
      <c r="F6362" s="35">
        <f>SUMIFS(F6363:F9015,K6363:K9015,"0",B6363:B9015,"5 1 2 4 9 12 31111 6 M59 96100 000211 0000U 00001 00249 015 2112000 2024 CP1IU412 001*")</f>
        <v>44344.66</v>
      </c>
      <c r="G6362" s="35">
        <f>SUMIFS(G6363:G9015,K6363:K9015,"0",B6363:B9015,"5 1 2 4 9 12 31111 6 M59 96100 000211 0000U 00001 00249 015 2112000 2024 CP1IU412 001*")</f>
        <v>0</v>
      </c>
      <c r="H6362" s="35">
        <f t="shared" si="100"/>
        <v>44344.66</v>
      </c>
      <c r="I6362" s="35"/>
      <c r="K6362" t="s">
        <v>15</v>
      </c>
    </row>
    <row r="6363" spans="2:11" ht="33" x14ac:dyDescent="0.2">
      <c r="B6363" s="31" t="s">
        <v>7366</v>
      </c>
      <c r="C6363" s="31" t="s">
        <v>7261</v>
      </c>
      <c r="D6363" s="34">
        <v>0</v>
      </c>
      <c r="E6363" s="34"/>
      <c r="F6363" s="34">
        <v>44344.66</v>
      </c>
      <c r="G6363" s="34">
        <v>0</v>
      </c>
      <c r="H6363" s="34">
        <f t="shared" si="100"/>
        <v>44344.66</v>
      </c>
      <c r="I6363" s="34"/>
      <c r="K6363" t="s">
        <v>38</v>
      </c>
    </row>
    <row r="6364" spans="2:11" ht="16.5" x14ac:dyDescent="0.2">
      <c r="B6364" s="33" t="s">
        <v>7367</v>
      </c>
      <c r="C6364" s="33" t="s">
        <v>3706</v>
      </c>
      <c r="D6364" s="35">
        <f>SUMIFS(D6365:D9015,K6365:K9015,"0",B6365:B9015,"5 1 2 4 9 12 31111 6 M59 96200*")-SUMIFS(E6365:E9015,K6365:K9015,"0",B6365:B9015,"5 1 2 4 9 12 31111 6 M59 96200*")</f>
        <v>0</v>
      </c>
      <c r="E6364"/>
      <c r="F6364" s="35">
        <f>SUMIFS(F6365:F9015,K6365:K9015,"0",B6365:B9015,"5 1 2 4 9 12 31111 6 M59 96200*")</f>
        <v>187.99</v>
      </c>
      <c r="G6364" s="35">
        <f>SUMIFS(G6365:G9015,K6365:K9015,"0",B6365:B9015,"5 1 2 4 9 12 31111 6 M59 96200*")</f>
        <v>0</v>
      </c>
      <c r="H6364" s="35">
        <f t="shared" si="100"/>
        <v>187.99</v>
      </c>
      <c r="I6364" s="35"/>
      <c r="K6364" t="s">
        <v>15</v>
      </c>
    </row>
    <row r="6365" spans="2:11" ht="16.5" x14ac:dyDescent="0.2">
      <c r="B6365" s="33" t="s">
        <v>7368</v>
      </c>
      <c r="C6365" s="33" t="s">
        <v>648</v>
      </c>
      <c r="D6365" s="35">
        <f>SUMIFS(D6366:D9015,K6366:K9015,"0",B6366:B9015,"5 1 2 4 9 12 31111 6 M59 96200 000132*")-SUMIFS(E6366:E9015,K6366:K9015,"0",B6366:B9015,"5 1 2 4 9 12 31111 6 M59 96200 000132*")</f>
        <v>0</v>
      </c>
      <c r="E6365"/>
      <c r="F6365" s="35">
        <f>SUMIFS(F6366:F9015,K6366:K9015,"0",B6366:B9015,"5 1 2 4 9 12 31111 6 M59 96200 000132*")</f>
        <v>187.99</v>
      </c>
      <c r="G6365" s="35">
        <f>SUMIFS(G6366:G9015,K6366:K9015,"0",B6366:B9015,"5 1 2 4 9 12 31111 6 M59 96200 000132*")</f>
        <v>0</v>
      </c>
      <c r="H6365" s="35">
        <f t="shared" si="100"/>
        <v>187.99</v>
      </c>
      <c r="I6365" s="35"/>
      <c r="K6365" t="s">
        <v>15</v>
      </c>
    </row>
    <row r="6366" spans="2:11" ht="24.75" x14ac:dyDescent="0.2">
      <c r="B6366" s="33" t="s">
        <v>7369</v>
      </c>
      <c r="C6366" s="33" t="s">
        <v>650</v>
      </c>
      <c r="D6366" s="35">
        <f>SUMIFS(D6367:D9015,K6367:K9015,"0",B6367:B9015,"5 1 2 4 9 12 31111 6 M59 96200 000132 0000R*")-SUMIFS(E6367:E9015,K6367:K9015,"0",B6367:B9015,"5 1 2 4 9 12 31111 6 M59 96200 000132 0000R*")</f>
        <v>0</v>
      </c>
      <c r="E6366"/>
      <c r="F6366" s="35">
        <f>SUMIFS(F6367:F9015,K6367:K9015,"0",B6367:B9015,"5 1 2 4 9 12 31111 6 M59 96200 000132 0000R*")</f>
        <v>187.99</v>
      </c>
      <c r="G6366" s="35">
        <f>SUMIFS(G6367:G9015,K6367:K9015,"0",B6367:B9015,"5 1 2 4 9 12 31111 6 M59 96200 000132 0000R*")</f>
        <v>0</v>
      </c>
      <c r="H6366" s="35">
        <f t="shared" si="100"/>
        <v>187.99</v>
      </c>
      <c r="I6366" s="35"/>
      <c r="K6366" t="s">
        <v>15</v>
      </c>
    </row>
    <row r="6367" spans="2:11" ht="24.75" x14ac:dyDescent="0.2">
      <c r="B6367" s="33" t="s">
        <v>7370</v>
      </c>
      <c r="C6367" s="33" t="s">
        <v>282</v>
      </c>
      <c r="D6367" s="35">
        <f>SUMIFS(D6368:D9015,K6368:K9015,"0",B6368:B9015,"5 1 2 4 9 12 31111 6 M59 96200 000132 0000R 00001*")-SUMIFS(E6368:E9015,K6368:K9015,"0",B6368:B9015,"5 1 2 4 9 12 31111 6 M59 96200 000132 0000R 00001*")</f>
        <v>0</v>
      </c>
      <c r="E6367"/>
      <c r="F6367" s="35">
        <f>SUMIFS(F6368:F9015,K6368:K9015,"0",B6368:B9015,"5 1 2 4 9 12 31111 6 M59 96200 000132 0000R 00001*")</f>
        <v>187.99</v>
      </c>
      <c r="G6367" s="35">
        <f>SUMIFS(G6368:G9015,K6368:K9015,"0",B6368:B9015,"5 1 2 4 9 12 31111 6 M59 96200 000132 0000R 00001*")</f>
        <v>0</v>
      </c>
      <c r="H6367" s="35">
        <f t="shared" si="100"/>
        <v>187.99</v>
      </c>
      <c r="I6367" s="35"/>
      <c r="K6367" t="s">
        <v>15</v>
      </c>
    </row>
    <row r="6368" spans="2:11" ht="33" x14ac:dyDescent="0.2">
      <c r="B6368" s="33" t="s">
        <v>7371</v>
      </c>
      <c r="C6368" s="33" t="s">
        <v>7271</v>
      </c>
      <c r="D6368" s="35">
        <f>SUMIFS(D6369:D9015,K6369:K9015,"0",B6369:B9015,"5 1 2 4 9 12 31111 6 M59 96200 000132 0000R 00001 00249*")-SUMIFS(E6369:E9015,K6369:K9015,"0",B6369:B9015,"5 1 2 4 9 12 31111 6 M59 96200 000132 0000R 00001 00249*")</f>
        <v>0</v>
      </c>
      <c r="E6368"/>
      <c r="F6368" s="35">
        <f>SUMIFS(F6369:F9015,K6369:K9015,"0",B6369:B9015,"5 1 2 4 9 12 31111 6 M59 96200 000132 0000R 00001 00249*")</f>
        <v>187.99</v>
      </c>
      <c r="G6368" s="35">
        <f>SUMIFS(G6369:G9015,K6369:K9015,"0",B6369:B9015,"5 1 2 4 9 12 31111 6 M59 96200 000132 0000R 00001 00249*")</f>
        <v>0</v>
      </c>
      <c r="H6368" s="35">
        <f t="shared" si="100"/>
        <v>187.99</v>
      </c>
      <c r="I6368" s="35"/>
      <c r="K6368" t="s">
        <v>15</v>
      </c>
    </row>
    <row r="6369" spans="2:11" ht="33" x14ac:dyDescent="0.2">
      <c r="B6369" s="33" t="s">
        <v>7372</v>
      </c>
      <c r="C6369" s="33" t="s">
        <v>1051</v>
      </c>
      <c r="D6369" s="35">
        <f>SUMIFS(D6370:D9015,K6370:K9015,"0",B6370:B9015,"5 1 2 4 9 12 31111 6 M59 96200 000132 0000R 00001 00249 015*")-SUMIFS(E6370:E9015,K6370:K9015,"0",B6370:B9015,"5 1 2 4 9 12 31111 6 M59 96200 000132 0000R 00001 00249 015*")</f>
        <v>0</v>
      </c>
      <c r="E6369"/>
      <c r="F6369" s="35">
        <f>SUMIFS(F6370:F9015,K6370:K9015,"0",B6370:B9015,"5 1 2 4 9 12 31111 6 M59 96200 000132 0000R 00001 00249 015*")</f>
        <v>187.99</v>
      </c>
      <c r="G6369" s="35">
        <f>SUMIFS(G6370:G9015,K6370:K9015,"0",B6370:B9015,"5 1 2 4 9 12 31111 6 M59 96200 000132 0000R 00001 00249 015*")</f>
        <v>0</v>
      </c>
      <c r="H6369" s="35">
        <f t="shared" si="100"/>
        <v>187.99</v>
      </c>
      <c r="I6369" s="35"/>
      <c r="K6369" t="s">
        <v>15</v>
      </c>
    </row>
    <row r="6370" spans="2:11" ht="33" x14ac:dyDescent="0.2">
      <c r="B6370" s="33" t="s">
        <v>7373</v>
      </c>
      <c r="C6370" s="33" t="s">
        <v>5830</v>
      </c>
      <c r="D6370" s="35">
        <f>SUMIFS(D6371:D9015,K6371:K9015,"0",B6371:B9015,"5 1 2 4 9 12 31111 6 M59 96200 000132 0000R 00001 00249 015 2112000*")-SUMIFS(E6371:E9015,K6371:K9015,"0",B6371:B9015,"5 1 2 4 9 12 31111 6 M59 96200 000132 0000R 00001 00249 015 2112000*")</f>
        <v>0</v>
      </c>
      <c r="E6370"/>
      <c r="F6370" s="35">
        <f>SUMIFS(F6371:F9015,K6371:K9015,"0",B6371:B9015,"5 1 2 4 9 12 31111 6 M59 96200 000132 0000R 00001 00249 015 2112000*")</f>
        <v>187.99</v>
      </c>
      <c r="G6370" s="35">
        <f>SUMIFS(G6371:G9015,K6371:K9015,"0",B6371:B9015,"5 1 2 4 9 12 31111 6 M59 96200 000132 0000R 00001 00249 015 2112000*")</f>
        <v>0</v>
      </c>
      <c r="H6370" s="35">
        <f t="shared" si="100"/>
        <v>187.99</v>
      </c>
      <c r="I6370" s="35"/>
      <c r="K6370" t="s">
        <v>15</v>
      </c>
    </row>
    <row r="6371" spans="2:11" ht="33" x14ac:dyDescent="0.2">
      <c r="B6371" s="33" t="s">
        <v>7374</v>
      </c>
      <c r="C6371" s="33" t="s">
        <v>660</v>
      </c>
      <c r="D6371" s="35">
        <f>SUMIFS(D6372:D9015,K6372:K9015,"0",B6372:B9015,"5 1 2 4 9 12 31111 6 M59 96200 000132 0000R 00001 00249 015 2112000 2024*")-SUMIFS(E6372:E9015,K6372:K9015,"0",B6372:B9015,"5 1 2 4 9 12 31111 6 M59 96200 000132 0000R 00001 00249 015 2112000 2024*")</f>
        <v>0</v>
      </c>
      <c r="E6371"/>
      <c r="F6371" s="35">
        <f>SUMIFS(F6372:F9015,K6372:K9015,"0",B6372:B9015,"5 1 2 4 9 12 31111 6 M59 96200 000132 0000R 00001 00249 015 2112000 2024*")</f>
        <v>187.99</v>
      </c>
      <c r="G6371" s="35">
        <f>SUMIFS(G6372:G9015,K6372:K9015,"0",B6372:B9015,"5 1 2 4 9 12 31111 6 M59 96200 000132 0000R 00001 00249 015 2112000 2024*")</f>
        <v>0</v>
      </c>
      <c r="H6371" s="35">
        <f t="shared" si="100"/>
        <v>187.99</v>
      </c>
      <c r="I6371" s="35"/>
      <c r="K6371" t="s">
        <v>15</v>
      </c>
    </row>
    <row r="6372" spans="2:11" ht="41.25" x14ac:dyDescent="0.2">
      <c r="B6372" s="33" t="s">
        <v>7375</v>
      </c>
      <c r="C6372" s="33" t="s">
        <v>662</v>
      </c>
      <c r="D6372" s="35">
        <f>SUMIFS(D6373:D9015,K6373:K9015,"0",B6373:B9015,"5 1 2 4 9 12 31111 6 M59 96200 000132 0000R 00001 00249 015 2112000 2024 CP1AL423*")-SUMIFS(E6373:E9015,K6373:K9015,"0",B6373:B9015,"5 1 2 4 9 12 31111 6 M59 96200 000132 0000R 00001 00249 015 2112000 2024 CP1AL423*")</f>
        <v>0</v>
      </c>
      <c r="E6372"/>
      <c r="F6372" s="35">
        <f>SUMIFS(F6373:F9015,K6373:K9015,"0",B6373:B9015,"5 1 2 4 9 12 31111 6 M59 96200 000132 0000R 00001 00249 015 2112000 2024 CP1AL423*")</f>
        <v>187.99</v>
      </c>
      <c r="G6372" s="35">
        <f>SUMIFS(G6373:G9015,K6373:K9015,"0",B6373:B9015,"5 1 2 4 9 12 31111 6 M59 96200 000132 0000R 00001 00249 015 2112000 2024 CP1AL423*")</f>
        <v>0</v>
      </c>
      <c r="H6372" s="35">
        <f t="shared" si="100"/>
        <v>187.99</v>
      </c>
      <c r="I6372" s="35"/>
      <c r="K6372" t="s">
        <v>15</v>
      </c>
    </row>
    <row r="6373" spans="2:11" ht="41.25" x14ac:dyDescent="0.2">
      <c r="B6373" s="33" t="s">
        <v>7376</v>
      </c>
      <c r="C6373" s="33" t="s">
        <v>282</v>
      </c>
      <c r="D6373" s="35">
        <f>SUMIFS(D6374:D9015,K6374:K9015,"0",B6374:B9015,"5 1 2 4 9 12 31111 6 M59 96200 000132 0000R 00001 00249 015 2112000 2024 CP1AL423 001*")-SUMIFS(E6374:E9015,K6374:K9015,"0",B6374:B9015,"5 1 2 4 9 12 31111 6 M59 96200 000132 0000R 00001 00249 015 2112000 2024 CP1AL423 001*")</f>
        <v>0</v>
      </c>
      <c r="E6373"/>
      <c r="F6373" s="35">
        <f>SUMIFS(F6374:F9015,K6374:K9015,"0",B6374:B9015,"5 1 2 4 9 12 31111 6 M59 96200 000132 0000R 00001 00249 015 2112000 2024 CP1AL423 001*")</f>
        <v>187.99</v>
      </c>
      <c r="G6373" s="35">
        <f>SUMIFS(G6374:G9015,K6374:K9015,"0",B6374:B9015,"5 1 2 4 9 12 31111 6 M59 96200 000132 0000R 00001 00249 015 2112000 2024 CP1AL423 001*")</f>
        <v>0</v>
      </c>
      <c r="H6373" s="35">
        <f t="shared" si="100"/>
        <v>187.99</v>
      </c>
      <c r="I6373" s="35"/>
      <c r="K6373" t="s">
        <v>15</v>
      </c>
    </row>
    <row r="6374" spans="2:11" ht="41.25" x14ac:dyDescent="0.2">
      <c r="B6374" s="31" t="s">
        <v>7377</v>
      </c>
      <c r="C6374" s="31" t="s">
        <v>7271</v>
      </c>
      <c r="D6374" s="34">
        <v>0</v>
      </c>
      <c r="E6374" s="34"/>
      <c r="F6374" s="34">
        <v>187.99</v>
      </c>
      <c r="G6374" s="34">
        <v>0</v>
      </c>
      <c r="H6374" s="34">
        <f t="shared" si="100"/>
        <v>187.99</v>
      </c>
      <c r="I6374" s="34"/>
      <c r="K6374" t="s">
        <v>38</v>
      </c>
    </row>
    <row r="6375" spans="2:11" ht="16.5" x14ac:dyDescent="0.2">
      <c r="B6375" s="33" t="s">
        <v>7378</v>
      </c>
      <c r="C6375" s="33" t="s">
        <v>1308</v>
      </c>
      <c r="D6375" s="35">
        <f>SUMIFS(D6376:D9015,K6376:K9015,"0",B6376:B9015,"5 1 2 4 9 12 31111 6 M59 96300*")-SUMIFS(E6376:E9015,K6376:K9015,"0",B6376:B9015,"5 1 2 4 9 12 31111 6 M59 96300*")</f>
        <v>0</v>
      </c>
      <c r="E6375"/>
      <c r="F6375" s="35">
        <f>SUMIFS(F6376:F9015,K6376:K9015,"0",B6376:B9015,"5 1 2 4 9 12 31111 6 M59 96300*")</f>
        <v>3301.16</v>
      </c>
      <c r="G6375" s="35">
        <f>SUMIFS(G6376:G9015,K6376:K9015,"0",B6376:B9015,"5 1 2 4 9 12 31111 6 M59 96300*")</f>
        <v>0</v>
      </c>
      <c r="H6375" s="35">
        <f t="shared" si="100"/>
        <v>3301.16</v>
      </c>
      <c r="I6375" s="35"/>
      <c r="K6375" t="s">
        <v>15</v>
      </c>
    </row>
    <row r="6376" spans="2:11" ht="16.5" x14ac:dyDescent="0.2">
      <c r="B6376" s="33" t="s">
        <v>7379</v>
      </c>
      <c r="C6376" s="33" t="s">
        <v>1310</v>
      </c>
      <c r="D6376" s="35">
        <f>SUMIFS(D6377:D9015,K6377:K9015,"0",B6377:B9015,"5 1 2 4 9 12 31111 6 M59 96300 000211*")-SUMIFS(E6377:E9015,K6377:K9015,"0",B6377:B9015,"5 1 2 4 9 12 31111 6 M59 96300 000211*")</f>
        <v>0</v>
      </c>
      <c r="E6376"/>
      <c r="F6376" s="35">
        <f>SUMIFS(F6377:F9015,K6377:K9015,"0",B6377:B9015,"5 1 2 4 9 12 31111 6 M59 96300 000211*")</f>
        <v>3301.16</v>
      </c>
      <c r="G6376" s="35">
        <f>SUMIFS(G6377:G9015,K6377:K9015,"0",B6377:B9015,"5 1 2 4 9 12 31111 6 M59 96300 000211*")</f>
        <v>0</v>
      </c>
      <c r="H6376" s="35">
        <f t="shared" si="100"/>
        <v>3301.16</v>
      </c>
      <c r="I6376" s="35"/>
      <c r="K6376" t="s">
        <v>15</v>
      </c>
    </row>
    <row r="6377" spans="2:11" ht="24.75" x14ac:dyDescent="0.2">
      <c r="B6377" s="33" t="s">
        <v>7380</v>
      </c>
      <c r="C6377" s="33" t="s">
        <v>1065</v>
      </c>
      <c r="D6377" s="35">
        <f>SUMIFS(D6378:D9015,K6378:K9015,"0",B6378:B9015,"5 1 2 4 9 12 31111 6 M59 96300 000211 0000E*")-SUMIFS(E6378:E9015,K6378:K9015,"0",B6378:B9015,"5 1 2 4 9 12 31111 6 M59 96300 000211 0000E*")</f>
        <v>0</v>
      </c>
      <c r="E6377"/>
      <c r="F6377" s="35">
        <f>SUMIFS(F6378:F9015,K6378:K9015,"0",B6378:B9015,"5 1 2 4 9 12 31111 6 M59 96300 000211 0000E*")</f>
        <v>3301.16</v>
      </c>
      <c r="G6377" s="35">
        <f>SUMIFS(G6378:G9015,K6378:K9015,"0",B6378:B9015,"5 1 2 4 9 12 31111 6 M59 96300 000211 0000E*")</f>
        <v>0</v>
      </c>
      <c r="H6377" s="35">
        <f t="shared" si="100"/>
        <v>3301.16</v>
      </c>
      <c r="I6377" s="35"/>
      <c r="K6377" t="s">
        <v>15</v>
      </c>
    </row>
    <row r="6378" spans="2:11" ht="24.75" x14ac:dyDescent="0.2">
      <c r="B6378" s="33" t="s">
        <v>7381</v>
      </c>
      <c r="C6378" s="33" t="s">
        <v>282</v>
      </c>
      <c r="D6378" s="35">
        <f>SUMIFS(D6379:D9015,K6379:K9015,"0",B6379:B9015,"5 1 2 4 9 12 31111 6 M59 96300 000211 0000E 00001*")-SUMIFS(E6379:E9015,K6379:K9015,"0",B6379:B9015,"5 1 2 4 9 12 31111 6 M59 96300 000211 0000E 00001*")</f>
        <v>0</v>
      </c>
      <c r="E6378"/>
      <c r="F6378" s="35">
        <f>SUMIFS(F6379:F9015,K6379:K9015,"0",B6379:B9015,"5 1 2 4 9 12 31111 6 M59 96300 000211 0000E 00001*")</f>
        <v>3301.16</v>
      </c>
      <c r="G6378" s="35">
        <f>SUMIFS(G6379:G9015,K6379:K9015,"0",B6379:B9015,"5 1 2 4 9 12 31111 6 M59 96300 000211 0000E 00001*")</f>
        <v>0</v>
      </c>
      <c r="H6378" s="35">
        <f t="shared" si="100"/>
        <v>3301.16</v>
      </c>
      <c r="I6378" s="35"/>
      <c r="K6378" t="s">
        <v>15</v>
      </c>
    </row>
    <row r="6379" spans="2:11" ht="33" x14ac:dyDescent="0.2">
      <c r="B6379" s="33" t="s">
        <v>7382</v>
      </c>
      <c r="C6379" s="33" t="s">
        <v>7271</v>
      </c>
      <c r="D6379" s="35">
        <f>SUMIFS(D6380:D9015,K6380:K9015,"0",B6380:B9015,"5 1 2 4 9 12 31111 6 M59 96300 000211 0000E 00001 00249*")-SUMIFS(E6380:E9015,K6380:K9015,"0",B6380:B9015,"5 1 2 4 9 12 31111 6 M59 96300 000211 0000E 00001 00249*")</f>
        <v>0</v>
      </c>
      <c r="E6379"/>
      <c r="F6379" s="35">
        <f>SUMIFS(F6380:F9015,K6380:K9015,"0",B6380:B9015,"5 1 2 4 9 12 31111 6 M59 96300 000211 0000E 00001 00249*")</f>
        <v>3301.16</v>
      </c>
      <c r="G6379" s="35">
        <f>SUMIFS(G6380:G9015,K6380:K9015,"0",B6380:B9015,"5 1 2 4 9 12 31111 6 M59 96300 000211 0000E 00001 00249*")</f>
        <v>0</v>
      </c>
      <c r="H6379" s="35">
        <f t="shared" si="100"/>
        <v>3301.16</v>
      </c>
      <c r="I6379" s="35"/>
      <c r="K6379" t="s">
        <v>15</v>
      </c>
    </row>
    <row r="6380" spans="2:11" ht="33" x14ac:dyDescent="0.2">
      <c r="B6380" s="33" t="s">
        <v>7383</v>
      </c>
      <c r="C6380" s="33" t="s">
        <v>1051</v>
      </c>
      <c r="D6380" s="35">
        <f>SUMIFS(D6381:D9015,K6381:K9015,"0",B6381:B9015,"5 1 2 4 9 12 31111 6 M59 96300 000211 0000E 00001 00249 015*")-SUMIFS(E6381:E9015,K6381:K9015,"0",B6381:B9015,"5 1 2 4 9 12 31111 6 M59 96300 000211 0000E 00001 00249 015*")</f>
        <v>0</v>
      </c>
      <c r="E6380"/>
      <c r="F6380" s="35">
        <f>SUMIFS(F6381:F9015,K6381:K9015,"0",B6381:B9015,"5 1 2 4 9 12 31111 6 M59 96300 000211 0000E 00001 00249 015*")</f>
        <v>3301.16</v>
      </c>
      <c r="G6380" s="35">
        <f>SUMIFS(G6381:G9015,K6381:K9015,"0",B6381:B9015,"5 1 2 4 9 12 31111 6 M59 96300 000211 0000E 00001 00249 015*")</f>
        <v>0</v>
      </c>
      <c r="H6380" s="35">
        <f t="shared" si="100"/>
        <v>3301.16</v>
      </c>
      <c r="I6380" s="35"/>
      <c r="K6380" t="s">
        <v>15</v>
      </c>
    </row>
    <row r="6381" spans="2:11" ht="33" x14ac:dyDescent="0.2">
      <c r="B6381" s="33" t="s">
        <v>7384</v>
      </c>
      <c r="C6381" s="33" t="s">
        <v>5830</v>
      </c>
      <c r="D6381" s="35">
        <f>SUMIFS(D6382:D9015,K6382:K9015,"0",B6382:B9015,"5 1 2 4 9 12 31111 6 M59 96300 000211 0000E 00001 00249 015 2112000*")-SUMIFS(E6382:E9015,K6382:K9015,"0",B6382:B9015,"5 1 2 4 9 12 31111 6 M59 96300 000211 0000E 00001 00249 015 2112000*")</f>
        <v>0</v>
      </c>
      <c r="E6381"/>
      <c r="F6381" s="35">
        <f>SUMIFS(F6382:F9015,K6382:K9015,"0",B6382:B9015,"5 1 2 4 9 12 31111 6 M59 96300 000211 0000E 00001 00249 015 2112000*")</f>
        <v>3301.16</v>
      </c>
      <c r="G6381" s="35">
        <f>SUMIFS(G6382:G9015,K6382:K9015,"0",B6382:B9015,"5 1 2 4 9 12 31111 6 M59 96300 000211 0000E 00001 00249 015 2112000*")</f>
        <v>0</v>
      </c>
      <c r="H6381" s="35">
        <f t="shared" si="100"/>
        <v>3301.16</v>
      </c>
      <c r="I6381" s="35"/>
      <c r="K6381" t="s">
        <v>15</v>
      </c>
    </row>
    <row r="6382" spans="2:11" ht="33" x14ac:dyDescent="0.2">
      <c r="B6382" s="33" t="s">
        <v>7385</v>
      </c>
      <c r="C6382" s="33" t="s">
        <v>660</v>
      </c>
      <c r="D6382" s="35">
        <f>SUMIFS(D6383:D9015,K6383:K9015,"0",B6383:B9015,"5 1 2 4 9 12 31111 6 M59 96300 000211 0000E 00001 00249 015 2112000 2024*")-SUMIFS(E6383:E9015,K6383:K9015,"0",B6383:B9015,"5 1 2 4 9 12 31111 6 M59 96300 000211 0000E 00001 00249 015 2112000 2024*")</f>
        <v>0</v>
      </c>
      <c r="E6382"/>
      <c r="F6382" s="35">
        <f>SUMIFS(F6383:F9015,K6383:K9015,"0",B6383:B9015,"5 1 2 4 9 12 31111 6 M59 96300 000211 0000E 00001 00249 015 2112000 2024*")</f>
        <v>3301.16</v>
      </c>
      <c r="G6382" s="35">
        <f>SUMIFS(G6383:G9015,K6383:K9015,"0",B6383:B9015,"5 1 2 4 9 12 31111 6 M59 96300 000211 0000E 00001 00249 015 2112000 2024*")</f>
        <v>0</v>
      </c>
      <c r="H6382" s="35">
        <f t="shared" si="100"/>
        <v>3301.16</v>
      </c>
      <c r="I6382" s="35"/>
      <c r="K6382" t="s">
        <v>15</v>
      </c>
    </row>
    <row r="6383" spans="2:11" ht="41.25" x14ac:dyDescent="0.2">
      <c r="B6383" s="33" t="s">
        <v>7386</v>
      </c>
      <c r="C6383" s="33" t="s">
        <v>1056</v>
      </c>
      <c r="D6383" s="35">
        <f>SUMIFS(D6384:D9015,K6384:K9015,"0",B6384:B9015,"5 1 2 4 9 12 31111 6 M59 96300 000211 0000E 00001 00249 015 2112000 2024 CP1SB396*")-SUMIFS(E6384:E9015,K6384:K9015,"0",B6384:B9015,"5 1 2 4 9 12 31111 6 M59 96300 000211 0000E 00001 00249 015 2112000 2024 CP1SB396*")</f>
        <v>0</v>
      </c>
      <c r="E6383"/>
      <c r="F6383" s="35">
        <f>SUMIFS(F6384:F9015,K6384:K9015,"0",B6384:B9015,"5 1 2 4 9 12 31111 6 M59 96300 000211 0000E 00001 00249 015 2112000 2024 CP1SB396*")</f>
        <v>3301.16</v>
      </c>
      <c r="G6383" s="35">
        <f>SUMIFS(G6384:G9015,K6384:K9015,"0",B6384:B9015,"5 1 2 4 9 12 31111 6 M59 96300 000211 0000E 00001 00249 015 2112000 2024 CP1SB396*")</f>
        <v>0</v>
      </c>
      <c r="H6383" s="35">
        <f t="shared" si="100"/>
        <v>3301.16</v>
      </c>
      <c r="I6383" s="35"/>
      <c r="K6383" t="s">
        <v>15</v>
      </c>
    </row>
    <row r="6384" spans="2:11" ht="41.25" x14ac:dyDescent="0.2">
      <c r="B6384" s="33" t="s">
        <v>7387</v>
      </c>
      <c r="C6384" s="33" t="s">
        <v>282</v>
      </c>
      <c r="D6384" s="35">
        <f>SUMIFS(D6385:D9015,K6385:K9015,"0",B6385:B9015,"5 1 2 4 9 12 31111 6 M59 96300 000211 0000E 00001 00249 015 2112000 2024 CP1SB396 001*")-SUMIFS(E6385:E9015,K6385:K9015,"0",B6385:B9015,"5 1 2 4 9 12 31111 6 M59 96300 000211 0000E 00001 00249 015 2112000 2024 CP1SB396 001*")</f>
        <v>0</v>
      </c>
      <c r="E6384"/>
      <c r="F6384" s="35">
        <f>SUMIFS(F6385:F9015,K6385:K9015,"0",B6385:B9015,"5 1 2 4 9 12 31111 6 M59 96300 000211 0000E 00001 00249 015 2112000 2024 CP1SB396 001*")</f>
        <v>3301.16</v>
      </c>
      <c r="G6384" s="35">
        <f>SUMIFS(G6385:G9015,K6385:K9015,"0",B6385:B9015,"5 1 2 4 9 12 31111 6 M59 96300 000211 0000E 00001 00249 015 2112000 2024 CP1SB396 001*")</f>
        <v>0</v>
      </c>
      <c r="H6384" s="35">
        <f t="shared" si="100"/>
        <v>3301.16</v>
      </c>
      <c r="I6384" s="35"/>
      <c r="K6384" t="s">
        <v>15</v>
      </c>
    </row>
    <row r="6385" spans="2:11" ht="33" x14ac:dyDescent="0.2">
      <c r="B6385" s="31" t="s">
        <v>7388</v>
      </c>
      <c r="C6385" s="31" t="s">
        <v>7271</v>
      </c>
      <c r="D6385" s="34">
        <v>0</v>
      </c>
      <c r="E6385" s="34"/>
      <c r="F6385" s="34">
        <v>3301.16</v>
      </c>
      <c r="G6385" s="34">
        <v>0</v>
      </c>
      <c r="H6385" s="34">
        <f t="shared" si="100"/>
        <v>3301.16</v>
      </c>
      <c r="I6385" s="34"/>
      <c r="K6385" t="s">
        <v>38</v>
      </c>
    </row>
    <row r="6386" spans="2:11" ht="16.5" x14ac:dyDescent="0.2">
      <c r="B6386" s="33" t="s">
        <v>7389</v>
      </c>
      <c r="C6386" s="33" t="s">
        <v>3754</v>
      </c>
      <c r="D6386" s="35">
        <f>SUMIFS(D6387:D9015,K6387:K9015,"0",B6387:B9015,"5 1 2 4 9 12 31111 6 M59 99000*")-SUMIFS(E6387:E9015,K6387:K9015,"0",B6387:B9015,"5 1 2 4 9 12 31111 6 M59 99000*")</f>
        <v>0</v>
      </c>
      <c r="E6386"/>
      <c r="F6386" s="35">
        <f>SUMIFS(F6387:F9015,K6387:K9015,"0",B6387:B9015,"5 1 2 4 9 12 31111 6 M59 99000*")</f>
        <v>554.49</v>
      </c>
      <c r="G6386" s="35">
        <f>SUMIFS(G6387:G9015,K6387:K9015,"0",B6387:B9015,"5 1 2 4 9 12 31111 6 M59 99000*")</f>
        <v>0</v>
      </c>
      <c r="H6386" s="35">
        <f t="shared" si="100"/>
        <v>554.49</v>
      </c>
      <c r="I6386" s="35"/>
      <c r="K6386" t="s">
        <v>15</v>
      </c>
    </row>
    <row r="6387" spans="2:11" ht="16.5" x14ac:dyDescent="0.2">
      <c r="B6387" s="33" t="s">
        <v>7390</v>
      </c>
      <c r="C6387" s="33" t="s">
        <v>648</v>
      </c>
      <c r="D6387" s="35">
        <f>SUMIFS(D6388:D9015,K6388:K9015,"0",B6388:B9015,"5 1 2 4 9 12 31111 6 M59 99000 000132*")-SUMIFS(E6388:E9015,K6388:K9015,"0",B6388:B9015,"5 1 2 4 9 12 31111 6 M59 99000 000132*")</f>
        <v>0</v>
      </c>
      <c r="E6387"/>
      <c r="F6387" s="35">
        <f>SUMIFS(F6388:F9015,K6388:K9015,"0",B6388:B9015,"5 1 2 4 9 12 31111 6 M59 99000 000132*")</f>
        <v>554.49</v>
      </c>
      <c r="G6387" s="35">
        <f>SUMIFS(G6388:G9015,K6388:K9015,"0",B6388:B9015,"5 1 2 4 9 12 31111 6 M59 99000 000132*")</f>
        <v>0</v>
      </c>
      <c r="H6387" s="35">
        <f t="shared" si="100"/>
        <v>554.49</v>
      </c>
      <c r="I6387" s="35"/>
      <c r="K6387" t="s">
        <v>15</v>
      </c>
    </row>
    <row r="6388" spans="2:11" ht="24.75" x14ac:dyDescent="0.2">
      <c r="B6388" s="33" t="s">
        <v>7391</v>
      </c>
      <c r="C6388" s="33" t="s">
        <v>650</v>
      </c>
      <c r="D6388" s="35">
        <f>SUMIFS(D6389:D9015,K6389:K9015,"0",B6389:B9015,"5 1 2 4 9 12 31111 6 M59 99000 000132 0000R*")-SUMIFS(E6389:E9015,K6389:K9015,"0",B6389:B9015,"5 1 2 4 9 12 31111 6 M59 99000 000132 0000R*")</f>
        <v>0</v>
      </c>
      <c r="E6388"/>
      <c r="F6388" s="35">
        <f>SUMIFS(F6389:F9015,K6389:K9015,"0",B6389:B9015,"5 1 2 4 9 12 31111 6 M59 99000 000132 0000R*")</f>
        <v>554.49</v>
      </c>
      <c r="G6388" s="35">
        <f>SUMIFS(G6389:G9015,K6389:K9015,"0",B6389:B9015,"5 1 2 4 9 12 31111 6 M59 99000 000132 0000R*")</f>
        <v>0</v>
      </c>
      <c r="H6388" s="35">
        <f t="shared" si="100"/>
        <v>554.49</v>
      </c>
      <c r="I6388" s="35"/>
      <c r="K6388" t="s">
        <v>15</v>
      </c>
    </row>
    <row r="6389" spans="2:11" ht="24.75" x14ac:dyDescent="0.2">
      <c r="B6389" s="33" t="s">
        <v>7392</v>
      </c>
      <c r="C6389" s="33" t="s">
        <v>282</v>
      </c>
      <c r="D6389" s="35">
        <f>SUMIFS(D6390:D9015,K6390:K9015,"0",B6390:B9015,"5 1 2 4 9 12 31111 6 M59 99000 000132 0000R 00001*")-SUMIFS(E6390:E9015,K6390:K9015,"0",B6390:B9015,"5 1 2 4 9 12 31111 6 M59 99000 000132 0000R 00001*")</f>
        <v>0</v>
      </c>
      <c r="E6389"/>
      <c r="F6389" s="35">
        <f>SUMIFS(F6390:F9015,K6390:K9015,"0",B6390:B9015,"5 1 2 4 9 12 31111 6 M59 99000 000132 0000R 00001*")</f>
        <v>554.49</v>
      </c>
      <c r="G6389" s="35">
        <f>SUMIFS(G6390:G9015,K6390:K9015,"0",B6390:B9015,"5 1 2 4 9 12 31111 6 M59 99000 000132 0000R 00001*")</f>
        <v>0</v>
      </c>
      <c r="H6389" s="35">
        <f t="shared" si="100"/>
        <v>554.49</v>
      </c>
      <c r="I6389" s="35"/>
      <c r="K6389" t="s">
        <v>15</v>
      </c>
    </row>
    <row r="6390" spans="2:11" ht="33" x14ac:dyDescent="0.2">
      <c r="B6390" s="33" t="s">
        <v>7393</v>
      </c>
      <c r="C6390" s="33" t="s">
        <v>7271</v>
      </c>
      <c r="D6390" s="35">
        <f>SUMIFS(D6391:D9015,K6391:K9015,"0",B6391:B9015,"5 1 2 4 9 12 31111 6 M59 99000 000132 0000R 00001 00249*")-SUMIFS(E6391:E9015,K6391:K9015,"0",B6391:B9015,"5 1 2 4 9 12 31111 6 M59 99000 000132 0000R 00001 00249*")</f>
        <v>0</v>
      </c>
      <c r="E6390"/>
      <c r="F6390" s="35">
        <f>SUMIFS(F6391:F9015,K6391:K9015,"0",B6391:B9015,"5 1 2 4 9 12 31111 6 M59 99000 000132 0000R 00001 00249*")</f>
        <v>554.49</v>
      </c>
      <c r="G6390" s="35">
        <f>SUMIFS(G6391:G9015,K6391:K9015,"0",B6391:B9015,"5 1 2 4 9 12 31111 6 M59 99000 000132 0000R 00001 00249*")</f>
        <v>0</v>
      </c>
      <c r="H6390" s="35">
        <f t="shared" si="100"/>
        <v>554.49</v>
      </c>
      <c r="I6390" s="35"/>
      <c r="K6390" t="s">
        <v>15</v>
      </c>
    </row>
    <row r="6391" spans="2:11" ht="33" x14ac:dyDescent="0.2">
      <c r="B6391" s="33" t="s">
        <v>7394</v>
      </c>
      <c r="C6391" s="33" t="s">
        <v>1051</v>
      </c>
      <c r="D6391" s="35">
        <f>SUMIFS(D6392:D9015,K6392:K9015,"0",B6392:B9015,"5 1 2 4 9 12 31111 6 M59 99000 000132 0000R 00001 00249 015*")-SUMIFS(E6392:E9015,K6392:K9015,"0",B6392:B9015,"5 1 2 4 9 12 31111 6 M59 99000 000132 0000R 00001 00249 015*")</f>
        <v>0</v>
      </c>
      <c r="E6391"/>
      <c r="F6391" s="35">
        <f>SUMIFS(F6392:F9015,K6392:K9015,"0",B6392:B9015,"5 1 2 4 9 12 31111 6 M59 99000 000132 0000R 00001 00249 015*")</f>
        <v>554.49</v>
      </c>
      <c r="G6391" s="35">
        <f>SUMIFS(G6392:G9015,K6392:K9015,"0",B6392:B9015,"5 1 2 4 9 12 31111 6 M59 99000 000132 0000R 00001 00249 015*")</f>
        <v>0</v>
      </c>
      <c r="H6391" s="35">
        <f t="shared" si="100"/>
        <v>554.49</v>
      </c>
      <c r="I6391" s="35"/>
      <c r="K6391" t="s">
        <v>15</v>
      </c>
    </row>
    <row r="6392" spans="2:11" ht="33" x14ac:dyDescent="0.2">
      <c r="B6392" s="33" t="s">
        <v>7395</v>
      </c>
      <c r="C6392" s="33" t="s">
        <v>5830</v>
      </c>
      <c r="D6392" s="35">
        <f>SUMIFS(D6393:D9015,K6393:K9015,"0",B6393:B9015,"5 1 2 4 9 12 31111 6 M59 99000 000132 0000R 00001 00249 015 2112000*")-SUMIFS(E6393:E9015,K6393:K9015,"0",B6393:B9015,"5 1 2 4 9 12 31111 6 M59 99000 000132 0000R 00001 00249 015 2112000*")</f>
        <v>0</v>
      </c>
      <c r="E6392"/>
      <c r="F6392" s="35">
        <f>SUMIFS(F6393:F9015,K6393:K9015,"0",B6393:B9015,"5 1 2 4 9 12 31111 6 M59 99000 000132 0000R 00001 00249 015 2112000*")</f>
        <v>554.49</v>
      </c>
      <c r="G6392" s="35">
        <f>SUMIFS(G6393:G9015,K6393:K9015,"0",B6393:B9015,"5 1 2 4 9 12 31111 6 M59 99000 000132 0000R 00001 00249 015 2112000*")</f>
        <v>0</v>
      </c>
      <c r="H6392" s="35">
        <f t="shared" si="100"/>
        <v>554.49</v>
      </c>
      <c r="I6392" s="35"/>
      <c r="K6392" t="s">
        <v>15</v>
      </c>
    </row>
    <row r="6393" spans="2:11" ht="33" x14ac:dyDescent="0.2">
      <c r="B6393" s="33" t="s">
        <v>7396</v>
      </c>
      <c r="C6393" s="33" t="s">
        <v>660</v>
      </c>
      <c r="D6393" s="35">
        <f>SUMIFS(D6394:D9015,K6394:K9015,"0",B6394:B9015,"5 1 2 4 9 12 31111 6 M59 99000 000132 0000R 00001 00249 015 2112000 2024*")-SUMIFS(E6394:E9015,K6394:K9015,"0",B6394:B9015,"5 1 2 4 9 12 31111 6 M59 99000 000132 0000R 00001 00249 015 2112000 2024*")</f>
        <v>0</v>
      </c>
      <c r="E6393"/>
      <c r="F6393" s="35">
        <f>SUMIFS(F6394:F9015,K6394:K9015,"0",B6394:B9015,"5 1 2 4 9 12 31111 6 M59 99000 000132 0000R 00001 00249 015 2112000 2024*")</f>
        <v>554.49</v>
      </c>
      <c r="G6393" s="35">
        <f>SUMIFS(G6394:G9015,K6394:K9015,"0",B6394:B9015,"5 1 2 4 9 12 31111 6 M59 99000 000132 0000R 00001 00249 015 2112000 2024*")</f>
        <v>0</v>
      </c>
      <c r="H6393" s="35">
        <f t="shared" si="100"/>
        <v>554.49</v>
      </c>
      <c r="I6393" s="35"/>
      <c r="K6393" t="s">
        <v>15</v>
      </c>
    </row>
    <row r="6394" spans="2:11" ht="41.25" x14ac:dyDescent="0.2">
      <c r="B6394" s="33" t="s">
        <v>7397</v>
      </c>
      <c r="C6394" s="33" t="s">
        <v>1056</v>
      </c>
      <c r="D6394" s="35">
        <f>SUMIFS(D6395:D9015,K6395:K9015,"0",B6395:B9015,"5 1 2 4 9 12 31111 6 M59 99000 000132 0000R 00001 00249 015 2112000 2024 CP1MG408*")-SUMIFS(E6395:E9015,K6395:K9015,"0",B6395:B9015,"5 1 2 4 9 12 31111 6 M59 99000 000132 0000R 00001 00249 015 2112000 2024 CP1MG408*")</f>
        <v>0</v>
      </c>
      <c r="E6394"/>
      <c r="F6394" s="35">
        <f>SUMIFS(F6395:F9015,K6395:K9015,"0",B6395:B9015,"5 1 2 4 9 12 31111 6 M59 99000 000132 0000R 00001 00249 015 2112000 2024 CP1MG408*")</f>
        <v>554.49</v>
      </c>
      <c r="G6394" s="35">
        <f>SUMIFS(G6395:G9015,K6395:K9015,"0",B6395:B9015,"5 1 2 4 9 12 31111 6 M59 99000 000132 0000R 00001 00249 015 2112000 2024 CP1MG408*")</f>
        <v>0</v>
      </c>
      <c r="H6394" s="35">
        <f t="shared" si="100"/>
        <v>554.49</v>
      </c>
      <c r="I6394" s="35"/>
      <c r="K6394" t="s">
        <v>15</v>
      </c>
    </row>
    <row r="6395" spans="2:11" ht="41.25" x14ac:dyDescent="0.2">
      <c r="B6395" s="33" t="s">
        <v>7398</v>
      </c>
      <c r="C6395" s="33" t="s">
        <v>282</v>
      </c>
      <c r="D6395" s="35">
        <f>SUMIFS(D6396:D9015,K6396:K9015,"0",B6396:B9015,"5 1 2 4 9 12 31111 6 M59 99000 000132 0000R 00001 00249 015 2112000 2024 CP1MG408 001*")-SUMIFS(E6396:E9015,K6396:K9015,"0",B6396:B9015,"5 1 2 4 9 12 31111 6 M59 99000 000132 0000R 00001 00249 015 2112000 2024 CP1MG408 001*")</f>
        <v>0</v>
      </c>
      <c r="E6395"/>
      <c r="F6395" s="35">
        <f>SUMIFS(F6396:F9015,K6396:K9015,"0",B6396:B9015,"5 1 2 4 9 12 31111 6 M59 99000 000132 0000R 00001 00249 015 2112000 2024 CP1MG408 001*")</f>
        <v>554.49</v>
      </c>
      <c r="G6395" s="35">
        <f>SUMIFS(G6396:G9015,K6396:K9015,"0",B6396:B9015,"5 1 2 4 9 12 31111 6 M59 99000 000132 0000R 00001 00249 015 2112000 2024 CP1MG408 001*")</f>
        <v>0</v>
      </c>
      <c r="H6395" s="35">
        <f t="shared" si="100"/>
        <v>554.49</v>
      </c>
      <c r="I6395" s="35"/>
      <c r="K6395" t="s">
        <v>15</v>
      </c>
    </row>
    <row r="6396" spans="2:11" ht="41.25" x14ac:dyDescent="0.2">
      <c r="B6396" s="31" t="s">
        <v>7399</v>
      </c>
      <c r="C6396" s="31" t="s">
        <v>7261</v>
      </c>
      <c r="D6396" s="34">
        <v>0</v>
      </c>
      <c r="E6396" s="34"/>
      <c r="F6396" s="34">
        <v>554.49</v>
      </c>
      <c r="G6396" s="34">
        <v>0</v>
      </c>
      <c r="H6396" s="34">
        <f t="shared" si="100"/>
        <v>554.49</v>
      </c>
      <c r="I6396" s="34"/>
      <c r="K6396" t="s">
        <v>38</v>
      </c>
    </row>
    <row r="6397" spans="2:11" ht="24.75" x14ac:dyDescent="0.2">
      <c r="B6397" s="33" t="s">
        <v>7400</v>
      </c>
      <c r="C6397" s="33" t="s">
        <v>529</v>
      </c>
      <c r="D6397" s="35">
        <f>SUMIFS(D6398:D9015,K6398:K9015,"0",B6398:B9015,"5 1 2 5*")-SUMIFS(E6398:E9015,K6398:K9015,"0",B6398:B9015,"5 1 2 5*")</f>
        <v>0</v>
      </c>
      <c r="E6397"/>
      <c r="F6397" s="35">
        <f>SUMIFS(F6398:F9015,K6398:K9015,"0",B6398:B9015,"5 1 2 5*")</f>
        <v>5590.05</v>
      </c>
      <c r="G6397" s="35">
        <f>SUMIFS(G6398:G9015,K6398:K9015,"0",B6398:B9015,"5 1 2 5*")</f>
        <v>0</v>
      </c>
      <c r="H6397" s="35">
        <f t="shared" si="100"/>
        <v>5590.05</v>
      </c>
      <c r="I6397" s="35"/>
      <c r="K6397" t="s">
        <v>15</v>
      </c>
    </row>
    <row r="6398" spans="2:11" ht="16.5" x14ac:dyDescent="0.2">
      <c r="B6398" s="33" t="s">
        <v>7401</v>
      </c>
      <c r="C6398" s="33" t="s">
        <v>7402</v>
      </c>
      <c r="D6398" s="35">
        <f>SUMIFS(D6399:D9015,K6399:K9015,"0",B6399:B9015,"5 1 2 5 1*")-SUMIFS(E6399:E9015,K6399:K9015,"0",B6399:B9015,"5 1 2 5 1*")</f>
        <v>0</v>
      </c>
      <c r="E6398"/>
      <c r="F6398" s="35">
        <f>SUMIFS(F6399:F9015,K6399:K9015,"0",B6399:B9015,"5 1 2 5 1*")</f>
        <v>117.97999999999999</v>
      </c>
      <c r="G6398" s="35">
        <f>SUMIFS(G6399:G9015,K6399:K9015,"0",B6399:B9015,"5 1 2 5 1*")</f>
        <v>0</v>
      </c>
      <c r="H6398" s="35">
        <f t="shared" si="100"/>
        <v>117.97999999999999</v>
      </c>
      <c r="I6398" s="35"/>
      <c r="K6398" t="s">
        <v>15</v>
      </c>
    </row>
    <row r="6399" spans="2:11" ht="12.75" x14ac:dyDescent="0.2">
      <c r="B6399" s="33" t="s">
        <v>7403</v>
      </c>
      <c r="C6399" s="33" t="s">
        <v>26</v>
      </c>
      <c r="D6399" s="35">
        <f>SUMIFS(D6400:D9015,K6400:K9015,"0",B6400:B9015,"5 1 2 5 1 12*")-SUMIFS(E6400:E9015,K6400:K9015,"0",B6400:B9015,"5 1 2 5 1 12*")</f>
        <v>0</v>
      </c>
      <c r="E6399"/>
      <c r="F6399" s="35">
        <f>SUMIFS(F6400:F9015,K6400:K9015,"0",B6400:B9015,"5 1 2 5 1 12*")</f>
        <v>117.97999999999999</v>
      </c>
      <c r="G6399" s="35">
        <f>SUMIFS(G6400:G9015,K6400:K9015,"0",B6400:B9015,"5 1 2 5 1 12*")</f>
        <v>0</v>
      </c>
      <c r="H6399" s="35">
        <f t="shared" si="100"/>
        <v>117.97999999999999</v>
      </c>
      <c r="I6399" s="35"/>
      <c r="K6399" t="s">
        <v>15</v>
      </c>
    </row>
    <row r="6400" spans="2:11" ht="16.5" x14ac:dyDescent="0.2">
      <c r="B6400" s="33" t="s">
        <v>7404</v>
      </c>
      <c r="C6400" s="33" t="s">
        <v>28</v>
      </c>
      <c r="D6400" s="35">
        <f>SUMIFS(D6401:D9015,K6401:K9015,"0",B6401:B9015,"5 1 2 5 1 12 31111*")-SUMIFS(E6401:E9015,K6401:K9015,"0",B6401:B9015,"5 1 2 5 1 12 31111*")</f>
        <v>0</v>
      </c>
      <c r="E6400"/>
      <c r="F6400" s="35">
        <f>SUMIFS(F6401:F9015,K6401:K9015,"0",B6401:B9015,"5 1 2 5 1 12 31111*")</f>
        <v>117.97999999999999</v>
      </c>
      <c r="G6400" s="35">
        <f>SUMIFS(G6401:G9015,K6401:K9015,"0",B6401:B9015,"5 1 2 5 1 12 31111*")</f>
        <v>0</v>
      </c>
      <c r="H6400" s="35">
        <f t="shared" si="100"/>
        <v>117.97999999999999</v>
      </c>
      <c r="I6400" s="35"/>
      <c r="K6400" t="s">
        <v>15</v>
      </c>
    </row>
    <row r="6401" spans="2:11" ht="12.75" x14ac:dyDescent="0.2">
      <c r="B6401" s="33" t="s">
        <v>7405</v>
      </c>
      <c r="C6401" s="33" t="s">
        <v>30</v>
      </c>
      <c r="D6401" s="35">
        <f>SUMIFS(D6402:D9015,K6402:K9015,"0",B6402:B9015,"5 1 2 5 1 12 31111 6*")-SUMIFS(E6402:E9015,K6402:K9015,"0",B6402:B9015,"5 1 2 5 1 12 31111 6*")</f>
        <v>0</v>
      </c>
      <c r="E6401"/>
      <c r="F6401" s="35">
        <f>SUMIFS(F6402:F9015,K6402:K9015,"0",B6402:B9015,"5 1 2 5 1 12 31111 6*")</f>
        <v>117.97999999999999</v>
      </c>
      <c r="G6401" s="35">
        <f>SUMIFS(G6402:G9015,K6402:K9015,"0",B6402:B9015,"5 1 2 5 1 12 31111 6*")</f>
        <v>0</v>
      </c>
      <c r="H6401" s="35">
        <f t="shared" si="100"/>
        <v>117.97999999999999</v>
      </c>
      <c r="I6401" s="35"/>
      <c r="K6401" t="s">
        <v>15</v>
      </c>
    </row>
    <row r="6402" spans="2:11" ht="16.5" x14ac:dyDescent="0.2">
      <c r="B6402" s="33" t="s">
        <v>7406</v>
      </c>
      <c r="C6402" s="33" t="s">
        <v>2284</v>
      </c>
      <c r="D6402" s="35">
        <f>SUMIFS(D6403:D9015,K6403:K9015,"0",B6403:B9015,"5 1 2 5 1 12 31111 6 M59*")-SUMIFS(E6403:E9015,K6403:K9015,"0",B6403:B9015,"5 1 2 5 1 12 31111 6 M59*")</f>
        <v>0</v>
      </c>
      <c r="E6402"/>
      <c r="F6402" s="35">
        <f>SUMIFS(F6403:F9015,K6403:K9015,"0",B6403:B9015,"5 1 2 5 1 12 31111 6 M59*")</f>
        <v>117.97999999999999</v>
      </c>
      <c r="G6402" s="35">
        <f>SUMIFS(G6403:G9015,K6403:K9015,"0",B6403:B9015,"5 1 2 5 1 12 31111 6 M59*")</f>
        <v>0</v>
      </c>
      <c r="H6402" s="35">
        <f t="shared" si="100"/>
        <v>117.97999999999999</v>
      </c>
      <c r="I6402" s="35"/>
      <c r="K6402" t="s">
        <v>15</v>
      </c>
    </row>
    <row r="6403" spans="2:11" ht="16.5" x14ac:dyDescent="0.2">
      <c r="B6403" s="33" t="s">
        <v>7407</v>
      </c>
      <c r="C6403" s="33" t="s">
        <v>3281</v>
      </c>
      <c r="D6403" s="35">
        <f>SUMIFS(D6404:D9015,K6404:K9015,"0",B6404:B9015,"5 1 2 5 1 12 31111 6 M59 50000*")-SUMIFS(E6404:E9015,K6404:K9015,"0",B6404:B9015,"5 1 2 5 1 12 31111 6 M59 50000*")</f>
        <v>0</v>
      </c>
      <c r="E6403"/>
      <c r="F6403" s="35">
        <f>SUMIFS(F6404:F9015,K6404:K9015,"0",B6404:B9015,"5 1 2 5 1 12 31111 6 M59 50000*")</f>
        <v>37.99</v>
      </c>
      <c r="G6403" s="35">
        <f>SUMIFS(G6404:G9015,K6404:K9015,"0",B6404:B9015,"5 1 2 5 1 12 31111 6 M59 50000*")</f>
        <v>0</v>
      </c>
      <c r="H6403" s="35">
        <f t="shared" si="100"/>
        <v>37.99</v>
      </c>
      <c r="I6403" s="35"/>
      <c r="K6403" t="s">
        <v>15</v>
      </c>
    </row>
    <row r="6404" spans="2:11" ht="16.5" x14ac:dyDescent="0.2">
      <c r="B6404" s="33" t="s">
        <v>7408</v>
      </c>
      <c r="C6404" s="33" t="s">
        <v>3283</v>
      </c>
      <c r="D6404" s="35">
        <f>SUMIFS(D6405:D9015,K6405:K9015,"0",B6405:B9015,"5 1 2 5 1 12 31111 6 M59 50000 000223*")-SUMIFS(E6405:E9015,K6405:K9015,"0",B6405:B9015,"5 1 2 5 1 12 31111 6 M59 50000 000223*")</f>
        <v>0</v>
      </c>
      <c r="E6404"/>
      <c r="F6404" s="35">
        <f>SUMIFS(F6405:F9015,K6405:K9015,"0",B6405:B9015,"5 1 2 5 1 12 31111 6 M59 50000 000223*")</f>
        <v>37.99</v>
      </c>
      <c r="G6404" s="35">
        <f>SUMIFS(G6405:G9015,K6405:K9015,"0",B6405:B9015,"5 1 2 5 1 12 31111 6 M59 50000 000223*")</f>
        <v>0</v>
      </c>
      <c r="H6404" s="35">
        <f t="shared" ref="H6404:H6467" si="101">D6404 + F6404 - G6404</f>
        <v>37.99</v>
      </c>
      <c r="I6404" s="35"/>
      <c r="K6404" t="s">
        <v>15</v>
      </c>
    </row>
    <row r="6405" spans="2:11" ht="16.5" x14ac:dyDescent="0.2">
      <c r="B6405" s="33" t="s">
        <v>7409</v>
      </c>
      <c r="C6405" s="33" t="s">
        <v>1065</v>
      </c>
      <c r="D6405" s="35">
        <f>SUMIFS(D6406:D9015,K6406:K9015,"0",B6406:B9015,"5 1 2 5 1 12 31111 6 M59 50000 000223 0000E*")-SUMIFS(E6406:E9015,K6406:K9015,"0",B6406:B9015,"5 1 2 5 1 12 31111 6 M59 50000 000223 0000E*")</f>
        <v>0</v>
      </c>
      <c r="E6405"/>
      <c r="F6405" s="35">
        <f>SUMIFS(F6406:F9015,K6406:K9015,"0",B6406:B9015,"5 1 2 5 1 12 31111 6 M59 50000 000223 0000E*")</f>
        <v>37.99</v>
      </c>
      <c r="G6405" s="35">
        <f>SUMIFS(G6406:G9015,K6406:K9015,"0",B6406:B9015,"5 1 2 5 1 12 31111 6 M59 50000 000223 0000E*")</f>
        <v>0</v>
      </c>
      <c r="H6405" s="35">
        <f t="shared" si="101"/>
        <v>37.99</v>
      </c>
      <c r="I6405" s="35"/>
      <c r="K6405" t="s">
        <v>15</v>
      </c>
    </row>
    <row r="6406" spans="2:11" ht="24.75" x14ac:dyDescent="0.2">
      <c r="B6406" s="33" t="s">
        <v>7410</v>
      </c>
      <c r="C6406" s="33" t="s">
        <v>282</v>
      </c>
      <c r="D6406" s="35">
        <f>SUMIFS(D6407:D9015,K6407:K9015,"0",B6407:B9015,"5 1 2 5 1 12 31111 6 M59 50000 000223 0000E 00001*")-SUMIFS(E6407:E9015,K6407:K9015,"0",B6407:B9015,"5 1 2 5 1 12 31111 6 M59 50000 000223 0000E 00001*")</f>
        <v>0</v>
      </c>
      <c r="E6406"/>
      <c r="F6406" s="35">
        <f>SUMIFS(F6407:F9015,K6407:K9015,"0",B6407:B9015,"5 1 2 5 1 12 31111 6 M59 50000 000223 0000E 00001*")</f>
        <v>37.99</v>
      </c>
      <c r="G6406" s="35">
        <f>SUMIFS(G6407:G9015,K6407:K9015,"0",B6407:B9015,"5 1 2 5 1 12 31111 6 M59 50000 000223 0000E 00001*")</f>
        <v>0</v>
      </c>
      <c r="H6406" s="35">
        <f t="shared" si="101"/>
        <v>37.99</v>
      </c>
      <c r="I6406" s="35"/>
      <c r="K6406" t="s">
        <v>15</v>
      </c>
    </row>
    <row r="6407" spans="2:11" ht="24.75" x14ac:dyDescent="0.2">
      <c r="B6407" s="33" t="s">
        <v>7411</v>
      </c>
      <c r="C6407" s="33" t="s">
        <v>7412</v>
      </c>
      <c r="D6407" s="35">
        <f>SUMIFS(D6408:D9015,K6408:K9015,"0",B6408:B9015,"5 1 2 5 1 12 31111 6 M59 50000 000223 0000E 00001 00251*")-SUMIFS(E6408:E9015,K6408:K9015,"0",B6408:B9015,"5 1 2 5 1 12 31111 6 M59 50000 000223 0000E 00001 00251*")</f>
        <v>0</v>
      </c>
      <c r="E6407"/>
      <c r="F6407" s="35">
        <f>SUMIFS(F6408:F9015,K6408:K9015,"0",B6408:B9015,"5 1 2 5 1 12 31111 6 M59 50000 000223 0000E 00001 00251*")</f>
        <v>37.99</v>
      </c>
      <c r="G6407" s="35">
        <f>SUMIFS(G6408:G9015,K6408:K9015,"0",B6408:B9015,"5 1 2 5 1 12 31111 6 M59 50000 000223 0000E 00001 00251*")</f>
        <v>0</v>
      </c>
      <c r="H6407" s="35">
        <f t="shared" si="101"/>
        <v>37.99</v>
      </c>
      <c r="I6407" s="35"/>
      <c r="K6407" t="s">
        <v>15</v>
      </c>
    </row>
    <row r="6408" spans="2:11" ht="24.75" x14ac:dyDescent="0.2">
      <c r="B6408" s="33" t="s">
        <v>7413</v>
      </c>
      <c r="C6408" s="33" t="s">
        <v>1051</v>
      </c>
      <c r="D6408" s="35">
        <f>SUMIFS(D6409:D9015,K6409:K9015,"0",B6409:B9015,"5 1 2 5 1 12 31111 6 M59 50000 000223 0000E 00001 00251 015*")-SUMIFS(E6409:E9015,K6409:K9015,"0",B6409:B9015,"5 1 2 5 1 12 31111 6 M59 50000 000223 0000E 00001 00251 015*")</f>
        <v>0</v>
      </c>
      <c r="E6408"/>
      <c r="F6408" s="35">
        <f>SUMIFS(F6409:F9015,K6409:K9015,"0",B6409:B9015,"5 1 2 5 1 12 31111 6 M59 50000 000223 0000E 00001 00251 015*")</f>
        <v>37.99</v>
      </c>
      <c r="G6408" s="35">
        <f>SUMIFS(G6409:G9015,K6409:K9015,"0",B6409:B9015,"5 1 2 5 1 12 31111 6 M59 50000 000223 0000E 00001 00251 015*")</f>
        <v>0</v>
      </c>
      <c r="H6408" s="35">
        <f t="shared" si="101"/>
        <v>37.99</v>
      </c>
      <c r="I6408" s="35"/>
      <c r="K6408" t="s">
        <v>15</v>
      </c>
    </row>
    <row r="6409" spans="2:11" ht="33" x14ac:dyDescent="0.2">
      <c r="B6409" s="33" t="s">
        <v>7414</v>
      </c>
      <c r="C6409" s="33" t="s">
        <v>5830</v>
      </c>
      <c r="D6409" s="35">
        <f>SUMIFS(D6410:D9015,K6410:K9015,"0",B6410:B9015,"5 1 2 5 1 12 31111 6 M59 50000 000223 0000E 00001 00251 015 2112000*")-SUMIFS(E6410:E9015,K6410:K9015,"0",B6410:B9015,"5 1 2 5 1 12 31111 6 M59 50000 000223 0000E 00001 00251 015 2112000*")</f>
        <v>0</v>
      </c>
      <c r="E6409"/>
      <c r="F6409" s="35">
        <f>SUMIFS(F6410:F9015,K6410:K9015,"0",B6410:B9015,"5 1 2 5 1 12 31111 6 M59 50000 000223 0000E 00001 00251 015 2112000*")</f>
        <v>37.99</v>
      </c>
      <c r="G6409" s="35">
        <f>SUMIFS(G6410:G9015,K6410:K9015,"0",B6410:B9015,"5 1 2 5 1 12 31111 6 M59 50000 000223 0000E 00001 00251 015 2112000*")</f>
        <v>0</v>
      </c>
      <c r="H6409" s="35">
        <f t="shared" si="101"/>
        <v>37.99</v>
      </c>
      <c r="I6409" s="35"/>
      <c r="K6409" t="s">
        <v>15</v>
      </c>
    </row>
    <row r="6410" spans="2:11" ht="33" x14ac:dyDescent="0.2">
      <c r="B6410" s="33" t="s">
        <v>7415</v>
      </c>
      <c r="C6410" s="33" t="s">
        <v>660</v>
      </c>
      <c r="D6410" s="35">
        <f>SUMIFS(D6411:D9015,K6411:K9015,"0",B6411:B9015,"5 1 2 5 1 12 31111 6 M59 50000 000223 0000E 00001 00251 015 2112000 2024*")-SUMIFS(E6411:E9015,K6411:K9015,"0",B6411:B9015,"5 1 2 5 1 12 31111 6 M59 50000 000223 0000E 00001 00251 015 2112000 2024*")</f>
        <v>0</v>
      </c>
      <c r="E6410"/>
      <c r="F6410" s="35">
        <f>SUMIFS(F6411:F9015,K6411:K9015,"0",B6411:B9015,"5 1 2 5 1 12 31111 6 M59 50000 000223 0000E 00001 00251 015 2112000 2024*")</f>
        <v>37.99</v>
      </c>
      <c r="G6410" s="35">
        <f>SUMIFS(G6411:G9015,K6411:K9015,"0",B6411:B9015,"5 1 2 5 1 12 31111 6 M59 50000 000223 0000E 00001 00251 015 2112000 2024*")</f>
        <v>0</v>
      </c>
      <c r="H6410" s="35">
        <f t="shared" si="101"/>
        <v>37.99</v>
      </c>
      <c r="I6410" s="35"/>
      <c r="K6410" t="s">
        <v>15</v>
      </c>
    </row>
    <row r="6411" spans="2:11" ht="41.25" x14ac:dyDescent="0.2">
      <c r="B6411" s="33" t="s">
        <v>7416</v>
      </c>
      <c r="C6411" s="33" t="s">
        <v>662</v>
      </c>
      <c r="D6411" s="35">
        <f>SUMIFS(D6412:D9015,K6412:K9015,"0",B6412:B9015,"5 1 2 5 1 12 31111 6 M59 50000 000223 0000E 00001 00251 015 2112000 2024 CP1DA424*")-SUMIFS(E6412:E9015,K6412:K9015,"0",B6412:B9015,"5 1 2 5 1 12 31111 6 M59 50000 000223 0000E 00001 00251 015 2112000 2024 CP1DA424*")</f>
        <v>0</v>
      </c>
      <c r="E6411"/>
      <c r="F6411" s="35">
        <f>SUMIFS(F6412:F9015,K6412:K9015,"0",B6412:B9015,"5 1 2 5 1 12 31111 6 M59 50000 000223 0000E 00001 00251 015 2112000 2024 CP1DA424*")</f>
        <v>37.99</v>
      </c>
      <c r="G6411" s="35">
        <f>SUMIFS(G6412:G9015,K6412:K9015,"0",B6412:B9015,"5 1 2 5 1 12 31111 6 M59 50000 000223 0000E 00001 00251 015 2112000 2024 CP1DA424*")</f>
        <v>0</v>
      </c>
      <c r="H6411" s="35">
        <f t="shared" si="101"/>
        <v>37.99</v>
      </c>
      <c r="I6411" s="35"/>
      <c r="K6411" t="s">
        <v>15</v>
      </c>
    </row>
    <row r="6412" spans="2:11" ht="41.25" x14ac:dyDescent="0.2">
      <c r="B6412" s="33" t="s">
        <v>7417</v>
      </c>
      <c r="C6412" s="33" t="s">
        <v>282</v>
      </c>
      <c r="D6412" s="35">
        <f>SUMIFS(D6413:D9015,K6413:K9015,"0",B6413:B9015,"5 1 2 5 1 12 31111 6 M59 50000 000223 0000E 00001 00251 015 2112000 2024 CP1DA424 001*")-SUMIFS(E6413:E9015,K6413:K9015,"0",B6413:B9015,"5 1 2 5 1 12 31111 6 M59 50000 000223 0000E 00001 00251 015 2112000 2024 CP1DA424 001*")</f>
        <v>0</v>
      </c>
      <c r="E6412"/>
      <c r="F6412" s="35">
        <f>SUMIFS(F6413:F9015,K6413:K9015,"0",B6413:B9015,"5 1 2 5 1 12 31111 6 M59 50000 000223 0000E 00001 00251 015 2112000 2024 CP1DA424 001*")</f>
        <v>37.99</v>
      </c>
      <c r="G6412" s="35">
        <f>SUMIFS(G6413:G9015,K6413:K9015,"0",B6413:B9015,"5 1 2 5 1 12 31111 6 M59 50000 000223 0000E 00001 00251 015 2112000 2024 CP1DA424 001*")</f>
        <v>0</v>
      </c>
      <c r="H6412" s="35">
        <f t="shared" si="101"/>
        <v>37.99</v>
      </c>
      <c r="I6412" s="35"/>
      <c r="K6412" t="s">
        <v>15</v>
      </c>
    </row>
    <row r="6413" spans="2:11" ht="41.25" x14ac:dyDescent="0.2">
      <c r="B6413" s="31" t="s">
        <v>7418</v>
      </c>
      <c r="C6413" s="31" t="s">
        <v>7402</v>
      </c>
      <c r="D6413" s="34">
        <v>0</v>
      </c>
      <c r="E6413" s="34"/>
      <c r="F6413" s="34">
        <v>37.99</v>
      </c>
      <c r="G6413" s="34">
        <v>0</v>
      </c>
      <c r="H6413" s="34">
        <f t="shared" si="101"/>
        <v>37.99</v>
      </c>
      <c r="I6413" s="34"/>
      <c r="K6413" t="s">
        <v>38</v>
      </c>
    </row>
    <row r="6414" spans="2:11" ht="16.5" x14ac:dyDescent="0.2">
      <c r="B6414" s="33" t="s">
        <v>7419</v>
      </c>
      <c r="C6414" s="33" t="s">
        <v>3754</v>
      </c>
      <c r="D6414" s="35">
        <f>SUMIFS(D6415:D9015,K6415:K9015,"0",B6415:B9015,"5 1 2 5 1 12 31111 6 M59 99000*")-SUMIFS(E6415:E9015,K6415:K9015,"0",B6415:B9015,"5 1 2 5 1 12 31111 6 M59 99000*")</f>
        <v>0</v>
      </c>
      <c r="E6414"/>
      <c r="F6414" s="35">
        <f>SUMIFS(F6415:F9015,K6415:K9015,"0",B6415:B9015,"5 1 2 5 1 12 31111 6 M59 99000*")</f>
        <v>79.989999999999995</v>
      </c>
      <c r="G6414" s="35">
        <f>SUMIFS(G6415:G9015,K6415:K9015,"0",B6415:B9015,"5 1 2 5 1 12 31111 6 M59 99000*")</f>
        <v>0</v>
      </c>
      <c r="H6414" s="35">
        <f t="shared" si="101"/>
        <v>79.989999999999995</v>
      </c>
      <c r="I6414" s="35"/>
      <c r="K6414" t="s">
        <v>15</v>
      </c>
    </row>
    <row r="6415" spans="2:11" ht="16.5" x14ac:dyDescent="0.2">
      <c r="B6415" s="33" t="s">
        <v>7420</v>
      </c>
      <c r="C6415" s="33" t="s">
        <v>648</v>
      </c>
      <c r="D6415" s="35">
        <f>SUMIFS(D6416:D9015,K6416:K9015,"0",B6416:B9015,"5 1 2 5 1 12 31111 6 M59 99000 000132*")-SUMIFS(E6416:E9015,K6416:K9015,"0",B6416:B9015,"5 1 2 5 1 12 31111 6 M59 99000 000132*")</f>
        <v>0</v>
      </c>
      <c r="E6415"/>
      <c r="F6415" s="35">
        <f>SUMIFS(F6416:F9015,K6416:K9015,"0",B6416:B9015,"5 1 2 5 1 12 31111 6 M59 99000 000132*")</f>
        <v>79.989999999999995</v>
      </c>
      <c r="G6415" s="35">
        <f>SUMIFS(G6416:G9015,K6416:K9015,"0",B6416:B9015,"5 1 2 5 1 12 31111 6 M59 99000 000132*")</f>
        <v>0</v>
      </c>
      <c r="H6415" s="35">
        <f t="shared" si="101"/>
        <v>79.989999999999995</v>
      </c>
      <c r="I6415" s="35"/>
      <c r="K6415" t="s">
        <v>15</v>
      </c>
    </row>
    <row r="6416" spans="2:11" ht="16.5" x14ac:dyDescent="0.2">
      <c r="B6416" s="33" t="s">
        <v>7421</v>
      </c>
      <c r="C6416" s="33" t="s">
        <v>650</v>
      </c>
      <c r="D6416" s="35">
        <f>SUMIFS(D6417:D9015,K6417:K9015,"0",B6417:B9015,"5 1 2 5 1 12 31111 6 M59 99000 000132 0000R*")-SUMIFS(E6417:E9015,K6417:K9015,"0",B6417:B9015,"5 1 2 5 1 12 31111 6 M59 99000 000132 0000R*")</f>
        <v>0</v>
      </c>
      <c r="E6416"/>
      <c r="F6416" s="35">
        <f>SUMIFS(F6417:F9015,K6417:K9015,"0",B6417:B9015,"5 1 2 5 1 12 31111 6 M59 99000 000132 0000R*")</f>
        <v>79.989999999999995</v>
      </c>
      <c r="G6416" s="35">
        <f>SUMIFS(G6417:G9015,K6417:K9015,"0",B6417:B9015,"5 1 2 5 1 12 31111 6 M59 99000 000132 0000R*")</f>
        <v>0</v>
      </c>
      <c r="H6416" s="35">
        <f t="shared" si="101"/>
        <v>79.989999999999995</v>
      </c>
      <c r="I6416" s="35"/>
      <c r="K6416" t="s">
        <v>15</v>
      </c>
    </row>
    <row r="6417" spans="2:11" ht="24.75" x14ac:dyDescent="0.2">
      <c r="B6417" s="33" t="s">
        <v>7422</v>
      </c>
      <c r="C6417" s="33" t="s">
        <v>282</v>
      </c>
      <c r="D6417" s="35">
        <f>SUMIFS(D6418:D9015,K6418:K9015,"0",B6418:B9015,"5 1 2 5 1 12 31111 6 M59 99000 000132 0000R 00001*")-SUMIFS(E6418:E9015,K6418:K9015,"0",B6418:B9015,"5 1 2 5 1 12 31111 6 M59 99000 000132 0000R 00001*")</f>
        <v>0</v>
      </c>
      <c r="E6417"/>
      <c r="F6417" s="35">
        <f>SUMIFS(F6418:F9015,K6418:K9015,"0",B6418:B9015,"5 1 2 5 1 12 31111 6 M59 99000 000132 0000R 00001*")</f>
        <v>79.989999999999995</v>
      </c>
      <c r="G6417" s="35">
        <f>SUMIFS(G6418:G9015,K6418:K9015,"0",B6418:B9015,"5 1 2 5 1 12 31111 6 M59 99000 000132 0000R 00001*")</f>
        <v>0</v>
      </c>
      <c r="H6417" s="35">
        <f t="shared" si="101"/>
        <v>79.989999999999995</v>
      </c>
      <c r="I6417" s="35"/>
      <c r="K6417" t="s">
        <v>15</v>
      </c>
    </row>
    <row r="6418" spans="2:11" ht="24.75" x14ac:dyDescent="0.2">
      <c r="B6418" s="33" t="s">
        <v>7423</v>
      </c>
      <c r="C6418" s="33" t="s">
        <v>7412</v>
      </c>
      <c r="D6418" s="35">
        <f>SUMIFS(D6419:D9015,K6419:K9015,"0",B6419:B9015,"5 1 2 5 1 12 31111 6 M59 99000 000132 0000R 00001 00251*")-SUMIFS(E6419:E9015,K6419:K9015,"0",B6419:B9015,"5 1 2 5 1 12 31111 6 M59 99000 000132 0000R 00001 00251*")</f>
        <v>0</v>
      </c>
      <c r="E6418"/>
      <c r="F6418" s="35">
        <f>SUMIFS(F6419:F9015,K6419:K9015,"0",B6419:B9015,"5 1 2 5 1 12 31111 6 M59 99000 000132 0000R 00001 00251*")</f>
        <v>79.989999999999995</v>
      </c>
      <c r="G6418" s="35">
        <f>SUMIFS(G6419:G9015,K6419:K9015,"0",B6419:B9015,"5 1 2 5 1 12 31111 6 M59 99000 000132 0000R 00001 00251*")</f>
        <v>0</v>
      </c>
      <c r="H6418" s="35">
        <f t="shared" si="101"/>
        <v>79.989999999999995</v>
      </c>
      <c r="I6418" s="35"/>
      <c r="K6418" t="s">
        <v>15</v>
      </c>
    </row>
    <row r="6419" spans="2:11" ht="24.75" x14ac:dyDescent="0.2">
      <c r="B6419" s="33" t="s">
        <v>7424</v>
      </c>
      <c r="C6419" s="33" t="s">
        <v>1051</v>
      </c>
      <c r="D6419" s="35">
        <f>SUMIFS(D6420:D9015,K6420:K9015,"0",B6420:B9015,"5 1 2 5 1 12 31111 6 M59 99000 000132 0000R 00001 00251 015*")-SUMIFS(E6420:E9015,K6420:K9015,"0",B6420:B9015,"5 1 2 5 1 12 31111 6 M59 99000 000132 0000R 00001 00251 015*")</f>
        <v>0</v>
      </c>
      <c r="E6419"/>
      <c r="F6419" s="35">
        <f>SUMIFS(F6420:F9015,K6420:K9015,"0",B6420:B9015,"5 1 2 5 1 12 31111 6 M59 99000 000132 0000R 00001 00251 015*")</f>
        <v>79.989999999999995</v>
      </c>
      <c r="G6419" s="35">
        <f>SUMIFS(G6420:G9015,K6420:K9015,"0",B6420:B9015,"5 1 2 5 1 12 31111 6 M59 99000 000132 0000R 00001 00251 015*")</f>
        <v>0</v>
      </c>
      <c r="H6419" s="35">
        <f t="shared" si="101"/>
        <v>79.989999999999995</v>
      </c>
      <c r="I6419" s="35"/>
      <c r="K6419" t="s">
        <v>15</v>
      </c>
    </row>
    <row r="6420" spans="2:11" ht="33" x14ac:dyDescent="0.2">
      <c r="B6420" s="33" t="s">
        <v>7425</v>
      </c>
      <c r="C6420" s="33" t="s">
        <v>5830</v>
      </c>
      <c r="D6420" s="35">
        <f>SUMIFS(D6421:D9015,K6421:K9015,"0",B6421:B9015,"5 1 2 5 1 12 31111 6 M59 99000 000132 0000R 00001 00251 015 2112000*")-SUMIFS(E6421:E9015,K6421:K9015,"0",B6421:B9015,"5 1 2 5 1 12 31111 6 M59 99000 000132 0000R 00001 00251 015 2112000*")</f>
        <v>0</v>
      </c>
      <c r="E6420"/>
      <c r="F6420" s="35">
        <f>SUMIFS(F6421:F9015,K6421:K9015,"0",B6421:B9015,"5 1 2 5 1 12 31111 6 M59 99000 000132 0000R 00001 00251 015 2112000*")</f>
        <v>79.989999999999995</v>
      </c>
      <c r="G6420" s="35">
        <f>SUMIFS(G6421:G9015,K6421:K9015,"0",B6421:B9015,"5 1 2 5 1 12 31111 6 M59 99000 000132 0000R 00001 00251 015 2112000*")</f>
        <v>0</v>
      </c>
      <c r="H6420" s="35">
        <f t="shared" si="101"/>
        <v>79.989999999999995</v>
      </c>
      <c r="I6420" s="35"/>
      <c r="K6420" t="s">
        <v>15</v>
      </c>
    </row>
    <row r="6421" spans="2:11" ht="33" x14ac:dyDescent="0.2">
      <c r="B6421" s="33" t="s">
        <v>7426</v>
      </c>
      <c r="C6421" s="33" t="s">
        <v>660</v>
      </c>
      <c r="D6421" s="35">
        <f>SUMIFS(D6422:D9015,K6422:K9015,"0",B6422:B9015,"5 1 2 5 1 12 31111 6 M59 99000 000132 0000R 00001 00251 015 2112000 2024*")-SUMIFS(E6422:E9015,K6422:K9015,"0",B6422:B9015,"5 1 2 5 1 12 31111 6 M59 99000 000132 0000R 00001 00251 015 2112000 2024*")</f>
        <v>0</v>
      </c>
      <c r="E6421"/>
      <c r="F6421" s="35">
        <f>SUMIFS(F6422:F9015,K6422:K9015,"0",B6422:B9015,"5 1 2 5 1 12 31111 6 M59 99000 000132 0000R 00001 00251 015 2112000 2024*")</f>
        <v>79.989999999999995</v>
      </c>
      <c r="G6421" s="35">
        <f>SUMIFS(G6422:G9015,K6422:K9015,"0",B6422:B9015,"5 1 2 5 1 12 31111 6 M59 99000 000132 0000R 00001 00251 015 2112000 2024*")</f>
        <v>0</v>
      </c>
      <c r="H6421" s="35">
        <f t="shared" si="101"/>
        <v>79.989999999999995</v>
      </c>
      <c r="I6421" s="35"/>
      <c r="K6421" t="s">
        <v>15</v>
      </c>
    </row>
    <row r="6422" spans="2:11" ht="41.25" x14ac:dyDescent="0.2">
      <c r="B6422" s="33" t="s">
        <v>7427</v>
      </c>
      <c r="C6422" s="33" t="s">
        <v>1056</v>
      </c>
      <c r="D6422" s="35">
        <f>SUMIFS(D6423:D9015,K6423:K9015,"0",B6423:B9015,"5 1 2 5 1 12 31111 6 M59 99000 000132 0000R 00001 00251 015 2112000 2024 CP1MG408*")-SUMIFS(E6423:E9015,K6423:K9015,"0",B6423:B9015,"5 1 2 5 1 12 31111 6 M59 99000 000132 0000R 00001 00251 015 2112000 2024 CP1MG408*")</f>
        <v>0</v>
      </c>
      <c r="E6422"/>
      <c r="F6422" s="35">
        <f>SUMIFS(F6423:F9015,K6423:K9015,"0",B6423:B9015,"5 1 2 5 1 12 31111 6 M59 99000 000132 0000R 00001 00251 015 2112000 2024 CP1MG408*")</f>
        <v>79.989999999999995</v>
      </c>
      <c r="G6422" s="35">
        <f>SUMIFS(G6423:G9015,K6423:K9015,"0",B6423:B9015,"5 1 2 5 1 12 31111 6 M59 99000 000132 0000R 00001 00251 015 2112000 2024 CP1MG408*")</f>
        <v>0</v>
      </c>
      <c r="H6422" s="35">
        <f t="shared" si="101"/>
        <v>79.989999999999995</v>
      </c>
      <c r="I6422" s="35"/>
      <c r="K6422" t="s">
        <v>15</v>
      </c>
    </row>
    <row r="6423" spans="2:11" ht="41.25" x14ac:dyDescent="0.2">
      <c r="B6423" s="33" t="s">
        <v>7428</v>
      </c>
      <c r="C6423" s="33" t="s">
        <v>282</v>
      </c>
      <c r="D6423" s="35">
        <f>SUMIFS(D6424:D9015,K6424:K9015,"0",B6424:B9015,"5 1 2 5 1 12 31111 6 M59 99000 000132 0000R 00001 00251 015 2112000 2024 CP1MG408 001*")-SUMIFS(E6424:E9015,K6424:K9015,"0",B6424:B9015,"5 1 2 5 1 12 31111 6 M59 99000 000132 0000R 00001 00251 015 2112000 2024 CP1MG408 001*")</f>
        <v>0</v>
      </c>
      <c r="E6423"/>
      <c r="F6423" s="35">
        <f>SUMIFS(F6424:F9015,K6424:K9015,"0",B6424:B9015,"5 1 2 5 1 12 31111 6 M59 99000 000132 0000R 00001 00251 015 2112000 2024 CP1MG408 001*")</f>
        <v>79.989999999999995</v>
      </c>
      <c r="G6423" s="35">
        <f>SUMIFS(G6424:G9015,K6424:K9015,"0",B6424:B9015,"5 1 2 5 1 12 31111 6 M59 99000 000132 0000R 00001 00251 015 2112000 2024 CP1MG408 001*")</f>
        <v>0</v>
      </c>
      <c r="H6423" s="35">
        <f t="shared" si="101"/>
        <v>79.989999999999995</v>
      </c>
      <c r="I6423" s="35"/>
      <c r="K6423" t="s">
        <v>15</v>
      </c>
    </row>
    <row r="6424" spans="2:11" ht="41.25" x14ac:dyDescent="0.2">
      <c r="B6424" s="31" t="s">
        <v>7429</v>
      </c>
      <c r="C6424" s="31" t="s">
        <v>7402</v>
      </c>
      <c r="D6424" s="34">
        <v>0</v>
      </c>
      <c r="E6424" s="34"/>
      <c r="F6424" s="34">
        <v>79.989999999999995</v>
      </c>
      <c r="G6424" s="34">
        <v>0</v>
      </c>
      <c r="H6424" s="34">
        <f t="shared" si="101"/>
        <v>79.989999999999995</v>
      </c>
      <c r="I6424" s="34"/>
      <c r="K6424" t="s">
        <v>38</v>
      </c>
    </row>
    <row r="6425" spans="2:11" ht="24.75" x14ac:dyDescent="0.2">
      <c r="B6425" s="33" t="s">
        <v>7430</v>
      </c>
      <c r="C6425" s="33" t="s">
        <v>7431</v>
      </c>
      <c r="D6425" s="35">
        <f>SUMIFS(D6426:D9015,K6426:K9015,"0",B6426:B9015,"5 1 2 5 5*")-SUMIFS(E6426:E9015,K6426:K9015,"0",B6426:B9015,"5 1 2 5 5*")</f>
        <v>0</v>
      </c>
      <c r="E6425"/>
      <c r="F6425" s="35">
        <f>SUMIFS(F6426:F9015,K6426:K9015,"0",B6426:B9015,"5 1 2 5 5*")</f>
        <v>101</v>
      </c>
      <c r="G6425" s="35">
        <f>SUMIFS(G6426:G9015,K6426:K9015,"0",B6426:B9015,"5 1 2 5 5*")</f>
        <v>0</v>
      </c>
      <c r="H6425" s="35">
        <f t="shared" si="101"/>
        <v>101</v>
      </c>
      <c r="I6425" s="35"/>
      <c r="K6425" t="s">
        <v>15</v>
      </c>
    </row>
    <row r="6426" spans="2:11" ht="12.75" x14ac:dyDescent="0.2">
      <c r="B6426" s="33" t="s">
        <v>7432</v>
      </c>
      <c r="C6426" s="33" t="s">
        <v>26</v>
      </c>
      <c r="D6426" s="35">
        <f>SUMIFS(D6427:D9015,K6427:K9015,"0",B6427:B9015,"5 1 2 5 5 12*")-SUMIFS(E6427:E9015,K6427:K9015,"0",B6427:B9015,"5 1 2 5 5 12*")</f>
        <v>0</v>
      </c>
      <c r="E6426"/>
      <c r="F6426" s="35">
        <f>SUMIFS(F6427:F9015,K6427:K9015,"0",B6427:B9015,"5 1 2 5 5 12*")</f>
        <v>101</v>
      </c>
      <c r="G6426" s="35">
        <f>SUMIFS(G6427:G9015,K6427:K9015,"0",B6427:B9015,"5 1 2 5 5 12*")</f>
        <v>0</v>
      </c>
      <c r="H6426" s="35">
        <f t="shared" si="101"/>
        <v>101</v>
      </c>
      <c r="I6426" s="35"/>
      <c r="K6426" t="s">
        <v>15</v>
      </c>
    </row>
    <row r="6427" spans="2:11" ht="16.5" x14ac:dyDescent="0.2">
      <c r="B6427" s="33" t="s">
        <v>7433</v>
      </c>
      <c r="C6427" s="33" t="s">
        <v>28</v>
      </c>
      <c r="D6427" s="35">
        <f>SUMIFS(D6428:D9015,K6428:K9015,"0",B6428:B9015,"5 1 2 5 5 12 31111*")-SUMIFS(E6428:E9015,K6428:K9015,"0",B6428:B9015,"5 1 2 5 5 12 31111*")</f>
        <v>0</v>
      </c>
      <c r="E6427"/>
      <c r="F6427" s="35">
        <f>SUMIFS(F6428:F9015,K6428:K9015,"0",B6428:B9015,"5 1 2 5 5 12 31111*")</f>
        <v>101</v>
      </c>
      <c r="G6427" s="35">
        <f>SUMIFS(G6428:G9015,K6428:K9015,"0",B6428:B9015,"5 1 2 5 5 12 31111*")</f>
        <v>0</v>
      </c>
      <c r="H6427" s="35">
        <f t="shared" si="101"/>
        <v>101</v>
      </c>
      <c r="I6427" s="35"/>
      <c r="K6427" t="s">
        <v>15</v>
      </c>
    </row>
    <row r="6428" spans="2:11" ht="12.75" x14ac:dyDescent="0.2">
      <c r="B6428" s="33" t="s">
        <v>7434</v>
      </c>
      <c r="C6428" s="33" t="s">
        <v>30</v>
      </c>
      <c r="D6428" s="35">
        <f>SUMIFS(D6429:D9015,K6429:K9015,"0",B6429:B9015,"5 1 2 5 5 12 31111 6*")-SUMIFS(E6429:E9015,K6429:K9015,"0",B6429:B9015,"5 1 2 5 5 12 31111 6*")</f>
        <v>0</v>
      </c>
      <c r="E6428"/>
      <c r="F6428" s="35">
        <f>SUMIFS(F6429:F9015,K6429:K9015,"0",B6429:B9015,"5 1 2 5 5 12 31111 6*")</f>
        <v>101</v>
      </c>
      <c r="G6428" s="35">
        <f>SUMIFS(G6429:G9015,K6429:K9015,"0",B6429:B9015,"5 1 2 5 5 12 31111 6*")</f>
        <v>0</v>
      </c>
      <c r="H6428" s="35">
        <f t="shared" si="101"/>
        <v>101</v>
      </c>
      <c r="I6428" s="35"/>
      <c r="K6428" t="s">
        <v>15</v>
      </c>
    </row>
    <row r="6429" spans="2:11" ht="16.5" x14ac:dyDescent="0.2">
      <c r="B6429" s="33" t="s">
        <v>7435</v>
      </c>
      <c r="C6429" s="33" t="s">
        <v>2284</v>
      </c>
      <c r="D6429" s="35">
        <f>SUMIFS(D6430:D9015,K6430:K9015,"0",B6430:B9015,"5 1 2 5 5 12 31111 6 M59*")-SUMIFS(E6430:E9015,K6430:K9015,"0",B6430:B9015,"5 1 2 5 5 12 31111 6 M59*")</f>
        <v>0</v>
      </c>
      <c r="E6429"/>
      <c r="F6429" s="35">
        <f>SUMIFS(F6430:F9015,K6430:K9015,"0",B6430:B9015,"5 1 2 5 5 12 31111 6 M59*")</f>
        <v>101</v>
      </c>
      <c r="G6429" s="35">
        <f>SUMIFS(G6430:G9015,K6430:K9015,"0",B6430:B9015,"5 1 2 5 5 12 31111 6 M59*")</f>
        <v>0</v>
      </c>
      <c r="H6429" s="35">
        <f t="shared" si="101"/>
        <v>101</v>
      </c>
      <c r="I6429" s="35"/>
      <c r="K6429" t="s">
        <v>15</v>
      </c>
    </row>
    <row r="6430" spans="2:11" ht="16.5" x14ac:dyDescent="0.2">
      <c r="B6430" s="33" t="s">
        <v>7436</v>
      </c>
      <c r="C6430" s="33" t="s">
        <v>3706</v>
      </c>
      <c r="D6430" s="35">
        <f>SUMIFS(D6431:D9015,K6431:K9015,"0",B6431:B9015,"5 1 2 5 5 12 31111 6 M59 96200*")-SUMIFS(E6431:E9015,K6431:K9015,"0",B6431:B9015,"5 1 2 5 5 12 31111 6 M59 96200*")</f>
        <v>0</v>
      </c>
      <c r="E6430"/>
      <c r="F6430" s="35">
        <f>SUMIFS(F6431:F9015,K6431:K9015,"0",B6431:B9015,"5 1 2 5 5 12 31111 6 M59 96200*")</f>
        <v>66</v>
      </c>
      <c r="G6430" s="35">
        <f>SUMIFS(G6431:G9015,K6431:K9015,"0",B6431:B9015,"5 1 2 5 5 12 31111 6 M59 96200*")</f>
        <v>0</v>
      </c>
      <c r="H6430" s="35">
        <f t="shared" si="101"/>
        <v>66</v>
      </c>
      <c r="I6430" s="35"/>
      <c r="K6430" t="s">
        <v>15</v>
      </c>
    </row>
    <row r="6431" spans="2:11" ht="16.5" x14ac:dyDescent="0.2">
      <c r="B6431" s="33" t="s">
        <v>7437</v>
      </c>
      <c r="C6431" s="33" t="s">
        <v>648</v>
      </c>
      <c r="D6431" s="35">
        <f>SUMIFS(D6432:D9015,K6432:K9015,"0",B6432:B9015,"5 1 2 5 5 12 31111 6 M59 96200 000132*")-SUMIFS(E6432:E9015,K6432:K9015,"0",B6432:B9015,"5 1 2 5 5 12 31111 6 M59 96200 000132*")</f>
        <v>0</v>
      </c>
      <c r="E6431"/>
      <c r="F6431" s="35">
        <f>SUMIFS(F6432:F9015,K6432:K9015,"0",B6432:B9015,"5 1 2 5 5 12 31111 6 M59 96200 000132*")</f>
        <v>66</v>
      </c>
      <c r="G6431" s="35">
        <f>SUMIFS(G6432:G9015,K6432:K9015,"0",B6432:B9015,"5 1 2 5 5 12 31111 6 M59 96200 000132*")</f>
        <v>0</v>
      </c>
      <c r="H6431" s="35">
        <f t="shared" si="101"/>
        <v>66</v>
      </c>
      <c r="I6431" s="35"/>
      <c r="K6431" t="s">
        <v>15</v>
      </c>
    </row>
    <row r="6432" spans="2:11" ht="24.75" x14ac:dyDescent="0.2">
      <c r="B6432" s="33" t="s">
        <v>7438</v>
      </c>
      <c r="C6432" s="33" t="s">
        <v>650</v>
      </c>
      <c r="D6432" s="35">
        <f>SUMIFS(D6433:D9015,K6433:K9015,"0",B6433:B9015,"5 1 2 5 5 12 31111 6 M59 96200 000132 0000R*")-SUMIFS(E6433:E9015,K6433:K9015,"0",B6433:B9015,"5 1 2 5 5 12 31111 6 M59 96200 000132 0000R*")</f>
        <v>0</v>
      </c>
      <c r="E6432"/>
      <c r="F6432" s="35">
        <f>SUMIFS(F6433:F9015,K6433:K9015,"0",B6433:B9015,"5 1 2 5 5 12 31111 6 M59 96200 000132 0000R*")</f>
        <v>66</v>
      </c>
      <c r="G6432" s="35">
        <f>SUMIFS(G6433:G9015,K6433:K9015,"0",B6433:B9015,"5 1 2 5 5 12 31111 6 M59 96200 000132 0000R*")</f>
        <v>0</v>
      </c>
      <c r="H6432" s="35">
        <f t="shared" si="101"/>
        <v>66</v>
      </c>
      <c r="I6432" s="35"/>
      <c r="K6432" t="s">
        <v>15</v>
      </c>
    </row>
    <row r="6433" spans="2:11" ht="24.75" x14ac:dyDescent="0.2">
      <c r="B6433" s="33" t="s">
        <v>7439</v>
      </c>
      <c r="C6433" s="33" t="s">
        <v>282</v>
      </c>
      <c r="D6433" s="35">
        <f>SUMIFS(D6434:D9015,K6434:K9015,"0",B6434:B9015,"5 1 2 5 5 12 31111 6 M59 96200 000132 0000R 00001*")-SUMIFS(E6434:E9015,K6434:K9015,"0",B6434:B9015,"5 1 2 5 5 12 31111 6 M59 96200 000132 0000R 00001*")</f>
        <v>0</v>
      </c>
      <c r="E6433"/>
      <c r="F6433" s="35">
        <f>SUMIFS(F6434:F9015,K6434:K9015,"0",B6434:B9015,"5 1 2 5 5 12 31111 6 M59 96200 000132 0000R 00001*")</f>
        <v>66</v>
      </c>
      <c r="G6433" s="35">
        <f>SUMIFS(G6434:G9015,K6434:K9015,"0",B6434:B9015,"5 1 2 5 5 12 31111 6 M59 96200 000132 0000R 00001*")</f>
        <v>0</v>
      </c>
      <c r="H6433" s="35">
        <f t="shared" si="101"/>
        <v>66</v>
      </c>
      <c r="I6433" s="35"/>
      <c r="K6433" t="s">
        <v>15</v>
      </c>
    </row>
    <row r="6434" spans="2:11" ht="24.75" x14ac:dyDescent="0.2">
      <c r="B6434" s="33" t="s">
        <v>7440</v>
      </c>
      <c r="C6434" s="33" t="s">
        <v>7441</v>
      </c>
      <c r="D6434" s="35">
        <f>SUMIFS(D6435:D9015,K6435:K9015,"0",B6435:B9015,"5 1 2 5 5 12 31111 6 M59 96200 000132 0000R 00001 00255*")-SUMIFS(E6435:E9015,K6435:K9015,"0",B6435:B9015,"5 1 2 5 5 12 31111 6 M59 96200 000132 0000R 00001 00255*")</f>
        <v>0</v>
      </c>
      <c r="E6434"/>
      <c r="F6434" s="35">
        <f>SUMIFS(F6435:F9015,K6435:K9015,"0",B6435:B9015,"5 1 2 5 5 12 31111 6 M59 96200 000132 0000R 00001 00255*")</f>
        <v>66</v>
      </c>
      <c r="G6434" s="35">
        <f>SUMIFS(G6435:G9015,K6435:K9015,"0",B6435:B9015,"5 1 2 5 5 12 31111 6 M59 96200 000132 0000R 00001 00255*")</f>
        <v>0</v>
      </c>
      <c r="H6434" s="35">
        <f t="shared" si="101"/>
        <v>66</v>
      </c>
      <c r="I6434" s="35"/>
      <c r="K6434" t="s">
        <v>15</v>
      </c>
    </row>
    <row r="6435" spans="2:11" ht="33" x14ac:dyDescent="0.2">
      <c r="B6435" s="33" t="s">
        <v>7442</v>
      </c>
      <c r="C6435" s="33" t="s">
        <v>1051</v>
      </c>
      <c r="D6435" s="35">
        <f>SUMIFS(D6436:D9015,K6436:K9015,"0",B6436:B9015,"5 1 2 5 5 12 31111 6 M59 96200 000132 0000R 00001 00255 015*")-SUMIFS(E6436:E9015,K6436:K9015,"0",B6436:B9015,"5 1 2 5 5 12 31111 6 M59 96200 000132 0000R 00001 00255 015*")</f>
        <v>0</v>
      </c>
      <c r="E6435"/>
      <c r="F6435" s="35">
        <f>SUMIFS(F6436:F9015,K6436:K9015,"0",B6436:B9015,"5 1 2 5 5 12 31111 6 M59 96200 000132 0000R 00001 00255 015*")</f>
        <v>66</v>
      </c>
      <c r="G6435" s="35">
        <f>SUMIFS(G6436:G9015,K6436:K9015,"0",B6436:B9015,"5 1 2 5 5 12 31111 6 M59 96200 000132 0000R 00001 00255 015*")</f>
        <v>0</v>
      </c>
      <c r="H6435" s="35">
        <f t="shared" si="101"/>
        <v>66</v>
      </c>
      <c r="I6435" s="35"/>
      <c r="K6435" t="s">
        <v>15</v>
      </c>
    </row>
    <row r="6436" spans="2:11" ht="33" x14ac:dyDescent="0.2">
      <c r="B6436" s="33" t="s">
        <v>7443</v>
      </c>
      <c r="C6436" s="33" t="s">
        <v>5830</v>
      </c>
      <c r="D6436" s="35">
        <f>SUMIFS(D6437:D9015,K6437:K9015,"0",B6437:B9015,"5 1 2 5 5 12 31111 6 M59 96200 000132 0000R 00001 00255 015 2112000*")-SUMIFS(E6437:E9015,K6437:K9015,"0",B6437:B9015,"5 1 2 5 5 12 31111 6 M59 96200 000132 0000R 00001 00255 015 2112000*")</f>
        <v>0</v>
      </c>
      <c r="E6436"/>
      <c r="F6436" s="35">
        <f>SUMIFS(F6437:F9015,K6437:K9015,"0",B6437:B9015,"5 1 2 5 5 12 31111 6 M59 96200 000132 0000R 00001 00255 015 2112000*")</f>
        <v>66</v>
      </c>
      <c r="G6436" s="35">
        <f>SUMIFS(G6437:G9015,K6437:K9015,"0",B6437:B9015,"5 1 2 5 5 12 31111 6 M59 96200 000132 0000R 00001 00255 015 2112000*")</f>
        <v>0</v>
      </c>
      <c r="H6436" s="35">
        <f t="shared" si="101"/>
        <v>66</v>
      </c>
      <c r="I6436" s="35"/>
      <c r="K6436" t="s">
        <v>15</v>
      </c>
    </row>
    <row r="6437" spans="2:11" ht="33" x14ac:dyDescent="0.2">
      <c r="B6437" s="33" t="s">
        <v>7444</v>
      </c>
      <c r="C6437" s="33" t="s">
        <v>660</v>
      </c>
      <c r="D6437" s="35">
        <f>SUMIFS(D6438:D9015,K6438:K9015,"0",B6438:B9015,"5 1 2 5 5 12 31111 6 M59 96200 000132 0000R 00001 00255 015 2112000 2024*")-SUMIFS(E6438:E9015,K6438:K9015,"0",B6438:B9015,"5 1 2 5 5 12 31111 6 M59 96200 000132 0000R 00001 00255 015 2112000 2024*")</f>
        <v>0</v>
      </c>
      <c r="E6437"/>
      <c r="F6437" s="35">
        <f>SUMIFS(F6438:F9015,K6438:K9015,"0",B6438:B9015,"5 1 2 5 5 12 31111 6 M59 96200 000132 0000R 00001 00255 015 2112000 2024*")</f>
        <v>66</v>
      </c>
      <c r="G6437" s="35">
        <f>SUMIFS(G6438:G9015,K6438:K9015,"0",B6438:B9015,"5 1 2 5 5 12 31111 6 M59 96200 000132 0000R 00001 00255 015 2112000 2024*")</f>
        <v>0</v>
      </c>
      <c r="H6437" s="35">
        <f t="shared" si="101"/>
        <v>66</v>
      </c>
      <c r="I6437" s="35"/>
      <c r="K6437" t="s">
        <v>15</v>
      </c>
    </row>
    <row r="6438" spans="2:11" ht="41.25" x14ac:dyDescent="0.2">
      <c r="B6438" s="33" t="s">
        <v>7445</v>
      </c>
      <c r="C6438" s="33" t="s">
        <v>662</v>
      </c>
      <c r="D6438" s="35">
        <f>SUMIFS(D6439:D9015,K6439:K9015,"0",B6439:B9015,"5 1 2 5 5 12 31111 6 M59 96200 000132 0000R 00001 00255 015 2112000 2024 CP1AL423*")-SUMIFS(E6439:E9015,K6439:K9015,"0",B6439:B9015,"5 1 2 5 5 12 31111 6 M59 96200 000132 0000R 00001 00255 015 2112000 2024 CP1AL423*")</f>
        <v>0</v>
      </c>
      <c r="E6438"/>
      <c r="F6438" s="35">
        <f>SUMIFS(F6439:F9015,K6439:K9015,"0",B6439:B9015,"5 1 2 5 5 12 31111 6 M59 96200 000132 0000R 00001 00255 015 2112000 2024 CP1AL423*")</f>
        <v>66</v>
      </c>
      <c r="G6438" s="35">
        <f>SUMIFS(G6439:G9015,K6439:K9015,"0",B6439:B9015,"5 1 2 5 5 12 31111 6 M59 96200 000132 0000R 00001 00255 015 2112000 2024 CP1AL423*")</f>
        <v>0</v>
      </c>
      <c r="H6438" s="35">
        <f t="shared" si="101"/>
        <v>66</v>
      </c>
      <c r="I6438" s="35"/>
      <c r="K6438" t="s">
        <v>15</v>
      </c>
    </row>
    <row r="6439" spans="2:11" ht="41.25" x14ac:dyDescent="0.2">
      <c r="B6439" s="33" t="s">
        <v>7446</v>
      </c>
      <c r="C6439" s="33" t="s">
        <v>282</v>
      </c>
      <c r="D6439" s="35">
        <f>SUMIFS(D6440:D9015,K6440:K9015,"0",B6440:B9015,"5 1 2 5 5 12 31111 6 M59 96200 000132 0000R 00001 00255 015 2112000 2024 CP1AL423 001*")-SUMIFS(E6440:E9015,K6440:K9015,"0",B6440:B9015,"5 1 2 5 5 12 31111 6 M59 96200 000132 0000R 00001 00255 015 2112000 2024 CP1AL423 001*")</f>
        <v>0</v>
      </c>
      <c r="E6439"/>
      <c r="F6439" s="35">
        <f>SUMIFS(F6440:F9015,K6440:K9015,"0",B6440:B9015,"5 1 2 5 5 12 31111 6 M59 96200 000132 0000R 00001 00255 015 2112000 2024 CP1AL423 001*")</f>
        <v>66</v>
      </c>
      <c r="G6439" s="35">
        <f>SUMIFS(G6440:G9015,K6440:K9015,"0",B6440:B9015,"5 1 2 5 5 12 31111 6 M59 96200 000132 0000R 00001 00255 015 2112000 2024 CP1AL423 001*")</f>
        <v>0</v>
      </c>
      <c r="H6439" s="35">
        <f t="shared" si="101"/>
        <v>66</v>
      </c>
      <c r="I6439" s="35"/>
      <c r="K6439" t="s">
        <v>15</v>
      </c>
    </row>
    <row r="6440" spans="2:11" ht="41.25" x14ac:dyDescent="0.2">
      <c r="B6440" s="31" t="s">
        <v>7447</v>
      </c>
      <c r="C6440" s="31" t="s">
        <v>7441</v>
      </c>
      <c r="D6440" s="34">
        <v>0</v>
      </c>
      <c r="E6440" s="34"/>
      <c r="F6440" s="34">
        <v>66</v>
      </c>
      <c r="G6440" s="34">
        <v>0</v>
      </c>
      <c r="H6440" s="34">
        <f t="shared" si="101"/>
        <v>66</v>
      </c>
      <c r="I6440" s="34"/>
      <c r="K6440" t="s">
        <v>38</v>
      </c>
    </row>
    <row r="6441" spans="2:11" ht="16.5" x14ac:dyDescent="0.2">
      <c r="B6441" s="33" t="s">
        <v>7448</v>
      </c>
      <c r="C6441" s="33" t="s">
        <v>3754</v>
      </c>
      <c r="D6441" s="35">
        <f>SUMIFS(D6442:D9015,K6442:K9015,"0",B6442:B9015,"5 1 2 5 5 12 31111 6 M59 99000*")-SUMIFS(E6442:E9015,K6442:K9015,"0",B6442:B9015,"5 1 2 5 5 12 31111 6 M59 99000*")</f>
        <v>0</v>
      </c>
      <c r="E6441"/>
      <c r="F6441" s="35">
        <f>SUMIFS(F6442:F9015,K6442:K9015,"0",B6442:B9015,"5 1 2 5 5 12 31111 6 M59 99000*")</f>
        <v>35</v>
      </c>
      <c r="G6441" s="35">
        <f>SUMIFS(G6442:G9015,K6442:K9015,"0",B6442:B9015,"5 1 2 5 5 12 31111 6 M59 99000*")</f>
        <v>0</v>
      </c>
      <c r="H6441" s="35">
        <f t="shared" si="101"/>
        <v>35</v>
      </c>
      <c r="I6441" s="35"/>
      <c r="K6441" t="s">
        <v>15</v>
      </c>
    </row>
    <row r="6442" spans="2:11" ht="16.5" x14ac:dyDescent="0.2">
      <c r="B6442" s="33" t="s">
        <v>7449</v>
      </c>
      <c r="C6442" s="33" t="s">
        <v>648</v>
      </c>
      <c r="D6442" s="35">
        <f>SUMIFS(D6443:D9015,K6443:K9015,"0",B6443:B9015,"5 1 2 5 5 12 31111 6 M59 99000 000132*")-SUMIFS(E6443:E9015,K6443:K9015,"0",B6443:B9015,"5 1 2 5 5 12 31111 6 M59 99000 000132*")</f>
        <v>0</v>
      </c>
      <c r="E6442"/>
      <c r="F6442" s="35">
        <f>SUMIFS(F6443:F9015,K6443:K9015,"0",B6443:B9015,"5 1 2 5 5 12 31111 6 M59 99000 000132*")</f>
        <v>35</v>
      </c>
      <c r="G6442" s="35">
        <f>SUMIFS(G6443:G9015,K6443:K9015,"0",B6443:B9015,"5 1 2 5 5 12 31111 6 M59 99000 000132*")</f>
        <v>0</v>
      </c>
      <c r="H6442" s="35">
        <f t="shared" si="101"/>
        <v>35</v>
      </c>
      <c r="I6442" s="35"/>
      <c r="K6442" t="s">
        <v>15</v>
      </c>
    </row>
    <row r="6443" spans="2:11" ht="24.75" x14ac:dyDescent="0.2">
      <c r="B6443" s="33" t="s">
        <v>7450</v>
      </c>
      <c r="C6443" s="33" t="s">
        <v>650</v>
      </c>
      <c r="D6443" s="35">
        <f>SUMIFS(D6444:D9015,K6444:K9015,"0",B6444:B9015,"5 1 2 5 5 12 31111 6 M59 99000 000132 0000R*")-SUMIFS(E6444:E9015,K6444:K9015,"0",B6444:B9015,"5 1 2 5 5 12 31111 6 M59 99000 000132 0000R*")</f>
        <v>0</v>
      </c>
      <c r="E6443"/>
      <c r="F6443" s="35">
        <f>SUMIFS(F6444:F9015,K6444:K9015,"0",B6444:B9015,"5 1 2 5 5 12 31111 6 M59 99000 000132 0000R*")</f>
        <v>35</v>
      </c>
      <c r="G6443" s="35">
        <f>SUMIFS(G6444:G9015,K6444:K9015,"0",B6444:B9015,"5 1 2 5 5 12 31111 6 M59 99000 000132 0000R*")</f>
        <v>0</v>
      </c>
      <c r="H6443" s="35">
        <f t="shared" si="101"/>
        <v>35</v>
      </c>
      <c r="I6443" s="35"/>
      <c r="K6443" t="s">
        <v>15</v>
      </c>
    </row>
    <row r="6444" spans="2:11" ht="24.75" x14ac:dyDescent="0.2">
      <c r="B6444" s="33" t="s">
        <v>7451</v>
      </c>
      <c r="C6444" s="33" t="s">
        <v>282</v>
      </c>
      <c r="D6444" s="35">
        <f>SUMIFS(D6445:D9015,K6445:K9015,"0",B6445:B9015,"5 1 2 5 5 12 31111 6 M59 99000 000132 0000R 00001*")-SUMIFS(E6445:E9015,K6445:K9015,"0",B6445:B9015,"5 1 2 5 5 12 31111 6 M59 99000 000132 0000R 00001*")</f>
        <v>0</v>
      </c>
      <c r="E6444"/>
      <c r="F6444" s="35">
        <f>SUMIFS(F6445:F9015,K6445:K9015,"0",B6445:B9015,"5 1 2 5 5 12 31111 6 M59 99000 000132 0000R 00001*")</f>
        <v>35</v>
      </c>
      <c r="G6444" s="35">
        <f>SUMIFS(G6445:G9015,K6445:K9015,"0",B6445:B9015,"5 1 2 5 5 12 31111 6 M59 99000 000132 0000R 00001*")</f>
        <v>0</v>
      </c>
      <c r="H6444" s="35">
        <f t="shared" si="101"/>
        <v>35</v>
      </c>
      <c r="I6444" s="35"/>
      <c r="K6444" t="s">
        <v>15</v>
      </c>
    </row>
    <row r="6445" spans="2:11" ht="24.75" x14ac:dyDescent="0.2">
      <c r="B6445" s="33" t="s">
        <v>7452</v>
      </c>
      <c r="C6445" s="33" t="s">
        <v>7441</v>
      </c>
      <c r="D6445" s="35">
        <f>SUMIFS(D6446:D9015,K6446:K9015,"0",B6446:B9015,"5 1 2 5 5 12 31111 6 M59 99000 000132 0000R 00001 00255*")-SUMIFS(E6446:E9015,K6446:K9015,"0",B6446:B9015,"5 1 2 5 5 12 31111 6 M59 99000 000132 0000R 00001 00255*")</f>
        <v>0</v>
      </c>
      <c r="E6445"/>
      <c r="F6445" s="35">
        <f>SUMIFS(F6446:F9015,K6446:K9015,"0",B6446:B9015,"5 1 2 5 5 12 31111 6 M59 99000 000132 0000R 00001 00255*")</f>
        <v>35</v>
      </c>
      <c r="G6445" s="35">
        <f>SUMIFS(G6446:G9015,K6446:K9015,"0",B6446:B9015,"5 1 2 5 5 12 31111 6 M59 99000 000132 0000R 00001 00255*")</f>
        <v>0</v>
      </c>
      <c r="H6445" s="35">
        <f t="shared" si="101"/>
        <v>35</v>
      </c>
      <c r="I6445" s="35"/>
      <c r="K6445" t="s">
        <v>15</v>
      </c>
    </row>
    <row r="6446" spans="2:11" ht="33" x14ac:dyDescent="0.2">
      <c r="B6446" s="33" t="s">
        <v>7453</v>
      </c>
      <c r="C6446" s="33" t="s">
        <v>1051</v>
      </c>
      <c r="D6446" s="35">
        <f>SUMIFS(D6447:D9015,K6447:K9015,"0",B6447:B9015,"5 1 2 5 5 12 31111 6 M59 99000 000132 0000R 00001 00255 015*")-SUMIFS(E6447:E9015,K6447:K9015,"0",B6447:B9015,"5 1 2 5 5 12 31111 6 M59 99000 000132 0000R 00001 00255 015*")</f>
        <v>0</v>
      </c>
      <c r="E6446"/>
      <c r="F6446" s="35">
        <f>SUMIFS(F6447:F9015,K6447:K9015,"0",B6447:B9015,"5 1 2 5 5 12 31111 6 M59 99000 000132 0000R 00001 00255 015*")</f>
        <v>35</v>
      </c>
      <c r="G6446" s="35">
        <f>SUMIFS(G6447:G9015,K6447:K9015,"0",B6447:B9015,"5 1 2 5 5 12 31111 6 M59 99000 000132 0000R 00001 00255 015*")</f>
        <v>0</v>
      </c>
      <c r="H6446" s="35">
        <f t="shared" si="101"/>
        <v>35</v>
      </c>
      <c r="I6446" s="35"/>
      <c r="K6446" t="s">
        <v>15</v>
      </c>
    </row>
    <row r="6447" spans="2:11" ht="33" x14ac:dyDescent="0.2">
      <c r="B6447" s="33" t="s">
        <v>7454</v>
      </c>
      <c r="C6447" s="33" t="s">
        <v>5830</v>
      </c>
      <c r="D6447" s="35">
        <f>SUMIFS(D6448:D9015,K6448:K9015,"0",B6448:B9015,"5 1 2 5 5 12 31111 6 M59 99000 000132 0000R 00001 00255 015 2112000*")-SUMIFS(E6448:E9015,K6448:K9015,"0",B6448:B9015,"5 1 2 5 5 12 31111 6 M59 99000 000132 0000R 00001 00255 015 2112000*")</f>
        <v>0</v>
      </c>
      <c r="E6447"/>
      <c r="F6447" s="35">
        <f>SUMIFS(F6448:F9015,K6448:K9015,"0",B6448:B9015,"5 1 2 5 5 12 31111 6 M59 99000 000132 0000R 00001 00255 015 2112000*")</f>
        <v>35</v>
      </c>
      <c r="G6447" s="35">
        <f>SUMIFS(G6448:G9015,K6448:K9015,"0",B6448:B9015,"5 1 2 5 5 12 31111 6 M59 99000 000132 0000R 00001 00255 015 2112000*")</f>
        <v>0</v>
      </c>
      <c r="H6447" s="35">
        <f t="shared" si="101"/>
        <v>35</v>
      </c>
      <c r="I6447" s="35"/>
      <c r="K6447" t="s">
        <v>15</v>
      </c>
    </row>
    <row r="6448" spans="2:11" ht="33" x14ac:dyDescent="0.2">
      <c r="B6448" s="33" t="s">
        <v>7455</v>
      </c>
      <c r="C6448" s="33" t="s">
        <v>660</v>
      </c>
      <c r="D6448" s="35">
        <f>SUMIFS(D6449:D9015,K6449:K9015,"0",B6449:B9015,"5 1 2 5 5 12 31111 6 M59 99000 000132 0000R 00001 00255 015 2112000 2024*")-SUMIFS(E6449:E9015,K6449:K9015,"0",B6449:B9015,"5 1 2 5 5 12 31111 6 M59 99000 000132 0000R 00001 00255 015 2112000 2024*")</f>
        <v>0</v>
      </c>
      <c r="E6448"/>
      <c r="F6448" s="35">
        <f>SUMIFS(F6449:F9015,K6449:K9015,"0",B6449:B9015,"5 1 2 5 5 12 31111 6 M59 99000 000132 0000R 00001 00255 015 2112000 2024*")</f>
        <v>35</v>
      </c>
      <c r="G6448" s="35">
        <f>SUMIFS(G6449:G9015,K6449:K9015,"0",B6449:B9015,"5 1 2 5 5 12 31111 6 M59 99000 000132 0000R 00001 00255 015 2112000 2024*")</f>
        <v>0</v>
      </c>
      <c r="H6448" s="35">
        <f t="shared" si="101"/>
        <v>35</v>
      </c>
      <c r="I6448" s="35"/>
      <c r="K6448" t="s">
        <v>15</v>
      </c>
    </row>
    <row r="6449" spans="2:11" ht="41.25" x14ac:dyDescent="0.2">
      <c r="B6449" s="33" t="s">
        <v>7456</v>
      </c>
      <c r="C6449" s="33" t="s">
        <v>1056</v>
      </c>
      <c r="D6449" s="35">
        <f>SUMIFS(D6450:D9015,K6450:K9015,"0",B6450:B9015,"5 1 2 5 5 12 31111 6 M59 99000 000132 0000R 00001 00255 015 2112000 2024 CP1MG408*")-SUMIFS(E6450:E9015,K6450:K9015,"0",B6450:B9015,"5 1 2 5 5 12 31111 6 M59 99000 000132 0000R 00001 00255 015 2112000 2024 CP1MG408*")</f>
        <v>0</v>
      </c>
      <c r="E6449"/>
      <c r="F6449" s="35">
        <f>SUMIFS(F6450:F9015,K6450:K9015,"0",B6450:B9015,"5 1 2 5 5 12 31111 6 M59 99000 000132 0000R 00001 00255 015 2112000 2024 CP1MG408*")</f>
        <v>35</v>
      </c>
      <c r="G6449" s="35">
        <f>SUMIFS(G6450:G9015,K6450:K9015,"0",B6450:B9015,"5 1 2 5 5 12 31111 6 M59 99000 000132 0000R 00001 00255 015 2112000 2024 CP1MG408*")</f>
        <v>0</v>
      </c>
      <c r="H6449" s="35">
        <f t="shared" si="101"/>
        <v>35</v>
      </c>
      <c r="I6449" s="35"/>
      <c r="K6449" t="s">
        <v>15</v>
      </c>
    </row>
    <row r="6450" spans="2:11" ht="41.25" x14ac:dyDescent="0.2">
      <c r="B6450" s="33" t="s">
        <v>7457</v>
      </c>
      <c r="C6450" s="33" t="s">
        <v>282</v>
      </c>
      <c r="D6450" s="35">
        <f>SUMIFS(D6451:D9015,K6451:K9015,"0",B6451:B9015,"5 1 2 5 5 12 31111 6 M59 99000 000132 0000R 00001 00255 015 2112000 2024 CP1MG408 001*")-SUMIFS(E6451:E9015,K6451:K9015,"0",B6451:B9015,"5 1 2 5 5 12 31111 6 M59 99000 000132 0000R 00001 00255 015 2112000 2024 CP1MG408 001*")</f>
        <v>0</v>
      </c>
      <c r="E6450"/>
      <c r="F6450" s="35">
        <f>SUMIFS(F6451:F9015,K6451:K9015,"0",B6451:B9015,"5 1 2 5 5 12 31111 6 M59 99000 000132 0000R 00001 00255 015 2112000 2024 CP1MG408 001*")</f>
        <v>35</v>
      </c>
      <c r="G6450" s="35">
        <f>SUMIFS(G6451:G9015,K6451:K9015,"0",B6451:B9015,"5 1 2 5 5 12 31111 6 M59 99000 000132 0000R 00001 00255 015 2112000 2024 CP1MG408 001*")</f>
        <v>0</v>
      </c>
      <c r="H6450" s="35">
        <f t="shared" si="101"/>
        <v>35</v>
      </c>
      <c r="I6450" s="35"/>
      <c r="K6450" t="s">
        <v>15</v>
      </c>
    </row>
    <row r="6451" spans="2:11" ht="41.25" x14ac:dyDescent="0.2">
      <c r="B6451" s="31" t="s">
        <v>7458</v>
      </c>
      <c r="C6451" s="31" t="s">
        <v>7431</v>
      </c>
      <c r="D6451" s="34">
        <v>0</v>
      </c>
      <c r="E6451" s="34"/>
      <c r="F6451" s="34">
        <v>35</v>
      </c>
      <c r="G6451" s="34">
        <v>0</v>
      </c>
      <c r="H6451" s="34">
        <f t="shared" si="101"/>
        <v>35</v>
      </c>
      <c r="I6451" s="34"/>
      <c r="K6451" t="s">
        <v>38</v>
      </c>
    </row>
    <row r="6452" spans="2:11" ht="16.5" x14ac:dyDescent="0.2">
      <c r="B6452" s="33" t="s">
        <v>7459</v>
      </c>
      <c r="C6452" s="33" t="s">
        <v>7460</v>
      </c>
      <c r="D6452" s="35">
        <f>SUMIFS(D6453:D9015,K6453:K9015,"0",B6453:B9015,"5 1 2 5 6*")-SUMIFS(E6453:E9015,K6453:K9015,"0",B6453:B9015,"5 1 2 5 6*")</f>
        <v>0</v>
      </c>
      <c r="E6452"/>
      <c r="F6452" s="35">
        <f>SUMIFS(F6453:F9015,K6453:K9015,"0",B6453:B9015,"5 1 2 5 6*")</f>
        <v>5371.07</v>
      </c>
      <c r="G6452" s="35">
        <f>SUMIFS(G6453:G9015,K6453:K9015,"0",B6453:B9015,"5 1 2 5 6*")</f>
        <v>0</v>
      </c>
      <c r="H6452" s="35">
        <f t="shared" si="101"/>
        <v>5371.07</v>
      </c>
      <c r="I6452" s="35"/>
      <c r="K6452" t="s">
        <v>15</v>
      </c>
    </row>
    <row r="6453" spans="2:11" ht="12.75" x14ac:dyDescent="0.2">
      <c r="B6453" s="33" t="s">
        <v>7461</v>
      </c>
      <c r="C6453" s="33" t="s">
        <v>26</v>
      </c>
      <c r="D6453" s="35">
        <f>SUMIFS(D6454:D9015,K6454:K9015,"0",B6454:B9015,"5 1 2 5 6 12*")-SUMIFS(E6454:E9015,K6454:K9015,"0",B6454:B9015,"5 1 2 5 6 12*")</f>
        <v>0</v>
      </c>
      <c r="E6453"/>
      <c r="F6453" s="35">
        <f>SUMIFS(F6454:F9015,K6454:K9015,"0",B6454:B9015,"5 1 2 5 6 12*")</f>
        <v>5371.07</v>
      </c>
      <c r="G6453" s="35">
        <f>SUMIFS(G6454:G9015,K6454:K9015,"0",B6454:B9015,"5 1 2 5 6 12*")</f>
        <v>0</v>
      </c>
      <c r="H6453" s="35">
        <f t="shared" si="101"/>
        <v>5371.07</v>
      </c>
      <c r="I6453" s="35"/>
      <c r="K6453" t="s">
        <v>15</v>
      </c>
    </row>
    <row r="6454" spans="2:11" ht="16.5" x14ac:dyDescent="0.2">
      <c r="B6454" s="33" t="s">
        <v>7462</v>
      </c>
      <c r="C6454" s="33" t="s">
        <v>28</v>
      </c>
      <c r="D6454" s="35">
        <f>SUMIFS(D6455:D9015,K6455:K9015,"0",B6455:B9015,"5 1 2 5 6 12 31111*")-SUMIFS(E6455:E9015,K6455:K9015,"0",B6455:B9015,"5 1 2 5 6 12 31111*")</f>
        <v>0</v>
      </c>
      <c r="E6454"/>
      <c r="F6454" s="35">
        <f>SUMIFS(F6455:F9015,K6455:K9015,"0",B6455:B9015,"5 1 2 5 6 12 31111*")</f>
        <v>5371.07</v>
      </c>
      <c r="G6454" s="35">
        <f>SUMIFS(G6455:G9015,K6455:K9015,"0",B6455:B9015,"5 1 2 5 6 12 31111*")</f>
        <v>0</v>
      </c>
      <c r="H6454" s="35">
        <f t="shared" si="101"/>
        <v>5371.07</v>
      </c>
      <c r="I6454" s="35"/>
      <c r="K6454" t="s">
        <v>15</v>
      </c>
    </row>
    <row r="6455" spans="2:11" ht="12.75" x14ac:dyDescent="0.2">
      <c r="B6455" s="33" t="s">
        <v>7463</v>
      </c>
      <c r="C6455" s="33" t="s">
        <v>30</v>
      </c>
      <c r="D6455" s="35">
        <f>SUMIFS(D6456:D9015,K6456:K9015,"0",B6456:B9015,"5 1 2 5 6 12 31111 6*")-SUMIFS(E6456:E9015,K6456:K9015,"0",B6456:B9015,"5 1 2 5 6 12 31111 6*")</f>
        <v>0</v>
      </c>
      <c r="E6455"/>
      <c r="F6455" s="35">
        <f>SUMIFS(F6456:F9015,K6456:K9015,"0",B6456:B9015,"5 1 2 5 6 12 31111 6*")</f>
        <v>5371.07</v>
      </c>
      <c r="G6455" s="35">
        <f>SUMIFS(G6456:G9015,K6456:K9015,"0",B6456:B9015,"5 1 2 5 6 12 31111 6*")</f>
        <v>0</v>
      </c>
      <c r="H6455" s="35">
        <f t="shared" si="101"/>
        <v>5371.07</v>
      </c>
      <c r="I6455" s="35"/>
      <c r="K6455" t="s">
        <v>15</v>
      </c>
    </row>
    <row r="6456" spans="2:11" ht="16.5" x14ac:dyDescent="0.2">
      <c r="B6456" s="33" t="s">
        <v>7464</v>
      </c>
      <c r="C6456" s="33" t="s">
        <v>2284</v>
      </c>
      <c r="D6456" s="35">
        <f>SUMIFS(D6457:D9015,K6457:K9015,"0",B6457:B9015,"5 1 2 5 6 12 31111 6 M59*")-SUMIFS(E6457:E9015,K6457:K9015,"0",B6457:B9015,"5 1 2 5 6 12 31111 6 M59*")</f>
        <v>0</v>
      </c>
      <c r="E6456"/>
      <c r="F6456" s="35">
        <f>SUMIFS(F6457:F9015,K6457:K9015,"0",B6457:B9015,"5 1 2 5 6 12 31111 6 M59*")</f>
        <v>5371.07</v>
      </c>
      <c r="G6456" s="35">
        <f>SUMIFS(G6457:G9015,K6457:K9015,"0",B6457:B9015,"5 1 2 5 6 12 31111 6 M59*")</f>
        <v>0</v>
      </c>
      <c r="H6456" s="35">
        <f t="shared" si="101"/>
        <v>5371.07</v>
      </c>
      <c r="I6456" s="35"/>
      <c r="K6456" t="s">
        <v>15</v>
      </c>
    </row>
    <row r="6457" spans="2:11" ht="16.5" x14ac:dyDescent="0.2">
      <c r="B6457" s="33" t="s">
        <v>7465</v>
      </c>
      <c r="C6457" s="33" t="s">
        <v>1044</v>
      </c>
      <c r="D6457" s="35">
        <f>SUMIFS(D6458:D9015,K6458:K9015,"0",B6458:B9015,"5 1 2 5 6 12 31111 6 M59 19000*")-SUMIFS(E6458:E9015,K6458:K9015,"0",B6458:B9015,"5 1 2 5 6 12 31111 6 M59 19000*")</f>
        <v>0</v>
      </c>
      <c r="E6457"/>
      <c r="F6457" s="35">
        <f>SUMIFS(F6458:F9015,K6458:K9015,"0",B6458:B9015,"5 1 2 5 6 12 31111 6 M59 19000*")</f>
        <v>1314.16</v>
      </c>
      <c r="G6457" s="35">
        <f>SUMIFS(G6458:G9015,K6458:K9015,"0",B6458:B9015,"5 1 2 5 6 12 31111 6 M59 19000*")</f>
        <v>0</v>
      </c>
      <c r="H6457" s="35">
        <f t="shared" si="101"/>
        <v>1314.16</v>
      </c>
      <c r="I6457" s="35"/>
      <c r="K6457" t="s">
        <v>15</v>
      </c>
    </row>
    <row r="6458" spans="2:11" ht="16.5" x14ac:dyDescent="0.2">
      <c r="B6458" s="33" t="s">
        <v>7466</v>
      </c>
      <c r="C6458" s="33" t="s">
        <v>648</v>
      </c>
      <c r="D6458" s="35">
        <f>SUMIFS(D6459:D9015,K6459:K9015,"0",B6459:B9015,"5 1 2 5 6 12 31111 6 M59 19000 000132*")-SUMIFS(E6459:E9015,K6459:K9015,"0",B6459:B9015,"5 1 2 5 6 12 31111 6 M59 19000 000132*")</f>
        <v>0</v>
      </c>
      <c r="E6458"/>
      <c r="F6458" s="35">
        <f>SUMIFS(F6459:F9015,K6459:K9015,"0",B6459:B9015,"5 1 2 5 6 12 31111 6 M59 19000 000132*")</f>
        <v>1314.16</v>
      </c>
      <c r="G6458" s="35">
        <f>SUMIFS(G6459:G9015,K6459:K9015,"0",B6459:B9015,"5 1 2 5 6 12 31111 6 M59 19000 000132*")</f>
        <v>0</v>
      </c>
      <c r="H6458" s="35">
        <f t="shared" si="101"/>
        <v>1314.16</v>
      </c>
      <c r="I6458" s="35"/>
      <c r="K6458" t="s">
        <v>15</v>
      </c>
    </row>
    <row r="6459" spans="2:11" ht="24.75" x14ac:dyDescent="0.2">
      <c r="B6459" s="33" t="s">
        <v>7467</v>
      </c>
      <c r="C6459" s="33" t="s">
        <v>650</v>
      </c>
      <c r="D6459" s="35">
        <f>SUMIFS(D6460:D9015,K6460:K9015,"0",B6460:B9015,"5 1 2 5 6 12 31111 6 M59 19000 000132 0000R*")-SUMIFS(E6460:E9015,K6460:K9015,"0",B6460:B9015,"5 1 2 5 6 12 31111 6 M59 19000 000132 0000R*")</f>
        <v>0</v>
      </c>
      <c r="E6459"/>
      <c r="F6459" s="35">
        <f>SUMIFS(F6460:F9015,K6460:K9015,"0",B6460:B9015,"5 1 2 5 6 12 31111 6 M59 19000 000132 0000R*")</f>
        <v>1314.16</v>
      </c>
      <c r="G6459" s="35">
        <f>SUMIFS(G6460:G9015,K6460:K9015,"0",B6460:B9015,"5 1 2 5 6 12 31111 6 M59 19000 000132 0000R*")</f>
        <v>0</v>
      </c>
      <c r="H6459" s="35">
        <f t="shared" si="101"/>
        <v>1314.16</v>
      </c>
      <c r="I6459" s="35"/>
      <c r="K6459" t="s">
        <v>15</v>
      </c>
    </row>
    <row r="6460" spans="2:11" ht="24.75" x14ac:dyDescent="0.2">
      <c r="B6460" s="33" t="s">
        <v>7468</v>
      </c>
      <c r="C6460" s="33" t="s">
        <v>282</v>
      </c>
      <c r="D6460" s="35">
        <f>SUMIFS(D6461:D9015,K6461:K9015,"0",B6461:B9015,"5 1 2 5 6 12 31111 6 M59 19000 000132 0000R 00001*")-SUMIFS(E6461:E9015,K6461:K9015,"0",B6461:B9015,"5 1 2 5 6 12 31111 6 M59 19000 000132 0000R 00001*")</f>
        <v>0</v>
      </c>
      <c r="E6460"/>
      <c r="F6460" s="35">
        <f>SUMIFS(F6461:F9015,K6461:K9015,"0",B6461:B9015,"5 1 2 5 6 12 31111 6 M59 19000 000132 0000R 00001*")</f>
        <v>1314.16</v>
      </c>
      <c r="G6460" s="35">
        <f>SUMIFS(G6461:G9015,K6461:K9015,"0",B6461:B9015,"5 1 2 5 6 12 31111 6 M59 19000 000132 0000R 00001*")</f>
        <v>0</v>
      </c>
      <c r="H6460" s="35">
        <f t="shared" si="101"/>
        <v>1314.16</v>
      </c>
      <c r="I6460" s="35"/>
      <c r="K6460" t="s">
        <v>15</v>
      </c>
    </row>
    <row r="6461" spans="2:11" ht="24.75" x14ac:dyDescent="0.2">
      <c r="B6461" s="33" t="s">
        <v>7469</v>
      </c>
      <c r="C6461" s="33" t="s">
        <v>7470</v>
      </c>
      <c r="D6461" s="35">
        <f>SUMIFS(D6462:D9015,K6462:K9015,"0",B6462:B9015,"5 1 2 5 6 12 31111 6 M59 19000 000132 0000R 00001 00256*")-SUMIFS(E6462:E9015,K6462:K9015,"0",B6462:B9015,"5 1 2 5 6 12 31111 6 M59 19000 000132 0000R 00001 00256*")</f>
        <v>0</v>
      </c>
      <c r="E6461"/>
      <c r="F6461" s="35">
        <f>SUMIFS(F6462:F9015,K6462:K9015,"0",B6462:B9015,"5 1 2 5 6 12 31111 6 M59 19000 000132 0000R 00001 00256*")</f>
        <v>1314.16</v>
      </c>
      <c r="G6461" s="35">
        <f>SUMIFS(G6462:G9015,K6462:K9015,"0",B6462:B9015,"5 1 2 5 6 12 31111 6 M59 19000 000132 0000R 00001 00256*")</f>
        <v>0</v>
      </c>
      <c r="H6461" s="35">
        <f t="shared" si="101"/>
        <v>1314.16</v>
      </c>
      <c r="I6461" s="35"/>
      <c r="K6461" t="s">
        <v>15</v>
      </c>
    </row>
    <row r="6462" spans="2:11" ht="33" x14ac:dyDescent="0.2">
      <c r="B6462" s="33" t="s">
        <v>7471</v>
      </c>
      <c r="C6462" s="33" t="s">
        <v>1051</v>
      </c>
      <c r="D6462" s="35">
        <f>SUMIFS(D6463:D9015,K6463:K9015,"0",B6463:B9015,"5 1 2 5 6 12 31111 6 M59 19000 000132 0000R 00001 00256 015*")-SUMIFS(E6463:E9015,K6463:K9015,"0",B6463:B9015,"5 1 2 5 6 12 31111 6 M59 19000 000132 0000R 00001 00256 015*")</f>
        <v>0</v>
      </c>
      <c r="E6462"/>
      <c r="F6462" s="35">
        <f>SUMIFS(F6463:F9015,K6463:K9015,"0",B6463:B9015,"5 1 2 5 6 12 31111 6 M59 19000 000132 0000R 00001 00256 015*")</f>
        <v>1314.16</v>
      </c>
      <c r="G6462" s="35">
        <f>SUMIFS(G6463:G9015,K6463:K9015,"0",B6463:B9015,"5 1 2 5 6 12 31111 6 M59 19000 000132 0000R 00001 00256 015*")</f>
        <v>0</v>
      </c>
      <c r="H6462" s="35">
        <f t="shared" si="101"/>
        <v>1314.16</v>
      </c>
      <c r="I6462" s="35"/>
      <c r="K6462" t="s">
        <v>15</v>
      </c>
    </row>
    <row r="6463" spans="2:11" ht="33" x14ac:dyDescent="0.2">
      <c r="B6463" s="33" t="s">
        <v>7472</v>
      </c>
      <c r="C6463" s="33" t="s">
        <v>5830</v>
      </c>
      <c r="D6463" s="35">
        <f>SUMIFS(D6464:D9015,K6464:K9015,"0",B6464:B9015,"5 1 2 5 6 12 31111 6 M59 19000 000132 0000R 00001 00256 015 2112000*")-SUMIFS(E6464:E9015,K6464:K9015,"0",B6464:B9015,"5 1 2 5 6 12 31111 6 M59 19000 000132 0000R 00001 00256 015 2112000*")</f>
        <v>0</v>
      </c>
      <c r="E6463"/>
      <c r="F6463" s="35">
        <f>SUMIFS(F6464:F9015,K6464:K9015,"0",B6464:B9015,"5 1 2 5 6 12 31111 6 M59 19000 000132 0000R 00001 00256 015 2112000*")</f>
        <v>1314.16</v>
      </c>
      <c r="G6463" s="35">
        <f>SUMIFS(G6464:G9015,K6464:K9015,"0",B6464:B9015,"5 1 2 5 6 12 31111 6 M59 19000 000132 0000R 00001 00256 015 2112000*")</f>
        <v>0</v>
      </c>
      <c r="H6463" s="35">
        <f t="shared" si="101"/>
        <v>1314.16</v>
      </c>
      <c r="I6463" s="35"/>
      <c r="K6463" t="s">
        <v>15</v>
      </c>
    </row>
    <row r="6464" spans="2:11" ht="33" x14ac:dyDescent="0.2">
      <c r="B6464" s="33" t="s">
        <v>7473</v>
      </c>
      <c r="C6464" s="33" t="s">
        <v>660</v>
      </c>
      <c r="D6464" s="35">
        <f>SUMIFS(D6465:D9015,K6465:K9015,"0",B6465:B9015,"5 1 2 5 6 12 31111 6 M59 19000 000132 0000R 00001 00256 015 2112000 2024*")-SUMIFS(E6465:E9015,K6465:K9015,"0",B6465:B9015,"5 1 2 5 6 12 31111 6 M59 19000 000132 0000R 00001 00256 015 2112000 2024*")</f>
        <v>0</v>
      </c>
      <c r="E6464"/>
      <c r="F6464" s="35">
        <f>SUMIFS(F6465:F9015,K6465:K9015,"0",B6465:B9015,"5 1 2 5 6 12 31111 6 M59 19000 000132 0000R 00001 00256 015 2112000 2024*")</f>
        <v>1314.16</v>
      </c>
      <c r="G6464" s="35">
        <f>SUMIFS(G6465:G9015,K6465:K9015,"0",B6465:B9015,"5 1 2 5 6 12 31111 6 M59 19000 000132 0000R 00001 00256 015 2112000 2024*")</f>
        <v>0</v>
      </c>
      <c r="H6464" s="35">
        <f t="shared" si="101"/>
        <v>1314.16</v>
      </c>
      <c r="I6464" s="35"/>
      <c r="K6464" t="s">
        <v>15</v>
      </c>
    </row>
    <row r="6465" spans="2:11" ht="41.25" x14ac:dyDescent="0.2">
      <c r="B6465" s="33" t="s">
        <v>7474</v>
      </c>
      <c r="C6465" s="33" t="s">
        <v>662</v>
      </c>
      <c r="D6465" s="35">
        <f>SUMIFS(D6466:D9015,K6466:K9015,"0",B6466:B9015,"5 1 2 5 6 12 31111 6 M59 19000 000132 0000R 00001 00256 015 2112000 2024 CP1TM440*")-SUMIFS(E6466:E9015,K6466:K9015,"0",B6466:B9015,"5 1 2 5 6 12 31111 6 M59 19000 000132 0000R 00001 00256 015 2112000 2024 CP1TM440*")</f>
        <v>0</v>
      </c>
      <c r="E6465"/>
      <c r="F6465" s="35">
        <f>SUMIFS(F6466:F9015,K6466:K9015,"0",B6466:B9015,"5 1 2 5 6 12 31111 6 M59 19000 000132 0000R 00001 00256 015 2112000 2024 CP1TM440*")</f>
        <v>1314.16</v>
      </c>
      <c r="G6465" s="35">
        <f>SUMIFS(G6466:G9015,K6466:K9015,"0",B6466:B9015,"5 1 2 5 6 12 31111 6 M59 19000 000132 0000R 00001 00256 015 2112000 2024 CP1TM440*")</f>
        <v>0</v>
      </c>
      <c r="H6465" s="35">
        <f t="shared" si="101"/>
        <v>1314.16</v>
      </c>
      <c r="I6465" s="35"/>
      <c r="K6465" t="s">
        <v>15</v>
      </c>
    </row>
    <row r="6466" spans="2:11" ht="41.25" x14ac:dyDescent="0.2">
      <c r="B6466" s="33" t="s">
        <v>7475</v>
      </c>
      <c r="C6466" s="33" t="s">
        <v>282</v>
      </c>
      <c r="D6466" s="35">
        <f>SUMIFS(D6467:D9015,K6467:K9015,"0",B6467:B9015,"5 1 2 5 6 12 31111 6 M59 19000 000132 0000R 00001 00256 015 2112000 2024 CP1TM440 001*")-SUMIFS(E6467:E9015,K6467:K9015,"0",B6467:B9015,"5 1 2 5 6 12 31111 6 M59 19000 000132 0000R 00001 00256 015 2112000 2024 CP1TM440 001*")</f>
        <v>0</v>
      </c>
      <c r="E6466"/>
      <c r="F6466" s="35">
        <f>SUMIFS(F6467:F9015,K6467:K9015,"0",B6467:B9015,"5 1 2 5 6 12 31111 6 M59 19000 000132 0000R 00001 00256 015 2112000 2024 CP1TM440 001*")</f>
        <v>1314.16</v>
      </c>
      <c r="G6466" s="35">
        <f>SUMIFS(G6467:G9015,K6467:K9015,"0",B6467:B9015,"5 1 2 5 6 12 31111 6 M59 19000 000132 0000R 00001 00256 015 2112000 2024 CP1TM440 001*")</f>
        <v>0</v>
      </c>
      <c r="H6466" s="35">
        <f t="shared" si="101"/>
        <v>1314.16</v>
      </c>
      <c r="I6466" s="35"/>
      <c r="K6466" t="s">
        <v>15</v>
      </c>
    </row>
    <row r="6467" spans="2:11" ht="33" x14ac:dyDescent="0.2">
      <c r="B6467" s="31" t="s">
        <v>7476</v>
      </c>
      <c r="C6467" s="31" t="s">
        <v>7477</v>
      </c>
      <c r="D6467" s="34">
        <v>0</v>
      </c>
      <c r="E6467" s="34"/>
      <c r="F6467" s="34">
        <v>1314.16</v>
      </c>
      <c r="G6467" s="34">
        <v>0</v>
      </c>
      <c r="H6467" s="34">
        <f t="shared" si="101"/>
        <v>1314.16</v>
      </c>
      <c r="I6467" s="34"/>
      <c r="K6467" t="s">
        <v>38</v>
      </c>
    </row>
    <row r="6468" spans="2:11" ht="16.5" x14ac:dyDescent="0.2">
      <c r="B6468" s="33" t="s">
        <v>7478</v>
      </c>
      <c r="C6468" s="33" t="s">
        <v>1092</v>
      </c>
      <c r="D6468" s="35">
        <f>SUMIFS(D6469:D9015,K6469:K9015,"0",B6469:B9015,"5 1 2 5 6 12 31111 6 M59 40000*")-SUMIFS(E6469:E9015,K6469:K9015,"0",B6469:B9015,"5 1 2 5 6 12 31111 6 M59 40000*")</f>
        <v>0</v>
      </c>
      <c r="E6468"/>
      <c r="F6468" s="35">
        <f>SUMIFS(F6469:F9015,K6469:K9015,"0",B6469:B9015,"5 1 2 5 6 12 31111 6 M59 40000*")</f>
        <v>1044</v>
      </c>
      <c r="G6468" s="35">
        <f>SUMIFS(G6469:G9015,K6469:K9015,"0",B6469:B9015,"5 1 2 5 6 12 31111 6 M59 40000*")</f>
        <v>0</v>
      </c>
      <c r="H6468" s="35">
        <f t="shared" ref="H6468:H6531" si="102">D6468 + F6468 - G6468</f>
        <v>1044</v>
      </c>
      <c r="I6468" s="35"/>
      <c r="K6468" t="s">
        <v>15</v>
      </c>
    </row>
    <row r="6469" spans="2:11" ht="16.5" x14ac:dyDescent="0.2">
      <c r="B6469" s="33" t="s">
        <v>7479</v>
      </c>
      <c r="C6469" s="33" t="s">
        <v>1094</v>
      </c>
      <c r="D6469" s="35">
        <f>SUMIFS(D6470:D9015,K6470:K9015,"0",B6470:B9015,"5 1 2 5 6 12 31111 6 M59 40000 000161*")-SUMIFS(E6470:E9015,K6470:K9015,"0",B6470:B9015,"5 1 2 5 6 12 31111 6 M59 40000 000161*")</f>
        <v>0</v>
      </c>
      <c r="E6469"/>
      <c r="F6469" s="35">
        <f>SUMIFS(F6470:F9015,K6470:K9015,"0",B6470:B9015,"5 1 2 5 6 12 31111 6 M59 40000 000161*")</f>
        <v>1044</v>
      </c>
      <c r="G6469" s="35">
        <f>SUMIFS(G6470:G9015,K6470:K9015,"0",B6470:B9015,"5 1 2 5 6 12 31111 6 M59 40000 000161*")</f>
        <v>0</v>
      </c>
      <c r="H6469" s="35">
        <f t="shared" si="102"/>
        <v>1044</v>
      </c>
      <c r="I6469" s="35"/>
      <c r="K6469" t="s">
        <v>15</v>
      </c>
    </row>
    <row r="6470" spans="2:11" ht="24.75" x14ac:dyDescent="0.2">
      <c r="B6470" s="33" t="s">
        <v>7480</v>
      </c>
      <c r="C6470" s="33" t="s">
        <v>1065</v>
      </c>
      <c r="D6470" s="35">
        <f>SUMIFS(D6471:D9015,K6471:K9015,"0",B6471:B9015,"5 1 2 5 6 12 31111 6 M59 40000 000161 0000E*")-SUMIFS(E6471:E9015,K6471:K9015,"0",B6471:B9015,"5 1 2 5 6 12 31111 6 M59 40000 000161 0000E*")</f>
        <v>0</v>
      </c>
      <c r="E6470"/>
      <c r="F6470" s="35">
        <f>SUMIFS(F6471:F9015,K6471:K9015,"0",B6471:B9015,"5 1 2 5 6 12 31111 6 M59 40000 000161 0000E*")</f>
        <v>1044</v>
      </c>
      <c r="G6470" s="35">
        <f>SUMIFS(G6471:G9015,K6471:K9015,"0",B6471:B9015,"5 1 2 5 6 12 31111 6 M59 40000 000161 0000E*")</f>
        <v>0</v>
      </c>
      <c r="H6470" s="35">
        <f t="shared" si="102"/>
        <v>1044</v>
      </c>
      <c r="I6470" s="35"/>
      <c r="K6470" t="s">
        <v>15</v>
      </c>
    </row>
    <row r="6471" spans="2:11" ht="24.75" x14ac:dyDescent="0.2">
      <c r="B6471" s="33" t="s">
        <v>7481</v>
      </c>
      <c r="C6471" s="33" t="s">
        <v>282</v>
      </c>
      <c r="D6471" s="35">
        <f>SUMIFS(D6472:D9015,K6472:K9015,"0",B6472:B9015,"5 1 2 5 6 12 31111 6 M59 40000 000161 0000E 00001*")-SUMIFS(E6472:E9015,K6472:K9015,"0",B6472:B9015,"5 1 2 5 6 12 31111 6 M59 40000 000161 0000E 00001*")</f>
        <v>0</v>
      </c>
      <c r="E6471"/>
      <c r="F6471" s="35">
        <f>SUMIFS(F6472:F9015,K6472:K9015,"0",B6472:B9015,"5 1 2 5 6 12 31111 6 M59 40000 000161 0000E 00001*")</f>
        <v>1044</v>
      </c>
      <c r="G6471" s="35">
        <f>SUMIFS(G6472:G9015,K6472:K9015,"0",B6472:B9015,"5 1 2 5 6 12 31111 6 M59 40000 000161 0000E 00001*")</f>
        <v>0</v>
      </c>
      <c r="H6471" s="35">
        <f t="shared" si="102"/>
        <v>1044</v>
      </c>
      <c r="I6471" s="35"/>
      <c r="K6471" t="s">
        <v>15</v>
      </c>
    </row>
    <row r="6472" spans="2:11" ht="24.75" x14ac:dyDescent="0.2">
      <c r="B6472" s="33" t="s">
        <v>7482</v>
      </c>
      <c r="C6472" s="33" t="s">
        <v>7470</v>
      </c>
      <c r="D6472" s="35">
        <f>SUMIFS(D6473:D9015,K6473:K9015,"0",B6473:B9015,"5 1 2 5 6 12 31111 6 M59 40000 000161 0000E 00001 00256*")-SUMIFS(E6473:E9015,K6473:K9015,"0",B6473:B9015,"5 1 2 5 6 12 31111 6 M59 40000 000161 0000E 00001 00256*")</f>
        <v>0</v>
      </c>
      <c r="E6472"/>
      <c r="F6472" s="35">
        <f>SUMIFS(F6473:F9015,K6473:K9015,"0",B6473:B9015,"5 1 2 5 6 12 31111 6 M59 40000 000161 0000E 00001 00256*")</f>
        <v>1044</v>
      </c>
      <c r="G6472" s="35">
        <f>SUMIFS(G6473:G9015,K6473:K9015,"0",B6473:B9015,"5 1 2 5 6 12 31111 6 M59 40000 000161 0000E 00001 00256*")</f>
        <v>0</v>
      </c>
      <c r="H6472" s="35">
        <f t="shared" si="102"/>
        <v>1044</v>
      </c>
      <c r="I6472" s="35"/>
      <c r="K6472" t="s">
        <v>15</v>
      </c>
    </row>
    <row r="6473" spans="2:11" ht="33" x14ac:dyDescent="0.2">
      <c r="B6473" s="33" t="s">
        <v>7483</v>
      </c>
      <c r="C6473" s="33" t="s">
        <v>656</v>
      </c>
      <c r="D6473" s="35">
        <f>SUMIFS(D6474:D9015,K6474:K9015,"0",B6474:B9015,"5 1 2 5 6 12 31111 6 M59 40000 000161 0000E 00001 00256 025*")-SUMIFS(E6474:E9015,K6474:K9015,"0",B6474:B9015,"5 1 2 5 6 12 31111 6 M59 40000 000161 0000E 00001 00256 025*")</f>
        <v>0</v>
      </c>
      <c r="E6473"/>
      <c r="F6473" s="35">
        <f>SUMIFS(F6474:F9015,K6474:K9015,"0",B6474:B9015,"5 1 2 5 6 12 31111 6 M59 40000 000161 0000E 00001 00256 025*")</f>
        <v>1044</v>
      </c>
      <c r="G6473" s="35">
        <f>SUMIFS(G6474:G9015,K6474:K9015,"0",B6474:B9015,"5 1 2 5 6 12 31111 6 M59 40000 000161 0000E 00001 00256 025*")</f>
        <v>0</v>
      </c>
      <c r="H6473" s="35">
        <f t="shared" si="102"/>
        <v>1044</v>
      </c>
      <c r="I6473" s="35"/>
      <c r="K6473" t="s">
        <v>15</v>
      </c>
    </row>
    <row r="6474" spans="2:11" ht="33" x14ac:dyDescent="0.2">
      <c r="B6474" s="33" t="s">
        <v>7484</v>
      </c>
      <c r="C6474" s="33" t="s">
        <v>5830</v>
      </c>
      <c r="D6474" s="35">
        <f>SUMIFS(D6475:D9015,K6475:K9015,"0",B6475:B9015,"5 1 2 5 6 12 31111 6 M59 40000 000161 0000E 00001 00256 025 2112000*")-SUMIFS(E6475:E9015,K6475:K9015,"0",B6475:B9015,"5 1 2 5 6 12 31111 6 M59 40000 000161 0000E 00001 00256 025 2112000*")</f>
        <v>0</v>
      </c>
      <c r="E6474"/>
      <c r="F6474" s="35">
        <f>SUMIFS(F6475:F9015,K6475:K9015,"0",B6475:B9015,"5 1 2 5 6 12 31111 6 M59 40000 000161 0000E 00001 00256 025 2112000*")</f>
        <v>1044</v>
      </c>
      <c r="G6474" s="35">
        <f>SUMIFS(G6475:G9015,K6475:K9015,"0",B6475:B9015,"5 1 2 5 6 12 31111 6 M59 40000 000161 0000E 00001 00256 025 2112000*")</f>
        <v>0</v>
      </c>
      <c r="H6474" s="35">
        <f t="shared" si="102"/>
        <v>1044</v>
      </c>
      <c r="I6474" s="35"/>
      <c r="K6474" t="s">
        <v>15</v>
      </c>
    </row>
    <row r="6475" spans="2:11" ht="33" x14ac:dyDescent="0.2">
      <c r="B6475" s="33" t="s">
        <v>7485</v>
      </c>
      <c r="C6475" s="33" t="s">
        <v>660</v>
      </c>
      <c r="D6475" s="35">
        <f>SUMIFS(D6476:D9015,K6476:K9015,"0",B6476:B9015,"5 1 2 5 6 12 31111 6 M59 40000 000161 0000E 00001 00256 025 2112000 2024*")-SUMIFS(E6476:E9015,K6476:K9015,"0",B6476:B9015,"5 1 2 5 6 12 31111 6 M59 40000 000161 0000E 00001 00256 025 2112000 2024*")</f>
        <v>0</v>
      </c>
      <c r="E6475"/>
      <c r="F6475" s="35">
        <f>SUMIFS(F6476:F9015,K6476:K9015,"0",B6476:B9015,"5 1 2 5 6 12 31111 6 M59 40000 000161 0000E 00001 00256 025 2112000 2024*")</f>
        <v>1044</v>
      </c>
      <c r="G6475" s="35">
        <f>SUMIFS(G6476:G9015,K6476:K9015,"0",B6476:B9015,"5 1 2 5 6 12 31111 6 M59 40000 000161 0000E 00001 00256 025 2112000 2024*")</f>
        <v>0</v>
      </c>
      <c r="H6475" s="35">
        <f t="shared" si="102"/>
        <v>1044</v>
      </c>
      <c r="I6475" s="35"/>
      <c r="K6475" t="s">
        <v>15</v>
      </c>
    </row>
    <row r="6476" spans="2:11" ht="41.25" x14ac:dyDescent="0.2">
      <c r="B6476" s="33" t="s">
        <v>7486</v>
      </c>
      <c r="C6476" s="33" t="s">
        <v>662</v>
      </c>
      <c r="D6476" s="35">
        <f>SUMIFS(D6477:D9015,K6477:K9015,"0",B6477:B9015,"5 1 2 5 6 12 31111 6 M59 40000 000161 0000E 00001 00256 025 2112000 2024 CP4SP372*")-SUMIFS(E6477:E9015,K6477:K9015,"0",B6477:B9015,"5 1 2 5 6 12 31111 6 M59 40000 000161 0000E 00001 00256 025 2112000 2024 CP4SP372*")</f>
        <v>0</v>
      </c>
      <c r="E6476"/>
      <c r="F6476" s="35">
        <f>SUMIFS(F6477:F9015,K6477:K9015,"0",B6477:B9015,"5 1 2 5 6 12 31111 6 M59 40000 000161 0000E 00001 00256 025 2112000 2024 CP4SP372*")</f>
        <v>1044</v>
      </c>
      <c r="G6476" s="35">
        <f>SUMIFS(G6477:G9015,K6477:K9015,"0",B6477:B9015,"5 1 2 5 6 12 31111 6 M59 40000 000161 0000E 00001 00256 025 2112000 2024 CP4SP372*")</f>
        <v>0</v>
      </c>
      <c r="H6476" s="35">
        <f t="shared" si="102"/>
        <v>1044</v>
      </c>
      <c r="I6476" s="35"/>
      <c r="K6476" t="s">
        <v>15</v>
      </c>
    </row>
    <row r="6477" spans="2:11" ht="41.25" x14ac:dyDescent="0.2">
      <c r="B6477" s="33" t="s">
        <v>7487</v>
      </c>
      <c r="C6477" s="33" t="s">
        <v>664</v>
      </c>
      <c r="D6477" s="35">
        <f>SUMIFS(D6478:D9015,K6478:K9015,"0",B6478:B9015,"5 1 2 5 6 12 31111 6 M59 40000 000161 0000E 00001 00256 025 2112000 2024 CP4SP372 003*")-SUMIFS(E6478:E9015,K6478:K9015,"0",B6478:B9015,"5 1 2 5 6 12 31111 6 M59 40000 000161 0000E 00001 00256 025 2112000 2024 CP4SP372 003*")</f>
        <v>0</v>
      </c>
      <c r="E6477"/>
      <c r="F6477" s="35">
        <f>SUMIFS(F6478:F9015,K6478:K9015,"0",B6478:B9015,"5 1 2 5 6 12 31111 6 M59 40000 000161 0000E 00001 00256 025 2112000 2024 CP4SP372 003*")</f>
        <v>1044</v>
      </c>
      <c r="G6477" s="35">
        <f>SUMIFS(G6478:G9015,K6478:K9015,"0",B6478:B9015,"5 1 2 5 6 12 31111 6 M59 40000 000161 0000E 00001 00256 025 2112000 2024 CP4SP372 003*")</f>
        <v>0</v>
      </c>
      <c r="H6477" s="35">
        <f t="shared" si="102"/>
        <v>1044</v>
      </c>
      <c r="I6477" s="35"/>
      <c r="K6477" t="s">
        <v>15</v>
      </c>
    </row>
    <row r="6478" spans="2:11" ht="33" x14ac:dyDescent="0.2">
      <c r="B6478" s="31" t="s">
        <v>7488</v>
      </c>
      <c r="C6478" s="31" t="s">
        <v>7470</v>
      </c>
      <c r="D6478" s="34">
        <v>0</v>
      </c>
      <c r="E6478" s="34"/>
      <c r="F6478" s="34">
        <v>1044</v>
      </c>
      <c r="G6478" s="34">
        <v>0</v>
      </c>
      <c r="H6478" s="34">
        <f t="shared" si="102"/>
        <v>1044</v>
      </c>
      <c r="I6478" s="34"/>
      <c r="K6478" t="s">
        <v>38</v>
      </c>
    </row>
    <row r="6479" spans="2:11" ht="16.5" x14ac:dyDescent="0.2">
      <c r="B6479" s="33" t="s">
        <v>7489</v>
      </c>
      <c r="C6479" s="33" t="s">
        <v>3281</v>
      </c>
      <c r="D6479" s="35">
        <f>SUMIFS(D6480:D9015,K6480:K9015,"0",B6480:B9015,"5 1 2 5 6 12 31111 6 M59 50000*")-SUMIFS(E6480:E9015,K6480:K9015,"0",B6480:B9015,"5 1 2 5 6 12 31111 6 M59 50000*")</f>
        <v>0</v>
      </c>
      <c r="E6479"/>
      <c r="F6479" s="35">
        <f>SUMIFS(F6480:F9015,K6480:K9015,"0",B6480:B9015,"5 1 2 5 6 12 31111 6 M59 50000*")</f>
        <v>3012.91</v>
      </c>
      <c r="G6479" s="35">
        <f>SUMIFS(G6480:G9015,K6480:K9015,"0",B6480:B9015,"5 1 2 5 6 12 31111 6 M59 50000*")</f>
        <v>0</v>
      </c>
      <c r="H6479" s="35">
        <f t="shared" si="102"/>
        <v>3012.91</v>
      </c>
      <c r="I6479" s="35"/>
      <c r="K6479" t="s">
        <v>15</v>
      </c>
    </row>
    <row r="6480" spans="2:11" ht="16.5" x14ac:dyDescent="0.2">
      <c r="B6480" s="33" t="s">
        <v>7490</v>
      </c>
      <c r="C6480" s="33" t="s">
        <v>3283</v>
      </c>
      <c r="D6480" s="35">
        <f>SUMIFS(D6481:D9015,K6481:K9015,"0",B6481:B9015,"5 1 2 5 6 12 31111 6 M59 50000 000223*")-SUMIFS(E6481:E9015,K6481:K9015,"0",B6481:B9015,"5 1 2 5 6 12 31111 6 M59 50000 000223*")</f>
        <v>0</v>
      </c>
      <c r="E6480"/>
      <c r="F6480" s="35">
        <f>SUMIFS(F6481:F9015,K6481:K9015,"0",B6481:B9015,"5 1 2 5 6 12 31111 6 M59 50000 000223*")</f>
        <v>3012.91</v>
      </c>
      <c r="G6480" s="35">
        <f>SUMIFS(G6481:G9015,K6481:K9015,"0",B6481:B9015,"5 1 2 5 6 12 31111 6 M59 50000 000223*")</f>
        <v>0</v>
      </c>
      <c r="H6480" s="35">
        <f t="shared" si="102"/>
        <v>3012.91</v>
      </c>
      <c r="I6480" s="35"/>
      <c r="K6480" t="s">
        <v>15</v>
      </c>
    </row>
    <row r="6481" spans="2:11" ht="24.75" x14ac:dyDescent="0.2">
      <c r="B6481" s="33" t="s">
        <v>7491</v>
      </c>
      <c r="C6481" s="33" t="s">
        <v>1065</v>
      </c>
      <c r="D6481" s="35">
        <f>SUMIFS(D6482:D9015,K6482:K9015,"0",B6482:B9015,"5 1 2 5 6 12 31111 6 M59 50000 000223 0000E*")-SUMIFS(E6482:E9015,K6482:K9015,"0",B6482:B9015,"5 1 2 5 6 12 31111 6 M59 50000 000223 0000E*")</f>
        <v>0</v>
      </c>
      <c r="E6481"/>
      <c r="F6481" s="35">
        <f>SUMIFS(F6482:F9015,K6482:K9015,"0",B6482:B9015,"5 1 2 5 6 12 31111 6 M59 50000 000223 0000E*")</f>
        <v>3012.91</v>
      </c>
      <c r="G6481" s="35">
        <f>SUMIFS(G6482:G9015,K6482:K9015,"0",B6482:B9015,"5 1 2 5 6 12 31111 6 M59 50000 000223 0000E*")</f>
        <v>0</v>
      </c>
      <c r="H6481" s="35">
        <f t="shared" si="102"/>
        <v>3012.91</v>
      </c>
      <c r="I6481" s="35"/>
      <c r="K6481" t="s">
        <v>15</v>
      </c>
    </row>
    <row r="6482" spans="2:11" ht="24.75" x14ac:dyDescent="0.2">
      <c r="B6482" s="33" t="s">
        <v>7492</v>
      </c>
      <c r="C6482" s="33" t="s">
        <v>282</v>
      </c>
      <c r="D6482" s="35">
        <f>SUMIFS(D6483:D9015,K6483:K9015,"0",B6483:B9015,"5 1 2 5 6 12 31111 6 M59 50000 000223 0000E 00001*")-SUMIFS(E6483:E9015,K6483:K9015,"0",B6483:B9015,"5 1 2 5 6 12 31111 6 M59 50000 000223 0000E 00001*")</f>
        <v>0</v>
      </c>
      <c r="E6482"/>
      <c r="F6482" s="35">
        <f>SUMIFS(F6483:F9015,K6483:K9015,"0",B6483:B9015,"5 1 2 5 6 12 31111 6 M59 50000 000223 0000E 00001*")</f>
        <v>3012.91</v>
      </c>
      <c r="G6482" s="35">
        <f>SUMIFS(G6483:G9015,K6483:K9015,"0",B6483:B9015,"5 1 2 5 6 12 31111 6 M59 50000 000223 0000E 00001*")</f>
        <v>0</v>
      </c>
      <c r="H6482" s="35">
        <f t="shared" si="102"/>
        <v>3012.91</v>
      </c>
      <c r="I6482" s="35"/>
      <c r="K6482" t="s">
        <v>15</v>
      </c>
    </row>
    <row r="6483" spans="2:11" ht="24.75" x14ac:dyDescent="0.2">
      <c r="B6483" s="33" t="s">
        <v>7493</v>
      </c>
      <c r="C6483" s="33" t="s">
        <v>7470</v>
      </c>
      <c r="D6483" s="35">
        <f>SUMIFS(D6484:D9015,K6484:K9015,"0",B6484:B9015,"5 1 2 5 6 12 31111 6 M59 50000 000223 0000E 00001 00256*")-SUMIFS(E6484:E9015,K6484:K9015,"0",B6484:B9015,"5 1 2 5 6 12 31111 6 M59 50000 000223 0000E 00001 00256*")</f>
        <v>0</v>
      </c>
      <c r="E6483"/>
      <c r="F6483" s="35">
        <f>SUMIFS(F6484:F9015,K6484:K9015,"0",B6484:B9015,"5 1 2 5 6 12 31111 6 M59 50000 000223 0000E 00001 00256*")</f>
        <v>3012.91</v>
      </c>
      <c r="G6483" s="35">
        <f>SUMIFS(G6484:G9015,K6484:K9015,"0",B6484:B9015,"5 1 2 5 6 12 31111 6 M59 50000 000223 0000E 00001 00256*")</f>
        <v>0</v>
      </c>
      <c r="H6483" s="35">
        <f t="shared" si="102"/>
        <v>3012.91</v>
      </c>
      <c r="I6483" s="35"/>
      <c r="K6483" t="s">
        <v>15</v>
      </c>
    </row>
    <row r="6484" spans="2:11" ht="33" x14ac:dyDescent="0.2">
      <c r="B6484" s="33" t="s">
        <v>7494</v>
      </c>
      <c r="C6484" s="33" t="s">
        <v>1051</v>
      </c>
      <c r="D6484" s="35">
        <f>SUMIFS(D6485:D9015,K6485:K9015,"0",B6485:B9015,"5 1 2 5 6 12 31111 6 M59 50000 000223 0000E 00001 00256 015*")-SUMIFS(E6485:E9015,K6485:K9015,"0",B6485:B9015,"5 1 2 5 6 12 31111 6 M59 50000 000223 0000E 00001 00256 015*")</f>
        <v>0</v>
      </c>
      <c r="E6484"/>
      <c r="F6484" s="35">
        <f>SUMIFS(F6485:F9015,K6485:K9015,"0",B6485:B9015,"5 1 2 5 6 12 31111 6 M59 50000 000223 0000E 00001 00256 015*")</f>
        <v>3012.91</v>
      </c>
      <c r="G6484" s="35">
        <f>SUMIFS(G6485:G9015,K6485:K9015,"0",B6485:B9015,"5 1 2 5 6 12 31111 6 M59 50000 000223 0000E 00001 00256 015*")</f>
        <v>0</v>
      </c>
      <c r="H6484" s="35">
        <f t="shared" si="102"/>
        <v>3012.91</v>
      </c>
      <c r="I6484" s="35"/>
      <c r="K6484" t="s">
        <v>15</v>
      </c>
    </row>
    <row r="6485" spans="2:11" ht="33" x14ac:dyDescent="0.2">
      <c r="B6485" s="33" t="s">
        <v>7495</v>
      </c>
      <c r="C6485" s="33" t="s">
        <v>5830</v>
      </c>
      <c r="D6485" s="35">
        <f>SUMIFS(D6486:D9015,K6486:K9015,"0",B6486:B9015,"5 1 2 5 6 12 31111 6 M59 50000 000223 0000E 00001 00256 015 2112000*")-SUMIFS(E6486:E9015,K6486:K9015,"0",B6486:B9015,"5 1 2 5 6 12 31111 6 M59 50000 000223 0000E 00001 00256 015 2112000*")</f>
        <v>0</v>
      </c>
      <c r="E6485"/>
      <c r="F6485" s="35">
        <f>SUMIFS(F6486:F9015,K6486:K9015,"0",B6486:B9015,"5 1 2 5 6 12 31111 6 M59 50000 000223 0000E 00001 00256 015 2112000*")</f>
        <v>3012.91</v>
      </c>
      <c r="G6485" s="35">
        <f>SUMIFS(G6486:G9015,K6486:K9015,"0",B6486:B9015,"5 1 2 5 6 12 31111 6 M59 50000 000223 0000E 00001 00256 015 2112000*")</f>
        <v>0</v>
      </c>
      <c r="H6485" s="35">
        <f t="shared" si="102"/>
        <v>3012.91</v>
      </c>
      <c r="I6485" s="35"/>
      <c r="K6485" t="s">
        <v>15</v>
      </c>
    </row>
    <row r="6486" spans="2:11" ht="33" x14ac:dyDescent="0.2">
      <c r="B6486" s="33" t="s">
        <v>7496</v>
      </c>
      <c r="C6486" s="33" t="s">
        <v>660</v>
      </c>
      <c r="D6486" s="35">
        <f>SUMIFS(D6487:D9015,K6487:K9015,"0",B6487:B9015,"5 1 2 5 6 12 31111 6 M59 50000 000223 0000E 00001 00256 015 2112000 2024*")-SUMIFS(E6487:E9015,K6487:K9015,"0",B6487:B9015,"5 1 2 5 6 12 31111 6 M59 50000 000223 0000E 00001 00256 015 2112000 2024*")</f>
        <v>0</v>
      </c>
      <c r="E6486"/>
      <c r="F6486" s="35">
        <f>SUMIFS(F6487:F9015,K6487:K9015,"0",B6487:B9015,"5 1 2 5 6 12 31111 6 M59 50000 000223 0000E 00001 00256 015 2112000 2024*")</f>
        <v>3012.91</v>
      </c>
      <c r="G6486" s="35">
        <f>SUMIFS(G6487:G9015,K6487:K9015,"0",B6487:B9015,"5 1 2 5 6 12 31111 6 M59 50000 000223 0000E 00001 00256 015 2112000 2024*")</f>
        <v>0</v>
      </c>
      <c r="H6486" s="35">
        <f t="shared" si="102"/>
        <v>3012.91</v>
      </c>
      <c r="I6486" s="35"/>
      <c r="K6486" t="s">
        <v>15</v>
      </c>
    </row>
    <row r="6487" spans="2:11" ht="41.25" x14ac:dyDescent="0.2">
      <c r="B6487" s="33" t="s">
        <v>7497</v>
      </c>
      <c r="C6487" s="33" t="s">
        <v>662</v>
      </c>
      <c r="D6487" s="35">
        <f>SUMIFS(D6488:D9015,K6488:K9015,"0",B6488:B9015,"5 1 2 5 6 12 31111 6 M59 50000 000223 0000E 00001 00256 015 2112000 2024 CP1DA424*")-SUMIFS(E6488:E9015,K6488:K9015,"0",B6488:B9015,"5 1 2 5 6 12 31111 6 M59 50000 000223 0000E 00001 00256 015 2112000 2024 CP1DA424*")</f>
        <v>0</v>
      </c>
      <c r="E6487"/>
      <c r="F6487" s="35">
        <f>SUMIFS(F6488:F9015,K6488:K9015,"0",B6488:B9015,"5 1 2 5 6 12 31111 6 M59 50000 000223 0000E 00001 00256 015 2112000 2024 CP1DA424*")</f>
        <v>3012.91</v>
      </c>
      <c r="G6487" s="35">
        <f>SUMIFS(G6488:G9015,K6488:K9015,"0",B6488:B9015,"5 1 2 5 6 12 31111 6 M59 50000 000223 0000E 00001 00256 015 2112000 2024 CP1DA424*")</f>
        <v>0</v>
      </c>
      <c r="H6487" s="35">
        <f t="shared" si="102"/>
        <v>3012.91</v>
      </c>
      <c r="I6487" s="35"/>
      <c r="K6487" t="s">
        <v>15</v>
      </c>
    </row>
    <row r="6488" spans="2:11" ht="41.25" x14ac:dyDescent="0.2">
      <c r="B6488" s="33" t="s">
        <v>7498</v>
      </c>
      <c r="C6488" s="33" t="s">
        <v>282</v>
      </c>
      <c r="D6488" s="35">
        <f>SUMIFS(D6489:D9015,K6489:K9015,"0",B6489:B9015,"5 1 2 5 6 12 31111 6 M59 50000 000223 0000E 00001 00256 015 2112000 2024 CP1DA424 001*")-SUMIFS(E6489:E9015,K6489:K9015,"0",B6489:B9015,"5 1 2 5 6 12 31111 6 M59 50000 000223 0000E 00001 00256 015 2112000 2024 CP1DA424 001*")</f>
        <v>0</v>
      </c>
      <c r="E6488"/>
      <c r="F6488" s="35">
        <f>SUMIFS(F6489:F9015,K6489:K9015,"0",B6489:B9015,"5 1 2 5 6 12 31111 6 M59 50000 000223 0000E 00001 00256 015 2112000 2024 CP1DA424 001*")</f>
        <v>3012.91</v>
      </c>
      <c r="G6488" s="35">
        <f>SUMIFS(G6489:G9015,K6489:K9015,"0",B6489:B9015,"5 1 2 5 6 12 31111 6 M59 50000 000223 0000E 00001 00256 015 2112000 2024 CP1DA424 001*")</f>
        <v>0</v>
      </c>
      <c r="H6488" s="35">
        <f t="shared" si="102"/>
        <v>3012.91</v>
      </c>
      <c r="I6488" s="35"/>
      <c r="K6488" t="s">
        <v>15</v>
      </c>
    </row>
    <row r="6489" spans="2:11" ht="41.25" x14ac:dyDescent="0.2">
      <c r="B6489" s="31" t="s">
        <v>7499</v>
      </c>
      <c r="C6489" s="31" t="s">
        <v>7470</v>
      </c>
      <c r="D6489" s="34">
        <v>0</v>
      </c>
      <c r="E6489" s="34"/>
      <c r="F6489" s="34">
        <v>3012.91</v>
      </c>
      <c r="G6489" s="34">
        <v>0</v>
      </c>
      <c r="H6489" s="34">
        <f t="shared" si="102"/>
        <v>3012.91</v>
      </c>
      <c r="I6489" s="34"/>
      <c r="K6489" t="s">
        <v>38</v>
      </c>
    </row>
    <row r="6490" spans="2:11" ht="16.5" x14ac:dyDescent="0.2">
      <c r="B6490" s="33" t="s">
        <v>7500</v>
      </c>
      <c r="C6490" s="33" t="s">
        <v>540</v>
      </c>
      <c r="D6490" s="35">
        <f>SUMIFS(D6491:D9015,K6491:K9015,"0",B6491:B9015,"5 1 2 6*")-SUMIFS(E6491:E9015,K6491:K9015,"0",B6491:B9015,"5 1 2 6*")</f>
        <v>0</v>
      </c>
      <c r="E6490"/>
      <c r="F6490" s="35">
        <f>SUMIFS(F6491:F9015,K6491:K9015,"0",B6491:B9015,"5 1 2 6*")</f>
        <v>12820867.859999999</v>
      </c>
      <c r="G6490" s="35">
        <f>SUMIFS(G6491:G9015,K6491:K9015,"0",B6491:B9015,"5 1 2 6*")</f>
        <v>0</v>
      </c>
      <c r="H6490" s="35">
        <f t="shared" si="102"/>
        <v>12820867.859999999</v>
      </c>
      <c r="I6490" s="35"/>
      <c r="K6490" t="s">
        <v>15</v>
      </c>
    </row>
    <row r="6491" spans="2:11" ht="16.5" x14ac:dyDescent="0.2">
      <c r="B6491" s="33" t="s">
        <v>7501</v>
      </c>
      <c r="C6491" s="33" t="s">
        <v>540</v>
      </c>
      <c r="D6491" s="35">
        <f>SUMIFS(D6492:D9015,K6492:K9015,"0",B6492:B9015,"5 1 2 6 1*")-SUMIFS(E6492:E9015,K6492:K9015,"0",B6492:B9015,"5 1 2 6 1*")</f>
        <v>0</v>
      </c>
      <c r="E6491"/>
      <c r="F6491" s="35">
        <f>SUMIFS(F6492:F9015,K6492:K9015,"0",B6492:B9015,"5 1 2 6 1*")</f>
        <v>12820867.859999999</v>
      </c>
      <c r="G6491" s="35">
        <f>SUMIFS(G6492:G9015,K6492:K9015,"0",B6492:B9015,"5 1 2 6 1*")</f>
        <v>0</v>
      </c>
      <c r="H6491" s="35">
        <f t="shared" si="102"/>
        <v>12820867.859999999</v>
      </c>
      <c r="I6491" s="35"/>
      <c r="K6491" t="s">
        <v>15</v>
      </c>
    </row>
    <row r="6492" spans="2:11" ht="12.75" x14ac:dyDescent="0.2">
      <c r="B6492" s="33" t="s">
        <v>7502</v>
      </c>
      <c r="C6492" s="33" t="s">
        <v>26</v>
      </c>
      <c r="D6492" s="35">
        <f>SUMIFS(D6493:D9015,K6493:K9015,"0",B6493:B9015,"5 1 2 6 1 12*")-SUMIFS(E6493:E9015,K6493:K9015,"0",B6493:B9015,"5 1 2 6 1 12*")</f>
        <v>0</v>
      </c>
      <c r="E6492"/>
      <c r="F6492" s="35">
        <f>SUMIFS(F6493:F9015,K6493:K9015,"0",B6493:B9015,"5 1 2 6 1 12*")</f>
        <v>12820867.859999999</v>
      </c>
      <c r="G6492" s="35">
        <f>SUMIFS(G6493:G9015,K6493:K9015,"0",B6493:B9015,"5 1 2 6 1 12*")</f>
        <v>0</v>
      </c>
      <c r="H6492" s="35">
        <f t="shared" si="102"/>
        <v>12820867.859999999</v>
      </c>
      <c r="I6492" s="35"/>
      <c r="K6492" t="s">
        <v>15</v>
      </c>
    </row>
    <row r="6493" spans="2:11" ht="16.5" x14ac:dyDescent="0.2">
      <c r="B6493" s="33" t="s">
        <v>7503</v>
      </c>
      <c r="C6493" s="33" t="s">
        <v>28</v>
      </c>
      <c r="D6493" s="35">
        <f>SUMIFS(D6494:D9015,K6494:K9015,"0",B6494:B9015,"5 1 2 6 1 12 31111*")-SUMIFS(E6494:E9015,K6494:K9015,"0",B6494:B9015,"5 1 2 6 1 12 31111*")</f>
        <v>0</v>
      </c>
      <c r="E6493"/>
      <c r="F6493" s="35">
        <f>SUMIFS(F6494:F9015,K6494:K9015,"0",B6494:B9015,"5 1 2 6 1 12 31111*")</f>
        <v>12820867.859999999</v>
      </c>
      <c r="G6493" s="35">
        <f>SUMIFS(G6494:G9015,K6494:K9015,"0",B6494:B9015,"5 1 2 6 1 12 31111*")</f>
        <v>0</v>
      </c>
      <c r="H6493" s="35">
        <f t="shared" si="102"/>
        <v>12820867.859999999</v>
      </c>
      <c r="I6493" s="35"/>
      <c r="K6493" t="s">
        <v>15</v>
      </c>
    </row>
    <row r="6494" spans="2:11" ht="12.75" x14ac:dyDescent="0.2">
      <c r="B6494" s="33" t="s">
        <v>7504</v>
      </c>
      <c r="C6494" s="33" t="s">
        <v>30</v>
      </c>
      <c r="D6494" s="35">
        <f>SUMIFS(D6495:D9015,K6495:K9015,"0",B6495:B9015,"5 1 2 6 1 12 31111 6*")-SUMIFS(E6495:E9015,K6495:K9015,"0",B6495:B9015,"5 1 2 6 1 12 31111 6*")</f>
        <v>0</v>
      </c>
      <c r="E6494"/>
      <c r="F6494" s="35">
        <f>SUMIFS(F6495:F9015,K6495:K9015,"0",B6495:B9015,"5 1 2 6 1 12 31111 6*")</f>
        <v>12820867.859999999</v>
      </c>
      <c r="G6494" s="35">
        <f>SUMIFS(G6495:G9015,K6495:K9015,"0",B6495:B9015,"5 1 2 6 1 12 31111 6*")</f>
        <v>0</v>
      </c>
      <c r="H6494" s="35">
        <f t="shared" si="102"/>
        <v>12820867.859999999</v>
      </c>
      <c r="I6494" s="35"/>
      <c r="K6494" t="s">
        <v>15</v>
      </c>
    </row>
    <row r="6495" spans="2:11" ht="16.5" x14ac:dyDescent="0.2">
      <c r="B6495" s="33" t="s">
        <v>7505</v>
      </c>
      <c r="C6495" s="33" t="s">
        <v>2284</v>
      </c>
      <c r="D6495" s="35">
        <f>SUMIFS(D6496:D9015,K6496:K9015,"0",B6496:B9015,"5 1 2 6 1 12 31111 6 M59*")-SUMIFS(E6496:E9015,K6496:K9015,"0",B6496:B9015,"5 1 2 6 1 12 31111 6 M59*")</f>
        <v>0</v>
      </c>
      <c r="E6495"/>
      <c r="F6495" s="35">
        <f>SUMIFS(F6496:F9015,K6496:K9015,"0",B6496:B9015,"5 1 2 6 1 12 31111 6 M59*")</f>
        <v>12820867.859999999</v>
      </c>
      <c r="G6495" s="35">
        <f>SUMIFS(G6496:G9015,K6496:K9015,"0",B6496:B9015,"5 1 2 6 1 12 31111 6 M59*")</f>
        <v>0</v>
      </c>
      <c r="H6495" s="35">
        <f t="shared" si="102"/>
        <v>12820867.859999999</v>
      </c>
      <c r="I6495" s="35"/>
      <c r="K6495" t="s">
        <v>15</v>
      </c>
    </row>
    <row r="6496" spans="2:11" ht="16.5" x14ac:dyDescent="0.2">
      <c r="B6496" s="33" t="s">
        <v>7506</v>
      </c>
      <c r="C6496" s="33" t="s">
        <v>1243</v>
      </c>
      <c r="D6496" s="35">
        <f>SUMIFS(D6497:D9015,K6497:K9015,"0",B6497:B9015,"5 1 2 6 1 12 31111 6 M59 10000*")-SUMIFS(E6497:E9015,K6497:K9015,"0",B6497:B9015,"5 1 2 6 1 12 31111 6 M59 10000*")</f>
        <v>0</v>
      </c>
      <c r="E6496"/>
      <c r="F6496" s="35">
        <f>SUMIFS(F6497:F9015,K6497:K9015,"0",B6497:B9015,"5 1 2 6 1 12 31111 6 M59 10000*")</f>
        <v>239812.72999999998</v>
      </c>
      <c r="G6496" s="35">
        <f>SUMIFS(G6497:G9015,K6497:K9015,"0",B6497:B9015,"5 1 2 6 1 12 31111 6 M59 10000*")</f>
        <v>0</v>
      </c>
      <c r="H6496" s="35">
        <f t="shared" si="102"/>
        <v>239812.72999999998</v>
      </c>
      <c r="I6496" s="35"/>
      <c r="K6496" t="s">
        <v>15</v>
      </c>
    </row>
    <row r="6497" spans="2:11" ht="16.5" x14ac:dyDescent="0.2">
      <c r="B6497" s="33" t="s">
        <v>7507</v>
      </c>
      <c r="C6497" s="33" t="s">
        <v>648</v>
      </c>
      <c r="D6497" s="35">
        <f>SUMIFS(D6498:D9015,K6498:K9015,"0",B6498:B9015,"5 1 2 6 1 12 31111 6 M59 10000 000132*")-SUMIFS(E6498:E9015,K6498:K9015,"0",B6498:B9015,"5 1 2 6 1 12 31111 6 M59 10000 000132*")</f>
        <v>0</v>
      </c>
      <c r="E6497"/>
      <c r="F6497" s="35">
        <f>SUMIFS(F6498:F9015,K6498:K9015,"0",B6498:B9015,"5 1 2 6 1 12 31111 6 M59 10000 000132*")</f>
        <v>239812.72999999998</v>
      </c>
      <c r="G6497" s="35">
        <f>SUMIFS(G6498:G9015,K6498:K9015,"0",B6498:B9015,"5 1 2 6 1 12 31111 6 M59 10000 000132*")</f>
        <v>0</v>
      </c>
      <c r="H6497" s="35">
        <f t="shared" si="102"/>
        <v>239812.72999999998</v>
      </c>
      <c r="I6497" s="35"/>
      <c r="K6497" t="s">
        <v>15</v>
      </c>
    </row>
    <row r="6498" spans="2:11" ht="24.75" x14ac:dyDescent="0.2">
      <c r="B6498" s="33" t="s">
        <v>7508</v>
      </c>
      <c r="C6498" s="33" t="s">
        <v>650</v>
      </c>
      <c r="D6498" s="35">
        <f>SUMIFS(D6499:D9015,K6499:K9015,"0",B6499:B9015,"5 1 2 6 1 12 31111 6 M59 10000 000132 0000R*")-SUMIFS(E6499:E9015,K6499:K9015,"0",B6499:B9015,"5 1 2 6 1 12 31111 6 M59 10000 000132 0000R*")</f>
        <v>0</v>
      </c>
      <c r="E6498"/>
      <c r="F6498" s="35">
        <f>SUMIFS(F6499:F9015,K6499:K9015,"0",B6499:B9015,"5 1 2 6 1 12 31111 6 M59 10000 000132 0000R*")</f>
        <v>239812.72999999998</v>
      </c>
      <c r="G6498" s="35">
        <f>SUMIFS(G6499:G9015,K6499:K9015,"0",B6499:B9015,"5 1 2 6 1 12 31111 6 M59 10000 000132 0000R*")</f>
        <v>0</v>
      </c>
      <c r="H6498" s="35">
        <f t="shared" si="102"/>
        <v>239812.72999999998</v>
      </c>
      <c r="I6498" s="35"/>
      <c r="K6498" t="s">
        <v>15</v>
      </c>
    </row>
    <row r="6499" spans="2:11" ht="24.75" x14ac:dyDescent="0.2">
      <c r="B6499" s="33" t="s">
        <v>7509</v>
      </c>
      <c r="C6499" s="33" t="s">
        <v>282</v>
      </c>
      <c r="D6499" s="35">
        <f>SUMIFS(D6500:D9015,K6500:K9015,"0",B6500:B9015,"5 1 2 6 1 12 31111 6 M59 10000 000132 0000R 00001*")-SUMIFS(E6500:E9015,K6500:K9015,"0",B6500:B9015,"5 1 2 6 1 12 31111 6 M59 10000 000132 0000R 00001*")</f>
        <v>0</v>
      </c>
      <c r="E6499"/>
      <c r="F6499" s="35">
        <f>SUMIFS(F6500:F9015,K6500:K9015,"0",B6500:B9015,"5 1 2 6 1 12 31111 6 M59 10000 000132 0000R 00001*")</f>
        <v>239812.72999999998</v>
      </c>
      <c r="G6499" s="35">
        <f>SUMIFS(G6500:G9015,K6500:K9015,"0",B6500:B9015,"5 1 2 6 1 12 31111 6 M59 10000 000132 0000R 00001*")</f>
        <v>0</v>
      </c>
      <c r="H6499" s="35">
        <f t="shared" si="102"/>
        <v>239812.72999999998</v>
      </c>
      <c r="I6499" s="35"/>
      <c r="K6499" t="s">
        <v>15</v>
      </c>
    </row>
    <row r="6500" spans="2:11" ht="24.75" x14ac:dyDescent="0.2">
      <c r="B6500" s="33" t="s">
        <v>7510</v>
      </c>
      <c r="C6500" s="33" t="s">
        <v>7511</v>
      </c>
      <c r="D6500" s="35">
        <f>SUMIFS(D6501:D9015,K6501:K9015,"0",B6501:B9015,"5 1 2 6 1 12 31111 6 M59 10000 000132 0000R 00001 00261*")-SUMIFS(E6501:E9015,K6501:K9015,"0",B6501:B9015,"5 1 2 6 1 12 31111 6 M59 10000 000132 0000R 00001 00261*")</f>
        <v>0</v>
      </c>
      <c r="E6500"/>
      <c r="F6500" s="35">
        <f>SUMIFS(F6501:F9015,K6501:K9015,"0",B6501:B9015,"5 1 2 6 1 12 31111 6 M59 10000 000132 0000R 00001 00261*")</f>
        <v>239812.72999999998</v>
      </c>
      <c r="G6500" s="35">
        <f>SUMIFS(G6501:G9015,K6501:K9015,"0",B6501:B9015,"5 1 2 6 1 12 31111 6 M59 10000 000132 0000R 00001 00261*")</f>
        <v>0</v>
      </c>
      <c r="H6500" s="35">
        <f t="shared" si="102"/>
        <v>239812.72999999998</v>
      </c>
      <c r="I6500" s="35"/>
      <c r="K6500" t="s">
        <v>15</v>
      </c>
    </row>
    <row r="6501" spans="2:11" ht="33" x14ac:dyDescent="0.2">
      <c r="B6501" s="33" t="s">
        <v>7512</v>
      </c>
      <c r="C6501" s="33" t="s">
        <v>1051</v>
      </c>
      <c r="D6501" s="35">
        <f>SUMIFS(D6502:D9015,K6502:K9015,"0",B6502:B9015,"5 1 2 6 1 12 31111 6 M59 10000 000132 0000R 00001 00261 015*")-SUMIFS(E6502:E9015,K6502:K9015,"0",B6502:B9015,"5 1 2 6 1 12 31111 6 M59 10000 000132 0000R 00001 00261 015*")</f>
        <v>0</v>
      </c>
      <c r="E6501"/>
      <c r="F6501" s="35">
        <f>SUMIFS(F6502:F9015,K6502:K9015,"0",B6502:B9015,"5 1 2 6 1 12 31111 6 M59 10000 000132 0000R 00001 00261 015*")</f>
        <v>120086.01</v>
      </c>
      <c r="G6501" s="35">
        <f>SUMIFS(G6502:G9015,K6502:K9015,"0",B6502:B9015,"5 1 2 6 1 12 31111 6 M59 10000 000132 0000R 00001 00261 015*")</f>
        <v>0</v>
      </c>
      <c r="H6501" s="35">
        <f t="shared" si="102"/>
        <v>120086.01</v>
      </c>
      <c r="I6501" s="35"/>
      <c r="K6501" t="s">
        <v>15</v>
      </c>
    </row>
    <row r="6502" spans="2:11" ht="33" x14ac:dyDescent="0.2">
      <c r="B6502" s="33" t="s">
        <v>7513</v>
      </c>
      <c r="C6502" s="33" t="s">
        <v>5830</v>
      </c>
      <c r="D6502" s="35">
        <f>SUMIFS(D6503:D9015,K6503:K9015,"0",B6503:B9015,"5 1 2 6 1 12 31111 6 M59 10000 000132 0000R 00001 00261 015 2112000*")-SUMIFS(E6503:E9015,K6503:K9015,"0",B6503:B9015,"5 1 2 6 1 12 31111 6 M59 10000 000132 0000R 00001 00261 015 2112000*")</f>
        <v>0</v>
      </c>
      <c r="E6502"/>
      <c r="F6502" s="35">
        <f>SUMIFS(F6503:F9015,K6503:K9015,"0",B6503:B9015,"5 1 2 6 1 12 31111 6 M59 10000 000132 0000R 00001 00261 015 2112000*")</f>
        <v>120086.01</v>
      </c>
      <c r="G6502" s="35">
        <f>SUMIFS(G6503:G9015,K6503:K9015,"0",B6503:B9015,"5 1 2 6 1 12 31111 6 M59 10000 000132 0000R 00001 00261 015 2112000*")</f>
        <v>0</v>
      </c>
      <c r="H6502" s="35">
        <f t="shared" si="102"/>
        <v>120086.01</v>
      </c>
      <c r="I6502" s="35"/>
      <c r="K6502" t="s">
        <v>15</v>
      </c>
    </row>
    <row r="6503" spans="2:11" ht="33" x14ac:dyDescent="0.2">
      <c r="B6503" s="33" t="s">
        <v>7514</v>
      </c>
      <c r="C6503" s="33" t="s">
        <v>660</v>
      </c>
      <c r="D6503" s="35">
        <f>SUMIFS(D6504:D9015,K6504:K9015,"0",B6504:B9015,"5 1 2 6 1 12 31111 6 M59 10000 000132 0000R 00001 00261 015 2112000 2024*")-SUMIFS(E6504:E9015,K6504:K9015,"0",B6504:B9015,"5 1 2 6 1 12 31111 6 M59 10000 000132 0000R 00001 00261 015 2112000 2024*")</f>
        <v>0</v>
      </c>
      <c r="E6503"/>
      <c r="F6503" s="35">
        <f>SUMIFS(F6504:F9015,K6504:K9015,"0",B6504:B9015,"5 1 2 6 1 12 31111 6 M59 10000 000132 0000R 00001 00261 015 2112000 2024*")</f>
        <v>120086.01</v>
      </c>
      <c r="G6503" s="35">
        <f>SUMIFS(G6504:G9015,K6504:K9015,"0",B6504:B9015,"5 1 2 6 1 12 31111 6 M59 10000 000132 0000R 00001 00261 015 2112000 2024*")</f>
        <v>0</v>
      </c>
      <c r="H6503" s="35">
        <f t="shared" si="102"/>
        <v>120086.01</v>
      </c>
      <c r="I6503" s="35"/>
      <c r="K6503" t="s">
        <v>15</v>
      </c>
    </row>
    <row r="6504" spans="2:11" ht="41.25" x14ac:dyDescent="0.2">
      <c r="B6504" s="33" t="s">
        <v>7515</v>
      </c>
      <c r="C6504" s="33" t="s">
        <v>662</v>
      </c>
      <c r="D6504" s="35">
        <f>SUMIFS(D6505:D9015,K6505:K9015,"0",B6505:B9015,"5 1 2 6 1 12 31111 6 M59 10000 000132 0000R 00001 00261 015 2112000 2024 CP1PM439*")-SUMIFS(E6505:E9015,K6505:K9015,"0",B6505:B9015,"5 1 2 6 1 12 31111 6 M59 10000 000132 0000R 00001 00261 015 2112000 2024 CP1PM439*")</f>
        <v>0</v>
      </c>
      <c r="E6504"/>
      <c r="F6504" s="35">
        <f>SUMIFS(F6505:F9015,K6505:K9015,"0",B6505:B9015,"5 1 2 6 1 12 31111 6 M59 10000 000132 0000R 00001 00261 015 2112000 2024 CP1PM439*")</f>
        <v>120086.01</v>
      </c>
      <c r="G6504" s="35">
        <f>SUMIFS(G6505:G9015,K6505:K9015,"0",B6505:B9015,"5 1 2 6 1 12 31111 6 M59 10000 000132 0000R 00001 00261 015 2112000 2024 CP1PM439*")</f>
        <v>0</v>
      </c>
      <c r="H6504" s="35">
        <f t="shared" si="102"/>
        <v>120086.01</v>
      </c>
      <c r="I6504" s="35"/>
      <c r="K6504" t="s">
        <v>15</v>
      </c>
    </row>
    <row r="6505" spans="2:11" ht="41.25" x14ac:dyDescent="0.2">
      <c r="B6505" s="33" t="s">
        <v>7516</v>
      </c>
      <c r="C6505" s="33" t="s">
        <v>282</v>
      </c>
      <c r="D6505" s="35">
        <f>SUMIFS(D6506:D9015,K6506:K9015,"0",B6506:B9015,"5 1 2 6 1 12 31111 6 M59 10000 000132 0000R 00001 00261 015 2112000 2024 CP1PM439 001*")-SUMIFS(E6506:E9015,K6506:K9015,"0",B6506:B9015,"5 1 2 6 1 12 31111 6 M59 10000 000132 0000R 00001 00261 015 2112000 2024 CP1PM439 001*")</f>
        <v>0</v>
      </c>
      <c r="E6505"/>
      <c r="F6505" s="35">
        <f>SUMIFS(F6506:F9015,K6506:K9015,"0",B6506:B9015,"5 1 2 6 1 12 31111 6 M59 10000 000132 0000R 00001 00261 015 2112000 2024 CP1PM439 001*")</f>
        <v>120086.01</v>
      </c>
      <c r="G6505" s="35">
        <f>SUMIFS(G6506:G9015,K6506:K9015,"0",B6506:B9015,"5 1 2 6 1 12 31111 6 M59 10000 000132 0000R 00001 00261 015 2112000 2024 CP1PM439 001*")</f>
        <v>0</v>
      </c>
      <c r="H6505" s="35">
        <f t="shared" si="102"/>
        <v>120086.01</v>
      </c>
      <c r="I6505" s="35"/>
      <c r="K6505" t="s">
        <v>15</v>
      </c>
    </row>
    <row r="6506" spans="2:11" ht="33" x14ac:dyDescent="0.2">
      <c r="B6506" s="31" t="s">
        <v>7517</v>
      </c>
      <c r="C6506" s="31" t="s">
        <v>7511</v>
      </c>
      <c r="D6506" s="34">
        <v>0</v>
      </c>
      <c r="E6506" s="34"/>
      <c r="F6506" s="34">
        <v>120086.01</v>
      </c>
      <c r="G6506" s="34">
        <v>0</v>
      </c>
      <c r="H6506" s="34">
        <f t="shared" si="102"/>
        <v>120086.01</v>
      </c>
      <c r="I6506" s="34"/>
      <c r="K6506" t="s">
        <v>38</v>
      </c>
    </row>
    <row r="6507" spans="2:11" ht="33" x14ac:dyDescent="0.2">
      <c r="B6507" s="33" t="s">
        <v>7518</v>
      </c>
      <c r="C6507" s="33" t="s">
        <v>656</v>
      </c>
      <c r="D6507" s="35">
        <f>SUMIFS(D6508:D9015,K6508:K9015,"0",B6508:B9015,"5 1 2 6 1 12 31111 6 M59 10000 000132 0000R 00001 00261 025*")-SUMIFS(E6508:E9015,K6508:K9015,"0",B6508:B9015,"5 1 2 6 1 12 31111 6 M59 10000 000132 0000R 00001 00261 025*")</f>
        <v>0</v>
      </c>
      <c r="E6507"/>
      <c r="F6507" s="35">
        <f>SUMIFS(F6508:F9015,K6508:K9015,"0",B6508:B9015,"5 1 2 6 1 12 31111 6 M59 10000 000132 0000R 00001 00261 025*")</f>
        <v>119726.72</v>
      </c>
      <c r="G6507" s="35">
        <f>SUMIFS(G6508:G9015,K6508:K9015,"0",B6508:B9015,"5 1 2 6 1 12 31111 6 M59 10000 000132 0000R 00001 00261 025*")</f>
        <v>0</v>
      </c>
      <c r="H6507" s="35">
        <f t="shared" si="102"/>
        <v>119726.72</v>
      </c>
      <c r="I6507" s="35"/>
      <c r="K6507" t="s">
        <v>15</v>
      </c>
    </row>
    <row r="6508" spans="2:11" ht="33" x14ac:dyDescent="0.2">
      <c r="B6508" s="33" t="s">
        <v>7519</v>
      </c>
      <c r="C6508" s="33" t="s">
        <v>5830</v>
      </c>
      <c r="D6508" s="35">
        <f>SUMIFS(D6509:D9015,K6509:K9015,"0",B6509:B9015,"5 1 2 6 1 12 31111 6 M59 10000 000132 0000R 00001 00261 025 2112000*")-SUMIFS(E6509:E9015,K6509:K9015,"0",B6509:B9015,"5 1 2 6 1 12 31111 6 M59 10000 000132 0000R 00001 00261 025 2112000*")</f>
        <v>0</v>
      </c>
      <c r="E6508"/>
      <c r="F6508" s="35">
        <f>SUMIFS(F6509:F9015,K6509:K9015,"0",B6509:B9015,"5 1 2 6 1 12 31111 6 M59 10000 000132 0000R 00001 00261 025 2112000*")</f>
        <v>119726.72</v>
      </c>
      <c r="G6508" s="35">
        <f>SUMIFS(G6509:G9015,K6509:K9015,"0",B6509:B9015,"5 1 2 6 1 12 31111 6 M59 10000 000132 0000R 00001 00261 025 2112000*")</f>
        <v>0</v>
      </c>
      <c r="H6508" s="35">
        <f t="shared" si="102"/>
        <v>119726.72</v>
      </c>
      <c r="I6508" s="35"/>
      <c r="K6508" t="s">
        <v>15</v>
      </c>
    </row>
    <row r="6509" spans="2:11" ht="33" x14ac:dyDescent="0.2">
      <c r="B6509" s="33" t="s">
        <v>7520</v>
      </c>
      <c r="C6509" s="33" t="s">
        <v>660</v>
      </c>
      <c r="D6509" s="35">
        <f>SUMIFS(D6510:D9015,K6510:K9015,"0",B6510:B9015,"5 1 2 6 1 12 31111 6 M59 10000 000132 0000R 00001 00261 025 2112000 2024*")-SUMIFS(E6510:E9015,K6510:K9015,"0",B6510:B9015,"5 1 2 6 1 12 31111 6 M59 10000 000132 0000R 00001 00261 025 2112000 2024*")</f>
        <v>0</v>
      </c>
      <c r="E6509"/>
      <c r="F6509" s="35">
        <f>SUMIFS(F6510:F9015,K6510:K9015,"0",B6510:B9015,"5 1 2 6 1 12 31111 6 M59 10000 000132 0000R 00001 00261 025 2112000 2024*")</f>
        <v>119726.72</v>
      </c>
      <c r="G6509" s="35">
        <f>SUMIFS(G6510:G9015,K6510:K9015,"0",B6510:B9015,"5 1 2 6 1 12 31111 6 M59 10000 000132 0000R 00001 00261 025 2112000 2024*")</f>
        <v>0</v>
      </c>
      <c r="H6509" s="35">
        <f t="shared" si="102"/>
        <v>119726.72</v>
      </c>
      <c r="I6509" s="35"/>
      <c r="K6509" t="s">
        <v>15</v>
      </c>
    </row>
    <row r="6510" spans="2:11" ht="41.25" x14ac:dyDescent="0.2">
      <c r="B6510" s="33" t="s">
        <v>7521</v>
      </c>
      <c r="C6510" s="33" t="s">
        <v>662</v>
      </c>
      <c r="D6510" s="35">
        <f>SUMIFS(D6511:D9015,K6511:K9015,"0",B6511:B9015,"5 1 2 6 1 12 31111 6 M59 10000 000132 0000R 00001 00261 025 2112000 2024 CP1PM439*")-SUMIFS(E6511:E9015,K6511:K9015,"0",B6511:B9015,"5 1 2 6 1 12 31111 6 M59 10000 000132 0000R 00001 00261 025 2112000 2024 CP1PM439*")</f>
        <v>0</v>
      </c>
      <c r="E6510"/>
      <c r="F6510" s="35">
        <f>SUMIFS(F6511:F9015,K6511:K9015,"0",B6511:B9015,"5 1 2 6 1 12 31111 6 M59 10000 000132 0000R 00001 00261 025 2112000 2024 CP1PM439*")</f>
        <v>119726.72</v>
      </c>
      <c r="G6510" s="35">
        <f>SUMIFS(G6511:G9015,K6511:K9015,"0",B6511:B9015,"5 1 2 6 1 12 31111 6 M59 10000 000132 0000R 00001 00261 025 2112000 2024 CP1PM439*")</f>
        <v>0</v>
      </c>
      <c r="H6510" s="35">
        <f t="shared" si="102"/>
        <v>119726.72</v>
      </c>
      <c r="I6510" s="35"/>
      <c r="K6510" t="s">
        <v>15</v>
      </c>
    </row>
    <row r="6511" spans="2:11" ht="41.25" x14ac:dyDescent="0.2">
      <c r="B6511" s="33" t="s">
        <v>7522</v>
      </c>
      <c r="C6511" s="33" t="s">
        <v>664</v>
      </c>
      <c r="D6511" s="35">
        <f>SUMIFS(D6512:D9015,K6512:K9015,"0",B6512:B9015,"5 1 2 6 1 12 31111 6 M59 10000 000132 0000R 00001 00261 025 2112000 2024 CP1PM439 003*")-SUMIFS(E6512:E9015,K6512:K9015,"0",B6512:B9015,"5 1 2 6 1 12 31111 6 M59 10000 000132 0000R 00001 00261 025 2112000 2024 CP1PM439 003*")</f>
        <v>0</v>
      </c>
      <c r="E6511"/>
      <c r="F6511" s="35">
        <f>SUMIFS(F6512:F9015,K6512:K9015,"0",B6512:B9015,"5 1 2 6 1 12 31111 6 M59 10000 000132 0000R 00001 00261 025 2112000 2024 CP1PM439 003*")</f>
        <v>119726.72</v>
      </c>
      <c r="G6511" s="35">
        <f>SUMIFS(G6512:G9015,K6512:K9015,"0",B6512:B9015,"5 1 2 6 1 12 31111 6 M59 10000 000132 0000R 00001 00261 025 2112000 2024 CP1PM439 003*")</f>
        <v>0</v>
      </c>
      <c r="H6511" s="35">
        <f t="shared" si="102"/>
        <v>119726.72</v>
      </c>
      <c r="I6511" s="35"/>
      <c r="K6511" t="s">
        <v>15</v>
      </c>
    </row>
    <row r="6512" spans="2:11" ht="33" x14ac:dyDescent="0.2">
      <c r="B6512" s="31" t="s">
        <v>7523</v>
      </c>
      <c r="C6512" s="31" t="s">
        <v>540</v>
      </c>
      <c r="D6512" s="34">
        <v>0</v>
      </c>
      <c r="E6512" s="34"/>
      <c r="F6512" s="34">
        <v>119726.72</v>
      </c>
      <c r="G6512" s="34">
        <v>0</v>
      </c>
      <c r="H6512" s="34">
        <f t="shared" si="102"/>
        <v>119726.72</v>
      </c>
      <c r="I6512" s="34"/>
      <c r="K6512" t="s">
        <v>38</v>
      </c>
    </row>
    <row r="6513" spans="2:11" ht="16.5" x14ac:dyDescent="0.2">
      <c r="B6513" s="33" t="s">
        <v>7524</v>
      </c>
      <c r="C6513" s="33" t="s">
        <v>1044</v>
      </c>
      <c r="D6513" s="35">
        <f>SUMIFS(D6514:D9015,K6514:K9015,"0",B6514:B9015,"5 1 2 6 1 12 31111 6 M59 19000*")-SUMIFS(E6514:E9015,K6514:K9015,"0",B6514:B9015,"5 1 2 6 1 12 31111 6 M59 19000*")</f>
        <v>0</v>
      </c>
      <c r="E6513"/>
      <c r="F6513" s="35">
        <f>SUMIFS(F6514:F9015,K6514:K9015,"0",B6514:B9015,"5 1 2 6 1 12 31111 6 M59 19000*")</f>
        <v>1200760.42</v>
      </c>
      <c r="G6513" s="35">
        <f>SUMIFS(G6514:G9015,K6514:K9015,"0",B6514:B9015,"5 1 2 6 1 12 31111 6 M59 19000*")</f>
        <v>0</v>
      </c>
      <c r="H6513" s="35">
        <f t="shared" si="102"/>
        <v>1200760.42</v>
      </c>
      <c r="I6513" s="35"/>
      <c r="K6513" t="s">
        <v>15</v>
      </c>
    </row>
    <row r="6514" spans="2:11" ht="16.5" x14ac:dyDescent="0.2">
      <c r="B6514" s="33" t="s">
        <v>7525</v>
      </c>
      <c r="C6514" s="33" t="s">
        <v>648</v>
      </c>
      <c r="D6514" s="35">
        <f>SUMIFS(D6515:D9015,K6515:K9015,"0",B6515:B9015,"5 1 2 6 1 12 31111 6 M59 19000 000132*")-SUMIFS(E6515:E9015,K6515:K9015,"0",B6515:B9015,"5 1 2 6 1 12 31111 6 M59 19000 000132*")</f>
        <v>0</v>
      </c>
      <c r="E6514"/>
      <c r="F6514" s="35">
        <f>SUMIFS(F6515:F9015,K6515:K9015,"0",B6515:B9015,"5 1 2 6 1 12 31111 6 M59 19000 000132*")</f>
        <v>1200760.42</v>
      </c>
      <c r="G6514" s="35">
        <f>SUMIFS(G6515:G9015,K6515:K9015,"0",B6515:B9015,"5 1 2 6 1 12 31111 6 M59 19000 000132*")</f>
        <v>0</v>
      </c>
      <c r="H6514" s="35">
        <f t="shared" si="102"/>
        <v>1200760.42</v>
      </c>
      <c r="I6514" s="35"/>
      <c r="K6514" t="s">
        <v>15</v>
      </c>
    </row>
    <row r="6515" spans="2:11" ht="24.75" x14ac:dyDescent="0.2">
      <c r="B6515" s="33" t="s">
        <v>7526</v>
      </c>
      <c r="C6515" s="33" t="s">
        <v>650</v>
      </c>
      <c r="D6515" s="35">
        <f>SUMIFS(D6516:D9015,K6516:K9015,"0",B6516:B9015,"5 1 2 6 1 12 31111 6 M59 19000 000132 0000R*")-SUMIFS(E6516:E9015,K6516:K9015,"0",B6516:B9015,"5 1 2 6 1 12 31111 6 M59 19000 000132 0000R*")</f>
        <v>0</v>
      </c>
      <c r="E6515"/>
      <c r="F6515" s="35">
        <f>SUMIFS(F6516:F9015,K6516:K9015,"0",B6516:B9015,"5 1 2 6 1 12 31111 6 M59 19000 000132 0000R*")</f>
        <v>1200760.42</v>
      </c>
      <c r="G6515" s="35">
        <f>SUMIFS(G6516:G9015,K6516:K9015,"0",B6516:B9015,"5 1 2 6 1 12 31111 6 M59 19000 000132 0000R*")</f>
        <v>0</v>
      </c>
      <c r="H6515" s="35">
        <f t="shared" si="102"/>
        <v>1200760.42</v>
      </c>
      <c r="I6515" s="35"/>
      <c r="K6515" t="s">
        <v>15</v>
      </c>
    </row>
    <row r="6516" spans="2:11" ht="24.75" x14ac:dyDescent="0.2">
      <c r="B6516" s="33" t="s">
        <v>7527</v>
      </c>
      <c r="C6516" s="33" t="s">
        <v>282</v>
      </c>
      <c r="D6516" s="35">
        <f>SUMIFS(D6517:D9015,K6517:K9015,"0",B6517:B9015,"5 1 2 6 1 12 31111 6 M59 19000 000132 0000R 00001*")-SUMIFS(E6517:E9015,K6517:K9015,"0",B6517:B9015,"5 1 2 6 1 12 31111 6 M59 19000 000132 0000R 00001*")</f>
        <v>0</v>
      </c>
      <c r="E6516"/>
      <c r="F6516" s="35">
        <f>SUMIFS(F6517:F9015,K6517:K9015,"0",B6517:B9015,"5 1 2 6 1 12 31111 6 M59 19000 000132 0000R 00001*")</f>
        <v>1200760.42</v>
      </c>
      <c r="G6516" s="35">
        <f>SUMIFS(G6517:G9015,K6517:K9015,"0",B6517:B9015,"5 1 2 6 1 12 31111 6 M59 19000 000132 0000R 00001*")</f>
        <v>0</v>
      </c>
      <c r="H6516" s="35">
        <f t="shared" si="102"/>
        <v>1200760.42</v>
      </c>
      <c r="I6516" s="35"/>
      <c r="K6516" t="s">
        <v>15</v>
      </c>
    </row>
    <row r="6517" spans="2:11" ht="24.75" x14ac:dyDescent="0.2">
      <c r="B6517" s="33" t="s">
        <v>7528</v>
      </c>
      <c r="C6517" s="33" t="s">
        <v>7511</v>
      </c>
      <c r="D6517" s="35">
        <f>SUMIFS(D6518:D9015,K6518:K9015,"0",B6518:B9015,"5 1 2 6 1 12 31111 6 M59 19000 000132 0000R 00001 00261*")-SUMIFS(E6518:E9015,K6518:K9015,"0",B6518:B9015,"5 1 2 6 1 12 31111 6 M59 19000 000132 0000R 00001 00261*")</f>
        <v>0</v>
      </c>
      <c r="E6517"/>
      <c r="F6517" s="35">
        <f>SUMIFS(F6518:F9015,K6518:K9015,"0",B6518:B9015,"5 1 2 6 1 12 31111 6 M59 19000 000132 0000R 00001 00261*")</f>
        <v>1200760.42</v>
      </c>
      <c r="G6517" s="35">
        <f>SUMIFS(G6518:G9015,K6518:K9015,"0",B6518:B9015,"5 1 2 6 1 12 31111 6 M59 19000 000132 0000R 00001 00261*")</f>
        <v>0</v>
      </c>
      <c r="H6517" s="35">
        <f t="shared" si="102"/>
        <v>1200760.42</v>
      </c>
      <c r="I6517" s="35"/>
      <c r="K6517" t="s">
        <v>15</v>
      </c>
    </row>
    <row r="6518" spans="2:11" ht="33" x14ac:dyDescent="0.2">
      <c r="B6518" s="33" t="s">
        <v>7529</v>
      </c>
      <c r="C6518" s="33" t="s">
        <v>699</v>
      </c>
      <c r="D6518" s="35">
        <f>SUMIFS(D6519:D9015,K6519:K9015,"0",B6519:B9015,"5 1 2 6 1 12 31111 6 M59 19000 000132 0000R 00001 00261 011*")-SUMIFS(E6519:E9015,K6519:K9015,"0",B6519:B9015,"5 1 2 6 1 12 31111 6 M59 19000 000132 0000R 00001 00261 011*")</f>
        <v>0</v>
      </c>
      <c r="E6518"/>
      <c r="F6518" s="35">
        <f>SUMIFS(F6519:F9015,K6519:K9015,"0",B6519:B9015,"5 1 2 6 1 12 31111 6 M59 19000 000132 0000R 00001 00261 011*")</f>
        <v>1200760.42</v>
      </c>
      <c r="G6518" s="35">
        <f>SUMIFS(G6519:G9015,K6519:K9015,"0",B6519:B9015,"5 1 2 6 1 12 31111 6 M59 19000 000132 0000R 00001 00261 011*")</f>
        <v>0</v>
      </c>
      <c r="H6518" s="35">
        <f t="shared" si="102"/>
        <v>1200760.42</v>
      </c>
      <c r="I6518" s="35"/>
      <c r="K6518" t="s">
        <v>15</v>
      </c>
    </row>
    <row r="6519" spans="2:11" ht="33" x14ac:dyDescent="0.2">
      <c r="B6519" s="33" t="s">
        <v>7530</v>
      </c>
      <c r="C6519" s="33" t="s">
        <v>5830</v>
      </c>
      <c r="D6519" s="35">
        <f>SUMIFS(D6520:D9015,K6520:K9015,"0",B6520:B9015,"5 1 2 6 1 12 31111 6 M59 19000 000132 0000R 00001 00261 011 2112000*")-SUMIFS(E6520:E9015,K6520:K9015,"0",B6520:B9015,"5 1 2 6 1 12 31111 6 M59 19000 000132 0000R 00001 00261 011 2112000*")</f>
        <v>0</v>
      </c>
      <c r="E6519"/>
      <c r="F6519" s="35">
        <f>SUMIFS(F6520:F9015,K6520:K9015,"0",B6520:B9015,"5 1 2 6 1 12 31111 6 M59 19000 000132 0000R 00001 00261 011 2112000*")</f>
        <v>1200760.42</v>
      </c>
      <c r="G6519" s="35">
        <f>SUMIFS(G6520:G9015,K6520:K9015,"0",B6520:B9015,"5 1 2 6 1 12 31111 6 M59 19000 000132 0000R 00001 00261 011 2112000*")</f>
        <v>0</v>
      </c>
      <c r="H6519" s="35">
        <f t="shared" si="102"/>
        <v>1200760.42</v>
      </c>
      <c r="I6519" s="35"/>
      <c r="K6519" t="s">
        <v>15</v>
      </c>
    </row>
    <row r="6520" spans="2:11" ht="33" x14ac:dyDescent="0.2">
      <c r="B6520" s="33" t="s">
        <v>7531</v>
      </c>
      <c r="C6520" s="33" t="s">
        <v>660</v>
      </c>
      <c r="D6520" s="35">
        <f>SUMIFS(D6521:D9015,K6521:K9015,"0",B6521:B9015,"5 1 2 6 1 12 31111 6 M59 19000 000132 0000R 00001 00261 011 2112000 2024*")-SUMIFS(E6521:E9015,K6521:K9015,"0",B6521:B9015,"5 1 2 6 1 12 31111 6 M59 19000 000132 0000R 00001 00261 011 2112000 2024*")</f>
        <v>0</v>
      </c>
      <c r="E6520"/>
      <c r="F6520" s="35">
        <f>SUMIFS(F6521:F9015,K6521:K9015,"0",B6521:B9015,"5 1 2 6 1 12 31111 6 M59 19000 000132 0000R 00001 00261 011 2112000 2024*")</f>
        <v>1200760.42</v>
      </c>
      <c r="G6520" s="35">
        <f>SUMIFS(G6521:G9015,K6521:K9015,"0",B6521:B9015,"5 1 2 6 1 12 31111 6 M59 19000 000132 0000R 00001 00261 011 2112000 2024*")</f>
        <v>0</v>
      </c>
      <c r="H6520" s="35">
        <f t="shared" si="102"/>
        <v>1200760.42</v>
      </c>
      <c r="I6520" s="35"/>
      <c r="K6520" t="s">
        <v>15</v>
      </c>
    </row>
    <row r="6521" spans="2:11" ht="41.25" x14ac:dyDescent="0.2">
      <c r="B6521" s="33" t="s">
        <v>7532</v>
      </c>
      <c r="C6521" s="33" t="s">
        <v>662</v>
      </c>
      <c r="D6521" s="35">
        <f>SUMIFS(D6522:D9015,K6522:K9015,"0",B6522:B9015,"5 1 2 6 1 12 31111 6 M59 19000 000132 0000R 00001 00261 011 2112000 2024 CP1TM440*")-SUMIFS(E6522:E9015,K6522:K9015,"0",B6522:B9015,"5 1 2 6 1 12 31111 6 M59 19000 000132 0000R 00001 00261 011 2112000 2024 CP1TM440*")</f>
        <v>0</v>
      </c>
      <c r="E6521"/>
      <c r="F6521" s="35">
        <f>SUMIFS(F6522:F9015,K6522:K9015,"0",B6522:B9015,"5 1 2 6 1 12 31111 6 M59 19000 000132 0000R 00001 00261 011 2112000 2024 CP1TM440*")</f>
        <v>1200760.42</v>
      </c>
      <c r="G6521" s="35">
        <f>SUMIFS(G6522:G9015,K6522:K9015,"0",B6522:B9015,"5 1 2 6 1 12 31111 6 M59 19000 000132 0000R 00001 00261 011 2112000 2024 CP1TM440*")</f>
        <v>0</v>
      </c>
      <c r="H6521" s="35">
        <f t="shared" si="102"/>
        <v>1200760.42</v>
      </c>
      <c r="I6521" s="35"/>
      <c r="K6521" t="s">
        <v>15</v>
      </c>
    </row>
    <row r="6522" spans="2:11" ht="41.25" x14ac:dyDescent="0.2">
      <c r="B6522" s="33" t="s">
        <v>7533</v>
      </c>
      <c r="C6522" s="33" t="s">
        <v>46</v>
      </c>
      <c r="D6522" s="35">
        <f>SUMIFS(D6523:D9015,K6523:K9015,"0",B6523:B9015,"5 1 2 6 1 12 31111 6 M59 19000 000132 0000R 00001 00261 011 2112000 2024 CP1TM440 004*")-SUMIFS(E6523:E9015,K6523:K9015,"0",B6523:B9015,"5 1 2 6 1 12 31111 6 M59 19000 000132 0000R 00001 00261 011 2112000 2024 CP1TM440 004*")</f>
        <v>0</v>
      </c>
      <c r="E6522"/>
      <c r="F6522" s="35">
        <f>SUMIFS(F6523:F9015,K6523:K9015,"0",B6523:B9015,"5 1 2 6 1 12 31111 6 M59 19000 000132 0000R 00001 00261 011 2112000 2024 CP1TM440 004*")</f>
        <v>1200760.42</v>
      </c>
      <c r="G6522" s="35">
        <f>SUMIFS(G6523:G9015,K6523:K9015,"0",B6523:B9015,"5 1 2 6 1 12 31111 6 M59 19000 000132 0000R 00001 00261 011 2112000 2024 CP1TM440 004*")</f>
        <v>0</v>
      </c>
      <c r="H6522" s="35">
        <f t="shared" si="102"/>
        <v>1200760.42</v>
      </c>
      <c r="I6522" s="35"/>
      <c r="K6522" t="s">
        <v>15</v>
      </c>
    </row>
    <row r="6523" spans="2:11" ht="33" x14ac:dyDescent="0.2">
      <c r="B6523" s="31" t="s">
        <v>7534</v>
      </c>
      <c r="C6523" s="31" t="s">
        <v>7511</v>
      </c>
      <c r="D6523" s="34">
        <v>0</v>
      </c>
      <c r="E6523" s="34"/>
      <c r="F6523" s="34">
        <v>1200760.42</v>
      </c>
      <c r="G6523" s="34">
        <v>0</v>
      </c>
      <c r="H6523" s="34">
        <f t="shared" si="102"/>
        <v>1200760.42</v>
      </c>
      <c r="I6523" s="34"/>
      <c r="K6523" t="s">
        <v>38</v>
      </c>
    </row>
    <row r="6524" spans="2:11" ht="16.5" x14ac:dyDescent="0.2">
      <c r="B6524" s="33" t="s">
        <v>7535</v>
      </c>
      <c r="C6524" s="33" t="s">
        <v>1044</v>
      </c>
      <c r="D6524" s="35">
        <f>SUMIFS(D6525:D9015,K6525:K9015,"0",B6525:B9015,"5 1 2 6 1 12 31111 6 M59 20000*")-SUMIFS(E6525:E9015,K6525:K9015,"0",B6525:B9015,"5 1 2 6 1 12 31111 6 M59 20000*")</f>
        <v>0</v>
      </c>
      <c r="E6524"/>
      <c r="F6524" s="35">
        <f>SUMIFS(F6525:F9015,K6525:K9015,"0",B6525:B9015,"5 1 2 6 1 12 31111 6 M59 20000*")</f>
        <v>349.16</v>
      </c>
      <c r="G6524" s="35">
        <f>SUMIFS(G6525:G9015,K6525:K9015,"0",B6525:B9015,"5 1 2 6 1 12 31111 6 M59 20000*")</f>
        <v>0</v>
      </c>
      <c r="H6524" s="35">
        <f t="shared" si="102"/>
        <v>349.16</v>
      </c>
      <c r="I6524" s="35"/>
      <c r="K6524" t="s">
        <v>15</v>
      </c>
    </row>
    <row r="6525" spans="2:11" ht="16.5" x14ac:dyDescent="0.2">
      <c r="B6525" s="33" t="s">
        <v>7536</v>
      </c>
      <c r="C6525" s="33" t="s">
        <v>648</v>
      </c>
      <c r="D6525" s="35">
        <f>SUMIFS(D6526:D9015,K6526:K9015,"0",B6526:B9015,"5 1 2 6 1 12 31111 6 M59 20000 000132*")-SUMIFS(E6526:E9015,K6526:K9015,"0",B6526:B9015,"5 1 2 6 1 12 31111 6 M59 20000 000132*")</f>
        <v>0</v>
      </c>
      <c r="E6525"/>
      <c r="F6525" s="35">
        <f>SUMIFS(F6526:F9015,K6526:K9015,"0",B6526:B9015,"5 1 2 6 1 12 31111 6 M59 20000 000132*")</f>
        <v>349.16</v>
      </c>
      <c r="G6525" s="35">
        <f>SUMIFS(G6526:G9015,K6526:K9015,"0",B6526:B9015,"5 1 2 6 1 12 31111 6 M59 20000 000132*")</f>
        <v>0</v>
      </c>
      <c r="H6525" s="35">
        <f t="shared" si="102"/>
        <v>349.16</v>
      </c>
      <c r="I6525" s="35"/>
      <c r="K6525" t="s">
        <v>15</v>
      </c>
    </row>
    <row r="6526" spans="2:11" ht="24.75" x14ac:dyDescent="0.2">
      <c r="B6526" s="33" t="s">
        <v>7537</v>
      </c>
      <c r="C6526" s="33" t="s">
        <v>650</v>
      </c>
      <c r="D6526" s="35">
        <f>SUMIFS(D6527:D9015,K6527:K9015,"0",B6527:B9015,"5 1 2 6 1 12 31111 6 M59 20000 000132 0000R*")-SUMIFS(E6527:E9015,K6527:K9015,"0",B6527:B9015,"5 1 2 6 1 12 31111 6 M59 20000 000132 0000R*")</f>
        <v>0</v>
      </c>
      <c r="E6526"/>
      <c r="F6526" s="35">
        <f>SUMIFS(F6527:F9015,K6527:K9015,"0",B6527:B9015,"5 1 2 6 1 12 31111 6 M59 20000 000132 0000R*")</f>
        <v>349.16</v>
      </c>
      <c r="G6526" s="35">
        <f>SUMIFS(G6527:G9015,K6527:K9015,"0",B6527:B9015,"5 1 2 6 1 12 31111 6 M59 20000 000132 0000R*")</f>
        <v>0</v>
      </c>
      <c r="H6526" s="35">
        <f t="shared" si="102"/>
        <v>349.16</v>
      </c>
      <c r="I6526" s="35"/>
      <c r="K6526" t="s">
        <v>15</v>
      </c>
    </row>
    <row r="6527" spans="2:11" ht="24.75" x14ac:dyDescent="0.2">
      <c r="B6527" s="33" t="s">
        <v>7538</v>
      </c>
      <c r="C6527" s="33" t="s">
        <v>282</v>
      </c>
      <c r="D6527" s="35">
        <f>SUMIFS(D6528:D9015,K6528:K9015,"0",B6528:B9015,"5 1 2 6 1 12 31111 6 M59 20000 000132 0000R 00001*")-SUMIFS(E6528:E9015,K6528:K9015,"0",B6528:B9015,"5 1 2 6 1 12 31111 6 M59 20000 000132 0000R 00001*")</f>
        <v>0</v>
      </c>
      <c r="E6527"/>
      <c r="F6527" s="35">
        <f>SUMIFS(F6528:F9015,K6528:K9015,"0",B6528:B9015,"5 1 2 6 1 12 31111 6 M59 20000 000132 0000R 00001*")</f>
        <v>349.16</v>
      </c>
      <c r="G6527" s="35">
        <f>SUMIFS(G6528:G9015,K6528:K9015,"0",B6528:B9015,"5 1 2 6 1 12 31111 6 M59 20000 000132 0000R 00001*")</f>
        <v>0</v>
      </c>
      <c r="H6527" s="35">
        <f t="shared" si="102"/>
        <v>349.16</v>
      </c>
      <c r="I6527" s="35"/>
      <c r="K6527" t="s">
        <v>15</v>
      </c>
    </row>
    <row r="6528" spans="2:11" ht="24.75" x14ac:dyDescent="0.2">
      <c r="B6528" s="33" t="s">
        <v>7539</v>
      </c>
      <c r="C6528" s="33" t="s">
        <v>7511</v>
      </c>
      <c r="D6528" s="35">
        <f>SUMIFS(D6529:D9015,K6529:K9015,"0",B6529:B9015,"5 1 2 6 1 12 31111 6 M59 20000 000132 0000R 00001 00261*")-SUMIFS(E6529:E9015,K6529:K9015,"0",B6529:B9015,"5 1 2 6 1 12 31111 6 M59 20000 000132 0000R 00001 00261*")</f>
        <v>0</v>
      </c>
      <c r="E6528"/>
      <c r="F6528" s="35">
        <f>SUMIFS(F6529:F9015,K6529:K9015,"0",B6529:B9015,"5 1 2 6 1 12 31111 6 M59 20000 000132 0000R 00001 00261*")</f>
        <v>349.16</v>
      </c>
      <c r="G6528" s="35">
        <f>SUMIFS(G6529:G9015,K6529:K9015,"0",B6529:B9015,"5 1 2 6 1 12 31111 6 M59 20000 000132 0000R 00001 00261*")</f>
        <v>0</v>
      </c>
      <c r="H6528" s="35">
        <f t="shared" si="102"/>
        <v>349.16</v>
      </c>
      <c r="I6528" s="35"/>
      <c r="K6528" t="s">
        <v>15</v>
      </c>
    </row>
    <row r="6529" spans="2:11" ht="33" x14ac:dyDescent="0.2">
      <c r="B6529" s="33" t="s">
        <v>7540</v>
      </c>
      <c r="C6529" s="33" t="s">
        <v>1051</v>
      </c>
      <c r="D6529" s="35">
        <f>SUMIFS(D6530:D9015,K6530:K9015,"0",B6530:B9015,"5 1 2 6 1 12 31111 6 M59 20000 000132 0000R 00001 00261 015*")-SUMIFS(E6530:E9015,K6530:K9015,"0",B6530:B9015,"5 1 2 6 1 12 31111 6 M59 20000 000132 0000R 00001 00261 015*")</f>
        <v>0</v>
      </c>
      <c r="E6529"/>
      <c r="F6529" s="35">
        <f>SUMIFS(F6530:F9015,K6530:K9015,"0",B6530:B9015,"5 1 2 6 1 12 31111 6 M59 20000 000132 0000R 00001 00261 015*")</f>
        <v>349.16</v>
      </c>
      <c r="G6529" s="35">
        <f>SUMIFS(G6530:G9015,K6530:K9015,"0",B6530:B9015,"5 1 2 6 1 12 31111 6 M59 20000 000132 0000R 00001 00261 015*")</f>
        <v>0</v>
      </c>
      <c r="H6529" s="35">
        <f t="shared" si="102"/>
        <v>349.16</v>
      </c>
      <c r="I6529" s="35"/>
      <c r="K6529" t="s">
        <v>15</v>
      </c>
    </row>
    <row r="6530" spans="2:11" ht="33" x14ac:dyDescent="0.2">
      <c r="B6530" s="33" t="s">
        <v>7541</v>
      </c>
      <c r="C6530" s="33" t="s">
        <v>5830</v>
      </c>
      <c r="D6530" s="35">
        <f>SUMIFS(D6531:D9015,K6531:K9015,"0",B6531:B9015,"5 1 2 6 1 12 31111 6 M59 20000 000132 0000R 00001 00261 015 2112000*")-SUMIFS(E6531:E9015,K6531:K9015,"0",B6531:B9015,"5 1 2 6 1 12 31111 6 M59 20000 000132 0000R 00001 00261 015 2112000*")</f>
        <v>0</v>
      </c>
      <c r="E6530"/>
      <c r="F6530" s="35">
        <f>SUMIFS(F6531:F9015,K6531:K9015,"0",B6531:B9015,"5 1 2 6 1 12 31111 6 M59 20000 000132 0000R 00001 00261 015 2112000*")</f>
        <v>349.16</v>
      </c>
      <c r="G6530" s="35">
        <f>SUMIFS(G6531:G9015,K6531:K9015,"0",B6531:B9015,"5 1 2 6 1 12 31111 6 M59 20000 000132 0000R 00001 00261 015 2112000*")</f>
        <v>0</v>
      </c>
      <c r="H6530" s="35">
        <f t="shared" si="102"/>
        <v>349.16</v>
      </c>
      <c r="I6530" s="35"/>
      <c r="K6530" t="s">
        <v>15</v>
      </c>
    </row>
    <row r="6531" spans="2:11" ht="33" x14ac:dyDescent="0.2">
      <c r="B6531" s="33" t="s">
        <v>7542</v>
      </c>
      <c r="C6531" s="33" t="s">
        <v>660</v>
      </c>
      <c r="D6531" s="35">
        <f>SUMIFS(D6532:D9015,K6532:K9015,"0",B6532:B9015,"5 1 2 6 1 12 31111 6 M59 20000 000132 0000R 00001 00261 015 2112000 2024*")-SUMIFS(E6532:E9015,K6532:K9015,"0",B6532:B9015,"5 1 2 6 1 12 31111 6 M59 20000 000132 0000R 00001 00261 015 2112000 2024*")</f>
        <v>0</v>
      </c>
      <c r="E6531"/>
      <c r="F6531" s="35">
        <f>SUMIFS(F6532:F9015,K6532:K9015,"0",B6532:B9015,"5 1 2 6 1 12 31111 6 M59 20000 000132 0000R 00001 00261 015 2112000 2024*")</f>
        <v>349.16</v>
      </c>
      <c r="G6531" s="35">
        <f>SUMIFS(G6532:G9015,K6532:K9015,"0",B6532:B9015,"5 1 2 6 1 12 31111 6 M59 20000 000132 0000R 00001 00261 015 2112000 2024*")</f>
        <v>0</v>
      </c>
      <c r="H6531" s="35">
        <f t="shared" si="102"/>
        <v>349.16</v>
      </c>
      <c r="I6531" s="35"/>
      <c r="K6531" t="s">
        <v>15</v>
      </c>
    </row>
    <row r="6532" spans="2:11" ht="41.25" x14ac:dyDescent="0.2">
      <c r="B6532" s="33" t="s">
        <v>7543</v>
      </c>
      <c r="C6532" s="33" t="s">
        <v>1056</v>
      </c>
      <c r="D6532" s="35">
        <f>SUMIFS(D6533:D9015,K6533:K9015,"0",B6533:B9015,"5 1 2 6 1 12 31111 6 M59 20000 000132 0000R 00001 00261 015 2112000 2024 CP1AF389*")-SUMIFS(E6533:E9015,K6533:K9015,"0",B6533:B9015,"5 1 2 6 1 12 31111 6 M59 20000 000132 0000R 00001 00261 015 2112000 2024 CP1AF389*")</f>
        <v>0</v>
      </c>
      <c r="E6532"/>
      <c r="F6532" s="35">
        <f>SUMIFS(F6533:F9015,K6533:K9015,"0",B6533:B9015,"5 1 2 6 1 12 31111 6 M59 20000 000132 0000R 00001 00261 015 2112000 2024 CP1AF389*")</f>
        <v>349.16</v>
      </c>
      <c r="G6532" s="35">
        <f>SUMIFS(G6533:G9015,K6533:K9015,"0",B6533:B9015,"5 1 2 6 1 12 31111 6 M59 20000 000132 0000R 00001 00261 015 2112000 2024 CP1AF389*")</f>
        <v>0</v>
      </c>
      <c r="H6532" s="35">
        <f t="shared" ref="H6532:H6595" si="103">D6532 + F6532 - G6532</f>
        <v>349.16</v>
      </c>
      <c r="I6532" s="35"/>
      <c r="K6532" t="s">
        <v>15</v>
      </c>
    </row>
    <row r="6533" spans="2:11" ht="41.25" x14ac:dyDescent="0.2">
      <c r="B6533" s="33" t="s">
        <v>7544</v>
      </c>
      <c r="C6533" s="33" t="s">
        <v>282</v>
      </c>
      <c r="D6533" s="35">
        <f>SUMIFS(D6534:D9015,K6534:K9015,"0",B6534:B9015,"5 1 2 6 1 12 31111 6 M59 20000 000132 0000R 00001 00261 015 2112000 2024 CP1AF389 001*")-SUMIFS(E6534:E9015,K6534:K9015,"0",B6534:B9015,"5 1 2 6 1 12 31111 6 M59 20000 000132 0000R 00001 00261 015 2112000 2024 CP1AF389 001*")</f>
        <v>0</v>
      </c>
      <c r="E6533"/>
      <c r="F6533" s="35">
        <f>SUMIFS(F6534:F9015,K6534:K9015,"0",B6534:B9015,"5 1 2 6 1 12 31111 6 M59 20000 000132 0000R 00001 00261 015 2112000 2024 CP1AF389 001*")</f>
        <v>349.16</v>
      </c>
      <c r="G6533" s="35">
        <f>SUMIFS(G6534:G9015,K6534:K9015,"0",B6534:B9015,"5 1 2 6 1 12 31111 6 M59 20000 000132 0000R 00001 00261 015 2112000 2024 CP1AF389 001*")</f>
        <v>0</v>
      </c>
      <c r="H6533" s="35">
        <f t="shared" si="103"/>
        <v>349.16</v>
      </c>
      <c r="I6533" s="35"/>
      <c r="K6533" t="s">
        <v>15</v>
      </c>
    </row>
    <row r="6534" spans="2:11" ht="41.25" x14ac:dyDescent="0.2">
      <c r="B6534" s="31" t="s">
        <v>7545</v>
      </c>
      <c r="C6534" s="31" t="s">
        <v>540</v>
      </c>
      <c r="D6534" s="34">
        <v>0</v>
      </c>
      <c r="E6534" s="34"/>
      <c r="F6534" s="34">
        <v>349.16</v>
      </c>
      <c r="G6534" s="34">
        <v>0</v>
      </c>
      <c r="H6534" s="34">
        <f t="shared" si="103"/>
        <v>349.16</v>
      </c>
      <c r="I6534" s="34"/>
      <c r="K6534" t="s">
        <v>38</v>
      </c>
    </row>
    <row r="6535" spans="2:11" ht="16.5" x14ac:dyDescent="0.2">
      <c r="B6535" s="33" t="s">
        <v>7546</v>
      </c>
      <c r="C6535" s="33" t="s">
        <v>1061</v>
      </c>
      <c r="D6535" s="35">
        <f>SUMIFS(D6536:D9015,K6536:K9015,"0",B6536:B9015,"5 1 2 6 1 12 31111 6 M59 20300*")-SUMIFS(E6536:E9015,K6536:K9015,"0",B6536:B9015,"5 1 2 6 1 12 31111 6 M59 20300*")</f>
        <v>0</v>
      </c>
      <c r="E6535"/>
      <c r="F6535" s="35">
        <f>SUMIFS(F6536:F9015,K6536:K9015,"0",B6536:B9015,"5 1 2 6 1 12 31111 6 M59 20300*")</f>
        <v>37649.480000000003</v>
      </c>
      <c r="G6535" s="35">
        <f>SUMIFS(G6536:G9015,K6536:K9015,"0",B6536:B9015,"5 1 2 6 1 12 31111 6 M59 20300*")</f>
        <v>0</v>
      </c>
      <c r="H6535" s="35">
        <f t="shared" si="103"/>
        <v>37649.480000000003</v>
      </c>
      <c r="I6535" s="35"/>
      <c r="K6535" t="s">
        <v>15</v>
      </c>
    </row>
    <row r="6536" spans="2:11" ht="16.5" x14ac:dyDescent="0.2">
      <c r="B6536" s="33" t="s">
        <v>7547</v>
      </c>
      <c r="C6536" s="33" t="s">
        <v>648</v>
      </c>
      <c r="D6536" s="35">
        <f>SUMIFS(D6537:D9015,K6537:K9015,"0",B6537:B9015,"5 1 2 6 1 12 31111 6 M59 20300 000132*")-SUMIFS(E6537:E9015,K6537:K9015,"0",B6537:B9015,"5 1 2 6 1 12 31111 6 M59 20300 000132*")</f>
        <v>0</v>
      </c>
      <c r="E6536"/>
      <c r="F6536" s="35">
        <f>SUMIFS(F6537:F9015,K6537:K9015,"0",B6537:B9015,"5 1 2 6 1 12 31111 6 M59 20300 000132*")</f>
        <v>600</v>
      </c>
      <c r="G6536" s="35">
        <f>SUMIFS(G6537:G9015,K6537:K9015,"0",B6537:B9015,"5 1 2 6 1 12 31111 6 M59 20300 000132*")</f>
        <v>0</v>
      </c>
      <c r="H6536" s="35">
        <f t="shared" si="103"/>
        <v>600</v>
      </c>
      <c r="I6536" s="35"/>
      <c r="K6536" t="s">
        <v>15</v>
      </c>
    </row>
    <row r="6537" spans="2:11" ht="24.75" x14ac:dyDescent="0.2">
      <c r="B6537" s="33" t="s">
        <v>7548</v>
      </c>
      <c r="C6537" s="33" t="s">
        <v>650</v>
      </c>
      <c r="D6537" s="35">
        <f>SUMIFS(D6538:D9015,K6538:K9015,"0",B6538:B9015,"5 1 2 6 1 12 31111 6 M59 20300 000132 0000R*")-SUMIFS(E6538:E9015,K6538:K9015,"0",B6538:B9015,"5 1 2 6 1 12 31111 6 M59 20300 000132 0000R*")</f>
        <v>0</v>
      </c>
      <c r="E6537"/>
      <c r="F6537" s="35">
        <f>SUMIFS(F6538:F9015,K6538:K9015,"0",B6538:B9015,"5 1 2 6 1 12 31111 6 M59 20300 000132 0000R*")</f>
        <v>600</v>
      </c>
      <c r="G6537" s="35">
        <f>SUMIFS(G6538:G9015,K6538:K9015,"0",B6538:B9015,"5 1 2 6 1 12 31111 6 M59 20300 000132 0000R*")</f>
        <v>0</v>
      </c>
      <c r="H6537" s="35">
        <f t="shared" si="103"/>
        <v>600</v>
      </c>
      <c r="I6537" s="35"/>
      <c r="K6537" t="s">
        <v>15</v>
      </c>
    </row>
    <row r="6538" spans="2:11" ht="24.75" x14ac:dyDescent="0.2">
      <c r="B6538" s="33" t="s">
        <v>7549</v>
      </c>
      <c r="C6538" s="33" t="s">
        <v>282</v>
      </c>
      <c r="D6538" s="35">
        <f>SUMIFS(D6539:D9015,K6539:K9015,"0",B6539:B9015,"5 1 2 6 1 12 31111 6 M59 20300 000132 0000R 00001*")-SUMIFS(E6539:E9015,K6539:K9015,"0",B6539:B9015,"5 1 2 6 1 12 31111 6 M59 20300 000132 0000R 00001*")</f>
        <v>0</v>
      </c>
      <c r="E6538"/>
      <c r="F6538" s="35">
        <f>SUMIFS(F6539:F9015,K6539:K9015,"0",B6539:B9015,"5 1 2 6 1 12 31111 6 M59 20300 000132 0000R 00001*")</f>
        <v>600</v>
      </c>
      <c r="G6538" s="35">
        <f>SUMIFS(G6539:G9015,K6539:K9015,"0",B6539:B9015,"5 1 2 6 1 12 31111 6 M59 20300 000132 0000R 00001*")</f>
        <v>0</v>
      </c>
      <c r="H6538" s="35">
        <f t="shared" si="103"/>
        <v>600</v>
      </c>
      <c r="I6538" s="35"/>
      <c r="K6538" t="s">
        <v>15</v>
      </c>
    </row>
    <row r="6539" spans="2:11" ht="24.75" x14ac:dyDescent="0.2">
      <c r="B6539" s="33" t="s">
        <v>7550</v>
      </c>
      <c r="C6539" s="33" t="s">
        <v>7511</v>
      </c>
      <c r="D6539" s="35">
        <f>SUMIFS(D6540:D9015,K6540:K9015,"0",B6540:B9015,"5 1 2 6 1 12 31111 6 M59 20300 000132 0000R 00001 00261*")-SUMIFS(E6540:E9015,K6540:K9015,"0",B6540:B9015,"5 1 2 6 1 12 31111 6 M59 20300 000132 0000R 00001 00261*")</f>
        <v>0</v>
      </c>
      <c r="E6539"/>
      <c r="F6539" s="35">
        <f>SUMIFS(F6540:F9015,K6540:K9015,"0",B6540:B9015,"5 1 2 6 1 12 31111 6 M59 20300 000132 0000R 00001 00261*")</f>
        <v>600</v>
      </c>
      <c r="G6539" s="35">
        <f>SUMIFS(G6540:G9015,K6540:K9015,"0",B6540:B9015,"5 1 2 6 1 12 31111 6 M59 20300 000132 0000R 00001 00261*")</f>
        <v>0</v>
      </c>
      <c r="H6539" s="35">
        <f t="shared" si="103"/>
        <v>600</v>
      </c>
      <c r="I6539" s="35"/>
      <c r="K6539" t="s">
        <v>15</v>
      </c>
    </row>
    <row r="6540" spans="2:11" ht="33" x14ac:dyDescent="0.2">
      <c r="B6540" s="33" t="s">
        <v>7551</v>
      </c>
      <c r="C6540" s="33" t="s">
        <v>1051</v>
      </c>
      <c r="D6540" s="35">
        <f>SUMIFS(D6541:D9015,K6541:K9015,"0",B6541:B9015,"5 1 2 6 1 12 31111 6 M59 20300 000132 0000R 00001 00261 015*")-SUMIFS(E6541:E9015,K6541:K9015,"0",B6541:B9015,"5 1 2 6 1 12 31111 6 M59 20300 000132 0000R 00001 00261 015*")</f>
        <v>0</v>
      </c>
      <c r="E6540"/>
      <c r="F6540" s="35">
        <f>SUMIFS(F6541:F9015,K6541:K9015,"0",B6541:B9015,"5 1 2 6 1 12 31111 6 M59 20300 000132 0000R 00001 00261 015*")</f>
        <v>600</v>
      </c>
      <c r="G6540" s="35">
        <f>SUMIFS(G6541:G9015,K6541:K9015,"0",B6541:B9015,"5 1 2 6 1 12 31111 6 M59 20300 000132 0000R 00001 00261 015*")</f>
        <v>0</v>
      </c>
      <c r="H6540" s="35">
        <f t="shared" si="103"/>
        <v>600</v>
      </c>
      <c r="I6540" s="35"/>
      <c r="K6540" t="s">
        <v>15</v>
      </c>
    </row>
    <row r="6541" spans="2:11" ht="33" x14ac:dyDescent="0.2">
      <c r="B6541" s="33" t="s">
        <v>7552</v>
      </c>
      <c r="C6541" s="33" t="s">
        <v>5830</v>
      </c>
      <c r="D6541" s="35">
        <f>SUMIFS(D6542:D9015,K6542:K9015,"0",B6542:B9015,"5 1 2 6 1 12 31111 6 M59 20300 000132 0000R 00001 00261 015 2112000*")-SUMIFS(E6542:E9015,K6542:K9015,"0",B6542:B9015,"5 1 2 6 1 12 31111 6 M59 20300 000132 0000R 00001 00261 015 2112000*")</f>
        <v>0</v>
      </c>
      <c r="E6541"/>
      <c r="F6541" s="35">
        <f>SUMIFS(F6542:F9015,K6542:K9015,"0",B6542:B9015,"5 1 2 6 1 12 31111 6 M59 20300 000132 0000R 00001 00261 015 2112000*")</f>
        <v>600</v>
      </c>
      <c r="G6541" s="35">
        <f>SUMIFS(G6542:G9015,K6542:K9015,"0",B6542:B9015,"5 1 2 6 1 12 31111 6 M59 20300 000132 0000R 00001 00261 015 2112000*")</f>
        <v>0</v>
      </c>
      <c r="H6541" s="35">
        <f t="shared" si="103"/>
        <v>600</v>
      </c>
      <c r="I6541" s="35"/>
      <c r="K6541" t="s">
        <v>15</v>
      </c>
    </row>
    <row r="6542" spans="2:11" ht="33" x14ac:dyDescent="0.2">
      <c r="B6542" s="33" t="s">
        <v>7553</v>
      </c>
      <c r="C6542" s="33" t="s">
        <v>660</v>
      </c>
      <c r="D6542" s="35">
        <f>SUMIFS(D6543:D9015,K6543:K9015,"0",B6543:B9015,"5 1 2 6 1 12 31111 6 M59 20300 000132 0000R 00001 00261 015 2112000 2024*")-SUMIFS(E6543:E9015,K6543:K9015,"0",B6543:B9015,"5 1 2 6 1 12 31111 6 M59 20300 000132 0000R 00001 00261 015 2112000 2024*")</f>
        <v>0</v>
      </c>
      <c r="E6542"/>
      <c r="F6542" s="35">
        <f>SUMIFS(F6543:F9015,K6543:K9015,"0",B6543:B9015,"5 1 2 6 1 12 31111 6 M59 20300 000132 0000R 00001 00261 015 2112000 2024*")</f>
        <v>600</v>
      </c>
      <c r="G6542" s="35">
        <f>SUMIFS(G6543:G9015,K6543:K9015,"0",B6543:B9015,"5 1 2 6 1 12 31111 6 M59 20300 000132 0000R 00001 00261 015 2112000 2024*")</f>
        <v>0</v>
      </c>
      <c r="H6542" s="35">
        <f t="shared" si="103"/>
        <v>600</v>
      </c>
      <c r="I6542" s="35"/>
      <c r="K6542" t="s">
        <v>15</v>
      </c>
    </row>
    <row r="6543" spans="2:11" ht="41.25" x14ac:dyDescent="0.2">
      <c r="B6543" s="33" t="s">
        <v>7554</v>
      </c>
      <c r="C6543" s="33" t="s">
        <v>662</v>
      </c>
      <c r="D6543" s="35">
        <f>SUMIFS(D6544:D9015,K6544:K9015,"0",B6544:B9015,"5 1 2 6 1 12 31111 6 M59 20300 000132 0000R 00001 00261 015 2112000 2024 CP1DE415*")-SUMIFS(E6544:E9015,K6544:K9015,"0",B6544:B9015,"5 1 2 6 1 12 31111 6 M59 20300 000132 0000R 00001 00261 015 2112000 2024 CP1DE415*")</f>
        <v>0</v>
      </c>
      <c r="E6543"/>
      <c r="F6543" s="35">
        <f>SUMIFS(F6544:F9015,K6544:K9015,"0",B6544:B9015,"5 1 2 6 1 12 31111 6 M59 20300 000132 0000R 00001 00261 015 2112000 2024 CP1DE415*")</f>
        <v>600</v>
      </c>
      <c r="G6543" s="35">
        <f>SUMIFS(G6544:G9015,K6544:K9015,"0",B6544:B9015,"5 1 2 6 1 12 31111 6 M59 20300 000132 0000R 00001 00261 015 2112000 2024 CP1DE415*")</f>
        <v>0</v>
      </c>
      <c r="H6543" s="35">
        <f t="shared" si="103"/>
        <v>600</v>
      </c>
      <c r="I6543" s="35"/>
      <c r="K6543" t="s">
        <v>15</v>
      </c>
    </row>
    <row r="6544" spans="2:11" ht="41.25" x14ac:dyDescent="0.2">
      <c r="B6544" s="33" t="s">
        <v>7555</v>
      </c>
      <c r="C6544" s="33" t="s">
        <v>282</v>
      </c>
      <c r="D6544" s="35">
        <f>SUMIFS(D6545:D9015,K6545:K9015,"0",B6545:B9015,"5 1 2 6 1 12 31111 6 M59 20300 000132 0000R 00001 00261 015 2112000 2024 CP1DE415 001*")-SUMIFS(E6545:E9015,K6545:K9015,"0",B6545:B9015,"5 1 2 6 1 12 31111 6 M59 20300 000132 0000R 00001 00261 015 2112000 2024 CP1DE415 001*")</f>
        <v>0</v>
      </c>
      <c r="E6544"/>
      <c r="F6544" s="35">
        <f>SUMIFS(F6545:F9015,K6545:K9015,"0",B6545:B9015,"5 1 2 6 1 12 31111 6 M59 20300 000132 0000R 00001 00261 015 2112000 2024 CP1DE415 001*")</f>
        <v>600</v>
      </c>
      <c r="G6544" s="35">
        <f>SUMIFS(G6545:G9015,K6545:K9015,"0",B6545:B9015,"5 1 2 6 1 12 31111 6 M59 20300 000132 0000R 00001 00261 015 2112000 2024 CP1DE415 001*")</f>
        <v>0</v>
      </c>
      <c r="H6544" s="35">
        <f t="shared" si="103"/>
        <v>600</v>
      </c>
      <c r="I6544" s="35"/>
      <c r="K6544" t="s">
        <v>15</v>
      </c>
    </row>
    <row r="6545" spans="2:11" ht="41.25" x14ac:dyDescent="0.2">
      <c r="B6545" s="31" t="s">
        <v>7556</v>
      </c>
      <c r="C6545" s="31" t="s">
        <v>7511</v>
      </c>
      <c r="D6545" s="34">
        <v>0</v>
      </c>
      <c r="E6545" s="34"/>
      <c r="F6545" s="34">
        <v>600</v>
      </c>
      <c r="G6545" s="34">
        <v>0</v>
      </c>
      <c r="H6545" s="34">
        <f t="shared" si="103"/>
        <v>600</v>
      </c>
      <c r="I6545" s="34"/>
      <c r="K6545" t="s">
        <v>38</v>
      </c>
    </row>
    <row r="6546" spans="2:11" ht="16.5" x14ac:dyDescent="0.2">
      <c r="B6546" s="33" t="s">
        <v>7557</v>
      </c>
      <c r="C6546" s="33" t="s">
        <v>1063</v>
      </c>
      <c r="D6546" s="35">
        <f>SUMIFS(D6547:D9015,K6547:K9015,"0",B6547:B9015,"5 1 2 6 1 12 31111 6 M59 20300 000139*")-SUMIFS(E6547:E9015,K6547:K9015,"0",B6547:B9015,"5 1 2 6 1 12 31111 6 M59 20300 000139*")</f>
        <v>0</v>
      </c>
      <c r="E6546"/>
      <c r="F6546" s="35">
        <f>SUMIFS(F6547:F9015,K6547:K9015,"0",B6547:B9015,"5 1 2 6 1 12 31111 6 M59 20300 000139*")</f>
        <v>37049.480000000003</v>
      </c>
      <c r="G6546" s="35">
        <f>SUMIFS(G6547:G9015,K6547:K9015,"0",B6547:B9015,"5 1 2 6 1 12 31111 6 M59 20300 000139*")</f>
        <v>0</v>
      </c>
      <c r="H6546" s="35">
        <f t="shared" si="103"/>
        <v>37049.480000000003</v>
      </c>
      <c r="I6546" s="35"/>
      <c r="K6546" t="s">
        <v>15</v>
      </c>
    </row>
    <row r="6547" spans="2:11" ht="24.75" x14ac:dyDescent="0.2">
      <c r="B6547" s="33" t="s">
        <v>7558</v>
      </c>
      <c r="C6547" s="33" t="s">
        <v>1065</v>
      </c>
      <c r="D6547" s="35">
        <f>SUMIFS(D6548:D9015,K6548:K9015,"0",B6548:B9015,"5 1 2 6 1 12 31111 6 M59 20300 000139 0000E*")-SUMIFS(E6548:E9015,K6548:K9015,"0",B6548:B9015,"5 1 2 6 1 12 31111 6 M59 20300 000139 0000E*")</f>
        <v>0</v>
      </c>
      <c r="E6547"/>
      <c r="F6547" s="35">
        <f>SUMIFS(F6548:F9015,K6548:K9015,"0",B6548:B9015,"5 1 2 6 1 12 31111 6 M59 20300 000139 0000E*")</f>
        <v>37049.480000000003</v>
      </c>
      <c r="G6547" s="35">
        <f>SUMIFS(G6548:G9015,K6548:K9015,"0",B6548:B9015,"5 1 2 6 1 12 31111 6 M59 20300 000139 0000E*")</f>
        <v>0</v>
      </c>
      <c r="H6547" s="35">
        <f t="shared" si="103"/>
        <v>37049.480000000003</v>
      </c>
      <c r="I6547" s="35"/>
      <c r="K6547" t="s">
        <v>15</v>
      </c>
    </row>
    <row r="6548" spans="2:11" ht="24.75" x14ac:dyDescent="0.2">
      <c r="B6548" s="33" t="s">
        <v>7559</v>
      </c>
      <c r="C6548" s="33" t="s">
        <v>282</v>
      </c>
      <c r="D6548" s="35">
        <f>SUMIFS(D6549:D9015,K6549:K9015,"0",B6549:B9015,"5 1 2 6 1 12 31111 6 M59 20300 000139 0000E 00001*")-SUMIFS(E6549:E9015,K6549:K9015,"0",B6549:B9015,"5 1 2 6 1 12 31111 6 M59 20300 000139 0000E 00001*")</f>
        <v>0</v>
      </c>
      <c r="E6548"/>
      <c r="F6548" s="35">
        <f>SUMIFS(F6549:F9015,K6549:K9015,"0",B6549:B9015,"5 1 2 6 1 12 31111 6 M59 20300 000139 0000E 00001*")</f>
        <v>37049.480000000003</v>
      </c>
      <c r="G6548" s="35">
        <f>SUMIFS(G6549:G9015,K6549:K9015,"0",B6549:B9015,"5 1 2 6 1 12 31111 6 M59 20300 000139 0000E 00001*")</f>
        <v>0</v>
      </c>
      <c r="H6548" s="35">
        <f t="shared" si="103"/>
        <v>37049.480000000003</v>
      </c>
      <c r="I6548" s="35"/>
      <c r="K6548" t="s">
        <v>15</v>
      </c>
    </row>
    <row r="6549" spans="2:11" ht="24.75" x14ac:dyDescent="0.2">
      <c r="B6549" s="33" t="s">
        <v>7560</v>
      </c>
      <c r="C6549" s="33" t="s">
        <v>7511</v>
      </c>
      <c r="D6549" s="35">
        <f>SUMIFS(D6550:D9015,K6550:K9015,"0",B6550:B9015,"5 1 2 6 1 12 31111 6 M59 20300 000139 0000E 00001 00261*")-SUMIFS(E6550:E9015,K6550:K9015,"0",B6550:B9015,"5 1 2 6 1 12 31111 6 M59 20300 000139 0000E 00001 00261*")</f>
        <v>0</v>
      </c>
      <c r="E6549"/>
      <c r="F6549" s="35">
        <f>SUMIFS(F6550:F9015,K6550:K9015,"0",B6550:B9015,"5 1 2 6 1 12 31111 6 M59 20300 000139 0000E 00001 00261*")</f>
        <v>37049.480000000003</v>
      </c>
      <c r="G6549" s="35">
        <f>SUMIFS(G6550:G9015,K6550:K9015,"0",B6550:B9015,"5 1 2 6 1 12 31111 6 M59 20300 000139 0000E 00001 00261*")</f>
        <v>0</v>
      </c>
      <c r="H6549" s="35">
        <f t="shared" si="103"/>
        <v>37049.480000000003</v>
      </c>
      <c r="I6549" s="35"/>
      <c r="K6549" t="s">
        <v>15</v>
      </c>
    </row>
    <row r="6550" spans="2:11" ht="33" x14ac:dyDescent="0.2">
      <c r="B6550" s="33" t="s">
        <v>7561</v>
      </c>
      <c r="C6550" s="33" t="s">
        <v>1051</v>
      </c>
      <c r="D6550" s="35">
        <f>SUMIFS(D6551:D9015,K6551:K9015,"0",B6551:B9015,"5 1 2 6 1 12 31111 6 M59 20300 000139 0000E 00001 00261 015*")-SUMIFS(E6551:E9015,K6551:K9015,"0",B6551:B9015,"5 1 2 6 1 12 31111 6 M59 20300 000139 0000E 00001 00261 015*")</f>
        <v>0</v>
      </c>
      <c r="E6550"/>
      <c r="F6550" s="35">
        <f>SUMIFS(F6551:F9015,K6551:K9015,"0",B6551:B9015,"5 1 2 6 1 12 31111 6 M59 20300 000139 0000E 00001 00261 015*")</f>
        <v>37049.480000000003</v>
      </c>
      <c r="G6550" s="35">
        <f>SUMIFS(G6551:G9015,K6551:K9015,"0",B6551:B9015,"5 1 2 6 1 12 31111 6 M59 20300 000139 0000E 00001 00261 015*")</f>
        <v>0</v>
      </c>
      <c r="H6550" s="35">
        <f t="shared" si="103"/>
        <v>37049.480000000003</v>
      </c>
      <c r="I6550" s="35"/>
      <c r="K6550" t="s">
        <v>15</v>
      </c>
    </row>
    <row r="6551" spans="2:11" ht="33" x14ac:dyDescent="0.2">
      <c r="B6551" s="33" t="s">
        <v>7562</v>
      </c>
      <c r="C6551" s="33" t="s">
        <v>5830</v>
      </c>
      <c r="D6551" s="35">
        <f>SUMIFS(D6552:D9015,K6552:K9015,"0",B6552:B9015,"5 1 2 6 1 12 31111 6 M59 20300 000139 0000E 00001 00261 015 2112000*")-SUMIFS(E6552:E9015,K6552:K9015,"0",B6552:B9015,"5 1 2 6 1 12 31111 6 M59 20300 000139 0000E 00001 00261 015 2112000*")</f>
        <v>0</v>
      </c>
      <c r="E6551"/>
      <c r="F6551" s="35">
        <f>SUMIFS(F6552:F9015,K6552:K9015,"0",B6552:B9015,"5 1 2 6 1 12 31111 6 M59 20300 000139 0000E 00001 00261 015 2112000*")</f>
        <v>37049.480000000003</v>
      </c>
      <c r="G6551" s="35">
        <f>SUMIFS(G6552:G9015,K6552:K9015,"0",B6552:B9015,"5 1 2 6 1 12 31111 6 M59 20300 000139 0000E 00001 00261 015 2112000*")</f>
        <v>0</v>
      </c>
      <c r="H6551" s="35">
        <f t="shared" si="103"/>
        <v>37049.480000000003</v>
      </c>
      <c r="I6551" s="35"/>
      <c r="K6551" t="s">
        <v>15</v>
      </c>
    </row>
    <row r="6552" spans="2:11" ht="33" x14ac:dyDescent="0.2">
      <c r="B6552" s="33" t="s">
        <v>7563</v>
      </c>
      <c r="C6552" s="33" t="s">
        <v>660</v>
      </c>
      <c r="D6552" s="35">
        <f>SUMIFS(D6553:D9015,K6553:K9015,"0",B6553:B9015,"5 1 2 6 1 12 31111 6 M59 20300 000139 0000E 00001 00261 015 2112000 2024*")-SUMIFS(E6553:E9015,K6553:K9015,"0",B6553:B9015,"5 1 2 6 1 12 31111 6 M59 20300 000139 0000E 00001 00261 015 2112000 2024*")</f>
        <v>0</v>
      </c>
      <c r="E6552"/>
      <c r="F6552" s="35">
        <f>SUMIFS(F6553:F9015,K6553:K9015,"0",B6553:B9015,"5 1 2 6 1 12 31111 6 M59 20300 000139 0000E 00001 00261 015 2112000 2024*")</f>
        <v>37049.480000000003</v>
      </c>
      <c r="G6552" s="35">
        <f>SUMIFS(G6553:G9015,K6553:K9015,"0",B6553:B9015,"5 1 2 6 1 12 31111 6 M59 20300 000139 0000E 00001 00261 015 2112000 2024*")</f>
        <v>0</v>
      </c>
      <c r="H6552" s="35">
        <f t="shared" si="103"/>
        <v>37049.480000000003</v>
      </c>
      <c r="I6552" s="35"/>
      <c r="K6552" t="s">
        <v>15</v>
      </c>
    </row>
    <row r="6553" spans="2:11" ht="41.25" x14ac:dyDescent="0.2">
      <c r="B6553" s="33" t="s">
        <v>7564</v>
      </c>
      <c r="C6553" s="33" t="s">
        <v>1073</v>
      </c>
      <c r="D6553" s="35">
        <f>SUMIFS(D6554:D9015,K6554:K9015,"0",B6554:B9015,"5 1 2 6 1 12 31111 6 M59 20300 000139 0000E 00001 00261 015 2112000 2024 CP2DE533*")-SUMIFS(E6554:E9015,K6554:K9015,"0",B6554:B9015,"5 1 2 6 1 12 31111 6 M59 20300 000139 0000E 00001 00261 015 2112000 2024 CP2DE533*")</f>
        <v>0</v>
      </c>
      <c r="E6553"/>
      <c r="F6553" s="35">
        <f>SUMIFS(F6554:F9015,K6554:K9015,"0",B6554:B9015,"5 1 2 6 1 12 31111 6 M59 20300 000139 0000E 00001 00261 015 2112000 2024 CP2DE533*")</f>
        <v>37049.480000000003</v>
      </c>
      <c r="G6553" s="35">
        <f>SUMIFS(G6554:G9015,K6554:K9015,"0",B6554:B9015,"5 1 2 6 1 12 31111 6 M59 20300 000139 0000E 00001 00261 015 2112000 2024 CP2DE533*")</f>
        <v>0</v>
      </c>
      <c r="H6553" s="35">
        <f t="shared" si="103"/>
        <v>37049.480000000003</v>
      </c>
      <c r="I6553" s="35"/>
      <c r="K6553" t="s">
        <v>15</v>
      </c>
    </row>
    <row r="6554" spans="2:11" ht="41.25" x14ac:dyDescent="0.2">
      <c r="B6554" s="33" t="s">
        <v>7565</v>
      </c>
      <c r="C6554" s="33" t="s">
        <v>1075</v>
      </c>
      <c r="D6554" s="35">
        <f>SUMIFS(D6555:D9015,K6555:K9015,"0",B6555:B9015,"5 1 2 6 1 12 31111 6 M59 20300 000139 0000E 00001 00261 015 2112000 2024 CP2DE533 005*")-SUMIFS(E6555:E9015,K6555:K9015,"0",B6555:B9015,"5 1 2 6 1 12 31111 6 M59 20300 000139 0000E 00001 00261 015 2112000 2024 CP2DE533 005*")</f>
        <v>0</v>
      </c>
      <c r="E6554"/>
      <c r="F6554" s="35">
        <f>SUMIFS(F6555:F9015,K6555:K9015,"0",B6555:B9015,"5 1 2 6 1 12 31111 6 M59 20300 000139 0000E 00001 00261 015 2112000 2024 CP2DE533 005*")</f>
        <v>37049.480000000003</v>
      </c>
      <c r="G6554" s="35">
        <f>SUMIFS(G6555:G9015,K6555:K9015,"0",B6555:B9015,"5 1 2 6 1 12 31111 6 M59 20300 000139 0000E 00001 00261 015 2112000 2024 CP2DE533 005*")</f>
        <v>0</v>
      </c>
      <c r="H6554" s="35">
        <f t="shared" si="103"/>
        <v>37049.480000000003</v>
      </c>
      <c r="I6554" s="35"/>
      <c r="K6554" t="s">
        <v>15</v>
      </c>
    </row>
    <row r="6555" spans="2:11" ht="33" x14ac:dyDescent="0.2">
      <c r="B6555" s="31" t="s">
        <v>7566</v>
      </c>
      <c r="C6555" s="31" t="s">
        <v>540</v>
      </c>
      <c r="D6555" s="34">
        <v>0</v>
      </c>
      <c r="E6555" s="34"/>
      <c r="F6555" s="34">
        <v>37049.480000000003</v>
      </c>
      <c r="G6555" s="34">
        <v>0</v>
      </c>
      <c r="H6555" s="34">
        <f t="shared" si="103"/>
        <v>37049.480000000003</v>
      </c>
      <c r="I6555" s="34"/>
      <c r="K6555" t="s">
        <v>38</v>
      </c>
    </row>
    <row r="6556" spans="2:11" ht="16.5" x14ac:dyDescent="0.2">
      <c r="B6556" s="33" t="s">
        <v>7567</v>
      </c>
      <c r="C6556" s="33" t="s">
        <v>3103</v>
      </c>
      <c r="D6556" s="35">
        <f>SUMIFS(D6557:D9015,K6557:K9015,"0",B6557:B9015,"5 1 2 6 1 12 31111 6 M59 20400*")-SUMIFS(E6557:E9015,K6557:K9015,"0",B6557:B9015,"5 1 2 6 1 12 31111 6 M59 20400*")</f>
        <v>0</v>
      </c>
      <c r="E6556"/>
      <c r="F6556" s="35">
        <f>SUMIFS(F6557:F9015,K6557:K9015,"0",B6557:B9015,"5 1 2 6 1 12 31111 6 M59 20400*")</f>
        <v>7386259.6600000001</v>
      </c>
      <c r="G6556" s="35">
        <f>SUMIFS(G6557:G9015,K6557:K9015,"0",B6557:B9015,"5 1 2 6 1 12 31111 6 M59 20400*")</f>
        <v>0</v>
      </c>
      <c r="H6556" s="35">
        <f t="shared" si="103"/>
        <v>7386259.6600000001</v>
      </c>
      <c r="I6556" s="35"/>
      <c r="K6556" t="s">
        <v>15</v>
      </c>
    </row>
    <row r="6557" spans="2:11" ht="16.5" x14ac:dyDescent="0.2">
      <c r="B6557" s="33" t="s">
        <v>7568</v>
      </c>
      <c r="C6557" s="33" t="s">
        <v>648</v>
      </c>
      <c r="D6557" s="35">
        <f>SUMIFS(D6558:D9015,K6558:K9015,"0",B6558:B9015,"5 1 2 6 1 12 31111 6 M59 20400 000132*")-SUMIFS(E6558:E9015,K6558:K9015,"0",B6558:B9015,"5 1 2 6 1 12 31111 6 M59 20400 000132*")</f>
        <v>0</v>
      </c>
      <c r="E6557"/>
      <c r="F6557" s="35">
        <f>SUMIFS(F6558:F9015,K6558:K9015,"0",B6558:B9015,"5 1 2 6 1 12 31111 6 M59 20400 000132*")</f>
        <v>3837946.71</v>
      </c>
      <c r="G6557" s="35">
        <f>SUMIFS(G6558:G9015,K6558:K9015,"0",B6558:B9015,"5 1 2 6 1 12 31111 6 M59 20400 000132*")</f>
        <v>0</v>
      </c>
      <c r="H6557" s="35">
        <f t="shared" si="103"/>
        <v>3837946.71</v>
      </c>
      <c r="I6557" s="35"/>
      <c r="K6557" t="s">
        <v>15</v>
      </c>
    </row>
    <row r="6558" spans="2:11" ht="24.75" x14ac:dyDescent="0.2">
      <c r="B6558" s="33" t="s">
        <v>7569</v>
      </c>
      <c r="C6558" s="33" t="s">
        <v>650</v>
      </c>
      <c r="D6558" s="35">
        <f>SUMIFS(D6559:D9015,K6559:K9015,"0",B6559:B9015,"5 1 2 6 1 12 31111 6 M59 20400 000132 0000R*")-SUMIFS(E6559:E9015,K6559:K9015,"0",B6559:B9015,"5 1 2 6 1 12 31111 6 M59 20400 000132 0000R*")</f>
        <v>0</v>
      </c>
      <c r="E6558"/>
      <c r="F6558" s="35">
        <f>SUMIFS(F6559:F9015,K6559:K9015,"0",B6559:B9015,"5 1 2 6 1 12 31111 6 M59 20400 000132 0000R*")</f>
        <v>3837946.71</v>
      </c>
      <c r="G6558" s="35">
        <f>SUMIFS(G6559:G9015,K6559:K9015,"0",B6559:B9015,"5 1 2 6 1 12 31111 6 M59 20400 000132 0000R*")</f>
        <v>0</v>
      </c>
      <c r="H6558" s="35">
        <f t="shared" si="103"/>
        <v>3837946.71</v>
      </c>
      <c r="I6558" s="35"/>
      <c r="K6558" t="s">
        <v>15</v>
      </c>
    </row>
    <row r="6559" spans="2:11" ht="24.75" x14ac:dyDescent="0.2">
      <c r="B6559" s="33" t="s">
        <v>7570</v>
      </c>
      <c r="C6559" s="33" t="s">
        <v>282</v>
      </c>
      <c r="D6559" s="35">
        <f>SUMIFS(D6560:D9015,K6560:K9015,"0",B6560:B9015,"5 1 2 6 1 12 31111 6 M59 20400 000132 0000R 00001*")-SUMIFS(E6560:E9015,K6560:K9015,"0",B6560:B9015,"5 1 2 6 1 12 31111 6 M59 20400 000132 0000R 00001*")</f>
        <v>0</v>
      </c>
      <c r="E6559"/>
      <c r="F6559" s="35">
        <f>SUMIFS(F6560:F9015,K6560:K9015,"0",B6560:B9015,"5 1 2 6 1 12 31111 6 M59 20400 000132 0000R 00001*")</f>
        <v>3837946.71</v>
      </c>
      <c r="G6559" s="35">
        <f>SUMIFS(G6560:G9015,K6560:K9015,"0",B6560:B9015,"5 1 2 6 1 12 31111 6 M59 20400 000132 0000R 00001*")</f>
        <v>0</v>
      </c>
      <c r="H6559" s="35">
        <f t="shared" si="103"/>
        <v>3837946.71</v>
      </c>
      <c r="I6559" s="35"/>
      <c r="K6559" t="s">
        <v>15</v>
      </c>
    </row>
    <row r="6560" spans="2:11" ht="24.75" x14ac:dyDescent="0.2">
      <c r="B6560" s="33" t="s">
        <v>7571</v>
      </c>
      <c r="C6560" s="33" t="s">
        <v>7511</v>
      </c>
      <c r="D6560" s="35">
        <f>SUMIFS(D6561:D9015,K6561:K9015,"0",B6561:B9015,"5 1 2 6 1 12 31111 6 M59 20400 000132 0000R 00001 00261*")-SUMIFS(E6561:E9015,K6561:K9015,"0",B6561:B9015,"5 1 2 6 1 12 31111 6 M59 20400 000132 0000R 00001 00261*")</f>
        <v>0</v>
      </c>
      <c r="E6560"/>
      <c r="F6560" s="35">
        <f>SUMIFS(F6561:F9015,K6561:K9015,"0",B6561:B9015,"5 1 2 6 1 12 31111 6 M59 20400 000132 0000R 00001 00261*")</f>
        <v>3837946.71</v>
      </c>
      <c r="G6560" s="35">
        <f>SUMIFS(G6561:G9015,K6561:K9015,"0",B6561:B9015,"5 1 2 6 1 12 31111 6 M59 20400 000132 0000R 00001 00261*")</f>
        <v>0</v>
      </c>
      <c r="H6560" s="35">
        <f t="shared" si="103"/>
        <v>3837946.71</v>
      </c>
      <c r="I6560" s="35"/>
      <c r="K6560" t="s">
        <v>15</v>
      </c>
    </row>
    <row r="6561" spans="2:11" ht="33" x14ac:dyDescent="0.2">
      <c r="B6561" s="33" t="s">
        <v>7572</v>
      </c>
      <c r="C6561" s="33" t="s">
        <v>1051</v>
      </c>
      <c r="D6561" s="35">
        <f>SUMIFS(D6562:D9015,K6562:K9015,"0",B6562:B9015,"5 1 2 6 1 12 31111 6 M59 20400 000132 0000R 00001 00261 015*")-SUMIFS(E6562:E9015,K6562:K9015,"0",B6562:B9015,"5 1 2 6 1 12 31111 6 M59 20400 000132 0000R 00001 00261 015*")</f>
        <v>0</v>
      </c>
      <c r="E6561"/>
      <c r="F6561" s="35">
        <f>SUMIFS(F6562:F9015,K6562:K9015,"0",B6562:B9015,"5 1 2 6 1 12 31111 6 M59 20400 000132 0000R 00001 00261 015*")</f>
        <v>3837946.71</v>
      </c>
      <c r="G6561" s="35">
        <f>SUMIFS(G6562:G9015,K6562:K9015,"0",B6562:B9015,"5 1 2 6 1 12 31111 6 M59 20400 000132 0000R 00001 00261 015*")</f>
        <v>0</v>
      </c>
      <c r="H6561" s="35">
        <f t="shared" si="103"/>
        <v>3837946.71</v>
      </c>
      <c r="I6561" s="35"/>
      <c r="K6561" t="s">
        <v>15</v>
      </c>
    </row>
    <row r="6562" spans="2:11" ht="33" x14ac:dyDescent="0.2">
      <c r="B6562" s="33" t="s">
        <v>7573</v>
      </c>
      <c r="C6562" s="33" t="s">
        <v>5830</v>
      </c>
      <c r="D6562" s="35">
        <f>SUMIFS(D6563:D9015,K6563:K9015,"0",B6563:B9015,"5 1 2 6 1 12 31111 6 M59 20400 000132 0000R 00001 00261 015 2112000*")-SUMIFS(E6563:E9015,K6563:K9015,"0",B6563:B9015,"5 1 2 6 1 12 31111 6 M59 20400 000132 0000R 00001 00261 015 2112000*")</f>
        <v>0</v>
      </c>
      <c r="E6562"/>
      <c r="F6562" s="35">
        <f>SUMIFS(F6563:F9015,K6563:K9015,"0",B6563:B9015,"5 1 2 6 1 12 31111 6 M59 20400 000132 0000R 00001 00261 015 2112000*")</f>
        <v>3837946.71</v>
      </c>
      <c r="G6562" s="35">
        <f>SUMIFS(G6563:G9015,K6563:K9015,"0",B6563:B9015,"5 1 2 6 1 12 31111 6 M59 20400 000132 0000R 00001 00261 015 2112000*")</f>
        <v>0</v>
      </c>
      <c r="H6562" s="35">
        <f t="shared" si="103"/>
        <v>3837946.71</v>
      </c>
      <c r="I6562" s="35"/>
      <c r="K6562" t="s">
        <v>15</v>
      </c>
    </row>
    <row r="6563" spans="2:11" ht="33" x14ac:dyDescent="0.2">
      <c r="B6563" s="33" t="s">
        <v>7574</v>
      </c>
      <c r="C6563" s="33" t="s">
        <v>660</v>
      </c>
      <c r="D6563" s="35">
        <f>SUMIFS(D6564:D9015,K6564:K9015,"0",B6564:B9015,"5 1 2 6 1 12 31111 6 M59 20400 000132 0000R 00001 00261 015 2112000 2024*")-SUMIFS(E6564:E9015,K6564:K9015,"0",B6564:B9015,"5 1 2 6 1 12 31111 6 M59 20400 000132 0000R 00001 00261 015 2112000 2024*")</f>
        <v>0</v>
      </c>
      <c r="E6563"/>
      <c r="F6563" s="35">
        <f>SUMIFS(F6564:F9015,K6564:K9015,"0",B6564:B9015,"5 1 2 6 1 12 31111 6 M59 20400 000132 0000R 00001 00261 015 2112000 2024*")</f>
        <v>3837946.71</v>
      </c>
      <c r="G6563" s="35">
        <f>SUMIFS(G6564:G9015,K6564:K9015,"0",B6564:B9015,"5 1 2 6 1 12 31111 6 M59 20400 000132 0000R 00001 00261 015 2112000 2024*")</f>
        <v>0</v>
      </c>
      <c r="H6563" s="35">
        <f t="shared" si="103"/>
        <v>3837946.71</v>
      </c>
      <c r="I6563" s="35"/>
      <c r="K6563" t="s">
        <v>15</v>
      </c>
    </row>
    <row r="6564" spans="2:11" ht="41.25" x14ac:dyDescent="0.2">
      <c r="B6564" s="33" t="s">
        <v>7575</v>
      </c>
      <c r="C6564" s="33" t="s">
        <v>1056</v>
      </c>
      <c r="D6564" s="35">
        <f>SUMIFS(D6565:D9015,K6565:K9015,"0",B6565:B9015,"5 1 2 6 1 12 31111 6 M59 20400 000132 0000R 00001 00261 015 2112000 2024 CP1PV404*")-SUMIFS(E6565:E9015,K6565:K9015,"0",B6565:B9015,"5 1 2 6 1 12 31111 6 M59 20400 000132 0000R 00001 00261 015 2112000 2024 CP1PV404*")</f>
        <v>0</v>
      </c>
      <c r="E6564"/>
      <c r="F6564" s="35">
        <f>SUMIFS(F6565:F9015,K6565:K9015,"0",B6565:B9015,"5 1 2 6 1 12 31111 6 M59 20400 000132 0000R 00001 00261 015 2112000 2024 CP1PV404*")</f>
        <v>3837946.71</v>
      </c>
      <c r="G6564" s="35">
        <f>SUMIFS(G6565:G9015,K6565:K9015,"0",B6565:B9015,"5 1 2 6 1 12 31111 6 M59 20400 000132 0000R 00001 00261 015 2112000 2024 CP1PV404*")</f>
        <v>0</v>
      </c>
      <c r="H6564" s="35">
        <f t="shared" si="103"/>
        <v>3837946.71</v>
      </c>
      <c r="I6564" s="35"/>
      <c r="K6564" t="s">
        <v>15</v>
      </c>
    </row>
    <row r="6565" spans="2:11" ht="41.25" x14ac:dyDescent="0.2">
      <c r="B6565" s="33" t="s">
        <v>7576</v>
      </c>
      <c r="C6565" s="33" t="s">
        <v>282</v>
      </c>
      <c r="D6565" s="35">
        <f>SUMIFS(D6566:D9015,K6566:K9015,"0",B6566:B9015,"5 1 2 6 1 12 31111 6 M59 20400 000132 0000R 00001 00261 015 2112000 2024 CP1PV404 001*")-SUMIFS(E6566:E9015,K6566:K9015,"0",B6566:B9015,"5 1 2 6 1 12 31111 6 M59 20400 000132 0000R 00001 00261 015 2112000 2024 CP1PV404 001*")</f>
        <v>0</v>
      </c>
      <c r="E6565"/>
      <c r="F6565" s="35">
        <f>SUMIFS(F6566:F9015,K6566:K9015,"0",B6566:B9015,"5 1 2 6 1 12 31111 6 M59 20400 000132 0000R 00001 00261 015 2112000 2024 CP1PV404 001*")</f>
        <v>3837946.71</v>
      </c>
      <c r="G6565" s="35">
        <f>SUMIFS(G6566:G9015,K6566:K9015,"0",B6566:B9015,"5 1 2 6 1 12 31111 6 M59 20400 000132 0000R 00001 00261 015 2112000 2024 CP1PV404 001*")</f>
        <v>0</v>
      </c>
      <c r="H6565" s="35">
        <f t="shared" si="103"/>
        <v>3837946.71</v>
      </c>
      <c r="I6565" s="35"/>
      <c r="K6565" t="s">
        <v>15</v>
      </c>
    </row>
    <row r="6566" spans="2:11" ht="41.25" x14ac:dyDescent="0.2">
      <c r="B6566" s="31" t="s">
        <v>7577</v>
      </c>
      <c r="C6566" s="31" t="s">
        <v>7578</v>
      </c>
      <c r="D6566" s="34">
        <v>0</v>
      </c>
      <c r="E6566" s="34"/>
      <c r="F6566" s="34">
        <v>3837946.71</v>
      </c>
      <c r="G6566" s="34">
        <v>0</v>
      </c>
      <c r="H6566" s="34">
        <f t="shared" si="103"/>
        <v>3837946.71</v>
      </c>
      <c r="I6566" s="34"/>
      <c r="K6566" t="s">
        <v>38</v>
      </c>
    </row>
    <row r="6567" spans="2:11" ht="16.5" x14ac:dyDescent="0.2">
      <c r="B6567" s="33" t="s">
        <v>7579</v>
      </c>
      <c r="C6567" s="33" t="s">
        <v>1063</v>
      </c>
      <c r="D6567" s="35">
        <f>SUMIFS(D6568:D9015,K6568:K9015,"0",B6568:B9015,"5 1 2 6 1 12 31111 6 M59 20400 000139*")-SUMIFS(E6568:E9015,K6568:K9015,"0",B6568:B9015,"5 1 2 6 1 12 31111 6 M59 20400 000139*")</f>
        <v>0</v>
      </c>
      <c r="E6567"/>
      <c r="F6567" s="35">
        <f>SUMIFS(F6568:F9015,K6568:K9015,"0",B6568:B9015,"5 1 2 6 1 12 31111 6 M59 20400 000139*")</f>
        <v>3548312.95</v>
      </c>
      <c r="G6567" s="35">
        <f>SUMIFS(G6568:G9015,K6568:K9015,"0",B6568:B9015,"5 1 2 6 1 12 31111 6 M59 20400 000139*")</f>
        <v>0</v>
      </c>
      <c r="H6567" s="35">
        <f t="shared" si="103"/>
        <v>3548312.95</v>
      </c>
      <c r="I6567" s="35"/>
      <c r="K6567" t="s">
        <v>15</v>
      </c>
    </row>
    <row r="6568" spans="2:11" ht="24.75" x14ac:dyDescent="0.2">
      <c r="B6568" s="33" t="s">
        <v>7580</v>
      </c>
      <c r="C6568" s="33" t="s">
        <v>1065</v>
      </c>
      <c r="D6568" s="35">
        <f>SUMIFS(D6569:D9015,K6569:K9015,"0",B6569:B9015,"5 1 2 6 1 12 31111 6 M59 20400 000139 0000E*")-SUMIFS(E6569:E9015,K6569:K9015,"0",B6569:B9015,"5 1 2 6 1 12 31111 6 M59 20400 000139 0000E*")</f>
        <v>0</v>
      </c>
      <c r="E6568"/>
      <c r="F6568" s="35">
        <f>SUMIFS(F6569:F9015,K6569:K9015,"0",B6569:B9015,"5 1 2 6 1 12 31111 6 M59 20400 000139 0000E*")</f>
        <v>3548312.95</v>
      </c>
      <c r="G6568" s="35">
        <f>SUMIFS(G6569:G9015,K6569:K9015,"0",B6569:B9015,"5 1 2 6 1 12 31111 6 M59 20400 000139 0000E*")</f>
        <v>0</v>
      </c>
      <c r="H6568" s="35">
        <f t="shared" si="103"/>
        <v>3548312.95</v>
      </c>
      <c r="I6568" s="35"/>
      <c r="K6568" t="s">
        <v>15</v>
      </c>
    </row>
    <row r="6569" spans="2:11" ht="24.75" x14ac:dyDescent="0.2">
      <c r="B6569" s="33" t="s">
        <v>7581</v>
      </c>
      <c r="C6569" s="33" t="s">
        <v>282</v>
      </c>
      <c r="D6569" s="35">
        <f>SUMIFS(D6570:D9015,K6570:K9015,"0",B6570:B9015,"5 1 2 6 1 12 31111 6 M59 20400 000139 0000E 00001*")-SUMIFS(E6570:E9015,K6570:K9015,"0",B6570:B9015,"5 1 2 6 1 12 31111 6 M59 20400 000139 0000E 00001*")</f>
        <v>0</v>
      </c>
      <c r="E6569"/>
      <c r="F6569" s="35">
        <f>SUMIFS(F6570:F9015,K6570:K9015,"0",B6570:B9015,"5 1 2 6 1 12 31111 6 M59 20400 000139 0000E 00001*")</f>
        <v>3548312.95</v>
      </c>
      <c r="G6569" s="35">
        <f>SUMIFS(G6570:G9015,K6570:K9015,"0",B6570:B9015,"5 1 2 6 1 12 31111 6 M59 20400 000139 0000E 00001*")</f>
        <v>0</v>
      </c>
      <c r="H6569" s="35">
        <f t="shared" si="103"/>
        <v>3548312.95</v>
      </c>
      <c r="I6569" s="35"/>
      <c r="K6569" t="s">
        <v>15</v>
      </c>
    </row>
    <row r="6570" spans="2:11" ht="24.75" x14ac:dyDescent="0.2">
      <c r="B6570" s="33" t="s">
        <v>7582</v>
      </c>
      <c r="C6570" s="33" t="s">
        <v>7511</v>
      </c>
      <c r="D6570" s="35">
        <f>SUMIFS(D6571:D9015,K6571:K9015,"0",B6571:B9015,"5 1 2 6 1 12 31111 6 M59 20400 000139 0000E 00001 00261*")-SUMIFS(E6571:E9015,K6571:K9015,"0",B6571:B9015,"5 1 2 6 1 12 31111 6 M59 20400 000139 0000E 00001 00261*")</f>
        <v>0</v>
      </c>
      <c r="E6570"/>
      <c r="F6570" s="35">
        <f>SUMIFS(F6571:F9015,K6571:K9015,"0",B6571:B9015,"5 1 2 6 1 12 31111 6 M59 20400 000139 0000E 00001 00261*")</f>
        <v>3548312.95</v>
      </c>
      <c r="G6570" s="35">
        <f>SUMIFS(G6571:G9015,K6571:K9015,"0",B6571:B9015,"5 1 2 6 1 12 31111 6 M59 20400 000139 0000E 00001 00261*")</f>
        <v>0</v>
      </c>
      <c r="H6570" s="35">
        <f t="shared" si="103"/>
        <v>3548312.95</v>
      </c>
      <c r="I6570" s="35"/>
      <c r="K6570" t="s">
        <v>15</v>
      </c>
    </row>
    <row r="6571" spans="2:11" ht="33" x14ac:dyDescent="0.2">
      <c r="B6571" s="33" t="s">
        <v>7583</v>
      </c>
      <c r="C6571" s="33" t="s">
        <v>1051</v>
      </c>
      <c r="D6571" s="35">
        <f>SUMIFS(D6572:D9015,K6572:K9015,"0",B6572:B9015,"5 1 2 6 1 12 31111 6 M59 20400 000139 0000E 00001 00261 015*")-SUMIFS(E6572:E9015,K6572:K9015,"0",B6572:B9015,"5 1 2 6 1 12 31111 6 M59 20400 000139 0000E 00001 00261 015*")</f>
        <v>0</v>
      </c>
      <c r="E6571"/>
      <c r="F6571" s="35">
        <f>SUMIFS(F6572:F9015,K6572:K9015,"0",B6572:B9015,"5 1 2 6 1 12 31111 6 M59 20400 000139 0000E 00001 00261 015*")</f>
        <v>3548312.95</v>
      </c>
      <c r="G6571" s="35">
        <f>SUMIFS(G6572:G9015,K6572:K9015,"0",B6572:B9015,"5 1 2 6 1 12 31111 6 M59 20400 000139 0000E 00001 00261 015*")</f>
        <v>0</v>
      </c>
      <c r="H6571" s="35">
        <f t="shared" si="103"/>
        <v>3548312.95</v>
      </c>
      <c r="I6571" s="35"/>
      <c r="K6571" t="s">
        <v>15</v>
      </c>
    </row>
    <row r="6572" spans="2:11" ht="33" x14ac:dyDescent="0.2">
      <c r="B6572" s="33" t="s">
        <v>7584</v>
      </c>
      <c r="C6572" s="33" t="s">
        <v>5830</v>
      </c>
      <c r="D6572" s="35">
        <f>SUMIFS(D6573:D9015,K6573:K9015,"0",B6573:B9015,"5 1 2 6 1 12 31111 6 M59 20400 000139 0000E 00001 00261 015 2112000*")-SUMIFS(E6573:E9015,K6573:K9015,"0",B6573:B9015,"5 1 2 6 1 12 31111 6 M59 20400 000139 0000E 00001 00261 015 2112000*")</f>
        <v>0</v>
      </c>
      <c r="E6572"/>
      <c r="F6572" s="35">
        <f>SUMIFS(F6573:F9015,K6573:K9015,"0",B6573:B9015,"5 1 2 6 1 12 31111 6 M59 20400 000139 0000E 00001 00261 015 2112000*")</f>
        <v>3548312.95</v>
      </c>
      <c r="G6572" s="35">
        <f>SUMIFS(G6573:G9015,K6573:K9015,"0",B6573:B9015,"5 1 2 6 1 12 31111 6 M59 20400 000139 0000E 00001 00261 015 2112000*")</f>
        <v>0</v>
      </c>
      <c r="H6572" s="35">
        <f t="shared" si="103"/>
        <v>3548312.95</v>
      </c>
      <c r="I6572" s="35"/>
      <c r="K6572" t="s">
        <v>15</v>
      </c>
    </row>
    <row r="6573" spans="2:11" ht="33" x14ac:dyDescent="0.2">
      <c r="B6573" s="33" t="s">
        <v>7585</v>
      </c>
      <c r="C6573" s="33" t="s">
        <v>660</v>
      </c>
      <c r="D6573" s="35">
        <f>SUMIFS(D6574:D9015,K6574:K9015,"0",B6574:B9015,"5 1 2 6 1 12 31111 6 M59 20400 000139 0000E 00001 00261 015 2112000 2024*")-SUMIFS(E6574:E9015,K6574:K9015,"0",B6574:B9015,"5 1 2 6 1 12 31111 6 M59 20400 000139 0000E 00001 00261 015 2112000 2024*")</f>
        <v>0</v>
      </c>
      <c r="E6573"/>
      <c r="F6573" s="35">
        <f>SUMIFS(F6574:F9015,K6574:K9015,"0",B6574:B9015,"5 1 2 6 1 12 31111 6 M59 20400 000139 0000E 00001 00261 015 2112000 2024*")</f>
        <v>3548312.95</v>
      </c>
      <c r="G6573" s="35">
        <f>SUMIFS(G6574:G9015,K6574:K9015,"0",B6574:B9015,"5 1 2 6 1 12 31111 6 M59 20400 000139 0000E 00001 00261 015 2112000 2024*")</f>
        <v>0</v>
      </c>
      <c r="H6573" s="35">
        <f t="shared" si="103"/>
        <v>3548312.95</v>
      </c>
      <c r="I6573" s="35"/>
      <c r="K6573" t="s">
        <v>15</v>
      </c>
    </row>
    <row r="6574" spans="2:11" ht="41.25" x14ac:dyDescent="0.2">
      <c r="B6574" s="33" t="s">
        <v>7586</v>
      </c>
      <c r="C6574" s="33" t="s">
        <v>7587</v>
      </c>
      <c r="D6574" s="35">
        <f>SUMIFS(D6575:D9015,K6575:K9015,"0",B6575:B9015,"5 1 2 6 1 12 31111 6 M59 20400 000139 0000E 00001 00261 015 2112000 2024 CP2PV529*")-SUMIFS(E6575:E9015,K6575:K9015,"0",B6575:B9015,"5 1 2 6 1 12 31111 6 M59 20400 000139 0000E 00001 00261 015 2112000 2024 CP2PV529*")</f>
        <v>0</v>
      </c>
      <c r="E6574"/>
      <c r="F6574" s="35">
        <f>SUMIFS(F6575:F9015,K6575:K9015,"0",B6575:B9015,"5 1 2 6 1 12 31111 6 M59 20400 000139 0000E 00001 00261 015 2112000 2024 CP2PV529*")</f>
        <v>3548312.95</v>
      </c>
      <c r="G6574" s="35">
        <f>SUMIFS(G6575:G9015,K6575:K9015,"0",B6575:B9015,"5 1 2 6 1 12 31111 6 M59 20400 000139 0000E 00001 00261 015 2112000 2024 CP2PV529*")</f>
        <v>0</v>
      </c>
      <c r="H6574" s="35">
        <f t="shared" si="103"/>
        <v>3548312.95</v>
      </c>
      <c r="I6574" s="35"/>
      <c r="K6574" t="s">
        <v>15</v>
      </c>
    </row>
    <row r="6575" spans="2:11" ht="41.25" x14ac:dyDescent="0.2">
      <c r="B6575" s="33" t="s">
        <v>7588</v>
      </c>
      <c r="C6575" s="33" t="s">
        <v>1075</v>
      </c>
      <c r="D6575" s="35">
        <f>SUMIFS(D6576:D9015,K6576:K9015,"0",B6576:B9015,"5 1 2 6 1 12 31111 6 M59 20400 000139 0000E 00001 00261 015 2112000 2024 CP2PV529 005*")-SUMIFS(E6576:E9015,K6576:K9015,"0",B6576:B9015,"5 1 2 6 1 12 31111 6 M59 20400 000139 0000E 00001 00261 015 2112000 2024 CP2PV529 005*")</f>
        <v>0</v>
      </c>
      <c r="E6575"/>
      <c r="F6575" s="35">
        <f>SUMIFS(F6576:F9015,K6576:K9015,"0",B6576:B9015,"5 1 2 6 1 12 31111 6 M59 20400 000139 0000E 00001 00261 015 2112000 2024 CP2PV529 005*")</f>
        <v>3548312.95</v>
      </c>
      <c r="G6575" s="35">
        <f>SUMIFS(G6576:G9015,K6576:K9015,"0",B6576:B9015,"5 1 2 6 1 12 31111 6 M59 20400 000139 0000E 00001 00261 015 2112000 2024 CP2PV529 005*")</f>
        <v>0</v>
      </c>
      <c r="H6575" s="35">
        <f t="shared" si="103"/>
        <v>3548312.95</v>
      </c>
      <c r="I6575" s="35"/>
      <c r="K6575" t="s">
        <v>15</v>
      </c>
    </row>
    <row r="6576" spans="2:11" ht="33" x14ac:dyDescent="0.2">
      <c r="B6576" s="31" t="s">
        <v>7589</v>
      </c>
      <c r="C6576" s="31" t="s">
        <v>540</v>
      </c>
      <c r="D6576" s="34">
        <v>0</v>
      </c>
      <c r="E6576" s="34"/>
      <c r="F6576" s="34">
        <v>3548312.95</v>
      </c>
      <c r="G6576" s="34">
        <v>0</v>
      </c>
      <c r="H6576" s="34">
        <f t="shared" si="103"/>
        <v>3548312.95</v>
      </c>
      <c r="I6576" s="34"/>
      <c r="K6576" t="s">
        <v>38</v>
      </c>
    </row>
    <row r="6577" spans="2:11" ht="16.5" x14ac:dyDescent="0.2">
      <c r="B6577" s="33" t="s">
        <v>7590</v>
      </c>
      <c r="C6577" s="33" t="s">
        <v>3138</v>
      </c>
      <c r="D6577" s="35">
        <f>SUMIFS(D6578:D9015,K6578:K9015,"0",B6578:B9015,"5 1 2 6 1 12 31111 6 M59 20700*")-SUMIFS(E6578:E9015,K6578:K9015,"0",B6578:B9015,"5 1 2 6 1 12 31111 6 M59 20700*")</f>
        <v>0</v>
      </c>
      <c r="E6577"/>
      <c r="F6577" s="35">
        <f>SUMIFS(F6578:F9015,K6578:K9015,"0",B6578:B9015,"5 1 2 6 1 12 31111 6 M59 20700*")</f>
        <v>75000</v>
      </c>
      <c r="G6577" s="35">
        <f>SUMIFS(G6578:G9015,K6578:K9015,"0",B6578:B9015,"5 1 2 6 1 12 31111 6 M59 20700*")</f>
        <v>0</v>
      </c>
      <c r="H6577" s="35">
        <f t="shared" si="103"/>
        <v>75000</v>
      </c>
      <c r="I6577" s="35"/>
      <c r="K6577" t="s">
        <v>15</v>
      </c>
    </row>
    <row r="6578" spans="2:11" ht="16.5" x14ac:dyDescent="0.2">
      <c r="B6578" s="33" t="s">
        <v>7591</v>
      </c>
      <c r="C6578" s="33" t="s">
        <v>648</v>
      </c>
      <c r="D6578" s="35">
        <f>SUMIFS(D6579:D9015,K6579:K9015,"0",B6579:B9015,"5 1 2 6 1 12 31111 6 M59 20700 000132*")-SUMIFS(E6579:E9015,K6579:K9015,"0",B6579:B9015,"5 1 2 6 1 12 31111 6 M59 20700 000132*")</f>
        <v>0</v>
      </c>
      <c r="E6578"/>
      <c r="F6578" s="35">
        <f>SUMIFS(F6579:F9015,K6579:K9015,"0",B6579:B9015,"5 1 2 6 1 12 31111 6 M59 20700 000132*")</f>
        <v>75000</v>
      </c>
      <c r="G6578" s="35">
        <f>SUMIFS(G6579:G9015,K6579:K9015,"0",B6579:B9015,"5 1 2 6 1 12 31111 6 M59 20700 000132*")</f>
        <v>0</v>
      </c>
      <c r="H6578" s="35">
        <f t="shared" si="103"/>
        <v>75000</v>
      </c>
      <c r="I6578" s="35"/>
      <c r="K6578" t="s">
        <v>15</v>
      </c>
    </row>
    <row r="6579" spans="2:11" ht="24.75" x14ac:dyDescent="0.2">
      <c r="B6579" s="33" t="s">
        <v>7592</v>
      </c>
      <c r="C6579" s="33" t="s">
        <v>650</v>
      </c>
      <c r="D6579" s="35">
        <f>SUMIFS(D6580:D9015,K6580:K9015,"0",B6580:B9015,"5 1 2 6 1 12 31111 6 M59 20700 000132 0000R*")-SUMIFS(E6580:E9015,K6580:K9015,"0",B6580:B9015,"5 1 2 6 1 12 31111 6 M59 20700 000132 0000R*")</f>
        <v>0</v>
      </c>
      <c r="E6579"/>
      <c r="F6579" s="35">
        <f>SUMIFS(F6580:F9015,K6580:K9015,"0",B6580:B9015,"5 1 2 6 1 12 31111 6 M59 20700 000132 0000R*")</f>
        <v>75000</v>
      </c>
      <c r="G6579" s="35">
        <f>SUMIFS(G6580:G9015,K6580:K9015,"0",B6580:B9015,"5 1 2 6 1 12 31111 6 M59 20700 000132 0000R*")</f>
        <v>0</v>
      </c>
      <c r="H6579" s="35">
        <f t="shared" si="103"/>
        <v>75000</v>
      </c>
      <c r="I6579" s="35"/>
      <c r="K6579" t="s">
        <v>15</v>
      </c>
    </row>
    <row r="6580" spans="2:11" ht="24.75" x14ac:dyDescent="0.2">
      <c r="B6580" s="33" t="s">
        <v>7593</v>
      </c>
      <c r="C6580" s="33" t="s">
        <v>282</v>
      </c>
      <c r="D6580" s="35">
        <f>SUMIFS(D6581:D9015,K6581:K9015,"0",B6581:B9015,"5 1 2 6 1 12 31111 6 M59 20700 000132 0000R 00001*")-SUMIFS(E6581:E9015,K6581:K9015,"0",B6581:B9015,"5 1 2 6 1 12 31111 6 M59 20700 000132 0000R 00001*")</f>
        <v>0</v>
      </c>
      <c r="E6580"/>
      <c r="F6580" s="35">
        <f>SUMIFS(F6581:F9015,K6581:K9015,"0",B6581:B9015,"5 1 2 6 1 12 31111 6 M59 20700 000132 0000R 00001*")</f>
        <v>75000</v>
      </c>
      <c r="G6580" s="35">
        <f>SUMIFS(G6581:G9015,K6581:K9015,"0",B6581:B9015,"5 1 2 6 1 12 31111 6 M59 20700 000132 0000R 00001*")</f>
        <v>0</v>
      </c>
      <c r="H6580" s="35">
        <f t="shared" si="103"/>
        <v>75000</v>
      </c>
      <c r="I6580" s="35"/>
      <c r="K6580" t="s">
        <v>15</v>
      </c>
    </row>
    <row r="6581" spans="2:11" ht="24.75" x14ac:dyDescent="0.2">
      <c r="B6581" s="33" t="s">
        <v>7594</v>
      </c>
      <c r="C6581" s="33" t="s">
        <v>7511</v>
      </c>
      <c r="D6581" s="35">
        <f>SUMIFS(D6582:D9015,K6582:K9015,"0",B6582:B9015,"5 1 2 6 1 12 31111 6 M59 20700 000132 0000R 00001 00261*")-SUMIFS(E6582:E9015,K6582:K9015,"0",B6582:B9015,"5 1 2 6 1 12 31111 6 M59 20700 000132 0000R 00001 00261*")</f>
        <v>0</v>
      </c>
      <c r="E6581"/>
      <c r="F6581" s="35">
        <f>SUMIFS(F6582:F9015,K6582:K9015,"0",B6582:B9015,"5 1 2 6 1 12 31111 6 M59 20700 000132 0000R 00001 00261*")</f>
        <v>75000</v>
      </c>
      <c r="G6581" s="35">
        <f>SUMIFS(G6582:G9015,K6582:K9015,"0",B6582:B9015,"5 1 2 6 1 12 31111 6 M59 20700 000132 0000R 00001 00261*")</f>
        <v>0</v>
      </c>
      <c r="H6581" s="35">
        <f t="shared" si="103"/>
        <v>75000</v>
      </c>
      <c r="I6581" s="35"/>
      <c r="K6581" t="s">
        <v>15</v>
      </c>
    </row>
    <row r="6582" spans="2:11" ht="33" x14ac:dyDescent="0.2">
      <c r="B6582" s="33" t="s">
        <v>7595</v>
      </c>
      <c r="C6582" s="33" t="s">
        <v>1051</v>
      </c>
      <c r="D6582" s="35">
        <f>SUMIFS(D6583:D9015,K6583:K9015,"0",B6583:B9015,"5 1 2 6 1 12 31111 6 M59 20700 000132 0000R 00001 00261 015*")-SUMIFS(E6583:E9015,K6583:K9015,"0",B6583:B9015,"5 1 2 6 1 12 31111 6 M59 20700 000132 0000R 00001 00261 015*")</f>
        <v>0</v>
      </c>
      <c r="E6582"/>
      <c r="F6582" s="35">
        <f>SUMIFS(F6583:F9015,K6583:K9015,"0",B6583:B9015,"5 1 2 6 1 12 31111 6 M59 20700 000132 0000R 00001 00261 015*")</f>
        <v>75000</v>
      </c>
      <c r="G6582" s="35">
        <f>SUMIFS(G6583:G9015,K6583:K9015,"0",B6583:B9015,"5 1 2 6 1 12 31111 6 M59 20700 000132 0000R 00001 00261 015*")</f>
        <v>0</v>
      </c>
      <c r="H6582" s="35">
        <f t="shared" si="103"/>
        <v>75000</v>
      </c>
      <c r="I6582" s="35"/>
      <c r="K6582" t="s">
        <v>15</v>
      </c>
    </row>
    <row r="6583" spans="2:11" ht="33" x14ac:dyDescent="0.2">
      <c r="B6583" s="33" t="s">
        <v>7596</v>
      </c>
      <c r="C6583" s="33" t="s">
        <v>5830</v>
      </c>
      <c r="D6583" s="35">
        <f>SUMIFS(D6584:D9015,K6584:K9015,"0",B6584:B9015,"5 1 2 6 1 12 31111 6 M59 20700 000132 0000R 00001 00261 015 2112000*")-SUMIFS(E6584:E9015,K6584:K9015,"0",B6584:B9015,"5 1 2 6 1 12 31111 6 M59 20700 000132 0000R 00001 00261 015 2112000*")</f>
        <v>0</v>
      </c>
      <c r="E6583"/>
      <c r="F6583" s="35">
        <f>SUMIFS(F6584:F9015,K6584:K9015,"0",B6584:B9015,"5 1 2 6 1 12 31111 6 M59 20700 000132 0000R 00001 00261 015 2112000*")</f>
        <v>75000</v>
      </c>
      <c r="G6583" s="35">
        <f>SUMIFS(G6584:G9015,K6584:K9015,"0",B6584:B9015,"5 1 2 6 1 12 31111 6 M59 20700 000132 0000R 00001 00261 015 2112000*")</f>
        <v>0</v>
      </c>
      <c r="H6583" s="35">
        <f t="shared" si="103"/>
        <v>75000</v>
      </c>
      <c r="I6583" s="35"/>
      <c r="K6583" t="s">
        <v>15</v>
      </c>
    </row>
    <row r="6584" spans="2:11" ht="33" x14ac:dyDescent="0.2">
      <c r="B6584" s="33" t="s">
        <v>7597</v>
      </c>
      <c r="C6584" s="33" t="s">
        <v>660</v>
      </c>
      <c r="D6584" s="35">
        <f>SUMIFS(D6585:D9015,K6585:K9015,"0",B6585:B9015,"5 1 2 6 1 12 31111 6 M59 20700 000132 0000R 00001 00261 015 2112000 2024*")-SUMIFS(E6585:E9015,K6585:K9015,"0",B6585:B9015,"5 1 2 6 1 12 31111 6 M59 20700 000132 0000R 00001 00261 015 2112000 2024*")</f>
        <v>0</v>
      </c>
      <c r="E6584"/>
      <c r="F6584" s="35">
        <f>SUMIFS(F6585:F9015,K6585:K9015,"0",B6585:B9015,"5 1 2 6 1 12 31111 6 M59 20700 000132 0000R 00001 00261 015 2112000 2024*")</f>
        <v>75000</v>
      </c>
      <c r="G6584" s="35">
        <f>SUMIFS(G6585:G9015,K6585:K9015,"0",B6585:B9015,"5 1 2 6 1 12 31111 6 M59 20700 000132 0000R 00001 00261 015 2112000 2024*")</f>
        <v>0</v>
      </c>
      <c r="H6584" s="35">
        <f t="shared" si="103"/>
        <v>75000</v>
      </c>
      <c r="I6584" s="35"/>
      <c r="K6584" t="s">
        <v>15</v>
      </c>
    </row>
    <row r="6585" spans="2:11" ht="41.25" x14ac:dyDescent="0.2">
      <c r="B6585" s="33" t="s">
        <v>7598</v>
      </c>
      <c r="C6585" s="33" t="s">
        <v>662</v>
      </c>
      <c r="D6585" s="35">
        <f>SUMIFS(D6586:D9015,K6586:K9015,"0",B6586:B9015,"5 1 2 6 1 12 31111 6 M59 20700 000132 0000R 00001 00261 015 2112000 2024 CP1RM401*")-SUMIFS(E6586:E9015,K6586:K9015,"0",B6586:B9015,"5 1 2 6 1 12 31111 6 M59 20700 000132 0000R 00001 00261 015 2112000 2024 CP1RM401*")</f>
        <v>0</v>
      </c>
      <c r="E6585"/>
      <c r="F6585" s="35">
        <f>SUMIFS(F6586:F9015,K6586:K9015,"0",B6586:B9015,"5 1 2 6 1 12 31111 6 M59 20700 000132 0000R 00001 00261 015 2112000 2024 CP1RM401*")</f>
        <v>75000</v>
      </c>
      <c r="G6585" s="35">
        <f>SUMIFS(G6586:G9015,K6586:K9015,"0",B6586:B9015,"5 1 2 6 1 12 31111 6 M59 20700 000132 0000R 00001 00261 015 2112000 2024 CP1RM401*")</f>
        <v>0</v>
      </c>
      <c r="H6585" s="35">
        <f t="shared" si="103"/>
        <v>75000</v>
      </c>
      <c r="I6585" s="35"/>
      <c r="K6585" t="s">
        <v>15</v>
      </c>
    </row>
    <row r="6586" spans="2:11" ht="41.25" x14ac:dyDescent="0.2">
      <c r="B6586" s="33" t="s">
        <v>7599</v>
      </c>
      <c r="C6586" s="33" t="s">
        <v>282</v>
      </c>
      <c r="D6586" s="35">
        <f>SUMIFS(D6587:D9015,K6587:K9015,"0",B6587:B9015,"5 1 2 6 1 12 31111 6 M59 20700 000132 0000R 00001 00261 015 2112000 2024 CP1RM401 001*")-SUMIFS(E6587:E9015,K6587:K9015,"0",B6587:B9015,"5 1 2 6 1 12 31111 6 M59 20700 000132 0000R 00001 00261 015 2112000 2024 CP1RM401 001*")</f>
        <v>0</v>
      </c>
      <c r="E6586"/>
      <c r="F6586" s="35">
        <f>SUMIFS(F6587:F9015,K6587:K9015,"0",B6587:B9015,"5 1 2 6 1 12 31111 6 M59 20700 000132 0000R 00001 00261 015 2112000 2024 CP1RM401 001*")</f>
        <v>75000</v>
      </c>
      <c r="G6586" s="35">
        <f>SUMIFS(G6587:G9015,K6587:K9015,"0",B6587:B9015,"5 1 2 6 1 12 31111 6 M59 20700 000132 0000R 00001 00261 015 2112000 2024 CP1RM401 001*")</f>
        <v>0</v>
      </c>
      <c r="H6586" s="35">
        <f t="shared" si="103"/>
        <v>75000</v>
      </c>
      <c r="I6586" s="35"/>
      <c r="K6586" t="s">
        <v>15</v>
      </c>
    </row>
    <row r="6587" spans="2:11" ht="33" x14ac:dyDescent="0.2">
      <c r="B6587" s="31" t="s">
        <v>7600</v>
      </c>
      <c r="C6587" s="31" t="s">
        <v>7511</v>
      </c>
      <c r="D6587" s="34">
        <v>0</v>
      </c>
      <c r="E6587" s="34"/>
      <c r="F6587" s="34">
        <v>75000</v>
      </c>
      <c r="G6587" s="34">
        <v>0</v>
      </c>
      <c r="H6587" s="34">
        <f t="shared" si="103"/>
        <v>75000</v>
      </c>
      <c r="I6587" s="34"/>
      <c r="K6587" t="s">
        <v>38</v>
      </c>
    </row>
    <row r="6588" spans="2:11" ht="16.5" x14ac:dyDescent="0.2">
      <c r="B6588" s="33" t="s">
        <v>7601</v>
      </c>
      <c r="C6588" s="33" t="s">
        <v>646</v>
      </c>
      <c r="D6588" s="35">
        <f>SUMIFS(D6589:D9015,K6589:K9015,"0",B6589:B9015,"5 1 2 6 1 12 31111 6 M59 30100*")-SUMIFS(E6589:E9015,K6589:K9015,"0",B6589:B9015,"5 1 2 6 1 12 31111 6 M59 30100*")</f>
        <v>0</v>
      </c>
      <c r="E6588"/>
      <c r="F6588" s="35">
        <f>SUMIFS(F6589:F9015,K6589:K9015,"0",B6589:B9015,"5 1 2 6 1 12 31111 6 M59 30100*")</f>
        <v>90000</v>
      </c>
      <c r="G6588" s="35">
        <f>SUMIFS(G6589:G9015,K6589:K9015,"0",B6589:B9015,"5 1 2 6 1 12 31111 6 M59 30100*")</f>
        <v>0</v>
      </c>
      <c r="H6588" s="35">
        <f t="shared" si="103"/>
        <v>90000</v>
      </c>
      <c r="I6588" s="35"/>
      <c r="K6588" t="s">
        <v>15</v>
      </c>
    </row>
    <row r="6589" spans="2:11" ht="16.5" x14ac:dyDescent="0.2">
      <c r="B6589" s="33" t="s">
        <v>7602</v>
      </c>
      <c r="C6589" s="33" t="s">
        <v>648</v>
      </c>
      <c r="D6589" s="35">
        <f>SUMIFS(D6590:D9015,K6590:K9015,"0",B6590:B9015,"5 1 2 6 1 12 31111 6 M59 30100 000132*")-SUMIFS(E6590:E9015,K6590:K9015,"0",B6590:B9015,"5 1 2 6 1 12 31111 6 M59 30100 000132*")</f>
        <v>0</v>
      </c>
      <c r="E6589"/>
      <c r="F6589" s="35">
        <f>SUMIFS(F6590:F9015,K6590:K9015,"0",B6590:B9015,"5 1 2 6 1 12 31111 6 M59 30100 000132*")</f>
        <v>90000</v>
      </c>
      <c r="G6589" s="35">
        <f>SUMIFS(G6590:G9015,K6590:K9015,"0",B6590:B9015,"5 1 2 6 1 12 31111 6 M59 30100 000132*")</f>
        <v>0</v>
      </c>
      <c r="H6589" s="35">
        <f t="shared" si="103"/>
        <v>90000</v>
      </c>
      <c r="I6589" s="35"/>
      <c r="K6589" t="s">
        <v>15</v>
      </c>
    </row>
    <row r="6590" spans="2:11" ht="24.75" x14ac:dyDescent="0.2">
      <c r="B6590" s="33" t="s">
        <v>7603</v>
      </c>
      <c r="C6590" s="33" t="s">
        <v>650</v>
      </c>
      <c r="D6590" s="35">
        <f>SUMIFS(D6591:D9015,K6591:K9015,"0",B6591:B9015,"5 1 2 6 1 12 31111 6 M59 30100 000132 0000R*")-SUMIFS(E6591:E9015,K6591:K9015,"0",B6591:B9015,"5 1 2 6 1 12 31111 6 M59 30100 000132 0000R*")</f>
        <v>0</v>
      </c>
      <c r="E6590"/>
      <c r="F6590" s="35">
        <f>SUMIFS(F6591:F9015,K6591:K9015,"0",B6591:B9015,"5 1 2 6 1 12 31111 6 M59 30100 000132 0000R*")</f>
        <v>90000</v>
      </c>
      <c r="G6590" s="35">
        <f>SUMIFS(G6591:G9015,K6591:K9015,"0",B6591:B9015,"5 1 2 6 1 12 31111 6 M59 30100 000132 0000R*")</f>
        <v>0</v>
      </c>
      <c r="H6590" s="35">
        <f t="shared" si="103"/>
        <v>90000</v>
      </c>
      <c r="I6590" s="35"/>
      <c r="K6590" t="s">
        <v>15</v>
      </c>
    </row>
    <row r="6591" spans="2:11" ht="24.75" x14ac:dyDescent="0.2">
      <c r="B6591" s="33" t="s">
        <v>7604</v>
      </c>
      <c r="C6591" s="33" t="s">
        <v>282</v>
      </c>
      <c r="D6591" s="35">
        <f>SUMIFS(D6592:D9015,K6592:K9015,"0",B6592:B9015,"5 1 2 6 1 12 31111 6 M59 30100 000132 0000R 00001*")-SUMIFS(E6592:E9015,K6592:K9015,"0",B6592:B9015,"5 1 2 6 1 12 31111 6 M59 30100 000132 0000R 00001*")</f>
        <v>0</v>
      </c>
      <c r="E6591"/>
      <c r="F6591" s="35">
        <f>SUMIFS(F6592:F9015,K6592:K9015,"0",B6592:B9015,"5 1 2 6 1 12 31111 6 M59 30100 000132 0000R 00001*")</f>
        <v>90000</v>
      </c>
      <c r="G6591" s="35">
        <f>SUMIFS(G6592:G9015,K6592:K9015,"0",B6592:B9015,"5 1 2 6 1 12 31111 6 M59 30100 000132 0000R 00001*")</f>
        <v>0</v>
      </c>
      <c r="H6591" s="35">
        <f t="shared" si="103"/>
        <v>90000</v>
      </c>
      <c r="I6591" s="35"/>
      <c r="K6591" t="s">
        <v>15</v>
      </c>
    </row>
    <row r="6592" spans="2:11" ht="24.75" x14ac:dyDescent="0.2">
      <c r="B6592" s="33" t="s">
        <v>7605</v>
      </c>
      <c r="C6592" s="33" t="s">
        <v>7511</v>
      </c>
      <c r="D6592" s="35">
        <f>SUMIFS(D6593:D9015,K6593:K9015,"0",B6593:B9015,"5 1 2 6 1 12 31111 6 M59 30100 000132 0000R 00001 00261*")-SUMIFS(E6593:E9015,K6593:K9015,"0",B6593:B9015,"5 1 2 6 1 12 31111 6 M59 30100 000132 0000R 00001 00261*")</f>
        <v>0</v>
      </c>
      <c r="E6592"/>
      <c r="F6592" s="35">
        <f>SUMIFS(F6593:F9015,K6593:K9015,"0",B6593:B9015,"5 1 2 6 1 12 31111 6 M59 30100 000132 0000R 00001 00261*")</f>
        <v>90000</v>
      </c>
      <c r="G6592" s="35">
        <f>SUMIFS(G6593:G9015,K6593:K9015,"0",B6593:B9015,"5 1 2 6 1 12 31111 6 M59 30100 000132 0000R 00001 00261*")</f>
        <v>0</v>
      </c>
      <c r="H6592" s="35">
        <f t="shared" si="103"/>
        <v>90000</v>
      </c>
      <c r="I6592" s="35"/>
      <c r="K6592" t="s">
        <v>15</v>
      </c>
    </row>
    <row r="6593" spans="2:11" ht="33" x14ac:dyDescent="0.2">
      <c r="B6593" s="33" t="s">
        <v>7606</v>
      </c>
      <c r="C6593" s="33" t="s">
        <v>1051</v>
      </c>
      <c r="D6593" s="35">
        <f>SUMIFS(D6594:D9015,K6594:K9015,"0",B6594:B9015,"5 1 2 6 1 12 31111 6 M59 30100 000132 0000R 00001 00261 015*")-SUMIFS(E6594:E9015,K6594:K9015,"0",B6594:B9015,"5 1 2 6 1 12 31111 6 M59 30100 000132 0000R 00001 00261 015*")</f>
        <v>0</v>
      </c>
      <c r="E6593"/>
      <c r="F6593" s="35">
        <f>SUMIFS(F6594:F9015,K6594:K9015,"0",B6594:B9015,"5 1 2 6 1 12 31111 6 M59 30100 000132 0000R 00001 00261 015*")</f>
        <v>90000</v>
      </c>
      <c r="G6593" s="35">
        <f>SUMIFS(G6594:G9015,K6594:K9015,"0",B6594:B9015,"5 1 2 6 1 12 31111 6 M59 30100 000132 0000R 00001 00261 015*")</f>
        <v>0</v>
      </c>
      <c r="H6593" s="35">
        <f t="shared" si="103"/>
        <v>90000</v>
      </c>
      <c r="I6593" s="35"/>
      <c r="K6593" t="s">
        <v>15</v>
      </c>
    </row>
    <row r="6594" spans="2:11" ht="33" x14ac:dyDescent="0.2">
      <c r="B6594" s="33" t="s">
        <v>7607</v>
      </c>
      <c r="C6594" s="33" t="s">
        <v>5830</v>
      </c>
      <c r="D6594" s="35">
        <f>SUMIFS(D6595:D9015,K6595:K9015,"0",B6595:B9015,"5 1 2 6 1 12 31111 6 M59 30100 000132 0000R 00001 00261 015 2112000*")-SUMIFS(E6595:E9015,K6595:K9015,"0",B6595:B9015,"5 1 2 6 1 12 31111 6 M59 30100 000132 0000R 00001 00261 015 2112000*")</f>
        <v>0</v>
      </c>
      <c r="E6594"/>
      <c r="F6594" s="35">
        <f>SUMIFS(F6595:F9015,K6595:K9015,"0",B6595:B9015,"5 1 2 6 1 12 31111 6 M59 30100 000132 0000R 00001 00261 015 2112000*")</f>
        <v>90000</v>
      </c>
      <c r="G6594" s="35">
        <f>SUMIFS(G6595:G9015,K6595:K9015,"0",B6595:B9015,"5 1 2 6 1 12 31111 6 M59 30100 000132 0000R 00001 00261 015 2112000*")</f>
        <v>0</v>
      </c>
      <c r="H6594" s="35">
        <f t="shared" si="103"/>
        <v>90000</v>
      </c>
      <c r="I6594" s="35"/>
      <c r="K6594" t="s">
        <v>15</v>
      </c>
    </row>
    <row r="6595" spans="2:11" ht="33" x14ac:dyDescent="0.2">
      <c r="B6595" s="33" t="s">
        <v>7608</v>
      </c>
      <c r="C6595" s="33" t="s">
        <v>660</v>
      </c>
      <c r="D6595" s="35">
        <f>SUMIFS(D6596:D9015,K6596:K9015,"0",B6596:B9015,"5 1 2 6 1 12 31111 6 M59 30100 000132 0000R 00001 00261 015 2112000 2024*")-SUMIFS(E6596:E9015,K6596:K9015,"0",B6596:B9015,"5 1 2 6 1 12 31111 6 M59 30100 000132 0000R 00001 00261 015 2112000 2024*")</f>
        <v>0</v>
      </c>
      <c r="E6595"/>
      <c r="F6595" s="35">
        <f>SUMIFS(F6596:F9015,K6596:K9015,"0",B6596:B9015,"5 1 2 6 1 12 31111 6 M59 30100 000132 0000R 00001 00261 015 2112000 2024*")</f>
        <v>90000</v>
      </c>
      <c r="G6595" s="35">
        <f>SUMIFS(G6596:G9015,K6596:K9015,"0",B6596:B9015,"5 1 2 6 1 12 31111 6 M59 30100 000132 0000R 00001 00261 015 2112000 2024*")</f>
        <v>0</v>
      </c>
      <c r="H6595" s="35">
        <f t="shared" si="103"/>
        <v>90000</v>
      </c>
      <c r="I6595" s="35"/>
      <c r="K6595" t="s">
        <v>15</v>
      </c>
    </row>
    <row r="6596" spans="2:11" ht="41.25" x14ac:dyDescent="0.2">
      <c r="B6596" s="33" t="s">
        <v>7609</v>
      </c>
      <c r="C6596" s="33" t="s">
        <v>662</v>
      </c>
      <c r="D6596" s="35">
        <f>SUMIFS(D6597:D9015,K6597:K9015,"0",B6597:B9015,"5 1 2 6 1 12 31111 6 M59 30100 000132 0000R 00001 00261 015 2112000 2024 CP1OP405*")-SUMIFS(E6597:E9015,K6597:K9015,"0",B6597:B9015,"5 1 2 6 1 12 31111 6 M59 30100 000132 0000R 00001 00261 015 2112000 2024 CP1OP405*")</f>
        <v>0</v>
      </c>
      <c r="E6596"/>
      <c r="F6596" s="35">
        <f>SUMIFS(F6597:F9015,K6597:K9015,"0",B6597:B9015,"5 1 2 6 1 12 31111 6 M59 30100 000132 0000R 00001 00261 015 2112000 2024 CP1OP405*")</f>
        <v>90000</v>
      </c>
      <c r="G6596" s="35">
        <f>SUMIFS(G6597:G9015,K6597:K9015,"0",B6597:B9015,"5 1 2 6 1 12 31111 6 M59 30100 000132 0000R 00001 00261 015 2112000 2024 CP1OP405*")</f>
        <v>0</v>
      </c>
      <c r="H6596" s="35">
        <f t="shared" ref="H6596:H6659" si="104">D6596 + F6596 - G6596</f>
        <v>90000</v>
      </c>
      <c r="I6596" s="35"/>
      <c r="K6596" t="s">
        <v>15</v>
      </c>
    </row>
    <row r="6597" spans="2:11" ht="41.25" x14ac:dyDescent="0.2">
      <c r="B6597" s="33" t="s">
        <v>7610</v>
      </c>
      <c r="C6597" s="33" t="s">
        <v>282</v>
      </c>
      <c r="D6597" s="35">
        <f>SUMIFS(D6598:D9015,K6598:K9015,"0",B6598:B9015,"5 1 2 6 1 12 31111 6 M59 30100 000132 0000R 00001 00261 015 2112000 2024 CP1OP405 001*")-SUMIFS(E6598:E9015,K6598:K9015,"0",B6598:B9015,"5 1 2 6 1 12 31111 6 M59 30100 000132 0000R 00001 00261 015 2112000 2024 CP1OP405 001*")</f>
        <v>0</v>
      </c>
      <c r="E6597"/>
      <c r="F6597" s="35">
        <f>SUMIFS(F6598:F9015,K6598:K9015,"0",B6598:B9015,"5 1 2 6 1 12 31111 6 M59 30100 000132 0000R 00001 00261 015 2112000 2024 CP1OP405 001*")</f>
        <v>90000</v>
      </c>
      <c r="G6597" s="35">
        <f>SUMIFS(G6598:G9015,K6598:K9015,"0",B6598:B9015,"5 1 2 6 1 12 31111 6 M59 30100 000132 0000R 00001 00261 015 2112000 2024 CP1OP405 001*")</f>
        <v>0</v>
      </c>
      <c r="H6597" s="35">
        <f t="shared" si="104"/>
        <v>90000</v>
      </c>
      <c r="I6597" s="35"/>
      <c r="K6597" t="s">
        <v>15</v>
      </c>
    </row>
    <row r="6598" spans="2:11" ht="33" x14ac:dyDescent="0.2">
      <c r="B6598" s="31" t="s">
        <v>7611</v>
      </c>
      <c r="C6598" s="31" t="s">
        <v>7511</v>
      </c>
      <c r="D6598" s="34">
        <v>0</v>
      </c>
      <c r="E6598" s="34"/>
      <c r="F6598" s="34">
        <v>90000</v>
      </c>
      <c r="G6598" s="34">
        <v>0</v>
      </c>
      <c r="H6598" s="34">
        <f t="shared" si="104"/>
        <v>90000</v>
      </c>
      <c r="I6598" s="34"/>
      <c r="K6598" t="s">
        <v>38</v>
      </c>
    </row>
    <row r="6599" spans="2:11" ht="16.5" x14ac:dyDescent="0.2">
      <c r="B6599" s="33" t="s">
        <v>7612</v>
      </c>
      <c r="C6599" s="33" t="s">
        <v>1092</v>
      </c>
      <c r="D6599" s="35">
        <f>SUMIFS(D6600:D9015,K6600:K9015,"0",B6600:B9015,"5 1 2 6 1 12 31111 6 M59 40000*")-SUMIFS(E6600:E9015,K6600:K9015,"0",B6600:B9015,"5 1 2 6 1 12 31111 6 M59 40000*")</f>
        <v>0</v>
      </c>
      <c r="E6599"/>
      <c r="F6599" s="35">
        <f>SUMIFS(F6600:F9015,K6600:K9015,"0",B6600:B9015,"5 1 2 6 1 12 31111 6 M59 40000*")</f>
        <v>1059622.94</v>
      </c>
      <c r="G6599" s="35">
        <f>SUMIFS(G6600:G9015,K6600:K9015,"0",B6600:B9015,"5 1 2 6 1 12 31111 6 M59 40000*")</f>
        <v>0</v>
      </c>
      <c r="H6599" s="35">
        <f t="shared" si="104"/>
        <v>1059622.94</v>
      </c>
      <c r="I6599" s="35"/>
      <c r="K6599" t="s">
        <v>15</v>
      </c>
    </row>
    <row r="6600" spans="2:11" ht="16.5" x14ac:dyDescent="0.2">
      <c r="B6600" s="33" t="s">
        <v>7613</v>
      </c>
      <c r="C6600" s="33" t="s">
        <v>1094</v>
      </c>
      <c r="D6600" s="35">
        <f>SUMIFS(D6601:D9015,K6601:K9015,"0",B6601:B9015,"5 1 2 6 1 12 31111 6 M59 40000 000161*")-SUMIFS(E6601:E9015,K6601:K9015,"0",B6601:B9015,"5 1 2 6 1 12 31111 6 M59 40000 000161*")</f>
        <v>0</v>
      </c>
      <c r="E6600"/>
      <c r="F6600" s="35">
        <f>SUMIFS(F6601:F9015,K6601:K9015,"0",B6601:B9015,"5 1 2 6 1 12 31111 6 M59 40000 000161*")</f>
        <v>1059622.94</v>
      </c>
      <c r="G6600" s="35">
        <f>SUMIFS(G6601:G9015,K6601:K9015,"0",B6601:B9015,"5 1 2 6 1 12 31111 6 M59 40000 000161*")</f>
        <v>0</v>
      </c>
      <c r="H6600" s="35">
        <f t="shared" si="104"/>
        <v>1059622.94</v>
      </c>
      <c r="I6600" s="35"/>
      <c r="K6600" t="s">
        <v>15</v>
      </c>
    </row>
    <row r="6601" spans="2:11" ht="24.75" x14ac:dyDescent="0.2">
      <c r="B6601" s="33" t="s">
        <v>7614</v>
      </c>
      <c r="C6601" s="33" t="s">
        <v>1065</v>
      </c>
      <c r="D6601" s="35">
        <f>SUMIFS(D6602:D9015,K6602:K9015,"0",B6602:B9015,"5 1 2 6 1 12 31111 6 M59 40000 000161 0000E*")-SUMIFS(E6602:E9015,K6602:K9015,"0",B6602:B9015,"5 1 2 6 1 12 31111 6 M59 40000 000161 0000E*")</f>
        <v>0</v>
      </c>
      <c r="E6601"/>
      <c r="F6601" s="35">
        <f>SUMIFS(F6602:F9015,K6602:K9015,"0",B6602:B9015,"5 1 2 6 1 12 31111 6 M59 40000 000161 0000E*")</f>
        <v>1059622.94</v>
      </c>
      <c r="G6601" s="35">
        <f>SUMIFS(G6602:G9015,K6602:K9015,"0",B6602:B9015,"5 1 2 6 1 12 31111 6 M59 40000 000161 0000E*")</f>
        <v>0</v>
      </c>
      <c r="H6601" s="35">
        <f t="shared" si="104"/>
        <v>1059622.94</v>
      </c>
      <c r="I6601" s="35"/>
      <c r="K6601" t="s">
        <v>15</v>
      </c>
    </row>
    <row r="6602" spans="2:11" ht="24.75" x14ac:dyDescent="0.2">
      <c r="B6602" s="33" t="s">
        <v>7615</v>
      </c>
      <c r="C6602" s="33" t="s">
        <v>282</v>
      </c>
      <c r="D6602" s="35">
        <f>SUMIFS(D6603:D9015,K6603:K9015,"0",B6603:B9015,"5 1 2 6 1 12 31111 6 M59 40000 000161 0000E 00001*")-SUMIFS(E6603:E9015,K6603:K9015,"0",B6603:B9015,"5 1 2 6 1 12 31111 6 M59 40000 000161 0000E 00001*")</f>
        <v>0</v>
      </c>
      <c r="E6602"/>
      <c r="F6602" s="35">
        <f>SUMIFS(F6603:F9015,K6603:K9015,"0",B6603:B9015,"5 1 2 6 1 12 31111 6 M59 40000 000161 0000E 00001*")</f>
        <v>1059622.94</v>
      </c>
      <c r="G6602" s="35">
        <f>SUMIFS(G6603:G9015,K6603:K9015,"0",B6603:B9015,"5 1 2 6 1 12 31111 6 M59 40000 000161 0000E 00001*")</f>
        <v>0</v>
      </c>
      <c r="H6602" s="35">
        <f t="shared" si="104"/>
        <v>1059622.94</v>
      </c>
      <c r="I6602" s="35"/>
      <c r="K6602" t="s">
        <v>15</v>
      </c>
    </row>
    <row r="6603" spans="2:11" ht="24.75" x14ac:dyDescent="0.2">
      <c r="B6603" s="33" t="s">
        <v>7616</v>
      </c>
      <c r="C6603" s="33" t="s">
        <v>7511</v>
      </c>
      <c r="D6603" s="35">
        <f>SUMIFS(D6604:D9015,K6604:K9015,"0",B6604:B9015,"5 1 2 6 1 12 31111 6 M59 40000 000161 0000E 00001 00261*")-SUMIFS(E6604:E9015,K6604:K9015,"0",B6604:B9015,"5 1 2 6 1 12 31111 6 M59 40000 000161 0000E 00001 00261*")</f>
        <v>0</v>
      </c>
      <c r="E6603"/>
      <c r="F6603" s="35">
        <f>SUMIFS(F6604:F9015,K6604:K9015,"0",B6604:B9015,"5 1 2 6 1 12 31111 6 M59 40000 000161 0000E 00001 00261*")</f>
        <v>1059622.94</v>
      </c>
      <c r="G6603" s="35">
        <f>SUMIFS(G6604:G9015,K6604:K9015,"0",B6604:B9015,"5 1 2 6 1 12 31111 6 M59 40000 000161 0000E 00001 00261*")</f>
        <v>0</v>
      </c>
      <c r="H6603" s="35">
        <f t="shared" si="104"/>
        <v>1059622.94</v>
      </c>
      <c r="I6603" s="35"/>
      <c r="K6603" t="s">
        <v>15</v>
      </c>
    </row>
    <row r="6604" spans="2:11" ht="33" x14ac:dyDescent="0.2">
      <c r="B6604" s="33" t="s">
        <v>7617</v>
      </c>
      <c r="C6604" s="33" t="s">
        <v>656</v>
      </c>
      <c r="D6604" s="35">
        <f>SUMIFS(D6605:D9015,K6605:K9015,"0",B6605:B9015,"5 1 2 6 1 12 31111 6 M59 40000 000161 0000E 00001 00261 025*")-SUMIFS(E6605:E9015,K6605:K9015,"0",B6605:B9015,"5 1 2 6 1 12 31111 6 M59 40000 000161 0000E 00001 00261 025*")</f>
        <v>0</v>
      </c>
      <c r="E6604"/>
      <c r="F6604" s="35">
        <f>SUMIFS(F6605:F9015,K6605:K9015,"0",B6605:B9015,"5 1 2 6 1 12 31111 6 M59 40000 000161 0000E 00001 00261 025*")</f>
        <v>1059622.94</v>
      </c>
      <c r="G6604" s="35">
        <f>SUMIFS(G6605:G9015,K6605:K9015,"0",B6605:B9015,"5 1 2 6 1 12 31111 6 M59 40000 000161 0000E 00001 00261 025*")</f>
        <v>0</v>
      </c>
      <c r="H6604" s="35">
        <f t="shared" si="104"/>
        <v>1059622.94</v>
      </c>
      <c r="I6604" s="35"/>
      <c r="K6604" t="s">
        <v>15</v>
      </c>
    </row>
    <row r="6605" spans="2:11" ht="33" x14ac:dyDescent="0.2">
      <c r="B6605" s="33" t="s">
        <v>7618</v>
      </c>
      <c r="C6605" s="33" t="s">
        <v>5830</v>
      </c>
      <c r="D6605" s="35">
        <f>SUMIFS(D6606:D9015,K6606:K9015,"0",B6606:B9015,"5 1 2 6 1 12 31111 6 M59 40000 000161 0000E 00001 00261 025 2112000*")-SUMIFS(E6606:E9015,K6606:K9015,"0",B6606:B9015,"5 1 2 6 1 12 31111 6 M59 40000 000161 0000E 00001 00261 025 2112000*")</f>
        <v>0</v>
      </c>
      <c r="E6605"/>
      <c r="F6605" s="35">
        <f>SUMIFS(F6606:F9015,K6606:K9015,"0",B6606:B9015,"5 1 2 6 1 12 31111 6 M59 40000 000161 0000E 00001 00261 025 2112000*")</f>
        <v>1059622.94</v>
      </c>
      <c r="G6605" s="35">
        <f>SUMIFS(G6606:G9015,K6606:K9015,"0",B6606:B9015,"5 1 2 6 1 12 31111 6 M59 40000 000161 0000E 00001 00261 025 2112000*")</f>
        <v>0</v>
      </c>
      <c r="H6605" s="35">
        <f t="shared" si="104"/>
        <v>1059622.94</v>
      </c>
      <c r="I6605" s="35"/>
      <c r="K6605" t="s">
        <v>15</v>
      </c>
    </row>
    <row r="6606" spans="2:11" ht="33" x14ac:dyDescent="0.2">
      <c r="B6606" s="33" t="s">
        <v>7619</v>
      </c>
      <c r="C6606" s="33" t="s">
        <v>660</v>
      </c>
      <c r="D6606" s="35">
        <f>SUMIFS(D6607:D9015,K6607:K9015,"0",B6607:B9015,"5 1 2 6 1 12 31111 6 M59 40000 000161 0000E 00001 00261 025 2112000 2024*")-SUMIFS(E6607:E9015,K6607:K9015,"0",B6607:B9015,"5 1 2 6 1 12 31111 6 M59 40000 000161 0000E 00001 00261 025 2112000 2024*")</f>
        <v>0</v>
      </c>
      <c r="E6606"/>
      <c r="F6606" s="35">
        <f>SUMIFS(F6607:F9015,K6607:K9015,"0",B6607:B9015,"5 1 2 6 1 12 31111 6 M59 40000 000161 0000E 00001 00261 025 2112000 2024*")</f>
        <v>1059622.94</v>
      </c>
      <c r="G6606" s="35">
        <f>SUMIFS(G6607:G9015,K6607:K9015,"0",B6607:B9015,"5 1 2 6 1 12 31111 6 M59 40000 000161 0000E 00001 00261 025 2112000 2024*")</f>
        <v>0</v>
      </c>
      <c r="H6606" s="35">
        <f t="shared" si="104"/>
        <v>1059622.94</v>
      </c>
      <c r="I6606" s="35"/>
      <c r="K6606" t="s">
        <v>15</v>
      </c>
    </row>
    <row r="6607" spans="2:11" ht="41.25" x14ac:dyDescent="0.2">
      <c r="B6607" s="33" t="s">
        <v>7620</v>
      </c>
      <c r="C6607" s="33" t="s">
        <v>662</v>
      </c>
      <c r="D6607" s="35">
        <f>SUMIFS(D6608:D9015,K6608:K9015,"0",B6608:B9015,"5 1 2 6 1 12 31111 6 M59 40000 000161 0000E 00001 00261 025 2112000 2024 CP4SP372*")-SUMIFS(E6608:E9015,K6608:K9015,"0",B6608:B9015,"5 1 2 6 1 12 31111 6 M59 40000 000161 0000E 00001 00261 025 2112000 2024 CP4SP372*")</f>
        <v>0</v>
      </c>
      <c r="E6607"/>
      <c r="F6607" s="35">
        <f>SUMIFS(F6608:F9015,K6608:K9015,"0",B6608:B9015,"5 1 2 6 1 12 31111 6 M59 40000 000161 0000E 00001 00261 025 2112000 2024 CP4SP372*")</f>
        <v>1059622.94</v>
      </c>
      <c r="G6607" s="35">
        <f>SUMIFS(G6608:G9015,K6608:K9015,"0",B6608:B9015,"5 1 2 6 1 12 31111 6 M59 40000 000161 0000E 00001 00261 025 2112000 2024 CP4SP372*")</f>
        <v>0</v>
      </c>
      <c r="H6607" s="35">
        <f t="shared" si="104"/>
        <v>1059622.94</v>
      </c>
      <c r="I6607" s="35"/>
      <c r="K6607" t="s">
        <v>15</v>
      </c>
    </row>
    <row r="6608" spans="2:11" ht="41.25" x14ac:dyDescent="0.2">
      <c r="B6608" s="33" t="s">
        <v>7621</v>
      </c>
      <c r="C6608" s="33" t="s">
        <v>664</v>
      </c>
      <c r="D6608" s="35">
        <f>SUMIFS(D6609:D9015,K6609:K9015,"0",B6609:B9015,"5 1 2 6 1 12 31111 6 M59 40000 000161 0000E 00001 00261 025 2112000 2024 CP4SP372 003*")-SUMIFS(E6609:E9015,K6609:K9015,"0",B6609:B9015,"5 1 2 6 1 12 31111 6 M59 40000 000161 0000E 00001 00261 025 2112000 2024 CP4SP372 003*")</f>
        <v>0</v>
      </c>
      <c r="E6608"/>
      <c r="F6608" s="35">
        <f>SUMIFS(F6609:F9015,K6609:K9015,"0",B6609:B9015,"5 1 2 6 1 12 31111 6 M59 40000 000161 0000E 00001 00261 025 2112000 2024 CP4SP372 003*")</f>
        <v>1059622.94</v>
      </c>
      <c r="G6608" s="35">
        <f>SUMIFS(G6609:G9015,K6609:K9015,"0",B6609:B9015,"5 1 2 6 1 12 31111 6 M59 40000 000161 0000E 00001 00261 025 2112000 2024 CP4SP372 003*")</f>
        <v>0</v>
      </c>
      <c r="H6608" s="35">
        <f t="shared" si="104"/>
        <v>1059622.94</v>
      </c>
      <c r="I6608" s="35"/>
      <c r="K6608" t="s">
        <v>15</v>
      </c>
    </row>
    <row r="6609" spans="2:11" ht="33" x14ac:dyDescent="0.2">
      <c r="B6609" s="31" t="s">
        <v>7622</v>
      </c>
      <c r="C6609" s="31" t="s">
        <v>540</v>
      </c>
      <c r="D6609" s="34">
        <v>0</v>
      </c>
      <c r="E6609" s="34"/>
      <c r="F6609" s="34">
        <v>1059622.94</v>
      </c>
      <c r="G6609" s="34">
        <v>0</v>
      </c>
      <c r="H6609" s="34">
        <f t="shared" si="104"/>
        <v>1059622.94</v>
      </c>
      <c r="I6609" s="34"/>
      <c r="K6609" t="s">
        <v>38</v>
      </c>
    </row>
    <row r="6610" spans="2:11" ht="16.5" x14ac:dyDescent="0.2">
      <c r="B6610" s="33" t="s">
        <v>7623</v>
      </c>
      <c r="C6610" s="33" t="s">
        <v>1105</v>
      </c>
      <c r="D6610" s="35">
        <f>SUMIFS(D6611:D9015,K6611:K9015,"0",B6611:B9015,"5 1 2 6 1 12 31111 6 M59 40200*")-SUMIFS(E6611:E9015,K6611:K9015,"0",B6611:B9015,"5 1 2 6 1 12 31111 6 M59 40200*")</f>
        <v>0</v>
      </c>
      <c r="E6610"/>
      <c r="F6610" s="35">
        <f>SUMIFS(F6611:F9015,K6611:K9015,"0",B6611:B9015,"5 1 2 6 1 12 31111 6 M59 40200*")</f>
        <v>1239166.56</v>
      </c>
      <c r="G6610" s="35">
        <f>SUMIFS(G6611:G9015,K6611:K9015,"0",B6611:B9015,"5 1 2 6 1 12 31111 6 M59 40200*")</f>
        <v>0</v>
      </c>
      <c r="H6610" s="35">
        <f t="shared" si="104"/>
        <v>1239166.56</v>
      </c>
      <c r="I6610" s="35"/>
      <c r="K6610" t="s">
        <v>15</v>
      </c>
    </row>
    <row r="6611" spans="2:11" ht="16.5" x14ac:dyDescent="0.2">
      <c r="B6611" s="33" t="s">
        <v>7624</v>
      </c>
      <c r="C6611" s="33" t="s">
        <v>1107</v>
      </c>
      <c r="D6611" s="35">
        <f>SUMIFS(D6612:D9015,K6612:K9015,"0",B6612:B9015,"5 1 2 6 1 12 31111 6 M59 40200 000172*")-SUMIFS(E6612:E9015,K6612:K9015,"0",B6612:B9015,"5 1 2 6 1 12 31111 6 M59 40200 000172*")</f>
        <v>0</v>
      </c>
      <c r="E6611"/>
      <c r="F6611" s="35">
        <f>SUMIFS(F6612:F9015,K6612:K9015,"0",B6612:B9015,"5 1 2 6 1 12 31111 6 M59 40200 000172*")</f>
        <v>1239166.56</v>
      </c>
      <c r="G6611" s="35">
        <f>SUMIFS(G6612:G9015,K6612:K9015,"0",B6612:B9015,"5 1 2 6 1 12 31111 6 M59 40200 000172*")</f>
        <v>0</v>
      </c>
      <c r="H6611" s="35">
        <f t="shared" si="104"/>
        <v>1239166.56</v>
      </c>
      <c r="I6611" s="35"/>
      <c r="K6611" t="s">
        <v>15</v>
      </c>
    </row>
    <row r="6612" spans="2:11" ht="24.75" x14ac:dyDescent="0.2">
      <c r="B6612" s="33" t="s">
        <v>7625</v>
      </c>
      <c r="C6612" s="33" t="s">
        <v>650</v>
      </c>
      <c r="D6612" s="35">
        <f>SUMIFS(D6613:D9015,K6613:K9015,"0",B6613:B9015,"5 1 2 6 1 12 31111 6 M59 40200 000172 0000R*")-SUMIFS(E6613:E9015,K6613:K9015,"0",B6613:B9015,"5 1 2 6 1 12 31111 6 M59 40200 000172 0000R*")</f>
        <v>0</v>
      </c>
      <c r="E6612"/>
      <c r="F6612" s="35">
        <f>SUMIFS(F6613:F9015,K6613:K9015,"0",B6613:B9015,"5 1 2 6 1 12 31111 6 M59 40200 000172 0000R*")</f>
        <v>1239166.56</v>
      </c>
      <c r="G6612" s="35">
        <f>SUMIFS(G6613:G9015,K6613:K9015,"0",B6613:B9015,"5 1 2 6 1 12 31111 6 M59 40200 000172 0000R*")</f>
        <v>0</v>
      </c>
      <c r="H6612" s="35">
        <f t="shared" si="104"/>
        <v>1239166.56</v>
      </c>
      <c r="I6612" s="35"/>
      <c r="K6612" t="s">
        <v>15</v>
      </c>
    </row>
    <row r="6613" spans="2:11" ht="24.75" x14ac:dyDescent="0.2">
      <c r="B6613" s="33" t="s">
        <v>7626</v>
      </c>
      <c r="C6613" s="33" t="s">
        <v>282</v>
      </c>
      <c r="D6613" s="35">
        <f>SUMIFS(D6614:D9015,K6614:K9015,"0",B6614:B9015,"5 1 2 6 1 12 31111 6 M59 40200 000172 0000R 00001*")-SUMIFS(E6614:E9015,K6614:K9015,"0",B6614:B9015,"5 1 2 6 1 12 31111 6 M59 40200 000172 0000R 00001*")</f>
        <v>0</v>
      </c>
      <c r="E6613"/>
      <c r="F6613" s="35">
        <f>SUMIFS(F6614:F9015,K6614:K9015,"0",B6614:B9015,"5 1 2 6 1 12 31111 6 M59 40200 000172 0000R 00001*")</f>
        <v>1239166.56</v>
      </c>
      <c r="G6613" s="35">
        <f>SUMIFS(G6614:G9015,K6614:K9015,"0",B6614:B9015,"5 1 2 6 1 12 31111 6 M59 40200 000172 0000R 00001*")</f>
        <v>0</v>
      </c>
      <c r="H6613" s="35">
        <f t="shared" si="104"/>
        <v>1239166.56</v>
      </c>
      <c r="I6613" s="35"/>
      <c r="K6613" t="s">
        <v>15</v>
      </c>
    </row>
    <row r="6614" spans="2:11" ht="24.75" x14ac:dyDescent="0.2">
      <c r="B6614" s="33" t="s">
        <v>7627</v>
      </c>
      <c r="C6614" s="33" t="s">
        <v>7511</v>
      </c>
      <c r="D6614" s="35">
        <f>SUMIFS(D6615:D9015,K6615:K9015,"0",B6615:B9015,"5 1 2 6 1 12 31111 6 M59 40200 000172 0000R 00001 00261*")-SUMIFS(E6615:E9015,K6615:K9015,"0",B6615:B9015,"5 1 2 6 1 12 31111 6 M59 40200 000172 0000R 00001 00261*")</f>
        <v>0</v>
      </c>
      <c r="E6614"/>
      <c r="F6614" s="35">
        <f>SUMIFS(F6615:F9015,K6615:K9015,"0",B6615:B9015,"5 1 2 6 1 12 31111 6 M59 40200 000172 0000R 00001 00261*")</f>
        <v>1239166.56</v>
      </c>
      <c r="G6614" s="35">
        <f>SUMIFS(G6615:G9015,K6615:K9015,"0",B6615:B9015,"5 1 2 6 1 12 31111 6 M59 40200 000172 0000R 00001 00261*")</f>
        <v>0</v>
      </c>
      <c r="H6614" s="35">
        <f t="shared" si="104"/>
        <v>1239166.56</v>
      </c>
      <c r="I6614" s="35"/>
      <c r="K6614" t="s">
        <v>15</v>
      </c>
    </row>
    <row r="6615" spans="2:11" ht="33" x14ac:dyDescent="0.2">
      <c r="B6615" s="33" t="s">
        <v>7628</v>
      </c>
      <c r="C6615" s="33" t="s">
        <v>656</v>
      </c>
      <c r="D6615" s="35">
        <f>SUMIFS(D6616:D9015,K6616:K9015,"0",B6616:B9015,"5 1 2 6 1 12 31111 6 M59 40200 000172 0000R 00001 00261 025*")-SUMIFS(E6616:E9015,K6616:K9015,"0",B6616:B9015,"5 1 2 6 1 12 31111 6 M59 40200 000172 0000R 00001 00261 025*")</f>
        <v>0</v>
      </c>
      <c r="E6615"/>
      <c r="F6615" s="35">
        <f>SUMIFS(F6616:F9015,K6616:K9015,"0",B6616:B9015,"5 1 2 6 1 12 31111 6 M59 40200 000172 0000R 00001 00261 025*")</f>
        <v>1239166.56</v>
      </c>
      <c r="G6615" s="35">
        <f>SUMIFS(G6616:G9015,K6616:K9015,"0",B6616:B9015,"5 1 2 6 1 12 31111 6 M59 40200 000172 0000R 00001 00261 025*")</f>
        <v>0</v>
      </c>
      <c r="H6615" s="35">
        <f t="shared" si="104"/>
        <v>1239166.56</v>
      </c>
      <c r="I6615" s="35"/>
      <c r="K6615" t="s">
        <v>15</v>
      </c>
    </row>
    <row r="6616" spans="2:11" ht="33" x14ac:dyDescent="0.2">
      <c r="B6616" s="33" t="s">
        <v>7629</v>
      </c>
      <c r="C6616" s="33" t="s">
        <v>5830</v>
      </c>
      <c r="D6616" s="35">
        <f>SUMIFS(D6617:D9015,K6617:K9015,"0",B6617:B9015,"5 1 2 6 1 12 31111 6 M59 40200 000172 0000R 00001 00261 025 2112000*")-SUMIFS(E6617:E9015,K6617:K9015,"0",B6617:B9015,"5 1 2 6 1 12 31111 6 M59 40200 000172 0000R 00001 00261 025 2112000*")</f>
        <v>0</v>
      </c>
      <c r="E6616"/>
      <c r="F6616" s="35">
        <f>SUMIFS(F6617:F9015,K6617:K9015,"0",B6617:B9015,"5 1 2 6 1 12 31111 6 M59 40200 000172 0000R 00001 00261 025 2112000*")</f>
        <v>1239166.56</v>
      </c>
      <c r="G6616" s="35">
        <f>SUMIFS(G6617:G9015,K6617:K9015,"0",B6617:B9015,"5 1 2 6 1 12 31111 6 M59 40200 000172 0000R 00001 00261 025 2112000*")</f>
        <v>0</v>
      </c>
      <c r="H6616" s="35">
        <f t="shared" si="104"/>
        <v>1239166.56</v>
      </c>
      <c r="I6616" s="35"/>
      <c r="K6616" t="s">
        <v>15</v>
      </c>
    </row>
    <row r="6617" spans="2:11" ht="33" x14ac:dyDescent="0.2">
      <c r="B6617" s="33" t="s">
        <v>7630</v>
      </c>
      <c r="C6617" s="33" t="s">
        <v>660</v>
      </c>
      <c r="D6617" s="35">
        <f>SUMIFS(D6618:D9015,K6618:K9015,"0",B6618:B9015,"5 1 2 6 1 12 31111 6 M59 40200 000172 0000R 00001 00261 025 2112000 2024*")-SUMIFS(E6618:E9015,K6618:K9015,"0",B6618:B9015,"5 1 2 6 1 12 31111 6 M59 40200 000172 0000R 00001 00261 025 2112000 2024*")</f>
        <v>0</v>
      </c>
      <c r="E6617"/>
      <c r="F6617" s="35">
        <f>SUMIFS(F6618:F9015,K6618:K9015,"0",B6618:B9015,"5 1 2 6 1 12 31111 6 M59 40200 000172 0000R 00001 00261 025 2112000 2024*")</f>
        <v>1239166.56</v>
      </c>
      <c r="G6617" s="35">
        <f>SUMIFS(G6618:G9015,K6618:K9015,"0",B6618:B9015,"5 1 2 6 1 12 31111 6 M59 40200 000172 0000R 00001 00261 025 2112000 2024*")</f>
        <v>0</v>
      </c>
      <c r="H6617" s="35">
        <f t="shared" si="104"/>
        <v>1239166.56</v>
      </c>
      <c r="I6617" s="35"/>
      <c r="K6617" t="s">
        <v>15</v>
      </c>
    </row>
    <row r="6618" spans="2:11" ht="41.25" x14ac:dyDescent="0.2">
      <c r="B6618" s="33" t="s">
        <v>7631</v>
      </c>
      <c r="C6618" s="33" t="s">
        <v>1056</v>
      </c>
      <c r="D6618" s="35">
        <f>SUMIFS(D6619:D9015,K6619:K9015,"0",B6619:B9015,"5 1 2 6 1 12 31111 6 M59 40200 000172 0000R 00001 00261 025 2112000 2024 CP4PC370*")-SUMIFS(E6619:E9015,K6619:K9015,"0",B6619:B9015,"5 1 2 6 1 12 31111 6 M59 40200 000172 0000R 00001 00261 025 2112000 2024 CP4PC370*")</f>
        <v>0</v>
      </c>
      <c r="E6618"/>
      <c r="F6618" s="35">
        <f>SUMIFS(F6619:F9015,K6619:K9015,"0",B6619:B9015,"5 1 2 6 1 12 31111 6 M59 40200 000172 0000R 00001 00261 025 2112000 2024 CP4PC370*")</f>
        <v>1239166.56</v>
      </c>
      <c r="G6618" s="35">
        <f>SUMIFS(G6619:G9015,K6619:K9015,"0",B6619:B9015,"5 1 2 6 1 12 31111 6 M59 40200 000172 0000R 00001 00261 025 2112000 2024 CP4PC370*")</f>
        <v>0</v>
      </c>
      <c r="H6618" s="35">
        <f t="shared" si="104"/>
        <v>1239166.56</v>
      </c>
      <c r="I6618" s="35"/>
      <c r="K6618" t="s">
        <v>15</v>
      </c>
    </row>
    <row r="6619" spans="2:11" ht="41.25" x14ac:dyDescent="0.2">
      <c r="B6619" s="33" t="s">
        <v>7632</v>
      </c>
      <c r="C6619" s="33" t="s">
        <v>664</v>
      </c>
      <c r="D6619" s="35">
        <f>SUMIFS(D6620:D9015,K6620:K9015,"0",B6620:B9015,"5 1 2 6 1 12 31111 6 M59 40200 000172 0000R 00001 00261 025 2112000 2024 CP4PC370 003*")-SUMIFS(E6620:E9015,K6620:K9015,"0",B6620:B9015,"5 1 2 6 1 12 31111 6 M59 40200 000172 0000R 00001 00261 025 2112000 2024 CP4PC370 003*")</f>
        <v>0</v>
      </c>
      <c r="E6619"/>
      <c r="F6619" s="35">
        <f>SUMIFS(F6620:F9015,K6620:K9015,"0",B6620:B9015,"5 1 2 6 1 12 31111 6 M59 40200 000172 0000R 00001 00261 025 2112000 2024 CP4PC370 003*")</f>
        <v>1239166.56</v>
      </c>
      <c r="G6619" s="35">
        <f>SUMIFS(G6620:G9015,K6620:K9015,"0",B6620:B9015,"5 1 2 6 1 12 31111 6 M59 40200 000172 0000R 00001 00261 025 2112000 2024 CP4PC370 003*")</f>
        <v>0</v>
      </c>
      <c r="H6619" s="35">
        <f t="shared" si="104"/>
        <v>1239166.56</v>
      </c>
      <c r="I6619" s="35"/>
      <c r="K6619" t="s">
        <v>15</v>
      </c>
    </row>
    <row r="6620" spans="2:11" ht="33" x14ac:dyDescent="0.2">
      <c r="B6620" s="31" t="s">
        <v>7633</v>
      </c>
      <c r="C6620" s="31" t="s">
        <v>540</v>
      </c>
      <c r="D6620" s="34">
        <v>0</v>
      </c>
      <c r="E6620" s="34"/>
      <c r="F6620" s="34">
        <v>1239166.56</v>
      </c>
      <c r="G6620" s="34">
        <v>0</v>
      </c>
      <c r="H6620" s="34">
        <f t="shared" si="104"/>
        <v>1239166.56</v>
      </c>
      <c r="I6620" s="34"/>
      <c r="K6620" t="s">
        <v>38</v>
      </c>
    </row>
    <row r="6621" spans="2:11" ht="16.5" x14ac:dyDescent="0.2">
      <c r="B6621" s="33" t="s">
        <v>7634</v>
      </c>
      <c r="C6621" s="33" t="s">
        <v>3256</v>
      </c>
      <c r="D6621" s="35">
        <f>SUMIFS(D6622:D9015,K6622:K9015,"0",B6622:B9015,"5 1 2 6 1 12 31111 6 M59 40300*")-SUMIFS(E6622:E9015,K6622:K9015,"0",B6622:B9015,"5 1 2 6 1 12 31111 6 M59 40300*")</f>
        <v>0</v>
      </c>
      <c r="E6621"/>
      <c r="F6621" s="35">
        <f>SUMIFS(F6622:F9015,K6622:K9015,"0",B6622:B9015,"5 1 2 6 1 12 31111 6 M59 40300*")</f>
        <v>459033.41</v>
      </c>
      <c r="G6621" s="35">
        <f>SUMIFS(G6622:G9015,K6622:K9015,"0",B6622:B9015,"5 1 2 6 1 12 31111 6 M59 40300*")</f>
        <v>0</v>
      </c>
      <c r="H6621" s="35">
        <f t="shared" si="104"/>
        <v>459033.41</v>
      </c>
      <c r="I6621" s="35"/>
      <c r="K6621" t="s">
        <v>15</v>
      </c>
    </row>
    <row r="6622" spans="2:11" ht="16.5" x14ac:dyDescent="0.2">
      <c r="B6622" s="33" t="s">
        <v>7635</v>
      </c>
      <c r="C6622" s="33" t="s">
        <v>1063</v>
      </c>
      <c r="D6622" s="35">
        <f>SUMIFS(D6623:D9015,K6623:K9015,"0",B6623:B9015,"5 1 2 6 1 12 31111 6 M59 40300 000185*")-SUMIFS(E6623:E9015,K6623:K9015,"0",B6623:B9015,"5 1 2 6 1 12 31111 6 M59 40300 000185*")</f>
        <v>0</v>
      </c>
      <c r="E6622"/>
      <c r="F6622" s="35">
        <f>SUMIFS(F6623:F9015,K6623:K9015,"0",B6623:B9015,"5 1 2 6 1 12 31111 6 M59 40300 000185*")</f>
        <v>459033.41</v>
      </c>
      <c r="G6622" s="35">
        <f>SUMIFS(G6623:G9015,K6623:K9015,"0",B6623:B9015,"5 1 2 6 1 12 31111 6 M59 40300 000185*")</f>
        <v>0</v>
      </c>
      <c r="H6622" s="35">
        <f t="shared" si="104"/>
        <v>459033.41</v>
      </c>
      <c r="I6622" s="35"/>
      <c r="K6622" t="s">
        <v>15</v>
      </c>
    </row>
    <row r="6623" spans="2:11" ht="24.75" x14ac:dyDescent="0.2">
      <c r="B6623" s="33" t="s">
        <v>7636</v>
      </c>
      <c r="C6623" s="33" t="s">
        <v>650</v>
      </c>
      <c r="D6623" s="35">
        <f>SUMIFS(D6624:D9015,K6624:K9015,"0",B6624:B9015,"5 1 2 6 1 12 31111 6 M59 40300 000185 0000R*")-SUMIFS(E6624:E9015,K6624:K9015,"0",B6624:B9015,"5 1 2 6 1 12 31111 6 M59 40300 000185 0000R*")</f>
        <v>0</v>
      </c>
      <c r="E6623"/>
      <c r="F6623" s="35">
        <f>SUMIFS(F6624:F9015,K6624:K9015,"0",B6624:B9015,"5 1 2 6 1 12 31111 6 M59 40300 000185 0000R*")</f>
        <v>459033.41</v>
      </c>
      <c r="G6623" s="35">
        <f>SUMIFS(G6624:G9015,K6624:K9015,"0",B6624:B9015,"5 1 2 6 1 12 31111 6 M59 40300 000185 0000R*")</f>
        <v>0</v>
      </c>
      <c r="H6623" s="35">
        <f t="shared" si="104"/>
        <v>459033.41</v>
      </c>
      <c r="I6623" s="35"/>
      <c r="K6623" t="s">
        <v>15</v>
      </c>
    </row>
    <row r="6624" spans="2:11" ht="24.75" x14ac:dyDescent="0.2">
      <c r="B6624" s="33" t="s">
        <v>7637</v>
      </c>
      <c r="C6624" s="33" t="s">
        <v>282</v>
      </c>
      <c r="D6624" s="35">
        <f>SUMIFS(D6625:D9015,K6625:K9015,"0",B6625:B9015,"5 1 2 6 1 12 31111 6 M59 40300 000185 0000R 00001*")-SUMIFS(E6625:E9015,K6625:K9015,"0",B6625:B9015,"5 1 2 6 1 12 31111 6 M59 40300 000185 0000R 00001*")</f>
        <v>0</v>
      </c>
      <c r="E6624"/>
      <c r="F6624" s="35">
        <f>SUMIFS(F6625:F9015,K6625:K9015,"0",B6625:B9015,"5 1 2 6 1 12 31111 6 M59 40300 000185 0000R 00001*")</f>
        <v>459033.41</v>
      </c>
      <c r="G6624" s="35">
        <f>SUMIFS(G6625:G9015,K6625:K9015,"0",B6625:B9015,"5 1 2 6 1 12 31111 6 M59 40300 000185 0000R 00001*")</f>
        <v>0</v>
      </c>
      <c r="H6624" s="35">
        <f t="shared" si="104"/>
        <v>459033.41</v>
      </c>
      <c r="I6624" s="35"/>
      <c r="K6624" t="s">
        <v>15</v>
      </c>
    </row>
    <row r="6625" spans="2:11" ht="24.75" x14ac:dyDescent="0.2">
      <c r="B6625" s="33" t="s">
        <v>7638</v>
      </c>
      <c r="C6625" s="33" t="s">
        <v>7511</v>
      </c>
      <c r="D6625" s="35">
        <f>SUMIFS(D6626:D9015,K6626:K9015,"0",B6626:B9015,"5 1 2 6 1 12 31111 6 M59 40300 000185 0000R 00001 00261*")-SUMIFS(E6626:E9015,K6626:K9015,"0",B6626:B9015,"5 1 2 6 1 12 31111 6 M59 40300 000185 0000R 00001 00261*")</f>
        <v>0</v>
      </c>
      <c r="E6625"/>
      <c r="F6625" s="35">
        <f>SUMIFS(F6626:F9015,K6626:K9015,"0",B6626:B9015,"5 1 2 6 1 12 31111 6 M59 40300 000185 0000R 00001 00261*")</f>
        <v>459033.41</v>
      </c>
      <c r="G6625" s="35">
        <f>SUMIFS(G6626:G9015,K6626:K9015,"0",B6626:B9015,"5 1 2 6 1 12 31111 6 M59 40300 000185 0000R 00001 00261*")</f>
        <v>0</v>
      </c>
      <c r="H6625" s="35">
        <f t="shared" si="104"/>
        <v>459033.41</v>
      </c>
      <c r="I6625" s="35"/>
      <c r="K6625" t="s">
        <v>15</v>
      </c>
    </row>
    <row r="6626" spans="2:11" ht="33" x14ac:dyDescent="0.2">
      <c r="B6626" s="33" t="s">
        <v>7639</v>
      </c>
      <c r="C6626" s="33" t="s">
        <v>656</v>
      </c>
      <c r="D6626" s="35">
        <f>SUMIFS(D6627:D9015,K6627:K9015,"0",B6627:B9015,"5 1 2 6 1 12 31111 6 M59 40300 000185 0000R 00001 00261 025*")-SUMIFS(E6627:E9015,K6627:K9015,"0",B6627:B9015,"5 1 2 6 1 12 31111 6 M59 40300 000185 0000R 00001 00261 025*")</f>
        <v>0</v>
      </c>
      <c r="E6626"/>
      <c r="F6626" s="35">
        <f>SUMIFS(F6627:F9015,K6627:K9015,"0",B6627:B9015,"5 1 2 6 1 12 31111 6 M59 40300 000185 0000R 00001 00261 025*")</f>
        <v>459033.41</v>
      </c>
      <c r="G6626" s="35">
        <f>SUMIFS(G6627:G9015,K6627:K9015,"0",B6627:B9015,"5 1 2 6 1 12 31111 6 M59 40300 000185 0000R 00001 00261 025*")</f>
        <v>0</v>
      </c>
      <c r="H6626" s="35">
        <f t="shared" si="104"/>
        <v>459033.41</v>
      </c>
      <c r="I6626" s="35"/>
      <c r="K6626" t="s">
        <v>15</v>
      </c>
    </row>
    <row r="6627" spans="2:11" ht="33" x14ac:dyDescent="0.2">
      <c r="B6627" s="33" t="s">
        <v>7640</v>
      </c>
      <c r="C6627" s="33" t="s">
        <v>5830</v>
      </c>
      <c r="D6627" s="35">
        <f>SUMIFS(D6628:D9015,K6628:K9015,"0",B6628:B9015,"5 1 2 6 1 12 31111 6 M59 40300 000185 0000R 00001 00261 025 2112000*")-SUMIFS(E6628:E9015,K6628:K9015,"0",B6628:B9015,"5 1 2 6 1 12 31111 6 M59 40300 000185 0000R 00001 00261 025 2112000*")</f>
        <v>0</v>
      </c>
      <c r="E6627"/>
      <c r="F6627" s="35">
        <f>SUMIFS(F6628:F9015,K6628:K9015,"0",B6628:B9015,"5 1 2 6 1 12 31111 6 M59 40300 000185 0000R 00001 00261 025 2112000*")</f>
        <v>459033.41</v>
      </c>
      <c r="G6627" s="35">
        <f>SUMIFS(G6628:G9015,K6628:K9015,"0",B6628:B9015,"5 1 2 6 1 12 31111 6 M59 40300 000185 0000R 00001 00261 025 2112000*")</f>
        <v>0</v>
      </c>
      <c r="H6627" s="35">
        <f t="shared" si="104"/>
        <v>459033.41</v>
      </c>
      <c r="I6627" s="35"/>
      <c r="K6627" t="s">
        <v>15</v>
      </c>
    </row>
    <row r="6628" spans="2:11" ht="33" x14ac:dyDescent="0.2">
      <c r="B6628" s="33" t="s">
        <v>7641</v>
      </c>
      <c r="C6628" s="33" t="s">
        <v>660</v>
      </c>
      <c r="D6628" s="35">
        <f>SUMIFS(D6629:D9015,K6629:K9015,"0",B6629:B9015,"5 1 2 6 1 12 31111 6 M59 40300 000185 0000R 00001 00261 025 2112000 2024*")-SUMIFS(E6629:E9015,K6629:K9015,"0",B6629:B9015,"5 1 2 6 1 12 31111 6 M59 40300 000185 0000R 00001 00261 025 2112000 2024*")</f>
        <v>0</v>
      </c>
      <c r="E6628"/>
      <c r="F6628" s="35">
        <f>SUMIFS(F6629:F9015,K6629:K9015,"0",B6629:B9015,"5 1 2 6 1 12 31111 6 M59 40300 000185 0000R 00001 00261 025 2112000 2024*")</f>
        <v>459033.41</v>
      </c>
      <c r="G6628" s="35">
        <f>SUMIFS(G6629:G9015,K6629:K9015,"0",B6629:B9015,"5 1 2 6 1 12 31111 6 M59 40300 000185 0000R 00001 00261 025 2112000 2024*")</f>
        <v>0</v>
      </c>
      <c r="H6628" s="35">
        <f t="shared" si="104"/>
        <v>459033.41</v>
      </c>
      <c r="I6628" s="35"/>
      <c r="K6628" t="s">
        <v>15</v>
      </c>
    </row>
    <row r="6629" spans="2:11" ht="41.25" x14ac:dyDescent="0.2">
      <c r="B6629" s="33" t="s">
        <v>7642</v>
      </c>
      <c r="C6629" s="33" t="s">
        <v>662</v>
      </c>
      <c r="D6629" s="35">
        <f>SUMIFS(D6630:D9015,K6630:K9015,"0",B6630:B9015,"5 1 2 6 1 12 31111 6 M59 40300 000185 0000R 00001 00261 025 2112000 2024 CP4TV371*")-SUMIFS(E6630:E9015,K6630:K9015,"0",B6630:B9015,"5 1 2 6 1 12 31111 6 M59 40300 000185 0000R 00001 00261 025 2112000 2024 CP4TV371*")</f>
        <v>0</v>
      </c>
      <c r="E6629"/>
      <c r="F6629" s="35">
        <f>SUMIFS(F6630:F9015,K6630:K9015,"0",B6630:B9015,"5 1 2 6 1 12 31111 6 M59 40300 000185 0000R 00001 00261 025 2112000 2024 CP4TV371*")</f>
        <v>459033.41</v>
      </c>
      <c r="G6629" s="35">
        <f>SUMIFS(G6630:G9015,K6630:K9015,"0",B6630:B9015,"5 1 2 6 1 12 31111 6 M59 40300 000185 0000R 00001 00261 025 2112000 2024 CP4TV371*")</f>
        <v>0</v>
      </c>
      <c r="H6629" s="35">
        <f t="shared" si="104"/>
        <v>459033.41</v>
      </c>
      <c r="I6629" s="35"/>
      <c r="K6629" t="s">
        <v>15</v>
      </c>
    </row>
    <row r="6630" spans="2:11" ht="41.25" x14ac:dyDescent="0.2">
      <c r="B6630" s="33" t="s">
        <v>7643</v>
      </c>
      <c r="C6630" s="33" t="s">
        <v>664</v>
      </c>
      <c r="D6630" s="35">
        <f>SUMIFS(D6631:D9015,K6631:K9015,"0",B6631:B9015,"5 1 2 6 1 12 31111 6 M59 40300 000185 0000R 00001 00261 025 2112000 2024 CP4TV371 003*")-SUMIFS(E6631:E9015,K6631:K9015,"0",B6631:B9015,"5 1 2 6 1 12 31111 6 M59 40300 000185 0000R 00001 00261 025 2112000 2024 CP4TV371 003*")</f>
        <v>0</v>
      </c>
      <c r="E6630"/>
      <c r="F6630" s="35">
        <f>SUMIFS(F6631:F9015,K6631:K9015,"0",B6631:B9015,"5 1 2 6 1 12 31111 6 M59 40300 000185 0000R 00001 00261 025 2112000 2024 CP4TV371 003*")</f>
        <v>459033.41</v>
      </c>
      <c r="G6630" s="35">
        <f>SUMIFS(G6631:G9015,K6631:K9015,"0",B6631:B9015,"5 1 2 6 1 12 31111 6 M59 40300 000185 0000R 00001 00261 025 2112000 2024 CP4TV371 003*")</f>
        <v>0</v>
      </c>
      <c r="H6630" s="35">
        <f t="shared" si="104"/>
        <v>459033.41</v>
      </c>
      <c r="I6630" s="35"/>
      <c r="K6630" t="s">
        <v>15</v>
      </c>
    </row>
    <row r="6631" spans="2:11" ht="33" x14ac:dyDescent="0.2">
      <c r="B6631" s="31" t="s">
        <v>7644</v>
      </c>
      <c r="C6631" s="31" t="s">
        <v>540</v>
      </c>
      <c r="D6631" s="34">
        <v>0</v>
      </c>
      <c r="E6631" s="34"/>
      <c r="F6631" s="34">
        <v>459033.41</v>
      </c>
      <c r="G6631" s="34">
        <v>0</v>
      </c>
      <c r="H6631" s="34">
        <f t="shared" si="104"/>
        <v>459033.41</v>
      </c>
      <c r="I6631" s="34"/>
      <c r="K6631" t="s">
        <v>38</v>
      </c>
    </row>
    <row r="6632" spans="2:11" ht="16.5" x14ac:dyDescent="0.2">
      <c r="B6632" s="33" t="s">
        <v>7645</v>
      </c>
      <c r="C6632" s="33" t="s">
        <v>3281</v>
      </c>
      <c r="D6632" s="35">
        <f>SUMIFS(D6633:D9015,K6633:K9015,"0",B6633:B9015,"5 1 2 6 1 12 31111 6 M59 50000*")-SUMIFS(E6633:E9015,K6633:K9015,"0",B6633:B9015,"5 1 2 6 1 12 31111 6 M59 50000*")</f>
        <v>0</v>
      </c>
      <c r="E6632"/>
      <c r="F6632" s="35">
        <f>SUMIFS(F6633:F9015,K6633:K9015,"0",B6633:B9015,"5 1 2 6 1 12 31111 6 M59 50000*")</f>
        <v>122079.94</v>
      </c>
      <c r="G6632" s="35">
        <f>SUMIFS(G6633:G9015,K6633:K9015,"0",B6633:B9015,"5 1 2 6 1 12 31111 6 M59 50000*")</f>
        <v>0</v>
      </c>
      <c r="H6632" s="35">
        <f t="shared" si="104"/>
        <v>122079.94</v>
      </c>
      <c r="I6632" s="35"/>
      <c r="K6632" t="s">
        <v>15</v>
      </c>
    </row>
    <row r="6633" spans="2:11" ht="16.5" x14ac:dyDescent="0.2">
      <c r="B6633" s="33" t="s">
        <v>7646</v>
      </c>
      <c r="C6633" s="33" t="s">
        <v>3283</v>
      </c>
      <c r="D6633" s="35">
        <f>SUMIFS(D6634:D9015,K6634:K9015,"0",B6634:B9015,"5 1 2 6 1 12 31111 6 M59 50000 000223*")-SUMIFS(E6634:E9015,K6634:K9015,"0",B6634:B9015,"5 1 2 6 1 12 31111 6 M59 50000 000223*")</f>
        <v>0</v>
      </c>
      <c r="E6633"/>
      <c r="F6633" s="35">
        <f>SUMIFS(F6634:F9015,K6634:K9015,"0",B6634:B9015,"5 1 2 6 1 12 31111 6 M59 50000 000223*")</f>
        <v>122079.94</v>
      </c>
      <c r="G6633" s="35">
        <f>SUMIFS(G6634:G9015,K6634:K9015,"0",B6634:B9015,"5 1 2 6 1 12 31111 6 M59 50000 000223*")</f>
        <v>0</v>
      </c>
      <c r="H6633" s="35">
        <f t="shared" si="104"/>
        <v>122079.94</v>
      </c>
      <c r="I6633" s="35"/>
      <c r="K6633" t="s">
        <v>15</v>
      </c>
    </row>
    <row r="6634" spans="2:11" ht="24.75" x14ac:dyDescent="0.2">
      <c r="B6634" s="33" t="s">
        <v>7647</v>
      </c>
      <c r="C6634" s="33" t="s">
        <v>1065</v>
      </c>
      <c r="D6634" s="35">
        <f>SUMIFS(D6635:D9015,K6635:K9015,"0",B6635:B9015,"5 1 2 6 1 12 31111 6 M59 50000 000223 0000E*")-SUMIFS(E6635:E9015,K6635:K9015,"0",B6635:B9015,"5 1 2 6 1 12 31111 6 M59 50000 000223 0000E*")</f>
        <v>0</v>
      </c>
      <c r="E6634"/>
      <c r="F6634" s="35">
        <f>SUMIFS(F6635:F9015,K6635:K9015,"0",B6635:B9015,"5 1 2 6 1 12 31111 6 M59 50000 000223 0000E*")</f>
        <v>122079.94</v>
      </c>
      <c r="G6634" s="35">
        <f>SUMIFS(G6635:G9015,K6635:K9015,"0",B6635:B9015,"5 1 2 6 1 12 31111 6 M59 50000 000223 0000E*")</f>
        <v>0</v>
      </c>
      <c r="H6634" s="35">
        <f t="shared" si="104"/>
        <v>122079.94</v>
      </c>
      <c r="I6634" s="35"/>
      <c r="K6634" t="s">
        <v>15</v>
      </c>
    </row>
    <row r="6635" spans="2:11" ht="24.75" x14ac:dyDescent="0.2">
      <c r="B6635" s="33" t="s">
        <v>7648</v>
      </c>
      <c r="C6635" s="33" t="s">
        <v>282</v>
      </c>
      <c r="D6635" s="35">
        <f>SUMIFS(D6636:D9015,K6636:K9015,"0",B6636:B9015,"5 1 2 6 1 12 31111 6 M59 50000 000223 0000E 00001*")-SUMIFS(E6636:E9015,K6636:K9015,"0",B6636:B9015,"5 1 2 6 1 12 31111 6 M59 50000 000223 0000E 00001*")</f>
        <v>0</v>
      </c>
      <c r="E6635"/>
      <c r="F6635" s="35">
        <f>SUMIFS(F6636:F9015,K6636:K9015,"0",B6636:B9015,"5 1 2 6 1 12 31111 6 M59 50000 000223 0000E 00001*")</f>
        <v>122079.94</v>
      </c>
      <c r="G6635" s="35">
        <f>SUMIFS(G6636:G9015,K6636:K9015,"0",B6636:B9015,"5 1 2 6 1 12 31111 6 M59 50000 000223 0000E 00001*")</f>
        <v>0</v>
      </c>
      <c r="H6635" s="35">
        <f t="shared" si="104"/>
        <v>122079.94</v>
      </c>
      <c r="I6635" s="35"/>
      <c r="K6635" t="s">
        <v>15</v>
      </c>
    </row>
    <row r="6636" spans="2:11" ht="24.75" x14ac:dyDescent="0.2">
      <c r="B6636" s="33" t="s">
        <v>7649</v>
      </c>
      <c r="C6636" s="33" t="s">
        <v>7511</v>
      </c>
      <c r="D6636" s="35">
        <f>SUMIFS(D6637:D9015,K6637:K9015,"0",B6637:B9015,"5 1 2 6 1 12 31111 6 M59 50000 000223 0000E 00001 00261*")-SUMIFS(E6637:E9015,K6637:K9015,"0",B6637:B9015,"5 1 2 6 1 12 31111 6 M59 50000 000223 0000E 00001 00261*")</f>
        <v>0</v>
      </c>
      <c r="E6636"/>
      <c r="F6636" s="35">
        <f>SUMIFS(F6637:F9015,K6637:K9015,"0",B6637:B9015,"5 1 2 6 1 12 31111 6 M59 50000 000223 0000E 00001 00261*")</f>
        <v>122079.94</v>
      </c>
      <c r="G6636" s="35">
        <f>SUMIFS(G6637:G9015,K6637:K9015,"0",B6637:B9015,"5 1 2 6 1 12 31111 6 M59 50000 000223 0000E 00001 00261*")</f>
        <v>0</v>
      </c>
      <c r="H6636" s="35">
        <f t="shared" si="104"/>
        <v>122079.94</v>
      </c>
      <c r="I6636" s="35"/>
      <c r="K6636" t="s">
        <v>15</v>
      </c>
    </row>
    <row r="6637" spans="2:11" ht="33" x14ac:dyDescent="0.2">
      <c r="B6637" s="33" t="s">
        <v>7650</v>
      </c>
      <c r="C6637" s="33" t="s">
        <v>1051</v>
      </c>
      <c r="D6637" s="35">
        <f>SUMIFS(D6638:D9015,K6638:K9015,"0",B6638:B9015,"5 1 2 6 1 12 31111 6 M59 50000 000223 0000E 00001 00261 015*")-SUMIFS(E6638:E9015,K6638:K9015,"0",B6638:B9015,"5 1 2 6 1 12 31111 6 M59 50000 000223 0000E 00001 00261 015*")</f>
        <v>0</v>
      </c>
      <c r="E6637"/>
      <c r="F6637" s="35">
        <f>SUMIFS(F6638:F9015,K6638:K9015,"0",B6638:B9015,"5 1 2 6 1 12 31111 6 M59 50000 000223 0000E 00001 00261 015*")</f>
        <v>122079.94</v>
      </c>
      <c r="G6637" s="35">
        <f>SUMIFS(G6638:G9015,K6638:K9015,"0",B6638:B9015,"5 1 2 6 1 12 31111 6 M59 50000 000223 0000E 00001 00261 015*")</f>
        <v>0</v>
      </c>
      <c r="H6637" s="35">
        <f t="shared" si="104"/>
        <v>122079.94</v>
      </c>
      <c r="I6637" s="35"/>
      <c r="K6637" t="s">
        <v>15</v>
      </c>
    </row>
    <row r="6638" spans="2:11" ht="33" x14ac:dyDescent="0.2">
      <c r="B6638" s="33" t="s">
        <v>7651</v>
      </c>
      <c r="C6638" s="33" t="s">
        <v>5830</v>
      </c>
      <c r="D6638" s="35">
        <f>SUMIFS(D6639:D9015,K6639:K9015,"0",B6639:B9015,"5 1 2 6 1 12 31111 6 M59 50000 000223 0000E 00001 00261 015 2112000*")-SUMIFS(E6639:E9015,K6639:K9015,"0",B6639:B9015,"5 1 2 6 1 12 31111 6 M59 50000 000223 0000E 00001 00261 015 2112000*")</f>
        <v>0</v>
      </c>
      <c r="E6638"/>
      <c r="F6638" s="35">
        <f>SUMIFS(F6639:F9015,K6639:K9015,"0",B6639:B9015,"5 1 2 6 1 12 31111 6 M59 50000 000223 0000E 00001 00261 015 2112000*")</f>
        <v>122079.94</v>
      </c>
      <c r="G6638" s="35">
        <f>SUMIFS(G6639:G9015,K6639:K9015,"0",B6639:B9015,"5 1 2 6 1 12 31111 6 M59 50000 000223 0000E 00001 00261 015 2112000*")</f>
        <v>0</v>
      </c>
      <c r="H6638" s="35">
        <f t="shared" si="104"/>
        <v>122079.94</v>
      </c>
      <c r="I6638" s="35"/>
      <c r="K6638" t="s">
        <v>15</v>
      </c>
    </row>
    <row r="6639" spans="2:11" ht="33" x14ac:dyDescent="0.2">
      <c r="B6639" s="33" t="s">
        <v>7652</v>
      </c>
      <c r="C6639" s="33" t="s">
        <v>660</v>
      </c>
      <c r="D6639" s="35">
        <f>SUMIFS(D6640:D9015,K6640:K9015,"0",B6640:B9015,"5 1 2 6 1 12 31111 6 M59 50000 000223 0000E 00001 00261 015 2112000 2024*")-SUMIFS(E6640:E9015,K6640:K9015,"0",B6640:B9015,"5 1 2 6 1 12 31111 6 M59 50000 000223 0000E 00001 00261 015 2112000 2024*")</f>
        <v>0</v>
      </c>
      <c r="E6639"/>
      <c r="F6639" s="35">
        <f>SUMIFS(F6640:F9015,K6640:K9015,"0",B6640:B9015,"5 1 2 6 1 12 31111 6 M59 50000 000223 0000E 00001 00261 015 2112000 2024*")</f>
        <v>122079.94</v>
      </c>
      <c r="G6639" s="35">
        <f>SUMIFS(G6640:G9015,K6640:K9015,"0",B6640:B9015,"5 1 2 6 1 12 31111 6 M59 50000 000223 0000E 00001 00261 015 2112000 2024*")</f>
        <v>0</v>
      </c>
      <c r="H6639" s="35">
        <f t="shared" si="104"/>
        <v>122079.94</v>
      </c>
      <c r="I6639" s="35"/>
      <c r="K6639" t="s">
        <v>15</v>
      </c>
    </row>
    <row r="6640" spans="2:11" ht="41.25" x14ac:dyDescent="0.2">
      <c r="B6640" s="33" t="s">
        <v>7653</v>
      </c>
      <c r="C6640" s="33" t="s">
        <v>662</v>
      </c>
      <c r="D6640" s="35">
        <f>SUMIFS(D6641:D9015,K6641:K9015,"0",B6641:B9015,"5 1 2 6 1 12 31111 6 M59 50000 000223 0000E 00001 00261 015 2112000 2024 CP1DA424*")-SUMIFS(E6641:E9015,K6641:K9015,"0",B6641:B9015,"5 1 2 6 1 12 31111 6 M59 50000 000223 0000E 00001 00261 015 2112000 2024 CP1DA424*")</f>
        <v>0</v>
      </c>
      <c r="E6640"/>
      <c r="F6640" s="35">
        <f>SUMIFS(F6641:F9015,K6641:K9015,"0",B6641:B9015,"5 1 2 6 1 12 31111 6 M59 50000 000223 0000E 00001 00261 015 2112000 2024 CP1DA424*")</f>
        <v>85000</v>
      </c>
      <c r="G6640" s="35">
        <f>SUMIFS(G6641:G9015,K6641:K9015,"0",B6641:B9015,"5 1 2 6 1 12 31111 6 M59 50000 000223 0000E 00001 00261 015 2112000 2024 CP1DA424*")</f>
        <v>0</v>
      </c>
      <c r="H6640" s="35">
        <f t="shared" si="104"/>
        <v>85000</v>
      </c>
      <c r="I6640" s="35"/>
      <c r="K6640" t="s">
        <v>15</v>
      </c>
    </row>
    <row r="6641" spans="2:11" ht="41.25" x14ac:dyDescent="0.2">
      <c r="B6641" s="33" t="s">
        <v>7654</v>
      </c>
      <c r="C6641" s="33" t="s">
        <v>282</v>
      </c>
      <c r="D6641" s="35">
        <f>SUMIFS(D6642:D9015,K6642:K9015,"0",B6642:B9015,"5 1 2 6 1 12 31111 6 M59 50000 000223 0000E 00001 00261 015 2112000 2024 CP1DA424 001*")-SUMIFS(E6642:E9015,K6642:K9015,"0",B6642:B9015,"5 1 2 6 1 12 31111 6 M59 50000 000223 0000E 00001 00261 015 2112000 2024 CP1DA424 001*")</f>
        <v>0</v>
      </c>
      <c r="E6641"/>
      <c r="F6641" s="35">
        <f>SUMIFS(F6642:F9015,K6642:K9015,"0",B6642:B9015,"5 1 2 6 1 12 31111 6 M59 50000 000223 0000E 00001 00261 015 2112000 2024 CP1DA424 001*")</f>
        <v>85000</v>
      </c>
      <c r="G6641" s="35">
        <f>SUMIFS(G6642:G9015,K6642:K9015,"0",B6642:B9015,"5 1 2 6 1 12 31111 6 M59 50000 000223 0000E 00001 00261 015 2112000 2024 CP1DA424 001*")</f>
        <v>0</v>
      </c>
      <c r="H6641" s="35">
        <f t="shared" si="104"/>
        <v>85000</v>
      </c>
      <c r="I6641" s="35"/>
      <c r="K6641" t="s">
        <v>15</v>
      </c>
    </row>
    <row r="6642" spans="2:11" ht="41.25" x14ac:dyDescent="0.2">
      <c r="B6642" s="31" t="s">
        <v>7655</v>
      </c>
      <c r="C6642" s="31" t="s">
        <v>7511</v>
      </c>
      <c r="D6642" s="34">
        <v>0</v>
      </c>
      <c r="E6642" s="34"/>
      <c r="F6642" s="34">
        <v>85000</v>
      </c>
      <c r="G6642" s="34">
        <v>0</v>
      </c>
      <c r="H6642" s="34">
        <f t="shared" si="104"/>
        <v>85000</v>
      </c>
      <c r="I6642" s="34"/>
      <c r="K6642" t="s">
        <v>38</v>
      </c>
    </row>
    <row r="6643" spans="2:11" ht="41.25" x14ac:dyDescent="0.2">
      <c r="B6643" s="33" t="s">
        <v>7656</v>
      </c>
      <c r="C6643" s="33" t="s">
        <v>7657</v>
      </c>
      <c r="D6643" s="35">
        <f>SUMIFS(D6644:D9015,K6644:K9015,"0",B6644:B9015,"5 1 2 6 1 12 31111 6 M59 50000 000223 0000E 00001 00261 015 2112000 2024 CP2DA534*")-SUMIFS(E6644:E9015,K6644:K9015,"0",B6644:B9015,"5 1 2 6 1 12 31111 6 M59 50000 000223 0000E 00001 00261 015 2112000 2024 CP2DA534*")</f>
        <v>0</v>
      </c>
      <c r="E6643"/>
      <c r="F6643" s="35">
        <f>SUMIFS(F6644:F9015,K6644:K9015,"0",B6644:B9015,"5 1 2 6 1 12 31111 6 M59 50000 000223 0000E 00001 00261 015 2112000 2024 CP2DA534*")</f>
        <v>37079.94</v>
      </c>
      <c r="G6643" s="35">
        <f>SUMIFS(G6644:G9015,K6644:K9015,"0",B6644:B9015,"5 1 2 6 1 12 31111 6 M59 50000 000223 0000E 00001 00261 015 2112000 2024 CP2DA534*")</f>
        <v>0</v>
      </c>
      <c r="H6643" s="35">
        <f t="shared" si="104"/>
        <v>37079.94</v>
      </c>
      <c r="I6643" s="35"/>
      <c r="K6643" t="s">
        <v>15</v>
      </c>
    </row>
    <row r="6644" spans="2:11" ht="41.25" x14ac:dyDescent="0.2">
      <c r="B6644" s="33" t="s">
        <v>7658</v>
      </c>
      <c r="C6644" s="33" t="s">
        <v>1075</v>
      </c>
      <c r="D6644" s="35">
        <f>SUMIFS(D6645:D9015,K6645:K9015,"0",B6645:B9015,"5 1 2 6 1 12 31111 6 M59 50000 000223 0000E 00001 00261 015 2112000 2024 CP2DA534 005*")-SUMIFS(E6645:E9015,K6645:K9015,"0",B6645:B9015,"5 1 2 6 1 12 31111 6 M59 50000 000223 0000E 00001 00261 015 2112000 2024 CP2DA534 005*")</f>
        <v>0</v>
      </c>
      <c r="E6644"/>
      <c r="F6644" s="35">
        <f>SUMIFS(F6645:F9015,K6645:K9015,"0",B6645:B9015,"5 1 2 6 1 12 31111 6 M59 50000 000223 0000E 00001 00261 015 2112000 2024 CP2DA534 005*")</f>
        <v>37079.94</v>
      </c>
      <c r="G6644" s="35">
        <f>SUMIFS(G6645:G9015,K6645:K9015,"0",B6645:B9015,"5 1 2 6 1 12 31111 6 M59 50000 000223 0000E 00001 00261 015 2112000 2024 CP2DA534 005*")</f>
        <v>0</v>
      </c>
      <c r="H6644" s="35">
        <f t="shared" si="104"/>
        <v>37079.94</v>
      </c>
      <c r="I6644" s="35"/>
      <c r="K6644" t="s">
        <v>15</v>
      </c>
    </row>
    <row r="6645" spans="2:11" ht="41.25" x14ac:dyDescent="0.2">
      <c r="B6645" s="31" t="s">
        <v>7659</v>
      </c>
      <c r="C6645" s="31" t="s">
        <v>540</v>
      </c>
      <c r="D6645" s="34">
        <v>0</v>
      </c>
      <c r="E6645" s="34"/>
      <c r="F6645" s="34">
        <v>37079.94</v>
      </c>
      <c r="G6645" s="34">
        <v>0</v>
      </c>
      <c r="H6645" s="34">
        <f t="shared" si="104"/>
        <v>37079.94</v>
      </c>
      <c r="I6645" s="34"/>
      <c r="K6645" t="s">
        <v>38</v>
      </c>
    </row>
    <row r="6646" spans="2:11" ht="16.5" x14ac:dyDescent="0.2">
      <c r="B6646" s="33" t="s">
        <v>7660</v>
      </c>
      <c r="C6646" s="33" t="s">
        <v>1269</v>
      </c>
      <c r="D6646" s="35">
        <f>SUMIFS(D6647:D9015,K6647:K9015,"0",B6647:B9015,"5 1 2 6 1 12 31111 6 M59 60100*")-SUMIFS(E6647:E9015,K6647:K9015,"0",B6647:B9015,"5 1 2 6 1 12 31111 6 M59 60100*")</f>
        <v>0</v>
      </c>
      <c r="E6646"/>
      <c r="F6646" s="35">
        <f>SUMIFS(F6647:F9015,K6647:K9015,"0",B6647:B9015,"5 1 2 6 1 12 31111 6 M59 60100*")</f>
        <v>600</v>
      </c>
      <c r="G6646" s="35">
        <f>SUMIFS(G6647:G9015,K6647:K9015,"0",B6647:B9015,"5 1 2 6 1 12 31111 6 M59 60100*")</f>
        <v>0</v>
      </c>
      <c r="H6646" s="35">
        <f t="shared" si="104"/>
        <v>600</v>
      </c>
      <c r="I6646" s="35"/>
      <c r="K6646" t="s">
        <v>15</v>
      </c>
    </row>
    <row r="6647" spans="2:11" ht="16.5" x14ac:dyDescent="0.2">
      <c r="B6647" s="33" t="s">
        <v>7661</v>
      </c>
      <c r="C6647" s="33" t="s">
        <v>648</v>
      </c>
      <c r="D6647" s="35">
        <f>SUMIFS(D6648:D9015,K6648:K9015,"0",B6648:B9015,"5 1 2 6 1 12 31111 6 M59 60100 000132*")-SUMIFS(E6648:E9015,K6648:K9015,"0",B6648:B9015,"5 1 2 6 1 12 31111 6 M59 60100 000132*")</f>
        <v>0</v>
      </c>
      <c r="E6647"/>
      <c r="F6647" s="35">
        <f>SUMIFS(F6648:F9015,K6648:K9015,"0",B6648:B9015,"5 1 2 6 1 12 31111 6 M59 60100 000132*")</f>
        <v>600</v>
      </c>
      <c r="G6647" s="35">
        <f>SUMIFS(G6648:G9015,K6648:K9015,"0",B6648:B9015,"5 1 2 6 1 12 31111 6 M59 60100 000132*")</f>
        <v>0</v>
      </c>
      <c r="H6647" s="35">
        <f t="shared" si="104"/>
        <v>600</v>
      </c>
      <c r="I6647" s="35"/>
      <c r="K6647" t="s">
        <v>15</v>
      </c>
    </row>
    <row r="6648" spans="2:11" ht="24.75" x14ac:dyDescent="0.2">
      <c r="B6648" s="33" t="s">
        <v>7662</v>
      </c>
      <c r="C6648" s="33" t="s">
        <v>650</v>
      </c>
      <c r="D6648" s="35">
        <f>SUMIFS(D6649:D9015,K6649:K9015,"0",B6649:B9015,"5 1 2 6 1 12 31111 6 M59 60100 000132 0000R*")-SUMIFS(E6649:E9015,K6649:K9015,"0",B6649:B9015,"5 1 2 6 1 12 31111 6 M59 60100 000132 0000R*")</f>
        <v>0</v>
      </c>
      <c r="E6648"/>
      <c r="F6648" s="35">
        <f>SUMIFS(F6649:F9015,K6649:K9015,"0",B6649:B9015,"5 1 2 6 1 12 31111 6 M59 60100 000132 0000R*")</f>
        <v>600</v>
      </c>
      <c r="G6648" s="35">
        <f>SUMIFS(G6649:G9015,K6649:K9015,"0",B6649:B9015,"5 1 2 6 1 12 31111 6 M59 60100 000132 0000R*")</f>
        <v>0</v>
      </c>
      <c r="H6648" s="35">
        <f t="shared" si="104"/>
        <v>600</v>
      </c>
      <c r="I6648" s="35"/>
      <c r="K6648" t="s">
        <v>15</v>
      </c>
    </row>
    <row r="6649" spans="2:11" ht="24.75" x14ac:dyDescent="0.2">
      <c r="B6649" s="33" t="s">
        <v>7663</v>
      </c>
      <c r="C6649" s="33" t="s">
        <v>282</v>
      </c>
      <c r="D6649" s="35">
        <f>SUMIFS(D6650:D9015,K6650:K9015,"0",B6650:B9015,"5 1 2 6 1 12 31111 6 M59 60100 000132 0000R 00001*")-SUMIFS(E6650:E9015,K6650:K9015,"0",B6650:B9015,"5 1 2 6 1 12 31111 6 M59 60100 000132 0000R 00001*")</f>
        <v>0</v>
      </c>
      <c r="E6649"/>
      <c r="F6649" s="35">
        <f>SUMIFS(F6650:F9015,K6650:K9015,"0",B6650:B9015,"5 1 2 6 1 12 31111 6 M59 60100 000132 0000R 00001*")</f>
        <v>600</v>
      </c>
      <c r="G6649" s="35">
        <f>SUMIFS(G6650:G9015,K6650:K9015,"0",B6650:B9015,"5 1 2 6 1 12 31111 6 M59 60100 000132 0000R 00001*")</f>
        <v>0</v>
      </c>
      <c r="H6649" s="35">
        <f t="shared" si="104"/>
        <v>600</v>
      </c>
      <c r="I6649" s="35"/>
      <c r="K6649" t="s">
        <v>15</v>
      </c>
    </row>
    <row r="6650" spans="2:11" ht="24.75" x14ac:dyDescent="0.2">
      <c r="B6650" s="33" t="s">
        <v>7664</v>
      </c>
      <c r="C6650" s="33" t="s">
        <v>7511</v>
      </c>
      <c r="D6650" s="35">
        <f>SUMIFS(D6651:D9015,K6651:K9015,"0",B6651:B9015,"5 1 2 6 1 12 31111 6 M59 60100 000132 0000R 00001 00261*")-SUMIFS(E6651:E9015,K6651:K9015,"0",B6651:B9015,"5 1 2 6 1 12 31111 6 M59 60100 000132 0000R 00001 00261*")</f>
        <v>0</v>
      </c>
      <c r="E6650"/>
      <c r="F6650" s="35">
        <f>SUMIFS(F6651:F9015,K6651:K9015,"0",B6651:B9015,"5 1 2 6 1 12 31111 6 M59 60100 000132 0000R 00001 00261*")</f>
        <v>600</v>
      </c>
      <c r="G6650" s="35">
        <f>SUMIFS(G6651:G9015,K6651:K9015,"0",B6651:B9015,"5 1 2 6 1 12 31111 6 M59 60100 000132 0000R 00001 00261*")</f>
        <v>0</v>
      </c>
      <c r="H6650" s="35">
        <f t="shared" si="104"/>
        <v>600</v>
      </c>
      <c r="I6650" s="35"/>
      <c r="K6650" t="s">
        <v>15</v>
      </c>
    </row>
    <row r="6651" spans="2:11" ht="33" x14ac:dyDescent="0.2">
      <c r="B6651" s="33" t="s">
        <v>7665</v>
      </c>
      <c r="C6651" s="33" t="s">
        <v>1051</v>
      </c>
      <c r="D6651" s="35">
        <f>SUMIFS(D6652:D9015,K6652:K9015,"0",B6652:B9015,"5 1 2 6 1 12 31111 6 M59 60100 000132 0000R 00001 00261 015*")-SUMIFS(E6652:E9015,K6652:K9015,"0",B6652:B9015,"5 1 2 6 1 12 31111 6 M59 60100 000132 0000R 00001 00261 015*")</f>
        <v>0</v>
      </c>
      <c r="E6651"/>
      <c r="F6651" s="35">
        <f>SUMIFS(F6652:F9015,K6652:K9015,"0",B6652:B9015,"5 1 2 6 1 12 31111 6 M59 60100 000132 0000R 00001 00261 015*")</f>
        <v>600</v>
      </c>
      <c r="G6651" s="35">
        <f>SUMIFS(G6652:G9015,K6652:K9015,"0",B6652:B9015,"5 1 2 6 1 12 31111 6 M59 60100 000132 0000R 00001 00261 015*")</f>
        <v>0</v>
      </c>
      <c r="H6651" s="35">
        <f t="shared" si="104"/>
        <v>600</v>
      </c>
      <c r="I6651" s="35"/>
      <c r="K6651" t="s">
        <v>15</v>
      </c>
    </row>
    <row r="6652" spans="2:11" ht="33" x14ac:dyDescent="0.2">
      <c r="B6652" s="33" t="s">
        <v>7666</v>
      </c>
      <c r="C6652" s="33" t="s">
        <v>5830</v>
      </c>
      <c r="D6652" s="35">
        <f>SUMIFS(D6653:D9015,K6653:K9015,"0",B6653:B9015,"5 1 2 6 1 12 31111 6 M59 60100 000132 0000R 00001 00261 015 2112000*")-SUMIFS(E6653:E9015,K6653:K9015,"0",B6653:B9015,"5 1 2 6 1 12 31111 6 M59 60100 000132 0000R 00001 00261 015 2112000*")</f>
        <v>0</v>
      </c>
      <c r="E6652"/>
      <c r="F6652" s="35">
        <f>SUMIFS(F6653:F9015,K6653:K9015,"0",B6653:B9015,"5 1 2 6 1 12 31111 6 M59 60100 000132 0000R 00001 00261 015 2112000*")</f>
        <v>600</v>
      </c>
      <c r="G6652" s="35">
        <f>SUMIFS(G6653:G9015,K6653:K9015,"0",B6653:B9015,"5 1 2 6 1 12 31111 6 M59 60100 000132 0000R 00001 00261 015 2112000*")</f>
        <v>0</v>
      </c>
      <c r="H6652" s="35">
        <f t="shared" si="104"/>
        <v>600</v>
      </c>
      <c r="I6652" s="35"/>
      <c r="K6652" t="s">
        <v>15</v>
      </c>
    </row>
    <row r="6653" spans="2:11" ht="33" x14ac:dyDescent="0.2">
      <c r="B6653" s="33" t="s">
        <v>7667</v>
      </c>
      <c r="C6653" s="33" t="s">
        <v>660</v>
      </c>
      <c r="D6653" s="35">
        <f>SUMIFS(D6654:D9015,K6654:K9015,"0",B6654:B9015,"5 1 2 6 1 12 31111 6 M59 60100 000132 0000R 00001 00261 015 2112000 2024*")-SUMIFS(E6654:E9015,K6654:K9015,"0",B6654:B9015,"5 1 2 6 1 12 31111 6 M59 60100 000132 0000R 00001 00261 015 2112000 2024*")</f>
        <v>0</v>
      </c>
      <c r="E6653"/>
      <c r="F6653" s="35">
        <f>SUMIFS(F6654:F9015,K6654:K9015,"0",B6654:B9015,"5 1 2 6 1 12 31111 6 M59 60100 000132 0000R 00001 00261 015 2112000 2024*")</f>
        <v>600</v>
      </c>
      <c r="G6653" s="35">
        <f>SUMIFS(G6654:G9015,K6654:K9015,"0",B6654:B9015,"5 1 2 6 1 12 31111 6 M59 60100 000132 0000R 00001 00261 015 2112000 2024*")</f>
        <v>0</v>
      </c>
      <c r="H6653" s="35">
        <f t="shared" si="104"/>
        <v>600</v>
      </c>
      <c r="I6653" s="35"/>
      <c r="K6653" t="s">
        <v>15</v>
      </c>
    </row>
    <row r="6654" spans="2:11" ht="41.25" x14ac:dyDescent="0.2">
      <c r="B6654" s="33" t="s">
        <v>7668</v>
      </c>
      <c r="C6654" s="33" t="s">
        <v>1056</v>
      </c>
      <c r="D6654" s="35">
        <f>SUMIFS(D6655:D9015,K6655:K9015,"0",B6655:B9015,"5 1 2 6 1 12 31111 6 M59 60100 000132 0000R 00001 00261 015 2112000 2024 CP1DM394*")-SUMIFS(E6655:E9015,K6655:K9015,"0",B6655:B9015,"5 1 2 6 1 12 31111 6 M59 60100 000132 0000R 00001 00261 015 2112000 2024 CP1DM394*")</f>
        <v>0</v>
      </c>
      <c r="E6654"/>
      <c r="F6654" s="35">
        <f>SUMIFS(F6655:F9015,K6655:K9015,"0",B6655:B9015,"5 1 2 6 1 12 31111 6 M59 60100 000132 0000R 00001 00261 015 2112000 2024 CP1DM394*")</f>
        <v>600</v>
      </c>
      <c r="G6654" s="35">
        <f>SUMIFS(G6655:G9015,K6655:K9015,"0",B6655:B9015,"5 1 2 6 1 12 31111 6 M59 60100 000132 0000R 00001 00261 015 2112000 2024 CP1DM394*")</f>
        <v>0</v>
      </c>
      <c r="H6654" s="35">
        <f t="shared" si="104"/>
        <v>600</v>
      </c>
      <c r="I6654" s="35"/>
      <c r="K6654" t="s">
        <v>15</v>
      </c>
    </row>
    <row r="6655" spans="2:11" ht="41.25" x14ac:dyDescent="0.2">
      <c r="B6655" s="33" t="s">
        <v>7669</v>
      </c>
      <c r="C6655" s="33" t="s">
        <v>282</v>
      </c>
      <c r="D6655" s="35">
        <f>SUMIFS(D6656:D9015,K6656:K9015,"0",B6656:B9015,"5 1 2 6 1 12 31111 6 M59 60100 000132 0000R 00001 00261 015 2112000 2024 CP1DM394 001*")-SUMIFS(E6656:E9015,K6656:K9015,"0",B6656:B9015,"5 1 2 6 1 12 31111 6 M59 60100 000132 0000R 00001 00261 015 2112000 2024 CP1DM394 001*")</f>
        <v>0</v>
      </c>
      <c r="E6655"/>
      <c r="F6655" s="35">
        <f>SUMIFS(F6656:F9015,K6656:K9015,"0",B6656:B9015,"5 1 2 6 1 12 31111 6 M59 60100 000132 0000R 00001 00261 015 2112000 2024 CP1DM394 001*")</f>
        <v>600</v>
      </c>
      <c r="G6655" s="35">
        <f>SUMIFS(G6656:G9015,K6656:K9015,"0",B6656:B9015,"5 1 2 6 1 12 31111 6 M59 60100 000132 0000R 00001 00261 015 2112000 2024 CP1DM394 001*")</f>
        <v>0</v>
      </c>
      <c r="H6655" s="35">
        <f t="shared" si="104"/>
        <v>600</v>
      </c>
      <c r="I6655" s="35"/>
      <c r="K6655" t="s">
        <v>15</v>
      </c>
    </row>
    <row r="6656" spans="2:11" ht="33" x14ac:dyDescent="0.2">
      <c r="B6656" s="31" t="s">
        <v>7670</v>
      </c>
      <c r="C6656" s="31" t="s">
        <v>7511</v>
      </c>
      <c r="D6656" s="34">
        <v>0</v>
      </c>
      <c r="E6656" s="34"/>
      <c r="F6656" s="34">
        <v>600</v>
      </c>
      <c r="G6656" s="34">
        <v>0</v>
      </c>
      <c r="H6656" s="34">
        <f t="shared" si="104"/>
        <v>600</v>
      </c>
      <c r="I6656" s="34"/>
      <c r="K6656" t="s">
        <v>38</v>
      </c>
    </row>
    <row r="6657" spans="2:11" ht="16.5" x14ac:dyDescent="0.2">
      <c r="B6657" s="33" t="s">
        <v>7671</v>
      </c>
      <c r="C6657" s="33" t="s">
        <v>3608</v>
      </c>
      <c r="D6657" s="35">
        <f>SUMIFS(D6658:D9015,K6658:K9015,"0",B6658:B9015,"5 1 2 6 1 12 31111 6 M59 91000*")-SUMIFS(E6658:E9015,K6658:K9015,"0",B6658:B9015,"5 1 2 6 1 12 31111 6 M59 91000*")</f>
        <v>0</v>
      </c>
      <c r="E6657"/>
      <c r="F6657" s="35">
        <f>SUMIFS(F6658:F9015,K6658:K9015,"0",B6658:B9015,"5 1 2 6 1 12 31111 6 M59 91000*")</f>
        <v>50600</v>
      </c>
      <c r="G6657" s="35">
        <f>SUMIFS(G6658:G9015,K6658:K9015,"0",B6658:B9015,"5 1 2 6 1 12 31111 6 M59 91000*")</f>
        <v>0</v>
      </c>
      <c r="H6657" s="35">
        <f t="shared" si="104"/>
        <v>50600</v>
      </c>
      <c r="I6657" s="35"/>
      <c r="K6657" t="s">
        <v>15</v>
      </c>
    </row>
    <row r="6658" spans="2:11" ht="16.5" x14ac:dyDescent="0.2">
      <c r="B6658" s="33" t="s">
        <v>7672</v>
      </c>
      <c r="C6658" s="33" t="s">
        <v>648</v>
      </c>
      <c r="D6658" s="35">
        <f>SUMIFS(D6659:D9015,K6659:K9015,"0",B6659:B9015,"5 1 2 6 1 12 31111 6 M59 91000 000132*")-SUMIFS(E6659:E9015,K6659:K9015,"0",B6659:B9015,"5 1 2 6 1 12 31111 6 M59 91000 000132*")</f>
        <v>0</v>
      </c>
      <c r="E6658"/>
      <c r="F6658" s="35">
        <f>SUMIFS(F6659:F9015,K6659:K9015,"0",B6659:B9015,"5 1 2 6 1 12 31111 6 M59 91000 000132*")</f>
        <v>50600</v>
      </c>
      <c r="G6658" s="35">
        <f>SUMIFS(G6659:G9015,K6659:K9015,"0",B6659:B9015,"5 1 2 6 1 12 31111 6 M59 91000 000132*")</f>
        <v>0</v>
      </c>
      <c r="H6658" s="35">
        <f t="shared" si="104"/>
        <v>50600</v>
      </c>
      <c r="I6658" s="35"/>
      <c r="K6658" t="s">
        <v>15</v>
      </c>
    </row>
    <row r="6659" spans="2:11" ht="24.75" x14ac:dyDescent="0.2">
      <c r="B6659" s="33" t="s">
        <v>7673</v>
      </c>
      <c r="C6659" s="33" t="s">
        <v>650</v>
      </c>
      <c r="D6659" s="35">
        <f>SUMIFS(D6660:D9015,K6660:K9015,"0",B6660:B9015,"5 1 2 6 1 12 31111 6 M59 91000 000132 0000R*")-SUMIFS(E6660:E9015,K6660:K9015,"0",B6660:B9015,"5 1 2 6 1 12 31111 6 M59 91000 000132 0000R*")</f>
        <v>0</v>
      </c>
      <c r="E6659"/>
      <c r="F6659" s="35">
        <f>SUMIFS(F6660:F9015,K6660:K9015,"0",B6660:B9015,"5 1 2 6 1 12 31111 6 M59 91000 000132 0000R*")</f>
        <v>50600</v>
      </c>
      <c r="G6659" s="35">
        <f>SUMIFS(G6660:G9015,K6660:K9015,"0",B6660:B9015,"5 1 2 6 1 12 31111 6 M59 91000 000132 0000R*")</f>
        <v>0</v>
      </c>
      <c r="H6659" s="35">
        <f t="shared" si="104"/>
        <v>50600</v>
      </c>
      <c r="I6659" s="35"/>
      <c r="K6659" t="s">
        <v>15</v>
      </c>
    </row>
    <row r="6660" spans="2:11" ht="24.75" x14ac:dyDescent="0.2">
      <c r="B6660" s="33" t="s">
        <v>7674</v>
      </c>
      <c r="C6660" s="33" t="s">
        <v>282</v>
      </c>
      <c r="D6660" s="35">
        <f>SUMIFS(D6661:D9015,K6661:K9015,"0",B6661:B9015,"5 1 2 6 1 12 31111 6 M59 91000 000132 0000R 00001*")-SUMIFS(E6661:E9015,K6661:K9015,"0",B6661:B9015,"5 1 2 6 1 12 31111 6 M59 91000 000132 0000R 00001*")</f>
        <v>0</v>
      </c>
      <c r="E6660"/>
      <c r="F6660" s="35">
        <f>SUMIFS(F6661:F9015,K6661:K9015,"0",B6661:B9015,"5 1 2 6 1 12 31111 6 M59 91000 000132 0000R 00001*")</f>
        <v>50600</v>
      </c>
      <c r="G6660" s="35">
        <f>SUMIFS(G6661:G9015,K6661:K9015,"0",B6661:B9015,"5 1 2 6 1 12 31111 6 M59 91000 000132 0000R 00001*")</f>
        <v>0</v>
      </c>
      <c r="H6660" s="35">
        <f t="shared" ref="H6660:H6723" si="105">D6660 + F6660 - G6660</f>
        <v>50600</v>
      </c>
      <c r="I6660" s="35"/>
      <c r="K6660" t="s">
        <v>15</v>
      </c>
    </row>
    <row r="6661" spans="2:11" ht="24.75" x14ac:dyDescent="0.2">
      <c r="B6661" s="33" t="s">
        <v>7675</v>
      </c>
      <c r="C6661" s="33" t="s">
        <v>7511</v>
      </c>
      <c r="D6661" s="35">
        <f>SUMIFS(D6662:D9015,K6662:K9015,"0",B6662:B9015,"5 1 2 6 1 12 31111 6 M59 91000 000132 0000R 00001 00261*")-SUMIFS(E6662:E9015,K6662:K9015,"0",B6662:B9015,"5 1 2 6 1 12 31111 6 M59 91000 000132 0000R 00001 00261*")</f>
        <v>0</v>
      </c>
      <c r="E6661"/>
      <c r="F6661" s="35">
        <f>SUMIFS(F6662:F9015,K6662:K9015,"0",B6662:B9015,"5 1 2 6 1 12 31111 6 M59 91000 000132 0000R 00001 00261*")</f>
        <v>50600</v>
      </c>
      <c r="G6661" s="35">
        <f>SUMIFS(G6662:G9015,K6662:K9015,"0",B6662:B9015,"5 1 2 6 1 12 31111 6 M59 91000 000132 0000R 00001 00261*")</f>
        <v>0</v>
      </c>
      <c r="H6661" s="35">
        <f t="shared" si="105"/>
        <v>50600</v>
      </c>
      <c r="I6661" s="35"/>
      <c r="K6661" t="s">
        <v>15</v>
      </c>
    </row>
    <row r="6662" spans="2:11" ht="33" x14ac:dyDescent="0.2">
      <c r="B6662" s="33" t="s">
        <v>7676</v>
      </c>
      <c r="C6662" s="33" t="s">
        <v>1051</v>
      </c>
      <c r="D6662" s="35">
        <f>SUMIFS(D6663:D9015,K6663:K9015,"0",B6663:B9015,"5 1 2 6 1 12 31111 6 M59 91000 000132 0000R 00001 00261 015*")-SUMIFS(E6663:E9015,K6663:K9015,"0",B6663:B9015,"5 1 2 6 1 12 31111 6 M59 91000 000132 0000R 00001 00261 015*")</f>
        <v>0</v>
      </c>
      <c r="E6662"/>
      <c r="F6662" s="35">
        <f>SUMIFS(F6663:F9015,K6663:K9015,"0",B6663:B9015,"5 1 2 6 1 12 31111 6 M59 91000 000132 0000R 00001 00261 015*")</f>
        <v>50600</v>
      </c>
      <c r="G6662" s="35">
        <f>SUMIFS(G6663:G9015,K6663:K9015,"0",B6663:B9015,"5 1 2 6 1 12 31111 6 M59 91000 000132 0000R 00001 00261 015*")</f>
        <v>0</v>
      </c>
      <c r="H6662" s="35">
        <f t="shared" si="105"/>
        <v>50600</v>
      </c>
      <c r="I6662" s="35"/>
      <c r="K6662" t="s">
        <v>15</v>
      </c>
    </row>
    <row r="6663" spans="2:11" ht="33" x14ac:dyDescent="0.2">
      <c r="B6663" s="33" t="s">
        <v>7677</v>
      </c>
      <c r="C6663" s="33" t="s">
        <v>5830</v>
      </c>
      <c r="D6663" s="35">
        <f>SUMIFS(D6664:D9015,K6664:K9015,"0",B6664:B9015,"5 1 2 6 1 12 31111 6 M59 91000 000132 0000R 00001 00261 015 2112000*")-SUMIFS(E6664:E9015,K6664:K9015,"0",B6664:B9015,"5 1 2 6 1 12 31111 6 M59 91000 000132 0000R 00001 00261 015 2112000*")</f>
        <v>0</v>
      </c>
      <c r="E6663"/>
      <c r="F6663" s="35">
        <f>SUMIFS(F6664:F9015,K6664:K9015,"0",B6664:B9015,"5 1 2 6 1 12 31111 6 M59 91000 000132 0000R 00001 00261 015 2112000*")</f>
        <v>50600</v>
      </c>
      <c r="G6663" s="35">
        <f>SUMIFS(G6664:G9015,K6664:K9015,"0",B6664:B9015,"5 1 2 6 1 12 31111 6 M59 91000 000132 0000R 00001 00261 015 2112000*")</f>
        <v>0</v>
      </c>
      <c r="H6663" s="35">
        <f t="shared" si="105"/>
        <v>50600</v>
      </c>
      <c r="I6663" s="35"/>
      <c r="K6663" t="s">
        <v>15</v>
      </c>
    </row>
    <row r="6664" spans="2:11" ht="33" x14ac:dyDescent="0.2">
      <c r="B6664" s="33" t="s">
        <v>7678</v>
      </c>
      <c r="C6664" s="33" t="s">
        <v>660</v>
      </c>
      <c r="D6664" s="35">
        <f>SUMIFS(D6665:D9015,K6665:K9015,"0",B6665:B9015,"5 1 2 6 1 12 31111 6 M59 91000 000132 0000R 00001 00261 015 2112000 2024*")-SUMIFS(E6665:E9015,K6665:K9015,"0",B6665:B9015,"5 1 2 6 1 12 31111 6 M59 91000 000132 0000R 00001 00261 015 2112000 2024*")</f>
        <v>0</v>
      </c>
      <c r="E6664"/>
      <c r="F6664" s="35">
        <f>SUMIFS(F6665:F9015,K6665:K9015,"0",B6665:B9015,"5 1 2 6 1 12 31111 6 M59 91000 000132 0000R 00001 00261 015 2112000 2024*")</f>
        <v>50600</v>
      </c>
      <c r="G6664" s="35">
        <f>SUMIFS(G6665:G9015,K6665:K9015,"0",B6665:B9015,"5 1 2 6 1 12 31111 6 M59 91000 000132 0000R 00001 00261 015 2112000 2024*")</f>
        <v>0</v>
      </c>
      <c r="H6664" s="35">
        <f t="shared" si="105"/>
        <v>50600</v>
      </c>
      <c r="I6664" s="35"/>
      <c r="K6664" t="s">
        <v>15</v>
      </c>
    </row>
    <row r="6665" spans="2:11" ht="41.25" x14ac:dyDescent="0.2">
      <c r="B6665" s="33" t="s">
        <v>7679</v>
      </c>
      <c r="C6665" s="33" t="s">
        <v>1056</v>
      </c>
      <c r="D6665" s="35">
        <f>SUMIFS(D6666:D9015,K6666:K9015,"0",B6666:B9015,"5 1 2 6 1 12 31111 6 M59 91000 000132 0000R 00001 00261 015 2112000 2024 CP1RE398*")-SUMIFS(E6666:E9015,K6666:K9015,"0",B6666:B9015,"5 1 2 6 1 12 31111 6 M59 91000 000132 0000R 00001 00261 015 2112000 2024 CP1RE398*")</f>
        <v>0</v>
      </c>
      <c r="E6665"/>
      <c r="F6665" s="35">
        <f>SUMIFS(F6666:F9015,K6666:K9015,"0",B6666:B9015,"5 1 2 6 1 12 31111 6 M59 91000 000132 0000R 00001 00261 015 2112000 2024 CP1RE398*")</f>
        <v>50600</v>
      </c>
      <c r="G6665" s="35">
        <f>SUMIFS(G6666:G9015,K6666:K9015,"0",B6666:B9015,"5 1 2 6 1 12 31111 6 M59 91000 000132 0000R 00001 00261 015 2112000 2024 CP1RE398*")</f>
        <v>0</v>
      </c>
      <c r="H6665" s="35">
        <f t="shared" si="105"/>
        <v>50600</v>
      </c>
      <c r="I6665" s="35"/>
      <c r="K6665" t="s">
        <v>15</v>
      </c>
    </row>
    <row r="6666" spans="2:11" ht="41.25" x14ac:dyDescent="0.2">
      <c r="B6666" s="33" t="s">
        <v>7680</v>
      </c>
      <c r="C6666" s="33" t="s">
        <v>282</v>
      </c>
      <c r="D6666" s="35">
        <f>SUMIFS(D6667:D9015,K6667:K9015,"0",B6667:B9015,"5 1 2 6 1 12 31111 6 M59 91000 000132 0000R 00001 00261 015 2112000 2024 CP1RE398 001*")-SUMIFS(E6667:E9015,K6667:K9015,"0",B6667:B9015,"5 1 2 6 1 12 31111 6 M59 91000 000132 0000R 00001 00261 015 2112000 2024 CP1RE398 001*")</f>
        <v>0</v>
      </c>
      <c r="E6666"/>
      <c r="F6666" s="35">
        <f>SUMIFS(F6667:F9015,K6667:K9015,"0",B6667:B9015,"5 1 2 6 1 12 31111 6 M59 91000 000132 0000R 00001 00261 015 2112000 2024 CP1RE398 001*")</f>
        <v>50600</v>
      </c>
      <c r="G6666" s="35">
        <f>SUMIFS(G6667:G9015,K6667:K9015,"0",B6667:B9015,"5 1 2 6 1 12 31111 6 M59 91000 000132 0000R 00001 00261 015 2112000 2024 CP1RE398 001*")</f>
        <v>0</v>
      </c>
      <c r="H6666" s="35">
        <f t="shared" si="105"/>
        <v>50600</v>
      </c>
      <c r="I6666" s="35"/>
      <c r="K6666" t="s">
        <v>15</v>
      </c>
    </row>
    <row r="6667" spans="2:11" ht="33" x14ac:dyDescent="0.2">
      <c r="B6667" s="31" t="s">
        <v>7681</v>
      </c>
      <c r="C6667" s="31" t="s">
        <v>7511</v>
      </c>
      <c r="D6667" s="34">
        <v>0</v>
      </c>
      <c r="E6667" s="34"/>
      <c r="F6667" s="34">
        <v>50600</v>
      </c>
      <c r="G6667" s="34">
        <v>0</v>
      </c>
      <c r="H6667" s="34">
        <f t="shared" si="105"/>
        <v>50600</v>
      </c>
      <c r="I6667" s="34"/>
      <c r="K6667" t="s">
        <v>38</v>
      </c>
    </row>
    <row r="6668" spans="2:11" ht="16.5" x14ac:dyDescent="0.2">
      <c r="B6668" s="33" t="s">
        <v>7682</v>
      </c>
      <c r="C6668" s="33" t="s">
        <v>3693</v>
      </c>
      <c r="D6668" s="35">
        <f>SUMIFS(D6669:D9015,K6669:K9015,"0",B6669:B9015,"5 1 2 6 1 12 31111 6 M59 96100*")-SUMIFS(E6669:E9015,K6669:K9015,"0",B6669:B9015,"5 1 2 6 1 12 31111 6 M59 96100*")</f>
        <v>0</v>
      </c>
      <c r="E6668"/>
      <c r="F6668" s="35">
        <f>SUMIFS(F6669:F9015,K6669:K9015,"0",B6669:B9015,"5 1 2 6 1 12 31111 6 M59 96100*")</f>
        <v>100.01</v>
      </c>
      <c r="G6668" s="35">
        <f>SUMIFS(G6669:G9015,K6669:K9015,"0",B6669:B9015,"5 1 2 6 1 12 31111 6 M59 96100*")</f>
        <v>0</v>
      </c>
      <c r="H6668" s="35">
        <f t="shared" si="105"/>
        <v>100.01</v>
      </c>
      <c r="I6668" s="35"/>
      <c r="K6668" t="s">
        <v>15</v>
      </c>
    </row>
    <row r="6669" spans="2:11" ht="16.5" x14ac:dyDescent="0.2">
      <c r="B6669" s="33" t="s">
        <v>7683</v>
      </c>
      <c r="C6669" s="33" t="s">
        <v>1310</v>
      </c>
      <c r="D6669" s="35">
        <f>SUMIFS(D6670:D9015,K6670:K9015,"0",B6670:B9015,"5 1 2 6 1 12 31111 6 M59 96100 000211*")-SUMIFS(E6670:E9015,K6670:K9015,"0",B6670:B9015,"5 1 2 6 1 12 31111 6 M59 96100 000211*")</f>
        <v>0</v>
      </c>
      <c r="E6669"/>
      <c r="F6669" s="35">
        <f>SUMIFS(F6670:F9015,K6670:K9015,"0",B6670:B9015,"5 1 2 6 1 12 31111 6 M59 96100 000211*")</f>
        <v>100.01</v>
      </c>
      <c r="G6669" s="35">
        <f>SUMIFS(G6670:G9015,K6670:K9015,"0",B6670:B9015,"5 1 2 6 1 12 31111 6 M59 96100 000211*")</f>
        <v>0</v>
      </c>
      <c r="H6669" s="35">
        <f t="shared" si="105"/>
        <v>100.01</v>
      </c>
      <c r="I6669" s="35"/>
      <c r="K6669" t="s">
        <v>15</v>
      </c>
    </row>
    <row r="6670" spans="2:11" ht="24.75" x14ac:dyDescent="0.2">
      <c r="B6670" s="33" t="s">
        <v>7684</v>
      </c>
      <c r="C6670" s="33" t="s">
        <v>3696</v>
      </c>
      <c r="D6670" s="35">
        <f>SUMIFS(D6671:D9015,K6671:K9015,"0",B6671:B9015,"5 1 2 6 1 12 31111 6 M59 96100 000211 0000U*")-SUMIFS(E6671:E9015,K6671:K9015,"0",B6671:B9015,"5 1 2 6 1 12 31111 6 M59 96100 000211 0000U*")</f>
        <v>0</v>
      </c>
      <c r="E6670"/>
      <c r="F6670" s="35">
        <f>SUMIFS(F6671:F9015,K6671:K9015,"0",B6671:B9015,"5 1 2 6 1 12 31111 6 M59 96100 000211 0000U*")</f>
        <v>100.01</v>
      </c>
      <c r="G6670" s="35">
        <f>SUMIFS(G6671:G9015,K6671:K9015,"0",B6671:B9015,"5 1 2 6 1 12 31111 6 M59 96100 000211 0000U*")</f>
        <v>0</v>
      </c>
      <c r="H6670" s="35">
        <f t="shared" si="105"/>
        <v>100.01</v>
      </c>
      <c r="I6670" s="35"/>
      <c r="K6670" t="s">
        <v>15</v>
      </c>
    </row>
    <row r="6671" spans="2:11" ht="24.75" x14ac:dyDescent="0.2">
      <c r="B6671" s="33" t="s">
        <v>7685</v>
      </c>
      <c r="C6671" s="33" t="s">
        <v>282</v>
      </c>
      <c r="D6671" s="35">
        <f>SUMIFS(D6672:D9015,K6672:K9015,"0",B6672:B9015,"5 1 2 6 1 12 31111 6 M59 96100 000211 0000U 00001*")-SUMIFS(E6672:E9015,K6672:K9015,"0",B6672:B9015,"5 1 2 6 1 12 31111 6 M59 96100 000211 0000U 00001*")</f>
        <v>0</v>
      </c>
      <c r="E6671"/>
      <c r="F6671" s="35">
        <f>SUMIFS(F6672:F9015,K6672:K9015,"0",B6672:B9015,"5 1 2 6 1 12 31111 6 M59 96100 000211 0000U 00001*")</f>
        <v>100.01</v>
      </c>
      <c r="G6671" s="35">
        <f>SUMIFS(G6672:G9015,K6672:K9015,"0",B6672:B9015,"5 1 2 6 1 12 31111 6 M59 96100 000211 0000U 00001*")</f>
        <v>0</v>
      </c>
      <c r="H6671" s="35">
        <f t="shared" si="105"/>
        <v>100.01</v>
      </c>
      <c r="I6671" s="35"/>
      <c r="K6671" t="s">
        <v>15</v>
      </c>
    </row>
    <row r="6672" spans="2:11" ht="24.75" x14ac:dyDescent="0.2">
      <c r="B6672" s="33" t="s">
        <v>7686</v>
      </c>
      <c r="C6672" s="33" t="s">
        <v>7511</v>
      </c>
      <c r="D6672" s="35">
        <f>SUMIFS(D6673:D9015,K6673:K9015,"0",B6673:B9015,"5 1 2 6 1 12 31111 6 M59 96100 000211 0000U 00001 00261*")-SUMIFS(E6673:E9015,K6673:K9015,"0",B6673:B9015,"5 1 2 6 1 12 31111 6 M59 96100 000211 0000U 00001 00261*")</f>
        <v>0</v>
      </c>
      <c r="E6672"/>
      <c r="F6672" s="35">
        <f>SUMIFS(F6673:F9015,K6673:K9015,"0",B6673:B9015,"5 1 2 6 1 12 31111 6 M59 96100 000211 0000U 00001 00261*")</f>
        <v>100.01</v>
      </c>
      <c r="G6672" s="35">
        <f>SUMIFS(G6673:G9015,K6673:K9015,"0",B6673:B9015,"5 1 2 6 1 12 31111 6 M59 96100 000211 0000U 00001 00261*")</f>
        <v>0</v>
      </c>
      <c r="H6672" s="35">
        <f t="shared" si="105"/>
        <v>100.01</v>
      </c>
      <c r="I6672" s="35"/>
      <c r="K6672" t="s">
        <v>15</v>
      </c>
    </row>
    <row r="6673" spans="2:11" ht="33" x14ac:dyDescent="0.2">
      <c r="B6673" s="33" t="s">
        <v>7687</v>
      </c>
      <c r="C6673" s="33" t="s">
        <v>1051</v>
      </c>
      <c r="D6673" s="35">
        <f>SUMIFS(D6674:D9015,K6674:K9015,"0",B6674:B9015,"5 1 2 6 1 12 31111 6 M59 96100 000211 0000U 00001 00261 015*")-SUMIFS(E6674:E9015,K6674:K9015,"0",B6674:B9015,"5 1 2 6 1 12 31111 6 M59 96100 000211 0000U 00001 00261 015*")</f>
        <v>0</v>
      </c>
      <c r="E6673"/>
      <c r="F6673" s="35">
        <f>SUMIFS(F6674:F9015,K6674:K9015,"0",B6674:B9015,"5 1 2 6 1 12 31111 6 M59 96100 000211 0000U 00001 00261 015*")</f>
        <v>100.01</v>
      </c>
      <c r="G6673" s="35">
        <f>SUMIFS(G6674:G9015,K6674:K9015,"0",B6674:B9015,"5 1 2 6 1 12 31111 6 M59 96100 000211 0000U 00001 00261 015*")</f>
        <v>0</v>
      </c>
      <c r="H6673" s="35">
        <f t="shared" si="105"/>
        <v>100.01</v>
      </c>
      <c r="I6673" s="35"/>
      <c r="K6673" t="s">
        <v>15</v>
      </c>
    </row>
    <row r="6674" spans="2:11" ht="33" x14ac:dyDescent="0.2">
      <c r="B6674" s="33" t="s">
        <v>7688</v>
      </c>
      <c r="C6674" s="33" t="s">
        <v>5830</v>
      </c>
      <c r="D6674" s="35">
        <f>SUMIFS(D6675:D9015,K6675:K9015,"0",B6675:B9015,"5 1 2 6 1 12 31111 6 M59 96100 000211 0000U 00001 00261 015 2112000*")-SUMIFS(E6675:E9015,K6675:K9015,"0",B6675:B9015,"5 1 2 6 1 12 31111 6 M59 96100 000211 0000U 00001 00261 015 2112000*")</f>
        <v>0</v>
      </c>
      <c r="E6674"/>
      <c r="F6674" s="35">
        <f>SUMIFS(F6675:F9015,K6675:K9015,"0",B6675:B9015,"5 1 2 6 1 12 31111 6 M59 96100 000211 0000U 00001 00261 015 2112000*")</f>
        <v>100.01</v>
      </c>
      <c r="G6674" s="35">
        <f>SUMIFS(G6675:G9015,K6675:K9015,"0",B6675:B9015,"5 1 2 6 1 12 31111 6 M59 96100 000211 0000U 00001 00261 015 2112000*")</f>
        <v>0</v>
      </c>
      <c r="H6674" s="35">
        <f t="shared" si="105"/>
        <v>100.01</v>
      </c>
      <c r="I6674" s="35"/>
      <c r="K6674" t="s">
        <v>15</v>
      </c>
    </row>
    <row r="6675" spans="2:11" ht="33" x14ac:dyDescent="0.2">
      <c r="B6675" s="33" t="s">
        <v>7689</v>
      </c>
      <c r="C6675" s="33" t="s">
        <v>660</v>
      </c>
      <c r="D6675" s="35">
        <f>SUMIFS(D6676:D9015,K6676:K9015,"0",B6676:B9015,"5 1 2 6 1 12 31111 6 M59 96100 000211 0000U 00001 00261 015 2112000 2024*")-SUMIFS(E6676:E9015,K6676:K9015,"0",B6676:B9015,"5 1 2 6 1 12 31111 6 M59 96100 000211 0000U 00001 00261 015 2112000 2024*")</f>
        <v>0</v>
      </c>
      <c r="E6675"/>
      <c r="F6675" s="35">
        <f>SUMIFS(F6676:F9015,K6676:K9015,"0",B6676:B9015,"5 1 2 6 1 12 31111 6 M59 96100 000211 0000U 00001 00261 015 2112000 2024*")</f>
        <v>100.01</v>
      </c>
      <c r="G6675" s="35">
        <f>SUMIFS(G6676:G9015,K6676:K9015,"0",B6676:B9015,"5 1 2 6 1 12 31111 6 M59 96100 000211 0000U 00001 00261 015 2112000 2024*")</f>
        <v>0</v>
      </c>
      <c r="H6675" s="35">
        <f t="shared" si="105"/>
        <v>100.01</v>
      </c>
      <c r="I6675" s="35"/>
      <c r="K6675" t="s">
        <v>15</v>
      </c>
    </row>
    <row r="6676" spans="2:11" ht="41.25" x14ac:dyDescent="0.2">
      <c r="B6676" s="33" t="s">
        <v>7690</v>
      </c>
      <c r="C6676" s="33" t="s">
        <v>1056</v>
      </c>
      <c r="D6676" s="35">
        <f>SUMIFS(D6677:D9015,K6677:K9015,"0",B6677:B9015,"5 1 2 6 1 12 31111 6 M59 96100 000211 0000U 00001 00261 015 2112000 2024 CP1IU412*")-SUMIFS(E6677:E9015,K6677:K9015,"0",B6677:B9015,"5 1 2 6 1 12 31111 6 M59 96100 000211 0000U 00001 00261 015 2112000 2024 CP1IU412*")</f>
        <v>0</v>
      </c>
      <c r="E6676"/>
      <c r="F6676" s="35">
        <f>SUMIFS(F6677:F9015,K6677:K9015,"0",B6677:B9015,"5 1 2 6 1 12 31111 6 M59 96100 000211 0000U 00001 00261 015 2112000 2024 CP1IU412*")</f>
        <v>100.01</v>
      </c>
      <c r="G6676" s="35">
        <f>SUMIFS(G6677:G9015,K6677:K9015,"0",B6677:B9015,"5 1 2 6 1 12 31111 6 M59 96100 000211 0000U 00001 00261 015 2112000 2024 CP1IU412*")</f>
        <v>0</v>
      </c>
      <c r="H6676" s="35">
        <f t="shared" si="105"/>
        <v>100.01</v>
      </c>
      <c r="I6676" s="35"/>
      <c r="K6676" t="s">
        <v>15</v>
      </c>
    </row>
    <row r="6677" spans="2:11" ht="41.25" x14ac:dyDescent="0.2">
      <c r="B6677" s="33" t="s">
        <v>7691</v>
      </c>
      <c r="C6677" s="33" t="s">
        <v>282</v>
      </c>
      <c r="D6677" s="35">
        <f>SUMIFS(D6678:D9015,K6678:K9015,"0",B6678:B9015,"5 1 2 6 1 12 31111 6 M59 96100 000211 0000U 00001 00261 015 2112000 2024 CP1IU412 001*")-SUMIFS(E6678:E9015,K6678:K9015,"0",B6678:B9015,"5 1 2 6 1 12 31111 6 M59 96100 000211 0000U 00001 00261 015 2112000 2024 CP1IU412 001*")</f>
        <v>0</v>
      </c>
      <c r="E6677"/>
      <c r="F6677" s="35">
        <f>SUMIFS(F6678:F9015,K6678:K9015,"0",B6678:B9015,"5 1 2 6 1 12 31111 6 M59 96100 000211 0000U 00001 00261 015 2112000 2024 CP1IU412 001*")</f>
        <v>100.01</v>
      </c>
      <c r="G6677" s="35">
        <f>SUMIFS(G6678:G9015,K6678:K9015,"0",B6678:B9015,"5 1 2 6 1 12 31111 6 M59 96100 000211 0000U 00001 00261 015 2112000 2024 CP1IU412 001*")</f>
        <v>0</v>
      </c>
      <c r="H6677" s="35">
        <f t="shared" si="105"/>
        <v>100.01</v>
      </c>
      <c r="I6677" s="35"/>
      <c r="K6677" t="s">
        <v>15</v>
      </c>
    </row>
    <row r="6678" spans="2:11" ht="33" x14ac:dyDescent="0.2">
      <c r="B6678" s="31" t="s">
        <v>7692</v>
      </c>
      <c r="C6678" s="31" t="s">
        <v>7511</v>
      </c>
      <c r="D6678" s="34">
        <v>0</v>
      </c>
      <c r="E6678" s="34"/>
      <c r="F6678" s="34">
        <v>100.01</v>
      </c>
      <c r="G6678" s="34">
        <v>0</v>
      </c>
      <c r="H6678" s="34">
        <f t="shared" si="105"/>
        <v>100.01</v>
      </c>
      <c r="I6678" s="34"/>
      <c r="K6678" t="s">
        <v>38</v>
      </c>
    </row>
    <row r="6679" spans="2:11" ht="16.5" x14ac:dyDescent="0.2">
      <c r="B6679" s="33" t="s">
        <v>7693</v>
      </c>
      <c r="C6679" s="33" t="s">
        <v>3706</v>
      </c>
      <c r="D6679" s="35">
        <f>SUMIFS(D6680:D9015,K6680:K9015,"0",B6680:B9015,"5 1 2 6 1 12 31111 6 M59 96200*")-SUMIFS(E6680:E9015,K6680:K9015,"0",B6680:B9015,"5 1 2 6 1 12 31111 6 M59 96200*")</f>
        <v>0</v>
      </c>
      <c r="E6679"/>
      <c r="F6679" s="35">
        <f>SUMIFS(F6680:F9015,K6680:K9015,"0",B6680:B9015,"5 1 2 6 1 12 31111 6 M59 96200*")</f>
        <v>599.99</v>
      </c>
      <c r="G6679" s="35">
        <f>SUMIFS(G6680:G9015,K6680:K9015,"0",B6680:B9015,"5 1 2 6 1 12 31111 6 M59 96200*")</f>
        <v>0</v>
      </c>
      <c r="H6679" s="35">
        <f t="shared" si="105"/>
        <v>599.99</v>
      </c>
      <c r="I6679" s="35"/>
      <c r="K6679" t="s">
        <v>15</v>
      </c>
    </row>
    <row r="6680" spans="2:11" ht="16.5" x14ac:dyDescent="0.2">
      <c r="B6680" s="33" t="s">
        <v>7694</v>
      </c>
      <c r="C6680" s="33" t="s">
        <v>648</v>
      </c>
      <c r="D6680" s="35">
        <f>SUMIFS(D6681:D9015,K6681:K9015,"0",B6681:B9015,"5 1 2 6 1 12 31111 6 M59 96200 000132*")-SUMIFS(E6681:E9015,K6681:K9015,"0",B6681:B9015,"5 1 2 6 1 12 31111 6 M59 96200 000132*")</f>
        <v>0</v>
      </c>
      <c r="E6680"/>
      <c r="F6680" s="35">
        <f>SUMIFS(F6681:F9015,K6681:K9015,"0",B6681:B9015,"5 1 2 6 1 12 31111 6 M59 96200 000132*")</f>
        <v>599.99</v>
      </c>
      <c r="G6680" s="35">
        <f>SUMIFS(G6681:G9015,K6681:K9015,"0",B6681:B9015,"5 1 2 6 1 12 31111 6 M59 96200 000132*")</f>
        <v>0</v>
      </c>
      <c r="H6680" s="35">
        <f t="shared" si="105"/>
        <v>599.99</v>
      </c>
      <c r="I6680" s="35"/>
      <c r="K6680" t="s">
        <v>15</v>
      </c>
    </row>
    <row r="6681" spans="2:11" ht="24.75" x14ac:dyDescent="0.2">
      <c r="B6681" s="33" t="s">
        <v>7695</v>
      </c>
      <c r="C6681" s="33" t="s">
        <v>650</v>
      </c>
      <c r="D6681" s="35">
        <f>SUMIFS(D6682:D9015,K6682:K9015,"0",B6682:B9015,"5 1 2 6 1 12 31111 6 M59 96200 000132 0000R*")-SUMIFS(E6682:E9015,K6682:K9015,"0",B6682:B9015,"5 1 2 6 1 12 31111 6 M59 96200 000132 0000R*")</f>
        <v>0</v>
      </c>
      <c r="E6681"/>
      <c r="F6681" s="35">
        <f>SUMIFS(F6682:F9015,K6682:K9015,"0",B6682:B9015,"5 1 2 6 1 12 31111 6 M59 96200 000132 0000R*")</f>
        <v>599.99</v>
      </c>
      <c r="G6681" s="35">
        <f>SUMIFS(G6682:G9015,K6682:K9015,"0",B6682:B9015,"5 1 2 6 1 12 31111 6 M59 96200 000132 0000R*")</f>
        <v>0</v>
      </c>
      <c r="H6681" s="35">
        <f t="shared" si="105"/>
        <v>599.99</v>
      </c>
      <c r="I6681" s="35"/>
      <c r="K6681" t="s">
        <v>15</v>
      </c>
    </row>
    <row r="6682" spans="2:11" ht="24.75" x14ac:dyDescent="0.2">
      <c r="B6682" s="33" t="s">
        <v>7696</v>
      </c>
      <c r="C6682" s="33" t="s">
        <v>282</v>
      </c>
      <c r="D6682" s="35">
        <f>SUMIFS(D6683:D9015,K6683:K9015,"0",B6683:B9015,"5 1 2 6 1 12 31111 6 M59 96200 000132 0000R 00001*")-SUMIFS(E6683:E9015,K6683:K9015,"0",B6683:B9015,"5 1 2 6 1 12 31111 6 M59 96200 000132 0000R 00001*")</f>
        <v>0</v>
      </c>
      <c r="E6682"/>
      <c r="F6682" s="35">
        <f>SUMIFS(F6683:F9015,K6683:K9015,"0",B6683:B9015,"5 1 2 6 1 12 31111 6 M59 96200 000132 0000R 00001*")</f>
        <v>599.99</v>
      </c>
      <c r="G6682" s="35">
        <f>SUMIFS(G6683:G9015,K6683:K9015,"0",B6683:B9015,"5 1 2 6 1 12 31111 6 M59 96200 000132 0000R 00001*")</f>
        <v>0</v>
      </c>
      <c r="H6682" s="35">
        <f t="shared" si="105"/>
        <v>599.99</v>
      </c>
      <c r="I6682" s="35"/>
      <c r="K6682" t="s">
        <v>15</v>
      </c>
    </row>
    <row r="6683" spans="2:11" ht="24.75" x14ac:dyDescent="0.2">
      <c r="B6683" s="33" t="s">
        <v>7697</v>
      </c>
      <c r="C6683" s="33" t="s">
        <v>7511</v>
      </c>
      <c r="D6683" s="35">
        <f>SUMIFS(D6684:D9015,K6684:K9015,"0",B6684:B9015,"5 1 2 6 1 12 31111 6 M59 96200 000132 0000R 00001 00261*")-SUMIFS(E6684:E9015,K6684:K9015,"0",B6684:B9015,"5 1 2 6 1 12 31111 6 M59 96200 000132 0000R 00001 00261*")</f>
        <v>0</v>
      </c>
      <c r="E6683"/>
      <c r="F6683" s="35">
        <f>SUMIFS(F6684:F9015,K6684:K9015,"0",B6684:B9015,"5 1 2 6 1 12 31111 6 M59 96200 000132 0000R 00001 00261*")</f>
        <v>599.99</v>
      </c>
      <c r="G6683" s="35">
        <f>SUMIFS(G6684:G9015,K6684:K9015,"0",B6684:B9015,"5 1 2 6 1 12 31111 6 M59 96200 000132 0000R 00001 00261*")</f>
        <v>0</v>
      </c>
      <c r="H6683" s="35">
        <f t="shared" si="105"/>
        <v>599.99</v>
      </c>
      <c r="I6683" s="35"/>
      <c r="K6683" t="s">
        <v>15</v>
      </c>
    </row>
    <row r="6684" spans="2:11" ht="33" x14ac:dyDescent="0.2">
      <c r="B6684" s="33" t="s">
        <v>7698</v>
      </c>
      <c r="C6684" s="33" t="s">
        <v>1051</v>
      </c>
      <c r="D6684" s="35">
        <f>SUMIFS(D6685:D9015,K6685:K9015,"0",B6685:B9015,"5 1 2 6 1 12 31111 6 M59 96200 000132 0000R 00001 00261 015*")-SUMIFS(E6685:E9015,K6685:K9015,"0",B6685:B9015,"5 1 2 6 1 12 31111 6 M59 96200 000132 0000R 00001 00261 015*")</f>
        <v>0</v>
      </c>
      <c r="E6684"/>
      <c r="F6684" s="35">
        <f>SUMIFS(F6685:F9015,K6685:K9015,"0",B6685:B9015,"5 1 2 6 1 12 31111 6 M59 96200 000132 0000R 00001 00261 015*")</f>
        <v>599.99</v>
      </c>
      <c r="G6684" s="35">
        <f>SUMIFS(G6685:G9015,K6685:K9015,"0",B6685:B9015,"5 1 2 6 1 12 31111 6 M59 96200 000132 0000R 00001 00261 015*")</f>
        <v>0</v>
      </c>
      <c r="H6684" s="35">
        <f t="shared" si="105"/>
        <v>599.99</v>
      </c>
      <c r="I6684" s="35"/>
      <c r="K6684" t="s">
        <v>15</v>
      </c>
    </row>
    <row r="6685" spans="2:11" ht="33" x14ac:dyDescent="0.2">
      <c r="B6685" s="33" t="s">
        <v>7699</v>
      </c>
      <c r="C6685" s="33" t="s">
        <v>5830</v>
      </c>
      <c r="D6685" s="35">
        <f>SUMIFS(D6686:D9015,K6686:K9015,"0",B6686:B9015,"5 1 2 6 1 12 31111 6 M59 96200 000132 0000R 00001 00261 015 2112000*")-SUMIFS(E6686:E9015,K6686:K9015,"0",B6686:B9015,"5 1 2 6 1 12 31111 6 M59 96200 000132 0000R 00001 00261 015 2112000*")</f>
        <v>0</v>
      </c>
      <c r="E6685"/>
      <c r="F6685" s="35">
        <f>SUMIFS(F6686:F9015,K6686:K9015,"0",B6686:B9015,"5 1 2 6 1 12 31111 6 M59 96200 000132 0000R 00001 00261 015 2112000*")</f>
        <v>599.99</v>
      </c>
      <c r="G6685" s="35">
        <f>SUMIFS(G6686:G9015,K6686:K9015,"0",B6686:B9015,"5 1 2 6 1 12 31111 6 M59 96200 000132 0000R 00001 00261 015 2112000*")</f>
        <v>0</v>
      </c>
      <c r="H6685" s="35">
        <f t="shared" si="105"/>
        <v>599.99</v>
      </c>
      <c r="I6685" s="35"/>
      <c r="K6685" t="s">
        <v>15</v>
      </c>
    </row>
    <row r="6686" spans="2:11" ht="33" x14ac:dyDescent="0.2">
      <c r="B6686" s="33" t="s">
        <v>7700</v>
      </c>
      <c r="C6686" s="33" t="s">
        <v>660</v>
      </c>
      <c r="D6686" s="35">
        <f>SUMIFS(D6687:D9015,K6687:K9015,"0",B6687:B9015,"5 1 2 6 1 12 31111 6 M59 96200 000132 0000R 00001 00261 015 2112000 2024*")-SUMIFS(E6687:E9015,K6687:K9015,"0",B6687:B9015,"5 1 2 6 1 12 31111 6 M59 96200 000132 0000R 00001 00261 015 2112000 2024*")</f>
        <v>0</v>
      </c>
      <c r="E6686"/>
      <c r="F6686" s="35">
        <f>SUMIFS(F6687:F9015,K6687:K9015,"0",B6687:B9015,"5 1 2 6 1 12 31111 6 M59 96200 000132 0000R 00001 00261 015 2112000 2024*")</f>
        <v>599.99</v>
      </c>
      <c r="G6686" s="35">
        <f>SUMIFS(G6687:G9015,K6687:K9015,"0",B6687:B9015,"5 1 2 6 1 12 31111 6 M59 96200 000132 0000R 00001 00261 015 2112000 2024*")</f>
        <v>0</v>
      </c>
      <c r="H6686" s="35">
        <f t="shared" si="105"/>
        <v>599.99</v>
      </c>
      <c r="I6686" s="35"/>
      <c r="K6686" t="s">
        <v>15</v>
      </c>
    </row>
    <row r="6687" spans="2:11" ht="41.25" x14ac:dyDescent="0.2">
      <c r="B6687" s="33" t="s">
        <v>7701</v>
      </c>
      <c r="C6687" s="33" t="s">
        <v>662</v>
      </c>
      <c r="D6687" s="35">
        <f>SUMIFS(D6688:D9015,K6688:K9015,"0",B6688:B9015,"5 1 2 6 1 12 31111 6 M59 96200 000132 0000R 00001 00261 015 2112000 2024 CP1AL423*")-SUMIFS(E6688:E9015,K6688:K9015,"0",B6688:B9015,"5 1 2 6 1 12 31111 6 M59 96200 000132 0000R 00001 00261 015 2112000 2024 CP1AL423*")</f>
        <v>0</v>
      </c>
      <c r="E6687"/>
      <c r="F6687" s="35">
        <f>SUMIFS(F6688:F9015,K6688:K9015,"0",B6688:B9015,"5 1 2 6 1 12 31111 6 M59 96200 000132 0000R 00001 00261 015 2112000 2024 CP1AL423*")</f>
        <v>599.99</v>
      </c>
      <c r="G6687" s="35">
        <f>SUMIFS(G6688:G9015,K6688:K9015,"0",B6688:B9015,"5 1 2 6 1 12 31111 6 M59 96200 000132 0000R 00001 00261 015 2112000 2024 CP1AL423*")</f>
        <v>0</v>
      </c>
      <c r="H6687" s="35">
        <f t="shared" si="105"/>
        <v>599.99</v>
      </c>
      <c r="I6687" s="35"/>
      <c r="K6687" t="s">
        <v>15</v>
      </c>
    </row>
    <row r="6688" spans="2:11" ht="41.25" x14ac:dyDescent="0.2">
      <c r="B6688" s="33" t="s">
        <v>7702</v>
      </c>
      <c r="C6688" s="33" t="s">
        <v>282</v>
      </c>
      <c r="D6688" s="35">
        <f>SUMIFS(D6689:D9015,K6689:K9015,"0",B6689:B9015,"5 1 2 6 1 12 31111 6 M59 96200 000132 0000R 00001 00261 015 2112000 2024 CP1AL423 001*")-SUMIFS(E6689:E9015,K6689:K9015,"0",B6689:B9015,"5 1 2 6 1 12 31111 6 M59 96200 000132 0000R 00001 00261 015 2112000 2024 CP1AL423 001*")</f>
        <v>0</v>
      </c>
      <c r="E6688"/>
      <c r="F6688" s="35">
        <f>SUMIFS(F6689:F9015,K6689:K9015,"0",B6689:B9015,"5 1 2 6 1 12 31111 6 M59 96200 000132 0000R 00001 00261 015 2112000 2024 CP1AL423 001*")</f>
        <v>599.99</v>
      </c>
      <c r="G6688" s="35">
        <f>SUMIFS(G6689:G9015,K6689:K9015,"0",B6689:B9015,"5 1 2 6 1 12 31111 6 M59 96200 000132 0000R 00001 00261 015 2112000 2024 CP1AL423 001*")</f>
        <v>0</v>
      </c>
      <c r="H6688" s="35">
        <f t="shared" si="105"/>
        <v>599.99</v>
      </c>
      <c r="I6688" s="35"/>
      <c r="K6688" t="s">
        <v>15</v>
      </c>
    </row>
    <row r="6689" spans="2:11" ht="41.25" x14ac:dyDescent="0.2">
      <c r="B6689" s="31" t="s">
        <v>7703</v>
      </c>
      <c r="C6689" s="31" t="s">
        <v>7511</v>
      </c>
      <c r="D6689" s="34">
        <v>0</v>
      </c>
      <c r="E6689" s="34"/>
      <c r="F6689" s="34">
        <v>599.99</v>
      </c>
      <c r="G6689" s="34">
        <v>0</v>
      </c>
      <c r="H6689" s="34">
        <f t="shared" si="105"/>
        <v>599.99</v>
      </c>
      <c r="I6689" s="34"/>
      <c r="K6689" t="s">
        <v>38</v>
      </c>
    </row>
    <row r="6690" spans="2:11" ht="16.5" x14ac:dyDescent="0.2">
      <c r="B6690" s="33" t="s">
        <v>7704</v>
      </c>
      <c r="C6690" s="33" t="s">
        <v>1308</v>
      </c>
      <c r="D6690" s="35">
        <f>SUMIFS(D6691:D9015,K6691:K9015,"0",B6691:B9015,"5 1 2 6 1 12 31111 6 M59 96300*")-SUMIFS(E6691:E9015,K6691:K9015,"0",B6691:B9015,"5 1 2 6 1 12 31111 6 M59 96300*")</f>
        <v>0</v>
      </c>
      <c r="E6690"/>
      <c r="F6690" s="35">
        <f>SUMIFS(F6691:F9015,K6691:K9015,"0",B6691:B9015,"5 1 2 6 1 12 31111 6 M59 96300*")</f>
        <v>859233.56</v>
      </c>
      <c r="G6690" s="35">
        <f>SUMIFS(G6691:G9015,K6691:K9015,"0",B6691:B9015,"5 1 2 6 1 12 31111 6 M59 96300*")</f>
        <v>0</v>
      </c>
      <c r="H6690" s="35">
        <f t="shared" si="105"/>
        <v>859233.56</v>
      </c>
      <c r="I6690" s="35"/>
      <c r="K6690" t="s">
        <v>15</v>
      </c>
    </row>
    <row r="6691" spans="2:11" ht="16.5" x14ac:dyDescent="0.2">
      <c r="B6691" s="33" t="s">
        <v>7705</v>
      </c>
      <c r="C6691" s="33" t="s">
        <v>1310</v>
      </c>
      <c r="D6691" s="35">
        <f>SUMIFS(D6692:D9015,K6692:K9015,"0",B6692:B9015,"5 1 2 6 1 12 31111 6 M59 96300 000211*")-SUMIFS(E6692:E9015,K6692:K9015,"0",B6692:B9015,"5 1 2 6 1 12 31111 6 M59 96300 000211*")</f>
        <v>0</v>
      </c>
      <c r="E6691"/>
      <c r="F6691" s="35">
        <f>SUMIFS(F6692:F9015,K6692:K9015,"0",B6692:B9015,"5 1 2 6 1 12 31111 6 M59 96300 000211*")</f>
        <v>859233.56</v>
      </c>
      <c r="G6691" s="35">
        <f>SUMIFS(G6692:G9015,K6692:K9015,"0",B6692:B9015,"5 1 2 6 1 12 31111 6 M59 96300 000211*")</f>
        <v>0</v>
      </c>
      <c r="H6691" s="35">
        <f t="shared" si="105"/>
        <v>859233.56</v>
      </c>
      <c r="I6691" s="35"/>
      <c r="K6691" t="s">
        <v>15</v>
      </c>
    </row>
    <row r="6692" spans="2:11" ht="24.75" x14ac:dyDescent="0.2">
      <c r="B6692" s="33" t="s">
        <v>7706</v>
      </c>
      <c r="C6692" s="33" t="s">
        <v>1065</v>
      </c>
      <c r="D6692" s="35">
        <f>SUMIFS(D6693:D9015,K6693:K9015,"0",B6693:B9015,"5 1 2 6 1 12 31111 6 M59 96300 000211 0000E*")-SUMIFS(E6693:E9015,K6693:K9015,"0",B6693:B9015,"5 1 2 6 1 12 31111 6 M59 96300 000211 0000E*")</f>
        <v>0</v>
      </c>
      <c r="E6692"/>
      <c r="F6692" s="35">
        <f>SUMIFS(F6693:F9015,K6693:K9015,"0",B6693:B9015,"5 1 2 6 1 12 31111 6 M59 96300 000211 0000E*")</f>
        <v>859233.56</v>
      </c>
      <c r="G6692" s="35">
        <f>SUMIFS(G6693:G9015,K6693:K9015,"0",B6693:B9015,"5 1 2 6 1 12 31111 6 M59 96300 000211 0000E*")</f>
        <v>0</v>
      </c>
      <c r="H6692" s="35">
        <f t="shared" si="105"/>
        <v>859233.56</v>
      </c>
      <c r="I6692" s="35"/>
      <c r="K6692" t="s">
        <v>15</v>
      </c>
    </row>
    <row r="6693" spans="2:11" ht="24.75" x14ac:dyDescent="0.2">
      <c r="B6693" s="33" t="s">
        <v>7707</v>
      </c>
      <c r="C6693" s="33" t="s">
        <v>282</v>
      </c>
      <c r="D6693" s="35">
        <f>SUMIFS(D6694:D9015,K6694:K9015,"0",B6694:B9015,"5 1 2 6 1 12 31111 6 M59 96300 000211 0000E 00001*")-SUMIFS(E6694:E9015,K6694:K9015,"0",B6694:B9015,"5 1 2 6 1 12 31111 6 M59 96300 000211 0000E 00001*")</f>
        <v>0</v>
      </c>
      <c r="E6693"/>
      <c r="F6693" s="35">
        <f>SUMIFS(F6694:F9015,K6694:K9015,"0",B6694:B9015,"5 1 2 6 1 12 31111 6 M59 96300 000211 0000E 00001*")</f>
        <v>859233.56</v>
      </c>
      <c r="G6693" s="35">
        <f>SUMIFS(G6694:G9015,K6694:K9015,"0",B6694:B9015,"5 1 2 6 1 12 31111 6 M59 96300 000211 0000E 00001*")</f>
        <v>0</v>
      </c>
      <c r="H6693" s="35">
        <f t="shared" si="105"/>
        <v>859233.56</v>
      </c>
      <c r="I6693" s="35"/>
      <c r="K6693" t="s">
        <v>15</v>
      </c>
    </row>
    <row r="6694" spans="2:11" ht="24.75" x14ac:dyDescent="0.2">
      <c r="B6694" s="33" t="s">
        <v>7708</v>
      </c>
      <c r="C6694" s="33" t="s">
        <v>7511</v>
      </c>
      <c r="D6694" s="35">
        <f>SUMIFS(D6695:D9015,K6695:K9015,"0",B6695:B9015,"5 1 2 6 1 12 31111 6 M59 96300 000211 0000E 00001 00261*")-SUMIFS(E6695:E9015,K6695:K9015,"0",B6695:B9015,"5 1 2 6 1 12 31111 6 M59 96300 000211 0000E 00001 00261*")</f>
        <v>0</v>
      </c>
      <c r="E6694"/>
      <c r="F6694" s="35">
        <f>SUMIFS(F6695:F9015,K6695:K9015,"0",B6695:B9015,"5 1 2 6 1 12 31111 6 M59 96300 000211 0000E 00001 00261*")</f>
        <v>859233.56</v>
      </c>
      <c r="G6694" s="35">
        <f>SUMIFS(G6695:G9015,K6695:K9015,"0",B6695:B9015,"5 1 2 6 1 12 31111 6 M59 96300 000211 0000E 00001 00261*")</f>
        <v>0</v>
      </c>
      <c r="H6694" s="35">
        <f t="shared" si="105"/>
        <v>859233.56</v>
      </c>
      <c r="I6694" s="35"/>
      <c r="K6694" t="s">
        <v>15</v>
      </c>
    </row>
    <row r="6695" spans="2:11" ht="33" x14ac:dyDescent="0.2">
      <c r="B6695" s="33" t="s">
        <v>7709</v>
      </c>
      <c r="C6695" s="33" t="s">
        <v>1051</v>
      </c>
      <c r="D6695" s="35">
        <f>SUMIFS(D6696:D9015,K6696:K9015,"0",B6696:B9015,"5 1 2 6 1 12 31111 6 M59 96300 000211 0000E 00001 00261 015*")-SUMIFS(E6696:E9015,K6696:K9015,"0",B6696:B9015,"5 1 2 6 1 12 31111 6 M59 96300 000211 0000E 00001 00261 015*")</f>
        <v>0</v>
      </c>
      <c r="E6695"/>
      <c r="F6695" s="35">
        <f>SUMIFS(F6696:F9015,K6696:K9015,"0",B6696:B9015,"5 1 2 6 1 12 31111 6 M59 96300 000211 0000E 00001 00261 015*")</f>
        <v>859233.56</v>
      </c>
      <c r="G6695" s="35">
        <f>SUMIFS(G6696:G9015,K6696:K9015,"0",B6696:B9015,"5 1 2 6 1 12 31111 6 M59 96300 000211 0000E 00001 00261 015*")</f>
        <v>0</v>
      </c>
      <c r="H6695" s="35">
        <f t="shared" si="105"/>
        <v>859233.56</v>
      </c>
      <c r="I6695" s="35"/>
      <c r="K6695" t="s">
        <v>15</v>
      </c>
    </row>
    <row r="6696" spans="2:11" ht="33" x14ac:dyDescent="0.2">
      <c r="B6696" s="33" t="s">
        <v>7710</v>
      </c>
      <c r="C6696" s="33" t="s">
        <v>5830</v>
      </c>
      <c r="D6696" s="35">
        <f>SUMIFS(D6697:D9015,K6697:K9015,"0",B6697:B9015,"5 1 2 6 1 12 31111 6 M59 96300 000211 0000E 00001 00261 015 2112000*")-SUMIFS(E6697:E9015,K6697:K9015,"0",B6697:B9015,"5 1 2 6 1 12 31111 6 M59 96300 000211 0000E 00001 00261 015 2112000*")</f>
        <v>0</v>
      </c>
      <c r="E6696"/>
      <c r="F6696" s="35">
        <f>SUMIFS(F6697:F9015,K6697:K9015,"0",B6697:B9015,"5 1 2 6 1 12 31111 6 M59 96300 000211 0000E 00001 00261 015 2112000*")</f>
        <v>859233.56</v>
      </c>
      <c r="G6696" s="35">
        <f>SUMIFS(G6697:G9015,K6697:K9015,"0",B6697:B9015,"5 1 2 6 1 12 31111 6 M59 96300 000211 0000E 00001 00261 015 2112000*")</f>
        <v>0</v>
      </c>
      <c r="H6696" s="35">
        <f t="shared" si="105"/>
        <v>859233.56</v>
      </c>
      <c r="I6696" s="35"/>
      <c r="K6696" t="s">
        <v>15</v>
      </c>
    </row>
    <row r="6697" spans="2:11" ht="33" x14ac:dyDescent="0.2">
      <c r="B6697" s="33" t="s">
        <v>7711</v>
      </c>
      <c r="C6697" s="33" t="s">
        <v>660</v>
      </c>
      <c r="D6697" s="35">
        <f>SUMIFS(D6698:D9015,K6698:K9015,"0",B6698:B9015,"5 1 2 6 1 12 31111 6 M59 96300 000211 0000E 00001 00261 015 2112000 2024*")-SUMIFS(E6698:E9015,K6698:K9015,"0",B6698:B9015,"5 1 2 6 1 12 31111 6 M59 96300 000211 0000E 00001 00261 015 2112000 2024*")</f>
        <v>0</v>
      </c>
      <c r="E6697"/>
      <c r="F6697" s="35">
        <f>SUMIFS(F6698:F9015,K6698:K9015,"0",B6698:B9015,"5 1 2 6 1 12 31111 6 M59 96300 000211 0000E 00001 00261 015 2112000 2024*")</f>
        <v>859233.56</v>
      </c>
      <c r="G6697" s="35">
        <f>SUMIFS(G6698:G9015,K6698:K9015,"0",B6698:B9015,"5 1 2 6 1 12 31111 6 M59 96300 000211 0000E 00001 00261 015 2112000 2024*")</f>
        <v>0</v>
      </c>
      <c r="H6697" s="35">
        <f t="shared" si="105"/>
        <v>859233.56</v>
      </c>
      <c r="I6697" s="35"/>
      <c r="K6697" t="s">
        <v>15</v>
      </c>
    </row>
    <row r="6698" spans="2:11" ht="41.25" x14ac:dyDescent="0.2">
      <c r="B6698" s="33" t="s">
        <v>7712</v>
      </c>
      <c r="C6698" s="33" t="s">
        <v>1056</v>
      </c>
      <c r="D6698" s="35">
        <f>SUMIFS(D6699:D9015,K6699:K9015,"0",B6699:B9015,"5 1 2 6 1 12 31111 6 M59 96300 000211 0000E 00001 00261 015 2112000 2024 CP1SB396*")-SUMIFS(E6699:E9015,K6699:K9015,"0",B6699:B9015,"5 1 2 6 1 12 31111 6 M59 96300 000211 0000E 00001 00261 015 2112000 2024 CP1SB396*")</f>
        <v>0</v>
      </c>
      <c r="E6698"/>
      <c r="F6698" s="35">
        <f>SUMIFS(F6699:F9015,K6699:K9015,"0",B6699:B9015,"5 1 2 6 1 12 31111 6 M59 96300 000211 0000E 00001 00261 015 2112000 2024 CP1SB396*")</f>
        <v>859233.56</v>
      </c>
      <c r="G6698" s="35">
        <f>SUMIFS(G6699:G9015,K6699:K9015,"0",B6699:B9015,"5 1 2 6 1 12 31111 6 M59 96300 000211 0000E 00001 00261 015 2112000 2024 CP1SB396*")</f>
        <v>0</v>
      </c>
      <c r="H6698" s="35">
        <f t="shared" si="105"/>
        <v>859233.56</v>
      </c>
      <c r="I6698" s="35"/>
      <c r="K6698" t="s">
        <v>15</v>
      </c>
    </row>
    <row r="6699" spans="2:11" ht="41.25" x14ac:dyDescent="0.2">
      <c r="B6699" s="33" t="s">
        <v>7713</v>
      </c>
      <c r="C6699" s="33" t="s">
        <v>282</v>
      </c>
      <c r="D6699" s="35">
        <f>SUMIFS(D6700:D9015,K6700:K9015,"0",B6700:B9015,"5 1 2 6 1 12 31111 6 M59 96300 000211 0000E 00001 00261 015 2112000 2024 CP1SB396 001*")-SUMIFS(E6700:E9015,K6700:K9015,"0",B6700:B9015,"5 1 2 6 1 12 31111 6 M59 96300 000211 0000E 00001 00261 015 2112000 2024 CP1SB396 001*")</f>
        <v>0</v>
      </c>
      <c r="E6699"/>
      <c r="F6699" s="35">
        <f>SUMIFS(F6700:F9015,K6700:K9015,"0",B6700:B9015,"5 1 2 6 1 12 31111 6 M59 96300 000211 0000E 00001 00261 015 2112000 2024 CP1SB396 001*")</f>
        <v>82709.429999999993</v>
      </c>
      <c r="G6699" s="35">
        <f>SUMIFS(G6700:G9015,K6700:K9015,"0",B6700:B9015,"5 1 2 6 1 12 31111 6 M59 96300 000211 0000E 00001 00261 015 2112000 2024 CP1SB396 001*")</f>
        <v>0</v>
      </c>
      <c r="H6699" s="35">
        <f t="shared" si="105"/>
        <v>82709.429999999993</v>
      </c>
      <c r="I6699" s="35"/>
      <c r="K6699" t="s">
        <v>15</v>
      </c>
    </row>
    <row r="6700" spans="2:11" ht="33" x14ac:dyDescent="0.2">
      <c r="B6700" s="31" t="s">
        <v>7714</v>
      </c>
      <c r="C6700" s="31" t="s">
        <v>7511</v>
      </c>
      <c r="D6700" s="34">
        <v>0</v>
      </c>
      <c r="E6700" s="34"/>
      <c r="F6700" s="34">
        <v>82709.429999999993</v>
      </c>
      <c r="G6700" s="34">
        <v>0</v>
      </c>
      <c r="H6700" s="34">
        <f t="shared" si="105"/>
        <v>82709.429999999993</v>
      </c>
      <c r="I6700" s="34"/>
      <c r="K6700" t="s">
        <v>38</v>
      </c>
    </row>
    <row r="6701" spans="2:11" ht="41.25" x14ac:dyDescent="0.2">
      <c r="B6701" s="33" t="s">
        <v>7715</v>
      </c>
      <c r="C6701" s="33" t="s">
        <v>1075</v>
      </c>
      <c r="D6701" s="35">
        <f>SUMIFS(D6702:D9015,K6702:K9015,"0",B6702:B9015,"5 1 2 6 1 12 31111 6 M59 96300 000211 0000E 00001 00261 015 2112000 2024 CP1SB396 005*")-SUMIFS(E6702:E9015,K6702:K9015,"0",B6702:B9015,"5 1 2 6 1 12 31111 6 M59 96300 000211 0000E 00001 00261 015 2112000 2024 CP1SB396 005*")</f>
        <v>0</v>
      </c>
      <c r="E6701"/>
      <c r="F6701" s="35">
        <f>SUMIFS(F6702:F9015,K6702:K9015,"0",B6702:B9015,"5 1 2 6 1 12 31111 6 M59 96300 000211 0000E 00001 00261 015 2112000 2024 CP1SB396 005*")</f>
        <v>776524.13</v>
      </c>
      <c r="G6701" s="35">
        <f>SUMIFS(G6702:G9015,K6702:K9015,"0",B6702:B9015,"5 1 2 6 1 12 31111 6 M59 96300 000211 0000E 00001 00261 015 2112000 2024 CP1SB396 005*")</f>
        <v>0</v>
      </c>
      <c r="H6701" s="35">
        <f t="shared" si="105"/>
        <v>776524.13</v>
      </c>
      <c r="I6701" s="35"/>
      <c r="K6701" t="s">
        <v>15</v>
      </c>
    </row>
    <row r="6702" spans="2:11" ht="33" x14ac:dyDescent="0.2">
      <c r="B6702" s="31" t="s">
        <v>7716</v>
      </c>
      <c r="C6702" s="31" t="s">
        <v>540</v>
      </c>
      <c r="D6702" s="34">
        <v>0</v>
      </c>
      <c r="E6702" s="34"/>
      <c r="F6702" s="34">
        <v>776524.13</v>
      </c>
      <c r="G6702" s="34">
        <v>0</v>
      </c>
      <c r="H6702" s="34">
        <f t="shared" si="105"/>
        <v>776524.13</v>
      </c>
      <c r="I6702" s="34"/>
      <c r="K6702" t="s">
        <v>38</v>
      </c>
    </row>
    <row r="6703" spans="2:11" ht="24.75" x14ac:dyDescent="0.2">
      <c r="B6703" s="33" t="s">
        <v>7717</v>
      </c>
      <c r="C6703" s="33" t="s">
        <v>551</v>
      </c>
      <c r="D6703" s="35">
        <f>SUMIFS(D6704:D9015,K6704:K9015,"0",B6704:B9015,"5 1 2 7*")-SUMIFS(E6704:E9015,K6704:K9015,"0",B6704:B9015,"5 1 2 7*")</f>
        <v>0</v>
      </c>
      <c r="E6703"/>
      <c r="F6703" s="35">
        <f>SUMIFS(F6704:F9015,K6704:K9015,"0",B6704:B9015,"5 1 2 7*")</f>
        <v>539202.86999999988</v>
      </c>
      <c r="G6703" s="35">
        <f>SUMIFS(G6704:G9015,K6704:K9015,"0",B6704:B9015,"5 1 2 7*")</f>
        <v>0</v>
      </c>
      <c r="H6703" s="35">
        <f t="shared" si="105"/>
        <v>539202.86999999988</v>
      </c>
      <c r="I6703" s="35"/>
      <c r="K6703" t="s">
        <v>15</v>
      </c>
    </row>
    <row r="6704" spans="2:11" ht="12.75" x14ac:dyDescent="0.2">
      <c r="B6704" s="33" t="s">
        <v>7718</v>
      </c>
      <c r="C6704" s="33" t="s">
        <v>7719</v>
      </c>
      <c r="D6704" s="35">
        <f>SUMIFS(D6705:D9015,K6705:K9015,"0",B6705:B9015,"5 1 2 7 1*")-SUMIFS(E6705:E9015,K6705:K9015,"0",B6705:B9015,"5 1 2 7 1*")</f>
        <v>0</v>
      </c>
      <c r="E6704"/>
      <c r="F6704" s="35">
        <f>SUMIFS(F6705:F9015,K6705:K9015,"0",B6705:B9015,"5 1 2 7 1*")</f>
        <v>428488.61</v>
      </c>
      <c r="G6704" s="35">
        <f>SUMIFS(G6705:G9015,K6705:K9015,"0",B6705:B9015,"5 1 2 7 1*")</f>
        <v>0</v>
      </c>
      <c r="H6704" s="35">
        <f t="shared" si="105"/>
        <v>428488.61</v>
      </c>
      <c r="I6704" s="35"/>
      <c r="K6704" t="s">
        <v>15</v>
      </c>
    </row>
    <row r="6705" spans="2:11" ht="12.75" x14ac:dyDescent="0.2">
      <c r="B6705" s="33" t="s">
        <v>7720</v>
      </c>
      <c r="C6705" s="33" t="s">
        <v>26</v>
      </c>
      <c r="D6705" s="35">
        <f>SUMIFS(D6706:D9015,K6706:K9015,"0",B6706:B9015,"5 1 2 7 1 12*")-SUMIFS(E6706:E9015,K6706:K9015,"0",B6706:B9015,"5 1 2 7 1 12*")</f>
        <v>0</v>
      </c>
      <c r="E6705"/>
      <c r="F6705" s="35">
        <f>SUMIFS(F6706:F9015,K6706:K9015,"0",B6706:B9015,"5 1 2 7 1 12*")</f>
        <v>428488.61</v>
      </c>
      <c r="G6705" s="35">
        <f>SUMIFS(G6706:G9015,K6706:K9015,"0",B6706:B9015,"5 1 2 7 1 12*")</f>
        <v>0</v>
      </c>
      <c r="H6705" s="35">
        <f t="shared" si="105"/>
        <v>428488.61</v>
      </c>
      <c r="I6705" s="35"/>
      <c r="K6705" t="s">
        <v>15</v>
      </c>
    </row>
    <row r="6706" spans="2:11" ht="16.5" x14ac:dyDescent="0.2">
      <c r="B6706" s="33" t="s">
        <v>7721</v>
      </c>
      <c r="C6706" s="33" t="s">
        <v>28</v>
      </c>
      <c r="D6706" s="35">
        <f>SUMIFS(D6707:D9015,K6707:K9015,"0",B6707:B9015,"5 1 2 7 1 12 31111*")-SUMIFS(E6707:E9015,K6707:K9015,"0",B6707:B9015,"5 1 2 7 1 12 31111*")</f>
        <v>0</v>
      </c>
      <c r="E6706"/>
      <c r="F6706" s="35">
        <f>SUMIFS(F6707:F9015,K6707:K9015,"0",B6707:B9015,"5 1 2 7 1 12 31111*")</f>
        <v>428488.61</v>
      </c>
      <c r="G6706" s="35">
        <f>SUMIFS(G6707:G9015,K6707:K9015,"0",B6707:B9015,"5 1 2 7 1 12 31111*")</f>
        <v>0</v>
      </c>
      <c r="H6706" s="35">
        <f t="shared" si="105"/>
        <v>428488.61</v>
      </c>
      <c r="I6706" s="35"/>
      <c r="K6706" t="s">
        <v>15</v>
      </c>
    </row>
    <row r="6707" spans="2:11" ht="12.75" x14ac:dyDescent="0.2">
      <c r="B6707" s="33" t="s">
        <v>7722</v>
      </c>
      <c r="C6707" s="33" t="s">
        <v>30</v>
      </c>
      <c r="D6707" s="35">
        <f>SUMIFS(D6708:D9015,K6708:K9015,"0",B6708:B9015,"5 1 2 7 1 12 31111 6*")-SUMIFS(E6708:E9015,K6708:K9015,"0",B6708:B9015,"5 1 2 7 1 12 31111 6*")</f>
        <v>0</v>
      </c>
      <c r="E6707"/>
      <c r="F6707" s="35">
        <f>SUMIFS(F6708:F9015,K6708:K9015,"0",B6708:B9015,"5 1 2 7 1 12 31111 6*")</f>
        <v>428488.61</v>
      </c>
      <c r="G6707" s="35">
        <f>SUMIFS(G6708:G9015,K6708:K9015,"0",B6708:B9015,"5 1 2 7 1 12 31111 6*")</f>
        <v>0</v>
      </c>
      <c r="H6707" s="35">
        <f t="shared" si="105"/>
        <v>428488.61</v>
      </c>
      <c r="I6707" s="35"/>
      <c r="K6707" t="s">
        <v>15</v>
      </c>
    </row>
    <row r="6708" spans="2:11" ht="16.5" x14ac:dyDescent="0.2">
      <c r="B6708" s="33" t="s">
        <v>7723</v>
      </c>
      <c r="C6708" s="33" t="s">
        <v>2284</v>
      </c>
      <c r="D6708" s="35">
        <f>SUMIFS(D6709:D9015,K6709:K9015,"0",B6709:B9015,"5 1 2 7 1 12 31111 6 M59*")-SUMIFS(E6709:E9015,K6709:K9015,"0",B6709:B9015,"5 1 2 7 1 12 31111 6 M59*")</f>
        <v>0</v>
      </c>
      <c r="E6708"/>
      <c r="F6708" s="35">
        <f>SUMIFS(F6709:F9015,K6709:K9015,"0",B6709:B9015,"5 1 2 7 1 12 31111 6 M59*")</f>
        <v>428488.61</v>
      </c>
      <c r="G6708" s="35">
        <f>SUMIFS(G6709:G9015,K6709:K9015,"0",B6709:B9015,"5 1 2 7 1 12 31111 6 M59*")</f>
        <v>0</v>
      </c>
      <c r="H6708" s="35">
        <f t="shared" si="105"/>
        <v>428488.61</v>
      </c>
      <c r="I6708" s="35"/>
      <c r="K6708" t="s">
        <v>15</v>
      </c>
    </row>
    <row r="6709" spans="2:11" ht="16.5" x14ac:dyDescent="0.2">
      <c r="B6709" s="33" t="s">
        <v>7724</v>
      </c>
      <c r="C6709" s="33" t="s">
        <v>1092</v>
      </c>
      <c r="D6709" s="35">
        <f>SUMIFS(D6710:D9015,K6710:K9015,"0",B6710:B9015,"5 1 2 7 1 12 31111 6 M59 40000*")-SUMIFS(E6710:E9015,K6710:K9015,"0",B6710:B9015,"5 1 2 7 1 12 31111 6 M59 40000*")</f>
        <v>0</v>
      </c>
      <c r="E6709"/>
      <c r="F6709" s="35">
        <f>SUMIFS(F6710:F9015,K6710:K9015,"0",B6710:B9015,"5 1 2 7 1 12 31111 6 M59 40000*")</f>
        <v>352785</v>
      </c>
      <c r="G6709" s="35">
        <f>SUMIFS(G6710:G9015,K6710:K9015,"0",B6710:B9015,"5 1 2 7 1 12 31111 6 M59 40000*")</f>
        <v>0</v>
      </c>
      <c r="H6709" s="35">
        <f t="shared" si="105"/>
        <v>352785</v>
      </c>
      <c r="I6709" s="35"/>
      <c r="K6709" t="s">
        <v>15</v>
      </c>
    </row>
    <row r="6710" spans="2:11" ht="16.5" x14ac:dyDescent="0.2">
      <c r="B6710" s="33" t="s">
        <v>7725</v>
      </c>
      <c r="C6710" s="33" t="s">
        <v>1094</v>
      </c>
      <c r="D6710" s="35">
        <f>SUMIFS(D6711:D9015,K6711:K9015,"0",B6711:B9015,"5 1 2 7 1 12 31111 6 M59 40000 000161*")-SUMIFS(E6711:E9015,K6711:K9015,"0",B6711:B9015,"5 1 2 7 1 12 31111 6 M59 40000 000161*")</f>
        <v>0</v>
      </c>
      <c r="E6710"/>
      <c r="F6710" s="35">
        <f>SUMIFS(F6711:F9015,K6711:K9015,"0",B6711:B9015,"5 1 2 7 1 12 31111 6 M59 40000 000161*")</f>
        <v>352785</v>
      </c>
      <c r="G6710" s="35">
        <f>SUMIFS(G6711:G9015,K6711:K9015,"0",B6711:B9015,"5 1 2 7 1 12 31111 6 M59 40000 000161*")</f>
        <v>0</v>
      </c>
      <c r="H6710" s="35">
        <f t="shared" si="105"/>
        <v>352785</v>
      </c>
      <c r="I6710" s="35"/>
      <c r="K6710" t="s">
        <v>15</v>
      </c>
    </row>
    <row r="6711" spans="2:11" ht="16.5" x14ac:dyDescent="0.2">
      <c r="B6711" s="33" t="s">
        <v>7726</v>
      </c>
      <c r="C6711" s="33" t="s">
        <v>1065</v>
      </c>
      <c r="D6711" s="35">
        <f>SUMIFS(D6712:D9015,K6712:K9015,"0",B6712:B9015,"5 1 2 7 1 12 31111 6 M59 40000 000161 0000E*")-SUMIFS(E6712:E9015,K6712:K9015,"0",B6712:B9015,"5 1 2 7 1 12 31111 6 M59 40000 000161 0000E*")</f>
        <v>0</v>
      </c>
      <c r="E6711"/>
      <c r="F6711" s="35">
        <f>SUMIFS(F6712:F9015,K6712:K9015,"0",B6712:B9015,"5 1 2 7 1 12 31111 6 M59 40000 000161 0000E*")</f>
        <v>352785</v>
      </c>
      <c r="G6711" s="35">
        <f>SUMIFS(G6712:G9015,K6712:K9015,"0",B6712:B9015,"5 1 2 7 1 12 31111 6 M59 40000 000161 0000E*")</f>
        <v>0</v>
      </c>
      <c r="H6711" s="35">
        <f t="shared" si="105"/>
        <v>352785</v>
      </c>
      <c r="I6711" s="35"/>
      <c r="K6711" t="s">
        <v>15</v>
      </c>
    </row>
    <row r="6712" spans="2:11" ht="24.75" x14ac:dyDescent="0.2">
      <c r="B6712" s="33" t="s">
        <v>7727</v>
      </c>
      <c r="C6712" s="33" t="s">
        <v>282</v>
      </c>
      <c r="D6712" s="35">
        <f>SUMIFS(D6713:D9015,K6713:K9015,"0",B6713:B9015,"5 1 2 7 1 12 31111 6 M59 40000 000161 0000E 00001*")-SUMIFS(E6713:E9015,K6713:K9015,"0",B6713:B9015,"5 1 2 7 1 12 31111 6 M59 40000 000161 0000E 00001*")</f>
        <v>0</v>
      </c>
      <c r="E6712"/>
      <c r="F6712" s="35">
        <f>SUMIFS(F6713:F9015,K6713:K9015,"0",B6713:B9015,"5 1 2 7 1 12 31111 6 M59 40000 000161 0000E 00001*")</f>
        <v>352785</v>
      </c>
      <c r="G6712" s="35">
        <f>SUMIFS(G6713:G9015,K6713:K9015,"0",B6713:B9015,"5 1 2 7 1 12 31111 6 M59 40000 000161 0000E 00001*")</f>
        <v>0</v>
      </c>
      <c r="H6712" s="35">
        <f t="shared" si="105"/>
        <v>352785</v>
      </c>
      <c r="I6712" s="35"/>
      <c r="K6712" t="s">
        <v>15</v>
      </c>
    </row>
    <row r="6713" spans="2:11" ht="24.75" x14ac:dyDescent="0.2">
      <c r="B6713" s="33" t="s">
        <v>7728</v>
      </c>
      <c r="C6713" s="33" t="s">
        <v>7729</v>
      </c>
      <c r="D6713" s="35">
        <f>SUMIFS(D6714:D9015,K6714:K9015,"0",B6714:B9015,"5 1 2 7 1 12 31111 6 M59 40000 000161 0000E 00001 00271*")-SUMIFS(E6714:E9015,K6714:K9015,"0",B6714:B9015,"5 1 2 7 1 12 31111 6 M59 40000 000161 0000E 00001 00271*")</f>
        <v>0</v>
      </c>
      <c r="E6713"/>
      <c r="F6713" s="35">
        <f>SUMIFS(F6714:F9015,K6714:K9015,"0",B6714:B9015,"5 1 2 7 1 12 31111 6 M59 40000 000161 0000E 00001 00271*")</f>
        <v>352785</v>
      </c>
      <c r="G6713" s="35">
        <f>SUMIFS(G6714:G9015,K6714:K9015,"0",B6714:B9015,"5 1 2 7 1 12 31111 6 M59 40000 000161 0000E 00001 00271*")</f>
        <v>0</v>
      </c>
      <c r="H6713" s="35">
        <f t="shared" si="105"/>
        <v>352785</v>
      </c>
      <c r="I6713" s="35"/>
      <c r="K6713" t="s">
        <v>15</v>
      </c>
    </row>
    <row r="6714" spans="2:11" ht="24.75" x14ac:dyDescent="0.2">
      <c r="B6714" s="33" t="s">
        <v>7730</v>
      </c>
      <c r="C6714" s="33" t="s">
        <v>656</v>
      </c>
      <c r="D6714" s="35">
        <f>SUMIFS(D6715:D9015,K6715:K9015,"0",B6715:B9015,"5 1 2 7 1 12 31111 6 M59 40000 000161 0000E 00001 00271 025*")-SUMIFS(E6715:E9015,K6715:K9015,"0",B6715:B9015,"5 1 2 7 1 12 31111 6 M59 40000 000161 0000E 00001 00271 025*")</f>
        <v>0</v>
      </c>
      <c r="E6714"/>
      <c r="F6714" s="35">
        <f>SUMIFS(F6715:F9015,K6715:K9015,"0",B6715:B9015,"5 1 2 7 1 12 31111 6 M59 40000 000161 0000E 00001 00271 025*")</f>
        <v>352785</v>
      </c>
      <c r="G6714" s="35">
        <f>SUMIFS(G6715:G9015,K6715:K9015,"0",B6715:B9015,"5 1 2 7 1 12 31111 6 M59 40000 000161 0000E 00001 00271 025*")</f>
        <v>0</v>
      </c>
      <c r="H6714" s="35">
        <f t="shared" si="105"/>
        <v>352785</v>
      </c>
      <c r="I6714" s="35"/>
      <c r="K6714" t="s">
        <v>15</v>
      </c>
    </row>
    <row r="6715" spans="2:11" ht="33" x14ac:dyDescent="0.2">
      <c r="B6715" s="33" t="s">
        <v>7731</v>
      </c>
      <c r="C6715" s="33" t="s">
        <v>5830</v>
      </c>
      <c r="D6715" s="35">
        <f>SUMIFS(D6716:D9015,K6716:K9015,"0",B6716:B9015,"5 1 2 7 1 12 31111 6 M59 40000 000161 0000E 00001 00271 025 2112000*")-SUMIFS(E6716:E9015,K6716:K9015,"0",B6716:B9015,"5 1 2 7 1 12 31111 6 M59 40000 000161 0000E 00001 00271 025 2112000*")</f>
        <v>0</v>
      </c>
      <c r="E6715"/>
      <c r="F6715" s="35">
        <f>SUMIFS(F6716:F9015,K6716:K9015,"0",B6716:B9015,"5 1 2 7 1 12 31111 6 M59 40000 000161 0000E 00001 00271 025 2112000*")</f>
        <v>352785</v>
      </c>
      <c r="G6715" s="35">
        <f>SUMIFS(G6716:G9015,K6716:K9015,"0",B6716:B9015,"5 1 2 7 1 12 31111 6 M59 40000 000161 0000E 00001 00271 025 2112000*")</f>
        <v>0</v>
      </c>
      <c r="H6715" s="35">
        <f t="shared" si="105"/>
        <v>352785</v>
      </c>
      <c r="I6715" s="35"/>
      <c r="K6715" t="s">
        <v>15</v>
      </c>
    </row>
    <row r="6716" spans="2:11" ht="33" x14ac:dyDescent="0.2">
      <c r="B6716" s="33" t="s">
        <v>7732</v>
      </c>
      <c r="C6716" s="33" t="s">
        <v>660</v>
      </c>
      <c r="D6716" s="35">
        <f>SUMIFS(D6717:D9015,K6717:K9015,"0",B6717:B9015,"5 1 2 7 1 12 31111 6 M59 40000 000161 0000E 00001 00271 025 2112000 2024*")-SUMIFS(E6717:E9015,K6717:K9015,"0",B6717:B9015,"5 1 2 7 1 12 31111 6 M59 40000 000161 0000E 00001 00271 025 2112000 2024*")</f>
        <v>0</v>
      </c>
      <c r="E6716"/>
      <c r="F6716" s="35">
        <f>SUMIFS(F6717:F9015,K6717:K9015,"0",B6717:B9015,"5 1 2 7 1 12 31111 6 M59 40000 000161 0000E 00001 00271 025 2112000 2024*")</f>
        <v>352785</v>
      </c>
      <c r="G6716" s="35">
        <f>SUMIFS(G6717:G9015,K6717:K9015,"0",B6717:B9015,"5 1 2 7 1 12 31111 6 M59 40000 000161 0000E 00001 00271 025 2112000 2024*")</f>
        <v>0</v>
      </c>
      <c r="H6716" s="35">
        <f t="shared" si="105"/>
        <v>352785</v>
      </c>
      <c r="I6716" s="35"/>
      <c r="K6716" t="s">
        <v>15</v>
      </c>
    </row>
    <row r="6717" spans="2:11" ht="41.25" x14ac:dyDescent="0.2">
      <c r="B6717" s="33" t="s">
        <v>7733</v>
      </c>
      <c r="C6717" s="33" t="s">
        <v>662</v>
      </c>
      <c r="D6717" s="35">
        <f>SUMIFS(D6718:D9015,K6718:K9015,"0",B6718:B9015,"5 1 2 7 1 12 31111 6 M59 40000 000161 0000E 00001 00271 025 2112000 2024 CP4SP372*")-SUMIFS(E6718:E9015,K6718:K9015,"0",B6718:B9015,"5 1 2 7 1 12 31111 6 M59 40000 000161 0000E 00001 00271 025 2112000 2024 CP4SP372*")</f>
        <v>0</v>
      </c>
      <c r="E6717"/>
      <c r="F6717" s="35">
        <f>SUMIFS(F6718:F9015,K6718:K9015,"0",B6718:B9015,"5 1 2 7 1 12 31111 6 M59 40000 000161 0000E 00001 00271 025 2112000 2024 CP4SP372*")</f>
        <v>352785</v>
      </c>
      <c r="G6717" s="35">
        <f>SUMIFS(G6718:G9015,K6718:K9015,"0",B6718:B9015,"5 1 2 7 1 12 31111 6 M59 40000 000161 0000E 00001 00271 025 2112000 2024 CP4SP372*")</f>
        <v>0</v>
      </c>
      <c r="H6717" s="35">
        <f t="shared" si="105"/>
        <v>352785</v>
      </c>
      <c r="I6717" s="35"/>
      <c r="K6717" t="s">
        <v>15</v>
      </c>
    </row>
    <row r="6718" spans="2:11" ht="41.25" x14ac:dyDescent="0.2">
      <c r="B6718" s="33" t="s">
        <v>7734</v>
      </c>
      <c r="C6718" s="33" t="s">
        <v>664</v>
      </c>
      <c r="D6718" s="35">
        <f>SUMIFS(D6719:D9015,K6719:K9015,"0",B6719:B9015,"5 1 2 7 1 12 31111 6 M59 40000 000161 0000E 00001 00271 025 2112000 2024 CP4SP372 003*")-SUMIFS(E6719:E9015,K6719:K9015,"0",B6719:B9015,"5 1 2 7 1 12 31111 6 M59 40000 000161 0000E 00001 00271 025 2112000 2024 CP4SP372 003*")</f>
        <v>0</v>
      </c>
      <c r="E6718"/>
      <c r="F6718" s="35">
        <f>SUMIFS(F6719:F9015,K6719:K9015,"0",B6719:B9015,"5 1 2 7 1 12 31111 6 M59 40000 000161 0000E 00001 00271 025 2112000 2024 CP4SP372 003*")</f>
        <v>352785</v>
      </c>
      <c r="G6718" s="35">
        <f>SUMIFS(G6719:G9015,K6719:K9015,"0",B6719:B9015,"5 1 2 7 1 12 31111 6 M59 40000 000161 0000E 00001 00271 025 2112000 2024 CP4SP372 003*")</f>
        <v>0</v>
      </c>
      <c r="H6718" s="35">
        <f t="shared" si="105"/>
        <v>352785</v>
      </c>
      <c r="I6718" s="35"/>
      <c r="K6718" t="s">
        <v>15</v>
      </c>
    </row>
    <row r="6719" spans="2:11" ht="33" x14ac:dyDescent="0.2">
      <c r="B6719" s="31" t="s">
        <v>7735</v>
      </c>
      <c r="C6719" s="31" t="s">
        <v>7719</v>
      </c>
      <c r="D6719" s="34">
        <v>0</v>
      </c>
      <c r="E6719" s="34"/>
      <c r="F6719" s="34">
        <v>352785</v>
      </c>
      <c r="G6719" s="34">
        <v>0</v>
      </c>
      <c r="H6719" s="34">
        <f t="shared" si="105"/>
        <v>352785</v>
      </c>
      <c r="I6719" s="34"/>
      <c r="K6719" t="s">
        <v>38</v>
      </c>
    </row>
    <row r="6720" spans="2:11" ht="16.5" x14ac:dyDescent="0.2">
      <c r="B6720" s="33" t="s">
        <v>7736</v>
      </c>
      <c r="C6720" s="33" t="s">
        <v>3268</v>
      </c>
      <c r="D6720" s="35">
        <f>SUMIFS(D6721:D9015,K6721:K9015,"0",B6721:B9015,"5 1 2 7 1 12 31111 6 M59 40400*")-SUMIFS(E6721:E9015,K6721:K9015,"0",B6721:B9015,"5 1 2 7 1 12 31111 6 M59 40400*")</f>
        <v>0</v>
      </c>
      <c r="E6720"/>
      <c r="F6720" s="35">
        <f>SUMIFS(F6721:F9015,K6721:K9015,"0",B6721:B9015,"5 1 2 7 1 12 31111 6 M59 40400*")</f>
        <v>65315.63</v>
      </c>
      <c r="G6720" s="35">
        <f>SUMIFS(G6721:G9015,K6721:K9015,"0",B6721:B9015,"5 1 2 7 1 12 31111 6 M59 40400*")</f>
        <v>0</v>
      </c>
      <c r="H6720" s="35">
        <f t="shared" si="105"/>
        <v>65315.63</v>
      </c>
      <c r="I6720" s="35"/>
      <c r="K6720" t="s">
        <v>15</v>
      </c>
    </row>
    <row r="6721" spans="2:11" ht="16.5" x14ac:dyDescent="0.2">
      <c r="B6721" s="33" t="s">
        <v>7737</v>
      </c>
      <c r="C6721" s="33" t="s">
        <v>3270</v>
      </c>
      <c r="D6721" s="35">
        <f>SUMIFS(D6722:D9015,K6722:K9015,"0",B6722:B9015,"5 1 2 7 1 12 31111 6 M59 40400 000173*")-SUMIFS(E6722:E9015,K6722:K9015,"0",B6722:B9015,"5 1 2 7 1 12 31111 6 M59 40400 000173*")</f>
        <v>0</v>
      </c>
      <c r="E6721"/>
      <c r="F6721" s="35">
        <f>SUMIFS(F6722:F9015,K6722:K9015,"0",B6722:B9015,"5 1 2 7 1 12 31111 6 M59 40400 000173*")</f>
        <v>65315.63</v>
      </c>
      <c r="G6721" s="35">
        <f>SUMIFS(G6722:G9015,K6722:K9015,"0",B6722:B9015,"5 1 2 7 1 12 31111 6 M59 40400 000173*")</f>
        <v>0</v>
      </c>
      <c r="H6721" s="35">
        <f t="shared" si="105"/>
        <v>65315.63</v>
      </c>
      <c r="I6721" s="35"/>
      <c r="K6721" t="s">
        <v>15</v>
      </c>
    </row>
    <row r="6722" spans="2:11" ht="16.5" x14ac:dyDescent="0.2">
      <c r="B6722" s="33" t="s">
        <v>7738</v>
      </c>
      <c r="C6722" s="33" t="s">
        <v>650</v>
      </c>
      <c r="D6722" s="35">
        <f>SUMIFS(D6723:D9015,K6723:K9015,"0",B6723:B9015,"5 1 2 7 1 12 31111 6 M59 40400 000173 0000R*")-SUMIFS(E6723:E9015,K6723:K9015,"0",B6723:B9015,"5 1 2 7 1 12 31111 6 M59 40400 000173 0000R*")</f>
        <v>0</v>
      </c>
      <c r="E6722"/>
      <c r="F6722" s="35">
        <f>SUMIFS(F6723:F9015,K6723:K9015,"0",B6723:B9015,"5 1 2 7 1 12 31111 6 M59 40400 000173 0000R*")</f>
        <v>65315.63</v>
      </c>
      <c r="G6722" s="35">
        <f>SUMIFS(G6723:G9015,K6723:K9015,"0",B6723:B9015,"5 1 2 7 1 12 31111 6 M59 40400 000173 0000R*")</f>
        <v>0</v>
      </c>
      <c r="H6722" s="35">
        <f t="shared" si="105"/>
        <v>65315.63</v>
      </c>
      <c r="I6722" s="35"/>
      <c r="K6722" t="s">
        <v>15</v>
      </c>
    </row>
    <row r="6723" spans="2:11" ht="24.75" x14ac:dyDescent="0.2">
      <c r="B6723" s="33" t="s">
        <v>7739</v>
      </c>
      <c r="C6723" s="33" t="s">
        <v>282</v>
      </c>
      <c r="D6723" s="35">
        <f>SUMIFS(D6724:D9015,K6724:K9015,"0",B6724:B9015,"5 1 2 7 1 12 31111 6 M59 40400 000173 0000R 00001*")-SUMIFS(E6724:E9015,K6724:K9015,"0",B6724:B9015,"5 1 2 7 1 12 31111 6 M59 40400 000173 0000R 00001*")</f>
        <v>0</v>
      </c>
      <c r="E6723"/>
      <c r="F6723" s="35">
        <f>SUMIFS(F6724:F9015,K6724:K9015,"0",B6724:B9015,"5 1 2 7 1 12 31111 6 M59 40400 000173 0000R 00001*")</f>
        <v>65315.63</v>
      </c>
      <c r="G6723" s="35">
        <f>SUMIFS(G6724:G9015,K6724:K9015,"0",B6724:B9015,"5 1 2 7 1 12 31111 6 M59 40400 000173 0000R 00001*")</f>
        <v>0</v>
      </c>
      <c r="H6723" s="35">
        <f t="shared" si="105"/>
        <v>65315.63</v>
      </c>
      <c r="I6723" s="35"/>
      <c r="K6723" t="s">
        <v>15</v>
      </c>
    </row>
    <row r="6724" spans="2:11" ht="24.75" x14ac:dyDescent="0.2">
      <c r="B6724" s="33" t="s">
        <v>7740</v>
      </c>
      <c r="C6724" s="33" t="s">
        <v>7729</v>
      </c>
      <c r="D6724" s="35">
        <f>SUMIFS(D6725:D9015,K6725:K9015,"0",B6725:B9015,"5 1 2 7 1 12 31111 6 M59 40400 000173 0000R 00001 00271*")-SUMIFS(E6725:E9015,K6725:K9015,"0",B6725:B9015,"5 1 2 7 1 12 31111 6 M59 40400 000173 0000R 00001 00271*")</f>
        <v>0</v>
      </c>
      <c r="E6724"/>
      <c r="F6724" s="35">
        <f>SUMIFS(F6725:F9015,K6725:K9015,"0",B6725:B9015,"5 1 2 7 1 12 31111 6 M59 40400 000173 0000R 00001 00271*")</f>
        <v>65315.63</v>
      </c>
      <c r="G6724" s="35">
        <f>SUMIFS(G6725:G9015,K6725:K9015,"0",B6725:B9015,"5 1 2 7 1 12 31111 6 M59 40400 000173 0000R 00001 00271*")</f>
        <v>0</v>
      </c>
      <c r="H6724" s="35">
        <f t="shared" ref="H6724:H6787" si="106">D6724 + F6724 - G6724</f>
        <v>65315.63</v>
      </c>
      <c r="I6724" s="35"/>
      <c r="K6724" t="s">
        <v>15</v>
      </c>
    </row>
    <row r="6725" spans="2:11" ht="24.75" x14ac:dyDescent="0.2">
      <c r="B6725" s="33" t="s">
        <v>7741</v>
      </c>
      <c r="C6725" s="33" t="s">
        <v>656</v>
      </c>
      <c r="D6725" s="35">
        <f>SUMIFS(D6726:D9015,K6726:K9015,"0",B6726:B9015,"5 1 2 7 1 12 31111 6 M59 40400 000173 0000R 00001 00271 025*")-SUMIFS(E6726:E9015,K6726:K9015,"0",B6726:B9015,"5 1 2 7 1 12 31111 6 M59 40400 000173 0000R 00001 00271 025*")</f>
        <v>0</v>
      </c>
      <c r="E6725"/>
      <c r="F6725" s="35">
        <f>SUMIFS(F6726:F9015,K6726:K9015,"0",B6726:B9015,"5 1 2 7 1 12 31111 6 M59 40400 000173 0000R 00001 00271 025*")</f>
        <v>65315.63</v>
      </c>
      <c r="G6725" s="35">
        <f>SUMIFS(G6726:G9015,K6726:K9015,"0",B6726:B9015,"5 1 2 7 1 12 31111 6 M59 40400 000173 0000R 00001 00271 025*")</f>
        <v>0</v>
      </c>
      <c r="H6725" s="35">
        <f t="shared" si="106"/>
        <v>65315.63</v>
      </c>
      <c r="I6725" s="35"/>
      <c r="K6725" t="s">
        <v>15</v>
      </c>
    </row>
    <row r="6726" spans="2:11" ht="33" x14ac:dyDescent="0.2">
      <c r="B6726" s="33" t="s">
        <v>7742</v>
      </c>
      <c r="C6726" s="33" t="s">
        <v>5830</v>
      </c>
      <c r="D6726" s="35">
        <f>SUMIFS(D6727:D9015,K6727:K9015,"0",B6727:B9015,"5 1 2 7 1 12 31111 6 M59 40400 000173 0000R 00001 00271 025 2112000*")-SUMIFS(E6727:E9015,K6727:K9015,"0",B6727:B9015,"5 1 2 7 1 12 31111 6 M59 40400 000173 0000R 00001 00271 025 2112000*")</f>
        <v>0</v>
      </c>
      <c r="E6726"/>
      <c r="F6726" s="35">
        <f>SUMIFS(F6727:F9015,K6727:K9015,"0",B6727:B9015,"5 1 2 7 1 12 31111 6 M59 40400 000173 0000R 00001 00271 025 2112000*")</f>
        <v>65315.63</v>
      </c>
      <c r="G6726" s="35">
        <f>SUMIFS(G6727:G9015,K6727:K9015,"0",B6727:B9015,"5 1 2 7 1 12 31111 6 M59 40400 000173 0000R 00001 00271 025 2112000*")</f>
        <v>0</v>
      </c>
      <c r="H6726" s="35">
        <f t="shared" si="106"/>
        <v>65315.63</v>
      </c>
      <c r="I6726" s="35"/>
      <c r="K6726" t="s">
        <v>15</v>
      </c>
    </row>
    <row r="6727" spans="2:11" ht="33" x14ac:dyDescent="0.2">
      <c r="B6727" s="33" t="s">
        <v>7743</v>
      </c>
      <c r="C6727" s="33" t="s">
        <v>660</v>
      </c>
      <c r="D6727" s="35">
        <f>SUMIFS(D6728:D9015,K6728:K9015,"0",B6728:B9015,"5 1 2 7 1 12 31111 6 M59 40400 000173 0000R 00001 00271 025 2112000 2024*")-SUMIFS(E6728:E9015,K6728:K9015,"0",B6728:B9015,"5 1 2 7 1 12 31111 6 M59 40400 000173 0000R 00001 00271 025 2112000 2024*")</f>
        <v>0</v>
      </c>
      <c r="E6727"/>
      <c r="F6727" s="35">
        <f>SUMIFS(F6728:F9015,K6728:K9015,"0",B6728:B9015,"5 1 2 7 1 12 31111 6 M59 40400 000173 0000R 00001 00271 025 2112000 2024*")</f>
        <v>65315.63</v>
      </c>
      <c r="G6727" s="35">
        <f>SUMIFS(G6728:G9015,K6728:K9015,"0",B6728:B9015,"5 1 2 7 1 12 31111 6 M59 40400 000173 0000R 00001 00271 025 2112000 2024*")</f>
        <v>0</v>
      </c>
      <c r="H6727" s="35">
        <f t="shared" si="106"/>
        <v>65315.63</v>
      </c>
      <c r="I6727" s="35"/>
      <c r="K6727" t="s">
        <v>15</v>
      </c>
    </row>
    <row r="6728" spans="2:11" ht="41.25" x14ac:dyDescent="0.2">
      <c r="B6728" s="33" t="s">
        <v>7744</v>
      </c>
      <c r="C6728" s="33" t="s">
        <v>662</v>
      </c>
      <c r="D6728" s="35">
        <f>SUMIFS(D6729:D9015,K6729:K9015,"0",B6729:B9015,"5 1 2 7 1 12 31111 6 M59 40400 000173 0000R 00001 00271 025 2112000 2024 CP4PD369*")-SUMIFS(E6729:E9015,K6729:K9015,"0",B6729:B9015,"5 1 2 7 1 12 31111 6 M59 40400 000173 0000R 00001 00271 025 2112000 2024 CP4PD369*")</f>
        <v>0</v>
      </c>
      <c r="E6728"/>
      <c r="F6728" s="35">
        <f>SUMIFS(F6729:F9015,K6729:K9015,"0",B6729:B9015,"5 1 2 7 1 12 31111 6 M59 40400 000173 0000R 00001 00271 025 2112000 2024 CP4PD369*")</f>
        <v>65315.63</v>
      </c>
      <c r="G6728" s="35">
        <f>SUMIFS(G6729:G9015,K6729:K9015,"0",B6729:B9015,"5 1 2 7 1 12 31111 6 M59 40400 000173 0000R 00001 00271 025 2112000 2024 CP4PD369*")</f>
        <v>0</v>
      </c>
      <c r="H6728" s="35">
        <f t="shared" si="106"/>
        <v>65315.63</v>
      </c>
      <c r="I6728" s="35"/>
      <c r="K6728" t="s">
        <v>15</v>
      </c>
    </row>
    <row r="6729" spans="2:11" ht="41.25" x14ac:dyDescent="0.2">
      <c r="B6729" s="33" t="s">
        <v>7745</v>
      </c>
      <c r="C6729" s="33" t="s">
        <v>664</v>
      </c>
      <c r="D6729" s="35">
        <f>SUMIFS(D6730:D9015,K6730:K9015,"0",B6730:B9015,"5 1 2 7 1 12 31111 6 M59 40400 000173 0000R 00001 00271 025 2112000 2024 CP4PD369 003*")-SUMIFS(E6730:E9015,K6730:K9015,"0",B6730:B9015,"5 1 2 7 1 12 31111 6 M59 40400 000173 0000R 00001 00271 025 2112000 2024 CP4PD369 003*")</f>
        <v>0</v>
      </c>
      <c r="E6729"/>
      <c r="F6729" s="35">
        <f>SUMIFS(F6730:F9015,K6730:K9015,"0",B6730:B9015,"5 1 2 7 1 12 31111 6 M59 40400 000173 0000R 00001 00271 025 2112000 2024 CP4PD369 003*")</f>
        <v>65315.63</v>
      </c>
      <c r="G6729" s="35">
        <f>SUMIFS(G6730:G9015,K6730:K9015,"0",B6730:B9015,"5 1 2 7 1 12 31111 6 M59 40400 000173 0000R 00001 00271 025 2112000 2024 CP4PD369 003*")</f>
        <v>0</v>
      </c>
      <c r="H6729" s="35">
        <f t="shared" si="106"/>
        <v>65315.63</v>
      </c>
      <c r="I6729" s="35"/>
      <c r="K6729" t="s">
        <v>15</v>
      </c>
    </row>
    <row r="6730" spans="2:11" ht="33" x14ac:dyDescent="0.2">
      <c r="B6730" s="31" t="s">
        <v>7746</v>
      </c>
      <c r="C6730" s="31" t="s">
        <v>7719</v>
      </c>
      <c r="D6730" s="34">
        <v>0</v>
      </c>
      <c r="E6730" s="34"/>
      <c r="F6730" s="34">
        <v>65315.63</v>
      </c>
      <c r="G6730" s="34">
        <v>0</v>
      </c>
      <c r="H6730" s="34">
        <f t="shared" si="106"/>
        <v>65315.63</v>
      </c>
      <c r="I6730" s="34"/>
      <c r="K6730" t="s">
        <v>38</v>
      </c>
    </row>
    <row r="6731" spans="2:11" ht="16.5" x14ac:dyDescent="0.2">
      <c r="B6731" s="33" t="s">
        <v>7747</v>
      </c>
      <c r="C6731" s="33" t="s">
        <v>3706</v>
      </c>
      <c r="D6731" s="35">
        <f>SUMIFS(D6732:D9015,K6732:K9015,"0",B6732:B9015,"5 1 2 7 1 12 31111 6 M59 96200*")-SUMIFS(E6732:E9015,K6732:K9015,"0",B6732:B9015,"5 1 2 7 1 12 31111 6 M59 96200*")</f>
        <v>0</v>
      </c>
      <c r="E6731"/>
      <c r="F6731" s="35">
        <f>SUMIFS(F6732:F9015,K6732:K9015,"0",B6732:B9015,"5 1 2 7 1 12 31111 6 M59 96200*")</f>
        <v>10387.98</v>
      </c>
      <c r="G6731" s="35">
        <f>SUMIFS(G6732:G9015,K6732:K9015,"0",B6732:B9015,"5 1 2 7 1 12 31111 6 M59 96200*")</f>
        <v>0</v>
      </c>
      <c r="H6731" s="35">
        <f t="shared" si="106"/>
        <v>10387.98</v>
      </c>
      <c r="I6731" s="35"/>
      <c r="K6731" t="s">
        <v>15</v>
      </c>
    </row>
    <row r="6732" spans="2:11" ht="16.5" x14ac:dyDescent="0.2">
      <c r="B6732" s="33" t="s">
        <v>7748</v>
      </c>
      <c r="C6732" s="33" t="s">
        <v>648</v>
      </c>
      <c r="D6732" s="35">
        <f>SUMIFS(D6733:D9015,K6733:K9015,"0",B6733:B9015,"5 1 2 7 1 12 31111 6 M59 96200 000132*")-SUMIFS(E6733:E9015,K6733:K9015,"0",B6733:B9015,"5 1 2 7 1 12 31111 6 M59 96200 000132*")</f>
        <v>0</v>
      </c>
      <c r="E6732"/>
      <c r="F6732" s="35">
        <f>SUMIFS(F6733:F9015,K6733:K9015,"0",B6733:B9015,"5 1 2 7 1 12 31111 6 M59 96200 000132*")</f>
        <v>10387.98</v>
      </c>
      <c r="G6732" s="35">
        <f>SUMIFS(G6733:G9015,K6733:K9015,"0",B6733:B9015,"5 1 2 7 1 12 31111 6 M59 96200 000132*")</f>
        <v>0</v>
      </c>
      <c r="H6732" s="35">
        <f t="shared" si="106"/>
        <v>10387.98</v>
      </c>
      <c r="I6732" s="35"/>
      <c r="K6732" t="s">
        <v>15</v>
      </c>
    </row>
    <row r="6733" spans="2:11" ht="16.5" x14ac:dyDescent="0.2">
      <c r="B6733" s="33" t="s">
        <v>7749</v>
      </c>
      <c r="C6733" s="33" t="s">
        <v>650</v>
      </c>
      <c r="D6733" s="35">
        <f>SUMIFS(D6734:D9015,K6734:K9015,"0",B6734:B9015,"5 1 2 7 1 12 31111 6 M59 96200 000132 0000R*")-SUMIFS(E6734:E9015,K6734:K9015,"0",B6734:B9015,"5 1 2 7 1 12 31111 6 M59 96200 000132 0000R*")</f>
        <v>0</v>
      </c>
      <c r="E6733"/>
      <c r="F6733" s="35">
        <f>SUMIFS(F6734:F9015,K6734:K9015,"0",B6734:B9015,"5 1 2 7 1 12 31111 6 M59 96200 000132 0000R*")</f>
        <v>10387.98</v>
      </c>
      <c r="G6733" s="35">
        <f>SUMIFS(G6734:G9015,K6734:K9015,"0",B6734:B9015,"5 1 2 7 1 12 31111 6 M59 96200 000132 0000R*")</f>
        <v>0</v>
      </c>
      <c r="H6733" s="35">
        <f t="shared" si="106"/>
        <v>10387.98</v>
      </c>
      <c r="I6733" s="35"/>
      <c r="K6733" t="s">
        <v>15</v>
      </c>
    </row>
    <row r="6734" spans="2:11" ht="24.75" x14ac:dyDescent="0.2">
      <c r="B6734" s="33" t="s">
        <v>7750</v>
      </c>
      <c r="C6734" s="33" t="s">
        <v>282</v>
      </c>
      <c r="D6734" s="35">
        <f>SUMIFS(D6735:D9015,K6735:K9015,"0",B6735:B9015,"5 1 2 7 1 12 31111 6 M59 96200 000132 0000R 00001*")-SUMIFS(E6735:E9015,K6735:K9015,"0",B6735:B9015,"5 1 2 7 1 12 31111 6 M59 96200 000132 0000R 00001*")</f>
        <v>0</v>
      </c>
      <c r="E6734"/>
      <c r="F6734" s="35">
        <f>SUMIFS(F6735:F9015,K6735:K9015,"0",B6735:B9015,"5 1 2 7 1 12 31111 6 M59 96200 000132 0000R 00001*")</f>
        <v>10387.98</v>
      </c>
      <c r="G6734" s="35">
        <f>SUMIFS(G6735:G9015,K6735:K9015,"0",B6735:B9015,"5 1 2 7 1 12 31111 6 M59 96200 000132 0000R 00001*")</f>
        <v>0</v>
      </c>
      <c r="H6734" s="35">
        <f t="shared" si="106"/>
        <v>10387.98</v>
      </c>
      <c r="I6734" s="35"/>
      <c r="K6734" t="s">
        <v>15</v>
      </c>
    </row>
    <row r="6735" spans="2:11" ht="24.75" x14ac:dyDescent="0.2">
      <c r="B6735" s="33" t="s">
        <v>7751</v>
      </c>
      <c r="C6735" s="33" t="s">
        <v>7729</v>
      </c>
      <c r="D6735" s="35">
        <f>SUMIFS(D6736:D9015,K6736:K9015,"0",B6736:B9015,"5 1 2 7 1 12 31111 6 M59 96200 000132 0000R 00001 00271*")-SUMIFS(E6736:E9015,K6736:K9015,"0",B6736:B9015,"5 1 2 7 1 12 31111 6 M59 96200 000132 0000R 00001 00271*")</f>
        <v>0</v>
      </c>
      <c r="E6735"/>
      <c r="F6735" s="35">
        <f>SUMIFS(F6736:F9015,K6736:K9015,"0",B6736:B9015,"5 1 2 7 1 12 31111 6 M59 96200 000132 0000R 00001 00271*")</f>
        <v>10387.98</v>
      </c>
      <c r="G6735" s="35">
        <f>SUMIFS(G6736:G9015,K6736:K9015,"0",B6736:B9015,"5 1 2 7 1 12 31111 6 M59 96200 000132 0000R 00001 00271*")</f>
        <v>0</v>
      </c>
      <c r="H6735" s="35">
        <f t="shared" si="106"/>
        <v>10387.98</v>
      </c>
      <c r="I6735" s="35"/>
      <c r="K6735" t="s">
        <v>15</v>
      </c>
    </row>
    <row r="6736" spans="2:11" ht="24.75" x14ac:dyDescent="0.2">
      <c r="B6736" s="33" t="s">
        <v>7752</v>
      </c>
      <c r="C6736" s="33" t="s">
        <v>1051</v>
      </c>
      <c r="D6736" s="35">
        <f>SUMIFS(D6737:D9015,K6737:K9015,"0",B6737:B9015,"5 1 2 7 1 12 31111 6 M59 96200 000132 0000R 00001 00271 015*")-SUMIFS(E6737:E9015,K6737:K9015,"0",B6737:B9015,"5 1 2 7 1 12 31111 6 M59 96200 000132 0000R 00001 00271 015*")</f>
        <v>0</v>
      </c>
      <c r="E6736"/>
      <c r="F6736" s="35">
        <f>SUMIFS(F6737:F9015,K6737:K9015,"0",B6737:B9015,"5 1 2 7 1 12 31111 6 M59 96200 000132 0000R 00001 00271 015*")</f>
        <v>10387.98</v>
      </c>
      <c r="G6736" s="35">
        <f>SUMIFS(G6737:G9015,K6737:K9015,"0",B6737:B9015,"5 1 2 7 1 12 31111 6 M59 96200 000132 0000R 00001 00271 015*")</f>
        <v>0</v>
      </c>
      <c r="H6736" s="35">
        <f t="shared" si="106"/>
        <v>10387.98</v>
      </c>
      <c r="I6736" s="35"/>
      <c r="K6736" t="s">
        <v>15</v>
      </c>
    </row>
    <row r="6737" spans="2:11" ht="33" x14ac:dyDescent="0.2">
      <c r="B6737" s="33" t="s">
        <v>7753</v>
      </c>
      <c r="C6737" s="33" t="s">
        <v>5830</v>
      </c>
      <c r="D6737" s="35">
        <f>SUMIFS(D6738:D9015,K6738:K9015,"0",B6738:B9015,"5 1 2 7 1 12 31111 6 M59 96200 000132 0000R 00001 00271 015 2112000*")-SUMIFS(E6738:E9015,K6738:K9015,"0",B6738:B9015,"5 1 2 7 1 12 31111 6 M59 96200 000132 0000R 00001 00271 015 2112000*")</f>
        <v>0</v>
      </c>
      <c r="E6737"/>
      <c r="F6737" s="35">
        <f>SUMIFS(F6738:F9015,K6738:K9015,"0",B6738:B9015,"5 1 2 7 1 12 31111 6 M59 96200 000132 0000R 00001 00271 015 2112000*")</f>
        <v>10387.98</v>
      </c>
      <c r="G6737" s="35">
        <f>SUMIFS(G6738:G9015,K6738:K9015,"0",B6738:B9015,"5 1 2 7 1 12 31111 6 M59 96200 000132 0000R 00001 00271 015 2112000*")</f>
        <v>0</v>
      </c>
      <c r="H6737" s="35">
        <f t="shared" si="106"/>
        <v>10387.98</v>
      </c>
      <c r="I6737" s="35"/>
      <c r="K6737" t="s">
        <v>15</v>
      </c>
    </row>
    <row r="6738" spans="2:11" ht="33" x14ac:dyDescent="0.2">
      <c r="B6738" s="33" t="s">
        <v>7754</v>
      </c>
      <c r="C6738" s="33" t="s">
        <v>660</v>
      </c>
      <c r="D6738" s="35">
        <f>SUMIFS(D6739:D9015,K6739:K9015,"0",B6739:B9015,"5 1 2 7 1 12 31111 6 M59 96200 000132 0000R 00001 00271 015 2112000 2024*")-SUMIFS(E6739:E9015,K6739:K9015,"0",B6739:B9015,"5 1 2 7 1 12 31111 6 M59 96200 000132 0000R 00001 00271 015 2112000 2024*")</f>
        <v>0</v>
      </c>
      <c r="E6738"/>
      <c r="F6738" s="35">
        <f>SUMIFS(F6739:F9015,K6739:K9015,"0",B6739:B9015,"5 1 2 7 1 12 31111 6 M59 96200 000132 0000R 00001 00271 015 2112000 2024*")</f>
        <v>10387.98</v>
      </c>
      <c r="G6738" s="35">
        <f>SUMIFS(G6739:G9015,K6739:K9015,"0",B6739:B9015,"5 1 2 7 1 12 31111 6 M59 96200 000132 0000R 00001 00271 015 2112000 2024*")</f>
        <v>0</v>
      </c>
      <c r="H6738" s="35">
        <f t="shared" si="106"/>
        <v>10387.98</v>
      </c>
      <c r="I6738" s="35"/>
      <c r="K6738" t="s">
        <v>15</v>
      </c>
    </row>
    <row r="6739" spans="2:11" ht="41.25" x14ac:dyDescent="0.2">
      <c r="B6739" s="33" t="s">
        <v>7755</v>
      </c>
      <c r="C6739" s="33" t="s">
        <v>662</v>
      </c>
      <c r="D6739" s="35">
        <f>SUMIFS(D6740:D9015,K6740:K9015,"0",B6740:B9015,"5 1 2 7 1 12 31111 6 M59 96200 000132 0000R 00001 00271 015 2112000 2024 CP1AL423*")-SUMIFS(E6740:E9015,K6740:K9015,"0",B6740:B9015,"5 1 2 7 1 12 31111 6 M59 96200 000132 0000R 00001 00271 015 2112000 2024 CP1AL423*")</f>
        <v>0</v>
      </c>
      <c r="E6739"/>
      <c r="F6739" s="35">
        <f>SUMIFS(F6740:F9015,K6740:K9015,"0",B6740:B9015,"5 1 2 7 1 12 31111 6 M59 96200 000132 0000R 00001 00271 015 2112000 2024 CP1AL423*")</f>
        <v>10387.98</v>
      </c>
      <c r="G6739" s="35">
        <f>SUMIFS(G6740:G9015,K6740:K9015,"0",B6740:B9015,"5 1 2 7 1 12 31111 6 M59 96200 000132 0000R 00001 00271 015 2112000 2024 CP1AL423*")</f>
        <v>0</v>
      </c>
      <c r="H6739" s="35">
        <f t="shared" si="106"/>
        <v>10387.98</v>
      </c>
      <c r="I6739" s="35"/>
      <c r="K6739" t="s">
        <v>15</v>
      </c>
    </row>
    <row r="6740" spans="2:11" ht="41.25" x14ac:dyDescent="0.2">
      <c r="B6740" s="33" t="s">
        <v>7756</v>
      </c>
      <c r="C6740" s="33" t="s">
        <v>282</v>
      </c>
      <c r="D6740" s="35">
        <f>SUMIFS(D6741:D9015,K6741:K9015,"0",B6741:B9015,"5 1 2 7 1 12 31111 6 M59 96200 000132 0000R 00001 00271 015 2112000 2024 CP1AL423 001*")-SUMIFS(E6741:E9015,K6741:K9015,"0",B6741:B9015,"5 1 2 7 1 12 31111 6 M59 96200 000132 0000R 00001 00271 015 2112000 2024 CP1AL423 001*")</f>
        <v>0</v>
      </c>
      <c r="E6740"/>
      <c r="F6740" s="35">
        <f>SUMIFS(F6741:F9015,K6741:K9015,"0",B6741:B9015,"5 1 2 7 1 12 31111 6 M59 96200 000132 0000R 00001 00271 015 2112000 2024 CP1AL423 001*")</f>
        <v>10387.98</v>
      </c>
      <c r="G6740" s="35">
        <f>SUMIFS(G6741:G9015,K6741:K9015,"0",B6741:B9015,"5 1 2 7 1 12 31111 6 M59 96200 000132 0000R 00001 00271 015 2112000 2024 CP1AL423 001*")</f>
        <v>0</v>
      </c>
      <c r="H6740" s="35">
        <f t="shared" si="106"/>
        <v>10387.98</v>
      </c>
      <c r="I6740" s="35"/>
      <c r="K6740" t="s">
        <v>15</v>
      </c>
    </row>
    <row r="6741" spans="2:11" ht="41.25" x14ac:dyDescent="0.2">
      <c r="B6741" s="31" t="s">
        <v>7757</v>
      </c>
      <c r="C6741" s="31" t="s">
        <v>5830</v>
      </c>
      <c r="D6741" s="34">
        <v>0</v>
      </c>
      <c r="E6741" s="34"/>
      <c r="F6741" s="34">
        <v>10387.98</v>
      </c>
      <c r="G6741" s="34">
        <v>0</v>
      </c>
      <c r="H6741" s="34">
        <f t="shared" si="106"/>
        <v>10387.98</v>
      </c>
      <c r="I6741" s="34"/>
      <c r="K6741" t="s">
        <v>38</v>
      </c>
    </row>
    <row r="6742" spans="2:11" ht="16.5" x14ac:dyDescent="0.2">
      <c r="B6742" s="33" t="s">
        <v>7758</v>
      </c>
      <c r="C6742" s="33" t="s">
        <v>7759</v>
      </c>
      <c r="D6742" s="35">
        <f>SUMIFS(D6743:D9015,K6743:K9015,"0",B6743:B9015,"5 1 2 7 2*")-SUMIFS(E6743:E9015,K6743:K9015,"0",B6743:B9015,"5 1 2 7 2*")</f>
        <v>0</v>
      </c>
      <c r="E6742"/>
      <c r="F6742" s="35">
        <f>SUMIFS(F6743:F9015,K6743:K9015,"0",B6743:B9015,"5 1 2 7 2*")</f>
        <v>109465.29</v>
      </c>
      <c r="G6742" s="35">
        <f>SUMIFS(G6743:G9015,K6743:K9015,"0",B6743:B9015,"5 1 2 7 2*")</f>
        <v>0</v>
      </c>
      <c r="H6742" s="35">
        <f t="shared" si="106"/>
        <v>109465.29</v>
      </c>
      <c r="I6742" s="35"/>
      <c r="K6742" t="s">
        <v>15</v>
      </c>
    </row>
    <row r="6743" spans="2:11" ht="12.75" x14ac:dyDescent="0.2">
      <c r="B6743" s="33" t="s">
        <v>7760</v>
      </c>
      <c r="C6743" s="33" t="s">
        <v>26</v>
      </c>
      <c r="D6743" s="35">
        <f>SUMIFS(D6744:D9015,K6744:K9015,"0",B6744:B9015,"5 1 2 7 2 12*")-SUMIFS(E6744:E9015,K6744:K9015,"0",B6744:B9015,"5 1 2 7 2 12*")</f>
        <v>0</v>
      </c>
      <c r="E6743"/>
      <c r="F6743" s="35">
        <f>SUMIFS(F6744:F9015,K6744:K9015,"0",B6744:B9015,"5 1 2 7 2 12*")</f>
        <v>109465.29</v>
      </c>
      <c r="G6743" s="35">
        <f>SUMIFS(G6744:G9015,K6744:K9015,"0",B6744:B9015,"5 1 2 7 2 12*")</f>
        <v>0</v>
      </c>
      <c r="H6743" s="35">
        <f t="shared" si="106"/>
        <v>109465.29</v>
      </c>
      <c r="I6743" s="35"/>
      <c r="K6743" t="s">
        <v>15</v>
      </c>
    </row>
    <row r="6744" spans="2:11" ht="16.5" x14ac:dyDescent="0.2">
      <c r="B6744" s="33" t="s">
        <v>7761</v>
      </c>
      <c r="C6744" s="33" t="s">
        <v>28</v>
      </c>
      <c r="D6744" s="35">
        <f>SUMIFS(D6745:D9015,K6745:K9015,"0",B6745:B9015,"5 1 2 7 2 12 31111*")-SUMIFS(E6745:E9015,K6745:K9015,"0",B6745:B9015,"5 1 2 7 2 12 31111*")</f>
        <v>0</v>
      </c>
      <c r="E6744"/>
      <c r="F6744" s="35">
        <f>SUMIFS(F6745:F9015,K6745:K9015,"0",B6745:B9015,"5 1 2 7 2 12 31111*")</f>
        <v>109465.29</v>
      </c>
      <c r="G6744" s="35">
        <f>SUMIFS(G6745:G9015,K6745:K9015,"0",B6745:B9015,"5 1 2 7 2 12 31111*")</f>
        <v>0</v>
      </c>
      <c r="H6744" s="35">
        <f t="shared" si="106"/>
        <v>109465.29</v>
      </c>
      <c r="I6744" s="35"/>
      <c r="K6744" t="s">
        <v>15</v>
      </c>
    </row>
    <row r="6745" spans="2:11" ht="12.75" x14ac:dyDescent="0.2">
      <c r="B6745" s="33" t="s">
        <v>7762</v>
      </c>
      <c r="C6745" s="33" t="s">
        <v>30</v>
      </c>
      <c r="D6745" s="35">
        <f>SUMIFS(D6746:D9015,K6746:K9015,"0",B6746:B9015,"5 1 2 7 2 12 31111 6*")-SUMIFS(E6746:E9015,K6746:K9015,"0",B6746:B9015,"5 1 2 7 2 12 31111 6*")</f>
        <v>0</v>
      </c>
      <c r="E6745"/>
      <c r="F6745" s="35">
        <f>SUMIFS(F6746:F9015,K6746:K9015,"0",B6746:B9015,"5 1 2 7 2 12 31111 6*")</f>
        <v>109465.29</v>
      </c>
      <c r="G6745" s="35">
        <f>SUMIFS(G6746:G9015,K6746:K9015,"0",B6746:B9015,"5 1 2 7 2 12 31111 6*")</f>
        <v>0</v>
      </c>
      <c r="H6745" s="35">
        <f t="shared" si="106"/>
        <v>109465.29</v>
      </c>
      <c r="I6745" s="35"/>
      <c r="K6745" t="s">
        <v>15</v>
      </c>
    </row>
    <row r="6746" spans="2:11" ht="16.5" x14ac:dyDescent="0.2">
      <c r="B6746" s="33" t="s">
        <v>7763</v>
      </c>
      <c r="C6746" s="33" t="s">
        <v>2284</v>
      </c>
      <c r="D6746" s="35">
        <f>SUMIFS(D6747:D9015,K6747:K9015,"0",B6747:B9015,"5 1 2 7 2 12 31111 6 M59*")-SUMIFS(E6747:E9015,K6747:K9015,"0",B6747:B9015,"5 1 2 7 2 12 31111 6 M59*")</f>
        <v>0</v>
      </c>
      <c r="E6746"/>
      <c r="F6746" s="35">
        <f>SUMIFS(F6747:F9015,K6747:K9015,"0",B6747:B9015,"5 1 2 7 2 12 31111 6 M59*")</f>
        <v>109465.29</v>
      </c>
      <c r="G6746" s="35">
        <f>SUMIFS(G6747:G9015,K6747:K9015,"0",B6747:B9015,"5 1 2 7 2 12 31111 6 M59*")</f>
        <v>0</v>
      </c>
      <c r="H6746" s="35">
        <f t="shared" si="106"/>
        <v>109465.29</v>
      </c>
      <c r="I6746" s="35"/>
      <c r="K6746" t="s">
        <v>15</v>
      </c>
    </row>
    <row r="6747" spans="2:11" ht="16.5" x14ac:dyDescent="0.2">
      <c r="B6747" s="33" t="s">
        <v>7764</v>
      </c>
      <c r="C6747" s="33" t="s">
        <v>3138</v>
      </c>
      <c r="D6747" s="35">
        <f>SUMIFS(D6748:D9015,K6748:K9015,"0",B6748:B9015,"5 1 2 7 2 12 31111 6 M59 20700*")-SUMIFS(E6748:E9015,K6748:K9015,"0",B6748:B9015,"5 1 2 7 2 12 31111 6 M59 20700*")</f>
        <v>0</v>
      </c>
      <c r="E6747"/>
      <c r="F6747" s="35">
        <f>SUMIFS(F6748:F9015,K6748:K9015,"0",B6748:B9015,"5 1 2 7 2 12 31111 6 M59 20700*")</f>
        <v>1520</v>
      </c>
      <c r="G6747" s="35">
        <f>SUMIFS(G6748:G9015,K6748:K9015,"0",B6748:B9015,"5 1 2 7 2 12 31111 6 M59 20700*")</f>
        <v>0</v>
      </c>
      <c r="H6747" s="35">
        <f t="shared" si="106"/>
        <v>1520</v>
      </c>
      <c r="I6747" s="35"/>
      <c r="K6747" t="s">
        <v>15</v>
      </c>
    </row>
    <row r="6748" spans="2:11" ht="16.5" x14ac:dyDescent="0.2">
      <c r="B6748" s="33" t="s">
        <v>7765</v>
      </c>
      <c r="C6748" s="33" t="s">
        <v>648</v>
      </c>
      <c r="D6748" s="35">
        <f>SUMIFS(D6749:D9015,K6749:K9015,"0",B6749:B9015,"5 1 2 7 2 12 31111 6 M59 20700 000132*")-SUMIFS(E6749:E9015,K6749:K9015,"0",B6749:B9015,"5 1 2 7 2 12 31111 6 M59 20700 000132*")</f>
        <v>0</v>
      </c>
      <c r="E6748"/>
      <c r="F6748" s="35">
        <f>SUMIFS(F6749:F9015,K6749:K9015,"0",B6749:B9015,"5 1 2 7 2 12 31111 6 M59 20700 000132*")</f>
        <v>1520</v>
      </c>
      <c r="G6748" s="35">
        <f>SUMIFS(G6749:G9015,K6749:K9015,"0",B6749:B9015,"5 1 2 7 2 12 31111 6 M59 20700 000132*")</f>
        <v>0</v>
      </c>
      <c r="H6748" s="35">
        <f t="shared" si="106"/>
        <v>1520</v>
      </c>
      <c r="I6748" s="35"/>
      <c r="K6748" t="s">
        <v>15</v>
      </c>
    </row>
    <row r="6749" spans="2:11" ht="24.75" x14ac:dyDescent="0.2">
      <c r="B6749" s="33" t="s">
        <v>7766</v>
      </c>
      <c r="C6749" s="33" t="s">
        <v>650</v>
      </c>
      <c r="D6749" s="35">
        <f>SUMIFS(D6750:D9015,K6750:K9015,"0",B6750:B9015,"5 1 2 7 2 12 31111 6 M59 20700 000132 0000R*")-SUMIFS(E6750:E9015,K6750:K9015,"0",B6750:B9015,"5 1 2 7 2 12 31111 6 M59 20700 000132 0000R*")</f>
        <v>0</v>
      </c>
      <c r="E6749"/>
      <c r="F6749" s="35">
        <f>SUMIFS(F6750:F9015,K6750:K9015,"0",B6750:B9015,"5 1 2 7 2 12 31111 6 M59 20700 000132 0000R*")</f>
        <v>1520</v>
      </c>
      <c r="G6749" s="35">
        <f>SUMIFS(G6750:G9015,K6750:K9015,"0",B6750:B9015,"5 1 2 7 2 12 31111 6 M59 20700 000132 0000R*")</f>
        <v>0</v>
      </c>
      <c r="H6749" s="35">
        <f t="shared" si="106"/>
        <v>1520</v>
      </c>
      <c r="I6749" s="35"/>
      <c r="K6749" t="s">
        <v>15</v>
      </c>
    </row>
    <row r="6750" spans="2:11" ht="24.75" x14ac:dyDescent="0.2">
      <c r="B6750" s="33" t="s">
        <v>7767</v>
      </c>
      <c r="C6750" s="33" t="s">
        <v>282</v>
      </c>
      <c r="D6750" s="35">
        <f>SUMIFS(D6751:D9015,K6751:K9015,"0",B6751:B9015,"5 1 2 7 2 12 31111 6 M59 20700 000132 0000R 00001*")-SUMIFS(E6751:E9015,K6751:K9015,"0",B6751:B9015,"5 1 2 7 2 12 31111 6 M59 20700 000132 0000R 00001*")</f>
        <v>0</v>
      </c>
      <c r="E6750"/>
      <c r="F6750" s="35">
        <f>SUMIFS(F6751:F9015,K6751:K9015,"0",B6751:B9015,"5 1 2 7 2 12 31111 6 M59 20700 000132 0000R 00001*")</f>
        <v>1520</v>
      </c>
      <c r="G6750" s="35">
        <f>SUMIFS(G6751:G9015,K6751:K9015,"0",B6751:B9015,"5 1 2 7 2 12 31111 6 M59 20700 000132 0000R 00001*")</f>
        <v>0</v>
      </c>
      <c r="H6750" s="35">
        <f t="shared" si="106"/>
        <v>1520</v>
      </c>
      <c r="I6750" s="35"/>
      <c r="K6750" t="s">
        <v>15</v>
      </c>
    </row>
    <row r="6751" spans="2:11" ht="24.75" x14ac:dyDescent="0.2">
      <c r="B6751" s="33" t="s">
        <v>7768</v>
      </c>
      <c r="C6751" s="33" t="s">
        <v>7769</v>
      </c>
      <c r="D6751" s="35">
        <f>SUMIFS(D6752:D9015,K6752:K9015,"0",B6752:B9015,"5 1 2 7 2 12 31111 6 M59 20700 000132 0000R 00001 00272*")-SUMIFS(E6752:E9015,K6752:K9015,"0",B6752:B9015,"5 1 2 7 2 12 31111 6 M59 20700 000132 0000R 00001 00272*")</f>
        <v>0</v>
      </c>
      <c r="E6751"/>
      <c r="F6751" s="35">
        <f>SUMIFS(F6752:F9015,K6752:K9015,"0",B6752:B9015,"5 1 2 7 2 12 31111 6 M59 20700 000132 0000R 00001 00272*")</f>
        <v>1520</v>
      </c>
      <c r="G6751" s="35">
        <f>SUMIFS(G6752:G9015,K6752:K9015,"0",B6752:B9015,"5 1 2 7 2 12 31111 6 M59 20700 000132 0000R 00001 00272*")</f>
        <v>0</v>
      </c>
      <c r="H6751" s="35">
        <f t="shared" si="106"/>
        <v>1520</v>
      </c>
      <c r="I6751" s="35"/>
      <c r="K6751" t="s">
        <v>15</v>
      </c>
    </row>
    <row r="6752" spans="2:11" ht="33" x14ac:dyDescent="0.2">
      <c r="B6752" s="33" t="s">
        <v>7770</v>
      </c>
      <c r="C6752" s="33" t="s">
        <v>1051</v>
      </c>
      <c r="D6752" s="35">
        <f>SUMIFS(D6753:D9015,K6753:K9015,"0",B6753:B9015,"5 1 2 7 2 12 31111 6 M59 20700 000132 0000R 00001 00272 015*")-SUMIFS(E6753:E9015,K6753:K9015,"0",B6753:B9015,"5 1 2 7 2 12 31111 6 M59 20700 000132 0000R 00001 00272 015*")</f>
        <v>0</v>
      </c>
      <c r="E6752"/>
      <c r="F6752" s="35">
        <f>SUMIFS(F6753:F9015,K6753:K9015,"0",B6753:B9015,"5 1 2 7 2 12 31111 6 M59 20700 000132 0000R 00001 00272 015*")</f>
        <v>1520</v>
      </c>
      <c r="G6752" s="35">
        <f>SUMIFS(G6753:G9015,K6753:K9015,"0",B6753:B9015,"5 1 2 7 2 12 31111 6 M59 20700 000132 0000R 00001 00272 015*")</f>
        <v>0</v>
      </c>
      <c r="H6752" s="35">
        <f t="shared" si="106"/>
        <v>1520</v>
      </c>
      <c r="I6752" s="35"/>
      <c r="K6752" t="s">
        <v>15</v>
      </c>
    </row>
    <row r="6753" spans="2:11" ht="33" x14ac:dyDescent="0.2">
      <c r="B6753" s="33" t="s">
        <v>7771</v>
      </c>
      <c r="C6753" s="33" t="s">
        <v>5830</v>
      </c>
      <c r="D6753" s="35">
        <f>SUMIFS(D6754:D9015,K6754:K9015,"0",B6754:B9015,"5 1 2 7 2 12 31111 6 M59 20700 000132 0000R 00001 00272 015 2112000*")-SUMIFS(E6754:E9015,K6754:K9015,"0",B6754:B9015,"5 1 2 7 2 12 31111 6 M59 20700 000132 0000R 00001 00272 015 2112000*")</f>
        <v>0</v>
      </c>
      <c r="E6753"/>
      <c r="F6753" s="35">
        <f>SUMIFS(F6754:F9015,K6754:K9015,"0",B6754:B9015,"5 1 2 7 2 12 31111 6 M59 20700 000132 0000R 00001 00272 015 2112000*")</f>
        <v>1520</v>
      </c>
      <c r="G6753" s="35">
        <f>SUMIFS(G6754:G9015,K6754:K9015,"0",B6754:B9015,"5 1 2 7 2 12 31111 6 M59 20700 000132 0000R 00001 00272 015 2112000*")</f>
        <v>0</v>
      </c>
      <c r="H6753" s="35">
        <f t="shared" si="106"/>
        <v>1520</v>
      </c>
      <c r="I6753" s="35"/>
      <c r="K6753" t="s">
        <v>15</v>
      </c>
    </row>
    <row r="6754" spans="2:11" ht="33" x14ac:dyDescent="0.2">
      <c r="B6754" s="33" t="s">
        <v>7772</v>
      </c>
      <c r="C6754" s="33" t="s">
        <v>660</v>
      </c>
      <c r="D6754" s="35">
        <f>SUMIFS(D6755:D9015,K6755:K9015,"0",B6755:B9015,"5 1 2 7 2 12 31111 6 M59 20700 000132 0000R 00001 00272 015 2112000 2024*")-SUMIFS(E6755:E9015,K6755:K9015,"0",B6755:B9015,"5 1 2 7 2 12 31111 6 M59 20700 000132 0000R 00001 00272 015 2112000 2024*")</f>
        <v>0</v>
      </c>
      <c r="E6754"/>
      <c r="F6754" s="35">
        <f>SUMIFS(F6755:F9015,K6755:K9015,"0",B6755:B9015,"5 1 2 7 2 12 31111 6 M59 20700 000132 0000R 00001 00272 015 2112000 2024*")</f>
        <v>1520</v>
      </c>
      <c r="G6754" s="35">
        <f>SUMIFS(G6755:G9015,K6755:K9015,"0",B6755:B9015,"5 1 2 7 2 12 31111 6 M59 20700 000132 0000R 00001 00272 015 2112000 2024*")</f>
        <v>0</v>
      </c>
      <c r="H6754" s="35">
        <f t="shared" si="106"/>
        <v>1520</v>
      </c>
      <c r="I6754" s="35"/>
      <c r="K6754" t="s">
        <v>15</v>
      </c>
    </row>
    <row r="6755" spans="2:11" ht="41.25" x14ac:dyDescent="0.2">
      <c r="B6755" s="33" t="s">
        <v>7773</v>
      </c>
      <c r="C6755" s="33" t="s">
        <v>662</v>
      </c>
      <c r="D6755" s="35">
        <f>SUMIFS(D6756:D9015,K6756:K9015,"0",B6756:B9015,"5 1 2 7 2 12 31111 6 M59 20700 000132 0000R 00001 00272 015 2112000 2024 CP1RM401*")-SUMIFS(E6756:E9015,K6756:K9015,"0",B6756:B9015,"5 1 2 7 2 12 31111 6 M59 20700 000132 0000R 00001 00272 015 2112000 2024 CP1RM401*")</f>
        <v>0</v>
      </c>
      <c r="E6755"/>
      <c r="F6755" s="35">
        <f>SUMIFS(F6756:F9015,K6756:K9015,"0",B6756:B9015,"5 1 2 7 2 12 31111 6 M59 20700 000132 0000R 00001 00272 015 2112000 2024 CP1RM401*")</f>
        <v>1520</v>
      </c>
      <c r="G6755" s="35">
        <f>SUMIFS(G6756:G9015,K6756:K9015,"0",B6756:B9015,"5 1 2 7 2 12 31111 6 M59 20700 000132 0000R 00001 00272 015 2112000 2024 CP1RM401*")</f>
        <v>0</v>
      </c>
      <c r="H6755" s="35">
        <f t="shared" si="106"/>
        <v>1520</v>
      </c>
      <c r="I6755" s="35"/>
      <c r="K6755" t="s">
        <v>15</v>
      </c>
    </row>
    <row r="6756" spans="2:11" ht="41.25" x14ac:dyDescent="0.2">
      <c r="B6756" s="33" t="s">
        <v>7774</v>
      </c>
      <c r="C6756" s="33" t="s">
        <v>282</v>
      </c>
      <c r="D6756" s="35">
        <f>SUMIFS(D6757:D9015,K6757:K9015,"0",B6757:B9015,"5 1 2 7 2 12 31111 6 M59 20700 000132 0000R 00001 00272 015 2112000 2024 CP1RM401 001*")-SUMIFS(E6757:E9015,K6757:K9015,"0",B6757:B9015,"5 1 2 7 2 12 31111 6 M59 20700 000132 0000R 00001 00272 015 2112000 2024 CP1RM401 001*")</f>
        <v>0</v>
      </c>
      <c r="E6756"/>
      <c r="F6756" s="35">
        <f>SUMIFS(F6757:F9015,K6757:K9015,"0",B6757:B9015,"5 1 2 7 2 12 31111 6 M59 20700 000132 0000R 00001 00272 015 2112000 2024 CP1RM401 001*")</f>
        <v>1520</v>
      </c>
      <c r="G6756" s="35">
        <f>SUMIFS(G6757:G9015,K6757:K9015,"0",B6757:B9015,"5 1 2 7 2 12 31111 6 M59 20700 000132 0000R 00001 00272 015 2112000 2024 CP1RM401 001*")</f>
        <v>0</v>
      </c>
      <c r="H6756" s="35">
        <f t="shared" si="106"/>
        <v>1520</v>
      </c>
      <c r="I6756" s="35"/>
      <c r="K6756" t="s">
        <v>15</v>
      </c>
    </row>
    <row r="6757" spans="2:11" ht="33" x14ac:dyDescent="0.2">
      <c r="B6757" s="31" t="s">
        <v>7775</v>
      </c>
      <c r="C6757" s="31" t="s">
        <v>7769</v>
      </c>
      <c r="D6757" s="34">
        <v>0</v>
      </c>
      <c r="E6757" s="34"/>
      <c r="F6757" s="34">
        <v>1520</v>
      </c>
      <c r="G6757" s="34">
        <v>0</v>
      </c>
      <c r="H6757" s="34">
        <f t="shared" si="106"/>
        <v>1520</v>
      </c>
      <c r="I6757" s="34"/>
      <c r="K6757" t="s">
        <v>38</v>
      </c>
    </row>
    <row r="6758" spans="2:11" ht="16.5" x14ac:dyDescent="0.2">
      <c r="B6758" s="33" t="s">
        <v>7776</v>
      </c>
      <c r="C6758" s="33" t="s">
        <v>1092</v>
      </c>
      <c r="D6758" s="35">
        <f>SUMIFS(D6759:D9015,K6759:K9015,"0",B6759:B9015,"5 1 2 7 2 12 31111 6 M59 40000*")-SUMIFS(E6759:E9015,K6759:K9015,"0",B6759:B9015,"5 1 2 7 2 12 31111 6 M59 40000*")</f>
        <v>0</v>
      </c>
      <c r="E6758"/>
      <c r="F6758" s="35">
        <f>SUMIFS(F6759:F9015,K6759:K9015,"0",B6759:B9015,"5 1 2 7 2 12 31111 6 M59 40000*")</f>
        <v>102225</v>
      </c>
      <c r="G6758" s="35">
        <f>SUMIFS(G6759:G9015,K6759:K9015,"0",B6759:B9015,"5 1 2 7 2 12 31111 6 M59 40000*")</f>
        <v>0</v>
      </c>
      <c r="H6758" s="35">
        <f t="shared" si="106"/>
        <v>102225</v>
      </c>
      <c r="I6758" s="35"/>
      <c r="K6758" t="s">
        <v>15</v>
      </c>
    </row>
    <row r="6759" spans="2:11" ht="16.5" x14ac:dyDescent="0.2">
      <c r="B6759" s="33" t="s">
        <v>7777</v>
      </c>
      <c r="C6759" s="33" t="s">
        <v>1094</v>
      </c>
      <c r="D6759" s="35">
        <f>SUMIFS(D6760:D9015,K6760:K9015,"0",B6760:B9015,"5 1 2 7 2 12 31111 6 M59 40000 000161*")-SUMIFS(E6760:E9015,K6760:K9015,"0",B6760:B9015,"5 1 2 7 2 12 31111 6 M59 40000 000161*")</f>
        <v>0</v>
      </c>
      <c r="E6759"/>
      <c r="F6759" s="35">
        <f>SUMIFS(F6760:F9015,K6760:K9015,"0",B6760:B9015,"5 1 2 7 2 12 31111 6 M59 40000 000161*")</f>
        <v>102225</v>
      </c>
      <c r="G6759" s="35">
        <f>SUMIFS(G6760:G9015,K6760:K9015,"0",B6760:B9015,"5 1 2 7 2 12 31111 6 M59 40000 000161*")</f>
        <v>0</v>
      </c>
      <c r="H6759" s="35">
        <f t="shared" si="106"/>
        <v>102225</v>
      </c>
      <c r="I6759" s="35"/>
      <c r="K6759" t="s">
        <v>15</v>
      </c>
    </row>
    <row r="6760" spans="2:11" ht="24.75" x14ac:dyDescent="0.2">
      <c r="B6760" s="33" t="s">
        <v>7778</v>
      </c>
      <c r="C6760" s="33" t="s">
        <v>1065</v>
      </c>
      <c r="D6760" s="35">
        <f>SUMIFS(D6761:D9015,K6761:K9015,"0",B6761:B9015,"5 1 2 7 2 12 31111 6 M59 40000 000161 0000E*")-SUMIFS(E6761:E9015,K6761:K9015,"0",B6761:B9015,"5 1 2 7 2 12 31111 6 M59 40000 000161 0000E*")</f>
        <v>0</v>
      </c>
      <c r="E6760"/>
      <c r="F6760" s="35">
        <f>SUMIFS(F6761:F9015,K6761:K9015,"0",B6761:B9015,"5 1 2 7 2 12 31111 6 M59 40000 000161 0000E*")</f>
        <v>102225</v>
      </c>
      <c r="G6760" s="35">
        <f>SUMIFS(G6761:G9015,K6761:K9015,"0",B6761:B9015,"5 1 2 7 2 12 31111 6 M59 40000 000161 0000E*")</f>
        <v>0</v>
      </c>
      <c r="H6760" s="35">
        <f t="shared" si="106"/>
        <v>102225</v>
      </c>
      <c r="I6760" s="35"/>
      <c r="K6760" t="s">
        <v>15</v>
      </c>
    </row>
    <row r="6761" spans="2:11" ht="24.75" x14ac:dyDescent="0.2">
      <c r="B6761" s="33" t="s">
        <v>7779</v>
      </c>
      <c r="C6761" s="33" t="s">
        <v>282</v>
      </c>
      <c r="D6761" s="35">
        <f>SUMIFS(D6762:D9015,K6762:K9015,"0",B6762:B9015,"5 1 2 7 2 12 31111 6 M59 40000 000161 0000E 00001*")-SUMIFS(E6762:E9015,K6762:K9015,"0",B6762:B9015,"5 1 2 7 2 12 31111 6 M59 40000 000161 0000E 00001*")</f>
        <v>0</v>
      </c>
      <c r="E6761"/>
      <c r="F6761" s="35">
        <f>SUMIFS(F6762:F9015,K6762:K9015,"0",B6762:B9015,"5 1 2 7 2 12 31111 6 M59 40000 000161 0000E 00001*")</f>
        <v>102225</v>
      </c>
      <c r="G6761" s="35">
        <f>SUMIFS(G6762:G9015,K6762:K9015,"0",B6762:B9015,"5 1 2 7 2 12 31111 6 M59 40000 000161 0000E 00001*")</f>
        <v>0</v>
      </c>
      <c r="H6761" s="35">
        <f t="shared" si="106"/>
        <v>102225</v>
      </c>
      <c r="I6761" s="35"/>
      <c r="K6761" t="s">
        <v>15</v>
      </c>
    </row>
    <row r="6762" spans="2:11" ht="24.75" x14ac:dyDescent="0.2">
      <c r="B6762" s="33" t="s">
        <v>7780</v>
      </c>
      <c r="C6762" s="33" t="s">
        <v>7769</v>
      </c>
      <c r="D6762" s="35">
        <f>SUMIFS(D6763:D9015,K6763:K9015,"0",B6763:B9015,"5 1 2 7 2 12 31111 6 M59 40000 000161 0000E 00001 00272*")-SUMIFS(E6763:E9015,K6763:K9015,"0",B6763:B9015,"5 1 2 7 2 12 31111 6 M59 40000 000161 0000E 00001 00272*")</f>
        <v>0</v>
      </c>
      <c r="E6762"/>
      <c r="F6762" s="35">
        <f>SUMIFS(F6763:F9015,K6763:K9015,"0",B6763:B9015,"5 1 2 7 2 12 31111 6 M59 40000 000161 0000E 00001 00272*")</f>
        <v>102225</v>
      </c>
      <c r="G6762" s="35">
        <f>SUMIFS(G6763:G9015,K6763:K9015,"0",B6763:B9015,"5 1 2 7 2 12 31111 6 M59 40000 000161 0000E 00001 00272*")</f>
        <v>0</v>
      </c>
      <c r="H6762" s="35">
        <f t="shared" si="106"/>
        <v>102225</v>
      </c>
      <c r="I6762" s="35"/>
      <c r="K6762" t="s">
        <v>15</v>
      </c>
    </row>
    <row r="6763" spans="2:11" ht="33" x14ac:dyDescent="0.2">
      <c r="B6763" s="33" t="s">
        <v>7781</v>
      </c>
      <c r="C6763" s="33" t="s">
        <v>656</v>
      </c>
      <c r="D6763" s="35">
        <f>SUMIFS(D6764:D9015,K6764:K9015,"0",B6764:B9015,"5 1 2 7 2 12 31111 6 M59 40000 000161 0000E 00001 00272 025*")-SUMIFS(E6764:E9015,K6764:K9015,"0",B6764:B9015,"5 1 2 7 2 12 31111 6 M59 40000 000161 0000E 00001 00272 025*")</f>
        <v>0</v>
      </c>
      <c r="E6763"/>
      <c r="F6763" s="35">
        <f>SUMIFS(F6764:F9015,K6764:K9015,"0",B6764:B9015,"5 1 2 7 2 12 31111 6 M59 40000 000161 0000E 00001 00272 025*")</f>
        <v>102225</v>
      </c>
      <c r="G6763" s="35">
        <f>SUMIFS(G6764:G9015,K6764:K9015,"0",B6764:B9015,"5 1 2 7 2 12 31111 6 M59 40000 000161 0000E 00001 00272 025*")</f>
        <v>0</v>
      </c>
      <c r="H6763" s="35">
        <f t="shared" si="106"/>
        <v>102225</v>
      </c>
      <c r="I6763" s="35"/>
      <c r="K6763" t="s">
        <v>15</v>
      </c>
    </row>
    <row r="6764" spans="2:11" ht="33" x14ac:dyDescent="0.2">
      <c r="B6764" s="33" t="s">
        <v>7782</v>
      </c>
      <c r="C6764" s="33" t="s">
        <v>5830</v>
      </c>
      <c r="D6764" s="35">
        <f>SUMIFS(D6765:D9015,K6765:K9015,"0",B6765:B9015,"5 1 2 7 2 12 31111 6 M59 40000 000161 0000E 00001 00272 025 2112000*")-SUMIFS(E6765:E9015,K6765:K9015,"0",B6765:B9015,"5 1 2 7 2 12 31111 6 M59 40000 000161 0000E 00001 00272 025 2112000*")</f>
        <v>0</v>
      </c>
      <c r="E6764"/>
      <c r="F6764" s="35">
        <f>SUMIFS(F6765:F9015,K6765:K9015,"0",B6765:B9015,"5 1 2 7 2 12 31111 6 M59 40000 000161 0000E 00001 00272 025 2112000*")</f>
        <v>102225</v>
      </c>
      <c r="G6764" s="35">
        <f>SUMIFS(G6765:G9015,K6765:K9015,"0",B6765:B9015,"5 1 2 7 2 12 31111 6 M59 40000 000161 0000E 00001 00272 025 2112000*")</f>
        <v>0</v>
      </c>
      <c r="H6764" s="35">
        <f t="shared" si="106"/>
        <v>102225</v>
      </c>
      <c r="I6764" s="35"/>
      <c r="K6764" t="s">
        <v>15</v>
      </c>
    </row>
    <row r="6765" spans="2:11" ht="33" x14ac:dyDescent="0.2">
      <c r="B6765" s="33" t="s">
        <v>7783</v>
      </c>
      <c r="C6765" s="33" t="s">
        <v>660</v>
      </c>
      <c r="D6765" s="35">
        <f>SUMIFS(D6766:D9015,K6766:K9015,"0",B6766:B9015,"5 1 2 7 2 12 31111 6 M59 40000 000161 0000E 00001 00272 025 2112000 2024*")-SUMIFS(E6766:E9015,K6766:K9015,"0",B6766:B9015,"5 1 2 7 2 12 31111 6 M59 40000 000161 0000E 00001 00272 025 2112000 2024*")</f>
        <v>0</v>
      </c>
      <c r="E6765"/>
      <c r="F6765" s="35">
        <f>SUMIFS(F6766:F9015,K6766:K9015,"0",B6766:B9015,"5 1 2 7 2 12 31111 6 M59 40000 000161 0000E 00001 00272 025 2112000 2024*")</f>
        <v>102225</v>
      </c>
      <c r="G6765" s="35">
        <f>SUMIFS(G6766:G9015,K6766:K9015,"0",B6766:B9015,"5 1 2 7 2 12 31111 6 M59 40000 000161 0000E 00001 00272 025 2112000 2024*")</f>
        <v>0</v>
      </c>
      <c r="H6765" s="35">
        <f t="shared" si="106"/>
        <v>102225</v>
      </c>
      <c r="I6765" s="35"/>
      <c r="K6765" t="s">
        <v>15</v>
      </c>
    </row>
    <row r="6766" spans="2:11" ht="41.25" x14ac:dyDescent="0.2">
      <c r="B6766" s="33" t="s">
        <v>7784</v>
      </c>
      <c r="C6766" s="33" t="s">
        <v>662</v>
      </c>
      <c r="D6766" s="35">
        <f>SUMIFS(D6767:D9015,K6767:K9015,"0",B6767:B9015,"5 1 2 7 2 12 31111 6 M59 40000 000161 0000E 00001 00272 025 2112000 2024 CP4SP372*")-SUMIFS(E6767:E9015,K6767:K9015,"0",B6767:B9015,"5 1 2 7 2 12 31111 6 M59 40000 000161 0000E 00001 00272 025 2112000 2024 CP4SP372*")</f>
        <v>0</v>
      </c>
      <c r="E6766"/>
      <c r="F6766" s="35">
        <f>SUMIFS(F6767:F9015,K6767:K9015,"0",B6767:B9015,"5 1 2 7 2 12 31111 6 M59 40000 000161 0000E 00001 00272 025 2112000 2024 CP4SP372*")</f>
        <v>102225</v>
      </c>
      <c r="G6766" s="35">
        <f>SUMIFS(G6767:G9015,K6767:K9015,"0",B6767:B9015,"5 1 2 7 2 12 31111 6 M59 40000 000161 0000E 00001 00272 025 2112000 2024 CP4SP372*")</f>
        <v>0</v>
      </c>
      <c r="H6766" s="35">
        <f t="shared" si="106"/>
        <v>102225</v>
      </c>
      <c r="I6766" s="35"/>
      <c r="K6766" t="s">
        <v>15</v>
      </c>
    </row>
    <row r="6767" spans="2:11" ht="41.25" x14ac:dyDescent="0.2">
      <c r="B6767" s="33" t="s">
        <v>7785</v>
      </c>
      <c r="C6767" s="33" t="s">
        <v>7786</v>
      </c>
      <c r="D6767" s="35">
        <f>SUMIFS(D6768:D9015,K6768:K9015,"0",B6768:B9015,"5 1 2 7 2 12 31111 6 M59 40000 000161 0000E 00001 00272 025 2112000 2024 CP4SP372 003*")-SUMIFS(E6768:E9015,K6768:K9015,"0",B6768:B9015,"5 1 2 7 2 12 31111 6 M59 40000 000161 0000E 00001 00272 025 2112000 2024 CP4SP372 003*")</f>
        <v>0</v>
      </c>
      <c r="E6767"/>
      <c r="F6767" s="35">
        <f>SUMIFS(F6768:F9015,K6768:K9015,"0",B6768:B9015,"5 1 2 7 2 12 31111 6 M59 40000 000161 0000E 00001 00272 025 2112000 2024 CP4SP372 003*")</f>
        <v>102225</v>
      </c>
      <c r="G6767" s="35">
        <f>SUMIFS(G6768:G9015,K6768:K9015,"0",B6768:B9015,"5 1 2 7 2 12 31111 6 M59 40000 000161 0000E 00001 00272 025 2112000 2024 CP4SP372 003*")</f>
        <v>0</v>
      </c>
      <c r="H6767" s="35">
        <f t="shared" si="106"/>
        <v>102225</v>
      </c>
      <c r="I6767" s="35"/>
      <c r="K6767" t="s">
        <v>15</v>
      </c>
    </row>
    <row r="6768" spans="2:11" ht="33" x14ac:dyDescent="0.2">
      <c r="B6768" s="31" t="s">
        <v>7787</v>
      </c>
      <c r="C6768" s="31" t="s">
        <v>7788</v>
      </c>
      <c r="D6768" s="34">
        <v>0</v>
      </c>
      <c r="E6768" s="34"/>
      <c r="F6768" s="34">
        <v>102225</v>
      </c>
      <c r="G6768" s="34">
        <v>0</v>
      </c>
      <c r="H6768" s="34">
        <f t="shared" si="106"/>
        <v>102225</v>
      </c>
      <c r="I6768" s="34"/>
      <c r="K6768" t="s">
        <v>38</v>
      </c>
    </row>
    <row r="6769" spans="2:11" ht="16.5" x14ac:dyDescent="0.2">
      <c r="B6769" s="33" t="s">
        <v>7789</v>
      </c>
      <c r="C6769" s="33" t="s">
        <v>3281</v>
      </c>
      <c r="D6769" s="35">
        <f>SUMIFS(D6770:D9015,K6770:K9015,"0",B6770:B9015,"5 1 2 7 2 12 31111 6 M59 50000*")-SUMIFS(E6770:E9015,K6770:K9015,"0",B6770:B9015,"5 1 2 7 2 12 31111 6 M59 50000*")</f>
        <v>0</v>
      </c>
      <c r="E6769"/>
      <c r="F6769" s="35">
        <f>SUMIFS(F6770:F9015,K6770:K9015,"0",B6770:B9015,"5 1 2 7 2 12 31111 6 M59 50000*")</f>
        <v>1168.45</v>
      </c>
      <c r="G6769" s="35">
        <f>SUMIFS(G6770:G9015,K6770:K9015,"0",B6770:B9015,"5 1 2 7 2 12 31111 6 M59 50000*")</f>
        <v>0</v>
      </c>
      <c r="H6769" s="35">
        <f t="shared" si="106"/>
        <v>1168.45</v>
      </c>
      <c r="I6769" s="35"/>
      <c r="K6769" t="s">
        <v>15</v>
      </c>
    </row>
    <row r="6770" spans="2:11" ht="16.5" x14ac:dyDescent="0.2">
      <c r="B6770" s="33" t="s">
        <v>7790</v>
      </c>
      <c r="C6770" s="33" t="s">
        <v>3283</v>
      </c>
      <c r="D6770" s="35">
        <f>SUMIFS(D6771:D9015,K6771:K9015,"0",B6771:B9015,"5 1 2 7 2 12 31111 6 M59 50000 000223*")-SUMIFS(E6771:E9015,K6771:K9015,"0",B6771:B9015,"5 1 2 7 2 12 31111 6 M59 50000 000223*")</f>
        <v>0</v>
      </c>
      <c r="E6770"/>
      <c r="F6770" s="35">
        <f>SUMIFS(F6771:F9015,K6771:K9015,"0",B6771:B9015,"5 1 2 7 2 12 31111 6 M59 50000 000223*")</f>
        <v>1168.45</v>
      </c>
      <c r="G6770" s="35">
        <f>SUMIFS(G6771:G9015,K6771:K9015,"0",B6771:B9015,"5 1 2 7 2 12 31111 6 M59 50000 000223*")</f>
        <v>0</v>
      </c>
      <c r="H6770" s="35">
        <f t="shared" si="106"/>
        <v>1168.45</v>
      </c>
      <c r="I6770" s="35"/>
      <c r="K6770" t="s">
        <v>15</v>
      </c>
    </row>
    <row r="6771" spans="2:11" ht="24.75" x14ac:dyDescent="0.2">
      <c r="B6771" s="33" t="s">
        <v>7791</v>
      </c>
      <c r="C6771" s="33" t="s">
        <v>1065</v>
      </c>
      <c r="D6771" s="35">
        <f>SUMIFS(D6772:D9015,K6772:K9015,"0",B6772:B9015,"5 1 2 7 2 12 31111 6 M59 50000 000223 0000E*")-SUMIFS(E6772:E9015,K6772:K9015,"0",B6772:B9015,"5 1 2 7 2 12 31111 6 M59 50000 000223 0000E*")</f>
        <v>0</v>
      </c>
      <c r="E6771"/>
      <c r="F6771" s="35">
        <f>SUMIFS(F6772:F9015,K6772:K9015,"0",B6772:B9015,"5 1 2 7 2 12 31111 6 M59 50000 000223 0000E*")</f>
        <v>1168.45</v>
      </c>
      <c r="G6771" s="35">
        <f>SUMIFS(G6772:G9015,K6772:K9015,"0",B6772:B9015,"5 1 2 7 2 12 31111 6 M59 50000 000223 0000E*")</f>
        <v>0</v>
      </c>
      <c r="H6771" s="35">
        <f t="shared" si="106"/>
        <v>1168.45</v>
      </c>
      <c r="I6771" s="35"/>
      <c r="K6771" t="s">
        <v>15</v>
      </c>
    </row>
    <row r="6772" spans="2:11" ht="24.75" x14ac:dyDescent="0.2">
      <c r="B6772" s="33" t="s">
        <v>7792</v>
      </c>
      <c r="C6772" s="33" t="s">
        <v>282</v>
      </c>
      <c r="D6772" s="35">
        <f>SUMIFS(D6773:D9015,K6773:K9015,"0",B6773:B9015,"5 1 2 7 2 12 31111 6 M59 50000 000223 0000E 00001*")-SUMIFS(E6773:E9015,K6773:K9015,"0",B6773:B9015,"5 1 2 7 2 12 31111 6 M59 50000 000223 0000E 00001*")</f>
        <v>0</v>
      </c>
      <c r="E6772"/>
      <c r="F6772" s="35">
        <f>SUMIFS(F6773:F9015,K6773:K9015,"0",B6773:B9015,"5 1 2 7 2 12 31111 6 M59 50000 000223 0000E 00001*")</f>
        <v>1168.45</v>
      </c>
      <c r="G6772" s="35">
        <f>SUMIFS(G6773:G9015,K6773:K9015,"0",B6773:B9015,"5 1 2 7 2 12 31111 6 M59 50000 000223 0000E 00001*")</f>
        <v>0</v>
      </c>
      <c r="H6772" s="35">
        <f t="shared" si="106"/>
        <v>1168.45</v>
      </c>
      <c r="I6772" s="35"/>
      <c r="K6772" t="s">
        <v>15</v>
      </c>
    </row>
    <row r="6773" spans="2:11" ht="24.75" x14ac:dyDescent="0.2">
      <c r="B6773" s="33" t="s">
        <v>7793</v>
      </c>
      <c r="C6773" s="33" t="s">
        <v>7769</v>
      </c>
      <c r="D6773" s="35">
        <f>SUMIFS(D6774:D9015,K6774:K9015,"0",B6774:B9015,"5 1 2 7 2 12 31111 6 M59 50000 000223 0000E 00001 00272*")-SUMIFS(E6774:E9015,K6774:K9015,"0",B6774:B9015,"5 1 2 7 2 12 31111 6 M59 50000 000223 0000E 00001 00272*")</f>
        <v>0</v>
      </c>
      <c r="E6773"/>
      <c r="F6773" s="35">
        <f>SUMIFS(F6774:F9015,K6774:K9015,"0",B6774:B9015,"5 1 2 7 2 12 31111 6 M59 50000 000223 0000E 00001 00272*")</f>
        <v>1168.45</v>
      </c>
      <c r="G6773" s="35">
        <f>SUMIFS(G6774:G9015,K6774:K9015,"0",B6774:B9015,"5 1 2 7 2 12 31111 6 M59 50000 000223 0000E 00001 00272*")</f>
        <v>0</v>
      </c>
      <c r="H6773" s="35">
        <f t="shared" si="106"/>
        <v>1168.45</v>
      </c>
      <c r="I6773" s="35"/>
      <c r="K6773" t="s">
        <v>15</v>
      </c>
    </row>
    <row r="6774" spans="2:11" ht="33" x14ac:dyDescent="0.2">
      <c r="B6774" s="33" t="s">
        <v>7794</v>
      </c>
      <c r="C6774" s="33" t="s">
        <v>1051</v>
      </c>
      <c r="D6774" s="35">
        <f>SUMIFS(D6775:D9015,K6775:K9015,"0",B6775:B9015,"5 1 2 7 2 12 31111 6 M59 50000 000223 0000E 00001 00272 015*")-SUMIFS(E6775:E9015,K6775:K9015,"0",B6775:B9015,"5 1 2 7 2 12 31111 6 M59 50000 000223 0000E 00001 00272 015*")</f>
        <v>0</v>
      </c>
      <c r="E6774"/>
      <c r="F6774" s="35">
        <f>SUMIFS(F6775:F9015,K6775:K9015,"0",B6775:B9015,"5 1 2 7 2 12 31111 6 M59 50000 000223 0000E 00001 00272 015*")</f>
        <v>1168.45</v>
      </c>
      <c r="G6774" s="35">
        <f>SUMIFS(G6775:G9015,K6775:K9015,"0",B6775:B9015,"5 1 2 7 2 12 31111 6 M59 50000 000223 0000E 00001 00272 015*")</f>
        <v>0</v>
      </c>
      <c r="H6774" s="35">
        <f t="shared" si="106"/>
        <v>1168.45</v>
      </c>
      <c r="I6774" s="35"/>
      <c r="K6774" t="s">
        <v>15</v>
      </c>
    </row>
    <row r="6775" spans="2:11" ht="33" x14ac:dyDescent="0.2">
      <c r="B6775" s="33" t="s">
        <v>7795</v>
      </c>
      <c r="C6775" s="33" t="s">
        <v>5830</v>
      </c>
      <c r="D6775" s="35">
        <f>SUMIFS(D6776:D9015,K6776:K9015,"0",B6776:B9015,"5 1 2 7 2 12 31111 6 M59 50000 000223 0000E 00001 00272 015 2112000*")-SUMIFS(E6776:E9015,K6776:K9015,"0",B6776:B9015,"5 1 2 7 2 12 31111 6 M59 50000 000223 0000E 00001 00272 015 2112000*")</f>
        <v>0</v>
      </c>
      <c r="E6775"/>
      <c r="F6775" s="35">
        <f>SUMIFS(F6776:F9015,K6776:K9015,"0",B6776:B9015,"5 1 2 7 2 12 31111 6 M59 50000 000223 0000E 00001 00272 015 2112000*")</f>
        <v>1168.45</v>
      </c>
      <c r="G6775" s="35">
        <f>SUMIFS(G6776:G9015,K6776:K9015,"0",B6776:B9015,"5 1 2 7 2 12 31111 6 M59 50000 000223 0000E 00001 00272 015 2112000*")</f>
        <v>0</v>
      </c>
      <c r="H6775" s="35">
        <f t="shared" si="106"/>
        <v>1168.45</v>
      </c>
      <c r="I6775" s="35"/>
      <c r="K6775" t="s">
        <v>15</v>
      </c>
    </row>
    <row r="6776" spans="2:11" ht="33" x14ac:dyDescent="0.2">
      <c r="B6776" s="33" t="s">
        <v>7796</v>
      </c>
      <c r="C6776" s="33" t="s">
        <v>660</v>
      </c>
      <c r="D6776" s="35">
        <f>SUMIFS(D6777:D9015,K6777:K9015,"0",B6777:B9015,"5 1 2 7 2 12 31111 6 M59 50000 000223 0000E 00001 00272 015 2112000 2024*")-SUMIFS(E6777:E9015,K6777:K9015,"0",B6777:B9015,"5 1 2 7 2 12 31111 6 M59 50000 000223 0000E 00001 00272 015 2112000 2024*")</f>
        <v>0</v>
      </c>
      <c r="E6776"/>
      <c r="F6776" s="35">
        <f>SUMIFS(F6777:F9015,K6777:K9015,"0",B6777:B9015,"5 1 2 7 2 12 31111 6 M59 50000 000223 0000E 00001 00272 015 2112000 2024*")</f>
        <v>1168.45</v>
      </c>
      <c r="G6776" s="35">
        <f>SUMIFS(G6777:G9015,K6777:K9015,"0",B6777:B9015,"5 1 2 7 2 12 31111 6 M59 50000 000223 0000E 00001 00272 015 2112000 2024*")</f>
        <v>0</v>
      </c>
      <c r="H6776" s="35">
        <f t="shared" si="106"/>
        <v>1168.45</v>
      </c>
      <c r="I6776" s="35"/>
      <c r="K6776" t="s">
        <v>15</v>
      </c>
    </row>
    <row r="6777" spans="2:11" ht="41.25" x14ac:dyDescent="0.2">
      <c r="B6777" s="33" t="s">
        <v>7797</v>
      </c>
      <c r="C6777" s="33" t="s">
        <v>662</v>
      </c>
      <c r="D6777" s="35">
        <f>SUMIFS(D6778:D9015,K6778:K9015,"0",B6778:B9015,"5 1 2 7 2 12 31111 6 M59 50000 000223 0000E 00001 00272 015 2112000 2024 CP1DA424*")-SUMIFS(E6778:E9015,K6778:K9015,"0",B6778:B9015,"5 1 2 7 2 12 31111 6 M59 50000 000223 0000E 00001 00272 015 2112000 2024 CP1DA424*")</f>
        <v>0</v>
      </c>
      <c r="E6777"/>
      <c r="F6777" s="35">
        <f>SUMIFS(F6778:F9015,K6778:K9015,"0",B6778:B9015,"5 1 2 7 2 12 31111 6 M59 50000 000223 0000E 00001 00272 015 2112000 2024 CP1DA424*")</f>
        <v>1168.45</v>
      </c>
      <c r="G6777" s="35">
        <f>SUMIFS(G6778:G9015,K6778:K9015,"0",B6778:B9015,"5 1 2 7 2 12 31111 6 M59 50000 000223 0000E 00001 00272 015 2112000 2024 CP1DA424*")</f>
        <v>0</v>
      </c>
      <c r="H6777" s="35">
        <f t="shared" si="106"/>
        <v>1168.45</v>
      </c>
      <c r="I6777" s="35"/>
      <c r="K6777" t="s">
        <v>15</v>
      </c>
    </row>
    <row r="6778" spans="2:11" ht="41.25" x14ac:dyDescent="0.2">
      <c r="B6778" s="33" t="s">
        <v>7798</v>
      </c>
      <c r="C6778" s="33" t="s">
        <v>282</v>
      </c>
      <c r="D6778" s="35">
        <f>SUMIFS(D6779:D9015,K6779:K9015,"0",B6779:B9015,"5 1 2 7 2 12 31111 6 M59 50000 000223 0000E 00001 00272 015 2112000 2024 CP1DA424 001*")-SUMIFS(E6779:E9015,K6779:K9015,"0",B6779:B9015,"5 1 2 7 2 12 31111 6 M59 50000 000223 0000E 00001 00272 015 2112000 2024 CP1DA424 001*")</f>
        <v>0</v>
      </c>
      <c r="E6778"/>
      <c r="F6778" s="35">
        <f>SUMIFS(F6779:F9015,K6779:K9015,"0",B6779:B9015,"5 1 2 7 2 12 31111 6 M59 50000 000223 0000E 00001 00272 015 2112000 2024 CP1DA424 001*")</f>
        <v>1168.45</v>
      </c>
      <c r="G6778" s="35">
        <f>SUMIFS(G6779:G9015,K6779:K9015,"0",B6779:B9015,"5 1 2 7 2 12 31111 6 M59 50000 000223 0000E 00001 00272 015 2112000 2024 CP1DA424 001*")</f>
        <v>0</v>
      </c>
      <c r="H6778" s="35">
        <f t="shared" si="106"/>
        <v>1168.45</v>
      </c>
      <c r="I6778" s="35"/>
      <c r="K6778" t="s">
        <v>15</v>
      </c>
    </row>
    <row r="6779" spans="2:11" ht="41.25" x14ac:dyDescent="0.2">
      <c r="B6779" s="31" t="s">
        <v>7799</v>
      </c>
      <c r="C6779" s="31" t="s">
        <v>7769</v>
      </c>
      <c r="D6779" s="34">
        <v>0</v>
      </c>
      <c r="E6779" s="34"/>
      <c r="F6779" s="34">
        <v>1168.45</v>
      </c>
      <c r="G6779" s="34">
        <v>0</v>
      </c>
      <c r="H6779" s="34">
        <f t="shared" si="106"/>
        <v>1168.45</v>
      </c>
      <c r="I6779" s="34"/>
      <c r="K6779" t="s">
        <v>38</v>
      </c>
    </row>
    <row r="6780" spans="2:11" ht="16.5" x14ac:dyDescent="0.2">
      <c r="B6780" s="33" t="s">
        <v>7800</v>
      </c>
      <c r="C6780" s="33" t="s">
        <v>1308</v>
      </c>
      <c r="D6780" s="35">
        <f>SUMIFS(D6781:D9015,K6781:K9015,"0",B6781:B9015,"5 1 2 7 2 12 31111 6 M59 96300*")-SUMIFS(E6781:E9015,K6781:K9015,"0",B6781:B9015,"5 1 2 7 2 12 31111 6 M59 96300*")</f>
        <v>0</v>
      </c>
      <c r="E6780"/>
      <c r="F6780" s="35">
        <f>SUMIFS(F6781:F9015,K6781:K9015,"0",B6781:B9015,"5 1 2 7 2 12 31111 6 M59 96300*")</f>
        <v>4551.84</v>
      </c>
      <c r="G6780" s="35">
        <f>SUMIFS(G6781:G9015,K6781:K9015,"0",B6781:B9015,"5 1 2 7 2 12 31111 6 M59 96300*")</f>
        <v>0</v>
      </c>
      <c r="H6780" s="35">
        <f t="shared" si="106"/>
        <v>4551.84</v>
      </c>
      <c r="I6780" s="35"/>
      <c r="K6780" t="s">
        <v>15</v>
      </c>
    </row>
    <row r="6781" spans="2:11" ht="16.5" x14ac:dyDescent="0.2">
      <c r="B6781" s="33" t="s">
        <v>7801</v>
      </c>
      <c r="C6781" s="33" t="s">
        <v>1310</v>
      </c>
      <c r="D6781" s="35">
        <f>SUMIFS(D6782:D9015,K6782:K9015,"0",B6782:B9015,"5 1 2 7 2 12 31111 6 M59 96300 000211*")-SUMIFS(E6782:E9015,K6782:K9015,"0",B6782:B9015,"5 1 2 7 2 12 31111 6 M59 96300 000211*")</f>
        <v>0</v>
      </c>
      <c r="E6781"/>
      <c r="F6781" s="35">
        <f>SUMIFS(F6782:F9015,K6782:K9015,"0",B6782:B9015,"5 1 2 7 2 12 31111 6 M59 96300 000211*")</f>
        <v>4551.84</v>
      </c>
      <c r="G6781" s="35">
        <f>SUMIFS(G6782:G9015,K6782:K9015,"0",B6782:B9015,"5 1 2 7 2 12 31111 6 M59 96300 000211*")</f>
        <v>0</v>
      </c>
      <c r="H6781" s="35">
        <f t="shared" si="106"/>
        <v>4551.84</v>
      </c>
      <c r="I6781" s="35"/>
      <c r="K6781" t="s">
        <v>15</v>
      </c>
    </row>
    <row r="6782" spans="2:11" ht="24.75" x14ac:dyDescent="0.2">
      <c r="B6782" s="33" t="s">
        <v>7802</v>
      </c>
      <c r="C6782" s="33" t="s">
        <v>1065</v>
      </c>
      <c r="D6782" s="35">
        <f>SUMIFS(D6783:D9015,K6783:K9015,"0",B6783:B9015,"5 1 2 7 2 12 31111 6 M59 96300 000211 0000E*")-SUMIFS(E6783:E9015,K6783:K9015,"0",B6783:B9015,"5 1 2 7 2 12 31111 6 M59 96300 000211 0000E*")</f>
        <v>0</v>
      </c>
      <c r="E6782"/>
      <c r="F6782" s="35">
        <f>SUMIFS(F6783:F9015,K6783:K9015,"0",B6783:B9015,"5 1 2 7 2 12 31111 6 M59 96300 000211 0000E*")</f>
        <v>4551.84</v>
      </c>
      <c r="G6782" s="35">
        <f>SUMIFS(G6783:G9015,K6783:K9015,"0",B6783:B9015,"5 1 2 7 2 12 31111 6 M59 96300 000211 0000E*")</f>
        <v>0</v>
      </c>
      <c r="H6782" s="35">
        <f t="shared" si="106"/>
        <v>4551.84</v>
      </c>
      <c r="I6782" s="35"/>
      <c r="K6782" t="s">
        <v>15</v>
      </c>
    </row>
    <row r="6783" spans="2:11" ht="24.75" x14ac:dyDescent="0.2">
      <c r="B6783" s="33" t="s">
        <v>7803</v>
      </c>
      <c r="C6783" s="33" t="s">
        <v>282</v>
      </c>
      <c r="D6783" s="35">
        <f>SUMIFS(D6784:D9015,K6784:K9015,"0",B6784:B9015,"5 1 2 7 2 12 31111 6 M59 96300 000211 0000E 00001*")-SUMIFS(E6784:E9015,K6784:K9015,"0",B6784:B9015,"5 1 2 7 2 12 31111 6 M59 96300 000211 0000E 00001*")</f>
        <v>0</v>
      </c>
      <c r="E6783"/>
      <c r="F6783" s="35">
        <f>SUMIFS(F6784:F9015,K6784:K9015,"0",B6784:B9015,"5 1 2 7 2 12 31111 6 M59 96300 000211 0000E 00001*")</f>
        <v>4551.84</v>
      </c>
      <c r="G6783" s="35">
        <f>SUMIFS(G6784:G9015,K6784:K9015,"0",B6784:B9015,"5 1 2 7 2 12 31111 6 M59 96300 000211 0000E 00001*")</f>
        <v>0</v>
      </c>
      <c r="H6783" s="35">
        <f t="shared" si="106"/>
        <v>4551.84</v>
      </c>
      <c r="I6783" s="35"/>
      <c r="K6783" t="s">
        <v>15</v>
      </c>
    </row>
    <row r="6784" spans="2:11" ht="24.75" x14ac:dyDescent="0.2">
      <c r="B6784" s="33" t="s">
        <v>7804</v>
      </c>
      <c r="C6784" s="33" t="s">
        <v>7769</v>
      </c>
      <c r="D6784" s="35">
        <f>SUMIFS(D6785:D9015,K6785:K9015,"0",B6785:B9015,"5 1 2 7 2 12 31111 6 M59 96300 000211 0000E 00001 00272*")-SUMIFS(E6785:E9015,K6785:K9015,"0",B6785:B9015,"5 1 2 7 2 12 31111 6 M59 96300 000211 0000E 00001 00272*")</f>
        <v>0</v>
      </c>
      <c r="E6784"/>
      <c r="F6784" s="35">
        <f>SUMIFS(F6785:F9015,K6785:K9015,"0",B6785:B9015,"5 1 2 7 2 12 31111 6 M59 96300 000211 0000E 00001 00272*")</f>
        <v>4551.84</v>
      </c>
      <c r="G6784" s="35">
        <f>SUMIFS(G6785:G9015,K6785:K9015,"0",B6785:B9015,"5 1 2 7 2 12 31111 6 M59 96300 000211 0000E 00001 00272*")</f>
        <v>0</v>
      </c>
      <c r="H6784" s="35">
        <f t="shared" si="106"/>
        <v>4551.84</v>
      </c>
      <c r="I6784" s="35"/>
      <c r="K6784" t="s">
        <v>15</v>
      </c>
    </row>
    <row r="6785" spans="2:11" ht="33" x14ac:dyDescent="0.2">
      <c r="B6785" s="33" t="s">
        <v>7805</v>
      </c>
      <c r="C6785" s="33" t="s">
        <v>1051</v>
      </c>
      <c r="D6785" s="35">
        <f>SUMIFS(D6786:D9015,K6786:K9015,"0",B6786:B9015,"5 1 2 7 2 12 31111 6 M59 96300 000211 0000E 00001 00272 015*")-SUMIFS(E6786:E9015,K6786:K9015,"0",B6786:B9015,"5 1 2 7 2 12 31111 6 M59 96300 000211 0000E 00001 00272 015*")</f>
        <v>0</v>
      </c>
      <c r="E6785"/>
      <c r="F6785" s="35">
        <f>SUMIFS(F6786:F9015,K6786:K9015,"0",B6786:B9015,"5 1 2 7 2 12 31111 6 M59 96300 000211 0000E 00001 00272 015*")</f>
        <v>4551.84</v>
      </c>
      <c r="G6785" s="35">
        <f>SUMIFS(G6786:G9015,K6786:K9015,"0",B6786:B9015,"5 1 2 7 2 12 31111 6 M59 96300 000211 0000E 00001 00272 015*")</f>
        <v>0</v>
      </c>
      <c r="H6785" s="35">
        <f t="shared" si="106"/>
        <v>4551.84</v>
      </c>
      <c r="I6785" s="35"/>
      <c r="K6785" t="s">
        <v>15</v>
      </c>
    </row>
    <row r="6786" spans="2:11" ht="33" x14ac:dyDescent="0.2">
      <c r="B6786" s="33" t="s">
        <v>7806</v>
      </c>
      <c r="C6786" s="33" t="s">
        <v>5830</v>
      </c>
      <c r="D6786" s="35">
        <f>SUMIFS(D6787:D9015,K6787:K9015,"0",B6787:B9015,"5 1 2 7 2 12 31111 6 M59 96300 000211 0000E 00001 00272 015 2112000*")-SUMIFS(E6787:E9015,K6787:K9015,"0",B6787:B9015,"5 1 2 7 2 12 31111 6 M59 96300 000211 0000E 00001 00272 015 2112000*")</f>
        <v>0</v>
      </c>
      <c r="E6786"/>
      <c r="F6786" s="35">
        <f>SUMIFS(F6787:F9015,K6787:K9015,"0",B6787:B9015,"5 1 2 7 2 12 31111 6 M59 96300 000211 0000E 00001 00272 015 2112000*")</f>
        <v>4551.84</v>
      </c>
      <c r="G6786" s="35">
        <f>SUMIFS(G6787:G9015,K6787:K9015,"0",B6787:B9015,"5 1 2 7 2 12 31111 6 M59 96300 000211 0000E 00001 00272 015 2112000*")</f>
        <v>0</v>
      </c>
      <c r="H6786" s="35">
        <f t="shared" si="106"/>
        <v>4551.84</v>
      </c>
      <c r="I6786" s="35"/>
      <c r="K6786" t="s">
        <v>15</v>
      </c>
    </row>
    <row r="6787" spans="2:11" ht="33" x14ac:dyDescent="0.2">
      <c r="B6787" s="33" t="s">
        <v>7807</v>
      </c>
      <c r="C6787" s="33" t="s">
        <v>660</v>
      </c>
      <c r="D6787" s="35">
        <f>SUMIFS(D6788:D9015,K6788:K9015,"0",B6788:B9015,"5 1 2 7 2 12 31111 6 M59 96300 000211 0000E 00001 00272 015 2112000 2024*")-SUMIFS(E6788:E9015,K6788:K9015,"0",B6788:B9015,"5 1 2 7 2 12 31111 6 M59 96300 000211 0000E 00001 00272 015 2112000 2024*")</f>
        <v>0</v>
      </c>
      <c r="E6787"/>
      <c r="F6787" s="35">
        <f>SUMIFS(F6788:F9015,K6788:K9015,"0",B6788:B9015,"5 1 2 7 2 12 31111 6 M59 96300 000211 0000E 00001 00272 015 2112000 2024*")</f>
        <v>4551.84</v>
      </c>
      <c r="G6787" s="35">
        <f>SUMIFS(G6788:G9015,K6788:K9015,"0",B6788:B9015,"5 1 2 7 2 12 31111 6 M59 96300 000211 0000E 00001 00272 015 2112000 2024*")</f>
        <v>0</v>
      </c>
      <c r="H6787" s="35">
        <f t="shared" si="106"/>
        <v>4551.84</v>
      </c>
      <c r="I6787" s="35"/>
      <c r="K6787" t="s">
        <v>15</v>
      </c>
    </row>
    <row r="6788" spans="2:11" ht="41.25" x14ac:dyDescent="0.2">
      <c r="B6788" s="33" t="s">
        <v>7808</v>
      </c>
      <c r="C6788" s="33" t="s">
        <v>1056</v>
      </c>
      <c r="D6788" s="35">
        <f>SUMIFS(D6789:D9015,K6789:K9015,"0",B6789:B9015,"5 1 2 7 2 12 31111 6 M59 96300 000211 0000E 00001 00272 015 2112000 2024 CP1SB396*")-SUMIFS(E6789:E9015,K6789:K9015,"0",B6789:B9015,"5 1 2 7 2 12 31111 6 M59 96300 000211 0000E 00001 00272 015 2112000 2024 CP1SB396*")</f>
        <v>0</v>
      </c>
      <c r="E6788"/>
      <c r="F6788" s="35">
        <f>SUMIFS(F6789:F9015,K6789:K9015,"0",B6789:B9015,"5 1 2 7 2 12 31111 6 M59 96300 000211 0000E 00001 00272 015 2112000 2024 CP1SB396*")</f>
        <v>4551.84</v>
      </c>
      <c r="G6788" s="35">
        <f>SUMIFS(G6789:G9015,K6789:K9015,"0",B6789:B9015,"5 1 2 7 2 12 31111 6 M59 96300 000211 0000E 00001 00272 015 2112000 2024 CP1SB396*")</f>
        <v>0</v>
      </c>
      <c r="H6788" s="35">
        <f t="shared" ref="H6788:H6851" si="107">D6788 + F6788 - G6788</f>
        <v>4551.84</v>
      </c>
      <c r="I6788" s="35"/>
      <c r="K6788" t="s">
        <v>15</v>
      </c>
    </row>
    <row r="6789" spans="2:11" ht="41.25" x14ac:dyDescent="0.2">
      <c r="B6789" s="33" t="s">
        <v>7809</v>
      </c>
      <c r="C6789" s="33" t="s">
        <v>282</v>
      </c>
      <c r="D6789" s="35">
        <f>SUMIFS(D6790:D9015,K6790:K9015,"0",B6790:B9015,"5 1 2 7 2 12 31111 6 M59 96300 000211 0000E 00001 00272 015 2112000 2024 CP1SB396 001*")-SUMIFS(E6790:E9015,K6790:K9015,"0",B6790:B9015,"5 1 2 7 2 12 31111 6 M59 96300 000211 0000E 00001 00272 015 2112000 2024 CP1SB396 001*")</f>
        <v>0</v>
      </c>
      <c r="E6789"/>
      <c r="F6789" s="35">
        <f>SUMIFS(F6790:F9015,K6790:K9015,"0",B6790:B9015,"5 1 2 7 2 12 31111 6 M59 96300 000211 0000E 00001 00272 015 2112000 2024 CP1SB396 001*")</f>
        <v>4551.84</v>
      </c>
      <c r="G6789" s="35">
        <f>SUMIFS(G6790:G9015,K6790:K9015,"0",B6790:B9015,"5 1 2 7 2 12 31111 6 M59 96300 000211 0000E 00001 00272 015 2112000 2024 CP1SB396 001*")</f>
        <v>0</v>
      </c>
      <c r="H6789" s="35">
        <f t="shared" si="107"/>
        <v>4551.84</v>
      </c>
      <c r="I6789" s="35"/>
      <c r="K6789" t="s">
        <v>15</v>
      </c>
    </row>
    <row r="6790" spans="2:11" ht="33" x14ac:dyDescent="0.2">
      <c r="B6790" s="31" t="s">
        <v>7810</v>
      </c>
      <c r="C6790" s="31" t="s">
        <v>7769</v>
      </c>
      <c r="D6790" s="34">
        <v>0</v>
      </c>
      <c r="E6790" s="34"/>
      <c r="F6790" s="34">
        <v>4551.84</v>
      </c>
      <c r="G6790" s="34">
        <v>0</v>
      </c>
      <c r="H6790" s="34">
        <f t="shared" si="107"/>
        <v>4551.84</v>
      </c>
      <c r="I6790" s="34"/>
      <c r="K6790" t="s">
        <v>38</v>
      </c>
    </row>
    <row r="6791" spans="2:11" ht="12.75" x14ac:dyDescent="0.2">
      <c r="B6791" s="33" t="s">
        <v>7811</v>
      </c>
      <c r="C6791" s="33" t="s">
        <v>7812</v>
      </c>
      <c r="D6791" s="35">
        <f>SUMIFS(D6792:D9015,K6792:K9015,"0",B6792:B9015,"5 1 2 7 4*")-SUMIFS(E6792:E9015,K6792:K9015,"0",B6792:B9015,"5 1 2 7 4*")</f>
        <v>0</v>
      </c>
      <c r="E6791"/>
      <c r="F6791" s="35">
        <f>SUMIFS(F6792:F9015,K6792:K9015,"0",B6792:B9015,"5 1 2 7 4*")</f>
        <v>1248.97</v>
      </c>
      <c r="G6791" s="35">
        <f>SUMIFS(G6792:G9015,K6792:K9015,"0",B6792:B9015,"5 1 2 7 4*")</f>
        <v>0</v>
      </c>
      <c r="H6791" s="35">
        <f t="shared" si="107"/>
        <v>1248.97</v>
      </c>
      <c r="I6791" s="35"/>
      <c r="K6791" t="s">
        <v>15</v>
      </c>
    </row>
    <row r="6792" spans="2:11" ht="12.75" x14ac:dyDescent="0.2">
      <c r="B6792" s="33" t="s">
        <v>7813</v>
      </c>
      <c r="C6792" s="33" t="s">
        <v>26</v>
      </c>
      <c r="D6792" s="35">
        <f>SUMIFS(D6793:D9015,K6793:K9015,"0",B6793:B9015,"5 1 2 7 4 12*")-SUMIFS(E6793:E9015,K6793:K9015,"0",B6793:B9015,"5 1 2 7 4 12*")</f>
        <v>0</v>
      </c>
      <c r="E6792"/>
      <c r="F6792" s="35">
        <f>SUMIFS(F6793:F9015,K6793:K9015,"0",B6793:B9015,"5 1 2 7 4 12*")</f>
        <v>1248.97</v>
      </c>
      <c r="G6792" s="35">
        <f>SUMIFS(G6793:G9015,K6793:K9015,"0",B6793:B9015,"5 1 2 7 4 12*")</f>
        <v>0</v>
      </c>
      <c r="H6792" s="35">
        <f t="shared" si="107"/>
        <v>1248.97</v>
      </c>
      <c r="I6792" s="35"/>
      <c r="K6792" t="s">
        <v>15</v>
      </c>
    </row>
    <row r="6793" spans="2:11" ht="16.5" x14ac:dyDescent="0.2">
      <c r="B6793" s="33" t="s">
        <v>7814</v>
      </c>
      <c r="C6793" s="33" t="s">
        <v>28</v>
      </c>
      <c r="D6793" s="35">
        <f>SUMIFS(D6794:D9015,K6794:K9015,"0",B6794:B9015,"5 1 2 7 4 12 31111*")-SUMIFS(E6794:E9015,K6794:K9015,"0",B6794:B9015,"5 1 2 7 4 12 31111*")</f>
        <v>0</v>
      </c>
      <c r="E6793"/>
      <c r="F6793" s="35">
        <f>SUMIFS(F6794:F9015,K6794:K9015,"0",B6794:B9015,"5 1 2 7 4 12 31111*")</f>
        <v>1248.97</v>
      </c>
      <c r="G6793" s="35">
        <f>SUMIFS(G6794:G9015,K6794:K9015,"0",B6794:B9015,"5 1 2 7 4 12 31111*")</f>
        <v>0</v>
      </c>
      <c r="H6793" s="35">
        <f t="shared" si="107"/>
        <v>1248.97</v>
      </c>
      <c r="I6793" s="35"/>
      <c r="K6793" t="s">
        <v>15</v>
      </c>
    </row>
    <row r="6794" spans="2:11" ht="12.75" x14ac:dyDescent="0.2">
      <c r="B6794" s="33" t="s">
        <v>7815</v>
      </c>
      <c r="C6794" s="33" t="s">
        <v>30</v>
      </c>
      <c r="D6794" s="35">
        <f>SUMIFS(D6795:D9015,K6795:K9015,"0",B6795:B9015,"5 1 2 7 4 12 31111 6*")-SUMIFS(E6795:E9015,K6795:K9015,"0",B6795:B9015,"5 1 2 7 4 12 31111 6*")</f>
        <v>0</v>
      </c>
      <c r="E6794"/>
      <c r="F6794" s="35">
        <f>SUMIFS(F6795:F9015,K6795:K9015,"0",B6795:B9015,"5 1 2 7 4 12 31111 6*")</f>
        <v>1248.97</v>
      </c>
      <c r="G6794" s="35">
        <f>SUMIFS(G6795:G9015,K6795:K9015,"0",B6795:B9015,"5 1 2 7 4 12 31111 6*")</f>
        <v>0</v>
      </c>
      <c r="H6794" s="35">
        <f t="shared" si="107"/>
        <v>1248.97</v>
      </c>
      <c r="I6794" s="35"/>
      <c r="K6794" t="s">
        <v>15</v>
      </c>
    </row>
    <row r="6795" spans="2:11" ht="16.5" x14ac:dyDescent="0.2">
      <c r="B6795" s="33" t="s">
        <v>7816</v>
      </c>
      <c r="C6795" s="33" t="s">
        <v>2284</v>
      </c>
      <c r="D6795" s="35">
        <f>SUMIFS(D6796:D9015,K6796:K9015,"0",B6796:B9015,"5 1 2 7 4 12 31111 6 M59*")-SUMIFS(E6796:E9015,K6796:K9015,"0",B6796:B9015,"5 1 2 7 4 12 31111 6 M59*")</f>
        <v>0</v>
      </c>
      <c r="E6795"/>
      <c r="F6795" s="35">
        <f>SUMIFS(F6796:F9015,K6796:K9015,"0",B6796:B9015,"5 1 2 7 4 12 31111 6 M59*")</f>
        <v>1248.97</v>
      </c>
      <c r="G6795" s="35">
        <f>SUMIFS(G6796:G9015,K6796:K9015,"0",B6796:B9015,"5 1 2 7 4 12 31111 6 M59*")</f>
        <v>0</v>
      </c>
      <c r="H6795" s="35">
        <f t="shared" si="107"/>
        <v>1248.97</v>
      </c>
      <c r="I6795" s="35"/>
      <c r="K6795" t="s">
        <v>15</v>
      </c>
    </row>
    <row r="6796" spans="2:11" ht="16.5" x14ac:dyDescent="0.2">
      <c r="B6796" s="33" t="s">
        <v>7817</v>
      </c>
      <c r="C6796" s="33" t="s">
        <v>3281</v>
      </c>
      <c r="D6796" s="35">
        <f>SUMIFS(D6797:D9015,K6797:K9015,"0",B6797:B9015,"5 1 2 7 4 12 31111 6 M59 50000*")-SUMIFS(E6797:E9015,K6797:K9015,"0",B6797:B9015,"5 1 2 7 4 12 31111 6 M59 50000*")</f>
        <v>0</v>
      </c>
      <c r="E6796"/>
      <c r="F6796" s="35">
        <f>SUMIFS(F6797:F9015,K6797:K9015,"0",B6797:B9015,"5 1 2 7 4 12 31111 6 M59 50000*")</f>
        <v>1248.97</v>
      </c>
      <c r="G6796" s="35">
        <f>SUMIFS(G6797:G9015,K6797:K9015,"0",B6797:B9015,"5 1 2 7 4 12 31111 6 M59 50000*")</f>
        <v>0</v>
      </c>
      <c r="H6796" s="35">
        <f t="shared" si="107"/>
        <v>1248.97</v>
      </c>
      <c r="I6796" s="35"/>
      <c r="K6796" t="s">
        <v>15</v>
      </c>
    </row>
    <row r="6797" spans="2:11" ht="16.5" x14ac:dyDescent="0.2">
      <c r="B6797" s="33" t="s">
        <v>7818</v>
      </c>
      <c r="C6797" s="33" t="s">
        <v>3283</v>
      </c>
      <c r="D6797" s="35">
        <f>SUMIFS(D6798:D9015,K6798:K9015,"0",B6798:B9015,"5 1 2 7 4 12 31111 6 M59 50000 000223*")-SUMIFS(E6798:E9015,K6798:K9015,"0",B6798:B9015,"5 1 2 7 4 12 31111 6 M59 50000 000223*")</f>
        <v>0</v>
      </c>
      <c r="E6797"/>
      <c r="F6797" s="35">
        <f>SUMIFS(F6798:F9015,K6798:K9015,"0",B6798:B9015,"5 1 2 7 4 12 31111 6 M59 50000 000223*")</f>
        <v>1248.97</v>
      </c>
      <c r="G6797" s="35">
        <f>SUMIFS(G6798:G9015,K6798:K9015,"0",B6798:B9015,"5 1 2 7 4 12 31111 6 M59 50000 000223*")</f>
        <v>0</v>
      </c>
      <c r="H6797" s="35">
        <f t="shared" si="107"/>
        <v>1248.97</v>
      </c>
      <c r="I6797" s="35"/>
      <c r="K6797" t="s">
        <v>15</v>
      </c>
    </row>
    <row r="6798" spans="2:11" ht="24.75" x14ac:dyDescent="0.2">
      <c r="B6798" s="33" t="s">
        <v>7819</v>
      </c>
      <c r="C6798" s="33" t="s">
        <v>1065</v>
      </c>
      <c r="D6798" s="35">
        <f>SUMIFS(D6799:D9015,K6799:K9015,"0",B6799:B9015,"5 1 2 7 4 12 31111 6 M59 50000 000223 0000E*")-SUMIFS(E6799:E9015,K6799:K9015,"0",B6799:B9015,"5 1 2 7 4 12 31111 6 M59 50000 000223 0000E*")</f>
        <v>0</v>
      </c>
      <c r="E6798"/>
      <c r="F6798" s="35">
        <f>SUMIFS(F6799:F9015,K6799:K9015,"0",B6799:B9015,"5 1 2 7 4 12 31111 6 M59 50000 000223 0000E*")</f>
        <v>1248.97</v>
      </c>
      <c r="G6798" s="35">
        <f>SUMIFS(G6799:G9015,K6799:K9015,"0",B6799:B9015,"5 1 2 7 4 12 31111 6 M59 50000 000223 0000E*")</f>
        <v>0</v>
      </c>
      <c r="H6798" s="35">
        <f t="shared" si="107"/>
        <v>1248.97</v>
      </c>
      <c r="I6798" s="35"/>
      <c r="K6798" t="s">
        <v>15</v>
      </c>
    </row>
    <row r="6799" spans="2:11" ht="24.75" x14ac:dyDescent="0.2">
      <c r="B6799" s="33" t="s">
        <v>7820</v>
      </c>
      <c r="C6799" s="33" t="s">
        <v>282</v>
      </c>
      <c r="D6799" s="35">
        <f>SUMIFS(D6800:D9015,K6800:K9015,"0",B6800:B9015,"5 1 2 7 4 12 31111 6 M59 50000 000223 0000E 00001*")-SUMIFS(E6800:E9015,K6800:K9015,"0",B6800:B9015,"5 1 2 7 4 12 31111 6 M59 50000 000223 0000E 00001*")</f>
        <v>0</v>
      </c>
      <c r="E6799"/>
      <c r="F6799" s="35">
        <f>SUMIFS(F6800:F9015,K6800:K9015,"0",B6800:B9015,"5 1 2 7 4 12 31111 6 M59 50000 000223 0000E 00001*")</f>
        <v>1248.97</v>
      </c>
      <c r="G6799" s="35">
        <f>SUMIFS(G6800:G9015,K6800:K9015,"0",B6800:B9015,"5 1 2 7 4 12 31111 6 M59 50000 000223 0000E 00001*")</f>
        <v>0</v>
      </c>
      <c r="H6799" s="35">
        <f t="shared" si="107"/>
        <v>1248.97</v>
      </c>
      <c r="I6799" s="35"/>
      <c r="K6799" t="s">
        <v>15</v>
      </c>
    </row>
    <row r="6800" spans="2:11" ht="24.75" x14ac:dyDescent="0.2">
      <c r="B6800" s="33" t="s">
        <v>7821</v>
      </c>
      <c r="C6800" s="33" t="s">
        <v>7822</v>
      </c>
      <c r="D6800" s="35">
        <f>SUMIFS(D6801:D9015,K6801:K9015,"0",B6801:B9015,"5 1 2 7 4 12 31111 6 M59 50000 000223 0000E 00001 00274*")-SUMIFS(E6801:E9015,K6801:K9015,"0",B6801:B9015,"5 1 2 7 4 12 31111 6 M59 50000 000223 0000E 00001 00274*")</f>
        <v>0</v>
      </c>
      <c r="E6800"/>
      <c r="F6800" s="35">
        <f>SUMIFS(F6801:F9015,K6801:K9015,"0",B6801:B9015,"5 1 2 7 4 12 31111 6 M59 50000 000223 0000E 00001 00274*")</f>
        <v>1248.97</v>
      </c>
      <c r="G6800" s="35">
        <f>SUMIFS(G6801:G9015,K6801:K9015,"0",B6801:B9015,"5 1 2 7 4 12 31111 6 M59 50000 000223 0000E 00001 00274*")</f>
        <v>0</v>
      </c>
      <c r="H6800" s="35">
        <f t="shared" si="107"/>
        <v>1248.97</v>
      </c>
      <c r="I6800" s="35"/>
      <c r="K6800" t="s">
        <v>15</v>
      </c>
    </row>
    <row r="6801" spans="2:11" ht="33" x14ac:dyDescent="0.2">
      <c r="B6801" s="33" t="s">
        <v>7823</v>
      </c>
      <c r="C6801" s="33" t="s">
        <v>1051</v>
      </c>
      <c r="D6801" s="35">
        <f>SUMIFS(D6802:D9015,K6802:K9015,"0",B6802:B9015,"5 1 2 7 4 12 31111 6 M59 50000 000223 0000E 00001 00274 015*")-SUMIFS(E6802:E9015,K6802:K9015,"0",B6802:B9015,"5 1 2 7 4 12 31111 6 M59 50000 000223 0000E 00001 00274 015*")</f>
        <v>0</v>
      </c>
      <c r="E6801"/>
      <c r="F6801" s="35">
        <f>SUMIFS(F6802:F9015,K6802:K9015,"0",B6802:B9015,"5 1 2 7 4 12 31111 6 M59 50000 000223 0000E 00001 00274 015*")</f>
        <v>1248.97</v>
      </c>
      <c r="G6801" s="35">
        <f>SUMIFS(G6802:G9015,K6802:K9015,"0",B6802:B9015,"5 1 2 7 4 12 31111 6 M59 50000 000223 0000E 00001 00274 015*")</f>
        <v>0</v>
      </c>
      <c r="H6801" s="35">
        <f t="shared" si="107"/>
        <v>1248.97</v>
      </c>
      <c r="I6801" s="35"/>
      <c r="K6801" t="s">
        <v>15</v>
      </c>
    </row>
    <row r="6802" spans="2:11" ht="33" x14ac:dyDescent="0.2">
      <c r="B6802" s="33" t="s">
        <v>7824</v>
      </c>
      <c r="C6802" s="33" t="s">
        <v>5830</v>
      </c>
      <c r="D6802" s="35">
        <f>SUMIFS(D6803:D9015,K6803:K9015,"0",B6803:B9015,"5 1 2 7 4 12 31111 6 M59 50000 000223 0000E 00001 00274 015 2112000*")-SUMIFS(E6803:E9015,K6803:K9015,"0",B6803:B9015,"5 1 2 7 4 12 31111 6 M59 50000 000223 0000E 00001 00274 015 2112000*")</f>
        <v>0</v>
      </c>
      <c r="E6802"/>
      <c r="F6802" s="35">
        <f>SUMIFS(F6803:F9015,K6803:K9015,"0",B6803:B9015,"5 1 2 7 4 12 31111 6 M59 50000 000223 0000E 00001 00274 015 2112000*")</f>
        <v>1248.97</v>
      </c>
      <c r="G6802" s="35">
        <f>SUMIFS(G6803:G9015,K6803:K9015,"0",B6803:B9015,"5 1 2 7 4 12 31111 6 M59 50000 000223 0000E 00001 00274 015 2112000*")</f>
        <v>0</v>
      </c>
      <c r="H6802" s="35">
        <f t="shared" si="107"/>
        <v>1248.97</v>
      </c>
      <c r="I6802" s="35"/>
      <c r="K6802" t="s">
        <v>15</v>
      </c>
    </row>
    <row r="6803" spans="2:11" ht="33" x14ac:dyDescent="0.2">
      <c r="B6803" s="33" t="s">
        <v>7825</v>
      </c>
      <c r="C6803" s="33" t="s">
        <v>660</v>
      </c>
      <c r="D6803" s="35">
        <f>SUMIFS(D6804:D9015,K6804:K9015,"0",B6804:B9015,"5 1 2 7 4 12 31111 6 M59 50000 000223 0000E 00001 00274 015 2112000 2024*")-SUMIFS(E6804:E9015,K6804:K9015,"0",B6804:B9015,"5 1 2 7 4 12 31111 6 M59 50000 000223 0000E 00001 00274 015 2112000 2024*")</f>
        <v>0</v>
      </c>
      <c r="E6803"/>
      <c r="F6803" s="35">
        <f>SUMIFS(F6804:F9015,K6804:K9015,"0",B6804:B9015,"5 1 2 7 4 12 31111 6 M59 50000 000223 0000E 00001 00274 015 2112000 2024*")</f>
        <v>1248.97</v>
      </c>
      <c r="G6803" s="35">
        <f>SUMIFS(G6804:G9015,K6804:K9015,"0",B6804:B9015,"5 1 2 7 4 12 31111 6 M59 50000 000223 0000E 00001 00274 015 2112000 2024*")</f>
        <v>0</v>
      </c>
      <c r="H6803" s="35">
        <f t="shared" si="107"/>
        <v>1248.97</v>
      </c>
      <c r="I6803" s="35"/>
      <c r="K6803" t="s">
        <v>15</v>
      </c>
    </row>
    <row r="6804" spans="2:11" ht="41.25" x14ac:dyDescent="0.2">
      <c r="B6804" s="33" t="s">
        <v>7826</v>
      </c>
      <c r="C6804" s="33" t="s">
        <v>662</v>
      </c>
      <c r="D6804" s="35">
        <f>SUMIFS(D6805:D9015,K6805:K9015,"0",B6805:B9015,"5 1 2 7 4 12 31111 6 M59 50000 000223 0000E 00001 00274 015 2112000 2024 CP1DA424*")-SUMIFS(E6805:E9015,K6805:K9015,"0",B6805:B9015,"5 1 2 7 4 12 31111 6 M59 50000 000223 0000E 00001 00274 015 2112000 2024 CP1DA424*")</f>
        <v>0</v>
      </c>
      <c r="E6804"/>
      <c r="F6804" s="35">
        <f>SUMIFS(F6805:F9015,K6805:K9015,"0",B6805:B9015,"5 1 2 7 4 12 31111 6 M59 50000 000223 0000E 00001 00274 015 2112000 2024 CP1DA424*")</f>
        <v>1248.97</v>
      </c>
      <c r="G6804" s="35">
        <f>SUMIFS(G6805:G9015,K6805:K9015,"0",B6805:B9015,"5 1 2 7 4 12 31111 6 M59 50000 000223 0000E 00001 00274 015 2112000 2024 CP1DA424*")</f>
        <v>0</v>
      </c>
      <c r="H6804" s="35">
        <f t="shared" si="107"/>
        <v>1248.97</v>
      </c>
      <c r="I6804" s="35"/>
      <c r="K6804" t="s">
        <v>15</v>
      </c>
    </row>
    <row r="6805" spans="2:11" ht="41.25" x14ac:dyDescent="0.2">
      <c r="B6805" s="33" t="s">
        <v>7827</v>
      </c>
      <c r="C6805" s="33" t="s">
        <v>282</v>
      </c>
      <c r="D6805" s="35">
        <f>SUMIFS(D6806:D9015,K6806:K9015,"0",B6806:B9015,"5 1 2 7 4 12 31111 6 M59 50000 000223 0000E 00001 00274 015 2112000 2024 CP1DA424 001*")-SUMIFS(E6806:E9015,K6806:K9015,"0",B6806:B9015,"5 1 2 7 4 12 31111 6 M59 50000 000223 0000E 00001 00274 015 2112000 2024 CP1DA424 001*")</f>
        <v>0</v>
      </c>
      <c r="E6805"/>
      <c r="F6805" s="35">
        <f>SUMIFS(F6806:F9015,K6806:K9015,"0",B6806:B9015,"5 1 2 7 4 12 31111 6 M59 50000 000223 0000E 00001 00274 015 2112000 2024 CP1DA424 001*")</f>
        <v>1248.97</v>
      </c>
      <c r="G6805" s="35">
        <f>SUMIFS(G6806:G9015,K6806:K9015,"0",B6806:B9015,"5 1 2 7 4 12 31111 6 M59 50000 000223 0000E 00001 00274 015 2112000 2024 CP1DA424 001*")</f>
        <v>0</v>
      </c>
      <c r="H6805" s="35">
        <f t="shared" si="107"/>
        <v>1248.97</v>
      </c>
      <c r="I6805" s="35"/>
      <c r="K6805" t="s">
        <v>15</v>
      </c>
    </row>
    <row r="6806" spans="2:11" ht="41.25" x14ac:dyDescent="0.2">
      <c r="B6806" s="31" t="s">
        <v>7828</v>
      </c>
      <c r="C6806" s="31" t="s">
        <v>7822</v>
      </c>
      <c r="D6806" s="34">
        <v>0</v>
      </c>
      <c r="E6806" s="34"/>
      <c r="F6806" s="34">
        <v>1248.97</v>
      </c>
      <c r="G6806" s="34">
        <v>0</v>
      </c>
      <c r="H6806" s="34">
        <f t="shared" si="107"/>
        <v>1248.97</v>
      </c>
      <c r="I6806" s="34"/>
      <c r="K6806" t="s">
        <v>38</v>
      </c>
    </row>
    <row r="6807" spans="2:11" ht="24.75" x14ac:dyDescent="0.2">
      <c r="B6807" s="33" t="s">
        <v>7829</v>
      </c>
      <c r="C6807" s="33" t="s">
        <v>7830</v>
      </c>
      <c r="D6807" s="35">
        <f>SUMIFS(D6808:D9015,K6808:K9015,"0",B6808:B9015,"5 1 2 9*")-SUMIFS(E6808:E9015,K6808:K9015,"0",B6808:B9015,"5 1 2 9*")</f>
        <v>0</v>
      </c>
      <c r="E6807"/>
      <c r="F6807" s="35">
        <f>SUMIFS(F6808:F9015,K6808:K9015,"0",B6808:B9015,"5 1 2 9*")</f>
        <v>10760875.890000001</v>
      </c>
      <c r="G6807" s="35">
        <f>SUMIFS(G6808:G9015,K6808:K9015,"0",B6808:B9015,"5 1 2 9*")</f>
        <v>0</v>
      </c>
      <c r="H6807" s="35">
        <f t="shared" si="107"/>
        <v>10760875.890000001</v>
      </c>
      <c r="I6807" s="35"/>
      <c r="K6807" t="s">
        <v>15</v>
      </c>
    </row>
    <row r="6808" spans="2:11" ht="12.75" x14ac:dyDescent="0.2">
      <c r="B6808" s="33" t="s">
        <v>7831</v>
      </c>
      <c r="C6808" s="33" t="s">
        <v>7832</v>
      </c>
      <c r="D6808" s="35">
        <f>SUMIFS(D6809:D9015,K6809:K9015,"0",B6809:B9015,"5 1 2 9 1*")-SUMIFS(E6809:E9015,K6809:K9015,"0",B6809:B9015,"5 1 2 9 1*")</f>
        <v>0</v>
      </c>
      <c r="E6808"/>
      <c r="F6808" s="35">
        <f>SUMIFS(F6809:F9015,K6809:K9015,"0",B6809:B9015,"5 1 2 9 1*")</f>
        <v>373706.17</v>
      </c>
      <c r="G6808" s="35">
        <f>SUMIFS(G6809:G9015,K6809:K9015,"0",B6809:B9015,"5 1 2 9 1*")</f>
        <v>0</v>
      </c>
      <c r="H6808" s="35">
        <f t="shared" si="107"/>
        <v>373706.17</v>
      </c>
      <c r="I6808" s="35"/>
      <c r="K6808" t="s">
        <v>15</v>
      </c>
    </row>
    <row r="6809" spans="2:11" ht="12.75" x14ac:dyDescent="0.2">
      <c r="B6809" s="33" t="s">
        <v>7833</v>
      </c>
      <c r="C6809" s="33" t="s">
        <v>26</v>
      </c>
      <c r="D6809" s="35">
        <f>SUMIFS(D6810:D9015,K6810:K9015,"0",B6810:B9015,"5 1 2 9 1 12*")-SUMIFS(E6810:E9015,K6810:K9015,"0",B6810:B9015,"5 1 2 9 1 12*")</f>
        <v>0</v>
      </c>
      <c r="E6809"/>
      <c r="F6809" s="35">
        <f>SUMIFS(F6810:F9015,K6810:K9015,"0",B6810:B9015,"5 1 2 9 1 12*")</f>
        <v>373706.17</v>
      </c>
      <c r="G6809" s="35">
        <f>SUMIFS(G6810:G9015,K6810:K9015,"0",B6810:B9015,"5 1 2 9 1 12*")</f>
        <v>0</v>
      </c>
      <c r="H6809" s="35">
        <f t="shared" si="107"/>
        <v>373706.17</v>
      </c>
      <c r="I6809" s="35"/>
      <c r="K6809" t="s">
        <v>15</v>
      </c>
    </row>
    <row r="6810" spans="2:11" ht="16.5" x14ac:dyDescent="0.2">
      <c r="B6810" s="33" t="s">
        <v>7834</v>
      </c>
      <c r="C6810" s="33" t="s">
        <v>28</v>
      </c>
      <c r="D6810" s="35">
        <f>SUMIFS(D6811:D9015,K6811:K9015,"0",B6811:B9015,"5 1 2 9 1 12 31111*")-SUMIFS(E6811:E9015,K6811:K9015,"0",B6811:B9015,"5 1 2 9 1 12 31111*")</f>
        <v>0</v>
      </c>
      <c r="E6810"/>
      <c r="F6810" s="35">
        <f>SUMIFS(F6811:F9015,K6811:K9015,"0",B6811:B9015,"5 1 2 9 1 12 31111*")</f>
        <v>373706.17</v>
      </c>
      <c r="G6810" s="35">
        <f>SUMIFS(G6811:G9015,K6811:K9015,"0",B6811:B9015,"5 1 2 9 1 12 31111*")</f>
        <v>0</v>
      </c>
      <c r="H6810" s="35">
        <f t="shared" si="107"/>
        <v>373706.17</v>
      </c>
      <c r="I6810" s="35"/>
      <c r="K6810" t="s">
        <v>15</v>
      </c>
    </row>
    <row r="6811" spans="2:11" ht="12.75" x14ac:dyDescent="0.2">
      <c r="B6811" s="33" t="s">
        <v>7835</v>
      </c>
      <c r="C6811" s="33" t="s">
        <v>30</v>
      </c>
      <c r="D6811" s="35">
        <f>SUMIFS(D6812:D9015,K6812:K9015,"0",B6812:B9015,"5 1 2 9 1 12 31111 6*")-SUMIFS(E6812:E9015,K6812:K9015,"0",B6812:B9015,"5 1 2 9 1 12 31111 6*")</f>
        <v>0</v>
      </c>
      <c r="E6811"/>
      <c r="F6811" s="35">
        <f>SUMIFS(F6812:F9015,K6812:K9015,"0",B6812:B9015,"5 1 2 9 1 12 31111 6*")</f>
        <v>373706.17</v>
      </c>
      <c r="G6811" s="35">
        <f>SUMIFS(G6812:G9015,K6812:K9015,"0",B6812:B9015,"5 1 2 9 1 12 31111 6*")</f>
        <v>0</v>
      </c>
      <c r="H6811" s="35">
        <f t="shared" si="107"/>
        <v>373706.17</v>
      </c>
      <c r="I6811" s="35"/>
      <c r="K6811" t="s">
        <v>15</v>
      </c>
    </row>
    <row r="6812" spans="2:11" ht="16.5" x14ac:dyDescent="0.2">
      <c r="B6812" s="33" t="s">
        <v>7836</v>
      </c>
      <c r="C6812" s="33" t="s">
        <v>2284</v>
      </c>
      <c r="D6812" s="35">
        <f>SUMIFS(D6813:D9015,K6813:K9015,"0",B6813:B9015,"5 1 2 9 1 12 31111 6 M59*")-SUMIFS(E6813:E9015,K6813:K9015,"0",B6813:B9015,"5 1 2 9 1 12 31111 6 M59*")</f>
        <v>0</v>
      </c>
      <c r="E6812"/>
      <c r="F6812" s="35">
        <f>SUMIFS(F6813:F9015,K6813:K9015,"0",B6813:B9015,"5 1 2 9 1 12 31111 6 M59*")</f>
        <v>373706.17</v>
      </c>
      <c r="G6812" s="35">
        <f>SUMIFS(G6813:G9015,K6813:K9015,"0",B6813:B9015,"5 1 2 9 1 12 31111 6 M59*")</f>
        <v>0</v>
      </c>
      <c r="H6812" s="35">
        <f t="shared" si="107"/>
        <v>373706.17</v>
      </c>
      <c r="I6812" s="35"/>
      <c r="K6812" t="s">
        <v>15</v>
      </c>
    </row>
    <row r="6813" spans="2:11" ht="16.5" x14ac:dyDescent="0.2">
      <c r="B6813" s="33" t="s">
        <v>7837</v>
      </c>
      <c r="C6813" s="33" t="s">
        <v>1044</v>
      </c>
      <c r="D6813" s="35">
        <f>SUMIFS(D6814:D9015,K6814:K9015,"0",B6814:B9015,"5 1 2 9 1 12 31111 6 M59 19000*")-SUMIFS(E6814:E9015,K6814:K9015,"0",B6814:B9015,"5 1 2 9 1 12 31111 6 M59 19000*")</f>
        <v>0</v>
      </c>
      <c r="E6813"/>
      <c r="F6813" s="35">
        <f>SUMIFS(F6814:F9015,K6814:K9015,"0",B6814:B9015,"5 1 2 9 1 12 31111 6 M59 19000*")</f>
        <v>73864.63</v>
      </c>
      <c r="G6813" s="35">
        <f>SUMIFS(G6814:G9015,K6814:K9015,"0",B6814:B9015,"5 1 2 9 1 12 31111 6 M59 19000*")</f>
        <v>0</v>
      </c>
      <c r="H6813" s="35">
        <f t="shared" si="107"/>
        <v>73864.63</v>
      </c>
      <c r="I6813" s="35"/>
      <c r="K6813" t="s">
        <v>15</v>
      </c>
    </row>
    <row r="6814" spans="2:11" ht="16.5" x14ac:dyDescent="0.2">
      <c r="B6814" s="33" t="s">
        <v>7838</v>
      </c>
      <c r="C6814" s="33" t="s">
        <v>648</v>
      </c>
      <c r="D6814" s="35">
        <f>SUMIFS(D6815:D9015,K6815:K9015,"0",B6815:B9015,"5 1 2 9 1 12 31111 6 M59 19000 000132*")-SUMIFS(E6815:E9015,K6815:K9015,"0",B6815:B9015,"5 1 2 9 1 12 31111 6 M59 19000 000132*")</f>
        <v>0</v>
      </c>
      <c r="E6814"/>
      <c r="F6814" s="35">
        <f>SUMIFS(F6815:F9015,K6815:K9015,"0",B6815:B9015,"5 1 2 9 1 12 31111 6 M59 19000 000132*")</f>
        <v>73864.63</v>
      </c>
      <c r="G6814" s="35">
        <f>SUMIFS(G6815:G9015,K6815:K9015,"0",B6815:B9015,"5 1 2 9 1 12 31111 6 M59 19000 000132*")</f>
        <v>0</v>
      </c>
      <c r="H6814" s="35">
        <f t="shared" si="107"/>
        <v>73864.63</v>
      </c>
      <c r="I6814" s="35"/>
      <c r="K6814" t="s">
        <v>15</v>
      </c>
    </row>
    <row r="6815" spans="2:11" ht="24.75" x14ac:dyDescent="0.2">
      <c r="B6815" s="33" t="s">
        <v>7839</v>
      </c>
      <c r="C6815" s="33" t="s">
        <v>650</v>
      </c>
      <c r="D6815" s="35">
        <f>SUMIFS(D6816:D9015,K6816:K9015,"0",B6816:B9015,"5 1 2 9 1 12 31111 6 M59 19000 000132 0000R*")-SUMIFS(E6816:E9015,K6816:K9015,"0",B6816:B9015,"5 1 2 9 1 12 31111 6 M59 19000 000132 0000R*")</f>
        <v>0</v>
      </c>
      <c r="E6815"/>
      <c r="F6815" s="35">
        <f>SUMIFS(F6816:F9015,K6816:K9015,"0",B6816:B9015,"5 1 2 9 1 12 31111 6 M59 19000 000132 0000R*")</f>
        <v>73864.63</v>
      </c>
      <c r="G6815" s="35">
        <f>SUMIFS(G6816:G9015,K6816:K9015,"0",B6816:B9015,"5 1 2 9 1 12 31111 6 M59 19000 000132 0000R*")</f>
        <v>0</v>
      </c>
      <c r="H6815" s="35">
        <f t="shared" si="107"/>
        <v>73864.63</v>
      </c>
      <c r="I6815" s="35"/>
      <c r="K6815" t="s">
        <v>15</v>
      </c>
    </row>
    <row r="6816" spans="2:11" ht="24.75" x14ac:dyDescent="0.2">
      <c r="B6816" s="33" t="s">
        <v>7840</v>
      </c>
      <c r="C6816" s="33" t="s">
        <v>282</v>
      </c>
      <c r="D6816" s="35">
        <f>SUMIFS(D6817:D9015,K6817:K9015,"0",B6817:B9015,"5 1 2 9 1 12 31111 6 M59 19000 000132 0000R 00001*")-SUMIFS(E6817:E9015,K6817:K9015,"0",B6817:B9015,"5 1 2 9 1 12 31111 6 M59 19000 000132 0000R 00001*")</f>
        <v>0</v>
      </c>
      <c r="E6816"/>
      <c r="F6816" s="35">
        <f>SUMIFS(F6817:F9015,K6817:K9015,"0",B6817:B9015,"5 1 2 9 1 12 31111 6 M59 19000 000132 0000R 00001*")</f>
        <v>73864.63</v>
      </c>
      <c r="G6816" s="35">
        <f>SUMIFS(G6817:G9015,K6817:K9015,"0",B6817:B9015,"5 1 2 9 1 12 31111 6 M59 19000 000132 0000R 00001*")</f>
        <v>0</v>
      </c>
      <c r="H6816" s="35">
        <f t="shared" si="107"/>
        <v>73864.63</v>
      </c>
      <c r="I6816" s="35"/>
      <c r="K6816" t="s">
        <v>15</v>
      </c>
    </row>
    <row r="6817" spans="2:11" ht="24.75" x14ac:dyDescent="0.2">
      <c r="B6817" s="33" t="s">
        <v>7841</v>
      </c>
      <c r="C6817" s="33" t="s">
        <v>7842</v>
      </c>
      <c r="D6817" s="35">
        <f>SUMIFS(D6818:D9015,K6818:K9015,"0",B6818:B9015,"5 1 2 9 1 12 31111 6 M59 19000 000132 0000R 00001 00291*")-SUMIFS(E6818:E9015,K6818:K9015,"0",B6818:B9015,"5 1 2 9 1 12 31111 6 M59 19000 000132 0000R 00001 00291*")</f>
        <v>0</v>
      </c>
      <c r="E6817"/>
      <c r="F6817" s="35">
        <f>SUMIFS(F6818:F9015,K6818:K9015,"0",B6818:B9015,"5 1 2 9 1 12 31111 6 M59 19000 000132 0000R 00001 00291*")</f>
        <v>73864.63</v>
      </c>
      <c r="G6817" s="35">
        <f>SUMIFS(G6818:G9015,K6818:K9015,"0",B6818:B9015,"5 1 2 9 1 12 31111 6 M59 19000 000132 0000R 00001 00291*")</f>
        <v>0</v>
      </c>
      <c r="H6817" s="35">
        <f t="shared" si="107"/>
        <v>73864.63</v>
      </c>
      <c r="I6817" s="35"/>
      <c r="K6817" t="s">
        <v>15</v>
      </c>
    </row>
    <row r="6818" spans="2:11" ht="33" x14ac:dyDescent="0.2">
      <c r="B6818" s="33" t="s">
        <v>7843</v>
      </c>
      <c r="C6818" s="33" t="s">
        <v>699</v>
      </c>
      <c r="D6818" s="35">
        <f>SUMIFS(D6819:D9015,K6819:K9015,"0",B6819:B9015,"5 1 2 9 1 12 31111 6 M59 19000 000132 0000R 00001 00291 011*")-SUMIFS(E6819:E9015,K6819:K9015,"0",B6819:B9015,"5 1 2 9 1 12 31111 6 M59 19000 000132 0000R 00001 00291 011*")</f>
        <v>0</v>
      </c>
      <c r="E6818"/>
      <c r="F6818" s="35">
        <f>SUMIFS(F6819:F9015,K6819:K9015,"0",B6819:B9015,"5 1 2 9 1 12 31111 6 M59 19000 000132 0000R 00001 00291 011*")</f>
        <v>73864.63</v>
      </c>
      <c r="G6818" s="35">
        <f>SUMIFS(G6819:G9015,K6819:K9015,"0",B6819:B9015,"5 1 2 9 1 12 31111 6 M59 19000 000132 0000R 00001 00291 011*")</f>
        <v>0</v>
      </c>
      <c r="H6818" s="35">
        <f t="shared" si="107"/>
        <v>73864.63</v>
      </c>
      <c r="I6818" s="35"/>
      <c r="K6818" t="s">
        <v>15</v>
      </c>
    </row>
    <row r="6819" spans="2:11" ht="33" x14ac:dyDescent="0.2">
      <c r="B6819" s="33" t="s">
        <v>7844</v>
      </c>
      <c r="C6819" s="33" t="s">
        <v>5830</v>
      </c>
      <c r="D6819" s="35">
        <f>SUMIFS(D6820:D9015,K6820:K9015,"0",B6820:B9015,"5 1 2 9 1 12 31111 6 M59 19000 000132 0000R 00001 00291 011 2112000*")-SUMIFS(E6820:E9015,K6820:K9015,"0",B6820:B9015,"5 1 2 9 1 12 31111 6 M59 19000 000132 0000R 00001 00291 011 2112000*")</f>
        <v>0</v>
      </c>
      <c r="E6819"/>
      <c r="F6819" s="35">
        <f>SUMIFS(F6820:F9015,K6820:K9015,"0",B6820:B9015,"5 1 2 9 1 12 31111 6 M59 19000 000132 0000R 00001 00291 011 2112000*")</f>
        <v>73864.63</v>
      </c>
      <c r="G6819" s="35">
        <f>SUMIFS(G6820:G9015,K6820:K9015,"0",B6820:B9015,"5 1 2 9 1 12 31111 6 M59 19000 000132 0000R 00001 00291 011 2112000*")</f>
        <v>0</v>
      </c>
      <c r="H6819" s="35">
        <f t="shared" si="107"/>
        <v>73864.63</v>
      </c>
      <c r="I6819" s="35"/>
      <c r="K6819" t="s">
        <v>15</v>
      </c>
    </row>
    <row r="6820" spans="2:11" ht="33" x14ac:dyDescent="0.2">
      <c r="B6820" s="33" t="s">
        <v>7845</v>
      </c>
      <c r="C6820" s="33" t="s">
        <v>660</v>
      </c>
      <c r="D6820" s="35">
        <f>SUMIFS(D6821:D9015,K6821:K9015,"0",B6821:B9015,"5 1 2 9 1 12 31111 6 M59 19000 000132 0000R 00001 00291 011 2112000 2024*")-SUMIFS(E6821:E9015,K6821:K9015,"0",B6821:B9015,"5 1 2 9 1 12 31111 6 M59 19000 000132 0000R 00001 00291 011 2112000 2024*")</f>
        <v>0</v>
      </c>
      <c r="E6820"/>
      <c r="F6820" s="35">
        <f>SUMIFS(F6821:F9015,K6821:K9015,"0",B6821:B9015,"5 1 2 9 1 12 31111 6 M59 19000 000132 0000R 00001 00291 011 2112000 2024*")</f>
        <v>73864.63</v>
      </c>
      <c r="G6820" s="35">
        <f>SUMIFS(G6821:G9015,K6821:K9015,"0",B6821:B9015,"5 1 2 9 1 12 31111 6 M59 19000 000132 0000R 00001 00291 011 2112000 2024*")</f>
        <v>0</v>
      </c>
      <c r="H6820" s="35">
        <f t="shared" si="107"/>
        <v>73864.63</v>
      </c>
      <c r="I6820" s="35"/>
      <c r="K6820" t="s">
        <v>15</v>
      </c>
    </row>
    <row r="6821" spans="2:11" ht="41.25" x14ac:dyDescent="0.2">
      <c r="B6821" s="33" t="s">
        <v>7846</v>
      </c>
      <c r="C6821" s="33" t="s">
        <v>662</v>
      </c>
      <c r="D6821" s="35">
        <f>SUMIFS(D6822:D9015,K6822:K9015,"0",B6822:B9015,"5 1 2 9 1 12 31111 6 M59 19000 000132 0000R 00001 00291 011 2112000 2024 CP1TM440*")-SUMIFS(E6822:E9015,K6822:K9015,"0",B6822:B9015,"5 1 2 9 1 12 31111 6 M59 19000 000132 0000R 00001 00291 011 2112000 2024 CP1TM440*")</f>
        <v>0</v>
      </c>
      <c r="E6821"/>
      <c r="F6821" s="35">
        <f>SUMIFS(F6822:F9015,K6822:K9015,"0",B6822:B9015,"5 1 2 9 1 12 31111 6 M59 19000 000132 0000R 00001 00291 011 2112000 2024 CP1TM440*")</f>
        <v>73864.63</v>
      </c>
      <c r="G6821" s="35">
        <f>SUMIFS(G6822:G9015,K6822:K9015,"0",B6822:B9015,"5 1 2 9 1 12 31111 6 M59 19000 000132 0000R 00001 00291 011 2112000 2024 CP1TM440*")</f>
        <v>0</v>
      </c>
      <c r="H6821" s="35">
        <f t="shared" si="107"/>
        <v>73864.63</v>
      </c>
      <c r="I6821" s="35"/>
      <c r="K6821" t="s">
        <v>15</v>
      </c>
    </row>
    <row r="6822" spans="2:11" ht="41.25" x14ac:dyDescent="0.2">
      <c r="B6822" s="33" t="s">
        <v>7847</v>
      </c>
      <c r="C6822" s="33" t="s">
        <v>46</v>
      </c>
      <c r="D6822" s="35">
        <f>SUMIFS(D6823:D9015,K6823:K9015,"0",B6823:B9015,"5 1 2 9 1 12 31111 6 M59 19000 000132 0000R 00001 00291 011 2112000 2024 CP1TM440 004*")-SUMIFS(E6823:E9015,K6823:K9015,"0",B6823:B9015,"5 1 2 9 1 12 31111 6 M59 19000 000132 0000R 00001 00291 011 2112000 2024 CP1TM440 004*")</f>
        <v>0</v>
      </c>
      <c r="E6822"/>
      <c r="F6822" s="35">
        <f>SUMIFS(F6823:F9015,K6823:K9015,"0",B6823:B9015,"5 1 2 9 1 12 31111 6 M59 19000 000132 0000R 00001 00291 011 2112000 2024 CP1TM440 004*")</f>
        <v>73864.63</v>
      </c>
      <c r="G6822" s="35">
        <f>SUMIFS(G6823:G9015,K6823:K9015,"0",B6823:B9015,"5 1 2 9 1 12 31111 6 M59 19000 000132 0000R 00001 00291 011 2112000 2024 CP1TM440 004*")</f>
        <v>0</v>
      </c>
      <c r="H6822" s="35">
        <f t="shared" si="107"/>
        <v>73864.63</v>
      </c>
      <c r="I6822" s="35"/>
      <c r="K6822" t="s">
        <v>15</v>
      </c>
    </row>
    <row r="6823" spans="2:11" ht="33" x14ac:dyDescent="0.2">
      <c r="B6823" s="31" t="s">
        <v>7848</v>
      </c>
      <c r="C6823" s="31" t="s">
        <v>7842</v>
      </c>
      <c r="D6823" s="34">
        <v>0</v>
      </c>
      <c r="E6823" s="34"/>
      <c r="F6823" s="34">
        <v>73864.63</v>
      </c>
      <c r="G6823" s="34">
        <v>0</v>
      </c>
      <c r="H6823" s="34">
        <f t="shared" si="107"/>
        <v>73864.63</v>
      </c>
      <c r="I6823" s="34"/>
      <c r="K6823" t="s">
        <v>38</v>
      </c>
    </row>
    <row r="6824" spans="2:11" ht="16.5" x14ac:dyDescent="0.2">
      <c r="B6824" s="33" t="s">
        <v>7849</v>
      </c>
      <c r="C6824" s="33" t="s">
        <v>3103</v>
      </c>
      <c r="D6824" s="35">
        <f>SUMIFS(D6825:D9015,K6825:K9015,"0",B6825:B9015,"5 1 2 9 1 12 31111 6 M59 20400*")-SUMIFS(E6825:E9015,K6825:K9015,"0",B6825:B9015,"5 1 2 9 1 12 31111 6 M59 20400*")</f>
        <v>0</v>
      </c>
      <c r="E6824"/>
      <c r="F6824" s="35">
        <f>SUMIFS(F6825:F9015,K6825:K9015,"0",B6825:B9015,"5 1 2 9 1 12 31111 6 M59 20400*")</f>
        <v>22016.43</v>
      </c>
      <c r="G6824" s="35">
        <f>SUMIFS(G6825:G9015,K6825:K9015,"0",B6825:B9015,"5 1 2 9 1 12 31111 6 M59 20400*")</f>
        <v>0</v>
      </c>
      <c r="H6824" s="35">
        <f t="shared" si="107"/>
        <v>22016.43</v>
      </c>
      <c r="I6824" s="35"/>
      <c r="K6824" t="s">
        <v>15</v>
      </c>
    </row>
    <row r="6825" spans="2:11" ht="16.5" x14ac:dyDescent="0.2">
      <c r="B6825" s="33" t="s">
        <v>7850</v>
      </c>
      <c r="C6825" s="33" t="s">
        <v>648</v>
      </c>
      <c r="D6825" s="35">
        <f>SUMIFS(D6826:D9015,K6826:K9015,"0",B6826:B9015,"5 1 2 9 1 12 31111 6 M59 20400 000132*")-SUMIFS(E6826:E9015,K6826:K9015,"0",B6826:B9015,"5 1 2 9 1 12 31111 6 M59 20400 000132*")</f>
        <v>0</v>
      </c>
      <c r="E6825"/>
      <c r="F6825" s="35">
        <f>SUMIFS(F6826:F9015,K6826:K9015,"0",B6826:B9015,"5 1 2 9 1 12 31111 6 M59 20400 000132*")</f>
        <v>22016.43</v>
      </c>
      <c r="G6825" s="35">
        <f>SUMIFS(G6826:G9015,K6826:K9015,"0",B6826:B9015,"5 1 2 9 1 12 31111 6 M59 20400 000132*")</f>
        <v>0</v>
      </c>
      <c r="H6825" s="35">
        <f t="shared" si="107"/>
        <v>22016.43</v>
      </c>
      <c r="I6825" s="35"/>
      <c r="K6825" t="s">
        <v>15</v>
      </c>
    </row>
    <row r="6826" spans="2:11" ht="24.75" x14ac:dyDescent="0.2">
      <c r="B6826" s="33" t="s">
        <v>7851</v>
      </c>
      <c r="C6826" s="33" t="s">
        <v>650</v>
      </c>
      <c r="D6826" s="35">
        <f>SUMIFS(D6827:D9015,K6827:K9015,"0",B6827:B9015,"5 1 2 9 1 12 31111 6 M59 20400 000132 0000R*")-SUMIFS(E6827:E9015,K6827:K9015,"0",B6827:B9015,"5 1 2 9 1 12 31111 6 M59 20400 000132 0000R*")</f>
        <v>0</v>
      </c>
      <c r="E6826"/>
      <c r="F6826" s="35">
        <f>SUMIFS(F6827:F9015,K6827:K9015,"0",B6827:B9015,"5 1 2 9 1 12 31111 6 M59 20400 000132 0000R*")</f>
        <v>22016.43</v>
      </c>
      <c r="G6826" s="35">
        <f>SUMIFS(G6827:G9015,K6827:K9015,"0",B6827:B9015,"5 1 2 9 1 12 31111 6 M59 20400 000132 0000R*")</f>
        <v>0</v>
      </c>
      <c r="H6826" s="35">
        <f t="shared" si="107"/>
        <v>22016.43</v>
      </c>
      <c r="I6826" s="35"/>
      <c r="K6826" t="s">
        <v>15</v>
      </c>
    </row>
    <row r="6827" spans="2:11" ht="24.75" x14ac:dyDescent="0.2">
      <c r="B6827" s="33" t="s">
        <v>7852</v>
      </c>
      <c r="C6827" s="33" t="s">
        <v>282</v>
      </c>
      <c r="D6827" s="35">
        <f>SUMIFS(D6828:D9015,K6828:K9015,"0",B6828:B9015,"5 1 2 9 1 12 31111 6 M59 20400 000132 0000R 00001*")-SUMIFS(E6828:E9015,K6828:K9015,"0",B6828:B9015,"5 1 2 9 1 12 31111 6 M59 20400 000132 0000R 00001*")</f>
        <v>0</v>
      </c>
      <c r="E6827"/>
      <c r="F6827" s="35">
        <f>SUMIFS(F6828:F9015,K6828:K9015,"0",B6828:B9015,"5 1 2 9 1 12 31111 6 M59 20400 000132 0000R 00001*")</f>
        <v>22016.43</v>
      </c>
      <c r="G6827" s="35">
        <f>SUMIFS(G6828:G9015,K6828:K9015,"0",B6828:B9015,"5 1 2 9 1 12 31111 6 M59 20400 000132 0000R 00001*")</f>
        <v>0</v>
      </c>
      <c r="H6827" s="35">
        <f t="shared" si="107"/>
        <v>22016.43</v>
      </c>
      <c r="I6827" s="35"/>
      <c r="K6827" t="s">
        <v>15</v>
      </c>
    </row>
    <row r="6828" spans="2:11" ht="24.75" x14ac:dyDescent="0.2">
      <c r="B6828" s="33" t="s">
        <v>7853</v>
      </c>
      <c r="C6828" s="33" t="s">
        <v>7842</v>
      </c>
      <c r="D6828" s="35">
        <f>SUMIFS(D6829:D9015,K6829:K9015,"0",B6829:B9015,"5 1 2 9 1 12 31111 6 M59 20400 000132 0000R 00001 00291*")-SUMIFS(E6829:E9015,K6829:K9015,"0",B6829:B9015,"5 1 2 9 1 12 31111 6 M59 20400 000132 0000R 00001 00291*")</f>
        <v>0</v>
      </c>
      <c r="E6828"/>
      <c r="F6828" s="35">
        <f>SUMIFS(F6829:F9015,K6829:K9015,"0",B6829:B9015,"5 1 2 9 1 12 31111 6 M59 20400 000132 0000R 00001 00291*")</f>
        <v>22016.43</v>
      </c>
      <c r="G6828" s="35">
        <f>SUMIFS(G6829:G9015,K6829:K9015,"0",B6829:B9015,"5 1 2 9 1 12 31111 6 M59 20400 000132 0000R 00001 00291*")</f>
        <v>0</v>
      </c>
      <c r="H6828" s="35">
        <f t="shared" si="107"/>
        <v>22016.43</v>
      </c>
      <c r="I6828" s="35"/>
      <c r="K6828" t="s">
        <v>15</v>
      </c>
    </row>
    <row r="6829" spans="2:11" ht="33" x14ac:dyDescent="0.2">
      <c r="B6829" s="33" t="s">
        <v>7854</v>
      </c>
      <c r="C6829" s="33" t="s">
        <v>1051</v>
      </c>
      <c r="D6829" s="35">
        <f>SUMIFS(D6830:D9015,K6830:K9015,"0",B6830:B9015,"5 1 2 9 1 12 31111 6 M59 20400 000132 0000R 00001 00291 015*")-SUMIFS(E6830:E9015,K6830:K9015,"0",B6830:B9015,"5 1 2 9 1 12 31111 6 M59 20400 000132 0000R 00001 00291 015*")</f>
        <v>0</v>
      </c>
      <c r="E6829"/>
      <c r="F6829" s="35">
        <f>SUMIFS(F6830:F9015,K6830:K9015,"0",B6830:B9015,"5 1 2 9 1 12 31111 6 M59 20400 000132 0000R 00001 00291 015*")</f>
        <v>22016.43</v>
      </c>
      <c r="G6829" s="35">
        <f>SUMIFS(G6830:G9015,K6830:K9015,"0",B6830:B9015,"5 1 2 9 1 12 31111 6 M59 20400 000132 0000R 00001 00291 015*")</f>
        <v>0</v>
      </c>
      <c r="H6829" s="35">
        <f t="shared" si="107"/>
        <v>22016.43</v>
      </c>
      <c r="I6829" s="35"/>
      <c r="K6829" t="s">
        <v>15</v>
      </c>
    </row>
    <row r="6830" spans="2:11" ht="33" x14ac:dyDescent="0.2">
      <c r="B6830" s="33" t="s">
        <v>7855</v>
      </c>
      <c r="C6830" s="33" t="s">
        <v>5830</v>
      </c>
      <c r="D6830" s="35">
        <f>SUMIFS(D6831:D9015,K6831:K9015,"0",B6831:B9015,"5 1 2 9 1 12 31111 6 M59 20400 000132 0000R 00001 00291 015 2112000*")-SUMIFS(E6831:E9015,K6831:K9015,"0",B6831:B9015,"5 1 2 9 1 12 31111 6 M59 20400 000132 0000R 00001 00291 015 2112000*")</f>
        <v>0</v>
      </c>
      <c r="E6830"/>
      <c r="F6830" s="35">
        <f>SUMIFS(F6831:F9015,K6831:K9015,"0",B6831:B9015,"5 1 2 9 1 12 31111 6 M59 20400 000132 0000R 00001 00291 015 2112000*")</f>
        <v>22016.43</v>
      </c>
      <c r="G6830" s="35">
        <f>SUMIFS(G6831:G9015,K6831:K9015,"0",B6831:B9015,"5 1 2 9 1 12 31111 6 M59 20400 000132 0000R 00001 00291 015 2112000*")</f>
        <v>0</v>
      </c>
      <c r="H6830" s="35">
        <f t="shared" si="107"/>
        <v>22016.43</v>
      </c>
      <c r="I6830" s="35"/>
      <c r="K6830" t="s">
        <v>15</v>
      </c>
    </row>
    <row r="6831" spans="2:11" ht="33" x14ac:dyDescent="0.2">
      <c r="B6831" s="33" t="s">
        <v>7856</v>
      </c>
      <c r="C6831" s="33" t="s">
        <v>660</v>
      </c>
      <c r="D6831" s="35">
        <f>SUMIFS(D6832:D9015,K6832:K9015,"0",B6832:B9015,"5 1 2 9 1 12 31111 6 M59 20400 000132 0000R 00001 00291 015 2112000 2024*")-SUMIFS(E6832:E9015,K6832:K9015,"0",B6832:B9015,"5 1 2 9 1 12 31111 6 M59 20400 000132 0000R 00001 00291 015 2112000 2024*")</f>
        <v>0</v>
      </c>
      <c r="E6831"/>
      <c r="F6831" s="35">
        <f>SUMIFS(F6832:F9015,K6832:K9015,"0",B6832:B9015,"5 1 2 9 1 12 31111 6 M59 20400 000132 0000R 00001 00291 015 2112000 2024*")</f>
        <v>22016.43</v>
      </c>
      <c r="G6831" s="35">
        <f>SUMIFS(G6832:G9015,K6832:K9015,"0",B6832:B9015,"5 1 2 9 1 12 31111 6 M59 20400 000132 0000R 00001 00291 015 2112000 2024*")</f>
        <v>0</v>
      </c>
      <c r="H6831" s="35">
        <f t="shared" si="107"/>
        <v>22016.43</v>
      </c>
      <c r="I6831" s="35"/>
      <c r="K6831" t="s">
        <v>15</v>
      </c>
    </row>
    <row r="6832" spans="2:11" ht="41.25" x14ac:dyDescent="0.2">
      <c r="B6832" s="33" t="s">
        <v>7857</v>
      </c>
      <c r="C6832" s="33" t="s">
        <v>1056</v>
      </c>
      <c r="D6832" s="35">
        <f>SUMIFS(D6833:D9015,K6833:K9015,"0",B6833:B9015,"5 1 2 9 1 12 31111 6 M59 20400 000132 0000R 00001 00291 015 2112000 2024 CP1PV404*")-SUMIFS(E6833:E9015,K6833:K9015,"0",B6833:B9015,"5 1 2 9 1 12 31111 6 M59 20400 000132 0000R 00001 00291 015 2112000 2024 CP1PV404*")</f>
        <v>0</v>
      </c>
      <c r="E6832"/>
      <c r="F6832" s="35">
        <f>SUMIFS(F6833:F9015,K6833:K9015,"0",B6833:B9015,"5 1 2 9 1 12 31111 6 M59 20400 000132 0000R 00001 00291 015 2112000 2024 CP1PV404*")</f>
        <v>22016.43</v>
      </c>
      <c r="G6832" s="35">
        <f>SUMIFS(G6833:G9015,K6833:K9015,"0",B6833:B9015,"5 1 2 9 1 12 31111 6 M59 20400 000132 0000R 00001 00291 015 2112000 2024 CP1PV404*")</f>
        <v>0</v>
      </c>
      <c r="H6832" s="35">
        <f t="shared" si="107"/>
        <v>22016.43</v>
      </c>
      <c r="I6832" s="35"/>
      <c r="K6832" t="s">
        <v>15</v>
      </c>
    </row>
    <row r="6833" spans="2:11" ht="41.25" x14ac:dyDescent="0.2">
      <c r="B6833" s="33" t="s">
        <v>7858</v>
      </c>
      <c r="C6833" s="33" t="s">
        <v>282</v>
      </c>
      <c r="D6833" s="35">
        <f>SUMIFS(D6834:D9015,K6834:K9015,"0",B6834:B9015,"5 1 2 9 1 12 31111 6 M59 20400 000132 0000R 00001 00291 015 2112000 2024 CP1PV404 001*")-SUMIFS(E6834:E9015,K6834:K9015,"0",B6834:B9015,"5 1 2 9 1 12 31111 6 M59 20400 000132 0000R 00001 00291 015 2112000 2024 CP1PV404 001*")</f>
        <v>0</v>
      </c>
      <c r="E6833"/>
      <c r="F6833" s="35">
        <f>SUMIFS(F6834:F9015,K6834:K9015,"0",B6834:B9015,"5 1 2 9 1 12 31111 6 M59 20400 000132 0000R 00001 00291 015 2112000 2024 CP1PV404 001*")</f>
        <v>22016.43</v>
      </c>
      <c r="G6833" s="35">
        <f>SUMIFS(G6834:G9015,K6834:K9015,"0",B6834:B9015,"5 1 2 9 1 12 31111 6 M59 20400 000132 0000R 00001 00291 015 2112000 2024 CP1PV404 001*")</f>
        <v>0</v>
      </c>
      <c r="H6833" s="35">
        <f t="shared" si="107"/>
        <v>22016.43</v>
      </c>
      <c r="I6833" s="35"/>
      <c r="K6833" t="s">
        <v>15</v>
      </c>
    </row>
    <row r="6834" spans="2:11" ht="41.25" x14ac:dyDescent="0.2">
      <c r="B6834" s="31" t="s">
        <v>7859</v>
      </c>
      <c r="C6834" s="31" t="s">
        <v>7842</v>
      </c>
      <c r="D6834" s="34">
        <v>0</v>
      </c>
      <c r="E6834" s="34"/>
      <c r="F6834" s="34">
        <v>22016.43</v>
      </c>
      <c r="G6834" s="34">
        <v>0</v>
      </c>
      <c r="H6834" s="34">
        <f t="shared" si="107"/>
        <v>22016.43</v>
      </c>
      <c r="I6834" s="34"/>
      <c r="K6834" t="s">
        <v>38</v>
      </c>
    </row>
    <row r="6835" spans="2:11" ht="16.5" x14ac:dyDescent="0.2">
      <c r="B6835" s="33" t="s">
        <v>7860</v>
      </c>
      <c r="C6835" s="33" t="s">
        <v>1079</v>
      </c>
      <c r="D6835" s="35">
        <f>SUMIFS(D6836:D9015,K6836:K9015,"0",B6836:B9015,"5 1 2 9 1 12 31111 6 M59 20500*")-SUMIFS(E6836:E9015,K6836:K9015,"0",B6836:B9015,"5 1 2 9 1 12 31111 6 M59 20500*")</f>
        <v>0</v>
      </c>
      <c r="E6835"/>
      <c r="F6835" s="35">
        <f>SUMIFS(F6836:F9015,K6836:K9015,"0",B6836:B9015,"5 1 2 9 1 12 31111 6 M59 20500*")</f>
        <v>20000</v>
      </c>
      <c r="G6835" s="35">
        <f>SUMIFS(G6836:G9015,K6836:K9015,"0",B6836:B9015,"5 1 2 9 1 12 31111 6 M59 20500*")</f>
        <v>0</v>
      </c>
      <c r="H6835" s="35">
        <f t="shared" si="107"/>
        <v>20000</v>
      </c>
      <c r="I6835" s="35"/>
      <c r="K6835" t="s">
        <v>15</v>
      </c>
    </row>
    <row r="6836" spans="2:11" ht="16.5" x14ac:dyDescent="0.2">
      <c r="B6836" s="33" t="s">
        <v>7861</v>
      </c>
      <c r="C6836" s="33" t="s">
        <v>648</v>
      </c>
      <c r="D6836" s="35">
        <f>SUMIFS(D6837:D9015,K6837:K9015,"0",B6837:B9015,"5 1 2 9 1 12 31111 6 M59 20500 000132*")-SUMIFS(E6837:E9015,K6837:K9015,"0",B6837:B9015,"5 1 2 9 1 12 31111 6 M59 20500 000132*")</f>
        <v>0</v>
      </c>
      <c r="E6836"/>
      <c r="F6836" s="35">
        <f>SUMIFS(F6837:F9015,K6837:K9015,"0",B6837:B9015,"5 1 2 9 1 12 31111 6 M59 20500 000132*")</f>
        <v>20000</v>
      </c>
      <c r="G6836" s="35">
        <f>SUMIFS(G6837:G9015,K6837:K9015,"0",B6837:B9015,"5 1 2 9 1 12 31111 6 M59 20500 000132*")</f>
        <v>0</v>
      </c>
      <c r="H6836" s="35">
        <f t="shared" si="107"/>
        <v>20000</v>
      </c>
      <c r="I6836" s="35"/>
      <c r="K6836" t="s">
        <v>15</v>
      </c>
    </row>
    <row r="6837" spans="2:11" ht="24.75" x14ac:dyDescent="0.2">
      <c r="B6837" s="33" t="s">
        <v>7862</v>
      </c>
      <c r="C6837" s="33" t="s">
        <v>650</v>
      </c>
      <c r="D6837" s="35">
        <f>SUMIFS(D6838:D9015,K6838:K9015,"0",B6838:B9015,"5 1 2 9 1 12 31111 6 M59 20500 000132 0000R*")-SUMIFS(E6838:E9015,K6838:K9015,"0",B6838:B9015,"5 1 2 9 1 12 31111 6 M59 20500 000132 0000R*")</f>
        <v>0</v>
      </c>
      <c r="E6837"/>
      <c r="F6837" s="35">
        <f>SUMIFS(F6838:F9015,K6838:K9015,"0",B6838:B9015,"5 1 2 9 1 12 31111 6 M59 20500 000132 0000R*")</f>
        <v>20000</v>
      </c>
      <c r="G6837" s="35">
        <f>SUMIFS(G6838:G9015,K6838:K9015,"0",B6838:B9015,"5 1 2 9 1 12 31111 6 M59 20500 000132 0000R*")</f>
        <v>0</v>
      </c>
      <c r="H6837" s="35">
        <f t="shared" si="107"/>
        <v>20000</v>
      </c>
      <c r="I6837" s="35"/>
      <c r="K6837" t="s">
        <v>15</v>
      </c>
    </row>
    <row r="6838" spans="2:11" ht="24.75" x14ac:dyDescent="0.2">
      <c r="B6838" s="33" t="s">
        <v>7863</v>
      </c>
      <c r="C6838" s="33" t="s">
        <v>282</v>
      </c>
      <c r="D6838" s="35">
        <f>SUMIFS(D6839:D9015,K6839:K9015,"0",B6839:B9015,"5 1 2 9 1 12 31111 6 M59 20500 000132 0000R 00001*")-SUMIFS(E6839:E9015,K6839:K9015,"0",B6839:B9015,"5 1 2 9 1 12 31111 6 M59 20500 000132 0000R 00001*")</f>
        <v>0</v>
      </c>
      <c r="E6838"/>
      <c r="F6838" s="35">
        <f>SUMIFS(F6839:F9015,K6839:K9015,"0",B6839:B9015,"5 1 2 9 1 12 31111 6 M59 20500 000132 0000R 00001*")</f>
        <v>20000</v>
      </c>
      <c r="G6838" s="35">
        <f>SUMIFS(G6839:G9015,K6839:K9015,"0",B6839:B9015,"5 1 2 9 1 12 31111 6 M59 20500 000132 0000R 00001*")</f>
        <v>0</v>
      </c>
      <c r="H6838" s="35">
        <f t="shared" si="107"/>
        <v>20000</v>
      </c>
      <c r="I6838" s="35"/>
      <c r="K6838" t="s">
        <v>15</v>
      </c>
    </row>
    <row r="6839" spans="2:11" ht="24.75" x14ac:dyDescent="0.2">
      <c r="B6839" s="33" t="s">
        <v>7864</v>
      </c>
      <c r="C6839" s="33" t="s">
        <v>7842</v>
      </c>
      <c r="D6839" s="35">
        <f>SUMIFS(D6840:D9015,K6840:K9015,"0",B6840:B9015,"5 1 2 9 1 12 31111 6 M59 20500 000132 0000R 00001 00291*")-SUMIFS(E6840:E9015,K6840:K9015,"0",B6840:B9015,"5 1 2 9 1 12 31111 6 M59 20500 000132 0000R 00001 00291*")</f>
        <v>0</v>
      </c>
      <c r="E6839"/>
      <c r="F6839" s="35">
        <f>SUMIFS(F6840:F9015,K6840:K9015,"0",B6840:B9015,"5 1 2 9 1 12 31111 6 M59 20500 000132 0000R 00001 00291*")</f>
        <v>20000</v>
      </c>
      <c r="G6839" s="35">
        <f>SUMIFS(G6840:G9015,K6840:K9015,"0",B6840:B9015,"5 1 2 9 1 12 31111 6 M59 20500 000132 0000R 00001 00291*")</f>
        <v>0</v>
      </c>
      <c r="H6839" s="35">
        <f t="shared" si="107"/>
        <v>20000</v>
      </c>
      <c r="I6839" s="35"/>
      <c r="K6839" t="s">
        <v>15</v>
      </c>
    </row>
    <row r="6840" spans="2:11" ht="33" x14ac:dyDescent="0.2">
      <c r="B6840" s="33" t="s">
        <v>7865</v>
      </c>
      <c r="C6840" s="33" t="s">
        <v>1051</v>
      </c>
      <c r="D6840" s="35">
        <f>SUMIFS(D6841:D9015,K6841:K9015,"0",B6841:B9015,"5 1 2 9 1 12 31111 6 M59 20500 000132 0000R 00001 00291 015*")-SUMIFS(E6841:E9015,K6841:K9015,"0",B6841:B9015,"5 1 2 9 1 12 31111 6 M59 20500 000132 0000R 00001 00291 015*")</f>
        <v>0</v>
      </c>
      <c r="E6840"/>
      <c r="F6840" s="35">
        <f>SUMIFS(F6841:F9015,K6841:K9015,"0",B6841:B9015,"5 1 2 9 1 12 31111 6 M59 20500 000132 0000R 00001 00291 015*")</f>
        <v>20000</v>
      </c>
      <c r="G6840" s="35">
        <f>SUMIFS(G6841:G9015,K6841:K9015,"0",B6841:B9015,"5 1 2 9 1 12 31111 6 M59 20500 000132 0000R 00001 00291 015*")</f>
        <v>0</v>
      </c>
      <c r="H6840" s="35">
        <f t="shared" si="107"/>
        <v>20000</v>
      </c>
      <c r="I6840" s="35"/>
      <c r="K6840" t="s">
        <v>15</v>
      </c>
    </row>
    <row r="6841" spans="2:11" ht="33" x14ac:dyDescent="0.2">
      <c r="B6841" s="33" t="s">
        <v>7866</v>
      </c>
      <c r="C6841" s="33" t="s">
        <v>5830</v>
      </c>
      <c r="D6841" s="35">
        <f>SUMIFS(D6842:D9015,K6842:K9015,"0",B6842:B9015,"5 1 2 9 1 12 31111 6 M59 20500 000132 0000R 00001 00291 015 2112000*")-SUMIFS(E6842:E9015,K6842:K9015,"0",B6842:B9015,"5 1 2 9 1 12 31111 6 M59 20500 000132 0000R 00001 00291 015 2112000*")</f>
        <v>0</v>
      </c>
      <c r="E6841"/>
      <c r="F6841" s="35">
        <f>SUMIFS(F6842:F9015,K6842:K9015,"0",B6842:B9015,"5 1 2 9 1 12 31111 6 M59 20500 000132 0000R 00001 00291 015 2112000*")</f>
        <v>20000</v>
      </c>
      <c r="G6841" s="35">
        <f>SUMIFS(G6842:G9015,K6842:K9015,"0",B6842:B9015,"5 1 2 9 1 12 31111 6 M59 20500 000132 0000R 00001 00291 015 2112000*")</f>
        <v>0</v>
      </c>
      <c r="H6841" s="35">
        <f t="shared" si="107"/>
        <v>20000</v>
      </c>
      <c r="I6841" s="35"/>
      <c r="K6841" t="s">
        <v>15</v>
      </c>
    </row>
    <row r="6842" spans="2:11" ht="33" x14ac:dyDescent="0.2">
      <c r="B6842" s="33" t="s">
        <v>7867</v>
      </c>
      <c r="C6842" s="33" t="s">
        <v>660</v>
      </c>
      <c r="D6842" s="35">
        <f>SUMIFS(D6843:D9015,K6843:K9015,"0",B6843:B9015,"5 1 2 9 1 12 31111 6 M59 20500 000132 0000R 00001 00291 015 2112000 2024*")-SUMIFS(E6843:E9015,K6843:K9015,"0",B6843:B9015,"5 1 2 9 1 12 31111 6 M59 20500 000132 0000R 00001 00291 015 2112000 2024*")</f>
        <v>0</v>
      </c>
      <c r="E6842"/>
      <c r="F6842" s="35">
        <f>SUMIFS(F6843:F9015,K6843:K9015,"0",B6843:B9015,"5 1 2 9 1 12 31111 6 M59 20500 000132 0000R 00001 00291 015 2112000 2024*")</f>
        <v>20000</v>
      </c>
      <c r="G6842" s="35">
        <f>SUMIFS(G6843:G9015,K6843:K9015,"0",B6843:B9015,"5 1 2 9 1 12 31111 6 M59 20500 000132 0000R 00001 00291 015 2112000 2024*")</f>
        <v>0</v>
      </c>
      <c r="H6842" s="35">
        <f t="shared" si="107"/>
        <v>20000</v>
      </c>
      <c r="I6842" s="35"/>
      <c r="K6842" t="s">
        <v>15</v>
      </c>
    </row>
    <row r="6843" spans="2:11" ht="41.25" x14ac:dyDescent="0.2">
      <c r="B6843" s="33" t="s">
        <v>7868</v>
      </c>
      <c r="C6843" s="33" t="s">
        <v>1056</v>
      </c>
      <c r="D6843" s="35">
        <f>SUMIFS(D6844:D9015,K6844:K9015,"0",B6844:B9015,"5 1 2 9 1 12 31111 6 M59 20500 000132 0000R 00001 00291 015 2112000 2024 CP1CP420*")-SUMIFS(E6844:E9015,K6844:K9015,"0",B6844:B9015,"5 1 2 9 1 12 31111 6 M59 20500 000132 0000R 00001 00291 015 2112000 2024 CP1CP420*")</f>
        <v>0</v>
      </c>
      <c r="E6843"/>
      <c r="F6843" s="35">
        <f>SUMIFS(F6844:F9015,K6844:K9015,"0",B6844:B9015,"5 1 2 9 1 12 31111 6 M59 20500 000132 0000R 00001 00291 015 2112000 2024 CP1CP420*")</f>
        <v>20000</v>
      </c>
      <c r="G6843" s="35">
        <f>SUMIFS(G6844:G9015,K6844:K9015,"0",B6844:B9015,"5 1 2 9 1 12 31111 6 M59 20500 000132 0000R 00001 00291 015 2112000 2024 CP1CP420*")</f>
        <v>0</v>
      </c>
      <c r="H6843" s="35">
        <f t="shared" si="107"/>
        <v>20000</v>
      </c>
      <c r="I6843" s="35"/>
      <c r="K6843" t="s">
        <v>15</v>
      </c>
    </row>
    <row r="6844" spans="2:11" ht="41.25" x14ac:dyDescent="0.2">
      <c r="B6844" s="33" t="s">
        <v>7869</v>
      </c>
      <c r="C6844" s="33" t="s">
        <v>282</v>
      </c>
      <c r="D6844" s="35">
        <f>SUMIFS(D6845:D9015,K6845:K9015,"0",B6845:B9015,"5 1 2 9 1 12 31111 6 M59 20500 000132 0000R 00001 00291 015 2112000 2024 CP1CP420 001*")-SUMIFS(E6845:E9015,K6845:K9015,"0",B6845:B9015,"5 1 2 9 1 12 31111 6 M59 20500 000132 0000R 00001 00291 015 2112000 2024 CP1CP420 001*")</f>
        <v>0</v>
      </c>
      <c r="E6844"/>
      <c r="F6844" s="35">
        <f>SUMIFS(F6845:F9015,K6845:K9015,"0",B6845:B9015,"5 1 2 9 1 12 31111 6 M59 20500 000132 0000R 00001 00291 015 2112000 2024 CP1CP420 001*")</f>
        <v>20000</v>
      </c>
      <c r="G6844" s="35">
        <f>SUMIFS(G6845:G9015,K6845:K9015,"0",B6845:B9015,"5 1 2 9 1 12 31111 6 M59 20500 000132 0000R 00001 00291 015 2112000 2024 CP1CP420 001*")</f>
        <v>0</v>
      </c>
      <c r="H6844" s="35">
        <f t="shared" si="107"/>
        <v>20000</v>
      </c>
      <c r="I6844" s="35"/>
      <c r="K6844" t="s">
        <v>15</v>
      </c>
    </row>
    <row r="6845" spans="2:11" ht="33" x14ac:dyDescent="0.2">
      <c r="B6845" s="31" t="s">
        <v>7870</v>
      </c>
      <c r="C6845" s="31" t="s">
        <v>7832</v>
      </c>
      <c r="D6845" s="34">
        <v>0</v>
      </c>
      <c r="E6845" s="34"/>
      <c r="F6845" s="34">
        <v>20000</v>
      </c>
      <c r="G6845" s="34">
        <v>0</v>
      </c>
      <c r="H6845" s="34">
        <f t="shared" si="107"/>
        <v>20000</v>
      </c>
      <c r="I6845" s="34"/>
      <c r="K6845" t="s">
        <v>38</v>
      </c>
    </row>
    <row r="6846" spans="2:11" ht="16.5" x14ac:dyDescent="0.2">
      <c r="B6846" s="33" t="s">
        <v>7871</v>
      </c>
      <c r="C6846" s="33" t="s">
        <v>3138</v>
      </c>
      <c r="D6846" s="35">
        <f>SUMIFS(D6847:D9015,K6847:K9015,"0",B6847:B9015,"5 1 2 9 1 12 31111 6 M59 20700*")-SUMIFS(E6847:E9015,K6847:K9015,"0",B6847:B9015,"5 1 2 9 1 12 31111 6 M59 20700*")</f>
        <v>0</v>
      </c>
      <c r="E6846"/>
      <c r="F6846" s="35">
        <f>SUMIFS(F6847:F9015,K6847:K9015,"0",B6847:B9015,"5 1 2 9 1 12 31111 6 M59 20700*")</f>
        <v>4008.98</v>
      </c>
      <c r="G6846" s="35">
        <f>SUMIFS(G6847:G9015,K6847:K9015,"0",B6847:B9015,"5 1 2 9 1 12 31111 6 M59 20700*")</f>
        <v>0</v>
      </c>
      <c r="H6846" s="35">
        <f t="shared" si="107"/>
        <v>4008.98</v>
      </c>
      <c r="I6846" s="35"/>
      <c r="K6846" t="s">
        <v>15</v>
      </c>
    </row>
    <row r="6847" spans="2:11" ht="16.5" x14ac:dyDescent="0.2">
      <c r="B6847" s="33" t="s">
        <v>7872</v>
      </c>
      <c r="C6847" s="33" t="s">
        <v>648</v>
      </c>
      <c r="D6847" s="35">
        <f>SUMIFS(D6848:D9015,K6848:K9015,"0",B6848:B9015,"5 1 2 9 1 12 31111 6 M59 20700 000132*")-SUMIFS(E6848:E9015,K6848:K9015,"0",B6848:B9015,"5 1 2 9 1 12 31111 6 M59 20700 000132*")</f>
        <v>0</v>
      </c>
      <c r="E6847"/>
      <c r="F6847" s="35">
        <f>SUMIFS(F6848:F9015,K6848:K9015,"0",B6848:B9015,"5 1 2 9 1 12 31111 6 M59 20700 000132*")</f>
        <v>4008.98</v>
      </c>
      <c r="G6847" s="35">
        <f>SUMIFS(G6848:G9015,K6848:K9015,"0",B6848:B9015,"5 1 2 9 1 12 31111 6 M59 20700 000132*")</f>
        <v>0</v>
      </c>
      <c r="H6847" s="35">
        <f t="shared" si="107"/>
        <v>4008.98</v>
      </c>
      <c r="I6847" s="35"/>
      <c r="K6847" t="s">
        <v>15</v>
      </c>
    </row>
    <row r="6848" spans="2:11" ht="24.75" x14ac:dyDescent="0.2">
      <c r="B6848" s="33" t="s">
        <v>7873</v>
      </c>
      <c r="C6848" s="33" t="s">
        <v>650</v>
      </c>
      <c r="D6848" s="35">
        <f>SUMIFS(D6849:D9015,K6849:K9015,"0",B6849:B9015,"5 1 2 9 1 12 31111 6 M59 20700 000132 0000R*")-SUMIFS(E6849:E9015,K6849:K9015,"0",B6849:B9015,"5 1 2 9 1 12 31111 6 M59 20700 000132 0000R*")</f>
        <v>0</v>
      </c>
      <c r="E6848"/>
      <c r="F6848" s="35">
        <f>SUMIFS(F6849:F9015,K6849:K9015,"0",B6849:B9015,"5 1 2 9 1 12 31111 6 M59 20700 000132 0000R*")</f>
        <v>4008.98</v>
      </c>
      <c r="G6848" s="35">
        <f>SUMIFS(G6849:G9015,K6849:K9015,"0",B6849:B9015,"5 1 2 9 1 12 31111 6 M59 20700 000132 0000R*")</f>
        <v>0</v>
      </c>
      <c r="H6848" s="35">
        <f t="shared" si="107"/>
        <v>4008.98</v>
      </c>
      <c r="I6848" s="35"/>
      <c r="K6848" t="s">
        <v>15</v>
      </c>
    </row>
    <row r="6849" spans="2:11" ht="24.75" x14ac:dyDescent="0.2">
      <c r="B6849" s="33" t="s">
        <v>7874</v>
      </c>
      <c r="C6849" s="33" t="s">
        <v>282</v>
      </c>
      <c r="D6849" s="35">
        <f>SUMIFS(D6850:D9015,K6850:K9015,"0",B6850:B9015,"5 1 2 9 1 12 31111 6 M59 20700 000132 0000R 00001*")-SUMIFS(E6850:E9015,K6850:K9015,"0",B6850:B9015,"5 1 2 9 1 12 31111 6 M59 20700 000132 0000R 00001*")</f>
        <v>0</v>
      </c>
      <c r="E6849"/>
      <c r="F6849" s="35">
        <f>SUMIFS(F6850:F9015,K6850:K9015,"0",B6850:B9015,"5 1 2 9 1 12 31111 6 M59 20700 000132 0000R 00001*")</f>
        <v>4008.98</v>
      </c>
      <c r="G6849" s="35">
        <f>SUMIFS(G6850:G9015,K6850:K9015,"0",B6850:B9015,"5 1 2 9 1 12 31111 6 M59 20700 000132 0000R 00001*")</f>
        <v>0</v>
      </c>
      <c r="H6849" s="35">
        <f t="shared" si="107"/>
        <v>4008.98</v>
      </c>
      <c r="I6849" s="35"/>
      <c r="K6849" t="s">
        <v>15</v>
      </c>
    </row>
    <row r="6850" spans="2:11" ht="24.75" x14ac:dyDescent="0.2">
      <c r="B6850" s="33" t="s">
        <v>7875</v>
      </c>
      <c r="C6850" s="33" t="s">
        <v>7842</v>
      </c>
      <c r="D6850" s="35">
        <f>SUMIFS(D6851:D9015,K6851:K9015,"0",B6851:B9015,"5 1 2 9 1 12 31111 6 M59 20700 000132 0000R 00001 00291*")-SUMIFS(E6851:E9015,K6851:K9015,"0",B6851:B9015,"5 1 2 9 1 12 31111 6 M59 20700 000132 0000R 00001 00291*")</f>
        <v>0</v>
      </c>
      <c r="E6850"/>
      <c r="F6850" s="35">
        <f>SUMIFS(F6851:F9015,K6851:K9015,"0",B6851:B9015,"5 1 2 9 1 12 31111 6 M59 20700 000132 0000R 00001 00291*")</f>
        <v>4008.98</v>
      </c>
      <c r="G6850" s="35">
        <f>SUMIFS(G6851:G9015,K6851:K9015,"0",B6851:B9015,"5 1 2 9 1 12 31111 6 M59 20700 000132 0000R 00001 00291*")</f>
        <v>0</v>
      </c>
      <c r="H6850" s="35">
        <f t="shared" si="107"/>
        <v>4008.98</v>
      </c>
      <c r="I6850" s="35"/>
      <c r="K6850" t="s">
        <v>15</v>
      </c>
    </row>
    <row r="6851" spans="2:11" ht="33" x14ac:dyDescent="0.2">
      <c r="B6851" s="33" t="s">
        <v>7876</v>
      </c>
      <c r="C6851" s="33" t="s">
        <v>1051</v>
      </c>
      <c r="D6851" s="35">
        <f>SUMIFS(D6852:D9015,K6852:K9015,"0",B6852:B9015,"5 1 2 9 1 12 31111 6 M59 20700 000132 0000R 00001 00291 015*")-SUMIFS(E6852:E9015,K6852:K9015,"0",B6852:B9015,"5 1 2 9 1 12 31111 6 M59 20700 000132 0000R 00001 00291 015*")</f>
        <v>0</v>
      </c>
      <c r="E6851"/>
      <c r="F6851" s="35">
        <f>SUMIFS(F6852:F9015,K6852:K9015,"0",B6852:B9015,"5 1 2 9 1 12 31111 6 M59 20700 000132 0000R 00001 00291 015*")</f>
        <v>4008.98</v>
      </c>
      <c r="G6851" s="35">
        <f>SUMIFS(G6852:G9015,K6852:K9015,"0",B6852:B9015,"5 1 2 9 1 12 31111 6 M59 20700 000132 0000R 00001 00291 015*")</f>
        <v>0</v>
      </c>
      <c r="H6851" s="35">
        <f t="shared" si="107"/>
        <v>4008.98</v>
      </c>
      <c r="I6851" s="35"/>
      <c r="K6851" t="s">
        <v>15</v>
      </c>
    </row>
    <row r="6852" spans="2:11" ht="33" x14ac:dyDescent="0.2">
      <c r="B6852" s="33" t="s">
        <v>7877</v>
      </c>
      <c r="C6852" s="33" t="s">
        <v>5830</v>
      </c>
      <c r="D6852" s="35">
        <f>SUMIFS(D6853:D9015,K6853:K9015,"0",B6853:B9015,"5 1 2 9 1 12 31111 6 M59 20700 000132 0000R 00001 00291 015 2112000*")-SUMIFS(E6853:E9015,K6853:K9015,"0",B6853:B9015,"5 1 2 9 1 12 31111 6 M59 20700 000132 0000R 00001 00291 015 2112000*")</f>
        <v>0</v>
      </c>
      <c r="E6852"/>
      <c r="F6852" s="35">
        <f>SUMIFS(F6853:F9015,K6853:K9015,"0",B6853:B9015,"5 1 2 9 1 12 31111 6 M59 20700 000132 0000R 00001 00291 015 2112000*")</f>
        <v>4008.98</v>
      </c>
      <c r="G6852" s="35">
        <f>SUMIFS(G6853:G9015,K6853:K9015,"0",B6853:B9015,"5 1 2 9 1 12 31111 6 M59 20700 000132 0000R 00001 00291 015 2112000*")</f>
        <v>0</v>
      </c>
      <c r="H6852" s="35">
        <f t="shared" ref="H6852:H6915" si="108">D6852 + F6852 - G6852</f>
        <v>4008.98</v>
      </c>
      <c r="I6852" s="35"/>
      <c r="K6852" t="s">
        <v>15</v>
      </c>
    </row>
    <row r="6853" spans="2:11" ht="33" x14ac:dyDescent="0.2">
      <c r="B6853" s="33" t="s">
        <v>7878</v>
      </c>
      <c r="C6853" s="33" t="s">
        <v>660</v>
      </c>
      <c r="D6853" s="35">
        <f>SUMIFS(D6854:D9015,K6854:K9015,"0",B6854:B9015,"5 1 2 9 1 12 31111 6 M59 20700 000132 0000R 00001 00291 015 2112000 2024*")-SUMIFS(E6854:E9015,K6854:K9015,"0",B6854:B9015,"5 1 2 9 1 12 31111 6 M59 20700 000132 0000R 00001 00291 015 2112000 2024*")</f>
        <v>0</v>
      </c>
      <c r="E6853"/>
      <c r="F6853" s="35">
        <f>SUMIFS(F6854:F9015,K6854:K9015,"0",B6854:B9015,"5 1 2 9 1 12 31111 6 M59 20700 000132 0000R 00001 00291 015 2112000 2024*")</f>
        <v>4008.98</v>
      </c>
      <c r="G6853" s="35">
        <f>SUMIFS(G6854:G9015,K6854:K9015,"0",B6854:B9015,"5 1 2 9 1 12 31111 6 M59 20700 000132 0000R 00001 00291 015 2112000 2024*")</f>
        <v>0</v>
      </c>
      <c r="H6853" s="35">
        <f t="shared" si="108"/>
        <v>4008.98</v>
      </c>
      <c r="I6853" s="35"/>
      <c r="K6853" t="s">
        <v>15</v>
      </c>
    </row>
    <row r="6854" spans="2:11" ht="41.25" x14ac:dyDescent="0.2">
      <c r="B6854" s="33" t="s">
        <v>7879</v>
      </c>
      <c r="C6854" s="33" t="s">
        <v>662</v>
      </c>
      <c r="D6854" s="35">
        <f>SUMIFS(D6855:D9015,K6855:K9015,"0",B6855:B9015,"5 1 2 9 1 12 31111 6 M59 20700 000132 0000R 00001 00291 015 2112000 2024 CP1RM401*")-SUMIFS(E6855:E9015,K6855:K9015,"0",B6855:B9015,"5 1 2 9 1 12 31111 6 M59 20700 000132 0000R 00001 00291 015 2112000 2024 CP1RM401*")</f>
        <v>0</v>
      </c>
      <c r="E6854"/>
      <c r="F6854" s="35">
        <f>SUMIFS(F6855:F9015,K6855:K9015,"0",B6855:B9015,"5 1 2 9 1 12 31111 6 M59 20700 000132 0000R 00001 00291 015 2112000 2024 CP1RM401*")</f>
        <v>4008.98</v>
      </c>
      <c r="G6854" s="35">
        <f>SUMIFS(G6855:G9015,K6855:K9015,"0",B6855:B9015,"5 1 2 9 1 12 31111 6 M59 20700 000132 0000R 00001 00291 015 2112000 2024 CP1RM401*")</f>
        <v>0</v>
      </c>
      <c r="H6854" s="35">
        <f t="shared" si="108"/>
        <v>4008.98</v>
      </c>
      <c r="I6854" s="35"/>
      <c r="K6854" t="s">
        <v>15</v>
      </c>
    </row>
    <row r="6855" spans="2:11" ht="41.25" x14ac:dyDescent="0.2">
      <c r="B6855" s="33" t="s">
        <v>7880</v>
      </c>
      <c r="C6855" s="33" t="s">
        <v>282</v>
      </c>
      <c r="D6855" s="35">
        <f>SUMIFS(D6856:D9015,K6856:K9015,"0",B6856:B9015,"5 1 2 9 1 12 31111 6 M59 20700 000132 0000R 00001 00291 015 2112000 2024 CP1RM401 001*")-SUMIFS(E6856:E9015,K6856:K9015,"0",B6856:B9015,"5 1 2 9 1 12 31111 6 M59 20700 000132 0000R 00001 00291 015 2112000 2024 CP1RM401 001*")</f>
        <v>0</v>
      </c>
      <c r="E6855"/>
      <c r="F6855" s="35">
        <f>SUMIFS(F6856:F9015,K6856:K9015,"0",B6856:B9015,"5 1 2 9 1 12 31111 6 M59 20700 000132 0000R 00001 00291 015 2112000 2024 CP1RM401 001*")</f>
        <v>4008.98</v>
      </c>
      <c r="G6855" s="35">
        <f>SUMIFS(G6856:G9015,K6856:K9015,"0",B6856:B9015,"5 1 2 9 1 12 31111 6 M59 20700 000132 0000R 00001 00291 015 2112000 2024 CP1RM401 001*")</f>
        <v>0</v>
      </c>
      <c r="H6855" s="35">
        <f t="shared" si="108"/>
        <v>4008.98</v>
      </c>
      <c r="I6855" s="35"/>
      <c r="K6855" t="s">
        <v>15</v>
      </c>
    </row>
    <row r="6856" spans="2:11" ht="33" x14ac:dyDescent="0.2">
      <c r="B6856" s="31" t="s">
        <v>7881</v>
      </c>
      <c r="C6856" s="31" t="s">
        <v>7842</v>
      </c>
      <c r="D6856" s="34">
        <v>0</v>
      </c>
      <c r="E6856" s="34"/>
      <c r="F6856" s="34">
        <v>4008.98</v>
      </c>
      <c r="G6856" s="34">
        <v>0</v>
      </c>
      <c r="H6856" s="34">
        <f t="shared" si="108"/>
        <v>4008.98</v>
      </c>
      <c r="I6856" s="34"/>
      <c r="K6856" t="s">
        <v>38</v>
      </c>
    </row>
    <row r="6857" spans="2:11" ht="16.5" x14ac:dyDescent="0.2">
      <c r="B6857" s="33" t="s">
        <v>7882</v>
      </c>
      <c r="C6857" s="33" t="s">
        <v>1092</v>
      </c>
      <c r="D6857" s="35">
        <f>SUMIFS(D6858:D9015,K6858:K9015,"0",B6858:B9015,"5 1 2 9 1 12 31111 6 M59 40000*")-SUMIFS(E6858:E9015,K6858:K9015,"0",B6858:B9015,"5 1 2 9 1 12 31111 6 M59 40000*")</f>
        <v>0</v>
      </c>
      <c r="E6857"/>
      <c r="F6857" s="35">
        <f>SUMIFS(F6858:F9015,K6858:K9015,"0",B6858:B9015,"5 1 2 9 1 12 31111 6 M59 40000*")</f>
        <v>28436.2</v>
      </c>
      <c r="G6857" s="35">
        <f>SUMIFS(G6858:G9015,K6858:K9015,"0",B6858:B9015,"5 1 2 9 1 12 31111 6 M59 40000*")</f>
        <v>0</v>
      </c>
      <c r="H6857" s="35">
        <f t="shared" si="108"/>
        <v>28436.2</v>
      </c>
      <c r="I6857" s="35"/>
      <c r="K6857" t="s">
        <v>15</v>
      </c>
    </row>
    <row r="6858" spans="2:11" ht="16.5" x14ac:dyDescent="0.2">
      <c r="B6858" s="33" t="s">
        <v>7883</v>
      </c>
      <c r="C6858" s="33" t="s">
        <v>1094</v>
      </c>
      <c r="D6858" s="35">
        <f>SUMIFS(D6859:D9015,K6859:K9015,"0",B6859:B9015,"5 1 2 9 1 12 31111 6 M59 40000 000161*")-SUMIFS(E6859:E9015,K6859:K9015,"0",B6859:B9015,"5 1 2 9 1 12 31111 6 M59 40000 000161*")</f>
        <v>0</v>
      </c>
      <c r="E6858"/>
      <c r="F6858" s="35">
        <f>SUMIFS(F6859:F9015,K6859:K9015,"0",B6859:B9015,"5 1 2 9 1 12 31111 6 M59 40000 000161*")</f>
        <v>28436.2</v>
      </c>
      <c r="G6858" s="35">
        <f>SUMIFS(G6859:G9015,K6859:K9015,"0",B6859:B9015,"5 1 2 9 1 12 31111 6 M59 40000 000161*")</f>
        <v>0</v>
      </c>
      <c r="H6858" s="35">
        <f t="shared" si="108"/>
        <v>28436.2</v>
      </c>
      <c r="I6858" s="35"/>
      <c r="K6858" t="s">
        <v>15</v>
      </c>
    </row>
    <row r="6859" spans="2:11" ht="24.75" x14ac:dyDescent="0.2">
      <c r="B6859" s="33" t="s">
        <v>7884</v>
      </c>
      <c r="C6859" s="33" t="s">
        <v>1065</v>
      </c>
      <c r="D6859" s="35">
        <f>SUMIFS(D6860:D9015,K6860:K9015,"0",B6860:B9015,"5 1 2 9 1 12 31111 6 M59 40000 000161 0000E*")-SUMIFS(E6860:E9015,K6860:K9015,"0",B6860:B9015,"5 1 2 9 1 12 31111 6 M59 40000 000161 0000E*")</f>
        <v>0</v>
      </c>
      <c r="E6859"/>
      <c r="F6859" s="35">
        <f>SUMIFS(F6860:F9015,K6860:K9015,"0",B6860:B9015,"5 1 2 9 1 12 31111 6 M59 40000 000161 0000E*")</f>
        <v>28436.2</v>
      </c>
      <c r="G6859" s="35">
        <f>SUMIFS(G6860:G9015,K6860:K9015,"0",B6860:B9015,"5 1 2 9 1 12 31111 6 M59 40000 000161 0000E*")</f>
        <v>0</v>
      </c>
      <c r="H6859" s="35">
        <f t="shared" si="108"/>
        <v>28436.2</v>
      </c>
      <c r="I6859" s="35"/>
      <c r="K6859" t="s">
        <v>15</v>
      </c>
    </row>
    <row r="6860" spans="2:11" ht="24.75" x14ac:dyDescent="0.2">
      <c r="B6860" s="33" t="s">
        <v>7885</v>
      </c>
      <c r="C6860" s="33" t="s">
        <v>282</v>
      </c>
      <c r="D6860" s="35">
        <f>SUMIFS(D6861:D9015,K6861:K9015,"0",B6861:B9015,"5 1 2 9 1 12 31111 6 M59 40000 000161 0000E 00001*")-SUMIFS(E6861:E9015,K6861:K9015,"0",B6861:B9015,"5 1 2 9 1 12 31111 6 M59 40000 000161 0000E 00001*")</f>
        <v>0</v>
      </c>
      <c r="E6860"/>
      <c r="F6860" s="35">
        <f>SUMIFS(F6861:F9015,K6861:K9015,"0",B6861:B9015,"5 1 2 9 1 12 31111 6 M59 40000 000161 0000E 00001*")</f>
        <v>28436.2</v>
      </c>
      <c r="G6860" s="35">
        <f>SUMIFS(G6861:G9015,K6861:K9015,"0",B6861:B9015,"5 1 2 9 1 12 31111 6 M59 40000 000161 0000E 00001*")</f>
        <v>0</v>
      </c>
      <c r="H6860" s="35">
        <f t="shared" si="108"/>
        <v>28436.2</v>
      </c>
      <c r="I6860" s="35"/>
      <c r="K6860" t="s">
        <v>15</v>
      </c>
    </row>
    <row r="6861" spans="2:11" ht="24.75" x14ac:dyDescent="0.2">
      <c r="B6861" s="33" t="s">
        <v>7886</v>
      </c>
      <c r="C6861" s="33" t="s">
        <v>7842</v>
      </c>
      <c r="D6861" s="35">
        <f>SUMIFS(D6862:D9015,K6862:K9015,"0",B6862:B9015,"5 1 2 9 1 12 31111 6 M59 40000 000161 0000E 00001 00291*")-SUMIFS(E6862:E9015,K6862:K9015,"0",B6862:B9015,"5 1 2 9 1 12 31111 6 M59 40000 000161 0000E 00001 00291*")</f>
        <v>0</v>
      </c>
      <c r="E6861"/>
      <c r="F6861" s="35">
        <f>SUMIFS(F6862:F9015,K6862:K9015,"0",B6862:B9015,"5 1 2 9 1 12 31111 6 M59 40000 000161 0000E 00001 00291*")</f>
        <v>28436.2</v>
      </c>
      <c r="G6861" s="35">
        <f>SUMIFS(G6862:G9015,K6862:K9015,"0",B6862:B9015,"5 1 2 9 1 12 31111 6 M59 40000 000161 0000E 00001 00291*")</f>
        <v>0</v>
      </c>
      <c r="H6861" s="35">
        <f t="shared" si="108"/>
        <v>28436.2</v>
      </c>
      <c r="I6861" s="35"/>
      <c r="K6861" t="s">
        <v>15</v>
      </c>
    </row>
    <row r="6862" spans="2:11" ht="33" x14ac:dyDescent="0.2">
      <c r="B6862" s="33" t="s">
        <v>7887</v>
      </c>
      <c r="C6862" s="33" t="s">
        <v>656</v>
      </c>
      <c r="D6862" s="35">
        <f>SUMIFS(D6863:D9015,K6863:K9015,"0",B6863:B9015,"5 1 2 9 1 12 31111 6 M59 40000 000161 0000E 00001 00291 025*")-SUMIFS(E6863:E9015,K6863:K9015,"0",B6863:B9015,"5 1 2 9 1 12 31111 6 M59 40000 000161 0000E 00001 00291 025*")</f>
        <v>0</v>
      </c>
      <c r="E6862"/>
      <c r="F6862" s="35">
        <f>SUMIFS(F6863:F9015,K6863:K9015,"0",B6863:B9015,"5 1 2 9 1 12 31111 6 M59 40000 000161 0000E 00001 00291 025*")</f>
        <v>28436.2</v>
      </c>
      <c r="G6862" s="35">
        <f>SUMIFS(G6863:G9015,K6863:K9015,"0",B6863:B9015,"5 1 2 9 1 12 31111 6 M59 40000 000161 0000E 00001 00291 025*")</f>
        <v>0</v>
      </c>
      <c r="H6862" s="35">
        <f t="shared" si="108"/>
        <v>28436.2</v>
      </c>
      <c r="I6862" s="35"/>
      <c r="K6862" t="s">
        <v>15</v>
      </c>
    </row>
    <row r="6863" spans="2:11" ht="33" x14ac:dyDescent="0.2">
      <c r="B6863" s="33" t="s">
        <v>7888</v>
      </c>
      <c r="C6863" s="33" t="s">
        <v>5830</v>
      </c>
      <c r="D6863" s="35">
        <f>SUMIFS(D6864:D9015,K6864:K9015,"0",B6864:B9015,"5 1 2 9 1 12 31111 6 M59 40000 000161 0000E 00001 00291 025 2112000*")-SUMIFS(E6864:E9015,K6864:K9015,"0",B6864:B9015,"5 1 2 9 1 12 31111 6 M59 40000 000161 0000E 00001 00291 025 2112000*")</f>
        <v>0</v>
      </c>
      <c r="E6863"/>
      <c r="F6863" s="35">
        <f>SUMIFS(F6864:F9015,K6864:K9015,"0",B6864:B9015,"5 1 2 9 1 12 31111 6 M59 40000 000161 0000E 00001 00291 025 2112000*")</f>
        <v>28436.2</v>
      </c>
      <c r="G6863" s="35">
        <f>SUMIFS(G6864:G9015,K6864:K9015,"0",B6864:B9015,"5 1 2 9 1 12 31111 6 M59 40000 000161 0000E 00001 00291 025 2112000*")</f>
        <v>0</v>
      </c>
      <c r="H6863" s="35">
        <f t="shared" si="108"/>
        <v>28436.2</v>
      </c>
      <c r="I6863" s="35"/>
      <c r="K6863" t="s">
        <v>15</v>
      </c>
    </row>
    <row r="6864" spans="2:11" ht="33" x14ac:dyDescent="0.2">
      <c r="B6864" s="33" t="s">
        <v>7889</v>
      </c>
      <c r="C6864" s="33" t="s">
        <v>660</v>
      </c>
      <c r="D6864" s="35">
        <f>SUMIFS(D6865:D9015,K6865:K9015,"0",B6865:B9015,"5 1 2 9 1 12 31111 6 M59 40000 000161 0000E 00001 00291 025 2112000 2024*")-SUMIFS(E6865:E9015,K6865:K9015,"0",B6865:B9015,"5 1 2 9 1 12 31111 6 M59 40000 000161 0000E 00001 00291 025 2112000 2024*")</f>
        <v>0</v>
      </c>
      <c r="E6864"/>
      <c r="F6864" s="35">
        <f>SUMIFS(F6865:F9015,K6865:K9015,"0",B6865:B9015,"5 1 2 9 1 12 31111 6 M59 40000 000161 0000E 00001 00291 025 2112000 2024*")</f>
        <v>28436.2</v>
      </c>
      <c r="G6864" s="35">
        <f>SUMIFS(G6865:G9015,K6865:K9015,"0",B6865:B9015,"5 1 2 9 1 12 31111 6 M59 40000 000161 0000E 00001 00291 025 2112000 2024*")</f>
        <v>0</v>
      </c>
      <c r="H6864" s="35">
        <f t="shared" si="108"/>
        <v>28436.2</v>
      </c>
      <c r="I6864" s="35"/>
      <c r="K6864" t="s">
        <v>15</v>
      </c>
    </row>
    <row r="6865" spans="2:11" ht="41.25" x14ac:dyDescent="0.2">
      <c r="B6865" s="33" t="s">
        <v>7890</v>
      </c>
      <c r="C6865" s="33" t="s">
        <v>662</v>
      </c>
      <c r="D6865" s="35">
        <f>SUMIFS(D6866:D9015,K6866:K9015,"0",B6866:B9015,"5 1 2 9 1 12 31111 6 M59 40000 000161 0000E 00001 00291 025 2112000 2024 CP4SP372*")-SUMIFS(E6866:E9015,K6866:K9015,"0",B6866:B9015,"5 1 2 9 1 12 31111 6 M59 40000 000161 0000E 00001 00291 025 2112000 2024 CP4SP372*")</f>
        <v>0</v>
      </c>
      <c r="E6865"/>
      <c r="F6865" s="35">
        <f>SUMIFS(F6866:F9015,K6866:K9015,"0",B6866:B9015,"5 1 2 9 1 12 31111 6 M59 40000 000161 0000E 00001 00291 025 2112000 2024 CP4SP372*")</f>
        <v>28436.2</v>
      </c>
      <c r="G6865" s="35">
        <f>SUMIFS(G6866:G9015,K6866:K9015,"0",B6866:B9015,"5 1 2 9 1 12 31111 6 M59 40000 000161 0000E 00001 00291 025 2112000 2024 CP4SP372*")</f>
        <v>0</v>
      </c>
      <c r="H6865" s="35">
        <f t="shared" si="108"/>
        <v>28436.2</v>
      </c>
      <c r="I6865" s="35"/>
      <c r="K6865" t="s">
        <v>15</v>
      </c>
    </row>
    <row r="6866" spans="2:11" ht="41.25" x14ac:dyDescent="0.2">
      <c r="B6866" s="33" t="s">
        <v>7891</v>
      </c>
      <c r="C6866" s="33" t="s">
        <v>664</v>
      </c>
      <c r="D6866" s="35">
        <f>SUMIFS(D6867:D9015,K6867:K9015,"0",B6867:B9015,"5 1 2 9 1 12 31111 6 M59 40000 000161 0000E 00001 00291 025 2112000 2024 CP4SP372 003*")-SUMIFS(E6867:E9015,K6867:K9015,"0",B6867:B9015,"5 1 2 9 1 12 31111 6 M59 40000 000161 0000E 00001 00291 025 2112000 2024 CP4SP372 003*")</f>
        <v>0</v>
      </c>
      <c r="E6866"/>
      <c r="F6866" s="35">
        <f>SUMIFS(F6867:F9015,K6867:K9015,"0",B6867:B9015,"5 1 2 9 1 12 31111 6 M59 40000 000161 0000E 00001 00291 025 2112000 2024 CP4SP372 003*")</f>
        <v>28436.2</v>
      </c>
      <c r="G6866" s="35">
        <f>SUMIFS(G6867:G9015,K6867:K9015,"0",B6867:B9015,"5 1 2 9 1 12 31111 6 M59 40000 000161 0000E 00001 00291 025 2112000 2024 CP4SP372 003*")</f>
        <v>0</v>
      </c>
      <c r="H6866" s="35">
        <f t="shared" si="108"/>
        <v>28436.2</v>
      </c>
      <c r="I6866" s="35"/>
      <c r="K6866" t="s">
        <v>15</v>
      </c>
    </row>
    <row r="6867" spans="2:11" ht="33" x14ac:dyDescent="0.2">
      <c r="B6867" s="31" t="s">
        <v>7892</v>
      </c>
      <c r="C6867" s="31" t="s">
        <v>7842</v>
      </c>
      <c r="D6867" s="34">
        <v>0</v>
      </c>
      <c r="E6867" s="34"/>
      <c r="F6867" s="34">
        <v>28436.2</v>
      </c>
      <c r="G6867" s="34">
        <v>0</v>
      </c>
      <c r="H6867" s="34">
        <f t="shared" si="108"/>
        <v>28436.2</v>
      </c>
      <c r="I6867" s="34"/>
      <c r="K6867" t="s">
        <v>38</v>
      </c>
    </row>
    <row r="6868" spans="2:11" ht="16.5" x14ac:dyDescent="0.2">
      <c r="B6868" s="33" t="s">
        <v>7893</v>
      </c>
      <c r="C6868" s="33" t="s">
        <v>1105</v>
      </c>
      <c r="D6868" s="35">
        <f>SUMIFS(D6869:D9015,K6869:K9015,"0",B6869:B9015,"5 1 2 9 1 12 31111 6 M59 40200*")-SUMIFS(E6869:E9015,K6869:K9015,"0",B6869:B9015,"5 1 2 9 1 12 31111 6 M59 40200*")</f>
        <v>0</v>
      </c>
      <c r="E6868"/>
      <c r="F6868" s="35">
        <f>SUMIFS(F6869:F9015,K6869:K9015,"0",B6869:B9015,"5 1 2 9 1 12 31111 6 M59 40200*")</f>
        <v>90000</v>
      </c>
      <c r="G6868" s="35">
        <f>SUMIFS(G6869:G9015,K6869:K9015,"0",B6869:B9015,"5 1 2 9 1 12 31111 6 M59 40200*")</f>
        <v>0</v>
      </c>
      <c r="H6868" s="35">
        <f t="shared" si="108"/>
        <v>90000</v>
      </c>
      <c r="I6868" s="35"/>
      <c r="K6868" t="s">
        <v>15</v>
      </c>
    </row>
    <row r="6869" spans="2:11" ht="16.5" x14ac:dyDescent="0.2">
      <c r="B6869" s="33" t="s">
        <v>7894</v>
      </c>
      <c r="C6869" s="33" t="s">
        <v>1107</v>
      </c>
      <c r="D6869" s="35">
        <f>SUMIFS(D6870:D9015,K6870:K9015,"0",B6870:B9015,"5 1 2 9 1 12 31111 6 M59 40200 000172*")-SUMIFS(E6870:E9015,K6870:K9015,"0",B6870:B9015,"5 1 2 9 1 12 31111 6 M59 40200 000172*")</f>
        <v>0</v>
      </c>
      <c r="E6869"/>
      <c r="F6869" s="35">
        <f>SUMIFS(F6870:F9015,K6870:K9015,"0",B6870:B9015,"5 1 2 9 1 12 31111 6 M59 40200 000172*")</f>
        <v>90000</v>
      </c>
      <c r="G6869" s="35">
        <f>SUMIFS(G6870:G9015,K6870:K9015,"0",B6870:B9015,"5 1 2 9 1 12 31111 6 M59 40200 000172*")</f>
        <v>0</v>
      </c>
      <c r="H6869" s="35">
        <f t="shared" si="108"/>
        <v>90000</v>
      </c>
      <c r="I6869" s="35"/>
      <c r="K6869" t="s">
        <v>15</v>
      </c>
    </row>
    <row r="6870" spans="2:11" ht="24.75" x14ac:dyDescent="0.2">
      <c r="B6870" s="33" t="s">
        <v>7895</v>
      </c>
      <c r="C6870" s="33" t="s">
        <v>650</v>
      </c>
      <c r="D6870" s="35">
        <f>SUMIFS(D6871:D9015,K6871:K9015,"0",B6871:B9015,"5 1 2 9 1 12 31111 6 M59 40200 000172 0000R*")-SUMIFS(E6871:E9015,K6871:K9015,"0",B6871:B9015,"5 1 2 9 1 12 31111 6 M59 40200 000172 0000R*")</f>
        <v>0</v>
      </c>
      <c r="E6870"/>
      <c r="F6870" s="35">
        <f>SUMIFS(F6871:F9015,K6871:K9015,"0",B6871:B9015,"5 1 2 9 1 12 31111 6 M59 40200 000172 0000R*")</f>
        <v>90000</v>
      </c>
      <c r="G6870" s="35">
        <f>SUMIFS(G6871:G9015,K6871:K9015,"0",B6871:B9015,"5 1 2 9 1 12 31111 6 M59 40200 000172 0000R*")</f>
        <v>0</v>
      </c>
      <c r="H6870" s="35">
        <f t="shared" si="108"/>
        <v>90000</v>
      </c>
      <c r="I6870" s="35"/>
      <c r="K6870" t="s">
        <v>15</v>
      </c>
    </row>
    <row r="6871" spans="2:11" ht="24.75" x14ac:dyDescent="0.2">
      <c r="B6871" s="33" t="s">
        <v>7896</v>
      </c>
      <c r="C6871" s="33" t="s">
        <v>282</v>
      </c>
      <c r="D6871" s="35">
        <f>SUMIFS(D6872:D9015,K6872:K9015,"0",B6872:B9015,"5 1 2 9 1 12 31111 6 M59 40200 000172 0000R 00001*")-SUMIFS(E6872:E9015,K6872:K9015,"0",B6872:B9015,"5 1 2 9 1 12 31111 6 M59 40200 000172 0000R 00001*")</f>
        <v>0</v>
      </c>
      <c r="E6871"/>
      <c r="F6871" s="35">
        <f>SUMIFS(F6872:F9015,K6872:K9015,"0",B6872:B9015,"5 1 2 9 1 12 31111 6 M59 40200 000172 0000R 00001*")</f>
        <v>90000</v>
      </c>
      <c r="G6871" s="35">
        <f>SUMIFS(G6872:G9015,K6872:K9015,"0",B6872:B9015,"5 1 2 9 1 12 31111 6 M59 40200 000172 0000R 00001*")</f>
        <v>0</v>
      </c>
      <c r="H6871" s="35">
        <f t="shared" si="108"/>
        <v>90000</v>
      </c>
      <c r="I6871" s="35"/>
      <c r="K6871" t="s">
        <v>15</v>
      </c>
    </row>
    <row r="6872" spans="2:11" ht="24.75" x14ac:dyDescent="0.2">
      <c r="B6872" s="33" t="s">
        <v>7897</v>
      </c>
      <c r="C6872" s="33" t="s">
        <v>7842</v>
      </c>
      <c r="D6872" s="35">
        <f>SUMIFS(D6873:D9015,K6873:K9015,"0",B6873:B9015,"5 1 2 9 1 12 31111 6 M59 40200 000172 0000R 00001 00291*")-SUMIFS(E6873:E9015,K6873:K9015,"0",B6873:B9015,"5 1 2 9 1 12 31111 6 M59 40200 000172 0000R 00001 00291*")</f>
        <v>0</v>
      </c>
      <c r="E6872"/>
      <c r="F6872" s="35">
        <f>SUMIFS(F6873:F9015,K6873:K9015,"0",B6873:B9015,"5 1 2 9 1 12 31111 6 M59 40200 000172 0000R 00001 00291*")</f>
        <v>90000</v>
      </c>
      <c r="G6872" s="35">
        <f>SUMIFS(G6873:G9015,K6873:K9015,"0",B6873:B9015,"5 1 2 9 1 12 31111 6 M59 40200 000172 0000R 00001 00291*")</f>
        <v>0</v>
      </c>
      <c r="H6872" s="35">
        <f t="shared" si="108"/>
        <v>90000</v>
      </c>
      <c r="I6872" s="35"/>
      <c r="K6872" t="s">
        <v>15</v>
      </c>
    </row>
    <row r="6873" spans="2:11" ht="33" x14ac:dyDescent="0.2">
      <c r="B6873" s="33" t="s">
        <v>7898</v>
      </c>
      <c r="C6873" s="33" t="s">
        <v>656</v>
      </c>
      <c r="D6873" s="35">
        <f>SUMIFS(D6874:D9015,K6874:K9015,"0",B6874:B9015,"5 1 2 9 1 12 31111 6 M59 40200 000172 0000R 00001 00291 025*")-SUMIFS(E6874:E9015,K6874:K9015,"0",B6874:B9015,"5 1 2 9 1 12 31111 6 M59 40200 000172 0000R 00001 00291 025*")</f>
        <v>0</v>
      </c>
      <c r="E6873"/>
      <c r="F6873" s="35">
        <f>SUMIFS(F6874:F9015,K6874:K9015,"0",B6874:B9015,"5 1 2 9 1 12 31111 6 M59 40200 000172 0000R 00001 00291 025*")</f>
        <v>90000</v>
      </c>
      <c r="G6873" s="35">
        <f>SUMIFS(G6874:G9015,K6874:K9015,"0",B6874:B9015,"5 1 2 9 1 12 31111 6 M59 40200 000172 0000R 00001 00291 025*")</f>
        <v>0</v>
      </c>
      <c r="H6873" s="35">
        <f t="shared" si="108"/>
        <v>90000</v>
      </c>
      <c r="I6873" s="35"/>
      <c r="K6873" t="s">
        <v>15</v>
      </c>
    </row>
    <row r="6874" spans="2:11" ht="33" x14ac:dyDescent="0.2">
      <c r="B6874" s="33" t="s">
        <v>7899</v>
      </c>
      <c r="C6874" s="33" t="s">
        <v>5830</v>
      </c>
      <c r="D6874" s="35">
        <f>SUMIFS(D6875:D9015,K6875:K9015,"0",B6875:B9015,"5 1 2 9 1 12 31111 6 M59 40200 000172 0000R 00001 00291 025 2112000*")-SUMIFS(E6875:E9015,K6875:K9015,"0",B6875:B9015,"5 1 2 9 1 12 31111 6 M59 40200 000172 0000R 00001 00291 025 2112000*")</f>
        <v>0</v>
      </c>
      <c r="E6874"/>
      <c r="F6874" s="35">
        <f>SUMIFS(F6875:F9015,K6875:K9015,"0",B6875:B9015,"5 1 2 9 1 12 31111 6 M59 40200 000172 0000R 00001 00291 025 2112000*")</f>
        <v>90000</v>
      </c>
      <c r="G6874" s="35">
        <f>SUMIFS(G6875:G9015,K6875:K9015,"0",B6875:B9015,"5 1 2 9 1 12 31111 6 M59 40200 000172 0000R 00001 00291 025 2112000*")</f>
        <v>0</v>
      </c>
      <c r="H6874" s="35">
        <f t="shared" si="108"/>
        <v>90000</v>
      </c>
      <c r="I6874" s="35"/>
      <c r="K6874" t="s">
        <v>15</v>
      </c>
    </row>
    <row r="6875" spans="2:11" ht="33" x14ac:dyDescent="0.2">
      <c r="B6875" s="33" t="s">
        <v>7900</v>
      </c>
      <c r="C6875" s="33" t="s">
        <v>660</v>
      </c>
      <c r="D6875" s="35">
        <f>SUMIFS(D6876:D9015,K6876:K9015,"0",B6876:B9015,"5 1 2 9 1 12 31111 6 M59 40200 000172 0000R 00001 00291 025 2112000 2024*")-SUMIFS(E6876:E9015,K6876:K9015,"0",B6876:B9015,"5 1 2 9 1 12 31111 6 M59 40200 000172 0000R 00001 00291 025 2112000 2024*")</f>
        <v>0</v>
      </c>
      <c r="E6875"/>
      <c r="F6875" s="35">
        <f>SUMIFS(F6876:F9015,K6876:K9015,"0",B6876:B9015,"5 1 2 9 1 12 31111 6 M59 40200 000172 0000R 00001 00291 025 2112000 2024*")</f>
        <v>90000</v>
      </c>
      <c r="G6875" s="35">
        <f>SUMIFS(G6876:G9015,K6876:K9015,"0",B6876:B9015,"5 1 2 9 1 12 31111 6 M59 40200 000172 0000R 00001 00291 025 2112000 2024*")</f>
        <v>0</v>
      </c>
      <c r="H6875" s="35">
        <f t="shared" si="108"/>
        <v>90000</v>
      </c>
      <c r="I6875" s="35"/>
      <c r="K6875" t="s">
        <v>15</v>
      </c>
    </row>
    <row r="6876" spans="2:11" ht="41.25" x14ac:dyDescent="0.2">
      <c r="B6876" s="33" t="s">
        <v>7901</v>
      </c>
      <c r="C6876" s="33" t="s">
        <v>1056</v>
      </c>
      <c r="D6876" s="35">
        <f>SUMIFS(D6877:D9015,K6877:K9015,"0",B6877:B9015,"5 1 2 9 1 12 31111 6 M59 40200 000172 0000R 00001 00291 025 2112000 2024 CP4PC370*")-SUMIFS(E6877:E9015,K6877:K9015,"0",B6877:B9015,"5 1 2 9 1 12 31111 6 M59 40200 000172 0000R 00001 00291 025 2112000 2024 CP4PC370*")</f>
        <v>0</v>
      </c>
      <c r="E6876"/>
      <c r="F6876" s="35">
        <f>SUMIFS(F6877:F9015,K6877:K9015,"0",B6877:B9015,"5 1 2 9 1 12 31111 6 M59 40200 000172 0000R 00001 00291 025 2112000 2024 CP4PC370*")</f>
        <v>90000</v>
      </c>
      <c r="G6876" s="35">
        <f>SUMIFS(G6877:G9015,K6877:K9015,"0",B6877:B9015,"5 1 2 9 1 12 31111 6 M59 40200 000172 0000R 00001 00291 025 2112000 2024 CP4PC370*")</f>
        <v>0</v>
      </c>
      <c r="H6876" s="35">
        <f t="shared" si="108"/>
        <v>90000</v>
      </c>
      <c r="I6876" s="35"/>
      <c r="K6876" t="s">
        <v>15</v>
      </c>
    </row>
    <row r="6877" spans="2:11" ht="41.25" x14ac:dyDescent="0.2">
      <c r="B6877" s="33" t="s">
        <v>7902</v>
      </c>
      <c r="C6877" s="33" t="s">
        <v>664</v>
      </c>
      <c r="D6877" s="35">
        <f>SUMIFS(D6878:D9015,K6878:K9015,"0",B6878:B9015,"5 1 2 9 1 12 31111 6 M59 40200 000172 0000R 00001 00291 025 2112000 2024 CP4PC370 003*")-SUMIFS(E6878:E9015,K6878:K9015,"0",B6878:B9015,"5 1 2 9 1 12 31111 6 M59 40200 000172 0000R 00001 00291 025 2112000 2024 CP4PC370 003*")</f>
        <v>0</v>
      </c>
      <c r="E6877"/>
      <c r="F6877" s="35">
        <f>SUMIFS(F6878:F9015,K6878:K9015,"0",B6878:B9015,"5 1 2 9 1 12 31111 6 M59 40200 000172 0000R 00001 00291 025 2112000 2024 CP4PC370 003*")</f>
        <v>90000</v>
      </c>
      <c r="G6877" s="35">
        <f>SUMIFS(G6878:G9015,K6878:K9015,"0",B6878:B9015,"5 1 2 9 1 12 31111 6 M59 40200 000172 0000R 00001 00291 025 2112000 2024 CP4PC370 003*")</f>
        <v>0</v>
      </c>
      <c r="H6877" s="35">
        <f t="shared" si="108"/>
        <v>90000</v>
      </c>
      <c r="I6877" s="35"/>
      <c r="K6877" t="s">
        <v>15</v>
      </c>
    </row>
    <row r="6878" spans="2:11" ht="33" x14ac:dyDescent="0.2">
      <c r="B6878" s="31" t="s">
        <v>7903</v>
      </c>
      <c r="C6878" s="31" t="s">
        <v>7842</v>
      </c>
      <c r="D6878" s="34">
        <v>0</v>
      </c>
      <c r="E6878" s="34"/>
      <c r="F6878" s="34">
        <v>90000</v>
      </c>
      <c r="G6878" s="34">
        <v>0</v>
      </c>
      <c r="H6878" s="34">
        <f t="shared" si="108"/>
        <v>90000</v>
      </c>
      <c r="I6878" s="34"/>
      <c r="K6878" t="s">
        <v>38</v>
      </c>
    </row>
    <row r="6879" spans="2:11" ht="16.5" x14ac:dyDescent="0.2">
      <c r="B6879" s="33" t="s">
        <v>7904</v>
      </c>
      <c r="C6879" s="33" t="s">
        <v>3281</v>
      </c>
      <c r="D6879" s="35">
        <f>SUMIFS(D6880:D9015,K6880:K9015,"0",B6880:B9015,"5 1 2 9 1 12 31111 6 M59 50000*")-SUMIFS(E6880:E9015,K6880:K9015,"0",B6880:B9015,"5 1 2 9 1 12 31111 6 M59 50000*")</f>
        <v>0</v>
      </c>
      <c r="E6879"/>
      <c r="F6879" s="35">
        <f>SUMIFS(F6880:F9015,K6880:K9015,"0",B6880:B9015,"5 1 2 9 1 12 31111 6 M59 50000*")</f>
        <v>12192.49</v>
      </c>
      <c r="G6879" s="35">
        <f>SUMIFS(G6880:G9015,K6880:K9015,"0",B6880:B9015,"5 1 2 9 1 12 31111 6 M59 50000*")</f>
        <v>0</v>
      </c>
      <c r="H6879" s="35">
        <f t="shared" si="108"/>
        <v>12192.49</v>
      </c>
      <c r="I6879" s="35"/>
      <c r="K6879" t="s">
        <v>15</v>
      </c>
    </row>
    <row r="6880" spans="2:11" ht="16.5" x14ac:dyDescent="0.2">
      <c r="B6880" s="33" t="s">
        <v>7905</v>
      </c>
      <c r="C6880" s="33" t="s">
        <v>3283</v>
      </c>
      <c r="D6880" s="35">
        <f>SUMIFS(D6881:D9015,K6881:K9015,"0",B6881:B9015,"5 1 2 9 1 12 31111 6 M59 50000 000223*")-SUMIFS(E6881:E9015,K6881:K9015,"0",B6881:B9015,"5 1 2 9 1 12 31111 6 M59 50000 000223*")</f>
        <v>0</v>
      </c>
      <c r="E6880"/>
      <c r="F6880" s="35">
        <f>SUMIFS(F6881:F9015,K6881:K9015,"0",B6881:B9015,"5 1 2 9 1 12 31111 6 M59 50000 000223*")</f>
        <v>12192.49</v>
      </c>
      <c r="G6880" s="35">
        <f>SUMIFS(G6881:G9015,K6881:K9015,"0",B6881:B9015,"5 1 2 9 1 12 31111 6 M59 50000 000223*")</f>
        <v>0</v>
      </c>
      <c r="H6880" s="35">
        <f t="shared" si="108"/>
        <v>12192.49</v>
      </c>
      <c r="I6880" s="35"/>
      <c r="K6880" t="s">
        <v>15</v>
      </c>
    </row>
    <row r="6881" spans="2:11" ht="24.75" x14ac:dyDescent="0.2">
      <c r="B6881" s="33" t="s">
        <v>7906</v>
      </c>
      <c r="C6881" s="33" t="s">
        <v>1065</v>
      </c>
      <c r="D6881" s="35">
        <f>SUMIFS(D6882:D9015,K6882:K9015,"0",B6882:B9015,"5 1 2 9 1 12 31111 6 M59 50000 000223 0000E*")-SUMIFS(E6882:E9015,K6882:K9015,"0",B6882:B9015,"5 1 2 9 1 12 31111 6 M59 50000 000223 0000E*")</f>
        <v>0</v>
      </c>
      <c r="E6881"/>
      <c r="F6881" s="35">
        <f>SUMIFS(F6882:F9015,K6882:K9015,"0",B6882:B9015,"5 1 2 9 1 12 31111 6 M59 50000 000223 0000E*")</f>
        <v>12192.49</v>
      </c>
      <c r="G6881" s="35">
        <f>SUMIFS(G6882:G9015,K6882:K9015,"0",B6882:B9015,"5 1 2 9 1 12 31111 6 M59 50000 000223 0000E*")</f>
        <v>0</v>
      </c>
      <c r="H6881" s="35">
        <f t="shared" si="108"/>
        <v>12192.49</v>
      </c>
      <c r="I6881" s="35"/>
      <c r="K6881" t="s">
        <v>15</v>
      </c>
    </row>
    <row r="6882" spans="2:11" ht="24.75" x14ac:dyDescent="0.2">
      <c r="B6882" s="33" t="s">
        <v>7907</v>
      </c>
      <c r="C6882" s="33" t="s">
        <v>282</v>
      </c>
      <c r="D6882" s="35">
        <f>SUMIFS(D6883:D9015,K6883:K9015,"0",B6883:B9015,"5 1 2 9 1 12 31111 6 M59 50000 000223 0000E 00001*")-SUMIFS(E6883:E9015,K6883:K9015,"0",B6883:B9015,"5 1 2 9 1 12 31111 6 M59 50000 000223 0000E 00001*")</f>
        <v>0</v>
      </c>
      <c r="E6882"/>
      <c r="F6882" s="35">
        <f>SUMIFS(F6883:F9015,K6883:K9015,"0",B6883:B9015,"5 1 2 9 1 12 31111 6 M59 50000 000223 0000E 00001*")</f>
        <v>12192.49</v>
      </c>
      <c r="G6882" s="35">
        <f>SUMIFS(G6883:G9015,K6883:K9015,"0",B6883:B9015,"5 1 2 9 1 12 31111 6 M59 50000 000223 0000E 00001*")</f>
        <v>0</v>
      </c>
      <c r="H6882" s="35">
        <f t="shared" si="108"/>
        <v>12192.49</v>
      </c>
      <c r="I6882" s="35"/>
      <c r="K6882" t="s">
        <v>15</v>
      </c>
    </row>
    <row r="6883" spans="2:11" ht="24.75" x14ac:dyDescent="0.2">
      <c r="B6883" s="33" t="s">
        <v>7908</v>
      </c>
      <c r="C6883" s="33" t="s">
        <v>7842</v>
      </c>
      <c r="D6883" s="35">
        <f>SUMIFS(D6884:D9015,K6884:K9015,"0",B6884:B9015,"5 1 2 9 1 12 31111 6 M59 50000 000223 0000E 00001 00291*")-SUMIFS(E6884:E9015,K6884:K9015,"0",B6884:B9015,"5 1 2 9 1 12 31111 6 M59 50000 000223 0000E 00001 00291*")</f>
        <v>0</v>
      </c>
      <c r="E6883"/>
      <c r="F6883" s="35">
        <f>SUMIFS(F6884:F9015,K6884:K9015,"0",B6884:B9015,"5 1 2 9 1 12 31111 6 M59 50000 000223 0000E 00001 00291*")</f>
        <v>12192.49</v>
      </c>
      <c r="G6883" s="35">
        <f>SUMIFS(G6884:G9015,K6884:K9015,"0",B6884:B9015,"5 1 2 9 1 12 31111 6 M59 50000 000223 0000E 00001 00291*")</f>
        <v>0</v>
      </c>
      <c r="H6883" s="35">
        <f t="shared" si="108"/>
        <v>12192.49</v>
      </c>
      <c r="I6883" s="35"/>
      <c r="K6883" t="s">
        <v>15</v>
      </c>
    </row>
    <row r="6884" spans="2:11" ht="33" x14ac:dyDescent="0.2">
      <c r="B6884" s="33" t="s">
        <v>7909</v>
      </c>
      <c r="C6884" s="33" t="s">
        <v>1051</v>
      </c>
      <c r="D6884" s="35">
        <f>SUMIFS(D6885:D9015,K6885:K9015,"0",B6885:B9015,"5 1 2 9 1 12 31111 6 M59 50000 000223 0000E 00001 00291 015*")-SUMIFS(E6885:E9015,K6885:K9015,"0",B6885:B9015,"5 1 2 9 1 12 31111 6 M59 50000 000223 0000E 00001 00291 015*")</f>
        <v>0</v>
      </c>
      <c r="E6884"/>
      <c r="F6884" s="35">
        <f>SUMIFS(F6885:F9015,K6885:K9015,"0",B6885:B9015,"5 1 2 9 1 12 31111 6 M59 50000 000223 0000E 00001 00291 015*")</f>
        <v>12192.49</v>
      </c>
      <c r="G6884" s="35">
        <f>SUMIFS(G6885:G9015,K6885:K9015,"0",B6885:B9015,"5 1 2 9 1 12 31111 6 M59 50000 000223 0000E 00001 00291 015*")</f>
        <v>0</v>
      </c>
      <c r="H6884" s="35">
        <f t="shared" si="108"/>
        <v>12192.49</v>
      </c>
      <c r="I6884" s="35"/>
      <c r="K6884" t="s">
        <v>15</v>
      </c>
    </row>
    <row r="6885" spans="2:11" ht="33" x14ac:dyDescent="0.2">
      <c r="B6885" s="33" t="s">
        <v>7910</v>
      </c>
      <c r="C6885" s="33" t="s">
        <v>5830</v>
      </c>
      <c r="D6885" s="35">
        <f>SUMIFS(D6886:D9015,K6886:K9015,"0",B6886:B9015,"5 1 2 9 1 12 31111 6 M59 50000 000223 0000E 00001 00291 015 2112000*")-SUMIFS(E6886:E9015,K6886:K9015,"0",B6886:B9015,"5 1 2 9 1 12 31111 6 M59 50000 000223 0000E 00001 00291 015 2112000*")</f>
        <v>0</v>
      </c>
      <c r="E6885"/>
      <c r="F6885" s="35">
        <f>SUMIFS(F6886:F9015,K6886:K9015,"0",B6886:B9015,"5 1 2 9 1 12 31111 6 M59 50000 000223 0000E 00001 00291 015 2112000*")</f>
        <v>12192.49</v>
      </c>
      <c r="G6885" s="35">
        <f>SUMIFS(G6886:G9015,K6886:K9015,"0",B6886:B9015,"5 1 2 9 1 12 31111 6 M59 50000 000223 0000E 00001 00291 015 2112000*")</f>
        <v>0</v>
      </c>
      <c r="H6885" s="35">
        <f t="shared" si="108"/>
        <v>12192.49</v>
      </c>
      <c r="I6885" s="35"/>
      <c r="K6885" t="s">
        <v>15</v>
      </c>
    </row>
    <row r="6886" spans="2:11" ht="33" x14ac:dyDescent="0.2">
      <c r="B6886" s="33" t="s">
        <v>7911</v>
      </c>
      <c r="C6886" s="33" t="s">
        <v>660</v>
      </c>
      <c r="D6886" s="35">
        <f>SUMIFS(D6887:D9015,K6887:K9015,"0",B6887:B9015,"5 1 2 9 1 12 31111 6 M59 50000 000223 0000E 00001 00291 015 2112000 2024*")-SUMIFS(E6887:E9015,K6887:K9015,"0",B6887:B9015,"5 1 2 9 1 12 31111 6 M59 50000 000223 0000E 00001 00291 015 2112000 2024*")</f>
        <v>0</v>
      </c>
      <c r="E6886"/>
      <c r="F6886" s="35">
        <f>SUMIFS(F6887:F9015,K6887:K9015,"0",B6887:B9015,"5 1 2 9 1 12 31111 6 M59 50000 000223 0000E 00001 00291 015 2112000 2024*")</f>
        <v>12192.49</v>
      </c>
      <c r="G6886" s="35">
        <f>SUMIFS(G6887:G9015,K6887:K9015,"0",B6887:B9015,"5 1 2 9 1 12 31111 6 M59 50000 000223 0000E 00001 00291 015 2112000 2024*")</f>
        <v>0</v>
      </c>
      <c r="H6886" s="35">
        <f t="shared" si="108"/>
        <v>12192.49</v>
      </c>
      <c r="I6886" s="35"/>
      <c r="K6886" t="s">
        <v>15</v>
      </c>
    </row>
    <row r="6887" spans="2:11" ht="41.25" x14ac:dyDescent="0.2">
      <c r="B6887" s="33" t="s">
        <v>7912</v>
      </c>
      <c r="C6887" s="33" t="s">
        <v>662</v>
      </c>
      <c r="D6887" s="35">
        <f>SUMIFS(D6888:D9015,K6888:K9015,"0",B6888:B9015,"5 1 2 9 1 12 31111 6 M59 50000 000223 0000E 00001 00291 015 2112000 2024 CP1DA424*")-SUMIFS(E6888:E9015,K6888:K9015,"0",B6888:B9015,"5 1 2 9 1 12 31111 6 M59 50000 000223 0000E 00001 00291 015 2112000 2024 CP1DA424*")</f>
        <v>0</v>
      </c>
      <c r="E6887"/>
      <c r="F6887" s="35">
        <f>SUMIFS(F6888:F9015,K6888:K9015,"0",B6888:B9015,"5 1 2 9 1 12 31111 6 M59 50000 000223 0000E 00001 00291 015 2112000 2024 CP1DA424*")</f>
        <v>12192.49</v>
      </c>
      <c r="G6887" s="35">
        <f>SUMIFS(G6888:G9015,K6888:K9015,"0",B6888:B9015,"5 1 2 9 1 12 31111 6 M59 50000 000223 0000E 00001 00291 015 2112000 2024 CP1DA424*")</f>
        <v>0</v>
      </c>
      <c r="H6887" s="35">
        <f t="shared" si="108"/>
        <v>12192.49</v>
      </c>
      <c r="I6887" s="35"/>
      <c r="K6887" t="s">
        <v>15</v>
      </c>
    </row>
    <row r="6888" spans="2:11" ht="41.25" x14ac:dyDescent="0.2">
      <c r="B6888" s="33" t="s">
        <v>7913</v>
      </c>
      <c r="C6888" s="33" t="s">
        <v>282</v>
      </c>
      <c r="D6888" s="35">
        <f>SUMIFS(D6889:D9015,K6889:K9015,"0",B6889:B9015,"5 1 2 9 1 12 31111 6 M59 50000 000223 0000E 00001 00291 015 2112000 2024 CP1DA424 001*")-SUMIFS(E6889:E9015,K6889:K9015,"0",B6889:B9015,"5 1 2 9 1 12 31111 6 M59 50000 000223 0000E 00001 00291 015 2112000 2024 CP1DA424 001*")</f>
        <v>0</v>
      </c>
      <c r="E6888"/>
      <c r="F6888" s="35">
        <f>SUMIFS(F6889:F9015,K6889:K9015,"0",B6889:B9015,"5 1 2 9 1 12 31111 6 M59 50000 000223 0000E 00001 00291 015 2112000 2024 CP1DA424 001*")</f>
        <v>12192.49</v>
      </c>
      <c r="G6888" s="35">
        <f>SUMIFS(G6889:G9015,K6889:K9015,"0",B6889:B9015,"5 1 2 9 1 12 31111 6 M59 50000 000223 0000E 00001 00291 015 2112000 2024 CP1DA424 001*")</f>
        <v>0</v>
      </c>
      <c r="H6888" s="35">
        <f t="shared" si="108"/>
        <v>12192.49</v>
      </c>
      <c r="I6888" s="35"/>
      <c r="K6888" t="s">
        <v>15</v>
      </c>
    </row>
    <row r="6889" spans="2:11" ht="41.25" x14ac:dyDescent="0.2">
      <c r="B6889" s="31" t="s">
        <v>7914</v>
      </c>
      <c r="C6889" s="31" t="s">
        <v>7832</v>
      </c>
      <c r="D6889" s="34">
        <v>0</v>
      </c>
      <c r="E6889" s="34"/>
      <c r="F6889" s="34">
        <v>12192.49</v>
      </c>
      <c r="G6889" s="34">
        <v>0</v>
      </c>
      <c r="H6889" s="34">
        <f t="shared" si="108"/>
        <v>12192.49</v>
      </c>
      <c r="I6889" s="34"/>
      <c r="K6889" t="s">
        <v>38</v>
      </c>
    </row>
    <row r="6890" spans="2:11" ht="16.5" x14ac:dyDescent="0.2">
      <c r="B6890" s="33" t="s">
        <v>7915</v>
      </c>
      <c r="C6890" s="33" t="s">
        <v>1269</v>
      </c>
      <c r="D6890" s="35">
        <f>SUMIFS(D6891:D9015,K6891:K9015,"0",B6891:B9015,"5 1 2 9 1 12 31111 6 M59 60100*")-SUMIFS(E6891:E9015,K6891:K9015,"0",B6891:B9015,"5 1 2 9 1 12 31111 6 M59 60100*")</f>
        <v>0</v>
      </c>
      <c r="E6890"/>
      <c r="F6890" s="35">
        <f>SUMIFS(F6891:F9015,K6891:K9015,"0",B6891:B9015,"5 1 2 9 1 12 31111 6 M59 60100*")</f>
        <v>1.5</v>
      </c>
      <c r="G6890" s="35">
        <f>SUMIFS(G6891:G9015,K6891:K9015,"0",B6891:B9015,"5 1 2 9 1 12 31111 6 M59 60100*")</f>
        <v>0</v>
      </c>
      <c r="H6890" s="35">
        <f t="shared" si="108"/>
        <v>1.5</v>
      </c>
      <c r="I6890" s="35"/>
      <c r="K6890" t="s">
        <v>15</v>
      </c>
    </row>
    <row r="6891" spans="2:11" ht="16.5" x14ac:dyDescent="0.2">
      <c r="B6891" s="33" t="s">
        <v>7916</v>
      </c>
      <c r="C6891" s="33" t="s">
        <v>648</v>
      </c>
      <c r="D6891" s="35">
        <f>SUMIFS(D6892:D9015,K6892:K9015,"0",B6892:B9015,"5 1 2 9 1 12 31111 6 M59 60100 000132*")-SUMIFS(E6892:E9015,K6892:K9015,"0",B6892:B9015,"5 1 2 9 1 12 31111 6 M59 60100 000132*")</f>
        <v>0</v>
      </c>
      <c r="E6891"/>
      <c r="F6891" s="35">
        <f>SUMIFS(F6892:F9015,K6892:K9015,"0",B6892:B9015,"5 1 2 9 1 12 31111 6 M59 60100 000132*")</f>
        <v>1.5</v>
      </c>
      <c r="G6891" s="35">
        <f>SUMIFS(G6892:G9015,K6892:K9015,"0",B6892:B9015,"5 1 2 9 1 12 31111 6 M59 60100 000132*")</f>
        <v>0</v>
      </c>
      <c r="H6891" s="35">
        <f t="shared" si="108"/>
        <v>1.5</v>
      </c>
      <c r="I6891" s="35"/>
      <c r="K6891" t="s">
        <v>15</v>
      </c>
    </row>
    <row r="6892" spans="2:11" ht="24.75" x14ac:dyDescent="0.2">
      <c r="B6892" s="33" t="s">
        <v>7917</v>
      </c>
      <c r="C6892" s="33" t="s">
        <v>650</v>
      </c>
      <c r="D6892" s="35">
        <f>SUMIFS(D6893:D9015,K6893:K9015,"0",B6893:B9015,"5 1 2 9 1 12 31111 6 M59 60100 000132 0000R*")-SUMIFS(E6893:E9015,K6893:K9015,"0",B6893:B9015,"5 1 2 9 1 12 31111 6 M59 60100 000132 0000R*")</f>
        <v>0</v>
      </c>
      <c r="E6892"/>
      <c r="F6892" s="35">
        <f>SUMIFS(F6893:F9015,K6893:K9015,"0",B6893:B9015,"5 1 2 9 1 12 31111 6 M59 60100 000132 0000R*")</f>
        <v>1.5</v>
      </c>
      <c r="G6892" s="35">
        <f>SUMIFS(G6893:G9015,K6893:K9015,"0",B6893:B9015,"5 1 2 9 1 12 31111 6 M59 60100 000132 0000R*")</f>
        <v>0</v>
      </c>
      <c r="H6892" s="35">
        <f t="shared" si="108"/>
        <v>1.5</v>
      </c>
      <c r="I6892" s="35"/>
      <c r="K6892" t="s">
        <v>15</v>
      </c>
    </row>
    <row r="6893" spans="2:11" ht="24.75" x14ac:dyDescent="0.2">
      <c r="B6893" s="33" t="s">
        <v>7918</v>
      </c>
      <c r="C6893" s="33" t="s">
        <v>282</v>
      </c>
      <c r="D6893" s="35">
        <f>SUMIFS(D6894:D9015,K6894:K9015,"0",B6894:B9015,"5 1 2 9 1 12 31111 6 M59 60100 000132 0000R 00001*")-SUMIFS(E6894:E9015,K6894:K9015,"0",B6894:B9015,"5 1 2 9 1 12 31111 6 M59 60100 000132 0000R 00001*")</f>
        <v>0</v>
      </c>
      <c r="E6893"/>
      <c r="F6893" s="35">
        <f>SUMIFS(F6894:F9015,K6894:K9015,"0",B6894:B9015,"5 1 2 9 1 12 31111 6 M59 60100 000132 0000R 00001*")</f>
        <v>1.5</v>
      </c>
      <c r="G6893" s="35">
        <f>SUMIFS(G6894:G9015,K6894:K9015,"0",B6894:B9015,"5 1 2 9 1 12 31111 6 M59 60100 000132 0000R 00001*")</f>
        <v>0</v>
      </c>
      <c r="H6893" s="35">
        <f t="shared" si="108"/>
        <v>1.5</v>
      </c>
      <c r="I6893" s="35"/>
      <c r="K6893" t="s">
        <v>15</v>
      </c>
    </row>
    <row r="6894" spans="2:11" ht="24.75" x14ac:dyDescent="0.2">
      <c r="B6894" s="33" t="s">
        <v>7919</v>
      </c>
      <c r="C6894" s="33" t="s">
        <v>7842</v>
      </c>
      <c r="D6894" s="35">
        <f>SUMIFS(D6895:D9015,K6895:K9015,"0",B6895:B9015,"5 1 2 9 1 12 31111 6 M59 60100 000132 0000R 00001 00291*")-SUMIFS(E6895:E9015,K6895:K9015,"0",B6895:B9015,"5 1 2 9 1 12 31111 6 M59 60100 000132 0000R 00001 00291*")</f>
        <v>0</v>
      </c>
      <c r="E6894"/>
      <c r="F6894" s="35">
        <f>SUMIFS(F6895:F9015,K6895:K9015,"0",B6895:B9015,"5 1 2 9 1 12 31111 6 M59 60100 000132 0000R 00001 00291*")</f>
        <v>1.5</v>
      </c>
      <c r="G6894" s="35">
        <f>SUMIFS(G6895:G9015,K6895:K9015,"0",B6895:B9015,"5 1 2 9 1 12 31111 6 M59 60100 000132 0000R 00001 00291*")</f>
        <v>0</v>
      </c>
      <c r="H6894" s="35">
        <f t="shared" si="108"/>
        <v>1.5</v>
      </c>
      <c r="I6894" s="35"/>
      <c r="K6894" t="s">
        <v>15</v>
      </c>
    </row>
    <row r="6895" spans="2:11" ht="33" x14ac:dyDescent="0.2">
      <c r="B6895" s="33" t="s">
        <v>7920</v>
      </c>
      <c r="C6895" s="33" t="s">
        <v>1051</v>
      </c>
      <c r="D6895" s="35">
        <f>SUMIFS(D6896:D9015,K6896:K9015,"0",B6896:B9015,"5 1 2 9 1 12 31111 6 M59 60100 000132 0000R 00001 00291 015*")-SUMIFS(E6896:E9015,K6896:K9015,"0",B6896:B9015,"5 1 2 9 1 12 31111 6 M59 60100 000132 0000R 00001 00291 015*")</f>
        <v>0</v>
      </c>
      <c r="E6895"/>
      <c r="F6895" s="35">
        <f>SUMIFS(F6896:F9015,K6896:K9015,"0",B6896:B9015,"5 1 2 9 1 12 31111 6 M59 60100 000132 0000R 00001 00291 015*")</f>
        <v>1.5</v>
      </c>
      <c r="G6895" s="35">
        <f>SUMIFS(G6896:G9015,K6896:K9015,"0",B6896:B9015,"5 1 2 9 1 12 31111 6 M59 60100 000132 0000R 00001 00291 015*")</f>
        <v>0</v>
      </c>
      <c r="H6895" s="35">
        <f t="shared" si="108"/>
        <v>1.5</v>
      </c>
      <c r="I6895" s="35"/>
      <c r="K6895" t="s">
        <v>15</v>
      </c>
    </row>
    <row r="6896" spans="2:11" ht="33" x14ac:dyDescent="0.2">
      <c r="B6896" s="33" t="s">
        <v>7921</v>
      </c>
      <c r="C6896" s="33" t="s">
        <v>5830</v>
      </c>
      <c r="D6896" s="35">
        <f>SUMIFS(D6897:D9015,K6897:K9015,"0",B6897:B9015,"5 1 2 9 1 12 31111 6 M59 60100 000132 0000R 00001 00291 015 2112000*")-SUMIFS(E6897:E9015,K6897:K9015,"0",B6897:B9015,"5 1 2 9 1 12 31111 6 M59 60100 000132 0000R 00001 00291 015 2112000*")</f>
        <v>0</v>
      </c>
      <c r="E6896"/>
      <c r="F6896" s="35">
        <f>SUMIFS(F6897:F9015,K6897:K9015,"0",B6897:B9015,"5 1 2 9 1 12 31111 6 M59 60100 000132 0000R 00001 00291 015 2112000*")</f>
        <v>1.5</v>
      </c>
      <c r="G6896" s="35">
        <f>SUMIFS(G6897:G9015,K6897:K9015,"0",B6897:B9015,"5 1 2 9 1 12 31111 6 M59 60100 000132 0000R 00001 00291 015 2112000*")</f>
        <v>0</v>
      </c>
      <c r="H6896" s="35">
        <f t="shared" si="108"/>
        <v>1.5</v>
      </c>
      <c r="I6896" s="35"/>
      <c r="K6896" t="s">
        <v>15</v>
      </c>
    </row>
    <row r="6897" spans="2:11" ht="33" x14ac:dyDescent="0.2">
      <c r="B6897" s="33" t="s">
        <v>7922</v>
      </c>
      <c r="C6897" s="33" t="s">
        <v>660</v>
      </c>
      <c r="D6897" s="35">
        <f>SUMIFS(D6898:D9015,K6898:K9015,"0",B6898:B9015,"5 1 2 9 1 12 31111 6 M59 60100 000132 0000R 00001 00291 015 2112000 2024*")-SUMIFS(E6898:E9015,K6898:K9015,"0",B6898:B9015,"5 1 2 9 1 12 31111 6 M59 60100 000132 0000R 00001 00291 015 2112000 2024*")</f>
        <v>0</v>
      </c>
      <c r="E6897"/>
      <c r="F6897" s="35">
        <f>SUMIFS(F6898:F9015,K6898:K9015,"0",B6898:B9015,"5 1 2 9 1 12 31111 6 M59 60100 000132 0000R 00001 00291 015 2112000 2024*")</f>
        <v>1.5</v>
      </c>
      <c r="G6897" s="35">
        <f>SUMIFS(G6898:G9015,K6898:K9015,"0",B6898:B9015,"5 1 2 9 1 12 31111 6 M59 60100 000132 0000R 00001 00291 015 2112000 2024*")</f>
        <v>0</v>
      </c>
      <c r="H6897" s="35">
        <f t="shared" si="108"/>
        <v>1.5</v>
      </c>
      <c r="I6897" s="35"/>
      <c r="K6897" t="s">
        <v>15</v>
      </c>
    </row>
    <row r="6898" spans="2:11" ht="41.25" x14ac:dyDescent="0.2">
      <c r="B6898" s="33" t="s">
        <v>7923</v>
      </c>
      <c r="C6898" s="33" t="s">
        <v>1056</v>
      </c>
      <c r="D6898" s="35">
        <f>SUMIFS(D6899:D9015,K6899:K9015,"0",B6899:B9015,"5 1 2 9 1 12 31111 6 M59 60100 000132 0000R 00001 00291 015 2112000 2024 CP1DM394*")-SUMIFS(E6899:E9015,K6899:K9015,"0",B6899:B9015,"5 1 2 9 1 12 31111 6 M59 60100 000132 0000R 00001 00291 015 2112000 2024 CP1DM394*")</f>
        <v>0</v>
      </c>
      <c r="E6898"/>
      <c r="F6898" s="35">
        <f>SUMIFS(F6899:F9015,K6899:K9015,"0",B6899:B9015,"5 1 2 9 1 12 31111 6 M59 60100 000132 0000R 00001 00291 015 2112000 2024 CP1DM394*")</f>
        <v>1.5</v>
      </c>
      <c r="G6898" s="35">
        <f>SUMIFS(G6899:G9015,K6899:K9015,"0",B6899:B9015,"5 1 2 9 1 12 31111 6 M59 60100 000132 0000R 00001 00291 015 2112000 2024 CP1DM394*")</f>
        <v>0</v>
      </c>
      <c r="H6898" s="35">
        <f t="shared" si="108"/>
        <v>1.5</v>
      </c>
      <c r="I6898" s="35"/>
      <c r="K6898" t="s">
        <v>15</v>
      </c>
    </row>
    <row r="6899" spans="2:11" ht="41.25" x14ac:dyDescent="0.2">
      <c r="B6899" s="33" t="s">
        <v>7924</v>
      </c>
      <c r="C6899" s="33" t="s">
        <v>282</v>
      </c>
      <c r="D6899" s="35">
        <f>SUMIFS(D6900:D9015,K6900:K9015,"0",B6900:B9015,"5 1 2 9 1 12 31111 6 M59 60100 000132 0000R 00001 00291 015 2112000 2024 CP1DM394 001*")-SUMIFS(E6900:E9015,K6900:K9015,"0",B6900:B9015,"5 1 2 9 1 12 31111 6 M59 60100 000132 0000R 00001 00291 015 2112000 2024 CP1DM394 001*")</f>
        <v>0</v>
      </c>
      <c r="E6899"/>
      <c r="F6899" s="35">
        <f>SUMIFS(F6900:F9015,K6900:K9015,"0",B6900:B9015,"5 1 2 9 1 12 31111 6 M59 60100 000132 0000R 00001 00291 015 2112000 2024 CP1DM394 001*")</f>
        <v>1.5</v>
      </c>
      <c r="G6899" s="35">
        <f>SUMIFS(G6900:G9015,K6900:K9015,"0",B6900:B9015,"5 1 2 9 1 12 31111 6 M59 60100 000132 0000R 00001 00291 015 2112000 2024 CP1DM394 001*")</f>
        <v>0</v>
      </c>
      <c r="H6899" s="35">
        <f t="shared" si="108"/>
        <v>1.5</v>
      </c>
      <c r="I6899" s="35"/>
      <c r="K6899" t="s">
        <v>15</v>
      </c>
    </row>
    <row r="6900" spans="2:11" ht="33" x14ac:dyDescent="0.2">
      <c r="B6900" s="31" t="s">
        <v>7925</v>
      </c>
      <c r="C6900" s="31" t="s">
        <v>7842</v>
      </c>
      <c r="D6900" s="34">
        <v>0</v>
      </c>
      <c r="E6900" s="34"/>
      <c r="F6900" s="34">
        <v>1.5</v>
      </c>
      <c r="G6900" s="34">
        <v>0</v>
      </c>
      <c r="H6900" s="34">
        <f t="shared" si="108"/>
        <v>1.5</v>
      </c>
      <c r="I6900" s="34"/>
      <c r="K6900" t="s">
        <v>38</v>
      </c>
    </row>
    <row r="6901" spans="2:11" ht="16.5" x14ac:dyDescent="0.2">
      <c r="B6901" s="33" t="s">
        <v>7926</v>
      </c>
      <c r="C6901" s="33" t="s">
        <v>3608</v>
      </c>
      <c r="D6901" s="35">
        <f>SUMIFS(D6902:D9015,K6902:K9015,"0",B6902:B9015,"5 1 2 9 1 12 31111 6 M59 91000*")-SUMIFS(E6902:E9015,K6902:K9015,"0",B6902:B9015,"5 1 2 9 1 12 31111 6 M59 91000*")</f>
        <v>0</v>
      </c>
      <c r="E6901"/>
      <c r="F6901" s="35">
        <f>SUMIFS(F6902:F9015,K6902:K9015,"0",B6902:B9015,"5 1 2 9 1 12 31111 6 M59 91000*")</f>
        <v>1600</v>
      </c>
      <c r="G6901" s="35">
        <f>SUMIFS(G6902:G9015,K6902:K9015,"0",B6902:B9015,"5 1 2 9 1 12 31111 6 M59 91000*")</f>
        <v>0</v>
      </c>
      <c r="H6901" s="35">
        <f t="shared" si="108"/>
        <v>1600</v>
      </c>
      <c r="I6901" s="35"/>
      <c r="K6901" t="s">
        <v>15</v>
      </c>
    </row>
    <row r="6902" spans="2:11" ht="16.5" x14ac:dyDescent="0.2">
      <c r="B6902" s="33" t="s">
        <v>7927</v>
      </c>
      <c r="C6902" s="33" t="s">
        <v>648</v>
      </c>
      <c r="D6902" s="35">
        <f>SUMIFS(D6903:D9015,K6903:K9015,"0",B6903:B9015,"5 1 2 9 1 12 31111 6 M59 91000 000132*")-SUMIFS(E6903:E9015,K6903:K9015,"0",B6903:B9015,"5 1 2 9 1 12 31111 6 M59 91000 000132*")</f>
        <v>0</v>
      </c>
      <c r="E6902"/>
      <c r="F6902" s="35">
        <f>SUMIFS(F6903:F9015,K6903:K9015,"0",B6903:B9015,"5 1 2 9 1 12 31111 6 M59 91000 000132*")</f>
        <v>1600</v>
      </c>
      <c r="G6902" s="35">
        <f>SUMIFS(G6903:G9015,K6903:K9015,"0",B6903:B9015,"5 1 2 9 1 12 31111 6 M59 91000 000132*")</f>
        <v>0</v>
      </c>
      <c r="H6902" s="35">
        <f t="shared" si="108"/>
        <v>1600</v>
      </c>
      <c r="I6902" s="35"/>
      <c r="K6902" t="s">
        <v>15</v>
      </c>
    </row>
    <row r="6903" spans="2:11" ht="24.75" x14ac:dyDescent="0.2">
      <c r="B6903" s="33" t="s">
        <v>7928</v>
      </c>
      <c r="C6903" s="33" t="s">
        <v>650</v>
      </c>
      <c r="D6903" s="35">
        <f>SUMIFS(D6904:D9015,K6904:K9015,"0",B6904:B9015,"5 1 2 9 1 12 31111 6 M59 91000 000132 0000R*")-SUMIFS(E6904:E9015,K6904:K9015,"0",B6904:B9015,"5 1 2 9 1 12 31111 6 M59 91000 000132 0000R*")</f>
        <v>0</v>
      </c>
      <c r="E6903"/>
      <c r="F6903" s="35">
        <f>SUMIFS(F6904:F9015,K6904:K9015,"0",B6904:B9015,"5 1 2 9 1 12 31111 6 M59 91000 000132 0000R*")</f>
        <v>1600</v>
      </c>
      <c r="G6903" s="35">
        <f>SUMIFS(G6904:G9015,K6904:K9015,"0",B6904:B9015,"5 1 2 9 1 12 31111 6 M59 91000 000132 0000R*")</f>
        <v>0</v>
      </c>
      <c r="H6903" s="35">
        <f t="shared" si="108"/>
        <v>1600</v>
      </c>
      <c r="I6903" s="35"/>
      <c r="K6903" t="s">
        <v>15</v>
      </c>
    </row>
    <row r="6904" spans="2:11" ht="24.75" x14ac:dyDescent="0.2">
      <c r="B6904" s="33" t="s">
        <v>7929</v>
      </c>
      <c r="C6904" s="33" t="s">
        <v>282</v>
      </c>
      <c r="D6904" s="35">
        <f>SUMIFS(D6905:D9015,K6905:K9015,"0",B6905:B9015,"5 1 2 9 1 12 31111 6 M59 91000 000132 0000R 00001*")-SUMIFS(E6905:E9015,K6905:K9015,"0",B6905:B9015,"5 1 2 9 1 12 31111 6 M59 91000 000132 0000R 00001*")</f>
        <v>0</v>
      </c>
      <c r="E6904"/>
      <c r="F6904" s="35">
        <f>SUMIFS(F6905:F9015,K6905:K9015,"0",B6905:B9015,"5 1 2 9 1 12 31111 6 M59 91000 000132 0000R 00001*")</f>
        <v>1600</v>
      </c>
      <c r="G6904" s="35">
        <f>SUMIFS(G6905:G9015,K6905:K9015,"0",B6905:B9015,"5 1 2 9 1 12 31111 6 M59 91000 000132 0000R 00001*")</f>
        <v>0</v>
      </c>
      <c r="H6904" s="35">
        <f t="shared" si="108"/>
        <v>1600</v>
      </c>
      <c r="I6904" s="35"/>
      <c r="K6904" t="s">
        <v>15</v>
      </c>
    </row>
    <row r="6905" spans="2:11" ht="24.75" x14ac:dyDescent="0.2">
      <c r="B6905" s="33" t="s">
        <v>7930</v>
      </c>
      <c r="C6905" s="33" t="s">
        <v>7842</v>
      </c>
      <c r="D6905" s="35">
        <f>SUMIFS(D6906:D9015,K6906:K9015,"0",B6906:B9015,"5 1 2 9 1 12 31111 6 M59 91000 000132 0000R 00001 00291*")-SUMIFS(E6906:E9015,K6906:K9015,"0",B6906:B9015,"5 1 2 9 1 12 31111 6 M59 91000 000132 0000R 00001 00291*")</f>
        <v>0</v>
      </c>
      <c r="E6905"/>
      <c r="F6905" s="35">
        <f>SUMIFS(F6906:F9015,K6906:K9015,"0",B6906:B9015,"5 1 2 9 1 12 31111 6 M59 91000 000132 0000R 00001 00291*")</f>
        <v>1600</v>
      </c>
      <c r="G6905" s="35">
        <f>SUMIFS(G6906:G9015,K6906:K9015,"0",B6906:B9015,"5 1 2 9 1 12 31111 6 M59 91000 000132 0000R 00001 00291*")</f>
        <v>0</v>
      </c>
      <c r="H6905" s="35">
        <f t="shared" si="108"/>
        <v>1600</v>
      </c>
      <c r="I6905" s="35"/>
      <c r="K6905" t="s">
        <v>15</v>
      </c>
    </row>
    <row r="6906" spans="2:11" ht="33" x14ac:dyDescent="0.2">
      <c r="B6906" s="33" t="s">
        <v>7931</v>
      </c>
      <c r="C6906" s="33" t="s">
        <v>1051</v>
      </c>
      <c r="D6906" s="35">
        <f>SUMIFS(D6907:D9015,K6907:K9015,"0",B6907:B9015,"5 1 2 9 1 12 31111 6 M59 91000 000132 0000R 00001 00291 015*")-SUMIFS(E6907:E9015,K6907:K9015,"0",B6907:B9015,"5 1 2 9 1 12 31111 6 M59 91000 000132 0000R 00001 00291 015*")</f>
        <v>0</v>
      </c>
      <c r="E6906"/>
      <c r="F6906" s="35">
        <f>SUMIFS(F6907:F9015,K6907:K9015,"0",B6907:B9015,"5 1 2 9 1 12 31111 6 M59 91000 000132 0000R 00001 00291 015*")</f>
        <v>1600</v>
      </c>
      <c r="G6906" s="35">
        <f>SUMIFS(G6907:G9015,K6907:K9015,"0",B6907:B9015,"5 1 2 9 1 12 31111 6 M59 91000 000132 0000R 00001 00291 015*")</f>
        <v>0</v>
      </c>
      <c r="H6906" s="35">
        <f t="shared" si="108"/>
        <v>1600</v>
      </c>
      <c r="I6906" s="35"/>
      <c r="K6906" t="s">
        <v>15</v>
      </c>
    </row>
    <row r="6907" spans="2:11" ht="33" x14ac:dyDescent="0.2">
      <c r="B6907" s="33" t="s">
        <v>7932</v>
      </c>
      <c r="C6907" s="33" t="s">
        <v>5830</v>
      </c>
      <c r="D6907" s="35">
        <f>SUMIFS(D6908:D9015,K6908:K9015,"0",B6908:B9015,"5 1 2 9 1 12 31111 6 M59 91000 000132 0000R 00001 00291 015 2112000*")-SUMIFS(E6908:E9015,K6908:K9015,"0",B6908:B9015,"5 1 2 9 1 12 31111 6 M59 91000 000132 0000R 00001 00291 015 2112000*")</f>
        <v>0</v>
      </c>
      <c r="E6907"/>
      <c r="F6907" s="35">
        <f>SUMIFS(F6908:F9015,K6908:K9015,"0",B6908:B9015,"5 1 2 9 1 12 31111 6 M59 91000 000132 0000R 00001 00291 015 2112000*")</f>
        <v>1600</v>
      </c>
      <c r="G6907" s="35">
        <f>SUMIFS(G6908:G9015,K6908:K9015,"0",B6908:B9015,"5 1 2 9 1 12 31111 6 M59 91000 000132 0000R 00001 00291 015 2112000*")</f>
        <v>0</v>
      </c>
      <c r="H6907" s="35">
        <f t="shared" si="108"/>
        <v>1600</v>
      </c>
      <c r="I6907" s="35"/>
      <c r="K6907" t="s">
        <v>15</v>
      </c>
    </row>
    <row r="6908" spans="2:11" ht="33" x14ac:dyDescent="0.2">
      <c r="B6908" s="33" t="s">
        <v>7933</v>
      </c>
      <c r="C6908" s="33" t="s">
        <v>660</v>
      </c>
      <c r="D6908" s="35">
        <f>SUMIFS(D6909:D9015,K6909:K9015,"0",B6909:B9015,"5 1 2 9 1 12 31111 6 M59 91000 000132 0000R 00001 00291 015 2112000 2024*")-SUMIFS(E6909:E9015,K6909:K9015,"0",B6909:B9015,"5 1 2 9 1 12 31111 6 M59 91000 000132 0000R 00001 00291 015 2112000 2024*")</f>
        <v>0</v>
      </c>
      <c r="E6908"/>
      <c r="F6908" s="35">
        <f>SUMIFS(F6909:F9015,K6909:K9015,"0",B6909:B9015,"5 1 2 9 1 12 31111 6 M59 91000 000132 0000R 00001 00291 015 2112000 2024*")</f>
        <v>1600</v>
      </c>
      <c r="G6908" s="35">
        <f>SUMIFS(G6909:G9015,K6909:K9015,"0",B6909:B9015,"5 1 2 9 1 12 31111 6 M59 91000 000132 0000R 00001 00291 015 2112000 2024*")</f>
        <v>0</v>
      </c>
      <c r="H6908" s="35">
        <f t="shared" si="108"/>
        <v>1600</v>
      </c>
      <c r="I6908" s="35"/>
      <c r="K6908" t="s">
        <v>15</v>
      </c>
    </row>
    <row r="6909" spans="2:11" ht="41.25" x14ac:dyDescent="0.2">
      <c r="B6909" s="33" t="s">
        <v>7934</v>
      </c>
      <c r="C6909" s="33" t="s">
        <v>1056</v>
      </c>
      <c r="D6909" s="35">
        <f>SUMIFS(D6910:D9015,K6910:K9015,"0",B6910:B9015,"5 1 2 9 1 12 31111 6 M59 91000 000132 0000R 00001 00291 015 2112000 2024 CP1RE398*")-SUMIFS(E6910:E9015,K6910:K9015,"0",B6910:B9015,"5 1 2 9 1 12 31111 6 M59 91000 000132 0000R 00001 00291 015 2112000 2024 CP1RE398*")</f>
        <v>0</v>
      </c>
      <c r="E6909"/>
      <c r="F6909" s="35">
        <f>SUMIFS(F6910:F9015,K6910:K9015,"0",B6910:B9015,"5 1 2 9 1 12 31111 6 M59 91000 000132 0000R 00001 00291 015 2112000 2024 CP1RE398*")</f>
        <v>1600</v>
      </c>
      <c r="G6909" s="35">
        <f>SUMIFS(G6910:G9015,K6910:K9015,"0",B6910:B9015,"5 1 2 9 1 12 31111 6 M59 91000 000132 0000R 00001 00291 015 2112000 2024 CP1RE398*")</f>
        <v>0</v>
      </c>
      <c r="H6909" s="35">
        <f t="shared" si="108"/>
        <v>1600</v>
      </c>
      <c r="I6909" s="35"/>
      <c r="K6909" t="s">
        <v>15</v>
      </c>
    </row>
    <row r="6910" spans="2:11" ht="41.25" x14ac:dyDescent="0.2">
      <c r="B6910" s="33" t="s">
        <v>7935</v>
      </c>
      <c r="C6910" s="33" t="s">
        <v>282</v>
      </c>
      <c r="D6910" s="35">
        <f>SUMIFS(D6911:D9015,K6911:K9015,"0",B6911:B9015,"5 1 2 9 1 12 31111 6 M59 91000 000132 0000R 00001 00291 015 2112000 2024 CP1RE398 001*")-SUMIFS(E6911:E9015,K6911:K9015,"0",B6911:B9015,"5 1 2 9 1 12 31111 6 M59 91000 000132 0000R 00001 00291 015 2112000 2024 CP1RE398 001*")</f>
        <v>0</v>
      </c>
      <c r="E6910"/>
      <c r="F6910" s="35">
        <f>SUMIFS(F6911:F9015,K6911:K9015,"0",B6911:B9015,"5 1 2 9 1 12 31111 6 M59 91000 000132 0000R 00001 00291 015 2112000 2024 CP1RE398 001*")</f>
        <v>1600</v>
      </c>
      <c r="G6910" s="35">
        <f>SUMIFS(G6911:G9015,K6911:K9015,"0",B6911:B9015,"5 1 2 9 1 12 31111 6 M59 91000 000132 0000R 00001 00291 015 2112000 2024 CP1RE398 001*")</f>
        <v>0</v>
      </c>
      <c r="H6910" s="35">
        <f t="shared" si="108"/>
        <v>1600</v>
      </c>
      <c r="I6910" s="35"/>
      <c r="K6910" t="s">
        <v>15</v>
      </c>
    </row>
    <row r="6911" spans="2:11" ht="33" x14ac:dyDescent="0.2">
      <c r="B6911" s="31" t="s">
        <v>7936</v>
      </c>
      <c r="C6911" s="31" t="s">
        <v>7842</v>
      </c>
      <c r="D6911" s="34">
        <v>0</v>
      </c>
      <c r="E6911" s="34"/>
      <c r="F6911" s="34">
        <v>1600</v>
      </c>
      <c r="G6911" s="34">
        <v>0</v>
      </c>
      <c r="H6911" s="34">
        <f t="shared" si="108"/>
        <v>1600</v>
      </c>
      <c r="I6911" s="34"/>
      <c r="K6911" t="s">
        <v>38</v>
      </c>
    </row>
    <row r="6912" spans="2:11" ht="16.5" x14ac:dyDescent="0.2">
      <c r="B6912" s="33" t="s">
        <v>7937</v>
      </c>
      <c r="C6912" s="33" t="s">
        <v>3644</v>
      </c>
      <c r="D6912" s="35">
        <f>SUMIFS(D6913:D9015,K6913:K9015,"0",B6913:B9015,"5 1 2 9 1 12 31111 6 M59 94000*")-SUMIFS(E6913:E9015,K6913:K9015,"0",B6913:B9015,"5 1 2 9 1 12 31111 6 M59 94000*")</f>
        <v>0</v>
      </c>
      <c r="E6912"/>
      <c r="F6912" s="35">
        <f>SUMIFS(F6913:F9015,K6913:K9015,"0",B6913:B9015,"5 1 2 9 1 12 31111 6 M59 94000*")</f>
        <v>30181.41</v>
      </c>
      <c r="G6912" s="35">
        <f>SUMIFS(G6913:G9015,K6913:K9015,"0",B6913:B9015,"5 1 2 9 1 12 31111 6 M59 94000*")</f>
        <v>0</v>
      </c>
      <c r="H6912" s="35">
        <f t="shared" si="108"/>
        <v>30181.41</v>
      </c>
      <c r="I6912" s="35"/>
      <c r="K6912" t="s">
        <v>15</v>
      </c>
    </row>
    <row r="6913" spans="2:11" ht="24.75" x14ac:dyDescent="0.2">
      <c r="B6913" s="33" t="s">
        <v>7938</v>
      </c>
      <c r="C6913" s="33" t="s">
        <v>3152</v>
      </c>
      <c r="D6913" s="35">
        <f>SUMIFS(D6914:D9015,K6914:K9015,"0",B6914:B9015,"5 1 2 9 1 12 31111 6 M59 94000 000181*")-SUMIFS(E6914:E9015,K6914:K9015,"0",B6914:B9015,"5 1 2 9 1 12 31111 6 M59 94000 000181*")</f>
        <v>0</v>
      </c>
      <c r="E6913"/>
      <c r="F6913" s="35">
        <f>SUMIFS(F6914:F9015,K6914:K9015,"0",B6914:B9015,"5 1 2 9 1 12 31111 6 M59 94000 000181*")</f>
        <v>30181.41</v>
      </c>
      <c r="G6913" s="35">
        <f>SUMIFS(G6914:G9015,K6914:K9015,"0",B6914:B9015,"5 1 2 9 1 12 31111 6 M59 94000 000181*")</f>
        <v>0</v>
      </c>
      <c r="H6913" s="35">
        <f t="shared" si="108"/>
        <v>30181.41</v>
      </c>
      <c r="I6913" s="35"/>
      <c r="K6913" t="s">
        <v>15</v>
      </c>
    </row>
    <row r="6914" spans="2:11" ht="24.75" x14ac:dyDescent="0.2">
      <c r="B6914" s="33" t="s">
        <v>7939</v>
      </c>
      <c r="C6914" s="33" t="s">
        <v>650</v>
      </c>
      <c r="D6914" s="35">
        <f>SUMIFS(D6915:D9015,K6915:K9015,"0",B6915:B9015,"5 1 2 9 1 12 31111 6 M59 94000 000181 0000R*")-SUMIFS(E6915:E9015,K6915:K9015,"0",B6915:B9015,"5 1 2 9 1 12 31111 6 M59 94000 000181 0000R*")</f>
        <v>0</v>
      </c>
      <c r="E6914"/>
      <c r="F6914" s="35">
        <f>SUMIFS(F6915:F9015,K6915:K9015,"0",B6915:B9015,"5 1 2 9 1 12 31111 6 M59 94000 000181 0000R*")</f>
        <v>30181.41</v>
      </c>
      <c r="G6914" s="35">
        <f>SUMIFS(G6915:G9015,K6915:K9015,"0",B6915:B9015,"5 1 2 9 1 12 31111 6 M59 94000 000181 0000R*")</f>
        <v>0</v>
      </c>
      <c r="H6914" s="35">
        <f t="shared" si="108"/>
        <v>30181.41</v>
      </c>
      <c r="I6914" s="35"/>
      <c r="K6914" t="s">
        <v>15</v>
      </c>
    </row>
    <row r="6915" spans="2:11" ht="24.75" x14ac:dyDescent="0.2">
      <c r="B6915" s="33" t="s">
        <v>7940</v>
      </c>
      <c r="C6915" s="33" t="s">
        <v>282</v>
      </c>
      <c r="D6915" s="35">
        <f>SUMIFS(D6916:D9015,K6916:K9015,"0",B6916:B9015,"5 1 2 9 1 12 31111 6 M59 94000 000181 0000R 00001*")-SUMIFS(E6916:E9015,K6916:K9015,"0",B6916:B9015,"5 1 2 9 1 12 31111 6 M59 94000 000181 0000R 00001*")</f>
        <v>0</v>
      </c>
      <c r="E6915"/>
      <c r="F6915" s="35">
        <f>SUMIFS(F6916:F9015,K6916:K9015,"0",B6916:B9015,"5 1 2 9 1 12 31111 6 M59 94000 000181 0000R 00001*")</f>
        <v>30181.41</v>
      </c>
      <c r="G6915" s="35">
        <f>SUMIFS(G6916:G9015,K6916:K9015,"0",B6916:B9015,"5 1 2 9 1 12 31111 6 M59 94000 000181 0000R 00001*")</f>
        <v>0</v>
      </c>
      <c r="H6915" s="35">
        <f t="shared" si="108"/>
        <v>30181.41</v>
      </c>
      <c r="I6915" s="35"/>
      <c r="K6915" t="s">
        <v>15</v>
      </c>
    </row>
    <row r="6916" spans="2:11" ht="24.75" x14ac:dyDescent="0.2">
      <c r="B6916" s="33" t="s">
        <v>7941</v>
      </c>
      <c r="C6916" s="33" t="s">
        <v>7842</v>
      </c>
      <c r="D6916" s="35">
        <f>SUMIFS(D6917:D9015,K6917:K9015,"0",B6917:B9015,"5 1 2 9 1 12 31111 6 M59 94000 000181 0000R 00001 00291*")-SUMIFS(E6917:E9015,K6917:K9015,"0",B6917:B9015,"5 1 2 9 1 12 31111 6 M59 94000 000181 0000R 00001 00291*")</f>
        <v>0</v>
      </c>
      <c r="E6916"/>
      <c r="F6916" s="35">
        <f>SUMIFS(F6917:F9015,K6917:K9015,"0",B6917:B9015,"5 1 2 9 1 12 31111 6 M59 94000 000181 0000R 00001 00291*")</f>
        <v>30181.41</v>
      </c>
      <c r="G6916" s="35">
        <f>SUMIFS(G6917:G9015,K6917:K9015,"0",B6917:B9015,"5 1 2 9 1 12 31111 6 M59 94000 000181 0000R 00001 00291*")</f>
        <v>0</v>
      </c>
      <c r="H6916" s="35">
        <f t="shared" ref="H6916:H6979" si="109">D6916 + F6916 - G6916</f>
        <v>30181.41</v>
      </c>
      <c r="I6916" s="35"/>
      <c r="K6916" t="s">
        <v>15</v>
      </c>
    </row>
    <row r="6917" spans="2:11" ht="33" x14ac:dyDescent="0.2">
      <c r="B6917" s="33" t="s">
        <v>7942</v>
      </c>
      <c r="C6917" s="33" t="s">
        <v>1051</v>
      </c>
      <c r="D6917" s="35">
        <f>SUMIFS(D6918:D9015,K6918:K9015,"0",B6918:B9015,"5 1 2 9 1 12 31111 6 M59 94000 000181 0000R 00001 00291 015*")-SUMIFS(E6918:E9015,K6918:K9015,"0",B6918:B9015,"5 1 2 9 1 12 31111 6 M59 94000 000181 0000R 00001 00291 015*")</f>
        <v>0</v>
      </c>
      <c r="E6917"/>
      <c r="F6917" s="35">
        <f>SUMIFS(F6918:F9015,K6918:K9015,"0",B6918:B9015,"5 1 2 9 1 12 31111 6 M59 94000 000181 0000R 00001 00291 015*")</f>
        <v>30181.41</v>
      </c>
      <c r="G6917" s="35">
        <f>SUMIFS(G6918:G9015,K6918:K9015,"0",B6918:B9015,"5 1 2 9 1 12 31111 6 M59 94000 000181 0000R 00001 00291 015*")</f>
        <v>0</v>
      </c>
      <c r="H6917" s="35">
        <f t="shared" si="109"/>
        <v>30181.41</v>
      </c>
      <c r="I6917" s="35"/>
      <c r="K6917" t="s">
        <v>15</v>
      </c>
    </row>
    <row r="6918" spans="2:11" ht="33" x14ac:dyDescent="0.2">
      <c r="B6918" s="33" t="s">
        <v>7943</v>
      </c>
      <c r="C6918" s="33" t="s">
        <v>5830</v>
      </c>
      <c r="D6918" s="35">
        <f>SUMIFS(D6919:D9015,K6919:K9015,"0",B6919:B9015,"5 1 2 9 1 12 31111 6 M59 94000 000181 0000R 00001 00291 015 2112000*")-SUMIFS(E6919:E9015,K6919:K9015,"0",B6919:B9015,"5 1 2 9 1 12 31111 6 M59 94000 000181 0000R 00001 00291 015 2112000*")</f>
        <v>0</v>
      </c>
      <c r="E6918"/>
      <c r="F6918" s="35">
        <f>SUMIFS(F6919:F9015,K6919:K9015,"0",B6919:B9015,"5 1 2 9 1 12 31111 6 M59 94000 000181 0000R 00001 00291 015 2112000*")</f>
        <v>30181.41</v>
      </c>
      <c r="G6918" s="35">
        <f>SUMIFS(G6919:G9015,K6919:K9015,"0",B6919:B9015,"5 1 2 9 1 12 31111 6 M59 94000 000181 0000R 00001 00291 015 2112000*")</f>
        <v>0</v>
      </c>
      <c r="H6918" s="35">
        <f t="shared" si="109"/>
        <v>30181.41</v>
      </c>
      <c r="I6918" s="35"/>
      <c r="K6918" t="s">
        <v>15</v>
      </c>
    </row>
    <row r="6919" spans="2:11" ht="33" x14ac:dyDescent="0.2">
      <c r="B6919" s="33" t="s">
        <v>7944</v>
      </c>
      <c r="C6919" s="33" t="s">
        <v>660</v>
      </c>
      <c r="D6919" s="35">
        <f>SUMIFS(D6920:D9015,K6920:K9015,"0",B6920:B9015,"5 1 2 9 1 12 31111 6 M59 94000 000181 0000R 00001 00291 015 2112000 2024*")-SUMIFS(E6920:E9015,K6920:K9015,"0",B6920:B9015,"5 1 2 9 1 12 31111 6 M59 94000 000181 0000R 00001 00291 015 2112000 2024*")</f>
        <v>0</v>
      </c>
      <c r="E6919"/>
      <c r="F6919" s="35">
        <f>SUMIFS(F6920:F9015,K6920:K9015,"0",B6920:B9015,"5 1 2 9 1 12 31111 6 M59 94000 000181 0000R 00001 00291 015 2112000 2024*")</f>
        <v>30181.41</v>
      </c>
      <c r="G6919" s="35">
        <f>SUMIFS(G6920:G9015,K6920:K9015,"0",B6920:B9015,"5 1 2 9 1 12 31111 6 M59 94000 000181 0000R 00001 00291 015 2112000 2024*")</f>
        <v>0</v>
      </c>
      <c r="H6919" s="35">
        <f t="shared" si="109"/>
        <v>30181.41</v>
      </c>
      <c r="I6919" s="35"/>
      <c r="K6919" t="s">
        <v>15</v>
      </c>
    </row>
    <row r="6920" spans="2:11" ht="41.25" x14ac:dyDescent="0.2">
      <c r="B6920" s="33" t="s">
        <v>7945</v>
      </c>
      <c r="C6920" s="33" t="s">
        <v>1056</v>
      </c>
      <c r="D6920" s="35">
        <f>SUMIFS(D6921:D9015,K6921:K9015,"0",B6921:B9015,"5 1 2 9 1 12 31111 6 M59 94000 000181 0000R 00001 00291 015 2112000 2024 CP1OM392*")-SUMIFS(E6921:E9015,K6921:K9015,"0",B6921:B9015,"5 1 2 9 1 12 31111 6 M59 94000 000181 0000R 00001 00291 015 2112000 2024 CP1OM392*")</f>
        <v>0</v>
      </c>
      <c r="E6920"/>
      <c r="F6920" s="35">
        <f>SUMIFS(F6921:F9015,K6921:K9015,"0",B6921:B9015,"5 1 2 9 1 12 31111 6 M59 94000 000181 0000R 00001 00291 015 2112000 2024 CP1OM392*")</f>
        <v>30181.41</v>
      </c>
      <c r="G6920" s="35">
        <f>SUMIFS(G6921:G9015,K6921:K9015,"0",B6921:B9015,"5 1 2 9 1 12 31111 6 M59 94000 000181 0000R 00001 00291 015 2112000 2024 CP1OM392*")</f>
        <v>0</v>
      </c>
      <c r="H6920" s="35">
        <f t="shared" si="109"/>
        <v>30181.41</v>
      </c>
      <c r="I6920" s="35"/>
      <c r="K6920" t="s">
        <v>15</v>
      </c>
    </row>
    <row r="6921" spans="2:11" ht="41.25" x14ac:dyDescent="0.2">
      <c r="B6921" s="33" t="s">
        <v>7946</v>
      </c>
      <c r="C6921" s="33" t="s">
        <v>282</v>
      </c>
      <c r="D6921" s="35">
        <f>SUMIFS(D6922:D9015,K6922:K9015,"0",B6922:B9015,"5 1 2 9 1 12 31111 6 M59 94000 000181 0000R 00001 00291 015 2112000 2024 CP1OM392 001*")-SUMIFS(E6922:E9015,K6922:K9015,"0",B6922:B9015,"5 1 2 9 1 12 31111 6 M59 94000 000181 0000R 00001 00291 015 2112000 2024 CP1OM392 001*")</f>
        <v>0</v>
      </c>
      <c r="E6921"/>
      <c r="F6921" s="35">
        <f>SUMIFS(F6922:F9015,K6922:K9015,"0",B6922:B9015,"5 1 2 9 1 12 31111 6 M59 94000 000181 0000R 00001 00291 015 2112000 2024 CP1OM392 001*")</f>
        <v>30181.41</v>
      </c>
      <c r="G6921" s="35">
        <f>SUMIFS(G6922:G9015,K6922:K9015,"0",B6922:B9015,"5 1 2 9 1 12 31111 6 M59 94000 000181 0000R 00001 00291 015 2112000 2024 CP1OM392 001*")</f>
        <v>0</v>
      </c>
      <c r="H6921" s="35">
        <f t="shared" si="109"/>
        <v>30181.41</v>
      </c>
      <c r="I6921" s="35"/>
      <c r="K6921" t="s">
        <v>15</v>
      </c>
    </row>
    <row r="6922" spans="2:11" ht="33" x14ac:dyDescent="0.2">
      <c r="B6922" s="31" t="s">
        <v>7947</v>
      </c>
      <c r="C6922" s="31" t="s">
        <v>7832</v>
      </c>
      <c r="D6922" s="34">
        <v>0</v>
      </c>
      <c r="E6922" s="34"/>
      <c r="F6922" s="34">
        <v>30181.41</v>
      </c>
      <c r="G6922" s="34">
        <v>0</v>
      </c>
      <c r="H6922" s="34">
        <f t="shared" si="109"/>
        <v>30181.41</v>
      </c>
      <c r="I6922" s="34"/>
      <c r="K6922" t="s">
        <v>38</v>
      </c>
    </row>
    <row r="6923" spans="2:11" ht="16.5" x14ac:dyDescent="0.2">
      <c r="B6923" s="33" t="s">
        <v>7948</v>
      </c>
      <c r="C6923" s="33" t="s">
        <v>3693</v>
      </c>
      <c r="D6923" s="35">
        <f>SUMIFS(D6924:D9015,K6924:K9015,"0",B6924:B9015,"5 1 2 9 1 12 31111 6 M59 96100*")-SUMIFS(E6924:E9015,K6924:K9015,"0",B6924:B9015,"5 1 2 9 1 12 31111 6 M59 96100*")</f>
        <v>0</v>
      </c>
      <c r="E6923"/>
      <c r="F6923" s="35">
        <f>SUMIFS(F6924:F9015,K6924:K9015,"0",B6924:B9015,"5 1 2 9 1 12 31111 6 M59 96100*")</f>
        <v>1129.96</v>
      </c>
      <c r="G6923" s="35">
        <f>SUMIFS(G6924:G9015,K6924:K9015,"0",B6924:B9015,"5 1 2 9 1 12 31111 6 M59 96100*")</f>
        <v>0</v>
      </c>
      <c r="H6923" s="35">
        <f t="shared" si="109"/>
        <v>1129.96</v>
      </c>
      <c r="I6923" s="35"/>
      <c r="K6923" t="s">
        <v>15</v>
      </c>
    </row>
    <row r="6924" spans="2:11" ht="16.5" x14ac:dyDescent="0.2">
      <c r="B6924" s="33" t="s">
        <v>7949</v>
      </c>
      <c r="C6924" s="33" t="s">
        <v>1310</v>
      </c>
      <c r="D6924" s="35">
        <f>SUMIFS(D6925:D9015,K6925:K9015,"0",B6925:B9015,"5 1 2 9 1 12 31111 6 M59 96100 000211*")-SUMIFS(E6925:E9015,K6925:K9015,"0",B6925:B9015,"5 1 2 9 1 12 31111 6 M59 96100 000211*")</f>
        <v>0</v>
      </c>
      <c r="E6924"/>
      <c r="F6924" s="35">
        <f>SUMIFS(F6925:F9015,K6925:K9015,"0",B6925:B9015,"5 1 2 9 1 12 31111 6 M59 96100 000211*")</f>
        <v>1129.96</v>
      </c>
      <c r="G6924" s="35">
        <f>SUMIFS(G6925:G9015,K6925:K9015,"0",B6925:B9015,"5 1 2 9 1 12 31111 6 M59 96100 000211*")</f>
        <v>0</v>
      </c>
      <c r="H6924" s="35">
        <f t="shared" si="109"/>
        <v>1129.96</v>
      </c>
      <c r="I6924" s="35"/>
      <c r="K6924" t="s">
        <v>15</v>
      </c>
    </row>
    <row r="6925" spans="2:11" ht="24.75" x14ac:dyDescent="0.2">
      <c r="B6925" s="33" t="s">
        <v>7950</v>
      </c>
      <c r="C6925" s="33" t="s">
        <v>3696</v>
      </c>
      <c r="D6925" s="35">
        <f>SUMIFS(D6926:D9015,K6926:K9015,"0",B6926:B9015,"5 1 2 9 1 12 31111 6 M59 96100 000211 0000U*")-SUMIFS(E6926:E9015,K6926:K9015,"0",B6926:B9015,"5 1 2 9 1 12 31111 6 M59 96100 000211 0000U*")</f>
        <v>0</v>
      </c>
      <c r="E6925"/>
      <c r="F6925" s="35">
        <f>SUMIFS(F6926:F9015,K6926:K9015,"0",B6926:B9015,"5 1 2 9 1 12 31111 6 M59 96100 000211 0000U*")</f>
        <v>1129.96</v>
      </c>
      <c r="G6925" s="35">
        <f>SUMIFS(G6926:G9015,K6926:K9015,"0",B6926:B9015,"5 1 2 9 1 12 31111 6 M59 96100 000211 0000U*")</f>
        <v>0</v>
      </c>
      <c r="H6925" s="35">
        <f t="shared" si="109"/>
        <v>1129.96</v>
      </c>
      <c r="I6925" s="35"/>
      <c r="K6925" t="s">
        <v>15</v>
      </c>
    </row>
    <row r="6926" spans="2:11" ht="24.75" x14ac:dyDescent="0.2">
      <c r="B6926" s="33" t="s">
        <v>7951</v>
      </c>
      <c r="C6926" s="33" t="s">
        <v>282</v>
      </c>
      <c r="D6926" s="35">
        <f>SUMIFS(D6927:D9015,K6927:K9015,"0",B6927:B9015,"5 1 2 9 1 12 31111 6 M59 96100 000211 0000U 00001*")-SUMIFS(E6927:E9015,K6927:K9015,"0",B6927:B9015,"5 1 2 9 1 12 31111 6 M59 96100 000211 0000U 00001*")</f>
        <v>0</v>
      </c>
      <c r="E6926"/>
      <c r="F6926" s="35">
        <f>SUMIFS(F6927:F9015,K6927:K9015,"0",B6927:B9015,"5 1 2 9 1 12 31111 6 M59 96100 000211 0000U 00001*")</f>
        <v>1129.96</v>
      </c>
      <c r="G6926" s="35">
        <f>SUMIFS(G6927:G9015,K6927:K9015,"0",B6927:B9015,"5 1 2 9 1 12 31111 6 M59 96100 000211 0000U 00001*")</f>
        <v>0</v>
      </c>
      <c r="H6926" s="35">
        <f t="shared" si="109"/>
        <v>1129.96</v>
      </c>
      <c r="I6926" s="35"/>
      <c r="K6926" t="s">
        <v>15</v>
      </c>
    </row>
    <row r="6927" spans="2:11" ht="24.75" x14ac:dyDescent="0.2">
      <c r="B6927" s="33" t="s">
        <v>7952</v>
      </c>
      <c r="C6927" s="33" t="s">
        <v>7842</v>
      </c>
      <c r="D6927" s="35">
        <f>SUMIFS(D6928:D9015,K6928:K9015,"0",B6928:B9015,"5 1 2 9 1 12 31111 6 M59 96100 000211 0000U 00001 00291*")-SUMIFS(E6928:E9015,K6928:K9015,"0",B6928:B9015,"5 1 2 9 1 12 31111 6 M59 96100 000211 0000U 00001 00291*")</f>
        <v>0</v>
      </c>
      <c r="E6927"/>
      <c r="F6927" s="35">
        <f>SUMIFS(F6928:F9015,K6928:K9015,"0",B6928:B9015,"5 1 2 9 1 12 31111 6 M59 96100 000211 0000U 00001 00291*")</f>
        <v>1129.96</v>
      </c>
      <c r="G6927" s="35">
        <f>SUMIFS(G6928:G9015,K6928:K9015,"0",B6928:B9015,"5 1 2 9 1 12 31111 6 M59 96100 000211 0000U 00001 00291*")</f>
        <v>0</v>
      </c>
      <c r="H6927" s="35">
        <f t="shared" si="109"/>
        <v>1129.96</v>
      </c>
      <c r="I6927" s="35"/>
      <c r="K6927" t="s">
        <v>15</v>
      </c>
    </row>
    <row r="6928" spans="2:11" ht="33" x14ac:dyDescent="0.2">
      <c r="B6928" s="33" t="s">
        <v>7953</v>
      </c>
      <c r="C6928" s="33" t="s">
        <v>1051</v>
      </c>
      <c r="D6928" s="35">
        <f>SUMIFS(D6929:D9015,K6929:K9015,"0",B6929:B9015,"5 1 2 9 1 12 31111 6 M59 96100 000211 0000U 00001 00291 015*")-SUMIFS(E6929:E9015,K6929:K9015,"0",B6929:B9015,"5 1 2 9 1 12 31111 6 M59 96100 000211 0000U 00001 00291 015*")</f>
        <v>0</v>
      </c>
      <c r="E6928"/>
      <c r="F6928" s="35">
        <f>SUMIFS(F6929:F9015,K6929:K9015,"0",B6929:B9015,"5 1 2 9 1 12 31111 6 M59 96100 000211 0000U 00001 00291 015*")</f>
        <v>1129.96</v>
      </c>
      <c r="G6928" s="35">
        <f>SUMIFS(G6929:G9015,K6929:K9015,"0",B6929:B9015,"5 1 2 9 1 12 31111 6 M59 96100 000211 0000U 00001 00291 015*")</f>
        <v>0</v>
      </c>
      <c r="H6928" s="35">
        <f t="shared" si="109"/>
        <v>1129.96</v>
      </c>
      <c r="I6928" s="35"/>
      <c r="K6928" t="s">
        <v>15</v>
      </c>
    </row>
    <row r="6929" spans="2:11" ht="33" x14ac:dyDescent="0.2">
      <c r="B6929" s="33" t="s">
        <v>7954</v>
      </c>
      <c r="C6929" s="33" t="s">
        <v>5830</v>
      </c>
      <c r="D6929" s="35">
        <f>SUMIFS(D6930:D9015,K6930:K9015,"0",B6930:B9015,"5 1 2 9 1 12 31111 6 M59 96100 000211 0000U 00001 00291 015 2112000*")-SUMIFS(E6930:E9015,K6930:K9015,"0",B6930:B9015,"5 1 2 9 1 12 31111 6 M59 96100 000211 0000U 00001 00291 015 2112000*")</f>
        <v>0</v>
      </c>
      <c r="E6929"/>
      <c r="F6929" s="35">
        <f>SUMIFS(F6930:F9015,K6930:K9015,"0",B6930:B9015,"5 1 2 9 1 12 31111 6 M59 96100 000211 0000U 00001 00291 015 2112000*")</f>
        <v>1129.96</v>
      </c>
      <c r="G6929" s="35">
        <f>SUMIFS(G6930:G9015,K6930:K9015,"0",B6930:B9015,"5 1 2 9 1 12 31111 6 M59 96100 000211 0000U 00001 00291 015 2112000*")</f>
        <v>0</v>
      </c>
      <c r="H6929" s="35">
        <f t="shared" si="109"/>
        <v>1129.96</v>
      </c>
      <c r="I6929" s="35"/>
      <c r="K6929" t="s">
        <v>15</v>
      </c>
    </row>
    <row r="6930" spans="2:11" ht="33" x14ac:dyDescent="0.2">
      <c r="B6930" s="33" t="s">
        <v>7955</v>
      </c>
      <c r="C6930" s="33" t="s">
        <v>660</v>
      </c>
      <c r="D6930" s="35">
        <f>SUMIFS(D6931:D9015,K6931:K9015,"0",B6931:B9015,"5 1 2 9 1 12 31111 6 M59 96100 000211 0000U 00001 00291 015 2112000 2024*")-SUMIFS(E6931:E9015,K6931:K9015,"0",B6931:B9015,"5 1 2 9 1 12 31111 6 M59 96100 000211 0000U 00001 00291 015 2112000 2024*")</f>
        <v>0</v>
      </c>
      <c r="E6930"/>
      <c r="F6930" s="35">
        <f>SUMIFS(F6931:F9015,K6931:K9015,"0",B6931:B9015,"5 1 2 9 1 12 31111 6 M59 96100 000211 0000U 00001 00291 015 2112000 2024*")</f>
        <v>1129.96</v>
      </c>
      <c r="G6930" s="35">
        <f>SUMIFS(G6931:G9015,K6931:K9015,"0",B6931:B9015,"5 1 2 9 1 12 31111 6 M59 96100 000211 0000U 00001 00291 015 2112000 2024*")</f>
        <v>0</v>
      </c>
      <c r="H6930" s="35">
        <f t="shared" si="109"/>
        <v>1129.96</v>
      </c>
      <c r="I6930" s="35"/>
      <c r="K6930" t="s">
        <v>15</v>
      </c>
    </row>
    <row r="6931" spans="2:11" ht="41.25" x14ac:dyDescent="0.2">
      <c r="B6931" s="33" t="s">
        <v>7956</v>
      </c>
      <c r="C6931" s="33" t="s">
        <v>1056</v>
      </c>
      <c r="D6931" s="35">
        <f>SUMIFS(D6932:D9015,K6932:K9015,"0",B6932:B9015,"5 1 2 9 1 12 31111 6 M59 96100 000211 0000U 00001 00291 015 2112000 2024 CP1IU412*")-SUMIFS(E6932:E9015,K6932:K9015,"0",B6932:B9015,"5 1 2 9 1 12 31111 6 M59 96100 000211 0000U 00001 00291 015 2112000 2024 CP1IU412*")</f>
        <v>0</v>
      </c>
      <c r="E6931"/>
      <c r="F6931" s="35">
        <f>SUMIFS(F6932:F9015,K6932:K9015,"0",B6932:B9015,"5 1 2 9 1 12 31111 6 M59 96100 000211 0000U 00001 00291 015 2112000 2024 CP1IU412*")</f>
        <v>1129.96</v>
      </c>
      <c r="G6931" s="35">
        <f>SUMIFS(G6932:G9015,K6932:K9015,"0",B6932:B9015,"5 1 2 9 1 12 31111 6 M59 96100 000211 0000U 00001 00291 015 2112000 2024 CP1IU412*")</f>
        <v>0</v>
      </c>
      <c r="H6931" s="35">
        <f t="shared" si="109"/>
        <v>1129.96</v>
      </c>
      <c r="I6931" s="35"/>
      <c r="K6931" t="s">
        <v>15</v>
      </c>
    </row>
    <row r="6932" spans="2:11" ht="41.25" x14ac:dyDescent="0.2">
      <c r="B6932" s="33" t="s">
        <v>7957</v>
      </c>
      <c r="C6932" s="33" t="s">
        <v>282</v>
      </c>
      <c r="D6932" s="35">
        <f>SUMIFS(D6933:D9015,K6933:K9015,"0",B6933:B9015,"5 1 2 9 1 12 31111 6 M59 96100 000211 0000U 00001 00291 015 2112000 2024 CP1IU412 001*")-SUMIFS(E6933:E9015,K6933:K9015,"0",B6933:B9015,"5 1 2 9 1 12 31111 6 M59 96100 000211 0000U 00001 00291 015 2112000 2024 CP1IU412 001*")</f>
        <v>0</v>
      </c>
      <c r="E6932"/>
      <c r="F6932" s="35">
        <f>SUMIFS(F6933:F9015,K6933:K9015,"0",B6933:B9015,"5 1 2 9 1 12 31111 6 M59 96100 000211 0000U 00001 00291 015 2112000 2024 CP1IU412 001*")</f>
        <v>1129.96</v>
      </c>
      <c r="G6932" s="35">
        <f>SUMIFS(G6933:G9015,K6933:K9015,"0",B6933:B9015,"5 1 2 9 1 12 31111 6 M59 96100 000211 0000U 00001 00291 015 2112000 2024 CP1IU412 001*")</f>
        <v>0</v>
      </c>
      <c r="H6932" s="35">
        <f t="shared" si="109"/>
        <v>1129.96</v>
      </c>
      <c r="I6932" s="35"/>
      <c r="K6932" t="s">
        <v>15</v>
      </c>
    </row>
    <row r="6933" spans="2:11" ht="33" x14ac:dyDescent="0.2">
      <c r="B6933" s="31" t="s">
        <v>7958</v>
      </c>
      <c r="C6933" s="31" t="s">
        <v>7832</v>
      </c>
      <c r="D6933" s="34">
        <v>0</v>
      </c>
      <c r="E6933" s="34"/>
      <c r="F6933" s="34">
        <v>1129.96</v>
      </c>
      <c r="G6933" s="34">
        <v>0</v>
      </c>
      <c r="H6933" s="34">
        <f t="shared" si="109"/>
        <v>1129.96</v>
      </c>
      <c r="I6933" s="34"/>
      <c r="K6933" t="s">
        <v>38</v>
      </c>
    </row>
    <row r="6934" spans="2:11" ht="16.5" x14ac:dyDescent="0.2">
      <c r="B6934" s="33" t="s">
        <v>7959</v>
      </c>
      <c r="C6934" s="33" t="s">
        <v>3706</v>
      </c>
      <c r="D6934" s="35">
        <f>SUMIFS(D6935:D9015,K6935:K9015,"0",B6935:B9015,"5 1 2 9 1 12 31111 6 M59 96200*")-SUMIFS(E6935:E9015,K6935:K9015,"0",B6935:B9015,"5 1 2 9 1 12 31111 6 M59 96200*")</f>
        <v>0</v>
      </c>
      <c r="E6934"/>
      <c r="F6934" s="35">
        <f>SUMIFS(F6935:F9015,K6935:K9015,"0",B6935:B9015,"5 1 2 9 1 12 31111 6 M59 96200*")</f>
        <v>52423.42</v>
      </c>
      <c r="G6934" s="35">
        <f>SUMIFS(G6935:G9015,K6935:K9015,"0",B6935:B9015,"5 1 2 9 1 12 31111 6 M59 96200*")</f>
        <v>0</v>
      </c>
      <c r="H6934" s="35">
        <f t="shared" si="109"/>
        <v>52423.42</v>
      </c>
      <c r="I6934" s="35"/>
      <c r="K6934" t="s">
        <v>15</v>
      </c>
    </row>
    <row r="6935" spans="2:11" ht="16.5" x14ac:dyDescent="0.2">
      <c r="B6935" s="33" t="s">
        <v>7960</v>
      </c>
      <c r="C6935" s="33" t="s">
        <v>648</v>
      </c>
      <c r="D6935" s="35">
        <f>SUMIFS(D6936:D9015,K6936:K9015,"0",B6936:B9015,"5 1 2 9 1 12 31111 6 M59 96200 000132*")-SUMIFS(E6936:E9015,K6936:K9015,"0",B6936:B9015,"5 1 2 9 1 12 31111 6 M59 96200 000132*")</f>
        <v>0</v>
      </c>
      <c r="E6935"/>
      <c r="F6935" s="35">
        <f>SUMIFS(F6936:F9015,K6936:K9015,"0",B6936:B9015,"5 1 2 9 1 12 31111 6 M59 96200 000132*")</f>
        <v>52423.42</v>
      </c>
      <c r="G6935" s="35">
        <f>SUMIFS(G6936:G9015,K6936:K9015,"0",B6936:B9015,"5 1 2 9 1 12 31111 6 M59 96200 000132*")</f>
        <v>0</v>
      </c>
      <c r="H6935" s="35">
        <f t="shared" si="109"/>
        <v>52423.42</v>
      </c>
      <c r="I6935" s="35"/>
      <c r="K6935" t="s">
        <v>15</v>
      </c>
    </row>
    <row r="6936" spans="2:11" ht="24.75" x14ac:dyDescent="0.2">
      <c r="B6936" s="33" t="s">
        <v>7961</v>
      </c>
      <c r="C6936" s="33" t="s">
        <v>650</v>
      </c>
      <c r="D6936" s="35">
        <f>SUMIFS(D6937:D9015,K6937:K9015,"0",B6937:B9015,"5 1 2 9 1 12 31111 6 M59 96200 000132 0000R*")-SUMIFS(E6937:E9015,K6937:K9015,"0",B6937:B9015,"5 1 2 9 1 12 31111 6 M59 96200 000132 0000R*")</f>
        <v>0</v>
      </c>
      <c r="E6936"/>
      <c r="F6936" s="35">
        <f>SUMIFS(F6937:F9015,K6937:K9015,"0",B6937:B9015,"5 1 2 9 1 12 31111 6 M59 96200 000132 0000R*")</f>
        <v>52423.42</v>
      </c>
      <c r="G6936" s="35">
        <f>SUMIFS(G6937:G9015,K6937:K9015,"0",B6937:B9015,"5 1 2 9 1 12 31111 6 M59 96200 000132 0000R*")</f>
        <v>0</v>
      </c>
      <c r="H6936" s="35">
        <f t="shared" si="109"/>
        <v>52423.42</v>
      </c>
      <c r="I6936" s="35"/>
      <c r="K6936" t="s">
        <v>15</v>
      </c>
    </row>
    <row r="6937" spans="2:11" ht="24.75" x14ac:dyDescent="0.2">
      <c r="B6937" s="33" t="s">
        <v>7962</v>
      </c>
      <c r="C6937" s="33" t="s">
        <v>282</v>
      </c>
      <c r="D6937" s="35">
        <f>SUMIFS(D6938:D9015,K6938:K9015,"0",B6938:B9015,"5 1 2 9 1 12 31111 6 M59 96200 000132 0000R 00001*")-SUMIFS(E6938:E9015,K6938:K9015,"0",B6938:B9015,"5 1 2 9 1 12 31111 6 M59 96200 000132 0000R 00001*")</f>
        <v>0</v>
      </c>
      <c r="E6937"/>
      <c r="F6937" s="35">
        <f>SUMIFS(F6938:F9015,K6938:K9015,"0",B6938:B9015,"5 1 2 9 1 12 31111 6 M59 96200 000132 0000R 00001*")</f>
        <v>52423.42</v>
      </c>
      <c r="G6937" s="35">
        <f>SUMIFS(G6938:G9015,K6938:K9015,"0",B6938:B9015,"5 1 2 9 1 12 31111 6 M59 96200 000132 0000R 00001*")</f>
        <v>0</v>
      </c>
      <c r="H6937" s="35">
        <f t="shared" si="109"/>
        <v>52423.42</v>
      </c>
      <c r="I6937" s="35"/>
      <c r="K6937" t="s">
        <v>15</v>
      </c>
    </row>
    <row r="6938" spans="2:11" ht="24.75" x14ac:dyDescent="0.2">
      <c r="B6938" s="33" t="s">
        <v>7963</v>
      </c>
      <c r="C6938" s="33" t="s">
        <v>7842</v>
      </c>
      <c r="D6938" s="35">
        <f>SUMIFS(D6939:D9015,K6939:K9015,"0",B6939:B9015,"5 1 2 9 1 12 31111 6 M59 96200 000132 0000R 00001 00291*")-SUMIFS(E6939:E9015,K6939:K9015,"0",B6939:B9015,"5 1 2 9 1 12 31111 6 M59 96200 000132 0000R 00001 00291*")</f>
        <v>0</v>
      </c>
      <c r="E6938"/>
      <c r="F6938" s="35">
        <f>SUMIFS(F6939:F9015,K6939:K9015,"0",B6939:B9015,"5 1 2 9 1 12 31111 6 M59 96200 000132 0000R 00001 00291*")</f>
        <v>52423.42</v>
      </c>
      <c r="G6938" s="35">
        <f>SUMIFS(G6939:G9015,K6939:K9015,"0",B6939:B9015,"5 1 2 9 1 12 31111 6 M59 96200 000132 0000R 00001 00291*")</f>
        <v>0</v>
      </c>
      <c r="H6938" s="35">
        <f t="shared" si="109"/>
        <v>52423.42</v>
      </c>
      <c r="I6938" s="35"/>
      <c r="K6938" t="s">
        <v>15</v>
      </c>
    </row>
    <row r="6939" spans="2:11" ht="33" x14ac:dyDescent="0.2">
      <c r="B6939" s="33" t="s">
        <v>7964</v>
      </c>
      <c r="C6939" s="33" t="s">
        <v>1051</v>
      </c>
      <c r="D6939" s="35">
        <f>SUMIFS(D6940:D9015,K6940:K9015,"0",B6940:B9015,"5 1 2 9 1 12 31111 6 M59 96200 000132 0000R 00001 00291 015*")-SUMIFS(E6940:E9015,K6940:K9015,"0",B6940:B9015,"5 1 2 9 1 12 31111 6 M59 96200 000132 0000R 00001 00291 015*")</f>
        <v>0</v>
      </c>
      <c r="E6939"/>
      <c r="F6939" s="35">
        <f>SUMIFS(F6940:F9015,K6940:K9015,"0",B6940:B9015,"5 1 2 9 1 12 31111 6 M59 96200 000132 0000R 00001 00291 015*")</f>
        <v>52423.42</v>
      </c>
      <c r="G6939" s="35">
        <f>SUMIFS(G6940:G9015,K6940:K9015,"0",B6940:B9015,"5 1 2 9 1 12 31111 6 M59 96200 000132 0000R 00001 00291 015*")</f>
        <v>0</v>
      </c>
      <c r="H6939" s="35">
        <f t="shared" si="109"/>
        <v>52423.42</v>
      </c>
      <c r="I6939" s="35"/>
      <c r="K6939" t="s">
        <v>15</v>
      </c>
    </row>
    <row r="6940" spans="2:11" ht="33" x14ac:dyDescent="0.2">
      <c r="B6940" s="33" t="s">
        <v>7965</v>
      </c>
      <c r="C6940" s="33" t="s">
        <v>5830</v>
      </c>
      <c r="D6940" s="35">
        <f>SUMIFS(D6941:D9015,K6941:K9015,"0",B6941:B9015,"5 1 2 9 1 12 31111 6 M59 96200 000132 0000R 00001 00291 015 2112000*")-SUMIFS(E6941:E9015,K6941:K9015,"0",B6941:B9015,"5 1 2 9 1 12 31111 6 M59 96200 000132 0000R 00001 00291 015 2112000*")</f>
        <v>0</v>
      </c>
      <c r="E6940"/>
      <c r="F6940" s="35">
        <f>SUMIFS(F6941:F9015,K6941:K9015,"0",B6941:B9015,"5 1 2 9 1 12 31111 6 M59 96200 000132 0000R 00001 00291 015 2112000*")</f>
        <v>52423.42</v>
      </c>
      <c r="G6940" s="35">
        <f>SUMIFS(G6941:G9015,K6941:K9015,"0",B6941:B9015,"5 1 2 9 1 12 31111 6 M59 96200 000132 0000R 00001 00291 015 2112000*")</f>
        <v>0</v>
      </c>
      <c r="H6940" s="35">
        <f t="shared" si="109"/>
        <v>52423.42</v>
      </c>
      <c r="I6940" s="35"/>
      <c r="K6940" t="s">
        <v>15</v>
      </c>
    </row>
    <row r="6941" spans="2:11" ht="33" x14ac:dyDescent="0.2">
      <c r="B6941" s="33" t="s">
        <v>7966</v>
      </c>
      <c r="C6941" s="33" t="s">
        <v>660</v>
      </c>
      <c r="D6941" s="35">
        <f>SUMIFS(D6942:D9015,K6942:K9015,"0",B6942:B9015,"5 1 2 9 1 12 31111 6 M59 96200 000132 0000R 00001 00291 015 2112000 2024*")-SUMIFS(E6942:E9015,K6942:K9015,"0",B6942:B9015,"5 1 2 9 1 12 31111 6 M59 96200 000132 0000R 00001 00291 015 2112000 2024*")</f>
        <v>0</v>
      </c>
      <c r="E6941"/>
      <c r="F6941" s="35">
        <f>SUMIFS(F6942:F9015,K6942:K9015,"0",B6942:B9015,"5 1 2 9 1 12 31111 6 M59 96200 000132 0000R 00001 00291 015 2112000 2024*")</f>
        <v>52423.42</v>
      </c>
      <c r="G6941" s="35">
        <f>SUMIFS(G6942:G9015,K6942:K9015,"0",B6942:B9015,"5 1 2 9 1 12 31111 6 M59 96200 000132 0000R 00001 00291 015 2112000 2024*")</f>
        <v>0</v>
      </c>
      <c r="H6941" s="35">
        <f t="shared" si="109"/>
        <v>52423.42</v>
      </c>
      <c r="I6941" s="35"/>
      <c r="K6941" t="s">
        <v>15</v>
      </c>
    </row>
    <row r="6942" spans="2:11" ht="41.25" x14ac:dyDescent="0.2">
      <c r="B6942" s="33" t="s">
        <v>7967</v>
      </c>
      <c r="C6942" s="33" t="s">
        <v>662</v>
      </c>
      <c r="D6942" s="35">
        <f>SUMIFS(D6943:D9015,K6943:K9015,"0",B6943:B9015,"5 1 2 9 1 12 31111 6 M59 96200 000132 0000R 00001 00291 015 2112000 2024 CP1AL423*")-SUMIFS(E6943:E9015,K6943:K9015,"0",B6943:B9015,"5 1 2 9 1 12 31111 6 M59 96200 000132 0000R 00001 00291 015 2112000 2024 CP1AL423*")</f>
        <v>0</v>
      </c>
      <c r="E6942"/>
      <c r="F6942" s="35">
        <f>SUMIFS(F6943:F9015,K6943:K9015,"0",B6943:B9015,"5 1 2 9 1 12 31111 6 M59 96200 000132 0000R 00001 00291 015 2112000 2024 CP1AL423*")</f>
        <v>52423.42</v>
      </c>
      <c r="G6942" s="35">
        <f>SUMIFS(G6943:G9015,K6943:K9015,"0",B6943:B9015,"5 1 2 9 1 12 31111 6 M59 96200 000132 0000R 00001 00291 015 2112000 2024 CP1AL423*")</f>
        <v>0</v>
      </c>
      <c r="H6942" s="35">
        <f t="shared" si="109"/>
        <v>52423.42</v>
      </c>
      <c r="I6942" s="35"/>
      <c r="K6942" t="s">
        <v>15</v>
      </c>
    </row>
    <row r="6943" spans="2:11" ht="41.25" x14ac:dyDescent="0.2">
      <c r="B6943" s="33" t="s">
        <v>7968</v>
      </c>
      <c r="C6943" s="33" t="s">
        <v>282</v>
      </c>
      <c r="D6943" s="35">
        <f>SUMIFS(D6944:D9015,K6944:K9015,"0",B6944:B9015,"5 1 2 9 1 12 31111 6 M59 96200 000132 0000R 00001 00291 015 2112000 2024 CP1AL423 001*")-SUMIFS(E6944:E9015,K6944:K9015,"0",B6944:B9015,"5 1 2 9 1 12 31111 6 M59 96200 000132 0000R 00001 00291 015 2112000 2024 CP1AL423 001*")</f>
        <v>0</v>
      </c>
      <c r="E6943"/>
      <c r="F6943" s="35">
        <f>SUMIFS(F6944:F9015,K6944:K9015,"0",B6944:B9015,"5 1 2 9 1 12 31111 6 M59 96200 000132 0000R 00001 00291 015 2112000 2024 CP1AL423 001*")</f>
        <v>52423.42</v>
      </c>
      <c r="G6943" s="35">
        <f>SUMIFS(G6944:G9015,K6944:K9015,"0",B6944:B9015,"5 1 2 9 1 12 31111 6 M59 96200 000132 0000R 00001 00291 015 2112000 2024 CP1AL423 001*")</f>
        <v>0</v>
      </c>
      <c r="H6943" s="35">
        <f t="shared" si="109"/>
        <v>52423.42</v>
      </c>
      <c r="I6943" s="35"/>
      <c r="K6943" t="s">
        <v>15</v>
      </c>
    </row>
    <row r="6944" spans="2:11" ht="41.25" x14ac:dyDescent="0.2">
      <c r="B6944" s="31" t="s">
        <v>7969</v>
      </c>
      <c r="C6944" s="31" t="s">
        <v>7842</v>
      </c>
      <c r="D6944" s="34">
        <v>0</v>
      </c>
      <c r="E6944" s="34"/>
      <c r="F6944" s="34">
        <v>52423.42</v>
      </c>
      <c r="G6944" s="34">
        <v>0</v>
      </c>
      <c r="H6944" s="34">
        <f t="shared" si="109"/>
        <v>52423.42</v>
      </c>
      <c r="I6944" s="34"/>
      <c r="K6944" t="s">
        <v>38</v>
      </c>
    </row>
    <row r="6945" spans="2:11" ht="16.5" x14ac:dyDescent="0.2">
      <c r="B6945" s="33" t="s">
        <v>7970</v>
      </c>
      <c r="C6945" s="33" t="s">
        <v>1308</v>
      </c>
      <c r="D6945" s="35">
        <f>SUMIFS(D6946:D9015,K6946:K9015,"0",B6946:B9015,"5 1 2 9 1 12 31111 6 M59 96300*")-SUMIFS(E6946:E9015,K6946:K9015,"0",B6946:B9015,"5 1 2 9 1 12 31111 6 M59 96300*")</f>
        <v>0</v>
      </c>
      <c r="E6945"/>
      <c r="F6945" s="35">
        <f>SUMIFS(F6946:F9015,K6946:K9015,"0",B6946:B9015,"5 1 2 9 1 12 31111 6 M59 96300*")</f>
        <v>19772</v>
      </c>
      <c r="G6945" s="35">
        <f>SUMIFS(G6946:G9015,K6946:K9015,"0",B6946:B9015,"5 1 2 9 1 12 31111 6 M59 96300*")</f>
        <v>0</v>
      </c>
      <c r="H6945" s="35">
        <f t="shared" si="109"/>
        <v>19772</v>
      </c>
      <c r="I6945" s="35"/>
      <c r="K6945" t="s">
        <v>15</v>
      </c>
    </row>
    <row r="6946" spans="2:11" ht="16.5" x14ac:dyDescent="0.2">
      <c r="B6946" s="33" t="s">
        <v>7971</v>
      </c>
      <c r="C6946" s="33" t="s">
        <v>1310</v>
      </c>
      <c r="D6946" s="35">
        <f>SUMIFS(D6947:D9015,K6947:K9015,"0",B6947:B9015,"5 1 2 9 1 12 31111 6 M59 96300 000211*")-SUMIFS(E6947:E9015,K6947:K9015,"0",B6947:B9015,"5 1 2 9 1 12 31111 6 M59 96300 000211*")</f>
        <v>0</v>
      </c>
      <c r="E6946"/>
      <c r="F6946" s="35">
        <f>SUMIFS(F6947:F9015,K6947:K9015,"0",B6947:B9015,"5 1 2 9 1 12 31111 6 M59 96300 000211*")</f>
        <v>19772</v>
      </c>
      <c r="G6946" s="35">
        <f>SUMIFS(G6947:G9015,K6947:K9015,"0",B6947:B9015,"5 1 2 9 1 12 31111 6 M59 96300 000211*")</f>
        <v>0</v>
      </c>
      <c r="H6946" s="35">
        <f t="shared" si="109"/>
        <v>19772</v>
      </c>
      <c r="I6946" s="35"/>
      <c r="K6946" t="s">
        <v>15</v>
      </c>
    </row>
    <row r="6947" spans="2:11" ht="24.75" x14ac:dyDescent="0.2">
      <c r="B6947" s="33" t="s">
        <v>7972</v>
      </c>
      <c r="C6947" s="33" t="s">
        <v>1065</v>
      </c>
      <c r="D6947" s="35">
        <f>SUMIFS(D6948:D9015,K6948:K9015,"0",B6948:B9015,"5 1 2 9 1 12 31111 6 M59 96300 000211 0000E*")-SUMIFS(E6948:E9015,K6948:K9015,"0",B6948:B9015,"5 1 2 9 1 12 31111 6 M59 96300 000211 0000E*")</f>
        <v>0</v>
      </c>
      <c r="E6947"/>
      <c r="F6947" s="35">
        <f>SUMIFS(F6948:F9015,K6948:K9015,"0",B6948:B9015,"5 1 2 9 1 12 31111 6 M59 96300 000211 0000E*")</f>
        <v>19772</v>
      </c>
      <c r="G6947" s="35">
        <f>SUMIFS(G6948:G9015,K6948:K9015,"0",B6948:B9015,"5 1 2 9 1 12 31111 6 M59 96300 000211 0000E*")</f>
        <v>0</v>
      </c>
      <c r="H6947" s="35">
        <f t="shared" si="109"/>
        <v>19772</v>
      </c>
      <c r="I6947" s="35"/>
      <c r="K6947" t="s">
        <v>15</v>
      </c>
    </row>
    <row r="6948" spans="2:11" ht="24.75" x14ac:dyDescent="0.2">
      <c r="B6948" s="33" t="s">
        <v>7973</v>
      </c>
      <c r="C6948" s="33" t="s">
        <v>282</v>
      </c>
      <c r="D6948" s="35">
        <f>SUMIFS(D6949:D9015,K6949:K9015,"0",B6949:B9015,"5 1 2 9 1 12 31111 6 M59 96300 000211 0000E 00001*")-SUMIFS(E6949:E9015,K6949:K9015,"0",B6949:B9015,"5 1 2 9 1 12 31111 6 M59 96300 000211 0000E 00001*")</f>
        <v>0</v>
      </c>
      <c r="E6948"/>
      <c r="F6948" s="35">
        <f>SUMIFS(F6949:F9015,K6949:K9015,"0",B6949:B9015,"5 1 2 9 1 12 31111 6 M59 96300 000211 0000E 00001*")</f>
        <v>19772</v>
      </c>
      <c r="G6948" s="35">
        <f>SUMIFS(G6949:G9015,K6949:K9015,"0",B6949:B9015,"5 1 2 9 1 12 31111 6 M59 96300 000211 0000E 00001*")</f>
        <v>0</v>
      </c>
      <c r="H6948" s="35">
        <f t="shared" si="109"/>
        <v>19772</v>
      </c>
      <c r="I6948" s="35"/>
      <c r="K6948" t="s">
        <v>15</v>
      </c>
    </row>
    <row r="6949" spans="2:11" ht="24.75" x14ac:dyDescent="0.2">
      <c r="B6949" s="33" t="s">
        <v>7974</v>
      </c>
      <c r="C6949" s="33" t="s">
        <v>7842</v>
      </c>
      <c r="D6949" s="35">
        <f>SUMIFS(D6950:D9015,K6950:K9015,"0",B6950:B9015,"5 1 2 9 1 12 31111 6 M59 96300 000211 0000E 00001 00291*")-SUMIFS(E6950:E9015,K6950:K9015,"0",B6950:B9015,"5 1 2 9 1 12 31111 6 M59 96300 000211 0000E 00001 00291*")</f>
        <v>0</v>
      </c>
      <c r="E6949"/>
      <c r="F6949" s="35">
        <f>SUMIFS(F6950:F9015,K6950:K9015,"0",B6950:B9015,"5 1 2 9 1 12 31111 6 M59 96300 000211 0000E 00001 00291*")</f>
        <v>19772</v>
      </c>
      <c r="G6949" s="35">
        <f>SUMIFS(G6950:G9015,K6950:K9015,"0",B6950:B9015,"5 1 2 9 1 12 31111 6 M59 96300 000211 0000E 00001 00291*")</f>
        <v>0</v>
      </c>
      <c r="H6949" s="35">
        <f t="shared" si="109"/>
        <v>19772</v>
      </c>
      <c r="I6949" s="35"/>
      <c r="K6949" t="s">
        <v>15</v>
      </c>
    </row>
    <row r="6950" spans="2:11" ht="33" x14ac:dyDescent="0.2">
      <c r="B6950" s="33" t="s">
        <v>7975</v>
      </c>
      <c r="C6950" s="33" t="s">
        <v>1051</v>
      </c>
      <c r="D6950" s="35">
        <f>SUMIFS(D6951:D9015,K6951:K9015,"0",B6951:B9015,"5 1 2 9 1 12 31111 6 M59 96300 000211 0000E 00001 00291 015*")-SUMIFS(E6951:E9015,K6951:K9015,"0",B6951:B9015,"5 1 2 9 1 12 31111 6 M59 96300 000211 0000E 00001 00291 015*")</f>
        <v>0</v>
      </c>
      <c r="E6950"/>
      <c r="F6950" s="35">
        <f>SUMIFS(F6951:F9015,K6951:K9015,"0",B6951:B9015,"5 1 2 9 1 12 31111 6 M59 96300 000211 0000E 00001 00291 015*")</f>
        <v>19772</v>
      </c>
      <c r="G6950" s="35">
        <f>SUMIFS(G6951:G9015,K6951:K9015,"0",B6951:B9015,"5 1 2 9 1 12 31111 6 M59 96300 000211 0000E 00001 00291 015*")</f>
        <v>0</v>
      </c>
      <c r="H6950" s="35">
        <f t="shared" si="109"/>
        <v>19772</v>
      </c>
      <c r="I6950" s="35"/>
      <c r="K6950" t="s">
        <v>15</v>
      </c>
    </row>
    <row r="6951" spans="2:11" ht="33" x14ac:dyDescent="0.2">
      <c r="B6951" s="33" t="s">
        <v>7976</v>
      </c>
      <c r="C6951" s="33" t="s">
        <v>5830</v>
      </c>
      <c r="D6951" s="35">
        <f>SUMIFS(D6952:D9015,K6952:K9015,"0",B6952:B9015,"5 1 2 9 1 12 31111 6 M59 96300 000211 0000E 00001 00291 015 2112000*")-SUMIFS(E6952:E9015,K6952:K9015,"0",B6952:B9015,"5 1 2 9 1 12 31111 6 M59 96300 000211 0000E 00001 00291 015 2112000*")</f>
        <v>0</v>
      </c>
      <c r="E6951"/>
      <c r="F6951" s="35">
        <f>SUMIFS(F6952:F9015,K6952:K9015,"0",B6952:B9015,"5 1 2 9 1 12 31111 6 M59 96300 000211 0000E 00001 00291 015 2112000*")</f>
        <v>19772</v>
      </c>
      <c r="G6951" s="35">
        <f>SUMIFS(G6952:G9015,K6952:K9015,"0",B6952:B9015,"5 1 2 9 1 12 31111 6 M59 96300 000211 0000E 00001 00291 015 2112000*")</f>
        <v>0</v>
      </c>
      <c r="H6951" s="35">
        <f t="shared" si="109"/>
        <v>19772</v>
      </c>
      <c r="I6951" s="35"/>
      <c r="K6951" t="s">
        <v>15</v>
      </c>
    </row>
    <row r="6952" spans="2:11" ht="33" x14ac:dyDescent="0.2">
      <c r="B6952" s="33" t="s">
        <v>7977</v>
      </c>
      <c r="C6952" s="33" t="s">
        <v>660</v>
      </c>
      <c r="D6952" s="35">
        <f>SUMIFS(D6953:D9015,K6953:K9015,"0",B6953:B9015,"5 1 2 9 1 12 31111 6 M59 96300 000211 0000E 00001 00291 015 2112000 2024*")-SUMIFS(E6953:E9015,K6953:K9015,"0",B6953:B9015,"5 1 2 9 1 12 31111 6 M59 96300 000211 0000E 00001 00291 015 2112000 2024*")</f>
        <v>0</v>
      </c>
      <c r="E6952"/>
      <c r="F6952" s="35">
        <f>SUMIFS(F6953:F9015,K6953:K9015,"0",B6953:B9015,"5 1 2 9 1 12 31111 6 M59 96300 000211 0000E 00001 00291 015 2112000 2024*")</f>
        <v>19772</v>
      </c>
      <c r="G6952" s="35">
        <f>SUMIFS(G6953:G9015,K6953:K9015,"0",B6953:B9015,"5 1 2 9 1 12 31111 6 M59 96300 000211 0000E 00001 00291 015 2112000 2024*")</f>
        <v>0</v>
      </c>
      <c r="H6952" s="35">
        <f t="shared" si="109"/>
        <v>19772</v>
      </c>
      <c r="I6952" s="35"/>
      <c r="K6952" t="s">
        <v>15</v>
      </c>
    </row>
    <row r="6953" spans="2:11" ht="41.25" x14ac:dyDescent="0.2">
      <c r="B6953" s="33" t="s">
        <v>7978</v>
      </c>
      <c r="C6953" s="33" t="s">
        <v>1056</v>
      </c>
      <c r="D6953" s="35">
        <f>SUMIFS(D6954:D9015,K6954:K9015,"0",B6954:B9015,"5 1 2 9 1 12 31111 6 M59 96300 000211 0000E 00001 00291 015 2112000 2024 CP1SB396*")-SUMIFS(E6954:E9015,K6954:K9015,"0",B6954:B9015,"5 1 2 9 1 12 31111 6 M59 96300 000211 0000E 00001 00291 015 2112000 2024 CP1SB396*")</f>
        <v>0</v>
      </c>
      <c r="E6953"/>
      <c r="F6953" s="35">
        <f>SUMIFS(F6954:F9015,K6954:K9015,"0",B6954:B9015,"5 1 2 9 1 12 31111 6 M59 96300 000211 0000E 00001 00291 015 2112000 2024 CP1SB396*")</f>
        <v>19772</v>
      </c>
      <c r="G6953" s="35">
        <f>SUMIFS(G6954:G9015,K6954:K9015,"0",B6954:B9015,"5 1 2 9 1 12 31111 6 M59 96300 000211 0000E 00001 00291 015 2112000 2024 CP1SB396*")</f>
        <v>0</v>
      </c>
      <c r="H6953" s="35">
        <f t="shared" si="109"/>
        <v>19772</v>
      </c>
      <c r="I6953" s="35"/>
      <c r="K6953" t="s">
        <v>15</v>
      </c>
    </row>
    <row r="6954" spans="2:11" ht="41.25" x14ac:dyDescent="0.2">
      <c r="B6954" s="33" t="s">
        <v>7979</v>
      </c>
      <c r="C6954" s="33" t="s">
        <v>282</v>
      </c>
      <c r="D6954" s="35">
        <f>SUMIFS(D6955:D9015,K6955:K9015,"0",B6955:B9015,"5 1 2 9 1 12 31111 6 M59 96300 000211 0000E 00001 00291 015 2112000 2024 CP1SB396 001*")-SUMIFS(E6955:E9015,K6955:K9015,"0",B6955:B9015,"5 1 2 9 1 12 31111 6 M59 96300 000211 0000E 00001 00291 015 2112000 2024 CP1SB396 001*")</f>
        <v>0</v>
      </c>
      <c r="E6954"/>
      <c r="F6954" s="35">
        <f>SUMIFS(F6955:F9015,K6955:K9015,"0",B6955:B9015,"5 1 2 9 1 12 31111 6 M59 96300 000211 0000E 00001 00291 015 2112000 2024 CP1SB396 001*")</f>
        <v>19772</v>
      </c>
      <c r="G6954" s="35">
        <f>SUMIFS(G6955:G9015,K6955:K9015,"0",B6955:B9015,"5 1 2 9 1 12 31111 6 M59 96300 000211 0000E 00001 00291 015 2112000 2024 CP1SB396 001*")</f>
        <v>0</v>
      </c>
      <c r="H6954" s="35">
        <f t="shared" si="109"/>
        <v>19772</v>
      </c>
      <c r="I6954" s="35"/>
      <c r="K6954" t="s">
        <v>15</v>
      </c>
    </row>
    <row r="6955" spans="2:11" ht="33" x14ac:dyDescent="0.2">
      <c r="B6955" s="31" t="s">
        <v>7980</v>
      </c>
      <c r="C6955" s="31" t="s">
        <v>7842</v>
      </c>
      <c r="D6955" s="34">
        <v>0</v>
      </c>
      <c r="E6955" s="34"/>
      <c r="F6955" s="34">
        <v>19772</v>
      </c>
      <c r="G6955" s="34">
        <v>0</v>
      </c>
      <c r="H6955" s="34">
        <f t="shared" si="109"/>
        <v>19772</v>
      </c>
      <c r="I6955" s="34"/>
      <c r="K6955" t="s">
        <v>38</v>
      </c>
    </row>
    <row r="6956" spans="2:11" ht="16.5" x14ac:dyDescent="0.2">
      <c r="B6956" s="33" t="s">
        <v>7981</v>
      </c>
      <c r="C6956" s="33" t="s">
        <v>3754</v>
      </c>
      <c r="D6956" s="35">
        <f>SUMIFS(D6957:D9015,K6957:K9015,"0",B6957:B9015,"5 1 2 9 1 12 31111 6 M59 99000*")-SUMIFS(E6957:E9015,K6957:K9015,"0",B6957:B9015,"5 1 2 9 1 12 31111 6 M59 99000*")</f>
        <v>0</v>
      </c>
      <c r="E6956"/>
      <c r="F6956" s="35">
        <f>SUMIFS(F6957:F9015,K6957:K9015,"0",B6957:B9015,"5 1 2 9 1 12 31111 6 M59 99000*")</f>
        <v>18079.150000000001</v>
      </c>
      <c r="G6956" s="35">
        <f>SUMIFS(G6957:G9015,K6957:K9015,"0",B6957:B9015,"5 1 2 9 1 12 31111 6 M59 99000*")</f>
        <v>0</v>
      </c>
      <c r="H6956" s="35">
        <f t="shared" si="109"/>
        <v>18079.150000000001</v>
      </c>
      <c r="I6956" s="35"/>
      <c r="K6956" t="s">
        <v>15</v>
      </c>
    </row>
    <row r="6957" spans="2:11" ht="16.5" x14ac:dyDescent="0.2">
      <c r="B6957" s="33" t="s">
        <v>7982</v>
      </c>
      <c r="C6957" s="33" t="s">
        <v>648</v>
      </c>
      <c r="D6957" s="35">
        <f>SUMIFS(D6958:D9015,K6958:K9015,"0",B6958:B9015,"5 1 2 9 1 12 31111 6 M59 99000 000132*")-SUMIFS(E6958:E9015,K6958:K9015,"0",B6958:B9015,"5 1 2 9 1 12 31111 6 M59 99000 000132*")</f>
        <v>0</v>
      </c>
      <c r="E6957"/>
      <c r="F6957" s="35">
        <f>SUMIFS(F6958:F9015,K6958:K9015,"0",B6958:B9015,"5 1 2 9 1 12 31111 6 M59 99000 000132*")</f>
        <v>18079.150000000001</v>
      </c>
      <c r="G6957" s="35">
        <f>SUMIFS(G6958:G9015,K6958:K9015,"0",B6958:B9015,"5 1 2 9 1 12 31111 6 M59 99000 000132*")</f>
        <v>0</v>
      </c>
      <c r="H6957" s="35">
        <f t="shared" si="109"/>
        <v>18079.150000000001</v>
      </c>
      <c r="I6957" s="35"/>
      <c r="K6957" t="s">
        <v>15</v>
      </c>
    </row>
    <row r="6958" spans="2:11" ht="24.75" x14ac:dyDescent="0.2">
      <c r="B6958" s="33" t="s">
        <v>7983</v>
      </c>
      <c r="C6958" s="33" t="s">
        <v>650</v>
      </c>
      <c r="D6958" s="35">
        <f>SUMIFS(D6959:D9015,K6959:K9015,"0",B6959:B9015,"5 1 2 9 1 12 31111 6 M59 99000 000132 0000R*")-SUMIFS(E6959:E9015,K6959:K9015,"0",B6959:B9015,"5 1 2 9 1 12 31111 6 M59 99000 000132 0000R*")</f>
        <v>0</v>
      </c>
      <c r="E6958"/>
      <c r="F6958" s="35">
        <f>SUMIFS(F6959:F9015,K6959:K9015,"0",B6959:B9015,"5 1 2 9 1 12 31111 6 M59 99000 000132 0000R*")</f>
        <v>18079.150000000001</v>
      </c>
      <c r="G6958" s="35">
        <f>SUMIFS(G6959:G9015,K6959:K9015,"0",B6959:B9015,"5 1 2 9 1 12 31111 6 M59 99000 000132 0000R*")</f>
        <v>0</v>
      </c>
      <c r="H6958" s="35">
        <f t="shared" si="109"/>
        <v>18079.150000000001</v>
      </c>
      <c r="I6958" s="35"/>
      <c r="K6958" t="s">
        <v>15</v>
      </c>
    </row>
    <row r="6959" spans="2:11" ht="24.75" x14ac:dyDescent="0.2">
      <c r="B6959" s="33" t="s">
        <v>7984</v>
      </c>
      <c r="C6959" s="33" t="s">
        <v>282</v>
      </c>
      <c r="D6959" s="35">
        <f>SUMIFS(D6960:D9015,K6960:K9015,"0",B6960:B9015,"5 1 2 9 1 12 31111 6 M59 99000 000132 0000R 00001*")-SUMIFS(E6960:E9015,K6960:K9015,"0",B6960:B9015,"5 1 2 9 1 12 31111 6 M59 99000 000132 0000R 00001*")</f>
        <v>0</v>
      </c>
      <c r="E6959"/>
      <c r="F6959" s="35">
        <f>SUMIFS(F6960:F9015,K6960:K9015,"0",B6960:B9015,"5 1 2 9 1 12 31111 6 M59 99000 000132 0000R 00001*")</f>
        <v>18079.150000000001</v>
      </c>
      <c r="G6959" s="35">
        <f>SUMIFS(G6960:G9015,K6960:K9015,"0",B6960:B9015,"5 1 2 9 1 12 31111 6 M59 99000 000132 0000R 00001*")</f>
        <v>0</v>
      </c>
      <c r="H6959" s="35">
        <f t="shared" si="109"/>
        <v>18079.150000000001</v>
      </c>
      <c r="I6959" s="35"/>
      <c r="K6959" t="s">
        <v>15</v>
      </c>
    </row>
    <row r="6960" spans="2:11" ht="24.75" x14ac:dyDescent="0.2">
      <c r="B6960" s="33" t="s">
        <v>7985</v>
      </c>
      <c r="C6960" s="33" t="s">
        <v>7842</v>
      </c>
      <c r="D6960" s="35">
        <f>SUMIFS(D6961:D9015,K6961:K9015,"0",B6961:B9015,"5 1 2 9 1 12 31111 6 M59 99000 000132 0000R 00001 00291*")-SUMIFS(E6961:E9015,K6961:K9015,"0",B6961:B9015,"5 1 2 9 1 12 31111 6 M59 99000 000132 0000R 00001 00291*")</f>
        <v>0</v>
      </c>
      <c r="E6960"/>
      <c r="F6960" s="35">
        <f>SUMIFS(F6961:F9015,K6961:K9015,"0",B6961:B9015,"5 1 2 9 1 12 31111 6 M59 99000 000132 0000R 00001 00291*")</f>
        <v>18079.150000000001</v>
      </c>
      <c r="G6960" s="35">
        <f>SUMIFS(G6961:G9015,K6961:K9015,"0",B6961:B9015,"5 1 2 9 1 12 31111 6 M59 99000 000132 0000R 00001 00291*")</f>
        <v>0</v>
      </c>
      <c r="H6960" s="35">
        <f t="shared" si="109"/>
        <v>18079.150000000001</v>
      </c>
      <c r="I6960" s="35"/>
      <c r="K6960" t="s">
        <v>15</v>
      </c>
    </row>
    <row r="6961" spans="2:11" ht="33" x14ac:dyDescent="0.2">
      <c r="B6961" s="33" t="s">
        <v>7986</v>
      </c>
      <c r="C6961" s="33" t="s">
        <v>1051</v>
      </c>
      <c r="D6961" s="35">
        <f>SUMIFS(D6962:D9015,K6962:K9015,"0",B6962:B9015,"5 1 2 9 1 12 31111 6 M59 99000 000132 0000R 00001 00291 015*")-SUMIFS(E6962:E9015,K6962:K9015,"0",B6962:B9015,"5 1 2 9 1 12 31111 6 M59 99000 000132 0000R 00001 00291 015*")</f>
        <v>0</v>
      </c>
      <c r="E6961"/>
      <c r="F6961" s="35">
        <f>SUMIFS(F6962:F9015,K6962:K9015,"0",B6962:B9015,"5 1 2 9 1 12 31111 6 M59 99000 000132 0000R 00001 00291 015*")</f>
        <v>18079.150000000001</v>
      </c>
      <c r="G6961" s="35">
        <f>SUMIFS(G6962:G9015,K6962:K9015,"0",B6962:B9015,"5 1 2 9 1 12 31111 6 M59 99000 000132 0000R 00001 00291 015*")</f>
        <v>0</v>
      </c>
      <c r="H6961" s="35">
        <f t="shared" si="109"/>
        <v>18079.150000000001</v>
      </c>
      <c r="I6961" s="35"/>
      <c r="K6961" t="s">
        <v>15</v>
      </c>
    </row>
    <row r="6962" spans="2:11" ht="33" x14ac:dyDescent="0.2">
      <c r="B6962" s="33" t="s">
        <v>7987</v>
      </c>
      <c r="C6962" s="33" t="s">
        <v>5830</v>
      </c>
      <c r="D6962" s="35">
        <f>SUMIFS(D6963:D9015,K6963:K9015,"0",B6963:B9015,"5 1 2 9 1 12 31111 6 M59 99000 000132 0000R 00001 00291 015 2112000*")-SUMIFS(E6963:E9015,K6963:K9015,"0",B6963:B9015,"5 1 2 9 1 12 31111 6 M59 99000 000132 0000R 00001 00291 015 2112000*")</f>
        <v>0</v>
      </c>
      <c r="E6962"/>
      <c r="F6962" s="35">
        <f>SUMIFS(F6963:F9015,K6963:K9015,"0",B6963:B9015,"5 1 2 9 1 12 31111 6 M59 99000 000132 0000R 00001 00291 015 2112000*")</f>
        <v>18079.150000000001</v>
      </c>
      <c r="G6962" s="35">
        <f>SUMIFS(G6963:G9015,K6963:K9015,"0",B6963:B9015,"5 1 2 9 1 12 31111 6 M59 99000 000132 0000R 00001 00291 015 2112000*")</f>
        <v>0</v>
      </c>
      <c r="H6962" s="35">
        <f t="shared" si="109"/>
        <v>18079.150000000001</v>
      </c>
      <c r="I6962" s="35"/>
      <c r="K6962" t="s">
        <v>15</v>
      </c>
    </row>
    <row r="6963" spans="2:11" ht="33" x14ac:dyDescent="0.2">
      <c r="B6963" s="33" t="s">
        <v>7988</v>
      </c>
      <c r="C6963" s="33" t="s">
        <v>660</v>
      </c>
      <c r="D6963" s="35">
        <f>SUMIFS(D6964:D9015,K6964:K9015,"0",B6964:B9015,"5 1 2 9 1 12 31111 6 M59 99000 000132 0000R 00001 00291 015 2112000 2024*")-SUMIFS(E6964:E9015,K6964:K9015,"0",B6964:B9015,"5 1 2 9 1 12 31111 6 M59 99000 000132 0000R 00001 00291 015 2112000 2024*")</f>
        <v>0</v>
      </c>
      <c r="E6963"/>
      <c r="F6963" s="35">
        <f>SUMIFS(F6964:F9015,K6964:K9015,"0",B6964:B9015,"5 1 2 9 1 12 31111 6 M59 99000 000132 0000R 00001 00291 015 2112000 2024*")</f>
        <v>18079.150000000001</v>
      </c>
      <c r="G6963" s="35">
        <f>SUMIFS(G6964:G9015,K6964:K9015,"0",B6964:B9015,"5 1 2 9 1 12 31111 6 M59 99000 000132 0000R 00001 00291 015 2112000 2024*")</f>
        <v>0</v>
      </c>
      <c r="H6963" s="35">
        <f t="shared" si="109"/>
        <v>18079.150000000001</v>
      </c>
      <c r="I6963" s="35"/>
      <c r="K6963" t="s">
        <v>15</v>
      </c>
    </row>
    <row r="6964" spans="2:11" ht="41.25" x14ac:dyDescent="0.2">
      <c r="B6964" s="33" t="s">
        <v>7989</v>
      </c>
      <c r="C6964" s="33" t="s">
        <v>1056</v>
      </c>
      <c r="D6964" s="35">
        <f>SUMIFS(D6965:D9015,K6965:K9015,"0",B6965:B9015,"5 1 2 9 1 12 31111 6 M59 99000 000132 0000R 00001 00291 015 2112000 2024 CP1MG408*")-SUMIFS(E6965:E9015,K6965:K9015,"0",B6965:B9015,"5 1 2 9 1 12 31111 6 M59 99000 000132 0000R 00001 00291 015 2112000 2024 CP1MG408*")</f>
        <v>0</v>
      </c>
      <c r="E6964"/>
      <c r="F6964" s="35">
        <f>SUMIFS(F6965:F9015,K6965:K9015,"0",B6965:B9015,"5 1 2 9 1 12 31111 6 M59 99000 000132 0000R 00001 00291 015 2112000 2024 CP1MG408*")</f>
        <v>18079.150000000001</v>
      </c>
      <c r="G6964" s="35">
        <f>SUMIFS(G6965:G9015,K6965:K9015,"0",B6965:B9015,"5 1 2 9 1 12 31111 6 M59 99000 000132 0000R 00001 00291 015 2112000 2024 CP1MG408*")</f>
        <v>0</v>
      </c>
      <c r="H6964" s="35">
        <f t="shared" si="109"/>
        <v>18079.150000000001</v>
      </c>
      <c r="I6964" s="35"/>
      <c r="K6964" t="s">
        <v>15</v>
      </c>
    </row>
    <row r="6965" spans="2:11" ht="41.25" x14ac:dyDescent="0.2">
      <c r="B6965" s="33" t="s">
        <v>7990</v>
      </c>
      <c r="C6965" s="33" t="s">
        <v>282</v>
      </c>
      <c r="D6965" s="35">
        <f>SUMIFS(D6966:D9015,K6966:K9015,"0",B6966:B9015,"5 1 2 9 1 12 31111 6 M59 99000 000132 0000R 00001 00291 015 2112000 2024 CP1MG408 001*")-SUMIFS(E6966:E9015,K6966:K9015,"0",B6966:B9015,"5 1 2 9 1 12 31111 6 M59 99000 000132 0000R 00001 00291 015 2112000 2024 CP1MG408 001*")</f>
        <v>0</v>
      </c>
      <c r="E6965"/>
      <c r="F6965" s="35">
        <f>SUMIFS(F6966:F9015,K6966:K9015,"0",B6966:B9015,"5 1 2 9 1 12 31111 6 M59 99000 000132 0000R 00001 00291 015 2112000 2024 CP1MG408 001*")</f>
        <v>18079.150000000001</v>
      </c>
      <c r="G6965" s="35">
        <f>SUMIFS(G6966:G9015,K6966:K9015,"0",B6966:B9015,"5 1 2 9 1 12 31111 6 M59 99000 000132 0000R 00001 00291 015 2112000 2024 CP1MG408 001*")</f>
        <v>0</v>
      </c>
      <c r="H6965" s="35">
        <f t="shared" si="109"/>
        <v>18079.150000000001</v>
      </c>
      <c r="I6965" s="35"/>
      <c r="K6965" t="s">
        <v>15</v>
      </c>
    </row>
    <row r="6966" spans="2:11" ht="41.25" x14ac:dyDescent="0.2">
      <c r="B6966" s="31" t="s">
        <v>7991</v>
      </c>
      <c r="C6966" s="31" t="s">
        <v>7832</v>
      </c>
      <c r="D6966" s="34">
        <v>0</v>
      </c>
      <c r="E6966" s="34"/>
      <c r="F6966" s="34">
        <v>18079.150000000001</v>
      </c>
      <c r="G6966" s="34">
        <v>0</v>
      </c>
      <c r="H6966" s="34">
        <f t="shared" si="109"/>
        <v>18079.150000000001</v>
      </c>
      <c r="I6966" s="34"/>
      <c r="K6966" t="s">
        <v>38</v>
      </c>
    </row>
    <row r="6967" spans="2:11" ht="16.5" x14ac:dyDescent="0.2">
      <c r="B6967" s="33" t="s">
        <v>7992</v>
      </c>
      <c r="C6967" s="33" t="s">
        <v>7993</v>
      </c>
      <c r="D6967" s="35">
        <f>SUMIFS(D6968:D9015,K6968:K9015,"0",B6968:B9015,"5 1 2 9 2*")-SUMIFS(E6968:E9015,K6968:K9015,"0",B6968:B9015,"5 1 2 9 2*")</f>
        <v>0</v>
      </c>
      <c r="E6967"/>
      <c r="F6967" s="35">
        <f>SUMIFS(F6968:F9015,K6968:K9015,"0",B6968:B9015,"5 1 2 9 2*")</f>
        <v>5368.25</v>
      </c>
      <c r="G6967" s="35">
        <f>SUMIFS(G6968:G9015,K6968:K9015,"0",B6968:B9015,"5 1 2 9 2*")</f>
        <v>0</v>
      </c>
      <c r="H6967" s="35">
        <f t="shared" si="109"/>
        <v>5368.25</v>
      </c>
      <c r="I6967" s="35"/>
      <c r="K6967" t="s">
        <v>15</v>
      </c>
    </row>
    <row r="6968" spans="2:11" ht="12.75" x14ac:dyDescent="0.2">
      <c r="B6968" s="33" t="s">
        <v>7994</v>
      </c>
      <c r="C6968" s="33" t="s">
        <v>26</v>
      </c>
      <c r="D6968" s="35">
        <f>SUMIFS(D6969:D9015,K6969:K9015,"0",B6969:B9015,"5 1 2 9 2 12*")-SUMIFS(E6969:E9015,K6969:K9015,"0",B6969:B9015,"5 1 2 9 2 12*")</f>
        <v>0</v>
      </c>
      <c r="E6968"/>
      <c r="F6968" s="35">
        <f>SUMIFS(F6969:F9015,K6969:K9015,"0",B6969:B9015,"5 1 2 9 2 12*")</f>
        <v>5368.25</v>
      </c>
      <c r="G6968" s="35">
        <f>SUMIFS(G6969:G9015,K6969:K9015,"0",B6969:B9015,"5 1 2 9 2 12*")</f>
        <v>0</v>
      </c>
      <c r="H6968" s="35">
        <f t="shared" si="109"/>
        <v>5368.25</v>
      </c>
      <c r="I6968" s="35"/>
      <c r="K6968" t="s">
        <v>15</v>
      </c>
    </row>
    <row r="6969" spans="2:11" ht="16.5" x14ac:dyDescent="0.2">
      <c r="B6969" s="33" t="s">
        <v>7995</v>
      </c>
      <c r="C6969" s="33" t="s">
        <v>28</v>
      </c>
      <c r="D6969" s="35">
        <f>SUMIFS(D6970:D9015,K6970:K9015,"0",B6970:B9015,"5 1 2 9 2 12 31111*")-SUMIFS(E6970:E9015,K6970:K9015,"0",B6970:B9015,"5 1 2 9 2 12 31111*")</f>
        <v>0</v>
      </c>
      <c r="E6969"/>
      <c r="F6969" s="35">
        <f>SUMIFS(F6970:F9015,K6970:K9015,"0",B6970:B9015,"5 1 2 9 2 12 31111*")</f>
        <v>5368.25</v>
      </c>
      <c r="G6969" s="35">
        <f>SUMIFS(G6970:G9015,K6970:K9015,"0",B6970:B9015,"5 1 2 9 2 12 31111*")</f>
        <v>0</v>
      </c>
      <c r="H6969" s="35">
        <f t="shared" si="109"/>
        <v>5368.25</v>
      </c>
      <c r="I6969" s="35"/>
      <c r="K6969" t="s">
        <v>15</v>
      </c>
    </row>
    <row r="6970" spans="2:11" ht="12.75" x14ac:dyDescent="0.2">
      <c r="B6970" s="33" t="s">
        <v>7996</v>
      </c>
      <c r="C6970" s="33" t="s">
        <v>30</v>
      </c>
      <c r="D6970" s="35">
        <f>SUMIFS(D6971:D9015,K6971:K9015,"0",B6971:B9015,"5 1 2 9 2 12 31111 6*")-SUMIFS(E6971:E9015,K6971:K9015,"0",B6971:B9015,"5 1 2 9 2 12 31111 6*")</f>
        <v>0</v>
      </c>
      <c r="E6970"/>
      <c r="F6970" s="35">
        <f>SUMIFS(F6971:F9015,K6971:K9015,"0",B6971:B9015,"5 1 2 9 2 12 31111 6*")</f>
        <v>5368.25</v>
      </c>
      <c r="G6970" s="35">
        <f>SUMIFS(G6971:G9015,K6971:K9015,"0",B6971:B9015,"5 1 2 9 2 12 31111 6*")</f>
        <v>0</v>
      </c>
      <c r="H6970" s="35">
        <f t="shared" si="109"/>
        <v>5368.25</v>
      </c>
      <c r="I6970" s="35"/>
      <c r="K6970" t="s">
        <v>15</v>
      </c>
    </row>
    <row r="6971" spans="2:11" ht="16.5" x14ac:dyDescent="0.2">
      <c r="B6971" s="33" t="s">
        <v>7997</v>
      </c>
      <c r="C6971" s="33" t="s">
        <v>2284</v>
      </c>
      <c r="D6971" s="35">
        <f>SUMIFS(D6972:D9015,K6972:K9015,"0",B6972:B9015,"5 1 2 9 2 12 31111 6 M59*")-SUMIFS(E6972:E9015,K6972:K9015,"0",B6972:B9015,"5 1 2 9 2 12 31111 6 M59*")</f>
        <v>0</v>
      </c>
      <c r="E6971"/>
      <c r="F6971" s="35">
        <f>SUMIFS(F6972:F9015,K6972:K9015,"0",B6972:B9015,"5 1 2 9 2 12 31111 6 M59*")</f>
        <v>5368.25</v>
      </c>
      <c r="G6971" s="35">
        <f>SUMIFS(G6972:G9015,K6972:K9015,"0",B6972:B9015,"5 1 2 9 2 12 31111 6 M59*")</f>
        <v>0</v>
      </c>
      <c r="H6971" s="35">
        <f t="shared" si="109"/>
        <v>5368.25</v>
      </c>
      <c r="I6971" s="35"/>
      <c r="K6971" t="s">
        <v>15</v>
      </c>
    </row>
    <row r="6972" spans="2:11" ht="16.5" x14ac:dyDescent="0.2">
      <c r="B6972" s="33" t="s">
        <v>7998</v>
      </c>
      <c r="C6972" s="33" t="s">
        <v>3103</v>
      </c>
      <c r="D6972" s="35">
        <f>SUMIFS(D6973:D9015,K6973:K9015,"0",B6973:B9015,"5 1 2 9 2 12 31111 6 M59 20400*")-SUMIFS(E6973:E9015,K6973:K9015,"0",B6973:B9015,"5 1 2 9 2 12 31111 6 M59 20400*")</f>
        <v>0</v>
      </c>
      <c r="E6972"/>
      <c r="F6972" s="35">
        <f>SUMIFS(F6973:F9015,K6973:K9015,"0",B6973:B9015,"5 1 2 9 2 12 31111 6 M59 20400*")</f>
        <v>321.97000000000003</v>
      </c>
      <c r="G6972" s="35">
        <f>SUMIFS(G6973:G9015,K6973:K9015,"0",B6973:B9015,"5 1 2 9 2 12 31111 6 M59 20400*")</f>
        <v>0</v>
      </c>
      <c r="H6972" s="35">
        <f t="shared" si="109"/>
        <v>321.97000000000003</v>
      </c>
      <c r="I6972" s="35"/>
      <c r="K6972" t="s">
        <v>15</v>
      </c>
    </row>
    <row r="6973" spans="2:11" ht="16.5" x14ac:dyDescent="0.2">
      <c r="B6973" s="33" t="s">
        <v>7999</v>
      </c>
      <c r="C6973" s="33" t="s">
        <v>648</v>
      </c>
      <c r="D6973" s="35">
        <f>SUMIFS(D6974:D9015,K6974:K9015,"0",B6974:B9015,"5 1 2 9 2 12 31111 6 M59 20400 000132*")-SUMIFS(E6974:E9015,K6974:K9015,"0",B6974:B9015,"5 1 2 9 2 12 31111 6 M59 20400 000132*")</f>
        <v>0</v>
      </c>
      <c r="E6973"/>
      <c r="F6973" s="35">
        <f>SUMIFS(F6974:F9015,K6974:K9015,"0",B6974:B9015,"5 1 2 9 2 12 31111 6 M59 20400 000132*")</f>
        <v>321.97000000000003</v>
      </c>
      <c r="G6973" s="35">
        <f>SUMIFS(G6974:G9015,K6974:K9015,"0",B6974:B9015,"5 1 2 9 2 12 31111 6 M59 20400 000132*")</f>
        <v>0</v>
      </c>
      <c r="H6973" s="35">
        <f t="shared" si="109"/>
        <v>321.97000000000003</v>
      </c>
      <c r="I6973" s="35"/>
      <c r="K6973" t="s">
        <v>15</v>
      </c>
    </row>
    <row r="6974" spans="2:11" ht="24.75" x14ac:dyDescent="0.2">
      <c r="B6974" s="33" t="s">
        <v>8000</v>
      </c>
      <c r="C6974" s="33" t="s">
        <v>650</v>
      </c>
      <c r="D6974" s="35">
        <f>SUMIFS(D6975:D9015,K6975:K9015,"0",B6975:B9015,"5 1 2 9 2 12 31111 6 M59 20400 000132 0000R*")-SUMIFS(E6975:E9015,K6975:K9015,"0",B6975:B9015,"5 1 2 9 2 12 31111 6 M59 20400 000132 0000R*")</f>
        <v>0</v>
      </c>
      <c r="E6974"/>
      <c r="F6974" s="35">
        <f>SUMIFS(F6975:F9015,K6975:K9015,"0",B6975:B9015,"5 1 2 9 2 12 31111 6 M59 20400 000132 0000R*")</f>
        <v>321.97000000000003</v>
      </c>
      <c r="G6974" s="35">
        <f>SUMIFS(G6975:G9015,K6975:K9015,"0",B6975:B9015,"5 1 2 9 2 12 31111 6 M59 20400 000132 0000R*")</f>
        <v>0</v>
      </c>
      <c r="H6974" s="35">
        <f t="shared" si="109"/>
        <v>321.97000000000003</v>
      </c>
      <c r="I6974" s="35"/>
      <c r="K6974" t="s">
        <v>15</v>
      </c>
    </row>
    <row r="6975" spans="2:11" ht="24.75" x14ac:dyDescent="0.2">
      <c r="B6975" s="33" t="s">
        <v>8001</v>
      </c>
      <c r="C6975" s="33" t="s">
        <v>282</v>
      </c>
      <c r="D6975" s="35">
        <f>SUMIFS(D6976:D9015,K6976:K9015,"0",B6976:B9015,"5 1 2 9 2 12 31111 6 M59 20400 000132 0000R 00001*")-SUMIFS(E6976:E9015,K6976:K9015,"0",B6976:B9015,"5 1 2 9 2 12 31111 6 M59 20400 000132 0000R 00001*")</f>
        <v>0</v>
      </c>
      <c r="E6975"/>
      <c r="F6975" s="35">
        <f>SUMIFS(F6976:F9015,K6976:K9015,"0",B6976:B9015,"5 1 2 9 2 12 31111 6 M59 20400 000132 0000R 00001*")</f>
        <v>321.97000000000003</v>
      </c>
      <c r="G6975" s="35">
        <f>SUMIFS(G6976:G9015,K6976:K9015,"0",B6976:B9015,"5 1 2 9 2 12 31111 6 M59 20400 000132 0000R 00001*")</f>
        <v>0</v>
      </c>
      <c r="H6975" s="35">
        <f t="shared" si="109"/>
        <v>321.97000000000003</v>
      </c>
      <c r="I6975" s="35"/>
      <c r="K6975" t="s">
        <v>15</v>
      </c>
    </row>
    <row r="6976" spans="2:11" ht="24.75" x14ac:dyDescent="0.2">
      <c r="B6976" s="33" t="s">
        <v>8002</v>
      </c>
      <c r="C6976" s="33" t="s">
        <v>8003</v>
      </c>
      <c r="D6976" s="35">
        <f>SUMIFS(D6977:D9015,K6977:K9015,"0",B6977:B9015,"5 1 2 9 2 12 31111 6 M59 20400 000132 0000R 00001 00292*")-SUMIFS(E6977:E9015,K6977:K9015,"0",B6977:B9015,"5 1 2 9 2 12 31111 6 M59 20400 000132 0000R 00001 00292*")</f>
        <v>0</v>
      </c>
      <c r="E6976"/>
      <c r="F6976" s="35">
        <f>SUMIFS(F6977:F9015,K6977:K9015,"0",B6977:B9015,"5 1 2 9 2 12 31111 6 M59 20400 000132 0000R 00001 00292*")</f>
        <v>321.97000000000003</v>
      </c>
      <c r="G6976" s="35">
        <f>SUMIFS(G6977:G9015,K6977:K9015,"0",B6977:B9015,"5 1 2 9 2 12 31111 6 M59 20400 000132 0000R 00001 00292*")</f>
        <v>0</v>
      </c>
      <c r="H6976" s="35">
        <f t="shared" si="109"/>
        <v>321.97000000000003</v>
      </c>
      <c r="I6976" s="35"/>
      <c r="K6976" t="s">
        <v>15</v>
      </c>
    </row>
    <row r="6977" spans="2:11" ht="33" x14ac:dyDescent="0.2">
      <c r="B6977" s="33" t="s">
        <v>8004</v>
      </c>
      <c r="C6977" s="33" t="s">
        <v>1051</v>
      </c>
      <c r="D6977" s="35">
        <f>SUMIFS(D6978:D9015,K6978:K9015,"0",B6978:B9015,"5 1 2 9 2 12 31111 6 M59 20400 000132 0000R 00001 00292 015*")-SUMIFS(E6978:E9015,K6978:K9015,"0",B6978:B9015,"5 1 2 9 2 12 31111 6 M59 20400 000132 0000R 00001 00292 015*")</f>
        <v>0</v>
      </c>
      <c r="E6977"/>
      <c r="F6977" s="35">
        <f>SUMIFS(F6978:F9015,K6978:K9015,"0",B6978:B9015,"5 1 2 9 2 12 31111 6 M59 20400 000132 0000R 00001 00292 015*")</f>
        <v>321.97000000000003</v>
      </c>
      <c r="G6977" s="35">
        <f>SUMIFS(G6978:G9015,K6978:K9015,"0",B6978:B9015,"5 1 2 9 2 12 31111 6 M59 20400 000132 0000R 00001 00292 015*")</f>
        <v>0</v>
      </c>
      <c r="H6977" s="35">
        <f t="shared" si="109"/>
        <v>321.97000000000003</v>
      </c>
      <c r="I6977" s="35"/>
      <c r="K6977" t="s">
        <v>15</v>
      </c>
    </row>
    <row r="6978" spans="2:11" ht="33" x14ac:dyDescent="0.2">
      <c r="B6978" s="33" t="s">
        <v>8005</v>
      </c>
      <c r="C6978" s="33" t="s">
        <v>5830</v>
      </c>
      <c r="D6978" s="35">
        <f>SUMIFS(D6979:D9015,K6979:K9015,"0",B6979:B9015,"5 1 2 9 2 12 31111 6 M59 20400 000132 0000R 00001 00292 015 2112000*")-SUMIFS(E6979:E9015,K6979:K9015,"0",B6979:B9015,"5 1 2 9 2 12 31111 6 M59 20400 000132 0000R 00001 00292 015 2112000*")</f>
        <v>0</v>
      </c>
      <c r="E6978"/>
      <c r="F6978" s="35">
        <f>SUMIFS(F6979:F9015,K6979:K9015,"0",B6979:B9015,"5 1 2 9 2 12 31111 6 M59 20400 000132 0000R 00001 00292 015 2112000*")</f>
        <v>321.97000000000003</v>
      </c>
      <c r="G6978" s="35">
        <f>SUMIFS(G6979:G9015,K6979:K9015,"0",B6979:B9015,"5 1 2 9 2 12 31111 6 M59 20400 000132 0000R 00001 00292 015 2112000*")</f>
        <v>0</v>
      </c>
      <c r="H6978" s="35">
        <f t="shared" si="109"/>
        <v>321.97000000000003</v>
      </c>
      <c r="I6978" s="35"/>
      <c r="K6978" t="s">
        <v>15</v>
      </c>
    </row>
    <row r="6979" spans="2:11" ht="33" x14ac:dyDescent="0.2">
      <c r="B6979" s="33" t="s">
        <v>8006</v>
      </c>
      <c r="C6979" s="33" t="s">
        <v>660</v>
      </c>
      <c r="D6979" s="35">
        <f>SUMIFS(D6980:D9015,K6980:K9015,"0",B6980:B9015,"5 1 2 9 2 12 31111 6 M59 20400 000132 0000R 00001 00292 015 2112000 2024*")-SUMIFS(E6980:E9015,K6980:K9015,"0",B6980:B9015,"5 1 2 9 2 12 31111 6 M59 20400 000132 0000R 00001 00292 015 2112000 2024*")</f>
        <v>0</v>
      </c>
      <c r="E6979"/>
      <c r="F6979" s="35">
        <f>SUMIFS(F6980:F9015,K6980:K9015,"0",B6980:B9015,"5 1 2 9 2 12 31111 6 M59 20400 000132 0000R 00001 00292 015 2112000 2024*")</f>
        <v>321.97000000000003</v>
      </c>
      <c r="G6979" s="35">
        <f>SUMIFS(G6980:G9015,K6980:K9015,"0",B6980:B9015,"5 1 2 9 2 12 31111 6 M59 20400 000132 0000R 00001 00292 015 2112000 2024*")</f>
        <v>0</v>
      </c>
      <c r="H6979" s="35">
        <f t="shared" si="109"/>
        <v>321.97000000000003</v>
      </c>
      <c r="I6979" s="35"/>
      <c r="K6979" t="s">
        <v>15</v>
      </c>
    </row>
    <row r="6980" spans="2:11" ht="41.25" x14ac:dyDescent="0.2">
      <c r="B6980" s="33" t="s">
        <v>8007</v>
      </c>
      <c r="C6980" s="33" t="s">
        <v>1056</v>
      </c>
      <c r="D6980" s="35">
        <f>SUMIFS(D6981:D9015,K6981:K9015,"0",B6981:B9015,"5 1 2 9 2 12 31111 6 M59 20400 000132 0000R 00001 00292 015 2112000 2024 CP1PV404*")-SUMIFS(E6981:E9015,K6981:K9015,"0",B6981:B9015,"5 1 2 9 2 12 31111 6 M59 20400 000132 0000R 00001 00292 015 2112000 2024 CP1PV404*")</f>
        <v>0</v>
      </c>
      <c r="E6980"/>
      <c r="F6980" s="35">
        <f>SUMIFS(F6981:F9015,K6981:K9015,"0",B6981:B9015,"5 1 2 9 2 12 31111 6 M59 20400 000132 0000R 00001 00292 015 2112000 2024 CP1PV404*")</f>
        <v>321.97000000000003</v>
      </c>
      <c r="G6980" s="35">
        <f>SUMIFS(G6981:G9015,K6981:K9015,"0",B6981:B9015,"5 1 2 9 2 12 31111 6 M59 20400 000132 0000R 00001 00292 015 2112000 2024 CP1PV404*")</f>
        <v>0</v>
      </c>
      <c r="H6980" s="35">
        <f t="shared" ref="H6980:H7043" si="110">D6980 + F6980 - G6980</f>
        <v>321.97000000000003</v>
      </c>
      <c r="I6980" s="35"/>
      <c r="K6980" t="s">
        <v>15</v>
      </c>
    </row>
    <row r="6981" spans="2:11" ht="41.25" x14ac:dyDescent="0.2">
      <c r="B6981" s="33" t="s">
        <v>8008</v>
      </c>
      <c r="C6981" s="33" t="s">
        <v>282</v>
      </c>
      <c r="D6981" s="35">
        <f>SUMIFS(D6982:D9015,K6982:K9015,"0",B6982:B9015,"5 1 2 9 2 12 31111 6 M59 20400 000132 0000R 00001 00292 015 2112000 2024 CP1PV404 001*")-SUMIFS(E6982:E9015,K6982:K9015,"0",B6982:B9015,"5 1 2 9 2 12 31111 6 M59 20400 000132 0000R 00001 00292 015 2112000 2024 CP1PV404 001*")</f>
        <v>0</v>
      </c>
      <c r="E6981"/>
      <c r="F6981" s="35">
        <f>SUMIFS(F6982:F9015,K6982:K9015,"0",B6982:B9015,"5 1 2 9 2 12 31111 6 M59 20400 000132 0000R 00001 00292 015 2112000 2024 CP1PV404 001*")</f>
        <v>321.97000000000003</v>
      </c>
      <c r="G6981" s="35">
        <f>SUMIFS(G6982:G9015,K6982:K9015,"0",B6982:B9015,"5 1 2 9 2 12 31111 6 M59 20400 000132 0000R 00001 00292 015 2112000 2024 CP1PV404 001*")</f>
        <v>0</v>
      </c>
      <c r="H6981" s="35">
        <f t="shared" si="110"/>
        <v>321.97000000000003</v>
      </c>
      <c r="I6981" s="35"/>
      <c r="K6981" t="s">
        <v>15</v>
      </c>
    </row>
    <row r="6982" spans="2:11" ht="41.25" x14ac:dyDescent="0.2">
      <c r="B6982" s="31" t="s">
        <v>8009</v>
      </c>
      <c r="C6982" s="31" t="s">
        <v>8003</v>
      </c>
      <c r="D6982" s="34">
        <v>0</v>
      </c>
      <c r="E6982" s="34"/>
      <c r="F6982" s="34">
        <v>321.97000000000003</v>
      </c>
      <c r="G6982" s="34">
        <v>0</v>
      </c>
      <c r="H6982" s="34">
        <f t="shared" si="110"/>
        <v>321.97000000000003</v>
      </c>
      <c r="I6982" s="34"/>
      <c r="K6982" t="s">
        <v>38</v>
      </c>
    </row>
    <row r="6983" spans="2:11" ht="16.5" x14ac:dyDescent="0.2">
      <c r="B6983" s="33" t="s">
        <v>8010</v>
      </c>
      <c r="C6983" s="33" t="s">
        <v>1092</v>
      </c>
      <c r="D6983" s="35">
        <f>SUMIFS(D6984:D9015,K6984:K9015,"0",B6984:B9015,"5 1 2 9 2 12 31111 6 M59 40000*")-SUMIFS(E6984:E9015,K6984:K9015,"0",B6984:B9015,"5 1 2 9 2 12 31111 6 M59 40000*")</f>
        <v>0</v>
      </c>
      <c r="E6983"/>
      <c r="F6983" s="35">
        <f>SUMIFS(F6984:F9015,K6984:K9015,"0",B6984:B9015,"5 1 2 9 2 12 31111 6 M59 40000*")</f>
        <v>3072.34</v>
      </c>
      <c r="G6983" s="35">
        <f>SUMIFS(G6984:G9015,K6984:K9015,"0",B6984:B9015,"5 1 2 9 2 12 31111 6 M59 40000*")</f>
        <v>0</v>
      </c>
      <c r="H6983" s="35">
        <f t="shared" si="110"/>
        <v>3072.34</v>
      </c>
      <c r="I6983" s="35"/>
      <c r="K6983" t="s">
        <v>15</v>
      </c>
    </row>
    <row r="6984" spans="2:11" ht="16.5" x14ac:dyDescent="0.2">
      <c r="B6984" s="33" t="s">
        <v>8011</v>
      </c>
      <c r="C6984" s="33" t="s">
        <v>1094</v>
      </c>
      <c r="D6984" s="35">
        <f>SUMIFS(D6985:D9015,K6985:K9015,"0",B6985:B9015,"5 1 2 9 2 12 31111 6 M59 40000 000161*")-SUMIFS(E6985:E9015,K6985:K9015,"0",B6985:B9015,"5 1 2 9 2 12 31111 6 M59 40000 000161*")</f>
        <v>0</v>
      </c>
      <c r="E6984"/>
      <c r="F6984" s="35">
        <f>SUMIFS(F6985:F9015,K6985:K9015,"0",B6985:B9015,"5 1 2 9 2 12 31111 6 M59 40000 000161*")</f>
        <v>3072.34</v>
      </c>
      <c r="G6984" s="35">
        <f>SUMIFS(G6985:G9015,K6985:K9015,"0",B6985:B9015,"5 1 2 9 2 12 31111 6 M59 40000 000161*")</f>
        <v>0</v>
      </c>
      <c r="H6984" s="35">
        <f t="shared" si="110"/>
        <v>3072.34</v>
      </c>
      <c r="I6984" s="35"/>
      <c r="K6984" t="s">
        <v>15</v>
      </c>
    </row>
    <row r="6985" spans="2:11" ht="24.75" x14ac:dyDescent="0.2">
      <c r="B6985" s="33" t="s">
        <v>8012</v>
      </c>
      <c r="C6985" s="33" t="s">
        <v>1065</v>
      </c>
      <c r="D6985" s="35">
        <f>SUMIFS(D6986:D9015,K6986:K9015,"0",B6986:B9015,"5 1 2 9 2 12 31111 6 M59 40000 000161 0000E*")-SUMIFS(E6986:E9015,K6986:K9015,"0",B6986:B9015,"5 1 2 9 2 12 31111 6 M59 40000 000161 0000E*")</f>
        <v>0</v>
      </c>
      <c r="E6985"/>
      <c r="F6985" s="35">
        <f>SUMIFS(F6986:F9015,K6986:K9015,"0",B6986:B9015,"5 1 2 9 2 12 31111 6 M59 40000 000161 0000E*")</f>
        <v>3072.34</v>
      </c>
      <c r="G6985" s="35">
        <f>SUMIFS(G6986:G9015,K6986:K9015,"0",B6986:B9015,"5 1 2 9 2 12 31111 6 M59 40000 000161 0000E*")</f>
        <v>0</v>
      </c>
      <c r="H6985" s="35">
        <f t="shared" si="110"/>
        <v>3072.34</v>
      </c>
      <c r="I6985" s="35"/>
      <c r="K6985" t="s">
        <v>15</v>
      </c>
    </row>
    <row r="6986" spans="2:11" ht="24.75" x14ac:dyDescent="0.2">
      <c r="B6986" s="33" t="s">
        <v>8013</v>
      </c>
      <c r="C6986" s="33" t="s">
        <v>282</v>
      </c>
      <c r="D6986" s="35">
        <f>SUMIFS(D6987:D9015,K6987:K9015,"0",B6987:B9015,"5 1 2 9 2 12 31111 6 M59 40000 000161 0000E 00001*")-SUMIFS(E6987:E9015,K6987:K9015,"0",B6987:B9015,"5 1 2 9 2 12 31111 6 M59 40000 000161 0000E 00001*")</f>
        <v>0</v>
      </c>
      <c r="E6986"/>
      <c r="F6986" s="35">
        <f>SUMIFS(F6987:F9015,K6987:K9015,"0",B6987:B9015,"5 1 2 9 2 12 31111 6 M59 40000 000161 0000E 00001*")</f>
        <v>3072.34</v>
      </c>
      <c r="G6986" s="35">
        <f>SUMIFS(G6987:G9015,K6987:K9015,"0",B6987:B9015,"5 1 2 9 2 12 31111 6 M59 40000 000161 0000E 00001*")</f>
        <v>0</v>
      </c>
      <c r="H6986" s="35">
        <f t="shared" si="110"/>
        <v>3072.34</v>
      </c>
      <c r="I6986" s="35"/>
      <c r="K6986" t="s">
        <v>15</v>
      </c>
    </row>
    <row r="6987" spans="2:11" ht="24.75" x14ac:dyDescent="0.2">
      <c r="B6987" s="33" t="s">
        <v>8014</v>
      </c>
      <c r="C6987" s="33" t="s">
        <v>8003</v>
      </c>
      <c r="D6987" s="35">
        <f>SUMIFS(D6988:D9015,K6988:K9015,"0",B6988:B9015,"5 1 2 9 2 12 31111 6 M59 40000 000161 0000E 00001 00292*")-SUMIFS(E6988:E9015,K6988:K9015,"0",B6988:B9015,"5 1 2 9 2 12 31111 6 M59 40000 000161 0000E 00001 00292*")</f>
        <v>0</v>
      </c>
      <c r="E6987"/>
      <c r="F6987" s="35">
        <f>SUMIFS(F6988:F9015,K6988:K9015,"0",B6988:B9015,"5 1 2 9 2 12 31111 6 M59 40000 000161 0000E 00001 00292*")</f>
        <v>3072.34</v>
      </c>
      <c r="G6987" s="35">
        <f>SUMIFS(G6988:G9015,K6988:K9015,"0",B6988:B9015,"5 1 2 9 2 12 31111 6 M59 40000 000161 0000E 00001 00292*")</f>
        <v>0</v>
      </c>
      <c r="H6987" s="35">
        <f t="shared" si="110"/>
        <v>3072.34</v>
      </c>
      <c r="I6987" s="35"/>
      <c r="K6987" t="s">
        <v>15</v>
      </c>
    </row>
    <row r="6988" spans="2:11" ht="33" x14ac:dyDescent="0.2">
      <c r="B6988" s="33" t="s">
        <v>8015</v>
      </c>
      <c r="C6988" s="33" t="s">
        <v>656</v>
      </c>
      <c r="D6988" s="35">
        <f>SUMIFS(D6989:D9015,K6989:K9015,"0",B6989:B9015,"5 1 2 9 2 12 31111 6 M59 40000 000161 0000E 00001 00292 025*")-SUMIFS(E6989:E9015,K6989:K9015,"0",B6989:B9015,"5 1 2 9 2 12 31111 6 M59 40000 000161 0000E 00001 00292 025*")</f>
        <v>0</v>
      </c>
      <c r="E6988"/>
      <c r="F6988" s="35">
        <f>SUMIFS(F6989:F9015,K6989:K9015,"0",B6989:B9015,"5 1 2 9 2 12 31111 6 M59 40000 000161 0000E 00001 00292 025*")</f>
        <v>3072.34</v>
      </c>
      <c r="G6988" s="35">
        <f>SUMIFS(G6989:G9015,K6989:K9015,"0",B6989:B9015,"5 1 2 9 2 12 31111 6 M59 40000 000161 0000E 00001 00292 025*")</f>
        <v>0</v>
      </c>
      <c r="H6988" s="35">
        <f t="shared" si="110"/>
        <v>3072.34</v>
      </c>
      <c r="I6988" s="35"/>
      <c r="K6988" t="s">
        <v>15</v>
      </c>
    </row>
    <row r="6989" spans="2:11" ht="33" x14ac:dyDescent="0.2">
      <c r="B6989" s="33" t="s">
        <v>8016</v>
      </c>
      <c r="C6989" s="33" t="s">
        <v>5830</v>
      </c>
      <c r="D6989" s="35">
        <f>SUMIFS(D6990:D9015,K6990:K9015,"0",B6990:B9015,"5 1 2 9 2 12 31111 6 M59 40000 000161 0000E 00001 00292 025 2112000*")-SUMIFS(E6990:E9015,K6990:K9015,"0",B6990:B9015,"5 1 2 9 2 12 31111 6 M59 40000 000161 0000E 00001 00292 025 2112000*")</f>
        <v>0</v>
      </c>
      <c r="E6989"/>
      <c r="F6989" s="35">
        <f>SUMIFS(F6990:F9015,K6990:K9015,"0",B6990:B9015,"5 1 2 9 2 12 31111 6 M59 40000 000161 0000E 00001 00292 025 2112000*")</f>
        <v>3072.34</v>
      </c>
      <c r="G6989" s="35">
        <f>SUMIFS(G6990:G9015,K6990:K9015,"0",B6990:B9015,"5 1 2 9 2 12 31111 6 M59 40000 000161 0000E 00001 00292 025 2112000*")</f>
        <v>0</v>
      </c>
      <c r="H6989" s="35">
        <f t="shared" si="110"/>
        <v>3072.34</v>
      </c>
      <c r="I6989" s="35"/>
      <c r="K6989" t="s">
        <v>15</v>
      </c>
    </row>
    <row r="6990" spans="2:11" ht="33" x14ac:dyDescent="0.2">
      <c r="B6990" s="33" t="s">
        <v>8017</v>
      </c>
      <c r="C6990" s="33" t="s">
        <v>660</v>
      </c>
      <c r="D6990" s="35">
        <f>SUMIFS(D6991:D9015,K6991:K9015,"0",B6991:B9015,"5 1 2 9 2 12 31111 6 M59 40000 000161 0000E 00001 00292 025 2112000 2024*")-SUMIFS(E6991:E9015,K6991:K9015,"0",B6991:B9015,"5 1 2 9 2 12 31111 6 M59 40000 000161 0000E 00001 00292 025 2112000 2024*")</f>
        <v>0</v>
      </c>
      <c r="E6990"/>
      <c r="F6990" s="35">
        <f>SUMIFS(F6991:F9015,K6991:K9015,"0",B6991:B9015,"5 1 2 9 2 12 31111 6 M59 40000 000161 0000E 00001 00292 025 2112000 2024*")</f>
        <v>3072.34</v>
      </c>
      <c r="G6990" s="35">
        <f>SUMIFS(G6991:G9015,K6991:K9015,"0",B6991:B9015,"5 1 2 9 2 12 31111 6 M59 40000 000161 0000E 00001 00292 025 2112000 2024*")</f>
        <v>0</v>
      </c>
      <c r="H6990" s="35">
        <f t="shared" si="110"/>
        <v>3072.34</v>
      </c>
      <c r="I6990" s="35"/>
      <c r="K6990" t="s">
        <v>15</v>
      </c>
    </row>
    <row r="6991" spans="2:11" ht="41.25" x14ac:dyDescent="0.2">
      <c r="B6991" s="33" t="s">
        <v>8018</v>
      </c>
      <c r="C6991" s="33" t="s">
        <v>662</v>
      </c>
      <c r="D6991" s="35">
        <f>SUMIFS(D6992:D9015,K6992:K9015,"0",B6992:B9015,"5 1 2 9 2 12 31111 6 M59 40000 000161 0000E 00001 00292 025 2112000 2024 CP4SP372*")-SUMIFS(E6992:E9015,K6992:K9015,"0",B6992:B9015,"5 1 2 9 2 12 31111 6 M59 40000 000161 0000E 00001 00292 025 2112000 2024 CP4SP372*")</f>
        <v>0</v>
      </c>
      <c r="E6991"/>
      <c r="F6991" s="35">
        <f>SUMIFS(F6992:F9015,K6992:K9015,"0",B6992:B9015,"5 1 2 9 2 12 31111 6 M59 40000 000161 0000E 00001 00292 025 2112000 2024 CP4SP372*")</f>
        <v>3072.34</v>
      </c>
      <c r="G6991" s="35">
        <f>SUMIFS(G6992:G9015,K6992:K9015,"0",B6992:B9015,"5 1 2 9 2 12 31111 6 M59 40000 000161 0000E 00001 00292 025 2112000 2024 CP4SP372*")</f>
        <v>0</v>
      </c>
      <c r="H6991" s="35">
        <f t="shared" si="110"/>
        <v>3072.34</v>
      </c>
      <c r="I6991" s="35"/>
      <c r="K6991" t="s">
        <v>15</v>
      </c>
    </row>
    <row r="6992" spans="2:11" ht="41.25" x14ac:dyDescent="0.2">
      <c r="B6992" s="33" t="s">
        <v>8019</v>
      </c>
      <c r="C6992" s="33" t="s">
        <v>664</v>
      </c>
      <c r="D6992" s="35">
        <f>SUMIFS(D6993:D9015,K6993:K9015,"0",B6993:B9015,"5 1 2 9 2 12 31111 6 M59 40000 000161 0000E 00001 00292 025 2112000 2024 CP4SP372 003*")-SUMIFS(E6993:E9015,K6993:K9015,"0",B6993:B9015,"5 1 2 9 2 12 31111 6 M59 40000 000161 0000E 00001 00292 025 2112000 2024 CP4SP372 003*")</f>
        <v>0</v>
      </c>
      <c r="E6992"/>
      <c r="F6992" s="35">
        <f>SUMIFS(F6993:F9015,K6993:K9015,"0",B6993:B9015,"5 1 2 9 2 12 31111 6 M59 40000 000161 0000E 00001 00292 025 2112000 2024 CP4SP372 003*")</f>
        <v>3072.34</v>
      </c>
      <c r="G6992" s="35">
        <f>SUMIFS(G6993:G9015,K6993:K9015,"0",B6993:B9015,"5 1 2 9 2 12 31111 6 M59 40000 000161 0000E 00001 00292 025 2112000 2024 CP4SP372 003*")</f>
        <v>0</v>
      </c>
      <c r="H6992" s="35">
        <f t="shared" si="110"/>
        <v>3072.34</v>
      </c>
      <c r="I6992" s="35"/>
      <c r="K6992" t="s">
        <v>15</v>
      </c>
    </row>
    <row r="6993" spans="2:11" ht="33" x14ac:dyDescent="0.2">
      <c r="B6993" s="31" t="s">
        <v>8020</v>
      </c>
      <c r="C6993" s="31" t="s">
        <v>7993</v>
      </c>
      <c r="D6993" s="34">
        <v>0</v>
      </c>
      <c r="E6993" s="34"/>
      <c r="F6993" s="34">
        <v>3072.34</v>
      </c>
      <c r="G6993" s="34">
        <v>0</v>
      </c>
      <c r="H6993" s="34">
        <f t="shared" si="110"/>
        <v>3072.34</v>
      </c>
      <c r="I6993" s="34"/>
      <c r="K6993" t="s">
        <v>38</v>
      </c>
    </row>
    <row r="6994" spans="2:11" ht="16.5" x14ac:dyDescent="0.2">
      <c r="B6994" s="33" t="s">
        <v>8021</v>
      </c>
      <c r="C6994" s="33" t="s">
        <v>3754</v>
      </c>
      <c r="D6994" s="35">
        <f>SUMIFS(D6995:D9015,K6995:K9015,"0",B6995:B9015,"5 1 2 9 2 12 31111 6 M59 99000*")-SUMIFS(E6995:E9015,K6995:K9015,"0",B6995:B9015,"5 1 2 9 2 12 31111 6 M59 99000*")</f>
        <v>0</v>
      </c>
      <c r="E6994"/>
      <c r="F6994" s="35">
        <f>SUMIFS(F6995:F9015,K6995:K9015,"0",B6995:B9015,"5 1 2 9 2 12 31111 6 M59 99000*")</f>
        <v>1973.94</v>
      </c>
      <c r="G6994" s="35">
        <f>SUMIFS(G6995:G9015,K6995:K9015,"0",B6995:B9015,"5 1 2 9 2 12 31111 6 M59 99000*")</f>
        <v>0</v>
      </c>
      <c r="H6994" s="35">
        <f t="shared" si="110"/>
        <v>1973.94</v>
      </c>
      <c r="I6994" s="35"/>
      <c r="K6994" t="s">
        <v>15</v>
      </c>
    </row>
    <row r="6995" spans="2:11" ht="16.5" x14ac:dyDescent="0.2">
      <c r="B6995" s="33" t="s">
        <v>8022</v>
      </c>
      <c r="C6995" s="33" t="s">
        <v>648</v>
      </c>
      <c r="D6995" s="35">
        <f>SUMIFS(D6996:D9015,K6996:K9015,"0",B6996:B9015,"5 1 2 9 2 12 31111 6 M59 99000 000132*")-SUMIFS(E6996:E9015,K6996:K9015,"0",B6996:B9015,"5 1 2 9 2 12 31111 6 M59 99000 000132*")</f>
        <v>0</v>
      </c>
      <c r="E6995"/>
      <c r="F6995" s="35">
        <f>SUMIFS(F6996:F9015,K6996:K9015,"0",B6996:B9015,"5 1 2 9 2 12 31111 6 M59 99000 000132*")</f>
        <v>1973.94</v>
      </c>
      <c r="G6995" s="35">
        <f>SUMIFS(G6996:G9015,K6996:K9015,"0",B6996:B9015,"5 1 2 9 2 12 31111 6 M59 99000 000132*")</f>
        <v>0</v>
      </c>
      <c r="H6995" s="35">
        <f t="shared" si="110"/>
        <v>1973.94</v>
      </c>
      <c r="I6995" s="35"/>
      <c r="K6995" t="s">
        <v>15</v>
      </c>
    </row>
    <row r="6996" spans="2:11" ht="24.75" x14ac:dyDescent="0.2">
      <c r="B6996" s="33" t="s">
        <v>8023</v>
      </c>
      <c r="C6996" s="33" t="s">
        <v>650</v>
      </c>
      <c r="D6996" s="35">
        <f>SUMIFS(D6997:D9015,K6997:K9015,"0",B6997:B9015,"5 1 2 9 2 12 31111 6 M59 99000 000132 0000R*")-SUMIFS(E6997:E9015,K6997:K9015,"0",B6997:B9015,"5 1 2 9 2 12 31111 6 M59 99000 000132 0000R*")</f>
        <v>0</v>
      </c>
      <c r="E6996"/>
      <c r="F6996" s="35">
        <f>SUMIFS(F6997:F9015,K6997:K9015,"0",B6997:B9015,"5 1 2 9 2 12 31111 6 M59 99000 000132 0000R*")</f>
        <v>1973.94</v>
      </c>
      <c r="G6996" s="35">
        <f>SUMIFS(G6997:G9015,K6997:K9015,"0",B6997:B9015,"5 1 2 9 2 12 31111 6 M59 99000 000132 0000R*")</f>
        <v>0</v>
      </c>
      <c r="H6996" s="35">
        <f t="shared" si="110"/>
        <v>1973.94</v>
      </c>
      <c r="I6996" s="35"/>
      <c r="K6996" t="s">
        <v>15</v>
      </c>
    </row>
    <row r="6997" spans="2:11" ht="24.75" x14ac:dyDescent="0.2">
      <c r="B6997" s="33" t="s">
        <v>8024</v>
      </c>
      <c r="C6997" s="33" t="s">
        <v>282</v>
      </c>
      <c r="D6997" s="35">
        <f>SUMIFS(D6998:D9015,K6998:K9015,"0",B6998:B9015,"5 1 2 9 2 12 31111 6 M59 99000 000132 0000R 00001*")-SUMIFS(E6998:E9015,K6998:K9015,"0",B6998:B9015,"5 1 2 9 2 12 31111 6 M59 99000 000132 0000R 00001*")</f>
        <v>0</v>
      </c>
      <c r="E6997"/>
      <c r="F6997" s="35">
        <f>SUMIFS(F6998:F9015,K6998:K9015,"0",B6998:B9015,"5 1 2 9 2 12 31111 6 M59 99000 000132 0000R 00001*")</f>
        <v>1973.94</v>
      </c>
      <c r="G6997" s="35">
        <f>SUMIFS(G6998:G9015,K6998:K9015,"0",B6998:B9015,"5 1 2 9 2 12 31111 6 M59 99000 000132 0000R 00001*")</f>
        <v>0</v>
      </c>
      <c r="H6997" s="35">
        <f t="shared" si="110"/>
        <v>1973.94</v>
      </c>
      <c r="I6997" s="35"/>
      <c r="K6997" t="s">
        <v>15</v>
      </c>
    </row>
    <row r="6998" spans="2:11" ht="24.75" x14ac:dyDescent="0.2">
      <c r="B6998" s="33" t="s">
        <v>8025</v>
      </c>
      <c r="C6998" s="33" t="s">
        <v>8003</v>
      </c>
      <c r="D6998" s="35">
        <f>SUMIFS(D6999:D9015,K6999:K9015,"0",B6999:B9015,"5 1 2 9 2 12 31111 6 M59 99000 000132 0000R 00001 00292*")-SUMIFS(E6999:E9015,K6999:K9015,"0",B6999:B9015,"5 1 2 9 2 12 31111 6 M59 99000 000132 0000R 00001 00292*")</f>
        <v>0</v>
      </c>
      <c r="E6998"/>
      <c r="F6998" s="35">
        <f>SUMIFS(F6999:F9015,K6999:K9015,"0",B6999:B9015,"5 1 2 9 2 12 31111 6 M59 99000 000132 0000R 00001 00292*")</f>
        <v>1973.94</v>
      </c>
      <c r="G6998" s="35">
        <f>SUMIFS(G6999:G9015,K6999:K9015,"0",B6999:B9015,"5 1 2 9 2 12 31111 6 M59 99000 000132 0000R 00001 00292*")</f>
        <v>0</v>
      </c>
      <c r="H6998" s="35">
        <f t="shared" si="110"/>
        <v>1973.94</v>
      </c>
      <c r="I6998" s="35"/>
      <c r="K6998" t="s">
        <v>15</v>
      </c>
    </row>
    <row r="6999" spans="2:11" ht="33" x14ac:dyDescent="0.2">
      <c r="B6999" s="33" t="s">
        <v>8026</v>
      </c>
      <c r="C6999" s="33" t="s">
        <v>1051</v>
      </c>
      <c r="D6999" s="35">
        <f>SUMIFS(D7000:D9015,K7000:K9015,"0",B7000:B9015,"5 1 2 9 2 12 31111 6 M59 99000 000132 0000R 00001 00292 015*")-SUMIFS(E7000:E9015,K7000:K9015,"0",B7000:B9015,"5 1 2 9 2 12 31111 6 M59 99000 000132 0000R 00001 00292 015*")</f>
        <v>0</v>
      </c>
      <c r="E6999"/>
      <c r="F6999" s="35">
        <f>SUMIFS(F7000:F9015,K7000:K9015,"0",B7000:B9015,"5 1 2 9 2 12 31111 6 M59 99000 000132 0000R 00001 00292 015*")</f>
        <v>1973.94</v>
      </c>
      <c r="G6999" s="35">
        <f>SUMIFS(G7000:G9015,K7000:K9015,"0",B7000:B9015,"5 1 2 9 2 12 31111 6 M59 99000 000132 0000R 00001 00292 015*")</f>
        <v>0</v>
      </c>
      <c r="H6999" s="35">
        <f t="shared" si="110"/>
        <v>1973.94</v>
      </c>
      <c r="I6999" s="35"/>
      <c r="K6999" t="s">
        <v>15</v>
      </c>
    </row>
    <row r="7000" spans="2:11" ht="33" x14ac:dyDescent="0.2">
      <c r="B7000" s="33" t="s">
        <v>8027</v>
      </c>
      <c r="C7000" s="33" t="s">
        <v>5830</v>
      </c>
      <c r="D7000" s="35">
        <f>SUMIFS(D7001:D9015,K7001:K9015,"0",B7001:B9015,"5 1 2 9 2 12 31111 6 M59 99000 000132 0000R 00001 00292 015 2112000*")-SUMIFS(E7001:E9015,K7001:K9015,"0",B7001:B9015,"5 1 2 9 2 12 31111 6 M59 99000 000132 0000R 00001 00292 015 2112000*")</f>
        <v>0</v>
      </c>
      <c r="E7000"/>
      <c r="F7000" s="35">
        <f>SUMIFS(F7001:F9015,K7001:K9015,"0",B7001:B9015,"5 1 2 9 2 12 31111 6 M59 99000 000132 0000R 00001 00292 015 2112000*")</f>
        <v>1973.94</v>
      </c>
      <c r="G7000" s="35">
        <f>SUMIFS(G7001:G9015,K7001:K9015,"0",B7001:B9015,"5 1 2 9 2 12 31111 6 M59 99000 000132 0000R 00001 00292 015 2112000*")</f>
        <v>0</v>
      </c>
      <c r="H7000" s="35">
        <f t="shared" si="110"/>
        <v>1973.94</v>
      </c>
      <c r="I7000" s="35"/>
      <c r="K7000" t="s">
        <v>15</v>
      </c>
    </row>
    <row r="7001" spans="2:11" ht="33" x14ac:dyDescent="0.2">
      <c r="B7001" s="33" t="s">
        <v>8028</v>
      </c>
      <c r="C7001" s="33" t="s">
        <v>660</v>
      </c>
      <c r="D7001" s="35">
        <f>SUMIFS(D7002:D9015,K7002:K9015,"0",B7002:B9015,"5 1 2 9 2 12 31111 6 M59 99000 000132 0000R 00001 00292 015 2112000 2024*")-SUMIFS(E7002:E9015,K7002:K9015,"0",B7002:B9015,"5 1 2 9 2 12 31111 6 M59 99000 000132 0000R 00001 00292 015 2112000 2024*")</f>
        <v>0</v>
      </c>
      <c r="E7001"/>
      <c r="F7001" s="35">
        <f>SUMIFS(F7002:F9015,K7002:K9015,"0",B7002:B9015,"5 1 2 9 2 12 31111 6 M59 99000 000132 0000R 00001 00292 015 2112000 2024*")</f>
        <v>1973.94</v>
      </c>
      <c r="G7001" s="35">
        <f>SUMIFS(G7002:G9015,K7002:K9015,"0",B7002:B9015,"5 1 2 9 2 12 31111 6 M59 99000 000132 0000R 00001 00292 015 2112000 2024*")</f>
        <v>0</v>
      </c>
      <c r="H7001" s="35">
        <f t="shared" si="110"/>
        <v>1973.94</v>
      </c>
      <c r="I7001" s="35"/>
      <c r="K7001" t="s">
        <v>15</v>
      </c>
    </row>
    <row r="7002" spans="2:11" ht="41.25" x14ac:dyDescent="0.2">
      <c r="B7002" s="33" t="s">
        <v>8029</v>
      </c>
      <c r="C7002" s="33" t="s">
        <v>1056</v>
      </c>
      <c r="D7002" s="35">
        <f>SUMIFS(D7003:D9015,K7003:K9015,"0",B7003:B9015,"5 1 2 9 2 12 31111 6 M59 99000 000132 0000R 00001 00292 015 2112000 2024 CP1MG408*")-SUMIFS(E7003:E9015,K7003:K9015,"0",B7003:B9015,"5 1 2 9 2 12 31111 6 M59 99000 000132 0000R 00001 00292 015 2112000 2024 CP1MG408*")</f>
        <v>0</v>
      </c>
      <c r="E7002"/>
      <c r="F7002" s="35">
        <f>SUMIFS(F7003:F9015,K7003:K9015,"0",B7003:B9015,"5 1 2 9 2 12 31111 6 M59 99000 000132 0000R 00001 00292 015 2112000 2024 CP1MG408*")</f>
        <v>1973.94</v>
      </c>
      <c r="G7002" s="35">
        <f>SUMIFS(G7003:G9015,K7003:K9015,"0",B7003:B9015,"5 1 2 9 2 12 31111 6 M59 99000 000132 0000R 00001 00292 015 2112000 2024 CP1MG408*")</f>
        <v>0</v>
      </c>
      <c r="H7002" s="35">
        <f t="shared" si="110"/>
        <v>1973.94</v>
      </c>
      <c r="I7002" s="35"/>
      <c r="K7002" t="s">
        <v>15</v>
      </c>
    </row>
    <row r="7003" spans="2:11" ht="41.25" x14ac:dyDescent="0.2">
      <c r="B7003" s="33" t="s">
        <v>8030</v>
      </c>
      <c r="C7003" s="33" t="s">
        <v>282</v>
      </c>
      <c r="D7003" s="35">
        <f>SUMIFS(D7004:D9015,K7004:K9015,"0",B7004:B9015,"5 1 2 9 2 12 31111 6 M59 99000 000132 0000R 00001 00292 015 2112000 2024 CP1MG408 001*")-SUMIFS(E7004:E9015,K7004:K9015,"0",B7004:B9015,"5 1 2 9 2 12 31111 6 M59 99000 000132 0000R 00001 00292 015 2112000 2024 CP1MG408 001*")</f>
        <v>0</v>
      </c>
      <c r="E7003"/>
      <c r="F7003" s="35">
        <f>SUMIFS(F7004:F9015,K7004:K9015,"0",B7004:B9015,"5 1 2 9 2 12 31111 6 M59 99000 000132 0000R 00001 00292 015 2112000 2024 CP1MG408 001*")</f>
        <v>1973.94</v>
      </c>
      <c r="G7003" s="35">
        <f>SUMIFS(G7004:G9015,K7004:K9015,"0",B7004:B9015,"5 1 2 9 2 12 31111 6 M59 99000 000132 0000R 00001 00292 015 2112000 2024 CP1MG408 001*")</f>
        <v>0</v>
      </c>
      <c r="H7003" s="35">
        <f t="shared" si="110"/>
        <v>1973.94</v>
      </c>
      <c r="I7003" s="35"/>
      <c r="K7003" t="s">
        <v>15</v>
      </c>
    </row>
    <row r="7004" spans="2:11" ht="41.25" x14ac:dyDescent="0.2">
      <c r="B7004" s="31" t="s">
        <v>8031</v>
      </c>
      <c r="C7004" s="31" t="s">
        <v>7993</v>
      </c>
      <c r="D7004" s="34">
        <v>0</v>
      </c>
      <c r="E7004" s="34"/>
      <c r="F7004" s="34">
        <v>1973.94</v>
      </c>
      <c r="G7004" s="34">
        <v>0</v>
      </c>
      <c r="H7004" s="34">
        <f t="shared" si="110"/>
        <v>1973.94</v>
      </c>
      <c r="I7004" s="34"/>
      <c r="K7004" t="s">
        <v>38</v>
      </c>
    </row>
    <row r="7005" spans="2:11" ht="33" x14ac:dyDescent="0.2">
      <c r="B7005" s="33" t="s">
        <v>8032</v>
      </c>
      <c r="C7005" s="33" t="s">
        <v>8033</v>
      </c>
      <c r="D7005" s="35">
        <f>SUMIFS(D7006:D9015,K7006:K9015,"0",B7006:B9015,"5 1 2 9 3*")-SUMIFS(E7006:E9015,K7006:K9015,"0",B7006:B9015,"5 1 2 9 3*")</f>
        <v>0</v>
      </c>
      <c r="E7005"/>
      <c r="F7005" s="35">
        <f>SUMIFS(F7006:F9015,K7006:K9015,"0",B7006:B9015,"5 1 2 9 3*")</f>
        <v>2999</v>
      </c>
      <c r="G7005" s="35">
        <f>SUMIFS(G7006:G9015,K7006:K9015,"0",B7006:B9015,"5 1 2 9 3*")</f>
        <v>0</v>
      </c>
      <c r="H7005" s="35">
        <f t="shared" si="110"/>
        <v>2999</v>
      </c>
      <c r="I7005" s="35"/>
      <c r="K7005" t="s">
        <v>15</v>
      </c>
    </row>
    <row r="7006" spans="2:11" ht="12.75" x14ac:dyDescent="0.2">
      <c r="B7006" s="33" t="s">
        <v>8034</v>
      </c>
      <c r="C7006" s="33" t="s">
        <v>26</v>
      </c>
      <c r="D7006" s="35">
        <f>SUMIFS(D7007:D9015,K7007:K9015,"0",B7007:B9015,"5 1 2 9 3 12*")-SUMIFS(E7007:E9015,K7007:K9015,"0",B7007:B9015,"5 1 2 9 3 12*")</f>
        <v>0</v>
      </c>
      <c r="E7006"/>
      <c r="F7006" s="35">
        <f>SUMIFS(F7007:F9015,K7007:K9015,"0",B7007:B9015,"5 1 2 9 3 12*")</f>
        <v>2999</v>
      </c>
      <c r="G7006" s="35">
        <f>SUMIFS(G7007:G9015,K7007:K9015,"0",B7007:B9015,"5 1 2 9 3 12*")</f>
        <v>0</v>
      </c>
      <c r="H7006" s="35">
        <f t="shared" si="110"/>
        <v>2999</v>
      </c>
      <c r="I7006" s="35"/>
      <c r="K7006" t="s">
        <v>15</v>
      </c>
    </row>
    <row r="7007" spans="2:11" ht="16.5" x14ac:dyDescent="0.2">
      <c r="B7007" s="33" t="s">
        <v>8035</v>
      </c>
      <c r="C7007" s="33" t="s">
        <v>28</v>
      </c>
      <c r="D7007" s="35">
        <f>SUMIFS(D7008:D9015,K7008:K9015,"0",B7008:B9015,"5 1 2 9 3 12 31111*")-SUMIFS(E7008:E9015,K7008:K9015,"0",B7008:B9015,"5 1 2 9 3 12 31111*")</f>
        <v>0</v>
      </c>
      <c r="E7007"/>
      <c r="F7007" s="35">
        <f>SUMIFS(F7008:F9015,K7008:K9015,"0",B7008:B9015,"5 1 2 9 3 12 31111*")</f>
        <v>2999</v>
      </c>
      <c r="G7007" s="35">
        <f>SUMIFS(G7008:G9015,K7008:K9015,"0",B7008:B9015,"5 1 2 9 3 12 31111*")</f>
        <v>0</v>
      </c>
      <c r="H7007" s="35">
        <f t="shared" si="110"/>
        <v>2999</v>
      </c>
      <c r="I7007" s="35"/>
      <c r="K7007" t="s">
        <v>15</v>
      </c>
    </row>
    <row r="7008" spans="2:11" ht="12.75" x14ac:dyDescent="0.2">
      <c r="B7008" s="33" t="s">
        <v>8036</v>
      </c>
      <c r="C7008" s="33" t="s">
        <v>30</v>
      </c>
      <c r="D7008" s="35">
        <f>SUMIFS(D7009:D9015,K7009:K9015,"0",B7009:B9015,"5 1 2 9 3 12 31111 6*")-SUMIFS(E7009:E9015,K7009:K9015,"0",B7009:B9015,"5 1 2 9 3 12 31111 6*")</f>
        <v>0</v>
      </c>
      <c r="E7008"/>
      <c r="F7008" s="35">
        <f>SUMIFS(F7009:F9015,K7009:K9015,"0",B7009:B9015,"5 1 2 9 3 12 31111 6*")</f>
        <v>2999</v>
      </c>
      <c r="G7008" s="35">
        <f>SUMIFS(G7009:G9015,K7009:K9015,"0",B7009:B9015,"5 1 2 9 3 12 31111 6*")</f>
        <v>0</v>
      </c>
      <c r="H7008" s="35">
        <f t="shared" si="110"/>
        <v>2999</v>
      </c>
      <c r="I7008" s="35"/>
      <c r="K7008" t="s">
        <v>15</v>
      </c>
    </row>
    <row r="7009" spans="2:11" ht="16.5" x14ac:dyDescent="0.2">
      <c r="B7009" s="33" t="s">
        <v>8037</v>
      </c>
      <c r="C7009" s="33" t="s">
        <v>2284</v>
      </c>
      <c r="D7009" s="35">
        <f>SUMIFS(D7010:D9015,K7010:K9015,"0",B7010:B9015,"5 1 2 9 3 12 31111 6 M59*")-SUMIFS(E7010:E9015,K7010:K9015,"0",B7010:B9015,"5 1 2 9 3 12 31111 6 M59*")</f>
        <v>0</v>
      </c>
      <c r="E7009"/>
      <c r="F7009" s="35">
        <f>SUMIFS(F7010:F9015,K7010:K9015,"0",B7010:B9015,"5 1 2 9 3 12 31111 6 M59*")</f>
        <v>2999</v>
      </c>
      <c r="G7009" s="35">
        <f>SUMIFS(G7010:G9015,K7010:K9015,"0",B7010:B9015,"5 1 2 9 3 12 31111 6 M59*")</f>
        <v>0</v>
      </c>
      <c r="H7009" s="35">
        <f t="shared" si="110"/>
        <v>2999</v>
      </c>
      <c r="I7009" s="35"/>
      <c r="K7009" t="s">
        <v>15</v>
      </c>
    </row>
    <row r="7010" spans="2:11" ht="16.5" x14ac:dyDescent="0.2">
      <c r="B7010" s="33" t="s">
        <v>8038</v>
      </c>
      <c r="C7010" s="33" t="s">
        <v>3644</v>
      </c>
      <c r="D7010" s="35">
        <f>SUMIFS(D7011:D9015,K7011:K9015,"0",B7011:B9015,"5 1 2 9 3 12 31111 6 M59 94000*")-SUMIFS(E7011:E9015,K7011:K9015,"0",B7011:B9015,"5 1 2 9 3 12 31111 6 M59 94000*")</f>
        <v>0</v>
      </c>
      <c r="E7010"/>
      <c r="F7010" s="35">
        <f>SUMIFS(F7011:F9015,K7011:K9015,"0",B7011:B9015,"5 1 2 9 3 12 31111 6 M59 94000*")</f>
        <v>2999</v>
      </c>
      <c r="G7010" s="35">
        <f>SUMIFS(G7011:G9015,K7011:K9015,"0",B7011:B9015,"5 1 2 9 3 12 31111 6 M59 94000*")</f>
        <v>0</v>
      </c>
      <c r="H7010" s="35">
        <f t="shared" si="110"/>
        <v>2999</v>
      </c>
      <c r="I7010" s="35"/>
      <c r="K7010" t="s">
        <v>15</v>
      </c>
    </row>
    <row r="7011" spans="2:11" ht="24.75" x14ac:dyDescent="0.2">
      <c r="B7011" s="33" t="s">
        <v>8039</v>
      </c>
      <c r="C7011" s="33" t="s">
        <v>3152</v>
      </c>
      <c r="D7011" s="35">
        <f>SUMIFS(D7012:D9015,K7012:K9015,"0",B7012:B9015,"5 1 2 9 3 12 31111 6 M59 94000 000181*")-SUMIFS(E7012:E9015,K7012:K9015,"0",B7012:B9015,"5 1 2 9 3 12 31111 6 M59 94000 000181*")</f>
        <v>0</v>
      </c>
      <c r="E7011"/>
      <c r="F7011" s="35">
        <f>SUMIFS(F7012:F9015,K7012:K9015,"0",B7012:B9015,"5 1 2 9 3 12 31111 6 M59 94000 000181*")</f>
        <v>2999</v>
      </c>
      <c r="G7011" s="35">
        <f>SUMIFS(G7012:G9015,K7012:K9015,"0",B7012:B9015,"5 1 2 9 3 12 31111 6 M59 94000 000181*")</f>
        <v>0</v>
      </c>
      <c r="H7011" s="35">
        <f t="shared" si="110"/>
        <v>2999</v>
      </c>
      <c r="I7011" s="35"/>
      <c r="K7011" t="s">
        <v>15</v>
      </c>
    </row>
    <row r="7012" spans="2:11" ht="24.75" x14ac:dyDescent="0.2">
      <c r="B7012" s="33" t="s">
        <v>8040</v>
      </c>
      <c r="C7012" s="33" t="s">
        <v>650</v>
      </c>
      <c r="D7012" s="35">
        <f>SUMIFS(D7013:D9015,K7013:K9015,"0",B7013:B9015,"5 1 2 9 3 12 31111 6 M59 94000 000181 0000R*")-SUMIFS(E7013:E9015,K7013:K9015,"0",B7013:B9015,"5 1 2 9 3 12 31111 6 M59 94000 000181 0000R*")</f>
        <v>0</v>
      </c>
      <c r="E7012"/>
      <c r="F7012" s="35">
        <f>SUMIFS(F7013:F9015,K7013:K9015,"0",B7013:B9015,"5 1 2 9 3 12 31111 6 M59 94000 000181 0000R*")</f>
        <v>2999</v>
      </c>
      <c r="G7012" s="35">
        <f>SUMIFS(G7013:G9015,K7013:K9015,"0",B7013:B9015,"5 1 2 9 3 12 31111 6 M59 94000 000181 0000R*")</f>
        <v>0</v>
      </c>
      <c r="H7012" s="35">
        <f t="shared" si="110"/>
        <v>2999</v>
      </c>
      <c r="I7012" s="35"/>
      <c r="K7012" t="s">
        <v>15</v>
      </c>
    </row>
    <row r="7013" spans="2:11" ht="24.75" x14ac:dyDescent="0.2">
      <c r="B7013" s="33" t="s">
        <v>8041</v>
      </c>
      <c r="C7013" s="33" t="s">
        <v>282</v>
      </c>
      <c r="D7013" s="35">
        <f>SUMIFS(D7014:D9015,K7014:K9015,"0",B7014:B9015,"5 1 2 9 3 12 31111 6 M59 94000 000181 0000R 00001*")-SUMIFS(E7014:E9015,K7014:K9015,"0",B7014:B9015,"5 1 2 9 3 12 31111 6 M59 94000 000181 0000R 00001*")</f>
        <v>0</v>
      </c>
      <c r="E7013"/>
      <c r="F7013" s="35">
        <f>SUMIFS(F7014:F9015,K7014:K9015,"0",B7014:B9015,"5 1 2 9 3 12 31111 6 M59 94000 000181 0000R 00001*")</f>
        <v>2999</v>
      </c>
      <c r="G7013" s="35">
        <f>SUMIFS(G7014:G9015,K7014:K9015,"0",B7014:B9015,"5 1 2 9 3 12 31111 6 M59 94000 000181 0000R 00001*")</f>
        <v>0</v>
      </c>
      <c r="H7013" s="35">
        <f t="shared" si="110"/>
        <v>2999</v>
      </c>
      <c r="I7013" s="35"/>
      <c r="K7013" t="s">
        <v>15</v>
      </c>
    </row>
    <row r="7014" spans="2:11" ht="33" x14ac:dyDescent="0.2">
      <c r="B7014" s="33" t="s">
        <v>8042</v>
      </c>
      <c r="C7014" s="33" t="s">
        <v>8043</v>
      </c>
      <c r="D7014" s="35">
        <f>SUMIFS(D7015:D9015,K7015:K9015,"0",B7015:B9015,"5 1 2 9 3 12 31111 6 M59 94000 000181 0000R 00001 00293*")-SUMIFS(E7015:E9015,K7015:K9015,"0",B7015:B9015,"5 1 2 9 3 12 31111 6 M59 94000 000181 0000R 00001 00293*")</f>
        <v>0</v>
      </c>
      <c r="E7014"/>
      <c r="F7014" s="35">
        <f>SUMIFS(F7015:F9015,K7015:K9015,"0",B7015:B9015,"5 1 2 9 3 12 31111 6 M59 94000 000181 0000R 00001 00293*")</f>
        <v>2999</v>
      </c>
      <c r="G7014" s="35">
        <f>SUMIFS(G7015:G9015,K7015:K9015,"0",B7015:B9015,"5 1 2 9 3 12 31111 6 M59 94000 000181 0000R 00001 00293*")</f>
        <v>0</v>
      </c>
      <c r="H7014" s="35">
        <f t="shared" si="110"/>
        <v>2999</v>
      </c>
      <c r="I7014" s="35"/>
      <c r="K7014" t="s">
        <v>15</v>
      </c>
    </row>
    <row r="7015" spans="2:11" ht="33" x14ac:dyDescent="0.2">
      <c r="B7015" s="33" t="s">
        <v>8044</v>
      </c>
      <c r="C7015" s="33" t="s">
        <v>1051</v>
      </c>
      <c r="D7015" s="35">
        <f>SUMIFS(D7016:D9015,K7016:K9015,"0",B7016:B9015,"5 1 2 9 3 12 31111 6 M59 94000 000181 0000R 00001 00293 015*")-SUMIFS(E7016:E9015,K7016:K9015,"0",B7016:B9015,"5 1 2 9 3 12 31111 6 M59 94000 000181 0000R 00001 00293 015*")</f>
        <v>0</v>
      </c>
      <c r="E7015"/>
      <c r="F7015" s="35">
        <f>SUMIFS(F7016:F9015,K7016:K9015,"0",B7016:B9015,"5 1 2 9 3 12 31111 6 M59 94000 000181 0000R 00001 00293 015*")</f>
        <v>2999</v>
      </c>
      <c r="G7015" s="35">
        <f>SUMIFS(G7016:G9015,K7016:K9015,"0",B7016:B9015,"5 1 2 9 3 12 31111 6 M59 94000 000181 0000R 00001 00293 015*")</f>
        <v>0</v>
      </c>
      <c r="H7015" s="35">
        <f t="shared" si="110"/>
        <v>2999</v>
      </c>
      <c r="I7015" s="35"/>
      <c r="K7015" t="s">
        <v>15</v>
      </c>
    </row>
    <row r="7016" spans="2:11" ht="33" x14ac:dyDescent="0.2">
      <c r="B7016" s="33" t="s">
        <v>8045</v>
      </c>
      <c r="C7016" s="33" t="s">
        <v>5830</v>
      </c>
      <c r="D7016" s="35">
        <f>SUMIFS(D7017:D9015,K7017:K9015,"0",B7017:B9015,"5 1 2 9 3 12 31111 6 M59 94000 000181 0000R 00001 00293 015 2112000*")-SUMIFS(E7017:E9015,K7017:K9015,"0",B7017:B9015,"5 1 2 9 3 12 31111 6 M59 94000 000181 0000R 00001 00293 015 2112000*")</f>
        <v>0</v>
      </c>
      <c r="E7016"/>
      <c r="F7016" s="35">
        <f>SUMIFS(F7017:F9015,K7017:K9015,"0",B7017:B9015,"5 1 2 9 3 12 31111 6 M59 94000 000181 0000R 00001 00293 015 2112000*")</f>
        <v>2999</v>
      </c>
      <c r="G7016" s="35">
        <f>SUMIFS(G7017:G9015,K7017:K9015,"0",B7017:B9015,"5 1 2 9 3 12 31111 6 M59 94000 000181 0000R 00001 00293 015 2112000*")</f>
        <v>0</v>
      </c>
      <c r="H7016" s="35">
        <f t="shared" si="110"/>
        <v>2999</v>
      </c>
      <c r="I7016" s="35"/>
      <c r="K7016" t="s">
        <v>15</v>
      </c>
    </row>
    <row r="7017" spans="2:11" ht="33" x14ac:dyDescent="0.2">
      <c r="B7017" s="33" t="s">
        <v>8046</v>
      </c>
      <c r="C7017" s="33" t="s">
        <v>660</v>
      </c>
      <c r="D7017" s="35">
        <f>SUMIFS(D7018:D9015,K7018:K9015,"0",B7018:B9015,"5 1 2 9 3 12 31111 6 M59 94000 000181 0000R 00001 00293 015 2112000 2024*")-SUMIFS(E7018:E9015,K7018:K9015,"0",B7018:B9015,"5 1 2 9 3 12 31111 6 M59 94000 000181 0000R 00001 00293 015 2112000 2024*")</f>
        <v>0</v>
      </c>
      <c r="E7017"/>
      <c r="F7017" s="35">
        <f>SUMIFS(F7018:F9015,K7018:K9015,"0",B7018:B9015,"5 1 2 9 3 12 31111 6 M59 94000 000181 0000R 00001 00293 015 2112000 2024*")</f>
        <v>2999</v>
      </c>
      <c r="G7017" s="35">
        <f>SUMIFS(G7018:G9015,K7018:K9015,"0",B7018:B9015,"5 1 2 9 3 12 31111 6 M59 94000 000181 0000R 00001 00293 015 2112000 2024*")</f>
        <v>0</v>
      </c>
      <c r="H7017" s="35">
        <f t="shared" si="110"/>
        <v>2999</v>
      </c>
      <c r="I7017" s="35"/>
      <c r="K7017" t="s">
        <v>15</v>
      </c>
    </row>
    <row r="7018" spans="2:11" ht="41.25" x14ac:dyDescent="0.2">
      <c r="B7018" s="33" t="s">
        <v>8047</v>
      </c>
      <c r="C7018" s="33" t="s">
        <v>1056</v>
      </c>
      <c r="D7018" s="35">
        <f>SUMIFS(D7019:D9015,K7019:K9015,"0",B7019:B9015,"5 1 2 9 3 12 31111 6 M59 94000 000181 0000R 00001 00293 015 2112000 2024 CP1OM392*")-SUMIFS(E7019:E9015,K7019:K9015,"0",B7019:B9015,"5 1 2 9 3 12 31111 6 M59 94000 000181 0000R 00001 00293 015 2112000 2024 CP1OM392*")</f>
        <v>0</v>
      </c>
      <c r="E7018"/>
      <c r="F7018" s="35">
        <f>SUMIFS(F7019:F9015,K7019:K9015,"0",B7019:B9015,"5 1 2 9 3 12 31111 6 M59 94000 000181 0000R 00001 00293 015 2112000 2024 CP1OM392*")</f>
        <v>2999</v>
      </c>
      <c r="G7018" s="35">
        <f>SUMIFS(G7019:G9015,K7019:K9015,"0",B7019:B9015,"5 1 2 9 3 12 31111 6 M59 94000 000181 0000R 00001 00293 015 2112000 2024 CP1OM392*")</f>
        <v>0</v>
      </c>
      <c r="H7018" s="35">
        <f t="shared" si="110"/>
        <v>2999</v>
      </c>
      <c r="I7018" s="35"/>
      <c r="K7018" t="s">
        <v>15</v>
      </c>
    </row>
    <row r="7019" spans="2:11" ht="41.25" x14ac:dyDescent="0.2">
      <c r="B7019" s="33" t="s">
        <v>8048</v>
      </c>
      <c r="C7019" s="33" t="s">
        <v>282</v>
      </c>
      <c r="D7019" s="35">
        <f>SUMIFS(D7020:D9015,K7020:K9015,"0",B7020:B9015,"5 1 2 9 3 12 31111 6 M59 94000 000181 0000R 00001 00293 015 2112000 2024 CP1OM392 001*")-SUMIFS(E7020:E9015,K7020:K9015,"0",B7020:B9015,"5 1 2 9 3 12 31111 6 M59 94000 000181 0000R 00001 00293 015 2112000 2024 CP1OM392 001*")</f>
        <v>0</v>
      </c>
      <c r="E7019"/>
      <c r="F7019" s="35">
        <f>SUMIFS(F7020:F9015,K7020:K9015,"0",B7020:B9015,"5 1 2 9 3 12 31111 6 M59 94000 000181 0000R 00001 00293 015 2112000 2024 CP1OM392 001*")</f>
        <v>2999</v>
      </c>
      <c r="G7019" s="35">
        <f>SUMIFS(G7020:G9015,K7020:K9015,"0",B7020:B9015,"5 1 2 9 3 12 31111 6 M59 94000 000181 0000R 00001 00293 015 2112000 2024 CP1OM392 001*")</f>
        <v>0</v>
      </c>
      <c r="H7019" s="35">
        <f t="shared" si="110"/>
        <v>2999</v>
      </c>
      <c r="I7019" s="35"/>
      <c r="K7019" t="s">
        <v>15</v>
      </c>
    </row>
    <row r="7020" spans="2:11" ht="33" x14ac:dyDescent="0.2">
      <c r="B7020" s="31" t="s">
        <v>8049</v>
      </c>
      <c r="C7020" s="31" t="s">
        <v>8033</v>
      </c>
      <c r="D7020" s="34">
        <v>0</v>
      </c>
      <c r="E7020" s="34"/>
      <c r="F7020" s="34">
        <v>2999</v>
      </c>
      <c r="G7020" s="34">
        <v>0</v>
      </c>
      <c r="H7020" s="34">
        <f t="shared" si="110"/>
        <v>2999</v>
      </c>
      <c r="I7020" s="34"/>
      <c r="K7020" t="s">
        <v>38</v>
      </c>
    </row>
    <row r="7021" spans="2:11" ht="33" x14ac:dyDescent="0.2">
      <c r="B7021" s="33" t="s">
        <v>8050</v>
      </c>
      <c r="C7021" s="33" t="s">
        <v>8051</v>
      </c>
      <c r="D7021" s="35">
        <f>SUMIFS(D7022:D9015,K7022:K9015,"0",B7022:B9015,"5 1 2 9 4*")-SUMIFS(E7022:E9015,K7022:K9015,"0",B7022:B9015,"5 1 2 9 4*")</f>
        <v>0</v>
      </c>
      <c r="E7021"/>
      <c r="F7021" s="35">
        <f>SUMIFS(F7022:F9015,K7022:K9015,"0",B7022:B9015,"5 1 2 9 4*")</f>
        <v>3462.4</v>
      </c>
      <c r="G7021" s="35">
        <f>SUMIFS(G7022:G9015,K7022:K9015,"0",B7022:B9015,"5 1 2 9 4*")</f>
        <v>0</v>
      </c>
      <c r="H7021" s="35">
        <f t="shared" si="110"/>
        <v>3462.4</v>
      </c>
      <c r="I7021" s="35"/>
      <c r="K7021" t="s">
        <v>15</v>
      </c>
    </row>
    <row r="7022" spans="2:11" ht="12.75" x14ac:dyDescent="0.2">
      <c r="B7022" s="33" t="s">
        <v>8052</v>
      </c>
      <c r="C7022" s="33" t="s">
        <v>26</v>
      </c>
      <c r="D7022" s="35">
        <f>SUMIFS(D7023:D9015,K7023:K9015,"0",B7023:B9015,"5 1 2 9 4 12*")-SUMIFS(E7023:E9015,K7023:K9015,"0",B7023:B9015,"5 1 2 9 4 12*")</f>
        <v>0</v>
      </c>
      <c r="E7022"/>
      <c r="F7022" s="35">
        <f>SUMIFS(F7023:F9015,K7023:K9015,"0",B7023:B9015,"5 1 2 9 4 12*")</f>
        <v>3462.4</v>
      </c>
      <c r="G7022" s="35">
        <f>SUMIFS(G7023:G9015,K7023:K9015,"0",B7023:B9015,"5 1 2 9 4 12*")</f>
        <v>0</v>
      </c>
      <c r="H7022" s="35">
        <f t="shared" si="110"/>
        <v>3462.4</v>
      </c>
      <c r="I7022" s="35"/>
      <c r="K7022" t="s">
        <v>15</v>
      </c>
    </row>
    <row r="7023" spans="2:11" ht="16.5" x14ac:dyDescent="0.2">
      <c r="B7023" s="33" t="s">
        <v>8053</v>
      </c>
      <c r="C7023" s="33" t="s">
        <v>28</v>
      </c>
      <c r="D7023" s="35">
        <f>SUMIFS(D7024:D9015,K7024:K9015,"0",B7024:B9015,"5 1 2 9 4 12 31111*")-SUMIFS(E7024:E9015,K7024:K9015,"0",B7024:B9015,"5 1 2 9 4 12 31111*")</f>
        <v>0</v>
      </c>
      <c r="E7023"/>
      <c r="F7023" s="35">
        <f>SUMIFS(F7024:F9015,K7024:K9015,"0",B7024:B9015,"5 1 2 9 4 12 31111*")</f>
        <v>3462.4</v>
      </c>
      <c r="G7023" s="35">
        <f>SUMIFS(G7024:G9015,K7024:K9015,"0",B7024:B9015,"5 1 2 9 4 12 31111*")</f>
        <v>0</v>
      </c>
      <c r="H7023" s="35">
        <f t="shared" si="110"/>
        <v>3462.4</v>
      </c>
      <c r="I7023" s="35"/>
      <c r="K7023" t="s">
        <v>15</v>
      </c>
    </row>
    <row r="7024" spans="2:11" ht="12.75" x14ac:dyDescent="0.2">
      <c r="B7024" s="33" t="s">
        <v>8054</v>
      </c>
      <c r="C7024" s="33" t="s">
        <v>30</v>
      </c>
      <c r="D7024" s="35">
        <f>SUMIFS(D7025:D9015,K7025:K9015,"0",B7025:B9015,"5 1 2 9 4 12 31111 6*")-SUMIFS(E7025:E9015,K7025:K9015,"0",B7025:B9015,"5 1 2 9 4 12 31111 6*")</f>
        <v>0</v>
      </c>
      <c r="E7024"/>
      <c r="F7024" s="35">
        <f>SUMIFS(F7025:F9015,K7025:K9015,"0",B7025:B9015,"5 1 2 9 4 12 31111 6*")</f>
        <v>3462.4</v>
      </c>
      <c r="G7024" s="35">
        <f>SUMIFS(G7025:G9015,K7025:K9015,"0",B7025:B9015,"5 1 2 9 4 12 31111 6*")</f>
        <v>0</v>
      </c>
      <c r="H7024" s="35">
        <f t="shared" si="110"/>
        <v>3462.4</v>
      </c>
      <c r="I7024" s="35"/>
      <c r="K7024" t="s">
        <v>15</v>
      </c>
    </row>
    <row r="7025" spans="2:11" ht="16.5" x14ac:dyDescent="0.2">
      <c r="B7025" s="33" t="s">
        <v>8055</v>
      </c>
      <c r="C7025" s="33" t="s">
        <v>2284</v>
      </c>
      <c r="D7025" s="35">
        <f>SUMIFS(D7026:D9015,K7026:K9015,"0",B7026:B9015,"5 1 2 9 4 12 31111 6 M59*")-SUMIFS(E7026:E9015,K7026:K9015,"0",B7026:B9015,"5 1 2 9 4 12 31111 6 M59*")</f>
        <v>0</v>
      </c>
      <c r="E7025"/>
      <c r="F7025" s="35">
        <f>SUMIFS(F7026:F9015,K7026:K9015,"0",B7026:B9015,"5 1 2 9 4 12 31111 6 M59*")</f>
        <v>3462.4</v>
      </c>
      <c r="G7025" s="35">
        <f>SUMIFS(G7026:G9015,K7026:K9015,"0",B7026:B9015,"5 1 2 9 4 12 31111 6 M59*")</f>
        <v>0</v>
      </c>
      <c r="H7025" s="35">
        <f t="shared" si="110"/>
        <v>3462.4</v>
      </c>
      <c r="I7025" s="35"/>
      <c r="K7025" t="s">
        <v>15</v>
      </c>
    </row>
    <row r="7026" spans="2:11" ht="16.5" x14ac:dyDescent="0.2">
      <c r="B7026" s="33" t="s">
        <v>8056</v>
      </c>
      <c r="C7026" s="33" t="s">
        <v>1092</v>
      </c>
      <c r="D7026" s="35">
        <f>SUMIFS(D7027:D9015,K7027:K9015,"0",B7027:B9015,"5 1 2 9 4 12 31111 6 M59 40000*")-SUMIFS(E7027:E9015,K7027:K9015,"0",B7027:B9015,"5 1 2 9 4 12 31111 6 M59 40000*")</f>
        <v>0</v>
      </c>
      <c r="E7026"/>
      <c r="F7026" s="35">
        <f>SUMIFS(F7027:F9015,K7027:K9015,"0",B7027:B9015,"5 1 2 9 4 12 31111 6 M59 40000*")</f>
        <v>3462.4</v>
      </c>
      <c r="G7026" s="35">
        <f>SUMIFS(G7027:G9015,K7027:K9015,"0",B7027:B9015,"5 1 2 9 4 12 31111 6 M59 40000*")</f>
        <v>0</v>
      </c>
      <c r="H7026" s="35">
        <f t="shared" si="110"/>
        <v>3462.4</v>
      </c>
      <c r="I7026" s="35"/>
      <c r="K7026" t="s">
        <v>15</v>
      </c>
    </row>
    <row r="7027" spans="2:11" ht="16.5" x14ac:dyDescent="0.2">
      <c r="B7027" s="33" t="s">
        <v>8057</v>
      </c>
      <c r="C7027" s="33" t="s">
        <v>1094</v>
      </c>
      <c r="D7027" s="35">
        <f>SUMIFS(D7028:D9015,K7028:K9015,"0",B7028:B9015,"5 1 2 9 4 12 31111 6 M59 40000 000161*")-SUMIFS(E7028:E9015,K7028:K9015,"0",B7028:B9015,"5 1 2 9 4 12 31111 6 M59 40000 000161*")</f>
        <v>0</v>
      </c>
      <c r="E7027"/>
      <c r="F7027" s="35">
        <f>SUMIFS(F7028:F9015,K7028:K9015,"0",B7028:B9015,"5 1 2 9 4 12 31111 6 M59 40000 000161*")</f>
        <v>3462.4</v>
      </c>
      <c r="G7027" s="35">
        <f>SUMIFS(G7028:G9015,K7028:K9015,"0",B7028:B9015,"5 1 2 9 4 12 31111 6 M59 40000 000161*")</f>
        <v>0</v>
      </c>
      <c r="H7027" s="35">
        <f t="shared" si="110"/>
        <v>3462.4</v>
      </c>
      <c r="I7027" s="35"/>
      <c r="K7027" t="s">
        <v>15</v>
      </c>
    </row>
    <row r="7028" spans="2:11" ht="24.75" x14ac:dyDescent="0.2">
      <c r="B7028" s="33" t="s">
        <v>8058</v>
      </c>
      <c r="C7028" s="33" t="s">
        <v>1065</v>
      </c>
      <c r="D7028" s="35">
        <f>SUMIFS(D7029:D9015,K7029:K9015,"0",B7029:B9015,"5 1 2 9 4 12 31111 6 M59 40000 000161 0000E*")-SUMIFS(E7029:E9015,K7029:K9015,"0",B7029:B9015,"5 1 2 9 4 12 31111 6 M59 40000 000161 0000E*")</f>
        <v>0</v>
      </c>
      <c r="E7028"/>
      <c r="F7028" s="35">
        <f>SUMIFS(F7029:F9015,K7029:K9015,"0",B7029:B9015,"5 1 2 9 4 12 31111 6 M59 40000 000161 0000E*")</f>
        <v>3462.4</v>
      </c>
      <c r="G7028" s="35">
        <f>SUMIFS(G7029:G9015,K7029:K9015,"0",B7029:B9015,"5 1 2 9 4 12 31111 6 M59 40000 000161 0000E*")</f>
        <v>0</v>
      </c>
      <c r="H7028" s="35">
        <f t="shared" si="110"/>
        <v>3462.4</v>
      </c>
      <c r="I7028" s="35"/>
      <c r="K7028" t="s">
        <v>15</v>
      </c>
    </row>
    <row r="7029" spans="2:11" ht="24.75" x14ac:dyDescent="0.2">
      <c r="B7029" s="33" t="s">
        <v>8059</v>
      </c>
      <c r="C7029" s="33" t="s">
        <v>282</v>
      </c>
      <c r="D7029" s="35">
        <f>SUMIFS(D7030:D9015,K7030:K9015,"0",B7030:B9015,"5 1 2 9 4 12 31111 6 M59 40000 000161 0000E 00001*")-SUMIFS(E7030:E9015,K7030:K9015,"0",B7030:B9015,"5 1 2 9 4 12 31111 6 M59 40000 000161 0000E 00001*")</f>
        <v>0</v>
      </c>
      <c r="E7029"/>
      <c r="F7029" s="35">
        <f>SUMIFS(F7030:F9015,K7030:K9015,"0",B7030:B9015,"5 1 2 9 4 12 31111 6 M59 40000 000161 0000E 00001*")</f>
        <v>3462.4</v>
      </c>
      <c r="G7029" s="35">
        <f>SUMIFS(G7030:G9015,K7030:K9015,"0",B7030:B9015,"5 1 2 9 4 12 31111 6 M59 40000 000161 0000E 00001*")</f>
        <v>0</v>
      </c>
      <c r="H7029" s="35">
        <f t="shared" si="110"/>
        <v>3462.4</v>
      </c>
      <c r="I7029" s="35"/>
      <c r="K7029" t="s">
        <v>15</v>
      </c>
    </row>
    <row r="7030" spans="2:11" ht="33" x14ac:dyDescent="0.2">
      <c r="B7030" s="33" t="s">
        <v>8060</v>
      </c>
      <c r="C7030" s="33" t="s">
        <v>8061</v>
      </c>
      <c r="D7030" s="35">
        <f>SUMIFS(D7031:D9015,K7031:K9015,"0",B7031:B9015,"5 1 2 9 4 12 31111 6 M59 40000 000161 0000E 00001 00294*")-SUMIFS(E7031:E9015,K7031:K9015,"0",B7031:B9015,"5 1 2 9 4 12 31111 6 M59 40000 000161 0000E 00001 00294*")</f>
        <v>0</v>
      </c>
      <c r="E7030"/>
      <c r="F7030" s="35">
        <f>SUMIFS(F7031:F9015,K7031:K9015,"0",B7031:B9015,"5 1 2 9 4 12 31111 6 M59 40000 000161 0000E 00001 00294*")</f>
        <v>3462.4</v>
      </c>
      <c r="G7030" s="35">
        <f>SUMIFS(G7031:G9015,K7031:K9015,"0",B7031:B9015,"5 1 2 9 4 12 31111 6 M59 40000 000161 0000E 00001 00294*")</f>
        <v>0</v>
      </c>
      <c r="H7030" s="35">
        <f t="shared" si="110"/>
        <v>3462.4</v>
      </c>
      <c r="I7030" s="35"/>
      <c r="K7030" t="s">
        <v>15</v>
      </c>
    </row>
    <row r="7031" spans="2:11" ht="33" x14ac:dyDescent="0.2">
      <c r="B7031" s="33" t="s">
        <v>8062</v>
      </c>
      <c r="C7031" s="33" t="s">
        <v>656</v>
      </c>
      <c r="D7031" s="35">
        <f>SUMIFS(D7032:D9015,K7032:K9015,"0",B7032:B9015,"5 1 2 9 4 12 31111 6 M59 40000 000161 0000E 00001 00294 025*")-SUMIFS(E7032:E9015,K7032:K9015,"0",B7032:B9015,"5 1 2 9 4 12 31111 6 M59 40000 000161 0000E 00001 00294 025*")</f>
        <v>0</v>
      </c>
      <c r="E7031"/>
      <c r="F7031" s="35">
        <f>SUMIFS(F7032:F9015,K7032:K9015,"0",B7032:B9015,"5 1 2 9 4 12 31111 6 M59 40000 000161 0000E 00001 00294 025*")</f>
        <v>3462.4</v>
      </c>
      <c r="G7031" s="35">
        <f>SUMIFS(G7032:G9015,K7032:K9015,"0",B7032:B9015,"5 1 2 9 4 12 31111 6 M59 40000 000161 0000E 00001 00294 025*")</f>
        <v>0</v>
      </c>
      <c r="H7031" s="35">
        <f t="shared" si="110"/>
        <v>3462.4</v>
      </c>
      <c r="I7031" s="35"/>
      <c r="K7031" t="s">
        <v>15</v>
      </c>
    </row>
    <row r="7032" spans="2:11" ht="33" x14ac:dyDescent="0.2">
      <c r="B7032" s="33" t="s">
        <v>8063</v>
      </c>
      <c r="C7032" s="33" t="s">
        <v>5830</v>
      </c>
      <c r="D7032" s="35">
        <f>SUMIFS(D7033:D9015,K7033:K9015,"0",B7033:B9015,"5 1 2 9 4 12 31111 6 M59 40000 000161 0000E 00001 00294 025 2112000*")-SUMIFS(E7033:E9015,K7033:K9015,"0",B7033:B9015,"5 1 2 9 4 12 31111 6 M59 40000 000161 0000E 00001 00294 025 2112000*")</f>
        <v>0</v>
      </c>
      <c r="E7032"/>
      <c r="F7032" s="35">
        <f>SUMIFS(F7033:F9015,K7033:K9015,"0",B7033:B9015,"5 1 2 9 4 12 31111 6 M59 40000 000161 0000E 00001 00294 025 2112000*")</f>
        <v>3462.4</v>
      </c>
      <c r="G7032" s="35">
        <f>SUMIFS(G7033:G9015,K7033:K9015,"0",B7033:B9015,"5 1 2 9 4 12 31111 6 M59 40000 000161 0000E 00001 00294 025 2112000*")</f>
        <v>0</v>
      </c>
      <c r="H7032" s="35">
        <f t="shared" si="110"/>
        <v>3462.4</v>
      </c>
      <c r="I7032" s="35"/>
      <c r="K7032" t="s">
        <v>15</v>
      </c>
    </row>
    <row r="7033" spans="2:11" ht="33" x14ac:dyDescent="0.2">
      <c r="B7033" s="33" t="s">
        <v>8064</v>
      </c>
      <c r="C7033" s="33" t="s">
        <v>660</v>
      </c>
      <c r="D7033" s="35">
        <f>SUMIFS(D7034:D9015,K7034:K9015,"0",B7034:B9015,"5 1 2 9 4 12 31111 6 M59 40000 000161 0000E 00001 00294 025 2112000 2024*")-SUMIFS(E7034:E9015,K7034:K9015,"0",B7034:B9015,"5 1 2 9 4 12 31111 6 M59 40000 000161 0000E 00001 00294 025 2112000 2024*")</f>
        <v>0</v>
      </c>
      <c r="E7033"/>
      <c r="F7033" s="35">
        <f>SUMIFS(F7034:F9015,K7034:K9015,"0",B7034:B9015,"5 1 2 9 4 12 31111 6 M59 40000 000161 0000E 00001 00294 025 2112000 2024*")</f>
        <v>3462.4</v>
      </c>
      <c r="G7033" s="35">
        <f>SUMIFS(G7034:G9015,K7034:K9015,"0",B7034:B9015,"5 1 2 9 4 12 31111 6 M59 40000 000161 0000E 00001 00294 025 2112000 2024*")</f>
        <v>0</v>
      </c>
      <c r="H7033" s="35">
        <f t="shared" si="110"/>
        <v>3462.4</v>
      </c>
      <c r="I7033" s="35"/>
      <c r="K7033" t="s">
        <v>15</v>
      </c>
    </row>
    <row r="7034" spans="2:11" ht="41.25" x14ac:dyDescent="0.2">
      <c r="B7034" s="33" t="s">
        <v>8065</v>
      </c>
      <c r="C7034" s="33" t="s">
        <v>662</v>
      </c>
      <c r="D7034" s="35">
        <f>SUMIFS(D7035:D9015,K7035:K9015,"0",B7035:B9015,"5 1 2 9 4 12 31111 6 M59 40000 000161 0000E 00001 00294 025 2112000 2024 CP4SP372*")-SUMIFS(E7035:E9015,K7035:K9015,"0",B7035:B9015,"5 1 2 9 4 12 31111 6 M59 40000 000161 0000E 00001 00294 025 2112000 2024 CP4SP372*")</f>
        <v>0</v>
      </c>
      <c r="E7034"/>
      <c r="F7034" s="35">
        <f>SUMIFS(F7035:F9015,K7035:K9015,"0",B7035:B9015,"5 1 2 9 4 12 31111 6 M59 40000 000161 0000E 00001 00294 025 2112000 2024 CP4SP372*")</f>
        <v>3462.4</v>
      </c>
      <c r="G7034" s="35">
        <f>SUMIFS(G7035:G9015,K7035:K9015,"0",B7035:B9015,"5 1 2 9 4 12 31111 6 M59 40000 000161 0000E 00001 00294 025 2112000 2024 CP4SP372*")</f>
        <v>0</v>
      </c>
      <c r="H7034" s="35">
        <f t="shared" si="110"/>
        <v>3462.4</v>
      </c>
      <c r="I7034" s="35"/>
      <c r="K7034" t="s">
        <v>15</v>
      </c>
    </row>
    <row r="7035" spans="2:11" ht="41.25" x14ac:dyDescent="0.2">
      <c r="B7035" s="33" t="s">
        <v>8066</v>
      </c>
      <c r="C7035" s="33" t="s">
        <v>664</v>
      </c>
      <c r="D7035" s="35">
        <f>SUMIFS(D7036:D9015,K7036:K9015,"0",B7036:B9015,"5 1 2 9 4 12 31111 6 M59 40000 000161 0000E 00001 00294 025 2112000 2024 CP4SP372 003*")-SUMIFS(E7036:E9015,K7036:K9015,"0",B7036:B9015,"5 1 2 9 4 12 31111 6 M59 40000 000161 0000E 00001 00294 025 2112000 2024 CP4SP372 003*")</f>
        <v>0</v>
      </c>
      <c r="E7035"/>
      <c r="F7035" s="35">
        <f>SUMIFS(F7036:F9015,K7036:K9015,"0",B7036:B9015,"5 1 2 9 4 12 31111 6 M59 40000 000161 0000E 00001 00294 025 2112000 2024 CP4SP372 003*")</f>
        <v>3462.4</v>
      </c>
      <c r="G7035" s="35">
        <f>SUMIFS(G7036:G9015,K7036:K9015,"0",B7036:B9015,"5 1 2 9 4 12 31111 6 M59 40000 000161 0000E 00001 00294 025 2112000 2024 CP4SP372 003*")</f>
        <v>0</v>
      </c>
      <c r="H7035" s="35">
        <f t="shared" si="110"/>
        <v>3462.4</v>
      </c>
      <c r="I7035" s="35"/>
      <c r="K7035" t="s">
        <v>15</v>
      </c>
    </row>
    <row r="7036" spans="2:11" ht="33" x14ac:dyDescent="0.2">
      <c r="B7036" s="31" t="s">
        <v>8067</v>
      </c>
      <c r="C7036" s="31" t="s">
        <v>8051</v>
      </c>
      <c r="D7036" s="34">
        <v>0</v>
      </c>
      <c r="E7036" s="34"/>
      <c r="F7036" s="34">
        <v>3462.4</v>
      </c>
      <c r="G7036" s="34">
        <v>0</v>
      </c>
      <c r="H7036" s="34">
        <f t="shared" si="110"/>
        <v>3462.4</v>
      </c>
      <c r="I7036" s="34"/>
      <c r="K7036" t="s">
        <v>38</v>
      </c>
    </row>
    <row r="7037" spans="2:11" ht="24.75" x14ac:dyDescent="0.2">
      <c r="B7037" s="33" t="s">
        <v>8068</v>
      </c>
      <c r="C7037" s="33" t="s">
        <v>8069</v>
      </c>
      <c r="D7037" s="35">
        <f>SUMIFS(D7038:D9015,K7038:K9015,"0",B7038:B9015,"5 1 2 9 6*")-SUMIFS(E7038:E9015,K7038:K9015,"0",B7038:B9015,"5 1 2 9 6*")</f>
        <v>0</v>
      </c>
      <c r="E7037"/>
      <c r="F7037" s="35">
        <f>SUMIFS(F7038:F9015,K7038:K9015,"0",B7038:B9015,"5 1 2 9 6*")</f>
        <v>10153223.75</v>
      </c>
      <c r="G7037" s="35">
        <f>SUMIFS(G7038:G9015,K7038:K9015,"0",B7038:B9015,"5 1 2 9 6*")</f>
        <v>0</v>
      </c>
      <c r="H7037" s="35">
        <f t="shared" si="110"/>
        <v>10153223.75</v>
      </c>
      <c r="I7037" s="35"/>
      <c r="K7037" t="s">
        <v>15</v>
      </c>
    </row>
    <row r="7038" spans="2:11" ht="12.75" x14ac:dyDescent="0.2">
      <c r="B7038" s="33" t="s">
        <v>8070</v>
      </c>
      <c r="C7038" s="33" t="s">
        <v>26</v>
      </c>
      <c r="D7038" s="35">
        <f>SUMIFS(D7039:D9015,K7039:K9015,"0",B7039:B9015,"5 1 2 9 6 12*")-SUMIFS(E7039:E9015,K7039:K9015,"0",B7039:B9015,"5 1 2 9 6 12*")</f>
        <v>0</v>
      </c>
      <c r="E7038"/>
      <c r="F7038" s="35">
        <f>SUMIFS(F7039:F9015,K7039:K9015,"0",B7039:B9015,"5 1 2 9 6 12*")</f>
        <v>10153223.75</v>
      </c>
      <c r="G7038" s="35">
        <f>SUMIFS(G7039:G9015,K7039:K9015,"0",B7039:B9015,"5 1 2 9 6 12*")</f>
        <v>0</v>
      </c>
      <c r="H7038" s="35">
        <f t="shared" si="110"/>
        <v>10153223.75</v>
      </c>
      <c r="I7038" s="35"/>
      <c r="K7038" t="s">
        <v>15</v>
      </c>
    </row>
    <row r="7039" spans="2:11" ht="16.5" x14ac:dyDescent="0.2">
      <c r="B7039" s="33" t="s">
        <v>8071</v>
      </c>
      <c r="C7039" s="33" t="s">
        <v>28</v>
      </c>
      <c r="D7039" s="35">
        <f>SUMIFS(D7040:D9015,K7040:K9015,"0",B7040:B9015,"5 1 2 9 6 12 31111*")-SUMIFS(E7040:E9015,K7040:K9015,"0",B7040:B9015,"5 1 2 9 6 12 31111*")</f>
        <v>0</v>
      </c>
      <c r="E7039"/>
      <c r="F7039" s="35">
        <f>SUMIFS(F7040:F9015,K7040:K9015,"0",B7040:B9015,"5 1 2 9 6 12 31111*")</f>
        <v>10153223.75</v>
      </c>
      <c r="G7039" s="35">
        <f>SUMIFS(G7040:G9015,K7040:K9015,"0",B7040:B9015,"5 1 2 9 6 12 31111*")</f>
        <v>0</v>
      </c>
      <c r="H7039" s="35">
        <f t="shared" si="110"/>
        <v>10153223.75</v>
      </c>
      <c r="I7039" s="35"/>
      <c r="K7039" t="s">
        <v>15</v>
      </c>
    </row>
    <row r="7040" spans="2:11" ht="12.75" x14ac:dyDescent="0.2">
      <c r="B7040" s="33" t="s">
        <v>8072</v>
      </c>
      <c r="C7040" s="33" t="s">
        <v>30</v>
      </c>
      <c r="D7040" s="35">
        <f>SUMIFS(D7041:D9015,K7041:K9015,"0",B7041:B9015,"5 1 2 9 6 12 31111 6*")-SUMIFS(E7041:E9015,K7041:K9015,"0",B7041:B9015,"5 1 2 9 6 12 31111 6*")</f>
        <v>0</v>
      </c>
      <c r="E7040"/>
      <c r="F7040" s="35">
        <f>SUMIFS(F7041:F9015,K7041:K9015,"0",B7041:B9015,"5 1 2 9 6 12 31111 6*")</f>
        <v>10153223.75</v>
      </c>
      <c r="G7040" s="35">
        <f>SUMIFS(G7041:G9015,K7041:K9015,"0",B7041:B9015,"5 1 2 9 6 12 31111 6*")</f>
        <v>0</v>
      </c>
      <c r="H7040" s="35">
        <f t="shared" si="110"/>
        <v>10153223.75</v>
      </c>
      <c r="I7040" s="35"/>
      <c r="K7040" t="s">
        <v>15</v>
      </c>
    </row>
    <row r="7041" spans="2:11" ht="16.5" x14ac:dyDescent="0.2">
      <c r="B7041" s="33" t="s">
        <v>8073</v>
      </c>
      <c r="C7041" s="33" t="s">
        <v>2284</v>
      </c>
      <c r="D7041" s="35">
        <f>SUMIFS(D7042:D9015,K7042:K9015,"0",B7042:B9015,"5 1 2 9 6 12 31111 6 M59*")-SUMIFS(E7042:E9015,K7042:K9015,"0",B7042:B9015,"5 1 2 9 6 12 31111 6 M59*")</f>
        <v>0</v>
      </c>
      <c r="E7041"/>
      <c r="F7041" s="35">
        <f>SUMIFS(F7042:F9015,K7042:K9015,"0",B7042:B9015,"5 1 2 9 6 12 31111 6 M59*")</f>
        <v>10153223.75</v>
      </c>
      <c r="G7041" s="35">
        <f>SUMIFS(G7042:G9015,K7042:K9015,"0",B7042:B9015,"5 1 2 9 6 12 31111 6 M59*")</f>
        <v>0</v>
      </c>
      <c r="H7041" s="35">
        <f t="shared" si="110"/>
        <v>10153223.75</v>
      </c>
      <c r="I7041" s="35"/>
      <c r="K7041" t="s">
        <v>15</v>
      </c>
    </row>
    <row r="7042" spans="2:11" ht="16.5" x14ac:dyDescent="0.2">
      <c r="B7042" s="33" t="s">
        <v>8074</v>
      </c>
      <c r="C7042" s="33" t="s">
        <v>1044</v>
      </c>
      <c r="D7042" s="35">
        <f>SUMIFS(D7043:D9015,K7043:K9015,"0",B7043:B9015,"5 1 2 9 6 12 31111 6 M59 19000*")-SUMIFS(E7043:E9015,K7043:K9015,"0",B7043:B9015,"5 1 2 9 6 12 31111 6 M59 19000*")</f>
        <v>0</v>
      </c>
      <c r="E7042"/>
      <c r="F7042" s="35">
        <f>SUMIFS(F7043:F9015,K7043:K9015,"0",B7043:B9015,"5 1 2 9 6 12 31111 6 M59 19000*")</f>
        <v>8200</v>
      </c>
      <c r="G7042" s="35">
        <f>SUMIFS(G7043:G9015,K7043:K9015,"0",B7043:B9015,"5 1 2 9 6 12 31111 6 M59 19000*")</f>
        <v>0</v>
      </c>
      <c r="H7042" s="35">
        <f t="shared" si="110"/>
        <v>8200</v>
      </c>
      <c r="I7042" s="35"/>
      <c r="K7042" t="s">
        <v>15</v>
      </c>
    </row>
    <row r="7043" spans="2:11" ht="16.5" x14ac:dyDescent="0.2">
      <c r="B7043" s="33" t="s">
        <v>8075</v>
      </c>
      <c r="C7043" s="33" t="s">
        <v>648</v>
      </c>
      <c r="D7043" s="35">
        <f>SUMIFS(D7044:D9015,K7044:K9015,"0",B7044:B9015,"5 1 2 9 6 12 31111 6 M59 19000 000132*")-SUMIFS(E7044:E9015,K7044:K9015,"0",B7044:B9015,"5 1 2 9 6 12 31111 6 M59 19000 000132*")</f>
        <v>0</v>
      </c>
      <c r="E7043"/>
      <c r="F7043" s="35">
        <f>SUMIFS(F7044:F9015,K7044:K9015,"0",B7044:B9015,"5 1 2 9 6 12 31111 6 M59 19000 000132*")</f>
        <v>8200</v>
      </c>
      <c r="G7043" s="35">
        <f>SUMIFS(G7044:G9015,K7044:K9015,"0",B7044:B9015,"5 1 2 9 6 12 31111 6 M59 19000 000132*")</f>
        <v>0</v>
      </c>
      <c r="H7043" s="35">
        <f t="shared" si="110"/>
        <v>8200</v>
      </c>
      <c r="I7043" s="35"/>
      <c r="K7043" t="s">
        <v>15</v>
      </c>
    </row>
    <row r="7044" spans="2:11" ht="24.75" x14ac:dyDescent="0.2">
      <c r="B7044" s="33" t="s">
        <v>8076</v>
      </c>
      <c r="C7044" s="33" t="s">
        <v>650</v>
      </c>
      <c r="D7044" s="35">
        <f>SUMIFS(D7045:D9015,K7045:K9015,"0",B7045:B9015,"5 1 2 9 6 12 31111 6 M59 19000 000132 0000R*")-SUMIFS(E7045:E9015,K7045:K9015,"0",B7045:B9015,"5 1 2 9 6 12 31111 6 M59 19000 000132 0000R*")</f>
        <v>0</v>
      </c>
      <c r="E7044"/>
      <c r="F7044" s="35">
        <f>SUMIFS(F7045:F9015,K7045:K9015,"0",B7045:B9015,"5 1 2 9 6 12 31111 6 M59 19000 000132 0000R*")</f>
        <v>8200</v>
      </c>
      <c r="G7044" s="35">
        <f>SUMIFS(G7045:G9015,K7045:K9015,"0",B7045:B9015,"5 1 2 9 6 12 31111 6 M59 19000 000132 0000R*")</f>
        <v>0</v>
      </c>
      <c r="H7044" s="35">
        <f t="shared" ref="H7044:H7107" si="111">D7044 + F7044 - G7044</f>
        <v>8200</v>
      </c>
      <c r="I7044" s="35"/>
      <c r="K7044" t="s">
        <v>15</v>
      </c>
    </row>
    <row r="7045" spans="2:11" ht="24.75" x14ac:dyDescent="0.2">
      <c r="B7045" s="33" t="s">
        <v>8077</v>
      </c>
      <c r="C7045" s="33" t="s">
        <v>282</v>
      </c>
      <c r="D7045" s="35">
        <f>SUMIFS(D7046:D9015,K7046:K9015,"0",B7046:B9015,"5 1 2 9 6 12 31111 6 M59 19000 000132 0000R 00001*")-SUMIFS(E7046:E9015,K7046:K9015,"0",B7046:B9015,"5 1 2 9 6 12 31111 6 M59 19000 000132 0000R 00001*")</f>
        <v>0</v>
      </c>
      <c r="E7045"/>
      <c r="F7045" s="35">
        <f>SUMIFS(F7046:F9015,K7046:K9015,"0",B7046:B9015,"5 1 2 9 6 12 31111 6 M59 19000 000132 0000R 00001*")</f>
        <v>8200</v>
      </c>
      <c r="G7045" s="35">
        <f>SUMIFS(G7046:G9015,K7046:K9015,"0",B7046:B9015,"5 1 2 9 6 12 31111 6 M59 19000 000132 0000R 00001*")</f>
        <v>0</v>
      </c>
      <c r="H7045" s="35">
        <f t="shared" si="111"/>
        <v>8200</v>
      </c>
      <c r="I7045" s="35"/>
      <c r="K7045" t="s">
        <v>15</v>
      </c>
    </row>
    <row r="7046" spans="2:11" ht="24.75" x14ac:dyDescent="0.2">
      <c r="B7046" s="33" t="s">
        <v>8078</v>
      </c>
      <c r="C7046" s="33" t="s">
        <v>8079</v>
      </c>
      <c r="D7046" s="35">
        <f>SUMIFS(D7047:D9015,K7047:K9015,"0",B7047:B9015,"5 1 2 9 6 12 31111 6 M59 19000 000132 0000R 00001 00296*")-SUMIFS(E7047:E9015,K7047:K9015,"0",B7047:B9015,"5 1 2 9 6 12 31111 6 M59 19000 000132 0000R 00001 00296*")</f>
        <v>0</v>
      </c>
      <c r="E7046"/>
      <c r="F7046" s="35">
        <f>SUMIFS(F7047:F9015,K7047:K9015,"0",B7047:B9015,"5 1 2 9 6 12 31111 6 M59 19000 000132 0000R 00001 00296*")</f>
        <v>8200</v>
      </c>
      <c r="G7046" s="35">
        <f>SUMIFS(G7047:G9015,K7047:K9015,"0",B7047:B9015,"5 1 2 9 6 12 31111 6 M59 19000 000132 0000R 00001 00296*")</f>
        <v>0</v>
      </c>
      <c r="H7046" s="35">
        <f t="shared" si="111"/>
        <v>8200</v>
      </c>
      <c r="I7046" s="35"/>
      <c r="K7046" t="s">
        <v>15</v>
      </c>
    </row>
    <row r="7047" spans="2:11" ht="33" x14ac:dyDescent="0.2">
      <c r="B7047" s="33" t="s">
        <v>8080</v>
      </c>
      <c r="C7047" s="33" t="s">
        <v>699</v>
      </c>
      <c r="D7047" s="35">
        <f>SUMIFS(D7048:D9015,K7048:K9015,"0",B7048:B9015,"5 1 2 9 6 12 31111 6 M59 19000 000132 0000R 00001 00296 011*")-SUMIFS(E7048:E9015,K7048:K9015,"0",B7048:B9015,"5 1 2 9 6 12 31111 6 M59 19000 000132 0000R 00001 00296 011*")</f>
        <v>0</v>
      </c>
      <c r="E7047"/>
      <c r="F7047" s="35">
        <f>SUMIFS(F7048:F9015,K7048:K9015,"0",B7048:B9015,"5 1 2 9 6 12 31111 6 M59 19000 000132 0000R 00001 00296 011*")</f>
        <v>8200</v>
      </c>
      <c r="G7047" s="35">
        <f>SUMIFS(G7048:G9015,K7048:K9015,"0",B7048:B9015,"5 1 2 9 6 12 31111 6 M59 19000 000132 0000R 00001 00296 011*")</f>
        <v>0</v>
      </c>
      <c r="H7047" s="35">
        <f t="shared" si="111"/>
        <v>8200</v>
      </c>
      <c r="I7047" s="35"/>
      <c r="K7047" t="s">
        <v>15</v>
      </c>
    </row>
    <row r="7048" spans="2:11" ht="33" x14ac:dyDescent="0.2">
      <c r="B7048" s="33" t="s">
        <v>8081</v>
      </c>
      <c r="C7048" s="33" t="s">
        <v>5830</v>
      </c>
      <c r="D7048" s="35">
        <f>SUMIFS(D7049:D9015,K7049:K9015,"0",B7049:B9015,"5 1 2 9 6 12 31111 6 M59 19000 000132 0000R 00001 00296 011 2112000*")-SUMIFS(E7049:E9015,K7049:K9015,"0",B7049:B9015,"5 1 2 9 6 12 31111 6 M59 19000 000132 0000R 00001 00296 011 2112000*")</f>
        <v>0</v>
      </c>
      <c r="E7048"/>
      <c r="F7048" s="35">
        <f>SUMIFS(F7049:F9015,K7049:K9015,"0",B7049:B9015,"5 1 2 9 6 12 31111 6 M59 19000 000132 0000R 00001 00296 011 2112000*")</f>
        <v>8200</v>
      </c>
      <c r="G7048" s="35">
        <f>SUMIFS(G7049:G9015,K7049:K9015,"0",B7049:B9015,"5 1 2 9 6 12 31111 6 M59 19000 000132 0000R 00001 00296 011 2112000*")</f>
        <v>0</v>
      </c>
      <c r="H7048" s="35">
        <f t="shared" si="111"/>
        <v>8200</v>
      </c>
      <c r="I7048" s="35"/>
      <c r="K7048" t="s">
        <v>15</v>
      </c>
    </row>
    <row r="7049" spans="2:11" ht="33" x14ac:dyDescent="0.2">
      <c r="B7049" s="33" t="s">
        <v>8082</v>
      </c>
      <c r="C7049" s="33" t="s">
        <v>660</v>
      </c>
      <c r="D7049" s="35">
        <f>SUMIFS(D7050:D9015,K7050:K9015,"0",B7050:B9015,"5 1 2 9 6 12 31111 6 M59 19000 000132 0000R 00001 00296 011 2112000 2024*")-SUMIFS(E7050:E9015,K7050:K9015,"0",B7050:B9015,"5 1 2 9 6 12 31111 6 M59 19000 000132 0000R 00001 00296 011 2112000 2024*")</f>
        <v>0</v>
      </c>
      <c r="E7049"/>
      <c r="F7049" s="35">
        <f>SUMIFS(F7050:F9015,K7050:K9015,"0",B7050:B9015,"5 1 2 9 6 12 31111 6 M59 19000 000132 0000R 00001 00296 011 2112000 2024*")</f>
        <v>8200</v>
      </c>
      <c r="G7049" s="35">
        <f>SUMIFS(G7050:G9015,K7050:K9015,"0",B7050:B9015,"5 1 2 9 6 12 31111 6 M59 19000 000132 0000R 00001 00296 011 2112000 2024*")</f>
        <v>0</v>
      </c>
      <c r="H7049" s="35">
        <f t="shared" si="111"/>
        <v>8200</v>
      </c>
      <c r="I7049" s="35"/>
      <c r="K7049" t="s">
        <v>15</v>
      </c>
    </row>
    <row r="7050" spans="2:11" ht="41.25" x14ac:dyDescent="0.2">
      <c r="B7050" s="33" t="s">
        <v>8083</v>
      </c>
      <c r="C7050" s="33" t="s">
        <v>662</v>
      </c>
      <c r="D7050" s="35">
        <f>SUMIFS(D7051:D9015,K7051:K9015,"0",B7051:B9015,"5 1 2 9 6 12 31111 6 M59 19000 000132 0000R 00001 00296 011 2112000 2024 CP1TM440*")-SUMIFS(E7051:E9015,K7051:K9015,"0",B7051:B9015,"5 1 2 9 6 12 31111 6 M59 19000 000132 0000R 00001 00296 011 2112000 2024 CP1TM440*")</f>
        <v>0</v>
      </c>
      <c r="E7050"/>
      <c r="F7050" s="35">
        <f>SUMIFS(F7051:F9015,K7051:K9015,"0",B7051:B9015,"5 1 2 9 6 12 31111 6 M59 19000 000132 0000R 00001 00296 011 2112000 2024 CP1TM440*")</f>
        <v>8200</v>
      </c>
      <c r="G7050" s="35">
        <f>SUMIFS(G7051:G9015,K7051:K9015,"0",B7051:B9015,"5 1 2 9 6 12 31111 6 M59 19000 000132 0000R 00001 00296 011 2112000 2024 CP1TM440*")</f>
        <v>0</v>
      </c>
      <c r="H7050" s="35">
        <f t="shared" si="111"/>
        <v>8200</v>
      </c>
      <c r="I7050" s="35"/>
      <c r="K7050" t="s">
        <v>15</v>
      </c>
    </row>
    <row r="7051" spans="2:11" ht="41.25" x14ac:dyDescent="0.2">
      <c r="B7051" s="33" t="s">
        <v>8084</v>
      </c>
      <c r="C7051" s="33" t="s">
        <v>46</v>
      </c>
      <c r="D7051" s="35">
        <f>SUMIFS(D7052:D9015,K7052:K9015,"0",B7052:B9015,"5 1 2 9 6 12 31111 6 M59 19000 000132 0000R 00001 00296 011 2112000 2024 CP1TM440 004*")-SUMIFS(E7052:E9015,K7052:K9015,"0",B7052:B9015,"5 1 2 9 6 12 31111 6 M59 19000 000132 0000R 00001 00296 011 2112000 2024 CP1TM440 004*")</f>
        <v>0</v>
      </c>
      <c r="E7051"/>
      <c r="F7051" s="35">
        <f>SUMIFS(F7052:F9015,K7052:K9015,"0",B7052:B9015,"5 1 2 9 6 12 31111 6 M59 19000 000132 0000R 00001 00296 011 2112000 2024 CP1TM440 004*")</f>
        <v>8200</v>
      </c>
      <c r="G7051" s="35">
        <f>SUMIFS(G7052:G9015,K7052:K9015,"0",B7052:B9015,"5 1 2 9 6 12 31111 6 M59 19000 000132 0000R 00001 00296 011 2112000 2024 CP1TM440 004*")</f>
        <v>0</v>
      </c>
      <c r="H7051" s="35">
        <f t="shared" si="111"/>
        <v>8200</v>
      </c>
      <c r="I7051" s="35"/>
      <c r="K7051" t="s">
        <v>15</v>
      </c>
    </row>
    <row r="7052" spans="2:11" ht="33" x14ac:dyDescent="0.2">
      <c r="B7052" s="31" t="s">
        <v>8085</v>
      </c>
      <c r="C7052" s="31" t="s">
        <v>8079</v>
      </c>
      <c r="D7052" s="34">
        <v>0</v>
      </c>
      <c r="E7052" s="34"/>
      <c r="F7052" s="34">
        <v>8200</v>
      </c>
      <c r="G7052" s="34">
        <v>0</v>
      </c>
      <c r="H7052" s="34">
        <f t="shared" si="111"/>
        <v>8200</v>
      </c>
      <c r="I7052" s="34"/>
      <c r="K7052" t="s">
        <v>38</v>
      </c>
    </row>
    <row r="7053" spans="2:11" ht="16.5" x14ac:dyDescent="0.2">
      <c r="B7053" s="33" t="s">
        <v>8086</v>
      </c>
      <c r="C7053" s="33" t="s">
        <v>1061</v>
      </c>
      <c r="D7053" s="35">
        <f>SUMIFS(D7054:D9015,K7054:K9015,"0",B7054:B9015,"5 1 2 9 6 12 31111 6 M59 20300*")-SUMIFS(E7054:E9015,K7054:K9015,"0",B7054:B9015,"5 1 2 9 6 12 31111 6 M59 20300*")</f>
        <v>0</v>
      </c>
      <c r="E7053"/>
      <c r="F7053" s="35">
        <f>SUMIFS(F7054:F9015,K7054:K9015,"0",B7054:B9015,"5 1 2 9 6 12 31111 6 M59 20300*")</f>
        <v>599.97</v>
      </c>
      <c r="G7053" s="35">
        <f>SUMIFS(G7054:G9015,K7054:K9015,"0",B7054:B9015,"5 1 2 9 6 12 31111 6 M59 20300*")</f>
        <v>0</v>
      </c>
      <c r="H7053" s="35">
        <f t="shared" si="111"/>
        <v>599.97</v>
      </c>
      <c r="I7053" s="35"/>
      <c r="K7053" t="s">
        <v>15</v>
      </c>
    </row>
    <row r="7054" spans="2:11" ht="16.5" x14ac:dyDescent="0.2">
      <c r="B7054" s="33" t="s">
        <v>8087</v>
      </c>
      <c r="C7054" s="33" t="s">
        <v>648</v>
      </c>
      <c r="D7054" s="35">
        <f>SUMIFS(D7055:D9015,K7055:K9015,"0",B7055:B9015,"5 1 2 9 6 12 31111 6 M59 20300 000132*")-SUMIFS(E7055:E9015,K7055:K9015,"0",B7055:B9015,"5 1 2 9 6 12 31111 6 M59 20300 000132*")</f>
        <v>0</v>
      </c>
      <c r="E7054"/>
      <c r="F7054" s="35">
        <f>SUMIFS(F7055:F9015,K7055:K9015,"0",B7055:B9015,"5 1 2 9 6 12 31111 6 M59 20300 000132*")</f>
        <v>599.97</v>
      </c>
      <c r="G7054" s="35">
        <f>SUMIFS(G7055:G9015,K7055:K9015,"0",B7055:B9015,"5 1 2 9 6 12 31111 6 M59 20300 000132*")</f>
        <v>0</v>
      </c>
      <c r="H7054" s="35">
        <f t="shared" si="111"/>
        <v>599.97</v>
      </c>
      <c r="I7054" s="35"/>
      <c r="K7054" t="s">
        <v>15</v>
      </c>
    </row>
    <row r="7055" spans="2:11" ht="24.75" x14ac:dyDescent="0.2">
      <c r="B7055" s="33" t="s">
        <v>8088</v>
      </c>
      <c r="C7055" s="33" t="s">
        <v>650</v>
      </c>
      <c r="D7055" s="35">
        <f>SUMIFS(D7056:D9015,K7056:K9015,"0",B7056:B9015,"5 1 2 9 6 12 31111 6 M59 20300 000132 0000R*")-SUMIFS(E7056:E9015,K7056:K9015,"0",B7056:B9015,"5 1 2 9 6 12 31111 6 M59 20300 000132 0000R*")</f>
        <v>0</v>
      </c>
      <c r="E7055"/>
      <c r="F7055" s="35">
        <f>SUMIFS(F7056:F9015,K7056:K9015,"0",B7056:B9015,"5 1 2 9 6 12 31111 6 M59 20300 000132 0000R*")</f>
        <v>599.97</v>
      </c>
      <c r="G7055" s="35">
        <f>SUMIFS(G7056:G9015,K7056:K9015,"0",B7056:B9015,"5 1 2 9 6 12 31111 6 M59 20300 000132 0000R*")</f>
        <v>0</v>
      </c>
      <c r="H7055" s="35">
        <f t="shared" si="111"/>
        <v>599.97</v>
      </c>
      <c r="I7055" s="35"/>
      <c r="K7055" t="s">
        <v>15</v>
      </c>
    </row>
    <row r="7056" spans="2:11" ht="24.75" x14ac:dyDescent="0.2">
      <c r="B7056" s="33" t="s">
        <v>8089</v>
      </c>
      <c r="C7056" s="33" t="s">
        <v>282</v>
      </c>
      <c r="D7056" s="35">
        <f>SUMIFS(D7057:D9015,K7057:K9015,"0",B7057:B9015,"5 1 2 9 6 12 31111 6 M59 20300 000132 0000R 00001*")-SUMIFS(E7057:E9015,K7057:K9015,"0",B7057:B9015,"5 1 2 9 6 12 31111 6 M59 20300 000132 0000R 00001*")</f>
        <v>0</v>
      </c>
      <c r="E7056"/>
      <c r="F7056" s="35">
        <f>SUMIFS(F7057:F9015,K7057:K9015,"0",B7057:B9015,"5 1 2 9 6 12 31111 6 M59 20300 000132 0000R 00001*")</f>
        <v>599.97</v>
      </c>
      <c r="G7056" s="35">
        <f>SUMIFS(G7057:G9015,K7057:K9015,"0",B7057:B9015,"5 1 2 9 6 12 31111 6 M59 20300 000132 0000R 00001*")</f>
        <v>0</v>
      </c>
      <c r="H7056" s="35">
        <f t="shared" si="111"/>
        <v>599.97</v>
      </c>
      <c r="I7056" s="35"/>
      <c r="K7056" t="s">
        <v>15</v>
      </c>
    </row>
    <row r="7057" spans="2:11" ht="24.75" x14ac:dyDescent="0.2">
      <c r="B7057" s="33" t="s">
        <v>8090</v>
      </c>
      <c r="C7057" s="33" t="s">
        <v>8079</v>
      </c>
      <c r="D7057" s="35">
        <f>SUMIFS(D7058:D9015,K7058:K9015,"0",B7058:B9015,"5 1 2 9 6 12 31111 6 M59 20300 000132 0000R 00001 00296*")-SUMIFS(E7058:E9015,K7058:K9015,"0",B7058:B9015,"5 1 2 9 6 12 31111 6 M59 20300 000132 0000R 00001 00296*")</f>
        <v>0</v>
      </c>
      <c r="E7057"/>
      <c r="F7057" s="35">
        <f>SUMIFS(F7058:F9015,K7058:K9015,"0",B7058:B9015,"5 1 2 9 6 12 31111 6 M59 20300 000132 0000R 00001 00296*")</f>
        <v>599.97</v>
      </c>
      <c r="G7057" s="35">
        <f>SUMIFS(G7058:G9015,K7058:K9015,"0",B7058:B9015,"5 1 2 9 6 12 31111 6 M59 20300 000132 0000R 00001 00296*")</f>
        <v>0</v>
      </c>
      <c r="H7057" s="35">
        <f t="shared" si="111"/>
        <v>599.97</v>
      </c>
      <c r="I7057" s="35"/>
      <c r="K7057" t="s">
        <v>15</v>
      </c>
    </row>
    <row r="7058" spans="2:11" ht="33" x14ac:dyDescent="0.2">
      <c r="B7058" s="33" t="s">
        <v>8091</v>
      </c>
      <c r="C7058" s="33" t="s">
        <v>1051</v>
      </c>
      <c r="D7058" s="35">
        <f>SUMIFS(D7059:D9015,K7059:K9015,"0",B7059:B9015,"5 1 2 9 6 12 31111 6 M59 20300 000132 0000R 00001 00296 015*")-SUMIFS(E7059:E9015,K7059:K9015,"0",B7059:B9015,"5 1 2 9 6 12 31111 6 M59 20300 000132 0000R 00001 00296 015*")</f>
        <v>0</v>
      </c>
      <c r="E7058"/>
      <c r="F7058" s="35">
        <f>SUMIFS(F7059:F9015,K7059:K9015,"0",B7059:B9015,"5 1 2 9 6 12 31111 6 M59 20300 000132 0000R 00001 00296 015*")</f>
        <v>599.97</v>
      </c>
      <c r="G7058" s="35">
        <f>SUMIFS(G7059:G9015,K7059:K9015,"0",B7059:B9015,"5 1 2 9 6 12 31111 6 M59 20300 000132 0000R 00001 00296 015*")</f>
        <v>0</v>
      </c>
      <c r="H7058" s="35">
        <f t="shared" si="111"/>
        <v>599.97</v>
      </c>
      <c r="I7058" s="35"/>
      <c r="K7058" t="s">
        <v>15</v>
      </c>
    </row>
    <row r="7059" spans="2:11" ht="33" x14ac:dyDescent="0.2">
      <c r="B7059" s="33" t="s">
        <v>8092</v>
      </c>
      <c r="C7059" s="33" t="s">
        <v>5830</v>
      </c>
      <c r="D7059" s="35">
        <f>SUMIFS(D7060:D9015,K7060:K9015,"0",B7060:B9015,"5 1 2 9 6 12 31111 6 M59 20300 000132 0000R 00001 00296 015 2112000*")-SUMIFS(E7060:E9015,K7060:K9015,"0",B7060:B9015,"5 1 2 9 6 12 31111 6 M59 20300 000132 0000R 00001 00296 015 2112000*")</f>
        <v>0</v>
      </c>
      <c r="E7059"/>
      <c r="F7059" s="35">
        <f>SUMIFS(F7060:F9015,K7060:K9015,"0",B7060:B9015,"5 1 2 9 6 12 31111 6 M59 20300 000132 0000R 00001 00296 015 2112000*")</f>
        <v>599.97</v>
      </c>
      <c r="G7059" s="35">
        <f>SUMIFS(G7060:G9015,K7060:K9015,"0",B7060:B9015,"5 1 2 9 6 12 31111 6 M59 20300 000132 0000R 00001 00296 015 2112000*")</f>
        <v>0</v>
      </c>
      <c r="H7059" s="35">
        <f t="shared" si="111"/>
        <v>599.97</v>
      </c>
      <c r="I7059" s="35"/>
      <c r="K7059" t="s">
        <v>15</v>
      </c>
    </row>
    <row r="7060" spans="2:11" ht="33" x14ac:dyDescent="0.2">
      <c r="B7060" s="33" t="s">
        <v>8093</v>
      </c>
      <c r="C7060" s="33" t="s">
        <v>660</v>
      </c>
      <c r="D7060" s="35">
        <f>SUMIFS(D7061:D9015,K7061:K9015,"0",B7061:B9015,"5 1 2 9 6 12 31111 6 M59 20300 000132 0000R 00001 00296 015 2112000 2024*")-SUMIFS(E7061:E9015,K7061:K9015,"0",B7061:B9015,"5 1 2 9 6 12 31111 6 M59 20300 000132 0000R 00001 00296 015 2112000 2024*")</f>
        <v>0</v>
      </c>
      <c r="E7060"/>
      <c r="F7060" s="35">
        <f>SUMIFS(F7061:F9015,K7061:K9015,"0",B7061:B9015,"5 1 2 9 6 12 31111 6 M59 20300 000132 0000R 00001 00296 015 2112000 2024*")</f>
        <v>599.97</v>
      </c>
      <c r="G7060" s="35">
        <f>SUMIFS(G7061:G9015,K7061:K9015,"0",B7061:B9015,"5 1 2 9 6 12 31111 6 M59 20300 000132 0000R 00001 00296 015 2112000 2024*")</f>
        <v>0</v>
      </c>
      <c r="H7060" s="35">
        <f t="shared" si="111"/>
        <v>599.97</v>
      </c>
      <c r="I7060" s="35"/>
      <c r="K7060" t="s">
        <v>15</v>
      </c>
    </row>
    <row r="7061" spans="2:11" ht="41.25" x14ac:dyDescent="0.2">
      <c r="B7061" s="33" t="s">
        <v>8094</v>
      </c>
      <c r="C7061" s="33" t="s">
        <v>662</v>
      </c>
      <c r="D7061" s="35">
        <f>SUMIFS(D7062:D9015,K7062:K9015,"0",B7062:B9015,"5 1 2 9 6 12 31111 6 M59 20300 000132 0000R 00001 00296 015 2112000 2024 CP1DE415*")-SUMIFS(E7062:E9015,K7062:K9015,"0",B7062:B9015,"5 1 2 9 6 12 31111 6 M59 20300 000132 0000R 00001 00296 015 2112000 2024 CP1DE415*")</f>
        <v>0</v>
      </c>
      <c r="E7061"/>
      <c r="F7061" s="35">
        <f>SUMIFS(F7062:F9015,K7062:K9015,"0",B7062:B9015,"5 1 2 9 6 12 31111 6 M59 20300 000132 0000R 00001 00296 015 2112000 2024 CP1DE415*")</f>
        <v>599.97</v>
      </c>
      <c r="G7061" s="35">
        <f>SUMIFS(G7062:G9015,K7062:K9015,"0",B7062:B9015,"5 1 2 9 6 12 31111 6 M59 20300 000132 0000R 00001 00296 015 2112000 2024 CP1DE415*")</f>
        <v>0</v>
      </c>
      <c r="H7061" s="35">
        <f t="shared" si="111"/>
        <v>599.97</v>
      </c>
      <c r="I7061" s="35"/>
      <c r="K7061" t="s">
        <v>15</v>
      </c>
    </row>
    <row r="7062" spans="2:11" ht="41.25" x14ac:dyDescent="0.2">
      <c r="B7062" s="33" t="s">
        <v>8095</v>
      </c>
      <c r="C7062" s="33" t="s">
        <v>282</v>
      </c>
      <c r="D7062" s="35">
        <f>SUMIFS(D7063:D9015,K7063:K9015,"0",B7063:B9015,"5 1 2 9 6 12 31111 6 M59 20300 000132 0000R 00001 00296 015 2112000 2024 CP1DE415 001*")-SUMIFS(E7063:E9015,K7063:K9015,"0",B7063:B9015,"5 1 2 9 6 12 31111 6 M59 20300 000132 0000R 00001 00296 015 2112000 2024 CP1DE415 001*")</f>
        <v>0</v>
      </c>
      <c r="E7062"/>
      <c r="F7062" s="35">
        <f>SUMIFS(F7063:F9015,K7063:K9015,"0",B7063:B9015,"5 1 2 9 6 12 31111 6 M59 20300 000132 0000R 00001 00296 015 2112000 2024 CP1DE415 001*")</f>
        <v>599.97</v>
      </c>
      <c r="G7062" s="35">
        <f>SUMIFS(G7063:G9015,K7063:K9015,"0",B7063:B9015,"5 1 2 9 6 12 31111 6 M59 20300 000132 0000R 00001 00296 015 2112000 2024 CP1DE415 001*")</f>
        <v>0</v>
      </c>
      <c r="H7062" s="35">
        <f t="shared" si="111"/>
        <v>599.97</v>
      </c>
      <c r="I7062" s="35"/>
      <c r="K7062" t="s">
        <v>15</v>
      </c>
    </row>
    <row r="7063" spans="2:11" ht="41.25" x14ac:dyDescent="0.2">
      <c r="B7063" s="31" t="s">
        <v>8096</v>
      </c>
      <c r="C7063" s="31" t="s">
        <v>8079</v>
      </c>
      <c r="D7063" s="34">
        <v>0</v>
      </c>
      <c r="E7063" s="34"/>
      <c r="F7063" s="34">
        <v>599.97</v>
      </c>
      <c r="G7063" s="34">
        <v>0</v>
      </c>
      <c r="H7063" s="34">
        <f t="shared" si="111"/>
        <v>599.97</v>
      </c>
      <c r="I7063" s="34"/>
      <c r="K7063" t="s">
        <v>38</v>
      </c>
    </row>
    <row r="7064" spans="2:11" ht="16.5" x14ac:dyDescent="0.2">
      <c r="B7064" s="33" t="s">
        <v>8097</v>
      </c>
      <c r="C7064" s="33" t="s">
        <v>3103</v>
      </c>
      <c r="D7064" s="35">
        <f>SUMIFS(D7065:D9015,K7065:K9015,"0",B7065:B9015,"5 1 2 9 6 12 31111 6 M59 20400*")-SUMIFS(E7065:E9015,K7065:K9015,"0",B7065:B9015,"5 1 2 9 6 12 31111 6 M59 20400*")</f>
        <v>0</v>
      </c>
      <c r="E7064"/>
      <c r="F7064" s="35">
        <f>SUMIFS(F7065:F9015,K7065:K9015,"0",B7065:B9015,"5 1 2 9 6 12 31111 6 M59 20400*")</f>
        <v>4281518.7</v>
      </c>
      <c r="G7064" s="35">
        <f>SUMIFS(G7065:G9015,K7065:K9015,"0",B7065:B9015,"5 1 2 9 6 12 31111 6 M59 20400*")</f>
        <v>0</v>
      </c>
      <c r="H7064" s="35">
        <f t="shared" si="111"/>
        <v>4281518.7</v>
      </c>
      <c r="I7064" s="35"/>
      <c r="K7064" t="s">
        <v>15</v>
      </c>
    </row>
    <row r="7065" spans="2:11" ht="16.5" x14ac:dyDescent="0.2">
      <c r="B7065" s="33" t="s">
        <v>8098</v>
      </c>
      <c r="C7065" s="33" t="s">
        <v>648</v>
      </c>
      <c r="D7065" s="35">
        <f>SUMIFS(D7066:D9015,K7066:K9015,"0",B7066:B9015,"5 1 2 9 6 12 31111 6 M59 20400 000132*")-SUMIFS(E7066:E9015,K7066:K9015,"0",B7066:B9015,"5 1 2 9 6 12 31111 6 M59 20400 000132*")</f>
        <v>0</v>
      </c>
      <c r="E7065"/>
      <c r="F7065" s="35">
        <f>SUMIFS(F7066:F9015,K7066:K9015,"0",B7066:B9015,"5 1 2 9 6 12 31111 6 M59 20400 000132*")</f>
        <v>4281518.7</v>
      </c>
      <c r="G7065" s="35">
        <f>SUMIFS(G7066:G9015,K7066:K9015,"0",B7066:B9015,"5 1 2 9 6 12 31111 6 M59 20400 000132*")</f>
        <v>0</v>
      </c>
      <c r="H7065" s="35">
        <f t="shared" si="111"/>
        <v>4281518.7</v>
      </c>
      <c r="I7065" s="35"/>
      <c r="K7065" t="s">
        <v>15</v>
      </c>
    </row>
    <row r="7066" spans="2:11" ht="24.75" x14ac:dyDescent="0.2">
      <c r="B7066" s="33" t="s">
        <v>8099</v>
      </c>
      <c r="C7066" s="33" t="s">
        <v>650</v>
      </c>
      <c r="D7066" s="35">
        <f>SUMIFS(D7067:D9015,K7067:K9015,"0",B7067:B9015,"5 1 2 9 6 12 31111 6 M59 20400 000132 0000R*")-SUMIFS(E7067:E9015,K7067:K9015,"0",B7067:B9015,"5 1 2 9 6 12 31111 6 M59 20400 000132 0000R*")</f>
        <v>0</v>
      </c>
      <c r="E7066"/>
      <c r="F7066" s="35">
        <f>SUMIFS(F7067:F9015,K7067:K9015,"0",B7067:B9015,"5 1 2 9 6 12 31111 6 M59 20400 000132 0000R*")</f>
        <v>4281518.7</v>
      </c>
      <c r="G7066" s="35">
        <f>SUMIFS(G7067:G9015,K7067:K9015,"0",B7067:B9015,"5 1 2 9 6 12 31111 6 M59 20400 000132 0000R*")</f>
        <v>0</v>
      </c>
      <c r="H7066" s="35">
        <f t="shared" si="111"/>
        <v>4281518.7</v>
      </c>
      <c r="I7066" s="35"/>
      <c r="K7066" t="s">
        <v>15</v>
      </c>
    </row>
    <row r="7067" spans="2:11" ht="24.75" x14ac:dyDescent="0.2">
      <c r="B7067" s="33" t="s">
        <v>8100</v>
      </c>
      <c r="C7067" s="33" t="s">
        <v>282</v>
      </c>
      <c r="D7067" s="35">
        <f>SUMIFS(D7068:D9015,K7068:K9015,"0",B7068:B9015,"5 1 2 9 6 12 31111 6 M59 20400 000132 0000R 00001*")-SUMIFS(E7068:E9015,K7068:K9015,"0",B7068:B9015,"5 1 2 9 6 12 31111 6 M59 20400 000132 0000R 00001*")</f>
        <v>0</v>
      </c>
      <c r="E7067"/>
      <c r="F7067" s="35">
        <f>SUMIFS(F7068:F9015,K7068:K9015,"0",B7068:B9015,"5 1 2 9 6 12 31111 6 M59 20400 000132 0000R 00001*")</f>
        <v>4281518.7</v>
      </c>
      <c r="G7067" s="35">
        <f>SUMIFS(G7068:G9015,K7068:K9015,"0",B7068:B9015,"5 1 2 9 6 12 31111 6 M59 20400 000132 0000R 00001*")</f>
        <v>0</v>
      </c>
      <c r="H7067" s="35">
        <f t="shared" si="111"/>
        <v>4281518.7</v>
      </c>
      <c r="I7067" s="35"/>
      <c r="K7067" t="s">
        <v>15</v>
      </c>
    </row>
    <row r="7068" spans="2:11" ht="24.75" x14ac:dyDescent="0.2">
      <c r="B7068" s="33" t="s">
        <v>8101</v>
      </c>
      <c r="C7068" s="33" t="s">
        <v>8079</v>
      </c>
      <c r="D7068" s="35">
        <f>SUMIFS(D7069:D9015,K7069:K9015,"0",B7069:B9015,"5 1 2 9 6 12 31111 6 M59 20400 000132 0000R 00001 00296*")-SUMIFS(E7069:E9015,K7069:K9015,"0",B7069:B9015,"5 1 2 9 6 12 31111 6 M59 20400 000132 0000R 00001 00296*")</f>
        <v>0</v>
      </c>
      <c r="E7068"/>
      <c r="F7068" s="35">
        <f>SUMIFS(F7069:F9015,K7069:K9015,"0",B7069:B9015,"5 1 2 9 6 12 31111 6 M59 20400 000132 0000R 00001 00296*")</f>
        <v>4281518.7</v>
      </c>
      <c r="G7068" s="35">
        <f>SUMIFS(G7069:G9015,K7069:K9015,"0",B7069:B9015,"5 1 2 9 6 12 31111 6 M59 20400 000132 0000R 00001 00296*")</f>
        <v>0</v>
      </c>
      <c r="H7068" s="35">
        <f t="shared" si="111"/>
        <v>4281518.7</v>
      </c>
      <c r="I7068" s="35"/>
      <c r="K7068" t="s">
        <v>15</v>
      </c>
    </row>
    <row r="7069" spans="2:11" ht="33" x14ac:dyDescent="0.2">
      <c r="B7069" s="33" t="s">
        <v>8102</v>
      </c>
      <c r="C7069" s="33" t="s">
        <v>1051</v>
      </c>
      <c r="D7069" s="35">
        <f>SUMIFS(D7070:D9015,K7070:K9015,"0",B7070:B9015,"5 1 2 9 6 12 31111 6 M59 20400 000132 0000R 00001 00296 015*")-SUMIFS(E7070:E9015,K7070:K9015,"0",B7070:B9015,"5 1 2 9 6 12 31111 6 M59 20400 000132 0000R 00001 00296 015*")</f>
        <v>0</v>
      </c>
      <c r="E7069"/>
      <c r="F7069" s="35">
        <f>SUMIFS(F7070:F9015,K7070:K9015,"0",B7070:B9015,"5 1 2 9 6 12 31111 6 M59 20400 000132 0000R 00001 00296 015*")</f>
        <v>4281518.7</v>
      </c>
      <c r="G7069" s="35">
        <f>SUMIFS(G7070:G9015,K7070:K9015,"0",B7070:B9015,"5 1 2 9 6 12 31111 6 M59 20400 000132 0000R 00001 00296 015*")</f>
        <v>0</v>
      </c>
      <c r="H7069" s="35">
        <f t="shared" si="111"/>
        <v>4281518.7</v>
      </c>
      <c r="I7069" s="35"/>
      <c r="K7069" t="s">
        <v>15</v>
      </c>
    </row>
    <row r="7070" spans="2:11" ht="33" x14ac:dyDescent="0.2">
      <c r="B7070" s="33" t="s">
        <v>8103</v>
      </c>
      <c r="C7070" s="33" t="s">
        <v>5830</v>
      </c>
      <c r="D7070" s="35">
        <f>SUMIFS(D7071:D9015,K7071:K9015,"0",B7071:B9015,"5 1 2 9 6 12 31111 6 M59 20400 000132 0000R 00001 00296 015 2112000*")-SUMIFS(E7071:E9015,K7071:K9015,"0",B7071:B9015,"5 1 2 9 6 12 31111 6 M59 20400 000132 0000R 00001 00296 015 2112000*")</f>
        <v>0</v>
      </c>
      <c r="E7070"/>
      <c r="F7070" s="35">
        <f>SUMIFS(F7071:F9015,K7071:K9015,"0",B7071:B9015,"5 1 2 9 6 12 31111 6 M59 20400 000132 0000R 00001 00296 015 2112000*")</f>
        <v>4281518.7</v>
      </c>
      <c r="G7070" s="35">
        <f>SUMIFS(G7071:G9015,K7071:K9015,"0",B7071:B9015,"5 1 2 9 6 12 31111 6 M59 20400 000132 0000R 00001 00296 015 2112000*")</f>
        <v>0</v>
      </c>
      <c r="H7070" s="35">
        <f t="shared" si="111"/>
        <v>4281518.7</v>
      </c>
      <c r="I7070" s="35"/>
      <c r="K7070" t="s">
        <v>15</v>
      </c>
    </row>
    <row r="7071" spans="2:11" ht="33" x14ac:dyDescent="0.2">
      <c r="B7071" s="33" t="s">
        <v>8104</v>
      </c>
      <c r="C7071" s="33" t="s">
        <v>660</v>
      </c>
      <c r="D7071" s="35">
        <f>SUMIFS(D7072:D9015,K7072:K9015,"0",B7072:B9015,"5 1 2 9 6 12 31111 6 M59 20400 000132 0000R 00001 00296 015 2112000 2024*")-SUMIFS(E7072:E9015,K7072:K9015,"0",B7072:B9015,"5 1 2 9 6 12 31111 6 M59 20400 000132 0000R 00001 00296 015 2112000 2024*")</f>
        <v>0</v>
      </c>
      <c r="E7071"/>
      <c r="F7071" s="35">
        <f>SUMIFS(F7072:F9015,K7072:K9015,"0",B7072:B9015,"5 1 2 9 6 12 31111 6 M59 20400 000132 0000R 00001 00296 015 2112000 2024*")</f>
        <v>4281518.7</v>
      </c>
      <c r="G7071" s="35">
        <f>SUMIFS(G7072:G9015,K7072:K9015,"0",B7072:B9015,"5 1 2 9 6 12 31111 6 M59 20400 000132 0000R 00001 00296 015 2112000 2024*")</f>
        <v>0</v>
      </c>
      <c r="H7071" s="35">
        <f t="shared" si="111"/>
        <v>4281518.7</v>
      </c>
      <c r="I7071" s="35"/>
      <c r="K7071" t="s">
        <v>15</v>
      </c>
    </row>
    <row r="7072" spans="2:11" ht="41.25" x14ac:dyDescent="0.2">
      <c r="B7072" s="33" t="s">
        <v>8105</v>
      </c>
      <c r="C7072" s="33" t="s">
        <v>1056</v>
      </c>
      <c r="D7072" s="35">
        <f>SUMIFS(D7073:D9015,K7073:K9015,"0",B7073:B9015,"5 1 2 9 6 12 31111 6 M59 20400 000132 0000R 00001 00296 015 2112000 2024 CP1PV404*")-SUMIFS(E7073:E9015,K7073:K9015,"0",B7073:B9015,"5 1 2 9 6 12 31111 6 M59 20400 000132 0000R 00001 00296 015 2112000 2024 CP1PV404*")</f>
        <v>0</v>
      </c>
      <c r="E7072"/>
      <c r="F7072" s="35">
        <f>SUMIFS(F7073:F9015,K7073:K9015,"0",B7073:B9015,"5 1 2 9 6 12 31111 6 M59 20400 000132 0000R 00001 00296 015 2112000 2024 CP1PV404*")</f>
        <v>4281518.7</v>
      </c>
      <c r="G7072" s="35">
        <f>SUMIFS(G7073:G9015,K7073:K9015,"0",B7073:B9015,"5 1 2 9 6 12 31111 6 M59 20400 000132 0000R 00001 00296 015 2112000 2024 CP1PV404*")</f>
        <v>0</v>
      </c>
      <c r="H7072" s="35">
        <f t="shared" si="111"/>
        <v>4281518.7</v>
      </c>
      <c r="I7072" s="35"/>
      <c r="K7072" t="s">
        <v>15</v>
      </c>
    </row>
    <row r="7073" spans="2:11" ht="41.25" x14ac:dyDescent="0.2">
      <c r="B7073" s="33" t="s">
        <v>8106</v>
      </c>
      <c r="C7073" s="33" t="s">
        <v>282</v>
      </c>
      <c r="D7073" s="35">
        <f>SUMIFS(D7074:D9015,K7074:K9015,"0",B7074:B9015,"5 1 2 9 6 12 31111 6 M59 20400 000132 0000R 00001 00296 015 2112000 2024 CP1PV404 001*")-SUMIFS(E7074:E9015,K7074:K9015,"0",B7074:B9015,"5 1 2 9 6 12 31111 6 M59 20400 000132 0000R 00001 00296 015 2112000 2024 CP1PV404 001*")</f>
        <v>0</v>
      </c>
      <c r="E7073"/>
      <c r="F7073" s="35">
        <f>SUMIFS(F7074:F9015,K7074:K9015,"0",B7074:B9015,"5 1 2 9 6 12 31111 6 M59 20400 000132 0000R 00001 00296 015 2112000 2024 CP1PV404 001*")</f>
        <v>4281518.7</v>
      </c>
      <c r="G7073" s="35">
        <f>SUMIFS(G7074:G9015,K7074:K9015,"0",B7074:B9015,"5 1 2 9 6 12 31111 6 M59 20400 000132 0000R 00001 00296 015 2112000 2024 CP1PV404 001*")</f>
        <v>0</v>
      </c>
      <c r="H7073" s="35">
        <f t="shared" si="111"/>
        <v>4281518.7</v>
      </c>
      <c r="I7073" s="35"/>
      <c r="K7073" t="s">
        <v>15</v>
      </c>
    </row>
    <row r="7074" spans="2:11" ht="41.25" x14ac:dyDescent="0.2">
      <c r="B7074" s="31" t="s">
        <v>8107</v>
      </c>
      <c r="C7074" s="31" t="s">
        <v>8069</v>
      </c>
      <c r="D7074" s="34">
        <v>0</v>
      </c>
      <c r="E7074" s="34"/>
      <c r="F7074" s="34">
        <v>4281518.7</v>
      </c>
      <c r="G7074" s="34">
        <v>0</v>
      </c>
      <c r="H7074" s="34">
        <f t="shared" si="111"/>
        <v>4281518.7</v>
      </c>
      <c r="I7074" s="34"/>
      <c r="K7074" t="s">
        <v>38</v>
      </c>
    </row>
    <row r="7075" spans="2:11" ht="16.5" x14ac:dyDescent="0.2">
      <c r="B7075" s="33" t="s">
        <v>8108</v>
      </c>
      <c r="C7075" s="33" t="s">
        <v>1079</v>
      </c>
      <c r="D7075" s="35">
        <f>SUMIFS(D7076:D9015,K7076:K9015,"0",B7076:B9015,"5 1 2 9 6 12 31111 6 M59 20500*")-SUMIFS(E7076:E9015,K7076:K9015,"0",B7076:B9015,"5 1 2 9 6 12 31111 6 M59 20500*")</f>
        <v>0</v>
      </c>
      <c r="E7075"/>
      <c r="F7075" s="35">
        <f>SUMIFS(F7076:F9015,K7076:K9015,"0",B7076:B9015,"5 1 2 9 6 12 31111 6 M59 20500*")</f>
        <v>3209401.26</v>
      </c>
      <c r="G7075" s="35">
        <f>SUMIFS(G7076:G9015,K7076:K9015,"0",B7076:B9015,"5 1 2 9 6 12 31111 6 M59 20500*")</f>
        <v>0</v>
      </c>
      <c r="H7075" s="35">
        <f t="shared" si="111"/>
        <v>3209401.26</v>
      </c>
      <c r="I7075" s="35"/>
      <c r="K7075" t="s">
        <v>15</v>
      </c>
    </row>
    <row r="7076" spans="2:11" ht="16.5" x14ac:dyDescent="0.2">
      <c r="B7076" s="33" t="s">
        <v>8109</v>
      </c>
      <c r="C7076" s="33" t="s">
        <v>648</v>
      </c>
      <c r="D7076" s="35">
        <f>SUMIFS(D7077:D9015,K7077:K9015,"0",B7077:B9015,"5 1 2 9 6 12 31111 6 M59 20500 000132*")-SUMIFS(E7077:E9015,K7077:K9015,"0",B7077:B9015,"5 1 2 9 6 12 31111 6 M59 20500 000132*")</f>
        <v>0</v>
      </c>
      <c r="E7076"/>
      <c r="F7076" s="35">
        <f>SUMIFS(F7077:F9015,K7077:K9015,"0",B7077:B9015,"5 1 2 9 6 12 31111 6 M59 20500 000132*")</f>
        <v>581500</v>
      </c>
      <c r="G7076" s="35">
        <f>SUMIFS(G7077:G9015,K7077:K9015,"0",B7077:B9015,"5 1 2 9 6 12 31111 6 M59 20500 000132*")</f>
        <v>0</v>
      </c>
      <c r="H7076" s="35">
        <f t="shared" si="111"/>
        <v>581500</v>
      </c>
      <c r="I7076" s="35"/>
      <c r="K7076" t="s">
        <v>15</v>
      </c>
    </row>
    <row r="7077" spans="2:11" ht="24.75" x14ac:dyDescent="0.2">
      <c r="B7077" s="33" t="s">
        <v>8110</v>
      </c>
      <c r="C7077" s="33" t="s">
        <v>650</v>
      </c>
      <c r="D7077" s="35">
        <f>SUMIFS(D7078:D9015,K7078:K9015,"0",B7078:B9015,"5 1 2 9 6 12 31111 6 M59 20500 000132 0000R*")-SUMIFS(E7078:E9015,K7078:K9015,"0",B7078:B9015,"5 1 2 9 6 12 31111 6 M59 20500 000132 0000R*")</f>
        <v>0</v>
      </c>
      <c r="E7077"/>
      <c r="F7077" s="35">
        <f>SUMIFS(F7078:F9015,K7078:K9015,"0",B7078:B9015,"5 1 2 9 6 12 31111 6 M59 20500 000132 0000R*")</f>
        <v>581500</v>
      </c>
      <c r="G7077" s="35">
        <f>SUMIFS(G7078:G9015,K7078:K9015,"0",B7078:B9015,"5 1 2 9 6 12 31111 6 M59 20500 000132 0000R*")</f>
        <v>0</v>
      </c>
      <c r="H7077" s="35">
        <f t="shared" si="111"/>
        <v>581500</v>
      </c>
      <c r="I7077" s="35"/>
      <c r="K7077" t="s">
        <v>15</v>
      </c>
    </row>
    <row r="7078" spans="2:11" ht="24.75" x14ac:dyDescent="0.2">
      <c r="B7078" s="33" t="s">
        <v>8111</v>
      </c>
      <c r="C7078" s="33" t="s">
        <v>282</v>
      </c>
      <c r="D7078" s="35">
        <f>SUMIFS(D7079:D9015,K7079:K9015,"0",B7079:B9015,"5 1 2 9 6 12 31111 6 M59 20500 000132 0000R 00001*")-SUMIFS(E7079:E9015,K7079:K9015,"0",B7079:B9015,"5 1 2 9 6 12 31111 6 M59 20500 000132 0000R 00001*")</f>
        <v>0</v>
      </c>
      <c r="E7078"/>
      <c r="F7078" s="35">
        <f>SUMIFS(F7079:F9015,K7079:K9015,"0",B7079:B9015,"5 1 2 9 6 12 31111 6 M59 20500 000132 0000R 00001*")</f>
        <v>581500</v>
      </c>
      <c r="G7078" s="35">
        <f>SUMIFS(G7079:G9015,K7079:K9015,"0",B7079:B9015,"5 1 2 9 6 12 31111 6 M59 20500 000132 0000R 00001*")</f>
        <v>0</v>
      </c>
      <c r="H7078" s="35">
        <f t="shared" si="111"/>
        <v>581500</v>
      </c>
      <c r="I7078" s="35"/>
      <c r="K7078" t="s">
        <v>15</v>
      </c>
    </row>
    <row r="7079" spans="2:11" ht="24.75" x14ac:dyDescent="0.2">
      <c r="B7079" s="33" t="s">
        <v>8112</v>
      </c>
      <c r="C7079" s="33" t="s">
        <v>8079</v>
      </c>
      <c r="D7079" s="35">
        <f>SUMIFS(D7080:D9015,K7080:K9015,"0",B7080:B9015,"5 1 2 9 6 12 31111 6 M59 20500 000132 0000R 00001 00296*")-SUMIFS(E7080:E9015,K7080:K9015,"0",B7080:B9015,"5 1 2 9 6 12 31111 6 M59 20500 000132 0000R 00001 00296*")</f>
        <v>0</v>
      </c>
      <c r="E7079"/>
      <c r="F7079" s="35">
        <f>SUMIFS(F7080:F9015,K7080:K9015,"0",B7080:B9015,"5 1 2 9 6 12 31111 6 M59 20500 000132 0000R 00001 00296*")</f>
        <v>581500</v>
      </c>
      <c r="G7079" s="35">
        <f>SUMIFS(G7080:G9015,K7080:K9015,"0",B7080:B9015,"5 1 2 9 6 12 31111 6 M59 20500 000132 0000R 00001 00296*")</f>
        <v>0</v>
      </c>
      <c r="H7079" s="35">
        <f t="shared" si="111"/>
        <v>581500</v>
      </c>
      <c r="I7079" s="35"/>
      <c r="K7079" t="s">
        <v>15</v>
      </c>
    </row>
    <row r="7080" spans="2:11" ht="33" x14ac:dyDescent="0.2">
      <c r="B7080" s="33" t="s">
        <v>8113</v>
      </c>
      <c r="C7080" s="33" t="s">
        <v>1051</v>
      </c>
      <c r="D7080" s="35">
        <f>SUMIFS(D7081:D9015,K7081:K9015,"0",B7081:B9015,"5 1 2 9 6 12 31111 6 M59 20500 000132 0000R 00001 00296 015*")-SUMIFS(E7081:E9015,K7081:K9015,"0",B7081:B9015,"5 1 2 9 6 12 31111 6 M59 20500 000132 0000R 00001 00296 015*")</f>
        <v>0</v>
      </c>
      <c r="E7080"/>
      <c r="F7080" s="35">
        <f>SUMIFS(F7081:F9015,K7081:K9015,"0",B7081:B9015,"5 1 2 9 6 12 31111 6 M59 20500 000132 0000R 00001 00296 015*")</f>
        <v>581500</v>
      </c>
      <c r="G7080" s="35">
        <f>SUMIFS(G7081:G9015,K7081:K9015,"0",B7081:B9015,"5 1 2 9 6 12 31111 6 M59 20500 000132 0000R 00001 00296 015*")</f>
        <v>0</v>
      </c>
      <c r="H7080" s="35">
        <f t="shared" si="111"/>
        <v>581500</v>
      </c>
      <c r="I7080" s="35"/>
      <c r="K7080" t="s">
        <v>15</v>
      </c>
    </row>
    <row r="7081" spans="2:11" ht="33" x14ac:dyDescent="0.2">
      <c r="B7081" s="33" t="s">
        <v>8114</v>
      </c>
      <c r="C7081" s="33" t="s">
        <v>5830</v>
      </c>
      <c r="D7081" s="35">
        <f>SUMIFS(D7082:D9015,K7082:K9015,"0",B7082:B9015,"5 1 2 9 6 12 31111 6 M59 20500 000132 0000R 00001 00296 015 2112000*")-SUMIFS(E7082:E9015,K7082:K9015,"0",B7082:B9015,"5 1 2 9 6 12 31111 6 M59 20500 000132 0000R 00001 00296 015 2112000*")</f>
        <v>0</v>
      </c>
      <c r="E7081"/>
      <c r="F7081" s="35">
        <f>SUMIFS(F7082:F9015,K7082:K9015,"0",B7082:B9015,"5 1 2 9 6 12 31111 6 M59 20500 000132 0000R 00001 00296 015 2112000*")</f>
        <v>581500</v>
      </c>
      <c r="G7081" s="35">
        <f>SUMIFS(G7082:G9015,K7082:K9015,"0",B7082:B9015,"5 1 2 9 6 12 31111 6 M59 20500 000132 0000R 00001 00296 015 2112000*")</f>
        <v>0</v>
      </c>
      <c r="H7081" s="35">
        <f t="shared" si="111"/>
        <v>581500</v>
      </c>
      <c r="I7081" s="35"/>
      <c r="K7081" t="s">
        <v>15</v>
      </c>
    </row>
    <row r="7082" spans="2:11" ht="33" x14ac:dyDescent="0.2">
      <c r="B7082" s="33" t="s">
        <v>8115</v>
      </c>
      <c r="C7082" s="33" t="s">
        <v>660</v>
      </c>
      <c r="D7082" s="35">
        <f>SUMIFS(D7083:D9015,K7083:K9015,"0",B7083:B9015,"5 1 2 9 6 12 31111 6 M59 20500 000132 0000R 00001 00296 015 2112000 2024*")-SUMIFS(E7083:E9015,K7083:K9015,"0",B7083:B9015,"5 1 2 9 6 12 31111 6 M59 20500 000132 0000R 00001 00296 015 2112000 2024*")</f>
        <v>0</v>
      </c>
      <c r="E7082"/>
      <c r="F7082" s="35">
        <f>SUMIFS(F7083:F9015,K7083:K9015,"0",B7083:B9015,"5 1 2 9 6 12 31111 6 M59 20500 000132 0000R 00001 00296 015 2112000 2024*")</f>
        <v>581500</v>
      </c>
      <c r="G7082" s="35">
        <f>SUMIFS(G7083:G9015,K7083:K9015,"0",B7083:B9015,"5 1 2 9 6 12 31111 6 M59 20500 000132 0000R 00001 00296 015 2112000 2024*")</f>
        <v>0</v>
      </c>
      <c r="H7082" s="35">
        <f t="shared" si="111"/>
        <v>581500</v>
      </c>
      <c r="I7082" s="35"/>
      <c r="K7082" t="s">
        <v>15</v>
      </c>
    </row>
    <row r="7083" spans="2:11" ht="41.25" x14ac:dyDescent="0.2">
      <c r="B7083" s="33" t="s">
        <v>8116</v>
      </c>
      <c r="C7083" s="33" t="s">
        <v>1056</v>
      </c>
      <c r="D7083" s="35">
        <f>SUMIFS(D7084:D9015,K7084:K9015,"0",B7084:B9015,"5 1 2 9 6 12 31111 6 M59 20500 000132 0000R 00001 00296 015 2112000 2024 CP1CP420*")-SUMIFS(E7084:E9015,K7084:K9015,"0",B7084:B9015,"5 1 2 9 6 12 31111 6 M59 20500 000132 0000R 00001 00296 015 2112000 2024 CP1CP420*")</f>
        <v>0</v>
      </c>
      <c r="E7083"/>
      <c r="F7083" s="35">
        <f>SUMIFS(F7084:F9015,K7084:K9015,"0",B7084:B9015,"5 1 2 9 6 12 31111 6 M59 20500 000132 0000R 00001 00296 015 2112000 2024 CP1CP420*")</f>
        <v>581500</v>
      </c>
      <c r="G7083" s="35">
        <f>SUMIFS(G7084:G9015,K7084:K9015,"0",B7084:B9015,"5 1 2 9 6 12 31111 6 M59 20500 000132 0000R 00001 00296 015 2112000 2024 CP1CP420*")</f>
        <v>0</v>
      </c>
      <c r="H7083" s="35">
        <f t="shared" si="111"/>
        <v>581500</v>
      </c>
      <c r="I7083" s="35"/>
      <c r="K7083" t="s">
        <v>15</v>
      </c>
    </row>
    <row r="7084" spans="2:11" ht="41.25" x14ac:dyDescent="0.2">
      <c r="B7084" s="33" t="s">
        <v>8117</v>
      </c>
      <c r="C7084" s="33" t="s">
        <v>282</v>
      </c>
      <c r="D7084" s="35">
        <f>SUMIFS(D7085:D9015,K7085:K9015,"0",B7085:B9015,"5 1 2 9 6 12 31111 6 M59 20500 000132 0000R 00001 00296 015 2112000 2024 CP1CP420 001*")-SUMIFS(E7085:E9015,K7085:K9015,"0",B7085:B9015,"5 1 2 9 6 12 31111 6 M59 20500 000132 0000R 00001 00296 015 2112000 2024 CP1CP420 001*")</f>
        <v>0</v>
      </c>
      <c r="E7084"/>
      <c r="F7084" s="35">
        <f>SUMIFS(F7085:F9015,K7085:K9015,"0",B7085:B9015,"5 1 2 9 6 12 31111 6 M59 20500 000132 0000R 00001 00296 015 2112000 2024 CP1CP420 001*")</f>
        <v>581500</v>
      </c>
      <c r="G7084" s="35">
        <f>SUMIFS(G7085:G9015,K7085:K9015,"0",B7085:B9015,"5 1 2 9 6 12 31111 6 M59 20500 000132 0000R 00001 00296 015 2112000 2024 CP1CP420 001*")</f>
        <v>0</v>
      </c>
      <c r="H7084" s="35">
        <f t="shared" si="111"/>
        <v>581500</v>
      </c>
      <c r="I7084" s="35"/>
      <c r="K7084" t="s">
        <v>15</v>
      </c>
    </row>
    <row r="7085" spans="2:11" ht="33" x14ac:dyDescent="0.2">
      <c r="B7085" s="31" t="s">
        <v>8118</v>
      </c>
      <c r="C7085" s="31" t="s">
        <v>8069</v>
      </c>
      <c r="D7085" s="34">
        <v>0</v>
      </c>
      <c r="E7085" s="34"/>
      <c r="F7085" s="34">
        <v>581500</v>
      </c>
      <c r="G7085" s="34">
        <v>0</v>
      </c>
      <c r="H7085" s="34">
        <f t="shared" si="111"/>
        <v>581500</v>
      </c>
      <c r="I7085" s="34"/>
      <c r="K7085" t="s">
        <v>38</v>
      </c>
    </row>
    <row r="7086" spans="2:11" ht="24.75" x14ac:dyDescent="0.2">
      <c r="B7086" s="33" t="s">
        <v>8119</v>
      </c>
      <c r="C7086" s="33" t="s">
        <v>3152</v>
      </c>
      <c r="D7086" s="35">
        <f>SUMIFS(D7087:D9015,K7087:K9015,"0",B7087:B9015,"5 1 2 9 6 12 31111 6 M59 20500 000181*")-SUMIFS(E7087:E9015,K7087:K9015,"0",B7087:B9015,"5 1 2 9 6 12 31111 6 M59 20500 000181*")</f>
        <v>0</v>
      </c>
      <c r="E7086"/>
      <c r="F7086" s="35">
        <f>SUMIFS(F7087:F9015,K7087:K9015,"0",B7087:B9015,"5 1 2 9 6 12 31111 6 M59 20500 000181*")</f>
        <v>2627901.2599999998</v>
      </c>
      <c r="G7086" s="35">
        <f>SUMIFS(G7087:G9015,K7087:K9015,"0",B7087:B9015,"5 1 2 9 6 12 31111 6 M59 20500 000181*")</f>
        <v>0</v>
      </c>
      <c r="H7086" s="35">
        <f t="shared" si="111"/>
        <v>2627901.2599999998</v>
      </c>
      <c r="I7086" s="35"/>
      <c r="K7086" t="s">
        <v>15</v>
      </c>
    </row>
    <row r="7087" spans="2:11" ht="24.75" x14ac:dyDescent="0.2">
      <c r="B7087" s="33" t="s">
        <v>8120</v>
      </c>
      <c r="C7087" s="33" t="s">
        <v>1065</v>
      </c>
      <c r="D7087" s="35">
        <f>SUMIFS(D7088:D9015,K7088:K9015,"0",B7088:B9015,"5 1 2 9 6 12 31111 6 M59 20500 000181 0000E*")-SUMIFS(E7088:E9015,K7088:K9015,"0",B7088:B9015,"5 1 2 9 6 12 31111 6 M59 20500 000181 0000E*")</f>
        <v>0</v>
      </c>
      <c r="E7087"/>
      <c r="F7087" s="35">
        <f>SUMIFS(F7088:F9015,K7088:K9015,"0",B7088:B9015,"5 1 2 9 6 12 31111 6 M59 20500 000181 0000E*")</f>
        <v>2627901.2599999998</v>
      </c>
      <c r="G7087" s="35">
        <f>SUMIFS(G7088:G9015,K7088:K9015,"0",B7088:B9015,"5 1 2 9 6 12 31111 6 M59 20500 000181 0000E*")</f>
        <v>0</v>
      </c>
      <c r="H7087" s="35">
        <f t="shared" si="111"/>
        <v>2627901.2599999998</v>
      </c>
      <c r="I7087" s="35"/>
      <c r="K7087" t="s">
        <v>15</v>
      </c>
    </row>
    <row r="7088" spans="2:11" ht="24.75" x14ac:dyDescent="0.2">
      <c r="B7088" s="33" t="s">
        <v>8121</v>
      </c>
      <c r="C7088" s="33" t="s">
        <v>282</v>
      </c>
      <c r="D7088" s="35">
        <f>SUMIFS(D7089:D9015,K7089:K9015,"0",B7089:B9015,"5 1 2 9 6 12 31111 6 M59 20500 000181 0000E 00001*")-SUMIFS(E7089:E9015,K7089:K9015,"0",B7089:B9015,"5 1 2 9 6 12 31111 6 M59 20500 000181 0000E 00001*")</f>
        <v>0</v>
      </c>
      <c r="E7088"/>
      <c r="F7088" s="35">
        <f>SUMIFS(F7089:F9015,K7089:K9015,"0",B7089:B9015,"5 1 2 9 6 12 31111 6 M59 20500 000181 0000E 00001*")</f>
        <v>2627901.2599999998</v>
      </c>
      <c r="G7088" s="35">
        <f>SUMIFS(G7089:G9015,K7089:K9015,"0",B7089:B9015,"5 1 2 9 6 12 31111 6 M59 20500 000181 0000E 00001*")</f>
        <v>0</v>
      </c>
      <c r="H7088" s="35">
        <f t="shared" si="111"/>
        <v>2627901.2599999998</v>
      </c>
      <c r="I7088" s="35"/>
      <c r="K7088" t="s">
        <v>15</v>
      </c>
    </row>
    <row r="7089" spans="2:11" ht="24.75" x14ac:dyDescent="0.2">
      <c r="B7089" s="33" t="s">
        <v>8122</v>
      </c>
      <c r="C7089" s="33" t="s">
        <v>8079</v>
      </c>
      <c r="D7089" s="35">
        <f>SUMIFS(D7090:D9015,K7090:K9015,"0",B7090:B9015,"5 1 2 9 6 12 31111 6 M59 20500 000181 0000E 00001 00296*")-SUMIFS(E7090:E9015,K7090:K9015,"0",B7090:B9015,"5 1 2 9 6 12 31111 6 M59 20500 000181 0000E 00001 00296*")</f>
        <v>0</v>
      </c>
      <c r="E7089"/>
      <c r="F7089" s="35">
        <f>SUMIFS(F7090:F9015,K7090:K9015,"0",B7090:B9015,"5 1 2 9 6 12 31111 6 M59 20500 000181 0000E 00001 00296*")</f>
        <v>2627901.2599999998</v>
      </c>
      <c r="G7089" s="35">
        <f>SUMIFS(G7090:G9015,K7090:K9015,"0",B7090:B9015,"5 1 2 9 6 12 31111 6 M59 20500 000181 0000E 00001 00296*")</f>
        <v>0</v>
      </c>
      <c r="H7089" s="35">
        <f t="shared" si="111"/>
        <v>2627901.2599999998</v>
      </c>
      <c r="I7089" s="35"/>
      <c r="K7089" t="s">
        <v>15</v>
      </c>
    </row>
    <row r="7090" spans="2:11" ht="33" x14ac:dyDescent="0.2">
      <c r="B7090" s="33" t="s">
        <v>8123</v>
      </c>
      <c r="C7090" s="33" t="s">
        <v>699</v>
      </c>
      <c r="D7090" s="35">
        <f>SUMIFS(D7091:D9015,K7091:K9015,"0",B7091:B9015,"5 1 2 9 6 12 31111 6 M59 20500 000181 0000E 00001 00296 011*")-SUMIFS(E7091:E9015,K7091:K9015,"0",B7091:B9015,"5 1 2 9 6 12 31111 6 M59 20500 000181 0000E 00001 00296 011*")</f>
        <v>0</v>
      </c>
      <c r="E7090"/>
      <c r="F7090" s="35">
        <f>SUMIFS(F7091:F9015,K7091:K9015,"0",B7091:B9015,"5 1 2 9 6 12 31111 6 M59 20500 000181 0000E 00001 00296 011*")</f>
        <v>2627901.2599999998</v>
      </c>
      <c r="G7090" s="35">
        <f>SUMIFS(G7091:G9015,K7091:K9015,"0",B7091:B9015,"5 1 2 9 6 12 31111 6 M59 20500 000181 0000E 00001 00296 011*")</f>
        <v>0</v>
      </c>
      <c r="H7090" s="35">
        <f t="shared" si="111"/>
        <v>2627901.2599999998</v>
      </c>
      <c r="I7090" s="35"/>
      <c r="K7090" t="s">
        <v>15</v>
      </c>
    </row>
    <row r="7091" spans="2:11" ht="33" x14ac:dyDescent="0.2">
      <c r="B7091" s="33" t="s">
        <v>8124</v>
      </c>
      <c r="C7091" s="33" t="s">
        <v>5830</v>
      </c>
      <c r="D7091" s="35">
        <f>SUMIFS(D7092:D9015,K7092:K9015,"0",B7092:B9015,"5 1 2 9 6 12 31111 6 M59 20500 000181 0000E 00001 00296 011 2112000*")-SUMIFS(E7092:E9015,K7092:K9015,"0",B7092:B9015,"5 1 2 9 6 12 31111 6 M59 20500 000181 0000E 00001 00296 011 2112000*")</f>
        <v>0</v>
      </c>
      <c r="E7091"/>
      <c r="F7091" s="35">
        <f>SUMIFS(F7092:F9015,K7092:K9015,"0",B7092:B9015,"5 1 2 9 6 12 31111 6 M59 20500 000181 0000E 00001 00296 011 2112000*")</f>
        <v>2627901.2599999998</v>
      </c>
      <c r="G7091" s="35">
        <f>SUMIFS(G7092:G9015,K7092:K9015,"0",B7092:B9015,"5 1 2 9 6 12 31111 6 M59 20500 000181 0000E 00001 00296 011 2112000*")</f>
        <v>0</v>
      </c>
      <c r="H7091" s="35">
        <f t="shared" si="111"/>
        <v>2627901.2599999998</v>
      </c>
      <c r="I7091" s="35"/>
      <c r="K7091" t="s">
        <v>15</v>
      </c>
    </row>
    <row r="7092" spans="2:11" ht="33" x14ac:dyDescent="0.2">
      <c r="B7092" s="33" t="s">
        <v>8125</v>
      </c>
      <c r="C7092" s="33" t="s">
        <v>660</v>
      </c>
      <c r="D7092" s="35">
        <f>SUMIFS(D7093:D9015,K7093:K9015,"0",B7093:B9015,"5 1 2 9 6 12 31111 6 M59 20500 000181 0000E 00001 00296 011 2112000 2024*")-SUMIFS(E7093:E9015,K7093:K9015,"0",B7093:B9015,"5 1 2 9 6 12 31111 6 M59 20500 000181 0000E 00001 00296 011 2112000 2024*")</f>
        <v>0</v>
      </c>
      <c r="E7092"/>
      <c r="F7092" s="35">
        <f>SUMIFS(F7093:F9015,K7093:K9015,"0",B7093:B9015,"5 1 2 9 6 12 31111 6 M59 20500 000181 0000E 00001 00296 011 2112000 2024*")</f>
        <v>2627901.2599999998</v>
      </c>
      <c r="G7092" s="35">
        <f>SUMIFS(G7093:G9015,K7093:K9015,"0",B7093:B9015,"5 1 2 9 6 12 31111 6 M59 20500 000181 0000E 00001 00296 011 2112000 2024*")</f>
        <v>0</v>
      </c>
      <c r="H7092" s="35">
        <f t="shared" si="111"/>
        <v>2627901.2599999998</v>
      </c>
      <c r="I7092" s="35"/>
      <c r="K7092" t="s">
        <v>15</v>
      </c>
    </row>
    <row r="7093" spans="2:11" ht="49.5" x14ac:dyDescent="0.2">
      <c r="B7093" s="33" t="s">
        <v>8126</v>
      </c>
      <c r="C7093" s="33" t="s">
        <v>5982</v>
      </c>
      <c r="D7093" s="35">
        <f>SUMIFS(D7094:D9015,K7094:K9015,"0",B7094:B9015,"5 1 2 9 6 12 31111 6 M59 20500 000181 0000E 00001 00296 011 2112000 2024 CP3CP471*")-SUMIFS(E7094:E9015,K7094:K9015,"0",B7094:B9015,"5 1 2 9 6 12 31111 6 M59 20500 000181 0000E 00001 00296 011 2112000 2024 CP3CP471*")</f>
        <v>0</v>
      </c>
      <c r="E7093"/>
      <c r="F7093" s="35">
        <f>SUMIFS(F7094:F9015,K7094:K9015,"0",B7094:B9015,"5 1 2 9 6 12 31111 6 M59 20500 000181 0000E 00001 00296 011 2112000 2024 CP3CP471*")</f>
        <v>2627901.2599999998</v>
      </c>
      <c r="G7093" s="35">
        <f>SUMIFS(G7094:G9015,K7094:K9015,"0",B7094:B9015,"5 1 2 9 6 12 31111 6 M59 20500 000181 0000E 00001 00296 011 2112000 2024 CP3CP471*")</f>
        <v>0</v>
      </c>
      <c r="H7093" s="35">
        <f t="shared" si="111"/>
        <v>2627901.2599999998</v>
      </c>
      <c r="I7093" s="35"/>
      <c r="K7093" t="s">
        <v>15</v>
      </c>
    </row>
    <row r="7094" spans="2:11" ht="41.25" x14ac:dyDescent="0.2">
      <c r="B7094" s="33" t="s">
        <v>8127</v>
      </c>
      <c r="C7094" s="33" t="s">
        <v>46</v>
      </c>
      <c r="D7094" s="35">
        <f>SUMIFS(D7095:D9015,K7095:K9015,"0",B7095:B9015,"5 1 2 9 6 12 31111 6 M59 20500 000181 0000E 00001 00296 011 2112000 2024 CP3CP471 004*")-SUMIFS(E7095:E9015,K7095:K9015,"0",B7095:B9015,"5 1 2 9 6 12 31111 6 M59 20500 000181 0000E 00001 00296 011 2112000 2024 CP3CP471 004*")</f>
        <v>0</v>
      </c>
      <c r="E7094"/>
      <c r="F7094" s="35">
        <f>SUMIFS(F7095:F9015,K7095:K9015,"0",B7095:B9015,"5 1 2 9 6 12 31111 6 M59 20500 000181 0000E 00001 00296 011 2112000 2024 CP3CP471 004*")</f>
        <v>2627901.2599999998</v>
      </c>
      <c r="G7094" s="35">
        <f>SUMIFS(G7095:G9015,K7095:K9015,"0",B7095:B9015,"5 1 2 9 6 12 31111 6 M59 20500 000181 0000E 00001 00296 011 2112000 2024 CP3CP471 004*")</f>
        <v>0</v>
      </c>
      <c r="H7094" s="35">
        <f t="shared" si="111"/>
        <v>2627901.2599999998</v>
      </c>
      <c r="I7094" s="35"/>
      <c r="K7094" t="s">
        <v>15</v>
      </c>
    </row>
    <row r="7095" spans="2:11" ht="33" x14ac:dyDescent="0.2">
      <c r="B7095" s="31" t="s">
        <v>8128</v>
      </c>
      <c r="C7095" s="31" t="s">
        <v>8069</v>
      </c>
      <c r="D7095" s="34">
        <v>0</v>
      </c>
      <c r="E7095" s="34"/>
      <c r="F7095" s="34">
        <v>2627901.2599999998</v>
      </c>
      <c r="G7095" s="34">
        <v>0</v>
      </c>
      <c r="H7095" s="34">
        <f t="shared" si="111"/>
        <v>2627901.2599999998</v>
      </c>
      <c r="I7095" s="34"/>
      <c r="K7095" t="s">
        <v>38</v>
      </c>
    </row>
    <row r="7096" spans="2:11" ht="16.5" x14ac:dyDescent="0.2">
      <c r="B7096" s="33" t="s">
        <v>8129</v>
      </c>
      <c r="C7096" s="33" t="s">
        <v>1092</v>
      </c>
      <c r="D7096" s="35">
        <f>SUMIFS(D7097:D9015,K7097:K9015,"0",B7097:B9015,"5 1 2 9 6 12 31111 6 M59 40000*")-SUMIFS(E7097:E9015,K7097:K9015,"0",B7097:B9015,"5 1 2 9 6 12 31111 6 M59 40000*")</f>
        <v>0</v>
      </c>
      <c r="E7096"/>
      <c r="F7096" s="35">
        <f>SUMIFS(F7097:F9015,K7097:K9015,"0",B7097:B9015,"5 1 2 9 6 12 31111 6 M59 40000*")</f>
        <v>543976.26</v>
      </c>
      <c r="G7096" s="35">
        <f>SUMIFS(G7097:G9015,K7097:K9015,"0",B7097:B9015,"5 1 2 9 6 12 31111 6 M59 40000*")</f>
        <v>0</v>
      </c>
      <c r="H7096" s="35">
        <f t="shared" si="111"/>
        <v>543976.26</v>
      </c>
      <c r="I7096" s="35"/>
      <c r="K7096" t="s">
        <v>15</v>
      </c>
    </row>
    <row r="7097" spans="2:11" ht="16.5" x14ac:dyDescent="0.2">
      <c r="B7097" s="33" t="s">
        <v>8130</v>
      </c>
      <c r="C7097" s="33" t="s">
        <v>1094</v>
      </c>
      <c r="D7097" s="35">
        <f>SUMIFS(D7098:D9015,K7098:K9015,"0",B7098:B9015,"5 1 2 9 6 12 31111 6 M59 40000 000161*")-SUMIFS(E7098:E9015,K7098:K9015,"0",B7098:B9015,"5 1 2 9 6 12 31111 6 M59 40000 000161*")</f>
        <v>0</v>
      </c>
      <c r="E7097"/>
      <c r="F7097" s="35">
        <f>SUMIFS(F7098:F9015,K7098:K9015,"0",B7098:B9015,"5 1 2 9 6 12 31111 6 M59 40000 000161*")</f>
        <v>543976.26</v>
      </c>
      <c r="G7097" s="35">
        <f>SUMIFS(G7098:G9015,K7098:K9015,"0",B7098:B9015,"5 1 2 9 6 12 31111 6 M59 40000 000161*")</f>
        <v>0</v>
      </c>
      <c r="H7097" s="35">
        <f t="shared" si="111"/>
        <v>543976.26</v>
      </c>
      <c r="I7097" s="35"/>
      <c r="K7097" t="s">
        <v>15</v>
      </c>
    </row>
    <row r="7098" spans="2:11" ht="24.75" x14ac:dyDescent="0.2">
      <c r="B7098" s="33" t="s">
        <v>8131</v>
      </c>
      <c r="C7098" s="33" t="s">
        <v>1065</v>
      </c>
      <c r="D7098" s="35">
        <f>SUMIFS(D7099:D9015,K7099:K9015,"0",B7099:B9015,"5 1 2 9 6 12 31111 6 M59 40000 000161 0000E*")-SUMIFS(E7099:E9015,K7099:K9015,"0",B7099:B9015,"5 1 2 9 6 12 31111 6 M59 40000 000161 0000E*")</f>
        <v>0</v>
      </c>
      <c r="E7098"/>
      <c r="F7098" s="35">
        <f>SUMIFS(F7099:F9015,K7099:K9015,"0",B7099:B9015,"5 1 2 9 6 12 31111 6 M59 40000 000161 0000E*")</f>
        <v>543976.26</v>
      </c>
      <c r="G7098" s="35">
        <f>SUMIFS(G7099:G9015,K7099:K9015,"0",B7099:B9015,"5 1 2 9 6 12 31111 6 M59 40000 000161 0000E*")</f>
        <v>0</v>
      </c>
      <c r="H7098" s="35">
        <f t="shared" si="111"/>
        <v>543976.26</v>
      </c>
      <c r="I7098" s="35"/>
      <c r="K7098" t="s">
        <v>15</v>
      </c>
    </row>
    <row r="7099" spans="2:11" ht="24.75" x14ac:dyDescent="0.2">
      <c r="B7099" s="33" t="s">
        <v>8132</v>
      </c>
      <c r="C7099" s="33" t="s">
        <v>282</v>
      </c>
      <c r="D7099" s="35">
        <f>SUMIFS(D7100:D9015,K7100:K9015,"0",B7100:B9015,"5 1 2 9 6 12 31111 6 M59 40000 000161 0000E 00001*")-SUMIFS(E7100:E9015,K7100:K9015,"0",B7100:B9015,"5 1 2 9 6 12 31111 6 M59 40000 000161 0000E 00001*")</f>
        <v>0</v>
      </c>
      <c r="E7099"/>
      <c r="F7099" s="35">
        <f>SUMIFS(F7100:F9015,K7100:K9015,"0",B7100:B9015,"5 1 2 9 6 12 31111 6 M59 40000 000161 0000E 00001*")</f>
        <v>543976.26</v>
      </c>
      <c r="G7099" s="35">
        <f>SUMIFS(G7100:G9015,K7100:K9015,"0",B7100:B9015,"5 1 2 9 6 12 31111 6 M59 40000 000161 0000E 00001*")</f>
        <v>0</v>
      </c>
      <c r="H7099" s="35">
        <f t="shared" si="111"/>
        <v>543976.26</v>
      </c>
      <c r="I7099" s="35"/>
      <c r="K7099" t="s">
        <v>15</v>
      </c>
    </row>
    <row r="7100" spans="2:11" ht="24.75" x14ac:dyDescent="0.2">
      <c r="B7100" s="33" t="s">
        <v>8133</v>
      </c>
      <c r="C7100" s="33" t="s">
        <v>8079</v>
      </c>
      <c r="D7100" s="35">
        <f>SUMIFS(D7101:D9015,K7101:K9015,"0",B7101:B9015,"5 1 2 9 6 12 31111 6 M59 40000 000161 0000E 00001 00296*")-SUMIFS(E7101:E9015,K7101:K9015,"0",B7101:B9015,"5 1 2 9 6 12 31111 6 M59 40000 000161 0000E 00001 00296*")</f>
        <v>0</v>
      </c>
      <c r="E7100"/>
      <c r="F7100" s="35">
        <f>SUMIFS(F7101:F9015,K7101:K9015,"0",B7101:B9015,"5 1 2 9 6 12 31111 6 M59 40000 000161 0000E 00001 00296*")</f>
        <v>543976.26</v>
      </c>
      <c r="G7100" s="35">
        <f>SUMIFS(G7101:G9015,K7101:K9015,"0",B7101:B9015,"5 1 2 9 6 12 31111 6 M59 40000 000161 0000E 00001 00296*")</f>
        <v>0</v>
      </c>
      <c r="H7100" s="35">
        <f t="shared" si="111"/>
        <v>543976.26</v>
      </c>
      <c r="I7100" s="35"/>
      <c r="K7100" t="s">
        <v>15</v>
      </c>
    </row>
    <row r="7101" spans="2:11" ht="33" x14ac:dyDescent="0.2">
      <c r="B7101" s="33" t="s">
        <v>8134</v>
      </c>
      <c r="C7101" s="33" t="s">
        <v>656</v>
      </c>
      <c r="D7101" s="35">
        <f>SUMIFS(D7102:D9015,K7102:K9015,"0",B7102:B9015,"5 1 2 9 6 12 31111 6 M59 40000 000161 0000E 00001 00296 025*")-SUMIFS(E7102:E9015,K7102:K9015,"0",B7102:B9015,"5 1 2 9 6 12 31111 6 M59 40000 000161 0000E 00001 00296 025*")</f>
        <v>0</v>
      </c>
      <c r="E7101"/>
      <c r="F7101" s="35">
        <f>SUMIFS(F7102:F9015,K7102:K9015,"0",B7102:B9015,"5 1 2 9 6 12 31111 6 M59 40000 000161 0000E 00001 00296 025*")</f>
        <v>543976.26</v>
      </c>
      <c r="G7101" s="35">
        <f>SUMIFS(G7102:G9015,K7102:K9015,"0",B7102:B9015,"5 1 2 9 6 12 31111 6 M59 40000 000161 0000E 00001 00296 025*")</f>
        <v>0</v>
      </c>
      <c r="H7101" s="35">
        <f t="shared" si="111"/>
        <v>543976.26</v>
      </c>
      <c r="I7101" s="35"/>
      <c r="K7101" t="s">
        <v>15</v>
      </c>
    </row>
    <row r="7102" spans="2:11" ht="33" x14ac:dyDescent="0.2">
      <c r="B7102" s="33" t="s">
        <v>8135</v>
      </c>
      <c r="C7102" s="33" t="s">
        <v>5830</v>
      </c>
      <c r="D7102" s="35">
        <f>SUMIFS(D7103:D9015,K7103:K9015,"0",B7103:B9015,"5 1 2 9 6 12 31111 6 M59 40000 000161 0000E 00001 00296 025 2112000*")-SUMIFS(E7103:E9015,K7103:K9015,"0",B7103:B9015,"5 1 2 9 6 12 31111 6 M59 40000 000161 0000E 00001 00296 025 2112000*")</f>
        <v>0</v>
      </c>
      <c r="E7102"/>
      <c r="F7102" s="35">
        <f>SUMIFS(F7103:F9015,K7103:K9015,"0",B7103:B9015,"5 1 2 9 6 12 31111 6 M59 40000 000161 0000E 00001 00296 025 2112000*")</f>
        <v>543976.26</v>
      </c>
      <c r="G7102" s="35">
        <f>SUMIFS(G7103:G9015,K7103:K9015,"0",B7103:B9015,"5 1 2 9 6 12 31111 6 M59 40000 000161 0000E 00001 00296 025 2112000*")</f>
        <v>0</v>
      </c>
      <c r="H7102" s="35">
        <f t="shared" si="111"/>
        <v>543976.26</v>
      </c>
      <c r="I7102" s="35"/>
      <c r="K7102" t="s">
        <v>15</v>
      </c>
    </row>
    <row r="7103" spans="2:11" ht="33" x14ac:dyDescent="0.2">
      <c r="B7103" s="33" t="s">
        <v>8136</v>
      </c>
      <c r="C7103" s="33" t="s">
        <v>660</v>
      </c>
      <c r="D7103" s="35">
        <f>SUMIFS(D7104:D9015,K7104:K9015,"0",B7104:B9015,"5 1 2 9 6 12 31111 6 M59 40000 000161 0000E 00001 00296 025 2112000 2024*")-SUMIFS(E7104:E9015,K7104:K9015,"0",B7104:B9015,"5 1 2 9 6 12 31111 6 M59 40000 000161 0000E 00001 00296 025 2112000 2024*")</f>
        <v>0</v>
      </c>
      <c r="E7103"/>
      <c r="F7103" s="35">
        <f>SUMIFS(F7104:F9015,K7104:K9015,"0",B7104:B9015,"5 1 2 9 6 12 31111 6 M59 40000 000161 0000E 00001 00296 025 2112000 2024*")</f>
        <v>543976.26</v>
      </c>
      <c r="G7103" s="35">
        <f>SUMIFS(G7104:G9015,K7104:K9015,"0",B7104:B9015,"5 1 2 9 6 12 31111 6 M59 40000 000161 0000E 00001 00296 025 2112000 2024*")</f>
        <v>0</v>
      </c>
      <c r="H7103" s="35">
        <f t="shared" si="111"/>
        <v>543976.26</v>
      </c>
      <c r="I7103" s="35"/>
      <c r="K7103" t="s">
        <v>15</v>
      </c>
    </row>
    <row r="7104" spans="2:11" ht="41.25" x14ac:dyDescent="0.2">
      <c r="B7104" s="33" t="s">
        <v>8137</v>
      </c>
      <c r="C7104" s="33" t="s">
        <v>662</v>
      </c>
      <c r="D7104" s="35">
        <f>SUMIFS(D7105:D9015,K7105:K9015,"0",B7105:B9015,"5 1 2 9 6 12 31111 6 M59 40000 000161 0000E 00001 00296 025 2112000 2024 CP4SP372*")-SUMIFS(E7105:E9015,K7105:K9015,"0",B7105:B9015,"5 1 2 9 6 12 31111 6 M59 40000 000161 0000E 00001 00296 025 2112000 2024 CP4SP372*")</f>
        <v>0</v>
      </c>
      <c r="E7104"/>
      <c r="F7104" s="35">
        <f>SUMIFS(F7105:F9015,K7105:K9015,"0",B7105:B9015,"5 1 2 9 6 12 31111 6 M59 40000 000161 0000E 00001 00296 025 2112000 2024 CP4SP372*")</f>
        <v>543976.26</v>
      </c>
      <c r="G7104" s="35">
        <f>SUMIFS(G7105:G9015,K7105:K9015,"0",B7105:B9015,"5 1 2 9 6 12 31111 6 M59 40000 000161 0000E 00001 00296 025 2112000 2024 CP4SP372*")</f>
        <v>0</v>
      </c>
      <c r="H7104" s="35">
        <f t="shared" si="111"/>
        <v>543976.26</v>
      </c>
      <c r="I7104" s="35"/>
      <c r="K7104" t="s">
        <v>15</v>
      </c>
    </row>
    <row r="7105" spans="2:11" ht="41.25" x14ac:dyDescent="0.2">
      <c r="B7105" s="33" t="s">
        <v>8138</v>
      </c>
      <c r="C7105" s="33" t="s">
        <v>664</v>
      </c>
      <c r="D7105" s="35">
        <f>SUMIFS(D7106:D9015,K7106:K9015,"0",B7106:B9015,"5 1 2 9 6 12 31111 6 M59 40000 000161 0000E 00001 00296 025 2112000 2024 CP4SP372 003*")-SUMIFS(E7106:E9015,K7106:K9015,"0",B7106:B9015,"5 1 2 9 6 12 31111 6 M59 40000 000161 0000E 00001 00296 025 2112000 2024 CP4SP372 003*")</f>
        <v>0</v>
      </c>
      <c r="E7105"/>
      <c r="F7105" s="35">
        <f>SUMIFS(F7106:F9015,K7106:K9015,"0",B7106:B9015,"5 1 2 9 6 12 31111 6 M59 40000 000161 0000E 00001 00296 025 2112000 2024 CP4SP372 003*")</f>
        <v>543976.26</v>
      </c>
      <c r="G7105" s="35">
        <f>SUMIFS(G7106:G9015,K7106:K9015,"0",B7106:B9015,"5 1 2 9 6 12 31111 6 M59 40000 000161 0000E 00001 00296 025 2112000 2024 CP4SP372 003*")</f>
        <v>0</v>
      </c>
      <c r="H7105" s="35">
        <f t="shared" si="111"/>
        <v>543976.26</v>
      </c>
      <c r="I7105" s="35"/>
      <c r="K7105" t="s">
        <v>15</v>
      </c>
    </row>
    <row r="7106" spans="2:11" ht="33" x14ac:dyDescent="0.2">
      <c r="B7106" s="31" t="s">
        <v>8139</v>
      </c>
      <c r="C7106" s="31" t="s">
        <v>8069</v>
      </c>
      <c r="D7106" s="34">
        <v>0</v>
      </c>
      <c r="E7106" s="34"/>
      <c r="F7106" s="34">
        <v>543976.26</v>
      </c>
      <c r="G7106" s="34">
        <v>0</v>
      </c>
      <c r="H7106" s="34">
        <f t="shared" si="111"/>
        <v>543976.26</v>
      </c>
      <c r="I7106" s="34"/>
      <c r="K7106" t="s">
        <v>38</v>
      </c>
    </row>
    <row r="7107" spans="2:11" ht="16.5" x14ac:dyDescent="0.2">
      <c r="B7107" s="33" t="s">
        <v>8140</v>
      </c>
      <c r="C7107" s="33" t="s">
        <v>1105</v>
      </c>
      <c r="D7107" s="35">
        <f>SUMIFS(D7108:D9015,K7108:K9015,"0",B7108:B9015,"5 1 2 9 6 12 31111 6 M59 40200*")-SUMIFS(E7108:E9015,K7108:K9015,"0",B7108:B9015,"5 1 2 9 6 12 31111 6 M59 40200*")</f>
        <v>0</v>
      </c>
      <c r="E7107"/>
      <c r="F7107" s="35">
        <f>SUMIFS(F7108:F9015,K7108:K9015,"0",B7108:B9015,"5 1 2 9 6 12 31111 6 M59 40200*")</f>
        <v>677931.22</v>
      </c>
      <c r="G7107" s="35">
        <f>SUMIFS(G7108:G9015,K7108:K9015,"0",B7108:B9015,"5 1 2 9 6 12 31111 6 M59 40200*")</f>
        <v>0</v>
      </c>
      <c r="H7107" s="35">
        <f t="shared" si="111"/>
        <v>677931.22</v>
      </c>
      <c r="I7107" s="35"/>
      <c r="K7107" t="s">
        <v>15</v>
      </c>
    </row>
    <row r="7108" spans="2:11" ht="16.5" x14ac:dyDescent="0.2">
      <c r="B7108" s="33" t="s">
        <v>8141</v>
      </c>
      <c r="C7108" s="33" t="s">
        <v>1107</v>
      </c>
      <c r="D7108" s="35">
        <f>SUMIFS(D7109:D9015,K7109:K9015,"0",B7109:B9015,"5 1 2 9 6 12 31111 6 M59 40200 000172*")-SUMIFS(E7109:E9015,K7109:K9015,"0",B7109:B9015,"5 1 2 9 6 12 31111 6 M59 40200 000172*")</f>
        <v>0</v>
      </c>
      <c r="E7108"/>
      <c r="F7108" s="35">
        <f>SUMIFS(F7109:F9015,K7109:K9015,"0",B7109:B9015,"5 1 2 9 6 12 31111 6 M59 40200 000172*")</f>
        <v>677931.22</v>
      </c>
      <c r="G7108" s="35">
        <f>SUMIFS(G7109:G9015,K7109:K9015,"0",B7109:B9015,"5 1 2 9 6 12 31111 6 M59 40200 000172*")</f>
        <v>0</v>
      </c>
      <c r="H7108" s="35">
        <f t="shared" ref="H7108:H7171" si="112">D7108 + F7108 - G7108</f>
        <v>677931.22</v>
      </c>
      <c r="I7108" s="35"/>
      <c r="K7108" t="s">
        <v>15</v>
      </c>
    </row>
    <row r="7109" spans="2:11" ht="24.75" x14ac:dyDescent="0.2">
      <c r="B7109" s="33" t="s">
        <v>8142</v>
      </c>
      <c r="C7109" s="33" t="s">
        <v>650</v>
      </c>
      <c r="D7109" s="35">
        <f>SUMIFS(D7110:D9015,K7110:K9015,"0",B7110:B9015,"5 1 2 9 6 12 31111 6 M59 40200 000172 0000R*")-SUMIFS(E7110:E9015,K7110:K9015,"0",B7110:B9015,"5 1 2 9 6 12 31111 6 M59 40200 000172 0000R*")</f>
        <v>0</v>
      </c>
      <c r="E7109"/>
      <c r="F7109" s="35">
        <f>SUMIFS(F7110:F9015,K7110:K9015,"0",B7110:B9015,"5 1 2 9 6 12 31111 6 M59 40200 000172 0000R*")</f>
        <v>677931.22</v>
      </c>
      <c r="G7109" s="35">
        <f>SUMIFS(G7110:G9015,K7110:K9015,"0",B7110:B9015,"5 1 2 9 6 12 31111 6 M59 40200 000172 0000R*")</f>
        <v>0</v>
      </c>
      <c r="H7109" s="35">
        <f t="shared" si="112"/>
        <v>677931.22</v>
      </c>
      <c r="I7109" s="35"/>
      <c r="K7109" t="s">
        <v>15</v>
      </c>
    </row>
    <row r="7110" spans="2:11" ht="24.75" x14ac:dyDescent="0.2">
      <c r="B7110" s="33" t="s">
        <v>8143</v>
      </c>
      <c r="C7110" s="33" t="s">
        <v>282</v>
      </c>
      <c r="D7110" s="35">
        <f>SUMIFS(D7111:D9015,K7111:K9015,"0",B7111:B9015,"5 1 2 9 6 12 31111 6 M59 40200 000172 0000R 00001*")-SUMIFS(E7111:E9015,K7111:K9015,"0",B7111:B9015,"5 1 2 9 6 12 31111 6 M59 40200 000172 0000R 00001*")</f>
        <v>0</v>
      </c>
      <c r="E7110"/>
      <c r="F7110" s="35">
        <f>SUMIFS(F7111:F9015,K7111:K9015,"0",B7111:B9015,"5 1 2 9 6 12 31111 6 M59 40200 000172 0000R 00001*")</f>
        <v>677931.22</v>
      </c>
      <c r="G7110" s="35">
        <f>SUMIFS(G7111:G9015,K7111:K9015,"0",B7111:B9015,"5 1 2 9 6 12 31111 6 M59 40200 000172 0000R 00001*")</f>
        <v>0</v>
      </c>
      <c r="H7110" s="35">
        <f t="shared" si="112"/>
        <v>677931.22</v>
      </c>
      <c r="I7110" s="35"/>
      <c r="K7110" t="s">
        <v>15</v>
      </c>
    </row>
    <row r="7111" spans="2:11" ht="24.75" x14ac:dyDescent="0.2">
      <c r="B7111" s="33" t="s">
        <v>8144</v>
      </c>
      <c r="C7111" s="33" t="s">
        <v>8079</v>
      </c>
      <c r="D7111" s="35">
        <f>SUMIFS(D7112:D9015,K7112:K9015,"0",B7112:B9015,"5 1 2 9 6 12 31111 6 M59 40200 000172 0000R 00001 00296*")-SUMIFS(E7112:E9015,K7112:K9015,"0",B7112:B9015,"5 1 2 9 6 12 31111 6 M59 40200 000172 0000R 00001 00296*")</f>
        <v>0</v>
      </c>
      <c r="E7111"/>
      <c r="F7111" s="35">
        <f>SUMIFS(F7112:F9015,K7112:K9015,"0",B7112:B9015,"5 1 2 9 6 12 31111 6 M59 40200 000172 0000R 00001 00296*")</f>
        <v>677931.22</v>
      </c>
      <c r="G7111" s="35">
        <f>SUMIFS(G7112:G9015,K7112:K9015,"0",B7112:B9015,"5 1 2 9 6 12 31111 6 M59 40200 000172 0000R 00001 00296*")</f>
        <v>0</v>
      </c>
      <c r="H7111" s="35">
        <f t="shared" si="112"/>
        <v>677931.22</v>
      </c>
      <c r="I7111" s="35"/>
      <c r="K7111" t="s">
        <v>15</v>
      </c>
    </row>
    <row r="7112" spans="2:11" ht="33" x14ac:dyDescent="0.2">
      <c r="B7112" s="33" t="s">
        <v>8145</v>
      </c>
      <c r="C7112" s="33" t="s">
        <v>656</v>
      </c>
      <c r="D7112" s="35">
        <f>SUMIFS(D7113:D9015,K7113:K9015,"0",B7113:B9015,"5 1 2 9 6 12 31111 6 M59 40200 000172 0000R 00001 00296 025*")-SUMIFS(E7113:E9015,K7113:K9015,"0",B7113:B9015,"5 1 2 9 6 12 31111 6 M59 40200 000172 0000R 00001 00296 025*")</f>
        <v>0</v>
      </c>
      <c r="E7112"/>
      <c r="F7112" s="35">
        <f>SUMIFS(F7113:F9015,K7113:K9015,"0",B7113:B9015,"5 1 2 9 6 12 31111 6 M59 40200 000172 0000R 00001 00296 025*")</f>
        <v>677931.22</v>
      </c>
      <c r="G7112" s="35">
        <f>SUMIFS(G7113:G9015,K7113:K9015,"0",B7113:B9015,"5 1 2 9 6 12 31111 6 M59 40200 000172 0000R 00001 00296 025*")</f>
        <v>0</v>
      </c>
      <c r="H7112" s="35">
        <f t="shared" si="112"/>
        <v>677931.22</v>
      </c>
      <c r="I7112" s="35"/>
      <c r="K7112" t="s">
        <v>15</v>
      </c>
    </row>
    <row r="7113" spans="2:11" ht="33" x14ac:dyDescent="0.2">
      <c r="B7113" s="33" t="s">
        <v>8146</v>
      </c>
      <c r="C7113" s="33" t="s">
        <v>5830</v>
      </c>
      <c r="D7113" s="35">
        <f>SUMIFS(D7114:D9015,K7114:K9015,"0",B7114:B9015,"5 1 2 9 6 12 31111 6 M59 40200 000172 0000R 00001 00296 025 2112000*")-SUMIFS(E7114:E9015,K7114:K9015,"0",B7114:B9015,"5 1 2 9 6 12 31111 6 M59 40200 000172 0000R 00001 00296 025 2112000*")</f>
        <v>0</v>
      </c>
      <c r="E7113"/>
      <c r="F7113" s="35">
        <f>SUMIFS(F7114:F9015,K7114:K9015,"0",B7114:B9015,"5 1 2 9 6 12 31111 6 M59 40200 000172 0000R 00001 00296 025 2112000*")</f>
        <v>677931.22</v>
      </c>
      <c r="G7113" s="35">
        <f>SUMIFS(G7114:G9015,K7114:K9015,"0",B7114:B9015,"5 1 2 9 6 12 31111 6 M59 40200 000172 0000R 00001 00296 025 2112000*")</f>
        <v>0</v>
      </c>
      <c r="H7113" s="35">
        <f t="shared" si="112"/>
        <v>677931.22</v>
      </c>
      <c r="I7113" s="35"/>
      <c r="K7113" t="s">
        <v>15</v>
      </c>
    </row>
    <row r="7114" spans="2:11" ht="33" x14ac:dyDescent="0.2">
      <c r="B7114" s="33" t="s">
        <v>8147</v>
      </c>
      <c r="C7114" s="33" t="s">
        <v>660</v>
      </c>
      <c r="D7114" s="35">
        <f>SUMIFS(D7115:D9015,K7115:K9015,"0",B7115:B9015,"5 1 2 9 6 12 31111 6 M59 40200 000172 0000R 00001 00296 025 2112000 2024*")-SUMIFS(E7115:E9015,K7115:K9015,"0",B7115:B9015,"5 1 2 9 6 12 31111 6 M59 40200 000172 0000R 00001 00296 025 2112000 2024*")</f>
        <v>0</v>
      </c>
      <c r="E7114"/>
      <c r="F7114" s="35">
        <f>SUMIFS(F7115:F9015,K7115:K9015,"0",B7115:B9015,"5 1 2 9 6 12 31111 6 M59 40200 000172 0000R 00001 00296 025 2112000 2024*")</f>
        <v>677931.22</v>
      </c>
      <c r="G7114" s="35">
        <f>SUMIFS(G7115:G9015,K7115:K9015,"0",B7115:B9015,"5 1 2 9 6 12 31111 6 M59 40200 000172 0000R 00001 00296 025 2112000 2024*")</f>
        <v>0</v>
      </c>
      <c r="H7114" s="35">
        <f t="shared" si="112"/>
        <v>677931.22</v>
      </c>
      <c r="I7114" s="35"/>
      <c r="K7114" t="s">
        <v>15</v>
      </c>
    </row>
    <row r="7115" spans="2:11" ht="41.25" x14ac:dyDescent="0.2">
      <c r="B7115" s="33" t="s">
        <v>8148</v>
      </c>
      <c r="C7115" s="33" t="s">
        <v>1056</v>
      </c>
      <c r="D7115" s="35">
        <f>SUMIFS(D7116:D9015,K7116:K9015,"0",B7116:B9015,"5 1 2 9 6 12 31111 6 M59 40200 000172 0000R 00001 00296 025 2112000 2024 CP4PC370*")-SUMIFS(E7116:E9015,K7116:K9015,"0",B7116:B9015,"5 1 2 9 6 12 31111 6 M59 40200 000172 0000R 00001 00296 025 2112000 2024 CP4PC370*")</f>
        <v>0</v>
      </c>
      <c r="E7115"/>
      <c r="F7115" s="35">
        <f>SUMIFS(F7116:F9015,K7116:K9015,"0",B7116:B9015,"5 1 2 9 6 12 31111 6 M59 40200 000172 0000R 00001 00296 025 2112000 2024 CP4PC370*")</f>
        <v>677931.22</v>
      </c>
      <c r="G7115" s="35">
        <f>SUMIFS(G7116:G9015,K7116:K9015,"0",B7116:B9015,"5 1 2 9 6 12 31111 6 M59 40200 000172 0000R 00001 00296 025 2112000 2024 CP4PC370*")</f>
        <v>0</v>
      </c>
      <c r="H7115" s="35">
        <f t="shared" si="112"/>
        <v>677931.22</v>
      </c>
      <c r="I7115" s="35"/>
      <c r="K7115" t="s">
        <v>15</v>
      </c>
    </row>
    <row r="7116" spans="2:11" ht="41.25" x14ac:dyDescent="0.2">
      <c r="B7116" s="33" t="s">
        <v>8149</v>
      </c>
      <c r="C7116" s="33" t="s">
        <v>664</v>
      </c>
      <c r="D7116" s="35">
        <f>SUMIFS(D7117:D9015,K7117:K9015,"0",B7117:B9015,"5 1 2 9 6 12 31111 6 M59 40200 000172 0000R 00001 00296 025 2112000 2024 CP4PC370 003*")-SUMIFS(E7117:E9015,K7117:K9015,"0",B7117:B9015,"5 1 2 9 6 12 31111 6 M59 40200 000172 0000R 00001 00296 025 2112000 2024 CP4PC370 003*")</f>
        <v>0</v>
      </c>
      <c r="E7116"/>
      <c r="F7116" s="35">
        <f>SUMIFS(F7117:F9015,K7117:K9015,"0",B7117:B9015,"5 1 2 9 6 12 31111 6 M59 40200 000172 0000R 00001 00296 025 2112000 2024 CP4PC370 003*")</f>
        <v>677931.22</v>
      </c>
      <c r="G7116" s="35">
        <f>SUMIFS(G7117:G9015,K7117:K9015,"0",B7117:B9015,"5 1 2 9 6 12 31111 6 M59 40200 000172 0000R 00001 00296 025 2112000 2024 CP4PC370 003*")</f>
        <v>0</v>
      </c>
      <c r="H7116" s="35">
        <f t="shared" si="112"/>
        <v>677931.22</v>
      </c>
      <c r="I7116" s="35"/>
      <c r="K7116" t="s">
        <v>15</v>
      </c>
    </row>
    <row r="7117" spans="2:11" ht="33" x14ac:dyDescent="0.2">
      <c r="B7117" s="31" t="s">
        <v>8150</v>
      </c>
      <c r="C7117" s="31" t="s">
        <v>8069</v>
      </c>
      <c r="D7117" s="34">
        <v>0</v>
      </c>
      <c r="E7117" s="34"/>
      <c r="F7117" s="34">
        <v>677931.22</v>
      </c>
      <c r="G7117" s="34">
        <v>0</v>
      </c>
      <c r="H7117" s="34">
        <f t="shared" si="112"/>
        <v>677931.22</v>
      </c>
      <c r="I7117" s="34"/>
      <c r="K7117" t="s">
        <v>38</v>
      </c>
    </row>
    <row r="7118" spans="2:11" ht="16.5" x14ac:dyDescent="0.2">
      <c r="B7118" s="33" t="s">
        <v>8151</v>
      </c>
      <c r="C7118" s="33" t="s">
        <v>3256</v>
      </c>
      <c r="D7118" s="35">
        <f>SUMIFS(D7119:D9015,K7119:K9015,"0",B7119:B9015,"5 1 2 9 6 12 31111 6 M59 40300*")-SUMIFS(E7119:E9015,K7119:K9015,"0",B7119:B9015,"5 1 2 9 6 12 31111 6 M59 40300*")</f>
        <v>0</v>
      </c>
      <c r="E7118"/>
      <c r="F7118" s="35">
        <f>SUMIFS(F7119:F9015,K7119:K9015,"0",B7119:B9015,"5 1 2 9 6 12 31111 6 M59 40300*")</f>
        <v>897766.27</v>
      </c>
      <c r="G7118" s="35">
        <f>SUMIFS(G7119:G9015,K7119:K9015,"0",B7119:B9015,"5 1 2 9 6 12 31111 6 M59 40300*")</f>
        <v>0</v>
      </c>
      <c r="H7118" s="35">
        <f t="shared" si="112"/>
        <v>897766.27</v>
      </c>
      <c r="I7118" s="35"/>
      <c r="K7118" t="s">
        <v>15</v>
      </c>
    </row>
    <row r="7119" spans="2:11" ht="16.5" x14ac:dyDescent="0.2">
      <c r="B7119" s="33" t="s">
        <v>8152</v>
      </c>
      <c r="C7119" s="33" t="s">
        <v>1063</v>
      </c>
      <c r="D7119" s="35">
        <f>SUMIFS(D7120:D9015,K7120:K9015,"0",B7120:B9015,"5 1 2 9 6 12 31111 6 M59 40300 000185*")-SUMIFS(E7120:E9015,K7120:K9015,"0",B7120:B9015,"5 1 2 9 6 12 31111 6 M59 40300 000185*")</f>
        <v>0</v>
      </c>
      <c r="E7119"/>
      <c r="F7119" s="35">
        <f>SUMIFS(F7120:F9015,K7120:K9015,"0",B7120:B9015,"5 1 2 9 6 12 31111 6 M59 40300 000185*")</f>
        <v>897766.27</v>
      </c>
      <c r="G7119" s="35">
        <f>SUMIFS(G7120:G9015,K7120:K9015,"0",B7120:B9015,"5 1 2 9 6 12 31111 6 M59 40300 000185*")</f>
        <v>0</v>
      </c>
      <c r="H7119" s="35">
        <f t="shared" si="112"/>
        <v>897766.27</v>
      </c>
      <c r="I7119" s="35"/>
      <c r="K7119" t="s">
        <v>15</v>
      </c>
    </row>
    <row r="7120" spans="2:11" ht="24.75" x14ac:dyDescent="0.2">
      <c r="B7120" s="33" t="s">
        <v>8153</v>
      </c>
      <c r="C7120" s="33" t="s">
        <v>650</v>
      </c>
      <c r="D7120" s="35">
        <f>SUMIFS(D7121:D9015,K7121:K9015,"0",B7121:B9015,"5 1 2 9 6 12 31111 6 M59 40300 000185 0000R*")-SUMIFS(E7121:E9015,K7121:K9015,"0",B7121:B9015,"5 1 2 9 6 12 31111 6 M59 40300 000185 0000R*")</f>
        <v>0</v>
      </c>
      <c r="E7120"/>
      <c r="F7120" s="35">
        <f>SUMIFS(F7121:F9015,K7121:K9015,"0",B7121:B9015,"5 1 2 9 6 12 31111 6 M59 40300 000185 0000R*")</f>
        <v>897766.27</v>
      </c>
      <c r="G7120" s="35">
        <f>SUMIFS(G7121:G9015,K7121:K9015,"0",B7121:B9015,"5 1 2 9 6 12 31111 6 M59 40300 000185 0000R*")</f>
        <v>0</v>
      </c>
      <c r="H7120" s="35">
        <f t="shared" si="112"/>
        <v>897766.27</v>
      </c>
      <c r="I7120" s="35"/>
      <c r="K7120" t="s">
        <v>15</v>
      </c>
    </row>
    <row r="7121" spans="2:11" ht="24.75" x14ac:dyDescent="0.2">
      <c r="B7121" s="33" t="s">
        <v>8154</v>
      </c>
      <c r="C7121" s="33" t="s">
        <v>282</v>
      </c>
      <c r="D7121" s="35">
        <f>SUMIFS(D7122:D9015,K7122:K9015,"0",B7122:B9015,"5 1 2 9 6 12 31111 6 M59 40300 000185 0000R 00001*")-SUMIFS(E7122:E9015,K7122:K9015,"0",B7122:B9015,"5 1 2 9 6 12 31111 6 M59 40300 000185 0000R 00001*")</f>
        <v>0</v>
      </c>
      <c r="E7121"/>
      <c r="F7121" s="35">
        <f>SUMIFS(F7122:F9015,K7122:K9015,"0",B7122:B9015,"5 1 2 9 6 12 31111 6 M59 40300 000185 0000R 00001*")</f>
        <v>897766.27</v>
      </c>
      <c r="G7121" s="35">
        <f>SUMIFS(G7122:G9015,K7122:K9015,"0",B7122:B9015,"5 1 2 9 6 12 31111 6 M59 40300 000185 0000R 00001*")</f>
        <v>0</v>
      </c>
      <c r="H7121" s="35">
        <f t="shared" si="112"/>
        <v>897766.27</v>
      </c>
      <c r="I7121" s="35"/>
      <c r="K7121" t="s">
        <v>15</v>
      </c>
    </row>
    <row r="7122" spans="2:11" ht="24.75" x14ac:dyDescent="0.2">
      <c r="B7122" s="33" t="s">
        <v>8155</v>
      </c>
      <c r="C7122" s="33" t="s">
        <v>8079</v>
      </c>
      <c r="D7122" s="35">
        <f>SUMIFS(D7123:D9015,K7123:K9015,"0",B7123:B9015,"5 1 2 9 6 12 31111 6 M59 40300 000185 0000R 00001 00296*")-SUMIFS(E7123:E9015,K7123:K9015,"0",B7123:B9015,"5 1 2 9 6 12 31111 6 M59 40300 000185 0000R 00001 00296*")</f>
        <v>0</v>
      </c>
      <c r="E7122"/>
      <c r="F7122" s="35">
        <f>SUMIFS(F7123:F9015,K7123:K9015,"0",B7123:B9015,"5 1 2 9 6 12 31111 6 M59 40300 000185 0000R 00001 00296*")</f>
        <v>897766.27</v>
      </c>
      <c r="G7122" s="35">
        <f>SUMIFS(G7123:G9015,K7123:K9015,"0",B7123:B9015,"5 1 2 9 6 12 31111 6 M59 40300 000185 0000R 00001 00296*")</f>
        <v>0</v>
      </c>
      <c r="H7122" s="35">
        <f t="shared" si="112"/>
        <v>897766.27</v>
      </c>
      <c r="I7122" s="35"/>
      <c r="K7122" t="s">
        <v>15</v>
      </c>
    </row>
    <row r="7123" spans="2:11" ht="33" x14ac:dyDescent="0.2">
      <c r="B7123" s="33" t="s">
        <v>8156</v>
      </c>
      <c r="C7123" s="33" t="s">
        <v>656</v>
      </c>
      <c r="D7123" s="35">
        <f>SUMIFS(D7124:D9015,K7124:K9015,"0",B7124:B9015,"5 1 2 9 6 12 31111 6 M59 40300 000185 0000R 00001 00296 025*")-SUMIFS(E7124:E9015,K7124:K9015,"0",B7124:B9015,"5 1 2 9 6 12 31111 6 M59 40300 000185 0000R 00001 00296 025*")</f>
        <v>0</v>
      </c>
      <c r="E7123"/>
      <c r="F7123" s="35">
        <f>SUMIFS(F7124:F9015,K7124:K9015,"0",B7124:B9015,"5 1 2 9 6 12 31111 6 M59 40300 000185 0000R 00001 00296 025*")</f>
        <v>897766.27</v>
      </c>
      <c r="G7123" s="35">
        <f>SUMIFS(G7124:G9015,K7124:K9015,"0",B7124:B9015,"5 1 2 9 6 12 31111 6 M59 40300 000185 0000R 00001 00296 025*")</f>
        <v>0</v>
      </c>
      <c r="H7123" s="35">
        <f t="shared" si="112"/>
        <v>897766.27</v>
      </c>
      <c r="I7123" s="35"/>
      <c r="K7123" t="s">
        <v>15</v>
      </c>
    </row>
    <row r="7124" spans="2:11" ht="33" x14ac:dyDescent="0.2">
      <c r="B7124" s="33" t="s">
        <v>8157</v>
      </c>
      <c r="C7124" s="33" t="s">
        <v>5830</v>
      </c>
      <c r="D7124" s="35">
        <f>SUMIFS(D7125:D9015,K7125:K9015,"0",B7125:B9015,"5 1 2 9 6 12 31111 6 M59 40300 000185 0000R 00001 00296 025 2112000*")-SUMIFS(E7125:E9015,K7125:K9015,"0",B7125:B9015,"5 1 2 9 6 12 31111 6 M59 40300 000185 0000R 00001 00296 025 2112000*")</f>
        <v>0</v>
      </c>
      <c r="E7124"/>
      <c r="F7124" s="35">
        <f>SUMIFS(F7125:F9015,K7125:K9015,"0",B7125:B9015,"5 1 2 9 6 12 31111 6 M59 40300 000185 0000R 00001 00296 025 2112000*")</f>
        <v>897766.27</v>
      </c>
      <c r="G7124" s="35">
        <f>SUMIFS(G7125:G9015,K7125:K9015,"0",B7125:B9015,"5 1 2 9 6 12 31111 6 M59 40300 000185 0000R 00001 00296 025 2112000*")</f>
        <v>0</v>
      </c>
      <c r="H7124" s="35">
        <f t="shared" si="112"/>
        <v>897766.27</v>
      </c>
      <c r="I7124" s="35"/>
      <c r="K7124" t="s">
        <v>15</v>
      </c>
    </row>
    <row r="7125" spans="2:11" ht="33" x14ac:dyDescent="0.2">
      <c r="B7125" s="33" t="s">
        <v>8158</v>
      </c>
      <c r="C7125" s="33" t="s">
        <v>660</v>
      </c>
      <c r="D7125" s="35">
        <f>SUMIFS(D7126:D9015,K7126:K9015,"0",B7126:B9015,"5 1 2 9 6 12 31111 6 M59 40300 000185 0000R 00001 00296 025 2112000 2024*")-SUMIFS(E7126:E9015,K7126:K9015,"0",B7126:B9015,"5 1 2 9 6 12 31111 6 M59 40300 000185 0000R 00001 00296 025 2112000 2024*")</f>
        <v>0</v>
      </c>
      <c r="E7125"/>
      <c r="F7125" s="35">
        <f>SUMIFS(F7126:F9015,K7126:K9015,"0",B7126:B9015,"5 1 2 9 6 12 31111 6 M59 40300 000185 0000R 00001 00296 025 2112000 2024*")</f>
        <v>897766.27</v>
      </c>
      <c r="G7125" s="35">
        <f>SUMIFS(G7126:G9015,K7126:K9015,"0",B7126:B9015,"5 1 2 9 6 12 31111 6 M59 40300 000185 0000R 00001 00296 025 2112000 2024*")</f>
        <v>0</v>
      </c>
      <c r="H7125" s="35">
        <f t="shared" si="112"/>
        <v>897766.27</v>
      </c>
      <c r="I7125" s="35"/>
      <c r="K7125" t="s">
        <v>15</v>
      </c>
    </row>
    <row r="7126" spans="2:11" ht="41.25" x14ac:dyDescent="0.2">
      <c r="B7126" s="33" t="s">
        <v>8159</v>
      </c>
      <c r="C7126" s="33" t="s">
        <v>662</v>
      </c>
      <c r="D7126" s="35">
        <f>SUMIFS(D7127:D9015,K7127:K9015,"0",B7127:B9015,"5 1 2 9 6 12 31111 6 M59 40300 000185 0000R 00001 00296 025 2112000 2024 CP4TV371*")-SUMIFS(E7127:E9015,K7127:K9015,"0",B7127:B9015,"5 1 2 9 6 12 31111 6 M59 40300 000185 0000R 00001 00296 025 2112000 2024 CP4TV371*")</f>
        <v>0</v>
      </c>
      <c r="E7126"/>
      <c r="F7126" s="35">
        <f>SUMIFS(F7127:F9015,K7127:K9015,"0",B7127:B9015,"5 1 2 9 6 12 31111 6 M59 40300 000185 0000R 00001 00296 025 2112000 2024 CP4TV371*")</f>
        <v>897766.27</v>
      </c>
      <c r="G7126" s="35">
        <f>SUMIFS(G7127:G9015,K7127:K9015,"0",B7127:B9015,"5 1 2 9 6 12 31111 6 M59 40300 000185 0000R 00001 00296 025 2112000 2024 CP4TV371*")</f>
        <v>0</v>
      </c>
      <c r="H7126" s="35">
        <f t="shared" si="112"/>
        <v>897766.27</v>
      </c>
      <c r="I7126" s="35"/>
      <c r="K7126" t="s">
        <v>15</v>
      </c>
    </row>
    <row r="7127" spans="2:11" ht="41.25" x14ac:dyDescent="0.2">
      <c r="B7127" s="33" t="s">
        <v>8160</v>
      </c>
      <c r="C7127" s="33" t="s">
        <v>664</v>
      </c>
      <c r="D7127" s="35">
        <f>SUMIFS(D7128:D9015,K7128:K9015,"0",B7128:B9015,"5 1 2 9 6 12 31111 6 M59 40300 000185 0000R 00001 00296 025 2112000 2024 CP4TV371 003*")-SUMIFS(E7128:E9015,K7128:K9015,"0",B7128:B9015,"5 1 2 9 6 12 31111 6 M59 40300 000185 0000R 00001 00296 025 2112000 2024 CP4TV371 003*")</f>
        <v>0</v>
      </c>
      <c r="E7127"/>
      <c r="F7127" s="35">
        <f>SUMIFS(F7128:F9015,K7128:K9015,"0",B7128:B9015,"5 1 2 9 6 12 31111 6 M59 40300 000185 0000R 00001 00296 025 2112000 2024 CP4TV371 003*")</f>
        <v>897766.27</v>
      </c>
      <c r="G7127" s="35">
        <f>SUMIFS(G7128:G9015,K7128:K9015,"0",B7128:B9015,"5 1 2 9 6 12 31111 6 M59 40300 000185 0000R 00001 00296 025 2112000 2024 CP4TV371 003*")</f>
        <v>0</v>
      </c>
      <c r="H7127" s="35">
        <f t="shared" si="112"/>
        <v>897766.27</v>
      </c>
      <c r="I7127" s="35"/>
      <c r="K7127" t="s">
        <v>15</v>
      </c>
    </row>
    <row r="7128" spans="2:11" ht="33" x14ac:dyDescent="0.2">
      <c r="B7128" s="31" t="s">
        <v>8161</v>
      </c>
      <c r="C7128" s="31" t="s">
        <v>8069</v>
      </c>
      <c r="D7128" s="34">
        <v>0</v>
      </c>
      <c r="E7128" s="34"/>
      <c r="F7128" s="34">
        <v>897766.27</v>
      </c>
      <c r="G7128" s="34">
        <v>0</v>
      </c>
      <c r="H7128" s="34">
        <f t="shared" si="112"/>
        <v>897766.27</v>
      </c>
      <c r="I7128" s="34"/>
      <c r="K7128" t="s">
        <v>38</v>
      </c>
    </row>
    <row r="7129" spans="2:11" ht="16.5" x14ac:dyDescent="0.2">
      <c r="B7129" s="33" t="s">
        <v>8162</v>
      </c>
      <c r="C7129" s="33" t="s">
        <v>3268</v>
      </c>
      <c r="D7129" s="35">
        <f>SUMIFS(D7130:D9015,K7130:K9015,"0",B7130:B9015,"5 1 2 9 6 12 31111 6 M59 40400*")-SUMIFS(E7130:E9015,K7130:K9015,"0",B7130:B9015,"5 1 2 9 6 12 31111 6 M59 40400*")</f>
        <v>0</v>
      </c>
      <c r="E7129"/>
      <c r="F7129" s="35">
        <f>SUMIFS(F7130:F9015,K7130:K9015,"0",B7130:B9015,"5 1 2 9 6 12 31111 6 M59 40400*")</f>
        <v>460000</v>
      </c>
      <c r="G7129" s="35">
        <f>SUMIFS(G7130:G9015,K7130:K9015,"0",B7130:B9015,"5 1 2 9 6 12 31111 6 M59 40400*")</f>
        <v>0</v>
      </c>
      <c r="H7129" s="35">
        <f t="shared" si="112"/>
        <v>460000</v>
      </c>
      <c r="I7129" s="35"/>
      <c r="K7129" t="s">
        <v>15</v>
      </c>
    </row>
    <row r="7130" spans="2:11" ht="16.5" x14ac:dyDescent="0.2">
      <c r="B7130" s="33" t="s">
        <v>8163</v>
      </c>
      <c r="C7130" s="33" t="s">
        <v>3270</v>
      </c>
      <c r="D7130" s="35">
        <f>SUMIFS(D7131:D9015,K7131:K9015,"0",B7131:B9015,"5 1 2 9 6 12 31111 6 M59 40400 000173*")-SUMIFS(E7131:E9015,K7131:K9015,"0",B7131:B9015,"5 1 2 9 6 12 31111 6 M59 40400 000173*")</f>
        <v>0</v>
      </c>
      <c r="E7130"/>
      <c r="F7130" s="35">
        <f>SUMIFS(F7131:F9015,K7131:K9015,"0",B7131:B9015,"5 1 2 9 6 12 31111 6 M59 40400 000173*")</f>
        <v>460000</v>
      </c>
      <c r="G7130" s="35">
        <f>SUMIFS(G7131:G9015,K7131:K9015,"0",B7131:B9015,"5 1 2 9 6 12 31111 6 M59 40400 000173*")</f>
        <v>0</v>
      </c>
      <c r="H7130" s="35">
        <f t="shared" si="112"/>
        <v>460000</v>
      </c>
      <c r="I7130" s="35"/>
      <c r="K7130" t="s">
        <v>15</v>
      </c>
    </row>
    <row r="7131" spans="2:11" ht="24.75" x14ac:dyDescent="0.2">
      <c r="B7131" s="33" t="s">
        <v>8164</v>
      </c>
      <c r="C7131" s="33" t="s">
        <v>650</v>
      </c>
      <c r="D7131" s="35">
        <f>SUMIFS(D7132:D9015,K7132:K9015,"0",B7132:B9015,"5 1 2 9 6 12 31111 6 M59 40400 000173 0000R*")-SUMIFS(E7132:E9015,K7132:K9015,"0",B7132:B9015,"5 1 2 9 6 12 31111 6 M59 40400 000173 0000R*")</f>
        <v>0</v>
      </c>
      <c r="E7131"/>
      <c r="F7131" s="35">
        <f>SUMIFS(F7132:F9015,K7132:K9015,"0",B7132:B9015,"5 1 2 9 6 12 31111 6 M59 40400 000173 0000R*")</f>
        <v>460000</v>
      </c>
      <c r="G7131" s="35">
        <f>SUMIFS(G7132:G9015,K7132:K9015,"0",B7132:B9015,"5 1 2 9 6 12 31111 6 M59 40400 000173 0000R*")</f>
        <v>0</v>
      </c>
      <c r="H7131" s="35">
        <f t="shared" si="112"/>
        <v>460000</v>
      </c>
      <c r="I7131" s="35"/>
      <c r="K7131" t="s">
        <v>15</v>
      </c>
    </row>
    <row r="7132" spans="2:11" ht="24.75" x14ac:dyDescent="0.2">
      <c r="B7132" s="33" t="s">
        <v>8165</v>
      </c>
      <c r="C7132" s="33" t="s">
        <v>282</v>
      </c>
      <c r="D7132" s="35">
        <f>SUMIFS(D7133:D9015,K7133:K9015,"0",B7133:B9015,"5 1 2 9 6 12 31111 6 M59 40400 000173 0000R 00001*")-SUMIFS(E7133:E9015,K7133:K9015,"0",B7133:B9015,"5 1 2 9 6 12 31111 6 M59 40400 000173 0000R 00001*")</f>
        <v>0</v>
      </c>
      <c r="E7132"/>
      <c r="F7132" s="35">
        <f>SUMIFS(F7133:F9015,K7133:K9015,"0",B7133:B9015,"5 1 2 9 6 12 31111 6 M59 40400 000173 0000R 00001*")</f>
        <v>460000</v>
      </c>
      <c r="G7132" s="35">
        <f>SUMIFS(G7133:G9015,K7133:K9015,"0",B7133:B9015,"5 1 2 9 6 12 31111 6 M59 40400 000173 0000R 00001*")</f>
        <v>0</v>
      </c>
      <c r="H7132" s="35">
        <f t="shared" si="112"/>
        <v>460000</v>
      </c>
      <c r="I7132" s="35"/>
      <c r="K7132" t="s">
        <v>15</v>
      </c>
    </row>
    <row r="7133" spans="2:11" ht="24.75" x14ac:dyDescent="0.2">
      <c r="B7133" s="33" t="s">
        <v>8166</v>
      </c>
      <c r="C7133" s="33" t="s">
        <v>8079</v>
      </c>
      <c r="D7133" s="35">
        <f>SUMIFS(D7134:D9015,K7134:K9015,"0",B7134:B9015,"5 1 2 9 6 12 31111 6 M59 40400 000173 0000R 00001 00296*")-SUMIFS(E7134:E9015,K7134:K9015,"0",B7134:B9015,"5 1 2 9 6 12 31111 6 M59 40400 000173 0000R 00001 00296*")</f>
        <v>0</v>
      </c>
      <c r="E7133"/>
      <c r="F7133" s="35">
        <f>SUMIFS(F7134:F9015,K7134:K9015,"0",B7134:B9015,"5 1 2 9 6 12 31111 6 M59 40400 000173 0000R 00001 00296*")</f>
        <v>460000</v>
      </c>
      <c r="G7133" s="35">
        <f>SUMIFS(G7134:G9015,K7134:K9015,"0",B7134:B9015,"5 1 2 9 6 12 31111 6 M59 40400 000173 0000R 00001 00296*")</f>
        <v>0</v>
      </c>
      <c r="H7133" s="35">
        <f t="shared" si="112"/>
        <v>460000</v>
      </c>
      <c r="I7133" s="35"/>
      <c r="K7133" t="s">
        <v>15</v>
      </c>
    </row>
    <row r="7134" spans="2:11" ht="33" x14ac:dyDescent="0.2">
      <c r="B7134" s="33" t="s">
        <v>8167</v>
      </c>
      <c r="C7134" s="33" t="s">
        <v>656</v>
      </c>
      <c r="D7134" s="35">
        <f>SUMIFS(D7135:D9015,K7135:K9015,"0",B7135:B9015,"5 1 2 9 6 12 31111 6 M59 40400 000173 0000R 00001 00296 025*")-SUMIFS(E7135:E9015,K7135:K9015,"0",B7135:B9015,"5 1 2 9 6 12 31111 6 M59 40400 000173 0000R 00001 00296 025*")</f>
        <v>0</v>
      </c>
      <c r="E7134"/>
      <c r="F7134" s="35">
        <f>SUMIFS(F7135:F9015,K7135:K9015,"0",B7135:B9015,"5 1 2 9 6 12 31111 6 M59 40400 000173 0000R 00001 00296 025*")</f>
        <v>460000</v>
      </c>
      <c r="G7134" s="35">
        <f>SUMIFS(G7135:G9015,K7135:K9015,"0",B7135:B9015,"5 1 2 9 6 12 31111 6 M59 40400 000173 0000R 00001 00296 025*")</f>
        <v>0</v>
      </c>
      <c r="H7134" s="35">
        <f t="shared" si="112"/>
        <v>460000</v>
      </c>
      <c r="I7134" s="35"/>
      <c r="K7134" t="s">
        <v>15</v>
      </c>
    </row>
    <row r="7135" spans="2:11" ht="33" x14ac:dyDescent="0.2">
      <c r="B7135" s="33" t="s">
        <v>8168</v>
      </c>
      <c r="C7135" s="33" t="s">
        <v>5830</v>
      </c>
      <c r="D7135" s="35">
        <f>SUMIFS(D7136:D9015,K7136:K9015,"0",B7136:B9015,"5 1 2 9 6 12 31111 6 M59 40400 000173 0000R 00001 00296 025 2112000*")-SUMIFS(E7136:E9015,K7136:K9015,"0",B7136:B9015,"5 1 2 9 6 12 31111 6 M59 40400 000173 0000R 00001 00296 025 2112000*")</f>
        <v>0</v>
      </c>
      <c r="E7135"/>
      <c r="F7135" s="35">
        <f>SUMIFS(F7136:F9015,K7136:K9015,"0",B7136:B9015,"5 1 2 9 6 12 31111 6 M59 40400 000173 0000R 00001 00296 025 2112000*")</f>
        <v>460000</v>
      </c>
      <c r="G7135" s="35">
        <f>SUMIFS(G7136:G9015,K7136:K9015,"0",B7136:B9015,"5 1 2 9 6 12 31111 6 M59 40400 000173 0000R 00001 00296 025 2112000*")</f>
        <v>0</v>
      </c>
      <c r="H7135" s="35">
        <f t="shared" si="112"/>
        <v>460000</v>
      </c>
      <c r="I7135" s="35"/>
      <c r="K7135" t="s">
        <v>15</v>
      </c>
    </row>
    <row r="7136" spans="2:11" ht="33" x14ac:dyDescent="0.2">
      <c r="B7136" s="33" t="s">
        <v>8169</v>
      </c>
      <c r="C7136" s="33" t="s">
        <v>660</v>
      </c>
      <c r="D7136" s="35">
        <f>SUMIFS(D7137:D9015,K7137:K9015,"0",B7137:B9015,"5 1 2 9 6 12 31111 6 M59 40400 000173 0000R 00001 00296 025 2112000 2024*")-SUMIFS(E7137:E9015,K7137:K9015,"0",B7137:B9015,"5 1 2 9 6 12 31111 6 M59 40400 000173 0000R 00001 00296 025 2112000 2024*")</f>
        <v>0</v>
      </c>
      <c r="E7136"/>
      <c r="F7136" s="35">
        <f>SUMIFS(F7137:F9015,K7137:K9015,"0",B7137:B9015,"5 1 2 9 6 12 31111 6 M59 40400 000173 0000R 00001 00296 025 2112000 2024*")</f>
        <v>460000</v>
      </c>
      <c r="G7136" s="35">
        <f>SUMIFS(G7137:G9015,K7137:K9015,"0",B7137:B9015,"5 1 2 9 6 12 31111 6 M59 40400 000173 0000R 00001 00296 025 2112000 2024*")</f>
        <v>0</v>
      </c>
      <c r="H7136" s="35">
        <f t="shared" si="112"/>
        <v>460000</v>
      </c>
      <c r="I7136" s="35"/>
      <c r="K7136" t="s">
        <v>15</v>
      </c>
    </row>
    <row r="7137" spans="2:11" ht="41.25" x14ac:dyDescent="0.2">
      <c r="B7137" s="33" t="s">
        <v>8170</v>
      </c>
      <c r="C7137" s="33" t="s">
        <v>662</v>
      </c>
      <c r="D7137" s="35">
        <f>SUMIFS(D7138:D9015,K7138:K9015,"0",B7138:B9015,"5 1 2 9 6 12 31111 6 M59 40400 000173 0000R 00001 00296 025 2112000 2024 CP4PD369*")-SUMIFS(E7138:E9015,K7138:K9015,"0",B7138:B9015,"5 1 2 9 6 12 31111 6 M59 40400 000173 0000R 00001 00296 025 2112000 2024 CP4PD369*")</f>
        <v>0</v>
      </c>
      <c r="E7137"/>
      <c r="F7137" s="35">
        <f>SUMIFS(F7138:F9015,K7138:K9015,"0",B7138:B9015,"5 1 2 9 6 12 31111 6 M59 40400 000173 0000R 00001 00296 025 2112000 2024 CP4PD369*")</f>
        <v>460000</v>
      </c>
      <c r="G7137" s="35">
        <f>SUMIFS(G7138:G9015,K7138:K9015,"0",B7138:B9015,"5 1 2 9 6 12 31111 6 M59 40400 000173 0000R 00001 00296 025 2112000 2024 CP4PD369*")</f>
        <v>0</v>
      </c>
      <c r="H7137" s="35">
        <f t="shared" si="112"/>
        <v>460000</v>
      </c>
      <c r="I7137" s="35"/>
      <c r="K7137" t="s">
        <v>15</v>
      </c>
    </row>
    <row r="7138" spans="2:11" ht="41.25" x14ac:dyDescent="0.2">
      <c r="B7138" s="33" t="s">
        <v>8171</v>
      </c>
      <c r="C7138" s="33" t="s">
        <v>664</v>
      </c>
      <c r="D7138" s="35">
        <f>SUMIFS(D7139:D9015,K7139:K9015,"0",B7139:B9015,"5 1 2 9 6 12 31111 6 M59 40400 000173 0000R 00001 00296 025 2112000 2024 CP4PD369 003*")-SUMIFS(E7139:E9015,K7139:K9015,"0",B7139:B9015,"5 1 2 9 6 12 31111 6 M59 40400 000173 0000R 00001 00296 025 2112000 2024 CP4PD369 003*")</f>
        <v>0</v>
      </c>
      <c r="E7138"/>
      <c r="F7138" s="35">
        <f>SUMIFS(F7139:F9015,K7139:K9015,"0",B7139:B9015,"5 1 2 9 6 12 31111 6 M59 40400 000173 0000R 00001 00296 025 2112000 2024 CP4PD369 003*")</f>
        <v>460000</v>
      </c>
      <c r="G7138" s="35">
        <f>SUMIFS(G7139:G9015,K7139:K9015,"0",B7139:B9015,"5 1 2 9 6 12 31111 6 M59 40400 000173 0000R 00001 00296 025 2112000 2024 CP4PD369 003*")</f>
        <v>0</v>
      </c>
      <c r="H7138" s="35">
        <f t="shared" si="112"/>
        <v>460000</v>
      </c>
      <c r="I7138" s="35"/>
      <c r="K7138" t="s">
        <v>15</v>
      </c>
    </row>
    <row r="7139" spans="2:11" ht="33" x14ac:dyDescent="0.2">
      <c r="B7139" s="31" t="s">
        <v>8172</v>
      </c>
      <c r="C7139" s="31" t="s">
        <v>8069</v>
      </c>
      <c r="D7139" s="34">
        <v>0</v>
      </c>
      <c r="E7139" s="34"/>
      <c r="F7139" s="34">
        <v>460000</v>
      </c>
      <c r="G7139" s="34">
        <v>0</v>
      </c>
      <c r="H7139" s="34">
        <f t="shared" si="112"/>
        <v>460000</v>
      </c>
      <c r="I7139" s="34"/>
      <c r="K7139" t="s">
        <v>38</v>
      </c>
    </row>
    <row r="7140" spans="2:11" ht="16.5" x14ac:dyDescent="0.2">
      <c r="B7140" s="33" t="s">
        <v>8173</v>
      </c>
      <c r="C7140" s="33" t="s">
        <v>1269</v>
      </c>
      <c r="D7140" s="35">
        <f>SUMIFS(D7141:D9015,K7141:K9015,"0",B7141:B9015,"5 1 2 9 6 12 31111 6 M59 60100*")-SUMIFS(E7141:E9015,K7141:K9015,"0",B7141:B9015,"5 1 2 9 6 12 31111 6 M59 60100*")</f>
        <v>0</v>
      </c>
      <c r="E7140"/>
      <c r="F7140" s="35">
        <f>SUMIFS(F7141:F9015,K7141:K9015,"0",B7141:B9015,"5 1 2 9 6 12 31111 6 M59 60100*")</f>
        <v>2375.0100000000002</v>
      </c>
      <c r="G7140" s="35">
        <f>SUMIFS(G7141:G9015,K7141:K9015,"0",B7141:B9015,"5 1 2 9 6 12 31111 6 M59 60100*")</f>
        <v>0</v>
      </c>
      <c r="H7140" s="35">
        <f t="shared" si="112"/>
        <v>2375.0100000000002</v>
      </c>
      <c r="I7140" s="35"/>
      <c r="K7140" t="s">
        <v>15</v>
      </c>
    </row>
    <row r="7141" spans="2:11" ht="16.5" x14ac:dyDescent="0.2">
      <c r="B7141" s="33" t="s">
        <v>8174</v>
      </c>
      <c r="C7141" s="33" t="s">
        <v>648</v>
      </c>
      <c r="D7141" s="35">
        <f>SUMIFS(D7142:D9015,K7142:K9015,"0",B7142:B9015,"5 1 2 9 6 12 31111 6 M59 60100 000132*")-SUMIFS(E7142:E9015,K7142:K9015,"0",B7142:B9015,"5 1 2 9 6 12 31111 6 M59 60100 000132*")</f>
        <v>0</v>
      </c>
      <c r="E7141"/>
      <c r="F7141" s="35">
        <f>SUMIFS(F7142:F9015,K7142:K9015,"0",B7142:B9015,"5 1 2 9 6 12 31111 6 M59 60100 000132*")</f>
        <v>2375.0100000000002</v>
      </c>
      <c r="G7141" s="35">
        <f>SUMIFS(G7142:G9015,K7142:K9015,"0",B7142:B9015,"5 1 2 9 6 12 31111 6 M59 60100 000132*")</f>
        <v>0</v>
      </c>
      <c r="H7141" s="35">
        <f t="shared" si="112"/>
        <v>2375.0100000000002</v>
      </c>
      <c r="I7141" s="35"/>
      <c r="K7141" t="s">
        <v>15</v>
      </c>
    </row>
    <row r="7142" spans="2:11" ht="24.75" x14ac:dyDescent="0.2">
      <c r="B7142" s="33" t="s">
        <v>8175</v>
      </c>
      <c r="C7142" s="33" t="s">
        <v>650</v>
      </c>
      <c r="D7142" s="35">
        <f>SUMIFS(D7143:D9015,K7143:K9015,"0",B7143:B9015,"5 1 2 9 6 12 31111 6 M59 60100 000132 0000R*")-SUMIFS(E7143:E9015,K7143:K9015,"0",B7143:B9015,"5 1 2 9 6 12 31111 6 M59 60100 000132 0000R*")</f>
        <v>0</v>
      </c>
      <c r="E7142"/>
      <c r="F7142" s="35">
        <f>SUMIFS(F7143:F9015,K7143:K9015,"0",B7143:B9015,"5 1 2 9 6 12 31111 6 M59 60100 000132 0000R*")</f>
        <v>2375.0100000000002</v>
      </c>
      <c r="G7142" s="35">
        <f>SUMIFS(G7143:G9015,K7143:K9015,"0",B7143:B9015,"5 1 2 9 6 12 31111 6 M59 60100 000132 0000R*")</f>
        <v>0</v>
      </c>
      <c r="H7142" s="35">
        <f t="shared" si="112"/>
        <v>2375.0100000000002</v>
      </c>
      <c r="I7142" s="35"/>
      <c r="K7142" t="s">
        <v>15</v>
      </c>
    </row>
    <row r="7143" spans="2:11" ht="24.75" x14ac:dyDescent="0.2">
      <c r="B7143" s="33" t="s">
        <v>8176</v>
      </c>
      <c r="C7143" s="33" t="s">
        <v>282</v>
      </c>
      <c r="D7143" s="35">
        <f>SUMIFS(D7144:D9015,K7144:K9015,"0",B7144:B9015,"5 1 2 9 6 12 31111 6 M59 60100 000132 0000R 00001*")-SUMIFS(E7144:E9015,K7144:K9015,"0",B7144:B9015,"5 1 2 9 6 12 31111 6 M59 60100 000132 0000R 00001*")</f>
        <v>0</v>
      </c>
      <c r="E7143"/>
      <c r="F7143" s="35">
        <f>SUMIFS(F7144:F9015,K7144:K9015,"0",B7144:B9015,"5 1 2 9 6 12 31111 6 M59 60100 000132 0000R 00001*")</f>
        <v>2375.0100000000002</v>
      </c>
      <c r="G7143" s="35">
        <f>SUMIFS(G7144:G9015,K7144:K9015,"0",B7144:B9015,"5 1 2 9 6 12 31111 6 M59 60100 000132 0000R 00001*")</f>
        <v>0</v>
      </c>
      <c r="H7143" s="35">
        <f t="shared" si="112"/>
        <v>2375.0100000000002</v>
      </c>
      <c r="I7143" s="35"/>
      <c r="K7143" t="s">
        <v>15</v>
      </c>
    </row>
    <row r="7144" spans="2:11" ht="24.75" x14ac:dyDescent="0.2">
      <c r="B7144" s="33" t="s">
        <v>8177</v>
      </c>
      <c r="C7144" s="33" t="s">
        <v>8079</v>
      </c>
      <c r="D7144" s="35">
        <f>SUMIFS(D7145:D9015,K7145:K9015,"0",B7145:B9015,"5 1 2 9 6 12 31111 6 M59 60100 000132 0000R 00001 00296*")-SUMIFS(E7145:E9015,K7145:K9015,"0",B7145:B9015,"5 1 2 9 6 12 31111 6 M59 60100 000132 0000R 00001 00296*")</f>
        <v>0</v>
      </c>
      <c r="E7144"/>
      <c r="F7144" s="35">
        <f>SUMIFS(F7145:F9015,K7145:K9015,"0",B7145:B9015,"5 1 2 9 6 12 31111 6 M59 60100 000132 0000R 00001 00296*")</f>
        <v>2375.0100000000002</v>
      </c>
      <c r="G7144" s="35">
        <f>SUMIFS(G7145:G9015,K7145:K9015,"0",B7145:B9015,"5 1 2 9 6 12 31111 6 M59 60100 000132 0000R 00001 00296*")</f>
        <v>0</v>
      </c>
      <c r="H7144" s="35">
        <f t="shared" si="112"/>
        <v>2375.0100000000002</v>
      </c>
      <c r="I7144" s="35"/>
      <c r="K7144" t="s">
        <v>15</v>
      </c>
    </row>
    <row r="7145" spans="2:11" ht="33" x14ac:dyDescent="0.2">
      <c r="B7145" s="33" t="s">
        <v>8178</v>
      </c>
      <c r="C7145" s="33" t="s">
        <v>1051</v>
      </c>
      <c r="D7145" s="35">
        <f>SUMIFS(D7146:D9015,K7146:K9015,"0",B7146:B9015,"5 1 2 9 6 12 31111 6 M59 60100 000132 0000R 00001 00296 015*")-SUMIFS(E7146:E9015,K7146:K9015,"0",B7146:B9015,"5 1 2 9 6 12 31111 6 M59 60100 000132 0000R 00001 00296 015*")</f>
        <v>0</v>
      </c>
      <c r="E7145"/>
      <c r="F7145" s="35">
        <f>SUMIFS(F7146:F9015,K7146:K9015,"0",B7146:B9015,"5 1 2 9 6 12 31111 6 M59 60100 000132 0000R 00001 00296 015*")</f>
        <v>2375.0100000000002</v>
      </c>
      <c r="G7145" s="35">
        <f>SUMIFS(G7146:G9015,K7146:K9015,"0",B7146:B9015,"5 1 2 9 6 12 31111 6 M59 60100 000132 0000R 00001 00296 015*")</f>
        <v>0</v>
      </c>
      <c r="H7145" s="35">
        <f t="shared" si="112"/>
        <v>2375.0100000000002</v>
      </c>
      <c r="I7145" s="35"/>
      <c r="K7145" t="s">
        <v>15</v>
      </c>
    </row>
    <row r="7146" spans="2:11" ht="33" x14ac:dyDescent="0.2">
      <c r="B7146" s="33" t="s">
        <v>8179</v>
      </c>
      <c r="C7146" s="33" t="s">
        <v>5830</v>
      </c>
      <c r="D7146" s="35">
        <f>SUMIFS(D7147:D9015,K7147:K9015,"0",B7147:B9015,"5 1 2 9 6 12 31111 6 M59 60100 000132 0000R 00001 00296 015 2112000*")-SUMIFS(E7147:E9015,K7147:K9015,"0",B7147:B9015,"5 1 2 9 6 12 31111 6 M59 60100 000132 0000R 00001 00296 015 2112000*")</f>
        <v>0</v>
      </c>
      <c r="E7146"/>
      <c r="F7146" s="35">
        <f>SUMIFS(F7147:F9015,K7147:K9015,"0",B7147:B9015,"5 1 2 9 6 12 31111 6 M59 60100 000132 0000R 00001 00296 015 2112000*")</f>
        <v>2375.0100000000002</v>
      </c>
      <c r="G7146" s="35">
        <f>SUMIFS(G7147:G9015,K7147:K9015,"0",B7147:B9015,"5 1 2 9 6 12 31111 6 M59 60100 000132 0000R 00001 00296 015 2112000*")</f>
        <v>0</v>
      </c>
      <c r="H7146" s="35">
        <f t="shared" si="112"/>
        <v>2375.0100000000002</v>
      </c>
      <c r="I7146" s="35"/>
      <c r="K7146" t="s">
        <v>15</v>
      </c>
    </row>
    <row r="7147" spans="2:11" ht="33" x14ac:dyDescent="0.2">
      <c r="B7147" s="33" t="s">
        <v>8180</v>
      </c>
      <c r="C7147" s="33" t="s">
        <v>660</v>
      </c>
      <c r="D7147" s="35">
        <f>SUMIFS(D7148:D9015,K7148:K9015,"0",B7148:B9015,"5 1 2 9 6 12 31111 6 M59 60100 000132 0000R 00001 00296 015 2112000 2024*")-SUMIFS(E7148:E9015,K7148:K9015,"0",B7148:B9015,"5 1 2 9 6 12 31111 6 M59 60100 000132 0000R 00001 00296 015 2112000 2024*")</f>
        <v>0</v>
      </c>
      <c r="E7147"/>
      <c r="F7147" s="35">
        <f>SUMIFS(F7148:F9015,K7148:K9015,"0",B7148:B9015,"5 1 2 9 6 12 31111 6 M59 60100 000132 0000R 00001 00296 015 2112000 2024*")</f>
        <v>2375.0100000000002</v>
      </c>
      <c r="G7147" s="35">
        <f>SUMIFS(G7148:G9015,K7148:K9015,"0",B7148:B9015,"5 1 2 9 6 12 31111 6 M59 60100 000132 0000R 00001 00296 015 2112000 2024*")</f>
        <v>0</v>
      </c>
      <c r="H7147" s="35">
        <f t="shared" si="112"/>
        <v>2375.0100000000002</v>
      </c>
      <c r="I7147" s="35"/>
      <c r="K7147" t="s">
        <v>15</v>
      </c>
    </row>
    <row r="7148" spans="2:11" ht="41.25" x14ac:dyDescent="0.2">
      <c r="B7148" s="33" t="s">
        <v>8181</v>
      </c>
      <c r="C7148" s="33" t="s">
        <v>1056</v>
      </c>
      <c r="D7148" s="35">
        <f>SUMIFS(D7149:D9015,K7149:K9015,"0",B7149:B9015,"5 1 2 9 6 12 31111 6 M59 60100 000132 0000R 00001 00296 015 2112000 2024 CP1DM394*")-SUMIFS(E7149:E9015,K7149:K9015,"0",B7149:B9015,"5 1 2 9 6 12 31111 6 M59 60100 000132 0000R 00001 00296 015 2112000 2024 CP1DM394*")</f>
        <v>0</v>
      </c>
      <c r="E7148"/>
      <c r="F7148" s="35">
        <f>SUMIFS(F7149:F9015,K7149:K9015,"0",B7149:B9015,"5 1 2 9 6 12 31111 6 M59 60100 000132 0000R 00001 00296 015 2112000 2024 CP1DM394*")</f>
        <v>2375.0100000000002</v>
      </c>
      <c r="G7148" s="35">
        <f>SUMIFS(G7149:G9015,K7149:K9015,"0",B7149:B9015,"5 1 2 9 6 12 31111 6 M59 60100 000132 0000R 00001 00296 015 2112000 2024 CP1DM394*")</f>
        <v>0</v>
      </c>
      <c r="H7148" s="35">
        <f t="shared" si="112"/>
        <v>2375.0100000000002</v>
      </c>
      <c r="I7148" s="35"/>
      <c r="K7148" t="s">
        <v>15</v>
      </c>
    </row>
    <row r="7149" spans="2:11" ht="41.25" x14ac:dyDescent="0.2">
      <c r="B7149" s="33" t="s">
        <v>8182</v>
      </c>
      <c r="C7149" s="33" t="s">
        <v>282</v>
      </c>
      <c r="D7149" s="35">
        <f>SUMIFS(D7150:D9015,K7150:K9015,"0",B7150:B9015,"5 1 2 9 6 12 31111 6 M59 60100 000132 0000R 00001 00296 015 2112000 2024 CP1DM394 001*")-SUMIFS(E7150:E9015,K7150:K9015,"0",B7150:B9015,"5 1 2 9 6 12 31111 6 M59 60100 000132 0000R 00001 00296 015 2112000 2024 CP1DM394 001*")</f>
        <v>0</v>
      </c>
      <c r="E7149"/>
      <c r="F7149" s="35">
        <f>SUMIFS(F7150:F9015,K7150:K9015,"0",B7150:B9015,"5 1 2 9 6 12 31111 6 M59 60100 000132 0000R 00001 00296 015 2112000 2024 CP1DM394 001*")</f>
        <v>2375.0100000000002</v>
      </c>
      <c r="G7149" s="35">
        <f>SUMIFS(G7150:G9015,K7150:K9015,"0",B7150:B9015,"5 1 2 9 6 12 31111 6 M59 60100 000132 0000R 00001 00296 015 2112000 2024 CP1DM394 001*")</f>
        <v>0</v>
      </c>
      <c r="H7149" s="35">
        <f t="shared" si="112"/>
        <v>2375.0100000000002</v>
      </c>
      <c r="I7149" s="35"/>
      <c r="K7149" t="s">
        <v>15</v>
      </c>
    </row>
    <row r="7150" spans="2:11" ht="33" x14ac:dyDescent="0.2">
      <c r="B7150" s="31" t="s">
        <v>8183</v>
      </c>
      <c r="C7150" s="31" t="s">
        <v>8079</v>
      </c>
      <c r="D7150" s="34">
        <v>0</v>
      </c>
      <c r="E7150" s="34"/>
      <c r="F7150" s="34">
        <v>2375.0100000000002</v>
      </c>
      <c r="G7150" s="34">
        <v>0</v>
      </c>
      <c r="H7150" s="34">
        <f t="shared" si="112"/>
        <v>2375.0100000000002</v>
      </c>
      <c r="I7150" s="34"/>
      <c r="K7150" t="s">
        <v>38</v>
      </c>
    </row>
    <row r="7151" spans="2:11" ht="16.5" x14ac:dyDescent="0.2">
      <c r="B7151" s="33" t="s">
        <v>8184</v>
      </c>
      <c r="C7151" s="33" t="s">
        <v>3608</v>
      </c>
      <c r="D7151" s="35">
        <f>SUMIFS(D7152:D9015,K7152:K9015,"0",B7152:B9015,"5 1 2 9 6 12 31111 6 M59 91000*")-SUMIFS(E7152:E9015,K7152:K9015,"0",B7152:B9015,"5 1 2 9 6 12 31111 6 M59 91000*")</f>
        <v>0</v>
      </c>
      <c r="E7151"/>
      <c r="F7151" s="35">
        <f>SUMIFS(F7152:F9015,K7152:K9015,"0",B7152:B9015,"5 1 2 9 6 12 31111 6 M59 91000*")</f>
        <v>3099.98</v>
      </c>
      <c r="G7151" s="35">
        <f>SUMIFS(G7152:G9015,K7152:K9015,"0",B7152:B9015,"5 1 2 9 6 12 31111 6 M59 91000*")</f>
        <v>0</v>
      </c>
      <c r="H7151" s="35">
        <f t="shared" si="112"/>
        <v>3099.98</v>
      </c>
      <c r="I7151" s="35"/>
      <c r="K7151" t="s">
        <v>15</v>
      </c>
    </row>
    <row r="7152" spans="2:11" ht="16.5" x14ac:dyDescent="0.2">
      <c r="B7152" s="33" t="s">
        <v>8185</v>
      </c>
      <c r="C7152" s="33" t="s">
        <v>648</v>
      </c>
      <c r="D7152" s="35">
        <f>SUMIFS(D7153:D9015,K7153:K9015,"0",B7153:B9015,"5 1 2 9 6 12 31111 6 M59 91000 000132*")-SUMIFS(E7153:E9015,K7153:K9015,"0",B7153:B9015,"5 1 2 9 6 12 31111 6 M59 91000 000132*")</f>
        <v>0</v>
      </c>
      <c r="E7152"/>
      <c r="F7152" s="35">
        <f>SUMIFS(F7153:F9015,K7153:K9015,"0",B7153:B9015,"5 1 2 9 6 12 31111 6 M59 91000 000132*")</f>
        <v>3099.98</v>
      </c>
      <c r="G7152" s="35">
        <f>SUMIFS(G7153:G9015,K7153:K9015,"0",B7153:B9015,"5 1 2 9 6 12 31111 6 M59 91000 000132*")</f>
        <v>0</v>
      </c>
      <c r="H7152" s="35">
        <f t="shared" si="112"/>
        <v>3099.98</v>
      </c>
      <c r="I7152" s="35"/>
      <c r="K7152" t="s">
        <v>15</v>
      </c>
    </row>
    <row r="7153" spans="2:11" ht="24.75" x14ac:dyDescent="0.2">
      <c r="B7153" s="33" t="s">
        <v>8186</v>
      </c>
      <c r="C7153" s="33" t="s">
        <v>650</v>
      </c>
      <c r="D7153" s="35">
        <f>SUMIFS(D7154:D9015,K7154:K9015,"0",B7154:B9015,"5 1 2 9 6 12 31111 6 M59 91000 000132 0000R*")-SUMIFS(E7154:E9015,K7154:K9015,"0",B7154:B9015,"5 1 2 9 6 12 31111 6 M59 91000 000132 0000R*")</f>
        <v>0</v>
      </c>
      <c r="E7153"/>
      <c r="F7153" s="35">
        <f>SUMIFS(F7154:F9015,K7154:K9015,"0",B7154:B9015,"5 1 2 9 6 12 31111 6 M59 91000 000132 0000R*")</f>
        <v>3099.98</v>
      </c>
      <c r="G7153" s="35">
        <f>SUMIFS(G7154:G9015,K7154:K9015,"0",B7154:B9015,"5 1 2 9 6 12 31111 6 M59 91000 000132 0000R*")</f>
        <v>0</v>
      </c>
      <c r="H7153" s="35">
        <f t="shared" si="112"/>
        <v>3099.98</v>
      </c>
      <c r="I7153" s="35"/>
      <c r="K7153" t="s">
        <v>15</v>
      </c>
    </row>
    <row r="7154" spans="2:11" ht="24.75" x14ac:dyDescent="0.2">
      <c r="B7154" s="33" t="s">
        <v>8187</v>
      </c>
      <c r="C7154" s="33" t="s">
        <v>282</v>
      </c>
      <c r="D7154" s="35">
        <f>SUMIFS(D7155:D9015,K7155:K9015,"0",B7155:B9015,"5 1 2 9 6 12 31111 6 M59 91000 000132 0000R 00001*")-SUMIFS(E7155:E9015,K7155:K9015,"0",B7155:B9015,"5 1 2 9 6 12 31111 6 M59 91000 000132 0000R 00001*")</f>
        <v>0</v>
      </c>
      <c r="E7154"/>
      <c r="F7154" s="35">
        <f>SUMIFS(F7155:F9015,K7155:K9015,"0",B7155:B9015,"5 1 2 9 6 12 31111 6 M59 91000 000132 0000R 00001*")</f>
        <v>3099.98</v>
      </c>
      <c r="G7154" s="35">
        <f>SUMIFS(G7155:G9015,K7155:K9015,"0",B7155:B9015,"5 1 2 9 6 12 31111 6 M59 91000 000132 0000R 00001*")</f>
        <v>0</v>
      </c>
      <c r="H7154" s="35">
        <f t="shared" si="112"/>
        <v>3099.98</v>
      </c>
      <c r="I7154" s="35"/>
      <c r="K7154" t="s">
        <v>15</v>
      </c>
    </row>
    <row r="7155" spans="2:11" ht="24.75" x14ac:dyDescent="0.2">
      <c r="B7155" s="33" t="s">
        <v>8188</v>
      </c>
      <c r="C7155" s="33" t="s">
        <v>8079</v>
      </c>
      <c r="D7155" s="35">
        <f>SUMIFS(D7156:D9015,K7156:K9015,"0",B7156:B9015,"5 1 2 9 6 12 31111 6 M59 91000 000132 0000R 00001 00296*")-SUMIFS(E7156:E9015,K7156:K9015,"0",B7156:B9015,"5 1 2 9 6 12 31111 6 M59 91000 000132 0000R 00001 00296*")</f>
        <v>0</v>
      </c>
      <c r="E7155"/>
      <c r="F7155" s="35">
        <f>SUMIFS(F7156:F9015,K7156:K9015,"0",B7156:B9015,"5 1 2 9 6 12 31111 6 M59 91000 000132 0000R 00001 00296*")</f>
        <v>3099.98</v>
      </c>
      <c r="G7155" s="35">
        <f>SUMIFS(G7156:G9015,K7156:K9015,"0",B7156:B9015,"5 1 2 9 6 12 31111 6 M59 91000 000132 0000R 00001 00296*")</f>
        <v>0</v>
      </c>
      <c r="H7155" s="35">
        <f t="shared" si="112"/>
        <v>3099.98</v>
      </c>
      <c r="I7155" s="35"/>
      <c r="K7155" t="s">
        <v>15</v>
      </c>
    </row>
    <row r="7156" spans="2:11" ht="33" x14ac:dyDescent="0.2">
      <c r="B7156" s="33" t="s">
        <v>8189</v>
      </c>
      <c r="C7156" s="33" t="s">
        <v>1051</v>
      </c>
      <c r="D7156" s="35">
        <f>SUMIFS(D7157:D9015,K7157:K9015,"0",B7157:B9015,"5 1 2 9 6 12 31111 6 M59 91000 000132 0000R 00001 00296 015*")-SUMIFS(E7157:E9015,K7157:K9015,"0",B7157:B9015,"5 1 2 9 6 12 31111 6 M59 91000 000132 0000R 00001 00296 015*")</f>
        <v>0</v>
      </c>
      <c r="E7156"/>
      <c r="F7156" s="35">
        <f>SUMIFS(F7157:F9015,K7157:K9015,"0",B7157:B9015,"5 1 2 9 6 12 31111 6 M59 91000 000132 0000R 00001 00296 015*")</f>
        <v>3099.98</v>
      </c>
      <c r="G7156" s="35">
        <f>SUMIFS(G7157:G9015,K7157:K9015,"0",B7157:B9015,"5 1 2 9 6 12 31111 6 M59 91000 000132 0000R 00001 00296 015*")</f>
        <v>0</v>
      </c>
      <c r="H7156" s="35">
        <f t="shared" si="112"/>
        <v>3099.98</v>
      </c>
      <c r="I7156" s="35"/>
      <c r="K7156" t="s">
        <v>15</v>
      </c>
    </row>
    <row r="7157" spans="2:11" ht="33" x14ac:dyDescent="0.2">
      <c r="B7157" s="33" t="s">
        <v>8190</v>
      </c>
      <c r="C7157" s="33" t="s">
        <v>5830</v>
      </c>
      <c r="D7157" s="35">
        <f>SUMIFS(D7158:D9015,K7158:K9015,"0",B7158:B9015,"5 1 2 9 6 12 31111 6 M59 91000 000132 0000R 00001 00296 015 2112000*")-SUMIFS(E7158:E9015,K7158:K9015,"0",B7158:B9015,"5 1 2 9 6 12 31111 6 M59 91000 000132 0000R 00001 00296 015 2112000*")</f>
        <v>0</v>
      </c>
      <c r="E7157"/>
      <c r="F7157" s="35">
        <f>SUMIFS(F7158:F9015,K7158:K9015,"0",B7158:B9015,"5 1 2 9 6 12 31111 6 M59 91000 000132 0000R 00001 00296 015 2112000*")</f>
        <v>3099.98</v>
      </c>
      <c r="G7157" s="35">
        <f>SUMIFS(G7158:G9015,K7158:K9015,"0",B7158:B9015,"5 1 2 9 6 12 31111 6 M59 91000 000132 0000R 00001 00296 015 2112000*")</f>
        <v>0</v>
      </c>
      <c r="H7157" s="35">
        <f t="shared" si="112"/>
        <v>3099.98</v>
      </c>
      <c r="I7157" s="35"/>
      <c r="K7157" t="s">
        <v>15</v>
      </c>
    </row>
    <row r="7158" spans="2:11" ht="33" x14ac:dyDescent="0.2">
      <c r="B7158" s="33" t="s">
        <v>8191</v>
      </c>
      <c r="C7158" s="33" t="s">
        <v>660</v>
      </c>
      <c r="D7158" s="35">
        <f>SUMIFS(D7159:D9015,K7159:K9015,"0",B7159:B9015,"5 1 2 9 6 12 31111 6 M59 91000 000132 0000R 00001 00296 015 2112000 2024*")-SUMIFS(E7159:E9015,K7159:K9015,"0",B7159:B9015,"5 1 2 9 6 12 31111 6 M59 91000 000132 0000R 00001 00296 015 2112000 2024*")</f>
        <v>0</v>
      </c>
      <c r="E7158"/>
      <c r="F7158" s="35">
        <f>SUMIFS(F7159:F9015,K7159:K9015,"0",B7159:B9015,"5 1 2 9 6 12 31111 6 M59 91000 000132 0000R 00001 00296 015 2112000 2024*")</f>
        <v>3099.98</v>
      </c>
      <c r="G7158" s="35">
        <f>SUMIFS(G7159:G9015,K7159:K9015,"0",B7159:B9015,"5 1 2 9 6 12 31111 6 M59 91000 000132 0000R 00001 00296 015 2112000 2024*")</f>
        <v>0</v>
      </c>
      <c r="H7158" s="35">
        <f t="shared" si="112"/>
        <v>3099.98</v>
      </c>
      <c r="I7158" s="35"/>
      <c r="K7158" t="s">
        <v>15</v>
      </c>
    </row>
    <row r="7159" spans="2:11" ht="41.25" x14ac:dyDescent="0.2">
      <c r="B7159" s="33" t="s">
        <v>8192</v>
      </c>
      <c r="C7159" s="33" t="s">
        <v>1056</v>
      </c>
      <c r="D7159" s="35">
        <f>SUMIFS(D7160:D9015,K7160:K9015,"0",B7160:B9015,"5 1 2 9 6 12 31111 6 M59 91000 000132 0000R 00001 00296 015 2112000 2024 CP1RE398*")-SUMIFS(E7160:E9015,K7160:K9015,"0",B7160:B9015,"5 1 2 9 6 12 31111 6 M59 91000 000132 0000R 00001 00296 015 2112000 2024 CP1RE398*")</f>
        <v>0</v>
      </c>
      <c r="E7159"/>
      <c r="F7159" s="35">
        <f>SUMIFS(F7160:F9015,K7160:K9015,"0",B7160:B9015,"5 1 2 9 6 12 31111 6 M59 91000 000132 0000R 00001 00296 015 2112000 2024 CP1RE398*")</f>
        <v>3099.98</v>
      </c>
      <c r="G7159" s="35">
        <f>SUMIFS(G7160:G9015,K7160:K9015,"0",B7160:B9015,"5 1 2 9 6 12 31111 6 M59 91000 000132 0000R 00001 00296 015 2112000 2024 CP1RE398*")</f>
        <v>0</v>
      </c>
      <c r="H7159" s="35">
        <f t="shared" si="112"/>
        <v>3099.98</v>
      </c>
      <c r="I7159" s="35"/>
      <c r="K7159" t="s">
        <v>15</v>
      </c>
    </row>
    <row r="7160" spans="2:11" ht="41.25" x14ac:dyDescent="0.2">
      <c r="B7160" s="33" t="s">
        <v>8193</v>
      </c>
      <c r="C7160" s="33" t="s">
        <v>282</v>
      </c>
      <c r="D7160" s="35">
        <f>SUMIFS(D7161:D9015,K7161:K9015,"0",B7161:B9015,"5 1 2 9 6 12 31111 6 M59 91000 000132 0000R 00001 00296 015 2112000 2024 CP1RE398 001*")-SUMIFS(E7161:E9015,K7161:K9015,"0",B7161:B9015,"5 1 2 9 6 12 31111 6 M59 91000 000132 0000R 00001 00296 015 2112000 2024 CP1RE398 001*")</f>
        <v>0</v>
      </c>
      <c r="E7160"/>
      <c r="F7160" s="35">
        <f>SUMIFS(F7161:F9015,K7161:K9015,"0",B7161:B9015,"5 1 2 9 6 12 31111 6 M59 91000 000132 0000R 00001 00296 015 2112000 2024 CP1RE398 001*")</f>
        <v>3099.98</v>
      </c>
      <c r="G7160" s="35">
        <f>SUMIFS(G7161:G9015,K7161:K9015,"0",B7161:B9015,"5 1 2 9 6 12 31111 6 M59 91000 000132 0000R 00001 00296 015 2112000 2024 CP1RE398 001*")</f>
        <v>0</v>
      </c>
      <c r="H7160" s="35">
        <f t="shared" si="112"/>
        <v>3099.98</v>
      </c>
      <c r="I7160" s="35"/>
      <c r="K7160" t="s">
        <v>15</v>
      </c>
    </row>
    <row r="7161" spans="2:11" ht="33" x14ac:dyDescent="0.2">
      <c r="B7161" s="31" t="s">
        <v>8194</v>
      </c>
      <c r="C7161" s="31" t="s">
        <v>8079</v>
      </c>
      <c r="D7161" s="34">
        <v>0</v>
      </c>
      <c r="E7161" s="34"/>
      <c r="F7161" s="34">
        <v>3099.98</v>
      </c>
      <c r="G7161" s="34">
        <v>0</v>
      </c>
      <c r="H7161" s="34">
        <f t="shared" si="112"/>
        <v>3099.98</v>
      </c>
      <c r="I7161" s="34"/>
      <c r="K7161" t="s">
        <v>38</v>
      </c>
    </row>
    <row r="7162" spans="2:11" ht="16.5" x14ac:dyDescent="0.2">
      <c r="B7162" s="33" t="s">
        <v>8195</v>
      </c>
      <c r="C7162" s="33" t="s">
        <v>3693</v>
      </c>
      <c r="D7162" s="35">
        <f>SUMIFS(D7163:D9015,K7163:K9015,"0",B7163:B9015,"5 1 2 9 6 12 31111 6 M59 96100*")-SUMIFS(E7163:E9015,K7163:K9015,"0",B7163:B9015,"5 1 2 9 6 12 31111 6 M59 96100*")</f>
        <v>0</v>
      </c>
      <c r="E7162"/>
      <c r="F7162" s="35">
        <f>SUMIFS(F7163:F9015,K7163:K9015,"0",B7163:B9015,"5 1 2 9 6 12 31111 6 M59 96100*")</f>
        <v>2550.12</v>
      </c>
      <c r="G7162" s="35">
        <f>SUMIFS(G7163:G9015,K7163:K9015,"0",B7163:B9015,"5 1 2 9 6 12 31111 6 M59 96100*")</f>
        <v>0</v>
      </c>
      <c r="H7162" s="35">
        <f t="shared" si="112"/>
        <v>2550.12</v>
      </c>
      <c r="I7162" s="35"/>
      <c r="K7162" t="s">
        <v>15</v>
      </c>
    </row>
    <row r="7163" spans="2:11" ht="16.5" x14ac:dyDescent="0.2">
      <c r="B7163" s="33" t="s">
        <v>8196</v>
      </c>
      <c r="C7163" s="33" t="s">
        <v>1310</v>
      </c>
      <c r="D7163" s="35">
        <f>SUMIFS(D7164:D9015,K7164:K9015,"0",B7164:B9015,"5 1 2 9 6 12 31111 6 M59 96100 000211*")-SUMIFS(E7164:E9015,K7164:K9015,"0",B7164:B9015,"5 1 2 9 6 12 31111 6 M59 96100 000211*")</f>
        <v>0</v>
      </c>
      <c r="E7163"/>
      <c r="F7163" s="35">
        <f>SUMIFS(F7164:F9015,K7164:K9015,"0",B7164:B9015,"5 1 2 9 6 12 31111 6 M59 96100 000211*")</f>
        <v>2550.12</v>
      </c>
      <c r="G7163" s="35">
        <f>SUMIFS(G7164:G9015,K7164:K9015,"0",B7164:B9015,"5 1 2 9 6 12 31111 6 M59 96100 000211*")</f>
        <v>0</v>
      </c>
      <c r="H7163" s="35">
        <f t="shared" si="112"/>
        <v>2550.12</v>
      </c>
      <c r="I7163" s="35"/>
      <c r="K7163" t="s">
        <v>15</v>
      </c>
    </row>
    <row r="7164" spans="2:11" ht="24.75" x14ac:dyDescent="0.2">
      <c r="B7164" s="33" t="s">
        <v>8197</v>
      </c>
      <c r="C7164" s="33" t="s">
        <v>3696</v>
      </c>
      <c r="D7164" s="35">
        <f>SUMIFS(D7165:D9015,K7165:K9015,"0",B7165:B9015,"5 1 2 9 6 12 31111 6 M59 96100 000211 0000U*")-SUMIFS(E7165:E9015,K7165:K9015,"0",B7165:B9015,"5 1 2 9 6 12 31111 6 M59 96100 000211 0000U*")</f>
        <v>0</v>
      </c>
      <c r="E7164"/>
      <c r="F7164" s="35">
        <f>SUMIFS(F7165:F9015,K7165:K9015,"0",B7165:B9015,"5 1 2 9 6 12 31111 6 M59 96100 000211 0000U*")</f>
        <v>2550.12</v>
      </c>
      <c r="G7164" s="35">
        <f>SUMIFS(G7165:G9015,K7165:K9015,"0",B7165:B9015,"5 1 2 9 6 12 31111 6 M59 96100 000211 0000U*")</f>
        <v>0</v>
      </c>
      <c r="H7164" s="35">
        <f t="shared" si="112"/>
        <v>2550.12</v>
      </c>
      <c r="I7164" s="35"/>
      <c r="K7164" t="s">
        <v>15</v>
      </c>
    </row>
    <row r="7165" spans="2:11" ht="24.75" x14ac:dyDescent="0.2">
      <c r="B7165" s="33" t="s">
        <v>8198</v>
      </c>
      <c r="C7165" s="33" t="s">
        <v>282</v>
      </c>
      <c r="D7165" s="35">
        <f>SUMIFS(D7166:D9015,K7166:K9015,"0",B7166:B9015,"5 1 2 9 6 12 31111 6 M59 96100 000211 0000U 00001*")-SUMIFS(E7166:E9015,K7166:K9015,"0",B7166:B9015,"5 1 2 9 6 12 31111 6 M59 96100 000211 0000U 00001*")</f>
        <v>0</v>
      </c>
      <c r="E7165"/>
      <c r="F7165" s="35">
        <f>SUMIFS(F7166:F9015,K7166:K9015,"0",B7166:B9015,"5 1 2 9 6 12 31111 6 M59 96100 000211 0000U 00001*")</f>
        <v>2550.12</v>
      </c>
      <c r="G7165" s="35">
        <f>SUMIFS(G7166:G9015,K7166:K9015,"0",B7166:B9015,"5 1 2 9 6 12 31111 6 M59 96100 000211 0000U 00001*")</f>
        <v>0</v>
      </c>
      <c r="H7165" s="35">
        <f t="shared" si="112"/>
        <v>2550.12</v>
      </c>
      <c r="I7165" s="35"/>
      <c r="K7165" t="s">
        <v>15</v>
      </c>
    </row>
    <row r="7166" spans="2:11" ht="24.75" x14ac:dyDescent="0.2">
      <c r="B7166" s="33" t="s">
        <v>8199</v>
      </c>
      <c r="C7166" s="33" t="s">
        <v>8079</v>
      </c>
      <c r="D7166" s="35">
        <f>SUMIFS(D7167:D9015,K7167:K9015,"0",B7167:B9015,"5 1 2 9 6 12 31111 6 M59 96100 000211 0000U 00001 00296*")-SUMIFS(E7167:E9015,K7167:K9015,"0",B7167:B9015,"5 1 2 9 6 12 31111 6 M59 96100 000211 0000U 00001 00296*")</f>
        <v>0</v>
      </c>
      <c r="E7166"/>
      <c r="F7166" s="35">
        <f>SUMIFS(F7167:F9015,K7167:K9015,"0",B7167:B9015,"5 1 2 9 6 12 31111 6 M59 96100 000211 0000U 00001 00296*")</f>
        <v>2550.12</v>
      </c>
      <c r="G7166" s="35">
        <f>SUMIFS(G7167:G9015,K7167:K9015,"0",B7167:B9015,"5 1 2 9 6 12 31111 6 M59 96100 000211 0000U 00001 00296*")</f>
        <v>0</v>
      </c>
      <c r="H7166" s="35">
        <f t="shared" si="112"/>
        <v>2550.12</v>
      </c>
      <c r="I7166" s="35"/>
      <c r="K7166" t="s">
        <v>15</v>
      </c>
    </row>
    <row r="7167" spans="2:11" ht="33" x14ac:dyDescent="0.2">
      <c r="B7167" s="33" t="s">
        <v>8200</v>
      </c>
      <c r="C7167" s="33" t="s">
        <v>1051</v>
      </c>
      <c r="D7167" s="35">
        <f>SUMIFS(D7168:D9015,K7168:K9015,"0",B7168:B9015,"5 1 2 9 6 12 31111 6 M59 96100 000211 0000U 00001 00296 015*")-SUMIFS(E7168:E9015,K7168:K9015,"0",B7168:B9015,"5 1 2 9 6 12 31111 6 M59 96100 000211 0000U 00001 00296 015*")</f>
        <v>0</v>
      </c>
      <c r="E7167"/>
      <c r="F7167" s="35">
        <f>SUMIFS(F7168:F9015,K7168:K9015,"0",B7168:B9015,"5 1 2 9 6 12 31111 6 M59 96100 000211 0000U 00001 00296 015*")</f>
        <v>2550.12</v>
      </c>
      <c r="G7167" s="35">
        <f>SUMIFS(G7168:G9015,K7168:K9015,"0",B7168:B9015,"5 1 2 9 6 12 31111 6 M59 96100 000211 0000U 00001 00296 015*")</f>
        <v>0</v>
      </c>
      <c r="H7167" s="35">
        <f t="shared" si="112"/>
        <v>2550.12</v>
      </c>
      <c r="I7167" s="35"/>
      <c r="K7167" t="s">
        <v>15</v>
      </c>
    </row>
    <row r="7168" spans="2:11" ht="33" x14ac:dyDescent="0.2">
      <c r="B7168" s="33" t="s">
        <v>8201</v>
      </c>
      <c r="C7168" s="33" t="s">
        <v>5830</v>
      </c>
      <c r="D7168" s="35">
        <f>SUMIFS(D7169:D9015,K7169:K9015,"0",B7169:B9015,"5 1 2 9 6 12 31111 6 M59 96100 000211 0000U 00001 00296 015 2112000*")-SUMIFS(E7169:E9015,K7169:K9015,"0",B7169:B9015,"5 1 2 9 6 12 31111 6 M59 96100 000211 0000U 00001 00296 015 2112000*")</f>
        <v>0</v>
      </c>
      <c r="E7168"/>
      <c r="F7168" s="35">
        <f>SUMIFS(F7169:F9015,K7169:K9015,"0",B7169:B9015,"5 1 2 9 6 12 31111 6 M59 96100 000211 0000U 00001 00296 015 2112000*")</f>
        <v>2550.12</v>
      </c>
      <c r="G7168" s="35">
        <f>SUMIFS(G7169:G9015,K7169:K9015,"0",B7169:B9015,"5 1 2 9 6 12 31111 6 M59 96100 000211 0000U 00001 00296 015 2112000*")</f>
        <v>0</v>
      </c>
      <c r="H7168" s="35">
        <f t="shared" si="112"/>
        <v>2550.12</v>
      </c>
      <c r="I7168" s="35"/>
      <c r="K7168" t="s">
        <v>15</v>
      </c>
    </row>
    <row r="7169" spans="2:11" ht="33" x14ac:dyDescent="0.2">
      <c r="B7169" s="33" t="s">
        <v>8202</v>
      </c>
      <c r="C7169" s="33" t="s">
        <v>660</v>
      </c>
      <c r="D7169" s="35">
        <f>SUMIFS(D7170:D9015,K7170:K9015,"0",B7170:B9015,"5 1 2 9 6 12 31111 6 M59 96100 000211 0000U 00001 00296 015 2112000 2024*")-SUMIFS(E7170:E9015,K7170:K9015,"0",B7170:B9015,"5 1 2 9 6 12 31111 6 M59 96100 000211 0000U 00001 00296 015 2112000 2024*")</f>
        <v>0</v>
      </c>
      <c r="E7169"/>
      <c r="F7169" s="35">
        <f>SUMIFS(F7170:F9015,K7170:K9015,"0",B7170:B9015,"5 1 2 9 6 12 31111 6 M59 96100 000211 0000U 00001 00296 015 2112000 2024*")</f>
        <v>2550.12</v>
      </c>
      <c r="G7169" s="35">
        <f>SUMIFS(G7170:G9015,K7170:K9015,"0",B7170:B9015,"5 1 2 9 6 12 31111 6 M59 96100 000211 0000U 00001 00296 015 2112000 2024*")</f>
        <v>0</v>
      </c>
      <c r="H7169" s="35">
        <f t="shared" si="112"/>
        <v>2550.12</v>
      </c>
      <c r="I7169" s="35"/>
      <c r="K7169" t="s">
        <v>15</v>
      </c>
    </row>
    <row r="7170" spans="2:11" ht="41.25" x14ac:dyDescent="0.2">
      <c r="B7170" s="33" t="s">
        <v>8203</v>
      </c>
      <c r="C7170" s="33" t="s">
        <v>1056</v>
      </c>
      <c r="D7170" s="35">
        <f>SUMIFS(D7171:D9015,K7171:K9015,"0",B7171:B9015,"5 1 2 9 6 12 31111 6 M59 96100 000211 0000U 00001 00296 015 2112000 2024 CP1IU412*")-SUMIFS(E7171:E9015,K7171:K9015,"0",B7171:B9015,"5 1 2 9 6 12 31111 6 M59 96100 000211 0000U 00001 00296 015 2112000 2024 CP1IU412*")</f>
        <v>0</v>
      </c>
      <c r="E7170"/>
      <c r="F7170" s="35">
        <f>SUMIFS(F7171:F9015,K7171:K9015,"0",B7171:B9015,"5 1 2 9 6 12 31111 6 M59 96100 000211 0000U 00001 00296 015 2112000 2024 CP1IU412*")</f>
        <v>2550.12</v>
      </c>
      <c r="G7170" s="35">
        <f>SUMIFS(G7171:G9015,K7171:K9015,"0",B7171:B9015,"5 1 2 9 6 12 31111 6 M59 96100 000211 0000U 00001 00296 015 2112000 2024 CP1IU412*")</f>
        <v>0</v>
      </c>
      <c r="H7170" s="35">
        <f t="shared" si="112"/>
        <v>2550.12</v>
      </c>
      <c r="I7170" s="35"/>
      <c r="K7170" t="s">
        <v>15</v>
      </c>
    </row>
    <row r="7171" spans="2:11" ht="41.25" x14ac:dyDescent="0.2">
      <c r="B7171" s="33" t="s">
        <v>8204</v>
      </c>
      <c r="C7171" s="33" t="s">
        <v>282</v>
      </c>
      <c r="D7171" s="35">
        <f>SUMIFS(D7172:D9015,K7172:K9015,"0",B7172:B9015,"5 1 2 9 6 12 31111 6 M59 96100 000211 0000U 00001 00296 015 2112000 2024 CP1IU412 001*")-SUMIFS(E7172:E9015,K7172:K9015,"0",B7172:B9015,"5 1 2 9 6 12 31111 6 M59 96100 000211 0000U 00001 00296 015 2112000 2024 CP1IU412 001*")</f>
        <v>0</v>
      </c>
      <c r="E7171"/>
      <c r="F7171" s="35">
        <f>SUMIFS(F7172:F9015,K7172:K9015,"0",B7172:B9015,"5 1 2 9 6 12 31111 6 M59 96100 000211 0000U 00001 00296 015 2112000 2024 CP1IU412 001*")</f>
        <v>2550.12</v>
      </c>
      <c r="G7171" s="35">
        <f>SUMIFS(G7172:G9015,K7172:K9015,"0",B7172:B9015,"5 1 2 9 6 12 31111 6 M59 96100 000211 0000U 00001 00296 015 2112000 2024 CP1IU412 001*")</f>
        <v>0</v>
      </c>
      <c r="H7171" s="35">
        <f t="shared" si="112"/>
        <v>2550.12</v>
      </c>
      <c r="I7171" s="35"/>
      <c r="K7171" t="s">
        <v>15</v>
      </c>
    </row>
    <row r="7172" spans="2:11" ht="33" x14ac:dyDescent="0.2">
      <c r="B7172" s="31" t="s">
        <v>8205</v>
      </c>
      <c r="C7172" s="31" t="s">
        <v>8079</v>
      </c>
      <c r="D7172" s="34">
        <v>0</v>
      </c>
      <c r="E7172" s="34"/>
      <c r="F7172" s="34">
        <v>2550.12</v>
      </c>
      <c r="G7172" s="34">
        <v>0</v>
      </c>
      <c r="H7172" s="34">
        <f t="shared" ref="H7172:H7235" si="113">D7172 + F7172 - G7172</f>
        <v>2550.12</v>
      </c>
      <c r="I7172" s="34"/>
      <c r="K7172" t="s">
        <v>38</v>
      </c>
    </row>
    <row r="7173" spans="2:11" ht="16.5" x14ac:dyDescent="0.2">
      <c r="B7173" s="33" t="s">
        <v>8206</v>
      </c>
      <c r="C7173" s="33" t="s">
        <v>3706</v>
      </c>
      <c r="D7173" s="35">
        <f>SUMIFS(D7174:D9015,K7174:K9015,"0",B7174:B9015,"5 1 2 9 6 12 31111 6 M59 96200*")-SUMIFS(E7174:E9015,K7174:K9015,"0",B7174:B9015,"5 1 2 9 6 12 31111 6 M59 96200*")</f>
        <v>0</v>
      </c>
      <c r="E7173"/>
      <c r="F7173" s="35">
        <f>SUMIFS(F7174:F9015,K7174:K9015,"0",B7174:B9015,"5 1 2 9 6 12 31111 6 M59 96200*")</f>
        <v>3099.98</v>
      </c>
      <c r="G7173" s="35">
        <f>SUMIFS(G7174:G9015,K7174:K9015,"0",B7174:B9015,"5 1 2 9 6 12 31111 6 M59 96200*")</f>
        <v>0</v>
      </c>
      <c r="H7173" s="35">
        <f t="shared" si="113"/>
        <v>3099.98</v>
      </c>
      <c r="I7173" s="35"/>
      <c r="K7173" t="s">
        <v>15</v>
      </c>
    </row>
    <row r="7174" spans="2:11" ht="16.5" x14ac:dyDescent="0.2">
      <c r="B7174" s="33" t="s">
        <v>8207</v>
      </c>
      <c r="C7174" s="33" t="s">
        <v>648</v>
      </c>
      <c r="D7174" s="35">
        <f>SUMIFS(D7175:D9015,K7175:K9015,"0",B7175:B9015,"5 1 2 9 6 12 31111 6 M59 96200 000132*")-SUMIFS(E7175:E9015,K7175:K9015,"0",B7175:B9015,"5 1 2 9 6 12 31111 6 M59 96200 000132*")</f>
        <v>0</v>
      </c>
      <c r="E7174"/>
      <c r="F7174" s="35">
        <f>SUMIFS(F7175:F9015,K7175:K9015,"0",B7175:B9015,"5 1 2 9 6 12 31111 6 M59 96200 000132*")</f>
        <v>3099.98</v>
      </c>
      <c r="G7174" s="35">
        <f>SUMIFS(G7175:G9015,K7175:K9015,"0",B7175:B9015,"5 1 2 9 6 12 31111 6 M59 96200 000132*")</f>
        <v>0</v>
      </c>
      <c r="H7174" s="35">
        <f t="shared" si="113"/>
        <v>3099.98</v>
      </c>
      <c r="I7174" s="35"/>
      <c r="K7174" t="s">
        <v>15</v>
      </c>
    </row>
    <row r="7175" spans="2:11" ht="24.75" x14ac:dyDescent="0.2">
      <c r="B7175" s="33" t="s">
        <v>8208</v>
      </c>
      <c r="C7175" s="33" t="s">
        <v>650</v>
      </c>
      <c r="D7175" s="35">
        <f>SUMIFS(D7176:D9015,K7176:K9015,"0",B7176:B9015,"5 1 2 9 6 12 31111 6 M59 96200 000132 0000R*")-SUMIFS(E7176:E9015,K7176:K9015,"0",B7176:B9015,"5 1 2 9 6 12 31111 6 M59 96200 000132 0000R*")</f>
        <v>0</v>
      </c>
      <c r="E7175"/>
      <c r="F7175" s="35">
        <f>SUMIFS(F7176:F9015,K7176:K9015,"0",B7176:B9015,"5 1 2 9 6 12 31111 6 M59 96200 000132 0000R*")</f>
        <v>3099.98</v>
      </c>
      <c r="G7175" s="35">
        <f>SUMIFS(G7176:G9015,K7176:K9015,"0",B7176:B9015,"5 1 2 9 6 12 31111 6 M59 96200 000132 0000R*")</f>
        <v>0</v>
      </c>
      <c r="H7175" s="35">
        <f t="shared" si="113"/>
        <v>3099.98</v>
      </c>
      <c r="I7175" s="35"/>
      <c r="K7175" t="s">
        <v>15</v>
      </c>
    </row>
    <row r="7176" spans="2:11" ht="24.75" x14ac:dyDescent="0.2">
      <c r="B7176" s="33" t="s">
        <v>8209</v>
      </c>
      <c r="C7176" s="33" t="s">
        <v>282</v>
      </c>
      <c r="D7176" s="35">
        <f>SUMIFS(D7177:D9015,K7177:K9015,"0",B7177:B9015,"5 1 2 9 6 12 31111 6 M59 96200 000132 0000R 00001*")-SUMIFS(E7177:E9015,K7177:K9015,"0",B7177:B9015,"5 1 2 9 6 12 31111 6 M59 96200 000132 0000R 00001*")</f>
        <v>0</v>
      </c>
      <c r="E7176"/>
      <c r="F7176" s="35">
        <f>SUMIFS(F7177:F9015,K7177:K9015,"0",B7177:B9015,"5 1 2 9 6 12 31111 6 M59 96200 000132 0000R 00001*")</f>
        <v>3099.98</v>
      </c>
      <c r="G7176" s="35">
        <f>SUMIFS(G7177:G9015,K7177:K9015,"0",B7177:B9015,"5 1 2 9 6 12 31111 6 M59 96200 000132 0000R 00001*")</f>
        <v>0</v>
      </c>
      <c r="H7176" s="35">
        <f t="shared" si="113"/>
        <v>3099.98</v>
      </c>
      <c r="I7176" s="35"/>
      <c r="K7176" t="s">
        <v>15</v>
      </c>
    </row>
    <row r="7177" spans="2:11" ht="24.75" x14ac:dyDescent="0.2">
      <c r="B7177" s="33" t="s">
        <v>8210</v>
      </c>
      <c r="C7177" s="33" t="s">
        <v>8079</v>
      </c>
      <c r="D7177" s="35">
        <f>SUMIFS(D7178:D9015,K7178:K9015,"0",B7178:B9015,"5 1 2 9 6 12 31111 6 M59 96200 000132 0000R 00001 00296*")-SUMIFS(E7178:E9015,K7178:K9015,"0",B7178:B9015,"5 1 2 9 6 12 31111 6 M59 96200 000132 0000R 00001 00296*")</f>
        <v>0</v>
      </c>
      <c r="E7177"/>
      <c r="F7177" s="35">
        <f>SUMIFS(F7178:F9015,K7178:K9015,"0",B7178:B9015,"5 1 2 9 6 12 31111 6 M59 96200 000132 0000R 00001 00296*")</f>
        <v>3099.98</v>
      </c>
      <c r="G7177" s="35">
        <f>SUMIFS(G7178:G9015,K7178:K9015,"0",B7178:B9015,"5 1 2 9 6 12 31111 6 M59 96200 000132 0000R 00001 00296*")</f>
        <v>0</v>
      </c>
      <c r="H7177" s="35">
        <f t="shared" si="113"/>
        <v>3099.98</v>
      </c>
      <c r="I7177" s="35"/>
      <c r="K7177" t="s">
        <v>15</v>
      </c>
    </row>
    <row r="7178" spans="2:11" ht="33" x14ac:dyDescent="0.2">
      <c r="B7178" s="33" t="s">
        <v>8211</v>
      </c>
      <c r="C7178" s="33" t="s">
        <v>1051</v>
      </c>
      <c r="D7178" s="35">
        <f>SUMIFS(D7179:D9015,K7179:K9015,"0",B7179:B9015,"5 1 2 9 6 12 31111 6 M59 96200 000132 0000R 00001 00296 015*")-SUMIFS(E7179:E9015,K7179:K9015,"0",B7179:B9015,"5 1 2 9 6 12 31111 6 M59 96200 000132 0000R 00001 00296 015*")</f>
        <v>0</v>
      </c>
      <c r="E7178"/>
      <c r="F7178" s="35">
        <f>SUMIFS(F7179:F9015,K7179:K9015,"0",B7179:B9015,"5 1 2 9 6 12 31111 6 M59 96200 000132 0000R 00001 00296 015*")</f>
        <v>3099.98</v>
      </c>
      <c r="G7178" s="35">
        <f>SUMIFS(G7179:G9015,K7179:K9015,"0",B7179:B9015,"5 1 2 9 6 12 31111 6 M59 96200 000132 0000R 00001 00296 015*")</f>
        <v>0</v>
      </c>
      <c r="H7178" s="35">
        <f t="shared" si="113"/>
        <v>3099.98</v>
      </c>
      <c r="I7178" s="35"/>
      <c r="K7178" t="s">
        <v>15</v>
      </c>
    </row>
    <row r="7179" spans="2:11" ht="33" x14ac:dyDescent="0.2">
      <c r="B7179" s="33" t="s">
        <v>8212</v>
      </c>
      <c r="C7179" s="33" t="s">
        <v>5830</v>
      </c>
      <c r="D7179" s="35">
        <f>SUMIFS(D7180:D9015,K7180:K9015,"0",B7180:B9015,"5 1 2 9 6 12 31111 6 M59 96200 000132 0000R 00001 00296 015 2112000*")-SUMIFS(E7180:E9015,K7180:K9015,"0",B7180:B9015,"5 1 2 9 6 12 31111 6 M59 96200 000132 0000R 00001 00296 015 2112000*")</f>
        <v>0</v>
      </c>
      <c r="E7179"/>
      <c r="F7179" s="35">
        <f>SUMIFS(F7180:F9015,K7180:K9015,"0",B7180:B9015,"5 1 2 9 6 12 31111 6 M59 96200 000132 0000R 00001 00296 015 2112000*")</f>
        <v>3099.98</v>
      </c>
      <c r="G7179" s="35">
        <f>SUMIFS(G7180:G9015,K7180:K9015,"0",B7180:B9015,"5 1 2 9 6 12 31111 6 M59 96200 000132 0000R 00001 00296 015 2112000*")</f>
        <v>0</v>
      </c>
      <c r="H7179" s="35">
        <f t="shared" si="113"/>
        <v>3099.98</v>
      </c>
      <c r="I7179" s="35"/>
      <c r="K7179" t="s">
        <v>15</v>
      </c>
    </row>
    <row r="7180" spans="2:11" ht="33" x14ac:dyDescent="0.2">
      <c r="B7180" s="33" t="s">
        <v>8213</v>
      </c>
      <c r="C7180" s="33" t="s">
        <v>660</v>
      </c>
      <c r="D7180" s="35">
        <f>SUMIFS(D7181:D9015,K7181:K9015,"0",B7181:B9015,"5 1 2 9 6 12 31111 6 M59 96200 000132 0000R 00001 00296 015 2112000 2024*")-SUMIFS(E7181:E9015,K7181:K9015,"0",B7181:B9015,"5 1 2 9 6 12 31111 6 M59 96200 000132 0000R 00001 00296 015 2112000 2024*")</f>
        <v>0</v>
      </c>
      <c r="E7180"/>
      <c r="F7180" s="35">
        <f>SUMIFS(F7181:F9015,K7181:K9015,"0",B7181:B9015,"5 1 2 9 6 12 31111 6 M59 96200 000132 0000R 00001 00296 015 2112000 2024*")</f>
        <v>3099.98</v>
      </c>
      <c r="G7180" s="35">
        <f>SUMIFS(G7181:G9015,K7181:K9015,"0",B7181:B9015,"5 1 2 9 6 12 31111 6 M59 96200 000132 0000R 00001 00296 015 2112000 2024*")</f>
        <v>0</v>
      </c>
      <c r="H7180" s="35">
        <f t="shared" si="113"/>
        <v>3099.98</v>
      </c>
      <c r="I7180" s="35"/>
      <c r="K7180" t="s">
        <v>15</v>
      </c>
    </row>
    <row r="7181" spans="2:11" ht="41.25" x14ac:dyDescent="0.2">
      <c r="B7181" s="33" t="s">
        <v>8214</v>
      </c>
      <c r="C7181" s="33" t="s">
        <v>662</v>
      </c>
      <c r="D7181" s="35">
        <f>SUMIFS(D7182:D9015,K7182:K9015,"0",B7182:B9015,"5 1 2 9 6 12 31111 6 M59 96200 000132 0000R 00001 00296 015 2112000 2024 CP1AL423*")-SUMIFS(E7182:E9015,K7182:K9015,"0",B7182:B9015,"5 1 2 9 6 12 31111 6 M59 96200 000132 0000R 00001 00296 015 2112000 2024 CP1AL423*")</f>
        <v>0</v>
      </c>
      <c r="E7181"/>
      <c r="F7181" s="35">
        <f>SUMIFS(F7182:F9015,K7182:K9015,"0",B7182:B9015,"5 1 2 9 6 12 31111 6 M59 96200 000132 0000R 00001 00296 015 2112000 2024 CP1AL423*")</f>
        <v>3099.98</v>
      </c>
      <c r="G7181" s="35">
        <f>SUMIFS(G7182:G9015,K7182:K9015,"0",B7182:B9015,"5 1 2 9 6 12 31111 6 M59 96200 000132 0000R 00001 00296 015 2112000 2024 CP1AL423*")</f>
        <v>0</v>
      </c>
      <c r="H7181" s="35">
        <f t="shared" si="113"/>
        <v>3099.98</v>
      </c>
      <c r="I7181" s="35"/>
      <c r="K7181" t="s">
        <v>15</v>
      </c>
    </row>
    <row r="7182" spans="2:11" ht="41.25" x14ac:dyDescent="0.2">
      <c r="B7182" s="33" t="s">
        <v>8215</v>
      </c>
      <c r="C7182" s="33" t="s">
        <v>282</v>
      </c>
      <c r="D7182" s="35">
        <f>SUMIFS(D7183:D9015,K7183:K9015,"0",B7183:B9015,"5 1 2 9 6 12 31111 6 M59 96200 000132 0000R 00001 00296 015 2112000 2024 CP1AL423 001*")-SUMIFS(E7183:E9015,K7183:K9015,"0",B7183:B9015,"5 1 2 9 6 12 31111 6 M59 96200 000132 0000R 00001 00296 015 2112000 2024 CP1AL423 001*")</f>
        <v>0</v>
      </c>
      <c r="E7182"/>
      <c r="F7182" s="35">
        <f>SUMIFS(F7183:F9015,K7183:K9015,"0",B7183:B9015,"5 1 2 9 6 12 31111 6 M59 96200 000132 0000R 00001 00296 015 2112000 2024 CP1AL423 001*")</f>
        <v>3099.98</v>
      </c>
      <c r="G7182" s="35">
        <f>SUMIFS(G7183:G9015,K7183:K9015,"0",B7183:B9015,"5 1 2 9 6 12 31111 6 M59 96200 000132 0000R 00001 00296 015 2112000 2024 CP1AL423 001*")</f>
        <v>0</v>
      </c>
      <c r="H7182" s="35">
        <f t="shared" si="113"/>
        <v>3099.98</v>
      </c>
      <c r="I7182" s="35"/>
      <c r="K7182" t="s">
        <v>15</v>
      </c>
    </row>
    <row r="7183" spans="2:11" ht="41.25" x14ac:dyDescent="0.2">
      <c r="B7183" s="31" t="s">
        <v>8216</v>
      </c>
      <c r="C7183" s="31" t="s">
        <v>8079</v>
      </c>
      <c r="D7183" s="34">
        <v>0</v>
      </c>
      <c r="E7183" s="34"/>
      <c r="F7183" s="34">
        <v>3099.98</v>
      </c>
      <c r="G7183" s="34">
        <v>0</v>
      </c>
      <c r="H7183" s="34">
        <f t="shared" si="113"/>
        <v>3099.98</v>
      </c>
      <c r="I7183" s="34"/>
      <c r="K7183" t="s">
        <v>38</v>
      </c>
    </row>
    <row r="7184" spans="2:11" ht="16.5" x14ac:dyDescent="0.2">
      <c r="B7184" s="33" t="s">
        <v>8217</v>
      </c>
      <c r="C7184" s="33" t="s">
        <v>1308</v>
      </c>
      <c r="D7184" s="35">
        <f>SUMIFS(D7185:D9015,K7185:K9015,"0",B7185:B9015,"5 1 2 9 6 12 31111 6 M59 96300*")-SUMIFS(E7185:E9015,K7185:K9015,"0",B7185:B9015,"5 1 2 9 6 12 31111 6 M59 96300*")</f>
        <v>0</v>
      </c>
      <c r="E7184"/>
      <c r="F7184" s="35">
        <f>SUMIFS(F7185:F9015,K7185:K9015,"0",B7185:B9015,"5 1 2 9 6 12 31111 6 M59 96300*")</f>
        <v>62704.98</v>
      </c>
      <c r="G7184" s="35">
        <f>SUMIFS(G7185:G9015,K7185:K9015,"0",B7185:B9015,"5 1 2 9 6 12 31111 6 M59 96300*")</f>
        <v>0</v>
      </c>
      <c r="H7184" s="35">
        <f t="shared" si="113"/>
        <v>62704.98</v>
      </c>
      <c r="I7184" s="35"/>
      <c r="K7184" t="s">
        <v>15</v>
      </c>
    </row>
    <row r="7185" spans="2:11" ht="16.5" x14ac:dyDescent="0.2">
      <c r="B7185" s="33" t="s">
        <v>8218</v>
      </c>
      <c r="C7185" s="33" t="s">
        <v>1310</v>
      </c>
      <c r="D7185" s="35">
        <f>SUMIFS(D7186:D9015,K7186:K9015,"0",B7186:B9015,"5 1 2 9 6 12 31111 6 M59 96300 000211*")-SUMIFS(E7186:E9015,K7186:K9015,"0",B7186:B9015,"5 1 2 9 6 12 31111 6 M59 96300 000211*")</f>
        <v>0</v>
      </c>
      <c r="E7185"/>
      <c r="F7185" s="35">
        <f>SUMIFS(F7186:F9015,K7186:K9015,"0",B7186:B9015,"5 1 2 9 6 12 31111 6 M59 96300 000211*")</f>
        <v>62704.98</v>
      </c>
      <c r="G7185" s="35">
        <f>SUMIFS(G7186:G9015,K7186:K9015,"0",B7186:B9015,"5 1 2 9 6 12 31111 6 M59 96300 000211*")</f>
        <v>0</v>
      </c>
      <c r="H7185" s="35">
        <f t="shared" si="113"/>
        <v>62704.98</v>
      </c>
      <c r="I7185" s="35"/>
      <c r="K7185" t="s">
        <v>15</v>
      </c>
    </row>
    <row r="7186" spans="2:11" ht="24.75" x14ac:dyDescent="0.2">
      <c r="B7186" s="33" t="s">
        <v>8219</v>
      </c>
      <c r="C7186" s="33" t="s">
        <v>1065</v>
      </c>
      <c r="D7186" s="35">
        <f>SUMIFS(D7187:D9015,K7187:K9015,"0",B7187:B9015,"5 1 2 9 6 12 31111 6 M59 96300 000211 0000E*")-SUMIFS(E7187:E9015,K7187:K9015,"0",B7187:B9015,"5 1 2 9 6 12 31111 6 M59 96300 000211 0000E*")</f>
        <v>0</v>
      </c>
      <c r="E7186"/>
      <c r="F7186" s="35">
        <f>SUMIFS(F7187:F9015,K7187:K9015,"0",B7187:B9015,"5 1 2 9 6 12 31111 6 M59 96300 000211 0000E*")</f>
        <v>62704.98</v>
      </c>
      <c r="G7186" s="35">
        <f>SUMIFS(G7187:G9015,K7187:K9015,"0",B7187:B9015,"5 1 2 9 6 12 31111 6 M59 96300 000211 0000E*")</f>
        <v>0</v>
      </c>
      <c r="H7186" s="35">
        <f t="shared" si="113"/>
        <v>62704.98</v>
      </c>
      <c r="I7186" s="35"/>
      <c r="K7186" t="s">
        <v>15</v>
      </c>
    </row>
    <row r="7187" spans="2:11" ht="24.75" x14ac:dyDescent="0.2">
      <c r="B7187" s="33" t="s">
        <v>8220</v>
      </c>
      <c r="C7187" s="33" t="s">
        <v>282</v>
      </c>
      <c r="D7187" s="35">
        <f>SUMIFS(D7188:D9015,K7188:K9015,"0",B7188:B9015,"5 1 2 9 6 12 31111 6 M59 96300 000211 0000E 00001*")-SUMIFS(E7188:E9015,K7188:K9015,"0",B7188:B9015,"5 1 2 9 6 12 31111 6 M59 96300 000211 0000E 00001*")</f>
        <v>0</v>
      </c>
      <c r="E7187"/>
      <c r="F7187" s="35">
        <f>SUMIFS(F7188:F9015,K7188:K9015,"0",B7188:B9015,"5 1 2 9 6 12 31111 6 M59 96300 000211 0000E 00001*")</f>
        <v>62704.98</v>
      </c>
      <c r="G7187" s="35">
        <f>SUMIFS(G7188:G9015,K7188:K9015,"0",B7188:B9015,"5 1 2 9 6 12 31111 6 M59 96300 000211 0000E 00001*")</f>
        <v>0</v>
      </c>
      <c r="H7187" s="35">
        <f t="shared" si="113"/>
        <v>62704.98</v>
      </c>
      <c r="I7187" s="35"/>
      <c r="K7187" t="s">
        <v>15</v>
      </c>
    </row>
    <row r="7188" spans="2:11" ht="24.75" x14ac:dyDescent="0.2">
      <c r="B7188" s="33" t="s">
        <v>8221</v>
      </c>
      <c r="C7188" s="33" t="s">
        <v>8079</v>
      </c>
      <c r="D7188" s="35">
        <f>SUMIFS(D7189:D9015,K7189:K9015,"0",B7189:B9015,"5 1 2 9 6 12 31111 6 M59 96300 000211 0000E 00001 00296*")-SUMIFS(E7189:E9015,K7189:K9015,"0",B7189:B9015,"5 1 2 9 6 12 31111 6 M59 96300 000211 0000E 00001 00296*")</f>
        <v>0</v>
      </c>
      <c r="E7188"/>
      <c r="F7188" s="35">
        <f>SUMIFS(F7189:F9015,K7189:K9015,"0",B7189:B9015,"5 1 2 9 6 12 31111 6 M59 96300 000211 0000E 00001 00296*")</f>
        <v>62704.98</v>
      </c>
      <c r="G7188" s="35">
        <f>SUMIFS(G7189:G9015,K7189:K9015,"0",B7189:B9015,"5 1 2 9 6 12 31111 6 M59 96300 000211 0000E 00001 00296*")</f>
        <v>0</v>
      </c>
      <c r="H7188" s="35">
        <f t="shared" si="113"/>
        <v>62704.98</v>
      </c>
      <c r="I7188" s="35"/>
      <c r="K7188" t="s">
        <v>15</v>
      </c>
    </row>
    <row r="7189" spans="2:11" ht="33" x14ac:dyDescent="0.2">
      <c r="B7189" s="33" t="s">
        <v>8222</v>
      </c>
      <c r="C7189" s="33" t="s">
        <v>699</v>
      </c>
      <c r="D7189" s="35">
        <f>SUMIFS(D7190:D9015,K7190:K9015,"0",B7190:B9015,"5 1 2 9 6 12 31111 6 M59 96300 000211 0000E 00001 00296 011*")-SUMIFS(E7190:E9015,K7190:K9015,"0",B7190:B9015,"5 1 2 9 6 12 31111 6 M59 96300 000211 0000E 00001 00296 011*")</f>
        <v>0</v>
      </c>
      <c r="E7189"/>
      <c r="F7189" s="35">
        <f>SUMIFS(F7190:F9015,K7190:K9015,"0",B7190:B9015,"5 1 2 9 6 12 31111 6 M59 96300 000211 0000E 00001 00296 011*")</f>
        <v>24800</v>
      </c>
      <c r="G7189" s="35">
        <f>SUMIFS(G7190:G9015,K7190:K9015,"0",B7190:B9015,"5 1 2 9 6 12 31111 6 M59 96300 000211 0000E 00001 00296 011*")</f>
        <v>0</v>
      </c>
      <c r="H7189" s="35">
        <f t="shared" si="113"/>
        <v>24800</v>
      </c>
      <c r="I7189" s="35"/>
      <c r="K7189" t="s">
        <v>15</v>
      </c>
    </row>
    <row r="7190" spans="2:11" ht="33" x14ac:dyDescent="0.2">
      <c r="B7190" s="33" t="s">
        <v>8223</v>
      </c>
      <c r="C7190" s="33" t="s">
        <v>5830</v>
      </c>
      <c r="D7190" s="35">
        <f>SUMIFS(D7191:D9015,K7191:K9015,"0",B7191:B9015,"5 1 2 9 6 12 31111 6 M59 96300 000211 0000E 00001 00296 011 2112000*")-SUMIFS(E7191:E9015,K7191:K9015,"0",B7191:B9015,"5 1 2 9 6 12 31111 6 M59 96300 000211 0000E 00001 00296 011 2112000*")</f>
        <v>0</v>
      </c>
      <c r="E7190"/>
      <c r="F7190" s="35">
        <f>SUMIFS(F7191:F9015,K7191:K9015,"0",B7191:B9015,"5 1 2 9 6 12 31111 6 M59 96300 000211 0000E 00001 00296 011 2112000*")</f>
        <v>24800</v>
      </c>
      <c r="G7190" s="35">
        <f>SUMIFS(G7191:G9015,K7191:K9015,"0",B7191:B9015,"5 1 2 9 6 12 31111 6 M59 96300 000211 0000E 00001 00296 011 2112000*")</f>
        <v>0</v>
      </c>
      <c r="H7190" s="35">
        <f t="shared" si="113"/>
        <v>24800</v>
      </c>
      <c r="I7190" s="35"/>
      <c r="K7190" t="s">
        <v>15</v>
      </c>
    </row>
    <row r="7191" spans="2:11" ht="33" x14ac:dyDescent="0.2">
      <c r="B7191" s="33" t="s">
        <v>8224</v>
      </c>
      <c r="C7191" s="33" t="s">
        <v>660</v>
      </c>
      <c r="D7191" s="35">
        <f>SUMIFS(D7192:D9015,K7192:K9015,"0",B7192:B9015,"5 1 2 9 6 12 31111 6 M59 96300 000211 0000E 00001 00296 011 2112000 2024*")-SUMIFS(E7192:E9015,K7192:K9015,"0",B7192:B9015,"5 1 2 9 6 12 31111 6 M59 96300 000211 0000E 00001 00296 011 2112000 2024*")</f>
        <v>0</v>
      </c>
      <c r="E7191"/>
      <c r="F7191" s="35">
        <f>SUMIFS(F7192:F9015,K7192:K9015,"0",B7192:B9015,"5 1 2 9 6 12 31111 6 M59 96300 000211 0000E 00001 00296 011 2112000 2024*")</f>
        <v>24800</v>
      </c>
      <c r="G7191" s="35">
        <f>SUMIFS(G7192:G9015,K7192:K9015,"0",B7192:B9015,"5 1 2 9 6 12 31111 6 M59 96300 000211 0000E 00001 00296 011 2112000 2024*")</f>
        <v>0</v>
      </c>
      <c r="H7191" s="35">
        <f t="shared" si="113"/>
        <v>24800</v>
      </c>
      <c r="I7191" s="35"/>
      <c r="K7191" t="s">
        <v>15</v>
      </c>
    </row>
    <row r="7192" spans="2:11" ht="41.25" x14ac:dyDescent="0.2">
      <c r="B7192" s="33" t="s">
        <v>8225</v>
      </c>
      <c r="C7192" s="33" t="s">
        <v>6757</v>
      </c>
      <c r="D7192" s="35">
        <f>SUMIFS(D7193:D9015,K7193:K9015,"0",B7193:B9015,"5 1 2 9 6 12 31111 6 M59 96300 000211 0000E 00001 00296 011 2112000 2024 CP3SB474*")-SUMIFS(E7193:E9015,K7193:K9015,"0",B7193:B9015,"5 1 2 9 6 12 31111 6 M59 96300 000211 0000E 00001 00296 011 2112000 2024 CP3SB474*")</f>
        <v>0</v>
      </c>
      <c r="E7192"/>
      <c r="F7192" s="35">
        <f>SUMIFS(F7193:F9015,K7193:K9015,"0",B7193:B9015,"5 1 2 9 6 12 31111 6 M59 96300 000211 0000E 00001 00296 011 2112000 2024 CP3SB474*")</f>
        <v>24800</v>
      </c>
      <c r="G7192" s="35">
        <f>SUMIFS(G7193:G9015,K7193:K9015,"0",B7193:B9015,"5 1 2 9 6 12 31111 6 M59 96300 000211 0000E 00001 00296 011 2112000 2024 CP3SB474*")</f>
        <v>0</v>
      </c>
      <c r="H7192" s="35">
        <f t="shared" si="113"/>
        <v>24800</v>
      </c>
      <c r="I7192" s="35"/>
      <c r="K7192" t="s">
        <v>15</v>
      </c>
    </row>
    <row r="7193" spans="2:11" ht="41.25" x14ac:dyDescent="0.2">
      <c r="B7193" s="33" t="s">
        <v>8226</v>
      </c>
      <c r="C7193" s="33" t="s">
        <v>46</v>
      </c>
      <c r="D7193" s="35">
        <f>SUMIFS(D7194:D9015,K7194:K9015,"0",B7194:B9015,"5 1 2 9 6 12 31111 6 M59 96300 000211 0000E 00001 00296 011 2112000 2024 CP3SB474 004*")-SUMIFS(E7194:E9015,K7194:K9015,"0",B7194:B9015,"5 1 2 9 6 12 31111 6 M59 96300 000211 0000E 00001 00296 011 2112000 2024 CP3SB474 004*")</f>
        <v>0</v>
      </c>
      <c r="E7193"/>
      <c r="F7193" s="35">
        <f>SUMIFS(F7194:F9015,K7194:K9015,"0",B7194:B9015,"5 1 2 9 6 12 31111 6 M59 96300 000211 0000E 00001 00296 011 2112000 2024 CP3SB474 004*")</f>
        <v>24800</v>
      </c>
      <c r="G7193" s="35">
        <f>SUMIFS(G7194:G9015,K7194:K9015,"0",B7194:B9015,"5 1 2 9 6 12 31111 6 M59 96300 000211 0000E 00001 00296 011 2112000 2024 CP3SB474 004*")</f>
        <v>0</v>
      </c>
      <c r="H7193" s="35">
        <f t="shared" si="113"/>
        <v>24800</v>
      </c>
      <c r="I7193" s="35"/>
      <c r="K7193" t="s">
        <v>15</v>
      </c>
    </row>
    <row r="7194" spans="2:11" ht="33" x14ac:dyDescent="0.2">
      <c r="B7194" s="31" t="s">
        <v>8227</v>
      </c>
      <c r="C7194" s="31" t="s">
        <v>8079</v>
      </c>
      <c r="D7194" s="34">
        <v>0</v>
      </c>
      <c r="E7194" s="34"/>
      <c r="F7194" s="34">
        <v>24800</v>
      </c>
      <c r="G7194" s="34">
        <v>0</v>
      </c>
      <c r="H7194" s="34">
        <f t="shared" si="113"/>
        <v>24800</v>
      </c>
      <c r="I7194" s="34"/>
      <c r="K7194" t="s">
        <v>38</v>
      </c>
    </row>
    <row r="7195" spans="2:11" ht="33" x14ac:dyDescent="0.2">
      <c r="B7195" s="33" t="s">
        <v>8228</v>
      </c>
      <c r="C7195" s="33" t="s">
        <v>1051</v>
      </c>
      <c r="D7195" s="35">
        <f>SUMIFS(D7196:D9015,K7196:K9015,"0",B7196:B9015,"5 1 2 9 6 12 31111 6 M59 96300 000211 0000E 00001 00296 015*")-SUMIFS(E7196:E9015,K7196:K9015,"0",B7196:B9015,"5 1 2 9 6 12 31111 6 M59 96300 000211 0000E 00001 00296 015*")</f>
        <v>0</v>
      </c>
      <c r="E7195"/>
      <c r="F7195" s="35">
        <f>SUMIFS(F7196:F9015,K7196:K9015,"0",B7196:B9015,"5 1 2 9 6 12 31111 6 M59 96300 000211 0000E 00001 00296 015*")</f>
        <v>37904.980000000003</v>
      </c>
      <c r="G7195" s="35">
        <f>SUMIFS(G7196:G9015,K7196:K9015,"0",B7196:B9015,"5 1 2 9 6 12 31111 6 M59 96300 000211 0000E 00001 00296 015*")</f>
        <v>0</v>
      </c>
      <c r="H7195" s="35">
        <f t="shared" si="113"/>
        <v>37904.980000000003</v>
      </c>
      <c r="I7195" s="35"/>
      <c r="K7195" t="s">
        <v>15</v>
      </c>
    </row>
    <row r="7196" spans="2:11" ht="33" x14ac:dyDescent="0.2">
      <c r="B7196" s="33" t="s">
        <v>8229</v>
      </c>
      <c r="C7196" s="33" t="s">
        <v>5830</v>
      </c>
      <c r="D7196" s="35">
        <f>SUMIFS(D7197:D9015,K7197:K9015,"0",B7197:B9015,"5 1 2 9 6 12 31111 6 M59 96300 000211 0000E 00001 00296 015 2112000*")-SUMIFS(E7197:E9015,K7197:K9015,"0",B7197:B9015,"5 1 2 9 6 12 31111 6 M59 96300 000211 0000E 00001 00296 015 2112000*")</f>
        <v>0</v>
      </c>
      <c r="E7196"/>
      <c r="F7196" s="35">
        <f>SUMIFS(F7197:F9015,K7197:K9015,"0",B7197:B9015,"5 1 2 9 6 12 31111 6 M59 96300 000211 0000E 00001 00296 015 2112000*")</f>
        <v>37904.980000000003</v>
      </c>
      <c r="G7196" s="35">
        <f>SUMIFS(G7197:G9015,K7197:K9015,"0",B7197:B9015,"5 1 2 9 6 12 31111 6 M59 96300 000211 0000E 00001 00296 015 2112000*")</f>
        <v>0</v>
      </c>
      <c r="H7196" s="35">
        <f t="shared" si="113"/>
        <v>37904.980000000003</v>
      </c>
      <c r="I7196" s="35"/>
      <c r="K7196" t="s">
        <v>15</v>
      </c>
    </row>
    <row r="7197" spans="2:11" ht="33" x14ac:dyDescent="0.2">
      <c r="B7197" s="33" t="s">
        <v>8230</v>
      </c>
      <c r="C7197" s="33" t="s">
        <v>660</v>
      </c>
      <c r="D7197" s="35">
        <f>SUMIFS(D7198:D9015,K7198:K9015,"0",B7198:B9015,"5 1 2 9 6 12 31111 6 M59 96300 000211 0000E 00001 00296 015 2112000 2024*")-SUMIFS(E7198:E9015,K7198:K9015,"0",B7198:B9015,"5 1 2 9 6 12 31111 6 M59 96300 000211 0000E 00001 00296 015 2112000 2024*")</f>
        <v>0</v>
      </c>
      <c r="E7197"/>
      <c r="F7197" s="35">
        <f>SUMIFS(F7198:F9015,K7198:K9015,"0",B7198:B9015,"5 1 2 9 6 12 31111 6 M59 96300 000211 0000E 00001 00296 015 2112000 2024*")</f>
        <v>37904.980000000003</v>
      </c>
      <c r="G7197" s="35">
        <f>SUMIFS(G7198:G9015,K7198:K9015,"0",B7198:B9015,"5 1 2 9 6 12 31111 6 M59 96300 000211 0000E 00001 00296 015 2112000 2024*")</f>
        <v>0</v>
      </c>
      <c r="H7197" s="35">
        <f t="shared" si="113"/>
        <v>37904.980000000003</v>
      </c>
      <c r="I7197" s="35"/>
      <c r="K7197" t="s">
        <v>15</v>
      </c>
    </row>
    <row r="7198" spans="2:11" ht="41.25" x14ac:dyDescent="0.2">
      <c r="B7198" s="33" t="s">
        <v>8231</v>
      </c>
      <c r="C7198" s="33" t="s">
        <v>1056</v>
      </c>
      <c r="D7198" s="35">
        <f>SUMIFS(D7199:D9015,K7199:K9015,"0",B7199:B9015,"5 1 2 9 6 12 31111 6 M59 96300 000211 0000E 00001 00296 015 2112000 2024 CP1SB396*")-SUMIFS(E7199:E9015,K7199:K9015,"0",B7199:B9015,"5 1 2 9 6 12 31111 6 M59 96300 000211 0000E 00001 00296 015 2112000 2024 CP1SB396*")</f>
        <v>0</v>
      </c>
      <c r="E7198"/>
      <c r="F7198" s="35">
        <f>SUMIFS(F7199:F9015,K7199:K9015,"0",B7199:B9015,"5 1 2 9 6 12 31111 6 M59 96300 000211 0000E 00001 00296 015 2112000 2024 CP1SB396*")</f>
        <v>37904.980000000003</v>
      </c>
      <c r="G7198" s="35">
        <f>SUMIFS(G7199:G9015,K7199:K9015,"0",B7199:B9015,"5 1 2 9 6 12 31111 6 M59 96300 000211 0000E 00001 00296 015 2112000 2024 CP1SB396*")</f>
        <v>0</v>
      </c>
      <c r="H7198" s="35">
        <f t="shared" si="113"/>
        <v>37904.980000000003</v>
      </c>
      <c r="I7198" s="35"/>
      <c r="K7198" t="s">
        <v>15</v>
      </c>
    </row>
    <row r="7199" spans="2:11" ht="41.25" x14ac:dyDescent="0.2">
      <c r="B7199" s="33" t="s">
        <v>8232</v>
      </c>
      <c r="C7199" s="33" t="s">
        <v>282</v>
      </c>
      <c r="D7199" s="35">
        <f>SUMIFS(D7200:D9015,K7200:K9015,"0",B7200:B9015,"5 1 2 9 6 12 31111 6 M59 96300 000211 0000E 00001 00296 015 2112000 2024 CP1SB396 001*")-SUMIFS(E7200:E9015,K7200:K9015,"0",B7200:B9015,"5 1 2 9 6 12 31111 6 M59 96300 000211 0000E 00001 00296 015 2112000 2024 CP1SB396 001*")</f>
        <v>0</v>
      </c>
      <c r="E7199"/>
      <c r="F7199" s="35">
        <f>SUMIFS(F7200:F9015,K7200:K9015,"0",B7200:B9015,"5 1 2 9 6 12 31111 6 M59 96300 000211 0000E 00001 00296 015 2112000 2024 CP1SB396 001*")</f>
        <v>37904.980000000003</v>
      </c>
      <c r="G7199" s="35">
        <f>SUMIFS(G7200:G9015,K7200:K9015,"0",B7200:B9015,"5 1 2 9 6 12 31111 6 M59 96300 000211 0000E 00001 00296 015 2112000 2024 CP1SB396 001*")</f>
        <v>0</v>
      </c>
      <c r="H7199" s="35">
        <f t="shared" si="113"/>
        <v>37904.980000000003</v>
      </c>
      <c r="I7199" s="35"/>
      <c r="K7199" t="s">
        <v>15</v>
      </c>
    </row>
    <row r="7200" spans="2:11" ht="33" x14ac:dyDescent="0.2">
      <c r="B7200" s="31" t="s">
        <v>8233</v>
      </c>
      <c r="C7200" s="31" t="s">
        <v>8079</v>
      </c>
      <c r="D7200" s="34">
        <v>0</v>
      </c>
      <c r="E7200" s="34"/>
      <c r="F7200" s="34">
        <v>37904.980000000003</v>
      </c>
      <c r="G7200" s="34">
        <v>0</v>
      </c>
      <c r="H7200" s="34">
        <f t="shared" si="113"/>
        <v>37904.980000000003</v>
      </c>
      <c r="I7200" s="34"/>
      <c r="K7200" t="s">
        <v>38</v>
      </c>
    </row>
    <row r="7201" spans="2:11" ht="24.75" x14ac:dyDescent="0.2">
      <c r="B7201" s="33" t="s">
        <v>8234</v>
      </c>
      <c r="C7201" s="33" t="s">
        <v>8235</v>
      </c>
      <c r="D7201" s="35">
        <f>SUMIFS(D7202:D9015,K7202:K9015,"0",B7202:B9015,"5 1 2 9 8*")-SUMIFS(E7202:E9015,K7202:K9015,"0",B7202:B9015,"5 1 2 9 8*")</f>
        <v>0</v>
      </c>
      <c r="E7201"/>
      <c r="F7201" s="35">
        <f>SUMIFS(F7202:F9015,K7202:K9015,"0",B7202:B9015,"5 1 2 9 8*")</f>
        <v>217376.95</v>
      </c>
      <c r="G7201" s="35">
        <f>SUMIFS(G7202:G9015,K7202:K9015,"0",B7202:B9015,"5 1 2 9 8*")</f>
        <v>0</v>
      </c>
      <c r="H7201" s="35">
        <f t="shared" si="113"/>
        <v>217376.95</v>
      </c>
      <c r="I7201" s="35"/>
      <c r="K7201" t="s">
        <v>15</v>
      </c>
    </row>
    <row r="7202" spans="2:11" ht="12.75" x14ac:dyDescent="0.2">
      <c r="B7202" s="33" t="s">
        <v>8236</v>
      </c>
      <c r="C7202" s="33" t="s">
        <v>26</v>
      </c>
      <c r="D7202" s="35">
        <f>SUMIFS(D7203:D9015,K7203:K9015,"0",B7203:B9015,"5 1 2 9 8 12*")-SUMIFS(E7203:E9015,K7203:K9015,"0",B7203:B9015,"5 1 2 9 8 12*")</f>
        <v>0</v>
      </c>
      <c r="E7202"/>
      <c r="F7202" s="35">
        <f>SUMIFS(F7203:F9015,K7203:K9015,"0",B7203:B9015,"5 1 2 9 8 12*")</f>
        <v>217376.95</v>
      </c>
      <c r="G7202" s="35">
        <f>SUMIFS(G7203:G9015,K7203:K9015,"0",B7203:B9015,"5 1 2 9 8 12*")</f>
        <v>0</v>
      </c>
      <c r="H7202" s="35">
        <f t="shared" si="113"/>
        <v>217376.95</v>
      </c>
      <c r="I7202" s="35"/>
      <c r="K7202" t="s">
        <v>15</v>
      </c>
    </row>
    <row r="7203" spans="2:11" ht="16.5" x14ac:dyDescent="0.2">
      <c r="B7203" s="33" t="s">
        <v>8237</v>
      </c>
      <c r="C7203" s="33" t="s">
        <v>28</v>
      </c>
      <c r="D7203" s="35">
        <f>SUMIFS(D7204:D9015,K7204:K9015,"0",B7204:B9015,"5 1 2 9 8 12 31111*")-SUMIFS(E7204:E9015,K7204:K9015,"0",B7204:B9015,"5 1 2 9 8 12 31111*")</f>
        <v>0</v>
      </c>
      <c r="E7203"/>
      <c r="F7203" s="35">
        <f>SUMIFS(F7204:F9015,K7204:K9015,"0",B7204:B9015,"5 1 2 9 8 12 31111*")</f>
        <v>217376.95</v>
      </c>
      <c r="G7203" s="35">
        <f>SUMIFS(G7204:G9015,K7204:K9015,"0",B7204:B9015,"5 1 2 9 8 12 31111*")</f>
        <v>0</v>
      </c>
      <c r="H7203" s="35">
        <f t="shared" si="113"/>
        <v>217376.95</v>
      </c>
      <c r="I7203" s="35"/>
      <c r="K7203" t="s">
        <v>15</v>
      </c>
    </row>
    <row r="7204" spans="2:11" ht="12.75" x14ac:dyDescent="0.2">
      <c r="B7204" s="33" t="s">
        <v>8238</v>
      </c>
      <c r="C7204" s="33" t="s">
        <v>30</v>
      </c>
      <c r="D7204" s="35">
        <f>SUMIFS(D7205:D9015,K7205:K9015,"0",B7205:B9015,"5 1 2 9 8 12 31111 6*")-SUMIFS(E7205:E9015,K7205:K9015,"0",B7205:B9015,"5 1 2 9 8 12 31111 6*")</f>
        <v>0</v>
      </c>
      <c r="E7204"/>
      <c r="F7204" s="35">
        <f>SUMIFS(F7205:F9015,K7205:K9015,"0",B7205:B9015,"5 1 2 9 8 12 31111 6*")</f>
        <v>217376.95</v>
      </c>
      <c r="G7204" s="35">
        <f>SUMIFS(G7205:G9015,K7205:K9015,"0",B7205:B9015,"5 1 2 9 8 12 31111 6*")</f>
        <v>0</v>
      </c>
      <c r="H7204" s="35">
        <f t="shared" si="113"/>
        <v>217376.95</v>
      </c>
      <c r="I7204" s="35"/>
      <c r="K7204" t="s">
        <v>15</v>
      </c>
    </row>
    <row r="7205" spans="2:11" ht="16.5" x14ac:dyDescent="0.2">
      <c r="B7205" s="33" t="s">
        <v>8239</v>
      </c>
      <c r="C7205" s="33" t="s">
        <v>2284</v>
      </c>
      <c r="D7205" s="35">
        <f>SUMIFS(D7206:D9015,K7206:K9015,"0",B7206:B9015,"5 1 2 9 8 12 31111 6 M59*")-SUMIFS(E7206:E9015,K7206:K9015,"0",B7206:B9015,"5 1 2 9 8 12 31111 6 M59*")</f>
        <v>0</v>
      </c>
      <c r="E7205"/>
      <c r="F7205" s="35">
        <f>SUMIFS(F7206:F9015,K7206:K9015,"0",B7206:B9015,"5 1 2 9 8 12 31111 6 M59*")</f>
        <v>217376.95</v>
      </c>
      <c r="G7205" s="35">
        <f>SUMIFS(G7206:G9015,K7206:K9015,"0",B7206:B9015,"5 1 2 9 8 12 31111 6 M59*")</f>
        <v>0</v>
      </c>
      <c r="H7205" s="35">
        <f t="shared" si="113"/>
        <v>217376.95</v>
      </c>
      <c r="I7205" s="35"/>
      <c r="K7205" t="s">
        <v>15</v>
      </c>
    </row>
    <row r="7206" spans="2:11" ht="16.5" x14ac:dyDescent="0.2">
      <c r="B7206" s="33" t="s">
        <v>8240</v>
      </c>
      <c r="C7206" s="33" t="s">
        <v>1092</v>
      </c>
      <c r="D7206" s="35">
        <f>SUMIFS(D7207:D9015,K7207:K9015,"0",B7207:B9015,"5 1 2 9 8 12 31111 6 M59 40000*")-SUMIFS(E7207:E9015,K7207:K9015,"0",B7207:B9015,"5 1 2 9 8 12 31111 6 M59 40000*")</f>
        <v>0</v>
      </c>
      <c r="E7206"/>
      <c r="F7206" s="35">
        <f>SUMIFS(F7207:F9015,K7207:K9015,"0",B7207:B9015,"5 1 2 9 8 12 31111 6 M59 40000*")</f>
        <v>685</v>
      </c>
      <c r="G7206" s="35">
        <f>SUMIFS(G7207:G9015,K7207:K9015,"0",B7207:B9015,"5 1 2 9 8 12 31111 6 M59 40000*")</f>
        <v>0</v>
      </c>
      <c r="H7206" s="35">
        <f t="shared" si="113"/>
        <v>685</v>
      </c>
      <c r="I7206" s="35"/>
      <c r="K7206" t="s">
        <v>15</v>
      </c>
    </row>
    <row r="7207" spans="2:11" ht="16.5" x14ac:dyDescent="0.2">
      <c r="B7207" s="33" t="s">
        <v>8241</v>
      </c>
      <c r="C7207" s="33" t="s">
        <v>1094</v>
      </c>
      <c r="D7207" s="35">
        <f>SUMIFS(D7208:D9015,K7208:K9015,"0",B7208:B9015,"5 1 2 9 8 12 31111 6 M59 40000 000161*")-SUMIFS(E7208:E9015,K7208:K9015,"0",B7208:B9015,"5 1 2 9 8 12 31111 6 M59 40000 000161*")</f>
        <v>0</v>
      </c>
      <c r="E7207"/>
      <c r="F7207" s="35">
        <f>SUMIFS(F7208:F9015,K7208:K9015,"0",B7208:B9015,"5 1 2 9 8 12 31111 6 M59 40000 000161*")</f>
        <v>685</v>
      </c>
      <c r="G7207" s="35">
        <f>SUMIFS(G7208:G9015,K7208:K9015,"0",B7208:B9015,"5 1 2 9 8 12 31111 6 M59 40000 000161*")</f>
        <v>0</v>
      </c>
      <c r="H7207" s="35">
        <f t="shared" si="113"/>
        <v>685</v>
      </c>
      <c r="I7207" s="35"/>
      <c r="K7207" t="s">
        <v>15</v>
      </c>
    </row>
    <row r="7208" spans="2:11" ht="24.75" x14ac:dyDescent="0.2">
      <c r="B7208" s="33" t="s">
        <v>8242</v>
      </c>
      <c r="C7208" s="33" t="s">
        <v>1065</v>
      </c>
      <c r="D7208" s="35">
        <f>SUMIFS(D7209:D9015,K7209:K9015,"0",B7209:B9015,"5 1 2 9 8 12 31111 6 M59 40000 000161 0000E*")-SUMIFS(E7209:E9015,K7209:K9015,"0",B7209:B9015,"5 1 2 9 8 12 31111 6 M59 40000 000161 0000E*")</f>
        <v>0</v>
      </c>
      <c r="E7208"/>
      <c r="F7208" s="35">
        <f>SUMIFS(F7209:F9015,K7209:K9015,"0",B7209:B9015,"5 1 2 9 8 12 31111 6 M59 40000 000161 0000E*")</f>
        <v>685</v>
      </c>
      <c r="G7208" s="35">
        <f>SUMIFS(G7209:G9015,K7209:K9015,"0",B7209:B9015,"5 1 2 9 8 12 31111 6 M59 40000 000161 0000E*")</f>
        <v>0</v>
      </c>
      <c r="H7208" s="35">
        <f t="shared" si="113"/>
        <v>685</v>
      </c>
      <c r="I7208" s="35"/>
      <c r="K7208" t="s">
        <v>15</v>
      </c>
    </row>
    <row r="7209" spans="2:11" ht="24.75" x14ac:dyDescent="0.2">
      <c r="B7209" s="33" t="s">
        <v>8243</v>
      </c>
      <c r="C7209" s="33" t="s">
        <v>282</v>
      </c>
      <c r="D7209" s="35">
        <f>SUMIFS(D7210:D9015,K7210:K9015,"0",B7210:B9015,"5 1 2 9 8 12 31111 6 M59 40000 000161 0000E 00001*")-SUMIFS(E7210:E9015,K7210:K9015,"0",B7210:B9015,"5 1 2 9 8 12 31111 6 M59 40000 000161 0000E 00001*")</f>
        <v>0</v>
      </c>
      <c r="E7209"/>
      <c r="F7209" s="35">
        <f>SUMIFS(F7210:F9015,K7210:K9015,"0",B7210:B9015,"5 1 2 9 8 12 31111 6 M59 40000 000161 0000E 00001*")</f>
        <v>685</v>
      </c>
      <c r="G7209" s="35">
        <f>SUMIFS(G7210:G9015,K7210:K9015,"0",B7210:B9015,"5 1 2 9 8 12 31111 6 M59 40000 000161 0000E 00001*")</f>
        <v>0</v>
      </c>
      <c r="H7209" s="35">
        <f t="shared" si="113"/>
        <v>685</v>
      </c>
      <c r="I7209" s="35"/>
      <c r="K7209" t="s">
        <v>15</v>
      </c>
    </row>
    <row r="7210" spans="2:11" ht="24.75" x14ac:dyDescent="0.2">
      <c r="B7210" s="33" t="s">
        <v>8244</v>
      </c>
      <c r="C7210" s="33" t="s">
        <v>8245</v>
      </c>
      <c r="D7210" s="35">
        <f>SUMIFS(D7211:D9015,K7211:K9015,"0",B7211:B9015,"5 1 2 9 8 12 31111 6 M59 40000 000161 0000E 00001 00298*")-SUMIFS(E7211:E9015,K7211:K9015,"0",B7211:B9015,"5 1 2 9 8 12 31111 6 M59 40000 000161 0000E 00001 00298*")</f>
        <v>0</v>
      </c>
      <c r="E7210"/>
      <c r="F7210" s="35">
        <f>SUMIFS(F7211:F9015,K7211:K9015,"0",B7211:B9015,"5 1 2 9 8 12 31111 6 M59 40000 000161 0000E 00001 00298*")</f>
        <v>685</v>
      </c>
      <c r="G7210" s="35">
        <f>SUMIFS(G7211:G9015,K7211:K9015,"0",B7211:B9015,"5 1 2 9 8 12 31111 6 M59 40000 000161 0000E 00001 00298*")</f>
        <v>0</v>
      </c>
      <c r="H7210" s="35">
        <f t="shared" si="113"/>
        <v>685</v>
      </c>
      <c r="I7210" s="35"/>
      <c r="K7210" t="s">
        <v>15</v>
      </c>
    </row>
    <row r="7211" spans="2:11" ht="33" x14ac:dyDescent="0.2">
      <c r="B7211" s="33" t="s">
        <v>8246</v>
      </c>
      <c r="C7211" s="33" t="s">
        <v>656</v>
      </c>
      <c r="D7211" s="35">
        <f>SUMIFS(D7212:D9015,K7212:K9015,"0",B7212:B9015,"5 1 2 9 8 12 31111 6 M59 40000 000161 0000E 00001 00298 025*")-SUMIFS(E7212:E9015,K7212:K9015,"0",B7212:B9015,"5 1 2 9 8 12 31111 6 M59 40000 000161 0000E 00001 00298 025*")</f>
        <v>0</v>
      </c>
      <c r="E7211"/>
      <c r="F7211" s="35">
        <f>SUMIFS(F7212:F9015,K7212:K9015,"0",B7212:B9015,"5 1 2 9 8 12 31111 6 M59 40000 000161 0000E 00001 00298 025*")</f>
        <v>685</v>
      </c>
      <c r="G7211" s="35">
        <f>SUMIFS(G7212:G9015,K7212:K9015,"0",B7212:B9015,"5 1 2 9 8 12 31111 6 M59 40000 000161 0000E 00001 00298 025*")</f>
        <v>0</v>
      </c>
      <c r="H7211" s="35">
        <f t="shared" si="113"/>
        <v>685</v>
      </c>
      <c r="I7211" s="35"/>
      <c r="K7211" t="s">
        <v>15</v>
      </c>
    </row>
    <row r="7212" spans="2:11" ht="33" x14ac:dyDescent="0.2">
      <c r="B7212" s="33" t="s">
        <v>8247</v>
      </c>
      <c r="C7212" s="33" t="s">
        <v>5830</v>
      </c>
      <c r="D7212" s="35">
        <f>SUMIFS(D7213:D9015,K7213:K9015,"0",B7213:B9015,"5 1 2 9 8 12 31111 6 M59 40000 000161 0000E 00001 00298 025 2112000*")-SUMIFS(E7213:E9015,K7213:K9015,"0",B7213:B9015,"5 1 2 9 8 12 31111 6 M59 40000 000161 0000E 00001 00298 025 2112000*")</f>
        <v>0</v>
      </c>
      <c r="E7212"/>
      <c r="F7212" s="35">
        <f>SUMIFS(F7213:F9015,K7213:K9015,"0",B7213:B9015,"5 1 2 9 8 12 31111 6 M59 40000 000161 0000E 00001 00298 025 2112000*")</f>
        <v>685</v>
      </c>
      <c r="G7212" s="35">
        <f>SUMIFS(G7213:G9015,K7213:K9015,"0",B7213:B9015,"5 1 2 9 8 12 31111 6 M59 40000 000161 0000E 00001 00298 025 2112000*")</f>
        <v>0</v>
      </c>
      <c r="H7212" s="35">
        <f t="shared" si="113"/>
        <v>685</v>
      </c>
      <c r="I7212" s="35"/>
      <c r="K7212" t="s">
        <v>15</v>
      </c>
    </row>
    <row r="7213" spans="2:11" ht="33" x14ac:dyDescent="0.2">
      <c r="B7213" s="33" t="s">
        <v>8248</v>
      </c>
      <c r="C7213" s="33" t="s">
        <v>660</v>
      </c>
      <c r="D7213" s="35">
        <f>SUMIFS(D7214:D9015,K7214:K9015,"0",B7214:B9015,"5 1 2 9 8 12 31111 6 M59 40000 000161 0000E 00001 00298 025 2112000 2024*")-SUMIFS(E7214:E9015,K7214:K9015,"0",B7214:B9015,"5 1 2 9 8 12 31111 6 M59 40000 000161 0000E 00001 00298 025 2112000 2024*")</f>
        <v>0</v>
      </c>
      <c r="E7213"/>
      <c r="F7213" s="35">
        <f>SUMIFS(F7214:F9015,K7214:K9015,"0",B7214:B9015,"5 1 2 9 8 12 31111 6 M59 40000 000161 0000E 00001 00298 025 2112000 2024*")</f>
        <v>685</v>
      </c>
      <c r="G7213" s="35">
        <f>SUMIFS(G7214:G9015,K7214:K9015,"0",B7214:B9015,"5 1 2 9 8 12 31111 6 M59 40000 000161 0000E 00001 00298 025 2112000 2024*")</f>
        <v>0</v>
      </c>
      <c r="H7213" s="35">
        <f t="shared" si="113"/>
        <v>685</v>
      </c>
      <c r="I7213" s="35"/>
      <c r="K7213" t="s">
        <v>15</v>
      </c>
    </row>
    <row r="7214" spans="2:11" ht="41.25" x14ac:dyDescent="0.2">
      <c r="B7214" s="33" t="s">
        <v>8249</v>
      </c>
      <c r="C7214" s="33" t="s">
        <v>662</v>
      </c>
      <c r="D7214" s="35">
        <f>SUMIFS(D7215:D9015,K7215:K9015,"0",B7215:B9015,"5 1 2 9 8 12 31111 6 M59 40000 000161 0000E 00001 00298 025 2112000 2024 CP4SP372*")-SUMIFS(E7215:E9015,K7215:K9015,"0",B7215:B9015,"5 1 2 9 8 12 31111 6 M59 40000 000161 0000E 00001 00298 025 2112000 2024 CP4SP372*")</f>
        <v>0</v>
      </c>
      <c r="E7214"/>
      <c r="F7214" s="35">
        <f>SUMIFS(F7215:F9015,K7215:K9015,"0",B7215:B9015,"5 1 2 9 8 12 31111 6 M59 40000 000161 0000E 00001 00298 025 2112000 2024 CP4SP372*")</f>
        <v>685</v>
      </c>
      <c r="G7214" s="35">
        <f>SUMIFS(G7215:G9015,K7215:K9015,"0",B7215:B9015,"5 1 2 9 8 12 31111 6 M59 40000 000161 0000E 00001 00298 025 2112000 2024 CP4SP372*")</f>
        <v>0</v>
      </c>
      <c r="H7214" s="35">
        <f t="shared" si="113"/>
        <v>685</v>
      </c>
      <c r="I7214" s="35"/>
      <c r="K7214" t="s">
        <v>15</v>
      </c>
    </row>
    <row r="7215" spans="2:11" ht="41.25" x14ac:dyDescent="0.2">
      <c r="B7215" s="33" t="s">
        <v>8250</v>
      </c>
      <c r="C7215" s="33" t="s">
        <v>664</v>
      </c>
      <c r="D7215" s="35">
        <f>SUMIFS(D7216:D9015,K7216:K9015,"0",B7216:B9015,"5 1 2 9 8 12 31111 6 M59 40000 000161 0000E 00001 00298 025 2112000 2024 CP4SP372 003*")-SUMIFS(E7216:E9015,K7216:K9015,"0",B7216:B9015,"5 1 2 9 8 12 31111 6 M59 40000 000161 0000E 00001 00298 025 2112000 2024 CP4SP372 003*")</f>
        <v>0</v>
      </c>
      <c r="E7215"/>
      <c r="F7215" s="35">
        <f>SUMIFS(F7216:F9015,K7216:K9015,"0",B7216:B9015,"5 1 2 9 8 12 31111 6 M59 40000 000161 0000E 00001 00298 025 2112000 2024 CP4SP372 003*")</f>
        <v>685</v>
      </c>
      <c r="G7215" s="35">
        <f>SUMIFS(G7216:G9015,K7216:K9015,"0",B7216:B9015,"5 1 2 9 8 12 31111 6 M59 40000 000161 0000E 00001 00298 025 2112000 2024 CP4SP372 003*")</f>
        <v>0</v>
      </c>
      <c r="H7215" s="35">
        <f t="shared" si="113"/>
        <v>685</v>
      </c>
      <c r="I7215" s="35"/>
      <c r="K7215" t="s">
        <v>15</v>
      </c>
    </row>
    <row r="7216" spans="2:11" ht="33" x14ac:dyDescent="0.2">
      <c r="B7216" s="31" t="s">
        <v>8251</v>
      </c>
      <c r="C7216" s="31" t="s">
        <v>8235</v>
      </c>
      <c r="D7216" s="34">
        <v>0</v>
      </c>
      <c r="E7216" s="34"/>
      <c r="F7216" s="34">
        <v>685</v>
      </c>
      <c r="G7216" s="34">
        <v>0</v>
      </c>
      <c r="H7216" s="34">
        <f t="shared" si="113"/>
        <v>685</v>
      </c>
      <c r="I7216" s="34"/>
      <c r="K7216" t="s">
        <v>38</v>
      </c>
    </row>
    <row r="7217" spans="2:11" ht="16.5" x14ac:dyDescent="0.2">
      <c r="B7217" s="33" t="s">
        <v>8252</v>
      </c>
      <c r="C7217" s="33" t="s">
        <v>1105</v>
      </c>
      <c r="D7217" s="35">
        <f>SUMIFS(D7218:D9015,K7218:K9015,"0",B7218:B9015,"5 1 2 9 8 12 31111 6 M59 40200*")-SUMIFS(E7218:E9015,K7218:K9015,"0",B7218:B9015,"5 1 2 9 8 12 31111 6 M59 40200*")</f>
        <v>0</v>
      </c>
      <c r="E7217"/>
      <c r="F7217" s="35">
        <f>SUMIFS(F7218:F9015,K7218:K9015,"0",B7218:B9015,"5 1 2 9 8 12 31111 6 M59 40200*")</f>
        <v>285</v>
      </c>
      <c r="G7217" s="35">
        <f>SUMIFS(G7218:G9015,K7218:K9015,"0",B7218:B9015,"5 1 2 9 8 12 31111 6 M59 40200*")</f>
        <v>0</v>
      </c>
      <c r="H7217" s="35">
        <f t="shared" si="113"/>
        <v>285</v>
      </c>
      <c r="I7217" s="35"/>
      <c r="K7217" t="s">
        <v>15</v>
      </c>
    </row>
    <row r="7218" spans="2:11" ht="16.5" x14ac:dyDescent="0.2">
      <c r="B7218" s="33" t="s">
        <v>8253</v>
      </c>
      <c r="C7218" s="33" t="s">
        <v>1107</v>
      </c>
      <c r="D7218" s="35">
        <f>SUMIFS(D7219:D9015,K7219:K9015,"0",B7219:B9015,"5 1 2 9 8 12 31111 6 M59 40200 000172*")-SUMIFS(E7219:E9015,K7219:K9015,"0",B7219:B9015,"5 1 2 9 8 12 31111 6 M59 40200 000172*")</f>
        <v>0</v>
      </c>
      <c r="E7218"/>
      <c r="F7218" s="35">
        <f>SUMIFS(F7219:F9015,K7219:K9015,"0",B7219:B9015,"5 1 2 9 8 12 31111 6 M59 40200 000172*")</f>
        <v>285</v>
      </c>
      <c r="G7218" s="35">
        <f>SUMIFS(G7219:G9015,K7219:K9015,"0",B7219:B9015,"5 1 2 9 8 12 31111 6 M59 40200 000172*")</f>
        <v>0</v>
      </c>
      <c r="H7218" s="35">
        <f t="shared" si="113"/>
        <v>285</v>
      </c>
      <c r="I7218" s="35"/>
      <c r="K7218" t="s">
        <v>15</v>
      </c>
    </row>
    <row r="7219" spans="2:11" ht="24.75" x14ac:dyDescent="0.2">
      <c r="B7219" s="33" t="s">
        <v>8254</v>
      </c>
      <c r="C7219" s="33" t="s">
        <v>650</v>
      </c>
      <c r="D7219" s="35">
        <f>SUMIFS(D7220:D9015,K7220:K9015,"0",B7220:B9015,"5 1 2 9 8 12 31111 6 M59 40200 000172 0000R*")-SUMIFS(E7220:E9015,K7220:K9015,"0",B7220:B9015,"5 1 2 9 8 12 31111 6 M59 40200 000172 0000R*")</f>
        <v>0</v>
      </c>
      <c r="E7219"/>
      <c r="F7219" s="35">
        <f>SUMIFS(F7220:F9015,K7220:K9015,"0",B7220:B9015,"5 1 2 9 8 12 31111 6 M59 40200 000172 0000R*")</f>
        <v>285</v>
      </c>
      <c r="G7219" s="35">
        <f>SUMIFS(G7220:G9015,K7220:K9015,"0",B7220:B9015,"5 1 2 9 8 12 31111 6 M59 40200 000172 0000R*")</f>
        <v>0</v>
      </c>
      <c r="H7219" s="35">
        <f t="shared" si="113"/>
        <v>285</v>
      </c>
      <c r="I7219" s="35"/>
      <c r="K7219" t="s">
        <v>15</v>
      </c>
    </row>
    <row r="7220" spans="2:11" ht="24.75" x14ac:dyDescent="0.2">
      <c r="B7220" s="33" t="s">
        <v>8255</v>
      </c>
      <c r="C7220" s="33" t="s">
        <v>282</v>
      </c>
      <c r="D7220" s="35">
        <f>SUMIFS(D7221:D9015,K7221:K9015,"0",B7221:B9015,"5 1 2 9 8 12 31111 6 M59 40200 000172 0000R 00001*")-SUMIFS(E7221:E9015,K7221:K9015,"0",B7221:B9015,"5 1 2 9 8 12 31111 6 M59 40200 000172 0000R 00001*")</f>
        <v>0</v>
      </c>
      <c r="E7220"/>
      <c r="F7220" s="35">
        <f>SUMIFS(F7221:F9015,K7221:K9015,"0",B7221:B9015,"5 1 2 9 8 12 31111 6 M59 40200 000172 0000R 00001*")</f>
        <v>285</v>
      </c>
      <c r="G7220" s="35">
        <f>SUMIFS(G7221:G9015,K7221:K9015,"0",B7221:B9015,"5 1 2 9 8 12 31111 6 M59 40200 000172 0000R 00001*")</f>
        <v>0</v>
      </c>
      <c r="H7220" s="35">
        <f t="shared" si="113"/>
        <v>285</v>
      </c>
      <c r="I7220" s="35"/>
      <c r="K7220" t="s">
        <v>15</v>
      </c>
    </row>
    <row r="7221" spans="2:11" ht="24.75" x14ac:dyDescent="0.2">
      <c r="B7221" s="33" t="s">
        <v>8256</v>
      </c>
      <c r="C7221" s="33" t="s">
        <v>8245</v>
      </c>
      <c r="D7221" s="35">
        <f>SUMIFS(D7222:D9015,K7222:K9015,"0",B7222:B9015,"5 1 2 9 8 12 31111 6 M59 40200 000172 0000R 00001 00298*")-SUMIFS(E7222:E9015,K7222:K9015,"0",B7222:B9015,"5 1 2 9 8 12 31111 6 M59 40200 000172 0000R 00001 00298*")</f>
        <v>0</v>
      </c>
      <c r="E7221"/>
      <c r="F7221" s="35">
        <f>SUMIFS(F7222:F9015,K7222:K9015,"0",B7222:B9015,"5 1 2 9 8 12 31111 6 M59 40200 000172 0000R 00001 00298*")</f>
        <v>285</v>
      </c>
      <c r="G7221" s="35">
        <f>SUMIFS(G7222:G9015,K7222:K9015,"0",B7222:B9015,"5 1 2 9 8 12 31111 6 M59 40200 000172 0000R 00001 00298*")</f>
        <v>0</v>
      </c>
      <c r="H7221" s="35">
        <f t="shared" si="113"/>
        <v>285</v>
      </c>
      <c r="I7221" s="35"/>
      <c r="K7221" t="s">
        <v>15</v>
      </c>
    </row>
    <row r="7222" spans="2:11" ht="33" x14ac:dyDescent="0.2">
      <c r="B7222" s="33" t="s">
        <v>8257</v>
      </c>
      <c r="C7222" s="33" t="s">
        <v>656</v>
      </c>
      <c r="D7222" s="35">
        <f>SUMIFS(D7223:D9015,K7223:K9015,"0",B7223:B9015,"5 1 2 9 8 12 31111 6 M59 40200 000172 0000R 00001 00298 025*")-SUMIFS(E7223:E9015,K7223:K9015,"0",B7223:B9015,"5 1 2 9 8 12 31111 6 M59 40200 000172 0000R 00001 00298 025*")</f>
        <v>0</v>
      </c>
      <c r="E7222"/>
      <c r="F7222" s="35">
        <f>SUMIFS(F7223:F9015,K7223:K9015,"0",B7223:B9015,"5 1 2 9 8 12 31111 6 M59 40200 000172 0000R 00001 00298 025*")</f>
        <v>285</v>
      </c>
      <c r="G7222" s="35">
        <f>SUMIFS(G7223:G9015,K7223:K9015,"0",B7223:B9015,"5 1 2 9 8 12 31111 6 M59 40200 000172 0000R 00001 00298 025*")</f>
        <v>0</v>
      </c>
      <c r="H7222" s="35">
        <f t="shared" si="113"/>
        <v>285</v>
      </c>
      <c r="I7222" s="35"/>
      <c r="K7222" t="s">
        <v>15</v>
      </c>
    </row>
    <row r="7223" spans="2:11" ht="33" x14ac:dyDescent="0.2">
      <c r="B7223" s="33" t="s">
        <v>8258</v>
      </c>
      <c r="C7223" s="33" t="s">
        <v>5830</v>
      </c>
      <c r="D7223" s="35">
        <f>SUMIFS(D7224:D9015,K7224:K9015,"0",B7224:B9015,"5 1 2 9 8 12 31111 6 M59 40200 000172 0000R 00001 00298 025 2112000*")-SUMIFS(E7224:E9015,K7224:K9015,"0",B7224:B9015,"5 1 2 9 8 12 31111 6 M59 40200 000172 0000R 00001 00298 025 2112000*")</f>
        <v>0</v>
      </c>
      <c r="E7223"/>
      <c r="F7223" s="35">
        <f>SUMIFS(F7224:F9015,K7224:K9015,"0",B7224:B9015,"5 1 2 9 8 12 31111 6 M59 40200 000172 0000R 00001 00298 025 2112000*")</f>
        <v>285</v>
      </c>
      <c r="G7223" s="35">
        <f>SUMIFS(G7224:G9015,K7224:K9015,"0",B7224:B9015,"5 1 2 9 8 12 31111 6 M59 40200 000172 0000R 00001 00298 025 2112000*")</f>
        <v>0</v>
      </c>
      <c r="H7223" s="35">
        <f t="shared" si="113"/>
        <v>285</v>
      </c>
      <c r="I7223" s="35"/>
      <c r="K7223" t="s">
        <v>15</v>
      </c>
    </row>
    <row r="7224" spans="2:11" ht="33" x14ac:dyDescent="0.2">
      <c r="B7224" s="33" t="s">
        <v>8259</v>
      </c>
      <c r="C7224" s="33" t="s">
        <v>660</v>
      </c>
      <c r="D7224" s="35">
        <f>SUMIFS(D7225:D9015,K7225:K9015,"0",B7225:B9015,"5 1 2 9 8 12 31111 6 M59 40200 000172 0000R 00001 00298 025 2112000 2024*")-SUMIFS(E7225:E9015,K7225:K9015,"0",B7225:B9015,"5 1 2 9 8 12 31111 6 M59 40200 000172 0000R 00001 00298 025 2112000 2024*")</f>
        <v>0</v>
      </c>
      <c r="E7224"/>
      <c r="F7224" s="35">
        <f>SUMIFS(F7225:F9015,K7225:K9015,"0",B7225:B9015,"5 1 2 9 8 12 31111 6 M59 40200 000172 0000R 00001 00298 025 2112000 2024*")</f>
        <v>285</v>
      </c>
      <c r="G7224" s="35">
        <f>SUMIFS(G7225:G9015,K7225:K9015,"0",B7225:B9015,"5 1 2 9 8 12 31111 6 M59 40200 000172 0000R 00001 00298 025 2112000 2024*")</f>
        <v>0</v>
      </c>
      <c r="H7224" s="35">
        <f t="shared" si="113"/>
        <v>285</v>
      </c>
      <c r="I7224" s="35"/>
      <c r="K7224" t="s">
        <v>15</v>
      </c>
    </row>
    <row r="7225" spans="2:11" ht="41.25" x14ac:dyDescent="0.2">
      <c r="B7225" s="33" t="s">
        <v>8260</v>
      </c>
      <c r="C7225" s="33" t="s">
        <v>1056</v>
      </c>
      <c r="D7225" s="35">
        <f>SUMIFS(D7226:D9015,K7226:K9015,"0",B7226:B9015,"5 1 2 9 8 12 31111 6 M59 40200 000172 0000R 00001 00298 025 2112000 2024 CP4PC370*")-SUMIFS(E7226:E9015,K7226:K9015,"0",B7226:B9015,"5 1 2 9 8 12 31111 6 M59 40200 000172 0000R 00001 00298 025 2112000 2024 CP4PC370*")</f>
        <v>0</v>
      </c>
      <c r="E7225"/>
      <c r="F7225" s="35">
        <f>SUMIFS(F7226:F9015,K7226:K9015,"0",B7226:B9015,"5 1 2 9 8 12 31111 6 M59 40200 000172 0000R 00001 00298 025 2112000 2024 CP4PC370*")</f>
        <v>285</v>
      </c>
      <c r="G7225" s="35">
        <f>SUMIFS(G7226:G9015,K7226:K9015,"0",B7226:B9015,"5 1 2 9 8 12 31111 6 M59 40200 000172 0000R 00001 00298 025 2112000 2024 CP4PC370*")</f>
        <v>0</v>
      </c>
      <c r="H7225" s="35">
        <f t="shared" si="113"/>
        <v>285</v>
      </c>
      <c r="I7225" s="35"/>
      <c r="K7225" t="s">
        <v>15</v>
      </c>
    </row>
    <row r="7226" spans="2:11" ht="41.25" x14ac:dyDescent="0.2">
      <c r="B7226" s="33" t="s">
        <v>8261</v>
      </c>
      <c r="C7226" s="33" t="s">
        <v>664</v>
      </c>
      <c r="D7226" s="35">
        <f>SUMIFS(D7227:D9015,K7227:K9015,"0",B7227:B9015,"5 1 2 9 8 12 31111 6 M59 40200 000172 0000R 00001 00298 025 2112000 2024 CP4PC370 003*")-SUMIFS(E7227:E9015,K7227:K9015,"0",B7227:B9015,"5 1 2 9 8 12 31111 6 M59 40200 000172 0000R 00001 00298 025 2112000 2024 CP4PC370 003*")</f>
        <v>0</v>
      </c>
      <c r="E7226"/>
      <c r="F7226" s="35">
        <f>SUMIFS(F7227:F9015,K7227:K9015,"0",B7227:B9015,"5 1 2 9 8 12 31111 6 M59 40200 000172 0000R 00001 00298 025 2112000 2024 CP4PC370 003*")</f>
        <v>285</v>
      </c>
      <c r="G7226" s="35">
        <f>SUMIFS(G7227:G9015,K7227:K9015,"0",B7227:B9015,"5 1 2 9 8 12 31111 6 M59 40200 000172 0000R 00001 00298 025 2112000 2024 CP4PC370 003*")</f>
        <v>0</v>
      </c>
      <c r="H7226" s="35">
        <f t="shared" si="113"/>
        <v>285</v>
      </c>
      <c r="I7226" s="35"/>
      <c r="K7226" t="s">
        <v>15</v>
      </c>
    </row>
    <row r="7227" spans="2:11" ht="33" x14ac:dyDescent="0.2">
      <c r="B7227" s="31" t="s">
        <v>8262</v>
      </c>
      <c r="C7227" s="31" t="s">
        <v>8245</v>
      </c>
      <c r="D7227" s="34">
        <v>0</v>
      </c>
      <c r="E7227" s="34"/>
      <c r="F7227" s="34">
        <v>285</v>
      </c>
      <c r="G7227" s="34">
        <v>0</v>
      </c>
      <c r="H7227" s="34">
        <f t="shared" si="113"/>
        <v>285</v>
      </c>
      <c r="I7227" s="34"/>
      <c r="K7227" t="s">
        <v>38</v>
      </c>
    </row>
    <row r="7228" spans="2:11" ht="16.5" x14ac:dyDescent="0.2">
      <c r="B7228" s="33" t="s">
        <v>8263</v>
      </c>
      <c r="C7228" s="33" t="s">
        <v>3256</v>
      </c>
      <c r="D7228" s="35">
        <f>SUMIFS(D7229:D9015,K7229:K9015,"0",B7229:B9015,"5 1 2 9 8 12 31111 6 M59 40300*")-SUMIFS(E7229:E9015,K7229:K9015,"0",B7229:B9015,"5 1 2 9 8 12 31111 6 M59 40300*")</f>
        <v>0</v>
      </c>
      <c r="E7228"/>
      <c r="F7228" s="35">
        <f>SUMIFS(F7229:F9015,K7229:K9015,"0",B7229:B9015,"5 1 2 9 8 12 31111 6 M59 40300*")</f>
        <v>36017</v>
      </c>
      <c r="G7228" s="35">
        <f>SUMIFS(G7229:G9015,K7229:K9015,"0",B7229:B9015,"5 1 2 9 8 12 31111 6 M59 40300*")</f>
        <v>0</v>
      </c>
      <c r="H7228" s="35">
        <f t="shared" si="113"/>
        <v>36017</v>
      </c>
      <c r="I7228" s="35"/>
      <c r="K7228" t="s">
        <v>15</v>
      </c>
    </row>
    <row r="7229" spans="2:11" ht="16.5" x14ac:dyDescent="0.2">
      <c r="B7229" s="33" t="s">
        <v>8264</v>
      </c>
      <c r="C7229" s="33" t="s">
        <v>1063</v>
      </c>
      <c r="D7229" s="35">
        <f>SUMIFS(D7230:D9015,K7230:K9015,"0",B7230:B9015,"5 1 2 9 8 12 31111 6 M59 40300 000185*")-SUMIFS(E7230:E9015,K7230:K9015,"0",B7230:B9015,"5 1 2 9 8 12 31111 6 M59 40300 000185*")</f>
        <v>0</v>
      </c>
      <c r="E7229"/>
      <c r="F7229" s="35">
        <f>SUMIFS(F7230:F9015,K7230:K9015,"0",B7230:B9015,"5 1 2 9 8 12 31111 6 M59 40300 000185*")</f>
        <v>36017</v>
      </c>
      <c r="G7229" s="35">
        <f>SUMIFS(G7230:G9015,K7230:K9015,"0",B7230:B9015,"5 1 2 9 8 12 31111 6 M59 40300 000185*")</f>
        <v>0</v>
      </c>
      <c r="H7229" s="35">
        <f t="shared" si="113"/>
        <v>36017</v>
      </c>
      <c r="I7229" s="35"/>
      <c r="K7229" t="s">
        <v>15</v>
      </c>
    </row>
    <row r="7230" spans="2:11" ht="24.75" x14ac:dyDescent="0.2">
      <c r="B7230" s="33" t="s">
        <v>8265</v>
      </c>
      <c r="C7230" s="33" t="s">
        <v>650</v>
      </c>
      <c r="D7230" s="35">
        <f>SUMIFS(D7231:D9015,K7231:K9015,"0",B7231:B9015,"5 1 2 9 8 12 31111 6 M59 40300 000185 0000R*")-SUMIFS(E7231:E9015,K7231:K9015,"0",B7231:B9015,"5 1 2 9 8 12 31111 6 M59 40300 000185 0000R*")</f>
        <v>0</v>
      </c>
      <c r="E7230"/>
      <c r="F7230" s="35">
        <f>SUMIFS(F7231:F9015,K7231:K9015,"0",B7231:B9015,"5 1 2 9 8 12 31111 6 M59 40300 000185 0000R*")</f>
        <v>36017</v>
      </c>
      <c r="G7230" s="35">
        <f>SUMIFS(G7231:G9015,K7231:K9015,"0",B7231:B9015,"5 1 2 9 8 12 31111 6 M59 40300 000185 0000R*")</f>
        <v>0</v>
      </c>
      <c r="H7230" s="35">
        <f t="shared" si="113"/>
        <v>36017</v>
      </c>
      <c r="I7230" s="35"/>
      <c r="K7230" t="s">
        <v>15</v>
      </c>
    </row>
    <row r="7231" spans="2:11" ht="24.75" x14ac:dyDescent="0.2">
      <c r="B7231" s="33" t="s">
        <v>8266</v>
      </c>
      <c r="C7231" s="33" t="s">
        <v>282</v>
      </c>
      <c r="D7231" s="35">
        <f>SUMIFS(D7232:D9015,K7232:K9015,"0",B7232:B9015,"5 1 2 9 8 12 31111 6 M59 40300 000185 0000R 00001*")-SUMIFS(E7232:E9015,K7232:K9015,"0",B7232:B9015,"5 1 2 9 8 12 31111 6 M59 40300 000185 0000R 00001*")</f>
        <v>0</v>
      </c>
      <c r="E7231"/>
      <c r="F7231" s="35">
        <f>SUMIFS(F7232:F9015,K7232:K9015,"0",B7232:B9015,"5 1 2 9 8 12 31111 6 M59 40300 000185 0000R 00001*")</f>
        <v>36017</v>
      </c>
      <c r="G7231" s="35">
        <f>SUMIFS(G7232:G9015,K7232:K9015,"0",B7232:B9015,"5 1 2 9 8 12 31111 6 M59 40300 000185 0000R 00001*")</f>
        <v>0</v>
      </c>
      <c r="H7231" s="35">
        <f t="shared" si="113"/>
        <v>36017</v>
      </c>
      <c r="I7231" s="35"/>
      <c r="K7231" t="s">
        <v>15</v>
      </c>
    </row>
    <row r="7232" spans="2:11" ht="24.75" x14ac:dyDescent="0.2">
      <c r="B7232" s="33" t="s">
        <v>8267</v>
      </c>
      <c r="C7232" s="33" t="s">
        <v>8245</v>
      </c>
      <c r="D7232" s="35">
        <f>SUMIFS(D7233:D9015,K7233:K9015,"0",B7233:B9015,"5 1 2 9 8 12 31111 6 M59 40300 000185 0000R 00001 00298*")-SUMIFS(E7233:E9015,K7233:K9015,"0",B7233:B9015,"5 1 2 9 8 12 31111 6 M59 40300 000185 0000R 00001 00298*")</f>
        <v>0</v>
      </c>
      <c r="E7232"/>
      <c r="F7232" s="35">
        <f>SUMIFS(F7233:F9015,K7233:K9015,"0",B7233:B9015,"5 1 2 9 8 12 31111 6 M59 40300 000185 0000R 00001 00298*")</f>
        <v>36017</v>
      </c>
      <c r="G7232" s="35">
        <f>SUMIFS(G7233:G9015,K7233:K9015,"0",B7233:B9015,"5 1 2 9 8 12 31111 6 M59 40300 000185 0000R 00001 00298*")</f>
        <v>0</v>
      </c>
      <c r="H7232" s="35">
        <f t="shared" si="113"/>
        <v>36017</v>
      </c>
      <c r="I7232" s="35"/>
      <c r="K7232" t="s">
        <v>15</v>
      </c>
    </row>
    <row r="7233" spans="2:11" ht="33" x14ac:dyDescent="0.2">
      <c r="B7233" s="33" t="s">
        <v>8268</v>
      </c>
      <c r="C7233" s="33" t="s">
        <v>656</v>
      </c>
      <c r="D7233" s="35">
        <f>SUMIFS(D7234:D9015,K7234:K9015,"0",B7234:B9015,"5 1 2 9 8 12 31111 6 M59 40300 000185 0000R 00001 00298 025*")-SUMIFS(E7234:E9015,K7234:K9015,"0",B7234:B9015,"5 1 2 9 8 12 31111 6 M59 40300 000185 0000R 00001 00298 025*")</f>
        <v>0</v>
      </c>
      <c r="E7233"/>
      <c r="F7233" s="35">
        <f>SUMIFS(F7234:F9015,K7234:K9015,"0",B7234:B9015,"5 1 2 9 8 12 31111 6 M59 40300 000185 0000R 00001 00298 025*")</f>
        <v>36017</v>
      </c>
      <c r="G7233" s="35">
        <f>SUMIFS(G7234:G9015,K7234:K9015,"0",B7234:B9015,"5 1 2 9 8 12 31111 6 M59 40300 000185 0000R 00001 00298 025*")</f>
        <v>0</v>
      </c>
      <c r="H7233" s="35">
        <f t="shared" si="113"/>
        <v>36017</v>
      </c>
      <c r="I7233" s="35"/>
      <c r="K7233" t="s">
        <v>15</v>
      </c>
    </row>
    <row r="7234" spans="2:11" ht="33" x14ac:dyDescent="0.2">
      <c r="B7234" s="33" t="s">
        <v>8269</v>
      </c>
      <c r="C7234" s="33" t="s">
        <v>5830</v>
      </c>
      <c r="D7234" s="35">
        <f>SUMIFS(D7235:D9015,K7235:K9015,"0",B7235:B9015,"5 1 2 9 8 12 31111 6 M59 40300 000185 0000R 00001 00298 025 2112000*")-SUMIFS(E7235:E9015,K7235:K9015,"0",B7235:B9015,"5 1 2 9 8 12 31111 6 M59 40300 000185 0000R 00001 00298 025 2112000*")</f>
        <v>0</v>
      </c>
      <c r="E7234"/>
      <c r="F7234" s="35">
        <f>SUMIFS(F7235:F9015,K7235:K9015,"0",B7235:B9015,"5 1 2 9 8 12 31111 6 M59 40300 000185 0000R 00001 00298 025 2112000*")</f>
        <v>36017</v>
      </c>
      <c r="G7234" s="35">
        <f>SUMIFS(G7235:G9015,K7235:K9015,"0",B7235:B9015,"5 1 2 9 8 12 31111 6 M59 40300 000185 0000R 00001 00298 025 2112000*")</f>
        <v>0</v>
      </c>
      <c r="H7234" s="35">
        <f t="shared" si="113"/>
        <v>36017</v>
      </c>
      <c r="I7234" s="35"/>
      <c r="K7234" t="s">
        <v>15</v>
      </c>
    </row>
    <row r="7235" spans="2:11" ht="33" x14ac:dyDescent="0.2">
      <c r="B7235" s="33" t="s">
        <v>8270</v>
      </c>
      <c r="C7235" s="33" t="s">
        <v>660</v>
      </c>
      <c r="D7235" s="35">
        <f>SUMIFS(D7236:D9015,K7236:K9015,"0",B7236:B9015,"5 1 2 9 8 12 31111 6 M59 40300 000185 0000R 00001 00298 025 2112000 2024*")-SUMIFS(E7236:E9015,K7236:K9015,"0",B7236:B9015,"5 1 2 9 8 12 31111 6 M59 40300 000185 0000R 00001 00298 025 2112000 2024*")</f>
        <v>0</v>
      </c>
      <c r="E7235"/>
      <c r="F7235" s="35">
        <f>SUMIFS(F7236:F9015,K7236:K9015,"0",B7236:B9015,"5 1 2 9 8 12 31111 6 M59 40300 000185 0000R 00001 00298 025 2112000 2024*")</f>
        <v>36017</v>
      </c>
      <c r="G7235" s="35">
        <f>SUMIFS(G7236:G9015,K7236:K9015,"0",B7236:B9015,"5 1 2 9 8 12 31111 6 M59 40300 000185 0000R 00001 00298 025 2112000 2024*")</f>
        <v>0</v>
      </c>
      <c r="H7235" s="35">
        <f t="shared" si="113"/>
        <v>36017</v>
      </c>
      <c r="I7235" s="35"/>
      <c r="K7235" t="s">
        <v>15</v>
      </c>
    </row>
    <row r="7236" spans="2:11" ht="41.25" x14ac:dyDescent="0.2">
      <c r="B7236" s="33" t="s">
        <v>8271</v>
      </c>
      <c r="C7236" s="33" t="s">
        <v>662</v>
      </c>
      <c r="D7236" s="35">
        <f>SUMIFS(D7237:D9015,K7237:K9015,"0",B7237:B9015,"5 1 2 9 8 12 31111 6 M59 40300 000185 0000R 00001 00298 025 2112000 2024 CP4TV371*")-SUMIFS(E7237:E9015,K7237:K9015,"0",B7237:B9015,"5 1 2 9 8 12 31111 6 M59 40300 000185 0000R 00001 00298 025 2112000 2024 CP4TV371*")</f>
        <v>0</v>
      </c>
      <c r="E7236"/>
      <c r="F7236" s="35">
        <f>SUMIFS(F7237:F9015,K7237:K9015,"0",B7237:B9015,"5 1 2 9 8 12 31111 6 M59 40300 000185 0000R 00001 00298 025 2112000 2024 CP4TV371*")</f>
        <v>36017</v>
      </c>
      <c r="G7236" s="35">
        <f>SUMIFS(G7237:G9015,K7237:K9015,"0",B7237:B9015,"5 1 2 9 8 12 31111 6 M59 40300 000185 0000R 00001 00298 025 2112000 2024 CP4TV371*")</f>
        <v>0</v>
      </c>
      <c r="H7236" s="35">
        <f t="shared" ref="H7236:H7299" si="114">D7236 + F7236 - G7236</f>
        <v>36017</v>
      </c>
      <c r="I7236" s="35"/>
      <c r="K7236" t="s">
        <v>15</v>
      </c>
    </row>
    <row r="7237" spans="2:11" ht="41.25" x14ac:dyDescent="0.2">
      <c r="B7237" s="33" t="s">
        <v>8272</v>
      </c>
      <c r="C7237" s="33" t="s">
        <v>664</v>
      </c>
      <c r="D7237" s="35">
        <f>SUMIFS(D7238:D9015,K7238:K9015,"0",B7238:B9015,"5 1 2 9 8 12 31111 6 M59 40300 000185 0000R 00001 00298 025 2112000 2024 CP4TV371 003*")-SUMIFS(E7238:E9015,K7238:K9015,"0",B7238:B9015,"5 1 2 9 8 12 31111 6 M59 40300 000185 0000R 00001 00298 025 2112000 2024 CP4TV371 003*")</f>
        <v>0</v>
      </c>
      <c r="E7237"/>
      <c r="F7237" s="35">
        <f>SUMIFS(F7238:F9015,K7238:K9015,"0",B7238:B9015,"5 1 2 9 8 12 31111 6 M59 40300 000185 0000R 00001 00298 025 2112000 2024 CP4TV371 003*")</f>
        <v>36017</v>
      </c>
      <c r="G7237" s="35">
        <f>SUMIFS(G7238:G9015,K7238:K9015,"0",B7238:B9015,"5 1 2 9 8 12 31111 6 M59 40300 000185 0000R 00001 00298 025 2112000 2024 CP4TV371 003*")</f>
        <v>0</v>
      </c>
      <c r="H7237" s="35">
        <f t="shared" si="114"/>
        <v>36017</v>
      </c>
      <c r="I7237" s="35"/>
      <c r="K7237" t="s">
        <v>15</v>
      </c>
    </row>
    <row r="7238" spans="2:11" ht="33" x14ac:dyDescent="0.2">
      <c r="B7238" s="31" t="s">
        <v>8273</v>
      </c>
      <c r="C7238" s="31" t="s">
        <v>8235</v>
      </c>
      <c r="D7238" s="34">
        <v>0</v>
      </c>
      <c r="E7238" s="34"/>
      <c r="F7238" s="34">
        <v>36017</v>
      </c>
      <c r="G7238" s="34">
        <v>0</v>
      </c>
      <c r="H7238" s="34">
        <f t="shared" si="114"/>
        <v>36017</v>
      </c>
      <c r="I7238" s="34"/>
      <c r="K7238" t="s">
        <v>38</v>
      </c>
    </row>
    <row r="7239" spans="2:11" ht="16.5" x14ac:dyDescent="0.2">
      <c r="B7239" s="33" t="s">
        <v>8274</v>
      </c>
      <c r="C7239" s="33" t="s">
        <v>3681</v>
      </c>
      <c r="D7239" s="35">
        <f>SUMIFS(D7240:D9015,K7240:K9015,"0",B7240:B9015,"5 1 2 9 8 12 31111 6 M59 96000*")-SUMIFS(E7240:E9015,K7240:K9015,"0",B7240:B9015,"5 1 2 9 8 12 31111 6 M59 96000*")</f>
        <v>0</v>
      </c>
      <c r="E7239"/>
      <c r="F7239" s="35">
        <f>SUMIFS(F7240:F9015,K7240:K9015,"0",B7240:B9015,"5 1 2 9 8 12 31111 6 M59 96000*")</f>
        <v>2249.98</v>
      </c>
      <c r="G7239" s="35">
        <f>SUMIFS(G7240:G9015,K7240:K9015,"0",B7240:B9015,"5 1 2 9 8 12 31111 6 M59 96000*")</f>
        <v>0</v>
      </c>
      <c r="H7239" s="35">
        <f t="shared" si="114"/>
        <v>2249.98</v>
      </c>
      <c r="I7239" s="35"/>
      <c r="K7239" t="s">
        <v>15</v>
      </c>
    </row>
    <row r="7240" spans="2:11" ht="16.5" x14ac:dyDescent="0.2">
      <c r="B7240" s="33" t="s">
        <v>8275</v>
      </c>
      <c r="C7240" s="33" t="s">
        <v>648</v>
      </c>
      <c r="D7240" s="35">
        <f>SUMIFS(D7241:D9015,K7241:K9015,"0",B7241:B9015,"5 1 2 9 8 12 31111 6 M59 96000 000132*")-SUMIFS(E7241:E9015,K7241:K9015,"0",B7241:B9015,"5 1 2 9 8 12 31111 6 M59 96000 000132*")</f>
        <v>0</v>
      </c>
      <c r="E7240"/>
      <c r="F7240" s="35">
        <f>SUMIFS(F7241:F9015,K7241:K9015,"0",B7241:B9015,"5 1 2 9 8 12 31111 6 M59 96000 000132*")</f>
        <v>2249.98</v>
      </c>
      <c r="G7240" s="35">
        <f>SUMIFS(G7241:G9015,K7241:K9015,"0",B7241:B9015,"5 1 2 9 8 12 31111 6 M59 96000 000132*")</f>
        <v>0</v>
      </c>
      <c r="H7240" s="35">
        <f t="shared" si="114"/>
        <v>2249.98</v>
      </c>
      <c r="I7240" s="35"/>
      <c r="K7240" t="s">
        <v>15</v>
      </c>
    </row>
    <row r="7241" spans="2:11" ht="24.75" x14ac:dyDescent="0.2">
      <c r="B7241" s="33" t="s">
        <v>8276</v>
      </c>
      <c r="C7241" s="33" t="s">
        <v>650</v>
      </c>
      <c r="D7241" s="35">
        <f>SUMIFS(D7242:D9015,K7242:K9015,"0",B7242:B9015,"5 1 2 9 8 12 31111 6 M59 96000 000132 0000R*")-SUMIFS(E7242:E9015,K7242:K9015,"0",B7242:B9015,"5 1 2 9 8 12 31111 6 M59 96000 000132 0000R*")</f>
        <v>0</v>
      </c>
      <c r="E7241"/>
      <c r="F7241" s="35">
        <f>SUMIFS(F7242:F9015,K7242:K9015,"0",B7242:B9015,"5 1 2 9 8 12 31111 6 M59 96000 000132 0000R*")</f>
        <v>2249.98</v>
      </c>
      <c r="G7241" s="35">
        <f>SUMIFS(G7242:G9015,K7242:K9015,"0",B7242:B9015,"5 1 2 9 8 12 31111 6 M59 96000 000132 0000R*")</f>
        <v>0</v>
      </c>
      <c r="H7241" s="35">
        <f t="shared" si="114"/>
        <v>2249.98</v>
      </c>
      <c r="I7241" s="35"/>
      <c r="K7241" t="s">
        <v>15</v>
      </c>
    </row>
    <row r="7242" spans="2:11" ht="24.75" x14ac:dyDescent="0.2">
      <c r="B7242" s="33" t="s">
        <v>8277</v>
      </c>
      <c r="C7242" s="33" t="s">
        <v>282</v>
      </c>
      <c r="D7242" s="35">
        <f>SUMIFS(D7243:D9015,K7243:K9015,"0",B7243:B9015,"5 1 2 9 8 12 31111 6 M59 96000 000132 0000R 00001*")-SUMIFS(E7243:E9015,K7243:K9015,"0",B7243:B9015,"5 1 2 9 8 12 31111 6 M59 96000 000132 0000R 00001*")</f>
        <v>0</v>
      </c>
      <c r="E7242"/>
      <c r="F7242" s="35">
        <f>SUMIFS(F7243:F9015,K7243:K9015,"0",B7243:B9015,"5 1 2 9 8 12 31111 6 M59 96000 000132 0000R 00001*")</f>
        <v>2249.98</v>
      </c>
      <c r="G7242" s="35">
        <f>SUMIFS(G7243:G9015,K7243:K9015,"0",B7243:B9015,"5 1 2 9 8 12 31111 6 M59 96000 000132 0000R 00001*")</f>
        <v>0</v>
      </c>
      <c r="H7242" s="35">
        <f t="shared" si="114"/>
        <v>2249.98</v>
      </c>
      <c r="I7242" s="35"/>
      <c r="K7242" t="s">
        <v>15</v>
      </c>
    </row>
    <row r="7243" spans="2:11" ht="24.75" x14ac:dyDescent="0.2">
      <c r="B7243" s="33" t="s">
        <v>8278</v>
      </c>
      <c r="C7243" s="33" t="s">
        <v>8245</v>
      </c>
      <c r="D7243" s="35">
        <f>SUMIFS(D7244:D9015,K7244:K9015,"0",B7244:B9015,"5 1 2 9 8 12 31111 6 M59 96000 000132 0000R 00001 00298*")-SUMIFS(E7244:E9015,K7244:K9015,"0",B7244:B9015,"5 1 2 9 8 12 31111 6 M59 96000 000132 0000R 00001 00298*")</f>
        <v>0</v>
      </c>
      <c r="E7243"/>
      <c r="F7243" s="35">
        <f>SUMIFS(F7244:F9015,K7244:K9015,"0",B7244:B9015,"5 1 2 9 8 12 31111 6 M59 96000 000132 0000R 00001 00298*")</f>
        <v>2249.98</v>
      </c>
      <c r="G7243" s="35">
        <f>SUMIFS(G7244:G9015,K7244:K9015,"0",B7244:B9015,"5 1 2 9 8 12 31111 6 M59 96000 000132 0000R 00001 00298*")</f>
        <v>0</v>
      </c>
      <c r="H7243" s="35">
        <f t="shared" si="114"/>
        <v>2249.98</v>
      </c>
      <c r="I7243" s="35"/>
      <c r="K7243" t="s">
        <v>15</v>
      </c>
    </row>
    <row r="7244" spans="2:11" ht="33" x14ac:dyDescent="0.2">
      <c r="B7244" s="33" t="s">
        <v>8279</v>
      </c>
      <c r="C7244" s="33" t="s">
        <v>1051</v>
      </c>
      <c r="D7244" s="35">
        <f>SUMIFS(D7245:D9015,K7245:K9015,"0",B7245:B9015,"5 1 2 9 8 12 31111 6 M59 96000 000132 0000R 00001 00298 015*")-SUMIFS(E7245:E9015,K7245:K9015,"0",B7245:B9015,"5 1 2 9 8 12 31111 6 M59 96000 000132 0000R 00001 00298 015*")</f>
        <v>0</v>
      </c>
      <c r="E7244"/>
      <c r="F7244" s="35">
        <f>SUMIFS(F7245:F9015,K7245:K9015,"0",B7245:B9015,"5 1 2 9 8 12 31111 6 M59 96000 000132 0000R 00001 00298 015*")</f>
        <v>2249.98</v>
      </c>
      <c r="G7244" s="35">
        <f>SUMIFS(G7245:G9015,K7245:K9015,"0",B7245:B9015,"5 1 2 9 8 12 31111 6 M59 96000 000132 0000R 00001 00298 015*")</f>
        <v>0</v>
      </c>
      <c r="H7244" s="35">
        <f t="shared" si="114"/>
        <v>2249.98</v>
      </c>
      <c r="I7244" s="35"/>
      <c r="K7244" t="s">
        <v>15</v>
      </c>
    </row>
    <row r="7245" spans="2:11" ht="33" x14ac:dyDescent="0.2">
      <c r="B7245" s="33" t="s">
        <v>8280</v>
      </c>
      <c r="C7245" s="33" t="s">
        <v>5830</v>
      </c>
      <c r="D7245" s="35">
        <f>SUMIFS(D7246:D9015,K7246:K9015,"0",B7246:B9015,"5 1 2 9 8 12 31111 6 M59 96000 000132 0000R 00001 00298 015 2112000*")-SUMIFS(E7246:E9015,K7246:K9015,"0",B7246:B9015,"5 1 2 9 8 12 31111 6 M59 96000 000132 0000R 00001 00298 015 2112000*")</f>
        <v>0</v>
      </c>
      <c r="E7245"/>
      <c r="F7245" s="35">
        <f>SUMIFS(F7246:F9015,K7246:K9015,"0",B7246:B9015,"5 1 2 9 8 12 31111 6 M59 96000 000132 0000R 00001 00298 015 2112000*")</f>
        <v>2249.98</v>
      </c>
      <c r="G7245" s="35">
        <f>SUMIFS(G7246:G9015,K7246:K9015,"0",B7246:B9015,"5 1 2 9 8 12 31111 6 M59 96000 000132 0000R 00001 00298 015 2112000*")</f>
        <v>0</v>
      </c>
      <c r="H7245" s="35">
        <f t="shared" si="114"/>
        <v>2249.98</v>
      </c>
      <c r="I7245" s="35"/>
      <c r="K7245" t="s">
        <v>15</v>
      </c>
    </row>
    <row r="7246" spans="2:11" ht="33" x14ac:dyDescent="0.2">
      <c r="B7246" s="33" t="s">
        <v>8281</v>
      </c>
      <c r="C7246" s="33" t="s">
        <v>660</v>
      </c>
      <c r="D7246" s="35">
        <f>SUMIFS(D7247:D9015,K7247:K9015,"0",B7247:B9015,"5 1 2 9 8 12 31111 6 M59 96000 000132 0000R 00001 00298 015 2112000 2024*")-SUMIFS(E7247:E9015,K7247:K9015,"0",B7247:B9015,"5 1 2 9 8 12 31111 6 M59 96000 000132 0000R 00001 00298 015 2112000 2024*")</f>
        <v>0</v>
      </c>
      <c r="E7246"/>
      <c r="F7246" s="35">
        <f>SUMIFS(F7247:F9015,K7247:K9015,"0",B7247:B9015,"5 1 2 9 8 12 31111 6 M59 96000 000132 0000R 00001 00298 015 2112000 2024*")</f>
        <v>2249.98</v>
      </c>
      <c r="G7246" s="35">
        <f>SUMIFS(G7247:G9015,K7247:K9015,"0",B7247:B9015,"5 1 2 9 8 12 31111 6 M59 96000 000132 0000R 00001 00298 015 2112000 2024*")</f>
        <v>0</v>
      </c>
      <c r="H7246" s="35">
        <f t="shared" si="114"/>
        <v>2249.98</v>
      </c>
      <c r="I7246" s="35"/>
      <c r="K7246" t="s">
        <v>15</v>
      </c>
    </row>
    <row r="7247" spans="2:11" ht="41.25" x14ac:dyDescent="0.2">
      <c r="B7247" s="33" t="s">
        <v>8282</v>
      </c>
      <c r="C7247" s="33" t="s">
        <v>662</v>
      </c>
      <c r="D7247" s="35">
        <f>SUMIFS(D7248:D9015,K7248:K9015,"0",B7248:B9015,"5 1 2 9 8 12 31111 6 M59 96000 000132 0000R 00001 00298 015 2112000 2024 CP1PA379*")-SUMIFS(E7248:E9015,K7248:K9015,"0",B7248:B9015,"5 1 2 9 8 12 31111 6 M59 96000 000132 0000R 00001 00298 015 2112000 2024 CP1PA379*")</f>
        <v>0</v>
      </c>
      <c r="E7247"/>
      <c r="F7247" s="35">
        <f>SUMIFS(F7248:F9015,K7248:K9015,"0",B7248:B9015,"5 1 2 9 8 12 31111 6 M59 96000 000132 0000R 00001 00298 015 2112000 2024 CP1PA379*")</f>
        <v>2249.98</v>
      </c>
      <c r="G7247" s="35">
        <f>SUMIFS(G7248:G9015,K7248:K9015,"0",B7248:B9015,"5 1 2 9 8 12 31111 6 M59 96000 000132 0000R 00001 00298 015 2112000 2024 CP1PA379*")</f>
        <v>0</v>
      </c>
      <c r="H7247" s="35">
        <f t="shared" si="114"/>
        <v>2249.98</v>
      </c>
      <c r="I7247" s="35"/>
      <c r="K7247" t="s">
        <v>15</v>
      </c>
    </row>
    <row r="7248" spans="2:11" ht="41.25" x14ac:dyDescent="0.2">
      <c r="B7248" s="33" t="s">
        <v>8283</v>
      </c>
      <c r="C7248" s="33" t="s">
        <v>282</v>
      </c>
      <c r="D7248" s="35">
        <f>SUMIFS(D7249:D9015,K7249:K9015,"0",B7249:B9015,"5 1 2 9 8 12 31111 6 M59 96000 000132 0000R 00001 00298 015 2112000 2024 CP1PA379 001*")-SUMIFS(E7249:E9015,K7249:K9015,"0",B7249:B9015,"5 1 2 9 8 12 31111 6 M59 96000 000132 0000R 00001 00298 015 2112000 2024 CP1PA379 001*")</f>
        <v>0</v>
      </c>
      <c r="E7248"/>
      <c r="F7248" s="35">
        <f>SUMIFS(F7249:F9015,K7249:K9015,"0",B7249:B9015,"5 1 2 9 8 12 31111 6 M59 96000 000132 0000R 00001 00298 015 2112000 2024 CP1PA379 001*")</f>
        <v>2249.98</v>
      </c>
      <c r="G7248" s="35">
        <f>SUMIFS(G7249:G9015,K7249:K9015,"0",B7249:B9015,"5 1 2 9 8 12 31111 6 M59 96000 000132 0000R 00001 00298 015 2112000 2024 CP1PA379 001*")</f>
        <v>0</v>
      </c>
      <c r="H7248" s="35">
        <f t="shared" si="114"/>
        <v>2249.98</v>
      </c>
      <c r="I7248" s="35"/>
      <c r="K7248" t="s">
        <v>15</v>
      </c>
    </row>
    <row r="7249" spans="2:11" ht="41.25" x14ac:dyDescent="0.2">
      <c r="B7249" s="31" t="s">
        <v>8284</v>
      </c>
      <c r="C7249" s="31" t="s">
        <v>8245</v>
      </c>
      <c r="D7249" s="34">
        <v>0</v>
      </c>
      <c r="E7249" s="34"/>
      <c r="F7249" s="34">
        <v>2249.98</v>
      </c>
      <c r="G7249" s="34">
        <v>0</v>
      </c>
      <c r="H7249" s="34">
        <f t="shared" si="114"/>
        <v>2249.98</v>
      </c>
      <c r="I7249" s="34"/>
      <c r="K7249" t="s">
        <v>38</v>
      </c>
    </row>
    <row r="7250" spans="2:11" ht="16.5" x14ac:dyDescent="0.2">
      <c r="B7250" s="33" t="s">
        <v>8285</v>
      </c>
      <c r="C7250" s="33" t="s">
        <v>1308</v>
      </c>
      <c r="D7250" s="35">
        <f>SUMIFS(D7251:D9015,K7251:K9015,"0",B7251:B9015,"5 1 2 9 8 12 31111 6 M59 96300*")-SUMIFS(E7251:E9015,K7251:K9015,"0",B7251:B9015,"5 1 2 9 8 12 31111 6 M59 96300*")</f>
        <v>0</v>
      </c>
      <c r="E7250"/>
      <c r="F7250" s="35">
        <f>SUMIFS(F7251:F9015,K7251:K9015,"0",B7251:B9015,"5 1 2 9 8 12 31111 6 M59 96300*")</f>
        <v>178139.97</v>
      </c>
      <c r="G7250" s="35">
        <f>SUMIFS(G7251:G9015,K7251:K9015,"0",B7251:B9015,"5 1 2 9 8 12 31111 6 M59 96300*")</f>
        <v>0</v>
      </c>
      <c r="H7250" s="35">
        <f t="shared" si="114"/>
        <v>178139.97</v>
      </c>
      <c r="I7250" s="35"/>
      <c r="K7250" t="s">
        <v>15</v>
      </c>
    </row>
    <row r="7251" spans="2:11" ht="16.5" x14ac:dyDescent="0.2">
      <c r="B7251" s="33" t="s">
        <v>8286</v>
      </c>
      <c r="C7251" s="33" t="s">
        <v>1310</v>
      </c>
      <c r="D7251" s="35">
        <f>SUMIFS(D7252:D9015,K7252:K9015,"0",B7252:B9015,"5 1 2 9 8 12 31111 6 M59 96300 000211*")-SUMIFS(E7252:E9015,K7252:K9015,"0",B7252:B9015,"5 1 2 9 8 12 31111 6 M59 96300 000211*")</f>
        <v>0</v>
      </c>
      <c r="E7251"/>
      <c r="F7251" s="35">
        <f>SUMIFS(F7252:F9015,K7252:K9015,"0",B7252:B9015,"5 1 2 9 8 12 31111 6 M59 96300 000211*")</f>
        <v>178139.97</v>
      </c>
      <c r="G7251" s="35">
        <f>SUMIFS(G7252:G9015,K7252:K9015,"0",B7252:B9015,"5 1 2 9 8 12 31111 6 M59 96300 000211*")</f>
        <v>0</v>
      </c>
      <c r="H7251" s="35">
        <f t="shared" si="114"/>
        <v>178139.97</v>
      </c>
      <c r="I7251" s="35"/>
      <c r="K7251" t="s">
        <v>15</v>
      </c>
    </row>
    <row r="7252" spans="2:11" ht="24.75" x14ac:dyDescent="0.2">
      <c r="B7252" s="33" t="s">
        <v>8287</v>
      </c>
      <c r="C7252" s="33" t="s">
        <v>1065</v>
      </c>
      <c r="D7252" s="35">
        <f>SUMIFS(D7253:D9015,K7253:K9015,"0",B7253:B9015,"5 1 2 9 8 12 31111 6 M59 96300 000211 0000E*")-SUMIFS(E7253:E9015,K7253:K9015,"0",B7253:B9015,"5 1 2 9 8 12 31111 6 M59 96300 000211 0000E*")</f>
        <v>0</v>
      </c>
      <c r="E7252"/>
      <c r="F7252" s="35">
        <f>SUMIFS(F7253:F9015,K7253:K9015,"0",B7253:B9015,"5 1 2 9 8 12 31111 6 M59 96300 000211 0000E*")</f>
        <v>178139.97</v>
      </c>
      <c r="G7252" s="35">
        <f>SUMIFS(G7253:G9015,K7253:K9015,"0",B7253:B9015,"5 1 2 9 8 12 31111 6 M59 96300 000211 0000E*")</f>
        <v>0</v>
      </c>
      <c r="H7252" s="35">
        <f t="shared" si="114"/>
        <v>178139.97</v>
      </c>
      <c r="I7252" s="35"/>
      <c r="K7252" t="s">
        <v>15</v>
      </c>
    </row>
    <row r="7253" spans="2:11" ht="24.75" x14ac:dyDescent="0.2">
      <c r="B7253" s="33" t="s">
        <v>8288</v>
      </c>
      <c r="C7253" s="33" t="s">
        <v>282</v>
      </c>
      <c r="D7253" s="35">
        <f>SUMIFS(D7254:D9015,K7254:K9015,"0",B7254:B9015,"5 1 2 9 8 12 31111 6 M59 96300 000211 0000E 00001*")-SUMIFS(E7254:E9015,K7254:K9015,"0",B7254:B9015,"5 1 2 9 8 12 31111 6 M59 96300 000211 0000E 00001*")</f>
        <v>0</v>
      </c>
      <c r="E7253"/>
      <c r="F7253" s="35">
        <f>SUMIFS(F7254:F9015,K7254:K9015,"0",B7254:B9015,"5 1 2 9 8 12 31111 6 M59 96300 000211 0000E 00001*")</f>
        <v>178139.97</v>
      </c>
      <c r="G7253" s="35">
        <f>SUMIFS(G7254:G9015,K7254:K9015,"0",B7254:B9015,"5 1 2 9 8 12 31111 6 M59 96300 000211 0000E 00001*")</f>
        <v>0</v>
      </c>
      <c r="H7253" s="35">
        <f t="shared" si="114"/>
        <v>178139.97</v>
      </c>
      <c r="I7253" s="35"/>
      <c r="K7253" t="s">
        <v>15</v>
      </c>
    </row>
    <row r="7254" spans="2:11" ht="24.75" x14ac:dyDescent="0.2">
      <c r="B7254" s="33" t="s">
        <v>8289</v>
      </c>
      <c r="C7254" s="33" t="s">
        <v>8245</v>
      </c>
      <c r="D7254" s="35">
        <f>SUMIFS(D7255:D9015,K7255:K9015,"0",B7255:B9015,"5 1 2 9 8 12 31111 6 M59 96300 000211 0000E 00001 00298*")-SUMIFS(E7255:E9015,K7255:K9015,"0",B7255:B9015,"5 1 2 9 8 12 31111 6 M59 96300 000211 0000E 00001 00298*")</f>
        <v>0</v>
      </c>
      <c r="E7254"/>
      <c r="F7254" s="35">
        <f>SUMIFS(F7255:F9015,K7255:K9015,"0",B7255:B9015,"5 1 2 9 8 12 31111 6 M59 96300 000211 0000E 00001 00298*")</f>
        <v>178139.97</v>
      </c>
      <c r="G7254" s="35">
        <f>SUMIFS(G7255:G9015,K7255:K9015,"0",B7255:B9015,"5 1 2 9 8 12 31111 6 M59 96300 000211 0000E 00001 00298*")</f>
        <v>0</v>
      </c>
      <c r="H7254" s="35">
        <f t="shared" si="114"/>
        <v>178139.97</v>
      </c>
      <c r="I7254" s="35"/>
      <c r="K7254" t="s">
        <v>15</v>
      </c>
    </row>
    <row r="7255" spans="2:11" ht="33" x14ac:dyDescent="0.2">
      <c r="B7255" s="33" t="s">
        <v>8290</v>
      </c>
      <c r="C7255" s="33" t="s">
        <v>1051</v>
      </c>
      <c r="D7255" s="35">
        <f>SUMIFS(D7256:D9015,K7256:K9015,"0",B7256:B9015,"5 1 2 9 8 12 31111 6 M59 96300 000211 0000E 00001 00298 015*")-SUMIFS(E7256:E9015,K7256:K9015,"0",B7256:B9015,"5 1 2 9 8 12 31111 6 M59 96300 000211 0000E 00001 00298 015*")</f>
        <v>0</v>
      </c>
      <c r="E7255"/>
      <c r="F7255" s="35">
        <f>SUMIFS(F7256:F9015,K7256:K9015,"0",B7256:B9015,"5 1 2 9 8 12 31111 6 M59 96300 000211 0000E 00001 00298 015*")</f>
        <v>178139.97</v>
      </c>
      <c r="G7255" s="35">
        <f>SUMIFS(G7256:G9015,K7256:K9015,"0",B7256:B9015,"5 1 2 9 8 12 31111 6 M59 96300 000211 0000E 00001 00298 015*")</f>
        <v>0</v>
      </c>
      <c r="H7255" s="35">
        <f t="shared" si="114"/>
        <v>178139.97</v>
      </c>
      <c r="I7255" s="35"/>
      <c r="K7255" t="s">
        <v>15</v>
      </c>
    </row>
    <row r="7256" spans="2:11" ht="33" x14ac:dyDescent="0.2">
      <c r="B7256" s="33" t="s">
        <v>8291</v>
      </c>
      <c r="C7256" s="33" t="s">
        <v>5830</v>
      </c>
      <c r="D7256" s="35">
        <f>SUMIFS(D7257:D9015,K7257:K9015,"0",B7257:B9015,"5 1 2 9 8 12 31111 6 M59 96300 000211 0000E 00001 00298 015 2112000*")-SUMIFS(E7257:E9015,K7257:K9015,"0",B7257:B9015,"5 1 2 9 8 12 31111 6 M59 96300 000211 0000E 00001 00298 015 2112000*")</f>
        <v>0</v>
      </c>
      <c r="E7256"/>
      <c r="F7256" s="35">
        <f>SUMIFS(F7257:F9015,K7257:K9015,"0",B7257:B9015,"5 1 2 9 8 12 31111 6 M59 96300 000211 0000E 00001 00298 015 2112000*")</f>
        <v>178139.97</v>
      </c>
      <c r="G7256" s="35">
        <f>SUMIFS(G7257:G9015,K7257:K9015,"0",B7257:B9015,"5 1 2 9 8 12 31111 6 M59 96300 000211 0000E 00001 00298 015 2112000*")</f>
        <v>0</v>
      </c>
      <c r="H7256" s="35">
        <f t="shared" si="114"/>
        <v>178139.97</v>
      </c>
      <c r="I7256" s="35"/>
      <c r="K7256" t="s">
        <v>15</v>
      </c>
    </row>
    <row r="7257" spans="2:11" ht="33" x14ac:dyDescent="0.2">
      <c r="B7257" s="33" t="s">
        <v>8292</v>
      </c>
      <c r="C7257" s="33" t="s">
        <v>660</v>
      </c>
      <c r="D7257" s="35">
        <f>SUMIFS(D7258:D9015,K7258:K9015,"0",B7258:B9015,"5 1 2 9 8 12 31111 6 M59 96300 000211 0000E 00001 00298 015 2112000 2024*")-SUMIFS(E7258:E9015,K7258:K9015,"0",B7258:B9015,"5 1 2 9 8 12 31111 6 M59 96300 000211 0000E 00001 00298 015 2112000 2024*")</f>
        <v>0</v>
      </c>
      <c r="E7257"/>
      <c r="F7257" s="35">
        <f>SUMIFS(F7258:F9015,K7258:K9015,"0",B7258:B9015,"5 1 2 9 8 12 31111 6 M59 96300 000211 0000E 00001 00298 015 2112000 2024*")</f>
        <v>178139.97</v>
      </c>
      <c r="G7257" s="35">
        <f>SUMIFS(G7258:G9015,K7258:K9015,"0",B7258:B9015,"5 1 2 9 8 12 31111 6 M59 96300 000211 0000E 00001 00298 015 2112000 2024*")</f>
        <v>0</v>
      </c>
      <c r="H7257" s="35">
        <f t="shared" si="114"/>
        <v>178139.97</v>
      </c>
      <c r="I7257" s="35"/>
      <c r="K7257" t="s">
        <v>15</v>
      </c>
    </row>
    <row r="7258" spans="2:11" ht="41.25" x14ac:dyDescent="0.2">
      <c r="B7258" s="33" t="s">
        <v>8293</v>
      </c>
      <c r="C7258" s="33" t="s">
        <v>1056</v>
      </c>
      <c r="D7258" s="35">
        <f>SUMIFS(D7259:D9015,K7259:K9015,"0",B7259:B9015,"5 1 2 9 8 12 31111 6 M59 96300 000211 0000E 00001 00298 015 2112000 2024 CP1SB396*")-SUMIFS(E7259:E9015,K7259:K9015,"0",B7259:B9015,"5 1 2 9 8 12 31111 6 M59 96300 000211 0000E 00001 00298 015 2112000 2024 CP1SB396*")</f>
        <v>0</v>
      </c>
      <c r="E7258"/>
      <c r="F7258" s="35">
        <f>SUMIFS(F7259:F9015,K7259:K9015,"0",B7259:B9015,"5 1 2 9 8 12 31111 6 M59 96300 000211 0000E 00001 00298 015 2112000 2024 CP1SB396*")</f>
        <v>178139.97</v>
      </c>
      <c r="G7258" s="35">
        <f>SUMIFS(G7259:G9015,K7259:K9015,"0",B7259:B9015,"5 1 2 9 8 12 31111 6 M59 96300 000211 0000E 00001 00298 015 2112000 2024 CP1SB396*")</f>
        <v>0</v>
      </c>
      <c r="H7258" s="35">
        <f t="shared" si="114"/>
        <v>178139.97</v>
      </c>
      <c r="I7258" s="35"/>
      <c r="K7258" t="s">
        <v>15</v>
      </c>
    </row>
    <row r="7259" spans="2:11" ht="41.25" x14ac:dyDescent="0.2">
      <c r="B7259" s="33" t="s">
        <v>8294</v>
      </c>
      <c r="C7259" s="33" t="s">
        <v>282</v>
      </c>
      <c r="D7259" s="35">
        <f>SUMIFS(D7260:D9015,K7260:K9015,"0",B7260:B9015,"5 1 2 9 8 12 31111 6 M59 96300 000211 0000E 00001 00298 015 2112000 2024 CP1SB396 001*")-SUMIFS(E7260:E9015,K7260:K9015,"0",B7260:B9015,"5 1 2 9 8 12 31111 6 M59 96300 000211 0000E 00001 00298 015 2112000 2024 CP1SB396 001*")</f>
        <v>0</v>
      </c>
      <c r="E7259"/>
      <c r="F7259" s="35">
        <f>SUMIFS(F7260:F9015,K7260:K9015,"0",B7260:B9015,"5 1 2 9 8 12 31111 6 M59 96300 000211 0000E 00001 00298 015 2112000 2024 CP1SB396 001*")</f>
        <v>178139.97</v>
      </c>
      <c r="G7259" s="35">
        <f>SUMIFS(G7260:G9015,K7260:K9015,"0",B7260:B9015,"5 1 2 9 8 12 31111 6 M59 96300 000211 0000E 00001 00298 015 2112000 2024 CP1SB396 001*")</f>
        <v>0</v>
      </c>
      <c r="H7259" s="35">
        <f t="shared" si="114"/>
        <v>178139.97</v>
      </c>
      <c r="I7259" s="35"/>
      <c r="K7259" t="s">
        <v>15</v>
      </c>
    </row>
    <row r="7260" spans="2:11" ht="33" x14ac:dyDescent="0.2">
      <c r="B7260" s="31" t="s">
        <v>8295</v>
      </c>
      <c r="C7260" s="31" t="s">
        <v>8245</v>
      </c>
      <c r="D7260" s="34">
        <v>0</v>
      </c>
      <c r="E7260" s="34"/>
      <c r="F7260" s="34">
        <v>178139.97</v>
      </c>
      <c r="G7260" s="34">
        <v>0</v>
      </c>
      <c r="H7260" s="34">
        <f t="shared" si="114"/>
        <v>178139.97</v>
      </c>
      <c r="I7260" s="34"/>
      <c r="K7260" t="s">
        <v>38</v>
      </c>
    </row>
    <row r="7261" spans="2:11" ht="24.75" x14ac:dyDescent="0.2">
      <c r="B7261" s="33" t="s">
        <v>8296</v>
      </c>
      <c r="C7261" s="33" t="s">
        <v>7259</v>
      </c>
      <c r="D7261" s="35">
        <f>SUMIFS(D7262:D9015,K7262:K9015,"0",B7262:B9015,"5 1 2 9 9*")-SUMIFS(E7262:E9015,K7262:K9015,"0",B7262:B9015,"5 1 2 9 9*")</f>
        <v>0</v>
      </c>
      <c r="E7261"/>
      <c r="F7261" s="35">
        <f>SUMIFS(F7262:F9015,K7262:K9015,"0",B7262:B9015,"5 1 2 9 9*")</f>
        <v>4739.37</v>
      </c>
      <c r="G7261" s="35">
        <f>SUMIFS(G7262:G9015,K7262:K9015,"0",B7262:B9015,"5 1 2 9 9*")</f>
        <v>0</v>
      </c>
      <c r="H7261" s="35">
        <f t="shared" si="114"/>
        <v>4739.37</v>
      </c>
      <c r="I7261" s="35"/>
      <c r="K7261" t="s">
        <v>15</v>
      </c>
    </row>
    <row r="7262" spans="2:11" ht="12.75" x14ac:dyDescent="0.2">
      <c r="B7262" s="33" t="s">
        <v>8297</v>
      </c>
      <c r="C7262" s="33" t="s">
        <v>26</v>
      </c>
      <c r="D7262" s="35">
        <f>SUMIFS(D7263:D9015,K7263:K9015,"0",B7263:B9015,"5 1 2 9 9 12*")-SUMIFS(E7263:E9015,K7263:K9015,"0",B7263:B9015,"5 1 2 9 9 12*")</f>
        <v>0</v>
      </c>
      <c r="E7262"/>
      <c r="F7262" s="35">
        <f>SUMIFS(F7263:F9015,K7263:K9015,"0",B7263:B9015,"5 1 2 9 9 12*")</f>
        <v>4739.37</v>
      </c>
      <c r="G7262" s="35">
        <f>SUMIFS(G7263:G9015,K7263:K9015,"0",B7263:B9015,"5 1 2 9 9 12*")</f>
        <v>0</v>
      </c>
      <c r="H7262" s="35">
        <f t="shared" si="114"/>
        <v>4739.37</v>
      </c>
      <c r="I7262" s="35"/>
      <c r="K7262" t="s">
        <v>15</v>
      </c>
    </row>
    <row r="7263" spans="2:11" ht="16.5" x14ac:dyDescent="0.2">
      <c r="B7263" s="33" t="s">
        <v>8298</v>
      </c>
      <c r="C7263" s="33" t="s">
        <v>28</v>
      </c>
      <c r="D7263" s="35">
        <f>SUMIFS(D7264:D9015,K7264:K9015,"0",B7264:B9015,"5 1 2 9 9 12 31111*")-SUMIFS(E7264:E9015,K7264:K9015,"0",B7264:B9015,"5 1 2 9 9 12 31111*")</f>
        <v>0</v>
      </c>
      <c r="E7263"/>
      <c r="F7263" s="35">
        <f>SUMIFS(F7264:F9015,K7264:K9015,"0",B7264:B9015,"5 1 2 9 9 12 31111*")</f>
        <v>4739.37</v>
      </c>
      <c r="G7263" s="35">
        <f>SUMIFS(G7264:G9015,K7264:K9015,"0",B7264:B9015,"5 1 2 9 9 12 31111*")</f>
        <v>0</v>
      </c>
      <c r="H7263" s="35">
        <f t="shared" si="114"/>
        <v>4739.37</v>
      </c>
      <c r="I7263" s="35"/>
      <c r="K7263" t="s">
        <v>15</v>
      </c>
    </row>
    <row r="7264" spans="2:11" ht="12.75" x14ac:dyDescent="0.2">
      <c r="B7264" s="33" t="s">
        <v>8299</v>
      </c>
      <c r="C7264" s="33" t="s">
        <v>30</v>
      </c>
      <c r="D7264" s="35">
        <f>SUMIFS(D7265:D9015,K7265:K9015,"0",B7265:B9015,"5 1 2 9 9 12 31111 6*")-SUMIFS(E7265:E9015,K7265:K9015,"0",B7265:B9015,"5 1 2 9 9 12 31111 6*")</f>
        <v>0</v>
      </c>
      <c r="E7264"/>
      <c r="F7264" s="35">
        <f>SUMIFS(F7265:F9015,K7265:K9015,"0",B7265:B9015,"5 1 2 9 9 12 31111 6*")</f>
        <v>4739.37</v>
      </c>
      <c r="G7264" s="35">
        <f>SUMIFS(G7265:G9015,K7265:K9015,"0",B7265:B9015,"5 1 2 9 9 12 31111 6*")</f>
        <v>0</v>
      </c>
      <c r="H7264" s="35">
        <f t="shared" si="114"/>
        <v>4739.37</v>
      </c>
      <c r="I7264" s="35"/>
      <c r="K7264" t="s">
        <v>15</v>
      </c>
    </row>
    <row r="7265" spans="2:11" ht="16.5" x14ac:dyDescent="0.2">
      <c r="B7265" s="33" t="s">
        <v>8300</v>
      </c>
      <c r="C7265" s="33" t="s">
        <v>2284</v>
      </c>
      <c r="D7265" s="35">
        <f>SUMIFS(D7266:D9015,K7266:K9015,"0",B7266:B9015,"5 1 2 9 9 12 31111 6 M59*")-SUMIFS(E7266:E9015,K7266:K9015,"0",B7266:B9015,"5 1 2 9 9 12 31111 6 M59*")</f>
        <v>0</v>
      </c>
      <c r="E7265"/>
      <c r="F7265" s="35">
        <f>SUMIFS(F7266:F9015,K7266:K9015,"0",B7266:B9015,"5 1 2 9 9 12 31111 6 M59*")</f>
        <v>4739.37</v>
      </c>
      <c r="G7265" s="35">
        <f>SUMIFS(G7266:G9015,K7266:K9015,"0",B7266:B9015,"5 1 2 9 9 12 31111 6 M59*")</f>
        <v>0</v>
      </c>
      <c r="H7265" s="35">
        <f t="shared" si="114"/>
        <v>4739.37</v>
      </c>
      <c r="I7265" s="35"/>
      <c r="K7265" t="s">
        <v>15</v>
      </c>
    </row>
    <row r="7266" spans="2:11" ht="16.5" x14ac:dyDescent="0.2">
      <c r="B7266" s="33" t="s">
        <v>8301</v>
      </c>
      <c r="C7266" s="33" t="s">
        <v>1308</v>
      </c>
      <c r="D7266" s="35">
        <f>SUMIFS(D7267:D9015,K7267:K9015,"0",B7267:B9015,"5 1 2 9 9 12 31111 6 M59 96300*")-SUMIFS(E7267:E9015,K7267:K9015,"0",B7267:B9015,"5 1 2 9 9 12 31111 6 M59 96300*")</f>
        <v>0</v>
      </c>
      <c r="E7266"/>
      <c r="F7266" s="35">
        <f>SUMIFS(F7267:F9015,K7267:K9015,"0",B7267:B9015,"5 1 2 9 9 12 31111 6 M59 96300*")</f>
        <v>4231.87</v>
      </c>
      <c r="G7266" s="35">
        <f>SUMIFS(G7267:G9015,K7267:K9015,"0",B7267:B9015,"5 1 2 9 9 12 31111 6 M59 96300*")</f>
        <v>0</v>
      </c>
      <c r="H7266" s="35">
        <f t="shared" si="114"/>
        <v>4231.87</v>
      </c>
      <c r="I7266" s="35"/>
      <c r="K7266" t="s">
        <v>15</v>
      </c>
    </row>
    <row r="7267" spans="2:11" ht="16.5" x14ac:dyDescent="0.2">
      <c r="B7267" s="33" t="s">
        <v>8302</v>
      </c>
      <c r="C7267" s="33" t="s">
        <v>1310</v>
      </c>
      <c r="D7267" s="35">
        <f>SUMIFS(D7268:D9015,K7268:K9015,"0",B7268:B9015,"5 1 2 9 9 12 31111 6 M59 96300 000211*")-SUMIFS(E7268:E9015,K7268:K9015,"0",B7268:B9015,"5 1 2 9 9 12 31111 6 M59 96300 000211*")</f>
        <v>0</v>
      </c>
      <c r="E7267"/>
      <c r="F7267" s="35">
        <f>SUMIFS(F7268:F9015,K7268:K9015,"0",B7268:B9015,"5 1 2 9 9 12 31111 6 M59 96300 000211*")</f>
        <v>4231.87</v>
      </c>
      <c r="G7267" s="35">
        <f>SUMIFS(G7268:G9015,K7268:K9015,"0",B7268:B9015,"5 1 2 9 9 12 31111 6 M59 96300 000211*")</f>
        <v>0</v>
      </c>
      <c r="H7267" s="35">
        <f t="shared" si="114"/>
        <v>4231.87</v>
      </c>
      <c r="I7267" s="35"/>
      <c r="K7267" t="s">
        <v>15</v>
      </c>
    </row>
    <row r="7268" spans="2:11" ht="24.75" x14ac:dyDescent="0.2">
      <c r="B7268" s="33" t="s">
        <v>8303</v>
      </c>
      <c r="C7268" s="33" t="s">
        <v>1065</v>
      </c>
      <c r="D7268" s="35">
        <f>SUMIFS(D7269:D9015,K7269:K9015,"0",B7269:B9015,"5 1 2 9 9 12 31111 6 M59 96300 000211 0000E*")-SUMIFS(E7269:E9015,K7269:K9015,"0",B7269:B9015,"5 1 2 9 9 12 31111 6 M59 96300 000211 0000E*")</f>
        <v>0</v>
      </c>
      <c r="E7268"/>
      <c r="F7268" s="35">
        <f>SUMIFS(F7269:F9015,K7269:K9015,"0",B7269:B9015,"5 1 2 9 9 12 31111 6 M59 96300 000211 0000E*")</f>
        <v>4231.87</v>
      </c>
      <c r="G7268" s="35">
        <f>SUMIFS(G7269:G9015,K7269:K9015,"0",B7269:B9015,"5 1 2 9 9 12 31111 6 M59 96300 000211 0000E*")</f>
        <v>0</v>
      </c>
      <c r="H7268" s="35">
        <f t="shared" si="114"/>
        <v>4231.87</v>
      </c>
      <c r="I7268" s="35"/>
      <c r="K7268" t="s">
        <v>15</v>
      </c>
    </row>
    <row r="7269" spans="2:11" ht="24.75" x14ac:dyDescent="0.2">
      <c r="B7269" s="33" t="s">
        <v>8304</v>
      </c>
      <c r="C7269" s="33" t="s">
        <v>282</v>
      </c>
      <c r="D7269" s="35">
        <f>SUMIFS(D7270:D9015,K7270:K9015,"0",B7270:B9015,"5 1 2 9 9 12 31111 6 M59 96300 000211 0000E 00001*")-SUMIFS(E7270:E9015,K7270:K9015,"0",B7270:B9015,"5 1 2 9 9 12 31111 6 M59 96300 000211 0000E 00001*")</f>
        <v>0</v>
      </c>
      <c r="E7269"/>
      <c r="F7269" s="35">
        <f>SUMIFS(F7270:F9015,K7270:K9015,"0",B7270:B9015,"5 1 2 9 9 12 31111 6 M59 96300 000211 0000E 00001*")</f>
        <v>4231.87</v>
      </c>
      <c r="G7269" s="35">
        <f>SUMIFS(G7270:G9015,K7270:K9015,"0",B7270:B9015,"5 1 2 9 9 12 31111 6 M59 96300 000211 0000E 00001*")</f>
        <v>0</v>
      </c>
      <c r="H7269" s="35">
        <f t="shared" si="114"/>
        <v>4231.87</v>
      </c>
      <c r="I7269" s="35"/>
      <c r="K7269" t="s">
        <v>15</v>
      </c>
    </row>
    <row r="7270" spans="2:11" ht="24.75" x14ac:dyDescent="0.2">
      <c r="B7270" s="33" t="s">
        <v>8305</v>
      </c>
      <c r="C7270" s="33" t="s">
        <v>8306</v>
      </c>
      <c r="D7270" s="35">
        <f>SUMIFS(D7271:D9015,K7271:K9015,"0",B7271:B9015,"5 1 2 9 9 12 31111 6 M59 96300 000211 0000E 00001 00299*")-SUMIFS(E7271:E9015,K7271:K9015,"0",B7271:B9015,"5 1 2 9 9 12 31111 6 M59 96300 000211 0000E 00001 00299*")</f>
        <v>0</v>
      </c>
      <c r="E7270"/>
      <c r="F7270" s="35">
        <f>SUMIFS(F7271:F9015,K7271:K9015,"0",B7271:B9015,"5 1 2 9 9 12 31111 6 M59 96300 000211 0000E 00001 00299*")</f>
        <v>4231.87</v>
      </c>
      <c r="G7270" s="35">
        <f>SUMIFS(G7271:G9015,K7271:K9015,"0",B7271:B9015,"5 1 2 9 9 12 31111 6 M59 96300 000211 0000E 00001 00299*")</f>
        <v>0</v>
      </c>
      <c r="H7270" s="35">
        <f t="shared" si="114"/>
        <v>4231.87</v>
      </c>
      <c r="I7270" s="35"/>
      <c r="K7270" t="s">
        <v>15</v>
      </c>
    </row>
    <row r="7271" spans="2:11" ht="33" x14ac:dyDescent="0.2">
      <c r="B7271" s="33" t="s">
        <v>8307</v>
      </c>
      <c r="C7271" s="33" t="s">
        <v>1051</v>
      </c>
      <c r="D7271" s="35">
        <f>SUMIFS(D7272:D9015,K7272:K9015,"0",B7272:B9015,"5 1 2 9 9 12 31111 6 M59 96300 000211 0000E 00001 00299 015*")-SUMIFS(E7272:E9015,K7272:K9015,"0",B7272:B9015,"5 1 2 9 9 12 31111 6 M59 96300 000211 0000E 00001 00299 015*")</f>
        <v>0</v>
      </c>
      <c r="E7271"/>
      <c r="F7271" s="35">
        <f>SUMIFS(F7272:F9015,K7272:K9015,"0",B7272:B9015,"5 1 2 9 9 12 31111 6 M59 96300 000211 0000E 00001 00299 015*")</f>
        <v>4231.87</v>
      </c>
      <c r="G7271" s="35">
        <f>SUMIFS(G7272:G9015,K7272:K9015,"0",B7272:B9015,"5 1 2 9 9 12 31111 6 M59 96300 000211 0000E 00001 00299 015*")</f>
        <v>0</v>
      </c>
      <c r="H7271" s="35">
        <f t="shared" si="114"/>
        <v>4231.87</v>
      </c>
      <c r="I7271" s="35"/>
      <c r="K7271" t="s">
        <v>15</v>
      </c>
    </row>
    <row r="7272" spans="2:11" ht="33" x14ac:dyDescent="0.2">
      <c r="B7272" s="33" t="s">
        <v>8308</v>
      </c>
      <c r="C7272" s="33" t="s">
        <v>5830</v>
      </c>
      <c r="D7272" s="35">
        <f>SUMIFS(D7273:D9015,K7273:K9015,"0",B7273:B9015,"5 1 2 9 9 12 31111 6 M59 96300 000211 0000E 00001 00299 015 2112000*")-SUMIFS(E7273:E9015,K7273:K9015,"0",B7273:B9015,"5 1 2 9 9 12 31111 6 M59 96300 000211 0000E 00001 00299 015 2112000*")</f>
        <v>0</v>
      </c>
      <c r="E7272"/>
      <c r="F7272" s="35">
        <f>SUMIFS(F7273:F9015,K7273:K9015,"0",B7273:B9015,"5 1 2 9 9 12 31111 6 M59 96300 000211 0000E 00001 00299 015 2112000*")</f>
        <v>4231.87</v>
      </c>
      <c r="G7272" s="35">
        <f>SUMIFS(G7273:G9015,K7273:K9015,"0",B7273:B9015,"5 1 2 9 9 12 31111 6 M59 96300 000211 0000E 00001 00299 015 2112000*")</f>
        <v>0</v>
      </c>
      <c r="H7272" s="35">
        <f t="shared" si="114"/>
        <v>4231.87</v>
      </c>
      <c r="I7272" s="35"/>
      <c r="K7272" t="s">
        <v>15</v>
      </c>
    </row>
    <row r="7273" spans="2:11" ht="33" x14ac:dyDescent="0.2">
      <c r="B7273" s="33" t="s">
        <v>8309</v>
      </c>
      <c r="C7273" s="33" t="s">
        <v>660</v>
      </c>
      <c r="D7273" s="35">
        <f>SUMIFS(D7274:D9015,K7274:K9015,"0",B7274:B9015,"5 1 2 9 9 12 31111 6 M59 96300 000211 0000E 00001 00299 015 2112000 2024*")-SUMIFS(E7274:E9015,K7274:K9015,"0",B7274:B9015,"5 1 2 9 9 12 31111 6 M59 96300 000211 0000E 00001 00299 015 2112000 2024*")</f>
        <v>0</v>
      </c>
      <c r="E7273"/>
      <c r="F7273" s="35">
        <f>SUMIFS(F7274:F9015,K7274:K9015,"0",B7274:B9015,"5 1 2 9 9 12 31111 6 M59 96300 000211 0000E 00001 00299 015 2112000 2024*")</f>
        <v>4231.87</v>
      </c>
      <c r="G7273" s="35">
        <f>SUMIFS(G7274:G9015,K7274:K9015,"0",B7274:B9015,"5 1 2 9 9 12 31111 6 M59 96300 000211 0000E 00001 00299 015 2112000 2024*")</f>
        <v>0</v>
      </c>
      <c r="H7273" s="35">
        <f t="shared" si="114"/>
        <v>4231.87</v>
      </c>
      <c r="I7273" s="35"/>
      <c r="K7273" t="s">
        <v>15</v>
      </c>
    </row>
    <row r="7274" spans="2:11" ht="41.25" x14ac:dyDescent="0.2">
      <c r="B7274" s="33" t="s">
        <v>8310</v>
      </c>
      <c r="C7274" s="33" t="s">
        <v>1056</v>
      </c>
      <c r="D7274" s="35">
        <f>SUMIFS(D7275:D9015,K7275:K9015,"0",B7275:B9015,"5 1 2 9 9 12 31111 6 M59 96300 000211 0000E 00001 00299 015 2112000 2024 CP1SB396*")-SUMIFS(E7275:E9015,K7275:K9015,"0",B7275:B9015,"5 1 2 9 9 12 31111 6 M59 96300 000211 0000E 00001 00299 015 2112000 2024 CP1SB396*")</f>
        <v>0</v>
      </c>
      <c r="E7274"/>
      <c r="F7274" s="35">
        <f>SUMIFS(F7275:F9015,K7275:K9015,"0",B7275:B9015,"5 1 2 9 9 12 31111 6 M59 96300 000211 0000E 00001 00299 015 2112000 2024 CP1SB396*")</f>
        <v>4231.87</v>
      </c>
      <c r="G7274" s="35">
        <f>SUMIFS(G7275:G9015,K7275:K9015,"0",B7275:B9015,"5 1 2 9 9 12 31111 6 M59 96300 000211 0000E 00001 00299 015 2112000 2024 CP1SB396*")</f>
        <v>0</v>
      </c>
      <c r="H7274" s="35">
        <f t="shared" si="114"/>
        <v>4231.87</v>
      </c>
      <c r="I7274" s="35"/>
      <c r="K7274" t="s">
        <v>15</v>
      </c>
    </row>
    <row r="7275" spans="2:11" ht="41.25" x14ac:dyDescent="0.2">
      <c r="B7275" s="33" t="s">
        <v>8311</v>
      </c>
      <c r="C7275" s="33" t="s">
        <v>282</v>
      </c>
      <c r="D7275" s="35">
        <f>SUMIFS(D7276:D9015,K7276:K9015,"0",B7276:B9015,"5 1 2 9 9 12 31111 6 M59 96300 000211 0000E 00001 00299 015 2112000 2024 CP1SB396 001*")-SUMIFS(E7276:E9015,K7276:K9015,"0",B7276:B9015,"5 1 2 9 9 12 31111 6 M59 96300 000211 0000E 00001 00299 015 2112000 2024 CP1SB396 001*")</f>
        <v>0</v>
      </c>
      <c r="E7275"/>
      <c r="F7275" s="35">
        <f>SUMIFS(F7276:F9015,K7276:K9015,"0",B7276:B9015,"5 1 2 9 9 12 31111 6 M59 96300 000211 0000E 00001 00299 015 2112000 2024 CP1SB396 001*")</f>
        <v>4231.87</v>
      </c>
      <c r="G7275" s="35">
        <f>SUMIFS(G7276:G9015,K7276:K9015,"0",B7276:B9015,"5 1 2 9 9 12 31111 6 M59 96300 000211 0000E 00001 00299 015 2112000 2024 CP1SB396 001*")</f>
        <v>0</v>
      </c>
      <c r="H7275" s="35">
        <f t="shared" si="114"/>
        <v>4231.87</v>
      </c>
      <c r="I7275" s="35"/>
      <c r="K7275" t="s">
        <v>15</v>
      </c>
    </row>
    <row r="7276" spans="2:11" ht="33" x14ac:dyDescent="0.2">
      <c r="B7276" s="31" t="s">
        <v>8312</v>
      </c>
      <c r="C7276" s="31" t="s">
        <v>8306</v>
      </c>
      <c r="D7276" s="34">
        <v>0</v>
      </c>
      <c r="E7276" s="34"/>
      <c r="F7276" s="34">
        <v>4231.87</v>
      </c>
      <c r="G7276" s="34">
        <v>0</v>
      </c>
      <c r="H7276" s="34">
        <f t="shared" si="114"/>
        <v>4231.87</v>
      </c>
      <c r="I7276" s="34"/>
      <c r="K7276" t="s">
        <v>38</v>
      </c>
    </row>
    <row r="7277" spans="2:11" ht="16.5" x14ac:dyDescent="0.2">
      <c r="B7277" s="33" t="s">
        <v>8313</v>
      </c>
      <c r="C7277" s="33" t="s">
        <v>3754</v>
      </c>
      <c r="D7277" s="35">
        <f>SUMIFS(D7278:D9015,K7278:K9015,"0",B7278:B9015,"5 1 2 9 9 12 31111 6 M59 99000*")-SUMIFS(E7278:E9015,K7278:K9015,"0",B7278:B9015,"5 1 2 9 9 12 31111 6 M59 99000*")</f>
        <v>0</v>
      </c>
      <c r="E7277"/>
      <c r="F7277" s="35">
        <f>SUMIFS(F7278:F9015,K7278:K9015,"0",B7278:B9015,"5 1 2 9 9 12 31111 6 M59 99000*")</f>
        <v>507.5</v>
      </c>
      <c r="G7277" s="35">
        <f>SUMIFS(G7278:G9015,K7278:K9015,"0",B7278:B9015,"5 1 2 9 9 12 31111 6 M59 99000*")</f>
        <v>0</v>
      </c>
      <c r="H7277" s="35">
        <f t="shared" si="114"/>
        <v>507.5</v>
      </c>
      <c r="I7277" s="35"/>
      <c r="K7277" t="s">
        <v>15</v>
      </c>
    </row>
    <row r="7278" spans="2:11" ht="16.5" x14ac:dyDescent="0.2">
      <c r="B7278" s="33" t="s">
        <v>8314</v>
      </c>
      <c r="C7278" s="33" t="s">
        <v>648</v>
      </c>
      <c r="D7278" s="35">
        <f>SUMIFS(D7279:D9015,K7279:K9015,"0",B7279:B9015,"5 1 2 9 9 12 31111 6 M59 99000 000132*")-SUMIFS(E7279:E9015,K7279:K9015,"0",B7279:B9015,"5 1 2 9 9 12 31111 6 M59 99000 000132*")</f>
        <v>0</v>
      </c>
      <c r="E7278"/>
      <c r="F7278" s="35">
        <f>SUMIFS(F7279:F9015,K7279:K9015,"0",B7279:B9015,"5 1 2 9 9 12 31111 6 M59 99000 000132*")</f>
        <v>507.5</v>
      </c>
      <c r="G7278" s="35">
        <f>SUMIFS(G7279:G9015,K7279:K9015,"0",B7279:B9015,"5 1 2 9 9 12 31111 6 M59 99000 000132*")</f>
        <v>0</v>
      </c>
      <c r="H7278" s="35">
        <f t="shared" si="114"/>
        <v>507.5</v>
      </c>
      <c r="I7278" s="35"/>
      <c r="K7278" t="s">
        <v>15</v>
      </c>
    </row>
    <row r="7279" spans="2:11" ht="24.75" x14ac:dyDescent="0.2">
      <c r="B7279" s="33" t="s">
        <v>8315</v>
      </c>
      <c r="C7279" s="33" t="s">
        <v>650</v>
      </c>
      <c r="D7279" s="35">
        <f>SUMIFS(D7280:D9015,K7280:K9015,"0",B7280:B9015,"5 1 2 9 9 12 31111 6 M59 99000 000132 0000R*")-SUMIFS(E7280:E9015,K7280:K9015,"0",B7280:B9015,"5 1 2 9 9 12 31111 6 M59 99000 000132 0000R*")</f>
        <v>0</v>
      </c>
      <c r="E7279"/>
      <c r="F7279" s="35">
        <f>SUMIFS(F7280:F9015,K7280:K9015,"0",B7280:B9015,"5 1 2 9 9 12 31111 6 M59 99000 000132 0000R*")</f>
        <v>507.5</v>
      </c>
      <c r="G7279" s="35">
        <f>SUMIFS(G7280:G9015,K7280:K9015,"0",B7280:B9015,"5 1 2 9 9 12 31111 6 M59 99000 000132 0000R*")</f>
        <v>0</v>
      </c>
      <c r="H7279" s="35">
        <f t="shared" si="114"/>
        <v>507.5</v>
      </c>
      <c r="I7279" s="35"/>
      <c r="K7279" t="s">
        <v>15</v>
      </c>
    </row>
    <row r="7280" spans="2:11" ht="24.75" x14ac:dyDescent="0.2">
      <c r="B7280" s="33" t="s">
        <v>8316</v>
      </c>
      <c r="C7280" s="33" t="s">
        <v>282</v>
      </c>
      <c r="D7280" s="35">
        <f>SUMIFS(D7281:D9015,K7281:K9015,"0",B7281:B9015,"5 1 2 9 9 12 31111 6 M59 99000 000132 0000R 00001*")-SUMIFS(E7281:E9015,K7281:K9015,"0",B7281:B9015,"5 1 2 9 9 12 31111 6 M59 99000 000132 0000R 00001*")</f>
        <v>0</v>
      </c>
      <c r="E7280"/>
      <c r="F7280" s="35">
        <f>SUMIFS(F7281:F9015,K7281:K9015,"0",B7281:B9015,"5 1 2 9 9 12 31111 6 M59 99000 000132 0000R 00001*")</f>
        <v>507.5</v>
      </c>
      <c r="G7280" s="35">
        <f>SUMIFS(G7281:G9015,K7281:K9015,"0",B7281:B9015,"5 1 2 9 9 12 31111 6 M59 99000 000132 0000R 00001*")</f>
        <v>0</v>
      </c>
      <c r="H7280" s="35">
        <f t="shared" si="114"/>
        <v>507.5</v>
      </c>
      <c r="I7280" s="35"/>
      <c r="K7280" t="s">
        <v>15</v>
      </c>
    </row>
    <row r="7281" spans="2:11" ht="24.75" x14ac:dyDescent="0.2">
      <c r="B7281" s="33" t="s">
        <v>8317</v>
      </c>
      <c r="C7281" s="33" t="s">
        <v>8306</v>
      </c>
      <c r="D7281" s="35">
        <f>SUMIFS(D7282:D9015,K7282:K9015,"0",B7282:B9015,"5 1 2 9 9 12 31111 6 M59 99000 000132 0000R 00001 00299*")-SUMIFS(E7282:E9015,K7282:K9015,"0",B7282:B9015,"5 1 2 9 9 12 31111 6 M59 99000 000132 0000R 00001 00299*")</f>
        <v>0</v>
      </c>
      <c r="E7281"/>
      <c r="F7281" s="35">
        <f>SUMIFS(F7282:F9015,K7282:K9015,"0",B7282:B9015,"5 1 2 9 9 12 31111 6 M59 99000 000132 0000R 00001 00299*")</f>
        <v>507.5</v>
      </c>
      <c r="G7281" s="35">
        <f>SUMIFS(G7282:G9015,K7282:K9015,"0",B7282:B9015,"5 1 2 9 9 12 31111 6 M59 99000 000132 0000R 00001 00299*")</f>
        <v>0</v>
      </c>
      <c r="H7281" s="35">
        <f t="shared" si="114"/>
        <v>507.5</v>
      </c>
      <c r="I7281" s="35"/>
      <c r="K7281" t="s">
        <v>15</v>
      </c>
    </row>
    <row r="7282" spans="2:11" ht="33" x14ac:dyDescent="0.2">
      <c r="B7282" s="33" t="s">
        <v>8318</v>
      </c>
      <c r="C7282" s="33" t="s">
        <v>1051</v>
      </c>
      <c r="D7282" s="35">
        <f>SUMIFS(D7283:D9015,K7283:K9015,"0",B7283:B9015,"5 1 2 9 9 12 31111 6 M59 99000 000132 0000R 00001 00299 015*")-SUMIFS(E7283:E9015,K7283:K9015,"0",B7283:B9015,"5 1 2 9 9 12 31111 6 M59 99000 000132 0000R 00001 00299 015*")</f>
        <v>0</v>
      </c>
      <c r="E7282"/>
      <c r="F7282" s="35">
        <f>SUMIFS(F7283:F9015,K7283:K9015,"0",B7283:B9015,"5 1 2 9 9 12 31111 6 M59 99000 000132 0000R 00001 00299 015*")</f>
        <v>507.5</v>
      </c>
      <c r="G7282" s="35">
        <f>SUMIFS(G7283:G9015,K7283:K9015,"0",B7283:B9015,"5 1 2 9 9 12 31111 6 M59 99000 000132 0000R 00001 00299 015*")</f>
        <v>0</v>
      </c>
      <c r="H7282" s="35">
        <f t="shared" si="114"/>
        <v>507.5</v>
      </c>
      <c r="I7282" s="35"/>
      <c r="K7282" t="s">
        <v>15</v>
      </c>
    </row>
    <row r="7283" spans="2:11" ht="33" x14ac:dyDescent="0.2">
      <c r="B7283" s="33" t="s">
        <v>8319</v>
      </c>
      <c r="C7283" s="33" t="s">
        <v>5830</v>
      </c>
      <c r="D7283" s="35">
        <f>SUMIFS(D7284:D9015,K7284:K9015,"0",B7284:B9015,"5 1 2 9 9 12 31111 6 M59 99000 000132 0000R 00001 00299 015 2112000*")-SUMIFS(E7284:E9015,K7284:K9015,"0",B7284:B9015,"5 1 2 9 9 12 31111 6 M59 99000 000132 0000R 00001 00299 015 2112000*")</f>
        <v>0</v>
      </c>
      <c r="E7283"/>
      <c r="F7283" s="35">
        <f>SUMIFS(F7284:F9015,K7284:K9015,"0",B7284:B9015,"5 1 2 9 9 12 31111 6 M59 99000 000132 0000R 00001 00299 015 2112000*")</f>
        <v>507.5</v>
      </c>
      <c r="G7283" s="35">
        <f>SUMIFS(G7284:G9015,K7284:K9015,"0",B7284:B9015,"5 1 2 9 9 12 31111 6 M59 99000 000132 0000R 00001 00299 015 2112000*")</f>
        <v>0</v>
      </c>
      <c r="H7283" s="35">
        <f t="shared" si="114"/>
        <v>507.5</v>
      </c>
      <c r="I7283" s="35"/>
      <c r="K7283" t="s">
        <v>15</v>
      </c>
    </row>
    <row r="7284" spans="2:11" ht="33" x14ac:dyDescent="0.2">
      <c r="B7284" s="33" t="s">
        <v>8320</v>
      </c>
      <c r="C7284" s="33" t="s">
        <v>660</v>
      </c>
      <c r="D7284" s="35">
        <f>SUMIFS(D7285:D9015,K7285:K9015,"0",B7285:B9015,"5 1 2 9 9 12 31111 6 M59 99000 000132 0000R 00001 00299 015 2112000 2024*")-SUMIFS(E7285:E9015,K7285:K9015,"0",B7285:B9015,"5 1 2 9 9 12 31111 6 M59 99000 000132 0000R 00001 00299 015 2112000 2024*")</f>
        <v>0</v>
      </c>
      <c r="E7284"/>
      <c r="F7284" s="35">
        <f>SUMIFS(F7285:F9015,K7285:K9015,"0",B7285:B9015,"5 1 2 9 9 12 31111 6 M59 99000 000132 0000R 00001 00299 015 2112000 2024*")</f>
        <v>507.5</v>
      </c>
      <c r="G7284" s="35">
        <f>SUMIFS(G7285:G9015,K7285:K9015,"0",B7285:B9015,"5 1 2 9 9 12 31111 6 M59 99000 000132 0000R 00001 00299 015 2112000 2024*")</f>
        <v>0</v>
      </c>
      <c r="H7284" s="35">
        <f t="shared" si="114"/>
        <v>507.5</v>
      </c>
      <c r="I7284" s="35"/>
      <c r="K7284" t="s">
        <v>15</v>
      </c>
    </row>
    <row r="7285" spans="2:11" ht="41.25" x14ac:dyDescent="0.2">
      <c r="B7285" s="33" t="s">
        <v>8321</v>
      </c>
      <c r="C7285" s="33" t="s">
        <v>1056</v>
      </c>
      <c r="D7285" s="35">
        <f>SUMIFS(D7286:D9015,K7286:K9015,"0",B7286:B9015,"5 1 2 9 9 12 31111 6 M59 99000 000132 0000R 00001 00299 015 2112000 2024 CP1MG408*")-SUMIFS(E7286:E9015,K7286:K9015,"0",B7286:B9015,"5 1 2 9 9 12 31111 6 M59 99000 000132 0000R 00001 00299 015 2112000 2024 CP1MG408*")</f>
        <v>0</v>
      </c>
      <c r="E7285"/>
      <c r="F7285" s="35">
        <f>SUMIFS(F7286:F9015,K7286:K9015,"0",B7286:B9015,"5 1 2 9 9 12 31111 6 M59 99000 000132 0000R 00001 00299 015 2112000 2024 CP1MG408*")</f>
        <v>507.5</v>
      </c>
      <c r="G7285" s="35">
        <f>SUMIFS(G7286:G9015,K7286:K9015,"0",B7286:B9015,"5 1 2 9 9 12 31111 6 M59 99000 000132 0000R 00001 00299 015 2112000 2024 CP1MG408*")</f>
        <v>0</v>
      </c>
      <c r="H7285" s="35">
        <f t="shared" si="114"/>
        <v>507.5</v>
      </c>
      <c r="I7285" s="35"/>
      <c r="K7285" t="s">
        <v>15</v>
      </c>
    </row>
    <row r="7286" spans="2:11" ht="41.25" x14ac:dyDescent="0.2">
      <c r="B7286" s="33" t="s">
        <v>8322</v>
      </c>
      <c r="C7286" s="33" t="s">
        <v>282</v>
      </c>
      <c r="D7286" s="35">
        <f>SUMIFS(D7287:D9015,K7287:K9015,"0",B7287:B9015,"5 1 2 9 9 12 31111 6 M59 99000 000132 0000R 00001 00299 015 2112000 2024 CP1MG408 001*")-SUMIFS(E7287:E9015,K7287:K9015,"0",B7287:B9015,"5 1 2 9 9 12 31111 6 M59 99000 000132 0000R 00001 00299 015 2112000 2024 CP1MG408 001*")</f>
        <v>0</v>
      </c>
      <c r="E7286"/>
      <c r="F7286" s="35">
        <f>SUMIFS(F7287:F9015,K7287:K9015,"0",B7287:B9015,"5 1 2 9 9 12 31111 6 M59 99000 000132 0000R 00001 00299 015 2112000 2024 CP1MG408 001*")</f>
        <v>507.5</v>
      </c>
      <c r="G7286" s="35">
        <f>SUMIFS(G7287:G9015,K7287:K9015,"0",B7287:B9015,"5 1 2 9 9 12 31111 6 M59 99000 000132 0000R 00001 00299 015 2112000 2024 CP1MG408 001*")</f>
        <v>0</v>
      </c>
      <c r="H7286" s="35">
        <f t="shared" si="114"/>
        <v>507.5</v>
      </c>
      <c r="I7286" s="35"/>
      <c r="K7286" t="s">
        <v>15</v>
      </c>
    </row>
    <row r="7287" spans="2:11" ht="41.25" x14ac:dyDescent="0.2">
      <c r="B7287" s="31" t="s">
        <v>8323</v>
      </c>
      <c r="C7287" s="31" t="s">
        <v>7259</v>
      </c>
      <c r="D7287" s="34">
        <v>0</v>
      </c>
      <c r="E7287" s="34"/>
      <c r="F7287" s="34">
        <v>507.5</v>
      </c>
      <c r="G7287" s="34">
        <v>0</v>
      </c>
      <c r="H7287" s="34">
        <f t="shared" si="114"/>
        <v>507.5</v>
      </c>
      <c r="I7287" s="34"/>
      <c r="K7287" t="s">
        <v>38</v>
      </c>
    </row>
    <row r="7288" spans="2:11" ht="12.75" x14ac:dyDescent="0.2">
      <c r="B7288" s="33" t="s">
        <v>8324</v>
      </c>
      <c r="C7288" s="33" t="s">
        <v>8325</v>
      </c>
      <c r="D7288" s="35">
        <f>SUMIFS(D7289:D9015,K7289:K9015,"0",B7289:B9015,"5 1 3*")-SUMIFS(E7289:E9015,K7289:K9015,"0",B7289:B9015,"5 1 3*")</f>
        <v>0</v>
      </c>
      <c r="E7288"/>
      <c r="F7288" s="35">
        <f>SUMIFS(F7289:F9015,K7289:K9015,"0",B7289:B9015,"5 1 3*")</f>
        <v>24216195.340000007</v>
      </c>
      <c r="G7288" s="35">
        <f>SUMIFS(G7289:G9015,K7289:K9015,"0",B7289:B9015,"5 1 3*")</f>
        <v>0</v>
      </c>
      <c r="H7288" s="35">
        <f t="shared" si="114"/>
        <v>24216195.340000007</v>
      </c>
      <c r="I7288" s="35"/>
      <c r="K7288" t="s">
        <v>15</v>
      </c>
    </row>
    <row r="7289" spans="2:11" ht="12.75" x14ac:dyDescent="0.2">
      <c r="B7289" s="33" t="s">
        <v>8326</v>
      </c>
      <c r="C7289" s="33" t="s">
        <v>8327</v>
      </c>
      <c r="D7289" s="35">
        <f>SUMIFS(D7290:D9015,K7290:K9015,"0",B7290:B9015,"5 1 3 1*")-SUMIFS(E7290:E9015,K7290:K9015,"0",B7290:B9015,"5 1 3 1*")</f>
        <v>0</v>
      </c>
      <c r="E7289"/>
      <c r="F7289" s="35">
        <f>SUMIFS(F7290:F9015,K7290:K9015,"0",B7290:B9015,"5 1 3 1*")</f>
        <v>9005223.8399999999</v>
      </c>
      <c r="G7289" s="35">
        <f>SUMIFS(G7290:G9015,K7290:K9015,"0",B7290:B9015,"5 1 3 1*")</f>
        <v>0</v>
      </c>
      <c r="H7289" s="35">
        <f t="shared" si="114"/>
        <v>9005223.8399999999</v>
      </c>
      <c r="I7289" s="35"/>
      <c r="K7289" t="s">
        <v>15</v>
      </c>
    </row>
    <row r="7290" spans="2:11" ht="12.75" x14ac:dyDescent="0.2">
      <c r="B7290" s="33" t="s">
        <v>8328</v>
      </c>
      <c r="C7290" s="33" t="s">
        <v>8329</v>
      </c>
      <c r="D7290" s="35">
        <f>SUMIFS(D7291:D9015,K7291:K9015,"0",B7291:B9015,"5 1 3 1 1*")-SUMIFS(E7291:E9015,K7291:K9015,"0",B7291:B9015,"5 1 3 1 1*")</f>
        <v>0</v>
      </c>
      <c r="E7290"/>
      <c r="F7290" s="35">
        <f>SUMIFS(F7291:F9015,K7291:K9015,"0",B7291:B9015,"5 1 3 1 1*")</f>
        <v>8649387.879999999</v>
      </c>
      <c r="G7290" s="35">
        <f>SUMIFS(G7291:G9015,K7291:K9015,"0",B7291:B9015,"5 1 3 1 1*")</f>
        <v>0</v>
      </c>
      <c r="H7290" s="35">
        <f t="shared" si="114"/>
        <v>8649387.879999999</v>
      </c>
      <c r="I7290" s="35"/>
      <c r="K7290" t="s">
        <v>15</v>
      </c>
    </row>
    <row r="7291" spans="2:11" ht="12.75" x14ac:dyDescent="0.2">
      <c r="B7291" s="33" t="s">
        <v>8330</v>
      </c>
      <c r="C7291" s="33" t="s">
        <v>26</v>
      </c>
      <c r="D7291" s="35">
        <f>SUMIFS(D7292:D9015,K7292:K9015,"0",B7292:B9015,"5 1 3 1 1 12*")-SUMIFS(E7292:E9015,K7292:K9015,"0",B7292:B9015,"5 1 3 1 1 12*")</f>
        <v>0</v>
      </c>
      <c r="E7291"/>
      <c r="F7291" s="35">
        <f>SUMIFS(F7292:F9015,K7292:K9015,"0",B7292:B9015,"5 1 3 1 1 12*")</f>
        <v>8649387.879999999</v>
      </c>
      <c r="G7291" s="35">
        <f>SUMIFS(G7292:G9015,K7292:K9015,"0",B7292:B9015,"5 1 3 1 1 12*")</f>
        <v>0</v>
      </c>
      <c r="H7291" s="35">
        <f t="shared" si="114"/>
        <v>8649387.879999999</v>
      </c>
      <c r="I7291" s="35"/>
      <c r="K7291" t="s">
        <v>15</v>
      </c>
    </row>
    <row r="7292" spans="2:11" ht="16.5" x14ac:dyDescent="0.2">
      <c r="B7292" s="33" t="s">
        <v>8331</v>
      </c>
      <c r="C7292" s="33" t="s">
        <v>28</v>
      </c>
      <c r="D7292" s="35">
        <f>SUMIFS(D7293:D9015,K7293:K9015,"0",B7293:B9015,"5 1 3 1 1 12 31111*")-SUMIFS(E7293:E9015,K7293:K9015,"0",B7293:B9015,"5 1 3 1 1 12 31111*")</f>
        <v>0</v>
      </c>
      <c r="E7292"/>
      <c r="F7292" s="35">
        <f>SUMIFS(F7293:F9015,K7293:K9015,"0",B7293:B9015,"5 1 3 1 1 12 31111*")</f>
        <v>8649387.879999999</v>
      </c>
      <c r="G7292" s="35">
        <f>SUMIFS(G7293:G9015,K7293:K9015,"0",B7293:B9015,"5 1 3 1 1 12 31111*")</f>
        <v>0</v>
      </c>
      <c r="H7292" s="35">
        <f t="shared" si="114"/>
        <v>8649387.879999999</v>
      </c>
      <c r="I7292" s="35"/>
      <c r="K7292" t="s">
        <v>15</v>
      </c>
    </row>
    <row r="7293" spans="2:11" ht="12.75" x14ac:dyDescent="0.2">
      <c r="B7293" s="33" t="s">
        <v>8332</v>
      </c>
      <c r="C7293" s="33" t="s">
        <v>30</v>
      </c>
      <c r="D7293" s="35">
        <f>SUMIFS(D7294:D9015,K7294:K9015,"0",B7294:B9015,"5 1 3 1 1 12 31111 6*")-SUMIFS(E7294:E9015,K7294:K9015,"0",B7294:B9015,"5 1 3 1 1 12 31111 6*")</f>
        <v>0</v>
      </c>
      <c r="E7293"/>
      <c r="F7293" s="35">
        <f>SUMIFS(F7294:F9015,K7294:K9015,"0",B7294:B9015,"5 1 3 1 1 12 31111 6*")</f>
        <v>8649387.879999999</v>
      </c>
      <c r="G7293" s="35">
        <f>SUMIFS(G7294:G9015,K7294:K9015,"0",B7294:B9015,"5 1 3 1 1 12 31111 6*")</f>
        <v>0</v>
      </c>
      <c r="H7293" s="35">
        <f t="shared" si="114"/>
        <v>8649387.879999999</v>
      </c>
      <c r="I7293" s="35"/>
      <c r="K7293" t="s">
        <v>15</v>
      </c>
    </row>
    <row r="7294" spans="2:11" ht="16.5" x14ac:dyDescent="0.2">
      <c r="B7294" s="33" t="s">
        <v>8333</v>
      </c>
      <c r="C7294" s="33" t="s">
        <v>2284</v>
      </c>
      <c r="D7294" s="35">
        <f>SUMIFS(D7295:D9015,K7295:K9015,"0",B7295:B9015,"5 1 3 1 1 12 31111 6 M59*")-SUMIFS(E7295:E9015,K7295:K9015,"0",B7295:B9015,"5 1 3 1 1 12 31111 6 M59*")</f>
        <v>0</v>
      </c>
      <c r="E7294"/>
      <c r="F7294" s="35">
        <f>SUMIFS(F7295:F9015,K7295:K9015,"0",B7295:B9015,"5 1 3 1 1 12 31111 6 M59*")</f>
        <v>8649387.879999999</v>
      </c>
      <c r="G7294" s="35">
        <f>SUMIFS(G7295:G9015,K7295:K9015,"0",B7295:B9015,"5 1 3 1 1 12 31111 6 M59*")</f>
        <v>0</v>
      </c>
      <c r="H7294" s="35">
        <f t="shared" si="114"/>
        <v>8649387.879999999</v>
      </c>
      <c r="I7294" s="35"/>
      <c r="K7294" t="s">
        <v>15</v>
      </c>
    </row>
    <row r="7295" spans="2:11" ht="16.5" x14ac:dyDescent="0.2">
      <c r="B7295" s="33" t="s">
        <v>8334</v>
      </c>
      <c r="C7295" s="33" t="s">
        <v>1044</v>
      </c>
      <c r="D7295" s="35">
        <f>SUMIFS(D7296:D9015,K7296:K9015,"0",B7296:B9015,"5 1 3 1 1 12 31111 6 M59 19000*")-SUMIFS(E7296:E9015,K7296:K9015,"0",B7296:B9015,"5 1 3 1 1 12 31111 6 M59 19000*")</f>
        <v>0</v>
      </c>
      <c r="E7295"/>
      <c r="F7295" s="35">
        <f>SUMIFS(F7296:F9015,K7296:K9015,"0",B7296:B9015,"5 1 3 1 1 12 31111 6 M59 19000*")</f>
        <v>844</v>
      </c>
      <c r="G7295" s="35">
        <f>SUMIFS(G7296:G9015,K7296:K9015,"0",B7296:B9015,"5 1 3 1 1 12 31111 6 M59 19000*")</f>
        <v>0</v>
      </c>
      <c r="H7295" s="35">
        <f t="shared" si="114"/>
        <v>844</v>
      </c>
      <c r="I7295" s="35"/>
      <c r="K7295" t="s">
        <v>15</v>
      </c>
    </row>
    <row r="7296" spans="2:11" ht="16.5" x14ac:dyDescent="0.2">
      <c r="B7296" s="33" t="s">
        <v>8335</v>
      </c>
      <c r="C7296" s="33" t="s">
        <v>648</v>
      </c>
      <c r="D7296" s="35">
        <f>SUMIFS(D7297:D9015,K7297:K9015,"0",B7297:B9015,"5 1 3 1 1 12 31111 6 M59 19000 000132*")-SUMIFS(E7297:E9015,K7297:K9015,"0",B7297:B9015,"5 1 3 1 1 12 31111 6 M59 19000 000132*")</f>
        <v>0</v>
      </c>
      <c r="E7296"/>
      <c r="F7296" s="35">
        <f>SUMIFS(F7297:F9015,K7297:K9015,"0",B7297:B9015,"5 1 3 1 1 12 31111 6 M59 19000 000132*")</f>
        <v>844</v>
      </c>
      <c r="G7296" s="35">
        <f>SUMIFS(G7297:G9015,K7297:K9015,"0",B7297:B9015,"5 1 3 1 1 12 31111 6 M59 19000 000132*")</f>
        <v>0</v>
      </c>
      <c r="H7296" s="35">
        <f t="shared" si="114"/>
        <v>844</v>
      </c>
      <c r="I7296" s="35"/>
      <c r="K7296" t="s">
        <v>15</v>
      </c>
    </row>
    <row r="7297" spans="2:11" ht="16.5" x14ac:dyDescent="0.2">
      <c r="B7297" s="33" t="s">
        <v>8336</v>
      </c>
      <c r="C7297" s="33" t="s">
        <v>650</v>
      </c>
      <c r="D7297" s="35">
        <f>SUMIFS(D7298:D9015,K7298:K9015,"0",B7298:B9015,"5 1 3 1 1 12 31111 6 M59 19000 000132 0000R*")-SUMIFS(E7298:E9015,K7298:K9015,"0",B7298:B9015,"5 1 3 1 1 12 31111 6 M59 19000 000132 0000R*")</f>
        <v>0</v>
      </c>
      <c r="E7297"/>
      <c r="F7297" s="35">
        <f>SUMIFS(F7298:F9015,K7298:K9015,"0",B7298:B9015,"5 1 3 1 1 12 31111 6 M59 19000 000132 0000R*")</f>
        <v>844</v>
      </c>
      <c r="G7297" s="35">
        <f>SUMIFS(G7298:G9015,K7298:K9015,"0",B7298:B9015,"5 1 3 1 1 12 31111 6 M59 19000 000132 0000R*")</f>
        <v>0</v>
      </c>
      <c r="H7297" s="35">
        <f t="shared" si="114"/>
        <v>844</v>
      </c>
      <c r="I7297" s="35"/>
      <c r="K7297" t="s">
        <v>15</v>
      </c>
    </row>
    <row r="7298" spans="2:11" ht="24.75" x14ac:dyDescent="0.2">
      <c r="B7298" s="33" t="s">
        <v>8337</v>
      </c>
      <c r="C7298" s="33" t="s">
        <v>282</v>
      </c>
      <c r="D7298" s="35">
        <f>SUMIFS(D7299:D9015,K7299:K9015,"0",B7299:B9015,"5 1 3 1 1 12 31111 6 M59 19000 000132 0000R 00001*")-SUMIFS(E7299:E9015,K7299:K9015,"0",B7299:B9015,"5 1 3 1 1 12 31111 6 M59 19000 000132 0000R 00001*")</f>
        <v>0</v>
      </c>
      <c r="E7298"/>
      <c r="F7298" s="35">
        <f>SUMIFS(F7299:F9015,K7299:K9015,"0",B7299:B9015,"5 1 3 1 1 12 31111 6 M59 19000 000132 0000R 00001*")</f>
        <v>844</v>
      </c>
      <c r="G7298" s="35">
        <f>SUMIFS(G7299:G9015,K7299:K9015,"0",B7299:B9015,"5 1 3 1 1 12 31111 6 M59 19000 000132 0000R 00001*")</f>
        <v>0</v>
      </c>
      <c r="H7298" s="35">
        <f t="shared" si="114"/>
        <v>844</v>
      </c>
      <c r="I7298" s="35"/>
      <c r="K7298" t="s">
        <v>15</v>
      </c>
    </row>
    <row r="7299" spans="2:11" ht="24.75" x14ac:dyDescent="0.2">
      <c r="B7299" s="33" t="s">
        <v>8338</v>
      </c>
      <c r="C7299" s="33" t="s">
        <v>8339</v>
      </c>
      <c r="D7299" s="35">
        <f>SUMIFS(D7300:D9015,K7300:K9015,"0",B7300:B9015,"5 1 3 1 1 12 31111 6 M59 19000 000132 0000R 00001 00311*")-SUMIFS(E7300:E9015,K7300:K9015,"0",B7300:B9015,"5 1 3 1 1 12 31111 6 M59 19000 000132 0000R 00001 00311*")</f>
        <v>0</v>
      </c>
      <c r="E7299"/>
      <c r="F7299" s="35">
        <f>SUMIFS(F7300:F9015,K7300:K9015,"0",B7300:B9015,"5 1 3 1 1 12 31111 6 M59 19000 000132 0000R 00001 00311*")</f>
        <v>844</v>
      </c>
      <c r="G7299" s="35">
        <f>SUMIFS(G7300:G9015,K7300:K9015,"0",B7300:B9015,"5 1 3 1 1 12 31111 6 M59 19000 000132 0000R 00001 00311*")</f>
        <v>0</v>
      </c>
      <c r="H7299" s="35">
        <f t="shared" si="114"/>
        <v>844</v>
      </c>
      <c r="I7299" s="35"/>
      <c r="K7299" t="s">
        <v>15</v>
      </c>
    </row>
    <row r="7300" spans="2:11" ht="24.75" x14ac:dyDescent="0.2">
      <c r="B7300" s="33" t="s">
        <v>8340</v>
      </c>
      <c r="C7300" s="33" t="s">
        <v>699</v>
      </c>
      <c r="D7300" s="35">
        <f>SUMIFS(D7301:D9015,K7301:K9015,"0",B7301:B9015,"5 1 3 1 1 12 31111 6 M59 19000 000132 0000R 00001 00311 011*")-SUMIFS(E7301:E9015,K7301:K9015,"0",B7301:B9015,"5 1 3 1 1 12 31111 6 M59 19000 000132 0000R 00001 00311 011*")</f>
        <v>0</v>
      </c>
      <c r="E7300"/>
      <c r="F7300" s="35">
        <f>SUMIFS(F7301:F9015,K7301:K9015,"0",B7301:B9015,"5 1 3 1 1 12 31111 6 M59 19000 000132 0000R 00001 00311 011*")</f>
        <v>844</v>
      </c>
      <c r="G7300" s="35">
        <f>SUMIFS(G7301:G9015,K7301:K9015,"0",B7301:B9015,"5 1 3 1 1 12 31111 6 M59 19000 000132 0000R 00001 00311 011*")</f>
        <v>0</v>
      </c>
      <c r="H7300" s="35">
        <f t="shared" ref="H7300:H7363" si="115">D7300 + F7300 - G7300</f>
        <v>844</v>
      </c>
      <c r="I7300" s="35"/>
      <c r="K7300" t="s">
        <v>15</v>
      </c>
    </row>
    <row r="7301" spans="2:11" ht="33" x14ac:dyDescent="0.2">
      <c r="B7301" s="33" t="s">
        <v>8341</v>
      </c>
      <c r="C7301" s="33" t="s">
        <v>5830</v>
      </c>
      <c r="D7301" s="35">
        <f>SUMIFS(D7302:D9015,K7302:K9015,"0",B7302:B9015,"5 1 3 1 1 12 31111 6 M59 19000 000132 0000R 00001 00311 011 2112000*")-SUMIFS(E7302:E9015,K7302:K9015,"0",B7302:B9015,"5 1 3 1 1 12 31111 6 M59 19000 000132 0000R 00001 00311 011 2112000*")</f>
        <v>0</v>
      </c>
      <c r="E7301"/>
      <c r="F7301" s="35">
        <f>SUMIFS(F7302:F9015,K7302:K9015,"0",B7302:B9015,"5 1 3 1 1 12 31111 6 M59 19000 000132 0000R 00001 00311 011 2112000*")</f>
        <v>844</v>
      </c>
      <c r="G7301" s="35">
        <f>SUMIFS(G7302:G9015,K7302:K9015,"0",B7302:B9015,"5 1 3 1 1 12 31111 6 M59 19000 000132 0000R 00001 00311 011 2112000*")</f>
        <v>0</v>
      </c>
      <c r="H7301" s="35">
        <f t="shared" si="115"/>
        <v>844</v>
      </c>
      <c r="I7301" s="35"/>
      <c r="K7301" t="s">
        <v>15</v>
      </c>
    </row>
    <row r="7302" spans="2:11" ht="33" x14ac:dyDescent="0.2">
      <c r="B7302" s="33" t="s">
        <v>8342</v>
      </c>
      <c r="C7302" s="33" t="s">
        <v>660</v>
      </c>
      <c r="D7302" s="35">
        <f>SUMIFS(D7303:D9015,K7303:K9015,"0",B7303:B9015,"5 1 3 1 1 12 31111 6 M59 19000 000132 0000R 00001 00311 011 2112000 2024*")-SUMIFS(E7303:E9015,K7303:K9015,"0",B7303:B9015,"5 1 3 1 1 12 31111 6 M59 19000 000132 0000R 00001 00311 011 2112000 2024*")</f>
        <v>0</v>
      </c>
      <c r="E7302"/>
      <c r="F7302" s="35">
        <f>SUMIFS(F7303:F9015,K7303:K9015,"0",B7303:B9015,"5 1 3 1 1 12 31111 6 M59 19000 000132 0000R 00001 00311 011 2112000 2024*")</f>
        <v>844</v>
      </c>
      <c r="G7302" s="35">
        <f>SUMIFS(G7303:G9015,K7303:K9015,"0",B7303:B9015,"5 1 3 1 1 12 31111 6 M59 19000 000132 0000R 00001 00311 011 2112000 2024*")</f>
        <v>0</v>
      </c>
      <c r="H7302" s="35">
        <f t="shared" si="115"/>
        <v>844</v>
      </c>
      <c r="I7302" s="35"/>
      <c r="K7302" t="s">
        <v>15</v>
      </c>
    </row>
    <row r="7303" spans="2:11" ht="41.25" x14ac:dyDescent="0.2">
      <c r="B7303" s="33" t="s">
        <v>8343</v>
      </c>
      <c r="C7303" s="33" t="s">
        <v>662</v>
      </c>
      <c r="D7303" s="35">
        <f>SUMIFS(D7304:D9015,K7304:K9015,"0",B7304:B9015,"5 1 3 1 1 12 31111 6 M59 19000 000132 0000R 00001 00311 011 2112000 2024 CP1TM440*")-SUMIFS(E7304:E9015,K7304:K9015,"0",B7304:B9015,"5 1 3 1 1 12 31111 6 M59 19000 000132 0000R 00001 00311 011 2112000 2024 CP1TM440*")</f>
        <v>0</v>
      </c>
      <c r="E7303"/>
      <c r="F7303" s="35">
        <f>SUMIFS(F7304:F9015,K7304:K9015,"0",B7304:B9015,"5 1 3 1 1 12 31111 6 M59 19000 000132 0000R 00001 00311 011 2112000 2024 CP1TM440*")</f>
        <v>844</v>
      </c>
      <c r="G7303" s="35">
        <f>SUMIFS(G7304:G9015,K7304:K9015,"0",B7304:B9015,"5 1 3 1 1 12 31111 6 M59 19000 000132 0000R 00001 00311 011 2112000 2024 CP1TM440*")</f>
        <v>0</v>
      </c>
      <c r="H7303" s="35">
        <f t="shared" si="115"/>
        <v>844</v>
      </c>
      <c r="I7303" s="35"/>
      <c r="K7303" t="s">
        <v>15</v>
      </c>
    </row>
    <row r="7304" spans="2:11" ht="41.25" x14ac:dyDescent="0.2">
      <c r="B7304" s="33" t="s">
        <v>8344</v>
      </c>
      <c r="C7304" s="33" t="s">
        <v>46</v>
      </c>
      <c r="D7304" s="35">
        <f>SUMIFS(D7305:D9015,K7305:K9015,"0",B7305:B9015,"5 1 3 1 1 12 31111 6 M59 19000 000132 0000R 00001 00311 011 2112000 2024 CP1TM440 004*")-SUMIFS(E7305:E9015,K7305:K9015,"0",B7305:B9015,"5 1 3 1 1 12 31111 6 M59 19000 000132 0000R 00001 00311 011 2112000 2024 CP1TM440 004*")</f>
        <v>0</v>
      </c>
      <c r="E7304"/>
      <c r="F7304" s="35">
        <f>SUMIFS(F7305:F9015,K7305:K9015,"0",B7305:B9015,"5 1 3 1 1 12 31111 6 M59 19000 000132 0000R 00001 00311 011 2112000 2024 CP1TM440 004*")</f>
        <v>844</v>
      </c>
      <c r="G7304" s="35">
        <f>SUMIFS(G7305:G9015,K7305:K9015,"0",B7305:B9015,"5 1 3 1 1 12 31111 6 M59 19000 000132 0000R 00001 00311 011 2112000 2024 CP1TM440 004*")</f>
        <v>0</v>
      </c>
      <c r="H7304" s="35">
        <f t="shared" si="115"/>
        <v>844</v>
      </c>
      <c r="I7304" s="35"/>
      <c r="K7304" t="s">
        <v>15</v>
      </c>
    </row>
    <row r="7305" spans="2:11" ht="33" x14ac:dyDescent="0.2">
      <c r="B7305" s="31" t="s">
        <v>8345</v>
      </c>
      <c r="C7305" s="31" t="s">
        <v>8346</v>
      </c>
      <c r="D7305" s="34">
        <v>0</v>
      </c>
      <c r="E7305" s="34"/>
      <c r="F7305" s="34">
        <v>844</v>
      </c>
      <c r="G7305" s="34">
        <v>0</v>
      </c>
      <c r="H7305" s="34">
        <f t="shared" si="115"/>
        <v>844</v>
      </c>
      <c r="I7305" s="34"/>
      <c r="K7305" t="s">
        <v>38</v>
      </c>
    </row>
    <row r="7306" spans="2:11" ht="16.5" x14ac:dyDescent="0.2">
      <c r="B7306" s="33" t="s">
        <v>8347</v>
      </c>
      <c r="C7306" s="33" t="s">
        <v>1079</v>
      </c>
      <c r="D7306" s="35">
        <f>SUMIFS(D7307:D9015,K7307:K9015,"0",B7307:B9015,"5 1 3 1 1 12 31111 6 M59 20500*")-SUMIFS(E7307:E9015,K7307:K9015,"0",B7307:B9015,"5 1 3 1 1 12 31111 6 M59 20500*")</f>
        <v>0</v>
      </c>
      <c r="E7306"/>
      <c r="F7306" s="35">
        <f>SUMIFS(F7307:F9015,K7307:K9015,"0",B7307:B9015,"5 1 3 1 1 12 31111 6 M59 20500*")</f>
        <v>6193377.4900000002</v>
      </c>
      <c r="G7306" s="35">
        <f>SUMIFS(G7307:G9015,K7307:K9015,"0",B7307:B9015,"5 1 3 1 1 12 31111 6 M59 20500*")</f>
        <v>0</v>
      </c>
      <c r="H7306" s="35">
        <f t="shared" si="115"/>
        <v>6193377.4900000002</v>
      </c>
      <c r="I7306" s="35"/>
      <c r="K7306" t="s">
        <v>15</v>
      </c>
    </row>
    <row r="7307" spans="2:11" ht="24.75" x14ac:dyDescent="0.2">
      <c r="B7307" s="33" t="s">
        <v>8348</v>
      </c>
      <c r="C7307" s="33" t="s">
        <v>3152</v>
      </c>
      <c r="D7307" s="35">
        <f>SUMIFS(D7308:D9015,K7308:K9015,"0",B7308:B9015,"5 1 3 1 1 12 31111 6 M59 20500 000181*")-SUMIFS(E7308:E9015,K7308:K9015,"0",B7308:B9015,"5 1 3 1 1 12 31111 6 M59 20500 000181*")</f>
        <v>0</v>
      </c>
      <c r="E7307"/>
      <c r="F7307" s="35">
        <f>SUMIFS(F7308:F9015,K7308:K9015,"0",B7308:B9015,"5 1 3 1 1 12 31111 6 M59 20500 000181*")</f>
        <v>6193377.4900000002</v>
      </c>
      <c r="G7307" s="35">
        <f>SUMIFS(G7308:G9015,K7308:K9015,"0",B7308:B9015,"5 1 3 1 1 12 31111 6 M59 20500 000181*")</f>
        <v>0</v>
      </c>
      <c r="H7307" s="35">
        <f t="shared" si="115"/>
        <v>6193377.4900000002</v>
      </c>
      <c r="I7307" s="35"/>
      <c r="K7307" t="s">
        <v>15</v>
      </c>
    </row>
    <row r="7308" spans="2:11" ht="16.5" x14ac:dyDescent="0.2">
      <c r="B7308" s="33" t="s">
        <v>8349</v>
      </c>
      <c r="C7308" s="33" t="s">
        <v>1065</v>
      </c>
      <c r="D7308" s="35">
        <f>SUMIFS(D7309:D9015,K7309:K9015,"0",B7309:B9015,"5 1 3 1 1 12 31111 6 M59 20500 000181 0000E*")-SUMIFS(E7309:E9015,K7309:K9015,"0",B7309:B9015,"5 1 3 1 1 12 31111 6 M59 20500 000181 0000E*")</f>
        <v>0</v>
      </c>
      <c r="E7308"/>
      <c r="F7308" s="35">
        <f>SUMIFS(F7309:F9015,K7309:K9015,"0",B7309:B9015,"5 1 3 1 1 12 31111 6 M59 20500 000181 0000E*")</f>
        <v>6193377.4900000002</v>
      </c>
      <c r="G7308" s="35">
        <f>SUMIFS(G7309:G9015,K7309:K9015,"0",B7309:B9015,"5 1 3 1 1 12 31111 6 M59 20500 000181 0000E*")</f>
        <v>0</v>
      </c>
      <c r="H7308" s="35">
        <f t="shared" si="115"/>
        <v>6193377.4900000002</v>
      </c>
      <c r="I7308" s="35"/>
      <c r="K7308" t="s">
        <v>15</v>
      </c>
    </row>
    <row r="7309" spans="2:11" ht="24.75" x14ac:dyDescent="0.2">
      <c r="B7309" s="33" t="s">
        <v>8350</v>
      </c>
      <c r="C7309" s="33" t="s">
        <v>282</v>
      </c>
      <c r="D7309" s="35">
        <f>SUMIFS(D7310:D9015,K7310:K9015,"0",B7310:B9015,"5 1 3 1 1 12 31111 6 M59 20500 000181 0000E 00001*")-SUMIFS(E7310:E9015,K7310:K9015,"0",B7310:B9015,"5 1 3 1 1 12 31111 6 M59 20500 000181 0000E 00001*")</f>
        <v>0</v>
      </c>
      <c r="E7309"/>
      <c r="F7309" s="35">
        <f>SUMIFS(F7310:F9015,K7310:K9015,"0",B7310:B9015,"5 1 3 1 1 12 31111 6 M59 20500 000181 0000E 00001*")</f>
        <v>6193377.4900000002</v>
      </c>
      <c r="G7309" s="35">
        <f>SUMIFS(G7310:G9015,K7310:K9015,"0",B7310:B9015,"5 1 3 1 1 12 31111 6 M59 20500 000181 0000E 00001*")</f>
        <v>0</v>
      </c>
      <c r="H7309" s="35">
        <f t="shared" si="115"/>
        <v>6193377.4900000002</v>
      </c>
      <c r="I7309" s="35"/>
      <c r="K7309" t="s">
        <v>15</v>
      </c>
    </row>
    <row r="7310" spans="2:11" ht="24.75" x14ac:dyDescent="0.2">
      <c r="B7310" s="33" t="s">
        <v>8351</v>
      </c>
      <c r="C7310" s="33" t="s">
        <v>8339</v>
      </c>
      <c r="D7310" s="35">
        <f>SUMIFS(D7311:D9015,K7311:K9015,"0",B7311:B9015,"5 1 3 1 1 12 31111 6 M59 20500 000181 0000E 00001 00311*")-SUMIFS(E7311:E9015,K7311:K9015,"0",B7311:B9015,"5 1 3 1 1 12 31111 6 M59 20500 000181 0000E 00001 00311*")</f>
        <v>0</v>
      </c>
      <c r="E7310"/>
      <c r="F7310" s="35">
        <f>SUMIFS(F7311:F9015,K7311:K9015,"0",B7311:B9015,"5 1 3 1 1 12 31111 6 M59 20500 000181 0000E 00001 00311*")</f>
        <v>6193377.4900000002</v>
      </c>
      <c r="G7310" s="35">
        <f>SUMIFS(G7311:G9015,K7311:K9015,"0",B7311:B9015,"5 1 3 1 1 12 31111 6 M59 20500 000181 0000E 00001 00311*")</f>
        <v>0</v>
      </c>
      <c r="H7310" s="35">
        <f t="shared" si="115"/>
        <v>6193377.4900000002</v>
      </c>
      <c r="I7310" s="35"/>
      <c r="K7310" t="s">
        <v>15</v>
      </c>
    </row>
    <row r="7311" spans="2:11" ht="24.75" x14ac:dyDescent="0.2">
      <c r="B7311" s="33" t="s">
        <v>8352</v>
      </c>
      <c r="C7311" s="33" t="s">
        <v>699</v>
      </c>
      <c r="D7311" s="35">
        <f>SUMIFS(D7312:D9015,K7312:K9015,"0",B7312:B9015,"5 1 3 1 1 12 31111 6 M59 20500 000181 0000E 00001 00311 011*")-SUMIFS(E7312:E9015,K7312:K9015,"0",B7312:B9015,"5 1 3 1 1 12 31111 6 M59 20500 000181 0000E 00001 00311 011*")</f>
        <v>0</v>
      </c>
      <c r="E7311"/>
      <c r="F7311" s="35">
        <f>SUMIFS(F7312:F9015,K7312:K9015,"0",B7312:B9015,"5 1 3 1 1 12 31111 6 M59 20500 000181 0000E 00001 00311 011*")</f>
        <v>6193377.4900000002</v>
      </c>
      <c r="G7311" s="35">
        <f>SUMIFS(G7312:G9015,K7312:K9015,"0",B7312:B9015,"5 1 3 1 1 12 31111 6 M59 20500 000181 0000E 00001 00311 011*")</f>
        <v>0</v>
      </c>
      <c r="H7311" s="35">
        <f t="shared" si="115"/>
        <v>6193377.4900000002</v>
      </c>
      <c r="I7311" s="35"/>
      <c r="K7311" t="s">
        <v>15</v>
      </c>
    </row>
    <row r="7312" spans="2:11" ht="33" x14ac:dyDescent="0.2">
      <c r="B7312" s="33" t="s">
        <v>8353</v>
      </c>
      <c r="C7312" s="33" t="s">
        <v>5830</v>
      </c>
      <c r="D7312" s="35">
        <f>SUMIFS(D7313:D9015,K7313:K9015,"0",B7313:B9015,"5 1 3 1 1 12 31111 6 M59 20500 000181 0000E 00001 00311 011 2112000*")-SUMIFS(E7313:E9015,K7313:K9015,"0",B7313:B9015,"5 1 3 1 1 12 31111 6 M59 20500 000181 0000E 00001 00311 011 2112000*")</f>
        <v>0</v>
      </c>
      <c r="E7312"/>
      <c r="F7312" s="35">
        <f>SUMIFS(F7313:F9015,K7313:K9015,"0",B7313:B9015,"5 1 3 1 1 12 31111 6 M59 20500 000181 0000E 00001 00311 011 2112000*")</f>
        <v>6193377.4900000002</v>
      </c>
      <c r="G7312" s="35">
        <f>SUMIFS(G7313:G9015,K7313:K9015,"0",B7313:B9015,"5 1 3 1 1 12 31111 6 M59 20500 000181 0000E 00001 00311 011 2112000*")</f>
        <v>0</v>
      </c>
      <c r="H7312" s="35">
        <f t="shared" si="115"/>
        <v>6193377.4900000002</v>
      </c>
      <c r="I7312" s="35"/>
      <c r="K7312" t="s">
        <v>15</v>
      </c>
    </row>
    <row r="7313" spans="2:11" ht="33" x14ac:dyDescent="0.2">
      <c r="B7313" s="33" t="s">
        <v>8354</v>
      </c>
      <c r="C7313" s="33" t="s">
        <v>660</v>
      </c>
      <c r="D7313" s="35">
        <f>SUMIFS(D7314:D9015,K7314:K9015,"0",B7314:B9015,"5 1 3 1 1 12 31111 6 M59 20500 000181 0000E 00001 00311 011 2112000 2024*")-SUMIFS(E7314:E9015,K7314:K9015,"0",B7314:B9015,"5 1 3 1 1 12 31111 6 M59 20500 000181 0000E 00001 00311 011 2112000 2024*")</f>
        <v>0</v>
      </c>
      <c r="E7313"/>
      <c r="F7313" s="35">
        <f>SUMIFS(F7314:F9015,K7314:K9015,"0",B7314:B9015,"5 1 3 1 1 12 31111 6 M59 20500 000181 0000E 00001 00311 011 2112000 2024*")</f>
        <v>6193377.4900000002</v>
      </c>
      <c r="G7313" s="35">
        <f>SUMIFS(G7314:G9015,K7314:K9015,"0",B7314:B9015,"5 1 3 1 1 12 31111 6 M59 20500 000181 0000E 00001 00311 011 2112000 2024*")</f>
        <v>0</v>
      </c>
      <c r="H7313" s="35">
        <f t="shared" si="115"/>
        <v>6193377.4900000002</v>
      </c>
      <c r="I7313" s="35"/>
      <c r="K7313" t="s">
        <v>15</v>
      </c>
    </row>
    <row r="7314" spans="2:11" ht="49.5" x14ac:dyDescent="0.2">
      <c r="B7314" s="33" t="s">
        <v>8355</v>
      </c>
      <c r="C7314" s="33" t="s">
        <v>5982</v>
      </c>
      <c r="D7314" s="35">
        <f>SUMIFS(D7315:D9015,K7315:K9015,"0",B7315:B9015,"5 1 3 1 1 12 31111 6 M59 20500 000181 0000E 00001 00311 011 2112000 2024 CP3CP471*")-SUMIFS(E7315:E9015,K7315:K9015,"0",B7315:B9015,"5 1 3 1 1 12 31111 6 M59 20500 000181 0000E 00001 00311 011 2112000 2024 CP3CP471*")</f>
        <v>0</v>
      </c>
      <c r="E7314"/>
      <c r="F7314" s="35">
        <f>SUMIFS(F7315:F9015,K7315:K9015,"0",B7315:B9015,"5 1 3 1 1 12 31111 6 M59 20500 000181 0000E 00001 00311 011 2112000 2024 CP3CP471*")</f>
        <v>6193377.4900000002</v>
      </c>
      <c r="G7314" s="35">
        <f>SUMIFS(G7315:G9015,K7315:K9015,"0",B7315:B9015,"5 1 3 1 1 12 31111 6 M59 20500 000181 0000E 00001 00311 011 2112000 2024 CP3CP471*")</f>
        <v>0</v>
      </c>
      <c r="H7314" s="35">
        <f t="shared" si="115"/>
        <v>6193377.4900000002</v>
      </c>
      <c r="I7314" s="35"/>
      <c r="K7314" t="s">
        <v>15</v>
      </c>
    </row>
    <row r="7315" spans="2:11" ht="41.25" x14ac:dyDescent="0.2">
      <c r="B7315" s="33" t="s">
        <v>8356</v>
      </c>
      <c r="C7315" s="33" t="s">
        <v>46</v>
      </c>
      <c r="D7315" s="35">
        <f>SUMIFS(D7316:D9015,K7316:K9015,"0",B7316:B9015,"5 1 3 1 1 12 31111 6 M59 20500 000181 0000E 00001 00311 011 2112000 2024 CP3CP471 004*")-SUMIFS(E7316:E9015,K7316:K9015,"0",B7316:B9015,"5 1 3 1 1 12 31111 6 M59 20500 000181 0000E 00001 00311 011 2112000 2024 CP3CP471 004*")</f>
        <v>0</v>
      </c>
      <c r="E7315"/>
      <c r="F7315" s="35">
        <f>SUMIFS(F7316:F9015,K7316:K9015,"0",B7316:B9015,"5 1 3 1 1 12 31111 6 M59 20500 000181 0000E 00001 00311 011 2112000 2024 CP3CP471 004*")</f>
        <v>6193377.4900000002</v>
      </c>
      <c r="G7315" s="35">
        <f>SUMIFS(G7316:G9015,K7316:K9015,"0",B7316:B9015,"5 1 3 1 1 12 31111 6 M59 20500 000181 0000E 00001 00311 011 2112000 2024 CP3CP471 004*")</f>
        <v>0</v>
      </c>
      <c r="H7315" s="35">
        <f t="shared" si="115"/>
        <v>6193377.4900000002</v>
      </c>
      <c r="I7315" s="35"/>
      <c r="K7315" t="s">
        <v>15</v>
      </c>
    </row>
    <row r="7316" spans="2:11" ht="33" x14ac:dyDescent="0.2">
      <c r="B7316" s="31" t="s">
        <v>8357</v>
      </c>
      <c r="C7316" s="31" t="s">
        <v>8358</v>
      </c>
      <c r="D7316" s="34">
        <v>0</v>
      </c>
      <c r="E7316" s="34"/>
      <c r="F7316" s="34">
        <v>6193377.4900000002</v>
      </c>
      <c r="G7316" s="34">
        <v>0</v>
      </c>
      <c r="H7316" s="34">
        <f t="shared" si="115"/>
        <v>6193377.4900000002</v>
      </c>
      <c r="I7316" s="34"/>
      <c r="K7316" t="s">
        <v>38</v>
      </c>
    </row>
    <row r="7317" spans="2:11" ht="16.5" x14ac:dyDescent="0.2">
      <c r="B7317" s="33" t="s">
        <v>8359</v>
      </c>
      <c r="C7317" s="33" t="s">
        <v>1092</v>
      </c>
      <c r="D7317" s="35">
        <f>SUMIFS(D7318:D9015,K7318:K9015,"0",B7318:B9015,"5 1 3 1 1 12 31111 6 M59 40000*")-SUMIFS(E7318:E9015,K7318:K9015,"0",B7318:B9015,"5 1 3 1 1 12 31111 6 M59 40000*")</f>
        <v>0</v>
      </c>
      <c r="E7317"/>
      <c r="F7317" s="35">
        <f>SUMIFS(F7318:F9015,K7318:K9015,"0",B7318:B9015,"5 1 3 1 1 12 31111 6 M59 40000*")</f>
        <v>117633.27</v>
      </c>
      <c r="G7317" s="35">
        <f>SUMIFS(G7318:G9015,K7318:K9015,"0",B7318:B9015,"5 1 3 1 1 12 31111 6 M59 40000*")</f>
        <v>0</v>
      </c>
      <c r="H7317" s="35">
        <f t="shared" si="115"/>
        <v>117633.27</v>
      </c>
      <c r="I7317" s="35"/>
      <c r="K7317" t="s">
        <v>15</v>
      </c>
    </row>
    <row r="7318" spans="2:11" ht="16.5" x14ac:dyDescent="0.2">
      <c r="B7318" s="33" t="s">
        <v>8360</v>
      </c>
      <c r="C7318" s="33" t="s">
        <v>1094</v>
      </c>
      <c r="D7318" s="35">
        <f>SUMIFS(D7319:D9015,K7319:K9015,"0",B7319:B9015,"5 1 3 1 1 12 31111 6 M59 40000 000161*")-SUMIFS(E7319:E9015,K7319:K9015,"0",B7319:B9015,"5 1 3 1 1 12 31111 6 M59 40000 000161*")</f>
        <v>0</v>
      </c>
      <c r="E7318"/>
      <c r="F7318" s="35">
        <f>SUMIFS(F7319:F9015,K7319:K9015,"0",B7319:B9015,"5 1 3 1 1 12 31111 6 M59 40000 000161*")</f>
        <v>117633.27</v>
      </c>
      <c r="G7318" s="35">
        <f>SUMIFS(G7319:G9015,K7319:K9015,"0",B7319:B9015,"5 1 3 1 1 12 31111 6 M59 40000 000161*")</f>
        <v>0</v>
      </c>
      <c r="H7318" s="35">
        <f t="shared" si="115"/>
        <v>117633.27</v>
      </c>
      <c r="I7318" s="35"/>
      <c r="K7318" t="s">
        <v>15</v>
      </c>
    </row>
    <row r="7319" spans="2:11" ht="16.5" x14ac:dyDescent="0.2">
      <c r="B7319" s="33" t="s">
        <v>8361</v>
      </c>
      <c r="C7319" s="33" t="s">
        <v>1065</v>
      </c>
      <c r="D7319" s="35">
        <f>SUMIFS(D7320:D9015,K7320:K9015,"0",B7320:B9015,"5 1 3 1 1 12 31111 6 M59 40000 000161 0000E*")-SUMIFS(E7320:E9015,K7320:K9015,"0",B7320:B9015,"5 1 3 1 1 12 31111 6 M59 40000 000161 0000E*")</f>
        <v>0</v>
      </c>
      <c r="E7319"/>
      <c r="F7319" s="35">
        <f>SUMIFS(F7320:F9015,K7320:K9015,"0",B7320:B9015,"5 1 3 1 1 12 31111 6 M59 40000 000161 0000E*")</f>
        <v>117633.27</v>
      </c>
      <c r="G7319" s="35">
        <f>SUMIFS(G7320:G9015,K7320:K9015,"0",B7320:B9015,"5 1 3 1 1 12 31111 6 M59 40000 000161 0000E*")</f>
        <v>0</v>
      </c>
      <c r="H7319" s="35">
        <f t="shared" si="115"/>
        <v>117633.27</v>
      </c>
      <c r="I7319" s="35"/>
      <c r="K7319" t="s">
        <v>15</v>
      </c>
    </row>
    <row r="7320" spans="2:11" ht="24.75" x14ac:dyDescent="0.2">
      <c r="B7320" s="33" t="s">
        <v>8362</v>
      </c>
      <c r="C7320" s="33" t="s">
        <v>282</v>
      </c>
      <c r="D7320" s="35">
        <f>SUMIFS(D7321:D9015,K7321:K9015,"0",B7321:B9015,"5 1 3 1 1 12 31111 6 M59 40000 000161 0000E 00001*")-SUMIFS(E7321:E9015,K7321:K9015,"0",B7321:B9015,"5 1 3 1 1 12 31111 6 M59 40000 000161 0000E 00001*")</f>
        <v>0</v>
      </c>
      <c r="E7320"/>
      <c r="F7320" s="35">
        <f>SUMIFS(F7321:F9015,K7321:K9015,"0",B7321:B9015,"5 1 3 1 1 12 31111 6 M59 40000 000161 0000E 00001*")</f>
        <v>117633.27</v>
      </c>
      <c r="G7320" s="35">
        <f>SUMIFS(G7321:G9015,K7321:K9015,"0",B7321:B9015,"5 1 3 1 1 12 31111 6 M59 40000 000161 0000E 00001*")</f>
        <v>0</v>
      </c>
      <c r="H7320" s="35">
        <f t="shared" si="115"/>
        <v>117633.27</v>
      </c>
      <c r="I7320" s="35"/>
      <c r="K7320" t="s">
        <v>15</v>
      </c>
    </row>
    <row r="7321" spans="2:11" ht="24.75" x14ac:dyDescent="0.2">
      <c r="B7321" s="33" t="s">
        <v>8363</v>
      </c>
      <c r="C7321" s="33" t="s">
        <v>8339</v>
      </c>
      <c r="D7321" s="35">
        <f>SUMIFS(D7322:D9015,K7322:K9015,"0",B7322:B9015,"5 1 3 1 1 12 31111 6 M59 40000 000161 0000E 00001 00311*")-SUMIFS(E7322:E9015,K7322:K9015,"0",B7322:B9015,"5 1 3 1 1 12 31111 6 M59 40000 000161 0000E 00001 00311*")</f>
        <v>0</v>
      </c>
      <c r="E7321"/>
      <c r="F7321" s="35">
        <f>SUMIFS(F7322:F9015,K7322:K9015,"0",B7322:B9015,"5 1 3 1 1 12 31111 6 M59 40000 000161 0000E 00001 00311*")</f>
        <v>117633.27</v>
      </c>
      <c r="G7321" s="35">
        <f>SUMIFS(G7322:G9015,K7322:K9015,"0",B7322:B9015,"5 1 3 1 1 12 31111 6 M59 40000 000161 0000E 00001 00311*")</f>
        <v>0</v>
      </c>
      <c r="H7321" s="35">
        <f t="shared" si="115"/>
        <v>117633.27</v>
      </c>
      <c r="I7321" s="35"/>
      <c r="K7321" t="s">
        <v>15</v>
      </c>
    </row>
    <row r="7322" spans="2:11" ht="24.75" x14ac:dyDescent="0.2">
      <c r="B7322" s="33" t="s">
        <v>8364</v>
      </c>
      <c r="C7322" s="33" t="s">
        <v>656</v>
      </c>
      <c r="D7322" s="35">
        <f>SUMIFS(D7323:D9015,K7323:K9015,"0",B7323:B9015,"5 1 3 1 1 12 31111 6 M59 40000 000161 0000E 00001 00311 025*")-SUMIFS(E7323:E9015,K7323:K9015,"0",B7323:B9015,"5 1 3 1 1 12 31111 6 M59 40000 000161 0000E 00001 00311 025*")</f>
        <v>0</v>
      </c>
      <c r="E7322"/>
      <c r="F7322" s="35">
        <f>SUMIFS(F7323:F9015,K7323:K9015,"0",B7323:B9015,"5 1 3 1 1 12 31111 6 M59 40000 000161 0000E 00001 00311 025*")</f>
        <v>117633.27</v>
      </c>
      <c r="G7322" s="35">
        <f>SUMIFS(G7323:G9015,K7323:K9015,"0",B7323:B9015,"5 1 3 1 1 12 31111 6 M59 40000 000161 0000E 00001 00311 025*")</f>
        <v>0</v>
      </c>
      <c r="H7322" s="35">
        <f t="shared" si="115"/>
        <v>117633.27</v>
      </c>
      <c r="I7322" s="35"/>
      <c r="K7322" t="s">
        <v>15</v>
      </c>
    </row>
    <row r="7323" spans="2:11" ht="33" x14ac:dyDescent="0.2">
      <c r="B7323" s="33" t="s">
        <v>8365</v>
      </c>
      <c r="C7323" s="33" t="s">
        <v>5830</v>
      </c>
      <c r="D7323" s="35">
        <f>SUMIFS(D7324:D9015,K7324:K9015,"0",B7324:B9015,"5 1 3 1 1 12 31111 6 M59 40000 000161 0000E 00001 00311 025 2112000*")-SUMIFS(E7324:E9015,K7324:K9015,"0",B7324:B9015,"5 1 3 1 1 12 31111 6 M59 40000 000161 0000E 00001 00311 025 2112000*")</f>
        <v>0</v>
      </c>
      <c r="E7323"/>
      <c r="F7323" s="35">
        <f>SUMIFS(F7324:F9015,K7324:K9015,"0",B7324:B9015,"5 1 3 1 1 12 31111 6 M59 40000 000161 0000E 00001 00311 025 2112000*")</f>
        <v>117633.27</v>
      </c>
      <c r="G7323" s="35">
        <f>SUMIFS(G7324:G9015,K7324:K9015,"0",B7324:B9015,"5 1 3 1 1 12 31111 6 M59 40000 000161 0000E 00001 00311 025 2112000*")</f>
        <v>0</v>
      </c>
      <c r="H7323" s="35">
        <f t="shared" si="115"/>
        <v>117633.27</v>
      </c>
      <c r="I7323" s="35"/>
      <c r="K7323" t="s">
        <v>15</v>
      </c>
    </row>
    <row r="7324" spans="2:11" ht="33" x14ac:dyDescent="0.2">
      <c r="B7324" s="33" t="s">
        <v>8366</v>
      </c>
      <c r="C7324" s="33" t="s">
        <v>660</v>
      </c>
      <c r="D7324" s="35">
        <f>SUMIFS(D7325:D9015,K7325:K9015,"0",B7325:B9015,"5 1 3 1 1 12 31111 6 M59 40000 000161 0000E 00001 00311 025 2112000 2024*")-SUMIFS(E7325:E9015,K7325:K9015,"0",B7325:B9015,"5 1 3 1 1 12 31111 6 M59 40000 000161 0000E 00001 00311 025 2112000 2024*")</f>
        <v>0</v>
      </c>
      <c r="E7324"/>
      <c r="F7324" s="35">
        <f>SUMIFS(F7325:F9015,K7325:K9015,"0",B7325:B9015,"5 1 3 1 1 12 31111 6 M59 40000 000161 0000E 00001 00311 025 2112000 2024*")</f>
        <v>117633.27</v>
      </c>
      <c r="G7324" s="35">
        <f>SUMIFS(G7325:G9015,K7325:K9015,"0",B7325:B9015,"5 1 3 1 1 12 31111 6 M59 40000 000161 0000E 00001 00311 025 2112000 2024*")</f>
        <v>0</v>
      </c>
      <c r="H7324" s="35">
        <f t="shared" si="115"/>
        <v>117633.27</v>
      </c>
      <c r="I7324" s="35"/>
      <c r="K7324" t="s">
        <v>15</v>
      </c>
    </row>
    <row r="7325" spans="2:11" ht="41.25" x14ac:dyDescent="0.2">
      <c r="B7325" s="33" t="s">
        <v>8367</v>
      </c>
      <c r="C7325" s="33" t="s">
        <v>662</v>
      </c>
      <c r="D7325" s="35">
        <f>SUMIFS(D7326:D9015,K7326:K9015,"0",B7326:B9015,"5 1 3 1 1 12 31111 6 M59 40000 000161 0000E 00001 00311 025 2112000 2024 CP4SP372*")-SUMIFS(E7326:E9015,K7326:K9015,"0",B7326:B9015,"5 1 3 1 1 12 31111 6 M59 40000 000161 0000E 00001 00311 025 2112000 2024 CP4SP372*")</f>
        <v>0</v>
      </c>
      <c r="E7325"/>
      <c r="F7325" s="35">
        <f>SUMIFS(F7326:F9015,K7326:K9015,"0",B7326:B9015,"5 1 3 1 1 12 31111 6 M59 40000 000161 0000E 00001 00311 025 2112000 2024 CP4SP372*")</f>
        <v>117633.27</v>
      </c>
      <c r="G7325" s="35">
        <f>SUMIFS(G7326:G9015,K7326:K9015,"0",B7326:B9015,"5 1 3 1 1 12 31111 6 M59 40000 000161 0000E 00001 00311 025 2112000 2024 CP4SP372*")</f>
        <v>0</v>
      </c>
      <c r="H7325" s="35">
        <f t="shared" si="115"/>
        <v>117633.27</v>
      </c>
      <c r="I7325" s="35"/>
      <c r="K7325" t="s">
        <v>15</v>
      </c>
    </row>
    <row r="7326" spans="2:11" ht="41.25" x14ac:dyDescent="0.2">
      <c r="B7326" s="33" t="s">
        <v>8368</v>
      </c>
      <c r="C7326" s="33" t="s">
        <v>664</v>
      </c>
      <c r="D7326" s="35">
        <f>SUMIFS(D7327:D9015,K7327:K9015,"0",B7327:B9015,"5 1 3 1 1 12 31111 6 M59 40000 000161 0000E 00001 00311 025 2112000 2024 CP4SP372 003*")-SUMIFS(E7327:E9015,K7327:K9015,"0",B7327:B9015,"5 1 3 1 1 12 31111 6 M59 40000 000161 0000E 00001 00311 025 2112000 2024 CP4SP372 003*")</f>
        <v>0</v>
      </c>
      <c r="E7326"/>
      <c r="F7326" s="35">
        <f>SUMIFS(F7327:F9015,K7327:K9015,"0",B7327:B9015,"5 1 3 1 1 12 31111 6 M59 40000 000161 0000E 00001 00311 025 2112000 2024 CP4SP372 003*")</f>
        <v>117633.27</v>
      </c>
      <c r="G7326" s="35">
        <f>SUMIFS(G7327:G9015,K7327:K9015,"0",B7327:B9015,"5 1 3 1 1 12 31111 6 M59 40000 000161 0000E 00001 00311 025 2112000 2024 CP4SP372 003*")</f>
        <v>0</v>
      </c>
      <c r="H7326" s="35">
        <f t="shared" si="115"/>
        <v>117633.27</v>
      </c>
      <c r="I7326" s="35"/>
      <c r="K7326" t="s">
        <v>15</v>
      </c>
    </row>
    <row r="7327" spans="2:11" ht="33" x14ac:dyDescent="0.2">
      <c r="B7327" s="31" t="s">
        <v>8369</v>
      </c>
      <c r="C7327" s="31" t="s">
        <v>8370</v>
      </c>
      <c r="D7327" s="34">
        <v>0</v>
      </c>
      <c r="E7327" s="34"/>
      <c r="F7327" s="34">
        <v>117633.27</v>
      </c>
      <c r="G7327" s="34">
        <v>0</v>
      </c>
      <c r="H7327" s="34">
        <f t="shared" si="115"/>
        <v>117633.27</v>
      </c>
      <c r="I7327" s="34"/>
      <c r="K7327" t="s">
        <v>38</v>
      </c>
    </row>
    <row r="7328" spans="2:11" ht="16.5" x14ac:dyDescent="0.2">
      <c r="B7328" s="33" t="s">
        <v>8371</v>
      </c>
      <c r="C7328" s="33" t="s">
        <v>3644</v>
      </c>
      <c r="D7328" s="35">
        <f>SUMIFS(D7329:D9015,K7329:K9015,"0",B7329:B9015,"5 1 3 1 1 12 31111 6 M59 94000*")-SUMIFS(E7329:E9015,K7329:K9015,"0",B7329:B9015,"5 1 3 1 1 12 31111 6 M59 94000*")</f>
        <v>0</v>
      </c>
      <c r="E7328"/>
      <c r="F7328" s="35">
        <f>SUMIFS(F7329:F9015,K7329:K9015,"0",B7329:B9015,"5 1 3 1 1 12 31111 6 M59 94000*")</f>
        <v>1916335.18</v>
      </c>
      <c r="G7328" s="35">
        <f>SUMIFS(G7329:G9015,K7329:K9015,"0",B7329:B9015,"5 1 3 1 1 12 31111 6 M59 94000*")</f>
        <v>0</v>
      </c>
      <c r="H7328" s="35">
        <f t="shared" si="115"/>
        <v>1916335.18</v>
      </c>
      <c r="I7328" s="35"/>
      <c r="K7328" t="s">
        <v>15</v>
      </c>
    </row>
    <row r="7329" spans="2:11" ht="24.75" x14ac:dyDescent="0.2">
      <c r="B7329" s="33" t="s">
        <v>8372</v>
      </c>
      <c r="C7329" s="33" t="s">
        <v>3152</v>
      </c>
      <c r="D7329" s="35">
        <f>SUMIFS(D7330:D9015,K7330:K9015,"0",B7330:B9015,"5 1 3 1 1 12 31111 6 M59 94000 000181*")-SUMIFS(E7330:E9015,K7330:K9015,"0",B7330:B9015,"5 1 3 1 1 12 31111 6 M59 94000 000181*")</f>
        <v>0</v>
      </c>
      <c r="E7329"/>
      <c r="F7329" s="35">
        <f>SUMIFS(F7330:F9015,K7330:K9015,"0",B7330:B9015,"5 1 3 1 1 12 31111 6 M59 94000 000181*")</f>
        <v>1916335.18</v>
      </c>
      <c r="G7329" s="35">
        <f>SUMIFS(G7330:G9015,K7330:K9015,"0",B7330:B9015,"5 1 3 1 1 12 31111 6 M59 94000 000181*")</f>
        <v>0</v>
      </c>
      <c r="H7329" s="35">
        <f t="shared" si="115"/>
        <v>1916335.18</v>
      </c>
      <c r="I7329" s="35"/>
      <c r="K7329" t="s">
        <v>15</v>
      </c>
    </row>
    <row r="7330" spans="2:11" ht="16.5" x14ac:dyDescent="0.2">
      <c r="B7330" s="33" t="s">
        <v>8373</v>
      </c>
      <c r="C7330" s="33" t="s">
        <v>650</v>
      </c>
      <c r="D7330" s="35">
        <f>SUMIFS(D7331:D9015,K7331:K9015,"0",B7331:B9015,"5 1 3 1 1 12 31111 6 M59 94000 000181 0000R*")-SUMIFS(E7331:E9015,K7331:K9015,"0",B7331:B9015,"5 1 3 1 1 12 31111 6 M59 94000 000181 0000R*")</f>
        <v>0</v>
      </c>
      <c r="E7330"/>
      <c r="F7330" s="35">
        <f>SUMIFS(F7331:F9015,K7331:K9015,"0",B7331:B9015,"5 1 3 1 1 12 31111 6 M59 94000 000181 0000R*")</f>
        <v>1916335.18</v>
      </c>
      <c r="G7330" s="35">
        <f>SUMIFS(G7331:G9015,K7331:K9015,"0",B7331:B9015,"5 1 3 1 1 12 31111 6 M59 94000 000181 0000R*")</f>
        <v>0</v>
      </c>
      <c r="H7330" s="35">
        <f t="shared" si="115"/>
        <v>1916335.18</v>
      </c>
      <c r="I7330" s="35"/>
      <c r="K7330" t="s">
        <v>15</v>
      </c>
    </row>
    <row r="7331" spans="2:11" ht="24.75" x14ac:dyDescent="0.2">
      <c r="B7331" s="33" t="s">
        <v>8374</v>
      </c>
      <c r="C7331" s="33" t="s">
        <v>282</v>
      </c>
      <c r="D7331" s="35">
        <f>SUMIFS(D7332:D9015,K7332:K9015,"0",B7332:B9015,"5 1 3 1 1 12 31111 6 M59 94000 000181 0000R 00001*")-SUMIFS(E7332:E9015,K7332:K9015,"0",B7332:B9015,"5 1 3 1 1 12 31111 6 M59 94000 000181 0000R 00001*")</f>
        <v>0</v>
      </c>
      <c r="E7331"/>
      <c r="F7331" s="35">
        <f>SUMIFS(F7332:F9015,K7332:K9015,"0",B7332:B9015,"5 1 3 1 1 12 31111 6 M59 94000 000181 0000R 00001*")</f>
        <v>1916335.18</v>
      </c>
      <c r="G7331" s="35">
        <f>SUMIFS(G7332:G9015,K7332:K9015,"0",B7332:B9015,"5 1 3 1 1 12 31111 6 M59 94000 000181 0000R 00001*")</f>
        <v>0</v>
      </c>
      <c r="H7331" s="35">
        <f t="shared" si="115"/>
        <v>1916335.18</v>
      </c>
      <c r="I7331" s="35"/>
      <c r="K7331" t="s">
        <v>15</v>
      </c>
    </row>
    <row r="7332" spans="2:11" ht="24.75" x14ac:dyDescent="0.2">
      <c r="B7332" s="33" t="s">
        <v>8375</v>
      </c>
      <c r="C7332" s="33" t="s">
        <v>8339</v>
      </c>
      <c r="D7332" s="35">
        <f>SUMIFS(D7333:D9015,K7333:K9015,"0",B7333:B9015,"5 1 3 1 1 12 31111 6 M59 94000 000181 0000R 00001 00311*")-SUMIFS(E7333:E9015,K7333:K9015,"0",B7333:B9015,"5 1 3 1 1 12 31111 6 M59 94000 000181 0000R 00001 00311*")</f>
        <v>0</v>
      </c>
      <c r="E7332"/>
      <c r="F7332" s="35">
        <f>SUMIFS(F7333:F9015,K7333:K9015,"0",B7333:B9015,"5 1 3 1 1 12 31111 6 M59 94000 000181 0000R 00001 00311*")</f>
        <v>1916335.18</v>
      </c>
      <c r="G7332" s="35">
        <f>SUMIFS(G7333:G9015,K7333:K9015,"0",B7333:B9015,"5 1 3 1 1 12 31111 6 M59 94000 000181 0000R 00001 00311*")</f>
        <v>0</v>
      </c>
      <c r="H7332" s="35">
        <f t="shared" si="115"/>
        <v>1916335.18</v>
      </c>
      <c r="I7332" s="35"/>
      <c r="K7332" t="s">
        <v>15</v>
      </c>
    </row>
    <row r="7333" spans="2:11" ht="24.75" x14ac:dyDescent="0.2">
      <c r="B7333" s="33" t="s">
        <v>8376</v>
      </c>
      <c r="C7333" s="33" t="s">
        <v>1051</v>
      </c>
      <c r="D7333" s="35">
        <f>SUMIFS(D7334:D9015,K7334:K9015,"0",B7334:B9015,"5 1 3 1 1 12 31111 6 M59 94000 000181 0000R 00001 00311 015*")-SUMIFS(E7334:E9015,K7334:K9015,"0",B7334:B9015,"5 1 3 1 1 12 31111 6 M59 94000 000181 0000R 00001 00311 015*")</f>
        <v>0</v>
      </c>
      <c r="E7333"/>
      <c r="F7333" s="35">
        <f>SUMIFS(F7334:F9015,K7334:K9015,"0",B7334:B9015,"5 1 3 1 1 12 31111 6 M59 94000 000181 0000R 00001 00311 015*")</f>
        <v>1916335.18</v>
      </c>
      <c r="G7333" s="35">
        <f>SUMIFS(G7334:G9015,K7334:K9015,"0",B7334:B9015,"5 1 3 1 1 12 31111 6 M59 94000 000181 0000R 00001 00311 015*")</f>
        <v>0</v>
      </c>
      <c r="H7333" s="35">
        <f t="shared" si="115"/>
        <v>1916335.18</v>
      </c>
      <c r="I7333" s="35"/>
      <c r="K7333" t="s">
        <v>15</v>
      </c>
    </row>
    <row r="7334" spans="2:11" ht="33" x14ac:dyDescent="0.2">
      <c r="B7334" s="33" t="s">
        <v>8377</v>
      </c>
      <c r="C7334" s="33" t="s">
        <v>5830</v>
      </c>
      <c r="D7334" s="35">
        <f>SUMIFS(D7335:D9015,K7335:K9015,"0",B7335:B9015,"5 1 3 1 1 12 31111 6 M59 94000 000181 0000R 00001 00311 015 2112000*")-SUMIFS(E7335:E9015,K7335:K9015,"0",B7335:B9015,"5 1 3 1 1 12 31111 6 M59 94000 000181 0000R 00001 00311 015 2112000*")</f>
        <v>0</v>
      </c>
      <c r="E7334"/>
      <c r="F7334" s="35">
        <f>SUMIFS(F7335:F9015,K7335:K9015,"0",B7335:B9015,"5 1 3 1 1 12 31111 6 M59 94000 000181 0000R 00001 00311 015 2112000*")</f>
        <v>1916335.18</v>
      </c>
      <c r="G7334" s="35">
        <f>SUMIFS(G7335:G9015,K7335:K9015,"0",B7335:B9015,"5 1 3 1 1 12 31111 6 M59 94000 000181 0000R 00001 00311 015 2112000*")</f>
        <v>0</v>
      </c>
      <c r="H7334" s="35">
        <f t="shared" si="115"/>
        <v>1916335.18</v>
      </c>
      <c r="I7334" s="35"/>
      <c r="K7334" t="s">
        <v>15</v>
      </c>
    </row>
    <row r="7335" spans="2:11" ht="33" x14ac:dyDescent="0.2">
      <c r="B7335" s="33" t="s">
        <v>8378</v>
      </c>
      <c r="C7335" s="33" t="s">
        <v>660</v>
      </c>
      <c r="D7335" s="35">
        <f>SUMIFS(D7336:D9015,K7336:K9015,"0",B7336:B9015,"5 1 3 1 1 12 31111 6 M59 94000 000181 0000R 00001 00311 015 2112000 2024*")-SUMIFS(E7336:E9015,K7336:K9015,"0",B7336:B9015,"5 1 3 1 1 12 31111 6 M59 94000 000181 0000R 00001 00311 015 2112000 2024*")</f>
        <v>0</v>
      </c>
      <c r="E7335"/>
      <c r="F7335" s="35">
        <f>SUMIFS(F7336:F9015,K7336:K9015,"0",B7336:B9015,"5 1 3 1 1 12 31111 6 M59 94000 000181 0000R 00001 00311 015 2112000 2024*")</f>
        <v>1916335.18</v>
      </c>
      <c r="G7335" s="35">
        <f>SUMIFS(G7336:G9015,K7336:K9015,"0",B7336:B9015,"5 1 3 1 1 12 31111 6 M59 94000 000181 0000R 00001 00311 015 2112000 2024*")</f>
        <v>0</v>
      </c>
      <c r="H7335" s="35">
        <f t="shared" si="115"/>
        <v>1916335.18</v>
      </c>
      <c r="I7335" s="35"/>
      <c r="K7335" t="s">
        <v>15</v>
      </c>
    </row>
    <row r="7336" spans="2:11" ht="41.25" x14ac:dyDescent="0.2">
      <c r="B7336" s="33" t="s">
        <v>8379</v>
      </c>
      <c r="C7336" s="33" t="s">
        <v>1056</v>
      </c>
      <c r="D7336" s="35">
        <f>SUMIFS(D7337:D9015,K7337:K9015,"0",B7337:B9015,"5 1 3 1 1 12 31111 6 M59 94000 000181 0000R 00001 00311 015 2112000 2024 CP1OM392*")-SUMIFS(E7337:E9015,K7337:K9015,"0",B7337:B9015,"5 1 3 1 1 12 31111 6 M59 94000 000181 0000R 00001 00311 015 2112000 2024 CP1OM392*")</f>
        <v>0</v>
      </c>
      <c r="E7336"/>
      <c r="F7336" s="35">
        <f>SUMIFS(F7337:F9015,K7337:K9015,"0",B7337:B9015,"5 1 3 1 1 12 31111 6 M59 94000 000181 0000R 00001 00311 015 2112000 2024 CP1OM392*")</f>
        <v>1916335.18</v>
      </c>
      <c r="G7336" s="35">
        <f>SUMIFS(G7337:G9015,K7337:K9015,"0",B7337:B9015,"5 1 3 1 1 12 31111 6 M59 94000 000181 0000R 00001 00311 015 2112000 2024 CP1OM392*")</f>
        <v>0</v>
      </c>
      <c r="H7336" s="35">
        <f t="shared" si="115"/>
        <v>1916335.18</v>
      </c>
      <c r="I7336" s="35"/>
      <c r="K7336" t="s">
        <v>15</v>
      </c>
    </row>
    <row r="7337" spans="2:11" ht="41.25" x14ac:dyDescent="0.2">
      <c r="B7337" s="33" t="s">
        <v>8380</v>
      </c>
      <c r="C7337" s="33" t="s">
        <v>282</v>
      </c>
      <c r="D7337" s="35">
        <f>SUMIFS(D7338:D9015,K7338:K9015,"0",B7338:B9015,"5 1 3 1 1 12 31111 6 M59 94000 000181 0000R 00001 00311 015 2112000 2024 CP1OM392 001*")-SUMIFS(E7338:E9015,K7338:K9015,"0",B7338:B9015,"5 1 3 1 1 12 31111 6 M59 94000 000181 0000R 00001 00311 015 2112000 2024 CP1OM392 001*")</f>
        <v>0</v>
      </c>
      <c r="E7337"/>
      <c r="F7337" s="35">
        <f>SUMIFS(F7338:F9015,K7338:K9015,"0",B7338:B9015,"5 1 3 1 1 12 31111 6 M59 94000 000181 0000R 00001 00311 015 2112000 2024 CP1OM392 001*")</f>
        <v>1916335.18</v>
      </c>
      <c r="G7337" s="35">
        <f>SUMIFS(G7338:G9015,K7338:K9015,"0",B7338:B9015,"5 1 3 1 1 12 31111 6 M59 94000 000181 0000R 00001 00311 015 2112000 2024 CP1OM392 001*")</f>
        <v>0</v>
      </c>
      <c r="H7337" s="35">
        <f t="shared" si="115"/>
        <v>1916335.18</v>
      </c>
      <c r="I7337" s="35"/>
      <c r="K7337" t="s">
        <v>15</v>
      </c>
    </row>
    <row r="7338" spans="2:11" ht="33" x14ac:dyDescent="0.2">
      <c r="B7338" s="31" t="s">
        <v>8381</v>
      </c>
      <c r="C7338" s="31" t="s">
        <v>8370</v>
      </c>
      <c r="D7338" s="34">
        <v>0</v>
      </c>
      <c r="E7338" s="34"/>
      <c r="F7338" s="34">
        <v>1916335.18</v>
      </c>
      <c r="G7338" s="34">
        <v>0</v>
      </c>
      <c r="H7338" s="34">
        <f t="shared" si="115"/>
        <v>1916335.18</v>
      </c>
      <c r="I7338" s="34"/>
      <c r="K7338" t="s">
        <v>38</v>
      </c>
    </row>
    <row r="7339" spans="2:11" ht="16.5" x14ac:dyDescent="0.2">
      <c r="B7339" s="33" t="s">
        <v>8382</v>
      </c>
      <c r="C7339" s="33" t="s">
        <v>3706</v>
      </c>
      <c r="D7339" s="35">
        <f>SUMIFS(D7340:D9015,K7340:K9015,"0",B7340:B9015,"5 1 3 1 1 12 31111 6 M59 96200*")-SUMIFS(E7340:E9015,K7340:K9015,"0",B7340:B9015,"5 1 3 1 1 12 31111 6 M59 96200*")</f>
        <v>0</v>
      </c>
      <c r="E7339"/>
      <c r="F7339" s="35">
        <f>SUMIFS(F7340:F9015,K7340:K9015,"0",B7340:B9015,"5 1 3 1 1 12 31111 6 M59 96200*")</f>
        <v>421197.94</v>
      </c>
      <c r="G7339" s="35">
        <f>SUMIFS(G7340:G9015,K7340:K9015,"0",B7340:B9015,"5 1 3 1 1 12 31111 6 M59 96200*")</f>
        <v>0</v>
      </c>
      <c r="H7339" s="35">
        <f t="shared" si="115"/>
        <v>421197.94</v>
      </c>
      <c r="I7339" s="35"/>
      <c r="K7339" t="s">
        <v>15</v>
      </c>
    </row>
    <row r="7340" spans="2:11" ht="16.5" x14ac:dyDescent="0.2">
      <c r="B7340" s="33" t="s">
        <v>8383</v>
      </c>
      <c r="C7340" s="33" t="s">
        <v>648</v>
      </c>
      <c r="D7340" s="35">
        <f>SUMIFS(D7341:D9015,K7341:K9015,"0",B7341:B9015,"5 1 3 1 1 12 31111 6 M59 96200 000132*")-SUMIFS(E7341:E9015,K7341:K9015,"0",B7341:B9015,"5 1 3 1 1 12 31111 6 M59 96200 000132*")</f>
        <v>0</v>
      </c>
      <c r="E7340"/>
      <c r="F7340" s="35">
        <f>SUMIFS(F7341:F9015,K7341:K9015,"0",B7341:B9015,"5 1 3 1 1 12 31111 6 M59 96200 000132*")</f>
        <v>421197.94</v>
      </c>
      <c r="G7340" s="35">
        <f>SUMIFS(G7341:G9015,K7341:K9015,"0",B7341:B9015,"5 1 3 1 1 12 31111 6 M59 96200 000132*")</f>
        <v>0</v>
      </c>
      <c r="H7340" s="35">
        <f t="shared" si="115"/>
        <v>421197.94</v>
      </c>
      <c r="I7340" s="35"/>
      <c r="K7340" t="s">
        <v>15</v>
      </c>
    </row>
    <row r="7341" spans="2:11" ht="16.5" x14ac:dyDescent="0.2">
      <c r="B7341" s="33" t="s">
        <v>8384</v>
      </c>
      <c r="C7341" s="33" t="s">
        <v>650</v>
      </c>
      <c r="D7341" s="35">
        <f>SUMIFS(D7342:D9015,K7342:K9015,"0",B7342:B9015,"5 1 3 1 1 12 31111 6 M59 96200 000132 0000R*")-SUMIFS(E7342:E9015,K7342:K9015,"0",B7342:B9015,"5 1 3 1 1 12 31111 6 M59 96200 000132 0000R*")</f>
        <v>0</v>
      </c>
      <c r="E7341"/>
      <c r="F7341" s="35">
        <f>SUMIFS(F7342:F9015,K7342:K9015,"0",B7342:B9015,"5 1 3 1 1 12 31111 6 M59 96200 000132 0000R*")</f>
        <v>421197.94</v>
      </c>
      <c r="G7341" s="35">
        <f>SUMIFS(G7342:G9015,K7342:K9015,"0",B7342:B9015,"5 1 3 1 1 12 31111 6 M59 96200 000132 0000R*")</f>
        <v>0</v>
      </c>
      <c r="H7341" s="35">
        <f t="shared" si="115"/>
        <v>421197.94</v>
      </c>
      <c r="I7341" s="35"/>
      <c r="K7341" t="s">
        <v>15</v>
      </c>
    </row>
    <row r="7342" spans="2:11" ht="24.75" x14ac:dyDescent="0.2">
      <c r="B7342" s="33" t="s">
        <v>8385</v>
      </c>
      <c r="C7342" s="33" t="s">
        <v>282</v>
      </c>
      <c r="D7342" s="35">
        <f>SUMIFS(D7343:D9015,K7343:K9015,"0",B7343:B9015,"5 1 3 1 1 12 31111 6 M59 96200 000132 0000R 00001*")-SUMIFS(E7343:E9015,K7343:K9015,"0",B7343:B9015,"5 1 3 1 1 12 31111 6 M59 96200 000132 0000R 00001*")</f>
        <v>0</v>
      </c>
      <c r="E7342"/>
      <c r="F7342" s="35">
        <f>SUMIFS(F7343:F9015,K7343:K9015,"0",B7343:B9015,"5 1 3 1 1 12 31111 6 M59 96200 000132 0000R 00001*")</f>
        <v>421197.94</v>
      </c>
      <c r="G7342" s="35">
        <f>SUMIFS(G7343:G9015,K7343:K9015,"0",B7343:B9015,"5 1 3 1 1 12 31111 6 M59 96200 000132 0000R 00001*")</f>
        <v>0</v>
      </c>
      <c r="H7342" s="35">
        <f t="shared" si="115"/>
        <v>421197.94</v>
      </c>
      <c r="I7342" s="35"/>
      <c r="K7342" t="s">
        <v>15</v>
      </c>
    </row>
    <row r="7343" spans="2:11" ht="24.75" x14ac:dyDescent="0.2">
      <c r="B7343" s="33" t="s">
        <v>8386</v>
      </c>
      <c r="C7343" s="33" t="s">
        <v>8339</v>
      </c>
      <c r="D7343" s="35">
        <f>SUMIFS(D7344:D9015,K7344:K9015,"0",B7344:B9015,"5 1 3 1 1 12 31111 6 M59 96200 000132 0000R 00001 00311*")-SUMIFS(E7344:E9015,K7344:K9015,"0",B7344:B9015,"5 1 3 1 1 12 31111 6 M59 96200 000132 0000R 00001 00311*")</f>
        <v>0</v>
      </c>
      <c r="E7343"/>
      <c r="F7343" s="35">
        <f>SUMIFS(F7344:F9015,K7344:K9015,"0",B7344:B9015,"5 1 3 1 1 12 31111 6 M59 96200 000132 0000R 00001 00311*")</f>
        <v>421197.94</v>
      </c>
      <c r="G7343" s="35">
        <f>SUMIFS(G7344:G9015,K7344:K9015,"0",B7344:B9015,"5 1 3 1 1 12 31111 6 M59 96200 000132 0000R 00001 00311*")</f>
        <v>0</v>
      </c>
      <c r="H7343" s="35">
        <f t="shared" si="115"/>
        <v>421197.94</v>
      </c>
      <c r="I7343" s="35"/>
      <c r="K7343" t="s">
        <v>15</v>
      </c>
    </row>
    <row r="7344" spans="2:11" ht="24.75" x14ac:dyDescent="0.2">
      <c r="B7344" s="33" t="s">
        <v>8387</v>
      </c>
      <c r="C7344" s="33" t="s">
        <v>1051</v>
      </c>
      <c r="D7344" s="35">
        <f>SUMIFS(D7345:D9015,K7345:K9015,"0",B7345:B9015,"5 1 3 1 1 12 31111 6 M59 96200 000132 0000R 00001 00311 015*")-SUMIFS(E7345:E9015,K7345:K9015,"0",B7345:B9015,"5 1 3 1 1 12 31111 6 M59 96200 000132 0000R 00001 00311 015*")</f>
        <v>0</v>
      </c>
      <c r="E7344"/>
      <c r="F7344" s="35">
        <f>SUMIFS(F7345:F9015,K7345:K9015,"0",B7345:B9015,"5 1 3 1 1 12 31111 6 M59 96200 000132 0000R 00001 00311 015*")</f>
        <v>421197.94</v>
      </c>
      <c r="G7344" s="35">
        <f>SUMIFS(G7345:G9015,K7345:K9015,"0",B7345:B9015,"5 1 3 1 1 12 31111 6 M59 96200 000132 0000R 00001 00311 015*")</f>
        <v>0</v>
      </c>
      <c r="H7344" s="35">
        <f t="shared" si="115"/>
        <v>421197.94</v>
      </c>
      <c r="I7344" s="35"/>
      <c r="K7344" t="s">
        <v>15</v>
      </c>
    </row>
    <row r="7345" spans="2:11" ht="33" x14ac:dyDescent="0.2">
      <c r="B7345" s="33" t="s">
        <v>8388</v>
      </c>
      <c r="C7345" s="33" t="s">
        <v>2927</v>
      </c>
      <c r="D7345" s="35">
        <f>SUMIFS(D7346:D9015,K7346:K9015,"0",B7346:B9015,"5 1 3 1 1 12 31111 6 M59 96200 000132 0000R 00001 00311 015 2111100*")-SUMIFS(E7346:E9015,K7346:K9015,"0",B7346:B9015,"5 1 3 1 1 12 31111 6 M59 96200 000132 0000R 00001 00311 015 2111100*")</f>
        <v>0</v>
      </c>
      <c r="E7345"/>
      <c r="F7345" s="35">
        <f>SUMIFS(F7346:F9015,K7346:K9015,"0",B7346:B9015,"5 1 3 1 1 12 31111 6 M59 96200 000132 0000R 00001 00311 015 2111100*")</f>
        <v>421197.94</v>
      </c>
      <c r="G7345" s="35">
        <f>SUMIFS(G7346:G9015,K7346:K9015,"0",B7346:B9015,"5 1 3 1 1 12 31111 6 M59 96200 000132 0000R 00001 00311 015 2111100*")</f>
        <v>0</v>
      </c>
      <c r="H7345" s="35">
        <f t="shared" si="115"/>
        <v>421197.94</v>
      </c>
      <c r="I7345" s="35"/>
      <c r="K7345" t="s">
        <v>15</v>
      </c>
    </row>
    <row r="7346" spans="2:11" ht="33" x14ac:dyDescent="0.2">
      <c r="B7346" s="33" t="s">
        <v>8389</v>
      </c>
      <c r="C7346" s="33" t="s">
        <v>660</v>
      </c>
      <c r="D7346" s="35">
        <f>SUMIFS(D7347:D9015,K7347:K9015,"0",B7347:B9015,"5 1 3 1 1 12 31111 6 M59 96200 000132 0000R 00001 00311 015 2111100 2024*")-SUMIFS(E7347:E9015,K7347:K9015,"0",B7347:B9015,"5 1 3 1 1 12 31111 6 M59 96200 000132 0000R 00001 00311 015 2111100 2024*")</f>
        <v>0</v>
      </c>
      <c r="E7346"/>
      <c r="F7346" s="35">
        <f>SUMIFS(F7347:F9015,K7347:K9015,"0",B7347:B9015,"5 1 3 1 1 12 31111 6 M59 96200 000132 0000R 00001 00311 015 2111100 2024*")</f>
        <v>421197.94</v>
      </c>
      <c r="G7346" s="35">
        <f>SUMIFS(G7347:G9015,K7347:K9015,"0",B7347:B9015,"5 1 3 1 1 12 31111 6 M59 96200 000132 0000R 00001 00311 015 2111100 2024*")</f>
        <v>0</v>
      </c>
      <c r="H7346" s="35">
        <f t="shared" si="115"/>
        <v>421197.94</v>
      </c>
      <c r="I7346" s="35"/>
      <c r="K7346" t="s">
        <v>15</v>
      </c>
    </row>
    <row r="7347" spans="2:11" ht="41.25" x14ac:dyDescent="0.2">
      <c r="B7347" s="33" t="s">
        <v>8390</v>
      </c>
      <c r="C7347" s="33" t="s">
        <v>662</v>
      </c>
      <c r="D7347" s="35">
        <f>SUMIFS(D7348:D9015,K7348:K9015,"0",B7348:B9015,"5 1 3 1 1 12 31111 6 M59 96200 000132 0000R 00001 00311 015 2111100 2024 CP1AL423*")-SUMIFS(E7348:E9015,K7348:K9015,"0",B7348:B9015,"5 1 3 1 1 12 31111 6 M59 96200 000132 0000R 00001 00311 015 2111100 2024 CP1AL423*")</f>
        <v>0</v>
      </c>
      <c r="E7347"/>
      <c r="F7347" s="35">
        <f>SUMIFS(F7348:F9015,K7348:K9015,"0",B7348:B9015,"5 1 3 1 1 12 31111 6 M59 96200 000132 0000R 00001 00311 015 2111100 2024 CP1AL423*")</f>
        <v>421197.94</v>
      </c>
      <c r="G7347" s="35">
        <f>SUMIFS(G7348:G9015,K7348:K9015,"0",B7348:B9015,"5 1 3 1 1 12 31111 6 M59 96200 000132 0000R 00001 00311 015 2111100 2024 CP1AL423*")</f>
        <v>0</v>
      </c>
      <c r="H7347" s="35">
        <f t="shared" si="115"/>
        <v>421197.94</v>
      </c>
      <c r="I7347" s="35"/>
      <c r="K7347" t="s">
        <v>15</v>
      </c>
    </row>
    <row r="7348" spans="2:11" ht="41.25" x14ac:dyDescent="0.2">
      <c r="B7348" s="33" t="s">
        <v>8391</v>
      </c>
      <c r="C7348" s="33" t="s">
        <v>282</v>
      </c>
      <c r="D7348" s="35">
        <f>SUMIFS(D7349:D9015,K7349:K9015,"0",B7349:B9015,"5 1 3 1 1 12 31111 6 M59 96200 000132 0000R 00001 00311 015 2111100 2024 CP1AL423 001*")-SUMIFS(E7349:E9015,K7349:K9015,"0",B7349:B9015,"5 1 3 1 1 12 31111 6 M59 96200 000132 0000R 00001 00311 015 2111100 2024 CP1AL423 001*")</f>
        <v>0</v>
      </c>
      <c r="E7348"/>
      <c r="F7348" s="35">
        <f>SUMIFS(F7349:F9015,K7349:K9015,"0",B7349:B9015,"5 1 3 1 1 12 31111 6 M59 96200 000132 0000R 00001 00311 015 2111100 2024 CP1AL423 001*")</f>
        <v>421197.94</v>
      </c>
      <c r="G7348" s="35">
        <f>SUMIFS(G7349:G9015,K7349:K9015,"0",B7349:B9015,"5 1 3 1 1 12 31111 6 M59 96200 000132 0000R 00001 00311 015 2111100 2024 CP1AL423 001*")</f>
        <v>0</v>
      </c>
      <c r="H7348" s="35">
        <f t="shared" si="115"/>
        <v>421197.94</v>
      </c>
      <c r="I7348" s="35"/>
      <c r="K7348" t="s">
        <v>15</v>
      </c>
    </row>
    <row r="7349" spans="2:11" ht="41.25" x14ac:dyDescent="0.2">
      <c r="B7349" s="31" t="s">
        <v>8392</v>
      </c>
      <c r="C7349" s="31" t="s">
        <v>8339</v>
      </c>
      <c r="D7349" s="34">
        <v>0</v>
      </c>
      <c r="E7349" s="34"/>
      <c r="F7349" s="34">
        <v>421197.94</v>
      </c>
      <c r="G7349" s="34">
        <v>0</v>
      </c>
      <c r="H7349" s="34">
        <f t="shared" si="115"/>
        <v>421197.94</v>
      </c>
      <c r="I7349" s="34"/>
      <c r="K7349" t="s">
        <v>38</v>
      </c>
    </row>
    <row r="7350" spans="2:11" ht="12.75" x14ac:dyDescent="0.2">
      <c r="B7350" s="33" t="s">
        <v>8393</v>
      </c>
      <c r="C7350" s="33" t="s">
        <v>8394</v>
      </c>
      <c r="D7350" s="35">
        <f>SUMIFS(D7351:D9015,K7351:K9015,"0",B7351:B9015,"5 1 3 1 4*")-SUMIFS(E7351:E9015,K7351:K9015,"0",B7351:B9015,"5 1 3 1 4*")</f>
        <v>0</v>
      </c>
      <c r="E7350"/>
      <c r="F7350" s="35">
        <f>SUMIFS(F7351:F9015,K7351:K9015,"0",B7351:B9015,"5 1 3 1 4*")</f>
        <v>315835.96000000002</v>
      </c>
      <c r="G7350" s="35">
        <f>SUMIFS(G7351:G9015,K7351:K9015,"0",B7351:B9015,"5 1 3 1 4*")</f>
        <v>0</v>
      </c>
      <c r="H7350" s="35">
        <f t="shared" si="115"/>
        <v>315835.96000000002</v>
      </c>
      <c r="I7350" s="35"/>
      <c r="K7350" t="s">
        <v>15</v>
      </c>
    </row>
    <row r="7351" spans="2:11" ht="12.75" x14ac:dyDescent="0.2">
      <c r="B7351" s="33" t="s">
        <v>8395</v>
      </c>
      <c r="C7351" s="33" t="s">
        <v>26</v>
      </c>
      <c r="D7351" s="35">
        <f>SUMIFS(D7352:D9015,K7352:K9015,"0",B7352:B9015,"5 1 3 1 4 12*")-SUMIFS(E7352:E9015,K7352:K9015,"0",B7352:B9015,"5 1 3 1 4 12*")</f>
        <v>0</v>
      </c>
      <c r="E7351"/>
      <c r="F7351" s="35">
        <f>SUMIFS(F7352:F9015,K7352:K9015,"0",B7352:B9015,"5 1 3 1 4 12*")</f>
        <v>315835.96000000002</v>
      </c>
      <c r="G7351" s="35">
        <f>SUMIFS(G7352:G9015,K7352:K9015,"0",B7352:B9015,"5 1 3 1 4 12*")</f>
        <v>0</v>
      </c>
      <c r="H7351" s="35">
        <f t="shared" si="115"/>
        <v>315835.96000000002</v>
      </c>
      <c r="I7351" s="35"/>
      <c r="K7351" t="s">
        <v>15</v>
      </c>
    </row>
    <row r="7352" spans="2:11" ht="16.5" x14ac:dyDescent="0.2">
      <c r="B7352" s="33" t="s">
        <v>8396</v>
      </c>
      <c r="C7352" s="33" t="s">
        <v>28</v>
      </c>
      <c r="D7352" s="35">
        <f>SUMIFS(D7353:D9015,K7353:K9015,"0",B7353:B9015,"5 1 3 1 4 12 31111*")-SUMIFS(E7353:E9015,K7353:K9015,"0",B7353:B9015,"5 1 3 1 4 12 31111*")</f>
        <v>0</v>
      </c>
      <c r="E7352"/>
      <c r="F7352" s="35">
        <f>SUMIFS(F7353:F9015,K7353:K9015,"0",B7353:B9015,"5 1 3 1 4 12 31111*")</f>
        <v>315835.96000000002</v>
      </c>
      <c r="G7352" s="35">
        <f>SUMIFS(G7353:G9015,K7353:K9015,"0",B7353:B9015,"5 1 3 1 4 12 31111*")</f>
        <v>0</v>
      </c>
      <c r="H7352" s="35">
        <f t="shared" si="115"/>
        <v>315835.96000000002</v>
      </c>
      <c r="I7352" s="35"/>
      <c r="K7352" t="s">
        <v>15</v>
      </c>
    </row>
    <row r="7353" spans="2:11" ht="12.75" x14ac:dyDescent="0.2">
      <c r="B7353" s="33" t="s">
        <v>8397</v>
      </c>
      <c r="C7353" s="33" t="s">
        <v>30</v>
      </c>
      <c r="D7353" s="35">
        <f>SUMIFS(D7354:D9015,K7354:K9015,"0",B7354:B9015,"5 1 3 1 4 12 31111 6*")-SUMIFS(E7354:E9015,K7354:K9015,"0",B7354:B9015,"5 1 3 1 4 12 31111 6*")</f>
        <v>0</v>
      </c>
      <c r="E7353"/>
      <c r="F7353" s="35">
        <f>SUMIFS(F7354:F9015,K7354:K9015,"0",B7354:B9015,"5 1 3 1 4 12 31111 6*")</f>
        <v>315835.96000000002</v>
      </c>
      <c r="G7353" s="35">
        <f>SUMIFS(G7354:G9015,K7354:K9015,"0",B7354:B9015,"5 1 3 1 4 12 31111 6*")</f>
        <v>0</v>
      </c>
      <c r="H7353" s="35">
        <f t="shared" si="115"/>
        <v>315835.96000000002</v>
      </c>
      <c r="I7353" s="35"/>
      <c r="K7353" t="s">
        <v>15</v>
      </c>
    </row>
    <row r="7354" spans="2:11" ht="16.5" x14ac:dyDescent="0.2">
      <c r="B7354" s="33" t="s">
        <v>8398</v>
      </c>
      <c r="C7354" s="33" t="s">
        <v>2284</v>
      </c>
      <c r="D7354" s="35">
        <f>SUMIFS(D7355:D9015,K7355:K9015,"0",B7355:B9015,"5 1 3 1 4 12 31111 6 M59*")-SUMIFS(E7355:E9015,K7355:K9015,"0",B7355:B9015,"5 1 3 1 4 12 31111 6 M59*")</f>
        <v>0</v>
      </c>
      <c r="E7354"/>
      <c r="F7354" s="35">
        <f>SUMIFS(F7355:F9015,K7355:K9015,"0",B7355:B9015,"5 1 3 1 4 12 31111 6 M59*")</f>
        <v>315835.96000000002</v>
      </c>
      <c r="G7354" s="35">
        <f>SUMIFS(G7355:G9015,K7355:K9015,"0",B7355:B9015,"5 1 3 1 4 12 31111 6 M59*")</f>
        <v>0</v>
      </c>
      <c r="H7354" s="35">
        <f t="shared" si="115"/>
        <v>315835.96000000002</v>
      </c>
      <c r="I7354" s="35"/>
      <c r="K7354" t="s">
        <v>15</v>
      </c>
    </row>
    <row r="7355" spans="2:11" ht="16.5" x14ac:dyDescent="0.2">
      <c r="B7355" s="33" t="s">
        <v>8399</v>
      </c>
      <c r="C7355" s="33" t="s">
        <v>1044</v>
      </c>
      <c r="D7355" s="35">
        <f>SUMIFS(D7356:D9015,K7356:K9015,"0",B7356:B9015,"5 1 3 1 4 12 31111 6 M59 19000*")-SUMIFS(E7356:E9015,K7356:K9015,"0",B7356:B9015,"5 1 3 1 4 12 31111 6 M59 19000*")</f>
        <v>0</v>
      </c>
      <c r="E7355"/>
      <c r="F7355" s="35">
        <f>SUMIFS(F7356:F9015,K7356:K9015,"0",B7356:B9015,"5 1 3 1 4 12 31111 6 M59 19000*")</f>
        <v>62996.32</v>
      </c>
      <c r="G7355" s="35">
        <f>SUMIFS(G7356:G9015,K7356:K9015,"0",B7356:B9015,"5 1 3 1 4 12 31111 6 M59 19000*")</f>
        <v>0</v>
      </c>
      <c r="H7355" s="35">
        <f t="shared" si="115"/>
        <v>62996.32</v>
      </c>
      <c r="I7355" s="35"/>
      <c r="K7355" t="s">
        <v>15</v>
      </c>
    </row>
    <row r="7356" spans="2:11" ht="16.5" x14ac:dyDescent="0.2">
      <c r="B7356" s="33" t="s">
        <v>8400</v>
      </c>
      <c r="C7356" s="33" t="s">
        <v>648</v>
      </c>
      <c r="D7356" s="35">
        <f>SUMIFS(D7357:D9015,K7357:K9015,"0",B7357:B9015,"5 1 3 1 4 12 31111 6 M59 19000 000132*")-SUMIFS(E7357:E9015,K7357:K9015,"0",B7357:B9015,"5 1 3 1 4 12 31111 6 M59 19000 000132*")</f>
        <v>0</v>
      </c>
      <c r="E7356"/>
      <c r="F7356" s="35">
        <f>SUMIFS(F7357:F9015,K7357:K9015,"0",B7357:B9015,"5 1 3 1 4 12 31111 6 M59 19000 000132*")</f>
        <v>62996.32</v>
      </c>
      <c r="G7356" s="35">
        <f>SUMIFS(G7357:G9015,K7357:K9015,"0",B7357:B9015,"5 1 3 1 4 12 31111 6 M59 19000 000132*")</f>
        <v>0</v>
      </c>
      <c r="H7356" s="35">
        <f t="shared" si="115"/>
        <v>62996.32</v>
      </c>
      <c r="I7356" s="35"/>
      <c r="K7356" t="s">
        <v>15</v>
      </c>
    </row>
    <row r="7357" spans="2:11" ht="24.75" x14ac:dyDescent="0.2">
      <c r="B7357" s="33" t="s">
        <v>8401</v>
      </c>
      <c r="C7357" s="33" t="s">
        <v>650</v>
      </c>
      <c r="D7357" s="35">
        <f>SUMIFS(D7358:D9015,K7358:K9015,"0",B7358:B9015,"5 1 3 1 4 12 31111 6 M59 19000 000132 0000R*")-SUMIFS(E7358:E9015,K7358:K9015,"0",B7358:B9015,"5 1 3 1 4 12 31111 6 M59 19000 000132 0000R*")</f>
        <v>0</v>
      </c>
      <c r="E7357"/>
      <c r="F7357" s="35">
        <f>SUMIFS(F7358:F9015,K7358:K9015,"0",B7358:B9015,"5 1 3 1 4 12 31111 6 M59 19000 000132 0000R*")</f>
        <v>62996.32</v>
      </c>
      <c r="G7357" s="35">
        <f>SUMIFS(G7358:G9015,K7358:K9015,"0",B7358:B9015,"5 1 3 1 4 12 31111 6 M59 19000 000132 0000R*")</f>
        <v>0</v>
      </c>
      <c r="H7357" s="35">
        <f t="shared" si="115"/>
        <v>62996.32</v>
      </c>
      <c r="I7357" s="35"/>
      <c r="K7357" t="s">
        <v>15</v>
      </c>
    </row>
    <row r="7358" spans="2:11" ht="24.75" x14ac:dyDescent="0.2">
      <c r="B7358" s="33" t="s">
        <v>8402</v>
      </c>
      <c r="C7358" s="33" t="s">
        <v>282</v>
      </c>
      <c r="D7358" s="35">
        <f>SUMIFS(D7359:D9015,K7359:K9015,"0",B7359:B9015,"5 1 3 1 4 12 31111 6 M59 19000 000132 0000R 00001*")-SUMIFS(E7359:E9015,K7359:K9015,"0",B7359:B9015,"5 1 3 1 4 12 31111 6 M59 19000 000132 0000R 00001*")</f>
        <v>0</v>
      </c>
      <c r="E7358"/>
      <c r="F7358" s="35">
        <f>SUMIFS(F7359:F9015,K7359:K9015,"0",B7359:B9015,"5 1 3 1 4 12 31111 6 M59 19000 000132 0000R 00001*")</f>
        <v>62996.32</v>
      </c>
      <c r="G7358" s="35">
        <f>SUMIFS(G7359:G9015,K7359:K9015,"0",B7359:B9015,"5 1 3 1 4 12 31111 6 M59 19000 000132 0000R 00001*")</f>
        <v>0</v>
      </c>
      <c r="H7358" s="35">
        <f t="shared" si="115"/>
        <v>62996.32</v>
      </c>
      <c r="I7358" s="35"/>
      <c r="K7358" t="s">
        <v>15</v>
      </c>
    </row>
    <row r="7359" spans="2:11" ht="24.75" x14ac:dyDescent="0.2">
      <c r="B7359" s="33" t="s">
        <v>8403</v>
      </c>
      <c r="C7359" s="33" t="s">
        <v>8404</v>
      </c>
      <c r="D7359" s="35">
        <f>SUMIFS(D7360:D9015,K7360:K9015,"0",B7360:B9015,"5 1 3 1 4 12 31111 6 M59 19000 000132 0000R 00001 00314*")-SUMIFS(E7360:E9015,K7360:K9015,"0",B7360:B9015,"5 1 3 1 4 12 31111 6 M59 19000 000132 0000R 00001 00314*")</f>
        <v>0</v>
      </c>
      <c r="E7359"/>
      <c r="F7359" s="35">
        <f>SUMIFS(F7360:F9015,K7360:K9015,"0",B7360:B9015,"5 1 3 1 4 12 31111 6 M59 19000 000132 0000R 00001 00314*")</f>
        <v>62996.32</v>
      </c>
      <c r="G7359" s="35">
        <f>SUMIFS(G7360:G9015,K7360:K9015,"0",B7360:B9015,"5 1 3 1 4 12 31111 6 M59 19000 000132 0000R 00001 00314*")</f>
        <v>0</v>
      </c>
      <c r="H7359" s="35">
        <f t="shared" si="115"/>
        <v>62996.32</v>
      </c>
      <c r="I7359" s="35"/>
      <c r="K7359" t="s">
        <v>15</v>
      </c>
    </row>
    <row r="7360" spans="2:11" ht="33" x14ac:dyDescent="0.2">
      <c r="B7360" s="33" t="s">
        <v>8405</v>
      </c>
      <c r="C7360" s="33" t="s">
        <v>699</v>
      </c>
      <c r="D7360" s="35">
        <f>SUMIFS(D7361:D9015,K7361:K9015,"0",B7361:B9015,"5 1 3 1 4 12 31111 6 M59 19000 000132 0000R 00001 00314 011*")-SUMIFS(E7361:E9015,K7361:K9015,"0",B7361:B9015,"5 1 3 1 4 12 31111 6 M59 19000 000132 0000R 00001 00314 011*")</f>
        <v>0</v>
      </c>
      <c r="E7360"/>
      <c r="F7360" s="35">
        <f>SUMIFS(F7361:F9015,K7361:K9015,"0",B7361:B9015,"5 1 3 1 4 12 31111 6 M59 19000 000132 0000R 00001 00314 011*")</f>
        <v>62996.32</v>
      </c>
      <c r="G7360" s="35">
        <f>SUMIFS(G7361:G9015,K7361:K9015,"0",B7361:B9015,"5 1 3 1 4 12 31111 6 M59 19000 000132 0000R 00001 00314 011*")</f>
        <v>0</v>
      </c>
      <c r="H7360" s="35">
        <f t="shared" si="115"/>
        <v>62996.32</v>
      </c>
      <c r="I7360" s="35"/>
      <c r="K7360" t="s">
        <v>15</v>
      </c>
    </row>
    <row r="7361" spans="2:11" ht="33" x14ac:dyDescent="0.2">
      <c r="B7361" s="33" t="s">
        <v>8406</v>
      </c>
      <c r="C7361" s="33" t="s">
        <v>5830</v>
      </c>
      <c r="D7361" s="35">
        <f>SUMIFS(D7362:D9015,K7362:K9015,"0",B7362:B9015,"5 1 3 1 4 12 31111 6 M59 19000 000132 0000R 00001 00314 011 2112000*")-SUMIFS(E7362:E9015,K7362:K9015,"0",B7362:B9015,"5 1 3 1 4 12 31111 6 M59 19000 000132 0000R 00001 00314 011 2112000*")</f>
        <v>0</v>
      </c>
      <c r="E7361"/>
      <c r="F7361" s="35">
        <f>SUMIFS(F7362:F9015,K7362:K9015,"0",B7362:B9015,"5 1 3 1 4 12 31111 6 M59 19000 000132 0000R 00001 00314 011 2112000*")</f>
        <v>62996.32</v>
      </c>
      <c r="G7361" s="35">
        <f>SUMIFS(G7362:G9015,K7362:K9015,"0",B7362:B9015,"5 1 3 1 4 12 31111 6 M59 19000 000132 0000R 00001 00314 011 2112000*")</f>
        <v>0</v>
      </c>
      <c r="H7361" s="35">
        <f t="shared" si="115"/>
        <v>62996.32</v>
      </c>
      <c r="I7361" s="35"/>
      <c r="K7361" t="s">
        <v>15</v>
      </c>
    </row>
    <row r="7362" spans="2:11" ht="33" x14ac:dyDescent="0.2">
      <c r="B7362" s="33" t="s">
        <v>8407</v>
      </c>
      <c r="C7362" s="33" t="s">
        <v>660</v>
      </c>
      <c r="D7362" s="35">
        <f>SUMIFS(D7363:D9015,K7363:K9015,"0",B7363:B9015,"5 1 3 1 4 12 31111 6 M59 19000 000132 0000R 00001 00314 011 2112000 2024*")-SUMIFS(E7363:E9015,K7363:K9015,"0",B7363:B9015,"5 1 3 1 4 12 31111 6 M59 19000 000132 0000R 00001 00314 011 2112000 2024*")</f>
        <v>0</v>
      </c>
      <c r="E7362"/>
      <c r="F7362" s="35">
        <f>SUMIFS(F7363:F9015,K7363:K9015,"0",B7363:B9015,"5 1 3 1 4 12 31111 6 M59 19000 000132 0000R 00001 00314 011 2112000 2024*")</f>
        <v>62996.32</v>
      </c>
      <c r="G7362" s="35">
        <f>SUMIFS(G7363:G9015,K7363:K9015,"0",B7363:B9015,"5 1 3 1 4 12 31111 6 M59 19000 000132 0000R 00001 00314 011 2112000 2024*")</f>
        <v>0</v>
      </c>
      <c r="H7362" s="35">
        <f t="shared" si="115"/>
        <v>62996.32</v>
      </c>
      <c r="I7362" s="35"/>
      <c r="K7362" t="s">
        <v>15</v>
      </c>
    </row>
    <row r="7363" spans="2:11" ht="41.25" x14ac:dyDescent="0.2">
      <c r="B7363" s="33" t="s">
        <v>8408</v>
      </c>
      <c r="C7363" s="33" t="s">
        <v>662</v>
      </c>
      <c r="D7363" s="35">
        <f>SUMIFS(D7364:D9015,K7364:K9015,"0",B7364:B9015,"5 1 3 1 4 12 31111 6 M59 19000 000132 0000R 00001 00314 011 2112000 2024 CP1TM440*")-SUMIFS(E7364:E9015,K7364:K9015,"0",B7364:B9015,"5 1 3 1 4 12 31111 6 M59 19000 000132 0000R 00001 00314 011 2112000 2024 CP1TM440*")</f>
        <v>0</v>
      </c>
      <c r="E7363"/>
      <c r="F7363" s="35">
        <f>SUMIFS(F7364:F9015,K7364:K9015,"0",B7364:B9015,"5 1 3 1 4 12 31111 6 M59 19000 000132 0000R 00001 00314 011 2112000 2024 CP1TM440*")</f>
        <v>62996.32</v>
      </c>
      <c r="G7363" s="35">
        <f>SUMIFS(G7364:G9015,K7364:K9015,"0",B7364:B9015,"5 1 3 1 4 12 31111 6 M59 19000 000132 0000R 00001 00314 011 2112000 2024 CP1TM440*")</f>
        <v>0</v>
      </c>
      <c r="H7363" s="35">
        <f t="shared" si="115"/>
        <v>62996.32</v>
      </c>
      <c r="I7363" s="35"/>
      <c r="K7363" t="s">
        <v>15</v>
      </c>
    </row>
    <row r="7364" spans="2:11" ht="41.25" x14ac:dyDescent="0.2">
      <c r="B7364" s="33" t="s">
        <v>8409</v>
      </c>
      <c r="C7364" s="33" t="s">
        <v>46</v>
      </c>
      <c r="D7364" s="35">
        <f>SUMIFS(D7365:D9015,K7365:K9015,"0",B7365:B9015,"5 1 3 1 4 12 31111 6 M59 19000 000132 0000R 00001 00314 011 2112000 2024 CP1TM440 004*")-SUMIFS(E7365:E9015,K7365:K9015,"0",B7365:B9015,"5 1 3 1 4 12 31111 6 M59 19000 000132 0000R 00001 00314 011 2112000 2024 CP1TM440 004*")</f>
        <v>0</v>
      </c>
      <c r="E7364"/>
      <c r="F7364" s="35">
        <f>SUMIFS(F7365:F9015,K7365:K9015,"0",B7365:B9015,"5 1 3 1 4 12 31111 6 M59 19000 000132 0000R 00001 00314 011 2112000 2024 CP1TM440 004*")</f>
        <v>62996.32</v>
      </c>
      <c r="G7364" s="35">
        <f>SUMIFS(G7365:G9015,K7365:K9015,"0",B7365:B9015,"5 1 3 1 4 12 31111 6 M59 19000 000132 0000R 00001 00314 011 2112000 2024 CP1TM440 004*")</f>
        <v>0</v>
      </c>
      <c r="H7364" s="35">
        <f t="shared" ref="H7364:H7427" si="116">D7364 + F7364 - G7364</f>
        <v>62996.32</v>
      </c>
      <c r="I7364" s="35"/>
      <c r="K7364" t="s">
        <v>15</v>
      </c>
    </row>
    <row r="7365" spans="2:11" ht="33" x14ac:dyDescent="0.2">
      <c r="B7365" s="31" t="s">
        <v>8410</v>
      </c>
      <c r="C7365" s="31" t="s">
        <v>8404</v>
      </c>
      <c r="D7365" s="34">
        <v>0</v>
      </c>
      <c r="E7365" s="34"/>
      <c r="F7365" s="34">
        <v>62996.32</v>
      </c>
      <c r="G7365" s="34">
        <v>0</v>
      </c>
      <c r="H7365" s="34">
        <f t="shared" si="116"/>
        <v>62996.32</v>
      </c>
      <c r="I7365" s="34"/>
      <c r="K7365" t="s">
        <v>38</v>
      </c>
    </row>
    <row r="7366" spans="2:11" ht="16.5" x14ac:dyDescent="0.2">
      <c r="B7366" s="33" t="s">
        <v>8411</v>
      </c>
      <c r="C7366" s="33" t="s">
        <v>3644</v>
      </c>
      <c r="D7366" s="35">
        <f>SUMIFS(D7367:D9015,K7367:K9015,"0",B7367:B9015,"5 1 3 1 4 12 31111 6 M59 94000*")-SUMIFS(E7367:E9015,K7367:K9015,"0",B7367:B9015,"5 1 3 1 4 12 31111 6 M59 94000*")</f>
        <v>0</v>
      </c>
      <c r="E7366"/>
      <c r="F7366" s="35">
        <f>SUMIFS(F7367:F9015,K7367:K9015,"0",B7367:B9015,"5 1 3 1 4 12 31111 6 M59 94000*")</f>
        <v>252839.64</v>
      </c>
      <c r="G7366" s="35">
        <f>SUMIFS(G7367:G9015,K7367:K9015,"0",B7367:B9015,"5 1 3 1 4 12 31111 6 M59 94000*")</f>
        <v>0</v>
      </c>
      <c r="H7366" s="35">
        <f t="shared" si="116"/>
        <v>252839.64</v>
      </c>
      <c r="I7366" s="35"/>
      <c r="K7366" t="s">
        <v>15</v>
      </c>
    </row>
    <row r="7367" spans="2:11" ht="24.75" x14ac:dyDescent="0.2">
      <c r="B7367" s="33" t="s">
        <v>8412</v>
      </c>
      <c r="C7367" s="33" t="s">
        <v>3152</v>
      </c>
      <c r="D7367" s="35">
        <f>SUMIFS(D7368:D9015,K7368:K9015,"0",B7368:B9015,"5 1 3 1 4 12 31111 6 M59 94000 000181*")-SUMIFS(E7368:E9015,K7368:K9015,"0",B7368:B9015,"5 1 3 1 4 12 31111 6 M59 94000 000181*")</f>
        <v>0</v>
      </c>
      <c r="E7367"/>
      <c r="F7367" s="35">
        <f>SUMIFS(F7368:F9015,K7368:K9015,"0",B7368:B9015,"5 1 3 1 4 12 31111 6 M59 94000 000181*")</f>
        <v>252839.64</v>
      </c>
      <c r="G7367" s="35">
        <f>SUMIFS(G7368:G9015,K7368:K9015,"0",B7368:B9015,"5 1 3 1 4 12 31111 6 M59 94000 000181*")</f>
        <v>0</v>
      </c>
      <c r="H7367" s="35">
        <f t="shared" si="116"/>
        <v>252839.64</v>
      </c>
      <c r="I7367" s="35"/>
      <c r="K7367" t="s">
        <v>15</v>
      </c>
    </row>
    <row r="7368" spans="2:11" ht="24.75" x14ac:dyDescent="0.2">
      <c r="B7368" s="33" t="s">
        <v>8413</v>
      </c>
      <c r="C7368" s="33" t="s">
        <v>650</v>
      </c>
      <c r="D7368" s="35">
        <f>SUMIFS(D7369:D9015,K7369:K9015,"0",B7369:B9015,"5 1 3 1 4 12 31111 6 M59 94000 000181 0000R*")-SUMIFS(E7369:E9015,K7369:K9015,"0",B7369:B9015,"5 1 3 1 4 12 31111 6 M59 94000 000181 0000R*")</f>
        <v>0</v>
      </c>
      <c r="E7368"/>
      <c r="F7368" s="35">
        <f>SUMIFS(F7369:F9015,K7369:K9015,"0",B7369:B9015,"5 1 3 1 4 12 31111 6 M59 94000 000181 0000R*")</f>
        <v>252839.64</v>
      </c>
      <c r="G7368" s="35">
        <f>SUMIFS(G7369:G9015,K7369:K9015,"0",B7369:B9015,"5 1 3 1 4 12 31111 6 M59 94000 000181 0000R*")</f>
        <v>0</v>
      </c>
      <c r="H7368" s="35">
        <f t="shared" si="116"/>
        <v>252839.64</v>
      </c>
      <c r="I7368" s="35"/>
      <c r="K7368" t="s">
        <v>15</v>
      </c>
    </row>
    <row r="7369" spans="2:11" ht="24.75" x14ac:dyDescent="0.2">
      <c r="B7369" s="33" t="s">
        <v>8414</v>
      </c>
      <c r="C7369" s="33" t="s">
        <v>282</v>
      </c>
      <c r="D7369" s="35">
        <f>SUMIFS(D7370:D9015,K7370:K9015,"0",B7370:B9015,"5 1 3 1 4 12 31111 6 M59 94000 000181 0000R 00001*")-SUMIFS(E7370:E9015,K7370:K9015,"0",B7370:B9015,"5 1 3 1 4 12 31111 6 M59 94000 000181 0000R 00001*")</f>
        <v>0</v>
      </c>
      <c r="E7369"/>
      <c r="F7369" s="35">
        <f>SUMIFS(F7370:F9015,K7370:K9015,"0",B7370:B9015,"5 1 3 1 4 12 31111 6 M59 94000 000181 0000R 00001*")</f>
        <v>252839.64</v>
      </c>
      <c r="G7369" s="35">
        <f>SUMIFS(G7370:G9015,K7370:K9015,"0",B7370:B9015,"5 1 3 1 4 12 31111 6 M59 94000 000181 0000R 00001*")</f>
        <v>0</v>
      </c>
      <c r="H7369" s="35">
        <f t="shared" si="116"/>
        <v>252839.64</v>
      </c>
      <c r="I7369" s="35"/>
      <c r="K7369" t="s">
        <v>15</v>
      </c>
    </row>
    <row r="7370" spans="2:11" ht="24.75" x14ac:dyDescent="0.2">
      <c r="B7370" s="33" t="s">
        <v>8415</v>
      </c>
      <c r="C7370" s="33" t="s">
        <v>8404</v>
      </c>
      <c r="D7370" s="35">
        <f>SUMIFS(D7371:D9015,K7371:K9015,"0",B7371:B9015,"5 1 3 1 4 12 31111 6 M59 94000 000181 0000R 00001 00314*")-SUMIFS(E7371:E9015,K7371:K9015,"0",B7371:B9015,"5 1 3 1 4 12 31111 6 M59 94000 000181 0000R 00001 00314*")</f>
        <v>0</v>
      </c>
      <c r="E7370"/>
      <c r="F7370" s="35">
        <f>SUMIFS(F7371:F9015,K7371:K9015,"0",B7371:B9015,"5 1 3 1 4 12 31111 6 M59 94000 000181 0000R 00001 00314*")</f>
        <v>252839.64</v>
      </c>
      <c r="G7370" s="35">
        <f>SUMIFS(G7371:G9015,K7371:K9015,"0",B7371:B9015,"5 1 3 1 4 12 31111 6 M59 94000 000181 0000R 00001 00314*")</f>
        <v>0</v>
      </c>
      <c r="H7370" s="35">
        <f t="shared" si="116"/>
        <v>252839.64</v>
      </c>
      <c r="I7370" s="35"/>
      <c r="K7370" t="s">
        <v>15</v>
      </c>
    </row>
    <row r="7371" spans="2:11" ht="33" x14ac:dyDescent="0.2">
      <c r="B7371" s="33" t="s">
        <v>8416</v>
      </c>
      <c r="C7371" s="33" t="s">
        <v>1051</v>
      </c>
      <c r="D7371" s="35">
        <f>SUMIFS(D7372:D9015,K7372:K9015,"0",B7372:B9015,"5 1 3 1 4 12 31111 6 M59 94000 000181 0000R 00001 00314 015*")-SUMIFS(E7372:E9015,K7372:K9015,"0",B7372:B9015,"5 1 3 1 4 12 31111 6 M59 94000 000181 0000R 00001 00314 015*")</f>
        <v>0</v>
      </c>
      <c r="E7371"/>
      <c r="F7371" s="35">
        <f>SUMIFS(F7372:F9015,K7372:K9015,"0",B7372:B9015,"5 1 3 1 4 12 31111 6 M59 94000 000181 0000R 00001 00314 015*")</f>
        <v>252839.64</v>
      </c>
      <c r="G7371" s="35">
        <f>SUMIFS(G7372:G9015,K7372:K9015,"0",B7372:B9015,"5 1 3 1 4 12 31111 6 M59 94000 000181 0000R 00001 00314 015*")</f>
        <v>0</v>
      </c>
      <c r="H7371" s="35">
        <f t="shared" si="116"/>
        <v>252839.64</v>
      </c>
      <c r="I7371" s="35"/>
      <c r="K7371" t="s">
        <v>15</v>
      </c>
    </row>
    <row r="7372" spans="2:11" ht="33" x14ac:dyDescent="0.2">
      <c r="B7372" s="33" t="s">
        <v>8417</v>
      </c>
      <c r="C7372" s="33" t="s">
        <v>5830</v>
      </c>
      <c r="D7372" s="35">
        <f>SUMIFS(D7373:D9015,K7373:K9015,"0",B7373:B9015,"5 1 3 1 4 12 31111 6 M59 94000 000181 0000R 00001 00314 015 2112000*")-SUMIFS(E7373:E9015,K7373:K9015,"0",B7373:B9015,"5 1 3 1 4 12 31111 6 M59 94000 000181 0000R 00001 00314 015 2112000*")</f>
        <v>0</v>
      </c>
      <c r="E7372"/>
      <c r="F7372" s="35">
        <f>SUMIFS(F7373:F9015,K7373:K9015,"0",B7373:B9015,"5 1 3 1 4 12 31111 6 M59 94000 000181 0000R 00001 00314 015 2112000*")</f>
        <v>252839.64</v>
      </c>
      <c r="G7372" s="35">
        <f>SUMIFS(G7373:G9015,K7373:K9015,"0",B7373:B9015,"5 1 3 1 4 12 31111 6 M59 94000 000181 0000R 00001 00314 015 2112000*")</f>
        <v>0</v>
      </c>
      <c r="H7372" s="35">
        <f t="shared" si="116"/>
        <v>252839.64</v>
      </c>
      <c r="I7372" s="35"/>
      <c r="K7372" t="s">
        <v>15</v>
      </c>
    </row>
    <row r="7373" spans="2:11" ht="33" x14ac:dyDescent="0.2">
      <c r="B7373" s="33" t="s">
        <v>8418</v>
      </c>
      <c r="C7373" s="33" t="s">
        <v>660</v>
      </c>
      <c r="D7373" s="35">
        <f>SUMIFS(D7374:D9015,K7374:K9015,"0",B7374:B9015,"5 1 3 1 4 12 31111 6 M59 94000 000181 0000R 00001 00314 015 2112000 2024*")-SUMIFS(E7374:E9015,K7374:K9015,"0",B7374:B9015,"5 1 3 1 4 12 31111 6 M59 94000 000181 0000R 00001 00314 015 2112000 2024*")</f>
        <v>0</v>
      </c>
      <c r="E7373"/>
      <c r="F7373" s="35">
        <f>SUMIFS(F7374:F9015,K7374:K9015,"0",B7374:B9015,"5 1 3 1 4 12 31111 6 M59 94000 000181 0000R 00001 00314 015 2112000 2024*")</f>
        <v>252839.64</v>
      </c>
      <c r="G7373" s="35">
        <f>SUMIFS(G7374:G9015,K7374:K9015,"0",B7374:B9015,"5 1 3 1 4 12 31111 6 M59 94000 000181 0000R 00001 00314 015 2112000 2024*")</f>
        <v>0</v>
      </c>
      <c r="H7373" s="35">
        <f t="shared" si="116"/>
        <v>252839.64</v>
      </c>
      <c r="I7373" s="35"/>
      <c r="K7373" t="s">
        <v>15</v>
      </c>
    </row>
    <row r="7374" spans="2:11" ht="41.25" x14ac:dyDescent="0.2">
      <c r="B7374" s="33" t="s">
        <v>8419</v>
      </c>
      <c r="C7374" s="33" t="s">
        <v>1056</v>
      </c>
      <c r="D7374" s="35">
        <f>SUMIFS(D7375:D9015,K7375:K9015,"0",B7375:B9015,"5 1 3 1 4 12 31111 6 M59 94000 000181 0000R 00001 00314 015 2112000 2024 CP1OM392*")-SUMIFS(E7375:E9015,K7375:K9015,"0",B7375:B9015,"5 1 3 1 4 12 31111 6 M59 94000 000181 0000R 00001 00314 015 2112000 2024 CP1OM392*")</f>
        <v>0</v>
      </c>
      <c r="E7374"/>
      <c r="F7374" s="35">
        <f>SUMIFS(F7375:F9015,K7375:K9015,"0",B7375:B9015,"5 1 3 1 4 12 31111 6 M59 94000 000181 0000R 00001 00314 015 2112000 2024 CP1OM392*")</f>
        <v>252839.64</v>
      </c>
      <c r="G7374" s="35">
        <f>SUMIFS(G7375:G9015,K7375:K9015,"0",B7375:B9015,"5 1 3 1 4 12 31111 6 M59 94000 000181 0000R 00001 00314 015 2112000 2024 CP1OM392*")</f>
        <v>0</v>
      </c>
      <c r="H7374" s="35">
        <f t="shared" si="116"/>
        <v>252839.64</v>
      </c>
      <c r="I7374" s="35"/>
      <c r="K7374" t="s">
        <v>15</v>
      </c>
    </row>
    <row r="7375" spans="2:11" ht="41.25" x14ac:dyDescent="0.2">
      <c r="B7375" s="33" t="s">
        <v>8420</v>
      </c>
      <c r="C7375" s="33" t="s">
        <v>282</v>
      </c>
      <c r="D7375" s="35">
        <f>SUMIFS(D7376:D9015,K7376:K9015,"0",B7376:B9015,"5 1 3 1 4 12 31111 6 M59 94000 000181 0000R 00001 00314 015 2112000 2024 CP1OM392 001*")-SUMIFS(E7376:E9015,K7376:K9015,"0",B7376:B9015,"5 1 3 1 4 12 31111 6 M59 94000 000181 0000R 00001 00314 015 2112000 2024 CP1OM392 001*")</f>
        <v>0</v>
      </c>
      <c r="E7375"/>
      <c r="F7375" s="35">
        <f>SUMIFS(F7376:F9015,K7376:K9015,"0",B7376:B9015,"5 1 3 1 4 12 31111 6 M59 94000 000181 0000R 00001 00314 015 2112000 2024 CP1OM392 001*")</f>
        <v>252839.64</v>
      </c>
      <c r="G7375" s="35">
        <f>SUMIFS(G7376:G9015,K7376:K9015,"0",B7376:B9015,"5 1 3 1 4 12 31111 6 M59 94000 000181 0000R 00001 00314 015 2112000 2024 CP1OM392 001*")</f>
        <v>0</v>
      </c>
      <c r="H7375" s="35">
        <f t="shared" si="116"/>
        <v>252839.64</v>
      </c>
      <c r="I7375" s="35"/>
      <c r="K7375" t="s">
        <v>15</v>
      </c>
    </row>
    <row r="7376" spans="2:11" ht="33" x14ac:dyDescent="0.2">
      <c r="B7376" s="31" t="s">
        <v>8421</v>
      </c>
      <c r="C7376" s="31" t="s">
        <v>8394</v>
      </c>
      <c r="D7376" s="34">
        <v>0</v>
      </c>
      <c r="E7376" s="34"/>
      <c r="F7376" s="34">
        <v>252839.64</v>
      </c>
      <c r="G7376" s="34">
        <v>0</v>
      </c>
      <c r="H7376" s="34">
        <f t="shared" si="116"/>
        <v>252839.64</v>
      </c>
      <c r="I7376" s="34"/>
      <c r="K7376" t="s">
        <v>38</v>
      </c>
    </row>
    <row r="7377" spans="2:11" ht="33" x14ac:dyDescent="0.2">
      <c r="B7377" s="33" t="s">
        <v>8422</v>
      </c>
      <c r="C7377" s="33" t="s">
        <v>8423</v>
      </c>
      <c r="D7377" s="35">
        <f>SUMIFS(D7378:D9015,K7378:K9015,"0",B7378:B9015,"5 1 3 1 7*")-SUMIFS(E7378:E9015,K7378:K9015,"0",B7378:B9015,"5 1 3 1 7*")</f>
        <v>0</v>
      </c>
      <c r="E7377"/>
      <c r="F7377" s="35">
        <f>SUMIFS(F7378:F9015,K7378:K9015,"0",B7378:B9015,"5 1 3 1 7*")</f>
        <v>40000</v>
      </c>
      <c r="G7377" s="35">
        <f>SUMIFS(G7378:G9015,K7378:K9015,"0",B7378:B9015,"5 1 3 1 7*")</f>
        <v>0</v>
      </c>
      <c r="H7377" s="35">
        <f t="shared" si="116"/>
        <v>40000</v>
      </c>
      <c r="I7377" s="35"/>
      <c r="K7377" t="s">
        <v>15</v>
      </c>
    </row>
    <row r="7378" spans="2:11" ht="12.75" x14ac:dyDescent="0.2">
      <c r="B7378" s="33" t="s">
        <v>8424</v>
      </c>
      <c r="C7378" s="33" t="s">
        <v>26</v>
      </c>
      <c r="D7378" s="35">
        <f>SUMIFS(D7379:D9015,K7379:K9015,"0",B7379:B9015,"5 1 3 1 7 12*")-SUMIFS(E7379:E9015,K7379:K9015,"0",B7379:B9015,"5 1 3 1 7 12*")</f>
        <v>0</v>
      </c>
      <c r="E7378"/>
      <c r="F7378" s="35">
        <f>SUMIFS(F7379:F9015,K7379:K9015,"0",B7379:B9015,"5 1 3 1 7 12*")</f>
        <v>40000</v>
      </c>
      <c r="G7378" s="35">
        <f>SUMIFS(G7379:G9015,K7379:K9015,"0",B7379:B9015,"5 1 3 1 7 12*")</f>
        <v>0</v>
      </c>
      <c r="H7378" s="35">
        <f t="shared" si="116"/>
        <v>40000</v>
      </c>
      <c r="I7378" s="35"/>
      <c r="K7378" t="s">
        <v>15</v>
      </c>
    </row>
    <row r="7379" spans="2:11" ht="16.5" x14ac:dyDescent="0.2">
      <c r="B7379" s="33" t="s">
        <v>8425</v>
      </c>
      <c r="C7379" s="33" t="s">
        <v>28</v>
      </c>
      <c r="D7379" s="35">
        <f>SUMIFS(D7380:D9015,K7380:K9015,"0",B7380:B9015,"5 1 3 1 7 12 31111*")-SUMIFS(E7380:E9015,K7380:K9015,"0",B7380:B9015,"5 1 3 1 7 12 31111*")</f>
        <v>0</v>
      </c>
      <c r="E7379"/>
      <c r="F7379" s="35">
        <f>SUMIFS(F7380:F9015,K7380:K9015,"0",B7380:B9015,"5 1 3 1 7 12 31111*")</f>
        <v>40000</v>
      </c>
      <c r="G7379" s="35">
        <f>SUMIFS(G7380:G9015,K7380:K9015,"0",B7380:B9015,"5 1 3 1 7 12 31111*")</f>
        <v>0</v>
      </c>
      <c r="H7379" s="35">
        <f t="shared" si="116"/>
        <v>40000</v>
      </c>
      <c r="I7379" s="35"/>
      <c r="K7379" t="s">
        <v>15</v>
      </c>
    </row>
    <row r="7380" spans="2:11" ht="12.75" x14ac:dyDescent="0.2">
      <c r="B7380" s="33" t="s">
        <v>8426</v>
      </c>
      <c r="C7380" s="33" t="s">
        <v>30</v>
      </c>
      <c r="D7380" s="35">
        <f>SUMIFS(D7381:D9015,K7381:K9015,"0",B7381:B9015,"5 1 3 1 7 12 31111 6*")-SUMIFS(E7381:E9015,K7381:K9015,"0",B7381:B9015,"5 1 3 1 7 12 31111 6*")</f>
        <v>0</v>
      </c>
      <c r="E7380"/>
      <c r="F7380" s="35">
        <f>SUMIFS(F7381:F9015,K7381:K9015,"0",B7381:B9015,"5 1 3 1 7 12 31111 6*")</f>
        <v>40000</v>
      </c>
      <c r="G7380" s="35">
        <f>SUMIFS(G7381:G9015,K7381:K9015,"0",B7381:B9015,"5 1 3 1 7 12 31111 6*")</f>
        <v>0</v>
      </c>
      <c r="H7380" s="35">
        <f t="shared" si="116"/>
        <v>40000</v>
      </c>
      <c r="I7380" s="35"/>
      <c r="K7380" t="s">
        <v>15</v>
      </c>
    </row>
    <row r="7381" spans="2:11" ht="16.5" x14ac:dyDescent="0.2">
      <c r="B7381" s="33" t="s">
        <v>8427</v>
      </c>
      <c r="C7381" s="33" t="s">
        <v>2284</v>
      </c>
      <c r="D7381" s="35">
        <f>SUMIFS(D7382:D9015,K7382:K9015,"0",B7382:B9015,"5 1 3 1 7 12 31111 6 M59*")-SUMIFS(E7382:E9015,K7382:K9015,"0",B7382:B9015,"5 1 3 1 7 12 31111 6 M59*")</f>
        <v>0</v>
      </c>
      <c r="E7381"/>
      <c r="F7381" s="35">
        <f>SUMIFS(F7382:F9015,K7382:K9015,"0",B7382:B9015,"5 1 3 1 7 12 31111 6 M59*")</f>
        <v>40000</v>
      </c>
      <c r="G7381" s="35">
        <f>SUMIFS(G7382:G9015,K7382:K9015,"0",B7382:B9015,"5 1 3 1 7 12 31111 6 M59*")</f>
        <v>0</v>
      </c>
      <c r="H7381" s="35">
        <f t="shared" si="116"/>
        <v>40000</v>
      </c>
      <c r="I7381" s="35"/>
      <c r="K7381" t="s">
        <v>15</v>
      </c>
    </row>
    <row r="7382" spans="2:11" ht="16.5" x14ac:dyDescent="0.2">
      <c r="B7382" s="33" t="s">
        <v>8428</v>
      </c>
      <c r="C7382" s="33" t="s">
        <v>1079</v>
      </c>
      <c r="D7382" s="35">
        <f>SUMIFS(D7383:D9015,K7383:K9015,"0",B7383:B9015,"5 1 3 1 7 12 31111 6 M59 20500*")-SUMIFS(E7383:E9015,K7383:K9015,"0",B7383:B9015,"5 1 3 1 7 12 31111 6 M59 20500*")</f>
        <v>0</v>
      </c>
      <c r="E7382"/>
      <c r="F7382" s="35">
        <f>SUMIFS(F7383:F9015,K7383:K9015,"0",B7383:B9015,"5 1 3 1 7 12 31111 6 M59 20500*")</f>
        <v>40000</v>
      </c>
      <c r="G7382" s="35">
        <f>SUMIFS(G7383:G9015,K7383:K9015,"0",B7383:B9015,"5 1 3 1 7 12 31111 6 M59 20500*")</f>
        <v>0</v>
      </c>
      <c r="H7382" s="35">
        <f t="shared" si="116"/>
        <v>40000</v>
      </c>
      <c r="I7382" s="35"/>
      <c r="K7382" t="s">
        <v>15</v>
      </c>
    </row>
    <row r="7383" spans="2:11" ht="24.75" x14ac:dyDescent="0.2">
      <c r="B7383" s="33" t="s">
        <v>8429</v>
      </c>
      <c r="C7383" s="33" t="s">
        <v>3152</v>
      </c>
      <c r="D7383" s="35">
        <f>SUMIFS(D7384:D9015,K7384:K9015,"0",B7384:B9015,"5 1 3 1 7 12 31111 6 M59 20500 000181*")-SUMIFS(E7384:E9015,K7384:K9015,"0",B7384:B9015,"5 1 3 1 7 12 31111 6 M59 20500 000181*")</f>
        <v>0</v>
      </c>
      <c r="E7383"/>
      <c r="F7383" s="35">
        <f>SUMIFS(F7384:F9015,K7384:K9015,"0",B7384:B9015,"5 1 3 1 7 12 31111 6 M59 20500 000181*")</f>
        <v>40000</v>
      </c>
      <c r="G7383" s="35">
        <f>SUMIFS(G7384:G9015,K7384:K9015,"0",B7384:B9015,"5 1 3 1 7 12 31111 6 M59 20500 000181*")</f>
        <v>0</v>
      </c>
      <c r="H7383" s="35">
        <f t="shared" si="116"/>
        <v>40000</v>
      </c>
      <c r="I7383" s="35"/>
      <c r="K7383" t="s">
        <v>15</v>
      </c>
    </row>
    <row r="7384" spans="2:11" ht="16.5" x14ac:dyDescent="0.2">
      <c r="B7384" s="33" t="s">
        <v>8430</v>
      </c>
      <c r="C7384" s="33" t="s">
        <v>1065</v>
      </c>
      <c r="D7384" s="35">
        <f>SUMIFS(D7385:D9015,K7385:K9015,"0",B7385:B9015,"5 1 3 1 7 12 31111 6 M59 20500 000181 0000E*")-SUMIFS(E7385:E9015,K7385:K9015,"0",B7385:B9015,"5 1 3 1 7 12 31111 6 M59 20500 000181 0000E*")</f>
        <v>0</v>
      </c>
      <c r="E7384"/>
      <c r="F7384" s="35">
        <f>SUMIFS(F7385:F9015,K7385:K9015,"0",B7385:B9015,"5 1 3 1 7 12 31111 6 M59 20500 000181 0000E*")</f>
        <v>40000</v>
      </c>
      <c r="G7384" s="35">
        <f>SUMIFS(G7385:G9015,K7385:K9015,"0",B7385:B9015,"5 1 3 1 7 12 31111 6 M59 20500 000181 0000E*")</f>
        <v>0</v>
      </c>
      <c r="H7384" s="35">
        <f t="shared" si="116"/>
        <v>40000</v>
      </c>
      <c r="I7384" s="35"/>
      <c r="K7384" t="s">
        <v>15</v>
      </c>
    </row>
    <row r="7385" spans="2:11" ht="24.75" x14ac:dyDescent="0.2">
      <c r="B7385" s="33" t="s">
        <v>8431</v>
      </c>
      <c r="C7385" s="33" t="s">
        <v>282</v>
      </c>
      <c r="D7385" s="35">
        <f>SUMIFS(D7386:D9015,K7386:K9015,"0",B7386:B9015,"5 1 3 1 7 12 31111 6 M59 20500 000181 0000E 00001*")-SUMIFS(E7386:E9015,K7386:K9015,"0",B7386:B9015,"5 1 3 1 7 12 31111 6 M59 20500 000181 0000E 00001*")</f>
        <v>0</v>
      </c>
      <c r="E7385"/>
      <c r="F7385" s="35">
        <f>SUMIFS(F7386:F9015,K7386:K9015,"0",B7386:B9015,"5 1 3 1 7 12 31111 6 M59 20500 000181 0000E 00001*")</f>
        <v>40000</v>
      </c>
      <c r="G7385" s="35">
        <f>SUMIFS(G7386:G9015,K7386:K9015,"0",B7386:B9015,"5 1 3 1 7 12 31111 6 M59 20500 000181 0000E 00001*")</f>
        <v>0</v>
      </c>
      <c r="H7385" s="35">
        <f t="shared" si="116"/>
        <v>40000</v>
      </c>
      <c r="I7385" s="35"/>
      <c r="K7385" t="s">
        <v>15</v>
      </c>
    </row>
    <row r="7386" spans="2:11" ht="33" x14ac:dyDescent="0.2">
      <c r="B7386" s="33" t="s">
        <v>8432</v>
      </c>
      <c r="C7386" s="33" t="s">
        <v>8433</v>
      </c>
      <c r="D7386" s="35">
        <f>SUMIFS(D7387:D9015,K7387:K9015,"0",B7387:B9015,"5 1 3 1 7 12 31111 6 M59 20500 000181 0000E 00001 00317*")-SUMIFS(E7387:E9015,K7387:K9015,"0",B7387:B9015,"5 1 3 1 7 12 31111 6 M59 20500 000181 0000E 00001 00317*")</f>
        <v>0</v>
      </c>
      <c r="E7386"/>
      <c r="F7386" s="35">
        <f>SUMIFS(F7387:F9015,K7387:K9015,"0",B7387:B9015,"5 1 3 1 7 12 31111 6 M59 20500 000181 0000E 00001 00317*")</f>
        <v>40000</v>
      </c>
      <c r="G7386" s="35">
        <f>SUMIFS(G7387:G9015,K7387:K9015,"0",B7387:B9015,"5 1 3 1 7 12 31111 6 M59 20500 000181 0000E 00001 00317*")</f>
        <v>0</v>
      </c>
      <c r="H7386" s="35">
        <f t="shared" si="116"/>
        <v>40000</v>
      </c>
      <c r="I7386" s="35"/>
      <c r="K7386" t="s">
        <v>15</v>
      </c>
    </row>
    <row r="7387" spans="2:11" ht="24.75" x14ac:dyDescent="0.2">
      <c r="B7387" s="33" t="s">
        <v>8434</v>
      </c>
      <c r="C7387" s="33" t="s">
        <v>699</v>
      </c>
      <c r="D7387" s="35">
        <f>SUMIFS(D7388:D9015,K7388:K9015,"0",B7388:B9015,"5 1 3 1 7 12 31111 6 M59 20500 000181 0000E 00001 00317 011*")-SUMIFS(E7388:E9015,K7388:K9015,"0",B7388:B9015,"5 1 3 1 7 12 31111 6 M59 20500 000181 0000E 00001 00317 011*")</f>
        <v>0</v>
      </c>
      <c r="E7387"/>
      <c r="F7387" s="35">
        <f>SUMIFS(F7388:F9015,K7388:K9015,"0",B7388:B9015,"5 1 3 1 7 12 31111 6 M59 20500 000181 0000E 00001 00317 011*")</f>
        <v>40000</v>
      </c>
      <c r="G7387" s="35">
        <f>SUMIFS(G7388:G9015,K7388:K9015,"0",B7388:B9015,"5 1 3 1 7 12 31111 6 M59 20500 000181 0000E 00001 00317 011*")</f>
        <v>0</v>
      </c>
      <c r="H7387" s="35">
        <f t="shared" si="116"/>
        <v>40000</v>
      </c>
      <c r="I7387" s="35"/>
      <c r="K7387" t="s">
        <v>15</v>
      </c>
    </row>
    <row r="7388" spans="2:11" ht="33" x14ac:dyDescent="0.2">
      <c r="B7388" s="33" t="s">
        <v>8435</v>
      </c>
      <c r="C7388" s="33" t="s">
        <v>5830</v>
      </c>
      <c r="D7388" s="35">
        <f>SUMIFS(D7389:D9015,K7389:K9015,"0",B7389:B9015,"5 1 3 1 7 12 31111 6 M59 20500 000181 0000E 00001 00317 011 2112000*")-SUMIFS(E7389:E9015,K7389:K9015,"0",B7389:B9015,"5 1 3 1 7 12 31111 6 M59 20500 000181 0000E 00001 00317 011 2112000*")</f>
        <v>0</v>
      </c>
      <c r="E7388"/>
      <c r="F7388" s="35">
        <f>SUMIFS(F7389:F9015,K7389:K9015,"0",B7389:B9015,"5 1 3 1 7 12 31111 6 M59 20500 000181 0000E 00001 00317 011 2112000*")</f>
        <v>40000</v>
      </c>
      <c r="G7388" s="35">
        <f>SUMIFS(G7389:G9015,K7389:K9015,"0",B7389:B9015,"5 1 3 1 7 12 31111 6 M59 20500 000181 0000E 00001 00317 011 2112000*")</f>
        <v>0</v>
      </c>
      <c r="H7388" s="35">
        <f t="shared" si="116"/>
        <v>40000</v>
      </c>
      <c r="I7388" s="35"/>
      <c r="K7388" t="s">
        <v>15</v>
      </c>
    </row>
    <row r="7389" spans="2:11" ht="33" x14ac:dyDescent="0.2">
      <c r="B7389" s="33" t="s">
        <v>8436</v>
      </c>
      <c r="C7389" s="33" t="s">
        <v>660</v>
      </c>
      <c r="D7389" s="35">
        <f>SUMIFS(D7390:D9015,K7390:K9015,"0",B7390:B9015,"5 1 3 1 7 12 31111 6 M59 20500 000181 0000E 00001 00317 011 2112000 2024*")-SUMIFS(E7390:E9015,K7390:K9015,"0",B7390:B9015,"5 1 3 1 7 12 31111 6 M59 20500 000181 0000E 00001 00317 011 2112000 2024*")</f>
        <v>0</v>
      </c>
      <c r="E7389"/>
      <c r="F7389" s="35">
        <f>SUMIFS(F7390:F9015,K7390:K9015,"0",B7390:B9015,"5 1 3 1 7 12 31111 6 M59 20500 000181 0000E 00001 00317 011 2112000 2024*")</f>
        <v>40000</v>
      </c>
      <c r="G7389" s="35">
        <f>SUMIFS(G7390:G9015,K7390:K9015,"0",B7390:B9015,"5 1 3 1 7 12 31111 6 M59 20500 000181 0000E 00001 00317 011 2112000 2024*")</f>
        <v>0</v>
      </c>
      <c r="H7389" s="35">
        <f t="shared" si="116"/>
        <v>40000</v>
      </c>
      <c r="I7389" s="35"/>
      <c r="K7389" t="s">
        <v>15</v>
      </c>
    </row>
    <row r="7390" spans="2:11" ht="49.5" x14ac:dyDescent="0.2">
      <c r="B7390" s="33" t="s">
        <v>8437</v>
      </c>
      <c r="C7390" s="33" t="s">
        <v>5982</v>
      </c>
      <c r="D7390" s="35">
        <f>SUMIFS(D7391:D9015,K7391:K9015,"0",B7391:B9015,"5 1 3 1 7 12 31111 6 M59 20500 000181 0000E 00001 00317 011 2112000 2024 CP3CP471*")-SUMIFS(E7391:E9015,K7391:K9015,"0",B7391:B9015,"5 1 3 1 7 12 31111 6 M59 20500 000181 0000E 00001 00317 011 2112000 2024 CP3CP471*")</f>
        <v>0</v>
      </c>
      <c r="E7390"/>
      <c r="F7390" s="35">
        <f>SUMIFS(F7391:F9015,K7391:K9015,"0",B7391:B9015,"5 1 3 1 7 12 31111 6 M59 20500 000181 0000E 00001 00317 011 2112000 2024 CP3CP471*")</f>
        <v>40000</v>
      </c>
      <c r="G7390" s="35">
        <f>SUMIFS(G7391:G9015,K7391:K9015,"0",B7391:B9015,"5 1 3 1 7 12 31111 6 M59 20500 000181 0000E 00001 00317 011 2112000 2024 CP3CP471*")</f>
        <v>0</v>
      </c>
      <c r="H7390" s="35">
        <f t="shared" si="116"/>
        <v>40000</v>
      </c>
      <c r="I7390" s="35"/>
      <c r="K7390" t="s">
        <v>15</v>
      </c>
    </row>
    <row r="7391" spans="2:11" ht="41.25" x14ac:dyDescent="0.2">
      <c r="B7391" s="33" t="s">
        <v>8438</v>
      </c>
      <c r="C7391" s="33" t="s">
        <v>46</v>
      </c>
      <c r="D7391" s="35">
        <f>SUMIFS(D7392:D9015,K7392:K9015,"0",B7392:B9015,"5 1 3 1 7 12 31111 6 M59 20500 000181 0000E 00001 00317 011 2112000 2024 CP3CP471 004*")-SUMIFS(E7392:E9015,K7392:K9015,"0",B7392:B9015,"5 1 3 1 7 12 31111 6 M59 20500 000181 0000E 00001 00317 011 2112000 2024 CP3CP471 004*")</f>
        <v>0</v>
      </c>
      <c r="E7391"/>
      <c r="F7391" s="35">
        <f>SUMIFS(F7392:F9015,K7392:K9015,"0",B7392:B9015,"5 1 3 1 7 12 31111 6 M59 20500 000181 0000E 00001 00317 011 2112000 2024 CP3CP471 004*")</f>
        <v>40000</v>
      </c>
      <c r="G7391" s="35">
        <f>SUMIFS(G7392:G9015,K7392:K9015,"0",B7392:B9015,"5 1 3 1 7 12 31111 6 M59 20500 000181 0000E 00001 00317 011 2112000 2024 CP3CP471 004*")</f>
        <v>0</v>
      </c>
      <c r="H7391" s="35">
        <f t="shared" si="116"/>
        <v>40000</v>
      </c>
      <c r="I7391" s="35"/>
      <c r="K7391" t="s">
        <v>15</v>
      </c>
    </row>
    <row r="7392" spans="2:11" ht="33" x14ac:dyDescent="0.2">
      <c r="B7392" s="31" t="s">
        <v>8439</v>
      </c>
      <c r="C7392" s="31" t="s">
        <v>8423</v>
      </c>
      <c r="D7392" s="34">
        <v>0</v>
      </c>
      <c r="E7392" s="34"/>
      <c r="F7392" s="34">
        <v>40000</v>
      </c>
      <c r="G7392" s="34">
        <v>0</v>
      </c>
      <c r="H7392" s="34">
        <f t="shared" si="116"/>
        <v>40000</v>
      </c>
      <c r="I7392" s="34"/>
      <c r="K7392" t="s">
        <v>38</v>
      </c>
    </row>
    <row r="7393" spans="2:11" ht="16.5" x14ac:dyDescent="0.2">
      <c r="B7393" s="33" t="s">
        <v>8440</v>
      </c>
      <c r="C7393" s="33" t="s">
        <v>8441</v>
      </c>
      <c r="D7393" s="35">
        <f>SUMIFS(D7394:D9015,K7394:K9015,"0",B7394:B9015,"5 1 3 2*")-SUMIFS(E7394:E9015,K7394:K9015,"0",B7394:B9015,"5 1 3 2*")</f>
        <v>0</v>
      </c>
      <c r="E7393"/>
      <c r="F7393" s="35">
        <f>SUMIFS(F7394:F9015,K7394:K9015,"0",B7394:B9015,"5 1 3 2*")</f>
        <v>6182609.5999999996</v>
      </c>
      <c r="G7393" s="35">
        <f>SUMIFS(G7394:G9015,K7394:K9015,"0",B7394:B9015,"5 1 3 2*")</f>
        <v>0</v>
      </c>
      <c r="H7393" s="35">
        <f t="shared" si="116"/>
        <v>6182609.5999999996</v>
      </c>
      <c r="I7393" s="35"/>
      <c r="K7393" t="s">
        <v>15</v>
      </c>
    </row>
    <row r="7394" spans="2:11" ht="16.5" x14ac:dyDescent="0.2">
      <c r="B7394" s="33" t="s">
        <v>8442</v>
      </c>
      <c r="C7394" s="33" t="s">
        <v>8443</v>
      </c>
      <c r="D7394" s="35">
        <f>SUMIFS(D7395:D9015,K7395:K9015,"0",B7395:B9015,"5 1 3 2 2*")-SUMIFS(E7395:E9015,K7395:K9015,"0",B7395:B9015,"5 1 3 2 2*")</f>
        <v>0</v>
      </c>
      <c r="E7394"/>
      <c r="F7394" s="35">
        <f>SUMIFS(F7395:F9015,K7395:K9015,"0",B7395:B9015,"5 1 3 2 2*")</f>
        <v>114624.45</v>
      </c>
      <c r="G7394" s="35">
        <f>SUMIFS(G7395:G9015,K7395:K9015,"0",B7395:B9015,"5 1 3 2 2*")</f>
        <v>0</v>
      </c>
      <c r="H7394" s="35">
        <f t="shared" si="116"/>
        <v>114624.45</v>
      </c>
      <c r="I7394" s="35"/>
      <c r="K7394" t="s">
        <v>15</v>
      </c>
    </row>
    <row r="7395" spans="2:11" ht="12.75" x14ac:dyDescent="0.2">
      <c r="B7395" s="33" t="s">
        <v>8444</v>
      </c>
      <c r="C7395" s="33" t="s">
        <v>26</v>
      </c>
      <c r="D7395" s="35">
        <f>SUMIFS(D7396:D9015,K7396:K9015,"0",B7396:B9015,"5 1 3 2 2 12*")-SUMIFS(E7396:E9015,K7396:K9015,"0",B7396:B9015,"5 1 3 2 2 12*")</f>
        <v>0</v>
      </c>
      <c r="E7395"/>
      <c r="F7395" s="35">
        <f>SUMIFS(F7396:F9015,K7396:K9015,"0",B7396:B9015,"5 1 3 2 2 12*")</f>
        <v>114624.45</v>
      </c>
      <c r="G7395" s="35">
        <f>SUMIFS(G7396:G9015,K7396:K9015,"0",B7396:B9015,"5 1 3 2 2 12*")</f>
        <v>0</v>
      </c>
      <c r="H7395" s="35">
        <f t="shared" si="116"/>
        <v>114624.45</v>
      </c>
      <c r="I7395" s="35"/>
      <c r="K7395" t="s">
        <v>15</v>
      </c>
    </row>
    <row r="7396" spans="2:11" ht="16.5" x14ac:dyDescent="0.2">
      <c r="B7396" s="33" t="s">
        <v>8445</v>
      </c>
      <c r="C7396" s="33" t="s">
        <v>28</v>
      </c>
      <c r="D7396" s="35">
        <f>SUMIFS(D7397:D9015,K7397:K9015,"0",B7397:B9015,"5 1 3 2 2 12 31111*")-SUMIFS(E7397:E9015,K7397:K9015,"0",B7397:B9015,"5 1 3 2 2 12 31111*")</f>
        <v>0</v>
      </c>
      <c r="E7396"/>
      <c r="F7396" s="35">
        <f>SUMIFS(F7397:F9015,K7397:K9015,"0",B7397:B9015,"5 1 3 2 2 12 31111*")</f>
        <v>114624.45</v>
      </c>
      <c r="G7396" s="35">
        <f>SUMIFS(G7397:G9015,K7397:K9015,"0",B7397:B9015,"5 1 3 2 2 12 31111*")</f>
        <v>0</v>
      </c>
      <c r="H7396" s="35">
        <f t="shared" si="116"/>
        <v>114624.45</v>
      </c>
      <c r="I7396" s="35"/>
      <c r="K7396" t="s">
        <v>15</v>
      </c>
    </row>
    <row r="7397" spans="2:11" ht="12.75" x14ac:dyDescent="0.2">
      <c r="B7397" s="33" t="s">
        <v>8446</v>
      </c>
      <c r="C7397" s="33" t="s">
        <v>30</v>
      </c>
      <c r="D7397" s="35">
        <f>SUMIFS(D7398:D9015,K7398:K9015,"0",B7398:B9015,"5 1 3 2 2 12 31111 6*")-SUMIFS(E7398:E9015,K7398:K9015,"0",B7398:B9015,"5 1 3 2 2 12 31111 6*")</f>
        <v>0</v>
      </c>
      <c r="E7397"/>
      <c r="F7397" s="35">
        <f>SUMIFS(F7398:F9015,K7398:K9015,"0",B7398:B9015,"5 1 3 2 2 12 31111 6*")</f>
        <v>114624.45</v>
      </c>
      <c r="G7397" s="35">
        <f>SUMIFS(G7398:G9015,K7398:K9015,"0",B7398:B9015,"5 1 3 2 2 12 31111 6*")</f>
        <v>0</v>
      </c>
      <c r="H7397" s="35">
        <f t="shared" si="116"/>
        <v>114624.45</v>
      </c>
      <c r="I7397" s="35"/>
      <c r="K7397" t="s">
        <v>15</v>
      </c>
    </row>
    <row r="7398" spans="2:11" ht="16.5" x14ac:dyDescent="0.2">
      <c r="B7398" s="33" t="s">
        <v>8447</v>
      </c>
      <c r="C7398" s="33" t="s">
        <v>2284</v>
      </c>
      <c r="D7398" s="35">
        <f>SUMIFS(D7399:D9015,K7399:K9015,"0",B7399:B9015,"5 1 3 2 2 12 31111 6 M59*")-SUMIFS(E7399:E9015,K7399:K9015,"0",B7399:B9015,"5 1 3 2 2 12 31111 6 M59*")</f>
        <v>0</v>
      </c>
      <c r="E7398"/>
      <c r="F7398" s="35">
        <f>SUMIFS(F7399:F9015,K7399:K9015,"0",B7399:B9015,"5 1 3 2 2 12 31111 6 M59*")</f>
        <v>114624.45</v>
      </c>
      <c r="G7398" s="35">
        <f>SUMIFS(G7399:G9015,K7399:K9015,"0",B7399:B9015,"5 1 3 2 2 12 31111 6 M59*")</f>
        <v>0</v>
      </c>
      <c r="H7398" s="35">
        <f t="shared" si="116"/>
        <v>114624.45</v>
      </c>
      <c r="I7398" s="35"/>
      <c r="K7398" t="s">
        <v>15</v>
      </c>
    </row>
    <row r="7399" spans="2:11" ht="16.5" x14ac:dyDescent="0.2">
      <c r="B7399" s="33" t="s">
        <v>8448</v>
      </c>
      <c r="C7399" s="33" t="s">
        <v>1044</v>
      </c>
      <c r="D7399" s="35">
        <f>SUMIFS(D7400:D9015,K7400:K9015,"0",B7400:B9015,"5 1 3 2 2 12 31111 6 M59 19000*")-SUMIFS(E7400:E9015,K7400:K9015,"0",B7400:B9015,"5 1 3 2 2 12 31111 6 M59 19000*")</f>
        <v>0</v>
      </c>
      <c r="E7399"/>
      <c r="F7399" s="35">
        <f>SUMIFS(F7400:F9015,K7400:K9015,"0",B7400:B9015,"5 1 3 2 2 12 31111 6 M59 19000*")</f>
        <v>11048.96</v>
      </c>
      <c r="G7399" s="35">
        <f>SUMIFS(G7400:G9015,K7400:K9015,"0",B7400:B9015,"5 1 3 2 2 12 31111 6 M59 19000*")</f>
        <v>0</v>
      </c>
      <c r="H7399" s="35">
        <f t="shared" si="116"/>
        <v>11048.96</v>
      </c>
      <c r="I7399" s="35"/>
      <c r="K7399" t="s">
        <v>15</v>
      </c>
    </row>
    <row r="7400" spans="2:11" ht="16.5" x14ac:dyDescent="0.2">
      <c r="B7400" s="33" t="s">
        <v>8449</v>
      </c>
      <c r="C7400" s="33" t="s">
        <v>648</v>
      </c>
      <c r="D7400" s="35">
        <f>SUMIFS(D7401:D9015,K7401:K9015,"0",B7401:B9015,"5 1 3 2 2 12 31111 6 M59 19000 000132*")-SUMIFS(E7401:E9015,K7401:K9015,"0",B7401:B9015,"5 1 3 2 2 12 31111 6 M59 19000 000132*")</f>
        <v>0</v>
      </c>
      <c r="E7400"/>
      <c r="F7400" s="35">
        <f>SUMIFS(F7401:F9015,K7401:K9015,"0",B7401:B9015,"5 1 3 2 2 12 31111 6 M59 19000 000132*")</f>
        <v>11048.96</v>
      </c>
      <c r="G7400" s="35">
        <f>SUMIFS(G7401:G9015,K7401:K9015,"0",B7401:B9015,"5 1 3 2 2 12 31111 6 M59 19000 000132*")</f>
        <v>0</v>
      </c>
      <c r="H7400" s="35">
        <f t="shared" si="116"/>
        <v>11048.96</v>
      </c>
      <c r="I7400" s="35"/>
      <c r="K7400" t="s">
        <v>15</v>
      </c>
    </row>
    <row r="7401" spans="2:11" ht="24.75" x14ac:dyDescent="0.2">
      <c r="B7401" s="33" t="s">
        <v>8450</v>
      </c>
      <c r="C7401" s="33" t="s">
        <v>650</v>
      </c>
      <c r="D7401" s="35">
        <f>SUMIFS(D7402:D9015,K7402:K9015,"0",B7402:B9015,"5 1 3 2 2 12 31111 6 M59 19000 000132 0000R*")-SUMIFS(E7402:E9015,K7402:K9015,"0",B7402:B9015,"5 1 3 2 2 12 31111 6 M59 19000 000132 0000R*")</f>
        <v>0</v>
      </c>
      <c r="E7401"/>
      <c r="F7401" s="35">
        <f>SUMIFS(F7402:F9015,K7402:K9015,"0",B7402:B9015,"5 1 3 2 2 12 31111 6 M59 19000 000132 0000R*")</f>
        <v>11048.96</v>
      </c>
      <c r="G7401" s="35">
        <f>SUMIFS(G7402:G9015,K7402:K9015,"0",B7402:B9015,"5 1 3 2 2 12 31111 6 M59 19000 000132 0000R*")</f>
        <v>0</v>
      </c>
      <c r="H7401" s="35">
        <f t="shared" si="116"/>
        <v>11048.96</v>
      </c>
      <c r="I7401" s="35"/>
      <c r="K7401" t="s">
        <v>15</v>
      </c>
    </row>
    <row r="7402" spans="2:11" ht="24.75" x14ac:dyDescent="0.2">
      <c r="B7402" s="33" t="s">
        <v>8451</v>
      </c>
      <c r="C7402" s="33" t="s">
        <v>282</v>
      </c>
      <c r="D7402" s="35">
        <f>SUMIFS(D7403:D9015,K7403:K9015,"0",B7403:B9015,"5 1 3 2 2 12 31111 6 M59 19000 000132 0000R 00001*")-SUMIFS(E7403:E9015,K7403:K9015,"0",B7403:B9015,"5 1 3 2 2 12 31111 6 M59 19000 000132 0000R 00001*")</f>
        <v>0</v>
      </c>
      <c r="E7402"/>
      <c r="F7402" s="35">
        <f>SUMIFS(F7403:F9015,K7403:K9015,"0",B7403:B9015,"5 1 3 2 2 12 31111 6 M59 19000 000132 0000R 00001*")</f>
        <v>11048.96</v>
      </c>
      <c r="G7402" s="35">
        <f>SUMIFS(G7403:G9015,K7403:K9015,"0",B7403:B9015,"5 1 3 2 2 12 31111 6 M59 19000 000132 0000R 00001*")</f>
        <v>0</v>
      </c>
      <c r="H7402" s="35">
        <f t="shared" si="116"/>
        <v>11048.96</v>
      </c>
      <c r="I7402" s="35"/>
      <c r="K7402" t="s">
        <v>15</v>
      </c>
    </row>
    <row r="7403" spans="2:11" ht="24.75" x14ac:dyDescent="0.2">
      <c r="B7403" s="33" t="s">
        <v>8452</v>
      </c>
      <c r="C7403" s="33" t="s">
        <v>8453</v>
      </c>
      <c r="D7403" s="35">
        <f>SUMIFS(D7404:D9015,K7404:K9015,"0",B7404:B9015,"5 1 3 2 2 12 31111 6 M59 19000 000132 0000R 00001 00322*")-SUMIFS(E7404:E9015,K7404:K9015,"0",B7404:B9015,"5 1 3 2 2 12 31111 6 M59 19000 000132 0000R 00001 00322*")</f>
        <v>0</v>
      </c>
      <c r="E7403"/>
      <c r="F7403" s="35">
        <f>SUMIFS(F7404:F9015,K7404:K9015,"0",B7404:B9015,"5 1 3 2 2 12 31111 6 M59 19000 000132 0000R 00001 00322*")</f>
        <v>11048.96</v>
      </c>
      <c r="G7403" s="35">
        <f>SUMIFS(G7404:G9015,K7404:K9015,"0",B7404:B9015,"5 1 3 2 2 12 31111 6 M59 19000 000132 0000R 00001 00322*")</f>
        <v>0</v>
      </c>
      <c r="H7403" s="35">
        <f t="shared" si="116"/>
        <v>11048.96</v>
      </c>
      <c r="I7403" s="35"/>
      <c r="K7403" t="s">
        <v>15</v>
      </c>
    </row>
    <row r="7404" spans="2:11" ht="33" x14ac:dyDescent="0.2">
      <c r="B7404" s="33" t="s">
        <v>8454</v>
      </c>
      <c r="C7404" s="33" t="s">
        <v>699</v>
      </c>
      <c r="D7404" s="35">
        <f>SUMIFS(D7405:D9015,K7405:K9015,"0",B7405:B9015,"5 1 3 2 2 12 31111 6 M59 19000 000132 0000R 00001 00322 011*")-SUMIFS(E7405:E9015,K7405:K9015,"0",B7405:B9015,"5 1 3 2 2 12 31111 6 M59 19000 000132 0000R 00001 00322 011*")</f>
        <v>0</v>
      </c>
      <c r="E7404"/>
      <c r="F7404" s="35">
        <f>SUMIFS(F7405:F9015,K7405:K9015,"0",B7405:B9015,"5 1 3 2 2 12 31111 6 M59 19000 000132 0000R 00001 00322 011*")</f>
        <v>11048.96</v>
      </c>
      <c r="G7404" s="35">
        <f>SUMIFS(G7405:G9015,K7405:K9015,"0",B7405:B9015,"5 1 3 2 2 12 31111 6 M59 19000 000132 0000R 00001 00322 011*")</f>
        <v>0</v>
      </c>
      <c r="H7404" s="35">
        <f t="shared" si="116"/>
        <v>11048.96</v>
      </c>
      <c r="I7404" s="35"/>
      <c r="K7404" t="s">
        <v>15</v>
      </c>
    </row>
    <row r="7405" spans="2:11" ht="33" x14ac:dyDescent="0.2">
      <c r="B7405" s="33" t="s">
        <v>8455</v>
      </c>
      <c r="C7405" s="33" t="s">
        <v>5830</v>
      </c>
      <c r="D7405" s="35">
        <f>SUMIFS(D7406:D9015,K7406:K9015,"0",B7406:B9015,"5 1 3 2 2 12 31111 6 M59 19000 000132 0000R 00001 00322 011 2112000*")-SUMIFS(E7406:E9015,K7406:K9015,"0",B7406:B9015,"5 1 3 2 2 12 31111 6 M59 19000 000132 0000R 00001 00322 011 2112000*")</f>
        <v>0</v>
      </c>
      <c r="E7405"/>
      <c r="F7405" s="35">
        <f>SUMIFS(F7406:F9015,K7406:K9015,"0",B7406:B9015,"5 1 3 2 2 12 31111 6 M59 19000 000132 0000R 00001 00322 011 2112000*")</f>
        <v>11048.96</v>
      </c>
      <c r="G7405" s="35">
        <f>SUMIFS(G7406:G9015,K7406:K9015,"0",B7406:B9015,"5 1 3 2 2 12 31111 6 M59 19000 000132 0000R 00001 00322 011 2112000*")</f>
        <v>0</v>
      </c>
      <c r="H7405" s="35">
        <f t="shared" si="116"/>
        <v>11048.96</v>
      </c>
      <c r="I7405" s="35"/>
      <c r="K7405" t="s">
        <v>15</v>
      </c>
    </row>
    <row r="7406" spans="2:11" ht="33" x14ac:dyDescent="0.2">
      <c r="B7406" s="33" t="s">
        <v>8456</v>
      </c>
      <c r="C7406" s="33" t="s">
        <v>660</v>
      </c>
      <c r="D7406" s="35">
        <f>SUMIFS(D7407:D9015,K7407:K9015,"0",B7407:B9015,"5 1 3 2 2 12 31111 6 M59 19000 000132 0000R 00001 00322 011 2112000 2024*")-SUMIFS(E7407:E9015,K7407:K9015,"0",B7407:B9015,"5 1 3 2 2 12 31111 6 M59 19000 000132 0000R 00001 00322 011 2112000 2024*")</f>
        <v>0</v>
      </c>
      <c r="E7406"/>
      <c r="F7406" s="35">
        <f>SUMIFS(F7407:F9015,K7407:K9015,"0",B7407:B9015,"5 1 3 2 2 12 31111 6 M59 19000 000132 0000R 00001 00322 011 2112000 2024*")</f>
        <v>11048.96</v>
      </c>
      <c r="G7406" s="35">
        <f>SUMIFS(G7407:G9015,K7407:K9015,"0",B7407:B9015,"5 1 3 2 2 12 31111 6 M59 19000 000132 0000R 00001 00322 011 2112000 2024*")</f>
        <v>0</v>
      </c>
      <c r="H7406" s="35">
        <f t="shared" si="116"/>
        <v>11048.96</v>
      </c>
      <c r="I7406" s="35"/>
      <c r="K7406" t="s">
        <v>15</v>
      </c>
    </row>
    <row r="7407" spans="2:11" ht="41.25" x14ac:dyDescent="0.2">
      <c r="B7407" s="33" t="s">
        <v>8457</v>
      </c>
      <c r="C7407" s="33" t="s">
        <v>662</v>
      </c>
      <c r="D7407" s="35">
        <f>SUMIFS(D7408:D9015,K7408:K9015,"0",B7408:B9015,"5 1 3 2 2 12 31111 6 M59 19000 000132 0000R 00001 00322 011 2112000 2024 CP1TM440*")-SUMIFS(E7408:E9015,K7408:K9015,"0",B7408:B9015,"5 1 3 2 2 12 31111 6 M59 19000 000132 0000R 00001 00322 011 2112000 2024 CP1TM440*")</f>
        <v>0</v>
      </c>
      <c r="E7407"/>
      <c r="F7407" s="35">
        <f>SUMIFS(F7408:F9015,K7408:K9015,"0",B7408:B9015,"5 1 3 2 2 12 31111 6 M59 19000 000132 0000R 00001 00322 011 2112000 2024 CP1TM440*")</f>
        <v>11048.96</v>
      </c>
      <c r="G7407" s="35">
        <f>SUMIFS(G7408:G9015,K7408:K9015,"0",B7408:B9015,"5 1 3 2 2 12 31111 6 M59 19000 000132 0000R 00001 00322 011 2112000 2024 CP1TM440*")</f>
        <v>0</v>
      </c>
      <c r="H7407" s="35">
        <f t="shared" si="116"/>
        <v>11048.96</v>
      </c>
      <c r="I7407" s="35"/>
      <c r="K7407" t="s">
        <v>15</v>
      </c>
    </row>
    <row r="7408" spans="2:11" ht="41.25" x14ac:dyDescent="0.2">
      <c r="B7408" s="33" t="s">
        <v>8458</v>
      </c>
      <c r="C7408" s="33" t="s">
        <v>46</v>
      </c>
      <c r="D7408" s="35">
        <f>SUMIFS(D7409:D9015,K7409:K9015,"0",B7409:B9015,"5 1 3 2 2 12 31111 6 M59 19000 000132 0000R 00001 00322 011 2112000 2024 CP1TM440 004*")-SUMIFS(E7409:E9015,K7409:K9015,"0",B7409:B9015,"5 1 3 2 2 12 31111 6 M59 19000 000132 0000R 00001 00322 011 2112000 2024 CP1TM440 004*")</f>
        <v>0</v>
      </c>
      <c r="E7408"/>
      <c r="F7408" s="35">
        <f>SUMIFS(F7409:F9015,K7409:K9015,"0",B7409:B9015,"5 1 3 2 2 12 31111 6 M59 19000 000132 0000R 00001 00322 011 2112000 2024 CP1TM440 004*")</f>
        <v>11048.96</v>
      </c>
      <c r="G7408" s="35">
        <f>SUMIFS(G7409:G9015,K7409:K9015,"0",B7409:B9015,"5 1 3 2 2 12 31111 6 M59 19000 000132 0000R 00001 00322 011 2112000 2024 CP1TM440 004*")</f>
        <v>0</v>
      </c>
      <c r="H7408" s="35">
        <f t="shared" si="116"/>
        <v>11048.96</v>
      </c>
      <c r="I7408" s="35"/>
      <c r="K7408" t="s">
        <v>15</v>
      </c>
    </row>
    <row r="7409" spans="2:11" ht="33" x14ac:dyDescent="0.2">
      <c r="B7409" s="31" t="s">
        <v>8459</v>
      </c>
      <c r="C7409" s="31" t="s">
        <v>8453</v>
      </c>
      <c r="D7409" s="34">
        <v>0</v>
      </c>
      <c r="E7409" s="34"/>
      <c r="F7409" s="34">
        <v>11048.96</v>
      </c>
      <c r="G7409" s="34">
        <v>0</v>
      </c>
      <c r="H7409" s="34">
        <f t="shared" si="116"/>
        <v>11048.96</v>
      </c>
      <c r="I7409" s="34"/>
      <c r="K7409" t="s">
        <v>38</v>
      </c>
    </row>
    <row r="7410" spans="2:11" ht="16.5" x14ac:dyDescent="0.2">
      <c r="B7410" s="33" t="s">
        <v>8460</v>
      </c>
      <c r="C7410" s="33" t="s">
        <v>1079</v>
      </c>
      <c r="D7410" s="35">
        <f>SUMIFS(D7411:D9015,K7411:K9015,"0",B7411:B9015,"5 1 3 2 2 12 31111 6 M59 20500*")-SUMIFS(E7411:E9015,K7411:K9015,"0",B7411:B9015,"5 1 3 2 2 12 31111 6 M59 20500*")</f>
        <v>0</v>
      </c>
      <c r="E7410"/>
      <c r="F7410" s="35">
        <f>SUMIFS(F7411:F9015,K7411:K9015,"0",B7411:B9015,"5 1 3 2 2 12 31111 6 M59 20500*")</f>
        <v>50758.879999999997</v>
      </c>
      <c r="G7410" s="35">
        <f>SUMIFS(G7411:G9015,K7411:K9015,"0",B7411:B9015,"5 1 3 2 2 12 31111 6 M59 20500*")</f>
        <v>0</v>
      </c>
      <c r="H7410" s="35">
        <f t="shared" si="116"/>
        <v>50758.879999999997</v>
      </c>
      <c r="I7410" s="35"/>
      <c r="K7410" t="s">
        <v>15</v>
      </c>
    </row>
    <row r="7411" spans="2:11" ht="24.75" x14ac:dyDescent="0.2">
      <c r="B7411" s="33" t="s">
        <v>8461</v>
      </c>
      <c r="C7411" s="33" t="s">
        <v>3152</v>
      </c>
      <c r="D7411" s="35">
        <f>SUMIFS(D7412:D9015,K7412:K9015,"0",B7412:B9015,"5 1 3 2 2 12 31111 6 M59 20500 000181*")-SUMIFS(E7412:E9015,K7412:K9015,"0",B7412:B9015,"5 1 3 2 2 12 31111 6 M59 20500 000181*")</f>
        <v>0</v>
      </c>
      <c r="E7411"/>
      <c r="F7411" s="35">
        <f>SUMIFS(F7412:F9015,K7412:K9015,"0",B7412:B9015,"5 1 3 2 2 12 31111 6 M59 20500 000181*")</f>
        <v>50758.879999999997</v>
      </c>
      <c r="G7411" s="35">
        <f>SUMIFS(G7412:G9015,K7412:K9015,"0",B7412:B9015,"5 1 3 2 2 12 31111 6 M59 20500 000181*")</f>
        <v>0</v>
      </c>
      <c r="H7411" s="35">
        <f t="shared" si="116"/>
        <v>50758.879999999997</v>
      </c>
      <c r="I7411" s="35"/>
      <c r="K7411" t="s">
        <v>15</v>
      </c>
    </row>
    <row r="7412" spans="2:11" ht="24.75" x14ac:dyDescent="0.2">
      <c r="B7412" s="33" t="s">
        <v>8462</v>
      </c>
      <c r="C7412" s="33" t="s">
        <v>1065</v>
      </c>
      <c r="D7412" s="35">
        <f>SUMIFS(D7413:D9015,K7413:K9015,"0",B7413:B9015,"5 1 3 2 2 12 31111 6 M59 20500 000181 0000E*")-SUMIFS(E7413:E9015,K7413:K9015,"0",B7413:B9015,"5 1 3 2 2 12 31111 6 M59 20500 000181 0000E*")</f>
        <v>0</v>
      </c>
      <c r="E7412"/>
      <c r="F7412" s="35">
        <f>SUMIFS(F7413:F9015,K7413:K9015,"0",B7413:B9015,"5 1 3 2 2 12 31111 6 M59 20500 000181 0000E*")</f>
        <v>50758.879999999997</v>
      </c>
      <c r="G7412" s="35">
        <f>SUMIFS(G7413:G9015,K7413:K9015,"0",B7413:B9015,"5 1 3 2 2 12 31111 6 M59 20500 000181 0000E*")</f>
        <v>0</v>
      </c>
      <c r="H7412" s="35">
        <f t="shared" si="116"/>
        <v>50758.879999999997</v>
      </c>
      <c r="I7412" s="35"/>
      <c r="K7412" t="s">
        <v>15</v>
      </c>
    </row>
    <row r="7413" spans="2:11" ht="24.75" x14ac:dyDescent="0.2">
      <c r="B7413" s="33" t="s">
        <v>8463</v>
      </c>
      <c r="C7413" s="33" t="s">
        <v>282</v>
      </c>
      <c r="D7413" s="35">
        <f>SUMIFS(D7414:D9015,K7414:K9015,"0",B7414:B9015,"5 1 3 2 2 12 31111 6 M59 20500 000181 0000E 00001*")-SUMIFS(E7414:E9015,K7414:K9015,"0",B7414:B9015,"5 1 3 2 2 12 31111 6 M59 20500 000181 0000E 00001*")</f>
        <v>0</v>
      </c>
      <c r="E7413"/>
      <c r="F7413" s="35">
        <f>SUMIFS(F7414:F9015,K7414:K9015,"0",B7414:B9015,"5 1 3 2 2 12 31111 6 M59 20500 000181 0000E 00001*")</f>
        <v>50758.879999999997</v>
      </c>
      <c r="G7413" s="35">
        <f>SUMIFS(G7414:G9015,K7414:K9015,"0",B7414:B9015,"5 1 3 2 2 12 31111 6 M59 20500 000181 0000E 00001*")</f>
        <v>0</v>
      </c>
      <c r="H7413" s="35">
        <f t="shared" si="116"/>
        <v>50758.879999999997</v>
      </c>
      <c r="I7413" s="35"/>
      <c r="K7413" t="s">
        <v>15</v>
      </c>
    </row>
    <row r="7414" spans="2:11" ht="24.75" x14ac:dyDescent="0.2">
      <c r="B7414" s="33" t="s">
        <v>8464</v>
      </c>
      <c r="C7414" s="33" t="s">
        <v>8453</v>
      </c>
      <c r="D7414" s="35">
        <f>SUMIFS(D7415:D9015,K7415:K9015,"0",B7415:B9015,"5 1 3 2 2 12 31111 6 M59 20500 000181 0000E 00001 00322*")-SUMIFS(E7415:E9015,K7415:K9015,"0",B7415:B9015,"5 1 3 2 2 12 31111 6 M59 20500 000181 0000E 00001 00322*")</f>
        <v>0</v>
      </c>
      <c r="E7414"/>
      <c r="F7414" s="35">
        <f>SUMIFS(F7415:F9015,K7415:K9015,"0",B7415:B9015,"5 1 3 2 2 12 31111 6 M59 20500 000181 0000E 00001 00322*")</f>
        <v>50758.879999999997</v>
      </c>
      <c r="G7414" s="35">
        <f>SUMIFS(G7415:G9015,K7415:K9015,"0",B7415:B9015,"5 1 3 2 2 12 31111 6 M59 20500 000181 0000E 00001 00322*")</f>
        <v>0</v>
      </c>
      <c r="H7414" s="35">
        <f t="shared" si="116"/>
        <v>50758.879999999997</v>
      </c>
      <c r="I7414" s="35"/>
      <c r="K7414" t="s">
        <v>15</v>
      </c>
    </row>
    <row r="7415" spans="2:11" ht="33" x14ac:dyDescent="0.2">
      <c r="B7415" s="33" t="s">
        <v>8465</v>
      </c>
      <c r="C7415" s="33" t="s">
        <v>699</v>
      </c>
      <c r="D7415" s="35">
        <f>SUMIFS(D7416:D9015,K7416:K9015,"0",B7416:B9015,"5 1 3 2 2 12 31111 6 M59 20500 000181 0000E 00001 00322 011*")-SUMIFS(E7416:E9015,K7416:K9015,"0",B7416:B9015,"5 1 3 2 2 12 31111 6 M59 20500 000181 0000E 00001 00322 011*")</f>
        <v>0</v>
      </c>
      <c r="E7415"/>
      <c r="F7415" s="35">
        <f>SUMIFS(F7416:F9015,K7416:K9015,"0",B7416:B9015,"5 1 3 2 2 12 31111 6 M59 20500 000181 0000E 00001 00322 011*")</f>
        <v>50758.879999999997</v>
      </c>
      <c r="G7415" s="35">
        <f>SUMIFS(G7416:G9015,K7416:K9015,"0",B7416:B9015,"5 1 3 2 2 12 31111 6 M59 20500 000181 0000E 00001 00322 011*")</f>
        <v>0</v>
      </c>
      <c r="H7415" s="35">
        <f t="shared" si="116"/>
        <v>50758.879999999997</v>
      </c>
      <c r="I7415" s="35"/>
      <c r="K7415" t="s">
        <v>15</v>
      </c>
    </row>
    <row r="7416" spans="2:11" ht="33" x14ac:dyDescent="0.2">
      <c r="B7416" s="33" t="s">
        <v>8466</v>
      </c>
      <c r="C7416" s="33" t="s">
        <v>5830</v>
      </c>
      <c r="D7416" s="35">
        <f>SUMIFS(D7417:D9015,K7417:K9015,"0",B7417:B9015,"5 1 3 2 2 12 31111 6 M59 20500 000181 0000E 00001 00322 011 2112000*")-SUMIFS(E7417:E9015,K7417:K9015,"0",B7417:B9015,"5 1 3 2 2 12 31111 6 M59 20500 000181 0000E 00001 00322 011 2112000*")</f>
        <v>0</v>
      </c>
      <c r="E7416"/>
      <c r="F7416" s="35">
        <f>SUMIFS(F7417:F9015,K7417:K9015,"0",B7417:B9015,"5 1 3 2 2 12 31111 6 M59 20500 000181 0000E 00001 00322 011 2112000*")</f>
        <v>50758.879999999997</v>
      </c>
      <c r="G7416" s="35">
        <f>SUMIFS(G7417:G9015,K7417:K9015,"0",B7417:B9015,"5 1 3 2 2 12 31111 6 M59 20500 000181 0000E 00001 00322 011 2112000*")</f>
        <v>0</v>
      </c>
      <c r="H7416" s="35">
        <f t="shared" si="116"/>
        <v>50758.879999999997</v>
      </c>
      <c r="I7416" s="35"/>
      <c r="K7416" t="s">
        <v>15</v>
      </c>
    </row>
    <row r="7417" spans="2:11" ht="33" x14ac:dyDescent="0.2">
      <c r="B7417" s="33" t="s">
        <v>8467</v>
      </c>
      <c r="C7417" s="33" t="s">
        <v>660</v>
      </c>
      <c r="D7417" s="35">
        <f>SUMIFS(D7418:D9015,K7418:K9015,"0",B7418:B9015,"5 1 3 2 2 12 31111 6 M59 20500 000181 0000E 00001 00322 011 2112000 2024*")-SUMIFS(E7418:E9015,K7418:K9015,"0",B7418:B9015,"5 1 3 2 2 12 31111 6 M59 20500 000181 0000E 00001 00322 011 2112000 2024*")</f>
        <v>0</v>
      </c>
      <c r="E7417"/>
      <c r="F7417" s="35">
        <f>SUMIFS(F7418:F9015,K7418:K9015,"0",B7418:B9015,"5 1 3 2 2 12 31111 6 M59 20500 000181 0000E 00001 00322 011 2112000 2024*")</f>
        <v>50758.879999999997</v>
      </c>
      <c r="G7417" s="35">
        <f>SUMIFS(G7418:G9015,K7418:K9015,"0",B7418:B9015,"5 1 3 2 2 12 31111 6 M59 20500 000181 0000E 00001 00322 011 2112000 2024*")</f>
        <v>0</v>
      </c>
      <c r="H7417" s="35">
        <f t="shared" si="116"/>
        <v>50758.879999999997</v>
      </c>
      <c r="I7417" s="35"/>
      <c r="K7417" t="s">
        <v>15</v>
      </c>
    </row>
    <row r="7418" spans="2:11" ht="49.5" x14ac:dyDescent="0.2">
      <c r="B7418" s="33" t="s">
        <v>8468</v>
      </c>
      <c r="C7418" s="33" t="s">
        <v>5982</v>
      </c>
      <c r="D7418" s="35">
        <f>SUMIFS(D7419:D9015,K7419:K9015,"0",B7419:B9015,"5 1 3 2 2 12 31111 6 M59 20500 000181 0000E 00001 00322 011 2112000 2024 CP3CP471*")-SUMIFS(E7419:E9015,K7419:K9015,"0",B7419:B9015,"5 1 3 2 2 12 31111 6 M59 20500 000181 0000E 00001 00322 011 2112000 2024 CP3CP471*")</f>
        <v>0</v>
      </c>
      <c r="E7418"/>
      <c r="F7418" s="35">
        <f>SUMIFS(F7419:F9015,K7419:K9015,"0",B7419:B9015,"5 1 3 2 2 12 31111 6 M59 20500 000181 0000E 00001 00322 011 2112000 2024 CP3CP471*")</f>
        <v>50758.879999999997</v>
      </c>
      <c r="G7418" s="35">
        <f>SUMIFS(G7419:G9015,K7419:K9015,"0",B7419:B9015,"5 1 3 2 2 12 31111 6 M59 20500 000181 0000E 00001 00322 011 2112000 2024 CP3CP471*")</f>
        <v>0</v>
      </c>
      <c r="H7418" s="35">
        <f t="shared" si="116"/>
        <v>50758.879999999997</v>
      </c>
      <c r="I7418" s="35"/>
      <c r="K7418" t="s">
        <v>15</v>
      </c>
    </row>
    <row r="7419" spans="2:11" ht="41.25" x14ac:dyDescent="0.2">
      <c r="B7419" s="33" t="s">
        <v>8469</v>
      </c>
      <c r="C7419" s="33" t="s">
        <v>1364</v>
      </c>
      <c r="D7419" s="35">
        <f>SUMIFS(D7420:D9015,K7420:K9015,"0",B7420:B9015,"5 1 3 2 2 12 31111 6 M59 20500 000181 0000E 00001 00322 011 2112000 2024 CP3CP471 004*")-SUMIFS(E7420:E9015,K7420:K9015,"0",B7420:B9015,"5 1 3 2 2 12 31111 6 M59 20500 000181 0000E 00001 00322 011 2112000 2024 CP3CP471 004*")</f>
        <v>0</v>
      </c>
      <c r="E7419"/>
      <c r="F7419" s="35">
        <f>SUMIFS(F7420:F9015,K7420:K9015,"0",B7420:B9015,"5 1 3 2 2 12 31111 6 M59 20500 000181 0000E 00001 00322 011 2112000 2024 CP3CP471 004*")</f>
        <v>50758.879999999997</v>
      </c>
      <c r="G7419" s="35">
        <f>SUMIFS(G7420:G9015,K7420:K9015,"0",B7420:B9015,"5 1 3 2 2 12 31111 6 M59 20500 000181 0000E 00001 00322 011 2112000 2024 CP3CP471 004*")</f>
        <v>0</v>
      </c>
      <c r="H7419" s="35">
        <f t="shared" si="116"/>
        <v>50758.879999999997</v>
      </c>
      <c r="I7419" s="35"/>
      <c r="K7419" t="s">
        <v>15</v>
      </c>
    </row>
    <row r="7420" spans="2:11" ht="33" x14ac:dyDescent="0.2">
      <c r="B7420" s="31" t="s">
        <v>8470</v>
      </c>
      <c r="C7420" s="31" t="s">
        <v>8443</v>
      </c>
      <c r="D7420" s="34">
        <v>0</v>
      </c>
      <c r="E7420" s="34"/>
      <c r="F7420" s="34">
        <v>50758.879999999997</v>
      </c>
      <c r="G7420" s="34">
        <v>0</v>
      </c>
      <c r="H7420" s="34">
        <f t="shared" si="116"/>
        <v>50758.879999999997</v>
      </c>
      <c r="I7420" s="34"/>
      <c r="K7420" t="s">
        <v>38</v>
      </c>
    </row>
    <row r="7421" spans="2:11" ht="16.5" x14ac:dyDescent="0.2">
      <c r="B7421" s="33" t="s">
        <v>8471</v>
      </c>
      <c r="C7421" s="33" t="s">
        <v>1269</v>
      </c>
      <c r="D7421" s="35">
        <f>SUMIFS(D7422:D9015,K7422:K9015,"0",B7422:B9015,"5 1 3 2 2 12 31111 6 M59 60100*")-SUMIFS(E7422:E9015,K7422:K9015,"0",B7422:B9015,"5 1 3 2 2 12 31111 6 M59 60100*")</f>
        <v>0</v>
      </c>
      <c r="E7421"/>
      <c r="F7421" s="35">
        <f>SUMIFS(F7422:F9015,K7422:K9015,"0",B7422:B9015,"5 1 3 2 2 12 31111 6 M59 60100*")</f>
        <v>22000</v>
      </c>
      <c r="G7421" s="35">
        <f>SUMIFS(G7422:G9015,K7422:K9015,"0",B7422:B9015,"5 1 3 2 2 12 31111 6 M59 60100*")</f>
        <v>0</v>
      </c>
      <c r="H7421" s="35">
        <f t="shared" si="116"/>
        <v>22000</v>
      </c>
      <c r="I7421" s="35"/>
      <c r="K7421" t="s">
        <v>15</v>
      </c>
    </row>
    <row r="7422" spans="2:11" ht="16.5" x14ac:dyDescent="0.2">
      <c r="B7422" s="33" t="s">
        <v>8472</v>
      </c>
      <c r="C7422" s="33" t="s">
        <v>648</v>
      </c>
      <c r="D7422" s="35">
        <f>SUMIFS(D7423:D9015,K7423:K9015,"0",B7423:B9015,"5 1 3 2 2 12 31111 6 M59 60100 000132*")-SUMIFS(E7423:E9015,K7423:K9015,"0",B7423:B9015,"5 1 3 2 2 12 31111 6 M59 60100 000132*")</f>
        <v>0</v>
      </c>
      <c r="E7422"/>
      <c r="F7422" s="35">
        <f>SUMIFS(F7423:F9015,K7423:K9015,"0",B7423:B9015,"5 1 3 2 2 12 31111 6 M59 60100 000132*")</f>
        <v>22000</v>
      </c>
      <c r="G7422" s="35">
        <f>SUMIFS(G7423:G9015,K7423:K9015,"0",B7423:B9015,"5 1 3 2 2 12 31111 6 M59 60100 000132*")</f>
        <v>0</v>
      </c>
      <c r="H7422" s="35">
        <f t="shared" si="116"/>
        <v>22000</v>
      </c>
      <c r="I7422" s="35"/>
      <c r="K7422" t="s">
        <v>15</v>
      </c>
    </row>
    <row r="7423" spans="2:11" ht="24.75" x14ac:dyDescent="0.2">
      <c r="B7423" s="33" t="s">
        <v>8473</v>
      </c>
      <c r="C7423" s="33" t="s">
        <v>650</v>
      </c>
      <c r="D7423" s="35">
        <f>SUMIFS(D7424:D9015,K7424:K9015,"0",B7424:B9015,"5 1 3 2 2 12 31111 6 M59 60100 000132 0000R*")-SUMIFS(E7424:E9015,K7424:K9015,"0",B7424:B9015,"5 1 3 2 2 12 31111 6 M59 60100 000132 0000R*")</f>
        <v>0</v>
      </c>
      <c r="E7423"/>
      <c r="F7423" s="35">
        <f>SUMIFS(F7424:F9015,K7424:K9015,"0",B7424:B9015,"5 1 3 2 2 12 31111 6 M59 60100 000132 0000R*")</f>
        <v>22000</v>
      </c>
      <c r="G7423" s="35">
        <f>SUMIFS(G7424:G9015,K7424:K9015,"0",B7424:B9015,"5 1 3 2 2 12 31111 6 M59 60100 000132 0000R*")</f>
        <v>0</v>
      </c>
      <c r="H7423" s="35">
        <f t="shared" si="116"/>
        <v>22000</v>
      </c>
      <c r="I7423" s="35"/>
      <c r="K7423" t="s">
        <v>15</v>
      </c>
    </row>
    <row r="7424" spans="2:11" ht="24.75" x14ac:dyDescent="0.2">
      <c r="B7424" s="33" t="s">
        <v>8474</v>
      </c>
      <c r="C7424" s="33" t="s">
        <v>282</v>
      </c>
      <c r="D7424" s="35">
        <f>SUMIFS(D7425:D9015,K7425:K9015,"0",B7425:B9015,"5 1 3 2 2 12 31111 6 M59 60100 000132 0000R 00001*")-SUMIFS(E7425:E9015,K7425:K9015,"0",B7425:B9015,"5 1 3 2 2 12 31111 6 M59 60100 000132 0000R 00001*")</f>
        <v>0</v>
      </c>
      <c r="E7424"/>
      <c r="F7424" s="35">
        <f>SUMIFS(F7425:F9015,K7425:K9015,"0",B7425:B9015,"5 1 3 2 2 12 31111 6 M59 60100 000132 0000R 00001*")</f>
        <v>22000</v>
      </c>
      <c r="G7424" s="35">
        <f>SUMIFS(G7425:G9015,K7425:K9015,"0",B7425:B9015,"5 1 3 2 2 12 31111 6 M59 60100 000132 0000R 00001*")</f>
        <v>0</v>
      </c>
      <c r="H7424" s="35">
        <f t="shared" si="116"/>
        <v>22000</v>
      </c>
      <c r="I7424" s="35"/>
      <c r="K7424" t="s">
        <v>15</v>
      </c>
    </row>
    <row r="7425" spans="2:11" ht="24.75" x14ac:dyDescent="0.2">
      <c r="B7425" s="33" t="s">
        <v>8475</v>
      </c>
      <c r="C7425" s="33" t="s">
        <v>8453</v>
      </c>
      <c r="D7425" s="35">
        <f>SUMIFS(D7426:D9015,K7426:K9015,"0",B7426:B9015,"5 1 3 2 2 12 31111 6 M59 60100 000132 0000R 00001 00322*")-SUMIFS(E7426:E9015,K7426:K9015,"0",B7426:B9015,"5 1 3 2 2 12 31111 6 M59 60100 000132 0000R 00001 00322*")</f>
        <v>0</v>
      </c>
      <c r="E7425"/>
      <c r="F7425" s="35">
        <f>SUMIFS(F7426:F9015,K7426:K9015,"0",B7426:B9015,"5 1 3 2 2 12 31111 6 M59 60100 000132 0000R 00001 00322*")</f>
        <v>22000</v>
      </c>
      <c r="G7425" s="35">
        <f>SUMIFS(G7426:G9015,K7426:K9015,"0",B7426:B9015,"5 1 3 2 2 12 31111 6 M59 60100 000132 0000R 00001 00322*")</f>
        <v>0</v>
      </c>
      <c r="H7425" s="35">
        <f t="shared" si="116"/>
        <v>22000</v>
      </c>
      <c r="I7425" s="35"/>
      <c r="K7425" t="s">
        <v>15</v>
      </c>
    </row>
    <row r="7426" spans="2:11" ht="33" x14ac:dyDescent="0.2">
      <c r="B7426" s="33" t="s">
        <v>8476</v>
      </c>
      <c r="C7426" s="33" t="s">
        <v>1051</v>
      </c>
      <c r="D7426" s="35">
        <f>SUMIFS(D7427:D9015,K7427:K9015,"0",B7427:B9015,"5 1 3 2 2 12 31111 6 M59 60100 000132 0000R 00001 00322 015*")-SUMIFS(E7427:E9015,K7427:K9015,"0",B7427:B9015,"5 1 3 2 2 12 31111 6 M59 60100 000132 0000R 00001 00322 015*")</f>
        <v>0</v>
      </c>
      <c r="E7426"/>
      <c r="F7426" s="35">
        <f>SUMIFS(F7427:F9015,K7427:K9015,"0",B7427:B9015,"5 1 3 2 2 12 31111 6 M59 60100 000132 0000R 00001 00322 015*")</f>
        <v>22000</v>
      </c>
      <c r="G7426" s="35">
        <f>SUMIFS(G7427:G9015,K7427:K9015,"0",B7427:B9015,"5 1 3 2 2 12 31111 6 M59 60100 000132 0000R 00001 00322 015*")</f>
        <v>0</v>
      </c>
      <c r="H7426" s="35">
        <f t="shared" si="116"/>
        <v>22000</v>
      </c>
      <c r="I7426" s="35"/>
      <c r="K7426" t="s">
        <v>15</v>
      </c>
    </row>
    <row r="7427" spans="2:11" ht="33" x14ac:dyDescent="0.2">
      <c r="B7427" s="33" t="s">
        <v>8477</v>
      </c>
      <c r="C7427" s="33" t="s">
        <v>5830</v>
      </c>
      <c r="D7427" s="35">
        <f>SUMIFS(D7428:D9015,K7428:K9015,"0",B7428:B9015,"5 1 3 2 2 12 31111 6 M59 60100 000132 0000R 00001 00322 015 2112000*")-SUMIFS(E7428:E9015,K7428:K9015,"0",B7428:B9015,"5 1 3 2 2 12 31111 6 M59 60100 000132 0000R 00001 00322 015 2112000*")</f>
        <v>0</v>
      </c>
      <c r="E7427"/>
      <c r="F7427" s="35">
        <f>SUMIFS(F7428:F9015,K7428:K9015,"0",B7428:B9015,"5 1 3 2 2 12 31111 6 M59 60100 000132 0000R 00001 00322 015 2112000*")</f>
        <v>22000</v>
      </c>
      <c r="G7427" s="35">
        <f>SUMIFS(G7428:G9015,K7428:K9015,"0",B7428:B9015,"5 1 3 2 2 12 31111 6 M59 60100 000132 0000R 00001 00322 015 2112000*")</f>
        <v>0</v>
      </c>
      <c r="H7427" s="35">
        <f t="shared" si="116"/>
        <v>22000</v>
      </c>
      <c r="I7427" s="35"/>
      <c r="K7427" t="s">
        <v>15</v>
      </c>
    </row>
    <row r="7428" spans="2:11" ht="33" x14ac:dyDescent="0.2">
      <c r="B7428" s="33" t="s">
        <v>8478</v>
      </c>
      <c r="C7428" s="33" t="s">
        <v>660</v>
      </c>
      <c r="D7428" s="35">
        <f>SUMIFS(D7429:D9015,K7429:K9015,"0",B7429:B9015,"5 1 3 2 2 12 31111 6 M59 60100 000132 0000R 00001 00322 015 2112000 2024*")-SUMIFS(E7429:E9015,K7429:K9015,"0",B7429:B9015,"5 1 3 2 2 12 31111 6 M59 60100 000132 0000R 00001 00322 015 2112000 2024*")</f>
        <v>0</v>
      </c>
      <c r="E7428"/>
      <c r="F7428" s="35">
        <f>SUMIFS(F7429:F9015,K7429:K9015,"0",B7429:B9015,"5 1 3 2 2 12 31111 6 M59 60100 000132 0000R 00001 00322 015 2112000 2024*")</f>
        <v>22000</v>
      </c>
      <c r="G7428" s="35">
        <f>SUMIFS(G7429:G9015,K7429:K9015,"0",B7429:B9015,"5 1 3 2 2 12 31111 6 M59 60100 000132 0000R 00001 00322 015 2112000 2024*")</f>
        <v>0</v>
      </c>
      <c r="H7428" s="35">
        <f t="shared" ref="H7428:H7491" si="117">D7428 + F7428 - G7428</f>
        <v>22000</v>
      </c>
      <c r="I7428" s="35"/>
      <c r="K7428" t="s">
        <v>15</v>
      </c>
    </row>
    <row r="7429" spans="2:11" ht="41.25" x14ac:dyDescent="0.2">
      <c r="B7429" s="33" t="s">
        <v>8479</v>
      </c>
      <c r="C7429" s="33" t="s">
        <v>1056</v>
      </c>
      <c r="D7429" s="35">
        <f>SUMIFS(D7430:D9015,K7430:K9015,"0",B7430:B9015,"5 1 3 2 2 12 31111 6 M59 60100 000132 0000R 00001 00322 015 2112000 2024 CP1DM394*")-SUMIFS(E7430:E9015,K7430:K9015,"0",B7430:B9015,"5 1 3 2 2 12 31111 6 M59 60100 000132 0000R 00001 00322 015 2112000 2024 CP1DM394*")</f>
        <v>0</v>
      </c>
      <c r="E7429"/>
      <c r="F7429" s="35">
        <f>SUMIFS(F7430:F9015,K7430:K9015,"0",B7430:B9015,"5 1 3 2 2 12 31111 6 M59 60100 000132 0000R 00001 00322 015 2112000 2024 CP1DM394*")</f>
        <v>22000</v>
      </c>
      <c r="G7429" s="35">
        <f>SUMIFS(G7430:G9015,K7430:K9015,"0",B7430:B9015,"5 1 3 2 2 12 31111 6 M59 60100 000132 0000R 00001 00322 015 2112000 2024 CP1DM394*")</f>
        <v>0</v>
      </c>
      <c r="H7429" s="35">
        <f t="shared" si="117"/>
        <v>22000</v>
      </c>
      <c r="I7429" s="35"/>
      <c r="K7429" t="s">
        <v>15</v>
      </c>
    </row>
    <row r="7430" spans="2:11" ht="41.25" x14ac:dyDescent="0.2">
      <c r="B7430" s="33" t="s">
        <v>8480</v>
      </c>
      <c r="C7430" s="33" t="s">
        <v>282</v>
      </c>
      <c r="D7430" s="35">
        <f>SUMIFS(D7431:D9015,K7431:K9015,"0",B7431:B9015,"5 1 3 2 2 12 31111 6 M59 60100 000132 0000R 00001 00322 015 2112000 2024 CP1DM394 001*")-SUMIFS(E7431:E9015,K7431:K9015,"0",B7431:B9015,"5 1 3 2 2 12 31111 6 M59 60100 000132 0000R 00001 00322 015 2112000 2024 CP1DM394 001*")</f>
        <v>0</v>
      </c>
      <c r="E7430"/>
      <c r="F7430" s="35">
        <f>SUMIFS(F7431:F9015,K7431:K9015,"0",B7431:B9015,"5 1 3 2 2 12 31111 6 M59 60100 000132 0000R 00001 00322 015 2112000 2024 CP1DM394 001*")</f>
        <v>22000</v>
      </c>
      <c r="G7430" s="35">
        <f>SUMIFS(G7431:G9015,K7431:K9015,"0",B7431:B9015,"5 1 3 2 2 12 31111 6 M59 60100 000132 0000R 00001 00322 015 2112000 2024 CP1DM394 001*")</f>
        <v>0</v>
      </c>
      <c r="H7430" s="35">
        <f t="shared" si="117"/>
        <v>22000</v>
      </c>
      <c r="I7430" s="35"/>
      <c r="K7430" t="s">
        <v>15</v>
      </c>
    </row>
    <row r="7431" spans="2:11" ht="33" x14ac:dyDescent="0.2">
      <c r="B7431" s="31" t="s">
        <v>8481</v>
      </c>
      <c r="C7431" s="31" t="s">
        <v>8482</v>
      </c>
      <c r="D7431" s="34">
        <v>0</v>
      </c>
      <c r="E7431" s="34"/>
      <c r="F7431" s="34">
        <v>22000</v>
      </c>
      <c r="G7431" s="34">
        <v>0</v>
      </c>
      <c r="H7431" s="34">
        <f t="shared" si="117"/>
        <v>22000</v>
      </c>
      <c r="I7431" s="34"/>
      <c r="K7431" t="s">
        <v>38</v>
      </c>
    </row>
    <row r="7432" spans="2:11" ht="16.5" x14ac:dyDescent="0.2">
      <c r="B7432" s="33" t="s">
        <v>8483</v>
      </c>
      <c r="C7432" s="33" t="s">
        <v>3413</v>
      </c>
      <c r="D7432" s="35">
        <f>SUMIFS(D7433:D9015,K7433:K9015,"0",B7433:B9015,"5 1 3 2 2 12 31111 6 M59 70300*")-SUMIFS(E7433:E9015,K7433:K9015,"0",B7433:B9015,"5 1 3 2 2 12 31111 6 M59 70300*")</f>
        <v>0</v>
      </c>
      <c r="E7432"/>
      <c r="F7432" s="35">
        <f>SUMIFS(F7433:F9015,K7433:K9015,"0",B7433:B9015,"5 1 3 2 2 12 31111 6 M59 70300*")</f>
        <v>30816.61</v>
      </c>
      <c r="G7432" s="35">
        <f>SUMIFS(G7433:G9015,K7433:K9015,"0",B7433:B9015,"5 1 3 2 2 12 31111 6 M59 70300*")</f>
        <v>0</v>
      </c>
      <c r="H7432" s="35">
        <f t="shared" si="117"/>
        <v>30816.61</v>
      </c>
      <c r="I7432" s="35"/>
      <c r="K7432" t="s">
        <v>15</v>
      </c>
    </row>
    <row r="7433" spans="2:11" ht="16.5" x14ac:dyDescent="0.2">
      <c r="B7433" s="33" t="s">
        <v>8484</v>
      </c>
      <c r="C7433" s="33" t="s">
        <v>648</v>
      </c>
      <c r="D7433" s="35">
        <f>SUMIFS(D7434:D9015,K7434:K9015,"0",B7434:B9015,"5 1 3 2 2 12 31111 6 M59 70300 000132*")-SUMIFS(E7434:E9015,K7434:K9015,"0",B7434:B9015,"5 1 3 2 2 12 31111 6 M59 70300 000132*")</f>
        <v>0</v>
      </c>
      <c r="E7433"/>
      <c r="F7433" s="35">
        <f>SUMIFS(F7434:F9015,K7434:K9015,"0",B7434:B9015,"5 1 3 2 2 12 31111 6 M59 70300 000132*")</f>
        <v>30816.61</v>
      </c>
      <c r="G7433" s="35">
        <f>SUMIFS(G7434:G9015,K7434:K9015,"0",B7434:B9015,"5 1 3 2 2 12 31111 6 M59 70300 000132*")</f>
        <v>0</v>
      </c>
      <c r="H7433" s="35">
        <f t="shared" si="117"/>
        <v>30816.61</v>
      </c>
      <c r="I7433" s="35"/>
      <c r="K7433" t="s">
        <v>15</v>
      </c>
    </row>
    <row r="7434" spans="2:11" ht="24.75" x14ac:dyDescent="0.2">
      <c r="B7434" s="33" t="s">
        <v>8485</v>
      </c>
      <c r="C7434" s="33" t="s">
        <v>650</v>
      </c>
      <c r="D7434" s="35">
        <f>SUMIFS(D7435:D9015,K7435:K9015,"0",B7435:B9015,"5 1 3 2 2 12 31111 6 M59 70300 000132 0000R*")-SUMIFS(E7435:E9015,K7435:K9015,"0",B7435:B9015,"5 1 3 2 2 12 31111 6 M59 70300 000132 0000R*")</f>
        <v>0</v>
      </c>
      <c r="E7434"/>
      <c r="F7434" s="35">
        <f>SUMIFS(F7435:F9015,K7435:K9015,"0",B7435:B9015,"5 1 3 2 2 12 31111 6 M59 70300 000132 0000R*")</f>
        <v>30816.61</v>
      </c>
      <c r="G7434" s="35">
        <f>SUMIFS(G7435:G9015,K7435:K9015,"0",B7435:B9015,"5 1 3 2 2 12 31111 6 M59 70300 000132 0000R*")</f>
        <v>0</v>
      </c>
      <c r="H7434" s="35">
        <f t="shared" si="117"/>
        <v>30816.61</v>
      </c>
      <c r="I7434" s="35"/>
      <c r="K7434" t="s">
        <v>15</v>
      </c>
    </row>
    <row r="7435" spans="2:11" ht="24.75" x14ac:dyDescent="0.2">
      <c r="B7435" s="33" t="s">
        <v>8486</v>
      </c>
      <c r="C7435" s="33" t="s">
        <v>282</v>
      </c>
      <c r="D7435" s="35">
        <f>SUMIFS(D7436:D9015,K7436:K9015,"0",B7436:B9015,"5 1 3 2 2 12 31111 6 M59 70300 000132 0000R 00001*")-SUMIFS(E7436:E9015,K7436:K9015,"0",B7436:B9015,"5 1 3 2 2 12 31111 6 M59 70300 000132 0000R 00001*")</f>
        <v>0</v>
      </c>
      <c r="E7435"/>
      <c r="F7435" s="35">
        <f>SUMIFS(F7436:F9015,K7436:K9015,"0",B7436:B9015,"5 1 3 2 2 12 31111 6 M59 70300 000132 0000R 00001*")</f>
        <v>30816.61</v>
      </c>
      <c r="G7435" s="35">
        <f>SUMIFS(G7436:G9015,K7436:K9015,"0",B7436:B9015,"5 1 3 2 2 12 31111 6 M59 70300 000132 0000R 00001*")</f>
        <v>0</v>
      </c>
      <c r="H7435" s="35">
        <f t="shared" si="117"/>
        <v>30816.61</v>
      </c>
      <c r="I7435" s="35"/>
      <c r="K7435" t="s">
        <v>15</v>
      </c>
    </row>
    <row r="7436" spans="2:11" ht="24.75" x14ac:dyDescent="0.2">
      <c r="B7436" s="33" t="s">
        <v>8487</v>
      </c>
      <c r="C7436" s="33" t="s">
        <v>8453</v>
      </c>
      <c r="D7436" s="35">
        <f>SUMIFS(D7437:D9015,K7437:K9015,"0",B7437:B9015,"5 1 3 2 2 12 31111 6 M59 70300 000132 0000R 00001 00322*")-SUMIFS(E7437:E9015,K7437:K9015,"0",B7437:B9015,"5 1 3 2 2 12 31111 6 M59 70300 000132 0000R 00001 00322*")</f>
        <v>0</v>
      </c>
      <c r="E7436"/>
      <c r="F7436" s="35">
        <f>SUMIFS(F7437:F9015,K7437:K9015,"0",B7437:B9015,"5 1 3 2 2 12 31111 6 M59 70300 000132 0000R 00001 00322*")</f>
        <v>30816.61</v>
      </c>
      <c r="G7436" s="35">
        <f>SUMIFS(G7437:G9015,K7437:K9015,"0",B7437:B9015,"5 1 3 2 2 12 31111 6 M59 70300 000132 0000R 00001 00322*")</f>
        <v>0</v>
      </c>
      <c r="H7436" s="35">
        <f t="shared" si="117"/>
        <v>30816.61</v>
      </c>
      <c r="I7436" s="35"/>
      <c r="K7436" t="s">
        <v>15</v>
      </c>
    </row>
    <row r="7437" spans="2:11" ht="33" x14ac:dyDescent="0.2">
      <c r="B7437" s="33" t="s">
        <v>8488</v>
      </c>
      <c r="C7437" s="33" t="s">
        <v>1051</v>
      </c>
      <c r="D7437" s="35">
        <f>SUMIFS(D7438:D9015,K7438:K9015,"0",B7438:B9015,"5 1 3 2 2 12 31111 6 M59 70300 000132 0000R 00001 00322 015*")-SUMIFS(E7438:E9015,K7438:K9015,"0",B7438:B9015,"5 1 3 2 2 12 31111 6 M59 70300 000132 0000R 00001 00322 015*")</f>
        <v>0</v>
      </c>
      <c r="E7437"/>
      <c r="F7437" s="35">
        <f>SUMIFS(F7438:F9015,K7438:K9015,"0",B7438:B9015,"5 1 3 2 2 12 31111 6 M59 70300 000132 0000R 00001 00322 015*")</f>
        <v>30816.61</v>
      </c>
      <c r="G7437" s="35">
        <f>SUMIFS(G7438:G9015,K7438:K9015,"0",B7438:B9015,"5 1 3 2 2 12 31111 6 M59 70300 000132 0000R 00001 00322 015*")</f>
        <v>0</v>
      </c>
      <c r="H7437" s="35">
        <f t="shared" si="117"/>
        <v>30816.61</v>
      </c>
      <c r="I7437" s="35"/>
      <c r="K7437" t="s">
        <v>15</v>
      </c>
    </row>
    <row r="7438" spans="2:11" ht="33" x14ac:dyDescent="0.2">
      <c r="B7438" s="33" t="s">
        <v>8489</v>
      </c>
      <c r="C7438" s="33" t="s">
        <v>5830</v>
      </c>
      <c r="D7438" s="35">
        <f>SUMIFS(D7439:D9015,K7439:K9015,"0",B7439:B9015,"5 1 3 2 2 12 31111 6 M59 70300 000132 0000R 00001 00322 015 2112000*")-SUMIFS(E7439:E9015,K7439:K9015,"0",B7439:B9015,"5 1 3 2 2 12 31111 6 M59 70300 000132 0000R 00001 00322 015 2112000*")</f>
        <v>0</v>
      </c>
      <c r="E7438"/>
      <c r="F7438" s="35">
        <f>SUMIFS(F7439:F9015,K7439:K9015,"0",B7439:B9015,"5 1 3 2 2 12 31111 6 M59 70300 000132 0000R 00001 00322 015 2112000*")</f>
        <v>30816.61</v>
      </c>
      <c r="G7438" s="35">
        <f>SUMIFS(G7439:G9015,K7439:K9015,"0",B7439:B9015,"5 1 3 2 2 12 31111 6 M59 70300 000132 0000R 00001 00322 015 2112000*")</f>
        <v>0</v>
      </c>
      <c r="H7438" s="35">
        <f t="shared" si="117"/>
        <v>30816.61</v>
      </c>
      <c r="I7438" s="35"/>
      <c r="K7438" t="s">
        <v>15</v>
      </c>
    </row>
    <row r="7439" spans="2:11" ht="33" x14ac:dyDescent="0.2">
      <c r="B7439" s="33" t="s">
        <v>8490</v>
      </c>
      <c r="C7439" s="33" t="s">
        <v>660</v>
      </c>
      <c r="D7439" s="35">
        <f>SUMIFS(D7440:D9015,K7440:K9015,"0",B7440:B9015,"5 1 3 2 2 12 31111 6 M59 70300 000132 0000R 00001 00322 015 2112000 2024*")-SUMIFS(E7440:E9015,K7440:K9015,"0",B7440:B9015,"5 1 3 2 2 12 31111 6 M59 70300 000132 0000R 00001 00322 015 2112000 2024*")</f>
        <v>0</v>
      </c>
      <c r="E7439"/>
      <c r="F7439" s="35">
        <f>SUMIFS(F7440:F9015,K7440:K9015,"0",B7440:B9015,"5 1 3 2 2 12 31111 6 M59 70300 000132 0000R 00001 00322 015 2112000 2024*")</f>
        <v>30816.61</v>
      </c>
      <c r="G7439" s="35">
        <f>SUMIFS(G7440:G9015,K7440:K9015,"0",B7440:B9015,"5 1 3 2 2 12 31111 6 M59 70300 000132 0000R 00001 00322 015 2112000 2024*")</f>
        <v>0</v>
      </c>
      <c r="H7439" s="35">
        <f t="shared" si="117"/>
        <v>30816.61</v>
      </c>
      <c r="I7439" s="35"/>
      <c r="K7439" t="s">
        <v>15</v>
      </c>
    </row>
    <row r="7440" spans="2:11" ht="41.25" x14ac:dyDescent="0.2">
      <c r="B7440" s="33" t="s">
        <v>8491</v>
      </c>
      <c r="C7440" s="33" t="s">
        <v>1056</v>
      </c>
      <c r="D7440" s="35">
        <f>SUMIFS(D7441:D9015,K7441:K9015,"0",B7441:B9015,"5 1 3 2 2 12 31111 6 M59 70300 000132 0000R 00001 00322 015 2112000 2024 CP1CU419*")-SUMIFS(E7441:E9015,K7441:K9015,"0",B7441:B9015,"5 1 3 2 2 12 31111 6 M59 70300 000132 0000R 00001 00322 015 2112000 2024 CP1CU419*")</f>
        <v>0</v>
      </c>
      <c r="E7440"/>
      <c r="F7440" s="35">
        <f>SUMIFS(F7441:F9015,K7441:K9015,"0",B7441:B9015,"5 1 3 2 2 12 31111 6 M59 70300 000132 0000R 00001 00322 015 2112000 2024 CP1CU419*")</f>
        <v>30816.61</v>
      </c>
      <c r="G7440" s="35">
        <f>SUMIFS(G7441:G9015,K7441:K9015,"0",B7441:B9015,"5 1 3 2 2 12 31111 6 M59 70300 000132 0000R 00001 00322 015 2112000 2024 CP1CU419*")</f>
        <v>0</v>
      </c>
      <c r="H7440" s="35">
        <f t="shared" si="117"/>
        <v>30816.61</v>
      </c>
      <c r="I7440" s="35"/>
      <c r="K7440" t="s">
        <v>15</v>
      </c>
    </row>
    <row r="7441" spans="2:11" ht="41.25" x14ac:dyDescent="0.2">
      <c r="B7441" s="33" t="s">
        <v>8492</v>
      </c>
      <c r="C7441" s="33" t="s">
        <v>282</v>
      </c>
      <c r="D7441" s="35">
        <f>SUMIFS(D7442:D9015,K7442:K9015,"0",B7442:B9015,"5 1 3 2 2 12 31111 6 M59 70300 000132 0000R 00001 00322 015 2112000 2024 CP1CU419 001*")-SUMIFS(E7442:E9015,K7442:K9015,"0",B7442:B9015,"5 1 3 2 2 12 31111 6 M59 70300 000132 0000R 00001 00322 015 2112000 2024 CP1CU419 001*")</f>
        <v>0</v>
      </c>
      <c r="E7441"/>
      <c r="F7441" s="35">
        <f>SUMIFS(F7442:F9015,K7442:K9015,"0",B7442:B9015,"5 1 3 2 2 12 31111 6 M59 70300 000132 0000R 00001 00322 015 2112000 2024 CP1CU419 001*")</f>
        <v>30816.61</v>
      </c>
      <c r="G7441" s="35">
        <f>SUMIFS(G7442:G9015,K7442:K9015,"0",B7442:B9015,"5 1 3 2 2 12 31111 6 M59 70300 000132 0000R 00001 00322 015 2112000 2024 CP1CU419 001*")</f>
        <v>0</v>
      </c>
      <c r="H7441" s="35">
        <f t="shared" si="117"/>
        <v>30816.61</v>
      </c>
      <c r="I7441" s="35"/>
      <c r="K7441" t="s">
        <v>15</v>
      </c>
    </row>
    <row r="7442" spans="2:11" ht="33" x14ac:dyDescent="0.2">
      <c r="B7442" s="31" t="s">
        <v>8493</v>
      </c>
      <c r="C7442" s="31" t="s">
        <v>8482</v>
      </c>
      <c r="D7442" s="34">
        <v>0</v>
      </c>
      <c r="E7442" s="34"/>
      <c r="F7442" s="34">
        <v>30816.61</v>
      </c>
      <c r="G7442" s="34">
        <v>0</v>
      </c>
      <c r="H7442" s="34">
        <f t="shared" si="117"/>
        <v>30816.61</v>
      </c>
      <c r="I7442" s="34"/>
      <c r="K7442" t="s">
        <v>38</v>
      </c>
    </row>
    <row r="7443" spans="2:11" ht="33" x14ac:dyDescent="0.2">
      <c r="B7443" s="33" t="s">
        <v>8494</v>
      </c>
      <c r="C7443" s="33" t="s">
        <v>8495</v>
      </c>
      <c r="D7443" s="35">
        <f>SUMIFS(D7444:D9015,K7444:K9015,"0",B7444:B9015,"5 1 3 2 3*")-SUMIFS(E7444:E9015,K7444:K9015,"0",B7444:B9015,"5 1 3 2 3*")</f>
        <v>0</v>
      </c>
      <c r="E7443"/>
      <c r="F7443" s="35">
        <f>SUMIFS(F7444:F9015,K7444:K9015,"0",B7444:B9015,"5 1 3 2 3*")</f>
        <v>284628.34999999998</v>
      </c>
      <c r="G7443" s="35">
        <f>SUMIFS(G7444:G9015,K7444:K9015,"0",B7444:B9015,"5 1 3 2 3*")</f>
        <v>0</v>
      </c>
      <c r="H7443" s="35">
        <f t="shared" si="117"/>
        <v>284628.34999999998</v>
      </c>
      <c r="I7443" s="35"/>
      <c r="K7443" t="s">
        <v>15</v>
      </c>
    </row>
    <row r="7444" spans="2:11" ht="12.75" x14ac:dyDescent="0.2">
      <c r="B7444" s="33" t="s">
        <v>8496</v>
      </c>
      <c r="C7444" s="33" t="s">
        <v>26</v>
      </c>
      <c r="D7444" s="35">
        <f>SUMIFS(D7445:D9015,K7445:K9015,"0",B7445:B9015,"5 1 3 2 3 12*")-SUMIFS(E7445:E9015,K7445:K9015,"0",B7445:B9015,"5 1 3 2 3 12*")</f>
        <v>0</v>
      </c>
      <c r="E7444"/>
      <c r="F7444" s="35">
        <f>SUMIFS(F7445:F9015,K7445:K9015,"0",B7445:B9015,"5 1 3 2 3 12*")</f>
        <v>284628.34999999998</v>
      </c>
      <c r="G7444" s="35">
        <f>SUMIFS(G7445:G9015,K7445:K9015,"0",B7445:B9015,"5 1 3 2 3 12*")</f>
        <v>0</v>
      </c>
      <c r="H7444" s="35">
        <f t="shared" si="117"/>
        <v>284628.34999999998</v>
      </c>
      <c r="I7444" s="35"/>
      <c r="K7444" t="s">
        <v>15</v>
      </c>
    </row>
    <row r="7445" spans="2:11" ht="16.5" x14ac:dyDescent="0.2">
      <c r="B7445" s="33" t="s">
        <v>8497</v>
      </c>
      <c r="C7445" s="33" t="s">
        <v>28</v>
      </c>
      <c r="D7445" s="35">
        <f>SUMIFS(D7446:D9015,K7446:K9015,"0",B7446:B9015,"5 1 3 2 3 12 31111*")-SUMIFS(E7446:E9015,K7446:K9015,"0",B7446:B9015,"5 1 3 2 3 12 31111*")</f>
        <v>0</v>
      </c>
      <c r="E7445"/>
      <c r="F7445" s="35">
        <f>SUMIFS(F7446:F9015,K7446:K9015,"0",B7446:B9015,"5 1 3 2 3 12 31111*")</f>
        <v>284628.34999999998</v>
      </c>
      <c r="G7445" s="35">
        <f>SUMIFS(G7446:G9015,K7446:K9015,"0",B7446:B9015,"5 1 3 2 3 12 31111*")</f>
        <v>0</v>
      </c>
      <c r="H7445" s="35">
        <f t="shared" si="117"/>
        <v>284628.34999999998</v>
      </c>
      <c r="I7445" s="35"/>
      <c r="K7445" t="s">
        <v>15</v>
      </c>
    </row>
    <row r="7446" spans="2:11" ht="12.75" x14ac:dyDescent="0.2">
      <c r="B7446" s="33" t="s">
        <v>8498</v>
      </c>
      <c r="C7446" s="33" t="s">
        <v>30</v>
      </c>
      <c r="D7446" s="35">
        <f>SUMIFS(D7447:D9015,K7447:K9015,"0",B7447:B9015,"5 1 3 2 3 12 31111 6*")-SUMIFS(E7447:E9015,K7447:K9015,"0",B7447:B9015,"5 1 3 2 3 12 31111 6*")</f>
        <v>0</v>
      </c>
      <c r="E7446"/>
      <c r="F7446" s="35">
        <f>SUMIFS(F7447:F9015,K7447:K9015,"0",B7447:B9015,"5 1 3 2 3 12 31111 6*")</f>
        <v>284628.34999999998</v>
      </c>
      <c r="G7446" s="35">
        <f>SUMIFS(G7447:G9015,K7447:K9015,"0",B7447:B9015,"5 1 3 2 3 12 31111 6*")</f>
        <v>0</v>
      </c>
      <c r="H7446" s="35">
        <f t="shared" si="117"/>
        <v>284628.34999999998</v>
      </c>
      <c r="I7446" s="35"/>
      <c r="K7446" t="s">
        <v>15</v>
      </c>
    </row>
    <row r="7447" spans="2:11" ht="16.5" x14ac:dyDescent="0.2">
      <c r="B7447" s="33" t="s">
        <v>8499</v>
      </c>
      <c r="C7447" s="33" t="s">
        <v>2284</v>
      </c>
      <c r="D7447" s="35">
        <f>SUMIFS(D7448:D9015,K7448:K9015,"0",B7448:B9015,"5 1 3 2 3 12 31111 6 M59*")-SUMIFS(E7448:E9015,K7448:K9015,"0",B7448:B9015,"5 1 3 2 3 12 31111 6 M59*")</f>
        <v>0</v>
      </c>
      <c r="E7447"/>
      <c r="F7447" s="35">
        <f>SUMIFS(F7448:F9015,K7448:K9015,"0",B7448:B9015,"5 1 3 2 3 12 31111 6 M59*")</f>
        <v>284628.34999999998</v>
      </c>
      <c r="G7447" s="35">
        <f>SUMIFS(G7448:G9015,K7448:K9015,"0",B7448:B9015,"5 1 3 2 3 12 31111 6 M59*")</f>
        <v>0</v>
      </c>
      <c r="H7447" s="35">
        <f t="shared" si="117"/>
        <v>284628.34999999998</v>
      </c>
      <c r="I7447" s="35"/>
      <c r="K7447" t="s">
        <v>15</v>
      </c>
    </row>
    <row r="7448" spans="2:11" ht="16.5" x14ac:dyDescent="0.2">
      <c r="B7448" s="33" t="s">
        <v>8500</v>
      </c>
      <c r="C7448" s="33" t="s">
        <v>2946</v>
      </c>
      <c r="D7448" s="35">
        <f>SUMIFS(D7449:D9015,K7449:K9015,"0",B7449:B9015,"5 1 3 2 3 12 31111 6 M59 10300*")-SUMIFS(E7449:E9015,K7449:K9015,"0",B7449:B9015,"5 1 3 2 3 12 31111 6 M59 10300*")</f>
        <v>0</v>
      </c>
      <c r="E7448"/>
      <c r="F7448" s="35">
        <f>SUMIFS(F7449:F9015,K7449:K9015,"0",B7449:B9015,"5 1 3 2 3 12 31111 6 M59 10300*")</f>
        <v>18508.349999999999</v>
      </c>
      <c r="G7448" s="35">
        <f>SUMIFS(G7449:G9015,K7449:K9015,"0",B7449:B9015,"5 1 3 2 3 12 31111 6 M59 10300*")</f>
        <v>0</v>
      </c>
      <c r="H7448" s="35">
        <f t="shared" si="117"/>
        <v>18508.349999999999</v>
      </c>
      <c r="I7448" s="35"/>
      <c r="K7448" t="s">
        <v>15</v>
      </c>
    </row>
    <row r="7449" spans="2:11" ht="16.5" x14ac:dyDescent="0.2">
      <c r="B7449" s="33" t="s">
        <v>8501</v>
      </c>
      <c r="C7449" s="33" t="s">
        <v>1063</v>
      </c>
      <c r="D7449" s="35">
        <f>SUMIFS(D7450:D9015,K7450:K9015,"0",B7450:B9015,"5 1 3 2 3 12 31111 6 M59 10300 000139*")-SUMIFS(E7450:E9015,K7450:K9015,"0",B7450:B9015,"5 1 3 2 3 12 31111 6 M59 10300 000139*")</f>
        <v>0</v>
      </c>
      <c r="E7449"/>
      <c r="F7449" s="35">
        <f>SUMIFS(F7450:F9015,K7450:K9015,"0",B7450:B9015,"5 1 3 2 3 12 31111 6 M59 10300 000139*")</f>
        <v>18508.349999999999</v>
      </c>
      <c r="G7449" s="35">
        <f>SUMIFS(G7450:G9015,K7450:K9015,"0",B7450:B9015,"5 1 3 2 3 12 31111 6 M59 10300 000139*")</f>
        <v>0</v>
      </c>
      <c r="H7449" s="35">
        <f t="shared" si="117"/>
        <v>18508.349999999999</v>
      </c>
      <c r="I7449" s="35"/>
      <c r="K7449" t="s">
        <v>15</v>
      </c>
    </row>
    <row r="7450" spans="2:11" ht="24.75" x14ac:dyDescent="0.2">
      <c r="B7450" s="33" t="s">
        <v>8502</v>
      </c>
      <c r="C7450" s="33" t="s">
        <v>1065</v>
      </c>
      <c r="D7450" s="35">
        <f>SUMIFS(D7451:D9015,K7451:K9015,"0",B7451:B9015,"5 1 3 2 3 12 31111 6 M59 10300 000139 0000E*")-SUMIFS(E7451:E9015,K7451:K9015,"0",B7451:B9015,"5 1 3 2 3 12 31111 6 M59 10300 000139 0000E*")</f>
        <v>0</v>
      </c>
      <c r="E7450"/>
      <c r="F7450" s="35">
        <f>SUMIFS(F7451:F9015,K7451:K9015,"0",B7451:B9015,"5 1 3 2 3 12 31111 6 M59 10300 000139 0000E*")</f>
        <v>18508.349999999999</v>
      </c>
      <c r="G7450" s="35">
        <f>SUMIFS(G7451:G9015,K7451:K9015,"0",B7451:B9015,"5 1 3 2 3 12 31111 6 M59 10300 000139 0000E*")</f>
        <v>0</v>
      </c>
      <c r="H7450" s="35">
        <f t="shared" si="117"/>
        <v>18508.349999999999</v>
      </c>
      <c r="I7450" s="35"/>
      <c r="K7450" t="s">
        <v>15</v>
      </c>
    </row>
    <row r="7451" spans="2:11" ht="24.75" x14ac:dyDescent="0.2">
      <c r="B7451" s="33" t="s">
        <v>8503</v>
      </c>
      <c r="C7451" s="33" t="s">
        <v>282</v>
      </c>
      <c r="D7451" s="35">
        <f>SUMIFS(D7452:D9015,K7452:K9015,"0",B7452:B9015,"5 1 3 2 3 12 31111 6 M59 10300 000139 0000E 00001*")-SUMIFS(E7452:E9015,K7452:K9015,"0",B7452:B9015,"5 1 3 2 3 12 31111 6 M59 10300 000139 0000E 00001*")</f>
        <v>0</v>
      </c>
      <c r="E7451"/>
      <c r="F7451" s="35">
        <f>SUMIFS(F7452:F9015,K7452:K9015,"0",B7452:B9015,"5 1 3 2 3 12 31111 6 M59 10300 000139 0000E 00001*")</f>
        <v>18508.349999999999</v>
      </c>
      <c r="G7451" s="35">
        <f>SUMIFS(G7452:G9015,K7452:K9015,"0",B7452:B9015,"5 1 3 2 3 12 31111 6 M59 10300 000139 0000E 00001*")</f>
        <v>0</v>
      </c>
      <c r="H7451" s="35">
        <f t="shared" si="117"/>
        <v>18508.349999999999</v>
      </c>
      <c r="I7451" s="35"/>
      <c r="K7451" t="s">
        <v>15</v>
      </c>
    </row>
    <row r="7452" spans="2:11" ht="33" x14ac:dyDescent="0.2">
      <c r="B7452" s="33" t="s">
        <v>8504</v>
      </c>
      <c r="C7452" s="33" t="s">
        <v>8505</v>
      </c>
      <c r="D7452" s="35">
        <f>SUMIFS(D7453:D9015,K7453:K9015,"0",B7453:B9015,"5 1 3 2 3 12 31111 6 M59 10300 000139 0000E 00001 00323*")-SUMIFS(E7453:E9015,K7453:K9015,"0",B7453:B9015,"5 1 3 2 3 12 31111 6 M59 10300 000139 0000E 00001 00323*")</f>
        <v>0</v>
      </c>
      <c r="E7452"/>
      <c r="F7452" s="35">
        <f>SUMIFS(F7453:F9015,K7453:K9015,"0",B7453:B9015,"5 1 3 2 3 12 31111 6 M59 10300 000139 0000E 00001 00323*")</f>
        <v>18508.349999999999</v>
      </c>
      <c r="G7452" s="35">
        <f>SUMIFS(G7453:G9015,K7453:K9015,"0",B7453:B9015,"5 1 3 2 3 12 31111 6 M59 10300 000139 0000E 00001 00323*")</f>
        <v>0</v>
      </c>
      <c r="H7452" s="35">
        <f t="shared" si="117"/>
        <v>18508.349999999999</v>
      </c>
      <c r="I7452" s="35"/>
      <c r="K7452" t="s">
        <v>15</v>
      </c>
    </row>
    <row r="7453" spans="2:11" ht="33" x14ac:dyDescent="0.2">
      <c r="B7453" s="33" t="s">
        <v>8506</v>
      </c>
      <c r="C7453" s="33" t="s">
        <v>699</v>
      </c>
      <c r="D7453" s="35">
        <f>SUMIFS(D7454:D9015,K7454:K9015,"0",B7454:B9015,"5 1 3 2 3 12 31111 6 M59 10300 000139 0000E 00001 00323 011*")-SUMIFS(E7454:E9015,K7454:K9015,"0",B7454:B9015,"5 1 3 2 3 12 31111 6 M59 10300 000139 0000E 00001 00323 011*")</f>
        <v>0</v>
      </c>
      <c r="E7453"/>
      <c r="F7453" s="35">
        <f>SUMIFS(F7454:F9015,K7454:K9015,"0",B7454:B9015,"5 1 3 2 3 12 31111 6 M59 10300 000139 0000E 00001 00323 011*")</f>
        <v>18508.349999999999</v>
      </c>
      <c r="G7453" s="35">
        <f>SUMIFS(G7454:G9015,K7454:K9015,"0",B7454:B9015,"5 1 3 2 3 12 31111 6 M59 10300 000139 0000E 00001 00323 011*")</f>
        <v>0</v>
      </c>
      <c r="H7453" s="35">
        <f t="shared" si="117"/>
        <v>18508.349999999999</v>
      </c>
      <c r="I7453" s="35"/>
      <c r="K7453" t="s">
        <v>15</v>
      </c>
    </row>
    <row r="7454" spans="2:11" ht="33" x14ac:dyDescent="0.2">
      <c r="B7454" s="33" t="s">
        <v>8507</v>
      </c>
      <c r="C7454" s="33" t="s">
        <v>5830</v>
      </c>
      <c r="D7454" s="35">
        <f>SUMIFS(D7455:D9015,K7455:K9015,"0",B7455:B9015,"5 1 3 2 3 12 31111 6 M59 10300 000139 0000E 00001 00323 011 2112000*")-SUMIFS(E7455:E9015,K7455:K9015,"0",B7455:B9015,"5 1 3 2 3 12 31111 6 M59 10300 000139 0000E 00001 00323 011 2112000*")</f>
        <v>0</v>
      </c>
      <c r="E7454"/>
      <c r="F7454" s="35">
        <f>SUMIFS(F7455:F9015,K7455:K9015,"0",B7455:B9015,"5 1 3 2 3 12 31111 6 M59 10300 000139 0000E 00001 00323 011 2112000*")</f>
        <v>18508.349999999999</v>
      </c>
      <c r="G7454" s="35">
        <f>SUMIFS(G7455:G9015,K7455:K9015,"0",B7455:B9015,"5 1 3 2 3 12 31111 6 M59 10300 000139 0000E 00001 00323 011 2112000*")</f>
        <v>0</v>
      </c>
      <c r="H7454" s="35">
        <f t="shared" si="117"/>
        <v>18508.349999999999</v>
      </c>
      <c r="I7454" s="35"/>
      <c r="K7454" t="s">
        <v>15</v>
      </c>
    </row>
    <row r="7455" spans="2:11" ht="33" x14ac:dyDescent="0.2">
      <c r="B7455" s="33" t="s">
        <v>8508</v>
      </c>
      <c r="C7455" s="33" t="s">
        <v>660</v>
      </c>
      <c r="D7455" s="35">
        <f>SUMIFS(D7456:D9015,K7456:K9015,"0",B7456:B9015,"5 1 3 2 3 12 31111 6 M59 10300 000139 0000E 00001 00323 011 2112000 2024*")-SUMIFS(E7456:E9015,K7456:K9015,"0",B7456:B9015,"5 1 3 2 3 12 31111 6 M59 10300 000139 0000E 00001 00323 011 2112000 2024*")</f>
        <v>0</v>
      </c>
      <c r="E7455"/>
      <c r="F7455" s="35">
        <f>SUMIFS(F7456:F9015,K7456:K9015,"0",B7456:B9015,"5 1 3 2 3 12 31111 6 M59 10300 000139 0000E 00001 00323 011 2112000 2024*")</f>
        <v>18508.349999999999</v>
      </c>
      <c r="G7455" s="35">
        <f>SUMIFS(G7456:G9015,K7456:K9015,"0",B7456:B9015,"5 1 3 2 3 12 31111 6 M59 10300 000139 0000E 00001 00323 011 2112000 2024*")</f>
        <v>0</v>
      </c>
      <c r="H7455" s="35">
        <f t="shared" si="117"/>
        <v>18508.349999999999</v>
      </c>
      <c r="I7455" s="35"/>
      <c r="K7455" t="s">
        <v>15</v>
      </c>
    </row>
    <row r="7456" spans="2:11" ht="41.25" x14ac:dyDescent="0.2">
      <c r="B7456" s="33" t="s">
        <v>8509</v>
      </c>
      <c r="C7456" s="33" t="s">
        <v>8510</v>
      </c>
      <c r="D7456" s="35">
        <f>SUMIFS(D7457:D9015,K7457:K9015,"0",B7457:B9015,"5 1 3 2 3 12 31111 6 M59 10300 000139 0000E 00001 00323 011 2112000 2024 CP3GE486*")-SUMIFS(E7457:E9015,K7457:K9015,"0",B7457:B9015,"5 1 3 2 3 12 31111 6 M59 10300 000139 0000E 00001 00323 011 2112000 2024 CP3GE486*")</f>
        <v>0</v>
      </c>
      <c r="E7456"/>
      <c r="F7456" s="35">
        <f>SUMIFS(F7457:F9015,K7457:K9015,"0",B7457:B9015,"5 1 3 2 3 12 31111 6 M59 10300 000139 0000E 00001 00323 011 2112000 2024 CP3GE486*")</f>
        <v>18508.349999999999</v>
      </c>
      <c r="G7456" s="35">
        <f>SUMIFS(G7457:G9015,K7457:K9015,"0",B7457:B9015,"5 1 3 2 3 12 31111 6 M59 10300 000139 0000E 00001 00323 011 2112000 2024 CP3GE486*")</f>
        <v>0</v>
      </c>
      <c r="H7456" s="35">
        <f t="shared" si="117"/>
        <v>18508.349999999999</v>
      </c>
      <c r="I7456" s="35"/>
      <c r="K7456" t="s">
        <v>15</v>
      </c>
    </row>
    <row r="7457" spans="2:11" ht="41.25" x14ac:dyDescent="0.2">
      <c r="B7457" s="33" t="s">
        <v>8511</v>
      </c>
      <c r="C7457" s="33" t="s">
        <v>46</v>
      </c>
      <c r="D7457" s="35">
        <f>SUMIFS(D7458:D9015,K7458:K9015,"0",B7458:B9015,"5 1 3 2 3 12 31111 6 M59 10300 000139 0000E 00001 00323 011 2112000 2024 CP3GE486 004*")-SUMIFS(E7458:E9015,K7458:K9015,"0",B7458:B9015,"5 1 3 2 3 12 31111 6 M59 10300 000139 0000E 00001 00323 011 2112000 2024 CP3GE486 004*")</f>
        <v>0</v>
      </c>
      <c r="E7457"/>
      <c r="F7457" s="35">
        <f>SUMIFS(F7458:F9015,K7458:K9015,"0",B7458:B9015,"5 1 3 2 3 12 31111 6 M59 10300 000139 0000E 00001 00323 011 2112000 2024 CP3GE486 004*")</f>
        <v>18508.349999999999</v>
      </c>
      <c r="G7457" s="35">
        <f>SUMIFS(G7458:G9015,K7458:K9015,"0",B7458:B9015,"5 1 3 2 3 12 31111 6 M59 10300 000139 0000E 00001 00323 011 2112000 2024 CP3GE486 004*")</f>
        <v>0</v>
      </c>
      <c r="H7457" s="35">
        <f t="shared" si="117"/>
        <v>18508.349999999999</v>
      </c>
      <c r="I7457" s="35"/>
      <c r="K7457" t="s">
        <v>15</v>
      </c>
    </row>
    <row r="7458" spans="2:11" ht="33" x14ac:dyDescent="0.2">
      <c r="B7458" s="31" t="s">
        <v>8512</v>
      </c>
      <c r="C7458" s="31" t="s">
        <v>8495</v>
      </c>
      <c r="D7458" s="34">
        <v>0</v>
      </c>
      <c r="E7458" s="34"/>
      <c r="F7458" s="34">
        <v>18508.349999999999</v>
      </c>
      <c r="G7458" s="34">
        <v>0</v>
      </c>
      <c r="H7458" s="34">
        <f t="shared" si="117"/>
        <v>18508.349999999999</v>
      </c>
      <c r="I7458" s="34"/>
      <c r="K7458" t="s">
        <v>38</v>
      </c>
    </row>
    <row r="7459" spans="2:11" ht="16.5" x14ac:dyDescent="0.2">
      <c r="B7459" s="33" t="s">
        <v>8513</v>
      </c>
      <c r="C7459" s="33" t="s">
        <v>1044</v>
      </c>
      <c r="D7459" s="35">
        <f>SUMIFS(D7460:D9015,K7460:K9015,"0",B7460:B9015,"5 1 3 2 3 12 31111 6 M59 19000*")-SUMIFS(E7460:E9015,K7460:K9015,"0",B7460:B9015,"5 1 3 2 3 12 31111 6 M59 19000*")</f>
        <v>0</v>
      </c>
      <c r="E7459"/>
      <c r="F7459" s="35">
        <f>SUMIFS(F7460:F9015,K7460:K9015,"0",B7460:B9015,"5 1 3 2 3 12 31111 6 M59 19000*")</f>
        <v>261120</v>
      </c>
      <c r="G7459" s="35">
        <f>SUMIFS(G7460:G9015,K7460:K9015,"0",B7460:B9015,"5 1 3 2 3 12 31111 6 M59 19000*")</f>
        <v>0</v>
      </c>
      <c r="H7459" s="35">
        <f t="shared" si="117"/>
        <v>261120</v>
      </c>
      <c r="I7459" s="35"/>
      <c r="K7459" t="s">
        <v>15</v>
      </c>
    </row>
    <row r="7460" spans="2:11" ht="16.5" x14ac:dyDescent="0.2">
      <c r="B7460" s="33" t="s">
        <v>8514</v>
      </c>
      <c r="C7460" s="33" t="s">
        <v>648</v>
      </c>
      <c r="D7460" s="35">
        <f>SUMIFS(D7461:D9015,K7461:K9015,"0",B7461:B9015,"5 1 3 2 3 12 31111 6 M59 19000 000132*")-SUMIFS(E7461:E9015,K7461:K9015,"0",B7461:B9015,"5 1 3 2 3 12 31111 6 M59 19000 000132*")</f>
        <v>0</v>
      </c>
      <c r="E7460"/>
      <c r="F7460" s="35">
        <f>SUMIFS(F7461:F9015,K7461:K9015,"0",B7461:B9015,"5 1 3 2 3 12 31111 6 M59 19000 000132*")</f>
        <v>261120</v>
      </c>
      <c r="G7460" s="35">
        <f>SUMIFS(G7461:G9015,K7461:K9015,"0",B7461:B9015,"5 1 3 2 3 12 31111 6 M59 19000 000132*")</f>
        <v>0</v>
      </c>
      <c r="H7460" s="35">
        <f t="shared" si="117"/>
        <v>261120</v>
      </c>
      <c r="I7460" s="35"/>
      <c r="K7460" t="s">
        <v>15</v>
      </c>
    </row>
    <row r="7461" spans="2:11" ht="24.75" x14ac:dyDescent="0.2">
      <c r="B7461" s="33" t="s">
        <v>8515</v>
      </c>
      <c r="C7461" s="33" t="s">
        <v>650</v>
      </c>
      <c r="D7461" s="35">
        <f>SUMIFS(D7462:D9015,K7462:K9015,"0",B7462:B9015,"5 1 3 2 3 12 31111 6 M59 19000 000132 0000R*")-SUMIFS(E7462:E9015,K7462:K9015,"0",B7462:B9015,"5 1 3 2 3 12 31111 6 M59 19000 000132 0000R*")</f>
        <v>0</v>
      </c>
      <c r="E7461"/>
      <c r="F7461" s="35">
        <f>SUMIFS(F7462:F9015,K7462:K9015,"0",B7462:B9015,"5 1 3 2 3 12 31111 6 M59 19000 000132 0000R*")</f>
        <v>261120</v>
      </c>
      <c r="G7461" s="35">
        <f>SUMIFS(G7462:G9015,K7462:K9015,"0",B7462:B9015,"5 1 3 2 3 12 31111 6 M59 19000 000132 0000R*")</f>
        <v>0</v>
      </c>
      <c r="H7461" s="35">
        <f t="shared" si="117"/>
        <v>261120</v>
      </c>
      <c r="I7461" s="35"/>
      <c r="K7461" t="s">
        <v>15</v>
      </c>
    </row>
    <row r="7462" spans="2:11" ht="24.75" x14ac:dyDescent="0.2">
      <c r="B7462" s="33" t="s">
        <v>8516</v>
      </c>
      <c r="C7462" s="33" t="s">
        <v>282</v>
      </c>
      <c r="D7462" s="35">
        <f>SUMIFS(D7463:D9015,K7463:K9015,"0",B7463:B9015,"5 1 3 2 3 12 31111 6 M59 19000 000132 0000R 00001*")-SUMIFS(E7463:E9015,K7463:K9015,"0",B7463:B9015,"5 1 3 2 3 12 31111 6 M59 19000 000132 0000R 00001*")</f>
        <v>0</v>
      </c>
      <c r="E7462"/>
      <c r="F7462" s="35">
        <f>SUMIFS(F7463:F9015,K7463:K9015,"0",B7463:B9015,"5 1 3 2 3 12 31111 6 M59 19000 000132 0000R 00001*")</f>
        <v>261120</v>
      </c>
      <c r="G7462" s="35">
        <f>SUMIFS(G7463:G9015,K7463:K9015,"0",B7463:B9015,"5 1 3 2 3 12 31111 6 M59 19000 000132 0000R 00001*")</f>
        <v>0</v>
      </c>
      <c r="H7462" s="35">
        <f t="shared" si="117"/>
        <v>261120</v>
      </c>
      <c r="I7462" s="35"/>
      <c r="K7462" t="s">
        <v>15</v>
      </c>
    </row>
    <row r="7463" spans="2:11" ht="33" x14ac:dyDescent="0.2">
      <c r="B7463" s="33" t="s">
        <v>8517</v>
      </c>
      <c r="C7463" s="33" t="s">
        <v>8505</v>
      </c>
      <c r="D7463" s="35">
        <f>SUMIFS(D7464:D9015,K7464:K9015,"0",B7464:B9015,"5 1 3 2 3 12 31111 6 M59 19000 000132 0000R 00001 00323*")-SUMIFS(E7464:E9015,K7464:K9015,"0",B7464:B9015,"5 1 3 2 3 12 31111 6 M59 19000 000132 0000R 00001 00323*")</f>
        <v>0</v>
      </c>
      <c r="E7463"/>
      <c r="F7463" s="35">
        <f>SUMIFS(F7464:F9015,K7464:K9015,"0",B7464:B9015,"5 1 3 2 3 12 31111 6 M59 19000 000132 0000R 00001 00323*")</f>
        <v>261120</v>
      </c>
      <c r="G7463" s="35">
        <f>SUMIFS(G7464:G9015,K7464:K9015,"0",B7464:B9015,"5 1 3 2 3 12 31111 6 M59 19000 000132 0000R 00001 00323*")</f>
        <v>0</v>
      </c>
      <c r="H7463" s="35">
        <f t="shared" si="117"/>
        <v>261120</v>
      </c>
      <c r="I7463" s="35"/>
      <c r="K7463" t="s">
        <v>15</v>
      </c>
    </row>
    <row r="7464" spans="2:11" ht="33" x14ac:dyDescent="0.2">
      <c r="B7464" s="33" t="s">
        <v>8518</v>
      </c>
      <c r="C7464" s="33" t="s">
        <v>699</v>
      </c>
      <c r="D7464" s="35">
        <f>SUMIFS(D7465:D9015,K7465:K9015,"0",B7465:B9015,"5 1 3 2 3 12 31111 6 M59 19000 000132 0000R 00001 00323 011*")-SUMIFS(E7465:E9015,K7465:K9015,"0",B7465:B9015,"5 1 3 2 3 12 31111 6 M59 19000 000132 0000R 00001 00323 011*")</f>
        <v>0</v>
      </c>
      <c r="E7464"/>
      <c r="F7464" s="35">
        <f>SUMIFS(F7465:F9015,K7465:K9015,"0",B7465:B9015,"5 1 3 2 3 12 31111 6 M59 19000 000132 0000R 00001 00323 011*")</f>
        <v>261120</v>
      </c>
      <c r="G7464" s="35">
        <f>SUMIFS(G7465:G9015,K7465:K9015,"0",B7465:B9015,"5 1 3 2 3 12 31111 6 M59 19000 000132 0000R 00001 00323 011*")</f>
        <v>0</v>
      </c>
      <c r="H7464" s="35">
        <f t="shared" si="117"/>
        <v>261120</v>
      </c>
      <c r="I7464" s="35"/>
      <c r="K7464" t="s">
        <v>15</v>
      </c>
    </row>
    <row r="7465" spans="2:11" ht="33" x14ac:dyDescent="0.2">
      <c r="B7465" s="33" t="s">
        <v>8519</v>
      </c>
      <c r="C7465" s="33" t="s">
        <v>5830</v>
      </c>
      <c r="D7465" s="35">
        <f>SUMIFS(D7466:D9015,K7466:K9015,"0",B7466:B9015,"5 1 3 2 3 12 31111 6 M59 19000 000132 0000R 00001 00323 011 2112000*")-SUMIFS(E7466:E9015,K7466:K9015,"0",B7466:B9015,"5 1 3 2 3 12 31111 6 M59 19000 000132 0000R 00001 00323 011 2112000*")</f>
        <v>0</v>
      </c>
      <c r="E7465"/>
      <c r="F7465" s="35">
        <f>SUMIFS(F7466:F9015,K7466:K9015,"0",B7466:B9015,"5 1 3 2 3 12 31111 6 M59 19000 000132 0000R 00001 00323 011 2112000*")</f>
        <v>261120</v>
      </c>
      <c r="G7465" s="35">
        <f>SUMIFS(G7466:G9015,K7466:K9015,"0",B7466:B9015,"5 1 3 2 3 12 31111 6 M59 19000 000132 0000R 00001 00323 011 2112000*")</f>
        <v>0</v>
      </c>
      <c r="H7465" s="35">
        <f t="shared" si="117"/>
        <v>261120</v>
      </c>
      <c r="I7465" s="35"/>
      <c r="K7465" t="s">
        <v>15</v>
      </c>
    </row>
    <row r="7466" spans="2:11" ht="33" x14ac:dyDescent="0.2">
      <c r="B7466" s="33" t="s">
        <v>8520</v>
      </c>
      <c r="C7466" s="33" t="s">
        <v>660</v>
      </c>
      <c r="D7466" s="35">
        <f>SUMIFS(D7467:D9015,K7467:K9015,"0",B7467:B9015,"5 1 3 2 3 12 31111 6 M59 19000 000132 0000R 00001 00323 011 2112000 2024*")-SUMIFS(E7467:E9015,K7467:K9015,"0",B7467:B9015,"5 1 3 2 3 12 31111 6 M59 19000 000132 0000R 00001 00323 011 2112000 2024*")</f>
        <v>0</v>
      </c>
      <c r="E7466"/>
      <c r="F7466" s="35">
        <f>SUMIFS(F7467:F9015,K7467:K9015,"0",B7467:B9015,"5 1 3 2 3 12 31111 6 M59 19000 000132 0000R 00001 00323 011 2112000 2024*")</f>
        <v>261120</v>
      </c>
      <c r="G7466" s="35">
        <f>SUMIFS(G7467:G9015,K7467:K9015,"0",B7467:B9015,"5 1 3 2 3 12 31111 6 M59 19000 000132 0000R 00001 00323 011 2112000 2024*")</f>
        <v>0</v>
      </c>
      <c r="H7466" s="35">
        <f t="shared" si="117"/>
        <v>261120</v>
      </c>
      <c r="I7466" s="35"/>
      <c r="K7466" t="s">
        <v>15</v>
      </c>
    </row>
    <row r="7467" spans="2:11" ht="41.25" x14ac:dyDescent="0.2">
      <c r="B7467" s="33" t="s">
        <v>8521</v>
      </c>
      <c r="C7467" s="33" t="s">
        <v>662</v>
      </c>
      <c r="D7467" s="35">
        <f>SUMIFS(D7468:D9015,K7468:K9015,"0",B7468:B9015,"5 1 3 2 3 12 31111 6 M59 19000 000132 0000R 00001 00323 011 2112000 2024 CP1TM440*")-SUMIFS(E7468:E9015,K7468:K9015,"0",B7468:B9015,"5 1 3 2 3 12 31111 6 M59 19000 000132 0000R 00001 00323 011 2112000 2024 CP1TM440*")</f>
        <v>0</v>
      </c>
      <c r="E7467"/>
      <c r="F7467" s="35">
        <f>SUMIFS(F7468:F9015,K7468:K9015,"0",B7468:B9015,"5 1 3 2 3 12 31111 6 M59 19000 000132 0000R 00001 00323 011 2112000 2024 CP1TM440*")</f>
        <v>261120</v>
      </c>
      <c r="G7467" s="35">
        <f>SUMIFS(G7468:G9015,K7468:K9015,"0",B7468:B9015,"5 1 3 2 3 12 31111 6 M59 19000 000132 0000R 00001 00323 011 2112000 2024 CP1TM440*")</f>
        <v>0</v>
      </c>
      <c r="H7467" s="35">
        <f t="shared" si="117"/>
        <v>261120</v>
      </c>
      <c r="I7467" s="35"/>
      <c r="K7467" t="s">
        <v>15</v>
      </c>
    </row>
    <row r="7468" spans="2:11" ht="41.25" x14ac:dyDescent="0.2">
      <c r="B7468" s="33" t="s">
        <v>8522</v>
      </c>
      <c r="C7468" s="33" t="s">
        <v>46</v>
      </c>
      <c r="D7468" s="35">
        <f>SUMIFS(D7469:D9015,K7469:K9015,"0",B7469:B9015,"5 1 3 2 3 12 31111 6 M59 19000 000132 0000R 00001 00323 011 2112000 2024 CP1TM440 004*")-SUMIFS(E7469:E9015,K7469:K9015,"0",B7469:B9015,"5 1 3 2 3 12 31111 6 M59 19000 000132 0000R 00001 00323 011 2112000 2024 CP1TM440 004*")</f>
        <v>0</v>
      </c>
      <c r="E7468"/>
      <c r="F7468" s="35">
        <f>SUMIFS(F7469:F9015,K7469:K9015,"0",B7469:B9015,"5 1 3 2 3 12 31111 6 M59 19000 000132 0000R 00001 00323 011 2112000 2024 CP1TM440 004*")</f>
        <v>261120</v>
      </c>
      <c r="G7468" s="35">
        <f>SUMIFS(G7469:G9015,K7469:K9015,"0",B7469:B9015,"5 1 3 2 3 12 31111 6 M59 19000 000132 0000R 00001 00323 011 2112000 2024 CP1TM440 004*")</f>
        <v>0</v>
      </c>
      <c r="H7468" s="35">
        <f t="shared" si="117"/>
        <v>261120</v>
      </c>
      <c r="I7468" s="35"/>
      <c r="K7468" t="s">
        <v>15</v>
      </c>
    </row>
    <row r="7469" spans="2:11" ht="33" x14ac:dyDescent="0.2">
      <c r="B7469" s="31" t="s">
        <v>8523</v>
      </c>
      <c r="C7469" s="31" t="s">
        <v>8505</v>
      </c>
      <c r="D7469" s="34">
        <v>0</v>
      </c>
      <c r="E7469" s="34"/>
      <c r="F7469" s="34">
        <v>261120</v>
      </c>
      <c r="G7469" s="34">
        <v>0</v>
      </c>
      <c r="H7469" s="34">
        <f t="shared" si="117"/>
        <v>261120</v>
      </c>
      <c r="I7469" s="34"/>
      <c r="K7469" t="s">
        <v>38</v>
      </c>
    </row>
    <row r="7470" spans="2:11" ht="16.5" x14ac:dyDescent="0.2">
      <c r="B7470" s="33" t="s">
        <v>8524</v>
      </c>
      <c r="C7470" s="33" t="s">
        <v>1079</v>
      </c>
      <c r="D7470" s="35">
        <f>SUMIFS(D7471:D9015,K7471:K9015,"0",B7471:B9015,"5 1 3 2 3 12 31111 6 M59 20500*")-SUMIFS(E7471:E9015,K7471:K9015,"0",B7471:B9015,"5 1 3 2 3 12 31111 6 M59 20500*")</f>
        <v>0</v>
      </c>
      <c r="E7470"/>
      <c r="F7470" s="35">
        <f>SUMIFS(F7471:F9015,K7471:K9015,"0",B7471:B9015,"5 1 3 2 3 12 31111 6 M59 20500*")</f>
        <v>5000</v>
      </c>
      <c r="G7470" s="35">
        <f>SUMIFS(G7471:G9015,K7471:K9015,"0",B7471:B9015,"5 1 3 2 3 12 31111 6 M59 20500*")</f>
        <v>0</v>
      </c>
      <c r="H7470" s="35">
        <f t="shared" si="117"/>
        <v>5000</v>
      </c>
      <c r="I7470" s="35"/>
      <c r="K7470" t="s">
        <v>15</v>
      </c>
    </row>
    <row r="7471" spans="2:11" ht="24.75" x14ac:dyDescent="0.2">
      <c r="B7471" s="33" t="s">
        <v>8525</v>
      </c>
      <c r="C7471" s="33" t="s">
        <v>3152</v>
      </c>
      <c r="D7471" s="35">
        <f>SUMIFS(D7472:D9015,K7472:K9015,"0",B7472:B9015,"5 1 3 2 3 12 31111 6 M59 20500 000181*")-SUMIFS(E7472:E9015,K7472:K9015,"0",B7472:B9015,"5 1 3 2 3 12 31111 6 M59 20500 000181*")</f>
        <v>0</v>
      </c>
      <c r="E7471"/>
      <c r="F7471" s="35">
        <f>SUMIFS(F7472:F9015,K7472:K9015,"0",B7472:B9015,"5 1 3 2 3 12 31111 6 M59 20500 000181*")</f>
        <v>5000</v>
      </c>
      <c r="G7471" s="35">
        <f>SUMIFS(G7472:G9015,K7472:K9015,"0",B7472:B9015,"5 1 3 2 3 12 31111 6 M59 20500 000181*")</f>
        <v>0</v>
      </c>
      <c r="H7471" s="35">
        <f t="shared" si="117"/>
        <v>5000</v>
      </c>
      <c r="I7471" s="35"/>
      <c r="K7471" t="s">
        <v>15</v>
      </c>
    </row>
    <row r="7472" spans="2:11" ht="24.75" x14ac:dyDescent="0.2">
      <c r="B7472" s="33" t="s">
        <v>8526</v>
      </c>
      <c r="C7472" s="33" t="s">
        <v>1065</v>
      </c>
      <c r="D7472" s="35">
        <f>SUMIFS(D7473:D9015,K7473:K9015,"0",B7473:B9015,"5 1 3 2 3 12 31111 6 M59 20500 000181 0000E*")-SUMIFS(E7473:E9015,K7473:K9015,"0",B7473:B9015,"5 1 3 2 3 12 31111 6 M59 20500 000181 0000E*")</f>
        <v>0</v>
      </c>
      <c r="E7472"/>
      <c r="F7472" s="35">
        <f>SUMIFS(F7473:F9015,K7473:K9015,"0",B7473:B9015,"5 1 3 2 3 12 31111 6 M59 20500 000181 0000E*")</f>
        <v>5000</v>
      </c>
      <c r="G7472" s="35">
        <f>SUMIFS(G7473:G9015,K7473:K9015,"0",B7473:B9015,"5 1 3 2 3 12 31111 6 M59 20500 000181 0000E*")</f>
        <v>0</v>
      </c>
      <c r="H7472" s="35">
        <f t="shared" si="117"/>
        <v>5000</v>
      </c>
      <c r="I7472" s="35"/>
      <c r="K7472" t="s">
        <v>15</v>
      </c>
    </row>
    <row r="7473" spans="2:11" ht="24.75" x14ac:dyDescent="0.2">
      <c r="B7473" s="33" t="s">
        <v>8527</v>
      </c>
      <c r="C7473" s="33" t="s">
        <v>282</v>
      </c>
      <c r="D7473" s="35">
        <f>SUMIFS(D7474:D9015,K7474:K9015,"0",B7474:B9015,"5 1 3 2 3 12 31111 6 M59 20500 000181 0000E 00001*")-SUMIFS(E7474:E9015,K7474:K9015,"0",B7474:B9015,"5 1 3 2 3 12 31111 6 M59 20500 000181 0000E 00001*")</f>
        <v>0</v>
      </c>
      <c r="E7473"/>
      <c r="F7473" s="35">
        <f>SUMIFS(F7474:F9015,K7474:K9015,"0",B7474:B9015,"5 1 3 2 3 12 31111 6 M59 20500 000181 0000E 00001*")</f>
        <v>5000</v>
      </c>
      <c r="G7473" s="35">
        <f>SUMIFS(G7474:G9015,K7474:K9015,"0",B7474:B9015,"5 1 3 2 3 12 31111 6 M59 20500 000181 0000E 00001*")</f>
        <v>0</v>
      </c>
      <c r="H7473" s="35">
        <f t="shared" si="117"/>
        <v>5000</v>
      </c>
      <c r="I7473" s="35"/>
      <c r="K7473" t="s">
        <v>15</v>
      </c>
    </row>
    <row r="7474" spans="2:11" ht="33" x14ac:dyDescent="0.2">
      <c r="B7474" s="33" t="s">
        <v>8528</v>
      </c>
      <c r="C7474" s="33" t="s">
        <v>8505</v>
      </c>
      <c r="D7474" s="35">
        <f>SUMIFS(D7475:D9015,K7475:K9015,"0",B7475:B9015,"5 1 3 2 3 12 31111 6 M59 20500 000181 0000E 00001 00323*")-SUMIFS(E7475:E9015,K7475:K9015,"0",B7475:B9015,"5 1 3 2 3 12 31111 6 M59 20500 000181 0000E 00001 00323*")</f>
        <v>0</v>
      </c>
      <c r="E7474"/>
      <c r="F7474" s="35">
        <f>SUMIFS(F7475:F9015,K7475:K9015,"0",B7475:B9015,"5 1 3 2 3 12 31111 6 M59 20500 000181 0000E 00001 00323*")</f>
        <v>5000</v>
      </c>
      <c r="G7474" s="35">
        <f>SUMIFS(G7475:G9015,K7475:K9015,"0",B7475:B9015,"5 1 3 2 3 12 31111 6 M59 20500 000181 0000E 00001 00323*")</f>
        <v>0</v>
      </c>
      <c r="H7474" s="35">
        <f t="shared" si="117"/>
        <v>5000</v>
      </c>
      <c r="I7474" s="35"/>
      <c r="K7474" t="s">
        <v>15</v>
      </c>
    </row>
    <row r="7475" spans="2:11" ht="33" x14ac:dyDescent="0.2">
      <c r="B7475" s="33" t="s">
        <v>8529</v>
      </c>
      <c r="C7475" s="33" t="s">
        <v>699</v>
      </c>
      <c r="D7475" s="35">
        <f>SUMIFS(D7476:D9015,K7476:K9015,"0",B7476:B9015,"5 1 3 2 3 12 31111 6 M59 20500 000181 0000E 00001 00323 011*")-SUMIFS(E7476:E9015,K7476:K9015,"0",B7476:B9015,"5 1 3 2 3 12 31111 6 M59 20500 000181 0000E 00001 00323 011*")</f>
        <v>0</v>
      </c>
      <c r="E7475"/>
      <c r="F7475" s="35">
        <f>SUMIFS(F7476:F9015,K7476:K9015,"0",B7476:B9015,"5 1 3 2 3 12 31111 6 M59 20500 000181 0000E 00001 00323 011*")</f>
        <v>5000</v>
      </c>
      <c r="G7475" s="35">
        <f>SUMIFS(G7476:G9015,K7476:K9015,"0",B7476:B9015,"5 1 3 2 3 12 31111 6 M59 20500 000181 0000E 00001 00323 011*")</f>
        <v>0</v>
      </c>
      <c r="H7475" s="35">
        <f t="shared" si="117"/>
        <v>5000</v>
      </c>
      <c r="I7475" s="35"/>
      <c r="K7475" t="s">
        <v>15</v>
      </c>
    </row>
    <row r="7476" spans="2:11" ht="33" x14ac:dyDescent="0.2">
      <c r="B7476" s="33" t="s">
        <v>8530</v>
      </c>
      <c r="C7476" s="33" t="s">
        <v>5830</v>
      </c>
      <c r="D7476" s="35">
        <f>SUMIFS(D7477:D9015,K7477:K9015,"0",B7477:B9015,"5 1 3 2 3 12 31111 6 M59 20500 000181 0000E 00001 00323 011 2112000*")-SUMIFS(E7477:E9015,K7477:K9015,"0",B7477:B9015,"5 1 3 2 3 12 31111 6 M59 20500 000181 0000E 00001 00323 011 2112000*")</f>
        <v>0</v>
      </c>
      <c r="E7476"/>
      <c r="F7476" s="35">
        <f>SUMIFS(F7477:F9015,K7477:K9015,"0",B7477:B9015,"5 1 3 2 3 12 31111 6 M59 20500 000181 0000E 00001 00323 011 2112000*")</f>
        <v>5000</v>
      </c>
      <c r="G7476" s="35">
        <f>SUMIFS(G7477:G9015,K7477:K9015,"0",B7477:B9015,"5 1 3 2 3 12 31111 6 M59 20500 000181 0000E 00001 00323 011 2112000*")</f>
        <v>0</v>
      </c>
      <c r="H7476" s="35">
        <f t="shared" si="117"/>
        <v>5000</v>
      </c>
      <c r="I7476" s="35"/>
      <c r="K7476" t="s">
        <v>15</v>
      </c>
    </row>
    <row r="7477" spans="2:11" ht="33" x14ac:dyDescent="0.2">
      <c r="B7477" s="33" t="s">
        <v>8531</v>
      </c>
      <c r="C7477" s="33" t="s">
        <v>660</v>
      </c>
      <c r="D7477" s="35">
        <f>SUMIFS(D7478:D9015,K7478:K9015,"0",B7478:B9015,"5 1 3 2 3 12 31111 6 M59 20500 000181 0000E 00001 00323 011 2112000 2024*")-SUMIFS(E7478:E9015,K7478:K9015,"0",B7478:B9015,"5 1 3 2 3 12 31111 6 M59 20500 000181 0000E 00001 00323 011 2112000 2024*")</f>
        <v>0</v>
      </c>
      <c r="E7477"/>
      <c r="F7477" s="35">
        <f>SUMIFS(F7478:F9015,K7478:K9015,"0",B7478:B9015,"5 1 3 2 3 12 31111 6 M59 20500 000181 0000E 00001 00323 011 2112000 2024*")</f>
        <v>5000</v>
      </c>
      <c r="G7477" s="35">
        <f>SUMIFS(G7478:G9015,K7478:K9015,"0",B7478:B9015,"5 1 3 2 3 12 31111 6 M59 20500 000181 0000E 00001 00323 011 2112000 2024*")</f>
        <v>0</v>
      </c>
      <c r="H7477" s="35">
        <f t="shared" si="117"/>
        <v>5000</v>
      </c>
      <c r="I7477" s="35"/>
      <c r="K7477" t="s">
        <v>15</v>
      </c>
    </row>
    <row r="7478" spans="2:11" ht="49.5" x14ac:dyDescent="0.2">
      <c r="B7478" s="33" t="s">
        <v>8532</v>
      </c>
      <c r="C7478" s="33" t="s">
        <v>5982</v>
      </c>
      <c r="D7478" s="35">
        <f>SUMIFS(D7479:D9015,K7479:K9015,"0",B7479:B9015,"5 1 3 2 3 12 31111 6 M59 20500 000181 0000E 00001 00323 011 2112000 2024 CP3CP471*")-SUMIFS(E7479:E9015,K7479:K9015,"0",B7479:B9015,"5 1 3 2 3 12 31111 6 M59 20500 000181 0000E 00001 00323 011 2112000 2024 CP3CP471*")</f>
        <v>0</v>
      </c>
      <c r="E7478"/>
      <c r="F7478" s="35">
        <f>SUMIFS(F7479:F9015,K7479:K9015,"0",B7479:B9015,"5 1 3 2 3 12 31111 6 M59 20500 000181 0000E 00001 00323 011 2112000 2024 CP3CP471*")</f>
        <v>5000</v>
      </c>
      <c r="G7478" s="35">
        <f>SUMIFS(G7479:G9015,K7479:K9015,"0",B7479:B9015,"5 1 3 2 3 12 31111 6 M59 20500 000181 0000E 00001 00323 011 2112000 2024 CP3CP471*")</f>
        <v>0</v>
      </c>
      <c r="H7478" s="35">
        <f t="shared" si="117"/>
        <v>5000</v>
      </c>
      <c r="I7478" s="35"/>
      <c r="K7478" t="s">
        <v>15</v>
      </c>
    </row>
    <row r="7479" spans="2:11" ht="41.25" x14ac:dyDescent="0.2">
      <c r="B7479" s="33" t="s">
        <v>8533</v>
      </c>
      <c r="C7479" s="33" t="s">
        <v>46</v>
      </c>
      <c r="D7479" s="35">
        <f>SUMIFS(D7480:D9015,K7480:K9015,"0",B7480:B9015,"5 1 3 2 3 12 31111 6 M59 20500 000181 0000E 00001 00323 011 2112000 2024 CP3CP471 004*")-SUMIFS(E7480:E9015,K7480:K9015,"0",B7480:B9015,"5 1 3 2 3 12 31111 6 M59 20500 000181 0000E 00001 00323 011 2112000 2024 CP3CP471 004*")</f>
        <v>0</v>
      </c>
      <c r="E7479"/>
      <c r="F7479" s="35">
        <f>SUMIFS(F7480:F9015,K7480:K9015,"0",B7480:B9015,"5 1 3 2 3 12 31111 6 M59 20500 000181 0000E 00001 00323 011 2112000 2024 CP3CP471 004*")</f>
        <v>5000</v>
      </c>
      <c r="G7479" s="35">
        <f>SUMIFS(G7480:G9015,K7480:K9015,"0",B7480:B9015,"5 1 3 2 3 12 31111 6 M59 20500 000181 0000E 00001 00323 011 2112000 2024 CP3CP471 004*")</f>
        <v>0</v>
      </c>
      <c r="H7479" s="35">
        <f t="shared" si="117"/>
        <v>5000</v>
      </c>
      <c r="I7479" s="35"/>
      <c r="K7479" t="s">
        <v>15</v>
      </c>
    </row>
    <row r="7480" spans="2:11" ht="33" x14ac:dyDescent="0.2">
      <c r="B7480" s="31" t="s">
        <v>8534</v>
      </c>
      <c r="C7480" s="31" t="s">
        <v>8535</v>
      </c>
      <c r="D7480" s="34">
        <v>0</v>
      </c>
      <c r="E7480" s="34"/>
      <c r="F7480" s="34">
        <v>5000</v>
      </c>
      <c r="G7480" s="34">
        <v>0</v>
      </c>
      <c r="H7480" s="34">
        <f t="shared" si="117"/>
        <v>5000</v>
      </c>
      <c r="I7480" s="34"/>
      <c r="K7480" t="s">
        <v>38</v>
      </c>
    </row>
    <row r="7481" spans="2:11" ht="24.75" x14ac:dyDescent="0.2">
      <c r="B7481" s="33" t="s">
        <v>8536</v>
      </c>
      <c r="C7481" s="33" t="s">
        <v>8537</v>
      </c>
      <c r="D7481" s="35">
        <f>SUMIFS(D7482:D9015,K7482:K9015,"0",B7482:B9015,"5 1 3 2 6*")-SUMIFS(E7482:E9015,K7482:K9015,"0",B7482:B9015,"5 1 3 2 6*")</f>
        <v>0</v>
      </c>
      <c r="E7481"/>
      <c r="F7481" s="35">
        <f>SUMIFS(F7482:F9015,K7482:K9015,"0",B7482:B9015,"5 1 3 2 6*")</f>
        <v>5779900</v>
      </c>
      <c r="G7481" s="35">
        <f>SUMIFS(G7482:G9015,K7482:K9015,"0",B7482:B9015,"5 1 3 2 6*")</f>
        <v>0</v>
      </c>
      <c r="H7481" s="35">
        <f t="shared" si="117"/>
        <v>5779900</v>
      </c>
      <c r="I7481" s="35"/>
      <c r="K7481" t="s">
        <v>15</v>
      </c>
    </row>
    <row r="7482" spans="2:11" ht="12.75" x14ac:dyDescent="0.2">
      <c r="B7482" s="33" t="s">
        <v>8538</v>
      </c>
      <c r="C7482" s="33" t="s">
        <v>26</v>
      </c>
      <c r="D7482" s="35">
        <f>SUMIFS(D7483:D9015,K7483:K9015,"0",B7483:B9015,"5 1 3 2 6 12*")-SUMIFS(E7483:E9015,K7483:K9015,"0",B7483:B9015,"5 1 3 2 6 12*")</f>
        <v>0</v>
      </c>
      <c r="E7482"/>
      <c r="F7482" s="35">
        <f>SUMIFS(F7483:F9015,K7483:K9015,"0",B7483:B9015,"5 1 3 2 6 12*")</f>
        <v>5779900</v>
      </c>
      <c r="G7482" s="35">
        <f>SUMIFS(G7483:G9015,K7483:K9015,"0",B7483:B9015,"5 1 3 2 6 12*")</f>
        <v>0</v>
      </c>
      <c r="H7482" s="35">
        <f t="shared" si="117"/>
        <v>5779900</v>
      </c>
      <c r="I7482" s="35"/>
      <c r="K7482" t="s">
        <v>15</v>
      </c>
    </row>
    <row r="7483" spans="2:11" ht="16.5" x14ac:dyDescent="0.2">
      <c r="B7483" s="33" t="s">
        <v>8539</v>
      </c>
      <c r="C7483" s="33" t="s">
        <v>28</v>
      </c>
      <c r="D7483" s="35">
        <f>SUMIFS(D7484:D9015,K7484:K9015,"0",B7484:B9015,"5 1 3 2 6 12 31111*")-SUMIFS(E7484:E9015,K7484:K9015,"0",B7484:B9015,"5 1 3 2 6 12 31111*")</f>
        <v>0</v>
      </c>
      <c r="E7483"/>
      <c r="F7483" s="35">
        <f>SUMIFS(F7484:F9015,K7484:K9015,"0",B7484:B9015,"5 1 3 2 6 12 31111*")</f>
        <v>5779900</v>
      </c>
      <c r="G7483" s="35">
        <f>SUMIFS(G7484:G9015,K7484:K9015,"0",B7484:B9015,"5 1 3 2 6 12 31111*")</f>
        <v>0</v>
      </c>
      <c r="H7483" s="35">
        <f t="shared" si="117"/>
        <v>5779900</v>
      </c>
      <c r="I7483" s="35"/>
      <c r="K7483" t="s">
        <v>15</v>
      </c>
    </row>
    <row r="7484" spans="2:11" ht="12.75" x14ac:dyDescent="0.2">
      <c r="B7484" s="33" t="s">
        <v>8540</v>
      </c>
      <c r="C7484" s="33" t="s">
        <v>30</v>
      </c>
      <c r="D7484" s="35">
        <f>SUMIFS(D7485:D9015,K7485:K9015,"0",B7485:B9015,"5 1 3 2 6 12 31111 6*")-SUMIFS(E7485:E9015,K7485:K9015,"0",B7485:B9015,"5 1 3 2 6 12 31111 6*")</f>
        <v>0</v>
      </c>
      <c r="E7484"/>
      <c r="F7484" s="35">
        <f>SUMIFS(F7485:F9015,K7485:K9015,"0",B7485:B9015,"5 1 3 2 6 12 31111 6*")</f>
        <v>5779900</v>
      </c>
      <c r="G7484" s="35">
        <f>SUMIFS(G7485:G9015,K7485:K9015,"0",B7485:B9015,"5 1 3 2 6 12 31111 6*")</f>
        <v>0</v>
      </c>
      <c r="H7484" s="35">
        <f t="shared" si="117"/>
        <v>5779900</v>
      </c>
      <c r="I7484" s="35"/>
      <c r="K7484" t="s">
        <v>15</v>
      </c>
    </row>
    <row r="7485" spans="2:11" ht="16.5" x14ac:dyDescent="0.2">
      <c r="B7485" s="33" t="s">
        <v>8541</v>
      </c>
      <c r="C7485" s="33" t="s">
        <v>2284</v>
      </c>
      <c r="D7485" s="35">
        <f>SUMIFS(D7486:D9015,K7486:K9015,"0",B7486:B9015,"5 1 3 2 6 12 31111 6 M59*")-SUMIFS(E7486:E9015,K7486:K9015,"0",B7486:B9015,"5 1 3 2 6 12 31111 6 M59*")</f>
        <v>0</v>
      </c>
      <c r="E7485"/>
      <c r="F7485" s="35">
        <f>SUMIFS(F7486:F9015,K7486:K9015,"0",B7486:B9015,"5 1 3 2 6 12 31111 6 M59*")</f>
        <v>5779900</v>
      </c>
      <c r="G7485" s="35">
        <f>SUMIFS(G7486:G9015,K7486:K9015,"0",B7486:B9015,"5 1 3 2 6 12 31111 6 M59*")</f>
        <v>0</v>
      </c>
      <c r="H7485" s="35">
        <f t="shared" si="117"/>
        <v>5779900</v>
      </c>
      <c r="I7485" s="35"/>
      <c r="K7485" t="s">
        <v>15</v>
      </c>
    </row>
    <row r="7486" spans="2:11" ht="16.5" x14ac:dyDescent="0.2">
      <c r="B7486" s="33" t="s">
        <v>8542</v>
      </c>
      <c r="C7486" s="33" t="s">
        <v>1308</v>
      </c>
      <c r="D7486" s="35">
        <f>SUMIFS(D7487:D9015,K7487:K9015,"0",B7487:B9015,"5 1 3 2 6 12 31111 6 M59 96300*")-SUMIFS(E7487:E9015,K7487:K9015,"0",B7487:B9015,"5 1 3 2 6 12 31111 6 M59 96300*")</f>
        <v>0</v>
      </c>
      <c r="E7486"/>
      <c r="F7486" s="35">
        <f>SUMIFS(F7487:F9015,K7487:K9015,"0",B7487:B9015,"5 1 3 2 6 12 31111 6 M59 96300*")</f>
        <v>5779900</v>
      </c>
      <c r="G7486" s="35">
        <f>SUMIFS(G7487:G9015,K7487:K9015,"0",B7487:B9015,"5 1 3 2 6 12 31111 6 M59 96300*")</f>
        <v>0</v>
      </c>
      <c r="H7486" s="35">
        <f t="shared" si="117"/>
        <v>5779900</v>
      </c>
      <c r="I7486" s="35"/>
      <c r="K7486" t="s">
        <v>15</v>
      </c>
    </row>
    <row r="7487" spans="2:11" ht="16.5" x14ac:dyDescent="0.2">
      <c r="B7487" s="33" t="s">
        <v>8543</v>
      </c>
      <c r="C7487" s="33" t="s">
        <v>1310</v>
      </c>
      <c r="D7487" s="35">
        <f>SUMIFS(D7488:D9015,K7488:K9015,"0",B7488:B9015,"5 1 3 2 6 12 31111 6 M59 96300 000211*")-SUMIFS(E7488:E9015,K7488:K9015,"0",B7488:B9015,"5 1 3 2 6 12 31111 6 M59 96300 000211*")</f>
        <v>0</v>
      </c>
      <c r="E7487"/>
      <c r="F7487" s="35">
        <f>SUMIFS(F7488:F9015,K7488:K9015,"0",B7488:B9015,"5 1 3 2 6 12 31111 6 M59 96300 000211*")</f>
        <v>5779900</v>
      </c>
      <c r="G7487" s="35">
        <f>SUMIFS(G7488:G9015,K7488:K9015,"0",B7488:B9015,"5 1 3 2 6 12 31111 6 M59 96300 000211*")</f>
        <v>0</v>
      </c>
      <c r="H7487" s="35">
        <f t="shared" si="117"/>
        <v>5779900</v>
      </c>
      <c r="I7487" s="35"/>
      <c r="K7487" t="s">
        <v>15</v>
      </c>
    </row>
    <row r="7488" spans="2:11" ht="24.75" x14ac:dyDescent="0.2">
      <c r="B7488" s="33" t="s">
        <v>8544</v>
      </c>
      <c r="C7488" s="33" t="s">
        <v>1065</v>
      </c>
      <c r="D7488" s="35">
        <f>SUMIFS(D7489:D9015,K7489:K9015,"0",B7489:B9015,"5 1 3 2 6 12 31111 6 M59 96300 000211 0000E*")-SUMIFS(E7489:E9015,K7489:K9015,"0",B7489:B9015,"5 1 3 2 6 12 31111 6 M59 96300 000211 0000E*")</f>
        <v>0</v>
      </c>
      <c r="E7488"/>
      <c r="F7488" s="35">
        <f>SUMIFS(F7489:F9015,K7489:K9015,"0",B7489:B9015,"5 1 3 2 6 12 31111 6 M59 96300 000211 0000E*")</f>
        <v>5779900</v>
      </c>
      <c r="G7488" s="35">
        <f>SUMIFS(G7489:G9015,K7489:K9015,"0",B7489:B9015,"5 1 3 2 6 12 31111 6 M59 96300 000211 0000E*")</f>
        <v>0</v>
      </c>
      <c r="H7488" s="35">
        <f t="shared" si="117"/>
        <v>5779900</v>
      </c>
      <c r="I7488" s="35"/>
      <c r="K7488" t="s">
        <v>15</v>
      </c>
    </row>
    <row r="7489" spans="2:11" ht="24.75" x14ac:dyDescent="0.2">
      <c r="B7489" s="33" t="s">
        <v>8545</v>
      </c>
      <c r="C7489" s="33" t="s">
        <v>282</v>
      </c>
      <c r="D7489" s="35">
        <f>SUMIFS(D7490:D9015,K7490:K9015,"0",B7490:B9015,"5 1 3 2 6 12 31111 6 M59 96300 000211 0000E 00001*")-SUMIFS(E7490:E9015,K7490:K9015,"0",B7490:B9015,"5 1 3 2 6 12 31111 6 M59 96300 000211 0000E 00001*")</f>
        <v>0</v>
      </c>
      <c r="E7489"/>
      <c r="F7489" s="35">
        <f>SUMIFS(F7490:F9015,K7490:K9015,"0",B7490:B9015,"5 1 3 2 6 12 31111 6 M59 96300 000211 0000E 00001*")</f>
        <v>5779900</v>
      </c>
      <c r="G7489" s="35">
        <f>SUMIFS(G7490:G9015,K7490:K9015,"0",B7490:B9015,"5 1 3 2 6 12 31111 6 M59 96300 000211 0000E 00001*")</f>
        <v>0</v>
      </c>
      <c r="H7489" s="35">
        <f t="shared" si="117"/>
        <v>5779900</v>
      </c>
      <c r="I7489" s="35"/>
      <c r="K7489" t="s">
        <v>15</v>
      </c>
    </row>
    <row r="7490" spans="2:11" ht="24.75" x14ac:dyDescent="0.2">
      <c r="B7490" s="33" t="s">
        <v>8546</v>
      </c>
      <c r="C7490" s="33" t="s">
        <v>8547</v>
      </c>
      <c r="D7490" s="35">
        <f>SUMIFS(D7491:D9015,K7491:K9015,"0",B7491:B9015,"5 1 3 2 6 12 31111 6 M59 96300 000211 0000E 00001 00326*")-SUMIFS(E7491:E9015,K7491:K9015,"0",B7491:B9015,"5 1 3 2 6 12 31111 6 M59 96300 000211 0000E 00001 00326*")</f>
        <v>0</v>
      </c>
      <c r="E7490"/>
      <c r="F7490" s="35">
        <f>SUMIFS(F7491:F9015,K7491:K9015,"0",B7491:B9015,"5 1 3 2 6 12 31111 6 M59 96300 000211 0000E 00001 00326*")</f>
        <v>5779900</v>
      </c>
      <c r="G7490" s="35">
        <f>SUMIFS(G7491:G9015,K7491:K9015,"0",B7491:B9015,"5 1 3 2 6 12 31111 6 M59 96300 000211 0000E 00001 00326*")</f>
        <v>0</v>
      </c>
      <c r="H7490" s="35">
        <f t="shared" si="117"/>
        <v>5779900</v>
      </c>
      <c r="I7490" s="35"/>
      <c r="K7490" t="s">
        <v>15</v>
      </c>
    </row>
    <row r="7491" spans="2:11" ht="33" x14ac:dyDescent="0.2">
      <c r="B7491" s="33" t="s">
        <v>8548</v>
      </c>
      <c r="C7491" s="33" t="s">
        <v>1051</v>
      </c>
      <c r="D7491" s="35">
        <f>SUMIFS(D7492:D9015,K7492:K9015,"0",B7492:B9015,"5 1 3 2 6 12 31111 6 M59 96300 000211 0000E 00001 00326 015*")-SUMIFS(E7492:E9015,K7492:K9015,"0",B7492:B9015,"5 1 3 2 6 12 31111 6 M59 96300 000211 0000E 00001 00326 015*")</f>
        <v>0</v>
      </c>
      <c r="E7491"/>
      <c r="F7491" s="35">
        <f>SUMIFS(F7492:F9015,K7492:K9015,"0",B7492:B9015,"5 1 3 2 6 12 31111 6 M59 96300 000211 0000E 00001 00326 015*")</f>
        <v>5779900</v>
      </c>
      <c r="G7491" s="35">
        <f>SUMIFS(G7492:G9015,K7492:K9015,"0",B7492:B9015,"5 1 3 2 6 12 31111 6 M59 96300 000211 0000E 00001 00326 015*")</f>
        <v>0</v>
      </c>
      <c r="H7491" s="35">
        <f t="shared" si="117"/>
        <v>5779900</v>
      </c>
      <c r="I7491" s="35"/>
      <c r="K7491" t="s">
        <v>15</v>
      </c>
    </row>
    <row r="7492" spans="2:11" ht="33" x14ac:dyDescent="0.2">
      <c r="B7492" s="33" t="s">
        <v>8549</v>
      </c>
      <c r="C7492" s="33" t="s">
        <v>8550</v>
      </c>
      <c r="D7492" s="35">
        <f>SUMIFS(D7493:D9015,K7493:K9015,"0",B7493:B9015,"5 1 3 2 6 12 31111 6 M59 96300 000211 0000E 00001 00326 015 2111300*")-SUMIFS(E7493:E9015,K7493:K9015,"0",B7493:B9015,"5 1 3 2 6 12 31111 6 M59 96300 000211 0000E 00001 00326 015 2111300*")</f>
        <v>0</v>
      </c>
      <c r="E7492"/>
      <c r="F7492" s="35">
        <f>SUMIFS(F7493:F9015,K7493:K9015,"0",B7493:B9015,"5 1 3 2 6 12 31111 6 M59 96300 000211 0000E 00001 00326 015 2111300*")</f>
        <v>3484900</v>
      </c>
      <c r="G7492" s="35">
        <f>SUMIFS(G7493:G9015,K7493:K9015,"0",B7493:B9015,"5 1 3 2 6 12 31111 6 M59 96300 000211 0000E 00001 00326 015 2111300*")</f>
        <v>0</v>
      </c>
      <c r="H7492" s="35">
        <f t="shared" ref="H7492:H7555" si="118">D7492 + F7492 - G7492</f>
        <v>3484900</v>
      </c>
      <c r="I7492" s="35"/>
      <c r="K7492" t="s">
        <v>15</v>
      </c>
    </row>
    <row r="7493" spans="2:11" ht="33" x14ac:dyDescent="0.2">
      <c r="B7493" s="33" t="s">
        <v>8551</v>
      </c>
      <c r="C7493" s="33" t="s">
        <v>660</v>
      </c>
      <c r="D7493" s="35">
        <f>SUMIFS(D7494:D9015,K7494:K9015,"0",B7494:B9015,"5 1 3 2 6 12 31111 6 M59 96300 000211 0000E 00001 00326 015 2111300 2024*")-SUMIFS(E7494:E9015,K7494:K9015,"0",B7494:B9015,"5 1 3 2 6 12 31111 6 M59 96300 000211 0000E 00001 00326 015 2111300 2024*")</f>
        <v>0</v>
      </c>
      <c r="E7493"/>
      <c r="F7493" s="35">
        <f>SUMIFS(F7494:F9015,K7494:K9015,"0",B7494:B9015,"5 1 3 2 6 12 31111 6 M59 96300 000211 0000E 00001 00326 015 2111300 2024*")</f>
        <v>3484900</v>
      </c>
      <c r="G7493" s="35">
        <f>SUMIFS(G7494:G9015,K7494:K9015,"0",B7494:B9015,"5 1 3 2 6 12 31111 6 M59 96300 000211 0000E 00001 00326 015 2111300 2024*")</f>
        <v>0</v>
      </c>
      <c r="H7493" s="35">
        <f t="shared" si="118"/>
        <v>3484900</v>
      </c>
      <c r="I7493" s="35"/>
      <c r="K7493" t="s">
        <v>15</v>
      </c>
    </row>
    <row r="7494" spans="2:11" ht="41.25" x14ac:dyDescent="0.2">
      <c r="B7494" s="33" t="s">
        <v>8552</v>
      </c>
      <c r="C7494" s="33" t="s">
        <v>1056</v>
      </c>
      <c r="D7494" s="35">
        <f>SUMIFS(D7495:D9015,K7495:K9015,"0",B7495:B9015,"5 1 3 2 6 12 31111 6 M59 96300 000211 0000E 00001 00326 015 2111300 2024 CP1SB396*")-SUMIFS(E7495:E9015,K7495:K9015,"0",B7495:B9015,"5 1 3 2 6 12 31111 6 M59 96300 000211 0000E 00001 00326 015 2111300 2024 CP1SB396*")</f>
        <v>0</v>
      </c>
      <c r="E7494"/>
      <c r="F7494" s="35">
        <f>SUMIFS(F7495:F9015,K7495:K9015,"0",B7495:B9015,"5 1 3 2 6 12 31111 6 M59 96300 000211 0000E 00001 00326 015 2111300 2024 CP1SB396*")</f>
        <v>3484900</v>
      </c>
      <c r="G7494" s="35">
        <f>SUMIFS(G7495:G9015,K7495:K9015,"0",B7495:B9015,"5 1 3 2 6 12 31111 6 M59 96300 000211 0000E 00001 00326 015 2111300 2024 CP1SB396*")</f>
        <v>0</v>
      </c>
      <c r="H7494" s="35">
        <f t="shared" si="118"/>
        <v>3484900</v>
      </c>
      <c r="I7494" s="35"/>
      <c r="K7494" t="s">
        <v>15</v>
      </c>
    </row>
    <row r="7495" spans="2:11" ht="41.25" x14ac:dyDescent="0.2">
      <c r="B7495" s="33" t="s">
        <v>8553</v>
      </c>
      <c r="C7495" s="33" t="s">
        <v>282</v>
      </c>
      <c r="D7495" s="35">
        <f>SUMIFS(D7496:D9015,K7496:K9015,"0",B7496:B9015,"5 1 3 2 6 12 31111 6 M59 96300 000211 0000E 00001 00326 015 2111300 2024 CP1SB396 001*")-SUMIFS(E7496:E9015,K7496:K9015,"0",B7496:B9015,"5 1 3 2 6 12 31111 6 M59 96300 000211 0000E 00001 00326 015 2111300 2024 CP1SB396 001*")</f>
        <v>0</v>
      </c>
      <c r="E7495"/>
      <c r="F7495" s="35">
        <f>SUMIFS(F7496:F9015,K7496:K9015,"0",B7496:B9015,"5 1 3 2 6 12 31111 6 M59 96300 000211 0000E 00001 00326 015 2111300 2024 CP1SB396 001*")</f>
        <v>3484900</v>
      </c>
      <c r="G7495" s="35">
        <f>SUMIFS(G7496:G9015,K7496:K9015,"0",B7496:B9015,"5 1 3 2 6 12 31111 6 M59 96300 000211 0000E 00001 00326 015 2111300 2024 CP1SB396 001*")</f>
        <v>0</v>
      </c>
      <c r="H7495" s="35">
        <f t="shared" si="118"/>
        <v>3484900</v>
      </c>
      <c r="I7495" s="35"/>
      <c r="K7495" t="s">
        <v>15</v>
      </c>
    </row>
    <row r="7496" spans="2:11" ht="33" x14ac:dyDescent="0.2">
      <c r="B7496" s="31" t="s">
        <v>8554</v>
      </c>
      <c r="C7496" s="31" t="s">
        <v>8537</v>
      </c>
      <c r="D7496" s="34">
        <v>0</v>
      </c>
      <c r="E7496" s="34"/>
      <c r="F7496" s="34">
        <v>3484900</v>
      </c>
      <c r="G7496" s="34">
        <v>0</v>
      </c>
      <c r="H7496" s="34">
        <f t="shared" si="118"/>
        <v>3484900</v>
      </c>
      <c r="I7496" s="34"/>
      <c r="K7496" t="s">
        <v>38</v>
      </c>
    </row>
    <row r="7497" spans="2:11" ht="33" x14ac:dyDescent="0.2">
      <c r="B7497" s="33" t="s">
        <v>8555</v>
      </c>
      <c r="C7497" s="33" t="s">
        <v>5830</v>
      </c>
      <c r="D7497" s="35">
        <f>SUMIFS(D7498:D9015,K7498:K9015,"0",B7498:B9015,"5 1 3 2 6 12 31111 6 M59 96300 000211 0000E 00001 00326 015 2112000*")-SUMIFS(E7498:E9015,K7498:K9015,"0",B7498:B9015,"5 1 3 2 6 12 31111 6 M59 96300 000211 0000E 00001 00326 015 2112000*")</f>
        <v>0</v>
      </c>
      <c r="E7497"/>
      <c r="F7497" s="35">
        <f>SUMIFS(F7498:F9015,K7498:K9015,"0",B7498:B9015,"5 1 3 2 6 12 31111 6 M59 96300 000211 0000E 00001 00326 015 2112000*")</f>
        <v>2295000</v>
      </c>
      <c r="G7497" s="35">
        <f>SUMIFS(G7498:G9015,K7498:K9015,"0",B7498:B9015,"5 1 3 2 6 12 31111 6 M59 96300 000211 0000E 00001 00326 015 2112000*")</f>
        <v>0</v>
      </c>
      <c r="H7497" s="35">
        <f t="shared" si="118"/>
        <v>2295000</v>
      </c>
      <c r="I7497" s="35"/>
      <c r="K7497" t="s">
        <v>15</v>
      </c>
    </row>
    <row r="7498" spans="2:11" ht="33" x14ac:dyDescent="0.2">
      <c r="B7498" s="33" t="s">
        <v>8556</v>
      </c>
      <c r="C7498" s="33" t="s">
        <v>660</v>
      </c>
      <c r="D7498" s="35">
        <f>SUMIFS(D7499:D9015,K7499:K9015,"0",B7499:B9015,"5 1 3 2 6 12 31111 6 M59 96300 000211 0000E 00001 00326 015 2112000 2024*")-SUMIFS(E7499:E9015,K7499:K9015,"0",B7499:B9015,"5 1 3 2 6 12 31111 6 M59 96300 000211 0000E 00001 00326 015 2112000 2024*")</f>
        <v>0</v>
      </c>
      <c r="E7498"/>
      <c r="F7498" s="35">
        <f>SUMIFS(F7499:F9015,K7499:K9015,"0",B7499:B9015,"5 1 3 2 6 12 31111 6 M59 96300 000211 0000E 00001 00326 015 2112000 2024*")</f>
        <v>2295000</v>
      </c>
      <c r="G7498" s="35">
        <f>SUMIFS(G7499:G9015,K7499:K9015,"0",B7499:B9015,"5 1 3 2 6 12 31111 6 M59 96300 000211 0000E 00001 00326 015 2112000 2024*")</f>
        <v>0</v>
      </c>
      <c r="H7498" s="35">
        <f t="shared" si="118"/>
        <v>2295000</v>
      </c>
      <c r="I7498" s="35"/>
      <c r="K7498" t="s">
        <v>15</v>
      </c>
    </row>
    <row r="7499" spans="2:11" ht="41.25" x14ac:dyDescent="0.2">
      <c r="B7499" s="33" t="s">
        <v>8557</v>
      </c>
      <c r="C7499" s="33" t="s">
        <v>1056</v>
      </c>
      <c r="D7499" s="35">
        <f>SUMIFS(D7500:D9015,K7500:K9015,"0",B7500:B9015,"5 1 3 2 6 12 31111 6 M59 96300 000211 0000E 00001 00326 015 2112000 2024 CP1SB396*")-SUMIFS(E7500:E9015,K7500:K9015,"0",B7500:B9015,"5 1 3 2 6 12 31111 6 M59 96300 000211 0000E 00001 00326 015 2112000 2024 CP1SB396*")</f>
        <v>0</v>
      </c>
      <c r="E7499"/>
      <c r="F7499" s="35">
        <f>SUMIFS(F7500:F9015,K7500:K9015,"0",B7500:B9015,"5 1 3 2 6 12 31111 6 M59 96300 000211 0000E 00001 00326 015 2112000 2024 CP1SB396*")</f>
        <v>2295000</v>
      </c>
      <c r="G7499" s="35">
        <f>SUMIFS(G7500:G9015,K7500:K9015,"0",B7500:B9015,"5 1 3 2 6 12 31111 6 M59 96300 000211 0000E 00001 00326 015 2112000 2024 CP1SB396*")</f>
        <v>0</v>
      </c>
      <c r="H7499" s="35">
        <f t="shared" si="118"/>
        <v>2295000</v>
      </c>
      <c r="I7499" s="35"/>
      <c r="K7499" t="s">
        <v>15</v>
      </c>
    </row>
    <row r="7500" spans="2:11" ht="41.25" x14ac:dyDescent="0.2">
      <c r="B7500" s="33" t="s">
        <v>8558</v>
      </c>
      <c r="C7500" s="33" t="s">
        <v>282</v>
      </c>
      <c r="D7500" s="35">
        <f>SUMIFS(D7501:D9015,K7501:K9015,"0",B7501:B9015,"5 1 3 2 6 12 31111 6 M59 96300 000211 0000E 00001 00326 015 2112000 2024 CP1SB396 001*")-SUMIFS(E7501:E9015,K7501:K9015,"0",B7501:B9015,"5 1 3 2 6 12 31111 6 M59 96300 000211 0000E 00001 00326 015 2112000 2024 CP1SB396 001*")</f>
        <v>0</v>
      </c>
      <c r="E7500"/>
      <c r="F7500" s="35">
        <f>SUMIFS(F7501:F9015,K7501:K9015,"0",B7501:B9015,"5 1 3 2 6 12 31111 6 M59 96300 000211 0000E 00001 00326 015 2112000 2024 CP1SB396 001*")</f>
        <v>2295000</v>
      </c>
      <c r="G7500" s="35">
        <f>SUMIFS(G7501:G9015,K7501:K9015,"0",B7501:B9015,"5 1 3 2 6 12 31111 6 M59 96300 000211 0000E 00001 00326 015 2112000 2024 CP1SB396 001*")</f>
        <v>0</v>
      </c>
      <c r="H7500" s="35">
        <f t="shared" si="118"/>
        <v>2295000</v>
      </c>
      <c r="I7500" s="35"/>
      <c r="K7500" t="s">
        <v>15</v>
      </c>
    </row>
    <row r="7501" spans="2:11" ht="33" x14ac:dyDescent="0.2">
      <c r="B7501" s="31" t="s">
        <v>8559</v>
      </c>
      <c r="C7501" s="31" t="s">
        <v>8547</v>
      </c>
      <c r="D7501" s="34">
        <v>0</v>
      </c>
      <c r="E7501" s="34"/>
      <c r="F7501" s="34">
        <v>2295000</v>
      </c>
      <c r="G7501" s="34">
        <v>0</v>
      </c>
      <c r="H7501" s="34">
        <f t="shared" si="118"/>
        <v>2295000</v>
      </c>
      <c r="I7501" s="34"/>
      <c r="K7501" t="s">
        <v>38</v>
      </c>
    </row>
    <row r="7502" spans="2:11" ht="16.5" x14ac:dyDescent="0.2">
      <c r="B7502" s="33" t="s">
        <v>8560</v>
      </c>
      <c r="C7502" s="33" t="s">
        <v>8561</v>
      </c>
      <c r="D7502" s="35">
        <f>SUMIFS(D7503:D9015,K7503:K9015,"0",B7503:B9015,"5 1 3 2 7*")-SUMIFS(E7503:E9015,K7503:K9015,"0",B7503:B9015,"5 1 3 2 7*")</f>
        <v>0</v>
      </c>
      <c r="E7502"/>
      <c r="F7502" s="35">
        <f>SUMIFS(F7503:F9015,K7503:K9015,"0",B7503:B9015,"5 1 3 2 7*")</f>
        <v>3456.8</v>
      </c>
      <c r="G7502" s="35">
        <f>SUMIFS(G7503:G9015,K7503:K9015,"0",B7503:B9015,"5 1 3 2 7*")</f>
        <v>0</v>
      </c>
      <c r="H7502" s="35">
        <f t="shared" si="118"/>
        <v>3456.8</v>
      </c>
      <c r="I7502" s="35"/>
      <c r="K7502" t="s">
        <v>15</v>
      </c>
    </row>
    <row r="7503" spans="2:11" ht="12.75" x14ac:dyDescent="0.2">
      <c r="B7503" s="33" t="s">
        <v>8562</v>
      </c>
      <c r="C7503" s="33" t="s">
        <v>26</v>
      </c>
      <c r="D7503" s="35">
        <f>SUMIFS(D7504:D9015,K7504:K9015,"0",B7504:B9015,"5 1 3 2 7 12*")-SUMIFS(E7504:E9015,K7504:K9015,"0",B7504:B9015,"5 1 3 2 7 12*")</f>
        <v>0</v>
      </c>
      <c r="E7503"/>
      <c r="F7503" s="35">
        <f>SUMIFS(F7504:F9015,K7504:K9015,"0",B7504:B9015,"5 1 3 2 7 12*")</f>
        <v>3456.8</v>
      </c>
      <c r="G7503" s="35">
        <f>SUMIFS(G7504:G9015,K7504:K9015,"0",B7504:B9015,"5 1 3 2 7 12*")</f>
        <v>0</v>
      </c>
      <c r="H7503" s="35">
        <f t="shared" si="118"/>
        <v>3456.8</v>
      </c>
      <c r="I7503" s="35"/>
      <c r="K7503" t="s">
        <v>15</v>
      </c>
    </row>
    <row r="7504" spans="2:11" ht="16.5" x14ac:dyDescent="0.2">
      <c r="B7504" s="33" t="s">
        <v>8563</v>
      </c>
      <c r="C7504" s="33" t="s">
        <v>28</v>
      </c>
      <c r="D7504" s="35">
        <f>SUMIFS(D7505:D9015,K7505:K9015,"0",B7505:B9015,"5 1 3 2 7 12 31111*")-SUMIFS(E7505:E9015,K7505:K9015,"0",B7505:B9015,"5 1 3 2 7 12 31111*")</f>
        <v>0</v>
      </c>
      <c r="E7504"/>
      <c r="F7504" s="35">
        <f>SUMIFS(F7505:F9015,K7505:K9015,"0",B7505:B9015,"5 1 3 2 7 12 31111*")</f>
        <v>3456.8</v>
      </c>
      <c r="G7504" s="35">
        <f>SUMIFS(G7505:G9015,K7505:K9015,"0",B7505:B9015,"5 1 3 2 7 12 31111*")</f>
        <v>0</v>
      </c>
      <c r="H7504" s="35">
        <f t="shared" si="118"/>
        <v>3456.8</v>
      </c>
      <c r="I7504" s="35"/>
      <c r="K7504" t="s">
        <v>15</v>
      </c>
    </row>
    <row r="7505" spans="2:11" ht="12.75" x14ac:dyDescent="0.2">
      <c r="B7505" s="33" t="s">
        <v>8564</v>
      </c>
      <c r="C7505" s="33" t="s">
        <v>30</v>
      </c>
      <c r="D7505" s="35">
        <f>SUMIFS(D7506:D9015,K7506:K9015,"0",B7506:B9015,"5 1 3 2 7 12 31111 6*")-SUMIFS(E7506:E9015,K7506:K9015,"0",B7506:B9015,"5 1 3 2 7 12 31111 6*")</f>
        <v>0</v>
      </c>
      <c r="E7505"/>
      <c r="F7505" s="35">
        <f>SUMIFS(F7506:F9015,K7506:K9015,"0",B7506:B9015,"5 1 3 2 7 12 31111 6*")</f>
        <v>3456.8</v>
      </c>
      <c r="G7505" s="35">
        <f>SUMIFS(G7506:G9015,K7506:K9015,"0",B7506:B9015,"5 1 3 2 7 12 31111 6*")</f>
        <v>0</v>
      </c>
      <c r="H7505" s="35">
        <f t="shared" si="118"/>
        <v>3456.8</v>
      </c>
      <c r="I7505" s="35"/>
      <c r="K7505" t="s">
        <v>15</v>
      </c>
    </row>
    <row r="7506" spans="2:11" ht="16.5" x14ac:dyDescent="0.2">
      <c r="B7506" s="33" t="s">
        <v>8565</v>
      </c>
      <c r="C7506" s="33" t="s">
        <v>2284</v>
      </c>
      <c r="D7506" s="35">
        <f>SUMIFS(D7507:D9015,K7507:K9015,"0",B7507:B9015,"5 1 3 2 7 12 31111 6 M59*")-SUMIFS(E7507:E9015,K7507:K9015,"0",B7507:B9015,"5 1 3 2 7 12 31111 6 M59*")</f>
        <v>0</v>
      </c>
      <c r="E7506"/>
      <c r="F7506" s="35">
        <f>SUMIFS(F7507:F9015,K7507:K9015,"0",B7507:B9015,"5 1 3 2 7 12 31111 6 M59*")</f>
        <v>3456.8</v>
      </c>
      <c r="G7506" s="35">
        <f>SUMIFS(G7507:G9015,K7507:K9015,"0",B7507:B9015,"5 1 3 2 7 12 31111 6 M59*")</f>
        <v>0</v>
      </c>
      <c r="H7506" s="35">
        <f t="shared" si="118"/>
        <v>3456.8</v>
      </c>
      <c r="I7506" s="35"/>
      <c r="K7506" t="s">
        <v>15</v>
      </c>
    </row>
    <row r="7507" spans="2:11" ht="16.5" x14ac:dyDescent="0.2">
      <c r="B7507" s="33" t="s">
        <v>8566</v>
      </c>
      <c r="C7507" s="33" t="s">
        <v>1044</v>
      </c>
      <c r="D7507" s="35">
        <f>SUMIFS(D7508:D9015,K7508:K9015,"0",B7508:B9015,"5 1 3 2 7 12 31111 6 M59 19000*")-SUMIFS(E7508:E9015,K7508:K9015,"0",B7508:B9015,"5 1 3 2 7 12 31111 6 M59 19000*")</f>
        <v>0</v>
      </c>
      <c r="E7507"/>
      <c r="F7507" s="35">
        <f>SUMIFS(F7508:F9015,K7508:K9015,"0",B7508:B9015,"5 1 3 2 7 12 31111 6 M59 19000*")</f>
        <v>3456.8</v>
      </c>
      <c r="G7507" s="35">
        <f>SUMIFS(G7508:G9015,K7508:K9015,"0",B7508:B9015,"5 1 3 2 7 12 31111 6 M59 19000*")</f>
        <v>0</v>
      </c>
      <c r="H7507" s="35">
        <f t="shared" si="118"/>
        <v>3456.8</v>
      </c>
      <c r="I7507" s="35"/>
      <c r="K7507" t="s">
        <v>15</v>
      </c>
    </row>
    <row r="7508" spans="2:11" ht="16.5" x14ac:dyDescent="0.2">
      <c r="B7508" s="33" t="s">
        <v>8567</v>
      </c>
      <c r="C7508" s="33" t="s">
        <v>648</v>
      </c>
      <c r="D7508" s="35">
        <f>SUMIFS(D7509:D9015,K7509:K9015,"0",B7509:B9015,"5 1 3 2 7 12 31111 6 M59 19000 000132*")-SUMIFS(E7509:E9015,K7509:K9015,"0",B7509:B9015,"5 1 3 2 7 12 31111 6 M59 19000 000132*")</f>
        <v>0</v>
      </c>
      <c r="E7508"/>
      <c r="F7508" s="35">
        <f>SUMIFS(F7509:F9015,K7509:K9015,"0",B7509:B9015,"5 1 3 2 7 12 31111 6 M59 19000 000132*")</f>
        <v>3456.8</v>
      </c>
      <c r="G7508" s="35">
        <f>SUMIFS(G7509:G9015,K7509:K9015,"0",B7509:B9015,"5 1 3 2 7 12 31111 6 M59 19000 000132*")</f>
        <v>0</v>
      </c>
      <c r="H7508" s="35">
        <f t="shared" si="118"/>
        <v>3456.8</v>
      </c>
      <c r="I7508" s="35"/>
      <c r="K7508" t="s">
        <v>15</v>
      </c>
    </row>
    <row r="7509" spans="2:11" ht="24.75" x14ac:dyDescent="0.2">
      <c r="B7509" s="33" t="s">
        <v>8568</v>
      </c>
      <c r="C7509" s="33" t="s">
        <v>650</v>
      </c>
      <c r="D7509" s="35">
        <f>SUMIFS(D7510:D9015,K7510:K9015,"0",B7510:B9015,"5 1 3 2 7 12 31111 6 M59 19000 000132 0000R*")-SUMIFS(E7510:E9015,K7510:K9015,"0",B7510:B9015,"5 1 3 2 7 12 31111 6 M59 19000 000132 0000R*")</f>
        <v>0</v>
      </c>
      <c r="E7509"/>
      <c r="F7509" s="35">
        <f>SUMIFS(F7510:F9015,K7510:K9015,"0",B7510:B9015,"5 1 3 2 7 12 31111 6 M59 19000 000132 0000R*")</f>
        <v>3456.8</v>
      </c>
      <c r="G7509" s="35">
        <f>SUMIFS(G7510:G9015,K7510:K9015,"0",B7510:B9015,"5 1 3 2 7 12 31111 6 M59 19000 000132 0000R*")</f>
        <v>0</v>
      </c>
      <c r="H7509" s="35">
        <f t="shared" si="118"/>
        <v>3456.8</v>
      </c>
      <c r="I7509" s="35"/>
      <c r="K7509" t="s">
        <v>15</v>
      </c>
    </row>
    <row r="7510" spans="2:11" ht="24.75" x14ac:dyDescent="0.2">
      <c r="B7510" s="33" t="s">
        <v>8569</v>
      </c>
      <c r="C7510" s="33" t="s">
        <v>282</v>
      </c>
      <c r="D7510" s="35">
        <f>SUMIFS(D7511:D9015,K7511:K9015,"0",B7511:B9015,"5 1 3 2 7 12 31111 6 M59 19000 000132 0000R 00001*")-SUMIFS(E7511:E9015,K7511:K9015,"0",B7511:B9015,"5 1 3 2 7 12 31111 6 M59 19000 000132 0000R 00001*")</f>
        <v>0</v>
      </c>
      <c r="E7510"/>
      <c r="F7510" s="35">
        <f>SUMIFS(F7511:F9015,K7511:K9015,"0",B7511:B9015,"5 1 3 2 7 12 31111 6 M59 19000 000132 0000R 00001*")</f>
        <v>3456.8</v>
      </c>
      <c r="G7510" s="35">
        <f>SUMIFS(G7511:G9015,K7511:K9015,"0",B7511:B9015,"5 1 3 2 7 12 31111 6 M59 19000 000132 0000R 00001*")</f>
        <v>0</v>
      </c>
      <c r="H7510" s="35">
        <f t="shared" si="118"/>
        <v>3456.8</v>
      </c>
      <c r="I7510" s="35"/>
      <c r="K7510" t="s">
        <v>15</v>
      </c>
    </row>
    <row r="7511" spans="2:11" ht="24.75" x14ac:dyDescent="0.2">
      <c r="B7511" s="33" t="s">
        <v>8570</v>
      </c>
      <c r="C7511" s="33" t="s">
        <v>8571</v>
      </c>
      <c r="D7511" s="35">
        <f>SUMIFS(D7512:D9015,K7512:K9015,"0",B7512:B9015,"5 1 3 2 7 12 31111 6 M59 19000 000132 0000R 00001 00327*")-SUMIFS(E7512:E9015,K7512:K9015,"0",B7512:B9015,"5 1 3 2 7 12 31111 6 M59 19000 000132 0000R 00001 00327*")</f>
        <v>0</v>
      </c>
      <c r="E7511"/>
      <c r="F7511" s="35">
        <f>SUMIFS(F7512:F9015,K7512:K9015,"0",B7512:B9015,"5 1 3 2 7 12 31111 6 M59 19000 000132 0000R 00001 00327*")</f>
        <v>3456.8</v>
      </c>
      <c r="G7511" s="35">
        <f>SUMIFS(G7512:G9015,K7512:K9015,"0",B7512:B9015,"5 1 3 2 7 12 31111 6 M59 19000 000132 0000R 00001 00327*")</f>
        <v>0</v>
      </c>
      <c r="H7511" s="35">
        <f t="shared" si="118"/>
        <v>3456.8</v>
      </c>
      <c r="I7511" s="35"/>
      <c r="K7511" t="s">
        <v>15</v>
      </c>
    </row>
    <row r="7512" spans="2:11" ht="33" x14ac:dyDescent="0.2">
      <c r="B7512" s="33" t="s">
        <v>8572</v>
      </c>
      <c r="C7512" s="33" t="s">
        <v>1051</v>
      </c>
      <c r="D7512" s="35">
        <f>SUMIFS(D7513:D9015,K7513:K9015,"0",B7513:B9015,"5 1 3 2 7 12 31111 6 M59 19000 000132 0000R 00001 00327 015*")-SUMIFS(E7513:E9015,K7513:K9015,"0",B7513:B9015,"5 1 3 2 7 12 31111 6 M59 19000 000132 0000R 00001 00327 015*")</f>
        <v>0</v>
      </c>
      <c r="E7512"/>
      <c r="F7512" s="35">
        <f>SUMIFS(F7513:F9015,K7513:K9015,"0",B7513:B9015,"5 1 3 2 7 12 31111 6 M59 19000 000132 0000R 00001 00327 015*")</f>
        <v>3456.8</v>
      </c>
      <c r="G7512" s="35">
        <f>SUMIFS(G7513:G9015,K7513:K9015,"0",B7513:B9015,"5 1 3 2 7 12 31111 6 M59 19000 000132 0000R 00001 00327 015*")</f>
        <v>0</v>
      </c>
      <c r="H7512" s="35">
        <f t="shared" si="118"/>
        <v>3456.8</v>
      </c>
      <c r="I7512" s="35"/>
      <c r="K7512" t="s">
        <v>15</v>
      </c>
    </row>
    <row r="7513" spans="2:11" ht="33" x14ac:dyDescent="0.2">
      <c r="B7513" s="33" t="s">
        <v>8573</v>
      </c>
      <c r="C7513" s="33" t="s">
        <v>5830</v>
      </c>
      <c r="D7513" s="35">
        <f>SUMIFS(D7514:D9015,K7514:K9015,"0",B7514:B9015,"5 1 3 2 7 12 31111 6 M59 19000 000132 0000R 00001 00327 015 2112000*")-SUMIFS(E7514:E9015,K7514:K9015,"0",B7514:B9015,"5 1 3 2 7 12 31111 6 M59 19000 000132 0000R 00001 00327 015 2112000*")</f>
        <v>0</v>
      </c>
      <c r="E7513"/>
      <c r="F7513" s="35">
        <f>SUMIFS(F7514:F9015,K7514:K9015,"0",B7514:B9015,"5 1 3 2 7 12 31111 6 M59 19000 000132 0000R 00001 00327 015 2112000*")</f>
        <v>3456.8</v>
      </c>
      <c r="G7513" s="35">
        <f>SUMIFS(G7514:G9015,K7514:K9015,"0",B7514:B9015,"5 1 3 2 7 12 31111 6 M59 19000 000132 0000R 00001 00327 015 2112000*")</f>
        <v>0</v>
      </c>
      <c r="H7513" s="35">
        <f t="shared" si="118"/>
        <v>3456.8</v>
      </c>
      <c r="I7513" s="35"/>
      <c r="K7513" t="s">
        <v>15</v>
      </c>
    </row>
    <row r="7514" spans="2:11" ht="33" x14ac:dyDescent="0.2">
      <c r="B7514" s="33" t="s">
        <v>8574</v>
      </c>
      <c r="C7514" s="33" t="s">
        <v>660</v>
      </c>
      <c r="D7514" s="35">
        <f>SUMIFS(D7515:D9015,K7515:K9015,"0",B7515:B9015,"5 1 3 2 7 12 31111 6 M59 19000 000132 0000R 00001 00327 015 2112000 2024*")-SUMIFS(E7515:E9015,K7515:K9015,"0",B7515:B9015,"5 1 3 2 7 12 31111 6 M59 19000 000132 0000R 00001 00327 015 2112000 2024*")</f>
        <v>0</v>
      </c>
      <c r="E7514"/>
      <c r="F7514" s="35">
        <f>SUMIFS(F7515:F9015,K7515:K9015,"0",B7515:B9015,"5 1 3 2 7 12 31111 6 M59 19000 000132 0000R 00001 00327 015 2112000 2024*")</f>
        <v>3456.8</v>
      </c>
      <c r="G7514" s="35">
        <f>SUMIFS(G7515:G9015,K7515:K9015,"0",B7515:B9015,"5 1 3 2 7 12 31111 6 M59 19000 000132 0000R 00001 00327 015 2112000 2024*")</f>
        <v>0</v>
      </c>
      <c r="H7514" s="35">
        <f t="shared" si="118"/>
        <v>3456.8</v>
      </c>
      <c r="I7514" s="35"/>
      <c r="K7514" t="s">
        <v>15</v>
      </c>
    </row>
    <row r="7515" spans="2:11" ht="41.25" x14ac:dyDescent="0.2">
      <c r="B7515" s="33" t="s">
        <v>8575</v>
      </c>
      <c r="C7515" s="33" t="s">
        <v>662</v>
      </c>
      <c r="D7515" s="35">
        <f>SUMIFS(D7516:D9015,K7516:K9015,"0",B7516:B9015,"5 1 3 2 7 12 31111 6 M59 19000 000132 0000R 00001 00327 015 2112000 2024 CP1TM440*")-SUMIFS(E7516:E9015,K7516:K9015,"0",B7516:B9015,"5 1 3 2 7 12 31111 6 M59 19000 000132 0000R 00001 00327 015 2112000 2024 CP1TM440*")</f>
        <v>0</v>
      </c>
      <c r="E7515"/>
      <c r="F7515" s="35">
        <f>SUMIFS(F7516:F9015,K7516:K9015,"0",B7516:B9015,"5 1 3 2 7 12 31111 6 M59 19000 000132 0000R 00001 00327 015 2112000 2024 CP1TM440*")</f>
        <v>3456.8</v>
      </c>
      <c r="G7515" s="35">
        <f>SUMIFS(G7516:G9015,K7516:K9015,"0",B7516:B9015,"5 1 3 2 7 12 31111 6 M59 19000 000132 0000R 00001 00327 015 2112000 2024 CP1TM440*")</f>
        <v>0</v>
      </c>
      <c r="H7515" s="35">
        <f t="shared" si="118"/>
        <v>3456.8</v>
      </c>
      <c r="I7515" s="35"/>
      <c r="K7515" t="s">
        <v>15</v>
      </c>
    </row>
    <row r="7516" spans="2:11" ht="41.25" x14ac:dyDescent="0.2">
      <c r="B7516" s="33" t="s">
        <v>8576</v>
      </c>
      <c r="C7516" s="33" t="s">
        <v>282</v>
      </c>
      <c r="D7516" s="35">
        <f>SUMIFS(D7517:D9015,K7517:K9015,"0",B7517:B9015,"5 1 3 2 7 12 31111 6 M59 19000 000132 0000R 00001 00327 015 2112000 2024 CP1TM440 001*")-SUMIFS(E7517:E9015,K7517:K9015,"0",B7517:B9015,"5 1 3 2 7 12 31111 6 M59 19000 000132 0000R 00001 00327 015 2112000 2024 CP1TM440 001*")</f>
        <v>0</v>
      </c>
      <c r="E7516"/>
      <c r="F7516" s="35">
        <f>SUMIFS(F7517:F9015,K7517:K9015,"0",B7517:B9015,"5 1 3 2 7 12 31111 6 M59 19000 000132 0000R 00001 00327 015 2112000 2024 CP1TM440 001*")</f>
        <v>3456.8</v>
      </c>
      <c r="G7516" s="35">
        <f>SUMIFS(G7517:G9015,K7517:K9015,"0",B7517:B9015,"5 1 3 2 7 12 31111 6 M59 19000 000132 0000R 00001 00327 015 2112000 2024 CP1TM440 001*")</f>
        <v>0</v>
      </c>
      <c r="H7516" s="35">
        <f t="shared" si="118"/>
        <v>3456.8</v>
      </c>
      <c r="I7516" s="35"/>
      <c r="K7516" t="s">
        <v>15</v>
      </c>
    </row>
    <row r="7517" spans="2:11" ht="33" x14ac:dyDescent="0.2">
      <c r="B7517" s="31" t="s">
        <v>8577</v>
      </c>
      <c r="C7517" s="31" t="s">
        <v>8561</v>
      </c>
      <c r="D7517" s="34">
        <v>0</v>
      </c>
      <c r="E7517" s="34"/>
      <c r="F7517" s="34">
        <v>3456.8</v>
      </c>
      <c r="G7517" s="34">
        <v>0</v>
      </c>
      <c r="H7517" s="34">
        <f t="shared" si="118"/>
        <v>3456.8</v>
      </c>
      <c r="I7517" s="34"/>
      <c r="K7517" t="s">
        <v>38</v>
      </c>
    </row>
    <row r="7518" spans="2:11" ht="24.75" x14ac:dyDescent="0.2">
      <c r="B7518" s="33" t="s">
        <v>8578</v>
      </c>
      <c r="C7518" s="33" t="s">
        <v>8579</v>
      </c>
      <c r="D7518" s="35">
        <f>SUMIFS(D7519:D9015,K7519:K9015,"0",B7519:B9015,"5 1 3 3*")-SUMIFS(E7519:E9015,K7519:K9015,"0",B7519:B9015,"5 1 3 3*")</f>
        <v>0</v>
      </c>
      <c r="E7518"/>
      <c r="F7518" s="35">
        <f>SUMIFS(F7519:F9015,K7519:K9015,"0",B7519:B9015,"5 1 3 3*")</f>
        <v>1266576.5999999999</v>
      </c>
      <c r="G7518" s="35">
        <f>SUMIFS(G7519:G9015,K7519:K9015,"0",B7519:B9015,"5 1 3 3*")</f>
        <v>0</v>
      </c>
      <c r="H7518" s="35">
        <f t="shared" si="118"/>
        <v>1266576.5999999999</v>
      </c>
      <c r="I7518" s="35"/>
      <c r="K7518" t="s">
        <v>15</v>
      </c>
    </row>
    <row r="7519" spans="2:11" ht="33" x14ac:dyDescent="0.2">
      <c r="B7519" s="33" t="s">
        <v>8580</v>
      </c>
      <c r="C7519" s="33" t="s">
        <v>8581</v>
      </c>
      <c r="D7519" s="35">
        <f>SUMIFS(D7520:D9015,K7520:K9015,"0",B7520:B9015,"5 1 3 3 3*")-SUMIFS(E7520:E9015,K7520:K9015,"0",B7520:B9015,"5 1 3 3 3*")</f>
        <v>0</v>
      </c>
      <c r="E7519"/>
      <c r="F7519" s="35">
        <f>SUMIFS(F7520:F9015,K7520:K9015,"0",B7520:B9015,"5 1 3 3 3*")</f>
        <v>760000</v>
      </c>
      <c r="G7519" s="35">
        <f>SUMIFS(G7520:G9015,K7520:K9015,"0",B7520:B9015,"5 1 3 3 3*")</f>
        <v>0</v>
      </c>
      <c r="H7519" s="35">
        <f t="shared" si="118"/>
        <v>760000</v>
      </c>
      <c r="I7519" s="35"/>
      <c r="K7519" t="s">
        <v>15</v>
      </c>
    </row>
    <row r="7520" spans="2:11" ht="12.75" x14ac:dyDescent="0.2">
      <c r="B7520" s="33" t="s">
        <v>8582</v>
      </c>
      <c r="C7520" s="33" t="s">
        <v>26</v>
      </c>
      <c r="D7520" s="35">
        <f>SUMIFS(D7521:D9015,K7521:K9015,"0",B7521:B9015,"5 1 3 3 3 12*")-SUMIFS(E7521:E9015,K7521:K9015,"0",B7521:B9015,"5 1 3 3 3 12*")</f>
        <v>0</v>
      </c>
      <c r="E7520"/>
      <c r="F7520" s="35">
        <f>SUMIFS(F7521:F9015,K7521:K9015,"0",B7521:B9015,"5 1 3 3 3 12*")</f>
        <v>760000</v>
      </c>
      <c r="G7520" s="35">
        <f>SUMIFS(G7521:G9015,K7521:K9015,"0",B7521:B9015,"5 1 3 3 3 12*")</f>
        <v>0</v>
      </c>
      <c r="H7520" s="35">
        <f t="shared" si="118"/>
        <v>760000</v>
      </c>
      <c r="I7520" s="35"/>
      <c r="K7520" t="s">
        <v>15</v>
      </c>
    </row>
    <row r="7521" spans="2:11" ht="16.5" x14ac:dyDescent="0.2">
      <c r="B7521" s="33" t="s">
        <v>8583</v>
      </c>
      <c r="C7521" s="33" t="s">
        <v>28</v>
      </c>
      <c r="D7521" s="35">
        <f>SUMIFS(D7522:D9015,K7522:K9015,"0",B7522:B9015,"5 1 3 3 3 12 31111*")-SUMIFS(E7522:E9015,K7522:K9015,"0",B7522:B9015,"5 1 3 3 3 12 31111*")</f>
        <v>0</v>
      </c>
      <c r="E7521"/>
      <c r="F7521" s="35">
        <f>SUMIFS(F7522:F9015,K7522:K9015,"0",B7522:B9015,"5 1 3 3 3 12 31111*")</f>
        <v>760000</v>
      </c>
      <c r="G7521" s="35">
        <f>SUMIFS(G7522:G9015,K7522:K9015,"0",B7522:B9015,"5 1 3 3 3 12 31111*")</f>
        <v>0</v>
      </c>
      <c r="H7521" s="35">
        <f t="shared" si="118"/>
        <v>760000</v>
      </c>
      <c r="I7521" s="35"/>
      <c r="K7521" t="s">
        <v>15</v>
      </c>
    </row>
    <row r="7522" spans="2:11" ht="12.75" x14ac:dyDescent="0.2">
      <c r="B7522" s="33" t="s">
        <v>8584</v>
      </c>
      <c r="C7522" s="33" t="s">
        <v>30</v>
      </c>
      <c r="D7522" s="35">
        <f>SUMIFS(D7523:D9015,K7523:K9015,"0",B7523:B9015,"5 1 3 3 3 12 31111 6*")-SUMIFS(E7523:E9015,K7523:K9015,"0",B7523:B9015,"5 1 3 3 3 12 31111 6*")</f>
        <v>0</v>
      </c>
      <c r="E7522"/>
      <c r="F7522" s="35">
        <f>SUMIFS(F7523:F9015,K7523:K9015,"0",B7523:B9015,"5 1 3 3 3 12 31111 6*")</f>
        <v>760000</v>
      </c>
      <c r="G7522" s="35">
        <f>SUMIFS(G7523:G9015,K7523:K9015,"0",B7523:B9015,"5 1 3 3 3 12 31111 6*")</f>
        <v>0</v>
      </c>
      <c r="H7522" s="35">
        <f t="shared" si="118"/>
        <v>760000</v>
      </c>
      <c r="I7522" s="35"/>
      <c r="K7522" t="s">
        <v>15</v>
      </c>
    </row>
    <row r="7523" spans="2:11" ht="16.5" x14ac:dyDescent="0.2">
      <c r="B7523" s="33" t="s">
        <v>8585</v>
      </c>
      <c r="C7523" s="33" t="s">
        <v>2284</v>
      </c>
      <c r="D7523" s="35">
        <f>SUMIFS(D7524:D9015,K7524:K9015,"0",B7524:B9015,"5 1 3 3 3 12 31111 6 M59*")-SUMIFS(E7524:E9015,K7524:K9015,"0",B7524:B9015,"5 1 3 3 3 12 31111 6 M59*")</f>
        <v>0</v>
      </c>
      <c r="E7523"/>
      <c r="F7523" s="35">
        <f>SUMIFS(F7524:F9015,K7524:K9015,"0",B7524:B9015,"5 1 3 3 3 12 31111 6 M59*")</f>
        <v>760000</v>
      </c>
      <c r="G7523" s="35">
        <f>SUMIFS(G7524:G9015,K7524:K9015,"0",B7524:B9015,"5 1 3 3 3 12 31111 6 M59*")</f>
        <v>0</v>
      </c>
      <c r="H7523" s="35">
        <f t="shared" si="118"/>
        <v>760000</v>
      </c>
      <c r="I7523" s="35"/>
      <c r="K7523" t="s">
        <v>15</v>
      </c>
    </row>
    <row r="7524" spans="2:11" ht="16.5" x14ac:dyDescent="0.2">
      <c r="B7524" s="33" t="s">
        <v>8586</v>
      </c>
      <c r="C7524" s="33" t="s">
        <v>1044</v>
      </c>
      <c r="D7524" s="35">
        <f>SUMIFS(D7525:D9015,K7525:K9015,"0",B7525:B9015,"5 1 3 3 3 12 31111 6 M59 19000*")-SUMIFS(E7525:E9015,K7525:K9015,"0",B7525:B9015,"5 1 3 3 3 12 31111 6 M59 19000*")</f>
        <v>0</v>
      </c>
      <c r="E7524"/>
      <c r="F7524" s="35">
        <f>SUMIFS(F7525:F9015,K7525:K9015,"0",B7525:B9015,"5 1 3 3 3 12 31111 6 M59 19000*")</f>
        <v>760000</v>
      </c>
      <c r="G7524" s="35">
        <f>SUMIFS(G7525:G9015,K7525:K9015,"0",B7525:B9015,"5 1 3 3 3 12 31111 6 M59 19000*")</f>
        <v>0</v>
      </c>
      <c r="H7524" s="35">
        <f t="shared" si="118"/>
        <v>760000</v>
      </c>
      <c r="I7524" s="35"/>
      <c r="K7524" t="s">
        <v>15</v>
      </c>
    </row>
    <row r="7525" spans="2:11" ht="16.5" x14ac:dyDescent="0.2">
      <c r="B7525" s="33" t="s">
        <v>8587</v>
      </c>
      <c r="C7525" s="33" t="s">
        <v>648</v>
      </c>
      <c r="D7525" s="35">
        <f>SUMIFS(D7526:D9015,K7526:K9015,"0",B7526:B9015,"5 1 3 3 3 12 31111 6 M59 19000 000132*")-SUMIFS(E7526:E9015,K7526:K9015,"0",B7526:B9015,"5 1 3 3 3 12 31111 6 M59 19000 000132*")</f>
        <v>0</v>
      </c>
      <c r="E7525"/>
      <c r="F7525" s="35">
        <f>SUMIFS(F7526:F9015,K7526:K9015,"0",B7526:B9015,"5 1 3 3 3 12 31111 6 M59 19000 000132*")</f>
        <v>70948</v>
      </c>
      <c r="G7525" s="35">
        <f>SUMIFS(G7526:G9015,K7526:K9015,"0",B7526:B9015,"5 1 3 3 3 12 31111 6 M59 19000 000132*")</f>
        <v>0</v>
      </c>
      <c r="H7525" s="35">
        <f t="shared" si="118"/>
        <v>70948</v>
      </c>
      <c r="I7525" s="35"/>
      <c r="K7525" t="s">
        <v>15</v>
      </c>
    </row>
    <row r="7526" spans="2:11" ht="24.75" x14ac:dyDescent="0.2">
      <c r="B7526" s="33" t="s">
        <v>8588</v>
      </c>
      <c r="C7526" s="33" t="s">
        <v>650</v>
      </c>
      <c r="D7526" s="35">
        <f>SUMIFS(D7527:D9015,K7527:K9015,"0",B7527:B9015,"5 1 3 3 3 12 31111 6 M59 19000 000132 0000R*")-SUMIFS(E7527:E9015,K7527:K9015,"0",B7527:B9015,"5 1 3 3 3 12 31111 6 M59 19000 000132 0000R*")</f>
        <v>0</v>
      </c>
      <c r="E7526"/>
      <c r="F7526" s="35">
        <f>SUMIFS(F7527:F9015,K7527:K9015,"0",B7527:B9015,"5 1 3 3 3 12 31111 6 M59 19000 000132 0000R*")</f>
        <v>70948</v>
      </c>
      <c r="G7526" s="35">
        <f>SUMIFS(G7527:G9015,K7527:K9015,"0",B7527:B9015,"5 1 3 3 3 12 31111 6 M59 19000 000132 0000R*")</f>
        <v>0</v>
      </c>
      <c r="H7526" s="35">
        <f t="shared" si="118"/>
        <v>70948</v>
      </c>
      <c r="I7526" s="35"/>
      <c r="K7526" t="s">
        <v>15</v>
      </c>
    </row>
    <row r="7527" spans="2:11" ht="24.75" x14ac:dyDescent="0.2">
      <c r="B7527" s="33" t="s">
        <v>8589</v>
      </c>
      <c r="C7527" s="33" t="s">
        <v>282</v>
      </c>
      <c r="D7527" s="35">
        <f>SUMIFS(D7528:D9015,K7528:K9015,"0",B7528:B9015,"5 1 3 3 3 12 31111 6 M59 19000 000132 0000R 00001*")-SUMIFS(E7528:E9015,K7528:K9015,"0",B7528:B9015,"5 1 3 3 3 12 31111 6 M59 19000 000132 0000R 00001*")</f>
        <v>0</v>
      </c>
      <c r="E7527"/>
      <c r="F7527" s="35">
        <f>SUMIFS(F7528:F9015,K7528:K9015,"0",B7528:B9015,"5 1 3 3 3 12 31111 6 M59 19000 000132 0000R 00001*")</f>
        <v>70948</v>
      </c>
      <c r="G7527" s="35">
        <f>SUMIFS(G7528:G9015,K7528:K9015,"0",B7528:B9015,"5 1 3 3 3 12 31111 6 M59 19000 000132 0000R 00001*")</f>
        <v>0</v>
      </c>
      <c r="H7527" s="35">
        <f t="shared" si="118"/>
        <v>70948</v>
      </c>
      <c r="I7527" s="35"/>
      <c r="K7527" t="s">
        <v>15</v>
      </c>
    </row>
    <row r="7528" spans="2:11" ht="33" x14ac:dyDescent="0.2">
      <c r="B7528" s="33" t="s">
        <v>8590</v>
      </c>
      <c r="C7528" s="33" t="s">
        <v>8591</v>
      </c>
      <c r="D7528" s="35">
        <f>SUMIFS(D7529:D9015,K7529:K9015,"0",B7529:B9015,"5 1 3 3 3 12 31111 6 M59 19000 000132 0000R 00001 00333*")-SUMIFS(E7529:E9015,K7529:K9015,"0",B7529:B9015,"5 1 3 3 3 12 31111 6 M59 19000 000132 0000R 00001 00333*")</f>
        <v>0</v>
      </c>
      <c r="E7528"/>
      <c r="F7528" s="35">
        <f>SUMIFS(F7529:F9015,K7529:K9015,"0",B7529:B9015,"5 1 3 3 3 12 31111 6 M59 19000 000132 0000R 00001 00333*")</f>
        <v>70948</v>
      </c>
      <c r="G7528" s="35">
        <f>SUMIFS(G7529:G9015,K7529:K9015,"0",B7529:B9015,"5 1 3 3 3 12 31111 6 M59 19000 000132 0000R 00001 00333*")</f>
        <v>0</v>
      </c>
      <c r="H7528" s="35">
        <f t="shared" si="118"/>
        <v>70948</v>
      </c>
      <c r="I7528" s="35"/>
      <c r="K7528" t="s">
        <v>15</v>
      </c>
    </row>
    <row r="7529" spans="2:11" ht="33" x14ac:dyDescent="0.2">
      <c r="B7529" s="33" t="s">
        <v>8592</v>
      </c>
      <c r="C7529" s="33" t="s">
        <v>1051</v>
      </c>
      <c r="D7529" s="35">
        <f>SUMIFS(D7530:D9015,K7530:K9015,"0",B7530:B9015,"5 1 3 3 3 12 31111 6 M59 19000 000132 0000R 00001 00333 015*")-SUMIFS(E7530:E9015,K7530:K9015,"0",B7530:B9015,"5 1 3 3 3 12 31111 6 M59 19000 000132 0000R 00001 00333 015*")</f>
        <v>0</v>
      </c>
      <c r="E7529"/>
      <c r="F7529" s="35">
        <f>SUMIFS(F7530:F9015,K7530:K9015,"0",B7530:B9015,"5 1 3 3 3 12 31111 6 M59 19000 000132 0000R 00001 00333 015*")</f>
        <v>70948</v>
      </c>
      <c r="G7529" s="35">
        <f>SUMIFS(G7530:G9015,K7530:K9015,"0",B7530:B9015,"5 1 3 3 3 12 31111 6 M59 19000 000132 0000R 00001 00333 015*")</f>
        <v>0</v>
      </c>
      <c r="H7529" s="35">
        <f t="shared" si="118"/>
        <v>70948</v>
      </c>
      <c r="I7529" s="35"/>
      <c r="K7529" t="s">
        <v>15</v>
      </c>
    </row>
    <row r="7530" spans="2:11" ht="33" x14ac:dyDescent="0.2">
      <c r="B7530" s="33" t="s">
        <v>8593</v>
      </c>
      <c r="C7530" s="33" t="s">
        <v>5830</v>
      </c>
      <c r="D7530" s="35">
        <f>SUMIFS(D7531:D9015,K7531:K9015,"0",B7531:B9015,"5 1 3 3 3 12 31111 6 M59 19000 000132 0000R 00001 00333 015 2112000*")-SUMIFS(E7531:E9015,K7531:K9015,"0",B7531:B9015,"5 1 3 3 3 12 31111 6 M59 19000 000132 0000R 00001 00333 015 2112000*")</f>
        <v>0</v>
      </c>
      <c r="E7530"/>
      <c r="F7530" s="35">
        <f>SUMIFS(F7531:F9015,K7531:K9015,"0",B7531:B9015,"5 1 3 3 3 12 31111 6 M59 19000 000132 0000R 00001 00333 015 2112000*")</f>
        <v>70948</v>
      </c>
      <c r="G7530" s="35">
        <f>SUMIFS(G7531:G9015,K7531:K9015,"0",B7531:B9015,"5 1 3 3 3 12 31111 6 M59 19000 000132 0000R 00001 00333 015 2112000*")</f>
        <v>0</v>
      </c>
      <c r="H7530" s="35">
        <f t="shared" si="118"/>
        <v>70948</v>
      </c>
      <c r="I7530" s="35"/>
      <c r="K7530" t="s">
        <v>15</v>
      </c>
    </row>
    <row r="7531" spans="2:11" ht="33" x14ac:dyDescent="0.2">
      <c r="B7531" s="33" t="s">
        <v>8594</v>
      </c>
      <c r="C7531" s="33" t="s">
        <v>660</v>
      </c>
      <c r="D7531" s="35">
        <f>SUMIFS(D7532:D9015,K7532:K9015,"0",B7532:B9015,"5 1 3 3 3 12 31111 6 M59 19000 000132 0000R 00001 00333 015 2112000 2024*")-SUMIFS(E7532:E9015,K7532:K9015,"0",B7532:B9015,"5 1 3 3 3 12 31111 6 M59 19000 000132 0000R 00001 00333 015 2112000 2024*")</f>
        <v>0</v>
      </c>
      <c r="E7531"/>
      <c r="F7531" s="35">
        <f>SUMIFS(F7532:F9015,K7532:K9015,"0",B7532:B9015,"5 1 3 3 3 12 31111 6 M59 19000 000132 0000R 00001 00333 015 2112000 2024*")</f>
        <v>70948</v>
      </c>
      <c r="G7531" s="35">
        <f>SUMIFS(G7532:G9015,K7532:K9015,"0",B7532:B9015,"5 1 3 3 3 12 31111 6 M59 19000 000132 0000R 00001 00333 015 2112000 2024*")</f>
        <v>0</v>
      </c>
      <c r="H7531" s="35">
        <f t="shared" si="118"/>
        <v>70948</v>
      </c>
      <c r="I7531" s="35"/>
      <c r="K7531" t="s">
        <v>15</v>
      </c>
    </row>
    <row r="7532" spans="2:11" ht="41.25" x14ac:dyDescent="0.2">
      <c r="B7532" s="33" t="s">
        <v>8595</v>
      </c>
      <c r="C7532" s="33" t="s">
        <v>662</v>
      </c>
      <c r="D7532" s="35">
        <f>SUMIFS(D7533:D9015,K7533:K9015,"0",B7533:B9015,"5 1 3 3 3 12 31111 6 M59 19000 000132 0000R 00001 00333 015 2112000 2024 CP1TM440*")-SUMIFS(E7533:E9015,K7533:K9015,"0",B7533:B9015,"5 1 3 3 3 12 31111 6 M59 19000 000132 0000R 00001 00333 015 2112000 2024 CP1TM440*")</f>
        <v>0</v>
      </c>
      <c r="E7532"/>
      <c r="F7532" s="35">
        <f>SUMIFS(F7533:F9015,K7533:K9015,"0",B7533:B9015,"5 1 3 3 3 12 31111 6 M59 19000 000132 0000R 00001 00333 015 2112000 2024 CP1TM440*")</f>
        <v>70948</v>
      </c>
      <c r="G7532" s="35">
        <f>SUMIFS(G7533:G9015,K7533:K9015,"0",B7533:B9015,"5 1 3 3 3 12 31111 6 M59 19000 000132 0000R 00001 00333 015 2112000 2024 CP1TM440*")</f>
        <v>0</v>
      </c>
      <c r="H7532" s="35">
        <f t="shared" si="118"/>
        <v>70948</v>
      </c>
      <c r="I7532" s="35"/>
      <c r="K7532" t="s">
        <v>15</v>
      </c>
    </row>
    <row r="7533" spans="2:11" ht="41.25" x14ac:dyDescent="0.2">
      <c r="B7533" s="33" t="s">
        <v>8596</v>
      </c>
      <c r="C7533" s="33" t="s">
        <v>282</v>
      </c>
      <c r="D7533" s="35">
        <f>SUMIFS(D7534:D9015,K7534:K9015,"0",B7534:B9015,"5 1 3 3 3 12 31111 6 M59 19000 000132 0000R 00001 00333 015 2112000 2024 CP1TM440 001*")-SUMIFS(E7534:E9015,K7534:K9015,"0",B7534:B9015,"5 1 3 3 3 12 31111 6 M59 19000 000132 0000R 00001 00333 015 2112000 2024 CP1TM440 001*")</f>
        <v>0</v>
      </c>
      <c r="E7533"/>
      <c r="F7533" s="35">
        <f>SUMIFS(F7534:F9015,K7534:K9015,"0",B7534:B9015,"5 1 3 3 3 12 31111 6 M59 19000 000132 0000R 00001 00333 015 2112000 2024 CP1TM440 001*")</f>
        <v>70948</v>
      </c>
      <c r="G7533" s="35">
        <f>SUMIFS(G7534:G9015,K7534:K9015,"0",B7534:B9015,"5 1 3 3 3 12 31111 6 M59 19000 000132 0000R 00001 00333 015 2112000 2024 CP1TM440 001*")</f>
        <v>0</v>
      </c>
      <c r="H7533" s="35">
        <f t="shared" si="118"/>
        <v>70948</v>
      </c>
      <c r="I7533" s="35"/>
      <c r="K7533" t="s">
        <v>15</v>
      </c>
    </row>
    <row r="7534" spans="2:11" ht="33" x14ac:dyDescent="0.2">
      <c r="B7534" s="31" t="s">
        <v>8597</v>
      </c>
      <c r="C7534" s="31" t="s">
        <v>8581</v>
      </c>
      <c r="D7534" s="34">
        <v>0</v>
      </c>
      <c r="E7534" s="34"/>
      <c r="F7534" s="34">
        <v>70948</v>
      </c>
      <c r="G7534" s="34">
        <v>0</v>
      </c>
      <c r="H7534" s="34">
        <f t="shared" si="118"/>
        <v>70948</v>
      </c>
      <c r="I7534" s="34"/>
      <c r="K7534" t="s">
        <v>38</v>
      </c>
    </row>
    <row r="7535" spans="2:11" ht="16.5" x14ac:dyDescent="0.2">
      <c r="B7535" s="33" t="s">
        <v>8598</v>
      </c>
      <c r="C7535" s="33" t="s">
        <v>8599</v>
      </c>
      <c r="D7535" s="35">
        <f>SUMIFS(D7536:D9015,K7536:K9015,"0",B7536:B9015,"5 1 3 3 3 12 31111 6 M59 19000 000271*")-SUMIFS(E7536:E9015,K7536:K9015,"0",B7536:B9015,"5 1 3 3 3 12 31111 6 M59 19000 000271*")</f>
        <v>0</v>
      </c>
      <c r="E7535"/>
      <c r="F7535" s="35">
        <f>SUMIFS(F7536:F9015,K7536:K9015,"0",B7536:B9015,"5 1 3 3 3 12 31111 6 M59 19000 000271*")</f>
        <v>689052</v>
      </c>
      <c r="G7535" s="35">
        <f>SUMIFS(G7536:G9015,K7536:K9015,"0",B7536:B9015,"5 1 3 3 3 12 31111 6 M59 19000 000271*")</f>
        <v>0</v>
      </c>
      <c r="H7535" s="35">
        <f t="shared" si="118"/>
        <v>689052</v>
      </c>
      <c r="I7535" s="35"/>
      <c r="K7535" t="s">
        <v>15</v>
      </c>
    </row>
    <row r="7536" spans="2:11" ht="24.75" x14ac:dyDescent="0.2">
      <c r="B7536" s="33" t="s">
        <v>8600</v>
      </c>
      <c r="C7536" s="33" t="s">
        <v>8601</v>
      </c>
      <c r="D7536" s="35">
        <f>SUMIFS(D7537:D9015,K7537:K9015,"0",B7537:B9015,"5 1 3 3 3 12 31111 6 M59 19000 000271 0000F*")-SUMIFS(E7537:E9015,K7537:K9015,"0",B7537:B9015,"5 1 3 3 3 12 31111 6 M59 19000 000271 0000F*")</f>
        <v>0</v>
      </c>
      <c r="E7536"/>
      <c r="F7536" s="35">
        <f>SUMIFS(F7537:F9015,K7537:K9015,"0",B7537:B9015,"5 1 3 3 3 12 31111 6 M59 19000 000271 0000F*")</f>
        <v>689052</v>
      </c>
      <c r="G7536" s="35">
        <f>SUMIFS(G7537:G9015,K7537:K9015,"0",B7537:B9015,"5 1 3 3 3 12 31111 6 M59 19000 000271 0000F*")</f>
        <v>0</v>
      </c>
      <c r="H7536" s="35">
        <f t="shared" si="118"/>
        <v>689052</v>
      </c>
      <c r="I7536" s="35"/>
      <c r="K7536" t="s">
        <v>15</v>
      </c>
    </row>
    <row r="7537" spans="2:11" ht="24.75" x14ac:dyDescent="0.2">
      <c r="B7537" s="33" t="s">
        <v>8602</v>
      </c>
      <c r="C7537" s="33" t="s">
        <v>282</v>
      </c>
      <c r="D7537" s="35">
        <f>SUMIFS(D7538:D9015,K7538:K9015,"0",B7538:B9015,"5 1 3 3 3 12 31111 6 M59 19000 000271 0000F 00001*")-SUMIFS(E7538:E9015,K7538:K9015,"0",B7538:B9015,"5 1 3 3 3 12 31111 6 M59 19000 000271 0000F 00001*")</f>
        <v>0</v>
      </c>
      <c r="E7537"/>
      <c r="F7537" s="35">
        <f>SUMIFS(F7538:F9015,K7538:K9015,"0",B7538:B9015,"5 1 3 3 3 12 31111 6 M59 19000 000271 0000F 00001*")</f>
        <v>689052</v>
      </c>
      <c r="G7537" s="35">
        <f>SUMIFS(G7538:G9015,K7538:K9015,"0",B7538:B9015,"5 1 3 3 3 12 31111 6 M59 19000 000271 0000F 00001*")</f>
        <v>0</v>
      </c>
      <c r="H7537" s="35">
        <f t="shared" si="118"/>
        <v>689052</v>
      </c>
      <c r="I7537" s="35"/>
      <c r="K7537" t="s">
        <v>15</v>
      </c>
    </row>
    <row r="7538" spans="2:11" ht="33" x14ac:dyDescent="0.2">
      <c r="B7538" s="33" t="s">
        <v>8603</v>
      </c>
      <c r="C7538" s="33" t="s">
        <v>8591</v>
      </c>
      <c r="D7538" s="35">
        <f>SUMIFS(D7539:D9015,K7539:K9015,"0",B7539:B9015,"5 1 3 3 3 12 31111 6 M59 19000 000271 0000F 00001 00333*")-SUMIFS(E7539:E9015,K7539:K9015,"0",B7539:B9015,"5 1 3 3 3 12 31111 6 M59 19000 000271 0000F 00001 00333*")</f>
        <v>0</v>
      </c>
      <c r="E7538"/>
      <c r="F7538" s="35">
        <f>SUMIFS(F7539:F9015,K7539:K9015,"0",B7539:B9015,"5 1 3 3 3 12 31111 6 M59 19000 000271 0000F 00001 00333*")</f>
        <v>689052</v>
      </c>
      <c r="G7538" s="35">
        <f>SUMIFS(G7539:G9015,K7539:K9015,"0",B7539:B9015,"5 1 3 3 3 12 31111 6 M59 19000 000271 0000F 00001 00333*")</f>
        <v>0</v>
      </c>
      <c r="H7538" s="35">
        <f t="shared" si="118"/>
        <v>689052</v>
      </c>
      <c r="I7538" s="35"/>
      <c r="K7538" t="s">
        <v>15</v>
      </c>
    </row>
    <row r="7539" spans="2:11" ht="33" x14ac:dyDescent="0.2">
      <c r="B7539" s="33" t="s">
        <v>8604</v>
      </c>
      <c r="C7539" s="33" t="s">
        <v>656</v>
      </c>
      <c r="D7539" s="35">
        <f>SUMIFS(D7540:D9015,K7540:K9015,"0",B7540:B9015,"5 1 3 3 3 12 31111 6 M59 19000 000271 0000F 00001 00333 025*")-SUMIFS(E7540:E9015,K7540:K9015,"0",B7540:B9015,"5 1 3 3 3 12 31111 6 M59 19000 000271 0000F 00001 00333 025*")</f>
        <v>0</v>
      </c>
      <c r="E7539"/>
      <c r="F7539" s="35">
        <f>SUMIFS(F7540:F9015,K7540:K9015,"0",B7540:B9015,"5 1 3 3 3 12 31111 6 M59 19000 000271 0000F 00001 00333 025*")</f>
        <v>689052</v>
      </c>
      <c r="G7539" s="35">
        <f>SUMIFS(G7540:G9015,K7540:K9015,"0",B7540:B9015,"5 1 3 3 3 12 31111 6 M59 19000 000271 0000F 00001 00333 025*")</f>
        <v>0</v>
      </c>
      <c r="H7539" s="35">
        <f t="shared" si="118"/>
        <v>689052</v>
      </c>
      <c r="I7539" s="35"/>
      <c r="K7539" t="s">
        <v>15</v>
      </c>
    </row>
    <row r="7540" spans="2:11" ht="33" x14ac:dyDescent="0.2">
      <c r="B7540" s="33" t="s">
        <v>8605</v>
      </c>
      <c r="C7540" s="33" t="s">
        <v>5830</v>
      </c>
      <c r="D7540" s="35">
        <f>SUMIFS(D7541:D9015,K7541:K9015,"0",B7541:B9015,"5 1 3 3 3 12 31111 6 M59 19000 000271 0000F 00001 00333 025 2112000*")-SUMIFS(E7541:E9015,K7541:K9015,"0",B7541:B9015,"5 1 3 3 3 12 31111 6 M59 19000 000271 0000F 00001 00333 025 2112000*")</f>
        <v>0</v>
      </c>
      <c r="E7540"/>
      <c r="F7540" s="35">
        <f>SUMIFS(F7541:F9015,K7541:K9015,"0",B7541:B9015,"5 1 3 3 3 12 31111 6 M59 19000 000271 0000F 00001 00333 025 2112000*")</f>
        <v>689052</v>
      </c>
      <c r="G7540" s="35">
        <f>SUMIFS(G7541:G9015,K7541:K9015,"0",B7541:B9015,"5 1 3 3 3 12 31111 6 M59 19000 000271 0000F 00001 00333 025 2112000*")</f>
        <v>0</v>
      </c>
      <c r="H7540" s="35">
        <f t="shared" si="118"/>
        <v>689052</v>
      </c>
      <c r="I7540" s="35"/>
      <c r="K7540" t="s">
        <v>15</v>
      </c>
    </row>
    <row r="7541" spans="2:11" ht="33" x14ac:dyDescent="0.2">
      <c r="B7541" s="33" t="s">
        <v>8606</v>
      </c>
      <c r="C7541" s="33" t="s">
        <v>660</v>
      </c>
      <c r="D7541" s="35">
        <f>SUMIFS(D7542:D9015,K7542:K9015,"0",B7542:B9015,"5 1 3 3 3 12 31111 6 M59 19000 000271 0000F 00001 00333 025 2112000 2024*")-SUMIFS(E7542:E9015,K7542:K9015,"0",B7542:B9015,"5 1 3 3 3 12 31111 6 M59 19000 000271 0000F 00001 00333 025 2112000 2024*")</f>
        <v>0</v>
      </c>
      <c r="E7541"/>
      <c r="F7541" s="35">
        <f>SUMIFS(F7542:F9015,K7542:K9015,"0",B7542:B9015,"5 1 3 3 3 12 31111 6 M59 19000 000271 0000F 00001 00333 025 2112000 2024*")</f>
        <v>689052</v>
      </c>
      <c r="G7541" s="35">
        <f>SUMIFS(G7542:G9015,K7542:K9015,"0",B7542:B9015,"5 1 3 3 3 12 31111 6 M59 19000 000271 0000F 00001 00333 025 2112000 2024*")</f>
        <v>0</v>
      </c>
      <c r="H7541" s="35">
        <f t="shared" si="118"/>
        <v>689052</v>
      </c>
      <c r="I7541" s="35"/>
      <c r="K7541" t="s">
        <v>15</v>
      </c>
    </row>
    <row r="7542" spans="2:11" ht="41.25" x14ac:dyDescent="0.2">
      <c r="B7542" s="33" t="s">
        <v>8607</v>
      </c>
      <c r="C7542" s="33" t="s">
        <v>8608</v>
      </c>
      <c r="D7542" s="35">
        <f>SUMIFS(D7543:D9015,K7543:K9015,"0",B7543:B9015,"5 1 3 3 3 12 31111 6 M59 19000 000271 0000F 00001 00333 025 2112000 2024 CP4TM511*")-SUMIFS(E7543:E9015,K7543:K9015,"0",B7543:B9015,"5 1 3 3 3 12 31111 6 M59 19000 000271 0000F 00001 00333 025 2112000 2024 CP4TM511*")</f>
        <v>0</v>
      </c>
      <c r="E7542"/>
      <c r="F7542" s="35">
        <f>SUMIFS(F7543:F9015,K7543:K9015,"0",B7543:B9015,"5 1 3 3 3 12 31111 6 M59 19000 000271 0000F 00001 00333 025 2112000 2024 CP4TM511*")</f>
        <v>689052</v>
      </c>
      <c r="G7542" s="35">
        <f>SUMIFS(G7543:G9015,K7543:K9015,"0",B7543:B9015,"5 1 3 3 3 12 31111 6 M59 19000 000271 0000F 00001 00333 025 2112000 2024 CP4TM511*")</f>
        <v>0</v>
      </c>
      <c r="H7542" s="35">
        <f t="shared" si="118"/>
        <v>689052</v>
      </c>
      <c r="I7542" s="35"/>
      <c r="K7542" t="s">
        <v>15</v>
      </c>
    </row>
    <row r="7543" spans="2:11" ht="41.25" x14ac:dyDescent="0.2">
      <c r="B7543" s="33" t="s">
        <v>8609</v>
      </c>
      <c r="C7543" s="33" t="s">
        <v>664</v>
      </c>
      <c r="D7543" s="35">
        <f>SUMIFS(D7544:D9015,K7544:K9015,"0",B7544:B9015,"5 1 3 3 3 12 31111 6 M59 19000 000271 0000F 00001 00333 025 2112000 2024 CP4TM511 003*")-SUMIFS(E7544:E9015,K7544:K9015,"0",B7544:B9015,"5 1 3 3 3 12 31111 6 M59 19000 000271 0000F 00001 00333 025 2112000 2024 CP4TM511 003*")</f>
        <v>0</v>
      </c>
      <c r="E7543"/>
      <c r="F7543" s="35">
        <f>SUMIFS(F7544:F9015,K7544:K9015,"0",B7544:B9015,"5 1 3 3 3 12 31111 6 M59 19000 000271 0000F 00001 00333 025 2112000 2024 CP4TM511 003*")</f>
        <v>689052</v>
      </c>
      <c r="G7543" s="35">
        <f>SUMIFS(G7544:G9015,K7544:K9015,"0",B7544:B9015,"5 1 3 3 3 12 31111 6 M59 19000 000271 0000F 00001 00333 025 2112000 2024 CP4TM511 003*")</f>
        <v>0</v>
      </c>
      <c r="H7543" s="35">
        <f t="shared" si="118"/>
        <v>689052</v>
      </c>
      <c r="I7543" s="35"/>
      <c r="K7543" t="s">
        <v>15</v>
      </c>
    </row>
    <row r="7544" spans="2:11" ht="33" x14ac:dyDescent="0.2">
      <c r="B7544" s="31" t="s">
        <v>8610</v>
      </c>
      <c r="C7544" s="31" t="s">
        <v>8581</v>
      </c>
      <c r="D7544" s="34">
        <v>0</v>
      </c>
      <c r="E7544" s="34"/>
      <c r="F7544" s="34">
        <v>689052</v>
      </c>
      <c r="G7544" s="34">
        <v>0</v>
      </c>
      <c r="H7544" s="34">
        <f t="shared" si="118"/>
        <v>689052</v>
      </c>
      <c r="I7544" s="34"/>
      <c r="K7544" t="s">
        <v>38</v>
      </c>
    </row>
    <row r="7545" spans="2:11" ht="33" x14ac:dyDescent="0.2">
      <c r="B7545" s="33" t="s">
        <v>8611</v>
      </c>
      <c r="C7545" s="33" t="s">
        <v>8612</v>
      </c>
      <c r="D7545" s="35">
        <f>SUMIFS(D7546:D9015,K7546:K9015,"0",B7546:B9015,"5 1 3 3 6*")-SUMIFS(E7546:E9015,K7546:K9015,"0",B7546:B9015,"5 1 3 3 6*")</f>
        <v>0</v>
      </c>
      <c r="E7545"/>
      <c r="F7545" s="35">
        <f>SUMIFS(F7546:F9015,K7546:K9015,"0",B7546:B9015,"5 1 3 3 6*")</f>
        <v>35999.360000000001</v>
      </c>
      <c r="G7545" s="35">
        <f>SUMIFS(G7546:G9015,K7546:K9015,"0",B7546:B9015,"5 1 3 3 6*")</f>
        <v>0</v>
      </c>
      <c r="H7545" s="35">
        <f t="shared" si="118"/>
        <v>35999.360000000001</v>
      </c>
      <c r="I7545" s="35"/>
      <c r="K7545" t="s">
        <v>15</v>
      </c>
    </row>
    <row r="7546" spans="2:11" ht="12.75" x14ac:dyDescent="0.2">
      <c r="B7546" s="33" t="s">
        <v>8613</v>
      </c>
      <c r="C7546" s="33" t="s">
        <v>26</v>
      </c>
      <c r="D7546" s="35">
        <f>SUMIFS(D7547:D9015,K7547:K9015,"0",B7547:B9015,"5 1 3 3 6 12*")-SUMIFS(E7547:E9015,K7547:K9015,"0",B7547:B9015,"5 1 3 3 6 12*")</f>
        <v>0</v>
      </c>
      <c r="E7546"/>
      <c r="F7546" s="35">
        <f>SUMIFS(F7547:F9015,K7547:K9015,"0",B7547:B9015,"5 1 3 3 6 12*")</f>
        <v>35999.360000000001</v>
      </c>
      <c r="G7546" s="35">
        <f>SUMIFS(G7547:G9015,K7547:K9015,"0",B7547:B9015,"5 1 3 3 6 12*")</f>
        <v>0</v>
      </c>
      <c r="H7546" s="35">
        <f t="shared" si="118"/>
        <v>35999.360000000001</v>
      </c>
      <c r="I7546" s="35"/>
      <c r="K7546" t="s">
        <v>15</v>
      </c>
    </row>
    <row r="7547" spans="2:11" ht="16.5" x14ac:dyDescent="0.2">
      <c r="B7547" s="33" t="s">
        <v>8614</v>
      </c>
      <c r="C7547" s="33" t="s">
        <v>28</v>
      </c>
      <c r="D7547" s="35">
        <f>SUMIFS(D7548:D9015,K7548:K9015,"0",B7548:B9015,"5 1 3 3 6 12 31111*")-SUMIFS(E7548:E9015,K7548:K9015,"0",B7548:B9015,"5 1 3 3 6 12 31111*")</f>
        <v>0</v>
      </c>
      <c r="E7547"/>
      <c r="F7547" s="35">
        <f>SUMIFS(F7548:F9015,K7548:K9015,"0",B7548:B9015,"5 1 3 3 6 12 31111*")</f>
        <v>35999.360000000001</v>
      </c>
      <c r="G7547" s="35">
        <f>SUMIFS(G7548:G9015,K7548:K9015,"0",B7548:B9015,"5 1 3 3 6 12 31111*")</f>
        <v>0</v>
      </c>
      <c r="H7547" s="35">
        <f t="shared" si="118"/>
        <v>35999.360000000001</v>
      </c>
      <c r="I7547" s="35"/>
      <c r="K7547" t="s">
        <v>15</v>
      </c>
    </row>
    <row r="7548" spans="2:11" ht="12.75" x14ac:dyDescent="0.2">
      <c r="B7548" s="33" t="s">
        <v>8615</v>
      </c>
      <c r="C7548" s="33" t="s">
        <v>30</v>
      </c>
      <c r="D7548" s="35">
        <f>SUMIFS(D7549:D9015,K7549:K9015,"0",B7549:B9015,"5 1 3 3 6 12 31111 6*")-SUMIFS(E7549:E9015,K7549:K9015,"0",B7549:B9015,"5 1 3 3 6 12 31111 6*")</f>
        <v>0</v>
      </c>
      <c r="E7548"/>
      <c r="F7548" s="35">
        <f>SUMIFS(F7549:F9015,K7549:K9015,"0",B7549:B9015,"5 1 3 3 6 12 31111 6*")</f>
        <v>35999.360000000001</v>
      </c>
      <c r="G7548" s="35">
        <f>SUMIFS(G7549:G9015,K7549:K9015,"0",B7549:B9015,"5 1 3 3 6 12 31111 6*")</f>
        <v>0</v>
      </c>
      <c r="H7548" s="35">
        <f t="shared" si="118"/>
        <v>35999.360000000001</v>
      </c>
      <c r="I7548" s="35"/>
      <c r="K7548" t="s">
        <v>15</v>
      </c>
    </row>
    <row r="7549" spans="2:11" ht="16.5" x14ac:dyDescent="0.2">
      <c r="B7549" s="33" t="s">
        <v>8616</v>
      </c>
      <c r="C7549" s="33" t="s">
        <v>2284</v>
      </c>
      <c r="D7549" s="35">
        <f>SUMIFS(D7550:D9015,K7550:K9015,"0",B7550:B9015,"5 1 3 3 6 12 31111 6 M59*")-SUMIFS(E7550:E9015,K7550:K9015,"0",B7550:B9015,"5 1 3 3 6 12 31111 6 M59*")</f>
        <v>0</v>
      </c>
      <c r="E7549"/>
      <c r="F7549" s="35">
        <f>SUMIFS(F7550:F9015,K7550:K9015,"0",B7550:B9015,"5 1 3 3 6 12 31111 6 M59*")</f>
        <v>35999.360000000001</v>
      </c>
      <c r="G7549" s="35">
        <f>SUMIFS(G7550:G9015,K7550:K9015,"0",B7550:B9015,"5 1 3 3 6 12 31111 6 M59*")</f>
        <v>0</v>
      </c>
      <c r="H7549" s="35">
        <f t="shared" si="118"/>
        <v>35999.360000000001</v>
      </c>
      <c r="I7549" s="35"/>
      <c r="K7549" t="s">
        <v>15</v>
      </c>
    </row>
    <row r="7550" spans="2:11" ht="16.5" x14ac:dyDescent="0.2">
      <c r="B7550" s="33" t="s">
        <v>8617</v>
      </c>
      <c r="C7550" s="33" t="s">
        <v>1061</v>
      </c>
      <c r="D7550" s="35">
        <f>SUMIFS(D7551:D9015,K7551:K9015,"0",B7551:B9015,"5 1 3 3 6 12 31111 6 M59 20300*")-SUMIFS(E7551:E9015,K7551:K9015,"0",B7551:B9015,"5 1 3 3 6 12 31111 6 M59 20300*")</f>
        <v>0</v>
      </c>
      <c r="E7550"/>
      <c r="F7550" s="35">
        <f>SUMIFS(F7551:F9015,K7551:K9015,"0",B7551:B9015,"5 1 3 3 6 12 31111 6 M59 20300*")</f>
        <v>14600.92</v>
      </c>
      <c r="G7550" s="35">
        <f>SUMIFS(G7551:G9015,K7551:K9015,"0",B7551:B9015,"5 1 3 3 6 12 31111 6 M59 20300*")</f>
        <v>0</v>
      </c>
      <c r="H7550" s="35">
        <f t="shared" si="118"/>
        <v>14600.92</v>
      </c>
      <c r="I7550" s="35"/>
      <c r="K7550" t="s">
        <v>15</v>
      </c>
    </row>
    <row r="7551" spans="2:11" ht="16.5" x14ac:dyDescent="0.2">
      <c r="B7551" s="33" t="s">
        <v>8618</v>
      </c>
      <c r="C7551" s="33" t="s">
        <v>648</v>
      </c>
      <c r="D7551" s="35">
        <f>SUMIFS(D7552:D9015,K7552:K9015,"0",B7552:B9015,"5 1 3 3 6 12 31111 6 M59 20300 000132*")-SUMIFS(E7552:E9015,K7552:K9015,"0",B7552:B9015,"5 1 3 3 6 12 31111 6 M59 20300 000132*")</f>
        <v>0</v>
      </c>
      <c r="E7551"/>
      <c r="F7551" s="35">
        <f>SUMIFS(F7552:F9015,K7552:K9015,"0",B7552:B9015,"5 1 3 3 6 12 31111 6 M59 20300 000132*")</f>
        <v>1995.2</v>
      </c>
      <c r="G7551" s="35">
        <f>SUMIFS(G7552:G9015,K7552:K9015,"0",B7552:B9015,"5 1 3 3 6 12 31111 6 M59 20300 000132*")</f>
        <v>0</v>
      </c>
      <c r="H7551" s="35">
        <f t="shared" si="118"/>
        <v>1995.2</v>
      </c>
      <c r="I7551" s="35"/>
      <c r="K7551" t="s">
        <v>15</v>
      </c>
    </row>
    <row r="7552" spans="2:11" ht="24.75" x14ac:dyDescent="0.2">
      <c r="B7552" s="33" t="s">
        <v>8619</v>
      </c>
      <c r="C7552" s="33" t="s">
        <v>650</v>
      </c>
      <c r="D7552" s="35">
        <f>SUMIFS(D7553:D9015,K7553:K9015,"0",B7553:B9015,"5 1 3 3 6 12 31111 6 M59 20300 000132 0000R*")-SUMIFS(E7553:E9015,K7553:K9015,"0",B7553:B9015,"5 1 3 3 6 12 31111 6 M59 20300 000132 0000R*")</f>
        <v>0</v>
      </c>
      <c r="E7552"/>
      <c r="F7552" s="35">
        <f>SUMIFS(F7553:F9015,K7553:K9015,"0",B7553:B9015,"5 1 3 3 6 12 31111 6 M59 20300 000132 0000R*")</f>
        <v>1995.2</v>
      </c>
      <c r="G7552" s="35">
        <f>SUMIFS(G7553:G9015,K7553:K9015,"0",B7553:B9015,"5 1 3 3 6 12 31111 6 M59 20300 000132 0000R*")</f>
        <v>0</v>
      </c>
      <c r="H7552" s="35">
        <f t="shared" si="118"/>
        <v>1995.2</v>
      </c>
      <c r="I7552" s="35"/>
      <c r="K7552" t="s">
        <v>15</v>
      </c>
    </row>
    <row r="7553" spans="2:11" ht="24.75" x14ac:dyDescent="0.2">
      <c r="B7553" s="33" t="s">
        <v>8620</v>
      </c>
      <c r="C7553" s="33" t="s">
        <v>282</v>
      </c>
      <c r="D7553" s="35">
        <f>SUMIFS(D7554:D9015,K7554:K9015,"0",B7554:B9015,"5 1 3 3 6 12 31111 6 M59 20300 000132 0000R 00001*")-SUMIFS(E7554:E9015,K7554:K9015,"0",B7554:B9015,"5 1 3 3 6 12 31111 6 M59 20300 000132 0000R 00001*")</f>
        <v>0</v>
      </c>
      <c r="E7553"/>
      <c r="F7553" s="35">
        <f>SUMIFS(F7554:F9015,K7554:K9015,"0",B7554:B9015,"5 1 3 3 6 12 31111 6 M59 20300 000132 0000R 00001*")</f>
        <v>1995.2</v>
      </c>
      <c r="G7553" s="35">
        <f>SUMIFS(G7554:G9015,K7554:K9015,"0",B7554:B9015,"5 1 3 3 6 12 31111 6 M59 20300 000132 0000R 00001*")</f>
        <v>0</v>
      </c>
      <c r="H7553" s="35">
        <f t="shared" si="118"/>
        <v>1995.2</v>
      </c>
      <c r="I7553" s="35"/>
      <c r="K7553" t="s">
        <v>15</v>
      </c>
    </row>
    <row r="7554" spans="2:11" ht="33" x14ac:dyDescent="0.2">
      <c r="B7554" s="33" t="s">
        <v>8621</v>
      </c>
      <c r="C7554" s="33" t="s">
        <v>8622</v>
      </c>
      <c r="D7554" s="35">
        <f>SUMIFS(D7555:D9015,K7555:K9015,"0",B7555:B9015,"5 1 3 3 6 12 31111 6 M59 20300 000132 0000R 00001 00336*")-SUMIFS(E7555:E9015,K7555:K9015,"0",B7555:B9015,"5 1 3 3 6 12 31111 6 M59 20300 000132 0000R 00001 00336*")</f>
        <v>0</v>
      </c>
      <c r="E7554"/>
      <c r="F7554" s="35">
        <f>SUMIFS(F7555:F9015,K7555:K9015,"0",B7555:B9015,"5 1 3 3 6 12 31111 6 M59 20300 000132 0000R 00001 00336*")</f>
        <v>1995.2</v>
      </c>
      <c r="G7554" s="35">
        <f>SUMIFS(G7555:G9015,K7555:K9015,"0",B7555:B9015,"5 1 3 3 6 12 31111 6 M59 20300 000132 0000R 00001 00336*")</f>
        <v>0</v>
      </c>
      <c r="H7554" s="35">
        <f t="shared" si="118"/>
        <v>1995.2</v>
      </c>
      <c r="I7554" s="35"/>
      <c r="K7554" t="s">
        <v>15</v>
      </c>
    </row>
    <row r="7555" spans="2:11" ht="33" x14ac:dyDescent="0.2">
      <c r="B7555" s="33" t="s">
        <v>8623</v>
      </c>
      <c r="C7555" s="33" t="s">
        <v>1051</v>
      </c>
      <c r="D7555" s="35">
        <f>SUMIFS(D7556:D9015,K7556:K9015,"0",B7556:B9015,"5 1 3 3 6 12 31111 6 M59 20300 000132 0000R 00001 00336 015*")-SUMIFS(E7556:E9015,K7556:K9015,"0",B7556:B9015,"5 1 3 3 6 12 31111 6 M59 20300 000132 0000R 00001 00336 015*")</f>
        <v>0</v>
      </c>
      <c r="E7555"/>
      <c r="F7555" s="35">
        <f>SUMIFS(F7556:F9015,K7556:K9015,"0",B7556:B9015,"5 1 3 3 6 12 31111 6 M59 20300 000132 0000R 00001 00336 015*")</f>
        <v>1995.2</v>
      </c>
      <c r="G7555" s="35">
        <f>SUMIFS(G7556:G9015,K7556:K9015,"0",B7556:B9015,"5 1 3 3 6 12 31111 6 M59 20300 000132 0000R 00001 00336 015*")</f>
        <v>0</v>
      </c>
      <c r="H7555" s="35">
        <f t="shared" si="118"/>
        <v>1995.2</v>
      </c>
      <c r="I7555" s="35"/>
      <c r="K7555" t="s">
        <v>15</v>
      </c>
    </row>
    <row r="7556" spans="2:11" ht="33" x14ac:dyDescent="0.2">
      <c r="B7556" s="33" t="s">
        <v>8624</v>
      </c>
      <c r="C7556" s="33" t="s">
        <v>5830</v>
      </c>
      <c r="D7556" s="35">
        <f>SUMIFS(D7557:D9015,K7557:K9015,"0",B7557:B9015,"5 1 3 3 6 12 31111 6 M59 20300 000132 0000R 00001 00336 015 2112000*")-SUMIFS(E7557:E9015,K7557:K9015,"0",B7557:B9015,"5 1 3 3 6 12 31111 6 M59 20300 000132 0000R 00001 00336 015 2112000*")</f>
        <v>0</v>
      </c>
      <c r="E7556"/>
      <c r="F7556" s="35">
        <f>SUMIFS(F7557:F9015,K7557:K9015,"0",B7557:B9015,"5 1 3 3 6 12 31111 6 M59 20300 000132 0000R 00001 00336 015 2112000*")</f>
        <v>1995.2</v>
      </c>
      <c r="G7556" s="35">
        <f>SUMIFS(G7557:G9015,K7557:K9015,"0",B7557:B9015,"5 1 3 3 6 12 31111 6 M59 20300 000132 0000R 00001 00336 015 2112000*")</f>
        <v>0</v>
      </c>
      <c r="H7556" s="35">
        <f t="shared" ref="H7556:H7619" si="119">D7556 + F7556 - G7556</f>
        <v>1995.2</v>
      </c>
      <c r="I7556" s="35"/>
      <c r="K7556" t="s">
        <v>15</v>
      </c>
    </row>
    <row r="7557" spans="2:11" ht="33" x14ac:dyDescent="0.2">
      <c r="B7557" s="33" t="s">
        <v>8625</v>
      </c>
      <c r="C7557" s="33" t="s">
        <v>660</v>
      </c>
      <c r="D7557" s="35">
        <f>SUMIFS(D7558:D9015,K7558:K9015,"0",B7558:B9015,"5 1 3 3 6 12 31111 6 M59 20300 000132 0000R 00001 00336 015 2112000 2024*")-SUMIFS(E7558:E9015,K7558:K9015,"0",B7558:B9015,"5 1 3 3 6 12 31111 6 M59 20300 000132 0000R 00001 00336 015 2112000 2024*")</f>
        <v>0</v>
      </c>
      <c r="E7557"/>
      <c r="F7557" s="35">
        <f>SUMIFS(F7558:F9015,K7558:K9015,"0",B7558:B9015,"5 1 3 3 6 12 31111 6 M59 20300 000132 0000R 00001 00336 015 2112000 2024*")</f>
        <v>1995.2</v>
      </c>
      <c r="G7557" s="35">
        <f>SUMIFS(G7558:G9015,K7558:K9015,"0",B7558:B9015,"5 1 3 3 6 12 31111 6 M59 20300 000132 0000R 00001 00336 015 2112000 2024*")</f>
        <v>0</v>
      </c>
      <c r="H7557" s="35">
        <f t="shared" si="119"/>
        <v>1995.2</v>
      </c>
      <c r="I7557" s="35"/>
      <c r="K7557" t="s">
        <v>15</v>
      </c>
    </row>
    <row r="7558" spans="2:11" ht="41.25" x14ac:dyDescent="0.2">
      <c r="B7558" s="33" t="s">
        <v>8626</v>
      </c>
      <c r="C7558" s="33" t="s">
        <v>662</v>
      </c>
      <c r="D7558" s="35">
        <f>SUMIFS(D7559:D9015,K7559:K9015,"0",B7559:B9015,"5 1 3 3 6 12 31111 6 M59 20300 000132 0000R 00001 00336 015 2112000 2024 CP1DE415*")-SUMIFS(E7559:E9015,K7559:K9015,"0",B7559:B9015,"5 1 3 3 6 12 31111 6 M59 20300 000132 0000R 00001 00336 015 2112000 2024 CP1DE415*")</f>
        <v>0</v>
      </c>
      <c r="E7558"/>
      <c r="F7558" s="35">
        <f>SUMIFS(F7559:F9015,K7559:K9015,"0",B7559:B9015,"5 1 3 3 6 12 31111 6 M59 20300 000132 0000R 00001 00336 015 2112000 2024 CP1DE415*")</f>
        <v>1995.2</v>
      </c>
      <c r="G7558" s="35">
        <f>SUMIFS(G7559:G9015,K7559:K9015,"0",B7559:B9015,"5 1 3 3 6 12 31111 6 M59 20300 000132 0000R 00001 00336 015 2112000 2024 CP1DE415*")</f>
        <v>0</v>
      </c>
      <c r="H7558" s="35">
        <f t="shared" si="119"/>
        <v>1995.2</v>
      </c>
      <c r="I7558" s="35"/>
      <c r="K7558" t="s">
        <v>15</v>
      </c>
    </row>
    <row r="7559" spans="2:11" ht="41.25" x14ac:dyDescent="0.2">
      <c r="B7559" s="33" t="s">
        <v>8627</v>
      </c>
      <c r="C7559" s="33" t="s">
        <v>282</v>
      </c>
      <c r="D7559" s="35">
        <f>SUMIFS(D7560:D9015,K7560:K9015,"0",B7560:B9015,"5 1 3 3 6 12 31111 6 M59 20300 000132 0000R 00001 00336 015 2112000 2024 CP1DE415 001*")-SUMIFS(E7560:E9015,K7560:K9015,"0",B7560:B9015,"5 1 3 3 6 12 31111 6 M59 20300 000132 0000R 00001 00336 015 2112000 2024 CP1DE415 001*")</f>
        <v>0</v>
      </c>
      <c r="E7559"/>
      <c r="F7559" s="35">
        <f>SUMIFS(F7560:F9015,K7560:K9015,"0",B7560:B9015,"5 1 3 3 6 12 31111 6 M59 20300 000132 0000R 00001 00336 015 2112000 2024 CP1DE415 001*")</f>
        <v>1995.2</v>
      </c>
      <c r="G7559" s="35">
        <f>SUMIFS(G7560:G9015,K7560:K9015,"0",B7560:B9015,"5 1 3 3 6 12 31111 6 M59 20300 000132 0000R 00001 00336 015 2112000 2024 CP1DE415 001*")</f>
        <v>0</v>
      </c>
      <c r="H7559" s="35">
        <f t="shared" si="119"/>
        <v>1995.2</v>
      </c>
      <c r="I7559" s="35"/>
      <c r="K7559" t="s">
        <v>15</v>
      </c>
    </row>
    <row r="7560" spans="2:11" ht="41.25" x14ac:dyDescent="0.2">
      <c r="B7560" s="31" t="s">
        <v>8628</v>
      </c>
      <c r="C7560" s="31" t="s">
        <v>8622</v>
      </c>
      <c r="D7560" s="34">
        <v>0</v>
      </c>
      <c r="E7560" s="34"/>
      <c r="F7560" s="34">
        <v>1995.2</v>
      </c>
      <c r="G7560" s="34">
        <v>0</v>
      </c>
      <c r="H7560" s="34">
        <f t="shared" si="119"/>
        <v>1995.2</v>
      </c>
      <c r="I7560" s="34"/>
      <c r="K7560" t="s">
        <v>38</v>
      </c>
    </row>
    <row r="7561" spans="2:11" ht="16.5" x14ac:dyDescent="0.2">
      <c r="B7561" s="33" t="s">
        <v>8629</v>
      </c>
      <c r="C7561" s="33" t="s">
        <v>1063</v>
      </c>
      <c r="D7561" s="35">
        <f>SUMIFS(D7562:D9015,K7562:K9015,"0",B7562:B9015,"5 1 3 3 6 12 31111 6 M59 20300 000139*")-SUMIFS(E7562:E9015,K7562:K9015,"0",B7562:B9015,"5 1 3 3 6 12 31111 6 M59 20300 000139*")</f>
        <v>0</v>
      </c>
      <c r="E7561"/>
      <c r="F7561" s="35">
        <f>SUMIFS(F7562:F9015,K7562:K9015,"0",B7562:B9015,"5 1 3 3 6 12 31111 6 M59 20300 000139*")</f>
        <v>12605.72</v>
      </c>
      <c r="G7561" s="35">
        <f>SUMIFS(G7562:G9015,K7562:K9015,"0",B7562:B9015,"5 1 3 3 6 12 31111 6 M59 20300 000139*")</f>
        <v>0</v>
      </c>
      <c r="H7561" s="35">
        <f t="shared" si="119"/>
        <v>12605.72</v>
      </c>
      <c r="I7561" s="35"/>
      <c r="K7561" t="s">
        <v>15</v>
      </c>
    </row>
    <row r="7562" spans="2:11" ht="24.75" x14ac:dyDescent="0.2">
      <c r="B7562" s="33" t="s">
        <v>8630</v>
      </c>
      <c r="C7562" s="33" t="s">
        <v>1065</v>
      </c>
      <c r="D7562" s="35">
        <f>SUMIFS(D7563:D9015,K7563:K9015,"0",B7563:B9015,"5 1 3 3 6 12 31111 6 M59 20300 000139 0000E*")-SUMIFS(E7563:E9015,K7563:K9015,"0",B7563:B9015,"5 1 3 3 6 12 31111 6 M59 20300 000139 0000E*")</f>
        <v>0</v>
      </c>
      <c r="E7562"/>
      <c r="F7562" s="35">
        <f>SUMIFS(F7563:F9015,K7563:K9015,"0",B7563:B9015,"5 1 3 3 6 12 31111 6 M59 20300 000139 0000E*")</f>
        <v>12605.72</v>
      </c>
      <c r="G7562" s="35">
        <f>SUMIFS(G7563:G9015,K7563:K9015,"0",B7563:B9015,"5 1 3 3 6 12 31111 6 M59 20300 000139 0000E*")</f>
        <v>0</v>
      </c>
      <c r="H7562" s="35">
        <f t="shared" si="119"/>
        <v>12605.72</v>
      </c>
      <c r="I7562" s="35"/>
      <c r="K7562" t="s">
        <v>15</v>
      </c>
    </row>
    <row r="7563" spans="2:11" ht="24.75" x14ac:dyDescent="0.2">
      <c r="B7563" s="33" t="s">
        <v>8631</v>
      </c>
      <c r="C7563" s="33" t="s">
        <v>282</v>
      </c>
      <c r="D7563" s="35">
        <f>SUMIFS(D7564:D9015,K7564:K9015,"0",B7564:B9015,"5 1 3 3 6 12 31111 6 M59 20300 000139 0000E 00001*")-SUMIFS(E7564:E9015,K7564:K9015,"0",B7564:B9015,"5 1 3 3 6 12 31111 6 M59 20300 000139 0000E 00001*")</f>
        <v>0</v>
      </c>
      <c r="E7563"/>
      <c r="F7563" s="35">
        <f>SUMIFS(F7564:F9015,K7564:K9015,"0",B7564:B9015,"5 1 3 3 6 12 31111 6 M59 20300 000139 0000E 00001*")</f>
        <v>12605.72</v>
      </c>
      <c r="G7563" s="35">
        <f>SUMIFS(G7564:G9015,K7564:K9015,"0",B7564:B9015,"5 1 3 3 6 12 31111 6 M59 20300 000139 0000E 00001*")</f>
        <v>0</v>
      </c>
      <c r="H7563" s="35">
        <f t="shared" si="119"/>
        <v>12605.72</v>
      </c>
      <c r="I7563" s="35"/>
      <c r="K7563" t="s">
        <v>15</v>
      </c>
    </row>
    <row r="7564" spans="2:11" ht="33" x14ac:dyDescent="0.2">
      <c r="B7564" s="33" t="s">
        <v>8632</v>
      </c>
      <c r="C7564" s="33" t="s">
        <v>8622</v>
      </c>
      <c r="D7564" s="35">
        <f>SUMIFS(D7565:D9015,K7565:K9015,"0",B7565:B9015,"5 1 3 3 6 12 31111 6 M59 20300 000139 0000E 00001 00336*")-SUMIFS(E7565:E9015,K7565:K9015,"0",B7565:B9015,"5 1 3 3 6 12 31111 6 M59 20300 000139 0000E 00001 00336*")</f>
        <v>0</v>
      </c>
      <c r="E7564"/>
      <c r="F7564" s="35">
        <f>SUMIFS(F7565:F9015,K7565:K9015,"0",B7565:B9015,"5 1 3 3 6 12 31111 6 M59 20300 000139 0000E 00001 00336*")</f>
        <v>12605.72</v>
      </c>
      <c r="G7564" s="35">
        <f>SUMIFS(G7565:G9015,K7565:K9015,"0",B7565:B9015,"5 1 3 3 6 12 31111 6 M59 20300 000139 0000E 00001 00336*")</f>
        <v>0</v>
      </c>
      <c r="H7564" s="35">
        <f t="shared" si="119"/>
        <v>12605.72</v>
      </c>
      <c r="I7564" s="35"/>
      <c r="K7564" t="s">
        <v>15</v>
      </c>
    </row>
    <row r="7565" spans="2:11" ht="33" x14ac:dyDescent="0.2">
      <c r="B7565" s="33" t="s">
        <v>8633</v>
      </c>
      <c r="C7565" s="33" t="s">
        <v>699</v>
      </c>
      <c r="D7565" s="35">
        <f>SUMIFS(D7566:D9015,K7566:K9015,"0",B7566:B9015,"5 1 3 3 6 12 31111 6 M59 20300 000139 0000E 00001 00336 011*")-SUMIFS(E7566:E9015,K7566:K9015,"0",B7566:B9015,"5 1 3 3 6 12 31111 6 M59 20300 000139 0000E 00001 00336 011*")</f>
        <v>0</v>
      </c>
      <c r="E7565"/>
      <c r="F7565" s="35">
        <f>SUMIFS(F7566:F9015,K7566:K9015,"0",B7566:B9015,"5 1 3 3 6 12 31111 6 M59 20300 000139 0000E 00001 00336 011*")</f>
        <v>12605.72</v>
      </c>
      <c r="G7565" s="35">
        <f>SUMIFS(G7566:G9015,K7566:K9015,"0",B7566:B9015,"5 1 3 3 6 12 31111 6 M59 20300 000139 0000E 00001 00336 011*")</f>
        <v>0</v>
      </c>
      <c r="H7565" s="35">
        <f t="shared" si="119"/>
        <v>12605.72</v>
      </c>
      <c r="I7565" s="35"/>
      <c r="K7565" t="s">
        <v>15</v>
      </c>
    </row>
    <row r="7566" spans="2:11" ht="33" x14ac:dyDescent="0.2">
      <c r="B7566" s="33" t="s">
        <v>8634</v>
      </c>
      <c r="C7566" s="33" t="s">
        <v>5830</v>
      </c>
      <c r="D7566" s="35">
        <f>SUMIFS(D7567:D9015,K7567:K9015,"0",B7567:B9015,"5 1 3 3 6 12 31111 6 M59 20300 000139 0000E 00001 00336 011 2112000*")-SUMIFS(E7567:E9015,K7567:K9015,"0",B7567:B9015,"5 1 3 3 6 12 31111 6 M59 20300 000139 0000E 00001 00336 011 2112000*")</f>
        <v>0</v>
      </c>
      <c r="E7566"/>
      <c r="F7566" s="35">
        <f>SUMIFS(F7567:F9015,K7567:K9015,"0",B7567:B9015,"5 1 3 3 6 12 31111 6 M59 20300 000139 0000E 00001 00336 011 2112000*")</f>
        <v>12605.72</v>
      </c>
      <c r="G7566" s="35">
        <f>SUMIFS(G7567:G9015,K7567:K9015,"0",B7567:B9015,"5 1 3 3 6 12 31111 6 M59 20300 000139 0000E 00001 00336 011 2112000*")</f>
        <v>0</v>
      </c>
      <c r="H7566" s="35">
        <f t="shared" si="119"/>
        <v>12605.72</v>
      </c>
      <c r="I7566" s="35"/>
      <c r="K7566" t="s">
        <v>15</v>
      </c>
    </row>
    <row r="7567" spans="2:11" ht="33" x14ac:dyDescent="0.2">
      <c r="B7567" s="33" t="s">
        <v>8635</v>
      </c>
      <c r="C7567" s="33" t="s">
        <v>660</v>
      </c>
      <c r="D7567" s="35">
        <f>SUMIFS(D7568:D9015,K7568:K9015,"0",B7568:B9015,"5 1 3 3 6 12 31111 6 M59 20300 000139 0000E 00001 00336 011 2112000 2024*")-SUMIFS(E7568:E9015,K7568:K9015,"0",B7568:B9015,"5 1 3 3 6 12 31111 6 M59 20300 000139 0000E 00001 00336 011 2112000 2024*")</f>
        <v>0</v>
      </c>
      <c r="E7567"/>
      <c r="F7567" s="35">
        <f>SUMIFS(F7568:F9015,K7568:K9015,"0",B7568:B9015,"5 1 3 3 6 12 31111 6 M59 20300 000139 0000E 00001 00336 011 2112000 2024*")</f>
        <v>12605.72</v>
      </c>
      <c r="G7567" s="35">
        <f>SUMIFS(G7568:G9015,K7568:K9015,"0",B7568:B9015,"5 1 3 3 6 12 31111 6 M59 20300 000139 0000E 00001 00336 011 2112000 2024*")</f>
        <v>0</v>
      </c>
      <c r="H7567" s="35">
        <f t="shared" si="119"/>
        <v>12605.72</v>
      </c>
      <c r="I7567" s="35"/>
      <c r="K7567" t="s">
        <v>15</v>
      </c>
    </row>
    <row r="7568" spans="2:11" ht="41.25" x14ac:dyDescent="0.2">
      <c r="B7568" s="33" t="s">
        <v>8636</v>
      </c>
      <c r="C7568" s="33" t="s">
        <v>662</v>
      </c>
      <c r="D7568" s="35">
        <f>SUMIFS(D7569:D9015,K7569:K9015,"0",B7569:B9015,"5 1 3 3 6 12 31111 6 M59 20300 000139 0000E 00001 00336 011 2112000 2024 CP1DE415*")-SUMIFS(E7569:E9015,K7569:K9015,"0",B7569:B9015,"5 1 3 3 6 12 31111 6 M59 20300 000139 0000E 00001 00336 011 2112000 2024 CP1DE415*")</f>
        <v>0</v>
      </c>
      <c r="E7568"/>
      <c r="F7568" s="35">
        <f>SUMIFS(F7569:F9015,K7569:K9015,"0",B7569:B9015,"5 1 3 3 6 12 31111 6 M59 20300 000139 0000E 00001 00336 011 2112000 2024 CP1DE415*")</f>
        <v>12605.72</v>
      </c>
      <c r="G7568" s="35">
        <f>SUMIFS(G7569:G9015,K7569:K9015,"0",B7569:B9015,"5 1 3 3 6 12 31111 6 M59 20300 000139 0000E 00001 00336 011 2112000 2024 CP1DE415*")</f>
        <v>0</v>
      </c>
      <c r="H7568" s="35">
        <f t="shared" si="119"/>
        <v>12605.72</v>
      </c>
      <c r="I7568" s="35"/>
      <c r="K7568" t="s">
        <v>15</v>
      </c>
    </row>
    <row r="7569" spans="2:11" ht="41.25" x14ac:dyDescent="0.2">
      <c r="B7569" s="33" t="s">
        <v>8637</v>
      </c>
      <c r="C7569" s="33" t="s">
        <v>46</v>
      </c>
      <c r="D7569" s="35">
        <f>SUMIFS(D7570:D9015,K7570:K9015,"0",B7570:B9015,"5 1 3 3 6 12 31111 6 M59 20300 000139 0000E 00001 00336 011 2112000 2024 CP1DE415 004*")-SUMIFS(E7570:E9015,K7570:K9015,"0",B7570:B9015,"5 1 3 3 6 12 31111 6 M59 20300 000139 0000E 00001 00336 011 2112000 2024 CP1DE415 004*")</f>
        <v>0</v>
      </c>
      <c r="E7569"/>
      <c r="F7569" s="35">
        <f>SUMIFS(F7570:F9015,K7570:K9015,"0",B7570:B9015,"5 1 3 3 6 12 31111 6 M59 20300 000139 0000E 00001 00336 011 2112000 2024 CP1DE415 004*")</f>
        <v>12605.72</v>
      </c>
      <c r="G7569" s="35">
        <f>SUMIFS(G7570:G9015,K7570:K9015,"0",B7570:B9015,"5 1 3 3 6 12 31111 6 M59 20300 000139 0000E 00001 00336 011 2112000 2024 CP1DE415 004*")</f>
        <v>0</v>
      </c>
      <c r="H7569" s="35">
        <f t="shared" si="119"/>
        <v>12605.72</v>
      </c>
      <c r="I7569" s="35"/>
      <c r="K7569" t="s">
        <v>15</v>
      </c>
    </row>
    <row r="7570" spans="2:11" ht="33" x14ac:dyDescent="0.2">
      <c r="B7570" s="31" t="s">
        <v>8638</v>
      </c>
      <c r="C7570" s="31" t="s">
        <v>8639</v>
      </c>
      <c r="D7570" s="34">
        <v>0</v>
      </c>
      <c r="E7570" s="34"/>
      <c r="F7570" s="34">
        <v>12605.72</v>
      </c>
      <c r="G7570" s="34">
        <v>0</v>
      </c>
      <c r="H7570" s="34">
        <f t="shared" si="119"/>
        <v>12605.72</v>
      </c>
      <c r="I7570" s="34"/>
      <c r="K7570" t="s">
        <v>38</v>
      </c>
    </row>
    <row r="7571" spans="2:11" ht="16.5" x14ac:dyDescent="0.2">
      <c r="B7571" s="33" t="s">
        <v>8640</v>
      </c>
      <c r="C7571" s="33" t="s">
        <v>3126</v>
      </c>
      <c r="D7571" s="35">
        <f>SUMIFS(D7572:D9015,K7572:K9015,"0",B7572:B9015,"5 1 3 3 6 12 31111 6 M59 20600*")-SUMIFS(E7572:E9015,K7572:K9015,"0",B7572:B9015,"5 1 3 3 6 12 31111 6 M59 20600*")</f>
        <v>0</v>
      </c>
      <c r="E7571"/>
      <c r="F7571" s="35">
        <f>SUMIFS(F7572:F9015,K7572:K9015,"0",B7572:B9015,"5 1 3 3 6 12 31111 6 M59 20600*")</f>
        <v>8797.44</v>
      </c>
      <c r="G7571" s="35">
        <f>SUMIFS(G7572:G9015,K7572:K9015,"0",B7572:B9015,"5 1 3 3 6 12 31111 6 M59 20600*")</f>
        <v>0</v>
      </c>
      <c r="H7571" s="35">
        <f t="shared" si="119"/>
        <v>8797.44</v>
      </c>
      <c r="I7571" s="35"/>
      <c r="K7571" t="s">
        <v>15</v>
      </c>
    </row>
    <row r="7572" spans="2:11" ht="16.5" x14ac:dyDescent="0.2">
      <c r="B7572" s="33" t="s">
        <v>8641</v>
      </c>
      <c r="C7572" s="33" t="s">
        <v>648</v>
      </c>
      <c r="D7572" s="35">
        <f>SUMIFS(D7573:D9015,K7573:K9015,"0",B7573:B9015,"5 1 3 3 6 12 31111 6 M59 20600 000132*")-SUMIFS(E7573:E9015,K7573:K9015,"0",B7573:B9015,"5 1 3 3 6 12 31111 6 M59 20600 000132*")</f>
        <v>0</v>
      </c>
      <c r="E7572"/>
      <c r="F7572" s="35">
        <f>SUMIFS(F7573:F9015,K7573:K9015,"0",B7573:B9015,"5 1 3 3 6 12 31111 6 M59 20600 000132*")</f>
        <v>8797.44</v>
      </c>
      <c r="G7572" s="35">
        <f>SUMIFS(G7573:G9015,K7573:K9015,"0",B7573:B9015,"5 1 3 3 6 12 31111 6 M59 20600 000132*")</f>
        <v>0</v>
      </c>
      <c r="H7572" s="35">
        <f t="shared" si="119"/>
        <v>8797.44</v>
      </c>
      <c r="I7572" s="35"/>
      <c r="K7572" t="s">
        <v>15</v>
      </c>
    </row>
    <row r="7573" spans="2:11" ht="24.75" x14ac:dyDescent="0.2">
      <c r="B7573" s="33" t="s">
        <v>8642</v>
      </c>
      <c r="C7573" s="33" t="s">
        <v>650</v>
      </c>
      <c r="D7573" s="35">
        <f>SUMIFS(D7574:D9015,K7574:K9015,"0",B7574:B9015,"5 1 3 3 6 12 31111 6 M59 20600 000132 0000R*")-SUMIFS(E7574:E9015,K7574:K9015,"0",B7574:B9015,"5 1 3 3 6 12 31111 6 M59 20600 000132 0000R*")</f>
        <v>0</v>
      </c>
      <c r="E7573"/>
      <c r="F7573" s="35">
        <f>SUMIFS(F7574:F9015,K7574:K9015,"0",B7574:B9015,"5 1 3 3 6 12 31111 6 M59 20600 000132 0000R*")</f>
        <v>8797.44</v>
      </c>
      <c r="G7573" s="35">
        <f>SUMIFS(G7574:G9015,K7574:K9015,"0",B7574:B9015,"5 1 3 3 6 12 31111 6 M59 20600 000132 0000R*")</f>
        <v>0</v>
      </c>
      <c r="H7573" s="35">
        <f t="shared" si="119"/>
        <v>8797.44</v>
      </c>
      <c r="I7573" s="35"/>
      <c r="K7573" t="s">
        <v>15</v>
      </c>
    </row>
    <row r="7574" spans="2:11" ht="24.75" x14ac:dyDescent="0.2">
      <c r="B7574" s="33" t="s">
        <v>8643</v>
      </c>
      <c r="C7574" s="33" t="s">
        <v>282</v>
      </c>
      <c r="D7574" s="35">
        <f>SUMIFS(D7575:D9015,K7575:K9015,"0",B7575:B9015,"5 1 3 3 6 12 31111 6 M59 20600 000132 0000R 00001*")-SUMIFS(E7575:E9015,K7575:K9015,"0",B7575:B9015,"5 1 3 3 6 12 31111 6 M59 20600 000132 0000R 00001*")</f>
        <v>0</v>
      </c>
      <c r="E7574"/>
      <c r="F7574" s="35">
        <f>SUMIFS(F7575:F9015,K7575:K9015,"0",B7575:B9015,"5 1 3 3 6 12 31111 6 M59 20600 000132 0000R 00001*")</f>
        <v>8797.44</v>
      </c>
      <c r="G7574" s="35">
        <f>SUMIFS(G7575:G9015,K7575:K9015,"0",B7575:B9015,"5 1 3 3 6 12 31111 6 M59 20600 000132 0000R 00001*")</f>
        <v>0</v>
      </c>
      <c r="H7574" s="35">
        <f t="shared" si="119"/>
        <v>8797.44</v>
      </c>
      <c r="I7574" s="35"/>
      <c r="K7574" t="s">
        <v>15</v>
      </c>
    </row>
    <row r="7575" spans="2:11" ht="33" x14ac:dyDescent="0.2">
      <c r="B7575" s="33" t="s">
        <v>8644</v>
      </c>
      <c r="C7575" s="33" t="s">
        <v>8622</v>
      </c>
      <c r="D7575" s="35">
        <f>SUMIFS(D7576:D9015,K7576:K9015,"0",B7576:B9015,"5 1 3 3 6 12 31111 6 M59 20600 000132 0000R 00001 00336*")-SUMIFS(E7576:E9015,K7576:K9015,"0",B7576:B9015,"5 1 3 3 6 12 31111 6 M59 20600 000132 0000R 00001 00336*")</f>
        <v>0</v>
      </c>
      <c r="E7575"/>
      <c r="F7575" s="35">
        <f>SUMIFS(F7576:F9015,K7576:K9015,"0",B7576:B9015,"5 1 3 3 6 12 31111 6 M59 20600 000132 0000R 00001 00336*")</f>
        <v>8797.44</v>
      </c>
      <c r="G7575" s="35">
        <f>SUMIFS(G7576:G9015,K7576:K9015,"0",B7576:B9015,"5 1 3 3 6 12 31111 6 M59 20600 000132 0000R 00001 00336*")</f>
        <v>0</v>
      </c>
      <c r="H7575" s="35">
        <f t="shared" si="119"/>
        <v>8797.44</v>
      </c>
      <c r="I7575" s="35"/>
      <c r="K7575" t="s">
        <v>15</v>
      </c>
    </row>
    <row r="7576" spans="2:11" ht="33" x14ac:dyDescent="0.2">
      <c r="B7576" s="33" t="s">
        <v>8645</v>
      </c>
      <c r="C7576" s="33" t="s">
        <v>1051</v>
      </c>
      <c r="D7576" s="35">
        <f>SUMIFS(D7577:D9015,K7577:K9015,"0",B7577:B9015,"5 1 3 3 6 12 31111 6 M59 20600 000132 0000R 00001 00336 015*")-SUMIFS(E7577:E9015,K7577:K9015,"0",B7577:B9015,"5 1 3 3 6 12 31111 6 M59 20600 000132 0000R 00001 00336 015*")</f>
        <v>0</v>
      </c>
      <c r="E7576"/>
      <c r="F7576" s="35">
        <f>SUMIFS(F7577:F9015,K7577:K9015,"0",B7577:B9015,"5 1 3 3 6 12 31111 6 M59 20600 000132 0000R 00001 00336 015*")</f>
        <v>8797.44</v>
      </c>
      <c r="G7576" s="35">
        <f>SUMIFS(G7577:G9015,K7577:K9015,"0",B7577:B9015,"5 1 3 3 6 12 31111 6 M59 20600 000132 0000R 00001 00336 015*")</f>
        <v>0</v>
      </c>
      <c r="H7576" s="35">
        <f t="shared" si="119"/>
        <v>8797.44</v>
      </c>
      <c r="I7576" s="35"/>
      <c r="K7576" t="s">
        <v>15</v>
      </c>
    </row>
    <row r="7577" spans="2:11" ht="33" x14ac:dyDescent="0.2">
      <c r="B7577" s="33" t="s">
        <v>8646</v>
      </c>
      <c r="C7577" s="33" t="s">
        <v>5830</v>
      </c>
      <c r="D7577" s="35">
        <f>SUMIFS(D7578:D9015,K7578:K9015,"0",B7578:B9015,"5 1 3 3 6 12 31111 6 M59 20600 000132 0000R 00001 00336 015 2112000*")-SUMIFS(E7578:E9015,K7578:K9015,"0",B7578:B9015,"5 1 3 3 6 12 31111 6 M59 20600 000132 0000R 00001 00336 015 2112000*")</f>
        <v>0</v>
      </c>
      <c r="E7577"/>
      <c r="F7577" s="35">
        <f>SUMIFS(F7578:F9015,K7578:K9015,"0",B7578:B9015,"5 1 3 3 6 12 31111 6 M59 20600 000132 0000R 00001 00336 015 2112000*")</f>
        <v>8797.44</v>
      </c>
      <c r="G7577" s="35">
        <f>SUMIFS(G7578:G9015,K7578:K9015,"0",B7578:B9015,"5 1 3 3 6 12 31111 6 M59 20600 000132 0000R 00001 00336 015 2112000*")</f>
        <v>0</v>
      </c>
      <c r="H7577" s="35">
        <f t="shared" si="119"/>
        <v>8797.44</v>
      </c>
      <c r="I7577" s="35"/>
      <c r="K7577" t="s">
        <v>15</v>
      </c>
    </row>
    <row r="7578" spans="2:11" ht="33" x14ac:dyDescent="0.2">
      <c r="B7578" s="33" t="s">
        <v>8647</v>
      </c>
      <c r="C7578" s="33" t="s">
        <v>660</v>
      </c>
      <c r="D7578" s="35">
        <f>SUMIFS(D7579:D9015,K7579:K9015,"0",B7579:B9015,"5 1 3 3 6 12 31111 6 M59 20600 000132 0000R 00001 00336 015 2112000 2024*")-SUMIFS(E7579:E9015,K7579:K9015,"0",B7579:B9015,"5 1 3 3 6 12 31111 6 M59 20600 000132 0000R 00001 00336 015 2112000 2024*")</f>
        <v>0</v>
      </c>
      <c r="E7578"/>
      <c r="F7578" s="35">
        <f>SUMIFS(F7579:F9015,K7579:K9015,"0",B7579:B9015,"5 1 3 3 6 12 31111 6 M59 20600 000132 0000R 00001 00336 015 2112000 2024*")</f>
        <v>8797.44</v>
      </c>
      <c r="G7578" s="35">
        <f>SUMIFS(G7579:G9015,K7579:K9015,"0",B7579:B9015,"5 1 3 3 6 12 31111 6 M59 20600 000132 0000R 00001 00336 015 2112000 2024*")</f>
        <v>0</v>
      </c>
      <c r="H7578" s="35">
        <f t="shared" si="119"/>
        <v>8797.44</v>
      </c>
      <c r="I7578" s="35"/>
      <c r="K7578" t="s">
        <v>15</v>
      </c>
    </row>
    <row r="7579" spans="2:11" ht="41.25" x14ac:dyDescent="0.2">
      <c r="B7579" s="33" t="s">
        <v>8648</v>
      </c>
      <c r="C7579" s="33" t="s">
        <v>1056</v>
      </c>
      <c r="D7579" s="35">
        <f>SUMIFS(D7580:D9015,K7580:K9015,"0",B7580:B9015,"5 1 3 3 6 12 31111 6 M59 20600 000132 0000R 00001 00336 015 2112000 2024 CP1CA380*")-SUMIFS(E7580:E9015,K7580:K9015,"0",B7580:B9015,"5 1 3 3 6 12 31111 6 M59 20600 000132 0000R 00001 00336 015 2112000 2024 CP1CA380*")</f>
        <v>0</v>
      </c>
      <c r="E7579"/>
      <c r="F7579" s="35">
        <f>SUMIFS(F7580:F9015,K7580:K9015,"0",B7580:B9015,"5 1 3 3 6 12 31111 6 M59 20600 000132 0000R 00001 00336 015 2112000 2024 CP1CA380*")</f>
        <v>8797.44</v>
      </c>
      <c r="G7579" s="35">
        <f>SUMIFS(G7580:G9015,K7580:K9015,"0",B7580:B9015,"5 1 3 3 6 12 31111 6 M59 20600 000132 0000R 00001 00336 015 2112000 2024 CP1CA380*")</f>
        <v>0</v>
      </c>
      <c r="H7579" s="35">
        <f t="shared" si="119"/>
        <v>8797.44</v>
      </c>
      <c r="I7579" s="35"/>
      <c r="K7579" t="s">
        <v>15</v>
      </c>
    </row>
    <row r="7580" spans="2:11" ht="41.25" x14ac:dyDescent="0.2">
      <c r="B7580" s="33" t="s">
        <v>8649</v>
      </c>
      <c r="C7580" s="33" t="s">
        <v>282</v>
      </c>
      <c r="D7580" s="35">
        <f>SUMIFS(D7581:D9015,K7581:K9015,"0",B7581:B9015,"5 1 3 3 6 12 31111 6 M59 20600 000132 0000R 00001 00336 015 2112000 2024 CP1CA380 001*")-SUMIFS(E7581:E9015,K7581:K9015,"0",B7581:B9015,"5 1 3 3 6 12 31111 6 M59 20600 000132 0000R 00001 00336 015 2112000 2024 CP1CA380 001*")</f>
        <v>0</v>
      </c>
      <c r="E7580"/>
      <c r="F7580" s="35">
        <f>SUMIFS(F7581:F9015,K7581:K9015,"0",B7581:B9015,"5 1 3 3 6 12 31111 6 M59 20600 000132 0000R 00001 00336 015 2112000 2024 CP1CA380 001*")</f>
        <v>8797.44</v>
      </c>
      <c r="G7580" s="35">
        <f>SUMIFS(G7581:G9015,K7581:K9015,"0",B7581:B9015,"5 1 3 3 6 12 31111 6 M59 20600 000132 0000R 00001 00336 015 2112000 2024 CP1CA380 001*")</f>
        <v>0</v>
      </c>
      <c r="H7580" s="35">
        <f t="shared" si="119"/>
        <v>8797.44</v>
      </c>
      <c r="I7580" s="35"/>
      <c r="K7580" t="s">
        <v>15</v>
      </c>
    </row>
    <row r="7581" spans="2:11" ht="41.25" x14ac:dyDescent="0.2">
      <c r="B7581" s="31" t="s">
        <v>8650</v>
      </c>
      <c r="C7581" s="31" t="s">
        <v>8622</v>
      </c>
      <c r="D7581" s="34">
        <v>0</v>
      </c>
      <c r="E7581" s="34"/>
      <c r="F7581" s="34">
        <v>8797.44</v>
      </c>
      <c r="G7581" s="34">
        <v>0</v>
      </c>
      <c r="H7581" s="34">
        <f t="shared" si="119"/>
        <v>8797.44</v>
      </c>
      <c r="I7581" s="34"/>
      <c r="K7581" t="s">
        <v>38</v>
      </c>
    </row>
    <row r="7582" spans="2:11" ht="16.5" x14ac:dyDescent="0.2">
      <c r="B7582" s="33" t="s">
        <v>8651</v>
      </c>
      <c r="C7582" s="33" t="s">
        <v>1269</v>
      </c>
      <c r="D7582" s="35">
        <f>SUMIFS(D7583:D9015,K7583:K9015,"0",B7583:B9015,"5 1 3 3 6 12 31111 6 M59 60100*")-SUMIFS(E7583:E9015,K7583:K9015,"0",B7583:B9015,"5 1 3 3 6 12 31111 6 M59 60100*")</f>
        <v>0</v>
      </c>
      <c r="E7582"/>
      <c r="F7582" s="35">
        <f>SUMIFS(F7583:F9015,K7583:K9015,"0",B7583:B9015,"5 1 3 3 6 12 31111 6 M59 60100*")</f>
        <v>400.2</v>
      </c>
      <c r="G7582" s="35">
        <f>SUMIFS(G7583:G9015,K7583:K9015,"0",B7583:B9015,"5 1 3 3 6 12 31111 6 M59 60100*")</f>
        <v>0</v>
      </c>
      <c r="H7582" s="35">
        <f t="shared" si="119"/>
        <v>400.2</v>
      </c>
      <c r="I7582" s="35"/>
      <c r="K7582" t="s">
        <v>15</v>
      </c>
    </row>
    <row r="7583" spans="2:11" ht="16.5" x14ac:dyDescent="0.2">
      <c r="B7583" s="33" t="s">
        <v>8652</v>
      </c>
      <c r="C7583" s="33" t="s">
        <v>648</v>
      </c>
      <c r="D7583" s="35">
        <f>SUMIFS(D7584:D9015,K7584:K9015,"0",B7584:B9015,"5 1 3 3 6 12 31111 6 M59 60100 000132*")-SUMIFS(E7584:E9015,K7584:K9015,"0",B7584:B9015,"5 1 3 3 6 12 31111 6 M59 60100 000132*")</f>
        <v>0</v>
      </c>
      <c r="E7583"/>
      <c r="F7583" s="35">
        <f>SUMIFS(F7584:F9015,K7584:K9015,"0",B7584:B9015,"5 1 3 3 6 12 31111 6 M59 60100 000132*")</f>
        <v>400.2</v>
      </c>
      <c r="G7583" s="35">
        <f>SUMIFS(G7584:G9015,K7584:K9015,"0",B7584:B9015,"5 1 3 3 6 12 31111 6 M59 60100 000132*")</f>
        <v>0</v>
      </c>
      <c r="H7583" s="35">
        <f t="shared" si="119"/>
        <v>400.2</v>
      </c>
      <c r="I7583" s="35"/>
      <c r="K7583" t="s">
        <v>15</v>
      </c>
    </row>
    <row r="7584" spans="2:11" ht="24.75" x14ac:dyDescent="0.2">
      <c r="B7584" s="33" t="s">
        <v>8653</v>
      </c>
      <c r="C7584" s="33" t="s">
        <v>650</v>
      </c>
      <c r="D7584" s="35">
        <f>SUMIFS(D7585:D9015,K7585:K9015,"0",B7585:B9015,"5 1 3 3 6 12 31111 6 M59 60100 000132 0000R*")-SUMIFS(E7585:E9015,K7585:K9015,"0",B7585:B9015,"5 1 3 3 6 12 31111 6 M59 60100 000132 0000R*")</f>
        <v>0</v>
      </c>
      <c r="E7584"/>
      <c r="F7584" s="35">
        <f>SUMIFS(F7585:F9015,K7585:K9015,"0",B7585:B9015,"5 1 3 3 6 12 31111 6 M59 60100 000132 0000R*")</f>
        <v>400.2</v>
      </c>
      <c r="G7584" s="35">
        <f>SUMIFS(G7585:G9015,K7585:K9015,"0",B7585:B9015,"5 1 3 3 6 12 31111 6 M59 60100 000132 0000R*")</f>
        <v>0</v>
      </c>
      <c r="H7584" s="35">
        <f t="shared" si="119"/>
        <v>400.2</v>
      </c>
      <c r="I7584" s="35"/>
      <c r="K7584" t="s">
        <v>15</v>
      </c>
    </row>
    <row r="7585" spans="2:11" ht="24.75" x14ac:dyDescent="0.2">
      <c r="B7585" s="33" t="s">
        <v>8654</v>
      </c>
      <c r="C7585" s="33" t="s">
        <v>282</v>
      </c>
      <c r="D7585" s="35">
        <f>SUMIFS(D7586:D9015,K7586:K9015,"0",B7586:B9015,"5 1 3 3 6 12 31111 6 M59 60100 000132 0000R 00001*")-SUMIFS(E7586:E9015,K7586:K9015,"0",B7586:B9015,"5 1 3 3 6 12 31111 6 M59 60100 000132 0000R 00001*")</f>
        <v>0</v>
      </c>
      <c r="E7585"/>
      <c r="F7585" s="35">
        <f>SUMIFS(F7586:F9015,K7586:K9015,"0",B7586:B9015,"5 1 3 3 6 12 31111 6 M59 60100 000132 0000R 00001*")</f>
        <v>400.2</v>
      </c>
      <c r="G7585" s="35">
        <f>SUMIFS(G7586:G9015,K7586:K9015,"0",B7586:B9015,"5 1 3 3 6 12 31111 6 M59 60100 000132 0000R 00001*")</f>
        <v>0</v>
      </c>
      <c r="H7585" s="35">
        <f t="shared" si="119"/>
        <v>400.2</v>
      </c>
      <c r="I7585" s="35"/>
      <c r="K7585" t="s">
        <v>15</v>
      </c>
    </row>
    <row r="7586" spans="2:11" ht="33" x14ac:dyDescent="0.2">
      <c r="B7586" s="33" t="s">
        <v>8655</v>
      </c>
      <c r="C7586" s="33" t="s">
        <v>8622</v>
      </c>
      <c r="D7586" s="35">
        <f>SUMIFS(D7587:D9015,K7587:K9015,"0",B7587:B9015,"5 1 3 3 6 12 31111 6 M59 60100 000132 0000R 00001 00336*")-SUMIFS(E7587:E9015,K7587:K9015,"0",B7587:B9015,"5 1 3 3 6 12 31111 6 M59 60100 000132 0000R 00001 00336*")</f>
        <v>0</v>
      </c>
      <c r="E7586"/>
      <c r="F7586" s="35">
        <f>SUMIFS(F7587:F9015,K7587:K9015,"0",B7587:B9015,"5 1 3 3 6 12 31111 6 M59 60100 000132 0000R 00001 00336*")</f>
        <v>400.2</v>
      </c>
      <c r="G7586" s="35">
        <f>SUMIFS(G7587:G9015,K7587:K9015,"0",B7587:B9015,"5 1 3 3 6 12 31111 6 M59 60100 000132 0000R 00001 00336*")</f>
        <v>0</v>
      </c>
      <c r="H7586" s="35">
        <f t="shared" si="119"/>
        <v>400.2</v>
      </c>
      <c r="I7586" s="35"/>
      <c r="K7586" t="s">
        <v>15</v>
      </c>
    </row>
    <row r="7587" spans="2:11" ht="33" x14ac:dyDescent="0.2">
      <c r="B7587" s="33" t="s">
        <v>8656</v>
      </c>
      <c r="C7587" s="33" t="s">
        <v>1051</v>
      </c>
      <c r="D7587" s="35">
        <f>SUMIFS(D7588:D9015,K7588:K9015,"0",B7588:B9015,"5 1 3 3 6 12 31111 6 M59 60100 000132 0000R 00001 00336 015*")-SUMIFS(E7588:E9015,K7588:K9015,"0",B7588:B9015,"5 1 3 3 6 12 31111 6 M59 60100 000132 0000R 00001 00336 015*")</f>
        <v>0</v>
      </c>
      <c r="E7587"/>
      <c r="F7587" s="35">
        <f>SUMIFS(F7588:F9015,K7588:K9015,"0",B7588:B9015,"5 1 3 3 6 12 31111 6 M59 60100 000132 0000R 00001 00336 015*")</f>
        <v>400.2</v>
      </c>
      <c r="G7587" s="35">
        <f>SUMIFS(G7588:G9015,K7588:K9015,"0",B7588:B9015,"5 1 3 3 6 12 31111 6 M59 60100 000132 0000R 00001 00336 015*")</f>
        <v>0</v>
      </c>
      <c r="H7587" s="35">
        <f t="shared" si="119"/>
        <v>400.2</v>
      </c>
      <c r="I7587" s="35"/>
      <c r="K7587" t="s">
        <v>15</v>
      </c>
    </row>
    <row r="7588" spans="2:11" ht="33" x14ac:dyDescent="0.2">
      <c r="B7588" s="33" t="s">
        <v>8657</v>
      </c>
      <c r="C7588" s="33" t="s">
        <v>5830</v>
      </c>
      <c r="D7588" s="35">
        <f>SUMIFS(D7589:D9015,K7589:K9015,"0",B7589:B9015,"5 1 3 3 6 12 31111 6 M59 60100 000132 0000R 00001 00336 015 2112000*")-SUMIFS(E7589:E9015,K7589:K9015,"0",B7589:B9015,"5 1 3 3 6 12 31111 6 M59 60100 000132 0000R 00001 00336 015 2112000*")</f>
        <v>0</v>
      </c>
      <c r="E7588"/>
      <c r="F7588" s="35">
        <f>SUMIFS(F7589:F9015,K7589:K9015,"0",B7589:B9015,"5 1 3 3 6 12 31111 6 M59 60100 000132 0000R 00001 00336 015 2112000*")</f>
        <v>400.2</v>
      </c>
      <c r="G7588" s="35">
        <f>SUMIFS(G7589:G9015,K7589:K9015,"0",B7589:B9015,"5 1 3 3 6 12 31111 6 M59 60100 000132 0000R 00001 00336 015 2112000*")</f>
        <v>0</v>
      </c>
      <c r="H7588" s="35">
        <f t="shared" si="119"/>
        <v>400.2</v>
      </c>
      <c r="I7588" s="35"/>
      <c r="K7588" t="s">
        <v>15</v>
      </c>
    </row>
    <row r="7589" spans="2:11" ht="33" x14ac:dyDescent="0.2">
      <c r="B7589" s="33" t="s">
        <v>8658</v>
      </c>
      <c r="C7589" s="33" t="s">
        <v>660</v>
      </c>
      <c r="D7589" s="35">
        <f>SUMIFS(D7590:D9015,K7590:K9015,"0",B7590:B9015,"5 1 3 3 6 12 31111 6 M59 60100 000132 0000R 00001 00336 015 2112000 2024*")-SUMIFS(E7590:E9015,K7590:K9015,"0",B7590:B9015,"5 1 3 3 6 12 31111 6 M59 60100 000132 0000R 00001 00336 015 2112000 2024*")</f>
        <v>0</v>
      </c>
      <c r="E7589"/>
      <c r="F7589" s="35">
        <f>SUMIFS(F7590:F9015,K7590:K9015,"0",B7590:B9015,"5 1 3 3 6 12 31111 6 M59 60100 000132 0000R 00001 00336 015 2112000 2024*")</f>
        <v>400.2</v>
      </c>
      <c r="G7589" s="35">
        <f>SUMIFS(G7590:G9015,K7590:K9015,"0",B7590:B9015,"5 1 3 3 6 12 31111 6 M59 60100 000132 0000R 00001 00336 015 2112000 2024*")</f>
        <v>0</v>
      </c>
      <c r="H7589" s="35">
        <f t="shared" si="119"/>
        <v>400.2</v>
      </c>
      <c r="I7589" s="35"/>
      <c r="K7589" t="s">
        <v>15</v>
      </c>
    </row>
    <row r="7590" spans="2:11" ht="41.25" x14ac:dyDescent="0.2">
      <c r="B7590" s="33" t="s">
        <v>8659</v>
      </c>
      <c r="C7590" s="33" t="s">
        <v>1056</v>
      </c>
      <c r="D7590" s="35">
        <f>SUMIFS(D7591:D9015,K7591:K9015,"0",B7591:B9015,"5 1 3 3 6 12 31111 6 M59 60100 000132 0000R 00001 00336 015 2112000 2024 CP1DM394*")-SUMIFS(E7591:E9015,K7591:K9015,"0",B7591:B9015,"5 1 3 3 6 12 31111 6 M59 60100 000132 0000R 00001 00336 015 2112000 2024 CP1DM394*")</f>
        <v>0</v>
      </c>
      <c r="E7590"/>
      <c r="F7590" s="35">
        <f>SUMIFS(F7591:F9015,K7591:K9015,"0",B7591:B9015,"5 1 3 3 6 12 31111 6 M59 60100 000132 0000R 00001 00336 015 2112000 2024 CP1DM394*")</f>
        <v>400.2</v>
      </c>
      <c r="G7590" s="35">
        <f>SUMIFS(G7591:G9015,K7591:K9015,"0",B7591:B9015,"5 1 3 3 6 12 31111 6 M59 60100 000132 0000R 00001 00336 015 2112000 2024 CP1DM394*")</f>
        <v>0</v>
      </c>
      <c r="H7590" s="35">
        <f t="shared" si="119"/>
        <v>400.2</v>
      </c>
      <c r="I7590" s="35"/>
      <c r="K7590" t="s">
        <v>15</v>
      </c>
    </row>
    <row r="7591" spans="2:11" ht="41.25" x14ac:dyDescent="0.2">
      <c r="B7591" s="33" t="s">
        <v>8660</v>
      </c>
      <c r="C7591" s="33" t="s">
        <v>282</v>
      </c>
      <c r="D7591" s="35">
        <f>SUMIFS(D7592:D9015,K7592:K9015,"0",B7592:B9015,"5 1 3 3 6 12 31111 6 M59 60100 000132 0000R 00001 00336 015 2112000 2024 CP1DM394 001*")-SUMIFS(E7592:E9015,K7592:K9015,"0",B7592:B9015,"5 1 3 3 6 12 31111 6 M59 60100 000132 0000R 00001 00336 015 2112000 2024 CP1DM394 001*")</f>
        <v>0</v>
      </c>
      <c r="E7591"/>
      <c r="F7591" s="35">
        <f>SUMIFS(F7592:F9015,K7592:K9015,"0",B7592:B9015,"5 1 3 3 6 12 31111 6 M59 60100 000132 0000R 00001 00336 015 2112000 2024 CP1DM394 001*")</f>
        <v>400.2</v>
      </c>
      <c r="G7591" s="35">
        <f>SUMIFS(G7592:G9015,K7592:K9015,"0",B7592:B9015,"5 1 3 3 6 12 31111 6 M59 60100 000132 0000R 00001 00336 015 2112000 2024 CP1DM394 001*")</f>
        <v>0</v>
      </c>
      <c r="H7591" s="35">
        <f t="shared" si="119"/>
        <v>400.2</v>
      </c>
      <c r="I7591" s="35"/>
      <c r="K7591" t="s">
        <v>15</v>
      </c>
    </row>
    <row r="7592" spans="2:11" ht="33" x14ac:dyDescent="0.2">
      <c r="B7592" s="31" t="s">
        <v>8661</v>
      </c>
      <c r="C7592" s="31" t="s">
        <v>8622</v>
      </c>
      <c r="D7592" s="34">
        <v>0</v>
      </c>
      <c r="E7592" s="34"/>
      <c r="F7592" s="34">
        <v>400.2</v>
      </c>
      <c r="G7592" s="34">
        <v>0</v>
      </c>
      <c r="H7592" s="34">
        <f t="shared" si="119"/>
        <v>400.2</v>
      </c>
      <c r="I7592" s="34"/>
      <c r="K7592" t="s">
        <v>38</v>
      </c>
    </row>
    <row r="7593" spans="2:11" ht="16.5" x14ac:dyDescent="0.2">
      <c r="B7593" s="33" t="s">
        <v>8662</v>
      </c>
      <c r="C7593" s="33" t="s">
        <v>3620</v>
      </c>
      <c r="D7593" s="35">
        <f>SUMIFS(D7594:D9015,K7594:K9015,"0",B7594:B9015,"5 1 3 3 6 12 31111 6 M59 92000*")-SUMIFS(E7594:E9015,K7594:K9015,"0",B7594:B9015,"5 1 3 3 6 12 31111 6 M59 92000*")</f>
        <v>0</v>
      </c>
      <c r="E7593"/>
      <c r="F7593" s="35">
        <f>SUMIFS(F7594:F9015,K7594:K9015,"0",B7594:B9015,"5 1 3 3 6 12 31111 6 M59 92000*")</f>
        <v>12200.8</v>
      </c>
      <c r="G7593" s="35">
        <f>SUMIFS(G7594:G9015,K7594:K9015,"0",B7594:B9015,"5 1 3 3 6 12 31111 6 M59 92000*")</f>
        <v>0</v>
      </c>
      <c r="H7593" s="35">
        <f t="shared" si="119"/>
        <v>12200.8</v>
      </c>
      <c r="I7593" s="35"/>
      <c r="K7593" t="s">
        <v>15</v>
      </c>
    </row>
    <row r="7594" spans="2:11" ht="24.75" x14ac:dyDescent="0.2">
      <c r="B7594" s="33" t="s">
        <v>8663</v>
      </c>
      <c r="C7594" s="33" t="s">
        <v>3152</v>
      </c>
      <c r="D7594" s="35">
        <f>SUMIFS(D7595:D9015,K7595:K9015,"0",B7595:B9015,"5 1 3 3 6 12 31111 6 M59 92000 000181*")-SUMIFS(E7595:E9015,K7595:K9015,"0",B7595:B9015,"5 1 3 3 6 12 31111 6 M59 92000 000181*")</f>
        <v>0</v>
      </c>
      <c r="E7594"/>
      <c r="F7594" s="35">
        <f>SUMIFS(F7595:F9015,K7595:K9015,"0",B7595:B9015,"5 1 3 3 6 12 31111 6 M59 92000 000181*")</f>
        <v>12200.8</v>
      </c>
      <c r="G7594" s="35">
        <f>SUMIFS(G7595:G9015,K7595:K9015,"0",B7595:B9015,"5 1 3 3 6 12 31111 6 M59 92000 000181*")</f>
        <v>0</v>
      </c>
      <c r="H7594" s="35">
        <f t="shared" si="119"/>
        <v>12200.8</v>
      </c>
      <c r="I7594" s="35"/>
      <c r="K7594" t="s">
        <v>15</v>
      </c>
    </row>
    <row r="7595" spans="2:11" ht="24.75" x14ac:dyDescent="0.2">
      <c r="B7595" s="33" t="s">
        <v>8664</v>
      </c>
      <c r="C7595" s="33" t="s">
        <v>1065</v>
      </c>
      <c r="D7595" s="35">
        <f>SUMIFS(D7596:D9015,K7596:K9015,"0",B7596:B9015,"5 1 3 3 6 12 31111 6 M59 92000 000181 0000E*")-SUMIFS(E7596:E9015,K7596:K9015,"0",B7596:B9015,"5 1 3 3 6 12 31111 6 M59 92000 000181 0000E*")</f>
        <v>0</v>
      </c>
      <c r="E7595"/>
      <c r="F7595" s="35">
        <f>SUMIFS(F7596:F9015,K7596:K9015,"0",B7596:B9015,"5 1 3 3 6 12 31111 6 M59 92000 000181 0000E*")</f>
        <v>12200.8</v>
      </c>
      <c r="G7595" s="35">
        <f>SUMIFS(G7596:G9015,K7596:K9015,"0",B7596:B9015,"5 1 3 3 6 12 31111 6 M59 92000 000181 0000E*")</f>
        <v>0</v>
      </c>
      <c r="H7595" s="35">
        <f t="shared" si="119"/>
        <v>12200.8</v>
      </c>
      <c r="I7595" s="35"/>
      <c r="K7595" t="s">
        <v>15</v>
      </c>
    </row>
    <row r="7596" spans="2:11" ht="24.75" x14ac:dyDescent="0.2">
      <c r="B7596" s="33" t="s">
        <v>8665</v>
      </c>
      <c r="C7596" s="33" t="s">
        <v>282</v>
      </c>
      <c r="D7596" s="35">
        <f>SUMIFS(D7597:D9015,K7597:K9015,"0",B7597:B9015,"5 1 3 3 6 12 31111 6 M59 92000 000181 0000E 00001*")-SUMIFS(E7597:E9015,K7597:K9015,"0",B7597:B9015,"5 1 3 3 6 12 31111 6 M59 92000 000181 0000E 00001*")</f>
        <v>0</v>
      </c>
      <c r="E7596"/>
      <c r="F7596" s="35">
        <f>SUMIFS(F7597:F9015,K7597:K9015,"0",B7597:B9015,"5 1 3 3 6 12 31111 6 M59 92000 000181 0000E 00001*")</f>
        <v>12200.8</v>
      </c>
      <c r="G7596" s="35">
        <f>SUMIFS(G7597:G9015,K7597:K9015,"0",B7597:B9015,"5 1 3 3 6 12 31111 6 M59 92000 000181 0000E 00001*")</f>
        <v>0</v>
      </c>
      <c r="H7596" s="35">
        <f t="shared" si="119"/>
        <v>12200.8</v>
      </c>
      <c r="I7596" s="35"/>
      <c r="K7596" t="s">
        <v>15</v>
      </c>
    </row>
    <row r="7597" spans="2:11" ht="33" x14ac:dyDescent="0.2">
      <c r="B7597" s="33" t="s">
        <v>8666</v>
      </c>
      <c r="C7597" s="33" t="s">
        <v>8622</v>
      </c>
      <c r="D7597" s="35">
        <f>SUMIFS(D7598:D9015,K7598:K9015,"0",B7598:B9015,"5 1 3 3 6 12 31111 6 M59 92000 000181 0000E 00001 00336*")-SUMIFS(E7598:E9015,K7598:K9015,"0",B7598:B9015,"5 1 3 3 6 12 31111 6 M59 92000 000181 0000E 00001 00336*")</f>
        <v>0</v>
      </c>
      <c r="E7597"/>
      <c r="F7597" s="35">
        <f>SUMIFS(F7598:F9015,K7598:K9015,"0",B7598:B9015,"5 1 3 3 6 12 31111 6 M59 92000 000181 0000E 00001 00336*")</f>
        <v>12200.8</v>
      </c>
      <c r="G7597" s="35">
        <f>SUMIFS(G7598:G9015,K7598:K9015,"0",B7598:B9015,"5 1 3 3 6 12 31111 6 M59 92000 000181 0000E 00001 00336*")</f>
        <v>0</v>
      </c>
      <c r="H7597" s="35">
        <f t="shared" si="119"/>
        <v>12200.8</v>
      </c>
      <c r="I7597" s="35"/>
      <c r="K7597" t="s">
        <v>15</v>
      </c>
    </row>
    <row r="7598" spans="2:11" ht="33" x14ac:dyDescent="0.2">
      <c r="B7598" s="33" t="s">
        <v>8667</v>
      </c>
      <c r="C7598" s="33" t="s">
        <v>1051</v>
      </c>
      <c r="D7598" s="35">
        <f>SUMIFS(D7599:D9015,K7599:K9015,"0",B7599:B9015,"5 1 3 3 6 12 31111 6 M59 92000 000181 0000E 00001 00336 015*")-SUMIFS(E7599:E9015,K7599:K9015,"0",B7599:B9015,"5 1 3 3 6 12 31111 6 M59 92000 000181 0000E 00001 00336 015*")</f>
        <v>0</v>
      </c>
      <c r="E7598"/>
      <c r="F7598" s="35">
        <f>SUMIFS(F7599:F9015,K7599:K9015,"0",B7599:B9015,"5 1 3 3 6 12 31111 6 M59 92000 000181 0000E 00001 00336 015*")</f>
        <v>12200.8</v>
      </c>
      <c r="G7598" s="35">
        <f>SUMIFS(G7599:G9015,K7599:K9015,"0",B7599:B9015,"5 1 3 3 6 12 31111 6 M59 92000 000181 0000E 00001 00336 015*")</f>
        <v>0</v>
      </c>
      <c r="H7598" s="35">
        <f t="shared" si="119"/>
        <v>12200.8</v>
      </c>
      <c r="I7598" s="35"/>
      <c r="K7598" t="s">
        <v>15</v>
      </c>
    </row>
    <row r="7599" spans="2:11" ht="33" x14ac:dyDescent="0.2">
      <c r="B7599" s="33" t="s">
        <v>8668</v>
      </c>
      <c r="C7599" s="33" t="s">
        <v>5830</v>
      </c>
      <c r="D7599" s="35">
        <f>SUMIFS(D7600:D9015,K7600:K9015,"0",B7600:B9015,"5 1 3 3 6 12 31111 6 M59 92000 000181 0000E 00001 00336 015 2112000*")-SUMIFS(E7600:E9015,K7600:K9015,"0",B7600:B9015,"5 1 3 3 6 12 31111 6 M59 92000 000181 0000E 00001 00336 015 2112000*")</f>
        <v>0</v>
      </c>
      <c r="E7599"/>
      <c r="F7599" s="35">
        <f>SUMIFS(F7600:F9015,K7600:K9015,"0",B7600:B9015,"5 1 3 3 6 12 31111 6 M59 92000 000181 0000E 00001 00336 015 2112000*")</f>
        <v>12200.8</v>
      </c>
      <c r="G7599" s="35">
        <f>SUMIFS(G7600:G9015,K7600:K9015,"0",B7600:B9015,"5 1 3 3 6 12 31111 6 M59 92000 000181 0000E 00001 00336 015 2112000*")</f>
        <v>0</v>
      </c>
      <c r="H7599" s="35">
        <f t="shared" si="119"/>
        <v>12200.8</v>
      </c>
      <c r="I7599" s="35"/>
      <c r="K7599" t="s">
        <v>15</v>
      </c>
    </row>
    <row r="7600" spans="2:11" ht="33" x14ac:dyDescent="0.2">
      <c r="B7600" s="33" t="s">
        <v>8669</v>
      </c>
      <c r="C7600" s="33" t="s">
        <v>660</v>
      </c>
      <c r="D7600" s="35">
        <f>SUMIFS(D7601:D9015,K7601:K9015,"0",B7601:B9015,"5 1 3 3 6 12 31111 6 M59 92000 000181 0000E 00001 00336 015 2112000 2024*")-SUMIFS(E7601:E9015,K7601:K9015,"0",B7601:B9015,"5 1 3 3 6 12 31111 6 M59 92000 000181 0000E 00001 00336 015 2112000 2024*")</f>
        <v>0</v>
      </c>
      <c r="E7600"/>
      <c r="F7600" s="35">
        <f>SUMIFS(F7601:F9015,K7601:K9015,"0",B7601:B9015,"5 1 3 3 6 12 31111 6 M59 92000 000181 0000E 00001 00336 015 2112000 2024*")</f>
        <v>12200.8</v>
      </c>
      <c r="G7600" s="35">
        <f>SUMIFS(G7601:G9015,K7601:K9015,"0",B7601:B9015,"5 1 3 3 6 12 31111 6 M59 92000 000181 0000E 00001 00336 015 2112000 2024*")</f>
        <v>0</v>
      </c>
      <c r="H7600" s="35">
        <f t="shared" si="119"/>
        <v>12200.8</v>
      </c>
      <c r="I7600" s="35"/>
      <c r="K7600" t="s">
        <v>15</v>
      </c>
    </row>
    <row r="7601" spans="2:11" ht="41.25" x14ac:dyDescent="0.2">
      <c r="B7601" s="33" t="s">
        <v>8670</v>
      </c>
      <c r="C7601" s="33" t="s">
        <v>1056</v>
      </c>
      <c r="D7601" s="35">
        <f>SUMIFS(D7602:D9015,K7602:K9015,"0",B7602:B9015,"5 1 3 3 6 12 31111 6 M59 92000 000181 0000E 00001 00336 015 2112000 2024 CP1RC399*")-SUMIFS(E7602:E9015,K7602:K9015,"0",B7602:B9015,"5 1 3 3 6 12 31111 6 M59 92000 000181 0000E 00001 00336 015 2112000 2024 CP1RC399*")</f>
        <v>0</v>
      </c>
      <c r="E7601"/>
      <c r="F7601" s="35">
        <f>SUMIFS(F7602:F9015,K7602:K9015,"0",B7602:B9015,"5 1 3 3 6 12 31111 6 M59 92000 000181 0000E 00001 00336 015 2112000 2024 CP1RC399*")</f>
        <v>12200.8</v>
      </c>
      <c r="G7601" s="35">
        <f>SUMIFS(G7602:G9015,K7602:K9015,"0",B7602:B9015,"5 1 3 3 6 12 31111 6 M59 92000 000181 0000E 00001 00336 015 2112000 2024 CP1RC399*")</f>
        <v>0</v>
      </c>
      <c r="H7601" s="35">
        <f t="shared" si="119"/>
        <v>12200.8</v>
      </c>
      <c r="I7601" s="35"/>
      <c r="K7601" t="s">
        <v>15</v>
      </c>
    </row>
    <row r="7602" spans="2:11" ht="41.25" x14ac:dyDescent="0.2">
      <c r="B7602" s="33" t="s">
        <v>8671</v>
      </c>
      <c r="C7602" s="33" t="s">
        <v>282</v>
      </c>
      <c r="D7602" s="35">
        <f>SUMIFS(D7603:D9015,K7603:K9015,"0",B7603:B9015,"5 1 3 3 6 12 31111 6 M59 92000 000181 0000E 00001 00336 015 2112000 2024 CP1RC399 001*")-SUMIFS(E7603:E9015,K7603:K9015,"0",B7603:B9015,"5 1 3 3 6 12 31111 6 M59 92000 000181 0000E 00001 00336 015 2112000 2024 CP1RC399 001*")</f>
        <v>0</v>
      </c>
      <c r="E7602"/>
      <c r="F7602" s="35">
        <f>SUMIFS(F7603:F9015,K7603:K9015,"0",B7603:B9015,"5 1 3 3 6 12 31111 6 M59 92000 000181 0000E 00001 00336 015 2112000 2024 CP1RC399 001*")</f>
        <v>12200.8</v>
      </c>
      <c r="G7602" s="35">
        <f>SUMIFS(G7603:G9015,K7603:K9015,"0",B7603:B9015,"5 1 3 3 6 12 31111 6 M59 92000 000181 0000E 00001 00336 015 2112000 2024 CP1RC399 001*")</f>
        <v>0</v>
      </c>
      <c r="H7602" s="35">
        <f t="shared" si="119"/>
        <v>12200.8</v>
      </c>
      <c r="I7602" s="35"/>
      <c r="K7602" t="s">
        <v>15</v>
      </c>
    </row>
    <row r="7603" spans="2:11" ht="33" x14ac:dyDescent="0.2">
      <c r="B7603" s="31" t="s">
        <v>8672</v>
      </c>
      <c r="C7603" s="31" t="s">
        <v>8561</v>
      </c>
      <c r="D7603" s="34">
        <v>0</v>
      </c>
      <c r="E7603" s="34"/>
      <c r="F7603" s="34">
        <v>12200.8</v>
      </c>
      <c r="G7603" s="34">
        <v>0</v>
      </c>
      <c r="H7603" s="34">
        <f t="shared" si="119"/>
        <v>12200.8</v>
      </c>
      <c r="I7603" s="34"/>
      <c r="K7603" t="s">
        <v>38</v>
      </c>
    </row>
    <row r="7604" spans="2:11" ht="24.75" x14ac:dyDescent="0.2">
      <c r="B7604" s="33" t="s">
        <v>8673</v>
      </c>
      <c r="C7604" s="33" t="s">
        <v>8674</v>
      </c>
      <c r="D7604" s="35">
        <f>SUMIFS(D7605:D9015,K7605:K9015,"0",B7605:B9015,"5 1 3 3 9*")-SUMIFS(E7605:E9015,K7605:K9015,"0",B7605:B9015,"5 1 3 3 9*")</f>
        <v>0</v>
      </c>
      <c r="E7604"/>
      <c r="F7604" s="35">
        <f>SUMIFS(F7605:F9015,K7605:K9015,"0",B7605:B9015,"5 1 3 3 9*")</f>
        <v>470577.24</v>
      </c>
      <c r="G7604" s="35">
        <f>SUMIFS(G7605:G9015,K7605:K9015,"0",B7605:B9015,"5 1 3 3 9*")</f>
        <v>0</v>
      </c>
      <c r="H7604" s="35">
        <f t="shared" si="119"/>
        <v>470577.24</v>
      </c>
      <c r="I7604" s="35"/>
      <c r="K7604" t="s">
        <v>15</v>
      </c>
    </row>
    <row r="7605" spans="2:11" ht="12.75" x14ac:dyDescent="0.2">
      <c r="B7605" s="33" t="s">
        <v>8675</v>
      </c>
      <c r="C7605" s="33" t="s">
        <v>26</v>
      </c>
      <c r="D7605" s="35">
        <f>SUMIFS(D7606:D9015,K7606:K9015,"0",B7606:B9015,"5 1 3 3 9 12*")-SUMIFS(E7606:E9015,K7606:K9015,"0",B7606:B9015,"5 1 3 3 9 12*")</f>
        <v>0</v>
      </c>
      <c r="E7605"/>
      <c r="F7605" s="35">
        <f>SUMIFS(F7606:F9015,K7606:K9015,"0",B7606:B9015,"5 1 3 3 9 12*")</f>
        <v>470577.24</v>
      </c>
      <c r="G7605" s="35">
        <f>SUMIFS(G7606:G9015,K7606:K9015,"0",B7606:B9015,"5 1 3 3 9 12*")</f>
        <v>0</v>
      </c>
      <c r="H7605" s="35">
        <f t="shared" si="119"/>
        <v>470577.24</v>
      </c>
      <c r="I7605" s="35"/>
      <c r="K7605" t="s">
        <v>15</v>
      </c>
    </row>
    <row r="7606" spans="2:11" ht="16.5" x14ac:dyDescent="0.2">
      <c r="B7606" s="33" t="s">
        <v>8676</v>
      </c>
      <c r="C7606" s="33" t="s">
        <v>28</v>
      </c>
      <c r="D7606" s="35">
        <f>SUMIFS(D7607:D9015,K7607:K9015,"0",B7607:B9015,"5 1 3 3 9 12 31111*")-SUMIFS(E7607:E9015,K7607:K9015,"0",B7607:B9015,"5 1 3 3 9 12 31111*")</f>
        <v>0</v>
      </c>
      <c r="E7606"/>
      <c r="F7606" s="35">
        <f>SUMIFS(F7607:F9015,K7607:K9015,"0",B7607:B9015,"5 1 3 3 9 12 31111*")</f>
        <v>470577.24</v>
      </c>
      <c r="G7606" s="35">
        <f>SUMIFS(G7607:G9015,K7607:K9015,"0",B7607:B9015,"5 1 3 3 9 12 31111*")</f>
        <v>0</v>
      </c>
      <c r="H7606" s="35">
        <f t="shared" si="119"/>
        <v>470577.24</v>
      </c>
      <c r="I7606" s="35"/>
      <c r="K7606" t="s">
        <v>15</v>
      </c>
    </row>
    <row r="7607" spans="2:11" ht="12.75" x14ac:dyDescent="0.2">
      <c r="B7607" s="33" t="s">
        <v>8677</v>
      </c>
      <c r="C7607" s="33" t="s">
        <v>30</v>
      </c>
      <c r="D7607" s="35">
        <f>SUMIFS(D7608:D9015,K7608:K9015,"0",B7608:B9015,"5 1 3 3 9 12 31111 6*")-SUMIFS(E7608:E9015,K7608:K9015,"0",B7608:B9015,"5 1 3 3 9 12 31111 6*")</f>
        <v>0</v>
      </c>
      <c r="E7607"/>
      <c r="F7607" s="35">
        <f>SUMIFS(F7608:F9015,K7608:K9015,"0",B7608:B9015,"5 1 3 3 9 12 31111 6*")</f>
        <v>470577.24</v>
      </c>
      <c r="G7607" s="35">
        <f>SUMIFS(G7608:G9015,K7608:K9015,"0",B7608:B9015,"5 1 3 3 9 12 31111 6*")</f>
        <v>0</v>
      </c>
      <c r="H7607" s="35">
        <f t="shared" si="119"/>
        <v>470577.24</v>
      </c>
      <c r="I7607" s="35"/>
      <c r="K7607" t="s">
        <v>15</v>
      </c>
    </row>
    <row r="7608" spans="2:11" ht="16.5" x14ac:dyDescent="0.2">
      <c r="B7608" s="33" t="s">
        <v>8678</v>
      </c>
      <c r="C7608" s="33" t="s">
        <v>2284</v>
      </c>
      <c r="D7608" s="35">
        <f>SUMIFS(D7609:D9015,K7609:K9015,"0",B7609:B9015,"5 1 3 3 9 12 31111 6 M59*")-SUMIFS(E7609:E9015,K7609:K9015,"0",B7609:B9015,"5 1 3 3 9 12 31111 6 M59*")</f>
        <v>0</v>
      </c>
      <c r="E7608"/>
      <c r="F7608" s="35">
        <f>SUMIFS(F7609:F9015,K7609:K9015,"0",B7609:B9015,"5 1 3 3 9 12 31111 6 M59*")</f>
        <v>470577.24</v>
      </c>
      <c r="G7608" s="35">
        <f>SUMIFS(G7609:G9015,K7609:K9015,"0",B7609:B9015,"5 1 3 3 9 12 31111 6 M59*")</f>
        <v>0</v>
      </c>
      <c r="H7608" s="35">
        <f t="shared" si="119"/>
        <v>470577.24</v>
      </c>
      <c r="I7608" s="35"/>
      <c r="K7608" t="s">
        <v>15</v>
      </c>
    </row>
    <row r="7609" spans="2:11" ht="16.5" x14ac:dyDescent="0.2">
      <c r="B7609" s="33" t="s">
        <v>8679</v>
      </c>
      <c r="C7609" s="33" t="s">
        <v>3281</v>
      </c>
      <c r="D7609" s="35">
        <f>SUMIFS(D7610:D9015,K7610:K9015,"0",B7610:B9015,"5 1 3 3 9 12 31111 6 M59 50000*")-SUMIFS(E7610:E9015,K7610:K9015,"0",B7610:B9015,"5 1 3 3 9 12 31111 6 M59 50000*")</f>
        <v>0</v>
      </c>
      <c r="E7609"/>
      <c r="F7609" s="35">
        <f>SUMIFS(F7610:F9015,K7610:K9015,"0",B7610:B9015,"5 1 3 3 9 12 31111 6 M59 50000*")</f>
        <v>470577.24</v>
      </c>
      <c r="G7609" s="35">
        <f>SUMIFS(G7610:G9015,K7610:K9015,"0",B7610:B9015,"5 1 3 3 9 12 31111 6 M59 50000*")</f>
        <v>0</v>
      </c>
      <c r="H7609" s="35">
        <f t="shared" si="119"/>
        <v>470577.24</v>
      </c>
      <c r="I7609" s="35"/>
      <c r="K7609" t="s">
        <v>15</v>
      </c>
    </row>
    <row r="7610" spans="2:11" ht="16.5" x14ac:dyDescent="0.2">
      <c r="B7610" s="33" t="s">
        <v>8680</v>
      </c>
      <c r="C7610" s="33" t="s">
        <v>3283</v>
      </c>
      <c r="D7610" s="35">
        <f>SUMIFS(D7611:D9015,K7611:K9015,"0",B7611:B9015,"5 1 3 3 9 12 31111 6 M59 50000 000223*")-SUMIFS(E7611:E9015,K7611:K9015,"0",B7611:B9015,"5 1 3 3 9 12 31111 6 M59 50000 000223*")</f>
        <v>0</v>
      </c>
      <c r="E7610"/>
      <c r="F7610" s="35">
        <f>SUMIFS(F7611:F9015,K7611:K9015,"0",B7611:B9015,"5 1 3 3 9 12 31111 6 M59 50000 000223*")</f>
        <v>470577.24</v>
      </c>
      <c r="G7610" s="35">
        <f>SUMIFS(G7611:G9015,K7611:K9015,"0",B7611:B9015,"5 1 3 3 9 12 31111 6 M59 50000 000223*")</f>
        <v>0</v>
      </c>
      <c r="H7610" s="35">
        <f t="shared" si="119"/>
        <v>470577.24</v>
      </c>
      <c r="I7610" s="35"/>
      <c r="K7610" t="s">
        <v>15</v>
      </c>
    </row>
    <row r="7611" spans="2:11" ht="24.75" x14ac:dyDescent="0.2">
      <c r="B7611" s="33" t="s">
        <v>8681</v>
      </c>
      <c r="C7611" s="33" t="s">
        <v>1065</v>
      </c>
      <c r="D7611" s="35">
        <f>SUMIFS(D7612:D9015,K7612:K9015,"0",B7612:B9015,"5 1 3 3 9 12 31111 6 M59 50000 000223 0000E*")-SUMIFS(E7612:E9015,K7612:K9015,"0",B7612:B9015,"5 1 3 3 9 12 31111 6 M59 50000 000223 0000E*")</f>
        <v>0</v>
      </c>
      <c r="E7611"/>
      <c r="F7611" s="35">
        <f>SUMIFS(F7612:F9015,K7612:K9015,"0",B7612:B9015,"5 1 3 3 9 12 31111 6 M59 50000 000223 0000E*")</f>
        <v>470577.24</v>
      </c>
      <c r="G7611" s="35">
        <f>SUMIFS(G7612:G9015,K7612:K9015,"0",B7612:B9015,"5 1 3 3 9 12 31111 6 M59 50000 000223 0000E*")</f>
        <v>0</v>
      </c>
      <c r="H7611" s="35">
        <f t="shared" si="119"/>
        <v>470577.24</v>
      </c>
      <c r="I7611" s="35"/>
      <c r="K7611" t="s">
        <v>15</v>
      </c>
    </row>
    <row r="7612" spans="2:11" ht="24.75" x14ac:dyDescent="0.2">
      <c r="B7612" s="33" t="s">
        <v>8682</v>
      </c>
      <c r="C7612" s="33" t="s">
        <v>282</v>
      </c>
      <c r="D7612" s="35">
        <f>SUMIFS(D7613:D9015,K7613:K9015,"0",B7613:B9015,"5 1 3 3 9 12 31111 6 M59 50000 000223 0000E 00001*")-SUMIFS(E7613:E9015,K7613:K9015,"0",B7613:B9015,"5 1 3 3 9 12 31111 6 M59 50000 000223 0000E 00001*")</f>
        <v>0</v>
      </c>
      <c r="E7612"/>
      <c r="F7612" s="35">
        <f>SUMIFS(F7613:F9015,K7613:K9015,"0",B7613:B9015,"5 1 3 3 9 12 31111 6 M59 50000 000223 0000E 00001*")</f>
        <v>470577.24</v>
      </c>
      <c r="G7612" s="35">
        <f>SUMIFS(G7613:G9015,K7613:K9015,"0",B7613:B9015,"5 1 3 3 9 12 31111 6 M59 50000 000223 0000E 00001*")</f>
        <v>0</v>
      </c>
      <c r="H7612" s="35">
        <f t="shared" si="119"/>
        <v>470577.24</v>
      </c>
      <c r="I7612" s="35"/>
      <c r="K7612" t="s">
        <v>15</v>
      </c>
    </row>
    <row r="7613" spans="2:11" ht="24.75" x14ac:dyDescent="0.2">
      <c r="B7613" s="33" t="s">
        <v>8683</v>
      </c>
      <c r="C7613" s="33" t="s">
        <v>8684</v>
      </c>
      <c r="D7613" s="35">
        <f>SUMIFS(D7614:D9015,K7614:K9015,"0",B7614:B9015,"5 1 3 3 9 12 31111 6 M59 50000 000223 0000E 00001 00339*")-SUMIFS(E7614:E9015,K7614:K9015,"0",B7614:B9015,"5 1 3 3 9 12 31111 6 M59 50000 000223 0000E 00001 00339*")</f>
        <v>0</v>
      </c>
      <c r="E7613"/>
      <c r="F7613" s="35">
        <f>SUMIFS(F7614:F9015,K7614:K9015,"0",B7614:B9015,"5 1 3 3 9 12 31111 6 M59 50000 000223 0000E 00001 00339*")</f>
        <v>470577.24</v>
      </c>
      <c r="G7613" s="35">
        <f>SUMIFS(G7614:G9015,K7614:K9015,"0",B7614:B9015,"5 1 3 3 9 12 31111 6 M59 50000 000223 0000E 00001 00339*")</f>
        <v>0</v>
      </c>
      <c r="H7613" s="35">
        <f t="shared" si="119"/>
        <v>470577.24</v>
      </c>
      <c r="I7613" s="35"/>
      <c r="K7613" t="s">
        <v>15</v>
      </c>
    </row>
    <row r="7614" spans="2:11" ht="33" x14ac:dyDescent="0.2">
      <c r="B7614" s="33" t="s">
        <v>8685</v>
      </c>
      <c r="C7614" s="33" t="s">
        <v>1051</v>
      </c>
      <c r="D7614" s="35">
        <f>SUMIFS(D7615:D9015,K7615:K9015,"0",B7615:B9015,"5 1 3 3 9 12 31111 6 M59 50000 000223 0000E 00001 00339 015*")-SUMIFS(E7615:E9015,K7615:K9015,"0",B7615:B9015,"5 1 3 3 9 12 31111 6 M59 50000 000223 0000E 00001 00339 015*")</f>
        <v>0</v>
      </c>
      <c r="E7614"/>
      <c r="F7614" s="35">
        <f>SUMIFS(F7615:F9015,K7615:K9015,"0",B7615:B9015,"5 1 3 3 9 12 31111 6 M59 50000 000223 0000E 00001 00339 015*")</f>
        <v>470577.24</v>
      </c>
      <c r="G7614" s="35">
        <f>SUMIFS(G7615:G9015,K7615:K9015,"0",B7615:B9015,"5 1 3 3 9 12 31111 6 M59 50000 000223 0000E 00001 00339 015*")</f>
        <v>0</v>
      </c>
      <c r="H7614" s="35">
        <f t="shared" si="119"/>
        <v>470577.24</v>
      </c>
      <c r="I7614" s="35"/>
      <c r="K7614" t="s">
        <v>15</v>
      </c>
    </row>
    <row r="7615" spans="2:11" ht="33" x14ac:dyDescent="0.2">
      <c r="B7615" s="33" t="s">
        <v>8686</v>
      </c>
      <c r="C7615" s="33" t="s">
        <v>5830</v>
      </c>
      <c r="D7615" s="35">
        <f>SUMIFS(D7616:D9015,K7616:K9015,"0",B7616:B9015,"5 1 3 3 9 12 31111 6 M59 50000 000223 0000E 00001 00339 015 2112000*")-SUMIFS(E7616:E9015,K7616:K9015,"0",B7616:B9015,"5 1 3 3 9 12 31111 6 M59 50000 000223 0000E 00001 00339 015 2112000*")</f>
        <v>0</v>
      </c>
      <c r="E7615"/>
      <c r="F7615" s="35">
        <f>SUMIFS(F7616:F9015,K7616:K9015,"0",B7616:B9015,"5 1 3 3 9 12 31111 6 M59 50000 000223 0000E 00001 00339 015 2112000*")</f>
        <v>470577.24</v>
      </c>
      <c r="G7615" s="35">
        <f>SUMIFS(G7616:G9015,K7616:K9015,"0",B7616:B9015,"5 1 3 3 9 12 31111 6 M59 50000 000223 0000E 00001 00339 015 2112000*")</f>
        <v>0</v>
      </c>
      <c r="H7615" s="35">
        <f t="shared" si="119"/>
        <v>470577.24</v>
      </c>
      <c r="I7615" s="35"/>
      <c r="K7615" t="s">
        <v>15</v>
      </c>
    </row>
    <row r="7616" spans="2:11" ht="33" x14ac:dyDescent="0.2">
      <c r="B7616" s="33" t="s">
        <v>8687</v>
      </c>
      <c r="C7616" s="33" t="s">
        <v>660</v>
      </c>
      <c r="D7616" s="35">
        <f>SUMIFS(D7617:D9015,K7617:K9015,"0",B7617:B9015,"5 1 3 3 9 12 31111 6 M59 50000 000223 0000E 00001 00339 015 2112000 2024*")-SUMIFS(E7617:E9015,K7617:K9015,"0",B7617:B9015,"5 1 3 3 9 12 31111 6 M59 50000 000223 0000E 00001 00339 015 2112000 2024*")</f>
        <v>0</v>
      </c>
      <c r="E7616"/>
      <c r="F7616" s="35">
        <f>SUMIFS(F7617:F9015,K7617:K9015,"0",B7617:B9015,"5 1 3 3 9 12 31111 6 M59 50000 000223 0000E 00001 00339 015 2112000 2024*")</f>
        <v>470577.24</v>
      </c>
      <c r="G7616" s="35">
        <f>SUMIFS(G7617:G9015,K7617:K9015,"0",B7617:B9015,"5 1 3 3 9 12 31111 6 M59 50000 000223 0000E 00001 00339 015 2112000 2024*")</f>
        <v>0</v>
      </c>
      <c r="H7616" s="35">
        <f t="shared" si="119"/>
        <v>470577.24</v>
      </c>
      <c r="I7616" s="35"/>
      <c r="K7616" t="s">
        <v>15</v>
      </c>
    </row>
    <row r="7617" spans="2:11" ht="41.25" x14ac:dyDescent="0.2">
      <c r="B7617" s="33" t="s">
        <v>8688</v>
      </c>
      <c r="C7617" s="33" t="s">
        <v>7657</v>
      </c>
      <c r="D7617" s="35">
        <f>SUMIFS(D7618:D9015,K7618:K9015,"0",B7618:B9015,"5 1 3 3 9 12 31111 6 M59 50000 000223 0000E 00001 00339 015 2112000 2024 CP2DA534*")-SUMIFS(E7618:E9015,K7618:K9015,"0",B7618:B9015,"5 1 3 3 9 12 31111 6 M59 50000 000223 0000E 00001 00339 015 2112000 2024 CP2DA534*")</f>
        <v>0</v>
      </c>
      <c r="E7617"/>
      <c r="F7617" s="35">
        <f>SUMIFS(F7618:F9015,K7618:K9015,"0",B7618:B9015,"5 1 3 3 9 12 31111 6 M59 50000 000223 0000E 00001 00339 015 2112000 2024 CP2DA534*")</f>
        <v>470577.24</v>
      </c>
      <c r="G7617" s="35">
        <f>SUMIFS(G7618:G9015,K7618:K9015,"0",B7618:B9015,"5 1 3 3 9 12 31111 6 M59 50000 000223 0000E 00001 00339 015 2112000 2024 CP2DA534*")</f>
        <v>0</v>
      </c>
      <c r="H7617" s="35">
        <f t="shared" si="119"/>
        <v>470577.24</v>
      </c>
      <c r="I7617" s="35"/>
      <c r="K7617" t="s">
        <v>15</v>
      </c>
    </row>
    <row r="7618" spans="2:11" ht="41.25" x14ac:dyDescent="0.2">
      <c r="B7618" s="33" t="s">
        <v>8689</v>
      </c>
      <c r="C7618" s="33" t="s">
        <v>1075</v>
      </c>
      <c r="D7618" s="35">
        <f>SUMIFS(D7619:D9015,K7619:K9015,"0",B7619:B9015,"5 1 3 3 9 12 31111 6 M59 50000 000223 0000E 00001 00339 015 2112000 2024 CP2DA534 005*")-SUMIFS(E7619:E9015,K7619:K9015,"0",B7619:B9015,"5 1 3 3 9 12 31111 6 M59 50000 000223 0000E 00001 00339 015 2112000 2024 CP2DA534 005*")</f>
        <v>0</v>
      </c>
      <c r="E7618"/>
      <c r="F7618" s="35">
        <f>SUMIFS(F7619:F9015,K7619:K9015,"0",B7619:B9015,"5 1 3 3 9 12 31111 6 M59 50000 000223 0000E 00001 00339 015 2112000 2024 CP2DA534 005*")</f>
        <v>470577.24</v>
      </c>
      <c r="G7618" s="35">
        <f>SUMIFS(G7619:G9015,K7619:K9015,"0",B7619:B9015,"5 1 3 3 9 12 31111 6 M59 50000 000223 0000E 00001 00339 015 2112000 2024 CP2DA534 005*")</f>
        <v>0</v>
      </c>
      <c r="H7618" s="35">
        <f t="shared" si="119"/>
        <v>470577.24</v>
      </c>
      <c r="I7618" s="35"/>
      <c r="K7618" t="s">
        <v>15</v>
      </c>
    </row>
    <row r="7619" spans="2:11" ht="41.25" x14ac:dyDescent="0.2">
      <c r="B7619" s="31" t="s">
        <v>8690</v>
      </c>
      <c r="C7619" s="31" t="s">
        <v>8691</v>
      </c>
      <c r="D7619" s="34">
        <v>0</v>
      </c>
      <c r="E7619" s="34"/>
      <c r="F7619" s="34">
        <v>470577.24</v>
      </c>
      <c r="G7619" s="34">
        <v>0</v>
      </c>
      <c r="H7619" s="34">
        <f t="shared" si="119"/>
        <v>470577.24</v>
      </c>
      <c r="I7619" s="34"/>
      <c r="K7619" t="s">
        <v>38</v>
      </c>
    </row>
    <row r="7620" spans="2:11" ht="16.5" x14ac:dyDescent="0.2">
      <c r="B7620" s="33" t="s">
        <v>8692</v>
      </c>
      <c r="C7620" s="33" t="s">
        <v>8693</v>
      </c>
      <c r="D7620" s="35">
        <f>SUMIFS(D7621:D9015,K7621:K9015,"0",B7621:B9015,"5 1 3 4*")-SUMIFS(E7621:E9015,K7621:K9015,"0",B7621:B9015,"5 1 3 4*")</f>
        <v>0</v>
      </c>
      <c r="E7620"/>
      <c r="F7620" s="35">
        <f>SUMIFS(F7621:F9015,K7621:K9015,"0",B7621:B9015,"5 1 3 4*")</f>
        <v>82809.5</v>
      </c>
      <c r="G7620" s="35">
        <f>SUMIFS(G7621:G9015,K7621:K9015,"0",B7621:B9015,"5 1 3 4*")</f>
        <v>0</v>
      </c>
      <c r="H7620" s="35">
        <f t="shared" ref="H7620:H7683" si="120">D7620 + F7620 - G7620</f>
        <v>82809.5</v>
      </c>
      <c r="I7620" s="35"/>
      <c r="K7620" t="s">
        <v>15</v>
      </c>
    </row>
    <row r="7621" spans="2:11" ht="16.5" x14ac:dyDescent="0.2">
      <c r="B7621" s="33" t="s">
        <v>8694</v>
      </c>
      <c r="C7621" s="33" t="s">
        <v>8695</v>
      </c>
      <c r="D7621" s="35">
        <f>SUMIFS(D7622:D9015,K7622:K9015,"0",B7622:B9015,"5 1 3 4 1*")-SUMIFS(E7622:E9015,K7622:K9015,"0",B7622:B9015,"5 1 3 4 1*")</f>
        <v>0</v>
      </c>
      <c r="E7621"/>
      <c r="F7621" s="35">
        <f>SUMIFS(F7622:F9015,K7622:K9015,"0",B7622:B9015,"5 1 3 4 1*")</f>
        <v>36908.060000000005</v>
      </c>
      <c r="G7621" s="35">
        <f>SUMIFS(G7622:G9015,K7622:K9015,"0",B7622:B9015,"5 1 3 4 1*")</f>
        <v>0</v>
      </c>
      <c r="H7621" s="35">
        <f t="shared" si="120"/>
        <v>36908.060000000005</v>
      </c>
      <c r="I7621" s="35"/>
      <c r="K7621" t="s">
        <v>15</v>
      </c>
    </row>
    <row r="7622" spans="2:11" ht="12.75" x14ac:dyDescent="0.2">
      <c r="B7622" s="33" t="s">
        <v>8696</v>
      </c>
      <c r="C7622" s="33" t="s">
        <v>26</v>
      </c>
      <c r="D7622" s="35">
        <f>SUMIFS(D7623:D9015,K7623:K9015,"0",B7623:B9015,"5 1 3 4 1 12*")-SUMIFS(E7623:E9015,K7623:K9015,"0",B7623:B9015,"5 1 3 4 1 12*")</f>
        <v>0</v>
      </c>
      <c r="E7622"/>
      <c r="F7622" s="35">
        <f>SUMIFS(F7623:F9015,K7623:K9015,"0",B7623:B9015,"5 1 3 4 1 12*")</f>
        <v>36908.060000000005</v>
      </c>
      <c r="G7622" s="35">
        <f>SUMIFS(G7623:G9015,K7623:K9015,"0",B7623:B9015,"5 1 3 4 1 12*")</f>
        <v>0</v>
      </c>
      <c r="H7622" s="35">
        <f t="shared" si="120"/>
        <v>36908.060000000005</v>
      </c>
      <c r="I7622" s="35"/>
      <c r="K7622" t="s">
        <v>15</v>
      </c>
    </row>
    <row r="7623" spans="2:11" ht="16.5" x14ac:dyDescent="0.2">
      <c r="B7623" s="33" t="s">
        <v>8697</v>
      </c>
      <c r="C7623" s="33" t="s">
        <v>28</v>
      </c>
      <c r="D7623" s="35">
        <f>SUMIFS(D7624:D9015,K7624:K9015,"0",B7624:B9015,"5 1 3 4 1 12 31111*")-SUMIFS(E7624:E9015,K7624:K9015,"0",B7624:B9015,"5 1 3 4 1 12 31111*")</f>
        <v>0</v>
      </c>
      <c r="E7623"/>
      <c r="F7623" s="35">
        <f>SUMIFS(F7624:F9015,K7624:K9015,"0",B7624:B9015,"5 1 3 4 1 12 31111*")</f>
        <v>36908.060000000005</v>
      </c>
      <c r="G7623" s="35">
        <f>SUMIFS(G7624:G9015,K7624:K9015,"0",B7624:B9015,"5 1 3 4 1 12 31111*")</f>
        <v>0</v>
      </c>
      <c r="H7623" s="35">
        <f t="shared" si="120"/>
        <v>36908.060000000005</v>
      </c>
      <c r="I7623" s="35"/>
      <c r="K7623" t="s">
        <v>15</v>
      </c>
    </row>
    <row r="7624" spans="2:11" ht="12.75" x14ac:dyDescent="0.2">
      <c r="B7624" s="33" t="s">
        <v>8698</v>
      </c>
      <c r="C7624" s="33" t="s">
        <v>30</v>
      </c>
      <c r="D7624" s="35">
        <f>SUMIFS(D7625:D9015,K7625:K9015,"0",B7625:B9015,"5 1 3 4 1 12 31111 6*")-SUMIFS(E7625:E9015,K7625:K9015,"0",B7625:B9015,"5 1 3 4 1 12 31111 6*")</f>
        <v>0</v>
      </c>
      <c r="E7624"/>
      <c r="F7624" s="35">
        <f>SUMIFS(F7625:F9015,K7625:K9015,"0",B7625:B9015,"5 1 3 4 1 12 31111 6*")</f>
        <v>36908.060000000005</v>
      </c>
      <c r="G7624" s="35">
        <f>SUMIFS(G7625:G9015,K7625:K9015,"0",B7625:B9015,"5 1 3 4 1 12 31111 6*")</f>
        <v>0</v>
      </c>
      <c r="H7624" s="35">
        <f t="shared" si="120"/>
        <v>36908.060000000005</v>
      </c>
      <c r="I7624" s="35"/>
      <c r="K7624" t="s">
        <v>15</v>
      </c>
    </row>
    <row r="7625" spans="2:11" ht="16.5" x14ac:dyDescent="0.2">
      <c r="B7625" s="33" t="s">
        <v>8699</v>
      </c>
      <c r="C7625" s="33" t="s">
        <v>2284</v>
      </c>
      <c r="D7625" s="35">
        <f>SUMIFS(D7626:D9015,K7626:K9015,"0",B7626:B9015,"5 1 3 4 1 12 31111 6 M59*")-SUMIFS(E7626:E9015,K7626:K9015,"0",B7626:B9015,"5 1 3 4 1 12 31111 6 M59*")</f>
        <v>0</v>
      </c>
      <c r="E7625"/>
      <c r="F7625" s="35">
        <f>SUMIFS(F7626:F9015,K7626:K9015,"0",B7626:B9015,"5 1 3 4 1 12 31111 6 M59*")</f>
        <v>36908.060000000005</v>
      </c>
      <c r="G7625" s="35">
        <f>SUMIFS(G7626:G9015,K7626:K9015,"0",B7626:B9015,"5 1 3 4 1 12 31111 6 M59*")</f>
        <v>0</v>
      </c>
      <c r="H7625" s="35">
        <f t="shared" si="120"/>
        <v>36908.060000000005</v>
      </c>
      <c r="I7625" s="35"/>
      <c r="K7625" t="s">
        <v>15</v>
      </c>
    </row>
    <row r="7626" spans="2:11" ht="16.5" x14ac:dyDescent="0.2">
      <c r="B7626" s="33" t="s">
        <v>8700</v>
      </c>
      <c r="C7626" s="33" t="s">
        <v>1044</v>
      </c>
      <c r="D7626" s="35">
        <f>SUMIFS(D7627:D9015,K7627:K9015,"0",B7627:B9015,"5 1 3 4 1 12 31111 6 M59 19000*")-SUMIFS(E7627:E9015,K7627:K9015,"0",B7627:B9015,"5 1 3 4 1 12 31111 6 M59 19000*")</f>
        <v>0</v>
      </c>
      <c r="E7626"/>
      <c r="F7626" s="35">
        <f>SUMIFS(F7627:F9015,K7627:K9015,"0",B7627:B9015,"5 1 3 4 1 12 31111 6 M59 19000*")</f>
        <v>3934.15</v>
      </c>
      <c r="G7626" s="35">
        <f>SUMIFS(G7627:G9015,K7627:K9015,"0",B7627:B9015,"5 1 3 4 1 12 31111 6 M59 19000*")</f>
        <v>0</v>
      </c>
      <c r="H7626" s="35">
        <f t="shared" si="120"/>
        <v>3934.15</v>
      </c>
      <c r="I7626" s="35"/>
      <c r="K7626" t="s">
        <v>15</v>
      </c>
    </row>
    <row r="7627" spans="2:11" ht="16.5" x14ac:dyDescent="0.2">
      <c r="B7627" s="33" t="s">
        <v>8701</v>
      </c>
      <c r="C7627" s="33" t="s">
        <v>648</v>
      </c>
      <c r="D7627" s="35">
        <f>SUMIFS(D7628:D9015,K7628:K9015,"0",B7628:B9015,"5 1 3 4 1 12 31111 6 M59 19000 000132*")-SUMIFS(E7628:E9015,K7628:K9015,"0",B7628:B9015,"5 1 3 4 1 12 31111 6 M59 19000 000132*")</f>
        <v>0</v>
      </c>
      <c r="E7627"/>
      <c r="F7627" s="35">
        <f>SUMIFS(F7628:F9015,K7628:K9015,"0",B7628:B9015,"5 1 3 4 1 12 31111 6 M59 19000 000132*")</f>
        <v>2511.69</v>
      </c>
      <c r="G7627" s="35">
        <f>SUMIFS(G7628:G9015,K7628:K9015,"0",B7628:B9015,"5 1 3 4 1 12 31111 6 M59 19000 000132*")</f>
        <v>0</v>
      </c>
      <c r="H7627" s="35">
        <f t="shared" si="120"/>
        <v>2511.69</v>
      </c>
      <c r="I7627" s="35"/>
      <c r="K7627" t="s">
        <v>15</v>
      </c>
    </row>
    <row r="7628" spans="2:11" ht="24.75" x14ac:dyDescent="0.2">
      <c r="B7628" s="33" t="s">
        <v>8702</v>
      </c>
      <c r="C7628" s="33" t="s">
        <v>650</v>
      </c>
      <c r="D7628" s="35">
        <f>SUMIFS(D7629:D9015,K7629:K9015,"0",B7629:B9015,"5 1 3 4 1 12 31111 6 M59 19000 000132 0000R*")-SUMIFS(E7629:E9015,K7629:K9015,"0",B7629:B9015,"5 1 3 4 1 12 31111 6 M59 19000 000132 0000R*")</f>
        <v>0</v>
      </c>
      <c r="E7628"/>
      <c r="F7628" s="35">
        <f>SUMIFS(F7629:F9015,K7629:K9015,"0",B7629:B9015,"5 1 3 4 1 12 31111 6 M59 19000 000132 0000R*")</f>
        <v>2511.69</v>
      </c>
      <c r="G7628" s="35">
        <f>SUMIFS(G7629:G9015,K7629:K9015,"0",B7629:B9015,"5 1 3 4 1 12 31111 6 M59 19000 000132 0000R*")</f>
        <v>0</v>
      </c>
      <c r="H7628" s="35">
        <f t="shared" si="120"/>
        <v>2511.69</v>
      </c>
      <c r="I7628" s="35"/>
      <c r="K7628" t="s">
        <v>15</v>
      </c>
    </row>
    <row r="7629" spans="2:11" ht="24.75" x14ac:dyDescent="0.2">
      <c r="B7629" s="33" t="s">
        <v>8703</v>
      </c>
      <c r="C7629" s="33" t="s">
        <v>282</v>
      </c>
      <c r="D7629" s="35">
        <f>SUMIFS(D7630:D9015,K7630:K9015,"0",B7630:B9015,"5 1 3 4 1 12 31111 6 M59 19000 000132 0000R 00001*")-SUMIFS(E7630:E9015,K7630:K9015,"0",B7630:B9015,"5 1 3 4 1 12 31111 6 M59 19000 000132 0000R 00001*")</f>
        <v>0</v>
      </c>
      <c r="E7629"/>
      <c r="F7629" s="35">
        <f>SUMIFS(F7630:F9015,K7630:K9015,"0",B7630:B9015,"5 1 3 4 1 12 31111 6 M59 19000 000132 0000R 00001*")</f>
        <v>2511.69</v>
      </c>
      <c r="G7629" s="35">
        <f>SUMIFS(G7630:G9015,K7630:K9015,"0",B7630:B9015,"5 1 3 4 1 12 31111 6 M59 19000 000132 0000R 00001*")</f>
        <v>0</v>
      </c>
      <c r="H7629" s="35">
        <f t="shared" si="120"/>
        <v>2511.69</v>
      </c>
      <c r="I7629" s="35"/>
      <c r="K7629" t="s">
        <v>15</v>
      </c>
    </row>
    <row r="7630" spans="2:11" ht="24.75" x14ac:dyDescent="0.2">
      <c r="B7630" s="33" t="s">
        <v>8704</v>
      </c>
      <c r="C7630" s="33" t="s">
        <v>8705</v>
      </c>
      <c r="D7630" s="35">
        <f>SUMIFS(D7631:D9015,K7631:K9015,"0",B7631:B9015,"5 1 3 4 1 12 31111 6 M59 19000 000132 0000R 00001 00341*")-SUMIFS(E7631:E9015,K7631:K9015,"0",B7631:B9015,"5 1 3 4 1 12 31111 6 M59 19000 000132 0000R 00001 00341*")</f>
        <v>0</v>
      </c>
      <c r="E7630"/>
      <c r="F7630" s="35">
        <f>SUMIFS(F7631:F9015,K7631:K9015,"0",B7631:B9015,"5 1 3 4 1 12 31111 6 M59 19000 000132 0000R 00001 00341*")</f>
        <v>2511.69</v>
      </c>
      <c r="G7630" s="35">
        <f>SUMIFS(G7631:G9015,K7631:K9015,"0",B7631:B9015,"5 1 3 4 1 12 31111 6 M59 19000 000132 0000R 00001 00341*")</f>
        <v>0</v>
      </c>
      <c r="H7630" s="35">
        <f t="shared" si="120"/>
        <v>2511.69</v>
      </c>
      <c r="I7630" s="35"/>
      <c r="K7630" t="s">
        <v>15</v>
      </c>
    </row>
    <row r="7631" spans="2:11" ht="33" x14ac:dyDescent="0.2">
      <c r="B7631" s="33" t="s">
        <v>8706</v>
      </c>
      <c r="C7631" s="33" t="s">
        <v>699</v>
      </c>
      <c r="D7631" s="35">
        <f>SUMIFS(D7632:D9015,K7632:K9015,"0",B7632:B9015,"5 1 3 4 1 12 31111 6 M59 19000 000132 0000R 00001 00341 011*")-SUMIFS(E7632:E9015,K7632:K9015,"0",B7632:B9015,"5 1 3 4 1 12 31111 6 M59 19000 000132 0000R 00001 00341 011*")</f>
        <v>0</v>
      </c>
      <c r="E7631"/>
      <c r="F7631" s="35">
        <f>SUMIFS(F7632:F9015,K7632:K9015,"0",B7632:B9015,"5 1 3 4 1 12 31111 6 M59 19000 000132 0000R 00001 00341 011*")</f>
        <v>512.72</v>
      </c>
      <c r="G7631" s="35">
        <f>SUMIFS(G7632:G9015,K7632:K9015,"0",B7632:B9015,"5 1 3 4 1 12 31111 6 M59 19000 000132 0000R 00001 00341 011*")</f>
        <v>0</v>
      </c>
      <c r="H7631" s="35">
        <f t="shared" si="120"/>
        <v>512.72</v>
      </c>
      <c r="I7631" s="35"/>
      <c r="K7631" t="s">
        <v>15</v>
      </c>
    </row>
    <row r="7632" spans="2:11" ht="33" x14ac:dyDescent="0.2">
      <c r="B7632" s="33" t="s">
        <v>8707</v>
      </c>
      <c r="C7632" s="33" t="s">
        <v>5830</v>
      </c>
      <c r="D7632" s="35">
        <f>SUMIFS(D7633:D9015,K7633:K9015,"0",B7633:B9015,"5 1 3 4 1 12 31111 6 M59 19000 000132 0000R 00001 00341 011 2112000*")-SUMIFS(E7633:E9015,K7633:K9015,"0",B7633:B9015,"5 1 3 4 1 12 31111 6 M59 19000 000132 0000R 00001 00341 011 2112000*")</f>
        <v>0</v>
      </c>
      <c r="E7632"/>
      <c r="F7632" s="35">
        <f>SUMIFS(F7633:F9015,K7633:K9015,"0",B7633:B9015,"5 1 3 4 1 12 31111 6 M59 19000 000132 0000R 00001 00341 011 2112000*")</f>
        <v>512.72</v>
      </c>
      <c r="G7632" s="35">
        <f>SUMIFS(G7633:G9015,K7633:K9015,"0",B7633:B9015,"5 1 3 4 1 12 31111 6 M59 19000 000132 0000R 00001 00341 011 2112000*")</f>
        <v>0</v>
      </c>
      <c r="H7632" s="35">
        <f t="shared" si="120"/>
        <v>512.72</v>
      </c>
      <c r="I7632" s="35"/>
      <c r="K7632" t="s">
        <v>15</v>
      </c>
    </row>
    <row r="7633" spans="2:11" ht="33" x14ac:dyDescent="0.2">
      <c r="B7633" s="33" t="s">
        <v>8708</v>
      </c>
      <c r="C7633" s="33" t="s">
        <v>660</v>
      </c>
      <c r="D7633" s="35">
        <f>SUMIFS(D7634:D9015,K7634:K9015,"0",B7634:B9015,"5 1 3 4 1 12 31111 6 M59 19000 000132 0000R 00001 00341 011 2112000 2024*")-SUMIFS(E7634:E9015,K7634:K9015,"0",B7634:B9015,"5 1 3 4 1 12 31111 6 M59 19000 000132 0000R 00001 00341 011 2112000 2024*")</f>
        <v>0</v>
      </c>
      <c r="E7633"/>
      <c r="F7633" s="35">
        <f>SUMIFS(F7634:F9015,K7634:K9015,"0",B7634:B9015,"5 1 3 4 1 12 31111 6 M59 19000 000132 0000R 00001 00341 011 2112000 2024*")</f>
        <v>512.72</v>
      </c>
      <c r="G7633" s="35">
        <f>SUMIFS(G7634:G9015,K7634:K9015,"0",B7634:B9015,"5 1 3 4 1 12 31111 6 M59 19000 000132 0000R 00001 00341 011 2112000 2024*")</f>
        <v>0</v>
      </c>
      <c r="H7633" s="35">
        <f t="shared" si="120"/>
        <v>512.72</v>
      </c>
      <c r="I7633" s="35"/>
      <c r="K7633" t="s">
        <v>15</v>
      </c>
    </row>
    <row r="7634" spans="2:11" ht="41.25" x14ac:dyDescent="0.2">
      <c r="B7634" s="33" t="s">
        <v>8709</v>
      </c>
      <c r="C7634" s="33" t="s">
        <v>662</v>
      </c>
      <c r="D7634" s="35">
        <f>SUMIFS(D7635:D9015,K7635:K9015,"0",B7635:B9015,"5 1 3 4 1 12 31111 6 M59 19000 000132 0000R 00001 00341 011 2112000 2024 CP1TM440*")-SUMIFS(E7635:E9015,K7635:K9015,"0",B7635:B9015,"5 1 3 4 1 12 31111 6 M59 19000 000132 0000R 00001 00341 011 2112000 2024 CP1TM440*")</f>
        <v>0</v>
      </c>
      <c r="E7634"/>
      <c r="F7634" s="35">
        <f>SUMIFS(F7635:F9015,K7635:K9015,"0",B7635:B9015,"5 1 3 4 1 12 31111 6 M59 19000 000132 0000R 00001 00341 011 2112000 2024 CP1TM440*")</f>
        <v>512.72</v>
      </c>
      <c r="G7634" s="35">
        <f>SUMIFS(G7635:G9015,K7635:K9015,"0",B7635:B9015,"5 1 3 4 1 12 31111 6 M59 19000 000132 0000R 00001 00341 011 2112000 2024 CP1TM440*")</f>
        <v>0</v>
      </c>
      <c r="H7634" s="35">
        <f t="shared" si="120"/>
        <v>512.72</v>
      </c>
      <c r="I7634" s="35"/>
      <c r="K7634" t="s">
        <v>15</v>
      </c>
    </row>
    <row r="7635" spans="2:11" ht="41.25" x14ac:dyDescent="0.2">
      <c r="B7635" s="33" t="s">
        <v>8710</v>
      </c>
      <c r="C7635" s="33" t="s">
        <v>46</v>
      </c>
      <c r="D7635" s="35">
        <f>SUMIFS(D7636:D9015,K7636:K9015,"0",B7636:B9015,"5 1 3 4 1 12 31111 6 M59 19000 000132 0000R 00001 00341 011 2112000 2024 CP1TM440 004*")-SUMIFS(E7636:E9015,K7636:K9015,"0",B7636:B9015,"5 1 3 4 1 12 31111 6 M59 19000 000132 0000R 00001 00341 011 2112000 2024 CP1TM440 004*")</f>
        <v>0</v>
      </c>
      <c r="E7635"/>
      <c r="F7635" s="35">
        <f>SUMIFS(F7636:F9015,K7636:K9015,"0",B7636:B9015,"5 1 3 4 1 12 31111 6 M59 19000 000132 0000R 00001 00341 011 2112000 2024 CP1TM440 004*")</f>
        <v>512.72</v>
      </c>
      <c r="G7635" s="35">
        <f>SUMIFS(G7636:G9015,K7636:K9015,"0",B7636:B9015,"5 1 3 4 1 12 31111 6 M59 19000 000132 0000R 00001 00341 011 2112000 2024 CP1TM440 004*")</f>
        <v>0</v>
      </c>
      <c r="H7635" s="35">
        <f t="shared" si="120"/>
        <v>512.72</v>
      </c>
      <c r="I7635" s="35"/>
      <c r="K7635" t="s">
        <v>15</v>
      </c>
    </row>
    <row r="7636" spans="2:11" ht="33" x14ac:dyDescent="0.2">
      <c r="B7636" s="31" t="s">
        <v>8711</v>
      </c>
      <c r="C7636" s="31" t="s">
        <v>8705</v>
      </c>
      <c r="D7636" s="34">
        <v>0</v>
      </c>
      <c r="E7636" s="34"/>
      <c r="F7636" s="34">
        <v>512.72</v>
      </c>
      <c r="G7636" s="34">
        <v>0</v>
      </c>
      <c r="H7636" s="34">
        <f t="shared" si="120"/>
        <v>512.72</v>
      </c>
      <c r="I7636" s="34"/>
      <c r="K7636" t="s">
        <v>38</v>
      </c>
    </row>
    <row r="7637" spans="2:11" ht="33" x14ac:dyDescent="0.2">
      <c r="B7637" s="33" t="s">
        <v>8712</v>
      </c>
      <c r="C7637" s="33" t="s">
        <v>1051</v>
      </c>
      <c r="D7637" s="35">
        <f>SUMIFS(D7638:D9015,K7638:K9015,"0",B7638:B9015,"5 1 3 4 1 12 31111 6 M59 19000 000132 0000R 00001 00341 015*")-SUMIFS(E7638:E9015,K7638:K9015,"0",B7638:B9015,"5 1 3 4 1 12 31111 6 M59 19000 000132 0000R 00001 00341 015*")</f>
        <v>0</v>
      </c>
      <c r="E7637"/>
      <c r="F7637" s="35">
        <f>SUMIFS(F7638:F9015,K7638:K9015,"0",B7638:B9015,"5 1 3 4 1 12 31111 6 M59 19000 000132 0000R 00001 00341 015*")</f>
        <v>1998.9699999999998</v>
      </c>
      <c r="G7637" s="35">
        <f>SUMIFS(G7638:G9015,K7638:K9015,"0",B7638:B9015,"5 1 3 4 1 12 31111 6 M59 19000 000132 0000R 00001 00341 015*")</f>
        <v>0</v>
      </c>
      <c r="H7637" s="35">
        <f t="shared" si="120"/>
        <v>1998.9699999999998</v>
      </c>
      <c r="I7637" s="35"/>
      <c r="K7637" t="s">
        <v>15</v>
      </c>
    </row>
    <row r="7638" spans="2:11" ht="33" x14ac:dyDescent="0.2">
      <c r="B7638" s="33" t="s">
        <v>8713</v>
      </c>
      <c r="C7638" s="33" t="s">
        <v>5830</v>
      </c>
      <c r="D7638" s="35">
        <f>SUMIFS(D7639:D9015,K7639:K9015,"0",B7639:B9015,"5 1 3 4 1 12 31111 6 M59 19000 000132 0000R 00001 00341 015 2112000*")-SUMIFS(E7639:E9015,K7639:K9015,"0",B7639:B9015,"5 1 3 4 1 12 31111 6 M59 19000 000132 0000R 00001 00341 015 2112000*")</f>
        <v>0</v>
      </c>
      <c r="E7638"/>
      <c r="F7638" s="35">
        <f>SUMIFS(F7639:F9015,K7639:K9015,"0",B7639:B9015,"5 1 3 4 1 12 31111 6 M59 19000 000132 0000R 00001 00341 015 2112000*")</f>
        <v>1998.9699999999998</v>
      </c>
      <c r="G7638" s="35">
        <f>SUMIFS(G7639:G9015,K7639:K9015,"0",B7639:B9015,"5 1 3 4 1 12 31111 6 M59 19000 000132 0000R 00001 00341 015 2112000*")</f>
        <v>0</v>
      </c>
      <c r="H7638" s="35">
        <f t="shared" si="120"/>
        <v>1998.9699999999998</v>
      </c>
      <c r="I7638" s="35"/>
      <c r="K7638" t="s">
        <v>15</v>
      </c>
    </row>
    <row r="7639" spans="2:11" ht="33" x14ac:dyDescent="0.2">
      <c r="B7639" s="33" t="s">
        <v>8714</v>
      </c>
      <c r="C7639" s="33" t="s">
        <v>660</v>
      </c>
      <c r="D7639" s="35">
        <f>SUMIFS(D7640:D9015,K7640:K9015,"0",B7640:B9015,"5 1 3 4 1 12 31111 6 M59 19000 000132 0000R 00001 00341 015 2112000 2024*")-SUMIFS(E7640:E9015,K7640:K9015,"0",B7640:B9015,"5 1 3 4 1 12 31111 6 M59 19000 000132 0000R 00001 00341 015 2112000 2024*")</f>
        <v>0</v>
      </c>
      <c r="E7639"/>
      <c r="F7639" s="35">
        <f>SUMIFS(F7640:F9015,K7640:K9015,"0",B7640:B9015,"5 1 3 4 1 12 31111 6 M59 19000 000132 0000R 00001 00341 015 2112000 2024*")</f>
        <v>1998.9699999999998</v>
      </c>
      <c r="G7639" s="35">
        <f>SUMIFS(G7640:G9015,K7640:K9015,"0",B7640:B9015,"5 1 3 4 1 12 31111 6 M59 19000 000132 0000R 00001 00341 015 2112000 2024*")</f>
        <v>0</v>
      </c>
      <c r="H7639" s="35">
        <f t="shared" si="120"/>
        <v>1998.9699999999998</v>
      </c>
      <c r="I7639" s="35"/>
      <c r="K7639" t="s">
        <v>15</v>
      </c>
    </row>
    <row r="7640" spans="2:11" ht="41.25" x14ac:dyDescent="0.2">
      <c r="B7640" s="33" t="s">
        <v>8715</v>
      </c>
      <c r="C7640" s="33" t="s">
        <v>662</v>
      </c>
      <c r="D7640" s="35">
        <f>SUMIFS(D7641:D9015,K7641:K9015,"0",B7641:B9015,"5 1 3 4 1 12 31111 6 M59 19000 000132 0000R 00001 00341 015 2112000 2024 CP1TM440*")-SUMIFS(E7641:E9015,K7641:K9015,"0",B7641:B9015,"5 1 3 4 1 12 31111 6 M59 19000 000132 0000R 00001 00341 015 2112000 2024 CP1TM440*")</f>
        <v>0</v>
      </c>
      <c r="E7640"/>
      <c r="F7640" s="35">
        <f>SUMIFS(F7641:F9015,K7641:K9015,"0",B7641:B9015,"5 1 3 4 1 12 31111 6 M59 19000 000132 0000R 00001 00341 015 2112000 2024 CP1TM440*")</f>
        <v>1998.9699999999998</v>
      </c>
      <c r="G7640" s="35">
        <f>SUMIFS(G7641:G9015,K7641:K9015,"0",B7641:B9015,"5 1 3 4 1 12 31111 6 M59 19000 000132 0000R 00001 00341 015 2112000 2024 CP1TM440*")</f>
        <v>0</v>
      </c>
      <c r="H7640" s="35">
        <f t="shared" si="120"/>
        <v>1998.9699999999998</v>
      </c>
      <c r="I7640" s="35"/>
      <c r="K7640" t="s">
        <v>15</v>
      </c>
    </row>
    <row r="7641" spans="2:11" ht="41.25" x14ac:dyDescent="0.2">
      <c r="B7641" s="33" t="s">
        <v>8716</v>
      </c>
      <c r="C7641" s="33" t="s">
        <v>282</v>
      </c>
      <c r="D7641" s="35">
        <f>SUMIFS(D7642:D9015,K7642:K9015,"0",B7642:B9015,"5 1 3 4 1 12 31111 6 M59 19000 000132 0000R 00001 00341 015 2112000 2024 CP1TM440 001*")-SUMIFS(E7642:E9015,K7642:K9015,"0",B7642:B9015,"5 1 3 4 1 12 31111 6 M59 19000 000132 0000R 00001 00341 015 2112000 2024 CP1TM440 001*")</f>
        <v>0</v>
      </c>
      <c r="E7641"/>
      <c r="F7641" s="35">
        <f>SUMIFS(F7642:F9015,K7642:K9015,"0",B7642:B9015,"5 1 3 4 1 12 31111 6 M59 19000 000132 0000R 00001 00341 015 2112000 2024 CP1TM440 001*")</f>
        <v>1900.37</v>
      </c>
      <c r="G7641" s="35">
        <f>SUMIFS(G7642:G9015,K7642:K9015,"0",B7642:B9015,"5 1 3 4 1 12 31111 6 M59 19000 000132 0000R 00001 00341 015 2112000 2024 CP1TM440 001*")</f>
        <v>0</v>
      </c>
      <c r="H7641" s="35">
        <f t="shared" si="120"/>
        <v>1900.37</v>
      </c>
      <c r="I7641" s="35"/>
      <c r="K7641" t="s">
        <v>15</v>
      </c>
    </row>
    <row r="7642" spans="2:11" ht="33" x14ac:dyDescent="0.2">
      <c r="B7642" s="31" t="s">
        <v>8717</v>
      </c>
      <c r="C7642" s="31" t="s">
        <v>8705</v>
      </c>
      <c r="D7642" s="34">
        <v>0</v>
      </c>
      <c r="E7642" s="34"/>
      <c r="F7642" s="34">
        <v>1900.37</v>
      </c>
      <c r="G7642" s="34">
        <v>0</v>
      </c>
      <c r="H7642" s="34">
        <f t="shared" si="120"/>
        <v>1900.37</v>
      </c>
      <c r="I7642" s="34"/>
      <c r="K7642" t="s">
        <v>38</v>
      </c>
    </row>
    <row r="7643" spans="2:11" ht="41.25" x14ac:dyDescent="0.2">
      <c r="B7643" s="33" t="s">
        <v>8718</v>
      </c>
      <c r="C7643" s="33" t="s">
        <v>1075</v>
      </c>
      <c r="D7643" s="35">
        <f>SUMIFS(D7644:D9015,K7644:K9015,"0",B7644:B9015,"5 1 3 4 1 12 31111 6 M59 19000 000132 0000R 00001 00341 015 2112000 2024 CP1TM440 005*")-SUMIFS(E7644:E9015,K7644:K9015,"0",B7644:B9015,"5 1 3 4 1 12 31111 6 M59 19000 000132 0000R 00001 00341 015 2112000 2024 CP1TM440 005*")</f>
        <v>0</v>
      </c>
      <c r="E7643"/>
      <c r="F7643" s="35">
        <f>SUMIFS(F7644:F9015,K7644:K9015,"0",B7644:B9015,"5 1 3 4 1 12 31111 6 M59 19000 000132 0000R 00001 00341 015 2112000 2024 CP1TM440 005*")</f>
        <v>98.6</v>
      </c>
      <c r="G7643" s="35">
        <f>SUMIFS(G7644:G9015,K7644:K9015,"0",B7644:B9015,"5 1 3 4 1 12 31111 6 M59 19000 000132 0000R 00001 00341 015 2112000 2024 CP1TM440 005*")</f>
        <v>0</v>
      </c>
      <c r="H7643" s="35">
        <f t="shared" si="120"/>
        <v>98.6</v>
      </c>
      <c r="I7643" s="35"/>
      <c r="K7643" t="s">
        <v>15</v>
      </c>
    </row>
    <row r="7644" spans="2:11" ht="33" x14ac:dyDescent="0.2">
      <c r="B7644" s="31" t="s">
        <v>8719</v>
      </c>
      <c r="C7644" s="31" t="s">
        <v>8695</v>
      </c>
      <c r="D7644" s="34">
        <v>0</v>
      </c>
      <c r="E7644" s="34"/>
      <c r="F7644" s="34">
        <v>98.6</v>
      </c>
      <c r="G7644" s="34">
        <v>0</v>
      </c>
      <c r="H7644" s="34">
        <f t="shared" si="120"/>
        <v>98.6</v>
      </c>
      <c r="I7644" s="34"/>
      <c r="K7644" t="s">
        <v>38</v>
      </c>
    </row>
    <row r="7645" spans="2:11" ht="16.5" x14ac:dyDescent="0.2">
      <c r="B7645" s="33" t="s">
        <v>8720</v>
      </c>
      <c r="C7645" s="33" t="s">
        <v>8599</v>
      </c>
      <c r="D7645" s="35">
        <f>SUMIFS(D7646:D9015,K7646:K9015,"0",B7646:B9015,"5 1 3 4 1 12 31111 6 M59 19000 000271*")-SUMIFS(E7646:E9015,K7646:K9015,"0",B7646:B9015,"5 1 3 4 1 12 31111 6 M59 19000 000271*")</f>
        <v>0</v>
      </c>
      <c r="E7645"/>
      <c r="F7645" s="35">
        <f>SUMIFS(F7646:F9015,K7646:K9015,"0",B7646:B9015,"5 1 3 4 1 12 31111 6 M59 19000 000271*")</f>
        <v>1422.46</v>
      </c>
      <c r="G7645" s="35">
        <f>SUMIFS(G7646:G9015,K7646:K9015,"0",B7646:B9015,"5 1 3 4 1 12 31111 6 M59 19000 000271*")</f>
        <v>0</v>
      </c>
      <c r="H7645" s="35">
        <f t="shared" si="120"/>
        <v>1422.46</v>
      </c>
      <c r="I7645" s="35"/>
      <c r="K7645" t="s">
        <v>15</v>
      </c>
    </row>
    <row r="7646" spans="2:11" ht="24.75" x14ac:dyDescent="0.2">
      <c r="B7646" s="33" t="s">
        <v>8721</v>
      </c>
      <c r="C7646" s="33" t="s">
        <v>8601</v>
      </c>
      <c r="D7646" s="35">
        <f>SUMIFS(D7647:D9015,K7647:K9015,"0",B7647:B9015,"5 1 3 4 1 12 31111 6 M59 19000 000271 0000F*")-SUMIFS(E7647:E9015,K7647:K9015,"0",B7647:B9015,"5 1 3 4 1 12 31111 6 M59 19000 000271 0000F*")</f>
        <v>0</v>
      </c>
      <c r="E7646"/>
      <c r="F7646" s="35">
        <f>SUMIFS(F7647:F9015,K7647:K9015,"0",B7647:B9015,"5 1 3 4 1 12 31111 6 M59 19000 000271 0000F*")</f>
        <v>1422.46</v>
      </c>
      <c r="G7646" s="35">
        <f>SUMIFS(G7647:G9015,K7647:K9015,"0",B7647:B9015,"5 1 3 4 1 12 31111 6 M59 19000 000271 0000F*")</f>
        <v>0</v>
      </c>
      <c r="H7646" s="35">
        <f t="shared" si="120"/>
        <v>1422.46</v>
      </c>
      <c r="I7646" s="35"/>
      <c r="K7646" t="s">
        <v>15</v>
      </c>
    </row>
    <row r="7647" spans="2:11" ht="24.75" x14ac:dyDescent="0.2">
      <c r="B7647" s="33" t="s">
        <v>8722</v>
      </c>
      <c r="C7647" s="33" t="s">
        <v>282</v>
      </c>
      <c r="D7647" s="35">
        <f>SUMIFS(D7648:D9015,K7648:K9015,"0",B7648:B9015,"5 1 3 4 1 12 31111 6 M59 19000 000271 0000F 00001*")-SUMIFS(E7648:E9015,K7648:K9015,"0",B7648:B9015,"5 1 3 4 1 12 31111 6 M59 19000 000271 0000F 00001*")</f>
        <v>0</v>
      </c>
      <c r="E7647"/>
      <c r="F7647" s="35">
        <f>SUMIFS(F7648:F9015,K7648:K9015,"0",B7648:B9015,"5 1 3 4 1 12 31111 6 M59 19000 000271 0000F 00001*")</f>
        <v>1422.46</v>
      </c>
      <c r="G7647" s="35">
        <f>SUMIFS(G7648:G9015,K7648:K9015,"0",B7648:B9015,"5 1 3 4 1 12 31111 6 M59 19000 000271 0000F 00001*")</f>
        <v>0</v>
      </c>
      <c r="H7647" s="35">
        <f t="shared" si="120"/>
        <v>1422.46</v>
      </c>
      <c r="I7647" s="35"/>
      <c r="K7647" t="s">
        <v>15</v>
      </c>
    </row>
    <row r="7648" spans="2:11" ht="24.75" x14ac:dyDescent="0.2">
      <c r="B7648" s="33" t="s">
        <v>8723</v>
      </c>
      <c r="C7648" s="33" t="s">
        <v>8705</v>
      </c>
      <c r="D7648" s="35">
        <f>SUMIFS(D7649:D9015,K7649:K9015,"0",B7649:B9015,"5 1 3 4 1 12 31111 6 M59 19000 000271 0000F 00001 00341*")-SUMIFS(E7649:E9015,K7649:K9015,"0",B7649:B9015,"5 1 3 4 1 12 31111 6 M59 19000 000271 0000F 00001 00341*")</f>
        <v>0</v>
      </c>
      <c r="E7648"/>
      <c r="F7648" s="35">
        <f>SUMIFS(F7649:F9015,K7649:K9015,"0",B7649:B9015,"5 1 3 4 1 12 31111 6 M59 19000 000271 0000F 00001 00341*")</f>
        <v>1422.46</v>
      </c>
      <c r="G7648" s="35">
        <f>SUMIFS(G7649:G9015,K7649:K9015,"0",B7649:B9015,"5 1 3 4 1 12 31111 6 M59 19000 000271 0000F 00001 00341*")</f>
        <v>0</v>
      </c>
      <c r="H7648" s="35">
        <f t="shared" si="120"/>
        <v>1422.46</v>
      </c>
      <c r="I7648" s="35"/>
      <c r="K7648" t="s">
        <v>15</v>
      </c>
    </row>
    <row r="7649" spans="2:11" ht="33" x14ac:dyDescent="0.2">
      <c r="B7649" s="33" t="s">
        <v>8724</v>
      </c>
      <c r="C7649" s="33" t="s">
        <v>656</v>
      </c>
      <c r="D7649" s="35">
        <f>SUMIFS(D7650:D9015,K7650:K9015,"0",B7650:B9015,"5 1 3 4 1 12 31111 6 M59 19000 000271 0000F 00001 00341 025*")-SUMIFS(E7650:E9015,K7650:K9015,"0",B7650:B9015,"5 1 3 4 1 12 31111 6 M59 19000 000271 0000F 00001 00341 025*")</f>
        <v>0</v>
      </c>
      <c r="E7649"/>
      <c r="F7649" s="35">
        <f>SUMIFS(F7650:F9015,K7650:K9015,"0",B7650:B9015,"5 1 3 4 1 12 31111 6 M59 19000 000271 0000F 00001 00341 025*")</f>
        <v>1422.46</v>
      </c>
      <c r="G7649" s="35">
        <f>SUMIFS(G7650:G9015,K7650:K9015,"0",B7650:B9015,"5 1 3 4 1 12 31111 6 M59 19000 000271 0000F 00001 00341 025*")</f>
        <v>0</v>
      </c>
      <c r="H7649" s="35">
        <f t="shared" si="120"/>
        <v>1422.46</v>
      </c>
      <c r="I7649" s="35"/>
      <c r="K7649" t="s">
        <v>15</v>
      </c>
    </row>
    <row r="7650" spans="2:11" ht="33" x14ac:dyDescent="0.2">
      <c r="B7650" s="33" t="s">
        <v>8725</v>
      </c>
      <c r="C7650" s="33" t="s">
        <v>5830</v>
      </c>
      <c r="D7650" s="35">
        <f>SUMIFS(D7651:D9015,K7651:K9015,"0",B7651:B9015,"5 1 3 4 1 12 31111 6 M59 19000 000271 0000F 00001 00341 025 2112000*")-SUMIFS(E7651:E9015,K7651:K9015,"0",B7651:B9015,"5 1 3 4 1 12 31111 6 M59 19000 000271 0000F 00001 00341 025 2112000*")</f>
        <v>0</v>
      </c>
      <c r="E7650"/>
      <c r="F7650" s="35">
        <f>SUMIFS(F7651:F9015,K7651:K9015,"0",B7651:B9015,"5 1 3 4 1 12 31111 6 M59 19000 000271 0000F 00001 00341 025 2112000*")</f>
        <v>1422.46</v>
      </c>
      <c r="G7650" s="35">
        <f>SUMIFS(G7651:G9015,K7651:K9015,"0",B7651:B9015,"5 1 3 4 1 12 31111 6 M59 19000 000271 0000F 00001 00341 025 2112000*")</f>
        <v>0</v>
      </c>
      <c r="H7650" s="35">
        <f t="shared" si="120"/>
        <v>1422.46</v>
      </c>
      <c r="I7650" s="35"/>
      <c r="K7650" t="s">
        <v>15</v>
      </c>
    </row>
    <row r="7651" spans="2:11" ht="33" x14ac:dyDescent="0.2">
      <c r="B7651" s="33" t="s">
        <v>8726</v>
      </c>
      <c r="C7651" s="33" t="s">
        <v>660</v>
      </c>
      <c r="D7651" s="35">
        <f>SUMIFS(D7652:D9015,K7652:K9015,"0",B7652:B9015,"5 1 3 4 1 12 31111 6 M59 19000 000271 0000F 00001 00341 025 2112000 2024*")-SUMIFS(E7652:E9015,K7652:K9015,"0",B7652:B9015,"5 1 3 4 1 12 31111 6 M59 19000 000271 0000F 00001 00341 025 2112000 2024*")</f>
        <v>0</v>
      </c>
      <c r="E7651"/>
      <c r="F7651" s="35">
        <f>SUMIFS(F7652:F9015,K7652:K9015,"0",B7652:B9015,"5 1 3 4 1 12 31111 6 M59 19000 000271 0000F 00001 00341 025 2112000 2024*")</f>
        <v>1422.46</v>
      </c>
      <c r="G7651" s="35">
        <f>SUMIFS(G7652:G9015,K7652:K9015,"0",B7652:B9015,"5 1 3 4 1 12 31111 6 M59 19000 000271 0000F 00001 00341 025 2112000 2024*")</f>
        <v>0</v>
      </c>
      <c r="H7651" s="35">
        <f t="shared" si="120"/>
        <v>1422.46</v>
      </c>
      <c r="I7651" s="35"/>
      <c r="K7651" t="s">
        <v>15</v>
      </c>
    </row>
    <row r="7652" spans="2:11" ht="41.25" x14ac:dyDescent="0.2">
      <c r="B7652" s="33" t="s">
        <v>8727</v>
      </c>
      <c r="C7652" s="33" t="s">
        <v>8608</v>
      </c>
      <c r="D7652" s="35">
        <f>SUMIFS(D7653:D9015,K7653:K9015,"0",B7653:B9015,"5 1 3 4 1 12 31111 6 M59 19000 000271 0000F 00001 00341 025 2112000 2024 CP4TM511*")-SUMIFS(E7653:E9015,K7653:K9015,"0",B7653:B9015,"5 1 3 4 1 12 31111 6 M59 19000 000271 0000F 00001 00341 025 2112000 2024 CP4TM511*")</f>
        <v>0</v>
      </c>
      <c r="E7652"/>
      <c r="F7652" s="35">
        <f>SUMIFS(F7653:F9015,K7653:K9015,"0",B7653:B9015,"5 1 3 4 1 12 31111 6 M59 19000 000271 0000F 00001 00341 025 2112000 2024 CP4TM511*")</f>
        <v>1422.46</v>
      </c>
      <c r="G7652" s="35">
        <f>SUMIFS(G7653:G9015,K7653:K9015,"0",B7653:B9015,"5 1 3 4 1 12 31111 6 M59 19000 000271 0000F 00001 00341 025 2112000 2024 CP4TM511*")</f>
        <v>0</v>
      </c>
      <c r="H7652" s="35">
        <f t="shared" si="120"/>
        <v>1422.46</v>
      </c>
      <c r="I7652" s="35"/>
      <c r="K7652" t="s">
        <v>15</v>
      </c>
    </row>
    <row r="7653" spans="2:11" ht="41.25" x14ac:dyDescent="0.2">
      <c r="B7653" s="33" t="s">
        <v>8728</v>
      </c>
      <c r="C7653" s="33" t="s">
        <v>664</v>
      </c>
      <c r="D7653" s="35">
        <f>SUMIFS(D7654:D9015,K7654:K9015,"0",B7654:B9015,"5 1 3 4 1 12 31111 6 M59 19000 000271 0000F 00001 00341 025 2112000 2024 CP4TM511 003*")-SUMIFS(E7654:E9015,K7654:K9015,"0",B7654:B9015,"5 1 3 4 1 12 31111 6 M59 19000 000271 0000F 00001 00341 025 2112000 2024 CP4TM511 003*")</f>
        <v>0</v>
      </c>
      <c r="E7653"/>
      <c r="F7653" s="35">
        <f>SUMIFS(F7654:F9015,K7654:K9015,"0",B7654:B9015,"5 1 3 4 1 12 31111 6 M59 19000 000271 0000F 00001 00341 025 2112000 2024 CP4TM511 003*")</f>
        <v>1422.46</v>
      </c>
      <c r="G7653" s="35">
        <f>SUMIFS(G7654:G9015,K7654:K9015,"0",B7654:B9015,"5 1 3 4 1 12 31111 6 M59 19000 000271 0000F 00001 00341 025 2112000 2024 CP4TM511 003*")</f>
        <v>0</v>
      </c>
      <c r="H7653" s="35">
        <f t="shared" si="120"/>
        <v>1422.46</v>
      </c>
      <c r="I7653" s="35"/>
      <c r="K7653" t="s">
        <v>15</v>
      </c>
    </row>
    <row r="7654" spans="2:11" ht="33" x14ac:dyDescent="0.2">
      <c r="B7654" s="31" t="s">
        <v>8729</v>
      </c>
      <c r="C7654" s="31" t="s">
        <v>8730</v>
      </c>
      <c r="D7654" s="34">
        <v>0</v>
      </c>
      <c r="E7654" s="34"/>
      <c r="F7654" s="34">
        <v>1422.46</v>
      </c>
      <c r="G7654" s="34">
        <v>0</v>
      </c>
      <c r="H7654" s="34">
        <f t="shared" si="120"/>
        <v>1422.46</v>
      </c>
      <c r="I7654" s="34"/>
      <c r="K7654" t="s">
        <v>38</v>
      </c>
    </row>
    <row r="7655" spans="2:11" ht="16.5" x14ac:dyDescent="0.2">
      <c r="B7655" s="33" t="s">
        <v>8731</v>
      </c>
      <c r="C7655" s="33" t="s">
        <v>1061</v>
      </c>
      <c r="D7655" s="35">
        <f>SUMIFS(D7656:D9015,K7656:K9015,"0",B7656:B9015,"5 1 3 4 1 12 31111 6 M59 20300*")-SUMIFS(E7656:E9015,K7656:K9015,"0",B7656:B9015,"5 1 3 4 1 12 31111 6 M59 20300*")</f>
        <v>0</v>
      </c>
      <c r="E7655"/>
      <c r="F7655" s="35">
        <f>SUMIFS(F7656:F9015,K7656:K9015,"0",B7656:B9015,"5 1 3 4 1 12 31111 6 M59 20300*")</f>
        <v>29076.03</v>
      </c>
      <c r="G7655" s="35">
        <f>SUMIFS(G7656:G9015,K7656:K9015,"0",B7656:B9015,"5 1 3 4 1 12 31111 6 M59 20300*")</f>
        <v>0</v>
      </c>
      <c r="H7655" s="35">
        <f t="shared" si="120"/>
        <v>29076.03</v>
      </c>
      <c r="I7655" s="35"/>
      <c r="K7655" t="s">
        <v>15</v>
      </c>
    </row>
    <row r="7656" spans="2:11" ht="16.5" x14ac:dyDescent="0.2">
      <c r="B7656" s="33" t="s">
        <v>8732</v>
      </c>
      <c r="C7656" s="33" t="s">
        <v>648</v>
      </c>
      <c r="D7656" s="35">
        <f>SUMIFS(D7657:D9015,K7657:K9015,"0",B7657:B9015,"5 1 3 4 1 12 31111 6 M59 20300 000132*")-SUMIFS(E7657:E9015,K7657:K9015,"0",B7657:B9015,"5 1 3 4 1 12 31111 6 M59 20300 000132*")</f>
        <v>0</v>
      </c>
      <c r="E7656"/>
      <c r="F7656" s="35">
        <f>SUMIFS(F7657:F9015,K7657:K9015,"0",B7657:B9015,"5 1 3 4 1 12 31111 6 M59 20300 000132*")</f>
        <v>28576.03</v>
      </c>
      <c r="G7656" s="35">
        <f>SUMIFS(G7657:G9015,K7657:K9015,"0",B7657:B9015,"5 1 3 4 1 12 31111 6 M59 20300 000132*")</f>
        <v>0</v>
      </c>
      <c r="H7656" s="35">
        <f t="shared" si="120"/>
        <v>28576.03</v>
      </c>
      <c r="I7656" s="35"/>
      <c r="K7656" t="s">
        <v>15</v>
      </c>
    </row>
    <row r="7657" spans="2:11" ht="24.75" x14ac:dyDescent="0.2">
      <c r="B7657" s="33" t="s">
        <v>8733</v>
      </c>
      <c r="C7657" s="33" t="s">
        <v>650</v>
      </c>
      <c r="D7657" s="35">
        <f>SUMIFS(D7658:D9015,K7658:K9015,"0",B7658:B9015,"5 1 3 4 1 12 31111 6 M59 20300 000132 0000R*")-SUMIFS(E7658:E9015,K7658:K9015,"0",B7658:B9015,"5 1 3 4 1 12 31111 6 M59 20300 000132 0000R*")</f>
        <v>0</v>
      </c>
      <c r="E7657"/>
      <c r="F7657" s="35">
        <f>SUMIFS(F7658:F9015,K7658:K9015,"0",B7658:B9015,"5 1 3 4 1 12 31111 6 M59 20300 000132 0000R*")</f>
        <v>28576.03</v>
      </c>
      <c r="G7657" s="35">
        <f>SUMIFS(G7658:G9015,K7658:K9015,"0",B7658:B9015,"5 1 3 4 1 12 31111 6 M59 20300 000132 0000R*")</f>
        <v>0</v>
      </c>
      <c r="H7657" s="35">
        <f t="shared" si="120"/>
        <v>28576.03</v>
      </c>
      <c r="I7657" s="35"/>
      <c r="K7657" t="s">
        <v>15</v>
      </c>
    </row>
    <row r="7658" spans="2:11" ht="24.75" x14ac:dyDescent="0.2">
      <c r="B7658" s="33" t="s">
        <v>8734</v>
      </c>
      <c r="C7658" s="33" t="s">
        <v>282</v>
      </c>
      <c r="D7658" s="35">
        <f>SUMIFS(D7659:D9015,K7659:K9015,"0",B7659:B9015,"5 1 3 4 1 12 31111 6 M59 20300 000132 0000R 00001*")-SUMIFS(E7659:E9015,K7659:K9015,"0",B7659:B9015,"5 1 3 4 1 12 31111 6 M59 20300 000132 0000R 00001*")</f>
        <v>0</v>
      </c>
      <c r="E7658"/>
      <c r="F7658" s="35">
        <f>SUMIFS(F7659:F9015,K7659:K9015,"0",B7659:B9015,"5 1 3 4 1 12 31111 6 M59 20300 000132 0000R 00001*")</f>
        <v>28576.03</v>
      </c>
      <c r="G7658" s="35">
        <f>SUMIFS(G7659:G9015,K7659:K9015,"0",B7659:B9015,"5 1 3 4 1 12 31111 6 M59 20300 000132 0000R 00001*")</f>
        <v>0</v>
      </c>
      <c r="H7658" s="35">
        <f t="shared" si="120"/>
        <v>28576.03</v>
      </c>
      <c r="I7658" s="35"/>
      <c r="K7658" t="s">
        <v>15</v>
      </c>
    </row>
    <row r="7659" spans="2:11" ht="24.75" x14ac:dyDescent="0.2">
      <c r="B7659" s="33" t="s">
        <v>8735</v>
      </c>
      <c r="C7659" s="33" t="s">
        <v>8705</v>
      </c>
      <c r="D7659" s="35">
        <f>SUMIFS(D7660:D9015,K7660:K9015,"0",B7660:B9015,"5 1 3 4 1 12 31111 6 M59 20300 000132 0000R 00001 00341*")-SUMIFS(E7660:E9015,K7660:K9015,"0",B7660:B9015,"5 1 3 4 1 12 31111 6 M59 20300 000132 0000R 00001 00341*")</f>
        <v>0</v>
      </c>
      <c r="E7659"/>
      <c r="F7659" s="35">
        <f>SUMIFS(F7660:F9015,K7660:K9015,"0",B7660:B9015,"5 1 3 4 1 12 31111 6 M59 20300 000132 0000R 00001 00341*")</f>
        <v>28576.03</v>
      </c>
      <c r="G7659" s="35">
        <f>SUMIFS(G7660:G9015,K7660:K9015,"0",B7660:B9015,"5 1 3 4 1 12 31111 6 M59 20300 000132 0000R 00001 00341*")</f>
        <v>0</v>
      </c>
      <c r="H7659" s="35">
        <f t="shared" si="120"/>
        <v>28576.03</v>
      </c>
      <c r="I7659" s="35"/>
      <c r="K7659" t="s">
        <v>15</v>
      </c>
    </row>
    <row r="7660" spans="2:11" ht="33" x14ac:dyDescent="0.2">
      <c r="B7660" s="33" t="s">
        <v>8736</v>
      </c>
      <c r="C7660" s="33" t="s">
        <v>1051</v>
      </c>
      <c r="D7660" s="35">
        <f>SUMIFS(D7661:D9015,K7661:K9015,"0",B7661:B9015,"5 1 3 4 1 12 31111 6 M59 20300 000132 0000R 00001 00341 015*")-SUMIFS(E7661:E9015,K7661:K9015,"0",B7661:B9015,"5 1 3 4 1 12 31111 6 M59 20300 000132 0000R 00001 00341 015*")</f>
        <v>0</v>
      </c>
      <c r="E7660"/>
      <c r="F7660" s="35">
        <f>SUMIFS(F7661:F9015,K7661:K9015,"0",B7661:B9015,"5 1 3 4 1 12 31111 6 M59 20300 000132 0000R 00001 00341 015*")</f>
        <v>28576.03</v>
      </c>
      <c r="G7660" s="35">
        <f>SUMIFS(G7661:G9015,K7661:K9015,"0",B7661:B9015,"5 1 3 4 1 12 31111 6 M59 20300 000132 0000R 00001 00341 015*")</f>
        <v>0</v>
      </c>
      <c r="H7660" s="35">
        <f t="shared" si="120"/>
        <v>28576.03</v>
      </c>
      <c r="I7660" s="35"/>
      <c r="K7660" t="s">
        <v>15</v>
      </c>
    </row>
    <row r="7661" spans="2:11" ht="33" x14ac:dyDescent="0.2">
      <c r="B7661" s="33" t="s">
        <v>8737</v>
      </c>
      <c r="C7661" s="33" t="s">
        <v>5830</v>
      </c>
      <c r="D7661" s="35">
        <f>SUMIFS(D7662:D9015,K7662:K9015,"0",B7662:B9015,"5 1 3 4 1 12 31111 6 M59 20300 000132 0000R 00001 00341 015 2112000*")-SUMIFS(E7662:E9015,K7662:K9015,"0",B7662:B9015,"5 1 3 4 1 12 31111 6 M59 20300 000132 0000R 00001 00341 015 2112000*")</f>
        <v>0</v>
      </c>
      <c r="E7661"/>
      <c r="F7661" s="35">
        <f>SUMIFS(F7662:F9015,K7662:K9015,"0",B7662:B9015,"5 1 3 4 1 12 31111 6 M59 20300 000132 0000R 00001 00341 015 2112000*")</f>
        <v>28576.03</v>
      </c>
      <c r="G7661" s="35">
        <f>SUMIFS(G7662:G9015,K7662:K9015,"0",B7662:B9015,"5 1 3 4 1 12 31111 6 M59 20300 000132 0000R 00001 00341 015 2112000*")</f>
        <v>0</v>
      </c>
      <c r="H7661" s="35">
        <f t="shared" si="120"/>
        <v>28576.03</v>
      </c>
      <c r="I7661" s="35"/>
      <c r="K7661" t="s">
        <v>15</v>
      </c>
    </row>
    <row r="7662" spans="2:11" ht="33" x14ac:dyDescent="0.2">
      <c r="B7662" s="33" t="s">
        <v>8738</v>
      </c>
      <c r="C7662" s="33" t="s">
        <v>660</v>
      </c>
      <c r="D7662" s="35">
        <f>SUMIFS(D7663:D9015,K7663:K9015,"0",B7663:B9015,"5 1 3 4 1 12 31111 6 M59 20300 000132 0000R 00001 00341 015 2112000 2024*")-SUMIFS(E7663:E9015,K7663:K9015,"0",B7663:B9015,"5 1 3 4 1 12 31111 6 M59 20300 000132 0000R 00001 00341 015 2112000 2024*")</f>
        <v>0</v>
      </c>
      <c r="E7662"/>
      <c r="F7662" s="35">
        <f>SUMIFS(F7663:F9015,K7663:K9015,"0",B7663:B9015,"5 1 3 4 1 12 31111 6 M59 20300 000132 0000R 00001 00341 015 2112000 2024*")</f>
        <v>28576.03</v>
      </c>
      <c r="G7662" s="35">
        <f>SUMIFS(G7663:G9015,K7663:K9015,"0",B7663:B9015,"5 1 3 4 1 12 31111 6 M59 20300 000132 0000R 00001 00341 015 2112000 2024*")</f>
        <v>0</v>
      </c>
      <c r="H7662" s="35">
        <f t="shared" si="120"/>
        <v>28576.03</v>
      </c>
      <c r="I7662" s="35"/>
      <c r="K7662" t="s">
        <v>15</v>
      </c>
    </row>
    <row r="7663" spans="2:11" ht="41.25" x14ac:dyDescent="0.2">
      <c r="B7663" s="33" t="s">
        <v>8739</v>
      </c>
      <c r="C7663" s="33" t="s">
        <v>662</v>
      </c>
      <c r="D7663" s="35">
        <f>SUMIFS(D7664:D9015,K7664:K9015,"0",B7664:B9015,"5 1 3 4 1 12 31111 6 M59 20300 000132 0000R 00001 00341 015 2112000 2024 CP1DE415*")-SUMIFS(E7664:E9015,K7664:K9015,"0",B7664:B9015,"5 1 3 4 1 12 31111 6 M59 20300 000132 0000R 00001 00341 015 2112000 2024 CP1DE415*")</f>
        <v>0</v>
      </c>
      <c r="E7663"/>
      <c r="F7663" s="35">
        <f>SUMIFS(F7664:F9015,K7664:K9015,"0",B7664:B9015,"5 1 3 4 1 12 31111 6 M59 20300 000132 0000R 00001 00341 015 2112000 2024 CP1DE415*")</f>
        <v>28576.03</v>
      </c>
      <c r="G7663" s="35">
        <f>SUMIFS(G7664:G9015,K7664:K9015,"0",B7664:B9015,"5 1 3 4 1 12 31111 6 M59 20300 000132 0000R 00001 00341 015 2112000 2024 CP1DE415*")</f>
        <v>0</v>
      </c>
      <c r="H7663" s="35">
        <f t="shared" si="120"/>
        <v>28576.03</v>
      </c>
      <c r="I7663" s="35"/>
      <c r="K7663" t="s">
        <v>15</v>
      </c>
    </row>
    <row r="7664" spans="2:11" ht="41.25" x14ac:dyDescent="0.2">
      <c r="B7664" s="33" t="s">
        <v>8740</v>
      </c>
      <c r="C7664" s="33" t="s">
        <v>282</v>
      </c>
      <c r="D7664" s="35">
        <f>SUMIFS(D7665:D9015,K7665:K9015,"0",B7665:B9015,"5 1 3 4 1 12 31111 6 M59 20300 000132 0000R 00001 00341 015 2112000 2024 CP1DE415 001*")-SUMIFS(E7665:E9015,K7665:K9015,"0",B7665:B9015,"5 1 3 4 1 12 31111 6 M59 20300 000132 0000R 00001 00341 015 2112000 2024 CP1DE415 001*")</f>
        <v>0</v>
      </c>
      <c r="E7664"/>
      <c r="F7664" s="35">
        <f>SUMIFS(F7665:F9015,K7665:K9015,"0",B7665:B9015,"5 1 3 4 1 12 31111 6 M59 20300 000132 0000R 00001 00341 015 2112000 2024 CP1DE415 001*")</f>
        <v>28576.03</v>
      </c>
      <c r="G7664" s="35">
        <f>SUMIFS(G7665:G9015,K7665:K9015,"0",B7665:B9015,"5 1 3 4 1 12 31111 6 M59 20300 000132 0000R 00001 00341 015 2112000 2024 CP1DE415 001*")</f>
        <v>0</v>
      </c>
      <c r="H7664" s="35">
        <f t="shared" si="120"/>
        <v>28576.03</v>
      </c>
      <c r="I7664" s="35"/>
      <c r="K7664" t="s">
        <v>15</v>
      </c>
    </row>
    <row r="7665" spans="2:11" ht="41.25" x14ac:dyDescent="0.2">
      <c r="B7665" s="31" t="s">
        <v>8741</v>
      </c>
      <c r="C7665" s="31" t="s">
        <v>8695</v>
      </c>
      <c r="D7665" s="34">
        <v>0</v>
      </c>
      <c r="E7665" s="34"/>
      <c r="F7665" s="34">
        <v>28576.03</v>
      </c>
      <c r="G7665" s="34">
        <v>0</v>
      </c>
      <c r="H7665" s="34">
        <f t="shared" si="120"/>
        <v>28576.03</v>
      </c>
      <c r="I7665" s="34"/>
      <c r="K7665" t="s">
        <v>38</v>
      </c>
    </row>
    <row r="7666" spans="2:11" ht="16.5" x14ac:dyDescent="0.2">
      <c r="B7666" s="33" t="s">
        <v>8742</v>
      </c>
      <c r="C7666" s="33" t="s">
        <v>1063</v>
      </c>
      <c r="D7666" s="35">
        <f>SUMIFS(D7667:D9015,K7667:K9015,"0",B7667:B9015,"5 1 3 4 1 12 31111 6 M59 20300 000139*")-SUMIFS(E7667:E9015,K7667:K9015,"0",B7667:B9015,"5 1 3 4 1 12 31111 6 M59 20300 000139*")</f>
        <v>0</v>
      </c>
      <c r="E7666"/>
      <c r="F7666" s="35">
        <f>SUMIFS(F7667:F9015,K7667:K9015,"0",B7667:B9015,"5 1 3 4 1 12 31111 6 M59 20300 000139*")</f>
        <v>500</v>
      </c>
      <c r="G7666" s="35">
        <f>SUMIFS(G7667:G9015,K7667:K9015,"0",B7667:B9015,"5 1 3 4 1 12 31111 6 M59 20300 000139*")</f>
        <v>0</v>
      </c>
      <c r="H7666" s="35">
        <f t="shared" si="120"/>
        <v>500</v>
      </c>
      <c r="I7666" s="35"/>
      <c r="K7666" t="s">
        <v>15</v>
      </c>
    </row>
    <row r="7667" spans="2:11" ht="24.75" x14ac:dyDescent="0.2">
      <c r="B7667" s="33" t="s">
        <v>8743</v>
      </c>
      <c r="C7667" s="33" t="s">
        <v>1065</v>
      </c>
      <c r="D7667" s="35">
        <f>SUMIFS(D7668:D9015,K7668:K9015,"0",B7668:B9015,"5 1 3 4 1 12 31111 6 M59 20300 000139 0000E*")-SUMIFS(E7668:E9015,K7668:K9015,"0",B7668:B9015,"5 1 3 4 1 12 31111 6 M59 20300 000139 0000E*")</f>
        <v>0</v>
      </c>
      <c r="E7667"/>
      <c r="F7667" s="35">
        <f>SUMIFS(F7668:F9015,K7668:K9015,"0",B7668:B9015,"5 1 3 4 1 12 31111 6 M59 20300 000139 0000E*")</f>
        <v>500</v>
      </c>
      <c r="G7667" s="35">
        <f>SUMIFS(G7668:G9015,K7668:K9015,"0",B7668:B9015,"5 1 3 4 1 12 31111 6 M59 20300 000139 0000E*")</f>
        <v>0</v>
      </c>
      <c r="H7667" s="35">
        <f t="shared" si="120"/>
        <v>500</v>
      </c>
      <c r="I7667" s="35"/>
      <c r="K7667" t="s">
        <v>15</v>
      </c>
    </row>
    <row r="7668" spans="2:11" ht="24.75" x14ac:dyDescent="0.2">
      <c r="B7668" s="33" t="s">
        <v>8744</v>
      </c>
      <c r="C7668" s="33" t="s">
        <v>282</v>
      </c>
      <c r="D7668" s="35">
        <f>SUMIFS(D7669:D9015,K7669:K9015,"0",B7669:B9015,"5 1 3 4 1 12 31111 6 M59 20300 000139 0000E 00001*")-SUMIFS(E7669:E9015,K7669:K9015,"0",B7669:B9015,"5 1 3 4 1 12 31111 6 M59 20300 000139 0000E 00001*")</f>
        <v>0</v>
      </c>
      <c r="E7668"/>
      <c r="F7668" s="35">
        <f>SUMIFS(F7669:F9015,K7669:K9015,"0",B7669:B9015,"5 1 3 4 1 12 31111 6 M59 20300 000139 0000E 00001*")</f>
        <v>500</v>
      </c>
      <c r="G7668" s="35">
        <f>SUMIFS(G7669:G9015,K7669:K9015,"0",B7669:B9015,"5 1 3 4 1 12 31111 6 M59 20300 000139 0000E 00001*")</f>
        <v>0</v>
      </c>
      <c r="H7668" s="35">
        <f t="shared" si="120"/>
        <v>500</v>
      </c>
      <c r="I7668" s="35"/>
      <c r="K7668" t="s">
        <v>15</v>
      </c>
    </row>
    <row r="7669" spans="2:11" ht="24.75" x14ac:dyDescent="0.2">
      <c r="B7669" s="33" t="s">
        <v>8745</v>
      </c>
      <c r="C7669" s="33" t="s">
        <v>8705</v>
      </c>
      <c r="D7669" s="35">
        <f>SUMIFS(D7670:D9015,K7670:K9015,"0",B7670:B9015,"5 1 3 4 1 12 31111 6 M59 20300 000139 0000E 00001 00341*")-SUMIFS(E7670:E9015,K7670:K9015,"0",B7670:B9015,"5 1 3 4 1 12 31111 6 M59 20300 000139 0000E 00001 00341*")</f>
        <v>0</v>
      </c>
      <c r="E7669"/>
      <c r="F7669" s="35">
        <f>SUMIFS(F7670:F9015,K7670:K9015,"0",B7670:B9015,"5 1 3 4 1 12 31111 6 M59 20300 000139 0000E 00001 00341*")</f>
        <v>500</v>
      </c>
      <c r="G7669" s="35">
        <f>SUMIFS(G7670:G9015,K7670:K9015,"0",B7670:B9015,"5 1 3 4 1 12 31111 6 M59 20300 000139 0000E 00001 00341*")</f>
        <v>0</v>
      </c>
      <c r="H7669" s="35">
        <f t="shared" si="120"/>
        <v>500</v>
      </c>
      <c r="I7669" s="35"/>
      <c r="K7669" t="s">
        <v>15</v>
      </c>
    </row>
    <row r="7670" spans="2:11" ht="33" x14ac:dyDescent="0.2">
      <c r="B7670" s="33" t="s">
        <v>8746</v>
      </c>
      <c r="C7670" s="33" t="s">
        <v>1051</v>
      </c>
      <c r="D7670" s="35">
        <f>SUMIFS(D7671:D9015,K7671:K9015,"0",B7671:B9015,"5 1 3 4 1 12 31111 6 M59 20300 000139 0000E 00001 00341 015*")-SUMIFS(E7671:E9015,K7671:K9015,"0",B7671:B9015,"5 1 3 4 1 12 31111 6 M59 20300 000139 0000E 00001 00341 015*")</f>
        <v>0</v>
      </c>
      <c r="E7670"/>
      <c r="F7670" s="35">
        <f>SUMIFS(F7671:F9015,K7671:K9015,"0",B7671:B9015,"5 1 3 4 1 12 31111 6 M59 20300 000139 0000E 00001 00341 015*")</f>
        <v>500</v>
      </c>
      <c r="G7670" s="35">
        <f>SUMIFS(G7671:G9015,K7671:K9015,"0",B7671:B9015,"5 1 3 4 1 12 31111 6 M59 20300 000139 0000E 00001 00341 015*")</f>
        <v>0</v>
      </c>
      <c r="H7670" s="35">
        <f t="shared" si="120"/>
        <v>500</v>
      </c>
      <c r="I7670" s="35"/>
      <c r="K7670" t="s">
        <v>15</v>
      </c>
    </row>
    <row r="7671" spans="2:11" ht="33" x14ac:dyDescent="0.2">
      <c r="B7671" s="33" t="s">
        <v>8747</v>
      </c>
      <c r="C7671" s="33" t="s">
        <v>5830</v>
      </c>
      <c r="D7671" s="35">
        <f>SUMIFS(D7672:D9015,K7672:K9015,"0",B7672:B9015,"5 1 3 4 1 12 31111 6 M59 20300 000139 0000E 00001 00341 015 2112000*")-SUMIFS(E7672:E9015,K7672:K9015,"0",B7672:B9015,"5 1 3 4 1 12 31111 6 M59 20300 000139 0000E 00001 00341 015 2112000*")</f>
        <v>0</v>
      </c>
      <c r="E7671"/>
      <c r="F7671" s="35">
        <f>SUMIFS(F7672:F9015,K7672:K9015,"0",B7672:B9015,"5 1 3 4 1 12 31111 6 M59 20300 000139 0000E 00001 00341 015 2112000*")</f>
        <v>500</v>
      </c>
      <c r="G7671" s="35">
        <f>SUMIFS(G7672:G9015,K7672:K9015,"0",B7672:B9015,"5 1 3 4 1 12 31111 6 M59 20300 000139 0000E 00001 00341 015 2112000*")</f>
        <v>0</v>
      </c>
      <c r="H7671" s="35">
        <f t="shared" si="120"/>
        <v>500</v>
      </c>
      <c r="I7671" s="35"/>
      <c r="K7671" t="s">
        <v>15</v>
      </c>
    </row>
    <row r="7672" spans="2:11" ht="33" x14ac:dyDescent="0.2">
      <c r="B7672" s="33" t="s">
        <v>8748</v>
      </c>
      <c r="C7672" s="33" t="s">
        <v>660</v>
      </c>
      <c r="D7672" s="35">
        <f>SUMIFS(D7673:D9015,K7673:K9015,"0",B7673:B9015,"5 1 3 4 1 12 31111 6 M59 20300 000139 0000E 00001 00341 015 2112000 2024*")-SUMIFS(E7673:E9015,K7673:K9015,"0",B7673:B9015,"5 1 3 4 1 12 31111 6 M59 20300 000139 0000E 00001 00341 015 2112000 2024*")</f>
        <v>0</v>
      </c>
      <c r="E7672"/>
      <c r="F7672" s="35">
        <f>SUMIFS(F7673:F9015,K7673:K9015,"0",B7673:B9015,"5 1 3 4 1 12 31111 6 M59 20300 000139 0000E 00001 00341 015 2112000 2024*")</f>
        <v>500</v>
      </c>
      <c r="G7672" s="35">
        <f>SUMIFS(G7673:G9015,K7673:K9015,"0",B7673:B9015,"5 1 3 4 1 12 31111 6 M59 20300 000139 0000E 00001 00341 015 2112000 2024*")</f>
        <v>0</v>
      </c>
      <c r="H7672" s="35">
        <f t="shared" si="120"/>
        <v>500</v>
      </c>
      <c r="I7672" s="35"/>
      <c r="K7672" t="s">
        <v>15</v>
      </c>
    </row>
    <row r="7673" spans="2:11" ht="41.25" x14ac:dyDescent="0.2">
      <c r="B7673" s="33" t="s">
        <v>8749</v>
      </c>
      <c r="C7673" s="33" t="s">
        <v>1073</v>
      </c>
      <c r="D7673" s="35">
        <f>SUMIFS(D7674:D9015,K7674:K9015,"0",B7674:B9015,"5 1 3 4 1 12 31111 6 M59 20300 000139 0000E 00001 00341 015 2112000 2024 CP2DE533*")-SUMIFS(E7674:E9015,K7674:K9015,"0",B7674:B9015,"5 1 3 4 1 12 31111 6 M59 20300 000139 0000E 00001 00341 015 2112000 2024 CP2DE533*")</f>
        <v>0</v>
      </c>
      <c r="E7673"/>
      <c r="F7673" s="35">
        <f>SUMIFS(F7674:F9015,K7674:K9015,"0",B7674:B9015,"5 1 3 4 1 12 31111 6 M59 20300 000139 0000E 00001 00341 015 2112000 2024 CP2DE533*")</f>
        <v>500</v>
      </c>
      <c r="G7673" s="35">
        <f>SUMIFS(G7674:G9015,K7674:K9015,"0",B7674:B9015,"5 1 3 4 1 12 31111 6 M59 20300 000139 0000E 00001 00341 015 2112000 2024 CP2DE533*")</f>
        <v>0</v>
      </c>
      <c r="H7673" s="35">
        <f t="shared" si="120"/>
        <v>500</v>
      </c>
      <c r="I7673" s="35"/>
      <c r="K7673" t="s">
        <v>15</v>
      </c>
    </row>
    <row r="7674" spans="2:11" ht="41.25" x14ac:dyDescent="0.2">
      <c r="B7674" s="33" t="s">
        <v>8750</v>
      </c>
      <c r="C7674" s="33" t="s">
        <v>1075</v>
      </c>
      <c r="D7674" s="35">
        <f>SUMIFS(D7675:D9015,K7675:K9015,"0",B7675:B9015,"5 1 3 4 1 12 31111 6 M59 20300 000139 0000E 00001 00341 015 2112000 2024 CP2DE533 005*")-SUMIFS(E7675:E9015,K7675:K9015,"0",B7675:B9015,"5 1 3 4 1 12 31111 6 M59 20300 000139 0000E 00001 00341 015 2112000 2024 CP2DE533 005*")</f>
        <v>0</v>
      </c>
      <c r="E7674"/>
      <c r="F7674" s="35">
        <f>SUMIFS(F7675:F9015,K7675:K9015,"0",B7675:B9015,"5 1 3 4 1 12 31111 6 M59 20300 000139 0000E 00001 00341 015 2112000 2024 CP2DE533 005*")</f>
        <v>500</v>
      </c>
      <c r="G7674" s="35">
        <f>SUMIFS(G7675:G9015,K7675:K9015,"0",B7675:B9015,"5 1 3 4 1 12 31111 6 M59 20300 000139 0000E 00001 00341 015 2112000 2024 CP2DE533 005*")</f>
        <v>0</v>
      </c>
      <c r="H7674" s="35">
        <f t="shared" si="120"/>
        <v>500</v>
      </c>
      <c r="I7674" s="35"/>
      <c r="K7674" t="s">
        <v>15</v>
      </c>
    </row>
    <row r="7675" spans="2:11" ht="33" x14ac:dyDescent="0.2">
      <c r="B7675" s="31" t="s">
        <v>8751</v>
      </c>
      <c r="C7675" s="31" t="s">
        <v>8695</v>
      </c>
      <c r="D7675" s="34">
        <v>0</v>
      </c>
      <c r="E7675" s="34"/>
      <c r="F7675" s="34">
        <v>500</v>
      </c>
      <c r="G7675" s="34">
        <v>0</v>
      </c>
      <c r="H7675" s="34">
        <f t="shared" si="120"/>
        <v>500</v>
      </c>
      <c r="I7675" s="34"/>
      <c r="K7675" t="s">
        <v>38</v>
      </c>
    </row>
    <row r="7676" spans="2:11" ht="16.5" x14ac:dyDescent="0.2">
      <c r="B7676" s="33" t="s">
        <v>8752</v>
      </c>
      <c r="C7676" s="33" t="s">
        <v>1079</v>
      </c>
      <c r="D7676" s="35">
        <f>SUMIFS(D7677:D9015,K7677:K9015,"0",B7677:B9015,"5 1 3 4 1 12 31111 6 M59 20500*")-SUMIFS(E7677:E9015,K7677:K9015,"0",B7677:B9015,"5 1 3 4 1 12 31111 6 M59 20500*")</f>
        <v>0</v>
      </c>
      <c r="E7676"/>
      <c r="F7676" s="35">
        <f>SUMIFS(F7677:F9015,K7677:K9015,"0",B7677:B9015,"5 1 3 4 1 12 31111 6 M59 20500*")</f>
        <v>3431.59</v>
      </c>
      <c r="G7676" s="35">
        <f>SUMIFS(G7677:G9015,K7677:K9015,"0",B7677:B9015,"5 1 3 4 1 12 31111 6 M59 20500*")</f>
        <v>0</v>
      </c>
      <c r="H7676" s="35">
        <f t="shared" si="120"/>
        <v>3431.59</v>
      </c>
      <c r="I7676" s="35"/>
      <c r="K7676" t="s">
        <v>15</v>
      </c>
    </row>
    <row r="7677" spans="2:11" ht="24.75" x14ac:dyDescent="0.2">
      <c r="B7677" s="33" t="s">
        <v>8753</v>
      </c>
      <c r="C7677" s="33" t="s">
        <v>3152</v>
      </c>
      <c r="D7677" s="35">
        <f>SUMIFS(D7678:D9015,K7678:K9015,"0",B7678:B9015,"5 1 3 4 1 12 31111 6 M59 20500 000181*")-SUMIFS(E7678:E9015,K7678:K9015,"0",B7678:B9015,"5 1 3 4 1 12 31111 6 M59 20500 000181*")</f>
        <v>0</v>
      </c>
      <c r="E7677"/>
      <c r="F7677" s="35">
        <f>SUMIFS(F7678:F9015,K7678:K9015,"0",B7678:B9015,"5 1 3 4 1 12 31111 6 M59 20500 000181*")</f>
        <v>3431.59</v>
      </c>
      <c r="G7677" s="35">
        <f>SUMIFS(G7678:G9015,K7678:K9015,"0",B7678:B9015,"5 1 3 4 1 12 31111 6 M59 20500 000181*")</f>
        <v>0</v>
      </c>
      <c r="H7677" s="35">
        <f t="shared" si="120"/>
        <v>3431.59</v>
      </c>
      <c r="I7677" s="35"/>
      <c r="K7677" t="s">
        <v>15</v>
      </c>
    </row>
    <row r="7678" spans="2:11" ht="24.75" x14ac:dyDescent="0.2">
      <c r="B7678" s="33" t="s">
        <v>8754</v>
      </c>
      <c r="C7678" s="33" t="s">
        <v>1065</v>
      </c>
      <c r="D7678" s="35">
        <f>SUMIFS(D7679:D9015,K7679:K9015,"0",B7679:B9015,"5 1 3 4 1 12 31111 6 M59 20500 000181 0000E*")-SUMIFS(E7679:E9015,K7679:K9015,"0",B7679:B9015,"5 1 3 4 1 12 31111 6 M59 20500 000181 0000E*")</f>
        <v>0</v>
      </c>
      <c r="E7678"/>
      <c r="F7678" s="35">
        <f>SUMIFS(F7679:F9015,K7679:K9015,"0",B7679:B9015,"5 1 3 4 1 12 31111 6 M59 20500 000181 0000E*")</f>
        <v>3431.59</v>
      </c>
      <c r="G7678" s="35">
        <f>SUMIFS(G7679:G9015,K7679:K9015,"0",B7679:B9015,"5 1 3 4 1 12 31111 6 M59 20500 000181 0000E*")</f>
        <v>0</v>
      </c>
      <c r="H7678" s="35">
        <f t="shared" si="120"/>
        <v>3431.59</v>
      </c>
      <c r="I7678" s="35"/>
      <c r="K7678" t="s">
        <v>15</v>
      </c>
    </row>
    <row r="7679" spans="2:11" ht="24.75" x14ac:dyDescent="0.2">
      <c r="B7679" s="33" t="s">
        <v>8755</v>
      </c>
      <c r="C7679" s="33" t="s">
        <v>282</v>
      </c>
      <c r="D7679" s="35">
        <f>SUMIFS(D7680:D9015,K7680:K9015,"0",B7680:B9015,"5 1 3 4 1 12 31111 6 M59 20500 000181 0000E 00001*")-SUMIFS(E7680:E9015,K7680:K9015,"0",B7680:B9015,"5 1 3 4 1 12 31111 6 M59 20500 000181 0000E 00001*")</f>
        <v>0</v>
      </c>
      <c r="E7679"/>
      <c r="F7679" s="35">
        <f>SUMIFS(F7680:F9015,K7680:K9015,"0",B7680:B9015,"5 1 3 4 1 12 31111 6 M59 20500 000181 0000E 00001*")</f>
        <v>3431.59</v>
      </c>
      <c r="G7679" s="35">
        <f>SUMIFS(G7680:G9015,K7680:K9015,"0",B7680:B9015,"5 1 3 4 1 12 31111 6 M59 20500 000181 0000E 00001*")</f>
        <v>0</v>
      </c>
      <c r="H7679" s="35">
        <f t="shared" si="120"/>
        <v>3431.59</v>
      </c>
      <c r="I7679" s="35"/>
      <c r="K7679" t="s">
        <v>15</v>
      </c>
    </row>
    <row r="7680" spans="2:11" ht="24.75" x14ac:dyDescent="0.2">
      <c r="B7680" s="33" t="s">
        <v>8756</v>
      </c>
      <c r="C7680" s="33" t="s">
        <v>8705</v>
      </c>
      <c r="D7680" s="35">
        <f>SUMIFS(D7681:D9015,K7681:K9015,"0",B7681:B9015,"5 1 3 4 1 12 31111 6 M59 20500 000181 0000E 00001 00341*")-SUMIFS(E7681:E9015,K7681:K9015,"0",B7681:B9015,"5 1 3 4 1 12 31111 6 M59 20500 000181 0000E 00001 00341*")</f>
        <v>0</v>
      </c>
      <c r="E7680"/>
      <c r="F7680" s="35">
        <f>SUMIFS(F7681:F9015,K7681:K9015,"0",B7681:B9015,"5 1 3 4 1 12 31111 6 M59 20500 000181 0000E 00001 00341*")</f>
        <v>3431.59</v>
      </c>
      <c r="G7680" s="35">
        <f>SUMIFS(G7681:G9015,K7681:K9015,"0",B7681:B9015,"5 1 3 4 1 12 31111 6 M59 20500 000181 0000E 00001 00341*")</f>
        <v>0</v>
      </c>
      <c r="H7680" s="35">
        <f t="shared" si="120"/>
        <v>3431.59</v>
      </c>
      <c r="I7680" s="35"/>
      <c r="K7680" t="s">
        <v>15</v>
      </c>
    </row>
    <row r="7681" spans="2:11" ht="33" x14ac:dyDescent="0.2">
      <c r="B7681" s="33" t="s">
        <v>8757</v>
      </c>
      <c r="C7681" s="33" t="s">
        <v>699</v>
      </c>
      <c r="D7681" s="35">
        <f>SUMIFS(D7682:D9015,K7682:K9015,"0",B7682:B9015,"5 1 3 4 1 12 31111 6 M59 20500 000181 0000E 00001 00341 011*")-SUMIFS(E7682:E9015,K7682:K9015,"0",B7682:B9015,"5 1 3 4 1 12 31111 6 M59 20500 000181 0000E 00001 00341 011*")</f>
        <v>0</v>
      </c>
      <c r="E7681"/>
      <c r="F7681" s="35">
        <f>SUMIFS(F7682:F9015,K7682:K9015,"0",B7682:B9015,"5 1 3 4 1 12 31111 6 M59 20500 000181 0000E 00001 00341 011*")</f>
        <v>3431.59</v>
      </c>
      <c r="G7681" s="35">
        <f>SUMIFS(G7682:G9015,K7682:K9015,"0",B7682:B9015,"5 1 3 4 1 12 31111 6 M59 20500 000181 0000E 00001 00341 011*")</f>
        <v>0</v>
      </c>
      <c r="H7681" s="35">
        <f t="shared" si="120"/>
        <v>3431.59</v>
      </c>
      <c r="I7681" s="35"/>
      <c r="K7681" t="s">
        <v>15</v>
      </c>
    </row>
    <row r="7682" spans="2:11" ht="33" x14ac:dyDescent="0.2">
      <c r="B7682" s="33" t="s">
        <v>8758</v>
      </c>
      <c r="C7682" s="33" t="s">
        <v>5830</v>
      </c>
      <c r="D7682" s="35">
        <f>SUMIFS(D7683:D9015,K7683:K9015,"0",B7683:B9015,"5 1 3 4 1 12 31111 6 M59 20500 000181 0000E 00001 00341 011 2112000*")-SUMIFS(E7683:E9015,K7683:K9015,"0",B7683:B9015,"5 1 3 4 1 12 31111 6 M59 20500 000181 0000E 00001 00341 011 2112000*")</f>
        <v>0</v>
      </c>
      <c r="E7682"/>
      <c r="F7682" s="35">
        <f>SUMIFS(F7683:F9015,K7683:K9015,"0",B7683:B9015,"5 1 3 4 1 12 31111 6 M59 20500 000181 0000E 00001 00341 011 2112000*")</f>
        <v>3431.59</v>
      </c>
      <c r="G7682" s="35">
        <f>SUMIFS(G7683:G9015,K7683:K9015,"0",B7683:B9015,"5 1 3 4 1 12 31111 6 M59 20500 000181 0000E 00001 00341 011 2112000*")</f>
        <v>0</v>
      </c>
      <c r="H7682" s="35">
        <f t="shared" si="120"/>
        <v>3431.59</v>
      </c>
      <c r="I7682" s="35"/>
      <c r="K7682" t="s">
        <v>15</v>
      </c>
    </row>
    <row r="7683" spans="2:11" ht="33" x14ac:dyDescent="0.2">
      <c r="B7683" s="33" t="s">
        <v>8759</v>
      </c>
      <c r="C7683" s="33" t="s">
        <v>660</v>
      </c>
      <c r="D7683" s="35">
        <f>SUMIFS(D7684:D9015,K7684:K9015,"0",B7684:B9015,"5 1 3 4 1 12 31111 6 M59 20500 000181 0000E 00001 00341 011 2112000 2024*")-SUMIFS(E7684:E9015,K7684:K9015,"0",B7684:B9015,"5 1 3 4 1 12 31111 6 M59 20500 000181 0000E 00001 00341 011 2112000 2024*")</f>
        <v>0</v>
      </c>
      <c r="E7683"/>
      <c r="F7683" s="35">
        <f>SUMIFS(F7684:F9015,K7684:K9015,"0",B7684:B9015,"5 1 3 4 1 12 31111 6 M59 20500 000181 0000E 00001 00341 011 2112000 2024*")</f>
        <v>3431.59</v>
      </c>
      <c r="G7683" s="35">
        <f>SUMIFS(G7684:G9015,K7684:K9015,"0",B7684:B9015,"5 1 3 4 1 12 31111 6 M59 20500 000181 0000E 00001 00341 011 2112000 2024*")</f>
        <v>0</v>
      </c>
      <c r="H7683" s="35">
        <f t="shared" si="120"/>
        <v>3431.59</v>
      </c>
      <c r="I7683" s="35"/>
      <c r="K7683" t="s">
        <v>15</v>
      </c>
    </row>
    <row r="7684" spans="2:11" ht="49.5" x14ac:dyDescent="0.2">
      <c r="B7684" s="33" t="s">
        <v>8760</v>
      </c>
      <c r="C7684" s="33" t="s">
        <v>5982</v>
      </c>
      <c r="D7684" s="35">
        <f>SUMIFS(D7685:D9015,K7685:K9015,"0",B7685:B9015,"5 1 3 4 1 12 31111 6 M59 20500 000181 0000E 00001 00341 011 2112000 2024 CP3CP471*")-SUMIFS(E7685:E9015,K7685:K9015,"0",B7685:B9015,"5 1 3 4 1 12 31111 6 M59 20500 000181 0000E 00001 00341 011 2112000 2024 CP3CP471*")</f>
        <v>0</v>
      </c>
      <c r="E7684"/>
      <c r="F7684" s="35">
        <f>SUMIFS(F7685:F9015,K7685:K9015,"0",B7685:B9015,"5 1 3 4 1 12 31111 6 M59 20500 000181 0000E 00001 00341 011 2112000 2024 CP3CP471*")</f>
        <v>3431.59</v>
      </c>
      <c r="G7684" s="35">
        <f>SUMIFS(G7685:G9015,K7685:K9015,"0",B7685:B9015,"5 1 3 4 1 12 31111 6 M59 20500 000181 0000E 00001 00341 011 2112000 2024 CP3CP471*")</f>
        <v>0</v>
      </c>
      <c r="H7684" s="35">
        <f t="shared" ref="H7684:H7747" si="121">D7684 + F7684 - G7684</f>
        <v>3431.59</v>
      </c>
      <c r="I7684" s="35"/>
      <c r="K7684" t="s">
        <v>15</v>
      </c>
    </row>
    <row r="7685" spans="2:11" ht="41.25" x14ac:dyDescent="0.2">
      <c r="B7685" s="33" t="s">
        <v>8761</v>
      </c>
      <c r="C7685" s="33" t="s">
        <v>46</v>
      </c>
      <c r="D7685" s="35">
        <f>SUMIFS(D7686:D9015,K7686:K9015,"0",B7686:B9015,"5 1 3 4 1 12 31111 6 M59 20500 000181 0000E 00001 00341 011 2112000 2024 CP3CP471 004*")-SUMIFS(E7686:E9015,K7686:K9015,"0",B7686:B9015,"5 1 3 4 1 12 31111 6 M59 20500 000181 0000E 00001 00341 011 2112000 2024 CP3CP471 004*")</f>
        <v>0</v>
      </c>
      <c r="E7685"/>
      <c r="F7685" s="35">
        <f>SUMIFS(F7686:F9015,K7686:K9015,"0",B7686:B9015,"5 1 3 4 1 12 31111 6 M59 20500 000181 0000E 00001 00341 011 2112000 2024 CP3CP471 004*")</f>
        <v>3431.59</v>
      </c>
      <c r="G7685" s="35">
        <f>SUMIFS(G7686:G9015,K7686:K9015,"0",B7686:B9015,"5 1 3 4 1 12 31111 6 M59 20500 000181 0000E 00001 00341 011 2112000 2024 CP3CP471 004*")</f>
        <v>0</v>
      </c>
      <c r="H7685" s="35">
        <f t="shared" si="121"/>
        <v>3431.59</v>
      </c>
      <c r="I7685" s="35"/>
      <c r="K7685" t="s">
        <v>15</v>
      </c>
    </row>
    <row r="7686" spans="2:11" ht="33" x14ac:dyDescent="0.2">
      <c r="B7686" s="31" t="s">
        <v>8762</v>
      </c>
      <c r="C7686" s="31" t="s">
        <v>8695</v>
      </c>
      <c r="D7686" s="34">
        <v>0</v>
      </c>
      <c r="E7686" s="34"/>
      <c r="F7686" s="34">
        <v>3431.59</v>
      </c>
      <c r="G7686" s="34">
        <v>0</v>
      </c>
      <c r="H7686" s="34">
        <f t="shared" si="121"/>
        <v>3431.59</v>
      </c>
      <c r="I7686" s="34"/>
      <c r="K7686" t="s">
        <v>38</v>
      </c>
    </row>
    <row r="7687" spans="2:11" ht="16.5" x14ac:dyDescent="0.2">
      <c r="B7687" s="33" t="s">
        <v>8763</v>
      </c>
      <c r="C7687" s="33" t="s">
        <v>3187</v>
      </c>
      <c r="D7687" s="35">
        <f>SUMIFS(D7688:D9015,K7688:K9015,"0",B7688:B9015,"5 1 3 4 1 12 31111 6 M59 23000*")-SUMIFS(E7688:E9015,K7688:K9015,"0",B7688:B9015,"5 1 3 4 1 12 31111 6 M59 23000*")</f>
        <v>0</v>
      </c>
      <c r="E7687"/>
      <c r="F7687" s="35">
        <f>SUMIFS(F7688:F9015,K7688:K9015,"0",B7688:B9015,"5 1 3 4 1 12 31111 6 M59 23000*")</f>
        <v>466.29</v>
      </c>
      <c r="G7687" s="35">
        <f>SUMIFS(G7688:G9015,K7688:K9015,"0",B7688:B9015,"5 1 3 4 1 12 31111 6 M59 23000*")</f>
        <v>0</v>
      </c>
      <c r="H7687" s="35">
        <f t="shared" si="121"/>
        <v>466.29</v>
      </c>
      <c r="I7687" s="35"/>
      <c r="K7687" t="s">
        <v>15</v>
      </c>
    </row>
    <row r="7688" spans="2:11" ht="16.5" x14ac:dyDescent="0.2">
      <c r="B7688" s="33" t="s">
        <v>8764</v>
      </c>
      <c r="C7688" s="33" t="s">
        <v>8765</v>
      </c>
      <c r="D7688" s="35">
        <f>SUMIFS(D7689:D9015,K7689:K9015,"0",B7689:B9015,"5 1 3 4 1 12 31111 6 M59 23000 000134*")-SUMIFS(E7689:E9015,K7689:K9015,"0",B7689:B9015,"5 1 3 4 1 12 31111 6 M59 23000 000134*")</f>
        <v>0</v>
      </c>
      <c r="E7688"/>
      <c r="F7688" s="35">
        <f>SUMIFS(F7689:F9015,K7689:K9015,"0",B7689:B9015,"5 1 3 4 1 12 31111 6 M59 23000 000134*")</f>
        <v>466.29</v>
      </c>
      <c r="G7688" s="35">
        <f>SUMIFS(G7689:G9015,K7689:K9015,"0",B7689:B9015,"5 1 3 4 1 12 31111 6 M59 23000 000134*")</f>
        <v>0</v>
      </c>
      <c r="H7688" s="35">
        <f t="shared" si="121"/>
        <v>466.29</v>
      </c>
      <c r="I7688" s="35"/>
      <c r="K7688" t="s">
        <v>15</v>
      </c>
    </row>
    <row r="7689" spans="2:11" ht="24.75" x14ac:dyDescent="0.2">
      <c r="B7689" s="33" t="s">
        <v>8766</v>
      </c>
      <c r="C7689" s="33" t="s">
        <v>8767</v>
      </c>
      <c r="D7689" s="35">
        <f>SUMIFS(D7690:D9015,K7690:K9015,"0",B7690:B9015,"5 1 3 4 1 12 31111 6 M59 23000 000134 0000B*")-SUMIFS(E7690:E9015,K7690:K9015,"0",B7690:B9015,"5 1 3 4 1 12 31111 6 M59 23000 000134 0000B*")</f>
        <v>0</v>
      </c>
      <c r="E7689"/>
      <c r="F7689" s="35">
        <f>SUMIFS(F7690:F9015,K7690:K9015,"0",B7690:B9015,"5 1 3 4 1 12 31111 6 M59 23000 000134 0000B*")</f>
        <v>466.29</v>
      </c>
      <c r="G7689" s="35">
        <f>SUMIFS(G7690:G9015,K7690:K9015,"0",B7690:B9015,"5 1 3 4 1 12 31111 6 M59 23000 000134 0000B*")</f>
        <v>0</v>
      </c>
      <c r="H7689" s="35">
        <f t="shared" si="121"/>
        <v>466.29</v>
      </c>
      <c r="I7689" s="35"/>
      <c r="K7689" t="s">
        <v>15</v>
      </c>
    </row>
    <row r="7690" spans="2:11" ht="24.75" x14ac:dyDescent="0.2">
      <c r="B7690" s="33" t="s">
        <v>8768</v>
      </c>
      <c r="C7690" s="33" t="s">
        <v>282</v>
      </c>
      <c r="D7690" s="35">
        <f>SUMIFS(D7691:D9015,K7691:K9015,"0",B7691:B9015,"5 1 3 4 1 12 31111 6 M59 23000 000134 0000B 00001*")-SUMIFS(E7691:E9015,K7691:K9015,"0",B7691:B9015,"5 1 3 4 1 12 31111 6 M59 23000 000134 0000B 00001*")</f>
        <v>0</v>
      </c>
      <c r="E7690"/>
      <c r="F7690" s="35">
        <f>SUMIFS(F7691:F9015,K7691:K9015,"0",B7691:B9015,"5 1 3 4 1 12 31111 6 M59 23000 000134 0000B 00001*")</f>
        <v>466.29</v>
      </c>
      <c r="G7690" s="35">
        <f>SUMIFS(G7691:G9015,K7691:K9015,"0",B7691:B9015,"5 1 3 4 1 12 31111 6 M59 23000 000134 0000B 00001*")</f>
        <v>0</v>
      </c>
      <c r="H7690" s="35">
        <f t="shared" si="121"/>
        <v>466.29</v>
      </c>
      <c r="I7690" s="35"/>
      <c r="K7690" t="s">
        <v>15</v>
      </c>
    </row>
    <row r="7691" spans="2:11" ht="24.75" x14ac:dyDescent="0.2">
      <c r="B7691" s="33" t="s">
        <v>8769</v>
      </c>
      <c r="C7691" s="33" t="s">
        <v>8705</v>
      </c>
      <c r="D7691" s="35">
        <f>SUMIFS(D7692:D9015,K7692:K9015,"0",B7692:B9015,"5 1 3 4 1 12 31111 6 M59 23000 000134 0000B 00001 00341*")-SUMIFS(E7692:E9015,K7692:K9015,"0",B7692:B9015,"5 1 3 4 1 12 31111 6 M59 23000 000134 0000B 00001 00341*")</f>
        <v>0</v>
      </c>
      <c r="E7691"/>
      <c r="F7691" s="35">
        <f>SUMIFS(F7692:F9015,K7692:K9015,"0",B7692:B9015,"5 1 3 4 1 12 31111 6 M59 23000 000134 0000B 00001 00341*")</f>
        <v>466.29</v>
      </c>
      <c r="G7691" s="35">
        <f>SUMIFS(G7692:G9015,K7692:K9015,"0",B7692:B9015,"5 1 3 4 1 12 31111 6 M59 23000 000134 0000B 00001 00341*")</f>
        <v>0</v>
      </c>
      <c r="H7691" s="35">
        <f t="shared" si="121"/>
        <v>466.29</v>
      </c>
      <c r="I7691" s="35"/>
      <c r="K7691" t="s">
        <v>15</v>
      </c>
    </row>
    <row r="7692" spans="2:11" ht="33" x14ac:dyDescent="0.2">
      <c r="B7692" s="33" t="s">
        <v>8770</v>
      </c>
      <c r="C7692" s="33" t="s">
        <v>656</v>
      </c>
      <c r="D7692" s="35">
        <f>SUMIFS(D7693:D9015,K7693:K9015,"0",B7693:B9015,"5 1 3 4 1 12 31111 6 M59 23000 000134 0000B 00001 00341 025*")-SUMIFS(E7693:E9015,K7693:K9015,"0",B7693:B9015,"5 1 3 4 1 12 31111 6 M59 23000 000134 0000B 00001 00341 025*")</f>
        <v>0</v>
      </c>
      <c r="E7692"/>
      <c r="F7692" s="35">
        <f>SUMIFS(F7693:F9015,K7693:K9015,"0",B7693:B9015,"5 1 3 4 1 12 31111 6 M59 23000 000134 0000B 00001 00341 025*")</f>
        <v>466.29</v>
      </c>
      <c r="G7692" s="35">
        <f>SUMIFS(G7693:G9015,K7693:K9015,"0",B7693:B9015,"5 1 3 4 1 12 31111 6 M59 23000 000134 0000B 00001 00341 025*")</f>
        <v>0</v>
      </c>
      <c r="H7692" s="35">
        <f t="shared" si="121"/>
        <v>466.29</v>
      </c>
      <c r="I7692" s="35"/>
      <c r="K7692" t="s">
        <v>15</v>
      </c>
    </row>
    <row r="7693" spans="2:11" ht="33" x14ac:dyDescent="0.2">
      <c r="B7693" s="33" t="s">
        <v>8771</v>
      </c>
      <c r="C7693" s="33" t="s">
        <v>5830</v>
      </c>
      <c r="D7693" s="35">
        <f>SUMIFS(D7694:D9015,K7694:K9015,"0",B7694:B9015,"5 1 3 4 1 12 31111 6 M59 23000 000134 0000B 00001 00341 025 2112000*")-SUMIFS(E7694:E9015,K7694:K9015,"0",B7694:B9015,"5 1 3 4 1 12 31111 6 M59 23000 000134 0000B 00001 00341 025 2112000*")</f>
        <v>0</v>
      </c>
      <c r="E7693"/>
      <c r="F7693" s="35">
        <f>SUMIFS(F7694:F9015,K7694:K9015,"0",B7694:B9015,"5 1 3 4 1 12 31111 6 M59 23000 000134 0000B 00001 00341 025 2112000*")</f>
        <v>466.29</v>
      </c>
      <c r="G7693" s="35">
        <f>SUMIFS(G7694:G9015,K7694:K9015,"0",B7694:B9015,"5 1 3 4 1 12 31111 6 M59 23000 000134 0000B 00001 00341 025 2112000*")</f>
        <v>0</v>
      </c>
      <c r="H7693" s="35">
        <f t="shared" si="121"/>
        <v>466.29</v>
      </c>
      <c r="I7693" s="35"/>
      <c r="K7693" t="s">
        <v>15</v>
      </c>
    </row>
    <row r="7694" spans="2:11" ht="33" x14ac:dyDescent="0.2">
      <c r="B7694" s="33" t="s">
        <v>8772</v>
      </c>
      <c r="C7694" s="33" t="s">
        <v>660</v>
      </c>
      <c r="D7694" s="35">
        <f>SUMIFS(D7695:D9015,K7695:K9015,"0",B7695:B9015,"5 1 3 4 1 12 31111 6 M59 23000 000134 0000B 00001 00341 025 2112000 2024*")-SUMIFS(E7695:E9015,K7695:K9015,"0",B7695:B9015,"5 1 3 4 1 12 31111 6 M59 23000 000134 0000B 00001 00341 025 2112000 2024*")</f>
        <v>0</v>
      </c>
      <c r="E7694"/>
      <c r="F7694" s="35">
        <f>SUMIFS(F7695:F9015,K7695:K9015,"0",B7695:B9015,"5 1 3 4 1 12 31111 6 M59 23000 000134 0000B 00001 00341 025 2112000 2024*")</f>
        <v>466.29</v>
      </c>
      <c r="G7694" s="35">
        <f>SUMIFS(G7695:G9015,K7695:K9015,"0",B7695:B9015,"5 1 3 4 1 12 31111 6 M59 23000 000134 0000B 00001 00341 025 2112000 2024*")</f>
        <v>0</v>
      </c>
      <c r="H7694" s="35">
        <f t="shared" si="121"/>
        <v>466.29</v>
      </c>
      <c r="I7694" s="35"/>
      <c r="K7694" t="s">
        <v>15</v>
      </c>
    </row>
    <row r="7695" spans="2:11" ht="41.25" x14ac:dyDescent="0.2">
      <c r="B7695" s="33" t="s">
        <v>8773</v>
      </c>
      <c r="C7695" s="33" t="s">
        <v>8774</v>
      </c>
      <c r="D7695" s="35">
        <f>SUMIFS(D7696:D9015,K7696:K9015,"0",B7696:B9015,"5 1 3 4 1 12 31111 6 M59 23000 000134 0000B 00001 00341 025 2112000 2024 CP4DE526*")-SUMIFS(E7696:E9015,K7696:K9015,"0",B7696:B9015,"5 1 3 4 1 12 31111 6 M59 23000 000134 0000B 00001 00341 025 2112000 2024 CP4DE526*")</f>
        <v>0</v>
      </c>
      <c r="E7695"/>
      <c r="F7695" s="35">
        <f>SUMIFS(F7696:F9015,K7696:K9015,"0",B7696:B9015,"5 1 3 4 1 12 31111 6 M59 23000 000134 0000B 00001 00341 025 2112000 2024 CP4DE526*")</f>
        <v>466.29</v>
      </c>
      <c r="G7695" s="35">
        <f>SUMIFS(G7696:G9015,K7696:K9015,"0",B7696:B9015,"5 1 3 4 1 12 31111 6 M59 23000 000134 0000B 00001 00341 025 2112000 2024 CP4DE526*")</f>
        <v>0</v>
      </c>
      <c r="H7695" s="35">
        <f t="shared" si="121"/>
        <v>466.29</v>
      </c>
      <c r="I7695" s="35"/>
      <c r="K7695" t="s">
        <v>15</v>
      </c>
    </row>
    <row r="7696" spans="2:11" ht="41.25" x14ac:dyDescent="0.2">
      <c r="B7696" s="33" t="s">
        <v>8775</v>
      </c>
      <c r="C7696" s="33" t="s">
        <v>664</v>
      </c>
      <c r="D7696" s="35">
        <f>SUMIFS(D7697:D9015,K7697:K9015,"0",B7697:B9015,"5 1 3 4 1 12 31111 6 M59 23000 000134 0000B 00001 00341 025 2112000 2024 CP4DE526 003*")-SUMIFS(E7697:E9015,K7697:K9015,"0",B7697:B9015,"5 1 3 4 1 12 31111 6 M59 23000 000134 0000B 00001 00341 025 2112000 2024 CP4DE526 003*")</f>
        <v>0</v>
      </c>
      <c r="E7696"/>
      <c r="F7696" s="35">
        <f>SUMIFS(F7697:F9015,K7697:K9015,"0",B7697:B9015,"5 1 3 4 1 12 31111 6 M59 23000 000134 0000B 00001 00341 025 2112000 2024 CP4DE526 003*")</f>
        <v>466.29</v>
      </c>
      <c r="G7696" s="35">
        <f>SUMIFS(G7697:G9015,K7697:K9015,"0",B7697:B9015,"5 1 3 4 1 12 31111 6 M59 23000 000134 0000B 00001 00341 025 2112000 2024 CP4DE526 003*")</f>
        <v>0</v>
      </c>
      <c r="H7696" s="35">
        <f t="shared" si="121"/>
        <v>466.29</v>
      </c>
      <c r="I7696" s="35"/>
      <c r="K7696" t="s">
        <v>15</v>
      </c>
    </row>
    <row r="7697" spans="2:11" ht="41.25" x14ac:dyDescent="0.2">
      <c r="B7697" s="31" t="s">
        <v>8776</v>
      </c>
      <c r="C7697" s="31" t="s">
        <v>8695</v>
      </c>
      <c r="D7697" s="34">
        <v>0</v>
      </c>
      <c r="E7697" s="34"/>
      <c r="F7697" s="34">
        <v>466.29</v>
      </c>
      <c r="G7697" s="34">
        <v>0</v>
      </c>
      <c r="H7697" s="34">
        <f t="shared" si="121"/>
        <v>466.29</v>
      </c>
      <c r="I7697" s="34"/>
      <c r="K7697" t="s">
        <v>38</v>
      </c>
    </row>
    <row r="7698" spans="2:11" ht="24.75" x14ac:dyDescent="0.2">
      <c r="B7698" s="33" t="s">
        <v>8777</v>
      </c>
      <c r="C7698" s="33" t="s">
        <v>8778</v>
      </c>
      <c r="D7698" s="35">
        <f>SUMIFS(D7699:D9015,K7699:K9015,"0",B7699:B9015,"5 1 3 4 4*")-SUMIFS(E7699:E9015,K7699:K9015,"0",B7699:B9015,"5 1 3 4 4*")</f>
        <v>0</v>
      </c>
      <c r="E7698"/>
      <c r="F7698" s="35">
        <f>SUMIFS(F7699:F9015,K7699:K9015,"0",B7699:B9015,"5 1 3 4 4*")</f>
        <v>31482.400000000001</v>
      </c>
      <c r="G7698" s="35">
        <f>SUMIFS(G7699:G9015,K7699:K9015,"0",B7699:B9015,"5 1 3 4 4*")</f>
        <v>0</v>
      </c>
      <c r="H7698" s="35">
        <f t="shared" si="121"/>
        <v>31482.400000000001</v>
      </c>
      <c r="I7698" s="35"/>
      <c r="K7698" t="s">
        <v>15</v>
      </c>
    </row>
    <row r="7699" spans="2:11" ht="12.75" x14ac:dyDescent="0.2">
      <c r="B7699" s="33" t="s">
        <v>8779</v>
      </c>
      <c r="C7699" s="33" t="s">
        <v>26</v>
      </c>
      <c r="D7699" s="35">
        <f>SUMIFS(D7700:D9015,K7700:K9015,"0",B7700:B9015,"5 1 3 4 4 12*")-SUMIFS(E7700:E9015,K7700:K9015,"0",B7700:B9015,"5 1 3 4 4 12*")</f>
        <v>0</v>
      </c>
      <c r="E7699"/>
      <c r="F7699" s="35">
        <f>SUMIFS(F7700:F9015,K7700:K9015,"0",B7700:B9015,"5 1 3 4 4 12*")</f>
        <v>31482.400000000001</v>
      </c>
      <c r="G7699" s="35">
        <f>SUMIFS(G7700:G9015,K7700:K9015,"0",B7700:B9015,"5 1 3 4 4 12*")</f>
        <v>0</v>
      </c>
      <c r="H7699" s="35">
        <f t="shared" si="121"/>
        <v>31482.400000000001</v>
      </c>
      <c r="I7699" s="35"/>
      <c r="K7699" t="s">
        <v>15</v>
      </c>
    </row>
    <row r="7700" spans="2:11" ht="16.5" x14ac:dyDescent="0.2">
      <c r="B7700" s="33" t="s">
        <v>8780</v>
      </c>
      <c r="C7700" s="33" t="s">
        <v>28</v>
      </c>
      <c r="D7700" s="35">
        <f>SUMIFS(D7701:D9015,K7701:K9015,"0",B7701:B9015,"5 1 3 4 4 12 31111*")-SUMIFS(E7701:E9015,K7701:K9015,"0",B7701:B9015,"5 1 3 4 4 12 31111*")</f>
        <v>0</v>
      </c>
      <c r="E7700"/>
      <c r="F7700" s="35">
        <f>SUMIFS(F7701:F9015,K7701:K9015,"0",B7701:B9015,"5 1 3 4 4 12 31111*")</f>
        <v>31482.400000000001</v>
      </c>
      <c r="G7700" s="35">
        <f>SUMIFS(G7701:G9015,K7701:K9015,"0",B7701:B9015,"5 1 3 4 4 12 31111*")</f>
        <v>0</v>
      </c>
      <c r="H7700" s="35">
        <f t="shared" si="121"/>
        <v>31482.400000000001</v>
      </c>
      <c r="I7700" s="35"/>
      <c r="K7700" t="s">
        <v>15</v>
      </c>
    </row>
    <row r="7701" spans="2:11" ht="12.75" x14ac:dyDescent="0.2">
      <c r="B7701" s="33" t="s">
        <v>8781</v>
      </c>
      <c r="C7701" s="33" t="s">
        <v>30</v>
      </c>
      <c r="D7701" s="35">
        <f>SUMIFS(D7702:D9015,K7702:K9015,"0",B7702:B9015,"5 1 3 4 4 12 31111 6*")-SUMIFS(E7702:E9015,K7702:K9015,"0",B7702:B9015,"5 1 3 4 4 12 31111 6*")</f>
        <v>0</v>
      </c>
      <c r="E7701"/>
      <c r="F7701" s="35">
        <f>SUMIFS(F7702:F9015,K7702:K9015,"0",B7702:B9015,"5 1 3 4 4 12 31111 6*")</f>
        <v>31482.400000000001</v>
      </c>
      <c r="G7701" s="35">
        <f>SUMIFS(G7702:G9015,K7702:K9015,"0",B7702:B9015,"5 1 3 4 4 12 31111 6*")</f>
        <v>0</v>
      </c>
      <c r="H7701" s="35">
        <f t="shared" si="121"/>
        <v>31482.400000000001</v>
      </c>
      <c r="I7701" s="35"/>
      <c r="K7701" t="s">
        <v>15</v>
      </c>
    </row>
    <row r="7702" spans="2:11" ht="16.5" x14ac:dyDescent="0.2">
      <c r="B7702" s="33" t="s">
        <v>8782</v>
      </c>
      <c r="C7702" s="33" t="s">
        <v>2284</v>
      </c>
      <c r="D7702" s="35">
        <f>SUMIFS(D7703:D9015,K7703:K9015,"0",B7703:B9015,"5 1 3 4 4 12 31111 6 M59*")-SUMIFS(E7703:E9015,K7703:K9015,"0",B7703:B9015,"5 1 3 4 4 12 31111 6 M59*")</f>
        <v>0</v>
      </c>
      <c r="E7702"/>
      <c r="F7702" s="35">
        <f>SUMIFS(F7703:F9015,K7703:K9015,"0",B7703:B9015,"5 1 3 4 4 12 31111 6 M59*")</f>
        <v>31482.400000000001</v>
      </c>
      <c r="G7702" s="35">
        <f>SUMIFS(G7703:G9015,K7703:K9015,"0",B7703:B9015,"5 1 3 4 4 12 31111 6 M59*")</f>
        <v>0</v>
      </c>
      <c r="H7702" s="35">
        <f t="shared" si="121"/>
        <v>31482.400000000001</v>
      </c>
      <c r="I7702" s="35"/>
      <c r="K7702" t="s">
        <v>15</v>
      </c>
    </row>
    <row r="7703" spans="2:11" ht="16.5" x14ac:dyDescent="0.2">
      <c r="B7703" s="33" t="s">
        <v>8783</v>
      </c>
      <c r="C7703" s="33" t="s">
        <v>3187</v>
      </c>
      <c r="D7703" s="35">
        <f>SUMIFS(D7704:D9015,K7704:K9015,"0",B7704:B9015,"5 1 3 4 4 12 31111 6 M59 23000*")-SUMIFS(E7704:E9015,K7704:K9015,"0",B7704:B9015,"5 1 3 4 4 12 31111 6 M59 23000*")</f>
        <v>0</v>
      </c>
      <c r="E7703"/>
      <c r="F7703" s="35">
        <f>SUMIFS(F7704:F9015,K7704:K9015,"0",B7704:B9015,"5 1 3 4 4 12 31111 6 M59 23000*")</f>
        <v>31482.400000000001</v>
      </c>
      <c r="G7703" s="35">
        <f>SUMIFS(G7704:G9015,K7704:K9015,"0",B7704:B9015,"5 1 3 4 4 12 31111 6 M59 23000*")</f>
        <v>0</v>
      </c>
      <c r="H7703" s="35">
        <f t="shared" si="121"/>
        <v>31482.400000000001</v>
      </c>
      <c r="I7703" s="35"/>
      <c r="K7703" t="s">
        <v>15</v>
      </c>
    </row>
    <row r="7704" spans="2:11" ht="16.5" x14ac:dyDescent="0.2">
      <c r="B7704" s="33" t="s">
        <v>8784</v>
      </c>
      <c r="C7704" s="33" t="s">
        <v>8765</v>
      </c>
      <c r="D7704" s="35">
        <f>SUMIFS(D7705:D9015,K7705:K9015,"0",B7705:B9015,"5 1 3 4 4 12 31111 6 M59 23000 000134*")-SUMIFS(E7705:E9015,K7705:K9015,"0",B7705:B9015,"5 1 3 4 4 12 31111 6 M59 23000 000134*")</f>
        <v>0</v>
      </c>
      <c r="E7704"/>
      <c r="F7704" s="35">
        <f>SUMIFS(F7705:F9015,K7705:K9015,"0",B7705:B9015,"5 1 3 4 4 12 31111 6 M59 23000 000134*")</f>
        <v>31482.400000000001</v>
      </c>
      <c r="G7704" s="35">
        <f>SUMIFS(G7705:G9015,K7705:K9015,"0",B7705:B9015,"5 1 3 4 4 12 31111 6 M59 23000 000134*")</f>
        <v>0</v>
      </c>
      <c r="H7704" s="35">
        <f t="shared" si="121"/>
        <v>31482.400000000001</v>
      </c>
      <c r="I7704" s="35"/>
      <c r="K7704" t="s">
        <v>15</v>
      </c>
    </row>
    <row r="7705" spans="2:11" ht="24.75" x14ac:dyDescent="0.2">
      <c r="B7705" s="33" t="s">
        <v>8785</v>
      </c>
      <c r="C7705" s="33" t="s">
        <v>8767</v>
      </c>
      <c r="D7705" s="35">
        <f>SUMIFS(D7706:D9015,K7706:K9015,"0",B7706:B9015,"5 1 3 4 4 12 31111 6 M59 23000 000134 0000B*")-SUMIFS(E7706:E9015,K7706:K9015,"0",B7706:B9015,"5 1 3 4 4 12 31111 6 M59 23000 000134 0000B*")</f>
        <v>0</v>
      </c>
      <c r="E7705"/>
      <c r="F7705" s="35">
        <f>SUMIFS(F7706:F9015,K7706:K9015,"0",B7706:B9015,"5 1 3 4 4 12 31111 6 M59 23000 000134 0000B*")</f>
        <v>31482.400000000001</v>
      </c>
      <c r="G7705" s="35">
        <f>SUMIFS(G7706:G9015,K7706:K9015,"0",B7706:B9015,"5 1 3 4 4 12 31111 6 M59 23000 000134 0000B*")</f>
        <v>0</v>
      </c>
      <c r="H7705" s="35">
        <f t="shared" si="121"/>
        <v>31482.400000000001</v>
      </c>
      <c r="I7705" s="35"/>
      <c r="K7705" t="s">
        <v>15</v>
      </c>
    </row>
    <row r="7706" spans="2:11" ht="24.75" x14ac:dyDescent="0.2">
      <c r="B7706" s="33" t="s">
        <v>8786</v>
      </c>
      <c r="C7706" s="33" t="s">
        <v>282</v>
      </c>
      <c r="D7706" s="35">
        <f>SUMIFS(D7707:D9015,K7707:K9015,"0",B7707:B9015,"5 1 3 4 4 12 31111 6 M59 23000 000134 0000B 00001*")-SUMIFS(E7707:E9015,K7707:K9015,"0",B7707:B9015,"5 1 3 4 4 12 31111 6 M59 23000 000134 0000B 00001*")</f>
        <v>0</v>
      </c>
      <c r="E7706"/>
      <c r="F7706" s="35">
        <f>SUMIFS(F7707:F9015,K7707:K9015,"0",B7707:B9015,"5 1 3 4 4 12 31111 6 M59 23000 000134 0000B 00001*")</f>
        <v>31482.400000000001</v>
      </c>
      <c r="G7706" s="35">
        <f>SUMIFS(G7707:G9015,K7707:K9015,"0",B7707:B9015,"5 1 3 4 4 12 31111 6 M59 23000 000134 0000B 00001*")</f>
        <v>0</v>
      </c>
      <c r="H7706" s="35">
        <f t="shared" si="121"/>
        <v>31482.400000000001</v>
      </c>
      <c r="I7706" s="35"/>
      <c r="K7706" t="s">
        <v>15</v>
      </c>
    </row>
    <row r="7707" spans="2:11" ht="24.75" x14ac:dyDescent="0.2">
      <c r="B7707" s="33" t="s">
        <v>8787</v>
      </c>
      <c r="C7707" s="33" t="s">
        <v>8788</v>
      </c>
      <c r="D7707" s="35">
        <f>SUMIFS(D7708:D9015,K7708:K9015,"0",B7708:B9015,"5 1 3 4 4 12 31111 6 M59 23000 000134 0000B 00001 00344*")-SUMIFS(E7708:E9015,K7708:K9015,"0",B7708:B9015,"5 1 3 4 4 12 31111 6 M59 23000 000134 0000B 00001 00344*")</f>
        <v>0</v>
      </c>
      <c r="E7707"/>
      <c r="F7707" s="35">
        <f>SUMIFS(F7708:F9015,K7708:K9015,"0",B7708:B9015,"5 1 3 4 4 12 31111 6 M59 23000 000134 0000B 00001 00344*")</f>
        <v>31482.400000000001</v>
      </c>
      <c r="G7707" s="35">
        <f>SUMIFS(G7708:G9015,K7708:K9015,"0",B7708:B9015,"5 1 3 4 4 12 31111 6 M59 23000 000134 0000B 00001 00344*")</f>
        <v>0</v>
      </c>
      <c r="H7707" s="35">
        <f t="shared" si="121"/>
        <v>31482.400000000001</v>
      </c>
      <c r="I7707" s="35"/>
      <c r="K7707" t="s">
        <v>15</v>
      </c>
    </row>
    <row r="7708" spans="2:11" ht="33" x14ac:dyDescent="0.2">
      <c r="B7708" s="33" t="s">
        <v>8789</v>
      </c>
      <c r="C7708" s="33" t="s">
        <v>656</v>
      </c>
      <c r="D7708" s="35">
        <f>SUMIFS(D7709:D9015,K7709:K9015,"0",B7709:B9015,"5 1 3 4 4 12 31111 6 M59 23000 000134 0000B 00001 00344 025*")-SUMIFS(E7709:E9015,K7709:K9015,"0",B7709:B9015,"5 1 3 4 4 12 31111 6 M59 23000 000134 0000B 00001 00344 025*")</f>
        <v>0</v>
      </c>
      <c r="E7708"/>
      <c r="F7708" s="35">
        <f>SUMIFS(F7709:F9015,K7709:K9015,"0",B7709:B9015,"5 1 3 4 4 12 31111 6 M59 23000 000134 0000B 00001 00344 025*")</f>
        <v>31482.400000000001</v>
      </c>
      <c r="G7708" s="35">
        <f>SUMIFS(G7709:G9015,K7709:K9015,"0",B7709:B9015,"5 1 3 4 4 12 31111 6 M59 23000 000134 0000B 00001 00344 025*")</f>
        <v>0</v>
      </c>
      <c r="H7708" s="35">
        <f t="shared" si="121"/>
        <v>31482.400000000001</v>
      </c>
      <c r="I7708" s="35"/>
      <c r="K7708" t="s">
        <v>15</v>
      </c>
    </row>
    <row r="7709" spans="2:11" ht="33" x14ac:dyDescent="0.2">
      <c r="B7709" s="33" t="s">
        <v>8790</v>
      </c>
      <c r="C7709" s="33" t="s">
        <v>5830</v>
      </c>
      <c r="D7709" s="35">
        <f>SUMIFS(D7710:D9015,K7710:K9015,"0",B7710:B9015,"5 1 3 4 4 12 31111 6 M59 23000 000134 0000B 00001 00344 025 2112000*")-SUMIFS(E7710:E9015,K7710:K9015,"0",B7710:B9015,"5 1 3 4 4 12 31111 6 M59 23000 000134 0000B 00001 00344 025 2112000*")</f>
        <v>0</v>
      </c>
      <c r="E7709"/>
      <c r="F7709" s="35">
        <f>SUMIFS(F7710:F9015,K7710:K9015,"0",B7710:B9015,"5 1 3 4 4 12 31111 6 M59 23000 000134 0000B 00001 00344 025 2112000*")</f>
        <v>31482.400000000001</v>
      </c>
      <c r="G7709" s="35">
        <f>SUMIFS(G7710:G9015,K7710:K9015,"0",B7710:B9015,"5 1 3 4 4 12 31111 6 M59 23000 000134 0000B 00001 00344 025 2112000*")</f>
        <v>0</v>
      </c>
      <c r="H7709" s="35">
        <f t="shared" si="121"/>
        <v>31482.400000000001</v>
      </c>
      <c r="I7709" s="35"/>
      <c r="K7709" t="s">
        <v>15</v>
      </c>
    </row>
    <row r="7710" spans="2:11" ht="33" x14ac:dyDescent="0.2">
      <c r="B7710" s="33" t="s">
        <v>8791</v>
      </c>
      <c r="C7710" s="33" t="s">
        <v>660</v>
      </c>
      <c r="D7710" s="35">
        <f>SUMIFS(D7711:D9015,K7711:K9015,"0",B7711:B9015,"5 1 3 4 4 12 31111 6 M59 23000 000134 0000B 00001 00344 025 2112000 2024*")-SUMIFS(E7711:E9015,K7711:K9015,"0",B7711:B9015,"5 1 3 4 4 12 31111 6 M59 23000 000134 0000B 00001 00344 025 2112000 2024*")</f>
        <v>0</v>
      </c>
      <c r="E7710"/>
      <c r="F7710" s="35">
        <f>SUMIFS(F7711:F9015,K7711:K9015,"0",B7711:B9015,"5 1 3 4 4 12 31111 6 M59 23000 000134 0000B 00001 00344 025 2112000 2024*")</f>
        <v>31482.400000000001</v>
      </c>
      <c r="G7710" s="35">
        <f>SUMIFS(G7711:G9015,K7711:K9015,"0",B7711:B9015,"5 1 3 4 4 12 31111 6 M59 23000 000134 0000B 00001 00344 025 2112000 2024*")</f>
        <v>0</v>
      </c>
      <c r="H7710" s="35">
        <f t="shared" si="121"/>
        <v>31482.400000000001</v>
      </c>
      <c r="I7710" s="35"/>
      <c r="K7710" t="s">
        <v>15</v>
      </c>
    </row>
    <row r="7711" spans="2:11" ht="41.25" x14ac:dyDescent="0.2">
      <c r="B7711" s="33" t="s">
        <v>8792</v>
      </c>
      <c r="C7711" s="33" t="s">
        <v>8774</v>
      </c>
      <c r="D7711" s="35">
        <f>SUMIFS(D7712:D9015,K7712:K9015,"0",B7712:B9015,"5 1 3 4 4 12 31111 6 M59 23000 000134 0000B 00001 00344 025 2112000 2024 CP4DE526*")-SUMIFS(E7712:E9015,K7712:K9015,"0",B7712:B9015,"5 1 3 4 4 12 31111 6 M59 23000 000134 0000B 00001 00344 025 2112000 2024 CP4DE526*")</f>
        <v>0</v>
      </c>
      <c r="E7711"/>
      <c r="F7711" s="35">
        <f>SUMIFS(F7712:F9015,K7712:K9015,"0",B7712:B9015,"5 1 3 4 4 12 31111 6 M59 23000 000134 0000B 00001 00344 025 2112000 2024 CP4DE526*")</f>
        <v>31482.400000000001</v>
      </c>
      <c r="G7711" s="35">
        <f>SUMIFS(G7712:G9015,K7712:K9015,"0",B7712:B9015,"5 1 3 4 4 12 31111 6 M59 23000 000134 0000B 00001 00344 025 2112000 2024 CP4DE526*")</f>
        <v>0</v>
      </c>
      <c r="H7711" s="35">
        <f t="shared" si="121"/>
        <v>31482.400000000001</v>
      </c>
      <c r="I7711" s="35"/>
      <c r="K7711" t="s">
        <v>15</v>
      </c>
    </row>
    <row r="7712" spans="2:11" ht="41.25" x14ac:dyDescent="0.2">
      <c r="B7712" s="33" t="s">
        <v>8793</v>
      </c>
      <c r="C7712" s="33" t="s">
        <v>664</v>
      </c>
      <c r="D7712" s="35">
        <f>SUMIFS(D7713:D9015,K7713:K9015,"0",B7713:B9015,"5 1 3 4 4 12 31111 6 M59 23000 000134 0000B 00001 00344 025 2112000 2024 CP4DE526 003*")-SUMIFS(E7713:E9015,K7713:K9015,"0",B7713:B9015,"5 1 3 4 4 12 31111 6 M59 23000 000134 0000B 00001 00344 025 2112000 2024 CP4DE526 003*")</f>
        <v>0</v>
      </c>
      <c r="E7712"/>
      <c r="F7712" s="35">
        <f>SUMIFS(F7713:F9015,K7713:K9015,"0",B7713:B9015,"5 1 3 4 4 12 31111 6 M59 23000 000134 0000B 00001 00344 025 2112000 2024 CP4DE526 003*")</f>
        <v>31482.400000000001</v>
      </c>
      <c r="G7712" s="35">
        <f>SUMIFS(G7713:G9015,K7713:K9015,"0",B7713:B9015,"5 1 3 4 4 12 31111 6 M59 23000 000134 0000B 00001 00344 025 2112000 2024 CP4DE526 003*")</f>
        <v>0</v>
      </c>
      <c r="H7712" s="35">
        <f t="shared" si="121"/>
        <v>31482.400000000001</v>
      </c>
      <c r="I7712" s="35"/>
      <c r="K7712" t="s">
        <v>15</v>
      </c>
    </row>
    <row r="7713" spans="2:11" ht="41.25" x14ac:dyDescent="0.2">
      <c r="B7713" s="31" t="s">
        <v>8794</v>
      </c>
      <c r="C7713" s="31" t="s">
        <v>8778</v>
      </c>
      <c r="D7713" s="34">
        <v>0</v>
      </c>
      <c r="E7713" s="34"/>
      <c r="F7713" s="34">
        <v>31482.400000000001</v>
      </c>
      <c r="G7713" s="34">
        <v>0</v>
      </c>
      <c r="H7713" s="34">
        <f t="shared" si="121"/>
        <v>31482.400000000001</v>
      </c>
      <c r="I7713" s="34"/>
      <c r="K7713" t="s">
        <v>38</v>
      </c>
    </row>
    <row r="7714" spans="2:11" ht="12.75" x14ac:dyDescent="0.2">
      <c r="B7714" s="33" t="s">
        <v>8795</v>
      </c>
      <c r="C7714" s="33" t="s">
        <v>8796</v>
      </c>
      <c r="D7714" s="35">
        <f>SUMIFS(D7715:D9015,K7715:K9015,"0",B7715:B9015,"5 1 3 4 7*")-SUMIFS(E7715:E9015,K7715:K9015,"0",B7715:B9015,"5 1 3 4 7*")</f>
        <v>0</v>
      </c>
      <c r="E7714"/>
      <c r="F7714" s="35">
        <f>SUMIFS(F7715:F9015,K7715:K9015,"0",B7715:B9015,"5 1 3 4 7*")</f>
        <v>812</v>
      </c>
      <c r="G7714" s="35">
        <f>SUMIFS(G7715:G9015,K7715:K9015,"0",B7715:B9015,"5 1 3 4 7*")</f>
        <v>0</v>
      </c>
      <c r="H7714" s="35">
        <f t="shared" si="121"/>
        <v>812</v>
      </c>
      <c r="I7714" s="35"/>
      <c r="K7714" t="s">
        <v>15</v>
      </c>
    </row>
    <row r="7715" spans="2:11" ht="12.75" x14ac:dyDescent="0.2">
      <c r="B7715" s="33" t="s">
        <v>8797</v>
      </c>
      <c r="C7715" s="33" t="s">
        <v>26</v>
      </c>
      <c r="D7715" s="35">
        <f>SUMIFS(D7716:D9015,K7716:K9015,"0",B7716:B9015,"5 1 3 4 7 12*")-SUMIFS(E7716:E9015,K7716:K9015,"0",B7716:B9015,"5 1 3 4 7 12*")</f>
        <v>0</v>
      </c>
      <c r="E7715"/>
      <c r="F7715" s="35">
        <f>SUMIFS(F7716:F9015,K7716:K9015,"0",B7716:B9015,"5 1 3 4 7 12*")</f>
        <v>812</v>
      </c>
      <c r="G7715" s="35">
        <f>SUMIFS(G7716:G9015,K7716:K9015,"0",B7716:B9015,"5 1 3 4 7 12*")</f>
        <v>0</v>
      </c>
      <c r="H7715" s="35">
        <f t="shared" si="121"/>
        <v>812</v>
      </c>
      <c r="I7715" s="35"/>
      <c r="K7715" t="s">
        <v>15</v>
      </c>
    </row>
    <row r="7716" spans="2:11" ht="16.5" x14ac:dyDescent="0.2">
      <c r="B7716" s="33" t="s">
        <v>8798</v>
      </c>
      <c r="C7716" s="33" t="s">
        <v>28</v>
      </c>
      <c r="D7716" s="35">
        <f>SUMIFS(D7717:D9015,K7717:K9015,"0",B7717:B9015,"5 1 3 4 7 12 31111*")-SUMIFS(E7717:E9015,K7717:K9015,"0",B7717:B9015,"5 1 3 4 7 12 31111*")</f>
        <v>0</v>
      </c>
      <c r="E7716"/>
      <c r="F7716" s="35">
        <f>SUMIFS(F7717:F9015,K7717:K9015,"0",B7717:B9015,"5 1 3 4 7 12 31111*")</f>
        <v>812</v>
      </c>
      <c r="G7716" s="35">
        <f>SUMIFS(G7717:G9015,K7717:K9015,"0",B7717:B9015,"5 1 3 4 7 12 31111*")</f>
        <v>0</v>
      </c>
      <c r="H7716" s="35">
        <f t="shared" si="121"/>
        <v>812</v>
      </c>
      <c r="I7716" s="35"/>
      <c r="K7716" t="s">
        <v>15</v>
      </c>
    </row>
    <row r="7717" spans="2:11" ht="12.75" x14ac:dyDescent="0.2">
      <c r="B7717" s="33" t="s">
        <v>8799</v>
      </c>
      <c r="C7717" s="33" t="s">
        <v>30</v>
      </c>
      <c r="D7717" s="35">
        <f>SUMIFS(D7718:D9015,K7718:K9015,"0",B7718:B9015,"5 1 3 4 7 12 31111 6*")-SUMIFS(E7718:E9015,K7718:K9015,"0",B7718:B9015,"5 1 3 4 7 12 31111 6*")</f>
        <v>0</v>
      </c>
      <c r="E7717"/>
      <c r="F7717" s="35">
        <f>SUMIFS(F7718:F9015,K7718:K9015,"0",B7718:B9015,"5 1 3 4 7 12 31111 6*")</f>
        <v>812</v>
      </c>
      <c r="G7717" s="35">
        <f>SUMIFS(G7718:G9015,K7718:K9015,"0",B7718:B9015,"5 1 3 4 7 12 31111 6*")</f>
        <v>0</v>
      </c>
      <c r="H7717" s="35">
        <f t="shared" si="121"/>
        <v>812</v>
      </c>
      <c r="I7717" s="35"/>
      <c r="K7717" t="s">
        <v>15</v>
      </c>
    </row>
    <row r="7718" spans="2:11" ht="16.5" x14ac:dyDescent="0.2">
      <c r="B7718" s="33" t="s">
        <v>8800</v>
      </c>
      <c r="C7718" s="33" t="s">
        <v>2284</v>
      </c>
      <c r="D7718" s="35">
        <f>SUMIFS(D7719:D9015,K7719:K9015,"0",B7719:B9015,"5 1 3 4 7 12 31111 6 M59*")-SUMIFS(E7719:E9015,K7719:K9015,"0",B7719:B9015,"5 1 3 4 7 12 31111 6 M59*")</f>
        <v>0</v>
      </c>
      <c r="E7718"/>
      <c r="F7718" s="35">
        <f>SUMIFS(F7719:F9015,K7719:K9015,"0",B7719:B9015,"5 1 3 4 7 12 31111 6 M59*")</f>
        <v>812</v>
      </c>
      <c r="G7718" s="35">
        <f>SUMIFS(G7719:G9015,K7719:K9015,"0",B7719:B9015,"5 1 3 4 7 12 31111 6 M59*")</f>
        <v>0</v>
      </c>
      <c r="H7718" s="35">
        <f t="shared" si="121"/>
        <v>812</v>
      </c>
      <c r="I7718" s="35"/>
      <c r="K7718" t="s">
        <v>15</v>
      </c>
    </row>
    <row r="7719" spans="2:11" ht="16.5" x14ac:dyDescent="0.2">
      <c r="B7719" s="33" t="s">
        <v>8801</v>
      </c>
      <c r="C7719" s="33" t="s">
        <v>3138</v>
      </c>
      <c r="D7719" s="35">
        <f>SUMIFS(D7720:D9015,K7720:K9015,"0",B7720:B9015,"5 1 3 4 7 12 31111 6 M59 20700*")-SUMIFS(E7720:E9015,K7720:K9015,"0",B7720:B9015,"5 1 3 4 7 12 31111 6 M59 20700*")</f>
        <v>0</v>
      </c>
      <c r="E7719"/>
      <c r="F7719" s="35">
        <f>SUMIFS(F7720:F9015,K7720:K9015,"0",B7720:B9015,"5 1 3 4 7 12 31111 6 M59 20700*")</f>
        <v>812</v>
      </c>
      <c r="G7719" s="35">
        <f>SUMIFS(G7720:G9015,K7720:K9015,"0",B7720:B9015,"5 1 3 4 7 12 31111 6 M59 20700*")</f>
        <v>0</v>
      </c>
      <c r="H7719" s="35">
        <f t="shared" si="121"/>
        <v>812</v>
      </c>
      <c r="I7719" s="35"/>
      <c r="K7719" t="s">
        <v>15</v>
      </c>
    </row>
    <row r="7720" spans="2:11" ht="16.5" x14ac:dyDescent="0.2">
      <c r="B7720" s="33" t="s">
        <v>8802</v>
      </c>
      <c r="C7720" s="33" t="s">
        <v>648</v>
      </c>
      <c r="D7720" s="35">
        <f>SUMIFS(D7721:D9015,K7721:K9015,"0",B7721:B9015,"5 1 3 4 7 12 31111 6 M59 20700 000132*")-SUMIFS(E7721:E9015,K7721:K9015,"0",B7721:B9015,"5 1 3 4 7 12 31111 6 M59 20700 000132*")</f>
        <v>0</v>
      </c>
      <c r="E7720"/>
      <c r="F7720" s="35">
        <f>SUMIFS(F7721:F9015,K7721:K9015,"0",B7721:B9015,"5 1 3 4 7 12 31111 6 M59 20700 000132*")</f>
        <v>812</v>
      </c>
      <c r="G7720" s="35">
        <f>SUMIFS(G7721:G9015,K7721:K9015,"0",B7721:B9015,"5 1 3 4 7 12 31111 6 M59 20700 000132*")</f>
        <v>0</v>
      </c>
      <c r="H7720" s="35">
        <f t="shared" si="121"/>
        <v>812</v>
      </c>
      <c r="I7720" s="35"/>
      <c r="K7720" t="s">
        <v>15</v>
      </c>
    </row>
    <row r="7721" spans="2:11" ht="24.75" x14ac:dyDescent="0.2">
      <c r="B7721" s="33" t="s">
        <v>8803</v>
      </c>
      <c r="C7721" s="33" t="s">
        <v>650</v>
      </c>
      <c r="D7721" s="35">
        <f>SUMIFS(D7722:D9015,K7722:K9015,"0",B7722:B9015,"5 1 3 4 7 12 31111 6 M59 20700 000132 0000R*")-SUMIFS(E7722:E9015,K7722:K9015,"0",B7722:B9015,"5 1 3 4 7 12 31111 6 M59 20700 000132 0000R*")</f>
        <v>0</v>
      </c>
      <c r="E7721"/>
      <c r="F7721" s="35">
        <f>SUMIFS(F7722:F9015,K7722:K9015,"0",B7722:B9015,"5 1 3 4 7 12 31111 6 M59 20700 000132 0000R*")</f>
        <v>812</v>
      </c>
      <c r="G7721" s="35">
        <f>SUMIFS(G7722:G9015,K7722:K9015,"0",B7722:B9015,"5 1 3 4 7 12 31111 6 M59 20700 000132 0000R*")</f>
        <v>0</v>
      </c>
      <c r="H7721" s="35">
        <f t="shared" si="121"/>
        <v>812</v>
      </c>
      <c r="I7721" s="35"/>
      <c r="K7721" t="s">
        <v>15</v>
      </c>
    </row>
    <row r="7722" spans="2:11" ht="24.75" x14ac:dyDescent="0.2">
      <c r="B7722" s="33" t="s">
        <v>8804</v>
      </c>
      <c r="C7722" s="33" t="s">
        <v>282</v>
      </c>
      <c r="D7722" s="35">
        <f>SUMIFS(D7723:D9015,K7723:K9015,"0",B7723:B9015,"5 1 3 4 7 12 31111 6 M59 20700 000132 0000R 00001*")-SUMIFS(E7723:E9015,K7723:K9015,"0",B7723:B9015,"5 1 3 4 7 12 31111 6 M59 20700 000132 0000R 00001*")</f>
        <v>0</v>
      </c>
      <c r="E7722"/>
      <c r="F7722" s="35">
        <f>SUMIFS(F7723:F9015,K7723:K9015,"0",B7723:B9015,"5 1 3 4 7 12 31111 6 M59 20700 000132 0000R 00001*")</f>
        <v>812</v>
      </c>
      <c r="G7722" s="35">
        <f>SUMIFS(G7723:G9015,K7723:K9015,"0",B7723:B9015,"5 1 3 4 7 12 31111 6 M59 20700 000132 0000R 00001*")</f>
        <v>0</v>
      </c>
      <c r="H7722" s="35">
        <f t="shared" si="121"/>
        <v>812</v>
      </c>
      <c r="I7722" s="35"/>
      <c r="K7722" t="s">
        <v>15</v>
      </c>
    </row>
    <row r="7723" spans="2:11" ht="24.75" x14ac:dyDescent="0.2">
      <c r="B7723" s="33" t="s">
        <v>8805</v>
      </c>
      <c r="C7723" s="33" t="s">
        <v>8806</v>
      </c>
      <c r="D7723" s="35">
        <f>SUMIFS(D7724:D9015,K7724:K9015,"0",B7724:B9015,"5 1 3 4 7 12 31111 6 M59 20700 000132 0000R 00001 00347*")-SUMIFS(E7724:E9015,K7724:K9015,"0",B7724:B9015,"5 1 3 4 7 12 31111 6 M59 20700 000132 0000R 00001 00347*")</f>
        <v>0</v>
      </c>
      <c r="E7723"/>
      <c r="F7723" s="35">
        <f>SUMIFS(F7724:F9015,K7724:K9015,"0",B7724:B9015,"5 1 3 4 7 12 31111 6 M59 20700 000132 0000R 00001 00347*")</f>
        <v>812</v>
      </c>
      <c r="G7723" s="35">
        <f>SUMIFS(G7724:G9015,K7724:K9015,"0",B7724:B9015,"5 1 3 4 7 12 31111 6 M59 20700 000132 0000R 00001 00347*")</f>
        <v>0</v>
      </c>
      <c r="H7723" s="35">
        <f t="shared" si="121"/>
        <v>812</v>
      </c>
      <c r="I7723" s="35"/>
      <c r="K7723" t="s">
        <v>15</v>
      </c>
    </row>
    <row r="7724" spans="2:11" ht="33" x14ac:dyDescent="0.2">
      <c r="B7724" s="33" t="s">
        <v>8807</v>
      </c>
      <c r="C7724" s="33" t="s">
        <v>1051</v>
      </c>
      <c r="D7724" s="35">
        <f>SUMIFS(D7725:D9015,K7725:K9015,"0",B7725:B9015,"5 1 3 4 7 12 31111 6 M59 20700 000132 0000R 00001 00347 015*")-SUMIFS(E7725:E9015,K7725:K9015,"0",B7725:B9015,"5 1 3 4 7 12 31111 6 M59 20700 000132 0000R 00001 00347 015*")</f>
        <v>0</v>
      </c>
      <c r="E7724"/>
      <c r="F7724" s="35">
        <f>SUMIFS(F7725:F9015,K7725:K9015,"0",B7725:B9015,"5 1 3 4 7 12 31111 6 M59 20700 000132 0000R 00001 00347 015*")</f>
        <v>812</v>
      </c>
      <c r="G7724" s="35">
        <f>SUMIFS(G7725:G9015,K7725:K9015,"0",B7725:B9015,"5 1 3 4 7 12 31111 6 M59 20700 000132 0000R 00001 00347 015*")</f>
        <v>0</v>
      </c>
      <c r="H7724" s="35">
        <f t="shared" si="121"/>
        <v>812</v>
      </c>
      <c r="I7724" s="35"/>
      <c r="K7724" t="s">
        <v>15</v>
      </c>
    </row>
    <row r="7725" spans="2:11" ht="33" x14ac:dyDescent="0.2">
      <c r="B7725" s="33" t="s">
        <v>8808</v>
      </c>
      <c r="C7725" s="33" t="s">
        <v>5830</v>
      </c>
      <c r="D7725" s="35">
        <f>SUMIFS(D7726:D9015,K7726:K9015,"0",B7726:B9015,"5 1 3 4 7 12 31111 6 M59 20700 000132 0000R 00001 00347 015 2112000*")-SUMIFS(E7726:E9015,K7726:K9015,"0",B7726:B9015,"5 1 3 4 7 12 31111 6 M59 20700 000132 0000R 00001 00347 015 2112000*")</f>
        <v>0</v>
      </c>
      <c r="E7725"/>
      <c r="F7725" s="35">
        <f>SUMIFS(F7726:F9015,K7726:K9015,"0",B7726:B9015,"5 1 3 4 7 12 31111 6 M59 20700 000132 0000R 00001 00347 015 2112000*")</f>
        <v>812</v>
      </c>
      <c r="G7725" s="35">
        <f>SUMIFS(G7726:G9015,K7726:K9015,"0",B7726:B9015,"5 1 3 4 7 12 31111 6 M59 20700 000132 0000R 00001 00347 015 2112000*")</f>
        <v>0</v>
      </c>
      <c r="H7725" s="35">
        <f t="shared" si="121"/>
        <v>812</v>
      </c>
      <c r="I7725" s="35"/>
      <c r="K7725" t="s">
        <v>15</v>
      </c>
    </row>
    <row r="7726" spans="2:11" ht="33" x14ac:dyDescent="0.2">
      <c r="B7726" s="33" t="s">
        <v>8809</v>
      </c>
      <c r="C7726" s="33" t="s">
        <v>660</v>
      </c>
      <c r="D7726" s="35">
        <f>SUMIFS(D7727:D9015,K7727:K9015,"0",B7727:B9015,"5 1 3 4 7 12 31111 6 M59 20700 000132 0000R 00001 00347 015 2112000 2024*")-SUMIFS(E7727:E9015,K7727:K9015,"0",B7727:B9015,"5 1 3 4 7 12 31111 6 M59 20700 000132 0000R 00001 00347 015 2112000 2024*")</f>
        <v>0</v>
      </c>
      <c r="E7726"/>
      <c r="F7726" s="35">
        <f>SUMIFS(F7727:F9015,K7727:K9015,"0",B7727:B9015,"5 1 3 4 7 12 31111 6 M59 20700 000132 0000R 00001 00347 015 2112000 2024*")</f>
        <v>812</v>
      </c>
      <c r="G7726" s="35">
        <f>SUMIFS(G7727:G9015,K7727:K9015,"0",B7727:B9015,"5 1 3 4 7 12 31111 6 M59 20700 000132 0000R 00001 00347 015 2112000 2024*")</f>
        <v>0</v>
      </c>
      <c r="H7726" s="35">
        <f t="shared" si="121"/>
        <v>812</v>
      </c>
      <c r="I7726" s="35"/>
      <c r="K7726" t="s">
        <v>15</v>
      </c>
    </row>
    <row r="7727" spans="2:11" ht="41.25" x14ac:dyDescent="0.2">
      <c r="B7727" s="33" t="s">
        <v>8810</v>
      </c>
      <c r="C7727" s="33" t="s">
        <v>662</v>
      </c>
      <c r="D7727" s="35">
        <f>SUMIFS(D7728:D9015,K7728:K9015,"0",B7728:B9015,"5 1 3 4 7 12 31111 6 M59 20700 000132 0000R 00001 00347 015 2112000 2024 CP1RM401*")-SUMIFS(E7728:E9015,K7728:K9015,"0",B7728:B9015,"5 1 3 4 7 12 31111 6 M59 20700 000132 0000R 00001 00347 015 2112000 2024 CP1RM401*")</f>
        <v>0</v>
      </c>
      <c r="E7727"/>
      <c r="F7727" s="35">
        <f>SUMIFS(F7728:F9015,K7728:K9015,"0",B7728:B9015,"5 1 3 4 7 12 31111 6 M59 20700 000132 0000R 00001 00347 015 2112000 2024 CP1RM401*")</f>
        <v>812</v>
      </c>
      <c r="G7727" s="35">
        <f>SUMIFS(G7728:G9015,K7728:K9015,"0",B7728:B9015,"5 1 3 4 7 12 31111 6 M59 20700 000132 0000R 00001 00347 015 2112000 2024 CP1RM401*")</f>
        <v>0</v>
      </c>
      <c r="H7727" s="35">
        <f t="shared" si="121"/>
        <v>812</v>
      </c>
      <c r="I7727" s="35"/>
      <c r="K7727" t="s">
        <v>15</v>
      </c>
    </row>
    <row r="7728" spans="2:11" ht="41.25" x14ac:dyDescent="0.2">
      <c r="B7728" s="33" t="s">
        <v>8811</v>
      </c>
      <c r="C7728" s="33" t="s">
        <v>282</v>
      </c>
      <c r="D7728" s="35">
        <f>SUMIFS(D7729:D9015,K7729:K9015,"0",B7729:B9015,"5 1 3 4 7 12 31111 6 M59 20700 000132 0000R 00001 00347 015 2112000 2024 CP1RM401 001*")-SUMIFS(E7729:E9015,K7729:K9015,"0",B7729:B9015,"5 1 3 4 7 12 31111 6 M59 20700 000132 0000R 00001 00347 015 2112000 2024 CP1RM401 001*")</f>
        <v>0</v>
      </c>
      <c r="E7728"/>
      <c r="F7728" s="35">
        <f>SUMIFS(F7729:F9015,K7729:K9015,"0",B7729:B9015,"5 1 3 4 7 12 31111 6 M59 20700 000132 0000R 00001 00347 015 2112000 2024 CP1RM401 001*")</f>
        <v>812</v>
      </c>
      <c r="G7728" s="35">
        <f>SUMIFS(G7729:G9015,K7729:K9015,"0",B7729:B9015,"5 1 3 4 7 12 31111 6 M59 20700 000132 0000R 00001 00347 015 2112000 2024 CP1RM401 001*")</f>
        <v>0</v>
      </c>
      <c r="H7728" s="35">
        <f t="shared" si="121"/>
        <v>812</v>
      </c>
      <c r="I7728" s="35"/>
      <c r="K7728" t="s">
        <v>15</v>
      </c>
    </row>
    <row r="7729" spans="2:11" ht="33" x14ac:dyDescent="0.2">
      <c r="B7729" s="31" t="s">
        <v>8812</v>
      </c>
      <c r="C7729" s="31" t="s">
        <v>8796</v>
      </c>
      <c r="D7729" s="34">
        <v>0</v>
      </c>
      <c r="E7729" s="34"/>
      <c r="F7729" s="34">
        <v>812</v>
      </c>
      <c r="G7729" s="34">
        <v>0</v>
      </c>
      <c r="H7729" s="34">
        <f t="shared" si="121"/>
        <v>812</v>
      </c>
      <c r="I7729" s="34"/>
      <c r="K7729" t="s">
        <v>38</v>
      </c>
    </row>
    <row r="7730" spans="2:11" ht="24.75" x14ac:dyDescent="0.2">
      <c r="B7730" s="33" t="s">
        <v>8813</v>
      </c>
      <c r="C7730" s="33" t="s">
        <v>8814</v>
      </c>
      <c r="D7730" s="35">
        <f>SUMIFS(D7731:D9015,K7731:K9015,"0",B7731:B9015,"5 1 3 4 9*")-SUMIFS(E7731:E9015,K7731:K9015,"0",B7731:B9015,"5 1 3 4 9*")</f>
        <v>0</v>
      </c>
      <c r="E7730"/>
      <c r="F7730" s="35">
        <f>SUMIFS(F7731:F9015,K7731:K9015,"0",B7731:B9015,"5 1 3 4 9*")</f>
        <v>13607.04</v>
      </c>
      <c r="G7730" s="35">
        <f>SUMIFS(G7731:G9015,K7731:K9015,"0",B7731:B9015,"5 1 3 4 9*")</f>
        <v>0</v>
      </c>
      <c r="H7730" s="35">
        <f t="shared" si="121"/>
        <v>13607.04</v>
      </c>
      <c r="I7730" s="35"/>
      <c r="K7730" t="s">
        <v>15</v>
      </c>
    </row>
    <row r="7731" spans="2:11" ht="12.75" x14ac:dyDescent="0.2">
      <c r="B7731" s="33" t="s">
        <v>8815</v>
      </c>
      <c r="C7731" s="33" t="s">
        <v>26</v>
      </c>
      <c r="D7731" s="35">
        <f>SUMIFS(D7732:D9015,K7732:K9015,"0",B7732:B9015,"5 1 3 4 9 12*")-SUMIFS(E7732:E9015,K7732:K9015,"0",B7732:B9015,"5 1 3 4 9 12*")</f>
        <v>0</v>
      </c>
      <c r="E7731"/>
      <c r="F7731" s="35">
        <f>SUMIFS(F7732:F9015,K7732:K9015,"0",B7732:B9015,"5 1 3 4 9 12*")</f>
        <v>13607.04</v>
      </c>
      <c r="G7731" s="35">
        <f>SUMIFS(G7732:G9015,K7732:K9015,"0",B7732:B9015,"5 1 3 4 9 12*")</f>
        <v>0</v>
      </c>
      <c r="H7731" s="35">
        <f t="shared" si="121"/>
        <v>13607.04</v>
      </c>
      <c r="I7731" s="35"/>
      <c r="K7731" t="s">
        <v>15</v>
      </c>
    </row>
    <row r="7732" spans="2:11" ht="16.5" x14ac:dyDescent="0.2">
      <c r="B7732" s="33" t="s">
        <v>8816</v>
      </c>
      <c r="C7732" s="33" t="s">
        <v>28</v>
      </c>
      <c r="D7732" s="35">
        <f>SUMIFS(D7733:D9015,K7733:K9015,"0",B7733:B9015,"5 1 3 4 9 12 31111*")-SUMIFS(E7733:E9015,K7733:K9015,"0",B7733:B9015,"5 1 3 4 9 12 31111*")</f>
        <v>0</v>
      </c>
      <c r="E7732"/>
      <c r="F7732" s="35">
        <f>SUMIFS(F7733:F9015,K7733:K9015,"0",B7733:B9015,"5 1 3 4 9 12 31111*")</f>
        <v>13607.04</v>
      </c>
      <c r="G7732" s="35">
        <f>SUMIFS(G7733:G9015,K7733:K9015,"0",B7733:B9015,"5 1 3 4 9 12 31111*")</f>
        <v>0</v>
      </c>
      <c r="H7732" s="35">
        <f t="shared" si="121"/>
        <v>13607.04</v>
      </c>
      <c r="I7732" s="35"/>
      <c r="K7732" t="s">
        <v>15</v>
      </c>
    </row>
    <row r="7733" spans="2:11" ht="12.75" x14ac:dyDescent="0.2">
      <c r="B7733" s="33" t="s">
        <v>8817</v>
      </c>
      <c r="C7733" s="33" t="s">
        <v>30</v>
      </c>
      <c r="D7733" s="35">
        <f>SUMIFS(D7734:D9015,K7734:K9015,"0",B7734:B9015,"5 1 3 4 9 12 31111 6*")-SUMIFS(E7734:E9015,K7734:K9015,"0",B7734:B9015,"5 1 3 4 9 12 31111 6*")</f>
        <v>0</v>
      </c>
      <c r="E7733"/>
      <c r="F7733" s="35">
        <f>SUMIFS(F7734:F9015,K7734:K9015,"0",B7734:B9015,"5 1 3 4 9 12 31111 6*")</f>
        <v>13607.04</v>
      </c>
      <c r="G7733" s="35">
        <f>SUMIFS(G7734:G9015,K7734:K9015,"0",B7734:B9015,"5 1 3 4 9 12 31111 6*")</f>
        <v>0</v>
      </c>
      <c r="H7733" s="35">
        <f t="shared" si="121"/>
        <v>13607.04</v>
      </c>
      <c r="I7733" s="35"/>
      <c r="K7733" t="s">
        <v>15</v>
      </c>
    </row>
    <row r="7734" spans="2:11" ht="16.5" x14ac:dyDescent="0.2">
      <c r="B7734" s="33" t="s">
        <v>8818</v>
      </c>
      <c r="C7734" s="33" t="s">
        <v>2284</v>
      </c>
      <c r="D7734" s="35">
        <f>SUMIFS(D7735:D9015,K7735:K9015,"0",B7735:B9015,"5 1 3 4 9 12 31111 6 M59*")-SUMIFS(E7735:E9015,K7735:K9015,"0",B7735:B9015,"5 1 3 4 9 12 31111 6 M59*")</f>
        <v>0</v>
      </c>
      <c r="E7734"/>
      <c r="F7734" s="35">
        <f>SUMIFS(F7735:F9015,K7735:K9015,"0",B7735:B9015,"5 1 3 4 9 12 31111 6 M59*")</f>
        <v>13607.04</v>
      </c>
      <c r="G7734" s="35">
        <f>SUMIFS(G7735:G9015,K7735:K9015,"0",B7735:B9015,"5 1 3 4 9 12 31111 6 M59*")</f>
        <v>0</v>
      </c>
      <c r="H7734" s="35">
        <f t="shared" si="121"/>
        <v>13607.04</v>
      </c>
      <c r="I7734" s="35"/>
      <c r="K7734" t="s">
        <v>15</v>
      </c>
    </row>
    <row r="7735" spans="2:11" ht="16.5" x14ac:dyDescent="0.2">
      <c r="B7735" s="33" t="s">
        <v>8819</v>
      </c>
      <c r="C7735" s="33" t="s">
        <v>1044</v>
      </c>
      <c r="D7735" s="35">
        <f>SUMIFS(D7736:D9015,K7736:K9015,"0",B7736:B9015,"5 1 3 4 9 12 31111 6 M59 19000*")-SUMIFS(E7736:E9015,K7736:K9015,"0",B7736:B9015,"5 1 3 4 9 12 31111 6 M59 19000*")</f>
        <v>0</v>
      </c>
      <c r="E7735"/>
      <c r="F7735" s="35">
        <f>SUMIFS(F7736:F9015,K7736:K9015,"0",B7736:B9015,"5 1 3 4 9 12 31111 6 M59 19000*")</f>
        <v>13607.04</v>
      </c>
      <c r="G7735" s="35">
        <f>SUMIFS(G7736:G9015,K7736:K9015,"0",B7736:B9015,"5 1 3 4 9 12 31111 6 M59 19000*")</f>
        <v>0</v>
      </c>
      <c r="H7735" s="35">
        <f t="shared" si="121"/>
        <v>13607.04</v>
      </c>
      <c r="I7735" s="35"/>
      <c r="K7735" t="s">
        <v>15</v>
      </c>
    </row>
    <row r="7736" spans="2:11" ht="16.5" x14ac:dyDescent="0.2">
      <c r="B7736" s="33" t="s">
        <v>8820</v>
      </c>
      <c r="C7736" s="33" t="s">
        <v>648</v>
      </c>
      <c r="D7736" s="35">
        <f>SUMIFS(D7737:D9015,K7737:K9015,"0",B7737:B9015,"5 1 3 4 9 12 31111 6 M59 19000 000132*")-SUMIFS(E7737:E9015,K7737:K9015,"0",B7737:B9015,"5 1 3 4 9 12 31111 6 M59 19000 000132*")</f>
        <v>0</v>
      </c>
      <c r="E7736"/>
      <c r="F7736" s="35">
        <f>SUMIFS(F7737:F9015,K7737:K9015,"0",B7737:B9015,"5 1 3 4 9 12 31111 6 M59 19000 000132*")</f>
        <v>8090.89</v>
      </c>
      <c r="G7736" s="35">
        <f>SUMIFS(G7737:G9015,K7737:K9015,"0",B7737:B9015,"5 1 3 4 9 12 31111 6 M59 19000 000132*")</f>
        <v>0</v>
      </c>
      <c r="H7736" s="35">
        <f t="shared" si="121"/>
        <v>8090.89</v>
      </c>
      <c r="I7736" s="35"/>
      <c r="K7736" t="s">
        <v>15</v>
      </c>
    </row>
    <row r="7737" spans="2:11" ht="24.75" x14ac:dyDescent="0.2">
      <c r="B7737" s="33" t="s">
        <v>8821</v>
      </c>
      <c r="C7737" s="33" t="s">
        <v>650</v>
      </c>
      <c r="D7737" s="35">
        <f>SUMIFS(D7738:D9015,K7738:K9015,"0",B7738:B9015,"5 1 3 4 9 12 31111 6 M59 19000 000132 0000R*")-SUMIFS(E7738:E9015,K7738:K9015,"0",B7738:B9015,"5 1 3 4 9 12 31111 6 M59 19000 000132 0000R*")</f>
        <v>0</v>
      </c>
      <c r="E7737"/>
      <c r="F7737" s="35">
        <f>SUMIFS(F7738:F9015,K7738:K9015,"0",B7738:B9015,"5 1 3 4 9 12 31111 6 M59 19000 000132 0000R*")</f>
        <v>8090.89</v>
      </c>
      <c r="G7737" s="35">
        <f>SUMIFS(G7738:G9015,K7738:K9015,"0",B7738:B9015,"5 1 3 4 9 12 31111 6 M59 19000 000132 0000R*")</f>
        <v>0</v>
      </c>
      <c r="H7737" s="35">
        <f t="shared" si="121"/>
        <v>8090.89</v>
      </c>
      <c r="I7737" s="35"/>
      <c r="K7737" t="s">
        <v>15</v>
      </c>
    </row>
    <row r="7738" spans="2:11" ht="24.75" x14ac:dyDescent="0.2">
      <c r="B7738" s="33" t="s">
        <v>8822</v>
      </c>
      <c r="C7738" s="33" t="s">
        <v>282</v>
      </c>
      <c r="D7738" s="35">
        <f>SUMIFS(D7739:D9015,K7739:K9015,"0",B7739:B9015,"5 1 3 4 9 12 31111 6 M59 19000 000132 0000R 00001*")-SUMIFS(E7739:E9015,K7739:K9015,"0",B7739:B9015,"5 1 3 4 9 12 31111 6 M59 19000 000132 0000R 00001*")</f>
        <v>0</v>
      </c>
      <c r="E7738"/>
      <c r="F7738" s="35">
        <f>SUMIFS(F7739:F9015,K7739:K9015,"0",B7739:B9015,"5 1 3 4 9 12 31111 6 M59 19000 000132 0000R 00001*")</f>
        <v>8090.89</v>
      </c>
      <c r="G7738" s="35">
        <f>SUMIFS(G7739:G9015,K7739:K9015,"0",B7739:B9015,"5 1 3 4 9 12 31111 6 M59 19000 000132 0000R 00001*")</f>
        <v>0</v>
      </c>
      <c r="H7738" s="35">
        <f t="shared" si="121"/>
        <v>8090.89</v>
      </c>
      <c r="I7738" s="35"/>
      <c r="K7738" t="s">
        <v>15</v>
      </c>
    </row>
    <row r="7739" spans="2:11" ht="24.75" x14ac:dyDescent="0.2">
      <c r="B7739" s="33" t="s">
        <v>8823</v>
      </c>
      <c r="C7739" s="33" t="s">
        <v>8824</v>
      </c>
      <c r="D7739" s="35">
        <f>SUMIFS(D7740:D9015,K7740:K9015,"0",B7740:B9015,"5 1 3 4 9 12 31111 6 M59 19000 000132 0000R 00001 00349*")-SUMIFS(E7740:E9015,K7740:K9015,"0",B7740:B9015,"5 1 3 4 9 12 31111 6 M59 19000 000132 0000R 00001 00349*")</f>
        <v>0</v>
      </c>
      <c r="E7739"/>
      <c r="F7739" s="35">
        <f>SUMIFS(F7740:F9015,K7740:K9015,"0",B7740:B9015,"5 1 3 4 9 12 31111 6 M59 19000 000132 0000R 00001 00349*")</f>
        <v>8090.89</v>
      </c>
      <c r="G7739" s="35">
        <f>SUMIFS(G7740:G9015,K7740:K9015,"0",B7740:B9015,"5 1 3 4 9 12 31111 6 M59 19000 000132 0000R 00001 00349*")</f>
        <v>0</v>
      </c>
      <c r="H7739" s="35">
        <f t="shared" si="121"/>
        <v>8090.89</v>
      </c>
      <c r="I7739" s="35"/>
      <c r="K7739" t="s">
        <v>15</v>
      </c>
    </row>
    <row r="7740" spans="2:11" ht="33" x14ac:dyDescent="0.2">
      <c r="B7740" s="33" t="s">
        <v>8825</v>
      </c>
      <c r="C7740" s="33" t="s">
        <v>656</v>
      </c>
      <c r="D7740" s="35">
        <f>SUMIFS(D7741:D9015,K7741:K9015,"0",B7741:B9015,"5 1 3 4 9 12 31111 6 M59 19000 000132 0000R 00001 00349 025*")-SUMIFS(E7741:E9015,K7741:K9015,"0",B7741:B9015,"5 1 3 4 9 12 31111 6 M59 19000 000132 0000R 00001 00349 025*")</f>
        <v>0</v>
      </c>
      <c r="E7740"/>
      <c r="F7740" s="35">
        <f>SUMIFS(F7741:F9015,K7741:K9015,"0",B7741:B9015,"5 1 3 4 9 12 31111 6 M59 19000 000132 0000R 00001 00349 025*")</f>
        <v>8090.89</v>
      </c>
      <c r="G7740" s="35">
        <f>SUMIFS(G7741:G9015,K7741:K9015,"0",B7741:B9015,"5 1 3 4 9 12 31111 6 M59 19000 000132 0000R 00001 00349 025*")</f>
        <v>0</v>
      </c>
      <c r="H7740" s="35">
        <f t="shared" si="121"/>
        <v>8090.89</v>
      </c>
      <c r="I7740" s="35"/>
      <c r="K7740" t="s">
        <v>15</v>
      </c>
    </row>
    <row r="7741" spans="2:11" ht="33" x14ac:dyDescent="0.2">
      <c r="B7741" s="33" t="s">
        <v>8826</v>
      </c>
      <c r="C7741" s="33" t="s">
        <v>5830</v>
      </c>
      <c r="D7741" s="35">
        <f>SUMIFS(D7742:D9015,K7742:K9015,"0",B7742:B9015,"5 1 3 4 9 12 31111 6 M59 19000 000132 0000R 00001 00349 025 2112000*")-SUMIFS(E7742:E9015,K7742:K9015,"0",B7742:B9015,"5 1 3 4 9 12 31111 6 M59 19000 000132 0000R 00001 00349 025 2112000*")</f>
        <v>0</v>
      </c>
      <c r="E7741"/>
      <c r="F7741" s="35">
        <f>SUMIFS(F7742:F9015,K7742:K9015,"0",B7742:B9015,"5 1 3 4 9 12 31111 6 M59 19000 000132 0000R 00001 00349 025 2112000*")</f>
        <v>8090.89</v>
      </c>
      <c r="G7741" s="35">
        <f>SUMIFS(G7742:G9015,K7742:K9015,"0",B7742:B9015,"5 1 3 4 9 12 31111 6 M59 19000 000132 0000R 00001 00349 025 2112000*")</f>
        <v>0</v>
      </c>
      <c r="H7741" s="35">
        <f t="shared" si="121"/>
        <v>8090.89</v>
      </c>
      <c r="I7741" s="35"/>
      <c r="K7741" t="s">
        <v>15</v>
      </c>
    </row>
    <row r="7742" spans="2:11" ht="33" x14ac:dyDescent="0.2">
      <c r="B7742" s="33" t="s">
        <v>8827</v>
      </c>
      <c r="C7742" s="33" t="s">
        <v>660</v>
      </c>
      <c r="D7742" s="35">
        <f>SUMIFS(D7743:D9015,K7743:K9015,"0",B7743:B9015,"5 1 3 4 9 12 31111 6 M59 19000 000132 0000R 00001 00349 025 2112000 2024*")-SUMIFS(E7743:E9015,K7743:K9015,"0",B7743:B9015,"5 1 3 4 9 12 31111 6 M59 19000 000132 0000R 00001 00349 025 2112000 2024*")</f>
        <v>0</v>
      </c>
      <c r="E7742"/>
      <c r="F7742" s="35">
        <f>SUMIFS(F7743:F9015,K7743:K9015,"0",B7743:B9015,"5 1 3 4 9 12 31111 6 M59 19000 000132 0000R 00001 00349 025 2112000 2024*")</f>
        <v>8090.89</v>
      </c>
      <c r="G7742" s="35">
        <f>SUMIFS(G7743:G9015,K7743:K9015,"0",B7743:B9015,"5 1 3 4 9 12 31111 6 M59 19000 000132 0000R 00001 00349 025 2112000 2024*")</f>
        <v>0</v>
      </c>
      <c r="H7742" s="35">
        <f t="shared" si="121"/>
        <v>8090.89</v>
      </c>
      <c r="I7742" s="35"/>
      <c r="K7742" t="s">
        <v>15</v>
      </c>
    </row>
    <row r="7743" spans="2:11" ht="41.25" x14ac:dyDescent="0.2">
      <c r="B7743" s="33" t="s">
        <v>8828</v>
      </c>
      <c r="C7743" s="33" t="s">
        <v>662</v>
      </c>
      <c r="D7743" s="35">
        <f>SUMIFS(D7744:D9015,K7744:K9015,"0",B7744:B9015,"5 1 3 4 9 12 31111 6 M59 19000 000132 0000R 00001 00349 025 2112000 2024 CP1TM440*")-SUMIFS(E7744:E9015,K7744:K9015,"0",B7744:B9015,"5 1 3 4 9 12 31111 6 M59 19000 000132 0000R 00001 00349 025 2112000 2024 CP1TM440*")</f>
        <v>0</v>
      </c>
      <c r="E7743"/>
      <c r="F7743" s="35">
        <f>SUMIFS(F7744:F9015,K7744:K9015,"0",B7744:B9015,"5 1 3 4 9 12 31111 6 M59 19000 000132 0000R 00001 00349 025 2112000 2024 CP1TM440*")</f>
        <v>8090.89</v>
      </c>
      <c r="G7743" s="35">
        <f>SUMIFS(G7744:G9015,K7744:K9015,"0",B7744:B9015,"5 1 3 4 9 12 31111 6 M59 19000 000132 0000R 00001 00349 025 2112000 2024 CP1TM440*")</f>
        <v>0</v>
      </c>
      <c r="H7743" s="35">
        <f t="shared" si="121"/>
        <v>8090.89</v>
      </c>
      <c r="I7743" s="35"/>
      <c r="K7743" t="s">
        <v>15</v>
      </c>
    </row>
    <row r="7744" spans="2:11" ht="41.25" x14ac:dyDescent="0.2">
      <c r="B7744" s="33" t="s">
        <v>8829</v>
      </c>
      <c r="C7744" s="33" t="s">
        <v>671</v>
      </c>
      <c r="D7744" s="35">
        <f>SUMIFS(D7745:D9015,K7745:K9015,"0",B7745:B9015,"5 1 3 4 9 12 31111 6 M59 19000 000132 0000R 00001 00349 025 2112000 2024 CP1TM440 002*")-SUMIFS(E7745:E9015,K7745:K9015,"0",B7745:B9015,"5 1 3 4 9 12 31111 6 M59 19000 000132 0000R 00001 00349 025 2112000 2024 CP1TM440 002*")</f>
        <v>0</v>
      </c>
      <c r="E7744"/>
      <c r="F7744" s="35">
        <f>SUMIFS(F7745:F9015,K7745:K9015,"0",B7745:B9015,"5 1 3 4 9 12 31111 6 M59 19000 000132 0000R 00001 00349 025 2112000 2024 CP1TM440 002*")</f>
        <v>8090.89</v>
      </c>
      <c r="G7744" s="35">
        <f>SUMIFS(G7745:G9015,K7745:K9015,"0",B7745:B9015,"5 1 3 4 9 12 31111 6 M59 19000 000132 0000R 00001 00349 025 2112000 2024 CP1TM440 002*")</f>
        <v>0</v>
      </c>
      <c r="H7744" s="35">
        <f t="shared" si="121"/>
        <v>8090.89</v>
      </c>
      <c r="I7744" s="35"/>
      <c r="K7744" t="s">
        <v>15</v>
      </c>
    </row>
    <row r="7745" spans="2:11" ht="33" x14ac:dyDescent="0.2">
      <c r="B7745" s="31" t="s">
        <v>8830</v>
      </c>
      <c r="C7745" s="31" t="s">
        <v>8814</v>
      </c>
      <c r="D7745" s="34">
        <v>0</v>
      </c>
      <c r="E7745" s="34"/>
      <c r="F7745" s="34">
        <v>8090.89</v>
      </c>
      <c r="G7745" s="34">
        <v>0</v>
      </c>
      <c r="H7745" s="34">
        <f t="shared" si="121"/>
        <v>8090.89</v>
      </c>
      <c r="I7745" s="34"/>
      <c r="K7745" t="s">
        <v>38</v>
      </c>
    </row>
    <row r="7746" spans="2:11" ht="16.5" x14ac:dyDescent="0.2">
      <c r="B7746" s="33" t="s">
        <v>8831</v>
      </c>
      <c r="C7746" s="33" t="s">
        <v>8599</v>
      </c>
      <c r="D7746" s="35">
        <f>SUMIFS(D7747:D9015,K7747:K9015,"0",B7747:B9015,"5 1 3 4 9 12 31111 6 M59 19000 000271*")-SUMIFS(E7747:E9015,K7747:K9015,"0",B7747:B9015,"5 1 3 4 9 12 31111 6 M59 19000 000271*")</f>
        <v>0</v>
      </c>
      <c r="E7746"/>
      <c r="F7746" s="35">
        <f>SUMIFS(F7747:F9015,K7747:K9015,"0",B7747:B9015,"5 1 3 4 9 12 31111 6 M59 19000 000271*")</f>
        <v>5516.15</v>
      </c>
      <c r="G7746" s="35">
        <f>SUMIFS(G7747:G9015,K7747:K9015,"0",B7747:B9015,"5 1 3 4 9 12 31111 6 M59 19000 000271*")</f>
        <v>0</v>
      </c>
      <c r="H7746" s="35">
        <f t="shared" si="121"/>
        <v>5516.15</v>
      </c>
      <c r="I7746" s="35"/>
      <c r="K7746" t="s">
        <v>15</v>
      </c>
    </row>
    <row r="7747" spans="2:11" ht="24.75" x14ac:dyDescent="0.2">
      <c r="B7747" s="33" t="s">
        <v>8832</v>
      </c>
      <c r="C7747" s="33" t="s">
        <v>8601</v>
      </c>
      <c r="D7747" s="35">
        <f>SUMIFS(D7748:D9015,K7748:K9015,"0",B7748:B9015,"5 1 3 4 9 12 31111 6 M59 19000 000271 0000F*")-SUMIFS(E7748:E9015,K7748:K9015,"0",B7748:B9015,"5 1 3 4 9 12 31111 6 M59 19000 000271 0000F*")</f>
        <v>0</v>
      </c>
      <c r="E7747"/>
      <c r="F7747" s="35">
        <f>SUMIFS(F7748:F9015,K7748:K9015,"0",B7748:B9015,"5 1 3 4 9 12 31111 6 M59 19000 000271 0000F*")</f>
        <v>5516.15</v>
      </c>
      <c r="G7747" s="35">
        <f>SUMIFS(G7748:G9015,K7748:K9015,"0",B7748:B9015,"5 1 3 4 9 12 31111 6 M59 19000 000271 0000F*")</f>
        <v>0</v>
      </c>
      <c r="H7747" s="35">
        <f t="shared" si="121"/>
        <v>5516.15</v>
      </c>
      <c r="I7747" s="35"/>
      <c r="K7747" t="s">
        <v>15</v>
      </c>
    </row>
    <row r="7748" spans="2:11" ht="24.75" x14ac:dyDescent="0.2">
      <c r="B7748" s="33" t="s">
        <v>8833</v>
      </c>
      <c r="C7748" s="33" t="s">
        <v>282</v>
      </c>
      <c r="D7748" s="35">
        <f>SUMIFS(D7749:D9015,K7749:K9015,"0",B7749:B9015,"5 1 3 4 9 12 31111 6 M59 19000 000271 0000F 00001*")-SUMIFS(E7749:E9015,K7749:K9015,"0",B7749:B9015,"5 1 3 4 9 12 31111 6 M59 19000 000271 0000F 00001*")</f>
        <v>0</v>
      </c>
      <c r="E7748"/>
      <c r="F7748" s="35">
        <f>SUMIFS(F7749:F9015,K7749:K9015,"0",B7749:B9015,"5 1 3 4 9 12 31111 6 M59 19000 000271 0000F 00001*")</f>
        <v>5516.15</v>
      </c>
      <c r="G7748" s="35">
        <f>SUMIFS(G7749:G9015,K7749:K9015,"0",B7749:B9015,"5 1 3 4 9 12 31111 6 M59 19000 000271 0000F 00001*")</f>
        <v>0</v>
      </c>
      <c r="H7748" s="35">
        <f t="shared" ref="H7748:H7811" si="122">D7748 + F7748 - G7748</f>
        <v>5516.15</v>
      </c>
      <c r="I7748" s="35"/>
      <c r="K7748" t="s">
        <v>15</v>
      </c>
    </row>
    <row r="7749" spans="2:11" ht="24.75" x14ac:dyDescent="0.2">
      <c r="B7749" s="33" t="s">
        <v>8834</v>
      </c>
      <c r="C7749" s="33" t="s">
        <v>8824</v>
      </c>
      <c r="D7749" s="35">
        <f>SUMIFS(D7750:D9015,K7750:K9015,"0",B7750:B9015,"5 1 3 4 9 12 31111 6 M59 19000 000271 0000F 00001 00349*")-SUMIFS(E7750:E9015,K7750:K9015,"0",B7750:B9015,"5 1 3 4 9 12 31111 6 M59 19000 000271 0000F 00001 00349*")</f>
        <v>0</v>
      </c>
      <c r="E7749"/>
      <c r="F7749" s="35">
        <f>SUMIFS(F7750:F9015,K7750:K9015,"0",B7750:B9015,"5 1 3 4 9 12 31111 6 M59 19000 000271 0000F 00001 00349*")</f>
        <v>5516.15</v>
      </c>
      <c r="G7749" s="35">
        <f>SUMIFS(G7750:G9015,K7750:K9015,"0",B7750:B9015,"5 1 3 4 9 12 31111 6 M59 19000 000271 0000F 00001 00349*")</f>
        <v>0</v>
      </c>
      <c r="H7749" s="35">
        <f t="shared" si="122"/>
        <v>5516.15</v>
      </c>
      <c r="I7749" s="35"/>
      <c r="K7749" t="s">
        <v>15</v>
      </c>
    </row>
    <row r="7750" spans="2:11" ht="33" x14ac:dyDescent="0.2">
      <c r="B7750" s="33" t="s">
        <v>8835</v>
      </c>
      <c r="C7750" s="33" t="s">
        <v>656</v>
      </c>
      <c r="D7750" s="35">
        <f>SUMIFS(D7751:D9015,K7751:K9015,"0",B7751:B9015,"5 1 3 4 9 12 31111 6 M59 19000 000271 0000F 00001 00349 025*")-SUMIFS(E7751:E9015,K7751:K9015,"0",B7751:B9015,"5 1 3 4 9 12 31111 6 M59 19000 000271 0000F 00001 00349 025*")</f>
        <v>0</v>
      </c>
      <c r="E7750"/>
      <c r="F7750" s="35">
        <f>SUMIFS(F7751:F9015,K7751:K9015,"0",B7751:B9015,"5 1 3 4 9 12 31111 6 M59 19000 000271 0000F 00001 00349 025*")</f>
        <v>5516.15</v>
      </c>
      <c r="G7750" s="35">
        <f>SUMIFS(G7751:G9015,K7751:K9015,"0",B7751:B9015,"5 1 3 4 9 12 31111 6 M59 19000 000271 0000F 00001 00349 025*")</f>
        <v>0</v>
      </c>
      <c r="H7750" s="35">
        <f t="shared" si="122"/>
        <v>5516.15</v>
      </c>
      <c r="I7750" s="35"/>
      <c r="K7750" t="s">
        <v>15</v>
      </c>
    </row>
    <row r="7751" spans="2:11" ht="33" x14ac:dyDescent="0.2">
      <c r="B7751" s="33" t="s">
        <v>8836</v>
      </c>
      <c r="C7751" s="33" t="s">
        <v>5830</v>
      </c>
      <c r="D7751" s="35">
        <f>SUMIFS(D7752:D9015,K7752:K9015,"0",B7752:B9015,"5 1 3 4 9 12 31111 6 M59 19000 000271 0000F 00001 00349 025 2112000*")-SUMIFS(E7752:E9015,K7752:K9015,"0",B7752:B9015,"5 1 3 4 9 12 31111 6 M59 19000 000271 0000F 00001 00349 025 2112000*")</f>
        <v>0</v>
      </c>
      <c r="E7751"/>
      <c r="F7751" s="35">
        <f>SUMIFS(F7752:F9015,K7752:K9015,"0",B7752:B9015,"5 1 3 4 9 12 31111 6 M59 19000 000271 0000F 00001 00349 025 2112000*")</f>
        <v>5516.15</v>
      </c>
      <c r="G7751" s="35">
        <f>SUMIFS(G7752:G9015,K7752:K9015,"0",B7752:B9015,"5 1 3 4 9 12 31111 6 M59 19000 000271 0000F 00001 00349 025 2112000*")</f>
        <v>0</v>
      </c>
      <c r="H7751" s="35">
        <f t="shared" si="122"/>
        <v>5516.15</v>
      </c>
      <c r="I7751" s="35"/>
      <c r="K7751" t="s">
        <v>15</v>
      </c>
    </row>
    <row r="7752" spans="2:11" ht="33" x14ac:dyDescent="0.2">
      <c r="B7752" s="33" t="s">
        <v>8837</v>
      </c>
      <c r="C7752" s="33" t="s">
        <v>660</v>
      </c>
      <c r="D7752" s="35">
        <f>SUMIFS(D7753:D9015,K7753:K9015,"0",B7753:B9015,"5 1 3 4 9 12 31111 6 M59 19000 000271 0000F 00001 00349 025 2112000 2024*")-SUMIFS(E7753:E9015,K7753:K9015,"0",B7753:B9015,"5 1 3 4 9 12 31111 6 M59 19000 000271 0000F 00001 00349 025 2112000 2024*")</f>
        <v>0</v>
      </c>
      <c r="E7752"/>
      <c r="F7752" s="35">
        <f>SUMIFS(F7753:F9015,K7753:K9015,"0",B7753:B9015,"5 1 3 4 9 12 31111 6 M59 19000 000271 0000F 00001 00349 025 2112000 2024*")</f>
        <v>5516.15</v>
      </c>
      <c r="G7752" s="35">
        <f>SUMIFS(G7753:G9015,K7753:K9015,"0",B7753:B9015,"5 1 3 4 9 12 31111 6 M59 19000 000271 0000F 00001 00349 025 2112000 2024*")</f>
        <v>0</v>
      </c>
      <c r="H7752" s="35">
        <f t="shared" si="122"/>
        <v>5516.15</v>
      </c>
      <c r="I7752" s="35"/>
      <c r="K7752" t="s">
        <v>15</v>
      </c>
    </row>
    <row r="7753" spans="2:11" ht="41.25" x14ac:dyDescent="0.2">
      <c r="B7753" s="33" t="s">
        <v>8838</v>
      </c>
      <c r="C7753" s="33" t="s">
        <v>8608</v>
      </c>
      <c r="D7753" s="35">
        <f>SUMIFS(D7754:D9015,K7754:K9015,"0",B7754:B9015,"5 1 3 4 9 12 31111 6 M59 19000 000271 0000F 00001 00349 025 2112000 2024 CP4TM511*")-SUMIFS(E7754:E9015,K7754:K9015,"0",B7754:B9015,"5 1 3 4 9 12 31111 6 M59 19000 000271 0000F 00001 00349 025 2112000 2024 CP4TM511*")</f>
        <v>0</v>
      </c>
      <c r="E7753"/>
      <c r="F7753" s="35">
        <f>SUMIFS(F7754:F9015,K7754:K9015,"0",B7754:B9015,"5 1 3 4 9 12 31111 6 M59 19000 000271 0000F 00001 00349 025 2112000 2024 CP4TM511*")</f>
        <v>5516.15</v>
      </c>
      <c r="G7753" s="35">
        <f>SUMIFS(G7754:G9015,K7754:K9015,"0",B7754:B9015,"5 1 3 4 9 12 31111 6 M59 19000 000271 0000F 00001 00349 025 2112000 2024 CP4TM511*")</f>
        <v>0</v>
      </c>
      <c r="H7753" s="35">
        <f t="shared" si="122"/>
        <v>5516.15</v>
      </c>
      <c r="I7753" s="35"/>
      <c r="K7753" t="s">
        <v>15</v>
      </c>
    </row>
    <row r="7754" spans="2:11" ht="41.25" x14ac:dyDescent="0.2">
      <c r="B7754" s="33" t="s">
        <v>8839</v>
      </c>
      <c r="C7754" s="33" t="s">
        <v>664</v>
      </c>
      <c r="D7754" s="35">
        <f>SUMIFS(D7755:D9015,K7755:K9015,"0",B7755:B9015,"5 1 3 4 9 12 31111 6 M59 19000 000271 0000F 00001 00349 025 2112000 2024 CP4TM511 003*")-SUMIFS(E7755:E9015,K7755:K9015,"0",B7755:B9015,"5 1 3 4 9 12 31111 6 M59 19000 000271 0000F 00001 00349 025 2112000 2024 CP4TM511 003*")</f>
        <v>0</v>
      </c>
      <c r="E7754"/>
      <c r="F7754" s="35">
        <f>SUMIFS(F7755:F9015,K7755:K9015,"0",B7755:B9015,"5 1 3 4 9 12 31111 6 M59 19000 000271 0000F 00001 00349 025 2112000 2024 CP4TM511 003*")</f>
        <v>5516.15</v>
      </c>
      <c r="G7754" s="35">
        <f>SUMIFS(G7755:G9015,K7755:K9015,"0",B7755:B9015,"5 1 3 4 9 12 31111 6 M59 19000 000271 0000F 00001 00349 025 2112000 2024 CP4TM511 003*")</f>
        <v>0</v>
      </c>
      <c r="H7754" s="35">
        <f t="shared" si="122"/>
        <v>5516.15</v>
      </c>
      <c r="I7754" s="35"/>
      <c r="K7754" t="s">
        <v>15</v>
      </c>
    </row>
    <row r="7755" spans="2:11" ht="33" x14ac:dyDescent="0.2">
      <c r="B7755" s="31" t="s">
        <v>8840</v>
      </c>
      <c r="C7755" s="31" t="s">
        <v>8814</v>
      </c>
      <c r="D7755" s="34">
        <v>0</v>
      </c>
      <c r="E7755" s="34"/>
      <c r="F7755" s="34">
        <v>5516.15</v>
      </c>
      <c r="G7755" s="34">
        <v>0</v>
      </c>
      <c r="H7755" s="34">
        <f t="shared" si="122"/>
        <v>5516.15</v>
      </c>
      <c r="I7755" s="34"/>
      <c r="K7755" t="s">
        <v>38</v>
      </c>
    </row>
    <row r="7756" spans="2:11" ht="33" x14ac:dyDescent="0.2">
      <c r="B7756" s="33" t="s">
        <v>8841</v>
      </c>
      <c r="C7756" s="33" t="s">
        <v>8842</v>
      </c>
      <c r="D7756" s="35">
        <f>SUMIFS(D7757:D9015,K7757:K9015,"0",B7757:B9015,"5 1 3 5*")-SUMIFS(E7757:E9015,K7757:K9015,"0",B7757:B9015,"5 1 3 5*")</f>
        <v>0</v>
      </c>
      <c r="E7756"/>
      <c r="F7756" s="35">
        <f>SUMIFS(F7757:F9015,K7757:K9015,"0",B7757:B9015,"5 1 3 5*")</f>
        <v>784573.85000000009</v>
      </c>
      <c r="G7756" s="35">
        <f>SUMIFS(G7757:G9015,K7757:K9015,"0",B7757:B9015,"5 1 3 5*")</f>
        <v>0</v>
      </c>
      <c r="H7756" s="35">
        <f t="shared" si="122"/>
        <v>784573.85000000009</v>
      </c>
      <c r="I7756" s="35"/>
      <c r="K7756" t="s">
        <v>15</v>
      </c>
    </row>
    <row r="7757" spans="2:11" ht="24.75" x14ac:dyDescent="0.2">
      <c r="B7757" s="33" t="s">
        <v>8843</v>
      </c>
      <c r="C7757" s="33" t="s">
        <v>8844</v>
      </c>
      <c r="D7757" s="35">
        <f>SUMIFS(D7758:D9015,K7758:K9015,"0",B7758:B9015,"5 1 3 5 1*")-SUMIFS(E7758:E9015,K7758:K9015,"0",B7758:B9015,"5 1 3 5 1*")</f>
        <v>0</v>
      </c>
      <c r="E7757"/>
      <c r="F7757" s="35">
        <f>SUMIFS(F7758:F9015,K7758:K9015,"0",B7758:B9015,"5 1 3 5 1*")</f>
        <v>3599</v>
      </c>
      <c r="G7757" s="35">
        <f>SUMIFS(G7758:G9015,K7758:K9015,"0",B7758:B9015,"5 1 3 5 1*")</f>
        <v>0</v>
      </c>
      <c r="H7757" s="35">
        <f t="shared" si="122"/>
        <v>3599</v>
      </c>
      <c r="I7757" s="35"/>
      <c r="K7757" t="s">
        <v>15</v>
      </c>
    </row>
    <row r="7758" spans="2:11" ht="12.75" x14ac:dyDescent="0.2">
      <c r="B7758" s="33" t="s">
        <v>8845</v>
      </c>
      <c r="C7758" s="33" t="s">
        <v>26</v>
      </c>
      <c r="D7758" s="35">
        <f>SUMIFS(D7759:D9015,K7759:K9015,"0",B7759:B9015,"5 1 3 5 1 12*")-SUMIFS(E7759:E9015,K7759:K9015,"0",B7759:B9015,"5 1 3 5 1 12*")</f>
        <v>0</v>
      </c>
      <c r="E7758"/>
      <c r="F7758" s="35">
        <f>SUMIFS(F7759:F9015,K7759:K9015,"0",B7759:B9015,"5 1 3 5 1 12*")</f>
        <v>3599</v>
      </c>
      <c r="G7758" s="35">
        <f>SUMIFS(G7759:G9015,K7759:K9015,"0",B7759:B9015,"5 1 3 5 1 12*")</f>
        <v>0</v>
      </c>
      <c r="H7758" s="35">
        <f t="shared" si="122"/>
        <v>3599</v>
      </c>
      <c r="I7758" s="35"/>
      <c r="K7758" t="s">
        <v>15</v>
      </c>
    </row>
    <row r="7759" spans="2:11" ht="16.5" x14ac:dyDescent="0.2">
      <c r="B7759" s="33" t="s">
        <v>8846</v>
      </c>
      <c r="C7759" s="33" t="s">
        <v>28</v>
      </c>
      <c r="D7759" s="35">
        <f>SUMIFS(D7760:D9015,K7760:K9015,"0",B7760:B9015,"5 1 3 5 1 12 31111*")-SUMIFS(E7760:E9015,K7760:K9015,"0",B7760:B9015,"5 1 3 5 1 12 31111*")</f>
        <v>0</v>
      </c>
      <c r="E7759"/>
      <c r="F7759" s="35">
        <f>SUMIFS(F7760:F9015,K7760:K9015,"0",B7760:B9015,"5 1 3 5 1 12 31111*")</f>
        <v>3599</v>
      </c>
      <c r="G7759" s="35">
        <f>SUMIFS(G7760:G9015,K7760:K9015,"0",B7760:B9015,"5 1 3 5 1 12 31111*")</f>
        <v>0</v>
      </c>
      <c r="H7759" s="35">
        <f t="shared" si="122"/>
        <v>3599</v>
      </c>
      <c r="I7759" s="35"/>
      <c r="K7759" t="s">
        <v>15</v>
      </c>
    </row>
    <row r="7760" spans="2:11" ht="12.75" x14ac:dyDescent="0.2">
      <c r="B7760" s="33" t="s">
        <v>8847</v>
      </c>
      <c r="C7760" s="33" t="s">
        <v>30</v>
      </c>
      <c r="D7760" s="35">
        <f>SUMIFS(D7761:D9015,K7761:K9015,"0",B7761:B9015,"5 1 3 5 1 12 31111 6*")-SUMIFS(E7761:E9015,K7761:K9015,"0",B7761:B9015,"5 1 3 5 1 12 31111 6*")</f>
        <v>0</v>
      </c>
      <c r="E7760"/>
      <c r="F7760" s="35">
        <f>SUMIFS(F7761:F9015,K7761:K9015,"0",B7761:B9015,"5 1 3 5 1 12 31111 6*")</f>
        <v>3599</v>
      </c>
      <c r="G7760" s="35">
        <f>SUMIFS(G7761:G9015,K7761:K9015,"0",B7761:B9015,"5 1 3 5 1 12 31111 6*")</f>
        <v>0</v>
      </c>
      <c r="H7760" s="35">
        <f t="shared" si="122"/>
        <v>3599</v>
      </c>
      <c r="I7760" s="35"/>
      <c r="K7760" t="s">
        <v>15</v>
      </c>
    </row>
    <row r="7761" spans="2:11" ht="16.5" x14ac:dyDescent="0.2">
      <c r="B7761" s="33" t="s">
        <v>8848</v>
      </c>
      <c r="C7761" s="33" t="s">
        <v>2284</v>
      </c>
      <c r="D7761" s="35">
        <f>SUMIFS(D7762:D9015,K7762:K9015,"0",B7762:B9015,"5 1 3 5 1 12 31111 6 M59*")-SUMIFS(E7762:E9015,K7762:K9015,"0",B7762:B9015,"5 1 3 5 1 12 31111 6 M59*")</f>
        <v>0</v>
      </c>
      <c r="E7761"/>
      <c r="F7761" s="35">
        <f>SUMIFS(F7762:F9015,K7762:K9015,"0",B7762:B9015,"5 1 3 5 1 12 31111 6 M59*")</f>
        <v>3599</v>
      </c>
      <c r="G7761" s="35">
        <f>SUMIFS(G7762:G9015,K7762:K9015,"0",B7762:B9015,"5 1 3 5 1 12 31111 6 M59*")</f>
        <v>0</v>
      </c>
      <c r="H7761" s="35">
        <f t="shared" si="122"/>
        <v>3599</v>
      </c>
      <c r="I7761" s="35"/>
      <c r="K7761" t="s">
        <v>15</v>
      </c>
    </row>
    <row r="7762" spans="2:11" ht="16.5" x14ac:dyDescent="0.2">
      <c r="B7762" s="33" t="s">
        <v>8849</v>
      </c>
      <c r="C7762" s="33" t="s">
        <v>3644</v>
      </c>
      <c r="D7762" s="35">
        <f>SUMIFS(D7763:D9015,K7763:K9015,"0",B7763:B9015,"5 1 3 5 1 12 31111 6 M59 94000*")-SUMIFS(E7763:E9015,K7763:K9015,"0",B7763:B9015,"5 1 3 5 1 12 31111 6 M59 94000*")</f>
        <v>0</v>
      </c>
      <c r="E7762"/>
      <c r="F7762" s="35">
        <f>SUMIFS(F7763:F9015,K7763:K9015,"0",B7763:B9015,"5 1 3 5 1 12 31111 6 M59 94000*")</f>
        <v>3599</v>
      </c>
      <c r="G7762" s="35">
        <f>SUMIFS(G7763:G9015,K7763:K9015,"0",B7763:B9015,"5 1 3 5 1 12 31111 6 M59 94000*")</f>
        <v>0</v>
      </c>
      <c r="H7762" s="35">
        <f t="shared" si="122"/>
        <v>3599</v>
      </c>
      <c r="I7762" s="35"/>
      <c r="K7762" t="s">
        <v>15</v>
      </c>
    </row>
    <row r="7763" spans="2:11" ht="24.75" x14ac:dyDescent="0.2">
      <c r="B7763" s="33" t="s">
        <v>8850</v>
      </c>
      <c r="C7763" s="33" t="s">
        <v>3152</v>
      </c>
      <c r="D7763" s="35">
        <f>SUMIFS(D7764:D9015,K7764:K9015,"0",B7764:B9015,"5 1 3 5 1 12 31111 6 M59 94000 000181*")-SUMIFS(E7764:E9015,K7764:K9015,"0",B7764:B9015,"5 1 3 5 1 12 31111 6 M59 94000 000181*")</f>
        <v>0</v>
      </c>
      <c r="E7763"/>
      <c r="F7763" s="35">
        <f>SUMIFS(F7764:F9015,K7764:K9015,"0",B7764:B9015,"5 1 3 5 1 12 31111 6 M59 94000 000181*")</f>
        <v>3599</v>
      </c>
      <c r="G7763" s="35">
        <f>SUMIFS(G7764:G9015,K7764:K9015,"0",B7764:B9015,"5 1 3 5 1 12 31111 6 M59 94000 000181*")</f>
        <v>0</v>
      </c>
      <c r="H7763" s="35">
        <f t="shared" si="122"/>
        <v>3599</v>
      </c>
      <c r="I7763" s="35"/>
      <c r="K7763" t="s">
        <v>15</v>
      </c>
    </row>
    <row r="7764" spans="2:11" ht="16.5" x14ac:dyDescent="0.2">
      <c r="B7764" s="33" t="s">
        <v>8851</v>
      </c>
      <c r="C7764" s="33" t="s">
        <v>1065</v>
      </c>
      <c r="D7764" s="35">
        <f>SUMIFS(D7765:D9015,K7765:K9015,"0",B7765:B9015,"5 1 3 5 1 12 31111 6 M59 94000 000181 0000E*")-SUMIFS(E7765:E9015,K7765:K9015,"0",B7765:B9015,"5 1 3 5 1 12 31111 6 M59 94000 000181 0000E*")</f>
        <v>0</v>
      </c>
      <c r="E7764"/>
      <c r="F7764" s="35">
        <f>SUMIFS(F7765:F9015,K7765:K9015,"0",B7765:B9015,"5 1 3 5 1 12 31111 6 M59 94000 000181 0000E*")</f>
        <v>3599</v>
      </c>
      <c r="G7764" s="35">
        <f>SUMIFS(G7765:G9015,K7765:K9015,"0",B7765:B9015,"5 1 3 5 1 12 31111 6 M59 94000 000181 0000E*")</f>
        <v>0</v>
      </c>
      <c r="H7764" s="35">
        <f t="shared" si="122"/>
        <v>3599</v>
      </c>
      <c r="I7764" s="35"/>
      <c r="K7764" t="s">
        <v>15</v>
      </c>
    </row>
    <row r="7765" spans="2:11" ht="24.75" x14ac:dyDescent="0.2">
      <c r="B7765" s="33" t="s">
        <v>8852</v>
      </c>
      <c r="C7765" s="33" t="s">
        <v>282</v>
      </c>
      <c r="D7765" s="35">
        <f>SUMIFS(D7766:D9015,K7766:K9015,"0",B7766:B9015,"5 1 3 5 1 12 31111 6 M59 94000 000181 0000E 00001*")-SUMIFS(E7766:E9015,K7766:K9015,"0",B7766:B9015,"5 1 3 5 1 12 31111 6 M59 94000 000181 0000E 00001*")</f>
        <v>0</v>
      </c>
      <c r="E7765"/>
      <c r="F7765" s="35">
        <f>SUMIFS(F7766:F9015,K7766:K9015,"0",B7766:B9015,"5 1 3 5 1 12 31111 6 M59 94000 000181 0000E 00001*")</f>
        <v>3599</v>
      </c>
      <c r="G7765" s="35">
        <f>SUMIFS(G7766:G9015,K7766:K9015,"0",B7766:B9015,"5 1 3 5 1 12 31111 6 M59 94000 000181 0000E 00001*")</f>
        <v>0</v>
      </c>
      <c r="H7765" s="35">
        <f t="shared" si="122"/>
        <v>3599</v>
      </c>
      <c r="I7765" s="35"/>
      <c r="K7765" t="s">
        <v>15</v>
      </c>
    </row>
    <row r="7766" spans="2:11" ht="24.75" x14ac:dyDescent="0.2">
      <c r="B7766" s="33" t="s">
        <v>8853</v>
      </c>
      <c r="C7766" s="33" t="s">
        <v>8854</v>
      </c>
      <c r="D7766" s="35">
        <f>SUMIFS(D7767:D9015,K7767:K9015,"0",B7767:B9015,"5 1 3 5 1 12 31111 6 M59 94000 000181 0000E 00001 00351*")-SUMIFS(E7767:E9015,K7767:K9015,"0",B7767:B9015,"5 1 3 5 1 12 31111 6 M59 94000 000181 0000E 00001 00351*")</f>
        <v>0</v>
      </c>
      <c r="E7766"/>
      <c r="F7766" s="35">
        <f>SUMIFS(F7767:F9015,K7767:K9015,"0",B7767:B9015,"5 1 3 5 1 12 31111 6 M59 94000 000181 0000E 00001 00351*")</f>
        <v>3599</v>
      </c>
      <c r="G7766" s="35">
        <f>SUMIFS(G7767:G9015,K7767:K9015,"0",B7767:B9015,"5 1 3 5 1 12 31111 6 M59 94000 000181 0000E 00001 00351*")</f>
        <v>0</v>
      </c>
      <c r="H7766" s="35">
        <f t="shared" si="122"/>
        <v>3599</v>
      </c>
      <c r="I7766" s="35"/>
      <c r="K7766" t="s">
        <v>15</v>
      </c>
    </row>
    <row r="7767" spans="2:11" ht="24.75" x14ac:dyDescent="0.2">
      <c r="B7767" s="33" t="s">
        <v>8855</v>
      </c>
      <c r="C7767" s="33" t="s">
        <v>1051</v>
      </c>
      <c r="D7767" s="35">
        <f>SUMIFS(D7768:D9015,K7768:K9015,"0",B7768:B9015,"5 1 3 5 1 12 31111 6 M59 94000 000181 0000E 00001 00351 015*")-SUMIFS(E7768:E9015,K7768:K9015,"0",B7768:B9015,"5 1 3 5 1 12 31111 6 M59 94000 000181 0000E 00001 00351 015*")</f>
        <v>0</v>
      </c>
      <c r="E7767"/>
      <c r="F7767" s="35">
        <f>SUMIFS(F7768:F9015,K7768:K9015,"0",B7768:B9015,"5 1 3 5 1 12 31111 6 M59 94000 000181 0000E 00001 00351 015*")</f>
        <v>3599</v>
      </c>
      <c r="G7767" s="35">
        <f>SUMIFS(G7768:G9015,K7768:K9015,"0",B7768:B9015,"5 1 3 5 1 12 31111 6 M59 94000 000181 0000E 00001 00351 015*")</f>
        <v>0</v>
      </c>
      <c r="H7767" s="35">
        <f t="shared" si="122"/>
        <v>3599</v>
      </c>
      <c r="I7767" s="35"/>
      <c r="K7767" t="s">
        <v>15</v>
      </c>
    </row>
    <row r="7768" spans="2:11" ht="33" x14ac:dyDescent="0.2">
      <c r="B7768" s="33" t="s">
        <v>8856</v>
      </c>
      <c r="C7768" s="33" t="s">
        <v>5830</v>
      </c>
      <c r="D7768" s="35">
        <f>SUMIFS(D7769:D9015,K7769:K9015,"0",B7769:B9015,"5 1 3 5 1 12 31111 6 M59 94000 000181 0000E 00001 00351 015 2112000*")-SUMIFS(E7769:E9015,K7769:K9015,"0",B7769:B9015,"5 1 3 5 1 12 31111 6 M59 94000 000181 0000E 00001 00351 015 2112000*")</f>
        <v>0</v>
      </c>
      <c r="E7768"/>
      <c r="F7768" s="35">
        <f>SUMIFS(F7769:F9015,K7769:K9015,"0",B7769:B9015,"5 1 3 5 1 12 31111 6 M59 94000 000181 0000E 00001 00351 015 2112000*")</f>
        <v>3599</v>
      </c>
      <c r="G7768" s="35">
        <f>SUMIFS(G7769:G9015,K7769:K9015,"0",B7769:B9015,"5 1 3 5 1 12 31111 6 M59 94000 000181 0000E 00001 00351 015 2112000*")</f>
        <v>0</v>
      </c>
      <c r="H7768" s="35">
        <f t="shared" si="122"/>
        <v>3599</v>
      </c>
      <c r="I7768" s="35"/>
      <c r="K7768" t="s">
        <v>15</v>
      </c>
    </row>
    <row r="7769" spans="2:11" ht="33" x14ac:dyDescent="0.2">
      <c r="B7769" s="33" t="s">
        <v>8857</v>
      </c>
      <c r="C7769" s="33" t="s">
        <v>660</v>
      </c>
      <c r="D7769" s="35">
        <f>SUMIFS(D7770:D9015,K7770:K9015,"0",B7770:B9015,"5 1 3 5 1 12 31111 6 M59 94000 000181 0000E 00001 00351 015 2112000 2024*")-SUMIFS(E7770:E9015,K7770:K9015,"0",B7770:B9015,"5 1 3 5 1 12 31111 6 M59 94000 000181 0000E 00001 00351 015 2112000 2024*")</f>
        <v>0</v>
      </c>
      <c r="E7769"/>
      <c r="F7769" s="35">
        <f>SUMIFS(F7770:F9015,K7770:K9015,"0",B7770:B9015,"5 1 3 5 1 12 31111 6 M59 94000 000181 0000E 00001 00351 015 2112000 2024*")</f>
        <v>3599</v>
      </c>
      <c r="G7769" s="35">
        <f>SUMIFS(G7770:G9015,K7770:K9015,"0",B7770:B9015,"5 1 3 5 1 12 31111 6 M59 94000 000181 0000E 00001 00351 015 2112000 2024*")</f>
        <v>0</v>
      </c>
      <c r="H7769" s="35">
        <f t="shared" si="122"/>
        <v>3599</v>
      </c>
      <c r="I7769" s="35"/>
      <c r="K7769" t="s">
        <v>15</v>
      </c>
    </row>
    <row r="7770" spans="2:11" ht="41.25" x14ac:dyDescent="0.2">
      <c r="B7770" s="33" t="s">
        <v>8858</v>
      </c>
      <c r="C7770" s="33" t="s">
        <v>8859</v>
      </c>
      <c r="D7770" s="35">
        <f>SUMIFS(D7771:D9015,K7771:K9015,"0",B7771:B9015,"5 1 3 5 1 12 31111 6 M59 94000 000181 0000E 00001 00351 015 2112000 2024 CP2OM530*")-SUMIFS(E7771:E9015,K7771:K9015,"0",B7771:B9015,"5 1 3 5 1 12 31111 6 M59 94000 000181 0000E 00001 00351 015 2112000 2024 CP2OM530*")</f>
        <v>0</v>
      </c>
      <c r="E7770"/>
      <c r="F7770" s="35">
        <f>SUMIFS(F7771:F9015,K7771:K9015,"0",B7771:B9015,"5 1 3 5 1 12 31111 6 M59 94000 000181 0000E 00001 00351 015 2112000 2024 CP2OM530*")</f>
        <v>3599</v>
      </c>
      <c r="G7770" s="35">
        <f>SUMIFS(G7771:G9015,K7771:K9015,"0",B7771:B9015,"5 1 3 5 1 12 31111 6 M59 94000 000181 0000E 00001 00351 015 2112000 2024 CP2OM530*")</f>
        <v>0</v>
      </c>
      <c r="H7770" s="35">
        <f t="shared" si="122"/>
        <v>3599</v>
      </c>
      <c r="I7770" s="35"/>
      <c r="K7770" t="s">
        <v>15</v>
      </c>
    </row>
    <row r="7771" spans="2:11" ht="41.25" x14ac:dyDescent="0.2">
      <c r="B7771" s="33" t="s">
        <v>8860</v>
      </c>
      <c r="C7771" s="33" t="s">
        <v>1075</v>
      </c>
      <c r="D7771" s="35">
        <f>SUMIFS(D7772:D9015,K7772:K9015,"0",B7772:B9015,"5 1 3 5 1 12 31111 6 M59 94000 000181 0000E 00001 00351 015 2112000 2024 CP2OM530 005*")-SUMIFS(E7772:E9015,K7772:K9015,"0",B7772:B9015,"5 1 3 5 1 12 31111 6 M59 94000 000181 0000E 00001 00351 015 2112000 2024 CP2OM530 005*")</f>
        <v>0</v>
      </c>
      <c r="E7771"/>
      <c r="F7771" s="35">
        <f>SUMIFS(F7772:F9015,K7772:K9015,"0",B7772:B9015,"5 1 3 5 1 12 31111 6 M59 94000 000181 0000E 00001 00351 015 2112000 2024 CP2OM530 005*")</f>
        <v>3599</v>
      </c>
      <c r="G7771" s="35">
        <f>SUMIFS(G7772:G9015,K7772:K9015,"0",B7772:B9015,"5 1 3 5 1 12 31111 6 M59 94000 000181 0000E 00001 00351 015 2112000 2024 CP2OM530 005*")</f>
        <v>0</v>
      </c>
      <c r="H7771" s="35">
        <f t="shared" si="122"/>
        <v>3599</v>
      </c>
      <c r="I7771" s="35"/>
      <c r="K7771" t="s">
        <v>15</v>
      </c>
    </row>
    <row r="7772" spans="2:11" ht="33" x14ac:dyDescent="0.2">
      <c r="B7772" s="31" t="s">
        <v>8861</v>
      </c>
      <c r="C7772" s="31" t="s">
        <v>8844</v>
      </c>
      <c r="D7772" s="34">
        <v>0</v>
      </c>
      <c r="E7772" s="34"/>
      <c r="F7772" s="34">
        <v>3599</v>
      </c>
      <c r="G7772" s="34">
        <v>0</v>
      </c>
      <c r="H7772" s="34">
        <f t="shared" si="122"/>
        <v>3599</v>
      </c>
      <c r="I7772" s="34"/>
      <c r="K7772" t="s">
        <v>38</v>
      </c>
    </row>
    <row r="7773" spans="2:11" ht="41.25" x14ac:dyDescent="0.2">
      <c r="B7773" s="33" t="s">
        <v>8862</v>
      </c>
      <c r="C7773" s="33" t="s">
        <v>8863</v>
      </c>
      <c r="D7773" s="35">
        <f>SUMIFS(D7774:D9015,K7774:K9015,"0",B7774:B9015,"5 1 3 5 2*")-SUMIFS(E7774:E9015,K7774:K9015,"0",B7774:B9015,"5 1 3 5 2*")</f>
        <v>0</v>
      </c>
      <c r="E7773"/>
      <c r="F7773" s="35">
        <f>SUMIFS(F7774:F9015,K7774:K9015,"0",B7774:B9015,"5 1 3 5 2*")</f>
        <v>20372.55</v>
      </c>
      <c r="G7773" s="35">
        <f>SUMIFS(G7774:G9015,K7774:K9015,"0",B7774:B9015,"5 1 3 5 2*")</f>
        <v>0</v>
      </c>
      <c r="H7773" s="35">
        <f t="shared" si="122"/>
        <v>20372.55</v>
      </c>
      <c r="I7773" s="35"/>
      <c r="K7773" t="s">
        <v>15</v>
      </c>
    </row>
    <row r="7774" spans="2:11" ht="12.75" x14ac:dyDescent="0.2">
      <c r="B7774" s="33" t="s">
        <v>8864</v>
      </c>
      <c r="C7774" s="33" t="s">
        <v>26</v>
      </c>
      <c r="D7774" s="35">
        <f>SUMIFS(D7775:D9015,K7775:K9015,"0",B7775:B9015,"5 1 3 5 2 12*")-SUMIFS(E7775:E9015,K7775:K9015,"0",B7775:B9015,"5 1 3 5 2 12*")</f>
        <v>0</v>
      </c>
      <c r="E7774"/>
      <c r="F7774" s="35">
        <f>SUMIFS(F7775:F9015,K7775:K9015,"0",B7775:B9015,"5 1 3 5 2 12*")</f>
        <v>20372.55</v>
      </c>
      <c r="G7774" s="35">
        <f>SUMIFS(G7775:G9015,K7775:K9015,"0",B7775:B9015,"5 1 3 5 2 12*")</f>
        <v>0</v>
      </c>
      <c r="H7774" s="35">
        <f t="shared" si="122"/>
        <v>20372.55</v>
      </c>
      <c r="I7774" s="35"/>
      <c r="K7774" t="s">
        <v>15</v>
      </c>
    </row>
    <row r="7775" spans="2:11" ht="16.5" x14ac:dyDescent="0.2">
      <c r="B7775" s="33" t="s">
        <v>8865</v>
      </c>
      <c r="C7775" s="33" t="s">
        <v>28</v>
      </c>
      <c r="D7775" s="35">
        <f>SUMIFS(D7776:D9015,K7776:K9015,"0",B7776:B9015,"5 1 3 5 2 12 31111*")-SUMIFS(E7776:E9015,K7776:K9015,"0",B7776:B9015,"5 1 3 5 2 12 31111*")</f>
        <v>0</v>
      </c>
      <c r="E7775"/>
      <c r="F7775" s="35">
        <f>SUMIFS(F7776:F9015,K7776:K9015,"0",B7776:B9015,"5 1 3 5 2 12 31111*")</f>
        <v>20372.55</v>
      </c>
      <c r="G7775" s="35">
        <f>SUMIFS(G7776:G9015,K7776:K9015,"0",B7776:B9015,"5 1 3 5 2 12 31111*")</f>
        <v>0</v>
      </c>
      <c r="H7775" s="35">
        <f t="shared" si="122"/>
        <v>20372.55</v>
      </c>
      <c r="I7775" s="35"/>
      <c r="K7775" t="s">
        <v>15</v>
      </c>
    </row>
    <row r="7776" spans="2:11" ht="12.75" x14ac:dyDescent="0.2">
      <c r="B7776" s="33" t="s">
        <v>8866</v>
      </c>
      <c r="C7776" s="33" t="s">
        <v>30</v>
      </c>
      <c r="D7776" s="35">
        <f>SUMIFS(D7777:D9015,K7777:K9015,"0",B7777:B9015,"5 1 3 5 2 12 31111 6*")-SUMIFS(E7777:E9015,K7777:K9015,"0",B7777:B9015,"5 1 3 5 2 12 31111 6*")</f>
        <v>0</v>
      </c>
      <c r="E7776"/>
      <c r="F7776" s="35">
        <f>SUMIFS(F7777:F9015,K7777:K9015,"0",B7777:B9015,"5 1 3 5 2 12 31111 6*")</f>
        <v>20372.55</v>
      </c>
      <c r="G7776" s="35">
        <f>SUMIFS(G7777:G9015,K7777:K9015,"0",B7777:B9015,"5 1 3 5 2 12 31111 6*")</f>
        <v>0</v>
      </c>
      <c r="H7776" s="35">
        <f t="shared" si="122"/>
        <v>20372.55</v>
      </c>
      <c r="I7776" s="35"/>
      <c r="K7776" t="s">
        <v>15</v>
      </c>
    </row>
    <row r="7777" spans="2:11" ht="16.5" x14ac:dyDescent="0.2">
      <c r="B7777" s="33" t="s">
        <v>8867</v>
      </c>
      <c r="C7777" s="33" t="s">
        <v>2284</v>
      </c>
      <c r="D7777" s="35">
        <f>SUMIFS(D7778:D9015,K7778:K9015,"0",B7778:B9015,"5 1 3 5 2 12 31111 6 M59*")-SUMIFS(E7778:E9015,K7778:K9015,"0",B7778:B9015,"5 1 3 5 2 12 31111 6 M59*")</f>
        <v>0</v>
      </c>
      <c r="E7777"/>
      <c r="F7777" s="35">
        <f>SUMIFS(F7778:F9015,K7778:K9015,"0",B7778:B9015,"5 1 3 5 2 12 31111 6 M59*")</f>
        <v>20372.55</v>
      </c>
      <c r="G7777" s="35">
        <f>SUMIFS(G7778:G9015,K7778:K9015,"0",B7778:B9015,"5 1 3 5 2 12 31111 6 M59*")</f>
        <v>0</v>
      </c>
      <c r="H7777" s="35">
        <f t="shared" si="122"/>
        <v>20372.55</v>
      </c>
      <c r="I7777" s="35"/>
      <c r="K7777" t="s">
        <v>15</v>
      </c>
    </row>
    <row r="7778" spans="2:11" ht="16.5" x14ac:dyDescent="0.2">
      <c r="B7778" s="33" t="s">
        <v>8868</v>
      </c>
      <c r="C7778" s="33" t="s">
        <v>1079</v>
      </c>
      <c r="D7778" s="35">
        <f>SUMIFS(D7779:D9015,K7779:K9015,"0",B7779:B9015,"5 1 3 5 2 12 31111 6 M59 20500*")-SUMIFS(E7779:E9015,K7779:K9015,"0",B7779:B9015,"5 1 3 5 2 12 31111 6 M59 20500*")</f>
        <v>0</v>
      </c>
      <c r="E7778"/>
      <c r="F7778" s="35">
        <f>SUMIFS(F7779:F9015,K7779:K9015,"0",B7779:B9015,"5 1 3 5 2 12 31111 6 M59 20500*")</f>
        <v>20372.55</v>
      </c>
      <c r="G7778" s="35">
        <f>SUMIFS(G7779:G9015,K7779:K9015,"0",B7779:B9015,"5 1 3 5 2 12 31111 6 M59 20500*")</f>
        <v>0</v>
      </c>
      <c r="H7778" s="35">
        <f t="shared" si="122"/>
        <v>20372.55</v>
      </c>
      <c r="I7778" s="35"/>
      <c r="K7778" t="s">
        <v>15</v>
      </c>
    </row>
    <row r="7779" spans="2:11" ht="24.75" x14ac:dyDescent="0.2">
      <c r="B7779" s="33" t="s">
        <v>8869</v>
      </c>
      <c r="C7779" s="33" t="s">
        <v>3152</v>
      </c>
      <c r="D7779" s="35">
        <f>SUMIFS(D7780:D9015,K7780:K9015,"0",B7780:B9015,"5 1 3 5 2 12 31111 6 M59 20500 000181*")-SUMIFS(E7780:E9015,K7780:K9015,"0",B7780:B9015,"5 1 3 5 2 12 31111 6 M59 20500 000181*")</f>
        <v>0</v>
      </c>
      <c r="E7779"/>
      <c r="F7779" s="35">
        <f>SUMIFS(F7780:F9015,K7780:K9015,"0",B7780:B9015,"5 1 3 5 2 12 31111 6 M59 20500 000181*")</f>
        <v>20372.55</v>
      </c>
      <c r="G7779" s="35">
        <f>SUMIFS(G7780:G9015,K7780:K9015,"0",B7780:B9015,"5 1 3 5 2 12 31111 6 M59 20500 000181*")</f>
        <v>0</v>
      </c>
      <c r="H7779" s="35">
        <f t="shared" si="122"/>
        <v>20372.55</v>
      </c>
      <c r="I7779" s="35"/>
      <c r="K7779" t="s">
        <v>15</v>
      </c>
    </row>
    <row r="7780" spans="2:11" ht="24.75" x14ac:dyDescent="0.2">
      <c r="B7780" s="33" t="s">
        <v>8870</v>
      </c>
      <c r="C7780" s="33" t="s">
        <v>1065</v>
      </c>
      <c r="D7780" s="35">
        <f>SUMIFS(D7781:D9015,K7781:K9015,"0",B7781:B9015,"5 1 3 5 2 12 31111 6 M59 20500 000181 0000E*")-SUMIFS(E7781:E9015,K7781:K9015,"0",B7781:B9015,"5 1 3 5 2 12 31111 6 M59 20500 000181 0000E*")</f>
        <v>0</v>
      </c>
      <c r="E7780"/>
      <c r="F7780" s="35">
        <f>SUMIFS(F7781:F9015,K7781:K9015,"0",B7781:B9015,"5 1 3 5 2 12 31111 6 M59 20500 000181 0000E*")</f>
        <v>20372.55</v>
      </c>
      <c r="G7780" s="35">
        <f>SUMIFS(G7781:G9015,K7781:K9015,"0",B7781:B9015,"5 1 3 5 2 12 31111 6 M59 20500 000181 0000E*")</f>
        <v>0</v>
      </c>
      <c r="H7780" s="35">
        <f t="shared" si="122"/>
        <v>20372.55</v>
      </c>
      <c r="I7780" s="35"/>
      <c r="K7780" t="s">
        <v>15</v>
      </c>
    </row>
    <row r="7781" spans="2:11" ht="24.75" x14ac:dyDescent="0.2">
      <c r="B7781" s="33" t="s">
        <v>8871</v>
      </c>
      <c r="C7781" s="33" t="s">
        <v>282</v>
      </c>
      <c r="D7781" s="35">
        <f>SUMIFS(D7782:D9015,K7782:K9015,"0",B7782:B9015,"5 1 3 5 2 12 31111 6 M59 20500 000181 0000E 00001*")-SUMIFS(E7782:E9015,K7782:K9015,"0",B7782:B9015,"5 1 3 5 2 12 31111 6 M59 20500 000181 0000E 00001*")</f>
        <v>0</v>
      </c>
      <c r="E7781"/>
      <c r="F7781" s="35">
        <f>SUMIFS(F7782:F9015,K7782:K9015,"0",B7782:B9015,"5 1 3 5 2 12 31111 6 M59 20500 000181 0000E 00001*")</f>
        <v>20372.55</v>
      </c>
      <c r="G7781" s="35">
        <f>SUMIFS(G7782:G9015,K7782:K9015,"0",B7782:B9015,"5 1 3 5 2 12 31111 6 M59 20500 000181 0000E 00001*")</f>
        <v>0</v>
      </c>
      <c r="H7781" s="35">
        <f t="shared" si="122"/>
        <v>20372.55</v>
      </c>
      <c r="I7781" s="35"/>
      <c r="K7781" t="s">
        <v>15</v>
      </c>
    </row>
    <row r="7782" spans="2:11" ht="41.25" x14ac:dyDescent="0.2">
      <c r="B7782" s="33" t="s">
        <v>8872</v>
      </c>
      <c r="C7782" s="33" t="s">
        <v>8873</v>
      </c>
      <c r="D7782" s="35">
        <f>SUMIFS(D7783:D9015,K7783:K9015,"0",B7783:B9015,"5 1 3 5 2 12 31111 6 M59 20500 000181 0000E 00001 00352*")-SUMIFS(E7783:E9015,K7783:K9015,"0",B7783:B9015,"5 1 3 5 2 12 31111 6 M59 20500 000181 0000E 00001 00352*")</f>
        <v>0</v>
      </c>
      <c r="E7782"/>
      <c r="F7782" s="35">
        <f>SUMIFS(F7783:F9015,K7783:K9015,"0",B7783:B9015,"5 1 3 5 2 12 31111 6 M59 20500 000181 0000E 00001 00352*")</f>
        <v>20372.55</v>
      </c>
      <c r="G7782" s="35">
        <f>SUMIFS(G7783:G9015,K7783:K9015,"0",B7783:B9015,"5 1 3 5 2 12 31111 6 M59 20500 000181 0000E 00001 00352*")</f>
        <v>0</v>
      </c>
      <c r="H7782" s="35">
        <f t="shared" si="122"/>
        <v>20372.55</v>
      </c>
      <c r="I7782" s="35"/>
      <c r="K7782" t="s">
        <v>15</v>
      </c>
    </row>
    <row r="7783" spans="2:11" ht="33" x14ac:dyDescent="0.2">
      <c r="B7783" s="33" t="s">
        <v>8874</v>
      </c>
      <c r="C7783" s="33" t="s">
        <v>699</v>
      </c>
      <c r="D7783" s="35">
        <f>SUMIFS(D7784:D9015,K7784:K9015,"0",B7784:B9015,"5 1 3 5 2 12 31111 6 M59 20500 000181 0000E 00001 00352 011*")-SUMIFS(E7784:E9015,K7784:K9015,"0",B7784:B9015,"5 1 3 5 2 12 31111 6 M59 20500 000181 0000E 00001 00352 011*")</f>
        <v>0</v>
      </c>
      <c r="E7783"/>
      <c r="F7783" s="35">
        <f>SUMIFS(F7784:F9015,K7784:K9015,"0",B7784:B9015,"5 1 3 5 2 12 31111 6 M59 20500 000181 0000E 00001 00352 011*")</f>
        <v>20372.55</v>
      </c>
      <c r="G7783" s="35">
        <f>SUMIFS(G7784:G9015,K7784:K9015,"0",B7784:B9015,"5 1 3 5 2 12 31111 6 M59 20500 000181 0000E 00001 00352 011*")</f>
        <v>0</v>
      </c>
      <c r="H7783" s="35">
        <f t="shared" si="122"/>
        <v>20372.55</v>
      </c>
      <c r="I7783" s="35"/>
      <c r="K7783" t="s">
        <v>15</v>
      </c>
    </row>
    <row r="7784" spans="2:11" ht="33" x14ac:dyDescent="0.2">
      <c r="B7784" s="33" t="s">
        <v>8875</v>
      </c>
      <c r="C7784" s="33" t="s">
        <v>5830</v>
      </c>
      <c r="D7784" s="35">
        <f>SUMIFS(D7785:D9015,K7785:K9015,"0",B7785:B9015,"5 1 3 5 2 12 31111 6 M59 20500 000181 0000E 00001 00352 011 2112000*")-SUMIFS(E7785:E9015,K7785:K9015,"0",B7785:B9015,"5 1 3 5 2 12 31111 6 M59 20500 000181 0000E 00001 00352 011 2112000*")</f>
        <v>0</v>
      </c>
      <c r="E7784"/>
      <c r="F7784" s="35">
        <f>SUMIFS(F7785:F9015,K7785:K9015,"0",B7785:B9015,"5 1 3 5 2 12 31111 6 M59 20500 000181 0000E 00001 00352 011 2112000*")</f>
        <v>20372.55</v>
      </c>
      <c r="G7784" s="35">
        <f>SUMIFS(G7785:G9015,K7785:K9015,"0",B7785:B9015,"5 1 3 5 2 12 31111 6 M59 20500 000181 0000E 00001 00352 011 2112000*")</f>
        <v>0</v>
      </c>
      <c r="H7784" s="35">
        <f t="shared" si="122"/>
        <v>20372.55</v>
      </c>
      <c r="I7784" s="35"/>
      <c r="K7784" t="s">
        <v>15</v>
      </c>
    </row>
    <row r="7785" spans="2:11" ht="33" x14ac:dyDescent="0.2">
      <c r="B7785" s="33" t="s">
        <v>8876</v>
      </c>
      <c r="C7785" s="33" t="s">
        <v>660</v>
      </c>
      <c r="D7785" s="35">
        <f>SUMIFS(D7786:D9015,K7786:K9015,"0",B7786:B9015,"5 1 3 5 2 12 31111 6 M59 20500 000181 0000E 00001 00352 011 2112000 2024*")-SUMIFS(E7786:E9015,K7786:K9015,"0",B7786:B9015,"5 1 3 5 2 12 31111 6 M59 20500 000181 0000E 00001 00352 011 2112000 2024*")</f>
        <v>0</v>
      </c>
      <c r="E7785"/>
      <c r="F7785" s="35">
        <f>SUMIFS(F7786:F9015,K7786:K9015,"0",B7786:B9015,"5 1 3 5 2 12 31111 6 M59 20500 000181 0000E 00001 00352 011 2112000 2024*")</f>
        <v>20372.55</v>
      </c>
      <c r="G7785" s="35">
        <f>SUMIFS(G7786:G9015,K7786:K9015,"0",B7786:B9015,"5 1 3 5 2 12 31111 6 M59 20500 000181 0000E 00001 00352 011 2112000 2024*")</f>
        <v>0</v>
      </c>
      <c r="H7785" s="35">
        <f t="shared" si="122"/>
        <v>20372.55</v>
      </c>
      <c r="I7785" s="35"/>
      <c r="K7785" t="s">
        <v>15</v>
      </c>
    </row>
    <row r="7786" spans="2:11" ht="49.5" x14ac:dyDescent="0.2">
      <c r="B7786" s="33" t="s">
        <v>8877</v>
      </c>
      <c r="C7786" s="33" t="s">
        <v>5982</v>
      </c>
      <c r="D7786" s="35">
        <f>SUMIFS(D7787:D9015,K7787:K9015,"0",B7787:B9015,"5 1 3 5 2 12 31111 6 M59 20500 000181 0000E 00001 00352 011 2112000 2024 CP3CP471*")-SUMIFS(E7787:E9015,K7787:K9015,"0",B7787:B9015,"5 1 3 5 2 12 31111 6 M59 20500 000181 0000E 00001 00352 011 2112000 2024 CP3CP471*")</f>
        <v>0</v>
      </c>
      <c r="E7786"/>
      <c r="F7786" s="35">
        <f>SUMIFS(F7787:F9015,K7787:K9015,"0",B7787:B9015,"5 1 3 5 2 12 31111 6 M59 20500 000181 0000E 00001 00352 011 2112000 2024 CP3CP471*")</f>
        <v>20372.55</v>
      </c>
      <c r="G7786" s="35">
        <f>SUMIFS(G7787:G9015,K7787:K9015,"0",B7787:B9015,"5 1 3 5 2 12 31111 6 M59 20500 000181 0000E 00001 00352 011 2112000 2024 CP3CP471*")</f>
        <v>0</v>
      </c>
      <c r="H7786" s="35">
        <f t="shared" si="122"/>
        <v>20372.55</v>
      </c>
      <c r="I7786" s="35"/>
      <c r="K7786" t="s">
        <v>15</v>
      </c>
    </row>
    <row r="7787" spans="2:11" ht="41.25" x14ac:dyDescent="0.2">
      <c r="B7787" s="33" t="s">
        <v>8878</v>
      </c>
      <c r="C7787" s="33" t="s">
        <v>46</v>
      </c>
      <c r="D7787" s="35">
        <f>SUMIFS(D7788:D9015,K7788:K9015,"0",B7788:B9015,"5 1 3 5 2 12 31111 6 M59 20500 000181 0000E 00001 00352 011 2112000 2024 CP3CP471 004*")-SUMIFS(E7788:E9015,K7788:K9015,"0",B7788:B9015,"5 1 3 5 2 12 31111 6 M59 20500 000181 0000E 00001 00352 011 2112000 2024 CP3CP471 004*")</f>
        <v>0</v>
      </c>
      <c r="E7787"/>
      <c r="F7787" s="35">
        <f>SUMIFS(F7788:F9015,K7788:K9015,"0",B7788:B9015,"5 1 3 5 2 12 31111 6 M59 20500 000181 0000E 00001 00352 011 2112000 2024 CP3CP471 004*")</f>
        <v>20372.55</v>
      </c>
      <c r="G7787" s="35">
        <f>SUMIFS(G7788:G9015,K7788:K9015,"0",B7788:B9015,"5 1 3 5 2 12 31111 6 M59 20500 000181 0000E 00001 00352 011 2112000 2024 CP3CP471 004*")</f>
        <v>0</v>
      </c>
      <c r="H7787" s="35">
        <f t="shared" si="122"/>
        <v>20372.55</v>
      </c>
      <c r="I7787" s="35"/>
      <c r="K7787" t="s">
        <v>15</v>
      </c>
    </row>
    <row r="7788" spans="2:11" ht="33" x14ac:dyDescent="0.2">
      <c r="B7788" s="31" t="s">
        <v>8879</v>
      </c>
      <c r="C7788" s="31" t="s">
        <v>8880</v>
      </c>
      <c r="D7788" s="34">
        <v>0</v>
      </c>
      <c r="E7788" s="34"/>
      <c r="F7788" s="34">
        <v>20372.55</v>
      </c>
      <c r="G7788" s="34">
        <v>0</v>
      </c>
      <c r="H7788" s="34">
        <f t="shared" si="122"/>
        <v>20372.55</v>
      </c>
      <c r="I7788" s="34"/>
      <c r="K7788" t="s">
        <v>38</v>
      </c>
    </row>
    <row r="7789" spans="2:11" ht="24.75" x14ac:dyDescent="0.2">
      <c r="B7789" s="33" t="s">
        <v>8881</v>
      </c>
      <c r="C7789" s="33" t="s">
        <v>8882</v>
      </c>
      <c r="D7789" s="35">
        <f>SUMIFS(D7790:D9015,K7790:K9015,"0",B7790:B9015,"5 1 3 5 5*")-SUMIFS(E7790:E9015,K7790:K9015,"0",B7790:B9015,"5 1 3 5 5*")</f>
        <v>0</v>
      </c>
      <c r="E7789"/>
      <c r="F7789" s="35">
        <f>SUMIFS(F7790:F9015,K7790:K9015,"0",B7790:B9015,"5 1 3 5 5*")</f>
        <v>721344.3</v>
      </c>
      <c r="G7789" s="35">
        <f>SUMIFS(G7790:G9015,K7790:K9015,"0",B7790:B9015,"5 1 3 5 5*")</f>
        <v>0</v>
      </c>
      <c r="H7789" s="35">
        <f t="shared" si="122"/>
        <v>721344.3</v>
      </c>
      <c r="I7789" s="35"/>
      <c r="K7789" t="s">
        <v>15</v>
      </c>
    </row>
    <row r="7790" spans="2:11" ht="12.75" x14ac:dyDescent="0.2">
      <c r="B7790" s="33" t="s">
        <v>8883</v>
      </c>
      <c r="C7790" s="33" t="s">
        <v>26</v>
      </c>
      <c r="D7790" s="35">
        <f>SUMIFS(D7791:D9015,K7791:K9015,"0",B7791:B9015,"5 1 3 5 5 12*")-SUMIFS(E7791:E9015,K7791:K9015,"0",B7791:B9015,"5 1 3 5 5 12*")</f>
        <v>0</v>
      </c>
      <c r="E7790"/>
      <c r="F7790" s="35">
        <f>SUMIFS(F7791:F9015,K7791:K9015,"0",B7791:B9015,"5 1 3 5 5 12*")</f>
        <v>721344.3</v>
      </c>
      <c r="G7790" s="35">
        <f>SUMIFS(G7791:G9015,K7791:K9015,"0",B7791:B9015,"5 1 3 5 5 12*")</f>
        <v>0</v>
      </c>
      <c r="H7790" s="35">
        <f t="shared" si="122"/>
        <v>721344.3</v>
      </c>
      <c r="I7790" s="35"/>
      <c r="K7790" t="s">
        <v>15</v>
      </c>
    </row>
    <row r="7791" spans="2:11" ht="16.5" x14ac:dyDescent="0.2">
      <c r="B7791" s="33" t="s">
        <v>8884</v>
      </c>
      <c r="C7791" s="33" t="s">
        <v>28</v>
      </c>
      <c r="D7791" s="35">
        <f>SUMIFS(D7792:D9015,K7792:K9015,"0",B7792:B9015,"5 1 3 5 5 12 31111*")-SUMIFS(E7792:E9015,K7792:K9015,"0",B7792:B9015,"5 1 3 5 5 12 31111*")</f>
        <v>0</v>
      </c>
      <c r="E7791"/>
      <c r="F7791" s="35">
        <f>SUMIFS(F7792:F9015,K7792:K9015,"0",B7792:B9015,"5 1 3 5 5 12 31111*")</f>
        <v>721344.3</v>
      </c>
      <c r="G7791" s="35">
        <f>SUMIFS(G7792:G9015,K7792:K9015,"0",B7792:B9015,"5 1 3 5 5 12 31111*")</f>
        <v>0</v>
      </c>
      <c r="H7791" s="35">
        <f t="shared" si="122"/>
        <v>721344.3</v>
      </c>
      <c r="I7791" s="35"/>
      <c r="K7791" t="s">
        <v>15</v>
      </c>
    </row>
    <row r="7792" spans="2:11" ht="12.75" x14ac:dyDescent="0.2">
      <c r="B7792" s="33" t="s">
        <v>8885</v>
      </c>
      <c r="C7792" s="33" t="s">
        <v>30</v>
      </c>
      <c r="D7792" s="35">
        <f>SUMIFS(D7793:D9015,K7793:K9015,"0",B7793:B9015,"5 1 3 5 5 12 31111 6*")-SUMIFS(E7793:E9015,K7793:K9015,"0",B7793:B9015,"5 1 3 5 5 12 31111 6*")</f>
        <v>0</v>
      </c>
      <c r="E7792"/>
      <c r="F7792" s="35">
        <f>SUMIFS(F7793:F9015,K7793:K9015,"0",B7793:B9015,"5 1 3 5 5 12 31111 6*")</f>
        <v>721344.3</v>
      </c>
      <c r="G7792" s="35">
        <f>SUMIFS(G7793:G9015,K7793:K9015,"0",B7793:B9015,"5 1 3 5 5 12 31111 6*")</f>
        <v>0</v>
      </c>
      <c r="H7792" s="35">
        <f t="shared" si="122"/>
        <v>721344.3</v>
      </c>
      <c r="I7792" s="35"/>
      <c r="K7792" t="s">
        <v>15</v>
      </c>
    </row>
    <row r="7793" spans="2:11" ht="16.5" x14ac:dyDescent="0.2">
      <c r="B7793" s="33" t="s">
        <v>8886</v>
      </c>
      <c r="C7793" s="33" t="s">
        <v>2284</v>
      </c>
      <c r="D7793" s="35">
        <f>SUMIFS(D7794:D9015,K7794:K9015,"0",B7794:B9015,"5 1 3 5 5 12 31111 6 M59*")-SUMIFS(E7794:E9015,K7794:K9015,"0",B7794:B9015,"5 1 3 5 5 12 31111 6 M59*")</f>
        <v>0</v>
      </c>
      <c r="E7793"/>
      <c r="F7793" s="35">
        <f>SUMIFS(F7794:F9015,K7794:K9015,"0",B7794:B9015,"5 1 3 5 5 12 31111 6 M59*")</f>
        <v>721344.3</v>
      </c>
      <c r="G7793" s="35">
        <f>SUMIFS(G7794:G9015,K7794:K9015,"0",B7794:B9015,"5 1 3 5 5 12 31111 6 M59*")</f>
        <v>0</v>
      </c>
      <c r="H7793" s="35">
        <f t="shared" si="122"/>
        <v>721344.3</v>
      </c>
      <c r="I7793" s="35"/>
      <c r="K7793" t="s">
        <v>15</v>
      </c>
    </row>
    <row r="7794" spans="2:11" ht="16.5" x14ac:dyDescent="0.2">
      <c r="B7794" s="33" t="s">
        <v>8887</v>
      </c>
      <c r="C7794" s="33" t="s">
        <v>3103</v>
      </c>
      <c r="D7794" s="35">
        <f>SUMIFS(D7795:D9015,K7795:K9015,"0",B7795:B9015,"5 1 3 5 5 12 31111 6 M59 20400*")-SUMIFS(E7795:E9015,K7795:K9015,"0",B7795:B9015,"5 1 3 5 5 12 31111 6 M59 20400*")</f>
        <v>0</v>
      </c>
      <c r="E7794"/>
      <c r="F7794" s="35">
        <f>SUMIFS(F7795:F9015,K7795:K9015,"0",B7795:B9015,"5 1 3 5 5 12 31111 6 M59 20400*")</f>
        <v>69693.86</v>
      </c>
      <c r="G7794" s="35">
        <f>SUMIFS(G7795:G9015,K7795:K9015,"0",B7795:B9015,"5 1 3 5 5 12 31111 6 M59 20400*")</f>
        <v>0</v>
      </c>
      <c r="H7794" s="35">
        <f t="shared" si="122"/>
        <v>69693.86</v>
      </c>
      <c r="I7794" s="35"/>
      <c r="K7794" t="s">
        <v>15</v>
      </c>
    </row>
    <row r="7795" spans="2:11" ht="16.5" x14ac:dyDescent="0.2">
      <c r="B7795" s="33" t="s">
        <v>8888</v>
      </c>
      <c r="C7795" s="33" t="s">
        <v>1063</v>
      </c>
      <c r="D7795" s="35">
        <f>SUMIFS(D7796:D9015,K7796:K9015,"0",B7796:B9015,"5 1 3 5 5 12 31111 6 M59 20400 000139*")-SUMIFS(E7796:E9015,K7796:K9015,"0",B7796:B9015,"5 1 3 5 5 12 31111 6 M59 20400 000139*")</f>
        <v>0</v>
      </c>
      <c r="E7795"/>
      <c r="F7795" s="35">
        <f>SUMIFS(F7796:F9015,K7796:K9015,"0",B7796:B9015,"5 1 3 5 5 12 31111 6 M59 20400 000139*")</f>
        <v>69693.86</v>
      </c>
      <c r="G7795" s="35">
        <f>SUMIFS(G7796:G9015,K7796:K9015,"0",B7796:B9015,"5 1 3 5 5 12 31111 6 M59 20400 000139*")</f>
        <v>0</v>
      </c>
      <c r="H7795" s="35">
        <f t="shared" si="122"/>
        <v>69693.86</v>
      </c>
      <c r="I7795" s="35"/>
      <c r="K7795" t="s">
        <v>15</v>
      </c>
    </row>
    <row r="7796" spans="2:11" ht="24.75" x14ac:dyDescent="0.2">
      <c r="B7796" s="33" t="s">
        <v>8889</v>
      </c>
      <c r="C7796" s="33" t="s">
        <v>1065</v>
      </c>
      <c r="D7796" s="35">
        <f>SUMIFS(D7797:D9015,K7797:K9015,"0",B7797:B9015,"5 1 3 5 5 12 31111 6 M59 20400 000139 0000E*")-SUMIFS(E7797:E9015,K7797:K9015,"0",B7797:B9015,"5 1 3 5 5 12 31111 6 M59 20400 000139 0000E*")</f>
        <v>0</v>
      </c>
      <c r="E7796"/>
      <c r="F7796" s="35">
        <f>SUMIFS(F7797:F9015,K7797:K9015,"0",B7797:B9015,"5 1 3 5 5 12 31111 6 M59 20400 000139 0000E*")</f>
        <v>69693.86</v>
      </c>
      <c r="G7796" s="35">
        <f>SUMIFS(G7797:G9015,K7797:K9015,"0",B7797:B9015,"5 1 3 5 5 12 31111 6 M59 20400 000139 0000E*")</f>
        <v>0</v>
      </c>
      <c r="H7796" s="35">
        <f t="shared" si="122"/>
        <v>69693.86</v>
      </c>
      <c r="I7796" s="35"/>
      <c r="K7796" t="s">
        <v>15</v>
      </c>
    </row>
    <row r="7797" spans="2:11" ht="24.75" x14ac:dyDescent="0.2">
      <c r="B7797" s="33" t="s">
        <v>8890</v>
      </c>
      <c r="C7797" s="33" t="s">
        <v>282</v>
      </c>
      <c r="D7797" s="35">
        <f>SUMIFS(D7798:D9015,K7798:K9015,"0",B7798:B9015,"5 1 3 5 5 12 31111 6 M59 20400 000139 0000E 00001*")-SUMIFS(E7798:E9015,K7798:K9015,"0",B7798:B9015,"5 1 3 5 5 12 31111 6 M59 20400 000139 0000E 00001*")</f>
        <v>0</v>
      </c>
      <c r="E7797"/>
      <c r="F7797" s="35">
        <f>SUMIFS(F7798:F9015,K7798:K9015,"0",B7798:B9015,"5 1 3 5 5 12 31111 6 M59 20400 000139 0000E 00001*")</f>
        <v>69693.86</v>
      </c>
      <c r="G7797" s="35">
        <f>SUMIFS(G7798:G9015,K7798:K9015,"0",B7798:B9015,"5 1 3 5 5 12 31111 6 M59 20400 000139 0000E 00001*")</f>
        <v>0</v>
      </c>
      <c r="H7797" s="35">
        <f t="shared" si="122"/>
        <v>69693.86</v>
      </c>
      <c r="I7797" s="35"/>
      <c r="K7797" t="s">
        <v>15</v>
      </c>
    </row>
    <row r="7798" spans="2:11" ht="24.75" x14ac:dyDescent="0.2">
      <c r="B7798" s="33" t="s">
        <v>8891</v>
      </c>
      <c r="C7798" s="33" t="s">
        <v>8892</v>
      </c>
      <c r="D7798" s="35">
        <f>SUMIFS(D7799:D9015,K7799:K9015,"0",B7799:B9015,"5 1 3 5 5 12 31111 6 M59 20400 000139 0000E 00001 00355*")-SUMIFS(E7799:E9015,K7799:K9015,"0",B7799:B9015,"5 1 3 5 5 12 31111 6 M59 20400 000139 0000E 00001 00355*")</f>
        <v>0</v>
      </c>
      <c r="E7798"/>
      <c r="F7798" s="35">
        <f>SUMIFS(F7799:F9015,K7799:K9015,"0",B7799:B9015,"5 1 3 5 5 12 31111 6 M59 20400 000139 0000E 00001 00355*")</f>
        <v>69693.86</v>
      </c>
      <c r="G7798" s="35">
        <f>SUMIFS(G7799:G9015,K7799:K9015,"0",B7799:B9015,"5 1 3 5 5 12 31111 6 M59 20400 000139 0000E 00001 00355*")</f>
        <v>0</v>
      </c>
      <c r="H7798" s="35">
        <f t="shared" si="122"/>
        <v>69693.86</v>
      </c>
      <c r="I7798" s="35"/>
      <c r="K7798" t="s">
        <v>15</v>
      </c>
    </row>
    <row r="7799" spans="2:11" ht="33" x14ac:dyDescent="0.2">
      <c r="B7799" s="33" t="s">
        <v>8893</v>
      </c>
      <c r="C7799" s="33" t="s">
        <v>1051</v>
      </c>
      <c r="D7799" s="35">
        <f>SUMIFS(D7800:D9015,K7800:K9015,"0",B7800:B9015,"5 1 3 5 5 12 31111 6 M59 20400 000139 0000E 00001 00355 015*")-SUMIFS(E7800:E9015,K7800:K9015,"0",B7800:B9015,"5 1 3 5 5 12 31111 6 M59 20400 000139 0000E 00001 00355 015*")</f>
        <v>0</v>
      </c>
      <c r="E7799"/>
      <c r="F7799" s="35">
        <f>SUMIFS(F7800:F9015,K7800:K9015,"0",B7800:B9015,"5 1 3 5 5 12 31111 6 M59 20400 000139 0000E 00001 00355 015*")</f>
        <v>69693.86</v>
      </c>
      <c r="G7799" s="35">
        <f>SUMIFS(G7800:G9015,K7800:K9015,"0",B7800:B9015,"5 1 3 5 5 12 31111 6 M59 20400 000139 0000E 00001 00355 015*")</f>
        <v>0</v>
      </c>
      <c r="H7799" s="35">
        <f t="shared" si="122"/>
        <v>69693.86</v>
      </c>
      <c r="I7799" s="35"/>
      <c r="K7799" t="s">
        <v>15</v>
      </c>
    </row>
    <row r="7800" spans="2:11" ht="33" x14ac:dyDescent="0.2">
      <c r="B7800" s="33" t="s">
        <v>8894</v>
      </c>
      <c r="C7800" s="33" t="s">
        <v>5830</v>
      </c>
      <c r="D7800" s="35">
        <f>SUMIFS(D7801:D9015,K7801:K9015,"0",B7801:B9015,"5 1 3 5 5 12 31111 6 M59 20400 000139 0000E 00001 00355 015 2112000*")-SUMIFS(E7801:E9015,K7801:K9015,"0",B7801:B9015,"5 1 3 5 5 12 31111 6 M59 20400 000139 0000E 00001 00355 015 2112000*")</f>
        <v>0</v>
      </c>
      <c r="E7800"/>
      <c r="F7800" s="35">
        <f>SUMIFS(F7801:F9015,K7801:K9015,"0",B7801:B9015,"5 1 3 5 5 12 31111 6 M59 20400 000139 0000E 00001 00355 015 2112000*")</f>
        <v>69693.86</v>
      </c>
      <c r="G7800" s="35">
        <f>SUMIFS(G7801:G9015,K7801:K9015,"0",B7801:B9015,"5 1 3 5 5 12 31111 6 M59 20400 000139 0000E 00001 00355 015 2112000*")</f>
        <v>0</v>
      </c>
      <c r="H7800" s="35">
        <f t="shared" si="122"/>
        <v>69693.86</v>
      </c>
      <c r="I7800" s="35"/>
      <c r="K7800" t="s">
        <v>15</v>
      </c>
    </row>
    <row r="7801" spans="2:11" ht="33" x14ac:dyDescent="0.2">
      <c r="B7801" s="33" t="s">
        <v>8895</v>
      </c>
      <c r="C7801" s="33" t="s">
        <v>660</v>
      </c>
      <c r="D7801" s="35">
        <f>SUMIFS(D7802:D9015,K7802:K9015,"0",B7802:B9015,"5 1 3 5 5 12 31111 6 M59 20400 000139 0000E 00001 00355 015 2112000 2024*")-SUMIFS(E7802:E9015,K7802:K9015,"0",B7802:B9015,"5 1 3 5 5 12 31111 6 M59 20400 000139 0000E 00001 00355 015 2112000 2024*")</f>
        <v>0</v>
      </c>
      <c r="E7801"/>
      <c r="F7801" s="35">
        <f>SUMIFS(F7802:F9015,K7802:K9015,"0",B7802:B9015,"5 1 3 5 5 12 31111 6 M59 20400 000139 0000E 00001 00355 015 2112000 2024*")</f>
        <v>69693.86</v>
      </c>
      <c r="G7801" s="35">
        <f>SUMIFS(G7802:G9015,K7802:K9015,"0",B7802:B9015,"5 1 3 5 5 12 31111 6 M59 20400 000139 0000E 00001 00355 015 2112000 2024*")</f>
        <v>0</v>
      </c>
      <c r="H7801" s="35">
        <f t="shared" si="122"/>
        <v>69693.86</v>
      </c>
      <c r="I7801" s="35"/>
      <c r="K7801" t="s">
        <v>15</v>
      </c>
    </row>
    <row r="7802" spans="2:11" ht="41.25" x14ac:dyDescent="0.2">
      <c r="B7802" s="33" t="s">
        <v>8896</v>
      </c>
      <c r="C7802" s="33" t="s">
        <v>7587</v>
      </c>
      <c r="D7802" s="35">
        <f>SUMIFS(D7803:D9015,K7803:K9015,"0",B7803:B9015,"5 1 3 5 5 12 31111 6 M59 20400 000139 0000E 00001 00355 015 2112000 2024 CP2PV529*")-SUMIFS(E7803:E9015,K7803:K9015,"0",B7803:B9015,"5 1 3 5 5 12 31111 6 M59 20400 000139 0000E 00001 00355 015 2112000 2024 CP2PV529*")</f>
        <v>0</v>
      </c>
      <c r="E7802"/>
      <c r="F7802" s="35">
        <f>SUMIFS(F7803:F9015,K7803:K9015,"0",B7803:B9015,"5 1 3 5 5 12 31111 6 M59 20400 000139 0000E 00001 00355 015 2112000 2024 CP2PV529*")</f>
        <v>69693.86</v>
      </c>
      <c r="G7802" s="35">
        <f>SUMIFS(G7803:G9015,K7803:K9015,"0",B7803:B9015,"5 1 3 5 5 12 31111 6 M59 20400 000139 0000E 00001 00355 015 2112000 2024 CP2PV529*")</f>
        <v>0</v>
      </c>
      <c r="H7802" s="35">
        <f t="shared" si="122"/>
        <v>69693.86</v>
      </c>
      <c r="I7802" s="35"/>
      <c r="K7802" t="s">
        <v>15</v>
      </c>
    </row>
    <row r="7803" spans="2:11" ht="41.25" x14ac:dyDescent="0.2">
      <c r="B7803" s="33" t="s">
        <v>8897</v>
      </c>
      <c r="C7803" s="33" t="s">
        <v>1075</v>
      </c>
      <c r="D7803" s="35">
        <f>SUMIFS(D7804:D9015,K7804:K9015,"0",B7804:B9015,"5 1 3 5 5 12 31111 6 M59 20400 000139 0000E 00001 00355 015 2112000 2024 CP2PV529 005*")-SUMIFS(E7804:E9015,K7804:K9015,"0",B7804:B9015,"5 1 3 5 5 12 31111 6 M59 20400 000139 0000E 00001 00355 015 2112000 2024 CP2PV529 005*")</f>
        <v>0</v>
      </c>
      <c r="E7803"/>
      <c r="F7803" s="35">
        <f>SUMIFS(F7804:F9015,K7804:K9015,"0",B7804:B9015,"5 1 3 5 5 12 31111 6 M59 20400 000139 0000E 00001 00355 015 2112000 2024 CP2PV529 005*")</f>
        <v>69693.86</v>
      </c>
      <c r="G7803" s="35">
        <f>SUMIFS(G7804:G9015,K7804:K9015,"0",B7804:B9015,"5 1 3 5 5 12 31111 6 M59 20400 000139 0000E 00001 00355 015 2112000 2024 CP2PV529 005*")</f>
        <v>0</v>
      </c>
      <c r="H7803" s="35">
        <f t="shared" si="122"/>
        <v>69693.86</v>
      </c>
      <c r="I7803" s="35"/>
      <c r="K7803" t="s">
        <v>15</v>
      </c>
    </row>
    <row r="7804" spans="2:11" ht="33" x14ac:dyDescent="0.2">
      <c r="B7804" s="31" t="s">
        <v>8898</v>
      </c>
      <c r="C7804" s="31" t="s">
        <v>8882</v>
      </c>
      <c r="D7804" s="34">
        <v>0</v>
      </c>
      <c r="E7804" s="34"/>
      <c r="F7804" s="34">
        <v>69693.86</v>
      </c>
      <c r="G7804" s="34">
        <v>0</v>
      </c>
      <c r="H7804" s="34">
        <f t="shared" si="122"/>
        <v>69693.86</v>
      </c>
      <c r="I7804" s="34"/>
      <c r="K7804" t="s">
        <v>38</v>
      </c>
    </row>
    <row r="7805" spans="2:11" ht="16.5" x14ac:dyDescent="0.2">
      <c r="B7805" s="33" t="s">
        <v>8899</v>
      </c>
      <c r="C7805" s="33" t="s">
        <v>1092</v>
      </c>
      <c r="D7805" s="35">
        <f>SUMIFS(D7806:D9015,K7806:K9015,"0",B7806:B9015,"5 1 3 5 5 12 31111 6 M59 40000*")-SUMIFS(E7806:E9015,K7806:K9015,"0",B7806:B9015,"5 1 3 5 5 12 31111 6 M59 40000*")</f>
        <v>0</v>
      </c>
      <c r="E7805"/>
      <c r="F7805" s="35">
        <f>SUMIFS(F7806:F9015,K7806:K9015,"0",B7806:B9015,"5 1 3 5 5 12 31111 6 M59 40000*")</f>
        <v>120000</v>
      </c>
      <c r="G7805" s="35">
        <f>SUMIFS(G7806:G9015,K7806:K9015,"0",B7806:B9015,"5 1 3 5 5 12 31111 6 M59 40000*")</f>
        <v>0</v>
      </c>
      <c r="H7805" s="35">
        <f t="shared" si="122"/>
        <v>120000</v>
      </c>
      <c r="I7805" s="35"/>
      <c r="K7805" t="s">
        <v>15</v>
      </c>
    </row>
    <row r="7806" spans="2:11" ht="16.5" x14ac:dyDescent="0.2">
      <c r="B7806" s="33" t="s">
        <v>8900</v>
      </c>
      <c r="C7806" s="33" t="s">
        <v>1094</v>
      </c>
      <c r="D7806" s="35">
        <f>SUMIFS(D7807:D9015,K7807:K9015,"0",B7807:B9015,"5 1 3 5 5 12 31111 6 M59 40000 000161*")-SUMIFS(E7807:E9015,K7807:K9015,"0",B7807:B9015,"5 1 3 5 5 12 31111 6 M59 40000 000161*")</f>
        <v>0</v>
      </c>
      <c r="E7806"/>
      <c r="F7806" s="35">
        <f>SUMIFS(F7807:F9015,K7807:K9015,"0",B7807:B9015,"5 1 3 5 5 12 31111 6 M59 40000 000161*")</f>
        <v>120000</v>
      </c>
      <c r="G7806" s="35">
        <f>SUMIFS(G7807:G9015,K7807:K9015,"0",B7807:B9015,"5 1 3 5 5 12 31111 6 M59 40000 000161*")</f>
        <v>0</v>
      </c>
      <c r="H7806" s="35">
        <f t="shared" si="122"/>
        <v>120000</v>
      </c>
      <c r="I7806" s="35"/>
      <c r="K7806" t="s">
        <v>15</v>
      </c>
    </row>
    <row r="7807" spans="2:11" ht="24.75" x14ac:dyDescent="0.2">
      <c r="B7807" s="33" t="s">
        <v>8901</v>
      </c>
      <c r="C7807" s="33" t="s">
        <v>1065</v>
      </c>
      <c r="D7807" s="35">
        <f>SUMIFS(D7808:D9015,K7808:K9015,"0",B7808:B9015,"5 1 3 5 5 12 31111 6 M59 40000 000161 0000E*")-SUMIFS(E7808:E9015,K7808:K9015,"0",B7808:B9015,"5 1 3 5 5 12 31111 6 M59 40000 000161 0000E*")</f>
        <v>0</v>
      </c>
      <c r="E7807"/>
      <c r="F7807" s="35">
        <f>SUMIFS(F7808:F9015,K7808:K9015,"0",B7808:B9015,"5 1 3 5 5 12 31111 6 M59 40000 000161 0000E*")</f>
        <v>120000</v>
      </c>
      <c r="G7807" s="35">
        <f>SUMIFS(G7808:G9015,K7808:K9015,"0",B7808:B9015,"5 1 3 5 5 12 31111 6 M59 40000 000161 0000E*")</f>
        <v>0</v>
      </c>
      <c r="H7807" s="35">
        <f t="shared" si="122"/>
        <v>120000</v>
      </c>
      <c r="I7807" s="35"/>
      <c r="K7807" t="s">
        <v>15</v>
      </c>
    </row>
    <row r="7808" spans="2:11" ht="24.75" x14ac:dyDescent="0.2">
      <c r="B7808" s="33" t="s">
        <v>8902</v>
      </c>
      <c r="C7808" s="33" t="s">
        <v>282</v>
      </c>
      <c r="D7808" s="35">
        <f>SUMIFS(D7809:D9015,K7809:K9015,"0",B7809:B9015,"5 1 3 5 5 12 31111 6 M59 40000 000161 0000E 00001*")-SUMIFS(E7809:E9015,K7809:K9015,"0",B7809:B9015,"5 1 3 5 5 12 31111 6 M59 40000 000161 0000E 00001*")</f>
        <v>0</v>
      </c>
      <c r="E7808"/>
      <c r="F7808" s="35">
        <f>SUMIFS(F7809:F9015,K7809:K9015,"0",B7809:B9015,"5 1 3 5 5 12 31111 6 M59 40000 000161 0000E 00001*")</f>
        <v>120000</v>
      </c>
      <c r="G7808" s="35">
        <f>SUMIFS(G7809:G9015,K7809:K9015,"0",B7809:B9015,"5 1 3 5 5 12 31111 6 M59 40000 000161 0000E 00001*")</f>
        <v>0</v>
      </c>
      <c r="H7808" s="35">
        <f t="shared" si="122"/>
        <v>120000</v>
      </c>
      <c r="I7808" s="35"/>
      <c r="K7808" t="s">
        <v>15</v>
      </c>
    </row>
    <row r="7809" spans="2:11" ht="24.75" x14ac:dyDescent="0.2">
      <c r="B7809" s="33" t="s">
        <v>8903</v>
      </c>
      <c r="C7809" s="33" t="s">
        <v>8892</v>
      </c>
      <c r="D7809" s="35">
        <f>SUMIFS(D7810:D9015,K7810:K9015,"0",B7810:B9015,"5 1 3 5 5 12 31111 6 M59 40000 000161 0000E 00001 00355*")-SUMIFS(E7810:E9015,K7810:K9015,"0",B7810:B9015,"5 1 3 5 5 12 31111 6 M59 40000 000161 0000E 00001 00355*")</f>
        <v>0</v>
      </c>
      <c r="E7809"/>
      <c r="F7809" s="35">
        <f>SUMIFS(F7810:F9015,K7810:K9015,"0",B7810:B9015,"5 1 3 5 5 12 31111 6 M59 40000 000161 0000E 00001 00355*")</f>
        <v>120000</v>
      </c>
      <c r="G7809" s="35">
        <f>SUMIFS(G7810:G9015,K7810:K9015,"0",B7810:B9015,"5 1 3 5 5 12 31111 6 M59 40000 000161 0000E 00001 00355*")</f>
        <v>0</v>
      </c>
      <c r="H7809" s="35">
        <f t="shared" si="122"/>
        <v>120000</v>
      </c>
      <c r="I7809" s="35"/>
      <c r="K7809" t="s">
        <v>15</v>
      </c>
    </row>
    <row r="7810" spans="2:11" ht="33" x14ac:dyDescent="0.2">
      <c r="B7810" s="33" t="s">
        <v>8904</v>
      </c>
      <c r="C7810" s="33" t="s">
        <v>656</v>
      </c>
      <c r="D7810" s="35">
        <f>SUMIFS(D7811:D9015,K7811:K9015,"0",B7811:B9015,"5 1 3 5 5 12 31111 6 M59 40000 000161 0000E 00001 00355 025*")-SUMIFS(E7811:E9015,K7811:K9015,"0",B7811:B9015,"5 1 3 5 5 12 31111 6 M59 40000 000161 0000E 00001 00355 025*")</f>
        <v>0</v>
      </c>
      <c r="E7810"/>
      <c r="F7810" s="35">
        <f>SUMIFS(F7811:F9015,K7811:K9015,"0",B7811:B9015,"5 1 3 5 5 12 31111 6 M59 40000 000161 0000E 00001 00355 025*")</f>
        <v>120000</v>
      </c>
      <c r="G7810" s="35">
        <f>SUMIFS(G7811:G9015,K7811:K9015,"0",B7811:B9015,"5 1 3 5 5 12 31111 6 M59 40000 000161 0000E 00001 00355 025*")</f>
        <v>0</v>
      </c>
      <c r="H7810" s="35">
        <f t="shared" si="122"/>
        <v>120000</v>
      </c>
      <c r="I7810" s="35"/>
      <c r="K7810" t="s">
        <v>15</v>
      </c>
    </row>
    <row r="7811" spans="2:11" ht="33" x14ac:dyDescent="0.2">
      <c r="B7811" s="33" t="s">
        <v>8905</v>
      </c>
      <c r="C7811" s="33" t="s">
        <v>5830</v>
      </c>
      <c r="D7811" s="35">
        <f>SUMIFS(D7812:D9015,K7812:K9015,"0",B7812:B9015,"5 1 3 5 5 12 31111 6 M59 40000 000161 0000E 00001 00355 025 2112000*")-SUMIFS(E7812:E9015,K7812:K9015,"0",B7812:B9015,"5 1 3 5 5 12 31111 6 M59 40000 000161 0000E 00001 00355 025 2112000*")</f>
        <v>0</v>
      </c>
      <c r="E7811"/>
      <c r="F7811" s="35">
        <f>SUMIFS(F7812:F9015,K7812:K9015,"0",B7812:B9015,"5 1 3 5 5 12 31111 6 M59 40000 000161 0000E 00001 00355 025 2112000*")</f>
        <v>120000</v>
      </c>
      <c r="G7811" s="35">
        <f>SUMIFS(G7812:G9015,K7812:K9015,"0",B7812:B9015,"5 1 3 5 5 12 31111 6 M59 40000 000161 0000E 00001 00355 025 2112000*")</f>
        <v>0</v>
      </c>
      <c r="H7811" s="35">
        <f t="shared" si="122"/>
        <v>120000</v>
      </c>
      <c r="I7811" s="35"/>
      <c r="K7811" t="s">
        <v>15</v>
      </c>
    </row>
    <row r="7812" spans="2:11" ht="33" x14ac:dyDescent="0.2">
      <c r="B7812" s="33" t="s">
        <v>8906</v>
      </c>
      <c r="C7812" s="33" t="s">
        <v>660</v>
      </c>
      <c r="D7812" s="35">
        <f>SUMIFS(D7813:D9015,K7813:K9015,"0",B7813:B9015,"5 1 3 5 5 12 31111 6 M59 40000 000161 0000E 00001 00355 025 2112000 2024*")-SUMIFS(E7813:E9015,K7813:K9015,"0",B7813:B9015,"5 1 3 5 5 12 31111 6 M59 40000 000161 0000E 00001 00355 025 2112000 2024*")</f>
        <v>0</v>
      </c>
      <c r="E7812"/>
      <c r="F7812" s="35">
        <f>SUMIFS(F7813:F9015,K7813:K9015,"0",B7813:B9015,"5 1 3 5 5 12 31111 6 M59 40000 000161 0000E 00001 00355 025 2112000 2024*")</f>
        <v>120000</v>
      </c>
      <c r="G7812" s="35">
        <f>SUMIFS(G7813:G9015,K7813:K9015,"0",B7813:B9015,"5 1 3 5 5 12 31111 6 M59 40000 000161 0000E 00001 00355 025 2112000 2024*")</f>
        <v>0</v>
      </c>
      <c r="H7812" s="35">
        <f t="shared" ref="H7812:H7875" si="123">D7812 + F7812 - G7812</f>
        <v>120000</v>
      </c>
      <c r="I7812" s="35"/>
      <c r="K7812" t="s">
        <v>15</v>
      </c>
    </row>
    <row r="7813" spans="2:11" ht="41.25" x14ac:dyDescent="0.2">
      <c r="B7813" s="33" t="s">
        <v>8907</v>
      </c>
      <c r="C7813" s="33" t="s">
        <v>662</v>
      </c>
      <c r="D7813" s="35">
        <f>SUMIFS(D7814:D9015,K7814:K9015,"0",B7814:B9015,"5 1 3 5 5 12 31111 6 M59 40000 000161 0000E 00001 00355 025 2112000 2024 CP4SP372*")-SUMIFS(E7814:E9015,K7814:K9015,"0",B7814:B9015,"5 1 3 5 5 12 31111 6 M59 40000 000161 0000E 00001 00355 025 2112000 2024 CP4SP372*")</f>
        <v>0</v>
      </c>
      <c r="E7813"/>
      <c r="F7813" s="35">
        <f>SUMIFS(F7814:F9015,K7814:K9015,"0",B7814:B9015,"5 1 3 5 5 12 31111 6 M59 40000 000161 0000E 00001 00355 025 2112000 2024 CP4SP372*")</f>
        <v>120000</v>
      </c>
      <c r="G7813" s="35">
        <f>SUMIFS(G7814:G9015,K7814:K9015,"0",B7814:B9015,"5 1 3 5 5 12 31111 6 M59 40000 000161 0000E 00001 00355 025 2112000 2024 CP4SP372*")</f>
        <v>0</v>
      </c>
      <c r="H7813" s="35">
        <f t="shared" si="123"/>
        <v>120000</v>
      </c>
      <c r="I7813" s="35"/>
      <c r="K7813" t="s">
        <v>15</v>
      </c>
    </row>
    <row r="7814" spans="2:11" ht="41.25" x14ac:dyDescent="0.2">
      <c r="B7814" s="33" t="s">
        <v>8908</v>
      </c>
      <c r="C7814" s="33" t="s">
        <v>664</v>
      </c>
      <c r="D7814" s="35">
        <f>SUMIFS(D7815:D9015,K7815:K9015,"0",B7815:B9015,"5 1 3 5 5 12 31111 6 M59 40000 000161 0000E 00001 00355 025 2112000 2024 CP4SP372 003*")-SUMIFS(E7815:E9015,K7815:K9015,"0",B7815:B9015,"5 1 3 5 5 12 31111 6 M59 40000 000161 0000E 00001 00355 025 2112000 2024 CP4SP372 003*")</f>
        <v>0</v>
      </c>
      <c r="E7814"/>
      <c r="F7814" s="35">
        <f>SUMIFS(F7815:F9015,K7815:K9015,"0",B7815:B9015,"5 1 3 5 5 12 31111 6 M59 40000 000161 0000E 00001 00355 025 2112000 2024 CP4SP372 003*")</f>
        <v>120000</v>
      </c>
      <c r="G7814" s="35">
        <f>SUMIFS(G7815:G9015,K7815:K9015,"0",B7815:B9015,"5 1 3 5 5 12 31111 6 M59 40000 000161 0000E 00001 00355 025 2112000 2024 CP4SP372 003*")</f>
        <v>0</v>
      </c>
      <c r="H7814" s="35">
        <f t="shared" si="123"/>
        <v>120000</v>
      </c>
      <c r="I7814" s="35"/>
      <c r="K7814" t="s">
        <v>15</v>
      </c>
    </row>
    <row r="7815" spans="2:11" ht="33" x14ac:dyDescent="0.2">
      <c r="B7815" s="31" t="s">
        <v>8909</v>
      </c>
      <c r="C7815" s="31" t="s">
        <v>8882</v>
      </c>
      <c r="D7815" s="34">
        <v>0</v>
      </c>
      <c r="E7815" s="34"/>
      <c r="F7815" s="34">
        <v>120000</v>
      </c>
      <c r="G7815" s="34">
        <v>0</v>
      </c>
      <c r="H7815" s="34">
        <f t="shared" si="123"/>
        <v>120000</v>
      </c>
      <c r="I7815" s="34"/>
      <c r="K7815" t="s">
        <v>38</v>
      </c>
    </row>
    <row r="7816" spans="2:11" ht="16.5" x14ac:dyDescent="0.2">
      <c r="B7816" s="33" t="s">
        <v>8910</v>
      </c>
      <c r="C7816" s="33" t="s">
        <v>1105</v>
      </c>
      <c r="D7816" s="35">
        <f>SUMIFS(D7817:D9015,K7817:K9015,"0",B7817:B9015,"5 1 3 5 5 12 31111 6 M59 40200*")-SUMIFS(E7817:E9015,K7817:K9015,"0",B7817:B9015,"5 1 3 5 5 12 31111 6 M59 40200*")</f>
        <v>0</v>
      </c>
      <c r="E7816"/>
      <c r="F7816" s="35">
        <f>SUMIFS(F7817:F9015,K7817:K9015,"0",B7817:B9015,"5 1 3 5 5 12 31111 6 M59 40200*")</f>
        <v>140000</v>
      </c>
      <c r="G7816" s="35">
        <f>SUMIFS(G7817:G9015,K7817:K9015,"0",B7817:B9015,"5 1 3 5 5 12 31111 6 M59 40200*")</f>
        <v>0</v>
      </c>
      <c r="H7816" s="35">
        <f t="shared" si="123"/>
        <v>140000</v>
      </c>
      <c r="I7816" s="35"/>
      <c r="K7816" t="s">
        <v>15</v>
      </c>
    </row>
    <row r="7817" spans="2:11" ht="16.5" x14ac:dyDescent="0.2">
      <c r="B7817" s="33" t="s">
        <v>8911</v>
      </c>
      <c r="C7817" s="33" t="s">
        <v>1107</v>
      </c>
      <c r="D7817" s="35">
        <f>SUMIFS(D7818:D9015,K7818:K9015,"0",B7818:B9015,"5 1 3 5 5 12 31111 6 M59 40200 000172*")-SUMIFS(E7818:E9015,K7818:K9015,"0",B7818:B9015,"5 1 3 5 5 12 31111 6 M59 40200 000172*")</f>
        <v>0</v>
      </c>
      <c r="E7817"/>
      <c r="F7817" s="35">
        <f>SUMIFS(F7818:F9015,K7818:K9015,"0",B7818:B9015,"5 1 3 5 5 12 31111 6 M59 40200 000172*")</f>
        <v>140000</v>
      </c>
      <c r="G7817" s="35">
        <f>SUMIFS(G7818:G9015,K7818:K9015,"0",B7818:B9015,"5 1 3 5 5 12 31111 6 M59 40200 000172*")</f>
        <v>0</v>
      </c>
      <c r="H7817" s="35">
        <f t="shared" si="123"/>
        <v>140000</v>
      </c>
      <c r="I7817" s="35"/>
      <c r="K7817" t="s">
        <v>15</v>
      </c>
    </row>
    <row r="7818" spans="2:11" ht="24.75" x14ac:dyDescent="0.2">
      <c r="B7818" s="33" t="s">
        <v>8912</v>
      </c>
      <c r="C7818" s="33" t="s">
        <v>650</v>
      </c>
      <c r="D7818" s="35">
        <f>SUMIFS(D7819:D9015,K7819:K9015,"0",B7819:B9015,"5 1 3 5 5 12 31111 6 M59 40200 000172 0000R*")-SUMIFS(E7819:E9015,K7819:K9015,"0",B7819:B9015,"5 1 3 5 5 12 31111 6 M59 40200 000172 0000R*")</f>
        <v>0</v>
      </c>
      <c r="E7818"/>
      <c r="F7818" s="35">
        <f>SUMIFS(F7819:F9015,K7819:K9015,"0",B7819:B9015,"5 1 3 5 5 12 31111 6 M59 40200 000172 0000R*")</f>
        <v>140000</v>
      </c>
      <c r="G7818" s="35">
        <f>SUMIFS(G7819:G9015,K7819:K9015,"0",B7819:B9015,"5 1 3 5 5 12 31111 6 M59 40200 000172 0000R*")</f>
        <v>0</v>
      </c>
      <c r="H7818" s="35">
        <f t="shared" si="123"/>
        <v>140000</v>
      </c>
      <c r="I7818" s="35"/>
      <c r="K7818" t="s">
        <v>15</v>
      </c>
    </row>
    <row r="7819" spans="2:11" ht="24.75" x14ac:dyDescent="0.2">
      <c r="B7819" s="33" t="s">
        <v>8913</v>
      </c>
      <c r="C7819" s="33" t="s">
        <v>282</v>
      </c>
      <c r="D7819" s="35">
        <f>SUMIFS(D7820:D9015,K7820:K9015,"0",B7820:B9015,"5 1 3 5 5 12 31111 6 M59 40200 000172 0000R 00001*")-SUMIFS(E7820:E9015,K7820:K9015,"0",B7820:B9015,"5 1 3 5 5 12 31111 6 M59 40200 000172 0000R 00001*")</f>
        <v>0</v>
      </c>
      <c r="E7819"/>
      <c r="F7819" s="35">
        <f>SUMIFS(F7820:F9015,K7820:K9015,"0",B7820:B9015,"5 1 3 5 5 12 31111 6 M59 40200 000172 0000R 00001*")</f>
        <v>140000</v>
      </c>
      <c r="G7819" s="35">
        <f>SUMIFS(G7820:G9015,K7820:K9015,"0",B7820:B9015,"5 1 3 5 5 12 31111 6 M59 40200 000172 0000R 00001*")</f>
        <v>0</v>
      </c>
      <c r="H7819" s="35">
        <f t="shared" si="123"/>
        <v>140000</v>
      </c>
      <c r="I7819" s="35"/>
      <c r="K7819" t="s">
        <v>15</v>
      </c>
    </row>
    <row r="7820" spans="2:11" ht="24.75" x14ac:dyDescent="0.2">
      <c r="B7820" s="33" t="s">
        <v>8914</v>
      </c>
      <c r="C7820" s="33" t="s">
        <v>8892</v>
      </c>
      <c r="D7820" s="35">
        <f>SUMIFS(D7821:D9015,K7821:K9015,"0",B7821:B9015,"5 1 3 5 5 12 31111 6 M59 40200 000172 0000R 00001 00355*")-SUMIFS(E7821:E9015,K7821:K9015,"0",B7821:B9015,"5 1 3 5 5 12 31111 6 M59 40200 000172 0000R 00001 00355*")</f>
        <v>0</v>
      </c>
      <c r="E7820"/>
      <c r="F7820" s="35">
        <f>SUMIFS(F7821:F9015,K7821:K9015,"0",B7821:B9015,"5 1 3 5 5 12 31111 6 M59 40200 000172 0000R 00001 00355*")</f>
        <v>140000</v>
      </c>
      <c r="G7820" s="35">
        <f>SUMIFS(G7821:G9015,K7821:K9015,"0",B7821:B9015,"5 1 3 5 5 12 31111 6 M59 40200 000172 0000R 00001 00355*")</f>
        <v>0</v>
      </c>
      <c r="H7820" s="35">
        <f t="shared" si="123"/>
        <v>140000</v>
      </c>
      <c r="I7820" s="35"/>
      <c r="K7820" t="s">
        <v>15</v>
      </c>
    </row>
    <row r="7821" spans="2:11" ht="33" x14ac:dyDescent="0.2">
      <c r="B7821" s="33" t="s">
        <v>8915</v>
      </c>
      <c r="C7821" s="33" t="s">
        <v>656</v>
      </c>
      <c r="D7821" s="35">
        <f>SUMIFS(D7822:D9015,K7822:K9015,"0",B7822:B9015,"5 1 3 5 5 12 31111 6 M59 40200 000172 0000R 00001 00355 025*")-SUMIFS(E7822:E9015,K7822:K9015,"0",B7822:B9015,"5 1 3 5 5 12 31111 6 M59 40200 000172 0000R 00001 00355 025*")</f>
        <v>0</v>
      </c>
      <c r="E7821"/>
      <c r="F7821" s="35">
        <f>SUMIFS(F7822:F9015,K7822:K9015,"0",B7822:B9015,"5 1 3 5 5 12 31111 6 M59 40200 000172 0000R 00001 00355 025*")</f>
        <v>140000</v>
      </c>
      <c r="G7821" s="35">
        <f>SUMIFS(G7822:G9015,K7822:K9015,"0",B7822:B9015,"5 1 3 5 5 12 31111 6 M59 40200 000172 0000R 00001 00355 025*")</f>
        <v>0</v>
      </c>
      <c r="H7821" s="35">
        <f t="shared" si="123"/>
        <v>140000</v>
      </c>
      <c r="I7821" s="35"/>
      <c r="K7821" t="s">
        <v>15</v>
      </c>
    </row>
    <row r="7822" spans="2:11" ht="33" x14ac:dyDescent="0.2">
      <c r="B7822" s="33" t="s">
        <v>8916</v>
      </c>
      <c r="C7822" s="33" t="s">
        <v>5830</v>
      </c>
      <c r="D7822" s="35">
        <f>SUMIFS(D7823:D9015,K7823:K9015,"0",B7823:B9015,"5 1 3 5 5 12 31111 6 M59 40200 000172 0000R 00001 00355 025 2112000*")-SUMIFS(E7823:E9015,K7823:K9015,"0",B7823:B9015,"5 1 3 5 5 12 31111 6 M59 40200 000172 0000R 00001 00355 025 2112000*")</f>
        <v>0</v>
      </c>
      <c r="E7822"/>
      <c r="F7822" s="35">
        <f>SUMIFS(F7823:F9015,K7823:K9015,"0",B7823:B9015,"5 1 3 5 5 12 31111 6 M59 40200 000172 0000R 00001 00355 025 2112000*")</f>
        <v>140000</v>
      </c>
      <c r="G7822" s="35">
        <f>SUMIFS(G7823:G9015,K7823:K9015,"0",B7823:B9015,"5 1 3 5 5 12 31111 6 M59 40200 000172 0000R 00001 00355 025 2112000*")</f>
        <v>0</v>
      </c>
      <c r="H7822" s="35">
        <f t="shared" si="123"/>
        <v>140000</v>
      </c>
      <c r="I7822" s="35"/>
      <c r="K7822" t="s">
        <v>15</v>
      </c>
    </row>
    <row r="7823" spans="2:11" ht="33" x14ac:dyDescent="0.2">
      <c r="B7823" s="33" t="s">
        <v>8917</v>
      </c>
      <c r="C7823" s="33" t="s">
        <v>660</v>
      </c>
      <c r="D7823" s="35">
        <f>SUMIFS(D7824:D9015,K7824:K9015,"0",B7824:B9015,"5 1 3 5 5 12 31111 6 M59 40200 000172 0000R 00001 00355 025 2112000 2024*")-SUMIFS(E7824:E9015,K7824:K9015,"0",B7824:B9015,"5 1 3 5 5 12 31111 6 M59 40200 000172 0000R 00001 00355 025 2112000 2024*")</f>
        <v>0</v>
      </c>
      <c r="E7823"/>
      <c r="F7823" s="35">
        <f>SUMIFS(F7824:F9015,K7824:K9015,"0",B7824:B9015,"5 1 3 5 5 12 31111 6 M59 40200 000172 0000R 00001 00355 025 2112000 2024*")</f>
        <v>140000</v>
      </c>
      <c r="G7823" s="35">
        <f>SUMIFS(G7824:G9015,K7824:K9015,"0",B7824:B9015,"5 1 3 5 5 12 31111 6 M59 40200 000172 0000R 00001 00355 025 2112000 2024*")</f>
        <v>0</v>
      </c>
      <c r="H7823" s="35">
        <f t="shared" si="123"/>
        <v>140000</v>
      </c>
      <c r="I7823" s="35"/>
      <c r="K7823" t="s">
        <v>15</v>
      </c>
    </row>
    <row r="7824" spans="2:11" ht="41.25" x14ac:dyDescent="0.2">
      <c r="B7824" s="33" t="s">
        <v>8918</v>
      </c>
      <c r="C7824" s="33" t="s">
        <v>1056</v>
      </c>
      <c r="D7824" s="35">
        <f>SUMIFS(D7825:D9015,K7825:K9015,"0",B7825:B9015,"5 1 3 5 5 12 31111 6 M59 40200 000172 0000R 00001 00355 025 2112000 2024 CP4PC370*")-SUMIFS(E7825:E9015,K7825:K9015,"0",B7825:B9015,"5 1 3 5 5 12 31111 6 M59 40200 000172 0000R 00001 00355 025 2112000 2024 CP4PC370*")</f>
        <v>0</v>
      </c>
      <c r="E7824"/>
      <c r="F7824" s="35">
        <f>SUMIFS(F7825:F9015,K7825:K9015,"0",B7825:B9015,"5 1 3 5 5 12 31111 6 M59 40200 000172 0000R 00001 00355 025 2112000 2024 CP4PC370*")</f>
        <v>140000</v>
      </c>
      <c r="G7824" s="35">
        <f>SUMIFS(G7825:G9015,K7825:K9015,"0",B7825:B9015,"5 1 3 5 5 12 31111 6 M59 40200 000172 0000R 00001 00355 025 2112000 2024 CP4PC370*")</f>
        <v>0</v>
      </c>
      <c r="H7824" s="35">
        <f t="shared" si="123"/>
        <v>140000</v>
      </c>
      <c r="I7824" s="35"/>
      <c r="K7824" t="s">
        <v>15</v>
      </c>
    </row>
    <row r="7825" spans="2:11" ht="41.25" x14ac:dyDescent="0.2">
      <c r="B7825" s="33" t="s">
        <v>8919</v>
      </c>
      <c r="C7825" s="33" t="s">
        <v>664</v>
      </c>
      <c r="D7825" s="35">
        <f>SUMIFS(D7826:D9015,K7826:K9015,"0",B7826:B9015,"5 1 3 5 5 12 31111 6 M59 40200 000172 0000R 00001 00355 025 2112000 2024 CP4PC370 003*")-SUMIFS(E7826:E9015,K7826:K9015,"0",B7826:B9015,"5 1 3 5 5 12 31111 6 M59 40200 000172 0000R 00001 00355 025 2112000 2024 CP4PC370 003*")</f>
        <v>0</v>
      </c>
      <c r="E7825"/>
      <c r="F7825" s="35">
        <f>SUMIFS(F7826:F9015,K7826:K9015,"0",B7826:B9015,"5 1 3 5 5 12 31111 6 M59 40200 000172 0000R 00001 00355 025 2112000 2024 CP4PC370 003*")</f>
        <v>140000</v>
      </c>
      <c r="G7825" s="35">
        <f>SUMIFS(G7826:G9015,K7826:K9015,"0",B7826:B9015,"5 1 3 5 5 12 31111 6 M59 40200 000172 0000R 00001 00355 025 2112000 2024 CP4PC370 003*")</f>
        <v>0</v>
      </c>
      <c r="H7825" s="35">
        <f t="shared" si="123"/>
        <v>140000</v>
      </c>
      <c r="I7825" s="35"/>
      <c r="K7825" t="s">
        <v>15</v>
      </c>
    </row>
    <row r="7826" spans="2:11" ht="33" x14ac:dyDescent="0.2">
      <c r="B7826" s="31" t="s">
        <v>8920</v>
      </c>
      <c r="C7826" s="31" t="s">
        <v>8882</v>
      </c>
      <c r="D7826" s="34">
        <v>0</v>
      </c>
      <c r="E7826" s="34"/>
      <c r="F7826" s="34">
        <v>140000</v>
      </c>
      <c r="G7826" s="34">
        <v>0</v>
      </c>
      <c r="H7826" s="34">
        <f t="shared" si="123"/>
        <v>140000</v>
      </c>
      <c r="I7826" s="34"/>
      <c r="K7826" t="s">
        <v>38</v>
      </c>
    </row>
    <row r="7827" spans="2:11" ht="16.5" x14ac:dyDescent="0.2">
      <c r="B7827" s="33" t="s">
        <v>8921</v>
      </c>
      <c r="C7827" s="33" t="s">
        <v>3268</v>
      </c>
      <c r="D7827" s="35">
        <f>SUMIFS(D7828:D9015,K7828:K9015,"0",B7828:B9015,"5 1 3 5 5 12 31111 6 M59 40400*")-SUMIFS(E7828:E9015,K7828:K9015,"0",B7828:B9015,"5 1 3 5 5 12 31111 6 M59 40400*")</f>
        <v>0</v>
      </c>
      <c r="E7827"/>
      <c r="F7827" s="35">
        <f>SUMIFS(F7828:F9015,K7828:K9015,"0",B7828:B9015,"5 1 3 5 5 12 31111 6 M59 40400*")</f>
        <v>106215.19</v>
      </c>
      <c r="G7827" s="35">
        <f>SUMIFS(G7828:G9015,K7828:K9015,"0",B7828:B9015,"5 1 3 5 5 12 31111 6 M59 40400*")</f>
        <v>0</v>
      </c>
      <c r="H7827" s="35">
        <f t="shared" si="123"/>
        <v>106215.19</v>
      </c>
      <c r="I7827" s="35"/>
      <c r="K7827" t="s">
        <v>15</v>
      </c>
    </row>
    <row r="7828" spans="2:11" ht="16.5" x14ac:dyDescent="0.2">
      <c r="B7828" s="33" t="s">
        <v>8922</v>
      </c>
      <c r="C7828" s="33" t="s">
        <v>3270</v>
      </c>
      <c r="D7828" s="35">
        <f>SUMIFS(D7829:D9015,K7829:K9015,"0",B7829:B9015,"5 1 3 5 5 12 31111 6 M59 40400 000173*")-SUMIFS(E7829:E9015,K7829:K9015,"0",B7829:B9015,"5 1 3 5 5 12 31111 6 M59 40400 000173*")</f>
        <v>0</v>
      </c>
      <c r="E7828"/>
      <c r="F7828" s="35">
        <f>SUMIFS(F7829:F9015,K7829:K9015,"0",B7829:B9015,"5 1 3 5 5 12 31111 6 M59 40400 000173*")</f>
        <v>106215.19</v>
      </c>
      <c r="G7828" s="35">
        <f>SUMIFS(G7829:G9015,K7829:K9015,"0",B7829:B9015,"5 1 3 5 5 12 31111 6 M59 40400 000173*")</f>
        <v>0</v>
      </c>
      <c r="H7828" s="35">
        <f t="shared" si="123"/>
        <v>106215.19</v>
      </c>
      <c r="I7828" s="35"/>
      <c r="K7828" t="s">
        <v>15</v>
      </c>
    </row>
    <row r="7829" spans="2:11" ht="24.75" x14ac:dyDescent="0.2">
      <c r="B7829" s="33" t="s">
        <v>8923</v>
      </c>
      <c r="C7829" s="33" t="s">
        <v>650</v>
      </c>
      <c r="D7829" s="35">
        <f>SUMIFS(D7830:D9015,K7830:K9015,"0",B7830:B9015,"5 1 3 5 5 12 31111 6 M59 40400 000173 0000R*")-SUMIFS(E7830:E9015,K7830:K9015,"0",B7830:B9015,"5 1 3 5 5 12 31111 6 M59 40400 000173 0000R*")</f>
        <v>0</v>
      </c>
      <c r="E7829"/>
      <c r="F7829" s="35">
        <f>SUMIFS(F7830:F9015,K7830:K9015,"0",B7830:B9015,"5 1 3 5 5 12 31111 6 M59 40400 000173 0000R*")</f>
        <v>106215.19</v>
      </c>
      <c r="G7829" s="35">
        <f>SUMIFS(G7830:G9015,K7830:K9015,"0",B7830:B9015,"5 1 3 5 5 12 31111 6 M59 40400 000173 0000R*")</f>
        <v>0</v>
      </c>
      <c r="H7829" s="35">
        <f t="shared" si="123"/>
        <v>106215.19</v>
      </c>
      <c r="I7829" s="35"/>
      <c r="K7829" t="s">
        <v>15</v>
      </c>
    </row>
    <row r="7830" spans="2:11" ht="24.75" x14ac:dyDescent="0.2">
      <c r="B7830" s="33" t="s">
        <v>8924</v>
      </c>
      <c r="C7830" s="33" t="s">
        <v>282</v>
      </c>
      <c r="D7830" s="35">
        <f>SUMIFS(D7831:D9015,K7831:K9015,"0",B7831:B9015,"5 1 3 5 5 12 31111 6 M59 40400 000173 0000R 00001*")-SUMIFS(E7831:E9015,K7831:K9015,"0",B7831:B9015,"5 1 3 5 5 12 31111 6 M59 40400 000173 0000R 00001*")</f>
        <v>0</v>
      </c>
      <c r="E7830"/>
      <c r="F7830" s="35">
        <f>SUMIFS(F7831:F9015,K7831:K9015,"0",B7831:B9015,"5 1 3 5 5 12 31111 6 M59 40400 000173 0000R 00001*")</f>
        <v>106215.19</v>
      </c>
      <c r="G7830" s="35">
        <f>SUMIFS(G7831:G9015,K7831:K9015,"0",B7831:B9015,"5 1 3 5 5 12 31111 6 M59 40400 000173 0000R 00001*")</f>
        <v>0</v>
      </c>
      <c r="H7830" s="35">
        <f t="shared" si="123"/>
        <v>106215.19</v>
      </c>
      <c r="I7830" s="35"/>
      <c r="K7830" t="s">
        <v>15</v>
      </c>
    </row>
    <row r="7831" spans="2:11" ht="24.75" x14ac:dyDescent="0.2">
      <c r="B7831" s="33" t="s">
        <v>8925</v>
      </c>
      <c r="C7831" s="33" t="s">
        <v>8892</v>
      </c>
      <c r="D7831" s="35">
        <f>SUMIFS(D7832:D9015,K7832:K9015,"0",B7832:B9015,"5 1 3 5 5 12 31111 6 M59 40400 000173 0000R 00001 00355*")-SUMIFS(E7832:E9015,K7832:K9015,"0",B7832:B9015,"5 1 3 5 5 12 31111 6 M59 40400 000173 0000R 00001 00355*")</f>
        <v>0</v>
      </c>
      <c r="E7831"/>
      <c r="F7831" s="35">
        <f>SUMIFS(F7832:F9015,K7832:K9015,"0",B7832:B9015,"5 1 3 5 5 12 31111 6 M59 40400 000173 0000R 00001 00355*")</f>
        <v>106215.19</v>
      </c>
      <c r="G7831" s="35">
        <f>SUMIFS(G7832:G9015,K7832:K9015,"0",B7832:B9015,"5 1 3 5 5 12 31111 6 M59 40400 000173 0000R 00001 00355*")</f>
        <v>0</v>
      </c>
      <c r="H7831" s="35">
        <f t="shared" si="123"/>
        <v>106215.19</v>
      </c>
      <c r="I7831" s="35"/>
      <c r="K7831" t="s">
        <v>15</v>
      </c>
    </row>
    <row r="7832" spans="2:11" ht="33" x14ac:dyDescent="0.2">
      <c r="B7832" s="33" t="s">
        <v>8926</v>
      </c>
      <c r="C7832" s="33" t="s">
        <v>656</v>
      </c>
      <c r="D7832" s="35">
        <f>SUMIFS(D7833:D9015,K7833:K9015,"0",B7833:B9015,"5 1 3 5 5 12 31111 6 M59 40400 000173 0000R 00001 00355 025*")-SUMIFS(E7833:E9015,K7833:K9015,"0",B7833:B9015,"5 1 3 5 5 12 31111 6 M59 40400 000173 0000R 00001 00355 025*")</f>
        <v>0</v>
      </c>
      <c r="E7832"/>
      <c r="F7832" s="35">
        <f>SUMIFS(F7833:F9015,K7833:K9015,"0",B7833:B9015,"5 1 3 5 5 12 31111 6 M59 40400 000173 0000R 00001 00355 025*")</f>
        <v>106215.19</v>
      </c>
      <c r="G7832" s="35">
        <f>SUMIFS(G7833:G9015,K7833:K9015,"0",B7833:B9015,"5 1 3 5 5 12 31111 6 M59 40400 000173 0000R 00001 00355 025*")</f>
        <v>0</v>
      </c>
      <c r="H7832" s="35">
        <f t="shared" si="123"/>
        <v>106215.19</v>
      </c>
      <c r="I7832" s="35"/>
      <c r="K7832" t="s">
        <v>15</v>
      </c>
    </row>
    <row r="7833" spans="2:11" ht="33" x14ac:dyDescent="0.2">
      <c r="B7833" s="33" t="s">
        <v>8927</v>
      </c>
      <c r="C7833" s="33" t="s">
        <v>5830</v>
      </c>
      <c r="D7833" s="35">
        <f>SUMIFS(D7834:D9015,K7834:K9015,"0",B7834:B9015,"5 1 3 5 5 12 31111 6 M59 40400 000173 0000R 00001 00355 025 2112000*")-SUMIFS(E7834:E9015,K7834:K9015,"0",B7834:B9015,"5 1 3 5 5 12 31111 6 M59 40400 000173 0000R 00001 00355 025 2112000*")</f>
        <v>0</v>
      </c>
      <c r="E7833"/>
      <c r="F7833" s="35">
        <f>SUMIFS(F7834:F9015,K7834:K9015,"0",B7834:B9015,"5 1 3 5 5 12 31111 6 M59 40400 000173 0000R 00001 00355 025 2112000*")</f>
        <v>106215.19</v>
      </c>
      <c r="G7833" s="35">
        <f>SUMIFS(G7834:G9015,K7834:K9015,"0",B7834:B9015,"5 1 3 5 5 12 31111 6 M59 40400 000173 0000R 00001 00355 025 2112000*")</f>
        <v>0</v>
      </c>
      <c r="H7833" s="35">
        <f t="shared" si="123"/>
        <v>106215.19</v>
      </c>
      <c r="I7833" s="35"/>
      <c r="K7833" t="s">
        <v>15</v>
      </c>
    </row>
    <row r="7834" spans="2:11" ht="33" x14ac:dyDescent="0.2">
      <c r="B7834" s="33" t="s">
        <v>8928</v>
      </c>
      <c r="C7834" s="33" t="s">
        <v>660</v>
      </c>
      <c r="D7834" s="35">
        <f>SUMIFS(D7835:D9015,K7835:K9015,"0",B7835:B9015,"5 1 3 5 5 12 31111 6 M59 40400 000173 0000R 00001 00355 025 2112000 2024*")-SUMIFS(E7835:E9015,K7835:K9015,"0",B7835:B9015,"5 1 3 5 5 12 31111 6 M59 40400 000173 0000R 00001 00355 025 2112000 2024*")</f>
        <v>0</v>
      </c>
      <c r="E7834"/>
      <c r="F7834" s="35">
        <f>SUMIFS(F7835:F9015,K7835:K9015,"0",B7835:B9015,"5 1 3 5 5 12 31111 6 M59 40400 000173 0000R 00001 00355 025 2112000 2024*")</f>
        <v>106215.19</v>
      </c>
      <c r="G7834" s="35">
        <f>SUMIFS(G7835:G9015,K7835:K9015,"0",B7835:B9015,"5 1 3 5 5 12 31111 6 M59 40400 000173 0000R 00001 00355 025 2112000 2024*")</f>
        <v>0</v>
      </c>
      <c r="H7834" s="35">
        <f t="shared" si="123"/>
        <v>106215.19</v>
      </c>
      <c r="I7834" s="35"/>
      <c r="K7834" t="s">
        <v>15</v>
      </c>
    </row>
    <row r="7835" spans="2:11" ht="41.25" x14ac:dyDescent="0.2">
      <c r="B7835" s="33" t="s">
        <v>8929</v>
      </c>
      <c r="C7835" s="33" t="s">
        <v>662</v>
      </c>
      <c r="D7835" s="35">
        <f>SUMIFS(D7836:D9015,K7836:K9015,"0",B7836:B9015,"5 1 3 5 5 12 31111 6 M59 40400 000173 0000R 00001 00355 025 2112000 2024 CP4PD369*")-SUMIFS(E7836:E9015,K7836:K9015,"0",B7836:B9015,"5 1 3 5 5 12 31111 6 M59 40400 000173 0000R 00001 00355 025 2112000 2024 CP4PD369*")</f>
        <v>0</v>
      </c>
      <c r="E7835"/>
      <c r="F7835" s="35">
        <f>SUMIFS(F7836:F9015,K7836:K9015,"0",B7836:B9015,"5 1 3 5 5 12 31111 6 M59 40400 000173 0000R 00001 00355 025 2112000 2024 CP4PD369*")</f>
        <v>106215.19</v>
      </c>
      <c r="G7835" s="35">
        <f>SUMIFS(G7836:G9015,K7836:K9015,"0",B7836:B9015,"5 1 3 5 5 12 31111 6 M59 40400 000173 0000R 00001 00355 025 2112000 2024 CP4PD369*")</f>
        <v>0</v>
      </c>
      <c r="H7835" s="35">
        <f t="shared" si="123"/>
        <v>106215.19</v>
      </c>
      <c r="I7835" s="35"/>
      <c r="K7835" t="s">
        <v>15</v>
      </c>
    </row>
    <row r="7836" spans="2:11" ht="41.25" x14ac:dyDescent="0.2">
      <c r="B7836" s="33" t="s">
        <v>8930</v>
      </c>
      <c r="C7836" s="33" t="s">
        <v>664</v>
      </c>
      <c r="D7836" s="35">
        <f>SUMIFS(D7837:D9015,K7837:K9015,"0",B7837:B9015,"5 1 3 5 5 12 31111 6 M59 40400 000173 0000R 00001 00355 025 2112000 2024 CP4PD369 003*")-SUMIFS(E7837:E9015,K7837:K9015,"0",B7837:B9015,"5 1 3 5 5 12 31111 6 M59 40400 000173 0000R 00001 00355 025 2112000 2024 CP4PD369 003*")</f>
        <v>0</v>
      </c>
      <c r="E7836"/>
      <c r="F7836" s="35">
        <f>SUMIFS(F7837:F9015,K7837:K9015,"0",B7837:B9015,"5 1 3 5 5 12 31111 6 M59 40400 000173 0000R 00001 00355 025 2112000 2024 CP4PD369 003*")</f>
        <v>106215.19</v>
      </c>
      <c r="G7836" s="35">
        <f>SUMIFS(G7837:G9015,K7837:K9015,"0",B7837:B9015,"5 1 3 5 5 12 31111 6 M59 40400 000173 0000R 00001 00355 025 2112000 2024 CP4PD369 003*")</f>
        <v>0</v>
      </c>
      <c r="H7836" s="35">
        <f t="shared" si="123"/>
        <v>106215.19</v>
      </c>
      <c r="I7836" s="35"/>
      <c r="K7836" t="s">
        <v>15</v>
      </c>
    </row>
    <row r="7837" spans="2:11" ht="33" x14ac:dyDescent="0.2">
      <c r="B7837" s="31" t="s">
        <v>8931</v>
      </c>
      <c r="C7837" s="31" t="s">
        <v>8882</v>
      </c>
      <c r="D7837" s="34">
        <v>0</v>
      </c>
      <c r="E7837" s="34"/>
      <c r="F7837" s="34">
        <v>106215.19</v>
      </c>
      <c r="G7837" s="34">
        <v>0</v>
      </c>
      <c r="H7837" s="34">
        <f t="shared" si="123"/>
        <v>106215.19</v>
      </c>
      <c r="I7837" s="34"/>
      <c r="K7837" t="s">
        <v>38</v>
      </c>
    </row>
    <row r="7838" spans="2:11" ht="16.5" x14ac:dyDescent="0.2">
      <c r="B7838" s="33" t="s">
        <v>8932</v>
      </c>
      <c r="C7838" s="33" t="s">
        <v>1308</v>
      </c>
      <c r="D7838" s="35">
        <f>SUMIFS(D7839:D9015,K7839:K9015,"0",B7839:B9015,"5 1 3 5 5 12 31111 6 M59 96300*")-SUMIFS(E7839:E9015,K7839:K9015,"0",B7839:B9015,"5 1 3 5 5 12 31111 6 M59 96300*")</f>
        <v>0</v>
      </c>
      <c r="E7838"/>
      <c r="F7838" s="35">
        <f>SUMIFS(F7839:F9015,K7839:K9015,"0",B7839:B9015,"5 1 3 5 5 12 31111 6 M59 96300*")</f>
        <v>285435.25</v>
      </c>
      <c r="G7838" s="35">
        <f>SUMIFS(G7839:G9015,K7839:K9015,"0",B7839:B9015,"5 1 3 5 5 12 31111 6 M59 96300*")</f>
        <v>0</v>
      </c>
      <c r="H7838" s="35">
        <f t="shared" si="123"/>
        <v>285435.25</v>
      </c>
      <c r="I7838" s="35"/>
      <c r="K7838" t="s">
        <v>15</v>
      </c>
    </row>
    <row r="7839" spans="2:11" ht="16.5" x14ac:dyDescent="0.2">
      <c r="B7839" s="33" t="s">
        <v>8933</v>
      </c>
      <c r="C7839" s="33" t="s">
        <v>1310</v>
      </c>
      <c r="D7839" s="35">
        <f>SUMIFS(D7840:D9015,K7840:K9015,"0",B7840:B9015,"5 1 3 5 5 12 31111 6 M59 96300 000211*")-SUMIFS(E7840:E9015,K7840:K9015,"0",B7840:B9015,"5 1 3 5 5 12 31111 6 M59 96300 000211*")</f>
        <v>0</v>
      </c>
      <c r="E7839"/>
      <c r="F7839" s="35">
        <f>SUMIFS(F7840:F9015,K7840:K9015,"0",B7840:B9015,"5 1 3 5 5 12 31111 6 M59 96300 000211*")</f>
        <v>285435.25</v>
      </c>
      <c r="G7839" s="35">
        <f>SUMIFS(G7840:G9015,K7840:K9015,"0",B7840:B9015,"5 1 3 5 5 12 31111 6 M59 96300 000211*")</f>
        <v>0</v>
      </c>
      <c r="H7839" s="35">
        <f t="shared" si="123"/>
        <v>285435.25</v>
      </c>
      <c r="I7839" s="35"/>
      <c r="K7839" t="s">
        <v>15</v>
      </c>
    </row>
    <row r="7840" spans="2:11" ht="24.75" x14ac:dyDescent="0.2">
      <c r="B7840" s="33" t="s">
        <v>8934</v>
      </c>
      <c r="C7840" s="33" t="s">
        <v>1065</v>
      </c>
      <c r="D7840" s="35">
        <f>SUMIFS(D7841:D9015,K7841:K9015,"0",B7841:B9015,"5 1 3 5 5 12 31111 6 M59 96300 000211 0000E*")-SUMIFS(E7841:E9015,K7841:K9015,"0",B7841:B9015,"5 1 3 5 5 12 31111 6 M59 96300 000211 0000E*")</f>
        <v>0</v>
      </c>
      <c r="E7840"/>
      <c r="F7840" s="35">
        <f>SUMIFS(F7841:F9015,K7841:K9015,"0",B7841:B9015,"5 1 3 5 5 12 31111 6 M59 96300 000211 0000E*")</f>
        <v>285435.25</v>
      </c>
      <c r="G7840" s="35">
        <f>SUMIFS(G7841:G9015,K7841:K9015,"0",B7841:B9015,"5 1 3 5 5 12 31111 6 M59 96300 000211 0000E*")</f>
        <v>0</v>
      </c>
      <c r="H7840" s="35">
        <f t="shared" si="123"/>
        <v>285435.25</v>
      </c>
      <c r="I7840" s="35"/>
      <c r="K7840" t="s">
        <v>15</v>
      </c>
    </row>
    <row r="7841" spans="2:11" ht="24.75" x14ac:dyDescent="0.2">
      <c r="B7841" s="33" t="s">
        <v>8935</v>
      </c>
      <c r="C7841" s="33" t="s">
        <v>282</v>
      </c>
      <c r="D7841" s="35">
        <f>SUMIFS(D7842:D9015,K7842:K9015,"0",B7842:B9015,"5 1 3 5 5 12 31111 6 M59 96300 000211 0000E 00001*")-SUMIFS(E7842:E9015,K7842:K9015,"0",B7842:B9015,"5 1 3 5 5 12 31111 6 M59 96300 000211 0000E 00001*")</f>
        <v>0</v>
      </c>
      <c r="E7841"/>
      <c r="F7841" s="35">
        <f>SUMIFS(F7842:F9015,K7842:K9015,"0",B7842:B9015,"5 1 3 5 5 12 31111 6 M59 96300 000211 0000E 00001*")</f>
        <v>285435.25</v>
      </c>
      <c r="G7841" s="35">
        <f>SUMIFS(G7842:G9015,K7842:K9015,"0",B7842:B9015,"5 1 3 5 5 12 31111 6 M59 96300 000211 0000E 00001*")</f>
        <v>0</v>
      </c>
      <c r="H7841" s="35">
        <f t="shared" si="123"/>
        <v>285435.25</v>
      </c>
      <c r="I7841" s="35"/>
      <c r="K7841" t="s">
        <v>15</v>
      </c>
    </row>
    <row r="7842" spans="2:11" ht="24.75" x14ac:dyDescent="0.2">
      <c r="B7842" s="33" t="s">
        <v>8936</v>
      </c>
      <c r="C7842" s="33" t="s">
        <v>8892</v>
      </c>
      <c r="D7842" s="35">
        <f>SUMIFS(D7843:D9015,K7843:K9015,"0",B7843:B9015,"5 1 3 5 5 12 31111 6 M59 96300 000211 0000E 00001 00355*")-SUMIFS(E7843:E9015,K7843:K9015,"0",B7843:B9015,"5 1 3 5 5 12 31111 6 M59 96300 000211 0000E 00001 00355*")</f>
        <v>0</v>
      </c>
      <c r="E7842"/>
      <c r="F7842" s="35">
        <f>SUMIFS(F7843:F9015,K7843:K9015,"0",B7843:B9015,"5 1 3 5 5 12 31111 6 M59 96300 000211 0000E 00001 00355*")</f>
        <v>285435.25</v>
      </c>
      <c r="G7842" s="35">
        <f>SUMIFS(G7843:G9015,K7843:K9015,"0",B7843:B9015,"5 1 3 5 5 12 31111 6 M59 96300 000211 0000E 00001 00355*")</f>
        <v>0</v>
      </c>
      <c r="H7842" s="35">
        <f t="shared" si="123"/>
        <v>285435.25</v>
      </c>
      <c r="I7842" s="35"/>
      <c r="K7842" t="s">
        <v>15</v>
      </c>
    </row>
    <row r="7843" spans="2:11" ht="33" x14ac:dyDescent="0.2">
      <c r="B7843" s="33" t="s">
        <v>8937</v>
      </c>
      <c r="C7843" s="33" t="s">
        <v>699</v>
      </c>
      <c r="D7843" s="35">
        <f>SUMIFS(D7844:D9015,K7844:K9015,"0",B7844:B9015,"5 1 3 5 5 12 31111 6 M59 96300 000211 0000E 00001 00355 011*")-SUMIFS(E7844:E9015,K7844:K9015,"0",B7844:B9015,"5 1 3 5 5 12 31111 6 M59 96300 000211 0000E 00001 00355 011*")</f>
        <v>0</v>
      </c>
      <c r="E7843"/>
      <c r="F7843" s="35">
        <f>SUMIFS(F7844:F9015,K7844:K9015,"0",B7844:B9015,"5 1 3 5 5 12 31111 6 M59 96300 000211 0000E 00001 00355 011*")</f>
        <v>189155.25</v>
      </c>
      <c r="G7843" s="35">
        <f>SUMIFS(G7844:G9015,K7844:K9015,"0",B7844:B9015,"5 1 3 5 5 12 31111 6 M59 96300 000211 0000E 00001 00355 011*")</f>
        <v>0</v>
      </c>
      <c r="H7843" s="35">
        <f t="shared" si="123"/>
        <v>189155.25</v>
      </c>
      <c r="I7843" s="35"/>
      <c r="K7843" t="s">
        <v>15</v>
      </c>
    </row>
    <row r="7844" spans="2:11" ht="33" x14ac:dyDescent="0.2">
      <c r="B7844" s="33" t="s">
        <v>8938</v>
      </c>
      <c r="C7844" s="33" t="s">
        <v>5830</v>
      </c>
      <c r="D7844" s="35">
        <f>SUMIFS(D7845:D9015,K7845:K9015,"0",B7845:B9015,"5 1 3 5 5 12 31111 6 M59 96300 000211 0000E 00001 00355 011 2112000*")-SUMIFS(E7845:E9015,K7845:K9015,"0",B7845:B9015,"5 1 3 5 5 12 31111 6 M59 96300 000211 0000E 00001 00355 011 2112000*")</f>
        <v>0</v>
      </c>
      <c r="E7844"/>
      <c r="F7844" s="35">
        <f>SUMIFS(F7845:F9015,K7845:K9015,"0",B7845:B9015,"5 1 3 5 5 12 31111 6 M59 96300 000211 0000E 00001 00355 011 2112000*")</f>
        <v>189155.25</v>
      </c>
      <c r="G7844" s="35">
        <f>SUMIFS(G7845:G9015,K7845:K9015,"0",B7845:B9015,"5 1 3 5 5 12 31111 6 M59 96300 000211 0000E 00001 00355 011 2112000*")</f>
        <v>0</v>
      </c>
      <c r="H7844" s="35">
        <f t="shared" si="123"/>
        <v>189155.25</v>
      </c>
      <c r="I7844" s="35"/>
      <c r="K7844" t="s">
        <v>15</v>
      </c>
    </row>
    <row r="7845" spans="2:11" ht="33" x14ac:dyDescent="0.2">
      <c r="B7845" s="33" t="s">
        <v>8939</v>
      </c>
      <c r="C7845" s="33" t="s">
        <v>660</v>
      </c>
      <c r="D7845" s="35">
        <f>SUMIFS(D7846:D9015,K7846:K9015,"0",B7846:B9015,"5 1 3 5 5 12 31111 6 M59 96300 000211 0000E 00001 00355 011 2112000 2024*")-SUMIFS(E7846:E9015,K7846:K9015,"0",B7846:B9015,"5 1 3 5 5 12 31111 6 M59 96300 000211 0000E 00001 00355 011 2112000 2024*")</f>
        <v>0</v>
      </c>
      <c r="E7845"/>
      <c r="F7845" s="35">
        <f>SUMIFS(F7846:F9015,K7846:K9015,"0",B7846:B9015,"5 1 3 5 5 12 31111 6 M59 96300 000211 0000E 00001 00355 011 2112000 2024*")</f>
        <v>189155.25</v>
      </c>
      <c r="G7845" s="35">
        <f>SUMIFS(G7846:G9015,K7846:K9015,"0",B7846:B9015,"5 1 3 5 5 12 31111 6 M59 96300 000211 0000E 00001 00355 011 2112000 2024*")</f>
        <v>0</v>
      </c>
      <c r="H7845" s="35">
        <f t="shared" si="123"/>
        <v>189155.25</v>
      </c>
      <c r="I7845" s="35"/>
      <c r="K7845" t="s">
        <v>15</v>
      </c>
    </row>
    <row r="7846" spans="2:11" ht="41.25" x14ac:dyDescent="0.2">
      <c r="B7846" s="33" t="s">
        <v>8940</v>
      </c>
      <c r="C7846" s="33" t="s">
        <v>6757</v>
      </c>
      <c r="D7846" s="35">
        <f>SUMIFS(D7847:D9015,K7847:K9015,"0",B7847:B9015,"5 1 3 5 5 12 31111 6 M59 96300 000211 0000E 00001 00355 011 2112000 2024 CP3SB474*")-SUMIFS(E7847:E9015,K7847:K9015,"0",B7847:B9015,"5 1 3 5 5 12 31111 6 M59 96300 000211 0000E 00001 00355 011 2112000 2024 CP3SB474*")</f>
        <v>0</v>
      </c>
      <c r="E7846"/>
      <c r="F7846" s="35">
        <f>SUMIFS(F7847:F9015,K7847:K9015,"0",B7847:B9015,"5 1 3 5 5 12 31111 6 M59 96300 000211 0000E 00001 00355 011 2112000 2024 CP3SB474*")</f>
        <v>189155.25</v>
      </c>
      <c r="G7846" s="35">
        <f>SUMIFS(G7847:G9015,K7847:K9015,"0",B7847:B9015,"5 1 3 5 5 12 31111 6 M59 96300 000211 0000E 00001 00355 011 2112000 2024 CP3SB474*")</f>
        <v>0</v>
      </c>
      <c r="H7846" s="35">
        <f t="shared" si="123"/>
        <v>189155.25</v>
      </c>
      <c r="I7846" s="35"/>
      <c r="K7846" t="s">
        <v>15</v>
      </c>
    </row>
    <row r="7847" spans="2:11" ht="41.25" x14ac:dyDescent="0.2">
      <c r="B7847" s="33" t="s">
        <v>8941</v>
      </c>
      <c r="C7847" s="33" t="s">
        <v>46</v>
      </c>
      <c r="D7847" s="35">
        <f>SUMIFS(D7848:D9015,K7848:K9015,"0",B7848:B9015,"5 1 3 5 5 12 31111 6 M59 96300 000211 0000E 00001 00355 011 2112000 2024 CP3SB474 004*")-SUMIFS(E7848:E9015,K7848:K9015,"0",B7848:B9015,"5 1 3 5 5 12 31111 6 M59 96300 000211 0000E 00001 00355 011 2112000 2024 CP3SB474 004*")</f>
        <v>0</v>
      </c>
      <c r="E7847"/>
      <c r="F7847" s="35">
        <f>SUMIFS(F7848:F9015,K7848:K9015,"0",B7848:B9015,"5 1 3 5 5 12 31111 6 M59 96300 000211 0000E 00001 00355 011 2112000 2024 CP3SB474 004*")</f>
        <v>189155.25</v>
      </c>
      <c r="G7847" s="35">
        <f>SUMIFS(G7848:G9015,K7848:K9015,"0",B7848:B9015,"5 1 3 5 5 12 31111 6 M59 96300 000211 0000E 00001 00355 011 2112000 2024 CP3SB474 004*")</f>
        <v>0</v>
      </c>
      <c r="H7847" s="35">
        <f t="shared" si="123"/>
        <v>189155.25</v>
      </c>
      <c r="I7847" s="35"/>
      <c r="K7847" t="s">
        <v>15</v>
      </c>
    </row>
    <row r="7848" spans="2:11" ht="33" x14ac:dyDescent="0.2">
      <c r="B7848" s="31" t="s">
        <v>8942</v>
      </c>
      <c r="C7848" s="31" t="s">
        <v>8882</v>
      </c>
      <c r="D7848" s="34">
        <v>0</v>
      </c>
      <c r="E7848" s="34"/>
      <c r="F7848" s="34">
        <v>189155.25</v>
      </c>
      <c r="G7848" s="34">
        <v>0</v>
      </c>
      <c r="H7848" s="34">
        <f t="shared" si="123"/>
        <v>189155.25</v>
      </c>
      <c r="I7848" s="34"/>
      <c r="K7848" t="s">
        <v>38</v>
      </c>
    </row>
    <row r="7849" spans="2:11" ht="33" x14ac:dyDescent="0.2">
      <c r="B7849" s="33" t="s">
        <v>8943</v>
      </c>
      <c r="C7849" s="33" t="s">
        <v>1051</v>
      </c>
      <c r="D7849" s="35">
        <f>SUMIFS(D7850:D9015,K7850:K9015,"0",B7850:B9015,"5 1 3 5 5 12 31111 6 M59 96300 000211 0000E 00001 00355 015*")-SUMIFS(E7850:E9015,K7850:K9015,"0",B7850:B9015,"5 1 3 5 5 12 31111 6 M59 96300 000211 0000E 00001 00355 015*")</f>
        <v>0</v>
      </c>
      <c r="E7849"/>
      <c r="F7849" s="35">
        <f>SUMIFS(F7850:F9015,K7850:K9015,"0",B7850:B9015,"5 1 3 5 5 12 31111 6 M59 96300 000211 0000E 00001 00355 015*")</f>
        <v>96280</v>
      </c>
      <c r="G7849" s="35">
        <f>SUMIFS(G7850:G9015,K7850:K9015,"0",B7850:B9015,"5 1 3 5 5 12 31111 6 M59 96300 000211 0000E 00001 00355 015*")</f>
        <v>0</v>
      </c>
      <c r="H7849" s="35">
        <f t="shared" si="123"/>
        <v>96280</v>
      </c>
      <c r="I7849" s="35"/>
      <c r="K7849" t="s">
        <v>15</v>
      </c>
    </row>
    <row r="7850" spans="2:11" ht="33" x14ac:dyDescent="0.2">
      <c r="B7850" s="33" t="s">
        <v>8944</v>
      </c>
      <c r="C7850" s="33" t="s">
        <v>5830</v>
      </c>
      <c r="D7850" s="35">
        <f>SUMIFS(D7851:D9015,K7851:K9015,"0",B7851:B9015,"5 1 3 5 5 12 31111 6 M59 96300 000211 0000E 00001 00355 015 2112000*")-SUMIFS(E7851:E9015,K7851:K9015,"0",B7851:B9015,"5 1 3 5 5 12 31111 6 M59 96300 000211 0000E 00001 00355 015 2112000*")</f>
        <v>0</v>
      </c>
      <c r="E7850"/>
      <c r="F7850" s="35">
        <f>SUMIFS(F7851:F9015,K7851:K9015,"0",B7851:B9015,"5 1 3 5 5 12 31111 6 M59 96300 000211 0000E 00001 00355 015 2112000*")</f>
        <v>96280</v>
      </c>
      <c r="G7850" s="35">
        <f>SUMIFS(G7851:G9015,K7851:K9015,"0",B7851:B9015,"5 1 3 5 5 12 31111 6 M59 96300 000211 0000E 00001 00355 015 2112000*")</f>
        <v>0</v>
      </c>
      <c r="H7850" s="35">
        <f t="shared" si="123"/>
        <v>96280</v>
      </c>
      <c r="I7850" s="35"/>
      <c r="K7850" t="s">
        <v>15</v>
      </c>
    </row>
    <row r="7851" spans="2:11" ht="33" x14ac:dyDescent="0.2">
      <c r="B7851" s="33" t="s">
        <v>8945</v>
      </c>
      <c r="C7851" s="33" t="s">
        <v>660</v>
      </c>
      <c r="D7851" s="35">
        <f>SUMIFS(D7852:D9015,K7852:K9015,"0",B7852:B9015,"5 1 3 5 5 12 31111 6 M59 96300 000211 0000E 00001 00355 015 2112000 2024*")-SUMIFS(E7852:E9015,K7852:K9015,"0",B7852:B9015,"5 1 3 5 5 12 31111 6 M59 96300 000211 0000E 00001 00355 015 2112000 2024*")</f>
        <v>0</v>
      </c>
      <c r="E7851"/>
      <c r="F7851" s="35">
        <f>SUMIFS(F7852:F9015,K7852:K9015,"0",B7852:B9015,"5 1 3 5 5 12 31111 6 M59 96300 000211 0000E 00001 00355 015 2112000 2024*")</f>
        <v>96280</v>
      </c>
      <c r="G7851" s="35">
        <f>SUMIFS(G7852:G9015,K7852:K9015,"0",B7852:B9015,"5 1 3 5 5 12 31111 6 M59 96300 000211 0000E 00001 00355 015 2112000 2024*")</f>
        <v>0</v>
      </c>
      <c r="H7851" s="35">
        <f t="shared" si="123"/>
        <v>96280</v>
      </c>
      <c r="I7851" s="35"/>
      <c r="K7851" t="s">
        <v>15</v>
      </c>
    </row>
    <row r="7852" spans="2:11" ht="41.25" x14ac:dyDescent="0.2">
      <c r="B7852" s="33" t="s">
        <v>8946</v>
      </c>
      <c r="C7852" s="33" t="s">
        <v>1056</v>
      </c>
      <c r="D7852" s="35">
        <f>SUMIFS(D7853:D9015,K7853:K9015,"0",B7853:B9015,"5 1 3 5 5 12 31111 6 M59 96300 000211 0000E 00001 00355 015 2112000 2024 CP1SB396*")-SUMIFS(E7853:E9015,K7853:K9015,"0",B7853:B9015,"5 1 3 5 5 12 31111 6 M59 96300 000211 0000E 00001 00355 015 2112000 2024 CP1SB396*")</f>
        <v>0</v>
      </c>
      <c r="E7852"/>
      <c r="F7852" s="35">
        <f>SUMIFS(F7853:F9015,K7853:K9015,"0",B7853:B9015,"5 1 3 5 5 12 31111 6 M59 96300 000211 0000E 00001 00355 015 2112000 2024 CP1SB396*")</f>
        <v>96280</v>
      </c>
      <c r="G7852" s="35">
        <f>SUMIFS(G7853:G9015,K7853:K9015,"0",B7853:B9015,"5 1 3 5 5 12 31111 6 M59 96300 000211 0000E 00001 00355 015 2112000 2024 CP1SB396*")</f>
        <v>0</v>
      </c>
      <c r="H7852" s="35">
        <f t="shared" si="123"/>
        <v>96280</v>
      </c>
      <c r="I7852" s="35"/>
      <c r="K7852" t="s">
        <v>15</v>
      </c>
    </row>
    <row r="7853" spans="2:11" ht="41.25" x14ac:dyDescent="0.2">
      <c r="B7853" s="33" t="s">
        <v>8947</v>
      </c>
      <c r="C7853" s="33" t="s">
        <v>282</v>
      </c>
      <c r="D7853" s="35">
        <f>SUMIFS(D7854:D9015,K7854:K9015,"0",B7854:B9015,"5 1 3 5 5 12 31111 6 M59 96300 000211 0000E 00001 00355 015 2112000 2024 CP1SB396 001*")-SUMIFS(E7854:E9015,K7854:K9015,"0",B7854:B9015,"5 1 3 5 5 12 31111 6 M59 96300 000211 0000E 00001 00355 015 2112000 2024 CP1SB396 001*")</f>
        <v>0</v>
      </c>
      <c r="E7853"/>
      <c r="F7853" s="35">
        <f>SUMIFS(F7854:F9015,K7854:K9015,"0",B7854:B9015,"5 1 3 5 5 12 31111 6 M59 96300 000211 0000E 00001 00355 015 2112000 2024 CP1SB396 001*")</f>
        <v>96280</v>
      </c>
      <c r="G7853" s="35">
        <f>SUMIFS(G7854:G9015,K7854:K9015,"0",B7854:B9015,"5 1 3 5 5 12 31111 6 M59 96300 000211 0000E 00001 00355 015 2112000 2024 CP1SB396 001*")</f>
        <v>0</v>
      </c>
      <c r="H7853" s="35">
        <f t="shared" si="123"/>
        <v>96280</v>
      </c>
      <c r="I7853" s="35"/>
      <c r="K7853" t="s">
        <v>15</v>
      </c>
    </row>
    <row r="7854" spans="2:11" ht="33" x14ac:dyDescent="0.2">
      <c r="B7854" s="31" t="s">
        <v>8948</v>
      </c>
      <c r="C7854" s="31" t="s">
        <v>8892</v>
      </c>
      <c r="D7854" s="34">
        <v>0</v>
      </c>
      <c r="E7854" s="34"/>
      <c r="F7854" s="34">
        <v>96280</v>
      </c>
      <c r="G7854" s="34">
        <v>0</v>
      </c>
      <c r="H7854" s="34">
        <f t="shared" si="123"/>
        <v>96280</v>
      </c>
      <c r="I7854" s="34"/>
      <c r="K7854" t="s">
        <v>38</v>
      </c>
    </row>
    <row r="7855" spans="2:11" ht="33" x14ac:dyDescent="0.2">
      <c r="B7855" s="33" t="s">
        <v>8949</v>
      </c>
      <c r="C7855" s="33" t="s">
        <v>8950</v>
      </c>
      <c r="D7855" s="35">
        <f>SUMIFS(D7856:D9015,K7856:K9015,"0",B7856:B9015,"5 1 3 5 7*")-SUMIFS(E7856:E9015,K7856:K9015,"0",B7856:B9015,"5 1 3 5 7*")</f>
        <v>0</v>
      </c>
      <c r="E7855"/>
      <c r="F7855" s="35">
        <f>SUMIFS(F7856:F9015,K7856:K9015,"0",B7856:B9015,"5 1 3 5 7*")</f>
        <v>39258</v>
      </c>
      <c r="G7855" s="35">
        <f>SUMIFS(G7856:G9015,K7856:K9015,"0",B7856:B9015,"5 1 3 5 7*")</f>
        <v>0</v>
      </c>
      <c r="H7855" s="35">
        <f t="shared" si="123"/>
        <v>39258</v>
      </c>
      <c r="I7855" s="35"/>
      <c r="K7855" t="s">
        <v>15</v>
      </c>
    </row>
    <row r="7856" spans="2:11" ht="12.75" x14ac:dyDescent="0.2">
      <c r="B7856" s="33" t="s">
        <v>8951</v>
      </c>
      <c r="C7856" s="33" t="s">
        <v>26</v>
      </c>
      <c r="D7856" s="35">
        <f>SUMIFS(D7857:D9015,K7857:K9015,"0",B7857:B9015,"5 1 3 5 7 12*")-SUMIFS(E7857:E9015,K7857:K9015,"0",B7857:B9015,"5 1 3 5 7 12*")</f>
        <v>0</v>
      </c>
      <c r="E7856"/>
      <c r="F7856" s="35">
        <f>SUMIFS(F7857:F9015,K7857:K9015,"0",B7857:B9015,"5 1 3 5 7 12*")</f>
        <v>39258</v>
      </c>
      <c r="G7856" s="35">
        <f>SUMIFS(G7857:G9015,K7857:K9015,"0",B7857:B9015,"5 1 3 5 7 12*")</f>
        <v>0</v>
      </c>
      <c r="H7856" s="35">
        <f t="shared" si="123"/>
        <v>39258</v>
      </c>
      <c r="I7856" s="35"/>
      <c r="K7856" t="s">
        <v>15</v>
      </c>
    </row>
    <row r="7857" spans="2:11" ht="16.5" x14ac:dyDescent="0.2">
      <c r="B7857" s="33" t="s">
        <v>8952</v>
      </c>
      <c r="C7857" s="33" t="s">
        <v>28</v>
      </c>
      <c r="D7857" s="35">
        <f>SUMIFS(D7858:D9015,K7858:K9015,"0",B7858:B9015,"5 1 3 5 7 12 31111*")-SUMIFS(E7858:E9015,K7858:K9015,"0",B7858:B9015,"5 1 3 5 7 12 31111*")</f>
        <v>0</v>
      </c>
      <c r="E7857"/>
      <c r="F7857" s="35">
        <f>SUMIFS(F7858:F9015,K7858:K9015,"0",B7858:B9015,"5 1 3 5 7 12 31111*")</f>
        <v>39258</v>
      </c>
      <c r="G7857" s="35">
        <f>SUMIFS(G7858:G9015,K7858:K9015,"0",B7858:B9015,"5 1 3 5 7 12 31111*")</f>
        <v>0</v>
      </c>
      <c r="H7857" s="35">
        <f t="shared" si="123"/>
        <v>39258</v>
      </c>
      <c r="I7857" s="35"/>
      <c r="K7857" t="s">
        <v>15</v>
      </c>
    </row>
    <row r="7858" spans="2:11" ht="12.75" x14ac:dyDescent="0.2">
      <c r="B7858" s="33" t="s">
        <v>8953</v>
      </c>
      <c r="C7858" s="33" t="s">
        <v>30</v>
      </c>
      <c r="D7858" s="35">
        <f>SUMIFS(D7859:D9015,K7859:K9015,"0",B7859:B9015,"5 1 3 5 7 12 31111 6*")-SUMIFS(E7859:E9015,K7859:K9015,"0",B7859:B9015,"5 1 3 5 7 12 31111 6*")</f>
        <v>0</v>
      </c>
      <c r="E7858"/>
      <c r="F7858" s="35">
        <f>SUMIFS(F7859:F9015,K7859:K9015,"0",B7859:B9015,"5 1 3 5 7 12 31111 6*")</f>
        <v>39258</v>
      </c>
      <c r="G7858" s="35">
        <f>SUMIFS(G7859:G9015,K7859:K9015,"0",B7859:B9015,"5 1 3 5 7 12 31111 6*")</f>
        <v>0</v>
      </c>
      <c r="H7858" s="35">
        <f t="shared" si="123"/>
        <v>39258</v>
      </c>
      <c r="I7858" s="35"/>
      <c r="K7858" t="s">
        <v>15</v>
      </c>
    </row>
    <row r="7859" spans="2:11" ht="16.5" x14ac:dyDescent="0.2">
      <c r="B7859" s="33" t="s">
        <v>8954</v>
      </c>
      <c r="C7859" s="33" t="s">
        <v>2284</v>
      </c>
      <c r="D7859" s="35">
        <f>SUMIFS(D7860:D9015,K7860:K9015,"0",B7860:B9015,"5 1 3 5 7 12 31111 6 M59*")-SUMIFS(E7860:E9015,K7860:K9015,"0",B7860:B9015,"5 1 3 5 7 12 31111 6 M59*")</f>
        <v>0</v>
      </c>
      <c r="E7859"/>
      <c r="F7859" s="35">
        <f>SUMIFS(F7860:F9015,K7860:K9015,"0",B7860:B9015,"5 1 3 5 7 12 31111 6 M59*")</f>
        <v>39258</v>
      </c>
      <c r="G7859" s="35">
        <f>SUMIFS(G7860:G9015,K7860:K9015,"0",B7860:B9015,"5 1 3 5 7 12 31111 6 M59*")</f>
        <v>0</v>
      </c>
      <c r="H7859" s="35">
        <f t="shared" si="123"/>
        <v>39258</v>
      </c>
      <c r="I7859" s="35"/>
      <c r="K7859" t="s">
        <v>15</v>
      </c>
    </row>
    <row r="7860" spans="2:11" ht="16.5" x14ac:dyDescent="0.2">
      <c r="B7860" s="33" t="s">
        <v>8955</v>
      </c>
      <c r="C7860" s="33" t="s">
        <v>3138</v>
      </c>
      <c r="D7860" s="35">
        <f>SUMIFS(D7861:D9015,K7861:K9015,"0",B7861:B9015,"5 1 3 5 7 12 31111 6 M59 20700*")-SUMIFS(E7861:E9015,K7861:K9015,"0",B7861:B9015,"5 1 3 5 7 12 31111 6 M59 20700*")</f>
        <v>0</v>
      </c>
      <c r="E7860"/>
      <c r="F7860" s="35">
        <f>SUMIFS(F7861:F9015,K7861:K9015,"0",B7861:B9015,"5 1 3 5 7 12 31111 6 M59 20700*")</f>
        <v>20138</v>
      </c>
      <c r="G7860" s="35">
        <f>SUMIFS(G7861:G9015,K7861:K9015,"0",B7861:B9015,"5 1 3 5 7 12 31111 6 M59 20700*")</f>
        <v>0</v>
      </c>
      <c r="H7860" s="35">
        <f t="shared" si="123"/>
        <v>20138</v>
      </c>
      <c r="I7860" s="35"/>
      <c r="K7860" t="s">
        <v>15</v>
      </c>
    </row>
    <row r="7861" spans="2:11" ht="16.5" x14ac:dyDescent="0.2">
      <c r="B7861" s="33" t="s">
        <v>8956</v>
      </c>
      <c r="C7861" s="33" t="s">
        <v>648</v>
      </c>
      <c r="D7861" s="35">
        <f>SUMIFS(D7862:D9015,K7862:K9015,"0",B7862:B9015,"5 1 3 5 7 12 31111 6 M59 20700 000132*")-SUMIFS(E7862:E9015,K7862:K9015,"0",B7862:B9015,"5 1 3 5 7 12 31111 6 M59 20700 000132*")</f>
        <v>0</v>
      </c>
      <c r="E7861"/>
      <c r="F7861" s="35">
        <f>SUMIFS(F7862:F9015,K7862:K9015,"0",B7862:B9015,"5 1 3 5 7 12 31111 6 M59 20700 000132*")</f>
        <v>20138</v>
      </c>
      <c r="G7861" s="35">
        <f>SUMIFS(G7862:G9015,K7862:K9015,"0",B7862:B9015,"5 1 3 5 7 12 31111 6 M59 20700 000132*")</f>
        <v>0</v>
      </c>
      <c r="H7861" s="35">
        <f t="shared" si="123"/>
        <v>20138</v>
      </c>
      <c r="I7861" s="35"/>
      <c r="K7861" t="s">
        <v>15</v>
      </c>
    </row>
    <row r="7862" spans="2:11" ht="24.75" x14ac:dyDescent="0.2">
      <c r="B7862" s="33" t="s">
        <v>8957</v>
      </c>
      <c r="C7862" s="33" t="s">
        <v>650</v>
      </c>
      <c r="D7862" s="35">
        <f>SUMIFS(D7863:D9015,K7863:K9015,"0",B7863:B9015,"5 1 3 5 7 12 31111 6 M59 20700 000132 0000R*")-SUMIFS(E7863:E9015,K7863:K9015,"0",B7863:B9015,"5 1 3 5 7 12 31111 6 M59 20700 000132 0000R*")</f>
        <v>0</v>
      </c>
      <c r="E7862"/>
      <c r="F7862" s="35">
        <f>SUMIFS(F7863:F9015,K7863:K9015,"0",B7863:B9015,"5 1 3 5 7 12 31111 6 M59 20700 000132 0000R*")</f>
        <v>20138</v>
      </c>
      <c r="G7862" s="35">
        <f>SUMIFS(G7863:G9015,K7863:K9015,"0",B7863:B9015,"5 1 3 5 7 12 31111 6 M59 20700 000132 0000R*")</f>
        <v>0</v>
      </c>
      <c r="H7862" s="35">
        <f t="shared" si="123"/>
        <v>20138</v>
      </c>
      <c r="I7862" s="35"/>
      <c r="K7862" t="s">
        <v>15</v>
      </c>
    </row>
    <row r="7863" spans="2:11" ht="24.75" x14ac:dyDescent="0.2">
      <c r="B7863" s="33" t="s">
        <v>8958</v>
      </c>
      <c r="C7863" s="33" t="s">
        <v>282</v>
      </c>
      <c r="D7863" s="35">
        <f>SUMIFS(D7864:D9015,K7864:K9015,"0",B7864:B9015,"5 1 3 5 7 12 31111 6 M59 20700 000132 0000R 00001*")-SUMIFS(E7864:E9015,K7864:K9015,"0",B7864:B9015,"5 1 3 5 7 12 31111 6 M59 20700 000132 0000R 00001*")</f>
        <v>0</v>
      </c>
      <c r="E7863"/>
      <c r="F7863" s="35">
        <f>SUMIFS(F7864:F9015,K7864:K9015,"0",B7864:B9015,"5 1 3 5 7 12 31111 6 M59 20700 000132 0000R 00001*")</f>
        <v>20138</v>
      </c>
      <c r="G7863" s="35">
        <f>SUMIFS(G7864:G9015,K7864:K9015,"0",B7864:B9015,"5 1 3 5 7 12 31111 6 M59 20700 000132 0000R 00001*")</f>
        <v>0</v>
      </c>
      <c r="H7863" s="35">
        <f t="shared" si="123"/>
        <v>20138</v>
      </c>
      <c r="I7863" s="35"/>
      <c r="K7863" t="s">
        <v>15</v>
      </c>
    </row>
    <row r="7864" spans="2:11" ht="33" x14ac:dyDescent="0.2">
      <c r="B7864" s="33" t="s">
        <v>8959</v>
      </c>
      <c r="C7864" s="33" t="s">
        <v>8960</v>
      </c>
      <c r="D7864" s="35">
        <f>SUMIFS(D7865:D9015,K7865:K9015,"0",B7865:B9015,"5 1 3 5 7 12 31111 6 M59 20700 000132 0000R 00001 00357*")-SUMIFS(E7865:E9015,K7865:K9015,"0",B7865:B9015,"5 1 3 5 7 12 31111 6 M59 20700 000132 0000R 00001 00357*")</f>
        <v>0</v>
      </c>
      <c r="E7864"/>
      <c r="F7864" s="35">
        <f>SUMIFS(F7865:F9015,K7865:K9015,"0",B7865:B9015,"5 1 3 5 7 12 31111 6 M59 20700 000132 0000R 00001 00357*")</f>
        <v>20138</v>
      </c>
      <c r="G7864" s="35">
        <f>SUMIFS(G7865:G9015,K7865:K9015,"0",B7865:B9015,"5 1 3 5 7 12 31111 6 M59 20700 000132 0000R 00001 00357*")</f>
        <v>0</v>
      </c>
      <c r="H7864" s="35">
        <f t="shared" si="123"/>
        <v>20138</v>
      </c>
      <c r="I7864" s="35"/>
      <c r="K7864" t="s">
        <v>15</v>
      </c>
    </row>
    <row r="7865" spans="2:11" ht="33" x14ac:dyDescent="0.2">
      <c r="B7865" s="33" t="s">
        <v>8961</v>
      </c>
      <c r="C7865" s="33" t="s">
        <v>1051</v>
      </c>
      <c r="D7865" s="35">
        <f>SUMIFS(D7866:D9015,K7866:K9015,"0",B7866:B9015,"5 1 3 5 7 12 31111 6 M59 20700 000132 0000R 00001 00357 015*")-SUMIFS(E7866:E9015,K7866:K9015,"0",B7866:B9015,"5 1 3 5 7 12 31111 6 M59 20700 000132 0000R 00001 00357 015*")</f>
        <v>0</v>
      </c>
      <c r="E7865"/>
      <c r="F7865" s="35">
        <f>SUMIFS(F7866:F9015,K7866:K9015,"0",B7866:B9015,"5 1 3 5 7 12 31111 6 M59 20700 000132 0000R 00001 00357 015*")</f>
        <v>20138</v>
      </c>
      <c r="G7865" s="35">
        <f>SUMIFS(G7866:G9015,K7866:K9015,"0",B7866:B9015,"5 1 3 5 7 12 31111 6 M59 20700 000132 0000R 00001 00357 015*")</f>
        <v>0</v>
      </c>
      <c r="H7865" s="35">
        <f t="shared" si="123"/>
        <v>20138</v>
      </c>
      <c r="I7865" s="35"/>
      <c r="K7865" t="s">
        <v>15</v>
      </c>
    </row>
    <row r="7866" spans="2:11" ht="33" x14ac:dyDescent="0.2">
      <c r="B7866" s="33" t="s">
        <v>8962</v>
      </c>
      <c r="C7866" s="33" t="s">
        <v>5830</v>
      </c>
      <c r="D7866" s="35">
        <f>SUMIFS(D7867:D9015,K7867:K9015,"0",B7867:B9015,"5 1 3 5 7 12 31111 6 M59 20700 000132 0000R 00001 00357 015 2112000*")-SUMIFS(E7867:E9015,K7867:K9015,"0",B7867:B9015,"5 1 3 5 7 12 31111 6 M59 20700 000132 0000R 00001 00357 015 2112000*")</f>
        <v>0</v>
      </c>
      <c r="E7866"/>
      <c r="F7866" s="35">
        <f>SUMIFS(F7867:F9015,K7867:K9015,"0",B7867:B9015,"5 1 3 5 7 12 31111 6 M59 20700 000132 0000R 00001 00357 015 2112000*")</f>
        <v>20138</v>
      </c>
      <c r="G7866" s="35">
        <f>SUMIFS(G7867:G9015,K7867:K9015,"0",B7867:B9015,"5 1 3 5 7 12 31111 6 M59 20700 000132 0000R 00001 00357 015 2112000*")</f>
        <v>0</v>
      </c>
      <c r="H7866" s="35">
        <f t="shared" si="123"/>
        <v>20138</v>
      </c>
      <c r="I7866" s="35"/>
      <c r="K7866" t="s">
        <v>15</v>
      </c>
    </row>
    <row r="7867" spans="2:11" ht="33" x14ac:dyDescent="0.2">
      <c r="B7867" s="33" t="s">
        <v>8963</v>
      </c>
      <c r="C7867" s="33" t="s">
        <v>660</v>
      </c>
      <c r="D7867" s="35">
        <f>SUMIFS(D7868:D9015,K7868:K9015,"0",B7868:B9015,"5 1 3 5 7 12 31111 6 M59 20700 000132 0000R 00001 00357 015 2112000 2024*")-SUMIFS(E7868:E9015,K7868:K9015,"0",B7868:B9015,"5 1 3 5 7 12 31111 6 M59 20700 000132 0000R 00001 00357 015 2112000 2024*")</f>
        <v>0</v>
      </c>
      <c r="E7867"/>
      <c r="F7867" s="35">
        <f>SUMIFS(F7868:F9015,K7868:K9015,"0",B7868:B9015,"5 1 3 5 7 12 31111 6 M59 20700 000132 0000R 00001 00357 015 2112000 2024*")</f>
        <v>20138</v>
      </c>
      <c r="G7867" s="35">
        <f>SUMIFS(G7868:G9015,K7868:K9015,"0",B7868:B9015,"5 1 3 5 7 12 31111 6 M59 20700 000132 0000R 00001 00357 015 2112000 2024*")</f>
        <v>0</v>
      </c>
      <c r="H7867" s="35">
        <f t="shared" si="123"/>
        <v>20138</v>
      </c>
      <c r="I7867" s="35"/>
      <c r="K7867" t="s">
        <v>15</v>
      </c>
    </row>
    <row r="7868" spans="2:11" ht="41.25" x14ac:dyDescent="0.2">
      <c r="B7868" s="33" t="s">
        <v>8964</v>
      </c>
      <c r="C7868" s="33" t="s">
        <v>662</v>
      </c>
      <c r="D7868" s="35">
        <f>SUMIFS(D7869:D9015,K7869:K9015,"0",B7869:B9015,"5 1 3 5 7 12 31111 6 M59 20700 000132 0000R 00001 00357 015 2112000 2024 CP1RM401*")-SUMIFS(E7869:E9015,K7869:K9015,"0",B7869:B9015,"5 1 3 5 7 12 31111 6 M59 20700 000132 0000R 00001 00357 015 2112000 2024 CP1RM401*")</f>
        <v>0</v>
      </c>
      <c r="E7868"/>
      <c r="F7868" s="35">
        <f>SUMIFS(F7869:F9015,K7869:K9015,"0",B7869:B9015,"5 1 3 5 7 12 31111 6 M59 20700 000132 0000R 00001 00357 015 2112000 2024 CP1RM401*")</f>
        <v>20138</v>
      </c>
      <c r="G7868" s="35">
        <f>SUMIFS(G7869:G9015,K7869:K9015,"0",B7869:B9015,"5 1 3 5 7 12 31111 6 M59 20700 000132 0000R 00001 00357 015 2112000 2024 CP1RM401*")</f>
        <v>0</v>
      </c>
      <c r="H7868" s="35">
        <f t="shared" si="123"/>
        <v>20138</v>
      </c>
      <c r="I7868" s="35"/>
      <c r="K7868" t="s">
        <v>15</v>
      </c>
    </row>
    <row r="7869" spans="2:11" ht="41.25" x14ac:dyDescent="0.2">
      <c r="B7869" s="33" t="s">
        <v>8965</v>
      </c>
      <c r="C7869" s="33" t="s">
        <v>282</v>
      </c>
      <c r="D7869" s="35">
        <f>SUMIFS(D7870:D9015,K7870:K9015,"0",B7870:B9015,"5 1 3 5 7 12 31111 6 M59 20700 000132 0000R 00001 00357 015 2112000 2024 CP1RM401 001*")-SUMIFS(E7870:E9015,K7870:K9015,"0",B7870:B9015,"5 1 3 5 7 12 31111 6 M59 20700 000132 0000R 00001 00357 015 2112000 2024 CP1RM401 001*")</f>
        <v>0</v>
      </c>
      <c r="E7869"/>
      <c r="F7869" s="35">
        <f>SUMIFS(F7870:F9015,K7870:K9015,"0",B7870:B9015,"5 1 3 5 7 12 31111 6 M59 20700 000132 0000R 00001 00357 015 2112000 2024 CP1RM401 001*")</f>
        <v>20138</v>
      </c>
      <c r="G7869" s="35">
        <f>SUMIFS(G7870:G9015,K7870:K9015,"0",B7870:B9015,"5 1 3 5 7 12 31111 6 M59 20700 000132 0000R 00001 00357 015 2112000 2024 CP1RM401 001*")</f>
        <v>0</v>
      </c>
      <c r="H7869" s="35">
        <f t="shared" si="123"/>
        <v>20138</v>
      </c>
      <c r="I7869" s="35"/>
      <c r="K7869" t="s">
        <v>15</v>
      </c>
    </row>
    <row r="7870" spans="2:11" ht="33" x14ac:dyDescent="0.2">
      <c r="B7870" s="31" t="s">
        <v>8966</v>
      </c>
      <c r="C7870" s="31" t="s">
        <v>8967</v>
      </c>
      <c r="D7870" s="34">
        <v>0</v>
      </c>
      <c r="E7870" s="34"/>
      <c r="F7870" s="34">
        <v>20138</v>
      </c>
      <c r="G7870" s="34">
        <v>0</v>
      </c>
      <c r="H7870" s="34">
        <f t="shared" si="123"/>
        <v>20138</v>
      </c>
      <c r="I7870" s="34"/>
      <c r="K7870" t="s">
        <v>38</v>
      </c>
    </row>
    <row r="7871" spans="2:11" ht="16.5" x14ac:dyDescent="0.2">
      <c r="B7871" s="33" t="s">
        <v>8968</v>
      </c>
      <c r="C7871" s="33" t="s">
        <v>3281</v>
      </c>
      <c r="D7871" s="35">
        <f>SUMIFS(D7872:D9015,K7872:K9015,"0",B7872:B9015,"5 1 3 5 7 12 31111 6 M59 50000*")-SUMIFS(E7872:E9015,K7872:K9015,"0",B7872:B9015,"5 1 3 5 7 12 31111 6 M59 50000*")</f>
        <v>0</v>
      </c>
      <c r="E7871"/>
      <c r="F7871" s="35">
        <f>SUMIFS(F7872:F9015,K7872:K9015,"0",B7872:B9015,"5 1 3 5 7 12 31111 6 M59 50000*")</f>
        <v>19120</v>
      </c>
      <c r="G7871" s="35">
        <f>SUMIFS(G7872:G9015,K7872:K9015,"0",B7872:B9015,"5 1 3 5 7 12 31111 6 M59 50000*")</f>
        <v>0</v>
      </c>
      <c r="H7871" s="35">
        <f t="shared" si="123"/>
        <v>19120</v>
      </c>
      <c r="I7871" s="35"/>
      <c r="K7871" t="s">
        <v>15</v>
      </c>
    </row>
    <row r="7872" spans="2:11" ht="16.5" x14ac:dyDescent="0.2">
      <c r="B7872" s="33" t="s">
        <v>8969</v>
      </c>
      <c r="C7872" s="33" t="s">
        <v>3283</v>
      </c>
      <c r="D7872" s="35">
        <f>SUMIFS(D7873:D9015,K7873:K9015,"0",B7873:B9015,"5 1 3 5 7 12 31111 6 M59 50000 000223*")-SUMIFS(E7873:E9015,K7873:K9015,"0",B7873:B9015,"5 1 3 5 7 12 31111 6 M59 50000 000223*")</f>
        <v>0</v>
      </c>
      <c r="E7872"/>
      <c r="F7872" s="35">
        <f>SUMIFS(F7873:F9015,K7873:K9015,"0",B7873:B9015,"5 1 3 5 7 12 31111 6 M59 50000 000223*")</f>
        <v>19120</v>
      </c>
      <c r="G7872" s="35">
        <f>SUMIFS(G7873:G9015,K7873:K9015,"0",B7873:B9015,"5 1 3 5 7 12 31111 6 M59 50000 000223*")</f>
        <v>0</v>
      </c>
      <c r="H7872" s="35">
        <f t="shared" si="123"/>
        <v>19120</v>
      </c>
      <c r="I7872" s="35"/>
      <c r="K7872" t="s">
        <v>15</v>
      </c>
    </row>
    <row r="7873" spans="2:11" ht="24.75" x14ac:dyDescent="0.2">
      <c r="B7873" s="33" t="s">
        <v>8970</v>
      </c>
      <c r="C7873" s="33" t="s">
        <v>1065</v>
      </c>
      <c r="D7873" s="35">
        <f>SUMIFS(D7874:D9015,K7874:K9015,"0",B7874:B9015,"5 1 3 5 7 12 31111 6 M59 50000 000223 0000E*")-SUMIFS(E7874:E9015,K7874:K9015,"0",B7874:B9015,"5 1 3 5 7 12 31111 6 M59 50000 000223 0000E*")</f>
        <v>0</v>
      </c>
      <c r="E7873"/>
      <c r="F7873" s="35">
        <f>SUMIFS(F7874:F9015,K7874:K9015,"0",B7874:B9015,"5 1 3 5 7 12 31111 6 M59 50000 000223 0000E*")</f>
        <v>19120</v>
      </c>
      <c r="G7873" s="35">
        <f>SUMIFS(G7874:G9015,K7874:K9015,"0",B7874:B9015,"5 1 3 5 7 12 31111 6 M59 50000 000223 0000E*")</f>
        <v>0</v>
      </c>
      <c r="H7873" s="35">
        <f t="shared" si="123"/>
        <v>19120</v>
      </c>
      <c r="I7873" s="35"/>
      <c r="K7873" t="s">
        <v>15</v>
      </c>
    </row>
    <row r="7874" spans="2:11" ht="24.75" x14ac:dyDescent="0.2">
      <c r="B7874" s="33" t="s">
        <v>8971</v>
      </c>
      <c r="C7874" s="33" t="s">
        <v>282</v>
      </c>
      <c r="D7874" s="35">
        <f>SUMIFS(D7875:D9015,K7875:K9015,"0",B7875:B9015,"5 1 3 5 7 12 31111 6 M59 50000 000223 0000E 00001*")-SUMIFS(E7875:E9015,K7875:K9015,"0",B7875:B9015,"5 1 3 5 7 12 31111 6 M59 50000 000223 0000E 00001*")</f>
        <v>0</v>
      </c>
      <c r="E7874"/>
      <c r="F7874" s="35">
        <f>SUMIFS(F7875:F9015,K7875:K9015,"0",B7875:B9015,"5 1 3 5 7 12 31111 6 M59 50000 000223 0000E 00001*")</f>
        <v>19120</v>
      </c>
      <c r="G7874" s="35">
        <f>SUMIFS(G7875:G9015,K7875:K9015,"0",B7875:B9015,"5 1 3 5 7 12 31111 6 M59 50000 000223 0000E 00001*")</f>
        <v>0</v>
      </c>
      <c r="H7874" s="35">
        <f t="shared" si="123"/>
        <v>19120</v>
      </c>
      <c r="I7874" s="35"/>
      <c r="K7874" t="s">
        <v>15</v>
      </c>
    </row>
    <row r="7875" spans="2:11" ht="33" x14ac:dyDescent="0.2">
      <c r="B7875" s="33" t="s">
        <v>8972</v>
      </c>
      <c r="C7875" s="33" t="s">
        <v>8960</v>
      </c>
      <c r="D7875" s="35">
        <f>SUMIFS(D7876:D9015,K7876:K9015,"0",B7876:B9015,"5 1 3 5 7 12 31111 6 M59 50000 000223 0000E 00001 00357*")-SUMIFS(E7876:E9015,K7876:K9015,"0",B7876:B9015,"5 1 3 5 7 12 31111 6 M59 50000 000223 0000E 00001 00357*")</f>
        <v>0</v>
      </c>
      <c r="E7875"/>
      <c r="F7875" s="35">
        <f>SUMIFS(F7876:F9015,K7876:K9015,"0",B7876:B9015,"5 1 3 5 7 12 31111 6 M59 50000 000223 0000E 00001 00357*")</f>
        <v>19120</v>
      </c>
      <c r="G7875" s="35">
        <f>SUMIFS(G7876:G9015,K7876:K9015,"0",B7876:B9015,"5 1 3 5 7 12 31111 6 M59 50000 000223 0000E 00001 00357*")</f>
        <v>0</v>
      </c>
      <c r="H7875" s="35">
        <f t="shared" si="123"/>
        <v>19120</v>
      </c>
      <c r="I7875" s="35"/>
      <c r="K7875" t="s">
        <v>15</v>
      </c>
    </row>
    <row r="7876" spans="2:11" ht="33" x14ac:dyDescent="0.2">
      <c r="B7876" s="33" t="s">
        <v>8973</v>
      </c>
      <c r="C7876" s="33" t="s">
        <v>1051</v>
      </c>
      <c r="D7876" s="35">
        <f>SUMIFS(D7877:D9015,K7877:K9015,"0",B7877:B9015,"5 1 3 5 7 12 31111 6 M59 50000 000223 0000E 00001 00357 015*")-SUMIFS(E7877:E9015,K7877:K9015,"0",B7877:B9015,"5 1 3 5 7 12 31111 6 M59 50000 000223 0000E 00001 00357 015*")</f>
        <v>0</v>
      </c>
      <c r="E7876"/>
      <c r="F7876" s="35">
        <f>SUMIFS(F7877:F9015,K7877:K9015,"0",B7877:B9015,"5 1 3 5 7 12 31111 6 M59 50000 000223 0000E 00001 00357 015*")</f>
        <v>19120</v>
      </c>
      <c r="G7876" s="35">
        <f>SUMIFS(G7877:G9015,K7877:K9015,"0",B7877:B9015,"5 1 3 5 7 12 31111 6 M59 50000 000223 0000E 00001 00357 015*")</f>
        <v>0</v>
      </c>
      <c r="H7876" s="35">
        <f t="shared" ref="H7876:H7939" si="124">D7876 + F7876 - G7876</f>
        <v>19120</v>
      </c>
      <c r="I7876" s="35"/>
      <c r="K7876" t="s">
        <v>15</v>
      </c>
    </row>
    <row r="7877" spans="2:11" ht="33" x14ac:dyDescent="0.2">
      <c r="B7877" s="33" t="s">
        <v>8974</v>
      </c>
      <c r="C7877" s="33" t="s">
        <v>5830</v>
      </c>
      <c r="D7877" s="35">
        <f>SUMIFS(D7878:D9015,K7878:K9015,"0",B7878:B9015,"5 1 3 5 7 12 31111 6 M59 50000 000223 0000E 00001 00357 015 2112000*")-SUMIFS(E7878:E9015,K7878:K9015,"0",B7878:B9015,"5 1 3 5 7 12 31111 6 M59 50000 000223 0000E 00001 00357 015 2112000*")</f>
        <v>0</v>
      </c>
      <c r="E7877"/>
      <c r="F7877" s="35">
        <f>SUMIFS(F7878:F9015,K7878:K9015,"0",B7878:B9015,"5 1 3 5 7 12 31111 6 M59 50000 000223 0000E 00001 00357 015 2112000*")</f>
        <v>19120</v>
      </c>
      <c r="G7877" s="35">
        <f>SUMIFS(G7878:G9015,K7878:K9015,"0",B7878:B9015,"5 1 3 5 7 12 31111 6 M59 50000 000223 0000E 00001 00357 015 2112000*")</f>
        <v>0</v>
      </c>
      <c r="H7877" s="35">
        <f t="shared" si="124"/>
        <v>19120</v>
      </c>
      <c r="I7877" s="35"/>
      <c r="K7877" t="s">
        <v>15</v>
      </c>
    </row>
    <row r="7878" spans="2:11" ht="33" x14ac:dyDescent="0.2">
      <c r="B7878" s="33" t="s">
        <v>8975</v>
      </c>
      <c r="C7878" s="33" t="s">
        <v>660</v>
      </c>
      <c r="D7878" s="35">
        <f>SUMIFS(D7879:D9015,K7879:K9015,"0",B7879:B9015,"5 1 3 5 7 12 31111 6 M59 50000 000223 0000E 00001 00357 015 2112000 2024*")-SUMIFS(E7879:E9015,K7879:K9015,"0",B7879:B9015,"5 1 3 5 7 12 31111 6 M59 50000 000223 0000E 00001 00357 015 2112000 2024*")</f>
        <v>0</v>
      </c>
      <c r="E7878"/>
      <c r="F7878" s="35">
        <f>SUMIFS(F7879:F9015,K7879:K9015,"0",B7879:B9015,"5 1 3 5 7 12 31111 6 M59 50000 000223 0000E 00001 00357 015 2112000 2024*")</f>
        <v>19120</v>
      </c>
      <c r="G7878" s="35">
        <f>SUMIFS(G7879:G9015,K7879:K9015,"0",B7879:B9015,"5 1 3 5 7 12 31111 6 M59 50000 000223 0000E 00001 00357 015 2112000 2024*")</f>
        <v>0</v>
      </c>
      <c r="H7878" s="35">
        <f t="shared" si="124"/>
        <v>19120</v>
      </c>
      <c r="I7878" s="35"/>
      <c r="K7878" t="s">
        <v>15</v>
      </c>
    </row>
    <row r="7879" spans="2:11" ht="41.25" x14ac:dyDescent="0.2">
      <c r="B7879" s="33" t="s">
        <v>8976</v>
      </c>
      <c r="C7879" s="33" t="s">
        <v>662</v>
      </c>
      <c r="D7879" s="35">
        <f>SUMIFS(D7880:D9015,K7880:K9015,"0",B7880:B9015,"5 1 3 5 7 12 31111 6 M59 50000 000223 0000E 00001 00357 015 2112000 2024 CP1DA424*")-SUMIFS(E7880:E9015,K7880:K9015,"0",B7880:B9015,"5 1 3 5 7 12 31111 6 M59 50000 000223 0000E 00001 00357 015 2112000 2024 CP1DA424*")</f>
        <v>0</v>
      </c>
      <c r="E7879"/>
      <c r="F7879" s="35">
        <f>SUMIFS(F7880:F9015,K7880:K9015,"0",B7880:B9015,"5 1 3 5 7 12 31111 6 M59 50000 000223 0000E 00001 00357 015 2112000 2024 CP1DA424*")</f>
        <v>19120</v>
      </c>
      <c r="G7879" s="35">
        <f>SUMIFS(G7880:G9015,K7880:K9015,"0",B7880:B9015,"5 1 3 5 7 12 31111 6 M59 50000 000223 0000E 00001 00357 015 2112000 2024 CP1DA424*")</f>
        <v>0</v>
      </c>
      <c r="H7879" s="35">
        <f t="shared" si="124"/>
        <v>19120</v>
      </c>
      <c r="I7879" s="35"/>
      <c r="K7879" t="s">
        <v>15</v>
      </c>
    </row>
    <row r="7880" spans="2:11" ht="41.25" x14ac:dyDescent="0.2">
      <c r="B7880" s="33" t="s">
        <v>8977</v>
      </c>
      <c r="C7880" s="33" t="s">
        <v>282</v>
      </c>
      <c r="D7880" s="35">
        <f>SUMIFS(D7881:D9015,K7881:K9015,"0",B7881:B9015,"5 1 3 5 7 12 31111 6 M59 50000 000223 0000E 00001 00357 015 2112000 2024 CP1DA424 001*")-SUMIFS(E7881:E9015,K7881:K9015,"0",B7881:B9015,"5 1 3 5 7 12 31111 6 M59 50000 000223 0000E 00001 00357 015 2112000 2024 CP1DA424 001*")</f>
        <v>0</v>
      </c>
      <c r="E7880"/>
      <c r="F7880" s="35">
        <f>SUMIFS(F7881:F9015,K7881:K9015,"0",B7881:B9015,"5 1 3 5 7 12 31111 6 M59 50000 000223 0000E 00001 00357 015 2112000 2024 CP1DA424 001*")</f>
        <v>19120</v>
      </c>
      <c r="G7880" s="35">
        <f>SUMIFS(G7881:G9015,K7881:K9015,"0",B7881:B9015,"5 1 3 5 7 12 31111 6 M59 50000 000223 0000E 00001 00357 015 2112000 2024 CP1DA424 001*")</f>
        <v>0</v>
      </c>
      <c r="H7880" s="35">
        <f t="shared" si="124"/>
        <v>19120</v>
      </c>
      <c r="I7880" s="35"/>
      <c r="K7880" t="s">
        <v>15</v>
      </c>
    </row>
    <row r="7881" spans="2:11" ht="41.25" x14ac:dyDescent="0.2">
      <c r="B7881" s="31" t="s">
        <v>8978</v>
      </c>
      <c r="C7881" s="31" t="s">
        <v>8967</v>
      </c>
      <c r="D7881" s="34">
        <v>0</v>
      </c>
      <c r="E7881" s="34"/>
      <c r="F7881" s="34">
        <v>19120</v>
      </c>
      <c r="G7881" s="34">
        <v>0</v>
      </c>
      <c r="H7881" s="34">
        <f t="shared" si="124"/>
        <v>19120</v>
      </c>
      <c r="I7881" s="34"/>
      <c r="K7881" t="s">
        <v>38</v>
      </c>
    </row>
    <row r="7882" spans="2:11" ht="16.5" x14ac:dyDescent="0.2">
      <c r="B7882" s="33" t="s">
        <v>8979</v>
      </c>
      <c r="C7882" s="33" t="s">
        <v>8980</v>
      </c>
      <c r="D7882" s="35">
        <f>SUMIFS(D7883:D9015,K7883:K9015,"0",B7883:B9015,"5 1 3 6*")-SUMIFS(E7883:E9015,K7883:K9015,"0",B7883:B9015,"5 1 3 6*")</f>
        <v>0</v>
      </c>
      <c r="E7882"/>
      <c r="F7882" s="35">
        <f>SUMIFS(F7883:F9015,K7883:K9015,"0",B7883:B9015,"5 1 3 6*")</f>
        <v>321589.27</v>
      </c>
      <c r="G7882" s="35">
        <f>SUMIFS(G7883:G9015,K7883:K9015,"0",B7883:B9015,"5 1 3 6*")</f>
        <v>0</v>
      </c>
      <c r="H7882" s="35">
        <f t="shared" si="124"/>
        <v>321589.27</v>
      </c>
      <c r="I7882" s="35"/>
      <c r="K7882" t="s">
        <v>15</v>
      </c>
    </row>
    <row r="7883" spans="2:11" ht="41.25" x14ac:dyDescent="0.2">
      <c r="B7883" s="33" t="s">
        <v>8981</v>
      </c>
      <c r="C7883" s="33" t="s">
        <v>8982</v>
      </c>
      <c r="D7883" s="35">
        <f>SUMIFS(D7884:D9015,K7884:K9015,"0",B7884:B9015,"5 1 3 6 1*")-SUMIFS(E7884:E9015,K7884:K9015,"0",B7884:B9015,"5 1 3 6 1*")</f>
        <v>0</v>
      </c>
      <c r="E7883"/>
      <c r="F7883" s="35">
        <f>SUMIFS(F7884:F9015,K7884:K9015,"0",B7884:B9015,"5 1 3 6 1*")</f>
        <v>321589.27</v>
      </c>
      <c r="G7883" s="35">
        <f>SUMIFS(G7884:G9015,K7884:K9015,"0",B7884:B9015,"5 1 3 6 1*")</f>
        <v>0</v>
      </c>
      <c r="H7883" s="35">
        <f t="shared" si="124"/>
        <v>321589.27</v>
      </c>
      <c r="I7883" s="35"/>
      <c r="K7883" t="s">
        <v>15</v>
      </c>
    </row>
    <row r="7884" spans="2:11" ht="12.75" x14ac:dyDescent="0.2">
      <c r="B7884" s="33" t="s">
        <v>8983</v>
      </c>
      <c r="C7884" s="33" t="s">
        <v>26</v>
      </c>
      <c r="D7884" s="35">
        <f>SUMIFS(D7885:D9015,K7885:K9015,"0",B7885:B9015,"5 1 3 6 1 12*")-SUMIFS(E7885:E9015,K7885:K9015,"0",B7885:B9015,"5 1 3 6 1 12*")</f>
        <v>0</v>
      </c>
      <c r="E7884"/>
      <c r="F7884" s="35">
        <f>SUMIFS(F7885:F9015,K7885:K9015,"0",B7885:B9015,"5 1 3 6 1 12*")</f>
        <v>321589.27</v>
      </c>
      <c r="G7884" s="35">
        <f>SUMIFS(G7885:G9015,K7885:K9015,"0",B7885:B9015,"5 1 3 6 1 12*")</f>
        <v>0</v>
      </c>
      <c r="H7884" s="35">
        <f t="shared" si="124"/>
        <v>321589.27</v>
      </c>
      <c r="I7884" s="35"/>
      <c r="K7884" t="s">
        <v>15</v>
      </c>
    </row>
    <row r="7885" spans="2:11" ht="16.5" x14ac:dyDescent="0.2">
      <c r="B7885" s="33" t="s">
        <v>8984</v>
      </c>
      <c r="C7885" s="33" t="s">
        <v>28</v>
      </c>
      <c r="D7885" s="35">
        <f>SUMIFS(D7886:D9015,K7886:K9015,"0",B7886:B9015,"5 1 3 6 1 12 31111*")-SUMIFS(E7886:E9015,K7886:K9015,"0",B7886:B9015,"5 1 3 6 1 12 31111*")</f>
        <v>0</v>
      </c>
      <c r="E7885"/>
      <c r="F7885" s="35">
        <f>SUMIFS(F7886:F9015,K7886:K9015,"0",B7886:B9015,"5 1 3 6 1 12 31111*")</f>
        <v>321589.27</v>
      </c>
      <c r="G7885" s="35">
        <f>SUMIFS(G7886:G9015,K7886:K9015,"0",B7886:B9015,"5 1 3 6 1 12 31111*")</f>
        <v>0</v>
      </c>
      <c r="H7885" s="35">
        <f t="shared" si="124"/>
        <v>321589.27</v>
      </c>
      <c r="I7885" s="35"/>
      <c r="K7885" t="s">
        <v>15</v>
      </c>
    </row>
    <row r="7886" spans="2:11" ht="12.75" x14ac:dyDescent="0.2">
      <c r="B7886" s="33" t="s">
        <v>8985</v>
      </c>
      <c r="C7886" s="33" t="s">
        <v>30</v>
      </c>
      <c r="D7886" s="35">
        <f>SUMIFS(D7887:D9015,K7887:K9015,"0",B7887:B9015,"5 1 3 6 1 12 31111 6*")-SUMIFS(E7887:E9015,K7887:K9015,"0",B7887:B9015,"5 1 3 6 1 12 31111 6*")</f>
        <v>0</v>
      </c>
      <c r="E7886"/>
      <c r="F7886" s="35">
        <f>SUMIFS(F7887:F9015,K7887:K9015,"0",B7887:B9015,"5 1 3 6 1 12 31111 6*")</f>
        <v>321589.27</v>
      </c>
      <c r="G7886" s="35">
        <f>SUMIFS(G7887:G9015,K7887:K9015,"0",B7887:B9015,"5 1 3 6 1 12 31111 6*")</f>
        <v>0</v>
      </c>
      <c r="H7886" s="35">
        <f t="shared" si="124"/>
        <v>321589.27</v>
      </c>
      <c r="I7886" s="35"/>
      <c r="K7886" t="s">
        <v>15</v>
      </c>
    </row>
    <row r="7887" spans="2:11" ht="16.5" x14ac:dyDescent="0.2">
      <c r="B7887" s="33" t="s">
        <v>8986</v>
      </c>
      <c r="C7887" s="33" t="s">
        <v>2284</v>
      </c>
      <c r="D7887" s="35">
        <f>SUMIFS(D7888:D9015,K7888:K9015,"0",B7888:B9015,"5 1 3 6 1 12 31111 6 M59*")-SUMIFS(E7888:E9015,K7888:K9015,"0",B7888:B9015,"5 1 3 6 1 12 31111 6 M59*")</f>
        <v>0</v>
      </c>
      <c r="E7887"/>
      <c r="F7887" s="35">
        <f>SUMIFS(F7888:F9015,K7888:K9015,"0",B7888:B9015,"5 1 3 6 1 12 31111 6 M59*")</f>
        <v>321589.27</v>
      </c>
      <c r="G7887" s="35">
        <f>SUMIFS(G7888:G9015,K7888:K9015,"0",B7888:B9015,"5 1 3 6 1 12 31111 6 M59*")</f>
        <v>0</v>
      </c>
      <c r="H7887" s="35">
        <f t="shared" si="124"/>
        <v>321589.27</v>
      </c>
      <c r="I7887" s="35"/>
      <c r="K7887" t="s">
        <v>15</v>
      </c>
    </row>
    <row r="7888" spans="2:11" ht="16.5" x14ac:dyDescent="0.2">
      <c r="B7888" s="33" t="s">
        <v>8987</v>
      </c>
      <c r="C7888" s="33" t="s">
        <v>2946</v>
      </c>
      <c r="D7888" s="35">
        <f>SUMIFS(D7889:D9015,K7889:K9015,"0",B7889:B9015,"5 1 3 6 1 12 31111 6 M59 10300*")-SUMIFS(E7889:E9015,K7889:K9015,"0",B7889:B9015,"5 1 3 6 1 12 31111 6 M59 10300*")</f>
        <v>0</v>
      </c>
      <c r="E7888"/>
      <c r="F7888" s="35">
        <f>SUMIFS(F7889:F9015,K7889:K9015,"0",B7889:B9015,"5 1 3 6 1 12 31111 6 M59 10300*")</f>
        <v>85589.27</v>
      </c>
      <c r="G7888" s="35">
        <f>SUMIFS(G7889:G9015,K7889:K9015,"0",B7889:B9015,"5 1 3 6 1 12 31111 6 M59 10300*")</f>
        <v>0</v>
      </c>
      <c r="H7888" s="35">
        <f t="shared" si="124"/>
        <v>85589.27</v>
      </c>
      <c r="I7888" s="35"/>
      <c r="K7888" t="s">
        <v>15</v>
      </c>
    </row>
    <row r="7889" spans="2:11" ht="16.5" x14ac:dyDescent="0.2">
      <c r="B7889" s="33" t="s">
        <v>8988</v>
      </c>
      <c r="C7889" s="33" t="s">
        <v>648</v>
      </c>
      <c r="D7889" s="35">
        <f>SUMIFS(D7890:D9015,K7890:K9015,"0",B7890:B9015,"5 1 3 6 1 12 31111 6 M59 10300 000132*")-SUMIFS(E7890:E9015,K7890:K9015,"0",B7890:B9015,"5 1 3 6 1 12 31111 6 M59 10300 000132*")</f>
        <v>0</v>
      </c>
      <c r="E7889"/>
      <c r="F7889" s="35">
        <f>SUMIFS(F7890:F9015,K7890:K9015,"0",B7890:B9015,"5 1 3 6 1 12 31111 6 M59 10300 000132*")</f>
        <v>1948</v>
      </c>
      <c r="G7889" s="35">
        <f>SUMIFS(G7890:G9015,K7890:K9015,"0",B7890:B9015,"5 1 3 6 1 12 31111 6 M59 10300 000132*")</f>
        <v>0</v>
      </c>
      <c r="H7889" s="35">
        <f t="shared" si="124"/>
        <v>1948</v>
      </c>
      <c r="I7889" s="35"/>
      <c r="K7889" t="s">
        <v>15</v>
      </c>
    </row>
    <row r="7890" spans="2:11" ht="24.75" x14ac:dyDescent="0.2">
      <c r="B7890" s="33" t="s">
        <v>8989</v>
      </c>
      <c r="C7890" s="33" t="s">
        <v>650</v>
      </c>
      <c r="D7890" s="35">
        <f>SUMIFS(D7891:D9015,K7891:K9015,"0",B7891:B9015,"5 1 3 6 1 12 31111 6 M59 10300 000132 0000R*")-SUMIFS(E7891:E9015,K7891:K9015,"0",B7891:B9015,"5 1 3 6 1 12 31111 6 M59 10300 000132 0000R*")</f>
        <v>0</v>
      </c>
      <c r="E7890"/>
      <c r="F7890" s="35">
        <f>SUMIFS(F7891:F9015,K7891:K9015,"0",B7891:B9015,"5 1 3 6 1 12 31111 6 M59 10300 000132 0000R*")</f>
        <v>1948</v>
      </c>
      <c r="G7890" s="35">
        <f>SUMIFS(G7891:G9015,K7891:K9015,"0",B7891:B9015,"5 1 3 6 1 12 31111 6 M59 10300 000132 0000R*")</f>
        <v>0</v>
      </c>
      <c r="H7890" s="35">
        <f t="shared" si="124"/>
        <v>1948</v>
      </c>
      <c r="I7890" s="35"/>
      <c r="K7890" t="s">
        <v>15</v>
      </c>
    </row>
    <row r="7891" spans="2:11" ht="24.75" x14ac:dyDescent="0.2">
      <c r="B7891" s="33" t="s">
        <v>8990</v>
      </c>
      <c r="C7891" s="33" t="s">
        <v>282</v>
      </c>
      <c r="D7891" s="35">
        <f>SUMIFS(D7892:D9015,K7892:K9015,"0",B7892:B9015,"5 1 3 6 1 12 31111 6 M59 10300 000132 0000R 00001*")-SUMIFS(E7892:E9015,K7892:K9015,"0",B7892:B9015,"5 1 3 6 1 12 31111 6 M59 10300 000132 0000R 00001*")</f>
        <v>0</v>
      </c>
      <c r="E7891"/>
      <c r="F7891" s="35">
        <f>SUMIFS(F7892:F9015,K7892:K9015,"0",B7892:B9015,"5 1 3 6 1 12 31111 6 M59 10300 000132 0000R 00001*")</f>
        <v>1948</v>
      </c>
      <c r="G7891" s="35">
        <f>SUMIFS(G7892:G9015,K7892:K9015,"0",B7892:B9015,"5 1 3 6 1 12 31111 6 M59 10300 000132 0000R 00001*")</f>
        <v>0</v>
      </c>
      <c r="H7891" s="35">
        <f t="shared" si="124"/>
        <v>1948</v>
      </c>
      <c r="I7891" s="35"/>
      <c r="K7891" t="s">
        <v>15</v>
      </c>
    </row>
    <row r="7892" spans="2:11" ht="41.25" x14ac:dyDescent="0.2">
      <c r="B7892" s="33" t="s">
        <v>8991</v>
      </c>
      <c r="C7892" s="33" t="s">
        <v>8992</v>
      </c>
      <c r="D7892" s="35">
        <f>SUMIFS(D7893:D9015,K7893:K9015,"0",B7893:B9015,"5 1 3 6 1 12 31111 6 M59 10300 000132 0000R 00001 00361*")-SUMIFS(E7893:E9015,K7893:K9015,"0",B7893:B9015,"5 1 3 6 1 12 31111 6 M59 10300 000132 0000R 00001 00361*")</f>
        <v>0</v>
      </c>
      <c r="E7892"/>
      <c r="F7892" s="35">
        <f>SUMIFS(F7893:F9015,K7893:K9015,"0",B7893:B9015,"5 1 3 6 1 12 31111 6 M59 10300 000132 0000R 00001 00361*")</f>
        <v>1948</v>
      </c>
      <c r="G7892" s="35">
        <f>SUMIFS(G7893:G9015,K7893:K9015,"0",B7893:B9015,"5 1 3 6 1 12 31111 6 M59 10300 000132 0000R 00001 00361*")</f>
        <v>0</v>
      </c>
      <c r="H7892" s="35">
        <f t="shared" si="124"/>
        <v>1948</v>
      </c>
      <c r="I7892" s="35"/>
      <c r="K7892" t="s">
        <v>15</v>
      </c>
    </row>
    <row r="7893" spans="2:11" ht="33" x14ac:dyDescent="0.2">
      <c r="B7893" s="33" t="s">
        <v>8993</v>
      </c>
      <c r="C7893" s="33" t="s">
        <v>1051</v>
      </c>
      <c r="D7893" s="35">
        <f>SUMIFS(D7894:D9015,K7894:K9015,"0",B7894:B9015,"5 1 3 6 1 12 31111 6 M59 10300 000132 0000R 00001 00361 015*")-SUMIFS(E7894:E9015,K7894:K9015,"0",B7894:B9015,"5 1 3 6 1 12 31111 6 M59 10300 000132 0000R 00001 00361 015*")</f>
        <v>0</v>
      </c>
      <c r="E7893"/>
      <c r="F7893" s="35">
        <f>SUMIFS(F7894:F9015,K7894:K9015,"0",B7894:B9015,"5 1 3 6 1 12 31111 6 M59 10300 000132 0000R 00001 00361 015*")</f>
        <v>1948</v>
      </c>
      <c r="G7893" s="35">
        <f>SUMIFS(G7894:G9015,K7894:K9015,"0",B7894:B9015,"5 1 3 6 1 12 31111 6 M59 10300 000132 0000R 00001 00361 015*")</f>
        <v>0</v>
      </c>
      <c r="H7893" s="35">
        <f t="shared" si="124"/>
        <v>1948</v>
      </c>
      <c r="I7893" s="35"/>
      <c r="K7893" t="s">
        <v>15</v>
      </c>
    </row>
    <row r="7894" spans="2:11" ht="33" x14ac:dyDescent="0.2">
      <c r="B7894" s="33" t="s">
        <v>8994</v>
      </c>
      <c r="C7894" s="33" t="s">
        <v>5830</v>
      </c>
      <c r="D7894" s="35">
        <f>SUMIFS(D7895:D9015,K7895:K9015,"0",B7895:B9015,"5 1 3 6 1 12 31111 6 M59 10300 000132 0000R 00001 00361 015 2112000*")-SUMIFS(E7895:E9015,K7895:K9015,"0",B7895:B9015,"5 1 3 6 1 12 31111 6 M59 10300 000132 0000R 00001 00361 015 2112000*")</f>
        <v>0</v>
      </c>
      <c r="E7894"/>
      <c r="F7894" s="35">
        <f>SUMIFS(F7895:F9015,K7895:K9015,"0",B7895:B9015,"5 1 3 6 1 12 31111 6 M59 10300 000132 0000R 00001 00361 015 2112000*")</f>
        <v>1948</v>
      </c>
      <c r="G7894" s="35">
        <f>SUMIFS(G7895:G9015,K7895:K9015,"0",B7895:B9015,"5 1 3 6 1 12 31111 6 M59 10300 000132 0000R 00001 00361 015 2112000*")</f>
        <v>0</v>
      </c>
      <c r="H7894" s="35">
        <f t="shared" si="124"/>
        <v>1948</v>
      </c>
      <c r="I7894" s="35"/>
      <c r="K7894" t="s">
        <v>15</v>
      </c>
    </row>
    <row r="7895" spans="2:11" ht="33" x14ac:dyDescent="0.2">
      <c r="B7895" s="33" t="s">
        <v>8995</v>
      </c>
      <c r="C7895" s="33" t="s">
        <v>660</v>
      </c>
      <c r="D7895" s="35">
        <f>SUMIFS(D7896:D9015,K7896:K9015,"0",B7896:B9015,"5 1 3 6 1 12 31111 6 M59 10300 000132 0000R 00001 00361 015 2112000 2024*")-SUMIFS(E7896:E9015,K7896:K9015,"0",B7896:B9015,"5 1 3 6 1 12 31111 6 M59 10300 000132 0000R 00001 00361 015 2112000 2024*")</f>
        <v>0</v>
      </c>
      <c r="E7895"/>
      <c r="F7895" s="35">
        <f>SUMIFS(F7896:F9015,K7896:K9015,"0",B7896:B9015,"5 1 3 6 1 12 31111 6 M59 10300 000132 0000R 00001 00361 015 2112000 2024*")</f>
        <v>1948</v>
      </c>
      <c r="G7895" s="35">
        <f>SUMIFS(G7896:G9015,K7896:K9015,"0",B7896:B9015,"5 1 3 6 1 12 31111 6 M59 10300 000132 0000R 00001 00361 015 2112000 2024*")</f>
        <v>0</v>
      </c>
      <c r="H7895" s="35">
        <f t="shared" si="124"/>
        <v>1948</v>
      </c>
      <c r="I7895" s="35"/>
      <c r="K7895" t="s">
        <v>15</v>
      </c>
    </row>
    <row r="7896" spans="2:11" ht="41.25" x14ac:dyDescent="0.2">
      <c r="B7896" s="33" t="s">
        <v>8996</v>
      </c>
      <c r="C7896" s="33" t="s">
        <v>2955</v>
      </c>
      <c r="D7896" s="35">
        <f>SUMIFS(D7897:D9015,K7897:K9015,"0",B7897:B9015,"5 1 3 6 1 12 31111 6 M59 10300 000132 0000R 00001 00361 015 2112000 2024 CP1GE413*")-SUMIFS(E7897:E9015,K7897:K9015,"0",B7897:B9015,"5 1 3 6 1 12 31111 6 M59 10300 000132 0000R 00001 00361 015 2112000 2024 CP1GE413*")</f>
        <v>0</v>
      </c>
      <c r="E7896"/>
      <c r="F7896" s="35">
        <f>SUMIFS(F7897:F9015,K7897:K9015,"0",B7897:B9015,"5 1 3 6 1 12 31111 6 M59 10300 000132 0000R 00001 00361 015 2112000 2024 CP1GE413*")</f>
        <v>1948</v>
      </c>
      <c r="G7896" s="35">
        <f>SUMIFS(G7897:G9015,K7897:K9015,"0",B7897:B9015,"5 1 3 6 1 12 31111 6 M59 10300 000132 0000R 00001 00361 015 2112000 2024 CP1GE413*")</f>
        <v>0</v>
      </c>
      <c r="H7896" s="35">
        <f t="shared" si="124"/>
        <v>1948</v>
      </c>
      <c r="I7896" s="35"/>
      <c r="K7896" t="s">
        <v>15</v>
      </c>
    </row>
    <row r="7897" spans="2:11" ht="41.25" x14ac:dyDescent="0.2">
      <c r="B7897" s="33" t="s">
        <v>8997</v>
      </c>
      <c r="C7897" s="33" t="s">
        <v>282</v>
      </c>
      <c r="D7897" s="35">
        <f>SUMIFS(D7898:D9015,K7898:K9015,"0",B7898:B9015,"5 1 3 6 1 12 31111 6 M59 10300 000132 0000R 00001 00361 015 2112000 2024 CP1GE413 001*")-SUMIFS(E7898:E9015,K7898:K9015,"0",B7898:B9015,"5 1 3 6 1 12 31111 6 M59 10300 000132 0000R 00001 00361 015 2112000 2024 CP1GE413 001*")</f>
        <v>0</v>
      </c>
      <c r="E7897"/>
      <c r="F7897" s="35">
        <f>SUMIFS(F7898:F9015,K7898:K9015,"0",B7898:B9015,"5 1 3 6 1 12 31111 6 M59 10300 000132 0000R 00001 00361 015 2112000 2024 CP1GE413 001*")</f>
        <v>1948</v>
      </c>
      <c r="G7897" s="35">
        <f>SUMIFS(G7898:G9015,K7898:K9015,"0",B7898:B9015,"5 1 3 6 1 12 31111 6 M59 10300 000132 0000R 00001 00361 015 2112000 2024 CP1GE413 001*")</f>
        <v>0</v>
      </c>
      <c r="H7897" s="35">
        <f t="shared" si="124"/>
        <v>1948</v>
      </c>
      <c r="I7897" s="35"/>
      <c r="K7897" t="s">
        <v>15</v>
      </c>
    </row>
    <row r="7898" spans="2:11" ht="33" x14ac:dyDescent="0.2">
      <c r="B7898" s="31" t="s">
        <v>8998</v>
      </c>
      <c r="C7898" s="31" t="s">
        <v>8992</v>
      </c>
      <c r="D7898" s="34">
        <v>0</v>
      </c>
      <c r="E7898" s="34"/>
      <c r="F7898" s="34">
        <v>1948</v>
      </c>
      <c r="G7898" s="34">
        <v>0</v>
      </c>
      <c r="H7898" s="34">
        <f t="shared" si="124"/>
        <v>1948</v>
      </c>
      <c r="I7898" s="34"/>
      <c r="K7898" t="s">
        <v>38</v>
      </c>
    </row>
    <row r="7899" spans="2:11" ht="16.5" x14ac:dyDescent="0.2">
      <c r="B7899" s="33" t="s">
        <v>8999</v>
      </c>
      <c r="C7899" s="33" t="s">
        <v>1063</v>
      </c>
      <c r="D7899" s="35">
        <f>SUMIFS(D7900:D9015,K7900:K9015,"0",B7900:B9015,"5 1 3 6 1 12 31111 6 M59 10300 000139*")-SUMIFS(E7900:E9015,K7900:K9015,"0",B7900:B9015,"5 1 3 6 1 12 31111 6 M59 10300 000139*")</f>
        <v>0</v>
      </c>
      <c r="E7899"/>
      <c r="F7899" s="35">
        <f>SUMIFS(F7900:F9015,K7900:K9015,"0",B7900:B9015,"5 1 3 6 1 12 31111 6 M59 10300 000139*")</f>
        <v>83641.27</v>
      </c>
      <c r="G7899" s="35">
        <f>SUMIFS(G7900:G9015,K7900:K9015,"0",B7900:B9015,"5 1 3 6 1 12 31111 6 M59 10300 000139*")</f>
        <v>0</v>
      </c>
      <c r="H7899" s="35">
        <f t="shared" si="124"/>
        <v>83641.27</v>
      </c>
      <c r="I7899" s="35"/>
      <c r="K7899" t="s">
        <v>15</v>
      </c>
    </row>
    <row r="7900" spans="2:11" ht="24.75" x14ac:dyDescent="0.2">
      <c r="B7900" s="33" t="s">
        <v>9000</v>
      </c>
      <c r="C7900" s="33" t="s">
        <v>1065</v>
      </c>
      <c r="D7900" s="35">
        <f>SUMIFS(D7901:D9015,K7901:K9015,"0",B7901:B9015,"5 1 3 6 1 12 31111 6 M59 10300 000139 0000E*")-SUMIFS(E7901:E9015,K7901:K9015,"0",B7901:B9015,"5 1 3 6 1 12 31111 6 M59 10300 000139 0000E*")</f>
        <v>0</v>
      </c>
      <c r="E7900"/>
      <c r="F7900" s="35">
        <f>SUMIFS(F7901:F9015,K7901:K9015,"0",B7901:B9015,"5 1 3 6 1 12 31111 6 M59 10300 000139 0000E*")</f>
        <v>83641.27</v>
      </c>
      <c r="G7900" s="35">
        <f>SUMIFS(G7901:G9015,K7901:K9015,"0",B7901:B9015,"5 1 3 6 1 12 31111 6 M59 10300 000139 0000E*")</f>
        <v>0</v>
      </c>
      <c r="H7900" s="35">
        <f t="shared" si="124"/>
        <v>83641.27</v>
      </c>
      <c r="I7900" s="35"/>
      <c r="K7900" t="s">
        <v>15</v>
      </c>
    </row>
    <row r="7901" spans="2:11" ht="24.75" x14ac:dyDescent="0.2">
      <c r="B7901" s="33" t="s">
        <v>9001</v>
      </c>
      <c r="C7901" s="33" t="s">
        <v>282</v>
      </c>
      <c r="D7901" s="35">
        <f>SUMIFS(D7902:D9015,K7902:K9015,"0",B7902:B9015,"5 1 3 6 1 12 31111 6 M59 10300 000139 0000E 00001*")-SUMIFS(E7902:E9015,K7902:K9015,"0",B7902:B9015,"5 1 3 6 1 12 31111 6 M59 10300 000139 0000E 00001*")</f>
        <v>0</v>
      </c>
      <c r="E7901"/>
      <c r="F7901" s="35">
        <f>SUMIFS(F7902:F9015,K7902:K9015,"0",B7902:B9015,"5 1 3 6 1 12 31111 6 M59 10300 000139 0000E 00001*")</f>
        <v>83641.27</v>
      </c>
      <c r="G7901" s="35">
        <f>SUMIFS(G7902:G9015,K7902:K9015,"0",B7902:B9015,"5 1 3 6 1 12 31111 6 M59 10300 000139 0000E 00001*")</f>
        <v>0</v>
      </c>
      <c r="H7901" s="35">
        <f t="shared" si="124"/>
        <v>83641.27</v>
      </c>
      <c r="I7901" s="35"/>
      <c r="K7901" t="s">
        <v>15</v>
      </c>
    </row>
    <row r="7902" spans="2:11" ht="41.25" x14ac:dyDescent="0.2">
      <c r="B7902" s="33" t="s">
        <v>9002</v>
      </c>
      <c r="C7902" s="33" t="s">
        <v>8992</v>
      </c>
      <c r="D7902" s="35">
        <f>SUMIFS(D7903:D9015,K7903:K9015,"0",B7903:B9015,"5 1 3 6 1 12 31111 6 M59 10300 000139 0000E 00001 00361*")-SUMIFS(E7903:E9015,K7903:K9015,"0",B7903:B9015,"5 1 3 6 1 12 31111 6 M59 10300 000139 0000E 00001 00361*")</f>
        <v>0</v>
      </c>
      <c r="E7902"/>
      <c r="F7902" s="35">
        <f>SUMIFS(F7903:F9015,K7903:K9015,"0",B7903:B9015,"5 1 3 6 1 12 31111 6 M59 10300 000139 0000E 00001 00361*")</f>
        <v>83641.27</v>
      </c>
      <c r="G7902" s="35">
        <f>SUMIFS(G7903:G9015,K7903:K9015,"0",B7903:B9015,"5 1 3 6 1 12 31111 6 M59 10300 000139 0000E 00001 00361*")</f>
        <v>0</v>
      </c>
      <c r="H7902" s="35">
        <f t="shared" si="124"/>
        <v>83641.27</v>
      </c>
      <c r="I7902" s="35"/>
      <c r="K7902" t="s">
        <v>15</v>
      </c>
    </row>
    <row r="7903" spans="2:11" ht="33" x14ac:dyDescent="0.2">
      <c r="B7903" s="33" t="s">
        <v>9003</v>
      </c>
      <c r="C7903" s="33" t="s">
        <v>699</v>
      </c>
      <c r="D7903" s="35">
        <f>SUMIFS(D7904:D9015,K7904:K9015,"0",B7904:B9015,"5 1 3 6 1 12 31111 6 M59 10300 000139 0000E 00001 00361 011*")-SUMIFS(E7904:E9015,K7904:K9015,"0",B7904:B9015,"5 1 3 6 1 12 31111 6 M59 10300 000139 0000E 00001 00361 011*")</f>
        <v>0</v>
      </c>
      <c r="E7903"/>
      <c r="F7903" s="35">
        <f>SUMIFS(F7904:F9015,K7904:K9015,"0",B7904:B9015,"5 1 3 6 1 12 31111 6 M59 10300 000139 0000E 00001 00361 011*")</f>
        <v>83641.27</v>
      </c>
      <c r="G7903" s="35">
        <f>SUMIFS(G7904:G9015,K7904:K9015,"0",B7904:B9015,"5 1 3 6 1 12 31111 6 M59 10300 000139 0000E 00001 00361 011*")</f>
        <v>0</v>
      </c>
      <c r="H7903" s="35">
        <f t="shared" si="124"/>
        <v>83641.27</v>
      </c>
      <c r="I7903" s="35"/>
      <c r="K7903" t="s">
        <v>15</v>
      </c>
    </row>
    <row r="7904" spans="2:11" ht="33" x14ac:dyDescent="0.2">
      <c r="B7904" s="33" t="s">
        <v>9004</v>
      </c>
      <c r="C7904" s="33" t="s">
        <v>5830</v>
      </c>
      <c r="D7904" s="35">
        <f>SUMIFS(D7905:D9015,K7905:K9015,"0",B7905:B9015,"5 1 3 6 1 12 31111 6 M59 10300 000139 0000E 00001 00361 011 2112000*")-SUMIFS(E7905:E9015,K7905:K9015,"0",B7905:B9015,"5 1 3 6 1 12 31111 6 M59 10300 000139 0000E 00001 00361 011 2112000*")</f>
        <v>0</v>
      </c>
      <c r="E7904"/>
      <c r="F7904" s="35">
        <f>SUMIFS(F7905:F9015,K7905:K9015,"0",B7905:B9015,"5 1 3 6 1 12 31111 6 M59 10300 000139 0000E 00001 00361 011 2112000*")</f>
        <v>83641.27</v>
      </c>
      <c r="G7904" s="35">
        <f>SUMIFS(G7905:G9015,K7905:K9015,"0",B7905:B9015,"5 1 3 6 1 12 31111 6 M59 10300 000139 0000E 00001 00361 011 2112000*")</f>
        <v>0</v>
      </c>
      <c r="H7904" s="35">
        <f t="shared" si="124"/>
        <v>83641.27</v>
      </c>
      <c r="I7904" s="35"/>
      <c r="K7904" t="s">
        <v>15</v>
      </c>
    </row>
    <row r="7905" spans="2:11" ht="33" x14ac:dyDescent="0.2">
      <c r="B7905" s="33" t="s">
        <v>9005</v>
      </c>
      <c r="C7905" s="33" t="s">
        <v>660</v>
      </c>
      <c r="D7905" s="35">
        <f>SUMIFS(D7906:D9015,K7906:K9015,"0",B7906:B9015,"5 1 3 6 1 12 31111 6 M59 10300 000139 0000E 00001 00361 011 2112000 2024*")-SUMIFS(E7906:E9015,K7906:K9015,"0",B7906:B9015,"5 1 3 6 1 12 31111 6 M59 10300 000139 0000E 00001 00361 011 2112000 2024*")</f>
        <v>0</v>
      </c>
      <c r="E7905"/>
      <c r="F7905" s="35">
        <f>SUMIFS(F7906:F9015,K7906:K9015,"0",B7906:B9015,"5 1 3 6 1 12 31111 6 M59 10300 000139 0000E 00001 00361 011 2112000 2024*")</f>
        <v>83641.27</v>
      </c>
      <c r="G7905" s="35">
        <f>SUMIFS(G7906:G9015,K7906:K9015,"0",B7906:B9015,"5 1 3 6 1 12 31111 6 M59 10300 000139 0000E 00001 00361 011 2112000 2024*")</f>
        <v>0</v>
      </c>
      <c r="H7905" s="35">
        <f t="shared" si="124"/>
        <v>83641.27</v>
      </c>
      <c r="I7905" s="35"/>
      <c r="K7905" t="s">
        <v>15</v>
      </c>
    </row>
    <row r="7906" spans="2:11" ht="41.25" x14ac:dyDescent="0.2">
      <c r="B7906" s="33" t="s">
        <v>9006</v>
      </c>
      <c r="C7906" s="33" t="s">
        <v>8510</v>
      </c>
      <c r="D7906" s="35">
        <f>SUMIFS(D7907:D9015,K7907:K9015,"0",B7907:B9015,"5 1 3 6 1 12 31111 6 M59 10300 000139 0000E 00001 00361 011 2112000 2024 CP3GE486*")-SUMIFS(E7907:E9015,K7907:K9015,"0",B7907:B9015,"5 1 3 6 1 12 31111 6 M59 10300 000139 0000E 00001 00361 011 2112000 2024 CP3GE486*")</f>
        <v>0</v>
      </c>
      <c r="E7906"/>
      <c r="F7906" s="35">
        <f>SUMIFS(F7907:F9015,K7907:K9015,"0",B7907:B9015,"5 1 3 6 1 12 31111 6 M59 10300 000139 0000E 00001 00361 011 2112000 2024 CP3GE486*")</f>
        <v>83641.27</v>
      </c>
      <c r="G7906" s="35">
        <f>SUMIFS(G7907:G9015,K7907:K9015,"0",B7907:B9015,"5 1 3 6 1 12 31111 6 M59 10300 000139 0000E 00001 00361 011 2112000 2024 CP3GE486*")</f>
        <v>0</v>
      </c>
      <c r="H7906" s="35">
        <f t="shared" si="124"/>
        <v>83641.27</v>
      </c>
      <c r="I7906" s="35"/>
      <c r="K7906" t="s">
        <v>15</v>
      </c>
    </row>
    <row r="7907" spans="2:11" ht="41.25" x14ac:dyDescent="0.2">
      <c r="B7907" s="33" t="s">
        <v>9007</v>
      </c>
      <c r="C7907" s="33" t="s">
        <v>46</v>
      </c>
      <c r="D7907" s="35">
        <f>SUMIFS(D7908:D9015,K7908:K9015,"0",B7908:B9015,"5 1 3 6 1 12 31111 6 M59 10300 000139 0000E 00001 00361 011 2112000 2024 CP3GE486 004*")-SUMIFS(E7908:E9015,K7908:K9015,"0",B7908:B9015,"5 1 3 6 1 12 31111 6 M59 10300 000139 0000E 00001 00361 011 2112000 2024 CP3GE486 004*")</f>
        <v>0</v>
      </c>
      <c r="E7907"/>
      <c r="F7907" s="35">
        <f>SUMIFS(F7908:F9015,K7908:K9015,"0",B7908:B9015,"5 1 3 6 1 12 31111 6 M59 10300 000139 0000E 00001 00361 011 2112000 2024 CP3GE486 004*")</f>
        <v>83641.27</v>
      </c>
      <c r="G7907" s="35">
        <f>SUMIFS(G7908:G9015,K7908:K9015,"0",B7908:B9015,"5 1 3 6 1 12 31111 6 M59 10300 000139 0000E 00001 00361 011 2112000 2024 CP3GE486 004*")</f>
        <v>0</v>
      </c>
      <c r="H7907" s="35">
        <f t="shared" si="124"/>
        <v>83641.27</v>
      </c>
      <c r="I7907" s="35"/>
      <c r="K7907" t="s">
        <v>15</v>
      </c>
    </row>
    <row r="7908" spans="2:11" ht="33" x14ac:dyDescent="0.2">
      <c r="B7908" s="31" t="s">
        <v>9008</v>
      </c>
      <c r="C7908" s="31" t="s">
        <v>9009</v>
      </c>
      <c r="D7908" s="34">
        <v>0</v>
      </c>
      <c r="E7908" s="34"/>
      <c r="F7908" s="34">
        <v>83641.27</v>
      </c>
      <c r="G7908" s="34">
        <v>0</v>
      </c>
      <c r="H7908" s="34">
        <f t="shared" si="124"/>
        <v>83641.27</v>
      </c>
      <c r="I7908" s="34"/>
      <c r="K7908" t="s">
        <v>38</v>
      </c>
    </row>
    <row r="7909" spans="2:11" ht="16.5" x14ac:dyDescent="0.2">
      <c r="B7909" s="33" t="s">
        <v>9010</v>
      </c>
      <c r="C7909" s="33" t="s">
        <v>2971</v>
      </c>
      <c r="D7909" s="35">
        <f>SUMIFS(D7910:D9015,K7910:K9015,"0",B7910:B9015,"5 1 3 6 1 12 31111 6 M59 10500*")-SUMIFS(E7910:E9015,K7910:K9015,"0",B7910:B9015,"5 1 3 6 1 12 31111 6 M59 10500*")</f>
        <v>0</v>
      </c>
      <c r="E7909"/>
      <c r="F7909" s="35">
        <f>SUMIFS(F7910:F9015,K7910:K9015,"0",B7910:B9015,"5 1 3 6 1 12 31111 6 M59 10500*")</f>
        <v>236000</v>
      </c>
      <c r="G7909" s="35">
        <f>SUMIFS(G7910:G9015,K7910:K9015,"0",B7910:B9015,"5 1 3 6 1 12 31111 6 M59 10500*")</f>
        <v>0</v>
      </c>
      <c r="H7909" s="35">
        <f t="shared" si="124"/>
        <v>236000</v>
      </c>
      <c r="I7909" s="35"/>
      <c r="K7909" t="s">
        <v>15</v>
      </c>
    </row>
    <row r="7910" spans="2:11" ht="16.5" x14ac:dyDescent="0.2">
      <c r="B7910" s="33" t="s">
        <v>9011</v>
      </c>
      <c r="C7910" s="33" t="s">
        <v>648</v>
      </c>
      <c r="D7910" s="35">
        <f>SUMIFS(D7911:D9015,K7911:K9015,"0",B7911:B9015,"5 1 3 6 1 12 31111 6 M59 10500 000132*")-SUMIFS(E7911:E9015,K7911:K9015,"0",B7911:B9015,"5 1 3 6 1 12 31111 6 M59 10500 000132*")</f>
        <v>0</v>
      </c>
      <c r="E7910"/>
      <c r="F7910" s="35">
        <f>SUMIFS(F7911:F9015,K7911:K9015,"0",B7911:B9015,"5 1 3 6 1 12 31111 6 M59 10500 000132*")</f>
        <v>236000</v>
      </c>
      <c r="G7910" s="35">
        <f>SUMIFS(G7911:G9015,K7911:K9015,"0",B7911:B9015,"5 1 3 6 1 12 31111 6 M59 10500 000132*")</f>
        <v>0</v>
      </c>
      <c r="H7910" s="35">
        <f t="shared" si="124"/>
        <v>236000</v>
      </c>
      <c r="I7910" s="35"/>
      <c r="K7910" t="s">
        <v>15</v>
      </c>
    </row>
    <row r="7911" spans="2:11" ht="24.75" x14ac:dyDescent="0.2">
      <c r="B7911" s="33" t="s">
        <v>9012</v>
      </c>
      <c r="C7911" s="33" t="s">
        <v>650</v>
      </c>
      <c r="D7911" s="35">
        <f>SUMIFS(D7912:D9015,K7912:K9015,"0",B7912:B9015,"5 1 3 6 1 12 31111 6 M59 10500 000132 0000R*")-SUMIFS(E7912:E9015,K7912:K9015,"0",B7912:B9015,"5 1 3 6 1 12 31111 6 M59 10500 000132 0000R*")</f>
        <v>0</v>
      </c>
      <c r="E7911"/>
      <c r="F7911" s="35">
        <f>SUMIFS(F7912:F9015,K7912:K9015,"0",B7912:B9015,"5 1 3 6 1 12 31111 6 M59 10500 000132 0000R*")</f>
        <v>236000</v>
      </c>
      <c r="G7911" s="35">
        <f>SUMIFS(G7912:G9015,K7912:K9015,"0",B7912:B9015,"5 1 3 6 1 12 31111 6 M59 10500 000132 0000R*")</f>
        <v>0</v>
      </c>
      <c r="H7911" s="35">
        <f t="shared" si="124"/>
        <v>236000</v>
      </c>
      <c r="I7911" s="35"/>
      <c r="K7911" t="s">
        <v>15</v>
      </c>
    </row>
    <row r="7912" spans="2:11" ht="24.75" x14ac:dyDescent="0.2">
      <c r="B7912" s="33" t="s">
        <v>9013</v>
      </c>
      <c r="C7912" s="33" t="s">
        <v>282</v>
      </c>
      <c r="D7912" s="35">
        <f>SUMIFS(D7913:D9015,K7913:K9015,"0",B7913:B9015,"5 1 3 6 1 12 31111 6 M59 10500 000132 0000R 00001*")-SUMIFS(E7913:E9015,K7913:K9015,"0",B7913:B9015,"5 1 3 6 1 12 31111 6 M59 10500 000132 0000R 00001*")</f>
        <v>0</v>
      </c>
      <c r="E7912"/>
      <c r="F7912" s="35">
        <f>SUMIFS(F7913:F9015,K7913:K9015,"0",B7913:B9015,"5 1 3 6 1 12 31111 6 M59 10500 000132 0000R 00001*")</f>
        <v>236000</v>
      </c>
      <c r="G7912" s="35">
        <f>SUMIFS(G7913:G9015,K7913:K9015,"0",B7913:B9015,"5 1 3 6 1 12 31111 6 M59 10500 000132 0000R 00001*")</f>
        <v>0</v>
      </c>
      <c r="H7912" s="35">
        <f t="shared" si="124"/>
        <v>236000</v>
      </c>
      <c r="I7912" s="35"/>
      <c r="K7912" t="s">
        <v>15</v>
      </c>
    </row>
    <row r="7913" spans="2:11" ht="41.25" x14ac:dyDescent="0.2">
      <c r="B7913" s="33" t="s">
        <v>9014</v>
      </c>
      <c r="C7913" s="33" t="s">
        <v>8992</v>
      </c>
      <c r="D7913" s="35">
        <f>SUMIFS(D7914:D9015,K7914:K9015,"0",B7914:B9015,"5 1 3 6 1 12 31111 6 M59 10500 000132 0000R 00001 00361*")-SUMIFS(E7914:E9015,K7914:K9015,"0",B7914:B9015,"5 1 3 6 1 12 31111 6 M59 10500 000132 0000R 00001 00361*")</f>
        <v>0</v>
      </c>
      <c r="E7913"/>
      <c r="F7913" s="35">
        <f>SUMIFS(F7914:F9015,K7914:K9015,"0",B7914:B9015,"5 1 3 6 1 12 31111 6 M59 10500 000132 0000R 00001 00361*")</f>
        <v>236000</v>
      </c>
      <c r="G7913" s="35">
        <f>SUMIFS(G7914:G9015,K7914:K9015,"0",B7914:B9015,"5 1 3 6 1 12 31111 6 M59 10500 000132 0000R 00001 00361*")</f>
        <v>0</v>
      </c>
      <c r="H7913" s="35">
        <f t="shared" si="124"/>
        <v>236000</v>
      </c>
      <c r="I7913" s="35"/>
      <c r="K7913" t="s">
        <v>15</v>
      </c>
    </row>
    <row r="7914" spans="2:11" ht="33" x14ac:dyDescent="0.2">
      <c r="B7914" s="33" t="s">
        <v>9015</v>
      </c>
      <c r="C7914" s="33" t="s">
        <v>1051</v>
      </c>
      <c r="D7914" s="35">
        <f>SUMIFS(D7915:D9015,K7915:K9015,"0",B7915:B9015,"5 1 3 6 1 12 31111 6 M59 10500 000132 0000R 00001 00361 015*")-SUMIFS(E7915:E9015,K7915:K9015,"0",B7915:B9015,"5 1 3 6 1 12 31111 6 M59 10500 000132 0000R 00001 00361 015*")</f>
        <v>0</v>
      </c>
      <c r="E7914"/>
      <c r="F7914" s="35">
        <f>SUMIFS(F7915:F9015,K7915:K9015,"0",B7915:B9015,"5 1 3 6 1 12 31111 6 M59 10500 000132 0000R 00001 00361 015*")</f>
        <v>236000</v>
      </c>
      <c r="G7914" s="35">
        <f>SUMIFS(G7915:G9015,K7915:K9015,"0",B7915:B9015,"5 1 3 6 1 12 31111 6 M59 10500 000132 0000R 00001 00361 015*")</f>
        <v>0</v>
      </c>
      <c r="H7914" s="35">
        <f t="shared" si="124"/>
        <v>236000</v>
      </c>
      <c r="I7914" s="35"/>
      <c r="K7914" t="s">
        <v>15</v>
      </c>
    </row>
    <row r="7915" spans="2:11" ht="33" x14ac:dyDescent="0.2">
      <c r="B7915" s="33" t="s">
        <v>9016</v>
      </c>
      <c r="C7915" s="33" t="s">
        <v>5830</v>
      </c>
      <c r="D7915" s="35">
        <f>SUMIFS(D7916:D9015,K7916:K9015,"0",B7916:B9015,"5 1 3 6 1 12 31111 6 M59 10500 000132 0000R 00001 00361 015 2112000*")-SUMIFS(E7916:E9015,K7916:K9015,"0",B7916:B9015,"5 1 3 6 1 12 31111 6 M59 10500 000132 0000R 00001 00361 015 2112000*")</f>
        <v>0</v>
      </c>
      <c r="E7915"/>
      <c r="F7915" s="35">
        <f>SUMIFS(F7916:F9015,K7916:K9015,"0",B7916:B9015,"5 1 3 6 1 12 31111 6 M59 10500 000132 0000R 00001 00361 015 2112000*")</f>
        <v>236000</v>
      </c>
      <c r="G7915" s="35">
        <f>SUMIFS(G7916:G9015,K7916:K9015,"0",B7916:B9015,"5 1 3 6 1 12 31111 6 M59 10500 000132 0000R 00001 00361 015 2112000*")</f>
        <v>0</v>
      </c>
      <c r="H7915" s="35">
        <f t="shared" si="124"/>
        <v>236000</v>
      </c>
      <c r="I7915" s="35"/>
      <c r="K7915" t="s">
        <v>15</v>
      </c>
    </row>
    <row r="7916" spans="2:11" ht="33" x14ac:dyDescent="0.2">
      <c r="B7916" s="33" t="s">
        <v>9017</v>
      </c>
      <c r="C7916" s="33" t="s">
        <v>660</v>
      </c>
      <c r="D7916" s="35">
        <f>SUMIFS(D7917:D9015,K7917:K9015,"0",B7917:B9015,"5 1 3 6 1 12 31111 6 M59 10500 000132 0000R 00001 00361 015 2112000 2024*")-SUMIFS(E7917:E9015,K7917:K9015,"0",B7917:B9015,"5 1 3 6 1 12 31111 6 M59 10500 000132 0000R 00001 00361 015 2112000 2024*")</f>
        <v>0</v>
      </c>
      <c r="E7916"/>
      <c r="F7916" s="35">
        <f>SUMIFS(F7917:F9015,K7917:K9015,"0",B7917:B9015,"5 1 3 6 1 12 31111 6 M59 10500 000132 0000R 00001 00361 015 2112000 2024*")</f>
        <v>236000</v>
      </c>
      <c r="G7916" s="35">
        <f>SUMIFS(G7917:G9015,K7917:K9015,"0",B7917:B9015,"5 1 3 6 1 12 31111 6 M59 10500 000132 0000R 00001 00361 015 2112000 2024*")</f>
        <v>0</v>
      </c>
      <c r="H7916" s="35">
        <f t="shared" si="124"/>
        <v>236000</v>
      </c>
      <c r="I7916" s="35"/>
      <c r="K7916" t="s">
        <v>15</v>
      </c>
    </row>
    <row r="7917" spans="2:11" ht="41.25" x14ac:dyDescent="0.2">
      <c r="B7917" s="33" t="s">
        <v>9018</v>
      </c>
      <c r="C7917" s="33" t="s">
        <v>1056</v>
      </c>
      <c r="D7917" s="35">
        <f>SUMIFS(D7918:D9015,K7918:K9015,"0",B7918:B9015,"5 1 3 6 1 12 31111 6 M59 10500 000132 0000R 00001 00361 015 2112000 2024 CP1CS421*")-SUMIFS(E7918:E9015,K7918:K9015,"0",B7918:B9015,"5 1 3 6 1 12 31111 6 M59 10500 000132 0000R 00001 00361 015 2112000 2024 CP1CS421*")</f>
        <v>0</v>
      </c>
      <c r="E7917"/>
      <c r="F7917" s="35">
        <f>SUMIFS(F7918:F9015,K7918:K9015,"0",B7918:B9015,"5 1 3 6 1 12 31111 6 M59 10500 000132 0000R 00001 00361 015 2112000 2024 CP1CS421*")</f>
        <v>236000</v>
      </c>
      <c r="G7917" s="35">
        <f>SUMIFS(G7918:G9015,K7918:K9015,"0",B7918:B9015,"5 1 3 6 1 12 31111 6 M59 10500 000132 0000R 00001 00361 015 2112000 2024 CP1CS421*")</f>
        <v>0</v>
      </c>
      <c r="H7917" s="35">
        <f t="shared" si="124"/>
        <v>236000</v>
      </c>
      <c r="I7917" s="35"/>
      <c r="K7917" t="s">
        <v>15</v>
      </c>
    </row>
    <row r="7918" spans="2:11" ht="41.25" x14ac:dyDescent="0.2">
      <c r="B7918" s="33" t="s">
        <v>9019</v>
      </c>
      <c r="C7918" s="33" t="s">
        <v>282</v>
      </c>
      <c r="D7918" s="35">
        <f>SUMIFS(D7919:D9015,K7919:K9015,"0",B7919:B9015,"5 1 3 6 1 12 31111 6 M59 10500 000132 0000R 00001 00361 015 2112000 2024 CP1CS421 001*")-SUMIFS(E7919:E9015,K7919:K9015,"0",B7919:B9015,"5 1 3 6 1 12 31111 6 M59 10500 000132 0000R 00001 00361 015 2112000 2024 CP1CS421 001*")</f>
        <v>0</v>
      </c>
      <c r="E7918"/>
      <c r="F7918" s="35">
        <f>SUMIFS(F7919:F9015,K7919:K9015,"0",B7919:B9015,"5 1 3 6 1 12 31111 6 M59 10500 000132 0000R 00001 00361 015 2112000 2024 CP1CS421 001*")</f>
        <v>236000</v>
      </c>
      <c r="G7918" s="35">
        <f>SUMIFS(G7919:G9015,K7919:K9015,"0",B7919:B9015,"5 1 3 6 1 12 31111 6 M59 10500 000132 0000R 00001 00361 015 2112000 2024 CP1CS421 001*")</f>
        <v>0</v>
      </c>
      <c r="H7918" s="35">
        <f t="shared" si="124"/>
        <v>236000</v>
      </c>
      <c r="I7918" s="35"/>
      <c r="K7918" t="s">
        <v>15</v>
      </c>
    </row>
    <row r="7919" spans="2:11" ht="33" x14ac:dyDescent="0.2">
      <c r="B7919" s="31" t="s">
        <v>9020</v>
      </c>
      <c r="C7919" s="31" t="s">
        <v>9009</v>
      </c>
      <c r="D7919" s="34">
        <v>0</v>
      </c>
      <c r="E7919" s="34"/>
      <c r="F7919" s="34">
        <v>236000</v>
      </c>
      <c r="G7919" s="34">
        <v>0</v>
      </c>
      <c r="H7919" s="34">
        <f t="shared" si="124"/>
        <v>236000</v>
      </c>
      <c r="I7919" s="34"/>
      <c r="K7919" t="s">
        <v>38</v>
      </c>
    </row>
    <row r="7920" spans="2:11" ht="16.5" x14ac:dyDescent="0.2">
      <c r="B7920" s="33" t="s">
        <v>9021</v>
      </c>
      <c r="C7920" s="33" t="s">
        <v>9022</v>
      </c>
      <c r="D7920" s="35">
        <f>SUMIFS(D7921:D9015,K7921:K9015,"0",B7921:B9015,"5 1 3 7*")-SUMIFS(E7921:E9015,K7921:K9015,"0",B7921:B9015,"5 1 3 7*")</f>
        <v>0</v>
      </c>
      <c r="E7920"/>
      <c r="F7920" s="35">
        <f>SUMIFS(F7921:F9015,K7921:K9015,"0",B7921:B9015,"5 1 3 7*")</f>
        <v>98740.479999999996</v>
      </c>
      <c r="G7920" s="35">
        <f>SUMIFS(G7921:G9015,K7921:K9015,"0",B7921:B9015,"5 1 3 7*")</f>
        <v>0</v>
      </c>
      <c r="H7920" s="35">
        <f t="shared" si="124"/>
        <v>98740.479999999996</v>
      </c>
      <c r="I7920" s="35"/>
      <c r="K7920" t="s">
        <v>15</v>
      </c>
    </row>
    <row r="7921" spans="2:11" ht="12.75" x14ac:dyDescent="0.2">
      <c r="B7921" s="33" t="s">
        <v>9023</v>
      </c>
      <c r="C7921" s="33" t="s">
        <v>9024</v>
      </c>
      <c r="D7921" s="35">
        <f>SUMIFS(D7922:D9015,K7922:K9015,"0",B7922:B9015,"5 1 3 7 5*")-SUMIFS(E7922:E9015,K7922:K9015,"0",B7922:B9015,"5 1 3 7 5*")</f>
        <v>0</v>
      </c>
      <c r="E7921"/>
      <c r="F7921" s="35">
        <f>SUMIFS(F7922:F9015,K7922:K9015,"0",B7922:B9015,"5 1 3 7 5*")</f>
        <v>92136.489999999991</v>
      </c>
      <c r="G7921" s="35">
        <f>SUMIFS(G7922:G9015,K7922:K9015,"0",B7922:B9015,"5 1 3 7 5*")</f>
        <v>0</v>
      </c>
      <c r="H7921" s="35">
        <f t="shared" si="124"/>
        <v>92136.489999999991</v>
      </c>
      <c r="I7921" s="35"/>
      <c r="K7921" t="s">
        <v>15</v>
      </c>
    </row>
    <row r="7922" spans="2:11" ht="12.75" x14ac:dyDescent="0.2">
      <c r="B7922" s="33" t="s">
        <v>9025</v>
      </c>
      <c r="C7922" s="33" t="s">
        <v>26</v>
      </c>
      <c r="D7922" s="35">
        <f>SUMIFS(D7923:D9015,K7923:K9015,"0",B7923:B9015,"5 1 3 7 5 12*")-SUMIFS(E7923:E9015,K7923:K9015,"0",B7923:B9015,"5 1 3 7 5 12*")</f>
        <v>0</v>
      </c>
      <c r="E7922"/>
      <c r="F7922" s="35">
        <f>SUMIFS(F7923:F9015,K7923:K9015,"0",B7923:B9015,"5 1 3 7 5 12*")</f>
        <v>92136.489999999991</v>
      </c>
      <c r="G7922" s="35">
        <f>SUMIFS(G7923:G9015,K7923:K9015,"0",B7923:B9015,"5 1 3 7 5 12*")</f>
        <v>0</v>
      </c>
      <c r="H7922" s="35">
        <f t="shared" si="124"/>
        <v>92136.489999999991</v>
      </c>
      <c r="I7922" s="35"/>
      <c r="K7922" t="s">
        <v>15</v>
      </c>
    </row>
    <row r="7923" spans="2:11" ht="16.5" x14ac:dyDescent="0.2">
      <c r="B7923" s="33" t="s">
        <v>9026</v>
      </c>
      <c r="C7923" s="33" t="s">
        <v>28</v>
      </c>
      <c r="D7923" s="35">
        <f>SUMIFS(D7924:D9015,K7924:K9015,"0",B7924:B9015,"5 1 3 7 5 12 31111*")-SUMIFS(E7924:E9015,K7924:K9015,"0",B7924:B9015,"5 1 3 7 5 12 31111*")</f>
        <v>0</v>
      </c>
      <c r="E7923"/>
      <c r="F7923" s="35">
        <f>SUMIFS(F7924:F9015,K7924:K9015,"0",B7924:B9015,"5 1 3 7 5 12 31111*")</f>
        <v>92136.489999999991</v>
      </c>
      <c r="G7923" s="35">
        <f>SUMIFS(G7924:G9015,K7924:K9015,"0",B7924:B9015,"5 1 3 7 5 12 31111*")</f>
        <v>0</v>
      </c>
      <c r="H7923" s="35">
        <f t="shared" si="124"/>
        <v>92136.489999999991</v>
      </c>
      <c r="I7923" s="35"/>
      <c r="K7923" t="s">
        <v>15</v>
      </c>
    </row>
    <row r="7924" spans="2:11" ht="12.75" x14ac:dyDescent="0.2">
      <c r="B7924" s="33" t="s">
        <v>9027</v>
      </c>
      <c r="C7924" s="33" t="s">
        <v>30</v>
      </c>
      <c r="D7924" s="35">
        <f>SUMIFS(D7925:D9015,K7925:K9015,"0",B7925:B9015,"5 1 3 7 5 12 31111 6*")-SUMIFS(E7925:E9015,K7925:K9015,"0",B7925:B9015,"5 1 3 7 5 12 31111 6*")</f>
        <v>0</v>
      </c>
      <c r="E7924"/>
      <c r="F7924" s="35">
        <f>SUMIFS(F7925:F9015,K7925:K9015,"0",B7925:B9015,"5 1 3 7 5 12 31111 6*")</f>
        <v>92136.489999999991</v>
      </c>
      <c r="G7924" s="35">
        <f>SUMIFS(G7925:G9015,K7925:K9015,"0",B7925:B9015,"5 1 3 7 5 12 31111 6*")</f>
        <v>0</v>
      </c>
      <c r="H7924" s="35">
        <f t="shared" si="124"/>
        <v>92136.489999999991</v>
      </c>
      <c r="I7924" s="35"/>
      <c r="K7924" t="s">
        <v>15</v>
      </c>
    </row>
    <row r="7925" spans="2:11" ht="16.5" x14ac:dyDescent="0.2">
      <c r="B7925" s="33" t="s">
        <v>9028</v>
      </c>
      <c r="C7925" s="33" t="s">
        <v>2284</v>
      </c>
      <c r="D7925" s="35">
        <f>SUMIFS(D7926:D9015,K7926:K9015,"0",B7926:B9015,"5 1 3 7 5 12 31111 6 M59*")-SUMIFS(E7926:E9015,K7926:K9015,"0",B7926:B9015,"5 1 3 7 5 12 31111 6 M59*")</f>
        <v>0</v>
      </c>
      <c r="E7925"/>
      <c r="F7925" s="35">
        <f>SUMIFS(F7926:F9015,K7926:K9015,"0",B7926:B9015,"5 1 3 7 5 12 31111 6 M59*")</f>
        <v>92136.489999999991</v>
      </c>
      <c r="G7925" s="35">
        <f>SUMIFS(G7926:G9015,K7926:K9015,"0",B7926:B9015,"5 1 3 7 5 12 31111 6 M59*")</f>
        <v>0</v>
      </c>
      <c r="H7925" s="35">
        <f t="shared" si="124"/>
        <v>92136.489999999991</v>
      </c>
      <c r="I7925" s="35"/>
      <c r="K7925" t="s">
        <v>15</v>
      </c>
    </row>
    <row r="7926" spans="2:11" ht="16.5" x14ac:dyDescent="0.2">
      <c r="B7926" s="33" t="s">
        <v>9029</v>
      </c>
      <c r="C7926" s="33" t="s">
        <v>1243</v>
      </c>
      <c r="D7926" s="35">
        <f>SUMIFS(D7927:D9015,K7927:K9015,"0",B7927:B9015,"5 1 3 7 5 12 31111 6 M59 10000*")-SUMIFS(E7927:E9015,K7927:K9015,"0",B7927:B9015,"5 1 3 7 5 12 31111 6 M59 10000*")</f>
        <v>0</v>
      </c>
      <c r="E7926"/>
      <c r="F7926" s="35">
        <f>SUMIFS(F7927:F9015,K7927:K9015,"0",B7927:B9015,"5 1 3 7 5 12 31111 6 M59 10000*")</f>
        <v>22823.81</v>
      </c>
      <c r="G7926" s="35">
        <f>SUMIFS(G7927:G9015,K7927:K9015,"0",B7927:B9015,"5 1 3 7 5 12 31111 6 M59 10000*")</f>
        <v>0</v>
      </c>
      <c r="H7926" s="35">
        <f t="shared" si="124"/>
        <v>22823.81</v>
      </c>
      <c r="I7926" s="35"/>
      <c r="K7926" t="s">
        <v>15</v>
      </c>
    </row>
    <row r="7927" spans="2:11" ht="16.5" x14ac:dyDescent="0.2">
      <c r="B7927" s="33" t="s">
        <v>9030</v>
      </c>
      <c r="C7927" s="33" t="s">
        <v>648</v>
      </c>
      <c r="D7927" s="35">
        <f>SUMIFS(D7928:D9015,K7928:K9015,"0",B7928:B9015,"5 1 3 7 5 12 31111 6 M59 10000 000132*")-SUMIFS(E7928:E9015,K7928:K9015,"0",B7928:B9015,"5 1 3 7 5 12 31111 6 M59 10000 000132*")</f>
        <v>0</v>
      </c>
      <c r="E7927"/>
      <c r="F7927" s="35">
        <f>SUMIFS(F7928:F9015,K7928:K9015,"0",B7928:B9015,"5 1 3 7 5 12 31111 6 M59 10000 000132*")</f>
        <v>22823.81</v>
      </c>
      <c r="G7927" s="35">
        <f>SUMIFS(G7928:G9015,K7928:K9015,"0",B7928:B9015,"5 1 3 7 5 12 31111 6 M59 10000 000132*")</f>
        <v>0</v>
      </c>
      <c r="H7927" s="35">
        <f t="shared" si="124"/>
        <v>22823.81</v>
      </c>
      <c r="I7927" s="35"/>
      <c r="K7927" t="s">
        <v>15</v>
      </c>
    </row>
    <row r="7928" spans="2:11" ht="24.75" x14ac:dyDescent="0.2">
      <c r="B7928" s="33" t="s">
        <v>9031</v>
      </c>
      <c r="C7928" s="33" t="s">
        <v>650</v>
      </c>
      <c r="D7928" s="35">
        <f>SUMIFS(D7929:D9015,K7929:K9015,"0",B7929:B9015,"5 1 3 7 5 12 31111 6 M59 10000 000132 0000R*")-SUMIFS(E7929:E9015,K7929:K9015,"0",B7929:B9015,"5 1 3 7 5 12 31111 6 M59 10000 000132 0000R*")</f>
        <v>0</v>
      </c>
      <c r="E7928"/>
      <c r="F7928" s="35">
        <f>SUMIFS(F7929:F9015,K7929:K9015,"0",B7929:B9015,"5 1 3 7 5 12 31111 6 M59 10000 000132 0000R*")</f>
        <v>22823.81</v>
      </c>
      <c r="G7928" s="35">
        <f>SUMIFS(G7929:G9015,K7929:K9015,"0",B7929:B9015,"5 1 3 7 5 12 31111 6 M59 10000 000132 0000R*")</f>
        <v>0</v>
      </c>
      <c r="H7928" s="35">
        <f t="shared" si="124"/>
        <v>22823.81</v>
      </c>
      <c r="I7928" s="35"/>
      <c r="K7928" t="s">
        <v>15</v>
      </c>
    </row>
    <row r="7929" spans="2:11" ht="24.75" x14ac:dyDescent="0.2">
      <c r="B7929" s="33" t="s">
        <v>9032</v>
      </c>
      <c r="C7929" s="33" t="s">
        <v>282</v>
      </c>
      <c r="D7929" s="35">
        <f>SUMIFS(D7930:D9015,K7930:K9015,"0",B7930:B9015,"5 1 3 7 5 12 31111 6 M59 10000 000132 0000R 00001*")-SUMIFS(E7930:E9015,K7930:K9015,"0",B7930:B9015,"5 1 3 7 5 12 31111 6 M59 10000 000132 0000R 00001*")</f>
        <v>0</v>
      </c>
      <c r="E7929"/>
      <c r="F7929" s="35">
        <f>SUMIFS(F7930:F9015,K7930:K9015,"0",B7930:B9015,"5 1 3 7 5 12 31111 6 M59 10000 000132 0000R 00001*")</f>
        <v>22823.81</v>
      </c>
      <c r="G7929" s="35">
        <f>SUMIFS(G7930:G9015,K7930:K9015,"0",B7930:B9015,"5 1 3 7 5 12 31111 6 M59 10000 000132 0000R 00001*")</f>
        <v>0</v>
      </c>
      <c r="H7929" s="35">
        <f t="shared" si="124"/>
        <v>22823.81</v>
      </c>
      <c r="I7929" s="35"/>
      <c r="K7929" t="s">
        <v>15</v>
      </c>
    </row>
    <row r="7930" spans="2:11" ht="24.75" x14ac:dyDescent="0.2">
      <c r="B7930" s="33" t="s">
        <v>9033</v>
      </c>
      <c r="C7930" s="33" t="s">
        <v>9034</v>
      </c>
      <c r="D7930" s="35">
        <f>SUMIFS(D7931:D9015,K7931:K9015,"0",B7931:B9015,"5 1 3 7 5 12 31111 6 M59 10000 000132 0000R 00001 00375*")-SUMIFS(E7931:E9015,K7931:K9015,"0",B7931:B9015,"5 1 3 7 5 12 31111 6 M59 10000 000132 0000R 00001 00375*")</f>
        <v>0</v>
      </c>
      <c r="E7930"/>
      <c r="F7930" s="35">
        <f>SUMIFS(F7931:F9015,K7931:K9015,"0",B7931:B9015,"5 1 3 7 5 12 31111 6 M59 10000 000132 0000R 00001 00375*")</f>
        <v>22823.81</v>
      </c>
      <c r="G7930" s="35">
        <f>SUMIFS(G7931:G9015,K7931:K9015,"0",B7931:B9015,"5 1 3 7 5 12 31111 6 M59 10000 000132 0000R 00001 00375*")</f>
        <v>0</v>
      </c>
      <c r="H7930" s="35">
        <f t="shared" si="124"/>
        <v>22823.81</v>
      </c>
      <c r="I7930" s="35"/>
      <c r="K7930" t="s">
        <v>15</v>
      </c>
    </row>
    <row r="7931" spans="2:11" ht="33" x14ac:dyDescent="0.2">
      <c r="B7931" s="33" t="s">
        <v>9035</v>
      </c>
      <c r="C7931" s="33" t="s">
        <v>1051</v>
      </c>
      <c r="D7931" s="35">
        <f>SUMIFS(D7932:D9015,K7932:K9015,"0",B7932:B9015,"5 1 3 7 5 12 31111 6 M59 10000 000132 0000R 00001 00375 015*")-SUMIFS(E7932:E9015,K7932:K9015,"0",B7932:B9015,"5 1 3 7 5 12 31111 6 M59 10000 000132 0000R 00001 00375 015*")</f>
        <v>0</v>
      </c>
      <c r="E7931"/>
      <c r="F7931" s="35">
        <f>SUMIFS(F7932:F9015,K7932:K9015,"0",B7932:B9015,"5 1 3 7 5 12 31111 6 M59 10000 000132 0000R 00001 00375 015*")</f>
        <v>22823.81</v>
      </c>
      <c r="G7931" s="35">
        <f>SUMIFS(G7932:G9015,K7932:K9015,"0",B7932:B9015,"5 1 3 7 5 12 31111 6 M59 10000 000132 0000R 00001 00375 015*")</f>
        <v>0</v>
      </c>
      <c r="H7931" s="35">
        <f t="shared" si="124"/>
        <v>22823.81</v>
      </c>
      <c r="I7931" s="35"/>
      <c r="K7931" t="s">
        <v>15</v>
      </c>
    </row>
    <row r="7932" spans="2:11" ht="33" x14ac:dyDescent="0.2">
      <c r="B7932" s="33" t="s">
        <v>9036</v>
      </c>
      <c r="C7932" s="33" t="s">
        <v>5830</v>
      </c>
      <c r="D7932" s="35">
        <f>SUMIFS(D7933:D9015,K7933:K9015,"0",B7933:B9015,"5 1 3 7 5 12 31111 6 M59 10000 000132 0000R 00001 00375 015 2112000*")-SUMIFS(E7933:E9015,K7933:K9015,"0",B7933:B9015,"5 1 3 7 5 12 31111 6 M59 10000 000132 0000R 00001 00375 015 2112000*")</f>
        <v>0</v>
      </c>
      <c r="E7932"/>
      <c r="F7932" s="35">
        <f>SUMIFS(F7933:F9015,K7933:K9015,"0",B7933:B9015,"5 1 3 7 5 12 31111 6 M59 10000 000132 0000R 00001 00375 015 2112000*")</f>
        <v>22823.81</v>
      </c>
      <c r="G7932" s="35">
        <f>SUMIFS(G7933:G9015,K7933:K9015,"0",B7933:B9015,"5 1 3 7 5 12 31111 6 M59 10000 000132 0000R 00001 00375 015 2112000*")</f>
        <v>0</v>
      </c>
      <c r="H7932" s="35">
        <f t="shared" si="124"/>
        <v>22823.81</v>
      </c>
      <c r="I7932" s="35"/>
      <c r="K7932" t="s">
        <v>15</v>
      </c>
    </row>
    <row r="7933" spans="2:11" ht="33" x14ac:dyDescent="0.2">
      <c r="B7933" s="33" t="s">
        <v>9037</v>
      </c>
      <c r="C7933" s="33" t="s">
        <v>660</v>
      </c>
      <c r="D7933" s="35">
        <f>SUMIFS(D7934:D9015,K7934:K9015,"0",B7934:B9015,"5 1 3 7 5 12 31111 6 M59 10000 000132 0000R 00001 00375 015 2112000 2024*")-SUMIFS(E7934:E9015,K7934:K9015,"0",B7934:B9015,"5 1 3 7 5 12 31111 6 M59 10000 000132 0000R 00001 00375 015 2112000 2024*")</f>
        <v>0</v>
      </c>
      <c r="E7933"/>
      <c r="F7933" s="35">
        <f>SUMIFS(F7934:F9015,K7934:K9015,"0",B7934:B9015,"5 1 3 7 5 12 31111 6 M59 10000 000132 0000R 00001 00375 015 2112000 2024*")</f>
        <v>22823.81</v>
      </c>
      <c r="G7933" s="35">
        <f>SUMIFS(G7934:G9015,K7934:K9015,"0",B7934:B9015,"5 1 3 7 5 12 31111 6 M59 10000 000132 0000R 00001 00375 015 2112000 2024*")</f>
        <v>0</v>
      </c>
      <c r="H7933" s="35">
        <f t="shared" si="124"/>
        <v>22823.81</v>
      </c>
      <c r="I7933" s="35"/>
      <c r="K7933" t="s">
        <v>15</v>
      </c>
    </row>
    <row r="7934" spans="2:11" ht="41.25" x14ac:dyDescent="0.2">
      <c r="B7934" s="33" t="s">
        <v>9038</v>
      </c>
      <c r="C7934" s="33" t="s">
        <v>662</v>
      </c>
      <c r="D7934" s="35">
        <f>SUMIFS(D7935:D9015,K7935:K9015,"0",B7935:B9015,"5 1 3 7 5 12 31111 6 M59 10000 000132 0000R 00001 00375 015 2112000 2024 CP1PM439*")-SUMIFS(E7935:E9015,K7935:K9015,"0",B7935:B9015,"5 1 3 7 5 12 31111 6 M59 10000 000132 0000R 00001 00375 015 2112000 2024 CP1PM439*")</f>
        <v>0</v>
      </c>
      <c r="E7934"/>
      <c r="F7934" s="35">
        <f>SUMIFS(F7935:F9015,K7935:K9015,"0",B7935:B9015,"5 1 3 7 5 12 31111 6 M59 10000 000132 0000R 00001 00375 015 2112000 2024 CP1PM439*")</f>
        <v>22823.81</v>
      </c>
      <c r="G7934" s="35">
        <f>SUMIFS(G7935:G9015,K7935:K9015,"0",B7935:B9015,"5 1 3 7 5 12 31111 6 M59 10000 000132 0000R 00001 00375 015 2112000 2024 CP1PM439*")</f>
        <v>0</v>
      </c>
      <c r="H7934" s="35">
        <f t="shared" si="124"/>
        <v>22823.81</v>
      </c>
      <c r="I7934" s="35"/>
      <c r="K7934" t="s">
        <v>15</v>
      </c>
    </row>
    <row r="7935" spans="2:11" ht="41.25" x14ac:dyDescent="0.2">
      <c r="B7935" s="33" t="s">
        <v>9039</v>
      </c>
      <c r="C7935" s="33" t="s">
        <v>282</v>
      </c>
      <c r="D7935" s="35">
        <f>SUMIFS(D7936:D9015,K7936:K9015,"0",B7936:B9015,"5 1 3 7 5 12 31111 6 M59 10000 000132 0000R 00001 00375 015 2112000 2024 CP1PM439 001*")-SUMIFS(E7936:E9015,K7936:K9015,"0",B7936:B9015,"5 1 3 7 5 12 31111 6 M59 10000 000132 0000R 00001 00375 015 2112000 2024 CP1PM439 001*")</f>
        <v>0</v>
      </c>
      <c r="E7935"/>
      <c r="F7935" s="35">
        <f>SUMIFS(F7936:F9015,K7936:K9015,"0",B7936:B9015,"5 1 3 7 5 12 31111 6 M59 10000 000132 0000R 00001 00375 015 2112000 2024 CP1PM439 001*")</f>
        <v>22823.81</v>
      </c>
      <c r="G7935" s="35">
        <f>SUMIFS(G7936:G9015,K7936:K9015,"0",B7936:B9015,"5 1 3 7 5 12 31111 6 M59 10000 000132 0000R 00001 00375 015 2112000 2024 CP1PM439 001*")</f>
        <v>0</v>
      </c>
      <c r="H7935" s="35">
        <f t="shared" si="124"/>
        <v>22823.81</v>
      </c>
      <c r="I7935" s="35"/>
      <c r="K7935" t="s">
        <v>15</v>
      </c>
    </row>
    <row r="7936" spans="2:11" ht="33" x14ac:dyDescent="0.2">
      <c r="B7936" s="31" t="s">
        <v>9040</v>
      </c>
      <c r="C7936" s="31" t="s">
        <v>9024</v>
      </c>
      <c r="D7936" s="34">
        <v>0</v>
      </c>
      <c r="E7936" s="34"/>
      <c r="F7936" s="34">
        <v>22823.81</v>
      </c>
      <c r="G7936" s="34">
        <v>0</v>
      </c>
      <c r="H7936" s="34">
        <f t="shared" si="124"/>
        <v>22823.81</v>
      </c>
      <c r="I7936" s="34"/>
      <c r="K7936" t="s">
        <v>38</v>
      </c>
    </row>
    <row r="7937" spans="2:11" ht="16.5" x14ac:dyDescent="0.2">
      <c r="B7937" s="33" t="s">
        <v>9041</v>
      </c>
      <c r="C7937" s="33" t="s">
        <v>1044</v>
      </c>
      <c r="D7937" s="35">
        <f>SUMIFS(D7938:D9015,K7938:K9015,"0",B7938:B9015,"5 1 3 7 5 12 31111 6 M59 19000*")-SUMIFS(E7938:E9015,K7938:K9015,"0",B7938:B9015,"5 1 3 7 5 12 31111 6 M59 19000*")</f>
        <v>0</v>
      </c>
      <c r="E7937"/>
      <c r="F7937" s="35">
        <f>SUMIFS(F7938:F9015,K7938:K9015,"0",B7938:B9015,"5 1 3 7 5 12 31111 6 M59 19000*")</f>
        <v>18922.330000000002</v>
      </c>
      <c r="G7937" s="35">
        <f>SUMIFS(G7938:G9015,K7938:K9015,"0",B7938:B9015,"5 1 3 7 5 12 31111 6 M59 19000*")</f>
        <v>0</v>
      </c>
      <c r="H7937" s="35">
        <f t="shared" si="124"/>
        <v>18922.330000000002</v>
      </c>
      <c r="I7937" s="35"/>
      <c r="K7937" t="s">
        <v>15</v>
      </c>
    </row>
    <row r="7938" spans="2:11" ht="16.5" x14ac:dyDescent="0.2">
      <c r="B7938" s="33" t="s">
        <v>9042</v>
      </c>
      <c r="C7938" s="33" t="s">
        <v>648</v>
      </c>
      <c r="D7938" s="35">
        <f>SUMIFS(D7939:D9015,K7939:K9015,"0",B7939:B9015,"5 1 3 7 5 12 31111 6 M59 19000 000132*")-SUMIFS(E7939:E9015,K7939:K9015,"0",B7939:B9015,"5 1 3 7 5 12 31111 6 M59 19000 000132*")</f>
        <v>0</v>
      </c>
      <c r="E7938"/>
      <c r="F7938" s="35">
        <f>SUMIFS(F7939:F9015,K7939:K9015,"0",B7939:B9015,"5 1 3 7 5 12 31111 6 M59 19000 000132*")</f>
        <v>18922.330000000002</v>
      </c>
      <c r="G7938" s="35">
        <f>SUMIFS(G7939:G9015,K7939:K9015,"0",B7939:B9015,"5 1 3 7 5 12 31111 6 M59 19000 000132*")</f>
        <v>0</v>
      </c>
      <c r="H7938" s="35">
        <f t="shared" si="124"/>
        <v>18922.330000000002</v>
      </c>
      <c r="I7938" s="35"/>
      <c r="K7938" t="s">
        <v>15</v>
      </c>
    </row>
    <row r="7939" spans="2:11" ht="24.75" x14ac:dyDescent="0.2">
      <c r="B7939" s="33" t="s">
        <v>9043</v>
      </c>
      <c r="C7939" s="33" t="s">
        <v>650</v>
      </c>
      <c r="D7939" s="35">
        <f>SUMIFS(D7940:D9015,K7940:K9015,"0",B7940:B9015,"5 1 3 7 5 12 31111 6 M59 19000 000132 0000R*")-SUMIFS(E7940:E9015,K7940:K9015,"0",B7940:B9015,"5 1 3 7 5 12 31111 6 M59 19000 000132 0000R*")</f>
        <v>0</v>
      </c>
      <c r="E7939"/>
      <c r="F7939" s="35">
        <f>SUMIFS(F7940:F9015,K7940:K9015,"0",B7940:B9015,"5 1 3 7 5 12 31111 6 M59 19000 000132 0000R*")</f>
        <v>18922.330000000002</v>
      </c>
      <c r="G7939" s="35">
        <f>SUMIFS(G7940:G9015,K7940:K9015,"0",B7940:B9015,"5 1 3 7 5 12 31111 6 M59 19000 000132 0000R*")</f>
        <v>0</v>
      </c>
      <c r="H7939" s="35">
        <f t="shared" si="124"/>
        <v>18922.330000000002</v>
      </c>
      <c r="I7939" s="35"/>
      <c r="K7939" t="s">
        <v>15</v>
      </c>
    </row>
    <row r="7940" spans="2:11" ht="24.75" x14ac:dyDescent="0.2">
      <c r="B7940" s="33" t="s">
        <v>9044</v>
      </c>
      <c r="C7940" s="33" t="s">
        <v>282</v>
      </c>
      <c r="D7940" s="35">
        <f>SUMIFS(D7941:D9015,K7941:K9015,"0",B7941:B9015,"5 1 3 7 5 12 31111 6 M59 19000 000132 0000R 00001*")-SUMIFS(E7941:E9015,K7941:K9015,"0",B7941:B9015,"5 1 3 7 5 12 31111 6 M59 19000 000132 0000R 00001*")</f>
        <v>0</v>
      </c>
      <c r="E7940"/>
      <c r="F7940" s="35">
        <f>SUMIFS(F7941:F9015,K7941:K9015,"0",B7941:B9015,"5 1 3 7 5 12 31111 6 M59 19000 000132 0000R 00001*")</f>
        <v>18922.330000000002</v>
      </c>
      <c r="G7940" s="35">
        <f>SUMIFS(G7941:G9015,K7941:K9015,"0",B7941:B9015,"5 1 3 7 5 12 31111 6 M59 19000 000132 0000R 00001*")</f>
        <v>0</v>
      </c>
      <c r="H7940" s="35">
        <f t="shared" ref="H7940:H8003" si="125">D7940 + F7940 - G7940</f>
        <v>18922.330000000002</v>
      </c>
      <c r="I7940" s="35"/>
      <c r="K7940" t="s">
        <v>15</v>
      </c>
    </row>
    <row r="7941" spans="2:11" ht="24.75" x14ac:dyDescent="0.2">
      <c r="B7941" s="33" t="s">
        <v>9045</v>
      </c>
      <c r="C7941" s="33" t="s">
        <v>9034</v>
      </c>
      <c r="D7941" s="35">
        <f>SUMIFS(D7942:D9015,K7942:K9015,"0",B7942:B9015,"5 1 3 7 5 12 31111 6 M59 19000 000132 0000R 00001 00375*")-SUMIFS(E7942:E9015,K7942:K9015,"0",B7942:B9015,"5 1 3 7 5 12 31111 6 M59 19000 000132 0000R 00001 00375*")</f>
        <v>0</v>
      </c>
      <c r="E7941"/>
      <c r="F7941" s="35">
        <f>SUMIFS(F7942:F9015,K7942:K9015,"0",B7942:B9015,"5 1 3 7 5 12 31111 6 M59 19000 000132 0000R 00001 00375*")</f>
        <v>18922.330000000002</v>
      </c>
      <c r="G7941" s="35">
        <f>SUMIFS(G7942:G9015,K7942:K9015,"0",B7942:B9015,"5 1 3 7 5 12 31111 6 M59 19000 000132 0000R 00001 00375*")</f>
        <v>0</v>
      </c>
      <c r="H7941" s="35">
        <f t="shared" si="125"/>
        <v>18922.330000000002</v>
      </c>
      <c r="I7941" s="35"/>
      <c r="K7941" t="s">
        <v>15</v>
      </c>
    </row>
    <row r="7942" spans="2:11" ht="33" x14ac:dyDescent="0.2">
      <c r="B7942" s="33" t="s">
        <v>9046</v>
      </c>
      <c r="C7942" s="33" t="s">
        <v>699</v>
      </c>
      <c r="D7942" s="35">
        <f>SUMIFS(D7943:D9015,K7943:K9015,"0",B7943:B9015,"5 1 3 7 5 12 31111 6 M59 19000 000132 0000R 00001 00375 011*")-SUMIFS(E7943:E9015,K7943:K9015,"0",B7943:B9015,"5 1 3 7 5 12 31111 6 M59 19000 000132 0000R 00001 00375 011*")</f>
        <v>0</v>
      </c>
      <c r="E7942"/>
      <c r="F7942" s="35">
        <f>SUMIFS(F7943:F9015,K7943:K9015,"0",B7943:B9015,"5 1 3 7 5 12 31111 6 M59 19000 000132 0000R 00001 00375 011*")</f>
        <v>18922.330000000002</v>
      </c>
      <c r="G7942" s="35">
        <f>SUMIFS(G7943:G9015,K7943:K9015,"0",B7943:B9015,"5 1 3 7 5 12 31111 6 M59 19000 000132 0000R 00001 00375 011*")</f>
        <v>0</v>
      </c>
      <c r="H7942" s="35">
        <f t="shared" si="125"/>
        <v>18922.330000000002</v>
      </c>
      <c r="I7942" s="35"/>
      <c r="K7942" t="s">
        <v>15</v>
      </c>
    </row>
    <row r="7943" spans="2:11" ht="33" x14ac:dyDescent="0.2">
      <c r="B7943" s="33" t="s">
        <v>9047</v>
      </c>
      <c r="C7943" s="33" t="s">
        <v>5830</v>
      </c>
      <c r="D7943" s="35">
        <f>SUMIFS(D7944:D9015,K7944:K9015,"0",B7944:B9015,"5 1 3 7 5 12 31111 6 M59 19000 000132 0000R 00001 00375 011 2112000*")-SUMIFS(E7944:E9015,K7944:K9015,"0",B7944:B9015,"5 1 3 7 5 12 31111 6 M59 19000 000132 0000R 00001 00375 011 2112000*")</f>
        <v>0</v>
      </c>
      <c r="E7943"/>
      <c r="F7943" s="35">
        <f>SUMIFS(F7944:F9015,K7944:K9015,"0",B7944:B9015,"5 1 3 7 5 12 31111 6 M59 19000 000132 0000R 00001 00375 011 2112000*")</f>
        <v>18922.330000000002</v>
      </c>
      <c r="G7943" s="35">
        <f>SUMIFS(G7944:G9015,K7944:K9015,"0",B7944:B9015,"5 1 3 7 5 12 31111 6 M59 19000 000132 0000R 00001 00375 011 2112000*")</f>
        <v>0</v>
      </c>
      <c r="H7943" s="35">
        <f t="shared" si="125"/>
        <v>18922.330000000002</v>
      </c>
      <c r="I7943" s="35"/>
      <c r="K7943" t="s">
        <v>15</v>
      </c>
    </row>
    <row r="7944" spans="2:11" ht="33" x14ac:dyDescent="0.2">
      <c r="B7944" s="33" t="s">
        <v>9048</v>
      </c>
      <c r="C7944" s="33" t="s">
        <v>660</v>
      </c>
      <c r="D7944" s="35">
        <f>SUMIFS(D7945:D9015,K7945:K9015,"0",B7945:B9015,"5 1 3 7 5 12 31111 6 M59 19000 000132 0000R 00001 00375 011 2112000 2024*")-SUMIFS(E7945:E9015,K7945:K9015,"0",B7945:B9015,"5 1 3 7 5 12 31111 6 M59 19000 000132 0000R 00001 00375 011 2112000 2024*")</f>
        <v>0</v>
      </c>
      <c r="E7944"/>
      <c r="F7944" s="35">
        <f>SUMIFS(F7945:F9015,K7945:K9015,"0",B7945:B9015,"5 1 3 7 5 12 31111 6 M59 19000 000132 0000R 00001 00375 011 2112000 2024*")</f>
        <v>18922.330000000002</v>
      </c>
      <c r="G7944" s="35">
        <f>SUMIFS(G7945:G9015,K7945:K9015,"0",B7945:B9015,"5 1 3 7 5 12 31111 6 M59 19000 000132 0000R 00001 00375 011 2112000 2024*")</f>
        <v>0</v>
      </c>
      <c r="H7944" s="35">
        <f t="shared" si="125"/>
        <v>18922.330000000002</v>
      </c>
      <c r="I7944" s="35"/>
      <c r="K7944" t="s">
        <v>15</v>
      </c>
    </row>
    <row r="7945" spans="2:11" ht="41.25" x14ac:dyDescent="0.2">
      <c r="B7945" s="33" t="s">
        <v>9049</v>
      </c>
      <c r="C7945" s="33" t="s">
        <v>662</v>
      </c>
      <c r="D7945" s="35">
        <f>SUMIFS(D7946:D9015,K7946:K9015,"0",B7946:B9015,"5 1 3 7 5 12 31111 6 M59 19000 000132 0000R 00001 00375 011 2112000 2024 CP1TM440*")-SUMIFS(E7946:E9015,K7946:K9015,"0",B7946:B9015,"5 1 3 7 5 12 31111 6 M59 19000 000132 0000R 00001 00375 011 2112000 2024 CP1TM440*")</f>
        <v>0</v>
      </c>
      <c r="E7945"/>
      <c r="F7945" s="35">
        <f>SUMIFS(F7946:F9015,K7946:K9015,"0",B7946:B9015,"5 1 3 7 5 12 31111 6 M59 19000 000132 0000R 00001 00375 011 2112000 2024 CP1TM440*")</f>
        <v>18922.330000000002</v>
      </c>
      <c r="G7945" s="35">
        <f>SUMIFS(G7946:G9015,K7946:K9015,"0",B7946:B9015,"5 1 3 7 5 12 31111 6 M59 19000 000132 0000R 00001 00375 011 2112000 2024 CP1TM440*")</f>
        <v>0</v>
      </c>
      <c r="H7945" s="35">
        <f t="shared" si="125"/>
        <v>18922.330000000002</v>
      </c>
      <c r="I7945" s="35"/>
      <c r="K7945" t="s">
        <v>15</v>
      </c>
    </row>
    <row r="7946" spans="2:11" ht="41.25" x14ac:dyDescent="0.2">
      <c r="B7946" s="33" t="s">
        <v>9050</v>
      </c>
      <c r="C7946" s="33" t="s">
        <v>46</v>
      </c>
      <c r="D7946" s="35">
        <f>SUMIFS(D7947:D9015,K7947:K9015,"0",B7947:B9015,"5 1 3 7 5 12 31111 6 M59 19000 000132 0000R 00001 00375 011 2112000 2024 CP1TM440 004*")-SUMIFS(E7947:E9015,K7947:K9015,"0",B7947:B9015,"5 1 3 7 5 12 31111 6 M59 19000 000132 0000R 00001 00375 011 2112000 2024 CP1TM440 004*")</f>
        <v>0</v>
      </c>
      <c r="E7946"/>
      <c r="F7946" s="35">
        <f>SUMIFS(F7947:F9015,K7947:K9015,"0",B7947:B9015,"5 1 3 7 5 12 31111 6 M59 19000 000132 0000R 00001 00375 011 2112000 2024 CP1TM440 004*")</f>
        <v>18922.330000000002</v>
      </c>
      <c r="G7946" s="35">
        <f>SUMIFS(G7947:G9015,K7947:K9015,"0",B7947:B9015,"5 1 3 7 5 12 31111 6 M59 19000 000132 0000R 00001 00375 011 2112000 2024 CP1TM440 004*")</f>
        <v>0</v>
      </c>
      <c r="H7946" s="35">
        <f t="shared" si="125"/>
        <v>18922.330000000002</v>
      </c>
      <c r="I7946" s="35"/>
      <c r="K7946" t="s">
        <v>15</v>
      </c>
    </row>
    <row r="7947" spans="2:11" ht="33" x14ac:dyDescent="0.2">
      <c r="B7947" s="31" t="s">
        <v>9051</v>
      </c>
      <c r="C7947" s="31" t="s">
        <v>9052</v>
      </c>
      <c r="D7947" s="34">
        <v>0</v>
      </c>
      <c r="E7947" s="34"/>
      <c r="F7947" s="34">
        <v>18922.330000000002</v>
      </c>
      <c r="G7947" s="34">
        <v>0</v>
      </c>
      <c r="H7947" s="34">
        <f t="shared" si="125"/>
        <v>18922.330000000002</v>
      </c>
      <c r="I7947" s="34"/>
      <c r="K7947" t="s">
        <v>38</v>
      </c>
    </row>
    <row r="7948" spans="2:11" ht="16.5" x14ac:dyDescent="0.2">
      <c r="B7948" s="33" t="s">
        <v>9053</v>
      </c>
      <c r="C7948" s="33" t="s">
        <v>1079</v>
      </c>
      <c r="D7948" s="35">
        <f>SUMIFS(D7949:D9015,K7949:K9015,"0",B7949:B9015,"5 1 3 7 5 12 31111 6 M59 20500*")-SUMIFS(E7949:E9015,K7949:K9015,"0",B7949:B9015,"5 1 3 7 5 12 31111 6 M59 20500*")</f>
        <v>0</v>
      </c>
      <c r="E7948"/>
      <c r="F7948" s="35">
        <f>SUMIFS(F7949:F9015,K7949:K9015,"0",B7949:B9015,"5 1 3 7 5 12 31111 6 M59 20500*")</f>
        <v>2705.85</v>
      </c>
      <c r="G7948" s="35">
        <f>SUMIFS(G7949:G9015,K7949:K9015,"0",B7949:B9015,"5 1 3 7 5 12 31111 6 M59 20500*")</f>
        <v>0</v>
      </c>
      <c r="H7948" s="35">
        <f t="shared" si="125"/>
        <v>2705.85</v>
      </c>
      <c r="I7948" s="35"/>
      <c r="K7948" t="s">
        <v>15</v>
      </c>
    </row>
    <row r="7949" spans="2:11" ht="24.75" x14ac:dyDescent="0.2">
      <c r="B7949" s="33" t="s">
        <v>9054</v>
      </c>
      <c r="C7949" s="33" t="s">
        <v>3152</v>
      </c>
      <c r="D7949" s="35">
        <f>SUMIFS(D7950:D9015,K7950:K9015,"0",B7950:B9015,"5 1 3 7 5 12 31111 6 M59 20500 000181*")-SUMIFS(E7950:E9015,K7950:K9015,"0",B7950:B9015,"5 1 3 7 5 12 31111 6 M59 20500 000181*")</f>
        <v>0</v>
      </c>
      <c r="E7949"/>
      <c r="F7949" s="35">
        <f>SUMIFS(F7950:F9015,K7950:K9015,"0",B7950:B9015,"5 1 3 7 5 12 31111 6 M59 20500 000181*")</f>
        <v>2705.85</v>
      </c>
      <c r="G7949" s="35">
        <f>SUMIFS(G7950:G9015,K7950:K9015,"0",B7950:B9015,"5 1 3 7 5 12 31111 6 M59 20500 000181*")</f>
        <v>0</v>
      </c>
      <c r="H7949" s="35">
        <f t="shared" si="125"/>
        <v>2705.85</v>
      </c>
      <c r="I7949" s="35"/>
      <c r="K7949" t="s">
        <v>15</v>
      </c>
    </row>
    <row r="7950" spans="2:11" ht="24.75" x14ac:dyDescent="0.2">
      <c r="B7950" s="33" t="s">
        <v>9055</v>
      </c>
      <c r="C7950" s="33" t="s">
        <v>1065</v>
      </c>
      <c r="D7950" s="35">
        <f>SUMIFS(D7951:D9015,K7951:K9015,"0",B7951:B9015,"5 1 3 7 5 12 31111 6 M59 20500 000181 0000E*")-SUMIFS(E7951:E9015,K7951:K9015,"0",B7951:B9015,"5 1 3 7 5 12 31111 6 M59 20500 000181 0000E*")</f>
        <v>0</v>
      </c>
      <c r="E7950"/>
      <c r="F7950" s="35">
        <f>SUMIFS(F7951:F9015,K7951:K9015,"0",B7951:B9015,"5 1 3 7 5 12 31111 6 M59 20500 000181 0000E*")</f>
        <v>2705.85</v>
      </c>
      <c r="G7950" s="35">
        <f>SUMIFS(G7951:G9015,K7951:K9015,"0",B7951:B9015,"5 1 3 7 5 12 31111 6 M59 20500 000181 0000E*")</f>
        <v>0</v>
      </c>
      <c r="H7950" s="35">
        <f t="shared" si="125"/>
        <v>2705.85</v>
      </c>
      <c r="I7950" s="35"/>
      <c r="K7950" t="s">
        <v>15</v>
      </c>
    </row>
    <row r="7951" spans="2:11" ht="24.75" x14ac:dyDescent="0.2">
      <c r="B7951" s="33" t="s">
        <v>9056</v>
      </c>
      <c r="C7951" s="33" t="s">
        <v>282</v>
      </c>
      <c r="D7951" s="35">
        <f>SUMIFS(D7952:D9015,K7952:K9015,"0",B7952:B9015,"5 1 3 7 5 12 31111 6 M59 20500 000181 0000E 00001*")-SUMIFS(E7952:E9015,K7952:K9015,"0",B7952:B9015,"5 1 3 7 5 12 31111 6 M59 20500 000181 0000E 00001*")</f>
        <v>0</v>
      </c>
      <c r="E7951"/>
      <c r="F7951" s="35">
        <f>SUMIFS(F7952:F9015,K7952:K9015,"0",B7952:B9015,"5 1 3 7 5 12 31111 6 M59 20500 000181 0000E 00001*")</f>
        <v>2705.85</v>
      </c>
      <c r="G7951" s="35">
        <f>SUMIFS(G7952:G9015,K7952:K9015,"0",B7952:B9015,"5 1 3 7 5 12 31111 6 M59 20500 000181 0000E 00001*")</f>
        <v>0</v>
      </c>
      <c r="H7951" s="35">
        <f t="shared" si="125"/>
        <v>2705.85</v>
      </c>
      <c r="I7951" s="35"/>
      <c r="K7951" t="s">
        <v>15</v>
      </c>
    </row>
    <row r="7952" spans="2:11" ht="24.75" x14ac:dyDescent="0.2">
      <c r="B7952" s="33" t="s">
        <v>9057</v>
      </c>
      <c r="C7952" s="33" t="s">
        <v>9034</v>
      </c>
      <c r="D7952" s="35">
        <f>SUMIFS(D7953:D9015,K7953:K9015,"0",B7953:B9015,"5 1 3 7 5 12 31111 6 M59 20500 000181 0000E 00001 00375*")-SUMIFS(E7953:E9015,K7953:K9015,"0",B7953:B9015,"5 1 3 7 5 12 31111 6 M59 20500 000181 0000E 00001 00375*")</f>
        <v>0</v>
      </c>
      <c r="E7952"/>
      <c r="F7952" s="35">
        <f>SUMIFS(F7953:F9015,K7953:K9015,"0",B7953:B9015,"5 1 3 7 5 12 31111 6 M59 20500 000181 0000E 00001 00375*")</f>
        <v>2705.85</v>
      </c>
      <c r="G7952" s="35">
        <f>SUMIFS(G7953:G9015,K7953:K9015,"0",B7953:B9015,"5 1 3 7 5 12 31111 6 M59 20500 000181 0000E 00001 00375*")</f>
        <v>0</v>
      </c>
      <c r="H7952" s="35">
        <f t="shared" si="125"/>
        <v>2705.85</v>
      </c>
      <c r="I7952" s="35"/>
      <c r="K7952" t="s">
        <v>15</v>
      </c>
    </row>
    <row r="7953" spans="2:11" ht="33" x14ac:dyDescent="0.2">
      <c r="B7953" s="33" t="s">
        <v>9058</v>
      </c>
      <c r="C7953" s="33" t="s">
        <v>699</v>
      </c>
      <c r="D7953" s="35">
        <f>SUMIFS(D7954:D9015,K7954:K9015,"0",B7954:B9015,"5 1 3 7 5 12 31111 6 M59 20500 000181 0000E 00001 00375 011*")-SUMIFS(E7954:E9015,K7954:K9015,"0",B7954:B9015,"5 1 3 7 5 12 31111 6 M59 20500 000181 0000E 00001 00375 011*")</f>
        <v>0</v>
      </c>
      <c r="E7953"/>
      <c r="F7953" s="35">
        <f>SUMIFS(F7954:F9015,K7954:K9015,"0",B7954:B9015,"5 1 3 7 5 12 31111 6 M59 20500 000181 0000E 00001 00375 011*")</f>
        <v>2705.85</v>
      </c>
      <c r="G7953" s="35">
        <f>SUMIFS(G7954:G9015,K7954:K9015,"0",B7954:B9015,"5 1 3 7 5 12 31111 6 M59 20500 000181 0000E 00001 00375 011*")</f>
        <v>0</v>
      </c>
      <c r="H7953" s="35">
        <f t="shared" si="125"/>
        <v>2705.85</v>
      </c>
      <c r="I7953" s="35"/>
      <c r="K7953" t="s">
        <v>15</v>
      </c>
    </row>
    <row r="7954" spans="2:11" ht="33" x14ac:dyDescent="0.2">
      <c r="B7954" s="33" t="s">
        <v>9059</v>
      </c>
      <c r="C7954" s="33" t="s">
        <v>5830</v>
      </c>
      <c r="D7954" s="35">
        <f>SUMIFS(D7955:D9015,K7955:K9015,"0",B7955:B9015,"5 1 3 7 5 12 31111 6 M59 20500 000181 0000E 00001 00375 011 2112000*")-SUMIFS(E7955:E9015,K7955:K9015,"0",B7955:B9015,"5 1 3 7 5 12 31111 6 M59 20500 000181 0000E 00001 00375 011 2112000*")</f>
        <v>0</v>
      </c>
      <c r="E7954"/>
      <c r="F7954" s="35">
        <f>SUMIFS(F7955:F9015,K7955:K9015,"0",B7955:B9015,"5 1 3 7 5 12 31111 6 M59 20500 000181 0000E 00001 00375 011 2112000*")</f>
        <v>2705.85</v>
      </c>
      <c r="G7954" s="35">
        <f>SUMIFS(G7955:G9015,K7955:K9015,"0",B7955:B9015,"5 1 3 7 5 12 31111 6 M59 20500 000181 0000E 00001 00375 011 2112000*")</f>
        <v>0</v>
      </c>
      <c r="H7954" s="35">
        <f t="shared" si="125"/>
        <v>2705.85</v>
      </c>
      <c r="I7954" s="35"/>
      <c r="K7954" t="s">
        <v>15</v>
      </c>
    </row>
    <row r="7955" spans="2:11" ht="33" x14ac:dyDescent="0.2">
      <c r="B7955" s="33" t="s">
        <v>9060</v>
      </c>
      <c r="C7955" s="33" t="s">
        <v>660</v>
      </c>
      <c r="D7955" s="35">
        <f>SUMIFS(D7956:D9015,K7956:K9015,"0",B7956:B9015,"5 1 3 7 5 12 31111 6 M59 20500 000181 0000E 00001 00375 011 2112000 2024*")-SUMIFS(E7956:E9015,K7956:K9015,"0",B7956:B9015,"5 1 3 7 5 12 31111 6 M59 20500 000181 0000E 00001 00375 011 2112000 2024*")</f>
        <v>0</v>
      </c>
      <c r="E7955"/>
      <c r="F7955" s="35">
        <f>SUMIFS(F7956:F9015,K7956:K9015,"0",B7956:B9015,"5 1 3 7 5 12 31111 6 M59 20500 000181 0000E 00001 00375 011 2112000 2024*")</f>
        <v>2705.85</v>
      </c>
      <c r="G7955" s="35">
        <f>SUMIFS(G7956:G9015,K7956:K9015,"0",B7956:B9015,"5 1 3 7 5 12 31111 6 M59 20500 000181 0000E 00001 00375 011 2112000 2024*")</f>
        <v>0</v>
      </c>
      <c r="H7955" s="35">
        <f t="shared" si="125"/>
        <v>2705.85</v>
      </c>
      <c r="I7955" s="35"/>
      <c r="K7955" t="s">
        <v>15</v>
      </c>
    </row>
    <row r="7956" spans="2:11" ht="49.5" x14ac:dyDescent="0.2">
      <c r="B7956" s="33" t="s">
        <v>9061</v>
      </c>
      <c r="C7956" s="33" t="s">
        <v>5982</v>
      </c>
      <c r="D7956" s="35">
        <f>SUMIFS(D7957:D9015,K7957:K9015,"0",B7957:B9015,"5 1 3 7 5 12 31111 6 M59 20500 000181 0000E 00001 00375 011 2112000 2024 CP3CP471*")-SUMIFS(E7957:E9015,K7957:K9015,"0",B7957:B9015,"5 1 3 7 5 12 31111 6 M59 20500 000181 0000E 00001 00375 011 2112000 2024 CP3CP471*")</f>
        <v>0</v>
      </c>
      <c r="E7956"/>
      <c r="F7956" s="35">
        <f>SUMIFS(F7957:F9015,K7957:K9015,"0",B7957:B9015,"5 1 3 7 5 12 31111 6 M59 20500 000181 0000E 00001 00375 011 2112000 2024 CP3CP471*")</f>
        <v>2705.85</v>
      </c>
      <c r="G7956" s="35">
        <f>SUMIFS(G7957:G9015,K7957:K9015,"0",B7957:B9015,"5 1 3 7 5 12 31111 6 M59 20500 000181 0000E 00001 00375 011 2112000 2024 CP3CP471*")</f>
        <v>0</v>
      </c>
      <c r="H7956" s="35">
        <f t="shared" si="125"/>
        <v>2705.85</v>
      </c>
      <c r="I7956" s="35"/>
      <c r="K7956" t="s">
        <v>15</v>
      </c>
    </row>
    <row r="7957" spans="2:11" ht="41.25" x14ac:dyDescent="0.2">
      <c r="B7957" s="33" t="s">
        <v>9062</v>
      </c>
      <c r="C7957" s="33" t="s">
        <v>46</v>
      </c>
      <c r="D7957" s="35">
        <f>SUMIFS(D7958:D9015,K7958:K9015,"0",B7958:B9015,"5 1 3 7 5 12 31111 6 M59 20500 000181 0000E 00001 00375 011 2112000 2024 CP3CP471 004*")-SUMIFS(E7958:E9015,K7958:K9015,"0",B7958:B9015,"5 1 3 7 5 12 31111 6 M59 20500 000181 0000E 00001 00375 011 2112000 2024 CP3CP471 004*")</f>
        <v>0</v>
      </c>
      <c r="E7957"/>
      <c r="F7957" s="35">
        <f>SUMIFS(F7958:F9015,K7958:K9015,"0",B7958:B9015,"5 1 3 7 5 12 31111 6 M59 20500 000181 0000E 00001 00375 011 2112000 2024 CP3CP471 004*")</f>
        <v>2705.85</v>
      </c>
      <c r="G7957" s="35">
        <f>SUMIFS(G7958:G9015,K7958:K9015,"0",B7958:B9015,"5 1 3 7 5 12 31111 6 M59 20500 000181 0000E 00001 00375 011 2112000 2024 CP3CP471 004*")</f>
        <v>0</v>
      </c>
      <c r="H7957" s="35">
        <f t="shared" si="125"/>
        <v>2705.85</v>
      </c>
      <c r="I7957" s="35"/>
      <c r="K7957" t="s">
        <v>15</v>
      </c>
    </row>
    <row r="7958" spans="2:11" ht="33" x14ac:dyDescent="0.2">
      <c r="B7958" s="31" t="s">
        <v>9063</v>
      </c>
      <c r="C7958" s="31" t="s">
        <v>9052</v>
      </c>
      <c r="D7958" s="34">
        <v>0</v>
      </c>
      <c r="E7958" s="34"/>
      <c r="F7958" s="34">
        <v>2705.85</v>
      </c>
      <c r="G7958" s="34">
        <v>0</v>
      </c>
      <c r="H7958" s="34">
        <f t="shared" si="125"/>
        <v>2705.85</v>
      </c>
      <c r="I7958" s="34"/>
      <c r="K7958" t="s">
        <v>38</v>
      </c>
    </row>
    <row r="7959" spans="2:11" ht="16.5" x14ac:dyDescent="0.2">
      <c r="B7959" s="33" t="s">
        <v>9064</v>
      </c>
      <c r="C7959" s="33" t="s">
        <v>1092</v>
      </c>
      <c r="D7959" s="35">
        <f>SUMIFS(D7960:D9015,K7960:K9015,"0",B7960:B9015,"5 1 3 7 5 12 31111 6 M59 40000*")-SUMIFS(E7960:E9015,K7960:K9015,"0",B7960:B9015,"5 1 3 7 5 12 31111 6 M59 40000*")</f>
        <v>0</v>
      </c>
      <c r="E7959"/>
      <c r="F7959" s="35">
        <f>SUMIFS(F7960:F9015,K7960:K9015,"0",B7960:B9015,"5 1 3 7 5 12 31111 6 M59 40000*")</f>
        <v>47684.5</v>
      </c>
      <c r="G7959" s="35">
        <f>SUMIFS(G7960:G9015,K7960:K9015,"0",B7960:B9015,"5 1 3 7 5 12 31111 6 M59 40000*")</f>
        <v>0</v>
      </c>
      <c r="H7959" s="35">
        <f t="shared" si="125"/>
        <v>47684.5</v>
      </c>
      <c r="I7959" s="35"/>
      <c r="K7959" t="s">
        <v>15</v>
      </c>
    </row>
    <row r="7960" spans="2:11" ht="16.5" x14ac:dyDescent="0.2">
      <c r="B7960" s="33" t="s">
        <v>9065</v>
      </c>
      <c r="C7960" s="33" t="s">
        <v>1094</v>
      </c>
      <c r="D7960" s="35">
        <f>SUMIFS(D7961:D9015,K7961:K9015,"0",B7961:B9015,"5 1 3 7 5 12 31111 6 M59 40000 000161*")-SUMIFS(E7961:E9015,K7961:K9015,"0",B7961:B9015,"5 1 3 7 5 12 31111 6 M59 40000 000161*")</f>
        <v>0</v>
      </c>
      <c r="E7960"/>
      <c r="F7960" s="35">
        <f>SUMIFS(F7961:F9015,K7961:K9015,"0",B7961:B9015,"5 1 3 7 5 12 31111 6 M59 40000 000161*")</f>
        <v>47684.5</v>
      </c>
      <c r="G7960" s="35">
        <f>SUMIFS(G7961:G9015,K7961:K9015,"0",B7961:B9015,"5 1 3 7 5 12 31111 6 M59 40000 000161*")</f>
        <v>0</v>
      </c>
      <c r="H7960" s="35">
        <f t="shared" si="125"/>
        <v>47684.5</v>
      </c>
      <c r="I7960" s="35"/>
      <c r="K7960" t="s">
        <v>15</v>
      </c>
    </row>
    <row r="7961" spans="2:11" ht="24.75" x14ac:dyDescent="0.2">
      <c r="B7961" s="33" t="s">
        <v>9066</v>
      </c>
      <c r="C7961" s="33" t="s">
        <v>1065</v>
      </c>
      <c r="D7961" s="35">
        <f>SUMIFS(D7962:D9015,K7962:K9015,"0",B7962:B9015,"5 1 3 7 5 12 31111 6 M59 40000 000161 0000E*")-SUMIFS(E7962:E9015,K7962:K9015,"0",B7962:B9015,"5 1 3 7 5 12 31111 6 M59 40000 000161 0000E*")</f>
        <v>0</v>
      </c>
      <c r="E7961"/>
      <c r="F7961" s="35">
        <f>SUMIFS(F7962:F9015,K7962:K9015,"0",B7962:B9015,"5 1 3 7 5 12 31111 6 M59 40000 000161 0000E*")</f>
        <v>47684.5</v>
      </c>
      <c r="G7961" s="35">
        <f>SUMIFS(G7962:G9015,K7962:K9015,"0",B7962:B9015,"5 1 3 7 5 12 31111 6 M59 40000 000161 0000E*")</f>
        <v>0</v>
      </c>
      <c r="H7961" s="35">
        <f t="shared" si="125"/>
        <v>47684.5</v>
      </c>
      <c r="I7961" s="35"/>
      <c r="K7961" t="s">
        <v>15</v>
      </c>
    </row>
    <row r="7962" spans="2:11" ht="24.75" x14ac:dyDescent="0.2">
      <c r="B7962" s="33" t="s">
        <v>9067</v>
      </c>
      <c r="C7962" s="33" t="s">
        <v>282</v>
      </c>
      <c r="D7962" s="35">
        <f>SUMIFS(D7963:D9015,K7963:K9015,"0",B7963:B9015,"5 1 3 7 5 12 31111 6 M59 40000 000161 0000E 00001*")-SUMIFS(E7963:E9015,K7963:K9015,"0",B7963:B9015,"5 1 3 7 5 12 31111 6 M59 40000 000161 0000E 00001*")</f>
        <v>0</v>
      </c>
      <c r="E7962"/>
      <c r="F7962" s="35">
        <f>SUMIFS(F7963:F9015,K7963:K9015,"0",B7963:B9015,"5 1 3 7 5 12 31111 6 M59 40000 000161 0000E 00001*")</f>
        <v>47684.5</v>
      </c>
      <c r="G7962" s="35">
        <f>SUMIFS(G7963:G9015,K7963:K9015,"0",B7963:B9015,"5 1 3 7 5 12 31111 6 M59 40000 000161 0000E 00001*")</f>
        <v>0</v>
      </c>
      <c r="H7962" s="35">
        <f t="shared" si="125"/>
        <v>47684.5</v>
      </c>
      <c r="I7962" s="35"/>
      <c r="K7962" t="s">
        <v>15</v>
      </c>
    </row>
    <row r="7963" spans="2:11" ht="24.75" x14ac:dyDescent="0.2">
      <c r="B7963" s="33" t="s">
        <v>9068</v>
      </c>
      <c r="C7963" s="33" t="s">
        <v>9034</v>
      </c>
      <c r="D7963" s="35">
        <f>SUMIFS(D7964:D9015,K7964:K9015,"0",B7964:B9015,"5 1 3 7 5 12 31111 6 M59 40000 000161 0000E 00001 00375*")-SUMIFS(E7964:E9015,K7964:K9015,"0",B7964:B9015,"5 1 3 7 5 12 31111 6 M59 40000 000161 0000E 00001 00375*")</f>
        <v>0</v>
      </c>
      <c r="E7963"/>
      <c r="F7963" s="35">
        <f>SUMIFS(F7964:F9015,K7964:K9015,"0",B7964:B9015,"5 1 3 7 5 12 31111 6 M59 40000 000161 0000E 00001 00375*")</f>
        <v>47684.5</v>
      </c>
      <c r="G7963" s="35">
        <f>SUMIFS(G7964:G9015,K7964:K9015,"0",B7964:B9015,"5 1 3 7 5 12 31111 6 M59 40000 000161 0000E 00001 00375*")</f>
        <v>0</v>
      </c>
      <c r="H7963" s="35">
        <f t="shared" si="125"/>
        <v>47684.5</v>
      </c>
      <c r="I7963" s="35"/>
      <c r="K7963" t="s">
        <v>15</v>
      </c>
    </row>
    <row r="7964" spans="2:11" ht="33" x14ac:dyDescent="0.2">
      <c r="B7964" s="33" t="s">
        <v>9069</v>
      </c>
      <c r="C7964" s="33" t="s">
        <v>656</v>
      </c>
      <c r="D7964" s="35">
        <f>SUMIFS(D7965:D9015,K7965:K9015,"0",B7965:B9015,"5 1 3 7 5 12 31111 6 M59 40000 000161 0000E 00001 00375 025*")-SUMIFS(E7965:E9015,K7965:K9015,"0",B7965:B9015,"5 1 3 7 5 12 31111 6 M59 40000 000161 0000E 00001 00375 025*")</f>
        <v>0</v>
      </c>
      <c r="E7964"/>
      <c r="F7964" s="35">
        <f>SUMIFS(F7965:F9015,K7965:K9015,"0",B7965:B9015,"5 1 3 7 5 12 31111 6 M59 40000 000161 0000E 00001 00375 025*")</f>
        <v>47684.5</v>
      </c>
      <c r="G7964" s="35">
        <f>SUMIFS(G7965:G9015,K7965:K9015,"0",B7965:B9015,"5 1 3 7 5 12 31111 6 M59 40000 000161 0000E 00001 00375 025*")</f>
        <v>0</v>
      </c>
      <c r="H7964" s="35">
        <f t="shared" si="125"/>
        <v>47684.5</v>
      </c>
      <c r="I7964" s="35"/>
      <c r="K7964" t="s">
        <v>15</v>
      </c>
    </row>
    <row r="7965" spans="2:11" ht="33" x14ac:dyDescent="0.2">
      <c r="B7965" s="33" t="s">
        <v>9070</v>
      </c>
      <c r="C7965" s="33" t="s">
        <v>5830</v>
      </c>
      <c r="D7965" s="35">
        <f>SUMIFS(D7966:D9015,K7966:K9015,"0",B7966:B9015,"5 1 3 7 5 12 31111 6 M59 40000 000161 0000E 00001 00375 025 2112000*")-SUMIFS(E7966:E9015,K7966:K9015,"0",B7966:B9015,"5 1 3 7 5 12 31111 6 M59 40000 000161 0000E 00001 00375 025 2112000*")</f>
        <v>0</v>
      </c>
      <c r="E7965"/>
      <c r="F7965" s="35">
        <f>SUMIFS(F7966:F9015,K7966:K9015,"0",B7966:B9015,"5 1 3 7 5 12 31111 6 M59 40000 000161 0000E 00001 00375 025 2112000*")</f>
        <v>47684.5</v>
      </c>
      <c r="G7965" s="35">
        <f>SUMIFS(G7966:G9015,K7966:K9015,"0",B7966:B9015,"5 1 3 7 5 12 31111 6 M59 40000 000161 0000E 00001 00375 025 2112000*")</f>
        <v>0</v>
      </c>
      <c r="H7965" s="35">
        <f t="shared" si="125"/>
        <v>47684.5</v>
      </c>
      <c r="I7965" s="35"/>
      <c r="K7965" t="s">
        <v>15</v>
      </c>
    </row>
    <row r="7966" spans="2:11" ht="33" x14ac:dyDescent="0.2">
      <c r="B7966" s="33" t="s">
        <v>9071</v>
      </c>
      <c r="C7966" s="33" t="s">
        <v>660</v>
      </c>
      <c r="D7966" s="35">
        <f>SUMIFS(D7967:D9015,K7967:K9015,"0",B7967:B9015,"5 1 3 7 5 12 31111 6 M59 40000 000161 0000E 00001 00375 025 2112000 2024*")-SUMIFS(E7967:E9015,K7967:K9015,"0",B7967:B9015,"5 1 3 7 5 12 31111 6 M59 40000 000161 0000E 00001 00375 025 2112000 2024*")</f>
        <v>0</v>
      </c>
      <c r="E7966"/>
      <c r="F7966" s="35">
        <f>SUMIFS(F7967:F9015,K7967:K9015,"0",B7967:B9015,"5 1 3 7 5 12 31111 6 M59 40000 000161 0000E 00001 00375 025 2112000 2024*")</f>
        <v>47684.5</v>
      </c>
      <c r="G7966" s="35">
        <f>SUMIFS(G7967:G9015,K7967:K9015,"0",B7967:B9015,"5 1 3 7 5 12 31111 6 M59 40000 000161 0000E 00001 00375 025 2112000 2024*")</f>
        <v>0</v>
      </c>
      <c r="H7966" s="35">
        <f t="shared" si="125"/>
        <v>47684.5</v>
      </c>
      <c r="I7966" s="35"/>
      <c r="K7966" t="s">
        <v>15</v>
      </c>
    </row>
    <row r="7967" spans="2:11" ht="41.25" x14ac:dyDescent="0.2">
      <c r="B7967" s="33" t="s">
        <v>9072</v>
      </c>
      <c r="C7967" s="33" t="s">
        <v>662</v>
      </c>
      <c r="D7967" s="35">
        <f>SUMIFS(D7968:D9015,K7968:K9015,"0",B7968:B9015,"5 1 3 7 5 12 31111 6 M59 40000 000161 0000E 00001 00375 025 2112000 2024 CP4SP372*")-SUMIFS(E7968:E9015,K7968:K9015,"0",B7968:B9015,"5 1 3 7 5 12 31111 6 M59 40000 000161 0000E 00001 00375 025 2112000 2024 CP4SP372*")</f>
        <v>0</v>
      </c>
      <c r="E7967"/>
      <c r="F7967" s="35">
        <f>SUMIFS(F7968:F9015,K7968:K9015,"0",B7968:B9015,"5 1 3 7 5 12 31111 6 M59 40000 000161 0000E 00001 00375 025 2112000 2024 CP4SP372*")</f>
        <v>47684.5</v>
      </c>
      <c r="G7967" s="35">
        <f>SUMIFS(G7968:G9015,K7968:K9015,"0",B7968:B9015,"5 1 3 7 5 12 31111 6 M59 40000 000161 0000E 00001 00375 025 2112000 2024 CP4SP372*")</f>
        <v>0</v>
      </c>
      <c r="H7967" s="35">
        <f t="shared" si="125"/>
        <v>47684.5</v>
      </c>
      <c r="I7967" s="35"/>
      <c r="K7967" t="s">
        <v>15</v>
      </c>
    </row>
    <row r="7968" spans="2:11" ht="41.25" x14ac:dyDescent="0.2">
      <c r="B7968" s="33" t="s">
        <v>9073</v>
      </c>
      <c r="C7968" s="33" t="s">
        <v>664</v>
      </c>
      <c r="D7968" s="35">
        <f>SUMIFS(D7969:D9015,K7969:K9015,"0",B7969:B9015,"5 1 3 7 5 12 31111 6 M59 40000 000161 0000E 00001 00375 025 2112000 2024 CP4SP372 003*")-SUMIFS(E7969:E9015,K7969:K9015,"0",B7969:B9015,"5 1 3 7 5 12 31111 6 M59 40000 000161 0000E 00001 00375 025 2112000 2024 CP4SP372 003*")</f>
        <v>0</v>
      </c>
      <c r="E7968"/>
      <c r="F7968" s="35">
        <f>SUMIFS(F7969:F9015,K7969:K9015,"0",B7969:B9015,"5 1 3 7 5 12 31111 6 M59 40000 000161 0000E 00001 00375 025 2112000 2024 CP4SP372 003*")</f>
        <v>47684.5</v>
      </c>
      <c r="G7968" s="35">
        <f>SUMIFS(G7969:G9015,K7969:K9015,"0",B7969:B9015,"5 1 3 7 5 12 31111 6 M59 40000 000161 0000E 00001 00375 025 2112000 2024 CP4SP372 003*")</f>
        <v>0</v>
      </c>
      <c r="H7968" s="35">
        <f t="shared" si="125"/>
        <v>47684.5</v>
      </c>
      <c r="I7968" s="35"/>
      <c r="K7968" t="s">
        <v>15</v>
      </c>
    </row>
    <row r="7969" spans="2:11" ht="33" x14ac:dyDescent="0.2">
      <c r="B7969" s="31" t="s">
        <v>9074</v>
      </c>
      <c r="C7969" s="31" t="s">
        <v>9024</v>
      </c>
      <c r="D7969" s="34">
        <v>0</v>
      </c>
      <c r="E7969" s="34"/>
      <c r="F7969" s="34">
        <v>47684.5</v>
      </c>
      <c r="G7969" s="34">
        <v>0</v>
      </c>
      <c r="H7969" s="34">
        <f t="shared" si="125"/>
        <v>47684.5</v>
      </c>
      <c r="I7969" s="34"/>
      <c r="K7969" t="s">
        <v>38</v>
      </c>
    </row>
    <row r="7970" spans="2:11" ht="16.5" x14ac:dyDescent="0.2">
      <c r="B7970" s="33" t="s">
        <v>9075</v>
      </c>
      <c r="C7970" s="33" t="s">
        <v>9076</v>
      </c>
      <c r="D7970" s="35">
        <f>SUMIFS(D7971:D9015,K7971:K9015,"0",B7971:B9015,"5 1 3 7 8*")-SUMIFS(E7971:E9015,K7971:K9015,"0",B7971:B9015,"5 1 3 7 8*")</f>
        <v>0</v>
      </c>
      <c r="E7970"/>
      <c r="F7970" s="35">
        <f>SUMIFS(F7971:F9015,K7971:K9015,"0",B7971:B9015,"5 1 3 7 8*")</f>
        <v>6603.99</v>
      </c>
      <c r="G7970" s="35">
        <f>SUMIFS(G7971:G9015,K7971:K9015,"0",B7971:B9015,"5 1 3 7 8*")</f>
        <v>0</v>
      </c>
      <c r="H7970" s="35">
        <f t="shared" si="125"/>
        <v>6603.99</v>
      </c>
      <c r="I7970" s="35"/>
      <c r="K7970" t="s">
        <v>15</v>
      </c>
    </row>
    <row r="7971" spans="2:11" ht="12.75" x14ac:dyDescent="0.2">
      <c r="B7971" s="33" t="s">
        <v>9077</v>
      </c>
      <c r="C7971" s="33" t="s">
        <v>26</v>
      </c>
      <c r="D7971" s="35">
        <f>SUMIFS(D7972:D9015,K7972:K9015,"0",B7972:B9015,"5 1 3 7 8 12*")-SUMIFS(E7972:E9015,K7972:K9015,"0",B7972:B9015,"5 1 3 7 8 12*")</f>
        <v>0</v>
      </c>
      <c r="E7971"/>
      <c r="F7971" s="35">
        <f>SUMIFS(F7972:F9015,K7972:K9015,"0",B7972:B9015,"5 1 3 7 8 12*")</f>
        <v>6603.99</v>
      </c>
      <c r="G7971" s="35">
        <f>SUMIFS(G7972:G9015,K7972:K9015,"0",B7972:B9015,"5 1 3 7 8 12*")</f>
        <v>0</v>
      </c>
      <c r="H7971" s="35">
        <f t="shared" si="125"/>
        <v>6603.99</v>
      </c>
      <c r="I7971" s="35"/>
      <c r="K7971" t="s">
        <v>15</v>
      </c>
    </row>
    <row r="7972" spans="2:11" ht="16.5" x14ac:dyDescent="0.2">
      <c r="B7972" s="33" t="s">
        <v>9078</v>
      </c>
      <c r="C7972" s="33" t="s">
        <v>28</v>
      </c>
      <c r="D7972" s="35">
        <f>SUMIFS(D7973:D9015,K7973:K9015,"0",B7973:B9015,"5 1 3 7 8 12 31111*")-SUMIFS(E7973:E9015,K7973:K9015,"0",B7973:B9015,"5 1 3 7 8 12 31111*")</f>
        <v>0</v>
      </c>
      <c r="E7972"/>
      <c r="F7972" s="35">
        <f>SUMIFS(F7973:F9015,K7973:K9015,"0",B7973:B9015,"5 1 3 7 8 12 31111*")</f>
        <v>6603.99</v>
      </c>
      <c r="G7972" s="35">
        <f>SUMIFS(G7973:G9015,K7973:K9015,"0",B7973:B9015,"5 1 3 7 8 12 31111*")</f>
        <v>0</v>
      </c>
      <c r="H7972" s="35">
        <f t="shared" si="125"/>
        <v>6603.99</v>
      </c>
      <c r="I7972" s="35"/>
      <c r="K7972" t="s">
        <v>15</v>
      </c>
    </row>
    <row r="7973" spans="2:11" ht="12.75" x14ac:dyDescent="0.2">
      <c r="B7973" s="33" t="s">
        <v>9079</v>
      </c>
      <c r="C7973" s="33" t="s">
        <v>30</v>
      </c>
      <c r="D7973" s="35">
        <f>SUMIFS(D7974:D9015,K7974:K9015,"0",B7974:B9015,"5 1 3 7 8 12 31111 6*")-SUMIFS(E7974:E9015,K7974:K9015,"0",B7974:B9015,"5 1 3 7 8 12 31111 6*")</f>
        <v>0</v>
      </c>
      <c r="E7973"/>
      <c r="F7973" s="35">
        <f>SUMIFS(F7974:F9015,K7974:K9015,"0",B7974:B9015,"5 1 3 7 8 12 31111 6*")</f>
        <v>6603.99</v>
      </c>
      <c r="G7973" s="35">
        <f>SUMIFS(G7974:G9015,K7974:K9015,"0",B7974:B9015,"5 1 3 7 8 12 31111 6*")</f>
        <v>0</v>
      </c>
      <c r="H7973" s="35">
        <f t="shared" si="125"/>
        <v>6603.99</v>
      </c>
      <c r="I7973" s="35"/>
      <c r="K7973" t="s">
        <v>15</v>
      </c>
    </row>
    <row r="7974" spans="2:11" ht="16.5" x14ac:dyDescent="0.2">
      <c r="B7974" s="33" t="s">
        <v>9080</v>
      </c>
      <c r="C7974" s="33" t="s">
        <v>2284</v>
      </c>
      <c r="D7974" s="35">
        <f>SUMIFS(D7975:D9015,K7975:K9015,"0",B7975:B9015,"5 1 3 7 8 12 31111 6 M59*")-SUMIFS(E7975:E9015,K7975:K9015,"0",B7975:B9015,"5 1 3 7 8 12 31111 6 M59*")</f>
        <v>0</v>
      </c>
      <c r="E7974"/>
      <c r="F7974" s="35">
        <f>SUMIFS(F7975:F9015,K7975:K9015,"0",B7975:B9015,"5 1 3 7 8 12 31111 6 M59*")</f>
        <v>6603.99</v>
      </c>
      <c r="G7974" s="35">
        <f>SUMIFS(G7975:G9015,K7975:K9015,"0",B7975:B9015,"5 1 3 7 8 12 31111 6 M59*")</f>
        <v>0</v>
      </c>
      <c r="H7974" s="35">
        <f t="shared" si="125"/>
        <v>6603.99</v>
      </c>
      <c r="I7974" s="35"/>
      <c r="K7974" t="s">
        <v>15</v>
      </c>
    </row>
    <row r="7975" spans="2:11" ht="16.5" x14ac:dyDescent="0.2">
      <c r="B7975" s="33" t="s">
        <v>9081</v>
      </c>
      <c r="C7975" s="33" t="s">
        <v>1092</v>
      </c>
      <c r="D7975" s="35">
        <f>SUMIFS(D7976:D9015,K7976:K9015,"0",B7976:B9015,"5 1 3 7 8 12 31111 6 M59 40000*")-SUMIFS(E7976:E9015,K7976:K9015,"0",B7976:B9015,"5 1 3 7 8 12 31111 6 M59 40000*")</f>
        <v>0</v>
      </c>
      <c r="E7975"/>
      <c r="F7975" s="35">
        <f>SUMIFS(F7976:F9015,K7976:K9015,"0",B7976:B9015,"5 1 3 7 8 12 31111 6 M59 40000*")</f>
        <v>6603.99</v>
      </c>
      <c r="G7975" s="35">
        <f>SUMIFS(G7976:G9015,K7976:K9015,"0",B7976:B9015,"5 1 3 7 8 12 31111 6 M59 40000*")</f>
        <v>0</v>
      </c>
      <c r="H7975" s="35">
        <f t="shared" si="125"/>
        <v>6603.99</v>
      </c>
      <c r="I7975" s="35"/>
      <c r="K7975" t="s">
        <v>15</v>
      </c>
    </row>
    <row r="7976" spans="2:11" ht="16.5" x14ac:dyDescent="0.2">
      <c r="B7976" s="33" t="s">
        <v>9082</v>
      </c>
      <c r="C7976" s="33" t="s">
        <v>1094</v>
      </c>
      <c r="D7976" s="35">
        <f>SUMIFS(D7977:D9015,K7977:K9015,"0",B7977:B9015,"5 1 3 7 8 12 31111 6 M59 40000 000161*")-SUMIFS(E7977:E9015,K7977:K9015,"0",B7977:B9015,"5 1 3 7 8 12 31111 6 M59 40000 000161*")</f>
        <v>0</v>
      </c>
      <c r="E7976"/>
      <c r="F7976" s="35">
        <f>SUMIFS(F7977:F9015,K7977:K9015,"0",B7977:B9015,"5 1 3 7 8 12 31111 6 M59 40000 000161*")</f>
        <v>6603.99</v>
      </c>
      <c r="G7976" s="35">
        <f>SUMIFS(G7977:G9015,K7977:K9015,"0",B7977:B9015,"5 1 3 7 8 12 31111 6 M59 40000 000161*")</f>
        <v>0</v>
      </c>
      <c r="H7976" s="35">
        <f t="shared" si="125"/>
        <v>6603.99</v>
      </c>
      <c r="I7976" s="35"/>
      <c r="K7976" t="s">
        <v>15</v>
      </c>
    </row>
    <row r="7977" spans="2:11" ht="24.75" x14ac:dyDescent="0.2">
      <c r="B7977" s="33" t="s">
        <v>9083</v>
      </c>
      <c r="C7977" s="33" t="s">
        <v>1065</v>
      </c>
      <c r="D7977" s="35">
        <f>SUMIFS(D7978:D9015,K7978:K9015,"0",B7978:B9015,"5 1 3 7 8 12 31111 6 M59 40000 000161 0000E*")-SUMIFS(E7978:E9015,K7978:K9015,"0",B7978:B9015,"5 1 3 7 8 12 31111 6 M59 40000 000161 0000E*")</f>
        <v>0</v>
      </c>
      <c r="E7977"/>
      <c r="F7977" s="35">
        <f>SUMIFS(F7978:F9015,K7978:K9015,"0",B7978:B9015,"5 1 3 7 8 12 31111 6 M59 40000 000161 0000E*")</f>
        <v>6603.99</v>
      </c>
      <c r="G7977" s="35">
        <f>SUMIFS(G7978:G9015,K7978:K9015,"0",B7978:B9015,"5 1 3 7 8 12 31111 6 M59 40000 000161 0000E*")</f>
        <v>0</v>
      </c>
      <c r="H7977" s="35">
        <f t="shared" si="125"/>
        <v>6603.99</v>
      </c>
      <c r="I7977" s="35"/>
      <c r="K7977" t="s">
        <v>15</v>
      </c>
    </row>
    <row r="7978" spans="2:11" ht="24.75" x14ac:dyDescent="0.2">
      <c r="B7978" s="33" t="s">
        <v>9084</v>
      </c>
      <c r="C7978" s="33" t="s">
        <v>282</v>
      </c>
      <c r="D7978" s="35">
        <f>SUMIFS(D7979:D9015,K7979:K9015,"0",B7979:B9015,"5 1 3 7 8 12 31111 6 M59 40000 000161 0000E 00001*")-SUMIFS(E7979:E9015,K7979:K9015,"0",B7979:B9015,"5 1 3 7 8 12 31111 6 M59 40000 000161 0000E 00001*")</f>
        <v>0</v>
      </c>
      <c r="E7978"/>
      <c r="F7978" s="35">
        <f>SUMIFS(F7979:F9015,K7979:K9015,"0",B7979:B9015,"5 1 3 7 8 12 31111 6 M59 40000 000161 0000E 00001*")</f>
        <v>6603.99</v>
      </c>
      <c r="G7978" s="35">
        <f>SUMIFS(G7979:G9015,K7979:K9015,"0",B7979:B9015,"5 1 3 7 8 12 31111 6 M59 40000 000161 0000E 00001*")</f>
        <v>0</v>
      </c>
      <c r="H7978" s="35">
        <f t="shared" si="125"/>
        <v>6603.99</v>
      </c>
      <c r="I7978" s="35"/>
      <c r="K7978" t="s">
        <v>15</v>
      </c>
    </row>
    <row r="7979" spans="2:11" ht="24.75" x14ac:dyDescent="0.2">
      <c r="B7979" s="33" t="s">
        <v>9085</v>
      </c>
      <c r="C7979" s="33" t="s">
        <v>9086</v>
      </c>
      <c r="D7979" s="35">
        <f>SUMIFS(D7980:D9015,K7980:K9015,"0",B7980:B9015,"5 1 3 7 8 12 31111 6 M59 40000 000161 0000E 00001 00378*")-SUMIFS(E7980:E9015,K7980:K9015,"0",B7980:B9015,"5 1 3 7 8 12 31111 6 M59 40000 000161 0000E 00001 00378*")</f>
        <v>0</v>
      </c>
      <c r="E7979"/>
      <c r="F7979" s="35">
        <f>SUMIFS(F7980:F9015,K7980:K9015,"0",B7980:B9015,"5 1 3 7 8 12 31111 6 M59 40000 000161 0000E 00001 00378*")</f>
        <v>6603.99</v>
      </c>
      <c r="G7979" s="35">
        <f>SUMIFS(G7980:G9015,K7980:K9015,"0",B7980:B9015,"5 1 3 7 8 12 31111 6 M59 40000 000161 0000E 00001 00378*")</f>
        <v>0</v>
      </c>
      <c r="H7979" s="35">
        <f t="shared" si="125"/>
        <v>6603.99</v>
      </c>
      <c r="I7979" s="35"/>
      <c r="K7979" t="s">
        <v>15</v>
      </c>
    </row>
    <row r="7980" spans="2:11" ht="33" x14ac:dyDescent="0.2">
      <c r="B7980" s="33" t="s">
        <v>9087</v>
      </c>
      <c r="C7980" s="33" t="s">
        <v>656</v>
      </c>
      <c r="D7980" s="35">
        <f>SUMIFS(D7981:D9015,K7981:K9015,"0",B7981:B9015,"5 1 3 7 8 12 31111 6 M59 40000 000161 0000E 00001 00378 025*")-SUMIFS(E7981:E9015,K7981:K9015,"0",B7981:B9015,"5 1 3 7 8 12 31111 6 M59 40000 000161 0000E 00001 00378 025*")</f>
        <v>0</v>
      </c>
      <c r="E7980"/>
      <c r="F7980" s="35">
        <f>SUMIFS(F7981:F9015,K7981:K9015,"0",B7981:B9015,"5 1 3 7 8 12 31111 6 M59 40000 000161 0000E 00001 00378 025*")</f>
        <v>6603.99</v>
      </c>
      <c r="G7980" s="35">
        <f>SUMIFS(G7981:G9015,K7981:K9015,"0",B7981:B9015,"5 1 3 7 8 12 31111 6 M59 40000 000161 0000E 00001 00378 025*")</f>
        <v>0</v>
      </c>
      <c r="H7980" s="35">
        <f t="shared" si="125"/>
        <v>6603.99</v>
      </c>
      <c r="I7980" s="35"/>
      <c r="K7980" t="s">
        <v>15</v>
      </c>
    </row>
    <row r="7981" spans="2:11" ht="33" x14ac:dyDescent="0.2">
      <c r="B7981" s="33" t="s">
        <v>9088</v>
      </c>
      <c r="C7981" s="33" t="s">
        <v>5830</v>
      </c>
      <c r="D7981" s="35">
        <f>SUMIFS(D7982:D9015,K7982:K9015,"0",B7982:B9015,"5 1 3 7 8 12 31111 6 M59 40000 000161 0000E 00001 00378 025 2112000*")-SUMIFS(E7982:E9015,K7982:K9015,"0",B7982:B9015,"5 1 3 7 8 12 31111 6 M59 40000 000161 0000E 00001 00378 025 2112000*")</f>
        <v>0</v>
      </c>
      <c r="E7981"/>
      <c r="F7981" s="35">
        <f>SUMIFS(F7982:F9015,K7982:K9015,"0",B7982:B9015,"5 1 3 7 8 12 31111 6 M59 40000 000161 0000E 00001 00378 025 2112000*")</f>
        <v>6603.99</v>
      </c>
      <c r="G7981" s="35">
        <f>SUMIFS(G7982:G9015,K7982:K9015,"0",B7982:B9015,"5 1 3 7 8 12 31111 6 M59 40000 000161 0000E 00001 00378 025 2112000*")</f>
        <v>0</v>
      </c>
      <c r="H7981" s="35">
        <f t="shared" si="125"/>
        <v>6603.99</v>
      </c>
      <c r="I7981" s="35"/>
      <c r="K7981" t="s">
        <v>15</v>
      </c>
    </row>
    <row r="7982" spans="2:11" ht="33" x14ac:dyDescent="0.2">
      <c r="B7982" s="33" t="s">
        <v>9089</v>
      </c>
      <c r="C7982" s="33" t="s">
        <v>660</v>
      </c>
      <c r="D7982" s="35">
        <f>SUMIFS(D7983:D9015,K7983:K9015,"0",B7983:B9015,"5 1 3 7 8 12 31111 6 M59 40000 000161 0000E 00001 00378 025 2112000 2024*")-SUMIFS(E7983:E9015,K7983:K9015,"0",B7983:B9015,"5 1 3 7 8 12 31111 6 M59 40000 000161 0000E 00001 00378 025 2112000 2024*")</f>
        <v>0</v>
      </c>
      <c r="E7982"/>
      <c r="F7982" s="35">
        <f>SUMIFS(F7983:F9015,K7983:K9015,"0",B7983:B9015,"5 1 3 7 8 12 31111 6 M59 40000 000161 0000E 00001 00378 025 2112000 2024*")</f>
        <v>6603.99</v>
      </c>
      <c r="G7982" s="35">
        <f>SUMIFS(G7983:G9015,K7983:K9015,"0",B7983:B9015,"5 1 3 7 8 12 31111 6 M59 40000 000161 0000E 00001 00378 025 2112000 2024*")</f>
        <v>0</v>
      </c>
      <c r="H7982" s="35">
        <f t="shared" si="125"/>
        <v>6603.99</v>
      </c>
      <c r="I7982" s="35"/>
      <c r="K7982" t="s">
        <v>15</v>
      </c>
    </row>
    <row r="7983" spans="2:11" ht="41.25" x14ac:dyDescent="0.2">
      <c r="B7983" s="33" t="s">
        <v>9090</v>
      </c>
      <c r="C7983" s="33" t="s">
        <v>662</v>
      </c>
      <c r="D7983" s="35">
        <f>SUMIFS(D7984:D9015,K7984:K9015,"0",B7984:B9015,"5 1 3 7 8 12 31111 6 M59 40000 000161 0000E 00001 00378 025 2112000 2024 CP4SP372*")-SUMIFS(E7984:E9015,K7984:K9015,"0",B7984:B9015,"5 1 3 7 8 12 31111 6 M59 40000 000161 0000E 00001 00378 025 2112000 2024 CP4SP372*")</f>
        <v>0</v>
      </c>
      <c r="E7983"/>
      <c r="F7983" s="35">
        <f>SUMIFS(F7984:F9015,K7984:K9015,"0",B7984:B9015,"5 1 3 7 8 12 31111 6 M59 40000 000161 0000E 00001 00378 025 2112000 2024 CP4SP372*")</f>
        <v>6603.99</v>
      </c>
      <c r="G7983" s="35">
        <f>SUMIFS(G7984:G9015,K7984:K9015,"0",B7984:B9015,"5 1 3 7 8 12 31111 6 M59 40000 000161 0000E 00001 00378 025 2112000 2024 CP4SP372*")</f>
        <v>0</v>
      </c>
      <c r="H7983" s="35">
        <f t="shared" si="125"/>
        <v>6603.99</v>
      </c>
      <c r="I7983" s="35"/>
      <c r="K7983" t="s">
        <v>15</v>
      </c>
    </row>
    <row r="7984" spans="2:11" ht="41.25" x14ac:dyDescent="0.2">
      <c r="B7984" s="33" t="s">
        <v>9091</v>
      </c>
      <c r="C7984" s="33" t="s">
        <v>664</v>
      </c>
      <c r="D7984" s="35">
        <f>SUMIFS(D7985:D9015,K7985:K9015,"0",B7985:B9015,"5 1 3 7 8 12 31111 6 M59 40000 000161 0000E 00001 00378 025 2112000 2024 CP4SP372 003*")-SUMIFS(E7985:E9015,K7985:K9015,"0",B7985:B9015,"5 1 3 7 8 12 31111 6 M59 40000 000161 0000E 00001 00378 025 2112000 2024 CP4SP372 003*")</f>
        <v>0</v>
      </c>
      <c r="E7984"/>
      <c r="F7984" s="35">
        <f>SUMIFS(F7985:F9015,K7985:K9015,"0",B7985:B9015,"5 1 3 7 8 12 31111 6 M59 40000 000161 0000E 00001 00378 025 2112000 2024 CP4SP372 003*")</f>
        <v>6603.99</v>
      </c>
      <c r="G7984" s="35">
        <f>SUMIFS(G7985:G9015,K7985:K9015,"0",B7985:B9015,"5 1 3 7 8 12 31111 6 M59 40000 000161 0000E 00001 00378 025 2112000 2024 CP4SP372 003*")</f>
        <v>0</v>
      </c>
      <c r="H7984" s="35">
        <f t="shared" si="125"/>
        <v>6603.99</v>
      </c>
      <c r="I7984" s="35"/>
      <c r="K7984" t="s">
        <v>15</v>
      </c>
    </row>
    <row r="7985" spans="2:11" ht="33" x14ac:dyDescent="0.2">
      <c r="B7985" s="31" t="s">
        <v>9092</v>
      </c>
      <c r="C7985" s="31" t="s">
        <v>9086</v>
      </c>
      <c r="D7985" s="34">
        <v>0</v>
      </c>
      <c r="E7985" s="34"/>
      <c r="F7985" s="34">
        <v>6603.99</v>
      </c>
      <c r="G7985" s="34">
        <v>0</v>
      </c>
      <c r="H7985" s="34">
        <f t="shared" si="125"/>
        <v>6603.99</v>
      </c>
      <c r="I7985" s="34"/>
      <c r="K7985" t="s">
        <v>38</v>
      </c>
    </row>
    <row r="7986" spans="2:11" ht="12.75" x14ac:dyDescent="0.2">
      <c r="B7986" s="33" t="s">
        <v>9093</v>
      </c>
      <c r="C7986" s="33" t="s">
        <v>9094</v>
      </c>
      <c r="D7986" s="35">
        <f>SUMIFS(D7987:D9015,K7987:K9015,"0",B7987:B9015,"5 1 3 8*")-SUMIFS(E7987:E9015,K7987:K9015,"0",B7987:B9015,"5 1 3 8*")</f>
        <v>0</v>
      </c>
      <c r="E7986"/>
      <c r="F7986" s="35">
        <f>SUMIFS(F7987:F9015,K7987:K9015,"0",B7987:B9015,"5 1 3 8*")</f>
        <v>766934.98</v>
      </c>
      <c r="G7986" s="35">
        <f>SUMIFS(G7987:G9015,K7987:K9015,"0",B7987:B9015,"5 1 3 8*")</f>
        <v>0</v>
      </c>
      <c r="H7986" s="35">
        <f t="shared" si="125"/>
        <v>766934.98</v>
      </c>
      <c r="I7986" s="35"/>
      <c r="K7986" t="s">
        <v>15</v>
      </c>
    </row>
    <row r="7987" spans="2:11" ht="16.5" x14ac:dyDescent="0.2">
      <c r="B7987" s="33" t="s">
        <v>9095</v>
      </c>
      <c r="C7987" s="33" t="s">
        <v>9096</v>
      </c>
      <c r="D7987" s="35">
        <f>SUMIFS(D7988:D9015,K7988:K9015,"0",B7988:B9015,"5 1 3 8 2*")-SUMIFS(E7988:E9015,K7988:K9015,"0",B7988:B9015,"5 1 3 8 2*")</f>
        <v>0</v>
      </c>
      <c r="E7987"/>
      <c r="F7987" s="35">
        <f>SUMIFS(F7988:F9015,K7988:K9015,"0",B7988:B9015,"5 1 3 8 2*")</f>
        <v>703171.45</v>
      </c>
      <c r="G7987" s="35">
        <f>SUMIFS(G7988:G9015,K7988:K9015,"0",B7988:B9015,"5 1 3 8 2*")</f>
        <v>0</v>
      </c>
      <c r="H7987" s="35">
        <f t="shared" si="125"/>
        <v>703171.45</v>
      </c>
      <c r="I7987" s="35"/>
      <c r="K7987" t="s">
        <v>15</v>
      </c>
    </row>
    <row r="7988" spans="2:11" ht="12.75" x14ac:dyDescent="0.2">
      <c r="B7988" s="33" t="s">
        <v>9097</v>
      </c>
      <c r="C7988" s="33" t="s">
        <v>26</v>
      </c>
      <c r="D7988" s="35">
        <f>SUMIFS(D7989:D9015,K7989:K9015,"0",B7989:B9015,"5 1 3 8 2 12*")-SUMIFS(E7989:E9015,K7989:K9015,"0",B7989:B9015,"5 1 3 8 2 12*")</f>
        <v>0</v>
      </c>
      <c r="E7988"/>
      <c r="F7988" s="35">
        <f>SUMIFS(F7989:F9015,K7989:K9015,"0",B7989:B9015,"5 1 3 8 2 12*")</f>
        <v>703171.45</v>
      </c>
      <c r="G7988" s="35">
        <f>SUMIFS(G7989:G9015,K7989:K9015,"0",B7989:B9015,"5 1 3 8 2 12*")</f>
        <v>0</v>
      </c>
      <c r="H7988" s="35">
        <f t="shared" si="125"/>
        <v>703171.45</v>
      </c>
      <c r="I7988" s="35"/>
      <c r="K7988" t="s">
        <v>15</v>
      </c>
    </row>
    <row r="7989" spans="2:11" ht="16.5" x14ac:dyDescent="0.2">
      <c r="B7989" s="33" t="s">
        <v>9098</v>
      </c>
      <c r="C7989" s="33" t="s">
        <v>28</v>
      </c>
      <c r="D7989" s="35">
        <f>SUMIFS(D7990:D9015,K7990:K9015,"0",B7990:B9015,"5 1 3 8 2 12 31111*")-SUMIFS(E7990:E9015,K7990:K9015,"0",B7990:B9015,"5 1 3 8 2 12 31111*")</f>
        <v>0</v>
      </c>
      <c r="E7989"/>
      <c r="F7989" s="35">
        <f>SUMIFS(F7990:F9015,K7990:K9015,"0",B7990:B9015,"5 1 3 8 2 12 31111*")</f>
        <v>703171.45</v>
      </c>
      <c r="G7989" s="35">
        <f>SUMIFS(G7990:G9015,K7990:K9015,"0",B7990:B9015,"5 1 3 8 2 12 31111*")</f>
        <v>0</v>
      </c>
      <c r="H7989" s="35">
        <f t="shared" si="125"/>
        <v>703171.45</v>
      </c>
      <c r="I7989" s="35"/>
      <c r="K7989" t="s">
        <v>15</v>
      </c>
    </row>
    <row r="7990" spans="2:11" ht="12.75" x14ac:dyDescent="0.2">
      <c r="B7990" s="33" t="s">
        <v>9099</v>
      </c>
      <c r="C7990" s="33" t="s">
        <v>30</v>
      </c>
      <c r="D7990" s="35">
        <f>SUMIFS(D7991:D9015,K7991:K9015,"0",B7991:B9015,"5 1 3 8 2 12 31111 6*")-SUMIFS(E7991:E9015,K7991:K9015,"0",B7991:B9015,"5 1 3 8 2 12 31111 6*")</f>
        <v>0</v>
      </c>
      <c r="E7990"/>
      <c r="F7990" s="35">
        <f>SUMIFS(F7991:F9015,K7991:K9015,"0",B7991:B9015,"5 1 3 8 2 12 31111 6*")</f>
        <v>703171.45</v>
      </c>
      <c r="G7990" s="35">
        <f>SUMIFS(G7991:G9015,K7991:K9015,"0",B7991:B9015,"5 1 3 8 2 12 31111 6*")</f>
        <v>0</v>
      </c>
      <c r="H7990" s="35">
        <f t="shared" si="125"/>
        <v>703171.45</v>
      </c>
      <c r="I7990" s="35"/>
      <c r="K7990" t="s">
        <v>15</v>
      </c>
    </row>
    <row r="7991" spans="2:11" ht="16.5" x14ac:dyDescent="0.2">
      <c r="B7991" s="33" t="s">
        <v>9100</v>
      </c>
      <c r="C7991" s="33" t="s">
        <v>2284</v>
      </c>
      <c r="D7991" s="35">
        <f>SUMIFS(D7992:D9015,K7992:K9015,"0",B7992:B9015,"5 1 3 8 2 12 31111 6 M59*")-SUMIFS(E7992:E9015,K7992:K9015,"0",B7992:B9015,"5 1 3 8 2 12 31111 6 M59*")</f>
        <v>0</v>
      </c>
      <c r="E7991"/>
      <c r="F7991" s="35">
        <f>SUMIFS(F7992:F9015,K7992:K9015,"0",B7992:B9015,"5 1 3 8 2 12 31111 6 M59*")</f>
        <v>703171.45</v>
      </c>
      <c r="G7991" s="35">
        <f>SUMIFS(G7992:G9015,K7992:K9015,"0",B7992:B9015,"5 1 3 8 2 12 31111 6 M59*")</f>
        <v>0</v>
      </c>
      <c r="H7991" s="35">
        <f t="shared" si="125"/>
        <v>703171.45</v>
      </c>
      <c r="I7991" s="35"/>
      <c r="K7991" t="s">
        <v>15</v>
      </c>
    </row>
    <row r="7992" spans="2:11" ht="16.5" x14ac:dyDescent="0.2">
      <c r="B7992" s="33" t="s">
        <v>9101</v>
      </c>
      <c r="C7992" s="33" t="s">
        <v>2946</v>
      </c>
      <c r="D7992" s="35">
        <f>SUMIFS(D7993:D9015,K7993:K9015,"0",B7993:B9015,"5 1 3 8 2 12 31111 6 M59 10300*")-SUMIFS(E7993:E9015,K7993:K9015,"0",B7993:B9015,"5 1 3 8 2 12 31111 6 M59 10300*")</f>
        <v>0</v>
      </c>
      <c r="E7992"/>
      <c r="F7992" s="35">
        <f>SUMIFS(F7993:F9015,K7993:K9015,"0",B7993:B9015,"5 1 3 8 2 12 31111 6 M59 10300*")</f>
        <v>647249.35</v>
      </c>
      <c r="G7992" s="35">
        <f>SUMIFS(G7993:G9015,K7993:K9015,"0",B7993:B9015,"5 1 3 8 2 12 31111 6 M59 10300*")</f>
        <v>0</v>
      </c>
      <c r="H7992" s="35">
        <f t="shared" si="125"/>
        <v>647249.35</v>
      </c>
      <c r="I7992" s="35"/>
      <c r="K7992" t="s">
        <v>15</v>
      </c>
    </row>
    <row r="7993" spans="2:11" ht="16.5" x14ac:dyDescent="0.2">
      <c r="B7993" s="33" t="s">
        <v>9102</v>
      </c>
      <c r="C7993" s="33" t="s">
        <v>1063</v>
      </c>
      <c r="D7993" s="35">
        <f>SUMIFS(D7994:D9015,K7994:K9015,"0",B7994:B9015,"5 1 3 8 2 12 31111 6 M59 10300 000139*")-SUMIFS(E7994:E9015,K7994:K9015,"0",B7994:B9015,"5 1 3 8 2 12 31111 6 M59 10300 000139*")</f>
        <v>0</v>
      </c>
      <c r="E7993"/>
      <c r="F7993" s="35">
        <f>SUMIFS(F7994:F9015,K7994:K9015,"0",B7994:B9015,"5 1 3 8 2 12 31111 6 M59 10300 000139*")</f>
        <v>647249.35</v>
      </c>
      <c r="G7993" s="35">
        <f>SUMIFS(G7994:G9015,K7994:K9015,"0",B7994:B9015,"5 1 3 8 2 12 31111 6 M59 10300 000139*")</f>
        <v>0</v>
      </c>
      <c r="H7993" s="35">
        <f t="shared" si="125"/>
        <v>647249.35</v>
      </c>
      <c r="I7993" s="35"/>
      <c r="K7993" t="s">
        <v>15</v>
      </c>
    </row>
    <row r="7994" spans="2:11" ht="24.75" x14ac:dyDescent="0.2">
      <c r="B7994" s="33" t="s">
        <v>9103</v>
      </c>
      <c r="C7994" s="33" t="s">
        <v>1065</v>
      </c>
      <c r="D7994" s="35">
        <f>SUMIFS(D7995:D9015,K7995:K9015,"0",B7995:B9015,"5 1 3 8 2 12 31111 6 M59 10300 000139 0000E*")-SUMIFS(E7995:E9015,K7995:K9015,"0",B7995:B9015,"5 1 3 8 2 12 31111 6 M59 10300 000139 0000E*")</f>
        <v>0</v>
      </c>
      <c r="E7994"/>
      <c r="F7994" s="35">
        <f>SUMIFS(F7995:F9015,K7995:K9015,"0",B7995:B9015,"5 1 3 8 2 12 31111 6 M59 10300 000139 0000E*")</f>
        <v>647249.35</v>
      </c>
      <c r="G7994" s="35">
        <f>SUMIFS(G7995:G9015,K7995:K9015,"0",B7995:B9015,"5 1 3 8 2 12 31111 6 M59 10300 000139 0000E*")</f>
        <v>0</v>
      </c>
      <c r="H7994" s="35">
        <f t="shared" si="125"/>
        <v>647249.35</v>
      </c>
      <c r="I7994" s="35"/>
      <c r="K7994" t="s">
        <v>15</v>
      </c>
    </row>
    <row r="7995" spans="2:11" ht="24.75" x14ac:dyDescent="0.2">
      <c r="B7995" s="33" t="s">
        <v>9104</v>
      </c>
      <c r="C7995" s="33" t="s">
        <v>282</v>
      </c>
      <c r="D7995" s="35">
        <f>SUMIFS(D7996:D9015,K7996:K9015,"0",B7996:B9015,"5 1 3 8 2 12 31111 6 M59 10300 000139 0000E 00001*")-SUMIFS(E7996:E9015,K7996:K9015,"0",B7996:B9015,"5 1 3 8 2 12 31111 6 M59 10300 000139 0000E 00001*")</f>
        <v>0</v>
      </c>
      <c r="E7995"/>
      <c r="F7995" s="35">
        <f>SUMIFS(F7996:F9015,K7996:K9015,"0",B7996:B9015,"5 1 3 8 2 12 31111 6 M59 10300 000139 0000E 00001*")</f>
        <v>647249.35</v>
      </c>
      <c r="G7995" s="35">
        <f>SUMIFS(G7996:G9015,K7996:K9015,"0",B7996:B9015,"5 1 3 8 2 12 31111 6 M59 10300 000139 0000E 00001*")</f>
        <v>0</v>
      </c>
      <c r="H7995" s="35">
        <f t="shared" si="125"/>
        <v>647249.35</v>
      </c>
      <c r="I7995" s="35"/>
      <c r="K7995" t="s">
        <v>15</v>
      </c>
    </row>
    <row r="7996" spans="2:11" ht="24.75" x14ac:dyDescent="0.2">
      <c r="B7996" s="33" t="s">
        <v>9105</v>
      </c>
      <c r="C7996" s="33" t="s">
        <v>9106</v>
      </c>
      <c r="D7996" s="35">
        <f>SUMIFS(D7997:D9015,K7997:K9015,"0",B7997:B9015,"5 1 3 8 2 12 31111 6 M59 10300 000139 0000E 00001 00382*")-SUMIFS(E7997:E9015,K7997:K9015,"0",B7997:B9015,"5 1 3 8 2 12 31111 6 M59 10300 000139 0000E 00001 00382*")</f>
        <v>0</v>
      </c>
      <c r="E7996"/>
      <c r="F7996" s="35">
        <f>SUMIFS(F7997:F9015,K7997:K9015,"0",B7997:B9015,"5 1 3 8 2 12 31111 6 M59 10300 000139 0000E 00001 00382*")</f>
        <v>647249.35</v>
      </c>
      <c r="G7996" s="35">
        <f>SUMIFS(G7997:G9015,K7997:K9015,"0",B7997:B9015,"5 1 3 8 2 12 31111 6 M59 10300 000139 0000E 00001 00382*")</f>
        <v>0</v>
      </c>
      <c r="H7996" s="35">
        <f t="shared" si="125"/>
        <v>647249.35</v>
      </c>
      <c r="I7996" s="35"/>
      <c r="K7996" t="s">
        <v>15</v>
      </c>
    </row>
    <row r="7997" spans="2:11" ht="33" x14ac:dyDescent="0.2">
      <c r="B7997" s="33" t="s">
        <v>9107</v>
      </c>
      <c r="C7997" s="33" t="s">
        <v>699</v>
      </c>
      <c r="D7997" s="35">
        <f>SUMIFS(D7998:D9015,K7998:K9015,"0",B7998:B9015,"5 1 3 8 2 12 31111 6 M59 10300 000139 0000E 00001 00382 011*")-SUMIFS(E7998:E9015,K7998:K9015,"0",B7998:B9015,"5 1 3 8 2 12 31111 6 M59 10300 000139 0000E 00001 00382 011*")</f>
        <v>0</v>
      </c>
      <c r="E7997"/>
      <c r="F7997" s="35">
        <f>SUMIFS(F7998:F9015,K7998:K9015,"0",B7998:B9015,"5 1 3 8 2 12 31111 6 M59 10300 000139 0000E 00001 00382 011*")</f>
        <v>647249.35</v>
      </c>
      <c r="G7997" s="35">
        <f>SUMIFS(G7998:G9015,K7998:K9015,"0",B7998:B9015,"5 1 3 8 2 12 31111 6 M59 10300 000139 0000E 00001 00382 011*")</f>
        <v>0</v>
      </c>
      <c r="H7997" s="35">
        <f t="shared" si="125"/>
        <v>647249.35</v>
      </c>
      <c r="I7997" s="35"/>
      <c r="K7997" t="s">
        <v>15</v>
      </c>
    </row>
    <row r="7998" spans="2:11" ht="33" x14ac:dyDescent="0.2">
      <c r="B7998" s="33" t="s">
        <v>9108</v>
      </c>
      <c r="C7998" s="33" t="s">
        <v>5830</v>
      </c>
      <c r="D7998" s="35">
        <f>SUMIFS(D7999:D9015,K7999:K9015,"0",B7999:B9015,"5 1 3 8 2 12 31111 6 M59 10300 000139 0000E 00001 00382 011 2112000*")-SUMIFS(E7999:E9015,K7999:K9015,"0",B7999:B9015,"5 1 3 8 2 12 31111 6 M59 10300 000139 0000E 00001 00382 011 2112000*")</f>
        <v>0</v>
      </c>
      <c r="E7998"/>
      <c r="F7998" s="35">
        <f>SUMIFS(F7999:F9015,K7999:K9015,"0",B7999:B9015,"5 1 3 8 2 12 31111 6 M59 10300 000139 0000E 00001 00382 011 2112000*")</f>
        <v>647249.35</v>
      </c>
      <c r="G7998" s="35">
        <f>SUMIFS(G7999:G9015,K7999:K9015,"0",B7999:B9015,"5 1 3 8 2 12 31111 6 M59 10300 000139 0000E 00001 00382 011 2112000*")</f>
        <v>0</v>
      </c>
      <c r="H7998" s="35">
        <f t="shared" si="125"/>
        <v>647249.35</v>
      </c>
      <c r="I7998" s="35"/>
      <c r="K7998" t="s">
        <v>15</v>
      </c>
    </row>
    <row r="7999" spans="2:11" ht="33" x14ac:dyDescent="0.2">
      <c r="B7999" s="33" t="s">
        <v>9109</v>
      </c>
      <c r="C7999" s="33" t="s">
        <v>660</v>
      </c>
      <c r="D7999" s="35">
        <f>SUMIFS(D8000:D9015,K8000:K9015,"0",B8000:B9015,"5 1 3 8 2 12 31111 6 M59 10300 000139 0000E 00001 00382 011 2112000 2024*")-SUMIFS(E8000:E9015,K8000:K9015,"0",B8000:B9015,"5 1 3 8 2 12 31111 6 M59 10300 000139 0000E 00001 00382 011 2112000 2024*")</f>
        <v>0</v>
      </c>
      <c r="E7999"/>
      <c r="F7999" s="35">
        <f>SUMIFS(F8000:F9015,K8000:K9015,"0",B8000:B9015,"5 1 3 8 2 12 31111 6 M59 10300 000139 0000E 00001 00382 011 2112000 2024*")</f>
        <v>647249.35</v>
      </c>
      <c r="G7999" s="35">
        <f>SUMIFS(G8000:G9015,K8000:K9015,"0",B8000:B9015,"5 1 3 8 2 12 31111 6 M59 10300 000139 0000E 00001 00382 011 2112000 2024*")</f>
        <v>0</v>
      </c>
      <c r="H7999" s="35">
        <f t="shared" si="125"/>
        <v>647249.35</v>
      </c>
      <c r="I7999" s="35"/>
      <c r="K7999" t="s">
        <v>15</v>
      </c>
    </row>
    <row r="8000" spans="2:11" ht="41.25" x14ac:dyDescent="0.2">
      <c r="B8000" s="33" t="s">
        <v>9110</v>
      </c>
      <c r="C8000" s="33" t="s">
        <v>8510</v>
      </c>
      <c r="D8000" s="35">
        <f>SUMIFS(D8001:D9015,K8001:K9015,"0",B8001:B9015,"5 1 3 8 2 12 31111 6 M59 10300 000139 0000E 00001 00382 011 2112000 2024 CP3GE486*")-SUMIFS(E8001:E9015,K8001:K9015,"0",B8001:B9015,"5 1 3 8 2 12 31111 6 M59 10300 000139 0000E 00001 00382 011 2112000 2024 CP3GE486*")</f>
        <v>0</v>
      </c>
      <c r="E8000"/>
      <c r="F8000" s="35">
        <f>SUMIFS(F8001:F9015,K8001:K9015,"0",B8001:B9015,"5 1 3 8 2 12 31111 6 M59 10300 000139 0000E 00001 00382 011 2112000 2024 CP3GE486*")</f>
        <v>647249.35</v>
      </c>
      <c r="G8000" s="35">
        <f>SUMIFS(G8001:G9015,K8001:K9015,"0",B8001:B9015,"5 1 3 8 2 12 31111 6 M59 10300 000139 0000E 00001 00382 011 2112000 2024 CP3GE486*")</f>
        <v>0</v>
      </c>
      <c r="H8000" s="35">
        <f t="shared" si="125"/>
        <v>647249.35</v>
      </c>
      <c r="I8000" s="35"/>
      <c r="K8000" t="s">
        <v>15</v>
      </c>
    </row>
    <row r="8001" spans="2:11" ht="41.25" x14ac:dyDescent="0.2">
      <c r="B8001" s="33" t="s">
        <v>9111</v>
      </c>
      <c r="C8001" s="33" t="s">
        <v>46</v>
      </c>
      <c r="D8001" s="35">
        <f>SUMIFS(D8002:D9015,K8002:K9015,"0",B8002:B9015,"5 1 3 8 2 12 31111 6 M59 10300 000139 0000E 00001 00382 011 2112000 2024 CP3GE486 004*")-SUMIFS(E8002:E9015,K8002:K9015,"0",B8002:B9015,"5 1 3 8 2 12 31111 6 M59 10300 000139 0000E 00001 00382 011 2112000 2024 CP3GE486 004*")</f>
        <v>0</v>
      </c>
      <c r="E8001"/>
      <c r="F8001" s="35">
        <f>SUMIFS(F8002:F9015,K8002:K9015,"0",B8002:B9015,"5 1 3 8 2 12 31111 6 M59 10300 000139 0000E 00001 00382 011 2112000 2024 CP3GE486 004*")</f>
        <v>647249.35</v>
      </c>
      <c r="G8001" s="35">
        <f>SUMIFS(G8002:G9015,K8002:K9015,"0",B8002:B9015,"5 1 3 8 2 12 31111 6 M59 10300 000139 0000E 00001 00382 011 2112000 2024 CP3GE486 004*")</f>
        <v>0</v>
      </c>
      <c r="H8001" s="35">
        <f t="shared" si="125"/>
        <v>647249.35</v>
      </c>
      <c r="I8001" s="35"/>
      <c r="K8001" t="s">
        <v>15</v>
      </c>
    </row>
    <row r="8002" spans="2:11" ht="33" x14ac:dyDescent="0.2">
      <c r="B8002" s="31" t="s">
        <v>9112</v>
      </c>
      <c r="C8002" s="31" t="s">
        <v>9096</v>
      </c>
      <c r="D8002" s="34">
        <v>0</v>
      </c>
      <c r="E8002" s="34"/>
      <c r="F8002" s="34">
        <v>647249.35</v>
      </c>
      <c r="G8002" s="34">
        <v>0</v>
      </c>
      <c r="H8002" s="34">
        <f t="shared" si="125"/>
        <v>647249.35</v>
      </c>
      <c r="I8002" s="34"/>
      <c r="K8002" t="s">
        <v>38</v>
      </c>
    </row>
    <row r="8003" spans="2:11" ht="16.5" x14ac:dyDescent="0.2">
      <c r="B8003" s="33" t="s">
        <v>9113</v>
      </c>
      <c r="C8003" s="33" t="s">
        <v>1044</v>
      </c>
      <c r="D8003" s="35">
        <f>SUMIFS(D8004:D9015,K8004:K9015,"0",B8004:B9015,"5 1 3 8 2 12 31111 6 M59 19000*")-SUMIFS(E8004:E9015,K8004:K9015,"0",B8004:B9015,"5 1 3 8 2 12 31111 6 M59 19000*")</f>
        <v>0</v>
      </c>
      <c r="E8003"/>
      <c r="F8003" s="35">
        <f>SUMIFS(F8004:F9015,K8004:K9015,"0",B8004:B9015,"5 1 3 8 2 12 31111 6 M59 19000*")</f>
        <v>55922.1</v>
      </c>
      <c r="G8003" s="35">
        <f>SUMIFS(G8004:G9015,K8004:K9015,"0",B8004:B9015,"5 1 3 8 2 12 31111 6 M59 19000*")</f>
        <v>0</v>
      </c>
      <c r="H8003" s="35">
        <f t="shared" si="125"/>
        <v>55922.1</v>
      </c>
      <c r="I8003" s="35"/>
      <c r="K8003" t="s">
        <v>15</v>
      </c>
    </row>
    <row r="8004" spans="2:11" ht="16.5" x14ac:dyDescent="0.2">
      <c r="B8004" s="33" t="s">
        <v>9114</v>
      </c>
      <c r="C8004" s="33" t="s">
        <v>648</v>
      </c>
      <c r="D8004" s="35">
        <f>SUMIFS(D8005:D9015,K8005:K9015,"0",B8005:B9015,"5 1 3 8 2 12 31111 6 M59 19000 000132*")-SUMIFS(E8005:E9015,K8005:K9015,"0",B8005:B9015,"5 1 3 8 2 12 31111 6 M59 19000 000132*")</f>
        <v>0</v>
      </c>
      <c r="E8004"/>
      <c r="F8004" s="35">
        <f>SUMIFS(F8005:F9015,K8005:K9015,"0",B8005:B9015,"5 1 3 8 2 12 31111 6 M59 19000 000132*")</f>
        <v>55922.1</v>
      </c>
      <c r="G8004" s="35">
        <f>SUMIFS(G8005:G9015,K8005:K9015,"0",B8005:B9015,"5 1 3 8 2 12 31111 6 M59 19000 000132*")</f>
        <v>0</v>
      </c>
      <c r="H8004" s="35">
        <f t="shared" ref="H8004:H8067" si="126">D8004 + F8004 - G8004</f>
        <v>55922.1</v>
      </c>
      <c r="I8004" s="35"/>
      <c r="K8004" t="s">
        <v>15</v>
      </c>
    </row>
    <row r="8005" spans="2:11" ht="24.75" x14ac:dyDescent="0.2">
      <c r="B8005" s="33" t="s">
        <v>9115</v>
      </c>
      <c r="C8005" s="33" t="s">
        <v>650</v>
      </c>
      <c r="D8005" s="35">
        <f>SUMIFS(D8006:D9015,K8006:K9015,"0",B8006:B9015,"5 1 3 8 2 12 31111 6 M59 19000 000132 0000R*")-SUMIFS(E8006:E9015,K8006:K9015,"0",B8006:B9015,"5 1 3 8 2 12 31111 6 M59 19000 000132 0000R*")</f>
        <v>0</v>
      </c>
      <c r="E8005"/>
      <c r="F8005" s="35">
        <f>SUMIFS(F8006:F9015,K8006:K9015,"0",B8006:B9015,"5 1 3 8 2 12 31111 6 M59 19000 000132 0000R*")</f>
        <v>55922.1</v>
      </c>
      <c r="G8005" s="35">
        <f>SUMIFS(G8006:G9015,K8006:K9015,"0",B8006:B9015,"5 1 3 8 2 12 31111 6 M59 19000 000132 0000R*")</f>
        <v>0</v>
      </c>
      <c r="H8005" s="35">
        <f t="shared" si="126"/>
        <v>55922.1</v>
      </c>
      <c r="I8005" s="35"/>
      <c r="K8005" t="s">
        <v>15</v>
      </c>
    </row>
    <row r="8006" spans="2:11" ht="24.75" x14ac:dyDescent="0.2">
      <c r="B8006" s="33" t="s">
        <v>9116</v>
      </c>
      <c r="C8006" s="33" t="s">
        <v>282</v>
      </c>
      <c r="D8006" s="35">
        <f>SUMIFS(D8007:D9015,K8007:K9015,"0",B8007:B9015,"5 1 3 8 2 12 31111 6 M59 19000 000132 0000R 00001*")-SUMIFS(E8007:E9015,K8007:K9015,"0",B8007:B9015,"5 1 3 8 2 12 31111 6 M59 19000 000132 0000R 00001*")</f>
        <v>0</v>
      </c>
      <c r="E8006"/>
      <c r="F8006" s="35">
        <f>SUMIFS(F8007:F9015,K8007:K9015,"0",B8007:B9015,"5 1 3 8 2 12 31111 6 M59 19000 000132 0000R 00001*")</f>
        <v>55922.1</v>
      </c>
      <c r="G8006" s="35">
        <f>SUMIFS(G8007:G9015,K8007:K9015,"0",B8007:B9015,"5 1 3 8 2 12 31111 6 M59 19000 000132 0000R 00001*")</f>
        <v>0</v>
      </c>
      <c r="H8006" s="35">
        <f t="shared" si="126"/>
        <v>55922.1</v>
      </c>
      <c r="I8006" s="35"/>
      <c r="K8006" t="s">
        <v>15</v>
      </c>
    </row>
    <row r="8007" spans="2:11" ht="24.75" x14ac:dyDescent="0.2">
      <c r="B8007" s="33" t="s">
        <v>9117</v>
      </c>
      <c r="C8007" s="33" t="s">
        <v>9106</v>
      </c>
      <c r="D8007" s="35">
        <f>SUMIFS(D8008:D9015,K8008:K9015,"0",B8008:B9015,"5 1 3 8 2 12 31111 6 M59 19000 000132 0000R 00001 00382*")-SUMIFS(E8008:E9015,K8008:K9015,"0",B8008:B9015,"5 1 3 8 2 12 31111 6 M59 19000 000132 0000R 00001 00382*")</f>
        <v>0</v>
      </c>
      <c r="E8007"/>
      <c r="F8007" s="35">
        <f>SUMIFS(F8008:F9015,K8008:K9015,"0",B8008:B9015,"5 1 3 8 2 12 31111 6 M59 19000 000132 0000R 00001 00382*")</f>
        <v>55922.1</v>
      </c>
      <c r="G8007" s="35">
        <f>SUMIFS(G8008:G9015,K8008:K9015,"0",B8008:B9015,"5 1 3 8 2 12 31111 6 M59 19000 000132 0000R 00001 00382*")</f>
        <v>0</v>
      </c>
      <c r="H8007" s="35">
        <f t="shared" si="126"/>
        <v>55922.1</v>
      </c>
      <c r="I8007" s="35"/>
      <c r="K8007" t="s">
        <v>15</v>
      </c>
    </row>
    <row r="8008" spans="2:11" ht="33" x14ac:dyDescent="0.2">
      <c r="B8008" s="33" t="s">
        <v>9118</v>
      </c>
      <c r="C8008" s="33" t="s">
        <v>699</v>
      </c>
      <c r="D8008" s="35">
        <f>SUMIFS(D8009:D9015,K8009:K9015,"0",B8009:B9015,"5 1 3 8 2 12 31111 6 M59 19000 000132 0000R 00001 00382 011*")-SUMIFS(E8009:E9015,K8009:K9015,"0",B8009:B9015,"5 1 3 8 2 12 31111 6 M59 19000 000132 0000R 00001 00382 011*")</f>
        <v>0</v>
      </c>
      <c r="E8008"/>
      <c r="F8008" s="35">
        <f>SUMIFS(F8009:F9015,K8009:K9015,"0",B8009:B9015,"5 1 3 8 2 12 31111 6 M59 19000 000132 0000R 00001 00382 011*")</f>
        <v>55922.1</v>
      </c>
      <c r="G8008" s="35">
        <f>SUMIFS(G8009:G9015,K8009:K9015,"0",B8009:B9015,"5 1 3 8 2 12 31111 6 M59 19000 000132 0000R 00001 00382 011*")</f>
        <v>0</v>
      </c>
      <c r="H8008" s="35">
        <f t="shared" si="126"/>
        <v>55922.1</v>
      </c>
      <c r="I8008" s="35"/>
      <c r="K8008" t="s">
        <v>15</v>
      </c>
    </row>
    <row r="8009" spans="2:11" ht="33" x14ac:dyDescent="0.2">
      <c r="B8009" s="33" t="s">
        <v>9119</v>
      </c>
      <c r="C8009" s="33" t="s">
        <v>5830</v>
      </c>
      <c r="D8009" s="35">
        <f>SUMIFS(D8010:D9015,K8010:K9015,"0",B8010:B9015,"5 1 3 8 2 12 31111 6 M59 19000 000132 0000R 00001 00382 011 2112000*")-SUMIFS(E8010:E9015,K8010:K9015,"0",B8010:B9015,"5 1 3 8 2 12 31111 6 M59 19000 000132 0000R 00001 00382 011 2112000*")</f>
        <v>0</v>
      </c>
      <c r="E8009"/>
      <c r="F8009" s="35">
        <f>SUMIFS(F8010:F9015,K8010:K9015,"0",B8010:B9015,"5 1 3 8 2 12 31111 6 M59 19000 000132 0000R 00001 00382 011 2112000*")</f>
        <v>55922.1</v>
      </c>
      <c r="G8009" s="35">
        <f>SUMIFS(G8010:G9015,K8010:K9015,"0",B8010:B9015,"5 1 3 8 2 12 31111 6 M59 19000 000132 0000R 00001 00382 011 2112000*")</f>
        <v>0</v>
      </c>
      <c r="H8009" s="35">
        <f t="shared" si="126"/>
        <v>55922.1</v>
      </c>
      <c r="I8009" s="35"/>
      <c r="K8009" t="s">
        <v>15</v>
      </c>
    </row>
    <row r="8010" spans="2:11" ht="33" x14ac:dyDescent="0.2">
      <c r="B8010" s="33" t="s">
        <v>9120</v>
      </c>
      <c r="C8010" s="33" t="s">
        <v>660</v>
      </c>
      <c r="D8010" s="35">
        <f>SUMIFS(D8011:D9015,K8011:K9015,"0",B8011:B9015,"5 1 3 8 2 12 31111 6 M59 19000 000132 0000R 00001 00382 011 2112000 2024*")-SUMIFS(E8011:E9015,K8011:K9015,"0",B8011:B9015,"5 1 3 8 2 12 31111 6 M59 19000 000132 0000R 00001 00382 011 2112000 2024*")</f>
        <v>0</v>
      </c>
      <c r="E8010"/>
      <c r="F8010" s="35">
        <f>SUMIFS(F8011:F9015,K8011:K9015,"0",B8011:B9015,"5 1 3 8 2 12 31111 6 M59 19000 000132 0000R 00001 00382 011 2112000 2024*")</f>
        <v>55922.1</v>
      </c>
      <c r="G8010" s="35">
        <f>SUMIFS(G8011:G9015,K8011:K9015,"0",B8011:B9015,"5 1 3 8 2 12 31111 6 M59 19000 000132 0000R 00001 00382 011 2112000 2024*")</f>
        <v>0</v>
      </c>
      <c r="H8010" s="35">
        <f t="shared" si="126"/>
        <v>55922.1</v>
      </c>
      <c r="I8010" s="35"/>
      <c r="K8010" t="s">
        <v>15</v>
      </c>
    </row>
    <row r="8011" spans="2:11" ht="41.25" x14ac:dyDescent="0.2">
      <c r="B8011" s="33" t="s">
        <v>9121</v>
      </c>
      <c r="C8011" s="33" t="s">
        <v>662</v>
      </c>
      <c r="D8011" s="35">
        <f>SUMIFS(D8012:D9015,K8012:K9015,"0",B8012:B9015,"5 1 3 8 2 12 31111 6 M59 19000 000132 0000R 00001 00382 011 2112000 2024 CP1TM440*")-SUMIFS(E8012:E9015,K8012:K9015,"0",B8012:B9015,"5 1 3 8 2 12 31111 6 M59 19000 000132 0000R 00001 00382 011 2112000 2024 CP1TM440*")</f>
        <v>0</v>
      </c>
      <c r="E8011"/>
      <c r="F8011" s="35">
        <f>SUMIFS(F8012:F9015,K8012:K9015,"0",B8012:B9015,"5 1 3 8 2 12 31111 6 M59 19000 000132 0000R 00001 00382 011 2112000 2024 CP1TM440*")</f>
        <v>55922.1</v>
      </c>
      <c r="G8011" s="35">
        <f>SUMIFS(G8012:G9015,K8012:K9015,"0",B8012:B9015,"5 1 3 8 2 12 31111 6 M59 19000 000132 0000R 00001 00382 011 2112000 2024 CP1TM440*")</f>
        <v>0</v>
      </c>
      <c r="H8011" s="35">
        <f t="shared" si="126"/>
        <v>55922.1</v>
      </c>
      <c r="I8011" s="35"/>
      <c r="K8011" t="s">
        <v>15</v>
      </c>
    </row>
    <row r="8012" spans="2:11" ht="41.25" x14ac:dyDescent="0.2">
      <c r="B8012" s="33" t="s">
        <v>9122</v>
      </c>
      <c r="C8012" s="33" t="s">
        <v>46</v>
      </c>
      <c r="D8012" s="35">
        <f>SUMIFS(D8013:D9015,K8013:K9015,"0",B8013:B9015,"5 1 3 8 2 12 31111 6 M59 19000 000132 0000R 00001 00382 011 2112000 2024 CP1TM440 004*")-SUMIFS(E8013:E9015,K8013:K9015,"0",B8013:B9015,"5 1 3 8 2 12 31111 6 M59 19000 000132 0000R 00001 00382 011 2112000 2024 CP1TM440 004*")</f>
        <v>0</v>
      </c>
      <c r="E8012"/>
      <c r="F8012" s="35">
        <f>SUMIFS(F8013:F9015,K8013:K9015,"0",B8013:B9015,"5 1 3 8 2 12 31111 6 M59 19000 000132 0000R 00001 00382 011 2112000 2024 CP1TM440 004*")</f>
        <v>55922.1</v>
      </c>
      <c r="G8012" s="35">
        <f>SUMIFS(G8013:G9015,K8013:K9015,"0",B8013:B9015,"5 1 3 8 2 12 31111 6 M59 19000 000132 0000R 00001 00382 011 2112000 2024 CP1TM440 004*")</f>
        <v>0</v>
      </c>
      <c r="H8012" s="35">
        <f t="shared" si="126"/>
        <v>55922.1</v>
      </c>
      <c r="I8012" s="35"/>
      <c r="K8012" t="s">
        <v>15</v>
      </c>
    </row>
    <row r="8013" spans="2:11" ht="33" x14ac:dyDescent="0.2">
      <c r="B8013" s="31" t="s">
        <v>9123</v>
      </c>
      <c r="C8013" s="31" t="s">
        <v>9096</v>
      </c>
      <c r="D8013" s="34">
        <v>0</v>
      </c>
      <c r="E8013" s="34"/>
      <c r="F8013" s="34">
        <v>55922.1</v>
      </c>
      <c r="G8013" s="34">
        <v>0</v>
      </c>
      <c r="H8013" s="34">
        <f t="shared" si="126"/>
        <v>55922.1</v>
      </c>
      <c r="I8013" s="34"/>
      <c r="K8013" t="s">
        <v>38</v>
      </c>
    </row>
    <row r="8014" spans="2:11" ht="12.75" x14ac:dyDescent="0.2">
      <c r="B8014" s="33" t="s">
        <v>9124</v>
      </c>
      <c r="C8014" s="33" t="s">
        <v>2955</v>
      </c>
      <c r="D8014" s="35">
        <f>SUMIFS(D8015:D9015,K8015:K9015,"0",B8015:B9015,"5 1 3 8 5*")-SUMIFS(E8015:E9015,K8015:K9015,"0",B8015:B9015,"5 1 3 8 5*")</f>
        <v>0</v>
      </c>
      <c r="E8014"/>
      <c r="F8014" s="35">
        <f>SUMIFS(F8015:F9015,K8015:K9015,"0",B8015:B9015,"5 1 3 8 5*")</f>
        <v>63763.53</v>
      </c>
      <c r="G8014" s="35">
        <f>SUMIFS(G8015:G9015,K8015:K9015,"0",B8015:B9015,"5 1 3 8 5*")</f>
        <v>0</v>
      </c>
      <c r="H8014" s="35">
        <f t="shared" si="126"/>
        <v>63763.53</v>
      </c>
      <c r="I8014" s="35"/>
      <c r="K8014" t="s">
        <v>15</v>
      </c>
    </row>
    <row r="8015" spans="2:11" ht="12.75" x14ac:dyDescent="0.2">
      <c r="B8015" s="33" t="s">
        <v>9125</v>
      </c>
      <c r="C8015" s="33" t="s">
        <v>26</v>
      </c>
      <c r="D8015" s="35">
        <f>SUMIFS(D8016:D9015,K8016:K9015,"0",B8016:B9015,"5 1 3 8 5 12*")-SUMIFS(E8016:E9015,K8016:K9015,"0",B8016:B9015,"5 1 3 8 5 12*")</f>
        <v>0</v>
      </c>
      <c r="E8015"/>
      <c r="F8015" s="35">
        <f>SUMIFS(F8016:F9015,K8016:K9015,"0",B8016:B9015,"5 1 3 8 5 12*")</f>
        <v>63763.53</v>
      </c>
      <c r="G8015" s="35">
        <f>SUMIFS(G8016:G9015,K8016:K9015,"0",B8016:B9015,"5 1 3 8 5 12*")</f>
        <v>0</v>
      </c>
      <c r="H8015" s="35">
        <f t="shared" si="126"/>
        <v>63763.53</v>
      </c>
      <c r="I8015" s="35"/>
      <c r="K8015" t="s">
        <v>15</v>
      </c>
    </row>
    <row r="8016" spans="2:11" ht="16.5" x14ac:dyDescent="0.2">
      <c r="B8016" s="33" t="s">
        <v>9126</v>
      </c>
      <c r="C8016" s="33" t="s">
        <v>28</v>
      </c>
      <c r="D8016" s="35">
        <f>SUMIFS(D8017:D9015,K8017:K9015,"0",B8017:B9015,"5 1 3 8 5 12 31111*")-SUMIFS(E8017:E9015,K8017:K9015,"0",B8017:B9015,"5 1 3 8 5 12 31111*")</f>
        <v>0</v>
      </c>
      <c r="E8016"/>
      <c r="F8016" s="35">
        <f>SUMIFS(F8017:F9015,K8017:K9015,"0",B8017:B9015,"5 1 3 8 5 12 31111*")</f>
        <v>63763.53</v>
      </c>
      <c r="G8016" s="35">
        <f>SUMIFS(G8017:G9015,K8017:K9015,"0",B8017:B9015,"5 1 3 8 5 12 31111*")</f>
        <v>0</v>
      </c>
      <c r="H8016" s="35">
        <f t="shared" si="126"/>
        <v>63763.53</v>
      </c>
      <c r="I8016" s="35"/>
      <c r="K8016" t="s">
        <v>15</v>
      </c>
    </row>
    <row r="8017" spans="2:11" ht="12.75" x14ac:dyDescent="0.2">
      <c r="B8017" s="33" t="s">
        <v>9127</v>
      </c>
      <c r="C8017" s="33" t="s">
        <v>30</v>
      </c>
      <c r="D8017" s="35">
        <f>SUMIFS(D8018:D9015,K8018:K9015,"0",B8018:B9015,"5 1 3 8 5 12 31111 6*")-SUMIFS(E8018:E9015,K8018:K9015,"0",B8018:B9015,"5 1 3 8 5 12 31111 6*")</f>
        <v>0</v>
      </c>
      <c r="E8017"/>
      <c r="F8017" s="35">
        <f>SUMIFS(F8018:F9015,K8018:K9015,"0",B8018:B9015,"5 1 3 8 5 12 31111 6*")</f>
        <v>63763.53</v>
      </c>
      <c r="G8017" s="35">
        <f>SUMIFS(G8018:G9015,K8018:K9015,"0",B8018:B9015,"5 1 3 8 5 12 31111 6*")</f>
        <v>0</v>
      </c>
      <c r="H8017" s="35">
        <f t="shared" si="126"/>
        <v>63763.53</v>
      </c>
      <c r="I8017" s="35"/>
      <c r="K8017" t="s">
        <v>15</v>
      </c>
    </row>
    <row r="8018" spans="2:11" ht="16.5" x14ac:dyDescent="0.2">
      <c r="B8018" s="33" t="s">
        <v>9128</v>
      </c>
      <c r="C8018" s="33" t="s">
        <v>2284</v>
      </c>
      <c r="D8018" s="35">
        <f>SUMIFS(D8019:D9015,K8019:K9015,"0",B8019:B9015,"5 1 3 8 5 12 31111 6 M59*")-SUMIFS(E8019:E9015,K8019:K9015,"0",B8019:B9015,"5 1 3 8 5 12 31111 6 M59*")</f>
        <v>0</v>
      </c>
      <c r="E8018"/>
      <c r="F8018" s="35">
        <f>SUMIFS(F8019:F9015,K8019:K9015,"0",B8019:B9015,"5 1 3 8 5 12 31111 6 M59*")</f>
        <v>63763.53</v>
      </c>
      <c r="G8018" s="35">
        <f>SUMIFS(G8019:G9015,K8019:K9015,"0",B8019:B9015,"5 1 3 8 5 12 31111 6 M59*")</f>
        <v>0</v>
      </c>
      <c r="H8018" s="35">
        <f t="shared" si="126"/>
        <v>63763.53</v>
      </c>
      <c r="I8018" s="35"/>
      <c r="K8018" t="s">
        <v>15</v>
      </c>
    </row>
    <row r="8019" spans="2:11" ht="16.5" x14ac:dyDescent="0.2">
      <c r="B8019" s="33" t="s">
        <v>9129</v>
      </c>
      <c r="C8019" s="33" t="s">
        <v>1243</v>
      </c>
      <c r="D8019" s="35">
        <f>SUMIFS(D8020:D9015,K8020:K9015,"0",B8020:B9015,"5 1 3 8 5 12 31111 6 M59 10000*")-SUMIFS(E8020:E9015,K8020:K9015,"0",B8020:B9015,"5 1 3 8 5 12 31111 6 M59 10000*")</f>
        <v>0</v>
      </c>
      <c r="E8019"/>
      <c r="F8019" s="35">
        <f>SUMIFS(F8020:F9015,K8020:K9015,"0",B8020:B9015,"5 1 3 8 5 12 31111 6 M59 10000*")</f>
        <v>48464.17</v>
      </c>
      <c r="G8019" s="35">
        <f>SUMIFS(G8020:G9015,K8020:K9015,"0",B8020:B9015,"5 1 3 8 5 12 31111 6 M59 10000*")</f>
        <v>0</v>
      </c>
      <c r="H8019" s="35">
        <f t="shared" si="126"/>
        <v>48464.17</v>
      </c>
      <c r="I8019" s="35"/>
      <c r="K8019" t="s">
        <v>15</v>
      </c>
    </row>
    <row r="8020" spans="2:11" ht="16.5" x14ac:dyDescent="0.2">
      <c r="B8020" s="33" t="s">
        <v>9130</v>
      </c>
      <c r="C8020" s="33" t="s">
        <v>648</v>
      </c>
      <c r="D8020" s="35">
        <f>SUMIFS(D8021:D9015,K8021:K9015,"0",B8021:B9015,"5 1 3 8 5 12 31111 6 M59 10000 000132*")-SUMIFS(E8021:E9015,K8021:K9015,"0",B8021:B9015,"5 1 3 8 5 12 31111 6 M59 10000 000132*")</f>
        <v>0</v>
      </c>
      <c r="E8020"/>
      <c r="F8020" s="35">
        <f>SUMIFS(F8021:F9015,K8021:K9015,"0",B8021:B9015,"5 1 3 8 5 12 31111 6 M59 10000 000132*")</f>
        <v>48464.17</v>
      </c>
      <c r="G8020" s="35">
        <f>SUMIFS(G8021:G9015,K8021:K9015,"0",B8021:B9015,"5 1 3 8 5 12 31111 6 M59 10000 000132*")</f>
        <v>0</v>
      </c>
      <c r="H8020" s="35">
        <f t="shared" si="126"/>
        <v>48464.17</v>
      </c>
      <c r="I8020" s="35"/>
      <c r="K8020" t="s">
        <v>15</v>
      </c>
    </row>
    <row r="8021" spans="2:11" ht="24.75" x14ac:dyDescent="0.2">
      <c r="B8021" s="33" t="s">
        <v>9131</v>
      </c>
      <c r="C8021" s="33" t="s">
        <v>650</v>
      </c>
      <c r="D8021" s="35">
        <f>SUMIFS(D8022:D9015,K8022:K9015,"0",B8022:B9015,"5 1 3 8 5 12 31111 6 M59 10000 000132 0000R*")-SUMIFS(E8022:E9015,K8022:K9015,"0",B8022:B9015,"5 1 3 8 5 12 31111 6 M59 10000 000132 0000R*")</f>
        <v>0</v>
      </c>
      <c r="E8021"/>
      <c r="F8021" s="35">
        <f>SUMIFS(F8022:F9015,K8022:K9015,"0",B8022:B9015,"5 1 3 8 5 12 31111 6 M59 10000 000132 0000R*")</f>
        <v>48464.17</v>
      </c>
      <c r="G8021" s="35">
        <f>SUMIFS(G8022:G9015,K8022:K9015,"0",B8022:B9015,"5 1 3 8 5 12 31111 6 M59 10000 000132 0000R*")</f>
        <v>0</v>
      </c>
      <c r="H8021" s="35">
        <f t="shared" si="126"/>
        <v>48464.17</v>
      </c>
      <c r="I8021" s="35"/>
      <c r="K8021" t="s">
        <v>15</v>
      </c>
    </row>
    <row r="8022" spans="2:11" ht="24.75" x14ac:dyDescent="0.2">
      <c r="B8022" s="33" t="s">
        <v>9132</v>
      </c>
      <c r="C8022" s="33" t="s">
        <v>282</v>
      </c>
      <c r="D8022" s="35">
        <f>SUMIFS(D8023:D9015,K8023:K9015,"0",B8023:B9015,"5 1 3 8 5 12 31111 6 M59 10000 000132 0000R 00001*")-SUMIFS(E8023:E9015,K8023:K9015,"0",B8023:B9015,"5 1 3 8 5 12 31111 6 M59 10000 000132 0000R 00001*")</f>
        <v>0</v>
      </c>
      <c r="E8022"/>
      <c r="F8022" s="35">
        <f>SUMIFS(F8023:F9015,K8023:K9015,"0",B8023:B9015,"5 1 3 8 5 12 31111 6 M59 10000 000132 0000R 00001*")</f>
        <v>48464.17</v>
      </c>
      <c r="G8022" s="35">
        <f>SUMIFS(G8023:G9015,K8023:K9015,"0",B8023:B9015,"5 1 3 8 5 12 31111 6 M59 10000 000132 0000R 00001*")</f>
        <v>0</v>
      </c>
      <c r="H8022" s="35">
        <f t="shared" si="126"/>
        <v>48464.17</v>
      </c>
      <c r="I8022" s="35"/>
      <c r="K8022" t="s">
        <v>15</v>
      </c>
    </row>
    <row r="8023" spans="2:11" ht="24.75" x14ac:dyDescent="0.2">
      <c r="B8023" s="33" t="s">
        <v>9133</v>
      </c>
      <c r="C8023" s="33" t="s">
        <v>9134</v>
      </c>
      <c r="D8023" s="35">
        <f>SUMIFS(D8024:D9015,K8024:K9015,"0",B8024:B9015,"5 1 3 8 5 12 31111 6 M59 10000 000132 0000R 00001 00385*")-SUMIFS(E8024:E9015,K8024:K9015,"0",B8024:B9015,"5 1 3 8 5 12 31111 6 M59 10000 000132 0000R 00001 00385*")</f>
        <v>0</v>
      </c>
      <c r="E8023"/>
      <c r="F8023" s="35">
        <f>SUMIFS(F8024:F9015,K8024:K9015,"0",B8024:B9015,"5 1 3 8 5 12 31111 6 M59 10000 000132 0000R 00001 00385*")</f>
        <v>48464.17</v>
      </c>
      <c r="G8023" s="35">
        <f>SUMIFS(G8024:G9015,K8024:K9015,"0",B8024:B9015,"5 1 3 8 5 12 31111 6 M59 10000 000132 0000R 00001 00385*")</f>
        <v>0</v>
      </c>
      <c r="H8023" s="35">
        <f t="shared" si="126"/>
        <v>48464.17</v>
      </c>
      <c r="I8023" s="35"/>
      <c r="K8023" t="s">
        <v>15</v>
      </c>
    </row>
    <row r="8024" spans="2:11" ht="33" x14ac:dyDescent="0.2">
      <c r="B8024" s="33" t="s">
        <v>9135</v>
      </c>
      <c r="C8024" s="33" t="s">
        <v>1051</v>
      </c>
      <c r="D8024" s="35">
        <f>SUMIFS(D8025:D9015,K8025:K9015,"0",B8025:B9015,"5 1 3 8 5 12 31111 6 M59 10000 000132 0000R 00001 00385 015*")-SUMIFS(E8025:E9015,K8025:K9015,"0",B8025:B9015,"5 1 3 8 5 12 31111 6 M59 10000 000132 0000R 00001 00385 015*")</f>
        <v>0</v>
      </c>
      <c r="E8024"/>
      <c r="F8024" s="35">
        <f>SUMIFS(F8025:F9015,K8025:K9015,"0",B8025:B9015,"5 1 3 8 5 12 31111 6 M59 10000 000132 0000R 00001 00385 015*")</f>
        <v>48464.17</v>
      </c>
      <c r="G8024" s="35">
        <f>SUMIFS(G8025:G9015,K8025:K9015,"0",B8025:B9015,"5 1 3 8 5 12 31111 6 M59 10000 000132 0000R 00001 00385 015*")</f>
        <v>0</v>
      </c>
      <c r="H8024" s="35">
        <f t="shared" si="126"/>
        <v>48464.17</v>
      </c>
      <c r="I8024" s="35"/>
      <c r="K8024" t="s">
        <v>15</v>
      </c>
    </row>
    <row r="8025" spans="2:11" ht="33" x14ac:dyDescent="0.2">
      <c r="B8025" s="33" t="s">
        <v>9136</v>
      </c>
      <c r="C8025" s="33" t="s">
        <v>5830</v>
      </c>
      <c r="D8025" s="35">
        <f>SUMIFS(D8026:D9015,K8026:K9015,"0",B8026:B9015,"5 1 3 8 5 12 31111 6 M59 10000 000132 0000R 00001 00385 015 2112000*")-SUMIFS(E8026:E9015,K8026:K9015,"0",B8026:B9015,"5 1 3 8 5 12 31111 6 M59 10000 000132 0000R 00001 00385 015 2112000*")</f>
        <v>0</v>
      </c>
      <c r="E8025"/>
      <c r="F8025" s="35">
        <f>SUMIFS(F8026:F9015,K8026:K9015,"0",B8026:B9015,"5 1 3 8 5 12 31111 6 M59 10000 000132 0000R 00001 00385 015 2112000*")</f>
        <v>48464.17</v>
      </c>
      <c r="G8025" s="35">
        <f>SUMIFS(G8026:G9015,K8026:K9015,"0",B8026:B9015,"5 1 3 8 5 12 31111 6 M59 10000 000132 0000R 00001 00385 015 2112000*")</f>
        <v>0</v>
      </c>
      <c r="H8025" s="35">
        <f t="shared" si="126"/>
        <v>48464.17</v>
      </c>
      <c r="I8025" s="35"/>
      <c r="K8025" t="s">
        <v>15</v>
      </c>
    </row>
    <row r="8026" spans="2:11" ht="33" x14ac:dyDescent="0.2">
      <c r="B8026" s="33" t="s">
        <v>9137</v>
      </c>
      <c r="C8026" s="33" t="s">
        <v>660</v>
      </c>
      <c r="D8026" s="35">
        <f>SUMIFS(D8027:D9015,K8027:K9015,"0",B8027:B9015,"5 1 3 8 5 12 31111 6 M59 10000 000132 0000R 00001 00385 015 2112000 2024*")-SUMIFS(E8027:E9015,K8027:K9015,"0",B8027:B9015,"5 1 3 8 5 12 31111 6 M59 10000 000132 0000R 00001 00385 015 2112000 2024*")</f>
        <v>0</v>
      </c>
      <c r="E8026"/>
      <c r="F8026" s="35">
        <f>SUMIFS(F8027:F9015,K8027:K9015,"0",B8027:B9015,"5 1 3 8 5 12 31111 6 M59 10000 000132 0000R 00001 00385 015 2112000 2024*")</f>
        <v>48464.17</v>
      </c>
      <c r="G8026" s="35">
        <f>SUMIFS(G8027:G9015,K8027:K9015,"0",B8027:B9015,"5 1 3 8 5 12 31111 6 M59 10000 000132 0000R 00001 00385 015 2112000 2024*")</f>
        <v>0</v>
      </c>
      <c r="H8026" s="35">
        <f t="shared" si="126"/>
        <v>48464.17</v>
      </c>
      <c r="I8026" s="35"/>
      <c r="K8026" t="s">
        <v>15</v>
      </c>
    </row>
    <row r="8027" spans="2:11" ht="41.25" x14ac:dyDescent="0.2">
      <c r="B8027" s="33" t="s">
        <v>9138</v>
      </c>
      <c r="C8027" s="33" t="s">
        <v>662</v>
      </c>
      <c r="D8027" s="35">
        <f>SUMIFS(D8028:D9015,K8028:K9015,"0",B8028:B9015,"5 1 3 8 5 12 31111 6 M59 10000 000132 0000R 00001 00385 015 2112000 2024 CP1PM439*")-SUMIFS(E8028:E9015,K8028:K9015,"0",B8028:B9015,"5 1 3 8 5 12 31111 6 M59 10000 000132 0000R 00001 00385 015 2112000 2024 CP1PM439*")</f>
        <v>0</v>
      </c>
      <c r="E8027"/>
      <c r="F8027" s="35">
        <f>SUMIFS(F8028:F9015,K8028:K9015,"0",B8028:B9015,"5 1 3 8 5 12 31111 6 M59 10000 000132 0000R 00001 00385 015 2112000 2024 CP1PM439*")</f>
        <v>48464.17</v>
      </c>
      <c r="G8027" s="35">
        <f>SUMIFS(G8028:G9015,K8028:K9015,"0",B8028:B9015,"5 1 3 8 5 12 31111 6 M59 10000 000132 0000R 00001 00385 015 2112000 2024 CP1PM439*")</f>
        <v>0</v>
      </c>
      <c r="H8027" s="35">
        <f t="shared" si="126"/>
        <v>48464.17</v>
      </c>
      <c r="I8027" s="35"/>
      <c r="K8027" t="s">
        <v>15</v>
      </c>
    </row>
    <row r="8028" spans="2:11" ht="41.25" x14ac:dyDescent="0.2">
      <c r="B8028" s="33" t="s">
        <v>9139</v>
      </c>
      <c r="C8028" s="33" t="s">
        <v>282</v>
      </c>
      <c r="D8028" s="35">
        <f>SUMIFS(D8029:D9015,K8029:K9015,"0",B8029:B9015,"5 1 3 8 5 12 31111 6 M59 10000 000132 0000R 00001 00385 015 2112000 2024 CP1PM439 001*")-SUMIFS(E8029:E9015,K8029:K9015,"0",B8029:B9015,"5 1 3 8 5 12 31111 6 M59 10000 000132 0000R 00001 00385 015 2112000 2024 CP1PM439 001*")</f>
        <v>0</v>
      </c>
      <c r="E8028"/>
      <c r="F8028" s="35">
        <f>SUMIFS(F8029:F9015,K8029:K9015,"0",B8029:B9015,"5 1 3 8 5 12 31111 6 M59 10000 000132 0000R 00001 00385 015 2112000 2024 CP1PM439 001*")</f>
        <v>48464.17</v>
      </c>
      <c r="G8028" s="35">
        <f>SUMIFS(G8029:G9015,K8029:K9015,"0",B8029:B9015,"5 1 3 8 5 12 31111 6 M59 10000 000132 0000R 00001 00385 015 2112000 2024 CP1PM439 001*")</f>
        <v>0</v>
      </c>
      <c r="H8028" s="35">
        <f t="shared" si="126"/>
        <v>48464.17</v>
      </c>
      <c r="I8028" s="35"/>
      <c r="K8028" t="s">
        <v>15</v>
      </c>
    </row>
    <row r="8029" spans="2:11" ht="33" x14ac:dyDescent="0.2">
      <c r="B8029" s="31" t="s">
        <v>9140</v>
      </c>
      <c r="C8029" s="31" t="s">
        <v>2955</v>
      </c>
      <c r="D8029" s="34">
        <v>0</v>
      </c>
      <c r="E8029" s="34"/>
      <c r="F8029" s="34">
        <v>48464.17</v>
      </c>
      <c r="G8029" s="34">
        <v>0</v>
      </c>
      <c r="H8029" s="34">
        <f t="shared" si="126"/>
        <v>48464.17</v>
      </c>
      <c r="I8029" s="34"/>
      <c r="K8029" t="s">
        <v>38</v>
      </c>
    </row>
    <row r="8030" spans="2:11" ht="16.5" x14ac:dyDescent="0.2">
      <c r="B8030" s="33" t="s">
        <v>9141</v>
      </c>
      <c r="C8030" s="33" t="s">
        <v>1044</v>
      </c>
      <c r="D8030" s="35">
        <f>SUMIFS(D8031:D9015,K8031:K9015,"0",B8031:B9015,"5 1 3 8 5 12 31111 6 M59 19000*")-SUMIFS(E8031:E9015,K8031:K9015,"0",B8031:B9015,"5 1 3 8 5 12 31111 6 M59 19000*")</f>
        <v>0</v>
      </c>
      <c r="E8030"/>
      <c r="F8030" s="35">
        <f>SUMIFS(F8031:F9015,K8031:K9015,"0",B8031:B9015,"5 1 3 8 5 12 31111 6 M59 19000*")</f>
        <v>15299.36</v>
      </c>
      <c r="G8030" s="35">
        <f>SUMIFS(G8031:G9015,K8031:K9015,"0",B8031:B9015,"5 1 3 8 5 12 31111 6 M59 19000*")</f>
        <v>0</v>
      </c>
      <c r="H8030" s="35">
        <f t="shared" si="126"/>
        <v>15299.36</v>
      </c>
      <c r="I8030" s="35"/>
      <c r="K8030" t="s">
        <v>15</v>
      </c>
    </row>
    <row r="8031" spans="2:11" ht="16.5" x14ac:dyDescent="0.2">
      <c r="B8031" s="33" t="s">
        <v>9142</v>
      </c>
      <c r="C8031" s="33" t="s">
        <v>648</v>
      </c>
      <c r="D8031" s="35">
        <f>SUMIFS(D8032:D9015,K8032:K9015,"0",B8032:B9015,"5 1 3 8 5 12 31111 6 M59 19000 000132*")-SUMIFS(E8032:E9015,K8032:K9015,"0",B8032:B9015,"5 1 3 8 5 12 31111 6 M59 19000 000132*")</f>
        <v>0</v>
      </c>
      <c r="E8031"/>
      <c r="F8031" s="35">
        <f>SUMIFS(F8032:F9015,K8032:K9015,"0",B8032:B9015,"5 1 3 8 5 12 31111 6 M59 19000 000132*")</f>
        <v>15299.36</v>
      </c>
      <c r="G8031" s="35">
        <f>SUMIFS(G8032:G9015,K8032:K9015,"0",B8032:B9015,"5 1 3 8 5 12 31111 6 M59 19000 000132*")</f>
        <v>0</v>
      </c>
      <c r="H8031" s="35">
        <f t="shared" si="126"/>
        <v>15299.36</v>
      </c>
      <c r="I8031" s="35"/>
      <c r="K8031" t="s">
        <v>15</v>
      </c>
    </row>
    <row r="8032" spans="2:11" ht="24.75" x14ac:dyDescent="0.2">
      <c r="B8032" s="33" t="s">
        <v>9143</v>
      </c>
      <c r="C8032" s="33" t="s">
        <v>650</v>
      </c>
      <c r="D8032" s="35">
        <f>SUMIFS(D8033:D9015,K8033:K9015,"0",B8033:B9015,"5 1 3 8 5 12 31111 6 M59 19000 000132 0000R*")-SUMIFS(E8033:E9015,K8033:K9015,"0",B8033:B9015,"5 1 3 8 5 12 31111 6 M59 19000 000132 0000R*")</f>
        <v>0</v>
      </c>
      <c r="E8032"/>
      <c r="F8032" s="35">
        <f>SUMIFS(F8033:F9015,K8033:K9015,"0",B8033:B9015,"5 1 3 8 5 12 31111 6 M59 19000 000132 0000R*")</f>
        <v>15299.36</v>
      </c>
      <c r="G8032" s="35">
        <f>SUMIFS(G8033:G9015,K8033:K9015,"0",B8033:B9015,"5 1 3 8 5 12 31111 6 M59 19000 000132 0000R*")</f>
        <v>0</v>
      </c>
      <c r="H8032" s="35">
        <f t="shared" si="126"/>
        <v>15299.36</v>
      </c>
      <c r="I8032" s="35"/>
      <c r="K8032" t="s">
        <v>15</v>
      </c>
    </row>
    <row r="8033" spans="2:11" ht="24.75" x14ac:dyDescent="0.2">
      <c r="B8033" s="33" t="s">
        <v>9144</v>
      </c>
      <c r="C8033" s="33" t="s">
        <v>282</v>
      </c>
      <c r="D8033" s="35">
        <f>SUMIFS(D8034:D9015,K8034:K9015,"0",B8034:B9015,"5 1 3 8 5 12 31111 6 M59 19000 000132 0000R 00001*")-SUMIFS(E8034:E9015,K8034:K9015,"0",B8034:B9015,"5 1 3 8 5 12 31111 6 M59 19000 000132 0000R 00001*")</f>
        <v>0</v>
      </c>
      <c r="E8033"/>
      <c r="F8033" s="35">
        <f>SUMIFS(F8034:F9015,K8034:K9015,"0",B8034:B9015,"5 1 3 8 5 12 31111 6 M59 19000 000132 0000R 00001*")</f>
        <v>15299.36</v>
      </c>
      <c r="G8033" s="35">
        <f>SUMIFS(G8034:G9015,K8034:K9015,"0",B8034:B9015,"5 1 3 8 5 12 31111 6 M59 19000 000132 0000R 00001*")</f>
        <v>0</v>
      </c>
      <c r="H8033" s="35">
        <f t="shared" si="126"/>
        <v>15299.36</v>
      </c>
      <c r="I8033" s="35"/>
      <c r="K8033" t="s">
        <v>15</v>
      </c>
    </row>
    <row r="8034" spans="2:11" ht="24.75" x14ac:dyDescent="0.2">
      <c r="B8034" s="33" t="s">
        <v>9145</v>
      </c>
      <c r="C8034" s="33" t="s">
        <v>9134</v>
      </c>
      <c r="D8034" s="35">
        <f>SUMIFS(D8035:D9015,K8035:K9015,"0",B8035:B9015,"5 1 3 8 5 12 31111 6 M59 19000 000132 0000R 00001 00385*")-SUMIFS(E8035:E9015,K8035:K9015,"0",B8035:B9015,"5 1 3 8 5 12 31111 6 M59 19000 000132 0000R 00001 00385*")</f>
        <v>0</v>
      </c>
      <c r="E8034"/>
      <c r="F8034" s="35">
        <f>SUMIFS(F8035:F9015,K8035:K9015,"0",B8035:B9015,"5 1 3 8 5 12 31111 6 M59 19000 000132 0000R 00001 00385*")</f>
        <v>15299.36</v>
      </c>
      <c r="G8034" s="35">
        <f>SUMIFS(G8035:G9015,K8035:K9015,"0",B8035:B9015,"5 1 3 8 5 12 31111 6 M59 19000 000132 0000R 00001 00385*")</f>
        <v>0</v>
      </c>
      <c r="H8034" s="35">
        <f t="shared" si="126"/>
        <v>15299.36</v>
      </c>
      <c r="I8034" s="35"/>
      <c r="K8034" t="s">
        <v>15</v>
      </c>
    </row>
    <row r="8035" spans="2:11" ht="33" x14ac:dyDescent="0.2">
      <c r="B8035" s="33" t="s">
        <v>9146</v>
      </c>
      <c r="C8035" s="33" t="s">
        <v>699</v>
      </c>
      <c r="D8035" s="35">
        <f>SUMIFS(D8036:D9015,K8036:K9015,"0",B8036:B9015,"5 1 3 8 5 12 31111 6 M59 19000 000132 0000R 00001 00385 011*")-SUMIFS(E8036:E9015,K8036:K9015,"0",B8036:B9015,"5 1 3 8 5 12 31111 6 M59 19000 000132 0000R 00001 00385 011*")</f>
        <v>0</v>
      </c>
      <c r="E8035"/>
      <c r="F8035" s="35">
        <f>SUMIFS(F8036:F9015,K8036:K9015,"0",B8036:B9015,"5 1 3 8 5 12 31111 6 M59 19000 000132 0000R 00001 00385 011*")</f>
        <v>15299.36</v>
      </c>
      <c r="G8035" s="35">
        <f>SUMIFS(G8036:G9015,K8036:K9015,"0",B8036:B9015,"5 1 3 8 5 12 31111 6 M59 19000 000132 0000R 00001 00385 011*")</f>
        <v>0</v>
      </c>
      <c r="H8035" s="35">
        <f t="shared" si="126"/>
        <v>15299.36</v>
      </c>
      <c r="I8035" s="35"/>
      <c r="K8035" t="s">
        <v>15</v>
      </c>
    </row>
    <row r="8036" spans="2:11" ht="33" x14ac:dyDescent="0.2">
      <c r="B8036" s="33" t="s">
        <v>9147</v>
      </c>
      <c r="C8036" s="33" t="s">
        <v>5830</v>
      </c>
      <c r="D8036" s="35">
        <f>SUMIFS(D8037:D9015,K8037:K9015,"0",B8037:B9015,"5 1 3 8 5 12 31111 6 M59 19000 000132 0000R 00001 00385 011 2112000*")-SUMIFS(E8037:E9015,K8037:K9015,"0",B8037:B9015,"5 1 3 8 5 12 31111 6 M59 19000 000132 0000R 00001 00385 011 2112000*")</f>
        <v>0</v>
      </c>
      <c r="E8036"/>
      <c r="F8036" s="35">
        <f>SUMIFS(F8037:F9015,K8037:K9015,"0",B8037:B9015,"5 1 3 8 5 12 31111 6 M59 19000 000132 0000R 00001 00385 011 2112000*")</f>
        <v>15299.36</v>
      </c>
      <c r="G8036" s="35">
        <f>SUMIFS(G8037:G9015,K8037:K9015,"0",B8037:B9015,"5 1 3 8 5 12 31111 6 M59 19000 000132 0000R 00001 00385 011 2112000*")</f>
        <v>0</v>
      </c>
      <c r="H8036" s="35">
        <f t="shared" si="126"/>
        <v>15299.36</v>
      </c>
      <c r="I8036" s="35"/>
      <c r="K8036" t="s">
        <v>15</v>
      </c>
    </row>
    <row r="8037" spans="2:11" ht="33" x14ac:dyDescent="0.2">
      <c r="B8037" s="33" t="s">
        <v>9148</v>
      </c>
      <c r="C8037" s="33" t="s">
        <v>660</v>
      </c>
      <c r="D8037" s="35">
        <f>SUMIFS(D8038:D9015,K8038:K9015,"0",B8038:B9015,"5 1 3 8 5 12 31111 6 M59 19000 000132 0000R 00001 00385 011 2112000 2024*")-SUMIFS(E8038:E9015,K8038:K9015,"0",B8038:B9015,"5 1 3 8 5 12 31111 6 M59 19000 000132 0000R 00001 00385 011 2112000 2024*")</f>
        <v>0</v>
      </c>
      <c r="E8037"/>
      <c r="F8037" s="35">
        <f>SUMIFS(F8038:F9015,K8038:K9015,"0",B8038:B9015,"5 1 3 8 5 12 31111 6 M59 19000 000132 0000R 00001 00385 011 2112000 2024*")</f>
        <v>15299.36</v>
      </c>
      <c r="G8037" s="35">
        <f>SUMIFS(G8038:G9015,K8038:K9015,"0",B8038:B9015,"5 1 3 8 5 12 31111 6 M59 19000 000132 0000R 00001 00385 011 2112000 2024*")</f>
        <v>0</v>
      </c>
      <c r="H8037" s="35">
        <f t="shared" si="126"/>
        <v>15299.36</v>
      </c>
      <c r="I8037" s="35"/>
      <c r="K8037" t="s">
        <v>15</v>
      </c>
    </row>
    <row r="8038" spans="2:11" ht="41.25" x14ac:dyDescent="0.2">
      <c r="B8038" s="33" t="s">
        <v>9149</v>
      </c>
      <c r="C8038" s="33" t="s">
        <v>662</v>
      </c>
      <c r="D8038" s="35">
        <f>SUMIFS(D8039:D9015,K8039:K9015,"0",B8039:B9015,"5 1 3 8 5 12 31111 6 M59 19000 000132 0000R 00001 00385 011 2112000 2024 CP1TM440*")-SUMIFS(E8039:E9015,K8039:K9015,"0",B8039:B9015,"5 1 3 8 5 12 31111 6 M59 19000 000132 0000R 00001 00385 011 2112000 2024 CP1TM440*")</f>
        <v>0</v>
      </c>
      <c r="E8038"/>
      <c r="F8038" s="35">
        <f>SUMIFS(F8039:F9015,K8039:K9015,"0",B8039:B9015,"5 1 3 8 5 12 31111 6 M59 19000 000132 0000R 00001 00385 011 2112000 2024 CP1TM440*")</f>
        <v>15299.36</v>
      </c>
      <c r="G8038" s="35">
        <f>SUMIFS(G8039:G9015,K8039:K9015,"0",B8039:B9015,"5 1 3 8 5 12 31111 6 M59 19000 000132 0000R 00001 00385 011 2112000 2024 CP1TM440*")</f>
        <v>0</v>
      </c>
      <c r="H8038" s="35">
        <f t="shared" si="126"/>
        <v>15299.36</v>
      </c>
      <c r="I8038" s="35"/>
      <c r="K8038" t="s">
        <v>15</v>
      </c>
    </row>
    <row r="8039" spans="2:11" ht="41.25" x14ac:dyDescent="0.2">
      <c r="B8039" s="33" t="s">
        <v>9150</v>
      </c>
      <c r="C8039" s="33" t="s">
        <v>46</v>
      </c>
      <c r="D8039" s="35">
        <f>SUMIFS(D8040:D9015,K8040:K9015,"0",B8040:B9015,"5 1 3 8 5 12 31111 6 M59 19000 000132 0000R 00001 00385 011 2112000 2024 CP1TM440 004*")-SUMIFS(E8040:E9015,K8040:K9015,"0",B8040:B9015,"5 1 3 8 5 12 31111 6 M59 19000 000132 0000R 00001 00385 011 2112000 2024 CP1TM440 004*")</f>
        <v>0</v>
      </c>
      <c r="E8039"/>
      <c r="F8039" s="35">
        <f>SUMIFS(F8040:F9015,K8040:K9015,"0",B8040:B9015,"5 1 3 8 5 12 31111 6 M59 19000 000132 0000R 00001 00385 011 2112000 2024 CP1TM440 004*")</f>
        <v>15299.36</v>
      </c>
      <c r="G8039" s="35">
        <f>SUMIFS(G8040:G9015,K8040:K9015,"0",B8040:B9015,"5 1 3 8 5 12 31111 6 M59 19000 000132 0000R 00001 00385 011 2112000 2024 CP1TM440 004*")</f>
        <v>0</v>
      </c>
      <c r="H8039" s="35">
        <f t="shared" si="126"/>
        <v>15299.36</v>
      </c>
      <c r="I8039" s="35"/>
      <c r="K8039" t="s">
        <v>15</v>
      </c>
    </row>
    <row r="8040" spans="2:11" ht="33" x14ac:dyDescent="0.2">
      <c r="B8040" s="31" t="s">
        <v>9151</v>
      </c>
      <c r="C8040" s="31" t="s">
        <v>9134</v>
      </c>
      <c r="D8040" s="34">
        <v>0</v>
      </c>
      <c r="E8040" s="34"/>
      <c r="F8040" s="34">
        <v>15299.36</v>
      </c>
      <c r="G8040" s="34">
        <v>0</v>
      </c>
      <c r="H8040" s="34">
        <f t="shared" si="126"/>
        <v>15299.36</v>
      </c>
      <c r="I8040" s="34"/>
      <c r="K8040" t="s">
        <v>38</v>
      </c>
    </row>
    <row r="8041" spans="2:11" ht="12.75" x14ac:dyDescent="0.2">
      <c r="B8041" s="33" t="s">
        <v>9152</v>
      </c>
      <c r="C8041" s="33" t="s">
        <v>9153</v>
      </c>
      <c r="D8041" s="35">
        <f>SUMIFS(D8042:D9015,K8042:K9015,"0",B8042:B9015,"5 1 3 9*")-SUMIFS(E8042:E9015,K8042:K9015,"0",B8042:B9015,"5 1 3 9*")</f>
        <v>0</v>
      </c>
      <c r="E8041"/>
      <c r="F8041" s="35">
        <f>SUMIFS(F8042:F9015,K8042:K9015,"0",B8042:B9015,"5 1 3 9*")</f>
        <v>5707137.2199999979</v>
      </c>
      <c r="G8041" s="35">
        <f>SUMIFS(G8042:G9015,K8042:K9015,"0",B8042:B9015,"5 1 3 9*")</f>
        <v>0</v>
      </c>
      <c r="H8041" s="35">
        <f t="shared" si="126"/>
        <v>5707137.2199999979</v>
      </c>
      <c r="I8041" s="35"/>
      <c r="K8041" t="s">
        <v>15</v>
      </c>
    </row>
    <row r="8042" spans="2:11" ht="12.75" x14ac:dyDescent="0.2">
      <c r="B8042" s="33" t="s">
        <v>9154</v>
      </c>
      <c r="C8042" s="33" t="s">
        <v>9155</v>
      </c>
      <c r="D8042" s="35">
        <f>SUMIFS(D8043:D9015,K8043:K9015,"0",B8043:B9015,"5 1 3 9 2*")-SUMIFS(E8043:E9015,K8043:K9015,"0",B8043:B9015,"5 1 3 9 2*")</f>
        <v>0</v>
      </c>
      <c r="E8042"/>
      <c r="F8042" s="35">
        <f>SUMIFS(F8043:F9015,K8043:K9015,"0",B8043:B9015,"5 1 3 9 2*")</f>
        <v>2725411.61</v>
      </c>
      <c r="G8042" s="35">
        <f>SUMIFS(G8043:G9015,K8043:K9015,"0",B8043:B9015,"5 1 3 9 2*")</f>
        <v>0</v>
      </c>
      <c r="H8042" s="35">
        <f t="shared" si="126"/>
        <v>2725411.61</v>
      </c>
      <c r="I8042" s="35"/>
      <c r="K8042" t="s">
        <v>15</v>
      </c>
    </row>
    <row r="8043" spans="2:11" ht="12.75" x14ac:dyDescent="0.2">
      <c r="B8043" s="33" t="s">
        <v>9156</v>
      </c>
      <c r="C8043" s="33" t="s">
        <v>26</v>
      </c>
      <c r="D8043" s="35">
        <f>SUMIFS(D8044:D9015,K8044:K9015,"0",B8044:B9015,"5 1 3 9 2 12*")-SUMIFS(E8044:E9015,K8044:K9015,"0",B8044:B9015,"5 1 3 9 2 12*")</f>
        <v>0</v>
      </c>
      <c r="E8043"/>
      <c r="F8043" s="35">
        <f>SUMIFS(F8044:F9015,K8044:K9015,"0",B8044:B9015,"5 1 3 9 2 12*")</f>
        <v>2725411.61</v>
      </c>
      <c r="G8043" s="35">
        <f>SUMIFS(G8044:G9015,K8044:K9015,"0",B8044:B9015,"5 1 3 9 2 12*")</f>
        <v>0</v>
      </c>
      <c r="H8043" s="35">
        <f t="shared" si="126"/>
        <v>2725411.61</v>
      </c>
      <c r="I8043" s="35"/>
      <c r="K8043" t="s">
        <v>15</v>
      </c>
    </row>
    <row r="8044" spans="2:11" ht="16.5" x14ac:dyDescent="0.2">
      <c r="B8044" s="33" t="s">
        <v>9157</v>
      </c>
      <c r="C8044" s="33" t="s">
        <v>28</v>
      </c>
      <c r="D8044" s="35">
        <f>SUMIFS(D8045:D9015,K8045:K9015,"0",B8045:B9015,"5 1 3 9 2 12 31111*")-SUMIFS(E8045:E9015,K8045:K9015,"0",B8045:B9015,"5 1 3 9 2 12 31111*")</f>
        <v>0</v>
      </c>
      <c r="E8044"/>
      <c r="F8044" s="35">
        <f>SUMIFS(F8045:F9015,K8045:K9015,"0",B8045:B9015,"5 1 3 9 2 12 31111*")</f>
        <v>2725411.61</v>
      </c>
      <c r="G8044" s="35">
        <f>SUMIFS(G8045:G9015,K8045:K9015,"0",B8045:B9015,"5 1 3 9 2 12 31111*")</f>
        <v>0</v>
      </c>
      <c r="H8044" s="35">
        <f t="shared" si="126"/>
        <v>2725411.61</v>
      </c>
      <c r="I8044" s="35"/>
      <c r="K8044" t="s">
        <v>15</v>
      </c>
    </row>
    <row r="8045" spans="2:11" ht="12.75" x14ac:dyDescent="0.2">
      <c r="B8045" s="33" t="s">
        <v>9158</v>
      </c>
      <c r="C8045" s="33" t="s">
        <v>30</v>
      </c>
      <c r="D8045" s="35">
        <f>SUMIFS(D8046:D9015,K8046:K9015,"0",B8046:B9015,"5 1 3 9 2 12 31111 6*")-SUMIFS(E8046:E9015,K8046:K9015,"0",B8046:B9015,"5 1 3 9 2 12 31111 6*")</f>
        <v>0</v>
      </c>
      <c r="E8045"/>
      <c r="F8045" s="35">
        <f>SUMIFS(F8046:F9015,K8046:K9015,"0",B8046:B9015,"5 1 3 9 2 12 31111 6*")</f>
        <v>2725411.61</v>
      </c>
      <c r="G8045" s="35">
        <f>SUMIFS(G8046:G9015,K8046:K9015,"0",B8046:B9015,"5 1 3 9 2 12 31111 6*")</f>
        <v>0</v>
      </c>
      <c r="H8045" s="35">
        <f t="shared" si="126"/>
        <v>2725411.61</v>
      </c>
      <c r="I8045" s="35"/>
      <c r="K8045" t="s">
        <v>15</v>
      </c>
    </row>
    <row r="8046" spans="2:11" ht="16.5" x14ac:dyDescent="0.2">
      <c r="B8046" s="33" t="s">
        <v>9159</v>
      </c>
      <c r="C8046" s="33" t="s">
        <v>2284</v>
      </c>
      <c r="D8046" s="35">
        <f>SUMIFS(D8047:D9015,K8047:K9015,"0",B8047:B9015,"5 1 3 9 2 12 31111 6 M59*")-SUMIFS(E8047:E9015,K8047:K9015,"0",B8047:B9015,"5 1 3 9 2 12 31111 6 M59*")</f>
        <v>0</v>
      </c>
      <c r="E8046"/>
      <c r="F8046" s="35">
        <f>SUMIFS(F8047:F9015,K8047:K9015,"0",B8047:B9015,"5 1 3 9 2 12 31111 6 M59*")</f>
        <v>2725411.61</v>
      </c>
      <c r="G8046" s="35">
        <f>SUMIFS(G8047:G9015,K8047:K9015,"0",B8047:B9015,"5 1 3 9 2 12 31111 6 M59*")</f>
        <v>0</v>
      </c>
      <c r="H8046" s="35">
        <f t="shared" si="126"/>
        <v>2725411.61</v>
      </c>
      <c r="I8046" s="35"/>
      <c r="K8046" t="s">
        <v>15</v>
      </c>
    </row>
    <row r="8047" spans="2:11" ht="16.5" x14ac:dyDescent="0.2">
      <c r="B8047" s="33" t="s">
        <v>9160</v>
      </c>
      <c r="C8047" s="33" t="s">
        <v>1044</v>
      </c>
      <c r="D8047" s="35">
        <f>SUMIFS(D8048:D9015,K8048:K9015,"0",B8048:B9015,"5 1 3 9 2 12 31111 6 M59 19000*")-SUMIFS(E8048:E9015,K8048:K9015,"0",B8048:B9015,"5 1 3 9 2 12 31111 6 M59 19000*")</f>
        <v>0</v>
      </c>
      <c r="E8047"/>
      <c r="F8047" s="35">
        <f>SUMIFS(F8048:F9015,K8048:K9015,"0",B8048:B9015,"5 1 3 9 2 12 31111 6 M59 19000*")</f>
        <v>2453522.61</v>
      </c>
      <c r="G8047" s="35">
        <f>SUMIFS(G8048:G9015,K8048:K9015,"0",B8048:B9015,"5 1 3 9 2 12 31111 6 M59 19000*")</f>
        <v>0</v>
      </c>
      <c r="H8047" s="35">
        <f t="shared" si="126"/>
        <v>2453522.61</v>
      </c>
      <c r="I8047" s="35"/>
      <c r="K8047" t="s">
        <v>15</v>
      </c>
    </row>
    <row r="8048" spans="2:11" ht="16.5" x14ac:dyDescent="0.2">
      <c r="B8048" s="33" t="s">
        <v>9161</v>
      </c>
      <c r="C8048" s="33" t="s">
        <v>648</v>
      </c>
      <c r="D8048" s="35">
        <f>SUMIFS(D8049:D9015,K8049:K9015,"0",B8049:B9015,"5 1 3 9 2 12 31111 6 M59 19000 000132*")-SUMIFS(E8049:E9015,K8049:K9015,"0",B8049:B9015,"5 1 3 9 2 12 31111 6 M59 19000 000132*")</f>
        <v>0</v>
      </c>
      <c r="E8048"/>
      <c r="F8048" s="35">
        <f>SUMIFS(F8049:F9015,K8049:K9015,"0",B8049:B9015,"5 1 3 9 2 12 31111 6 M59 19000 000132*")</f>
        <v>144990</v>
      </c>
      <c r="G8048" s="35">
        <f>SUMIFS(G8049:G9015,K8049:K9015,"0",B8049:B9015,"5 1 3 9 2 12 31111 6 M59 19000 000132*")</f>
        <v>0</v>
      </c>
      <c r="H8048" s="35">
        <f t="shared" si="126"/>
        <v>144990</v>
      </c>
      <c r="I8048" s="35"/>
      <c r="K8048" t="s">
        <v>15</v>
      </c>
    </row>
    <row r="8049" spans="2:11" ht="24.75" x14ac:dyDescent="0.2">
      <c r="B8049" s="33" t="s">
        <v>9162</v>
      </c>
      <c r="C8049" s="33" t="s">
        <v>650</v>
      </c>
      <c r="D8049" s="35">
        <f>SUMIFS(D8050:D9015,K8050:K9015,"0",B8050:B9015,"5 1 3 9 2 12 31111 6 M59 19000 000132 0000R*")-SUMIFS(E8050:E9015,K8050:K9015,"0",B8050:B9015,"5 1 3 9 2 12 31111 6 M59 19000 000132 0000R*")</f>
        <v>0</v>
      </c>
      <c r="E8049"/>
      <c r="F8049" s="35">
        <f>SUMIFS(F8050:F9015,K8050:K9015,"0",B8050:B9015,"5 1 3 9 2 12 31111 6 M59 19000 000132 0000R*")</f>
        <v>144990</v>
      </c>
      <c r="G8049" s="35">
        <f>SUMIFS(G8050:G9015,K8050:K9015,"0",B8050:B9015,"5 1 3 9 2 12 31111 6 M59 19000 000132 0000R*")</f>
        <v>0</v>
      </c>
      <c r="H8049" s="35">
        <f t="shared" si="126"/>
        <v>144990</v>
      </c>
      <c r="I8049" s="35"/>
      <c r="K8049" t="s">
        <v>15</v>
      </c>
    </row>
    <row r="8050" spans="2:11" ht="24.75" x14ac:dyDescent="0.2">
      <c r="B8050" s="33" t="s">
        <v>9163</v>
      </c>
      <c r="C8050" s="33" t="s">
        <v>282</v>
      </c>
      <c r="D8050" s="35">
        <f>SUMIFS(D8051:D9015,K8051:K9015,"0",B8051:B9015,"5 1 3 9 2 12 31111 6 M59 19000 000132 0000R 00001*")-SUMIFS(E8051:E9015,K8051:K9015,"0",B8051:B9015,"5 1 3 9 2 12 31111 6 M59 19000 000132 0000R 00001*")</f>
        <v>0</v>
      </c>
      <c r="E8050"/>
      <c r="F8050" s="35">
        <f>SUMIFS(F8051:F9015,K8051:K9015,"0",B8051:B9015,"5 1 3 9 2 12 31111 6 M59 19000 000132 0000R 00001*")</f>
        <v>144990</v>
      </c>
      <c r="G8050" s="35">
        <f>SUMIFS(G8051:G9015,K8051:K9015,"0",B8051:B9015,"5 1 3 9 2 12 31111 6 M59 19000 000132 0000R 00001*")</f>
        <v>0</v>
      </c>
      <c r="H8050" s="35">
        <f t="shared" si="126"/>
        <v>144990</v>
      </c>
      <c r="I8050" s="35"/>
      <c r="K8050" t="s">
        <v>15</v>
      </c>
    </row>
    <row r="8051" spans="2:11" ht="24.75" x14ac:dyDescent="0.2">
      <c r="B8051" s="33" t="s">
        <v>9164</v>
      </c>
      <c r="C8051" s="33" t="s">
        <v>9165</v>
      </c>
      <c r="D8051" s="35">
        <f>SUMIFS(D8052:D9015,K8052:K9015,"0",B8052:B9015,"5 1 3 9 2 12 31111 6 M59 19000 000132 0000R 00001 00392*")-SUMIFS(E8052:E9015,K8052:K9015,"0",B8052:B9015,"5 1 3 9 2 12 31111 6 M59 19000 000132 0000R 00001 00392*")</f>
        <v>0</v>
      </c>
      <c r="E8051"/>
      <c r="F8051" s="35">
        <f>SUMIFS(F8052:F9015,K8052:K9015,"0",B8052:B9015,"5 1 3 9 2 12 31111 6 M59 19000 000132 0000R 00001 00392*")</f>
        <v>144990</v>
      </c>
      <c r="G8051" s="35">
        <f>SUMIFS(G8052:G9015,K8052:K9015,"0",B8052:B9015,"5 1 3 9 2 12 31111 6 M59 19000 000132 0000R 00001 00392*")</f>
        <v>0</v>
      </c>
      <c r="H8051" s="35">
        <f t="shared" si="126"/>
        <v>144990</v>
      </c>
      <c r="I8051" s="35"/>
      <c r="K8051" t="s">
        <v>15</v>
      </c>
    </row>
    <row r="8052" spans="2:11" ht="33" x14ac:dyDescent="0.2">
      <c r="B8052" s="33" t="s">
        <v>9166</v>
      </c>
      <c r="C8052" s="33" t="s">
        <v>1051</v>
      </c>
      <c r="D8052" s="35">
        <f>SUMIFS(D8053:D9015,K8053:K9015,"0",B8053:B9015,"5 1 3 9 2 12 31111 6 M59 19000 000132 0000R 00001 00392 015*")-SUMIFS(E8053:E9015,K8053:K9015,"0",B8053:B9015,"5 1 3 9 2 12 31111 6 M59 19000 000132 0000R 00001 00392 015*")</f>
        <v>0</v>
      </c>
      <c r="E8052"/>
      <c r="F8052" s="35">
        <f>SUMIFS(F8053:F9015,K8053:K9015,"0",B8053:B9015,"5 1 3 9 2 12 31111 6 M59 19000 000132 0000R 00001 00392 015*")</f>
        <v>144990</v>
      </c>
      <c r="G8052" s="35">
        <f>SUMIFS(G8053:G9015,K8053:K9015,"0",B8053:B9015,"5 1 3 9 2 12 31111 6 M59 19000 000132 0000R 00001 00392 015*")</f>
        <v>0</v>
      </c>
      <c r="H8052" s="35">
        <f t="shared" si="126"/>
        <v>144990</v>
      </c>
      <c r="I8052" s="35"/>
      <c r="K8052" t="s">
        <v>15</v>
      </c>
    </row>
    <row r="8053" spans="2:11" ht="33" x14ac:dyDescent="0.2">
      <c r="B8053" s="33" t="s">
        <v>9167</v>
      </c>
      <c r="C8053" s="33" t="s">
        <v>5830</v>
      </c>
      <c r="D8053" s="35">
        <f>SUMIFS(D8054:D9015,K8054:K9015,"0",B8054:B9015,"5 1 3 9 2 12 31111 6 M59 19000 000132 0000R 00001 00392 015 2112000*")-SUMIFS(E8054:E9015,K8054:K9015,"0",B8054:B9015,"5 1 3 9 2 12 31111 6 M59 19000 000132 0000R 00001 00392 015 2112000*")</f>
        <v>0</v>
      </c>
      <c r="E8053"/>
      <c r="F8053" s="35">
        <f>SUMIFS(F8054:F9015,K8054:K9015,"0",B8054:B9015,"5 1 3 9 2 12 31111 6 M59 19000 000132 0000R 00001 00392 015 2112000*")</f>
        <v>144990</v>
      </c>
      <c r="G8053" s="35">
        <f>SUMIFS(G8054:G9015,K8054:K9015,"0",B8054:B9015,"5 1 3 9 2 12 31111 6 M59 19000 000132 0000R 00001 00392 015 2112000*")</f>
        <v>0</v>
      </c>
      <c r="H8053" s="35">
        <f t="shared" si="126"/>
        <v>144990</v>
      </c>
      <c r="I8053" s="35"/>
      <c r="K8053" t="s">
        <v>15</v>
      </c>
    </row>
    <row r="8054" spans="2:11" ht="33" x14ac:dyDescent="0.2">
      <c r="B8054" s="33" t="s">
        <v>9168</v>
      </c>
      <c r="C8054" s="33" t="s">
        <v>660</v>
      </c>
      <c r="D8054" s="35">
        <f>SUMIFS(D8055:D9015,K8055:K9015,"0",B8055:B9015,"5 1 3 9 2 12 31111 6 M59 19000 000132 0000R 00001 00392 015 2112000 2024*")-SUMIFS(E8055:E9015,K8055:K9015,"0",B8055:B9015,"5 1 3 9 2 12 31111 6 M59 19000 000132 0000R 00001 00392 015 2112000 2024*")</f>
        <v>0</v>
      </c>
      <c r="E8054"/>
      <c r="F8054" s="35">
        <f>SUMIFS(F8055:F9015,K8055:K9015,"0",B8055:B9015,"5 1 3 9 2 12 31111 6 M59 19000 000132 0000R 00001 00392 015 2112000 2024*")</f>
        <v>144990</v>
      </c>
      <c r="G8054" s="35">
        <f>SUMIFS(G8055:G9015,K8055:K9015,"0",B8055:B9015,"5 1 3 9 2 12 31111 6 M59 19000 000132 0000R 00001 00392 015 2112000 2024*")</f>
        <v>0</v>
      </c>
      <c r="H8054" s="35">
        <f t="shared" si="126"/>
        <v>144990</v>
      </c>
      <c r="I8054" s="35"/>
      <c r="K8054" t="s">
        <v>15</v>
      </c>
    </row>
    <row r="8055" spans="2:11" ht="41.25" x14ac:dyDescent="0.2">
      <c r="B8055" s="33" t="s">
        <v>9169</v>
      </c>
      <c r="C8055" s="33" t="s">
        <v>662</v>
      </c>
      <c r="D8055" s="35">
        <f>SUMIFS(D8056:D9015,K8056:K9015,"0",B8056:B9015,"5 1 3 9 2 12 31111 6 M59 19000 000132 0000R 00001 00392 015 2112000 2024 CP1TM440*")-SUMIFS(E8056:E9015,K8056:K9015,"0",B8056:B9015,"5 1 3 9 2 12 31111 6 M59 19000 000132 0000R 00001 00392 015 2112000 2024 CP1TM440*")</f>
        <v>0</v>
      </c>
      <c r="E8055"/>
      <c r="F8055" s="35">
        <f>SUMIFS(F8056:F9015,K8056:K9015,"0",B8056:B9015,"5 1 3 9 2 12 31111 6 M59 19000 000132 0000R 00001 00392 015 2112000 2024 CP1TM440*")</f>
        <v>144990</v>
      </c>
      <c r="G8055" s="35">
        <f>SUMIFS(G8056:G9015,K8056:K9015,"0",B8056:B9015,"5 1 3 9 2 12 31111 6 M59 19000 000132 0000R 00001 00392 015 2112000 2024 CP1TM440*")</f>
        <v>0</v>
      </c>
      <c r="H8055" s="35">
        <f t="shared" si="126"/>
        <v>144990</v>
      </c>
      <c r="I8055" s="35"/>
      <c r="K8055" t="s">
        <v>15</v>
      </c>
    </row>
    <row r="8056" spans="2:11" ht="41.25" x14ac:dyDescent="0.2">
      <c r="B8056" s="33" t="s">
        <v>9170</v>
      </c>
      <c r="C8056" s="33" t="s">
        <v>282</v>
      </c>
      <c r="D8056" s="35">
        <f>SUMIFS(D8057:D9015,K8057:K9015,"0",B8057:B9015,"5 1 3 9 2 12 31111 6 M59 19000 000132 0000R 00001 00392 015 2112000 2024 CP1TM440 001*")-SUMIFS(E8057:E9015,K8057:K9015,"0",B8057:B9015,"5 1 3 9 2 12 31111 6 M59 19000 000132 0000R 00001 00392 015 2112000 2024 CP1TM440 001*")</f>
        <v>0</v>
      </c>
      <c r="E8056"/>
      <c r="F8056" s="35">
        <f>SUMIFS(F8057:F9015,K8057:K9015,"0",B8057:B9015,"5 1 3 9 2 12 31111 6 M59 19000 000132 0000R 00001 00392 015 2112000 2024 CP1TM440 001*")</f>
        <v>144990</v>
      </c>
      <c r="G8056" s="35">
        <f>SUMIFS(G8057:G9015,K8057:K9015,"0",B8057:B9015,"5 1 3 9 2 12 31111 6 M59 19000 000132 0000R 00001 00392 015 2112000 2024 CP1TM440 001*")</f>
        <v>0</v>
      </c>
      <c r="H8056" s="35">
        <f t="shared" si="126"/>
        <v>144990</v>
      </c>
      <c r="I8056" s="35"/>
      <c r="K8056" t="s">
        <v>15</v>
      </c>
    </row>
    <row r="8057" spans="2:11" ht="33" x14ac:dyDescent="0.2">
      <c r="B8057" s="31" t="s">
        <v>9171</v>
      </c>
      <c r="C8057" s="31" t="s">
        <v>168</v>
      </c>
      <c r="D8057" s="34">
        <v>0</v>
      </c>
      <c r="E8057" s="34"/>
      <c r="F8057" s="34">
        <v>144990</v>
      </c>
      <c r="G8057" s="34">
        <v>0</v>
      </c>
      <c r="H8057" s="34">
        <f t="shared" si="126"/>
        <v>144990</v>
      </c>
      <c r="I8057" s="34"/>
      <c r="K8057" t="s">
        <v>38</v>
      </c>
    </row>
    <row r="8058" spans="2:11" ht="16.5" x14ac:dyDescent="0.2">
      <c r="B8058" s="33" t="s">
        <v>9172</v>
      </c>
      <c r="C8058" s="33" t="s">
        <v>8599</v>
      </c>
      <c r="D8058" s="35">
        <f>SUMIFS(D8059:D9015,K8059:K9015,"0",B8059:B9015,"5 1 3 9 2 12 31111 6 M59 19000 000271*")-SUMIFS(E8059:E9015,K8059:K9015,"0",B8059:B9015,"5 1 3 9 2 12 31111 6 M59 19000 000271*")</f>
        <v>0</v>
      </c>
      <c r="E8058"/>
      <c r="F8058" s="35">
        <f>SUMIFS(F8059:F9015,K8059:K9015,"0",B8059:B9015,"5 1 3 9 2 12 31111 6 M59 19000 000271*")</f>
        <v>2308532.61</v>
      </c>
      <c r="G8058" s="35">
        <f>SUMIFS(G8059:G9015,K8059:K9015,"0",B8059:B9015,"5 1 3 9 2 12 31111 6 M59 19000 000271*")</f>
        <v>0</v>
      </c>
      <c r="H8058" s="35">
        <f t="shared" si="126"/>
        <v>2308532.61</v>
      </c>
      <c r="I8058" s="35"/>
      <c r="K8058" t="s">
        <v>15</v>
      </c>
    </row>
    <row r="8059" spans="2:11" ht="24.75" x14ac:dyDescent="0.2">
      <c r="B8059" s="33" t="s">
        <v>9173</v>
      </c>
      <c r="C8059" s="33" t="s">
        <v>8601</v>
      </c>
      <c r="D8059" s="35">
        <f>SUMIFS(D8060:D9015,K8060:K9015,"0",B8060:B9015,"5 1 3 9 2 12 31111 6 M59 19000 000271 0000F*")-SUMIFS(E8060:E9015,K8060:K9015,"0",B8060:B9015,"5 1 3 9 2 12 31111 6 M59 19000 000271 0000F*")</f>
        <v>0</v>
      </c>
      <c r="E8059"/>
      <c r="F8059" s="35">
        <f>SUMIFS(F8060:F9015,K8060:K9015,"0",B8060:B9015,"5 1 3 9 2 12 31111 6 M59 19000 000271 0000F*")</f>
        <v>2308532.61</v>
      </c>
      <c r="G8059" s="35">
        <f>SUMIFS(G8060:G9015,K8060:K9015,"0",B8060:B9015,"5 1 3 9 2 12 31111 6 M59 19000 000271 0000F*")</f>
        <v>0</v>
      </c>
      <c r="H8059" s="35">
        <f t="shared" si="126"/>
        <v>2308532.61</v>
      </c>
      <c r="I8059" s="35"/>
      <c r="K8059" t="s">
        <v>15</v>
      </c>
    </row>
    <row r="8060" spans="2:11" ht="24.75" x14ac:dyDescent="0.2">
      <c r="B8060" s="33" t="s">
        <v>9174</v>
      </c>
      <c r="C8060" s="33" t="s">
        <v>282</v>
      </c>
      <c r="D8060" s="35">
        <f>SUMIFS(D8061:D9015,K8061:K9015,"0",B8061:B9015,"5 1 3 9 2 12 31111 6 M59 19000 000271 0000F 00001*")-SUMIFS(E8061:E9015,K8061:K9015,"0",B8061:B9015,"5 1 3 9 2 12 31111 6 M59 19000 000271 0000F 00001*")</f>
        <v>0</v>
      </c>
      <c r="E8060"/>
      <c r="F8060" s="35">
        <f>SUMIFS(F8061:F9015,K8061:K9015,"0",B8061:B9015,"5 1 3 9 2 12 31111 6 M59 19000 000271 0000F 00001*")</f>
        <v>2308532.61</v>
      </c>
      <c r="G8060" s="35">
        <f>SUMIFS(G8061:G9015,K8061:K9015,"0",B8061:B9015,"5 1 3 9 2 12 31111 6 M59 19000 000271 0000F 00001*")</f>
        <v>0</v>
      </c>
      <c r="H8060" s="35">
        <f t="shared" si="126"/>
        <v>2308532.61</v>
      </c>
      <c r="I8060" s="35"/>
      <c r="K8060" t="s">
        <v>15</v>
      </c>
    </row>
    <row r="8061" spans="2:11" ht="24.75" x14ac:dyDescent="0.2">
      <c r="B8061" s="33" t="s">
        <v>9175</v>
      </c>
      <c r="C8061" s="33" t="s">
        <v>9165</v>
      </c>
      <c r="D8061" s="35">
        <f>SUMIFS(D8062:D9015,K8062:K9015,"0",B8062:B9015,"5 1 3 9 2 12 31111 6 M59 19000 000271 0000F 00001 00392*")-SUMIFS(E8062:E9015,K8062:K9015,"0",B8062:B9015,"5 1 3 9 2 12 31111 6 M59 19000 000271 0000F 00001 00392*")</f>
        <v>0</v>
      </c>
      <c r="E8061"/>
      <c r="F8061" s="35">
        <f>SUMIFS(F8062:F9015,K8062:K9015,"0",B8062:B9015,"5 1 3 9 2 12 31111 6 M59 19000 000271 0000F 00001 00392*")</f>
        <v>2308532.61</v>
      </c>
      <c r="G8061" s="35">
        <f>SUMIFS(G8062:G9015,K8062:K9015,"0",B8062:B9015,"5 1 3 9 2 12 31111 6 M59 19000 000271 0000F 00001 00392*")</f>
        <v>0</v>
      </c>
      <c r="H8061" s="35">
        <f t="shared" si="126"/>
        <v>2308532.61</v>
      </c>
      <c r="I8061" s="35"/>
      <c r="K8061" t="s">
        <v>15</v>
      </c>
    </row>
    <row r="8062" spans="2:11" ht="33" x14ac:dyDescent="0.2">
      <c r="B8062" s="33" t="s">
        <v>9176</v>
      </c>
      <c r="C8062" s="33" t="s">
        <v>656</v>
      </c>
      <c r="D8062" s="35">
        <f>SUMIFS(D8063:D9015,K8063:K9015,"0",B8063:B9015,"5 1 3 9 2 12 31111 6 M59 19000 000271 0000F 00001 00392 025*")-SUMIFS(E8063:E9015,K8063:K9015,"0",B8063:B9015,"5 1 3 9 2 12 31111 6 M59 19000 000271 0000F 00001 00392 025*")</f>
        <v>0</v>
      </c>
      <c r="E8062"/>
      <c r="F8062" s="35">
        <f>SUMIFS(F8063:F9015,K8063:K9015,"0",B8063:B9015,"5 1 3 9 2 12 31111 6 M59 19000 000271 0000F 00001 00392 025*")</f>
        <v>2308532.61</v>
      </c>
      <c r="G8062" s="35">
        <f>SUMIFS(G8063:G9015,K8063:K9015,"0",B8063:B9015,"5 1 3 9 2 12 31111 6 M59 19000 000271 0000F 00001 00392 025*")</f>
        <v>0</v>
      </c>
      <c r="H8062" s="35">
        <f t="shared" si="126"/>
        <v>2308532.61</v>
      </c>
      <c r="I8062" s="35"/>
      <c r="K8062" t="s">
        <v>15</v>
      </c>
    </row>
    <row r="8063" spans="2:11" ht="33" x14ac:dyDescent="0.2">
      <c r="B8063" s="33" t="s">
        <v>9177</v>
      </c>
      <c r="C8063" s="33" t="s">
        <v>5830</v>
      </c>
      <c r="D8063" s="35">
        <f>SUMIFS(D8064:D9015,K8064:K9015,"0",B8064:B9015,"5 1 3 9 2 12 31111 6 M59 19000 000271 0000F 00001 00392 025 2112000*")-SUMIFS(E8064:E9015,K8064:K9015,"0",B8064:B9015,"5 1 3 9 2 12 31111 6 M59 19000 000271 0000F 00001 00392 025 2112000*")</f>
        <v>0</v>
      </c>
      <c r="E8063"/>
      <c r="F8063" s="35">
        <f>SUMIFS(F8064:F9015,K8064:K9015,"0",B8064:B9015,"5 1 3 9 2 12 31111 6 M59 19000 000271 0000F 00001 00392 025 2112000*")</f>
        <v>2308532.61</v>
      </c>
      <c r="G8063" s="35">
        <f>SUMIFS(G8064:G9015,K8064:K9015,"0",B8064:B9015,"5 1 3 9 2 12 31111 6 M59 19000 000271 0000F 00001 00392 025 2112000*")</f>
        <v>0</v>
      </c>
      <c r="H8063" s="35">
        <f t="shared" si="126"/>
        <v>2308532.61</v>
      </c>
      <c r="I8063" s="35"/>
      <c r="K8063" t="s">
        <v>15</v>
      </c>
    </row>
    <row r="8064" spans="2:11" ht="33" x14ac:dyDescent="0.2">
      <c r="B8064" s="33" t="s">
        <v>9178</v>
      </c>
      <c r="C8064" s="33" t="s">
        <v>660</v>
      </c>
      <c r="D8064" s="35">
        <f>SUMIFS(D8065:D9015,K8065:K9015,"0",B8065:B9015,"5 1 3 9 2 12 31111 6 M59 19000 000271 0000F 00001 00392 025 2112000 2024*")-SUMIFS(E8065:E9015,K8065:K9015,"0",B8065:B9015,"5 1 3 9 2 12 31111 6 M59 19000 000271 0000F 00001 00392 025 2112000 2024*")</f>
        <v>0</v>
      </c>
      <c r="E8064"/>
      <c r="F8064" s="35">
        <f>SUMIFS(F8065:F9015,K8065:K9015,"0",B8065:B9015,"5 1 3 9 2 12 31111 6 M59 19000 000271 0000F 00001 00392 025 2112000 2024*")</f>
        <v>2308532.61</v>
      </c>
      <c r="G8064" s="35">
        <f>SUMIFS(G8065:G9015,K8065:K9015,"0",B8065:B9015,"5 1 3 9 2 12 31111 6 M59 19000 000271 0000F 00001 00392 025 2112000 2024*")</f>
        <v>0</v>
      </c>
      <c r="H8064" s="35">
        <f t="shared" si="126"/>
        <v>2308532.61</v>
      </c>
      <c r="I8064" s="35"/>
      <c r="K8064" t="s">
        <v>15</v>
      </c>
    </row>
    <row r="8065" spans="2:11" ht="41.25" x14ac:dyDescent="0.2">
      <c r="B8065" s="33" t="s">
        <v>9179</v>
      </c>
      <c r="C8065" s="33" t="s">
        <v>8608</v>
      </c>
      <c r="D8065" s="35">
        <f>SUMIFS(D8066:D9015,K8066:K9015,"0",B8066:B9015,"5 1 3 9 2 12 31111 6 M59 19000 000271 0000F 00001 00392 025 2112000 2024 CP4TM511*")-SUMIFS(E8066:E9015,K8066:K9015,"0",B8066:B9015,"5 1 3 9 2 12 31111 6 M59 19000 000271 0000F 00001 00392 025 2112000 2024 CP4TM511*")</f>
        <v>0</v>
      </c>
      <c r="E8065"/>
      <c r="F8065" s="35">
        <f>SUMIFS(F8066:F9015,K8066:K9015,"0",B8066:B9015,"5 1 3 9 2 12 31111 6 M59 19000 000271 0000F 00001 00392 025 2112000 2024 CP4TM511*")</f>
        <v>2308532.61</v>
      </c>
      <c r="G8065" s="35">
        <f>SUMIFS(G8066:G9015,K8066:K9015,"0",B8066:B9015,"5 1 3 9 2 12 31111 6 M59 19000 000271 0000F 00001 00392 025 2112000 2024 CP4TM511*")</f>
        <v>0</v>
      </c>
      <c r="H8065" s="35">
        <f t="shared" si="126"/>
        <v>2308532.61</v>
      </c>
      <c r="I8065" s="35"/>
      <c r="K8065" t="s">
        <v>15</v>
      </c>
    </row>
    <row r="8066" spans="2:11" ht="41.25" x14ac:dyDescent="0.2">
      <c r="B8066" s="33" t="s">
        <v>9180</v>
      </c>
      <c r="C8066" s="33" t="s">
        <v>664</v>
      </c>
      <c r="D8066" s="35">
        <f>SUMIFS(D8067:D9015,K8067:K9015,"0",B8067:B9015,"5 1 3 9 2 12 31111 6 M59 19000 000271 0000F 00001 00392 025 2112000 2024 CP4TM511 003*")-SUMIFS(E8067:E9015,K8067:K9015,"0",B8067:B9015,"5 1 3 9 2 12 31111 6 M59 19000 000271 0000F 00001 00392 025 2112000 2024 CP4TM511 003*")</f>
        <v>0</v>
      </c>
      <c r="E8066"/>
      <c r="F8066" s="35">
        <f>SUMIFS(F8067:F9015,K8067:K9015,"0",B8067:B9015,"5 1 3 9 2 12 31111 6 M59 19000 000271 0000F 00001 00392 025 2112000 2024 CP4TM511 003*")</f>
        <v>2308532.61</v>
      </c>
      <c r="G8066" s="35">
        <f>SUMIFS(G8067:G9015,K8067:K9015,"0",B8067:B9015,"5 1 3 9 2 12 31111 6 M59 19000 000271 0000F 00001 00392 025 2112000 2024 CP4TM511 003*")</f>
        <v>0</v>
      </c>
      <c r="H8066" s="35">
        <f t="shared" si="126"/>
        <v>2308532.61</v>
      </c>
      <c r="I8066" s="35"/>
      <c r="K8066" t="s">
        <v>15</v>
      </c>
    </row>
    <row r="8067" spans="2:11" ht="33" x14ac:dyDescent="0.2">
      <c r="B8067" s="31" t="s">
        <v>9181</v>
      </c>
      <c r="C8067" s="31" t="s">
        <v>9182</v>
      </c>
      <c r="D8067" s="34">
        <v>0</v>
      </c>
      <c r="E8067" s="34"/>
      <c r="F8067" s="34">
        <v>1400000</v>
      </c>
      <c r="G8067" s="34">
        <v>0</v>
      </c>
      <c r="H8067" s="34">
        <f t="shared" si="126"/>
        <v>1400000</v>
      </c>
      <c r="I8067" s="34"/>
      <c r="K8067" t="s">
        <v>38</v>
      </c>
    </row>
    <row r="8068" spans="2:11" ht="33" x14ac:dyDescent="0.2">
      <c r="B8068" s="31" t="s">
        <v>9183</v>
      </c>
      <c r="C8068" s="31" t="s">
        <v>9184</v>
      </c>
      <c r="D8068" s="34">
        <v>0</v>
      </c>
      <c r="E8068" s="34"/>
      <c r="F8068" s="34">
        <v>908532.61</v>
      </c>
      <c r="G8068" s="34">
        <v>0</v>
      </c>
      <c r="H8068" s="34">
        <f t="shared" ref="H8068:H8131" si="127">D8068 + F8068 - G8068</f>
        <v>908532.61</v>
      </c>
      <c r="I8068" s="34"/>
      <c r="K8068" t="s">
        <v>38</v>
      </c>
    </row>
    <row r="8069" spans="2:11" ht="16.5" x14ac:dyDescent="0.2">
      <c r="B8069" s="33" t="s">
        <v>9185</v>
      </c>
      <c r="C8069" s="33" t="s">
        <v>646</v>
      </c>
      <c r="D8069" s="35">
        <f>SUMIFS(D8070:D9015,K8070:K9015,"0",B8070:B9015,"5 1 3 9 2 12 31111 6 M59 30100*")-SUMIFS(E8070:E9015,K8070:K9015,"0",B8070:B9015,"5 1 3 9 2 12 31111 6 M59 30100*")</f>
        <v>0</v>
      </c>
      <c r="E8069"/>
      <c r="F8069" s="35">
        <f>SUMIFS(F8070:F9015,K8070:K9015,"0",B8070:B9015,"5 1 3 9 2 12 31111 6 M59 30100*")</f>
        <v>271889</v>
      </c>
      <c r="G8069" s="35">
        <f>SUMIFS(G8070:G9015,K8070:K9015,"0",B8070:B9015,"5 1 3 9 2 12 31111 6 M59 30100*")</f>
        <v>0</v>
      </c>
      <c r="H8069" s="35">
        <f t="shared" si="127"/>
        <v>271889</v>
      </c>
      <c r="I8069" s="35"/>
      <c r="K8069" t="s">
        <v>15</v>
      </c>
    </row>
    <row r="8070" spans="2:11" ht="16.5" x14ac:dyDescent="0.2">
      <c r="B8070" s="33" t="s">
        <v>9186</v>
      </c>
      <c r="C8070" s="33" t="s">
        <v>648</v>
      </c>
      <c r="D8070" s="35">
        <f>SUMIFS(D8071:D9015,K8071:K9015,"0",B8071:B9015,"5 1 3 9 2 12 31111 6 M59 30100 000132*")-SUMIFS(E8071:E9015,K8071:K9015,"0",B8071:B9015,"5 1 3 9 2 12 31111 6 M59 30100 000132*")</f>
        <v>0</v>
      </c>
      <c r="E8070"/>
      <c r="F8070" s="35">
        <f>SUMIFS(F8071:F9015,K8071:K9015,"0",B8071:B9015,"5 1 3 9 2 12 31111 6 M59 30100 000132*")</f>
        <v>271889</v>
      </c>
      <c r="G8070" s="35">
        <f>SUMIFS(G8071:G9015,K8071:K9015,"0",B8071:B9015,"5 1 3 9 2 12 31111 6 M59 30100 000132*")</f>
        <v>0</v>
      </c>
      <c r="H8070" s="35">
        <f t="shared" si="127"/>
        <v>271889</v>
      </c>
      <c r="I8070" s="35"/>
      <c r="K8070" t="s">
        <v>15</v>
      </c>
    </row>
    <row r="8071" spans="2:11" ht="24.75" x14ac:dyDescent="0.2">
      <c r="B8071" s="33" t="s">
        <v>9187</v>
      </c>
      <c r="C8071" s="33" t="s">
        <v>650</v>
      </c>
      <c r="D8071" s="35">
        <f>SUMIFS(D8072:D9015,K8072:K9015,"0",B8072:B9015,"5 1 3 9 2 12 31111 6 M59 30100 000132 0000R*")-SUMIFS(E8072:E9015,K8072:K9015,"0",B8072:B9015,"5 1 3 9 2 12 31111 6 M59 30100 000132 0000R*")</f>
        <v>0</v>
      </c>
      <c r="E8071"/>
      <c r="F8071" s="35">
        <f>SUMIFS(F8072:F9015,K8072:K9015,"0",B8072:B9015,"5 1 3 9 2 12 31111 6 M59 30100 000132 0000R*")</f>
        <v>271889</v>
      </c>
      <c r="G8071" s="35">
        <f>SUMIFS(G8072:G9015,K8072:K9015,"0",B8072:B9015,"5 1 3 9 2 12 31111 6 M59 30100 000132 0000R*")</f>
        <v>0</v>
      </c>
      <c r="H8071" s="35">
        <f t="shared" si="127"/>
        <v>271889</v>
      </c>
      <c r="I8071" s="35"/>
      <c r="K8071" t="s">
        <v>15</v>
      </c>
    </row>
    <row r="8072" spans="2:11" ht="24.75" x14ac:dyDescent="0.2">
      <c r="B8072" s="33" t="s">
        <v>9188</v>
      </c>
      <c r="C8072" s="33" t="s">
        <v>652</v>
      </c>
      <c r="D8072" s="35">
        <f>SUMIFS(D8073:D9015,K8073:K9015,"0",B8073:B9015,"5 1 3 9 2 12 31111 6 M59 30100 000132 0000R 00002*")-SUMIFS(E8073:E9015,K8073:K9015,"0",B8073:B9015,"5 1 3 9 2 12 31111 6 M59 30100 000132 0000R 00002*")</f>
        <v>0</v>
      </c>
      <c r="E8072"/>
      <c r="F8072" s="35">
        <f>SUMIFS(F8073:F9015,K8073:K9015,"0",B8073:B9015,"5 1 3 9 2 12 31111 6 M59 30100 000132 0000R 00002*")</f>
        <v>271889</v>
      </c>
      <c r="G8072" s="35">
        <f>SUMIFS(G8073:G9015,K8073:K9015,"0",B8073:B9015,"5 1 3 9 2 12 31111 6 M59 30100 000132 0000R 00002*")</f>
        <v>0</v>
      </c>
      <c r="H8072" s="35">
        <f t="shared" si="127"/>
        <v>271889</v>
      </c>
      <c r="I8072" s="35"/>
      <c r="K8072" t="s">
        <v>15</v>
      </c>
    </row>
    <row r="8073" spans="2:11" ht="24.75" x14ac:dyDescent="0.2">
      <c r="B8073" s="33" t="s">
        <v>9189</v>
      </c>
      <c r="C8073" s="33" t="s">
        <v>9165</v>
      </c>
      <c r="D8073" s="35">
        <f>SUMIFS(D8074:D9015,K8074:K9015,"0",B8074:B9015,"5 1 3 9 2 12 31111 6 M59 30100 000132 0000R 00002 00392*")-SUMIFS(E8074:E9015,K8074:K9015,"0",B8074:B9015,"5 1 3 9 2 12 31111 6 M59 30100 000132 0000R 00002 00392*")</f>
        <v>0</v>
      </c>
      <c r="E8073"/>
      <c r="F8073" s="35">
        <f>SUMIFS(F8074:F9015,K8074:K9015,"0",B8074:B9015,"5 1 3 9 2 12 31111 6 M59 30100 000132 0000R 00002 00392*")</f>
        <v>271889</v>
      </c>
      <c r="G8073" s="35">
        <f>SUMIFS(G8074:G9015,K8074:K9015,"0",B8074:B9015,"5 1 3 9 2 12 31111 6 M59 30100 000132 0000R 00002 00392*")</f>
        <v>0</v>
      </c>
      <c r="H8073" s="35">
        <f t="shared" si="127"/>
        <v>271889</v>
      </c>
      <c r="I8073" s="35"/>
      <c r="K8073" t="s">
        <v>15</v>
      </c>
    </row>
    <row r="8074" spans="2:11" ht="33" x14ac:dyDescent="0.2">
      <c r="B8074" s="33" t="s">
        <v>9190</v>
      </c>
      <c r="C8074" s="33" t="s">
        <v>656</v>
      </c>
      <c r="D8074" s="35">
        <f>SUMIFS(D8075:D9015,K8075:K9015,"0",B8075:B9015,"5 1 3 9 2 12 31111 6 M59 30100 000132 0000R 00002 00392 025*")-SUMIFS(E8075:E9015,K8075:K9015,"0",B8075:B9015,"5 1 3 9 2 12 31111 6 M59 30100 000132 0000R 00002 00392 025*")</f>
        <v>0</v>
      </c>
      <c r="E8074"/>
      <c r="F8074" s="35">
        <f>SUMIFS(F8075:F9015,K8075:K9015,"0",B8075:B9015,"5 1 3 9 2 12 31111 6 M59 30100 000132 0000R 00002 00392 025*")</f>
        <v>271889</v>
      </c>
      <c r="G8074" s="35">
        <f>SUMIFS(G8075:G9015,K8075:K9015,"0",B8075:B9015,"5 1 3 9 2 12 31111 6 M59 30100 000132 0000R 00002 00392 025*")</f>
        <v>0</v>
      </c>
      <c r="H8074" s="35">
        <f t="shared" si="127"/>
        <v>271889</v>
      </c>
      <c r="I8074" s="35"/>
      <c r="K8074" t="s">
        <v>15</v>
      </c>
    </row>
    <row r="8075" spans="2:11" ht="33" x14ac:dyDescent="0.2">
      <c r="B8075" s="33" t="s">
        <v>9191</v>
      </c>
      <c r="C8075" s="33" t="s">
        <v>658</v>
      </c>
      <c r="D8075" s="35">
        <f>SUMIFS(D8076:D9015,K8076:K9015,"0",B8076:B9015,"5 1 3 9 2 12 31111 6 M59 30100 000132 0000R 00002 00392 025 2210000*")-SUMIFS(E8076:E9015,K8076:K9015,"0",B8076:B9015,"5 1 3 9 2 12 31111 6 M59 30100 000132 0000R 00002 00392 025 2210000*")</f>
        <v>0</v>
      </c>
      <c r="E8075"/>
      <c r="F8075" s="35">
        <f>SUMIFS(F8076:F9015,K8076:K9015,"0",B8076:B9015,"5 1 3 9 2 12 31111 6 M59 30100 000132 0000R 00002 00392 025 2210000*")</f>
        <v>271889</v>
      </c>
      <c r="G8075" s="35">
        <f>SUMIFS(G8076:G9015,K8076:K9015,"0",B8076:B9015,"5 1 3 9 2 12 31111 6 M59 30100 000132 0000R 00002 00392 025 2210000*")</f>
        <v>0</v>
      </c>
      <c r="H8075" s="35">
        <f t="shared" si="127"/>
        <v>271889</v>
      </c>
      <c r="I8075" s="35"/>
      <c r="K8075" t="s">
        <v>15</v>
      </c>
    </row>
    <row r="8076" spans="2:11" ht="33" x14ac:dyDescent="0.2">
      <c r="B8076" s="33" t="s">
        <v>9192</v>
      </c>
      <c r="C8076" s="33" t="s">
        <v>660</v>
      </c>
      <c r="D8076" s="35">
        <f>SUMIFS(D8077:D9015,K8077:K9015,"0",B8077:B9015,"5 1 3 9 2 12 31111 6 M59 30100 000132 0000R 00002 00392 025 2210000 2024*")-SUMIFS(E8077:E9015,K8077:K9015,"0",B8077:B9015,"5 1 3 9 2 12 31111 6 M59 30100 000132 0000R 00002 00392 025 2210000 2024*")</f>
        <v>0</v>
      </c>
      <c r="E8076"/>
      <c r="F8076" s="35">
        <f>SUMIFS(F8077:F9015,K8077:K9015,"0",B8077:B9015,"5 1 3 9 2 12 31111 6 M59 30100 000132 0000R 00002 00392 025 2210000 2024*")</f>
        <v>271889</v>
      </c>
      <c r="G8076" s="35">
        <f>SUMIFS(G8077:G9015,K8077:K9015,"0",B8077:B9015,"5 1 3 9 2 12 31111 6 M59 30100 000132 0000R 00002 00392 025 2210000 2024*")</f>
        <v>0</v>
      </c>
      <c r="H8076" s="35">
        <f t="shared" si="127"/>
        <v>271889</v>
      </c>
      <c r="I8076" s="35"/>
      <c r="K8076" t="s">
        <v>15</v>
      </c>
    </row>
    <row r="8077" spans="2:11" ht="41.25" x14ac:dyDescent="0.2">
      <c r="B8077" s="33" t="s">
        <v>9193</v>
      </c>
      <c r="C8077" s="33" t="s">
        <v>662</v>
      </c>
      <c r="D8077" s="35">
        <f>SUMIFS(D8078:D9015,K8078:K9015,"0",B8078:B9015,"5 1 3 9 2 12 31111 6 M59 30100 000132 0000R 00002 00392 025 2210000 2024 CP1OP405*")-SUMIFS(E8078:E9015,K8078:K9015,"0",B8078:B9015,"5 1 3 9 2 12 31111 6 M59 30100 000132 0000R 00002 00392 025 2210000 2024 CP1OP405*")</f>
        <v>0</v>
      </c>
      <c r="E8077"/>
      <c r="F8077" s="35">
        <f>SUMIFS(F8078:F9015,K8078:K9015,"0",B8078:B9015,"5 1 3 9 2 12 31111 6 M59 30100 000132 0000R 00002 00392 025 2210000 2024 CP1OP405*")</f>
        <v>271889</v>
      </c>
      <c r="G8077" s="35">
        <f>SUMIFS(G8078:G9015,K8078:K9015,"0",B8078:B9015,"5 1 3 9 2 12 31111 6 M59 30100 000132 0000R 00002 00392 025 2210000 2024 CP1OP405*")</f>
        <v>0</v>
      </c>
      <c r="H8077" s="35">
        <f t="shared" si="127"/>
        <v>271889</v>
      </c>
      <c r="I8077" s="35"/>
      <c r="K8077" t="s">
        <v>15</v>
      </c>
    </row>
    <row r="8078" spans="2:11" ht="41.25" x14ac:dyDescent="0.2">
      <c r="B8078" s="33" t="s">
        <v>9194</v>
      </c>
      <c r="C8078" s="33" t="s">
        <v>664</v>
      </c>
      <c r="D8078" s="35">
        <f>SUMIFS(D8079:D9015,K8079:K9015,"0",B8079:B9015,"5 1 3 9 2 12 31111 6 M59 30100 000132 0000R 00002 00392 025 2210000 2024 CP1OP405 003*")-SUMIFS(E8079:E9015,K8079:K9015,"0",B8079:B9015,"5 1 3 9 2 12 31111 6 M59 30100 000132 0000R 00002 00392 025 2210000 2024 CP1OP405 003*")</f>
        <v>0</v>
      </c>
      <c r="E8078"/>
      <c r="F8078" s="35">
        <f>SUMIFS(F8079:F9015,K8079:K9015,"0",B8079:B9015,"5 1 3 9 2 12 31111 6 M59 30100 000132 0000R 00002 00392 025 2210000 2024 CP1OP405 003*")</f>
        <v>271889</v>
      </c>
      <c r="G8078" s="35">
        <f>SUMIFS(G8079:G9015,K8079:K9015,"0",B8079:B9015,"5 1 3 9 2 12 31111 6 M59 30100 000132 0000R 00002 00392 025 2210000 2024 CP1OP405 003*")</f>
        <v>0</v>
      </c>
      <c r="H8078" s="35">
        <f t="shared" si="127"/>
        <v>271889</v>
      </c>
      <c r="I8078" s="35"/>
      <c r="K8078" t="s">
        <v>15</v>
      </c>
    </row>
    <row r="8079" spans="2:11" ht="41.25" x14ac:dyDescent="0.2">
      <c r="B8079" s="31" t="s">
        <v>9195</v>
      </c>
      <c r="C8079" s="31" t="s">
        <v>9196</v>
      </c>
      <c r="D8079" s="34">
        <v>0</v>
      </c>
      <c r="E8079" s="34"/>
      <c r="F8079" s="34">
        <v>271889</v>
      </c>
      <c r="G8079" s="34">
        <v>0</v>
      </c>
      <c r="H8079" s="34">
        <f t="shared" si="127"/>
        <v>271889</v>
      </c>
      <c r="I8079" s="34"/>
      <c r="K8079" t="s">
        <v>38</v>
      </c>
    </row>
    <row r="8080" spans="2:11" ht="16.5" x14ac:dyDescent="0.2">
      <c r="B8080" s="33" t="s">
        <v>9197</v>
      </c>
      <c r="C8080" s="33" t="s">
        <v>9198</v>
      </c>
      <c r="D8080" s="35">
        <f>SUMIFS(D8081:D9015,K8081:K9015,"0",B8081:B9015,"5 1 3 9 4*")-SUMIFS(E8081:E9015,K8081:K9015,"0",B8081:B9015,"5 1 3 9 4*")</f>
        <v>0</v>
      </c>
      <c r="E8080"/>
      <c r="F8080" s="35">
        <f>SUMIFS(F8081:F9015,K8081:K9015,"0",B8081:B9015,"5 1 3 9 4*")</f>
        <v>326137.8</v>
      </c>
      <c r="G8080" s="35">
        <f>SUMIFS(G8081:G9015,K8081:K9015,"0",B8081:B9015,"5 1 3 9 4*")</f>
        <v>0</v>
      </c>
      <c r="H8080" s="35">
        <f t="shared" si="127"/>
        <v>326137.8</v>
      </c>
      <c r="I8080" s="35"/>
      <c r="K8080" t="s">
        <v>15</v>
      </c>
    </row>
    <row r="8081" spans="2:11" ht="12.75" x14ac:dyDescent="0.2">
      <c r="B8081" s="33" t="s">
        <v>9199</v>
      </c>
      <c r="C8081" s="33" t="s">
        <v>26</v>
      </c>
      <c r="D8081" s="35">
        <f>SUMIFS(D8082:D9015,K8082:K9015,"0",B8082:B9015,"5 1 3 9 4 12*")-SUMIFS(E8082:E9015,K8082:K9015,"0",B8082:B9015,"5 1 3 9 4 12*")</f>
        <v>0</v>
      </c>
      <c r="E8081"/>
      <c r="F8081" s="35">
        <f>SUMIFS(F8082:F9015,K8082:K9015,"0",B8082:B9015,"5 1 3 9 4 12*")</f>
        <v>326137.8</v>
      </c>
      <c r="G8081" s="35">
        <f>SUMIFS(G8082:G9015,K8082:K9015,"0",B8082:B9015,"5 1 3 9 4 12*")</f>
        <v>0</v>
      </c>
      <c r="H8081" s="35">
        <f t="shared" si="127"/>
        <v>326137.8</v>
      </c>
      <c r="I8081" s="35"/>
      <c r="K8081" t="s">
        <v>15</v>
      </c>
    </row>
    <row r="8082" spans="2:11" ht="16.5" x14ac:dyDescent="0.2">
      <c r="B8082" s="33" t="s">
        <v>9200</v>
      </c>
      <c r="C8082" s="33" t="s">
        <v>28</v>
      </c>
      <c r="D8082" s="35">
        <f>SUMIFS(D8083:D9015,K8083:K9015,"0",B8083:B9015,"5 1 3 9 4 12 31111*")-SUMIFS(E8083:E9015,K8083:K9015,"0",B8083:B9015,"5 1 3 9 4 12 31111*")</f>
        <v>0</v>
      </c>
      <c r="E8082"/>
      <c r="F8082" s="35">
        <f>SUMIFS(F8083:F9015,K8083:K9015,"0",B8083:B9015,"5 1 3 9 4 12 31111*")</f>
        <v>326137.8</v>
      </c>
      <c r="G8082" s="35">
        <f>SUMIFS(G8083:G9015,K8083:K9015,"0",B8083:B9015,"5 1 3 9 4 12 31111*")</f>
        <v>0</v>
      </c>
      <c r="H8082" s="35">
        <f t="shared" si="127"/>
        <v>326137.8</v>
      </c>
      <c r="I8082" s="35"/>
      <c r="K8082" t="s">
        <v>15</v>
      </c>
    </row>
    <row r="8083" spans="2:11" ht="12.75" x14ac:dyDescent="0.2">
      <c r="B8083" s="33" t="s">
        <v>9201</v>
      </c>
      <c r="C8083" s="33" t="s">
        <v>30</v>
      </c>
      <c r="D8083" s="35">
        <f>SUMIFS(D8084:D9015,K8084:K9015,"0",B8084:B9015,"5 1 3 9 4 12 31111 6*")-SUMIFS(E8084:E9015,K8084:K9015,"0",B8084:B9015,"5 1 3 9 4 12 31111 6*")</f>
        <v>0</v>
      </c>
      <c r="E8083"/>
      <c r="F8083" s="35">
        <f>SUMIFS(F8084:F9015,K8084:K9015,"0",B8084:B9015,"5 1 3 9 4 12 31111 6*")</f>
        <v>326137.8</v>
      </c>
      <c r="G8083" s="35">
        <f>SUMIFS(G8084:G9015,K8084:K9015,"0",B8084:B9015,"5 1 3 9 4 12 31111 6*")</f>
        <v>0</v>
      </c>
      <c r="H8083" s="35">
        <f t="shared" si="127"/>
        <v>326137.8</v>
      </c>
      <c r="I8083" s="35"/>
      <c r="K8083" t="s">
        <v>15</v>
      </c>
    </row>
    <row r="8084" spans="2:11" ht="16.5" x14ac:dyDescent="0.2">
      <c r="B8084" s="33" t="s">
        <v>9202</v>
      </c>
      <c r="C8084" s="33" t="s">
        <v>2284</v>
      </c>
      <c r="D8084" s="35">
        <f>SUMIFS(D8085:D9015,K8085:K9015,"0",B8085:B9015,"5 1 3 9 4 12 31111 6 M59*")-SUMIFS(E8085:E9015,K8085:K9015,"0",B8085:B9015,"5 1 3 9 4 12 31111 6 M59*")</f>
        <v>0</v>
      </c>
      <c r="E8084"/>
      <c r="F8084" s="35">
        <f>SUMIFS(F8085:F9015,K8085:K9015,"0",B8085:B9015,"5 1 3 9 4 12 31111 6 M59*")</f>
        <v>326137.8</v>
      </c>
      <c r="G8084" s="35">
        <f>SUMIFS(G8085:G9015,K8085:K9015,"0",B8085:B9015,"5 1 3 9 4 12 31111 6 M59*")</f>
        <v>0</v>
      </c>
      <c r="H8084" s="35">
        <f t="shared" si="127"/>
        <v>326137.8</v>
      </c>
      <c r="I8084" s="35"/>
      <c r="K8084" t="s">
        <v>15</v>
      </c>
    </row>
    <row r="8085" spans="2:11" ht="16.5" x14ac:dyDescent="0.2">
      <c r="B8085" s="33" t="s">
        <v>9203</v>
      </c>
      <c r="C8085" s="33" t="s">
        <v>3668</v>
      </c>
      <c r="D8085" s="35">
        <f>SUMIFS(D8086:D9015,K8086:K9015,"0",B8086:B9015,"5 1 3 9 4 12 31111 6 M59 95000*")-SUMIFS(E8086:E9015,K8086:K9015,"0",B8086:B9015,"5 1 3 9 4 12 31111 6 M59 95000*")</f>
        <v>0</v>
      </c>
      <c r="E8085"/>
      <c r="F8085" s="35">
        <f>SUMIFS(F8086:F9015,K8086:K9015,"0",B8086:B9015,"5 1 3 9 4 12 31111 6 M59 95000*")</f>
        <v>326137.8</v>
      </c>
      <c r="G8085" s="35">
        <f>SUMIFS(G8086:G9015,K8086:K9015,"0",B8086:B9015,"5 1 3 9 4 12 31111 6 M59 95000*")</f>
        <v>0</v>
      </c>
      <c r="H8085" s="35">
        <f t="shared" si="127"/>
        <v>326137.8</v>
      </c>
      <c r="I8085" s="35"/>
      <c r="K8085" t="s">
        <v>15</v>
      </c>
    </row>
    <row r="8086" spans="2:11" ht="16.5" x14ac:dyDescent="0.2">
      <c r="B8086" s="33" t="s">
        <v>9204</v>
      </c>
      <c r="C8086" s="33" t="s">
        <v>1063</v>
      </c>
      <c r="D8086" s="35">
        <f>SUMIFS(D8087:D9015,K8087:K9015,"0",B8087:B9015,"5 1 3 9 4 12 31111 6 M59 95000 000139*")-SUMIFS(E8087:E9015,K8087:K9015,"0",B8087:B9015,"5 1 3 9 4 12 31111 6 M59 95000 000139*")</f>
        <v>0</v>
      </c>
      <c r="E8086"/>
      <c r="F8086" s="35">
        <f>SUMIFS(F8087:F9015,K8087:K9015,"0",B8087:B9015,"5 1 3 9 4 12 31111 6 M59 95000 000139*")</f>
        <v>326137.8</v>
      </c>
      <c r="G8086" s="35">
        <f>SUMIFS(G8087:G9015,K8087:K9015,"0",B8087:B9015,"5 1 3 9 4 12 31111 6 M59 95000 000139*")</f>
        <v>0</v>
      </c>
      <c r="H8086" s="35">
        <f t="shared" si="127"/>
        <v>326137.8</v>
      </c>
      <c r="I8086" s="35"/>
      <c r="K8086" t="s">
        <v>15</v>
      </c>
    </row>
    <row r="8087" spans="2:11" ht="24.75" x14ac:dyDescent="0.2">
      <c r="B8087" s="33" t="s">
        <v>9205</v>
      </c>
      <c r="C8087" s="33" t="s">
        <v>3671</v>
      </c>
      <c r="D8087" s="35">
        <f>SUMIFS(D8088:D9015,K8088:K9015,"0",B8088:B9015,"5 1 3 9 4 12 31111 6 M59 95000 000139 0000L*")-SUMIFS(E8088:E9015,K8088:K9015,"0",B8088:B9015,"5 1 3 9 4 12 31111 6 M59 95000 000139 0000L*")</f>
        <v>0</v>
      </c>
      <c r="E8087"/>
      <c r="F8087" s="35">
        <f>SUMIFS(F8088:F9015,K8088:K9015,"0",B8088:B9015,"5 1 3 9 4 12 31111 6 M59 95000 000139 0000L*")</f>
        <v>326137.8</v>
      </c>
      <c r="G8087" s="35">
        <f>SUMIFS(G8088:G9015,K8088:K9015,"0",B8088:B9015,"5 1 3 9 4 12 31111 6 M59 95000 000139 0000L*")</f>
        <v>0</v>
      </c>
      <c r="H8087" s="35">
        <f t="shared" si="127"/>
        <v>326137.8</v>
      </c>
      <c r="I8087" s="35"/>
      <c r="K8087" t="s">
        <v>15</v>
      </c>
    </row>
    <row r="8088" spans="2:11" ht="24.75" x14ac:dyDescent="0.2">
      <c r="B8088" s="33" t="s">
        <v>9206</v>
      </c>
      <c r="C8088" s="33" t="s">
        <v>282</v>
      </c>
      <c r="D8088" s="35">
        <f>SUMIFS(D8089:D9015,K8089:K9015,"0",B8089:B9015,"5 1 3 9 4 12 31111 6 M59 95000 000139 0000L 00001*")-SUMIFS(E8089:E9015,K8089:K9015,"0",B8089:B9015,"5 1 3 9 4 12 31111 6 M59 95000 000139 0000L 00001*")</f>
        <v>0</v>
      </c>
      <c r="E8088"/>
      <c r="F8088" s="35">
        <f>SUMIFS(F8089:F9015,K8089:K9015,"0",B8089:B9015,"5 1 3 9 4 12 31111 6 M59 95000 000139 0000L 00001*")</f>
        <v>326137.8</v>
      </c>
      <c r="G8088" s="35">
        <f>SUMIFS(G8089:G9015,K8089:K9015,"0",B8089:B9015,"5 1 3 9 4 12 31111 6 M59 95000 000139 0000L 00001*")</f>
        <v>0</v>
      </c>
      <c r="H8088" s="35">
        <f t="shared" si="127"/>
        <v>326137.8</v>
      </c>
      <c r="I8088" s="35"/>
      <c r="K8088" t="s">
        <v>15</v>
      </c>
    </row>
    <row r="8089" spans="2:11" ht="24.75" x14ac:dyDescent="0.2">
      <c r="B8089" s="33" t="s">
        <v>9207</v>
      </c>
      <c r="C8089" s="33" t="s">
        <v>9208</v>
      </c>
      <c r="D8089" s="35">
        <f>SUMIFS(D8090:D9015,K8090:K9015,"0",B8090:B9015,"5 1 3 9 4 12 31111 6 M59 95000 000139 0000L 00001 00394*")-SUMIFS(E8090:E9015,K8090:K9015,"0",B8090:B9015,"5 1 3 9 4 12 31111 6 M59 95000 000139 0000L 00001 00394*")</f>
        <v>0</v>
      </c>
      <c r="E8089"/>
      <c r="F8089" s="35">
        <f>SUMIFS(F8090:F9015,K8090:K9015,"0",B8090:B9015,"5 1 3 9 4 12 31111 6 M59 95000 000139 0000L 00001 00394*")</f>
        <v>326137.8</v>
      </c>
      <c r="G8089" s="35">
        <f>SUMIFS(G8090:G9015,K8090:K9015,"0",B8090:B9015,"5 1 3 9 4 12 31111 6 M59 95000 000139 0000L 00001 00394*")</f>
        <v>0</v>
      </c>
      <c r="H8089" s="35">
        <f t="shared" si="127"/>
        <v>326137.8</v>
      </c>
      <c r="I8089" s="35"/>
      <c r="K8089" t="s">
        <v>15</v>
      </c>
    </row>
    <row r="8090" spans="2:11" ht="33" x14ac:dyDescent="0.2">
      <c r="B8090" s="33" t="s">
        <v>9209</v>
      </c>
      <c r="C8090" s="33" t="s">
        <v>1051</v>
      </c>
      <c r="D8090" s="35">
        <f>SUMIFS(D8091:D9015,K8091:K9015,"0",B8091:B9015,"5 1 3 9 4 12 31111 6 M59 95000 000139 0000L 00001 00394 015*")-SUMIFS(E8091:E9015,K8091:K9015,"0",B8091:B9015,"5 1 3 9 4 12 31111 6 M59 95000 000139 0000L 00001 00394 015*")</f>
        <v>0</v>
      </c>
      <c r="E8090"/>
      <c r="F8090" s="35">
        <f>SUMIFS(F8091:F9015,K8091:K9015,"0",B8091:B9015,"5 1 3 9 4 12 31111 6 M59 95000 000139 0000L 00001 00394 015*")</f>
        <v>326137.8</v>
      </c>
      <c r="G8090" s="35">
        <f>SUMIFS(G8091:G9015,K8091:K9015,"0",B8091:B9015,"5 1 3 9 4 12 31111 6 M59 95000 000139 0000L 00001 00394 015*")</f>
        <v>0</v>
      </c>
      <c r="H8090" s="35">
        <f t="shared" si="127"/>
        <v>326137.8</v>
      </c>
      <c r="I8090" s="35"/>
      <c r="K8090" t="s">
        <v>15</v>
      </c>
    </row>
    <row r="8091" spans="2:11" ht="33" x14ac:dyDescent="0.2">
      <c r="B8091" s="33" t="s">
        <v>9210</v>
      </c>
      <c r="C8091" s="33" t="s">
        <v>5830</v>
      </c>
      <c r="D8091" s="35">
        <f>SUMIFS(D8092:D9015,K8092:K9015,"0",B8092:B9015,"5 1 3 9 4 12 31111 6 M59 95000 000139 0000L 00001 00394 015 2112000*")-SUMIFS(E8092:E9015,K8092:K9015,"0",B8092:B9015,"5 1 3 9 4 12 31111 6 M59 95000 000139 0000L 00001 00394 015 2112000*")</f>
        <v>0</v>
      </c>
      <c r="E8091"/>
      <c r="F8091" s="35">
        <f>SUMIFS(F8092:F9015,K8092:K9015,"0",B8092:B9015,"5 1 3 9 4 12 31111 6 M59 95000 000139 0000L 00001 00394 015 2112000*")</f>
        <v>326137.8</v>
      </c>
      <c r="G8091" s="35">
        <f>SUMIFS(G8092:G9015,K8092:K9015,"0",B8092:B9015,"5 1 3 9 4 12 31111 6 M59 95000 000139 0000L 00001 00394 015 2112000*")</f>
        <v>0</v>
      </c>
      <c r="H8091" s="35">
        <f t="shared" si="127"/>
        <v>326137.8</v>
      </c>
      <c r="I8091" s="35"/>
      <c r="K8091" t="s">
        <v>15</v>
      </c>
    </row>
    <row r="8092" spans="2:11" ht="33" x14ac:dyDescent="0.2">
      <c r="B8092" s="33" t="s">
        <v>9211</v>
      </c>
      <c r="C8092" s="33" t="s">
        <v>660</v>
      </c>
      <c r="D8092" s="35">
        <f>SUMIFS(D8093:D9015,K8093:K9015,"0",B8093:B9015,"5 1 3 9 4 12 31111 6 M59 95000 000139 0000L 00001 00394 015 2112000 2024*")-SUMIFS(E8093:E9015,K8093:K9015,"0",B8093:B9015,"5 1 3 9 4 12 31111 6 M59 95000 000139 0000L 00001 00394 015 2112000 2024*")</f>
        <v>0</v>
      </c>
      <c r="E8092"/>
      <c r="F8092" s="35">
        <f>SUMIFS(F8093:F9015,K8093:K9015,"0",B8093:B9015,"5 1 3 9 4 12 31111 6 M59 95000 000139 0000L 00001 00394 015 2112000 2024*")</f>
        <v>326137.8</v>
      </c>
      <c r="G8092" s="35">
        <f>SUMIFS(G8093:G9015,K8093:K9015,"0",B8093:B9015,"5 1 3 9 4 12 31111 6 M59 95000 000139 0000L 00001 00394 015 2112000 2024*")</f>
        <v>0</v>
      </c>
      <c r="H8092" s="35">
        <f t="shared" si="127"/>
        <v>326137.8</v>
      </c>
      <c r="I8092" s="35"/>
      <c r="K8092" t="s">
        <v>15</v>
      </c>
    </row>
    <row r="8093" spans="2:11" ht="41.25" x14ac:dyDescent="0.2">
      <c r="B8093" s="33" t="s">
        <v>9212</v>
      </c>
      <c r="C8093" s="33" t="s">
        <v>1056</v>
      </c>
      <c r="D8093" s="35">
        <f>SUMIFS(D8094:D9015,K8094:K9015,"0",B8094:B9015,"5 1 3 9 4 12 31111 6 M59 95000 000139 0000L 00001 00394 015 2112000 2024 CP1AJ437*")-SUMIFS(E8094:E9015,K8094:K9015,"0",B8094:B9015,"5 1 3 9 4 12 31111 6 M59 95000 000139 0000L 00001 00394 015 2112000 2024 CP1AJ437*")</f>
        <v>0</v>
      </c>
      <c r="E8093"/>
      <c r="F8093" s="35">
        <f>SUMIFS(F8094:F9015,K8094:K9015,"0",B8094:B9015,"5 1 3 9 4 12 31111 6 M59 95000 000139 0000L 00001 00394 015 2112000 2024 CP1AJ437*")</f>
        <v>326137.8</v>
      </c>
      <c r="G8093" s="35">
        <f>SUMIFS(G8094:G9015,K8094:K9015,"0",B8094:B9015,"5 1 3 9 4 12 31111 6 M59 95000 000139 0000L 00001 00394 015 2112000 2024 CP1AJ437*")</f>
        <v>0</v>
      </c>
      <c r="H8093" s="35">
        <f t="shared" si="127"/>
        <v>326137.8</v>
      </c>
      <c r="I8093" s="35"/>
      <c r="K8093" t="s">
        <v>15</v>
      </c>
    </row>
    <row r="8094" spans="2:11" ht="41.25" x14ac:dyDescent="0.2">
      <c r="B8094" s="33" t="s">
        <v>9213</v>
      </c>
      <c r="C8094" s="33" t="s">
        <v>282</v>
      </c>
      <c r="D8094" s="35">
        <f>SUMIFS(D8095:D9015,K8095:K9015,"0",B8095:B9015,"5 1 3 9 4 12 31111 6 M59 95000 000139 0000L 00001 00394 015 2112000 2024 CP1AJ437 001*")-SUMIFS(E8095:E9015,K8095:K9015,"0",B8095:B9015,"5 1 3 9 4 12 31111 6 M59 95000 000139 0000L 00001 00394 015 2112000 2024 CP1AJ437 001*")</f>
        <v>0</v>
      </c>
      <c r="E8094"/>
      <c r="F8094" s="35">
        <f>SUMIFS(F8095:F9015,K8095:K9015,"0",B8095:B9015,"5 1 3 9 4 12 31111 6 M59 95000 000139 0000L 00001 00394 015 2112000 2024 CP1AJ437 001*")</f>
        <v>326137.8</v>
      </c>
      <c r="G8094" s="35">
        <f>SUMIFS(G8095:G9015,K8095:K9015,"0",B8095:B9015,"5 1 3 9 4 12 31111 6 M59 95000 000139 0000L 00001 00394 015 2112000 2024 CP1AJ437 001*")</f>
        <v>0</v>
      </c>
      <c r="H8094" s="35">
        <f t="shared" si="127"/>
        <v>326137.8</v>
      </c>
      <c r="I8094" s="35"/>
      <c r="K8094" t="s">
        <v>15</v>
      </c>
    </row>
    <row r="8095" spans="2:11" ht="33" x14ac:dyDescent="0.2">
      <c r="B8095" s="31" t="s">
        <v>9214</v>
      </c>
      <c r="C8095" s="31" t="s">
        <v>9198</v>
      </c>
      <c r="D8095" s="34">
        <v>0</v>
      </c>
      <c r="E8095" s="34"/>
      <c r="F8095" s="34">
        <v>326137.8</v>
      </c>
      <c r="G8095" s="34">
        <v>0</v>
      </c>
      <c r="H8095" s="34">
        <f t="shared" si="127"/>
        <v>326137.8</v>
      </c>
      <c r="I8095" s="34"/>
      <c r="K8095" t="s">
        <v>38</v>
      </c>
    </row>
    <row r="8096" spans="2:11" ht="16.5" x14ac:dyDescent="0.2">
      <c r="B8096" s="33" t="s">
        <v>9215</v>
      </c>
      <c r="C8096" s="33" t="s">
        <v>9216</v>
      </c>
      <c r="D8096" s="35">
        <f>SUMIFS(D8097:D9015,K8097:K9015,"0",B8097:B9015,"5 1 3 9 5*")-SUMIFS(E8097:E9015,K8097:K9015,"0",B8097:B9015,"5 1 3 9 5*")</f>
        <v>0</v>
      </c>
      <c r="E8096"/>
      <c r="F8096" s="35">
        <f>SUMIFS(F8097:F9015,K8097:K9015,"0",B8097:B9015,"5 1 3 9 5*")</f>
        <v>93281</v>
      </c>
      <c r="G8096" s="35">
        <f>SUMIFS(G8097:G9015,K8097:K9015,"0",B8097:B9015,"5 1 3 9 5*")</f>
        <v>0</v>
      </c>
      <c r="H8096" s="35">
        <f t="shared" si="127"/>
        <v>93281</v>
      </c>
      <c r="I8096" s="35"/>
      <c r="K8096" t="s">
        <v>15</v>
      </c>
    </row>
    <row r="8097" spans="2:11" ht="12.75" x14ac:dyDescent="0.2">
      <c r="B8097" s="33" t="s">
        <v>9217</v>
      </c>
      <c r="C8097" s="33" t="s">
        <v>26</v>
      </c>
      <c r="D8097" s="35">
        <f>SUMIFS(D8098:D9015,K8098:K9015,"0",B8098:B9015,"5 1 3 9 5 12*")-SUMIFS(E8098:E9015,K8098:K9015,"0",B8098:B9015,"5 1 3 9 5 12*")</f>
        <v>0</v>
      </c>
      <c r="E8097"/>
      <c r="F8097" s="35">
        <f>SUMIFS(F8098:F9015,K8098:K9015,"0",B8098:B9015,"5 1 3 9 5 12*")</f>
        <v>93281</v>
      </c>
      <c r="G8097" s="35">
        <f>SUMIFS(G8098:G9015,K8098:K9015,"0",B8098:B9015,"5 1 3 9 5 12*")</f>
        <v>0</v>
      </c>
      <c r="H8097" s="35">
        <f t="shared" si="127"/>
        <v>93281</v>
      </c>
      <c r="I8097" s="35"/>
      <c r="K8097" t="s">
        <v>15</v>
      </c>
    </row>
    <row r="8098" spans="2:11" ht="16.5" x14ac:dyDescent="0.2">
      <c r="B8098" s="33" t="s">
        <v>9218</v>
      </c>
      <c r="C8098" s="33" t="s">
        <v>28</v>
      </c>
      <c r="D8098" s="35">
        <f>SUMIFS(D8099:D9015,K8099:K9015,"0",B8099:B9015,"5 1 3 9 5 12 31111*")-SUMIFS(E8099:E9015,K8099:K9015,"0",B8099:B9015,"5 1 3 9 5 12 31111*")</f>
        <v>0</v>
      </c>
      <c r="E8098"/>
      <c r="F8098" s="35">
        <f>SUMIFS(F8099:F9015,K8099:K9015,"0",B8099:B9015,"5 1 3 9 5 12 31111*")</f>
        <v>93281</v>
      </c>
      <c r="G8098" s="35">
        <f>SUMIFS(G8099:G9015,K8099:K9015,"0",B8099:B9015,"5 1 3 9 5 12 31111*")</f>
        <v>0</v>
      </c>
      <c r="H8098" s="35">
        <f t="shared" si="127"/>
        <v>93281</v>
      </c>
      <c r="I8098" s="35"/>
      <c r="K8098" t="s">
        <v>15</v>
      </c>
    </row>
    <row r="8099" spans="2:11" ht="12.75" x14ac:dyDescent="0.2">
      <c r="B8099" s="33" t="s">
        <v>9219</v>
      </c>
      <c r="C8099" s="33" t="s">
        <v>30</v>
      </c>
      <c r="D8099" s="35">
        <f>SUMIFS(D8100:D9015,K8100:K9015,"0",B8100:B9015,"5 1 3 9 5 12 31111 6*")-SUMIFS(E8100:E9015,K8100:K9015,"0",B8100:B9015,"5 1 3 9 5 12 31111 6*")</f>
        <v>0</v>
      </c>
      <c r="E8099"/>
      <c r="F8099" s="35">
        <f>SUMIFS(F8100:F9015,K8100:K9015,"0",B8100:B9015,"5 1 3 9 5 12 31111 6*")</f>
        <v>93281</v>
      </c>
      <c r="G8099" s="35">
        <f>SUMIFS(G8100:G9015,K8100:K9015,"0",B8100:B9015,"5 1 3 9 5 12 31111 6*")</f>
        <v>0</v>
      </c>
      <c r="H8099" s="35">
        <f t="shared" si="127"/>
        <v>93281</v>
      </c>
      <c r="I8099" s="35"/>
      <c r="K8099" t="s">
        <v>15</v>
      </c>
    </row>
    <row r="8100" spans="2:11" ht="16.5" x14ac:dyDescent="0.2">
      <c r="B8100" s="33" t="s">
        <v>9220</v>
      </c>
      <c r="C8100" s="33" t="s">
        <v>2284</v>
      </c>
      <c r="D8100" s="35">
        <f>SUMIFS(D8101:D9015,K8101:K9015,"0",B8101:B9015,"5 1 3 9 5 12 31111 6 M59*")-SUMIFS(E8101:E9015,K8101:K9015,"0",B8101:B9015,"5 1 3 9 5 12 31111 6 M59*")</f>
        <v>0</v>
      </c>
      <c r="E8100"/>
      <c r="F8100" s="35">
        <f>SUMIFS(F8101:F9015,K8101:K9015,"0",B8101:B9015,"5 1 3 9 5 12 31111 6 M59*")</f>
        <v>93281</v>
      </c>
      <c r="G8100" s="35">
        <f>SUMIFS(G8101:G9015,K8101:K9015,"0",B8101:B9015,"5 1 3 9 5 12 31111 6 M59*")</f>
        <v>0</v>
      </c>
      <c r="H8100" s="35">
        <f t="shared" si="127"/>
        <v>93281</v>
      </c>
      <c r="I8100" s="35"/>
      <c r="K8100" t="s">
        <v>15</v>
      </c>
    </row>
    <row r="8101" spans="2:11" ht="16.5" x14ac:dyDescent="0.2">
      <c r="B8101" s="33" t="s">
        <v>9221</v>
      </c>
      <c r="C8101" s="33" t="s">
        <v>1061</v>
      </c>
      <c r="D8101" s="35">
        <f>SUMIFS(D8102:D9015,K8102:K9015,"0",B8102:B9015,"5 1 3 9 5 12 31111 6 M59 20300*")-SUMIFS(E8102:E9015,K8102:K9015,"0",B8102:B9015,"5 1 3 9 5 12 31111 6 M59 20300*")</f>
        <v>0</v>
      </c>
      <c r="E8101"/>
      <c r="F8101" s="35">
        <f>SUMIFS(F8102:F9015,K8102:K9015,"0",B8102:B9015,"5 1 3 9 5 12 31111 6 M59 20300*")</f>
        <v>93281</v>
      </c>
      <c r="G8101" s="35">
        <f>SUMIFS(G8102:G9015,K8102:K9015,"0",B8102:B9015,"5 1 3 9 5 12 31111 6 M59 20300*")</f>
        <v>0</v>
      </c>
      <c r="H8101" s="35">
        <f t="shared" si="127"/>
        <v>93281</v>
      </c>
      <c r="I8101" s="35"/>
      <c r="K8101" t="s">
        <v>15</v>
      </c>
    </row>
    <row r="8102" spans="2:11" ht="16.5" x14ac:dyDescent="0.2">
      <c r="B8102" s="33" t="s">
        <v>9222</v>
      </c>
      <c r="C8102" s="33" t="s">
        <v>648</v>
      </c>
      <c r="D8102" s="35">
        <f>SUMIFS(D8103:D9015,K8103:K9015,"0",B8103:B9015,"5 1 3 9 5 12 31111 6 M59 20300 000132*")-SUMIFS(E8103:E9015,K8103:K9015,"0",B8103:B9015,"5 1 3 9 5 12 31111 6 M59 20300 000132*")</f>
        <v>0</v>
      </c>
      <c r="E8102"/>
      <c r="F8102" s="35">
        <f>SUMIFS(F8103:F9015,K8103:K9015,"0",B8103:B9015,"5 1 3 9 5 12 31111 6 M59 20300 000132*")</f>
        <v>93281</v>
      </c>
      <c r="G8102" s="35">
        <f>SUMIFS(G8103:G9015,K8103:K9015,"0",B8103:B9015,"5 1 3 9 5 12 31111 6 M59 20300 000132*")</f>
        <v>0</v>
      </c>
      <c r="H8102" s="35">
        <f t="shared" si="127"/>
        <v>93281</v>
      </c>
      <c r="I8102" s="35"/>
      <c r="K8102" t="s">
        <v>15</v>
      </c>
    </row>
    <row r="8103" spans="2:11" ht="24.75" x14ac:dyDescent="0.2">
      <c r="B8103" s="33" t="s">
        <v>9223</v>
      </c>
      <c r="C8103" s="33" t="s">
        <v>650</v>
      </c>
      <c r="D8103" s="35">
        <f>SUMIFS(D8104:D9015,K8104:K9015,"0",B8104:B9015,"5 1 3 9 5 12 31111 6 M59 20300 000132 0000R*")-SUMIFS(E8104:E9015,K8104:K9015,"0",B8104:B9015,"5 1 3 9 5 12 31111 6 M59 20300 000132 0000R*")</f>
        <v>0</v>
      </c>
      <c r="E8103"/>
      <c r="F8103" s="35">
        <f>SUMIFS(F8104:F9015,K8104:K9015,"0",B8104:B9015,"5 1 3 9 5 12 31111 6 M59 20300 000132 0000R*")</f>
        <v>93281</v>
      </c>
      <c r="G8103" s="35">
        <f>SUMIFS(G8104:G9015,K8104:K9015,"0",B8104:B9015,"5 1 3 9 5 12 31111 6 M59 20300 000132 0000R*")</f>
        <v>0</v>
      </c>
      <c r="H8103" s="35">
        <f t="shared" si="127"/>
        <v>93281</v>
      </c>
      <c r="I8103" s="35"/>
      <c r="K8103" t="s">
        <v>15</v>
      </c>
    </row>
    <row r="8104" spans="2:11" ht="24.75" x14ac:dyDescent="0.2">
      <c r="B8104" s="33" t="s">
        <v>9224</v>
      </c>
      <c r="C8104" s="33" t="s">
        <v>282</v>
      </c>
      <c r="D8104" s="35">
        <f>SUMIFS(D8105:D9015,K8105:K9015,"0",B8105:B9015,"5 1 3 9 5 12 31111 6 M59 20300 000132 0000R 00001*")-SUMIFS(E8105:E9015,K8105:K9015,"0",B8105:B9015,"5 1 3 9 5 12 31111 6 M59 20300 000132 0000R 00001*")</f>
        <v>0</v>
      </c>
      <c r="E8104"/>
      <c r="F8104" s="35">
        <f>SUMIFS(F8105:F9015,K8105:K9015,"0",B8105:B9015,"5 1 3 9 5 12 31111 6 M59 20300 000132 0000R 00001*")</f>
        <v>93281</v>
      </c>
      <c r="G8104" s="35">
        <f>SUMIFS(G8105:G9015,K8105:K9015,"0",B8105:B9015,"5 1 3 9 5 12 31111 6 M59 20300 000132 0000R 00001*")</f>
        <v>0</v>
      </c>
      <c r="H8104" s="35">
        <f t="shared" si="127"/>
        <v>93281</v>
      </c>
      <c r="I8104" s="35"/>
      <c r="K8104" t="s">
        <v>15</v>
      </c>
    </row>
    <row r="8105" spans="2:11" ht="24.75" x14ac:dyDescent="0.2">
      <c r="B8105" s="33" t="s">
        <v>9225</v>
      </c>
      <c r="C8105" s="33" t="s">
        <v>9226</v>
      </c>
      <c r="D8105" s="35">
        <f>SUMIFS(D8106:D9015,K8106:K9015,"0",B8106:B9015,"5 1 3 9 5 12 31111 6 M59 20300 000132 0000R 00001 00395*")-SUMIFS(E8106:E9015,K8106:K9015,"0",B8106:B9015,"5 1 3 9 5 12 31111 6 M59 20300 000132 0000R 00001 00395*")</f>
        <v>0</v>
      </c>
      <c r="E8105"/>
      <c r="F8105" s="35">
        <f>SUMIFS(F8106:F9015,K8106:K9015,"0",B8106:B9015,"5 1 3 9 5 12 31111 6 M59 20300 000132 0000R 00001 00395*")</f>
        <v>93281</v>
      </c>
      <c r="G8105" s="35">
        <f>SUMIFS(G8106:G9015,K8106:K9015,"0",B8106:B9015,"5 1 3 9 5 12 31111 6 M59 20300 000132 0000R 00001 00395*")</f>
        <v>0</v>
      </c>
      <c r="H8105" s="35">
        <f t="shared" si="127"/>
        <v>93281</v>
      </c>
      <c r="I8105" s="35"/>
      <c r="K8105" t="s">
        <v>15</v>
      </c>
    </row>
    <row r="8106" spans="2:11" ht="33" x14ac:dyDescent="0.2">
      <c r="B8106" s="33" t="s">
        <v>9227</v>
      </c>
      <c r="C8106" s="33" t="s">
        <v>1051</v>
      </c>
      <c r="D8106" s="35">
        <f>SUMIFS(D8107:D9015,K8107:K9015,"0",B8107:B9015,"5 1 3 9 5 12 31111 6 M59 20300 000132 0000R 00001 00395 015*")-SUMIFS(E8107:E9015,K8107:K9015,"0",B8107:B9015,"5 1 3 9 5 12 31111 6 M59 20300 000132 0000R 00001 00395 015*")</f>
        <v>0</v>
      </c>
      <c r="E8106"/>
      <c r="F8106" s="35">
        <f>SUMIFS(F8107:F9015,K8107:K9015,"0",B8107:B9015,"5 1 3 9 5 12 31111 6 M59 20300 000132 0000R 00001 00395 015*")</f>
        <v>93281</v>
      </c>
      <c r="G8106" s="35">
        <f>SUMIFS(G8107:G9015,K8107:K9015,"0",B8107:B9015,"5 1 3 9 5 12 31111 6 M59 20300 000132 0000R 00001 00395 015*")</f>
        <v>0</v>
      </c>
      <c r="H8106" s="35">
        <f t="shared" si="127"/>
        <v>93281</v>
      </c>
      <c r="I8106" s="35"/>
      <c r="K8106" t="s">
        <v>15</v>
      </c>
    </row>
    <row r="8107" spans="2:11" ht="33" x14ac:dyDescent="0.2">
      <c r="B8107" s="33" t="s">
        <v>9228</v>
      </c>
      <c r="C8107" s="33" t="s">
        <v>5830</v>
      </c>
      <c r="D8107" s="35">
        <f>SUMIFS(D8108:D9015,K8108:K9015,"0",B8108:B9015,"5 1 3 9 5 12 31111 6 M59 20300 000132 0000R 00001 00395 015 2112000*")-SUMIFS(E8108:E9015,K8108:K9015,"0",B8108:B9015,"5 1 3 9 5 12 31111 6 M59 20300 000132 0000R 00001 00395 015 2112000*")</f>
        <v>0</v>
      </c>
      <c r="E8107"/>
      <c r="F8107" s="35">
        <f>SUMIFS(F8108:F9015,K8108:K9015,"0",B8108:B9015,"5 1 3 9 5 12 31111 6 M59 20300 000132 0000R 00001 00395 015 2112000*")</f>
        <v>93281</v>
      </c>
      <c r="G8107" s="35">
        <f>SUMIFS(G8108:G9015,K8108:K9015,"0",B8108:B9015,"5 1 3 9 5 12 31111 6 M59 20300 000132 0000R 00001 00395 015 2112000*")</f>
        <v>0</v>
      </c>
      <c r="H8107" s="35">
        <f t="shared" si="127"/>
        <v>93281</v>
      </c>
      <c r="I8107" s="35"/>
      <c r="K8107" t="s">
        <v>15</v>
      </c>
    </row>
    <row r="8108" spans="2:11" ht="33" x14ac:dyDescent="0.2">
      <c r="B8108" s="33" t="s">
        <v>9229</v>
      </c>
      <c r="C8108" s="33" t="s">
        <v>660</v>
      </c>
      <c r="D8108" s="35">
        <f>SUMIFS(D8109:D9015,K8109:K9015,"0",B8109:B9015,"5 1 3 9 5 12 31111 6 M59 20300 000132 0000R 00001 00395 015 2112000 2024*")-SUMIFS(E8109:E9015,K8109:K9015,"0",B8109:B9015,"5 1 3 9 5 12 31111 6 M59 20300 000132 0000R 00001 00395 015 2112000 2024*")</f>
        <v>0</v>
      </c>
      <c r="E8108"/>
      <c r="F8108" s="35">
        <f>SUMIFS(F8109:F9015,K8109:K9015,"0",B8109:B9015,"5 1 3 9 5 12 31111 6 M59 20300 000132 0000R 00001 00395 015 2112000 2024*")</f>
        <v>93281</v>
      </c>
      <c r="G8108" s="35">
        <f>SUMIFS(G8109:G9015,K8109:K9015,"0",B8109:B9015,"5 1 3 9 5 12 31111 6 M59 20300 000132 0000R 00001 00395 015 2112000 2024*")</f>
        <v>0</v>
      </c>
      <c r="H8108" s="35">
        <f t="shared" si="127"/>
        <v>93281</v>
      </c>
      <c r="I8108" s="35"/>
      <c r="K8108" t="s">
        <v>15</v>
      </c>
    </row>
    <row r="8109" spans="2:11" ht="41.25" x14ac:dyDescent="0.2">
      <c r="B8109" s="33" t="s">
        <v>9230</v>
      </c>
      <c r="C8109" s="33" t="s">
        <v>662</v>
      </c>
      <c r="D8109" s="35">
        <f>SUMIFS(D8110:D9015,K8110:K9015,"0",B8110:B9015,"5 1 3 9 5 12 31111 6 M59 20300 000132 0000R 00001 00395 015 2112000 2024 CP1DE415*")-SUMIFS(E8110:E9015,K8110:K9015,"0",B8110:B9015,"5 1 3 9 5 12 31111 6 M59 20300 000132 0000R 00001 00395 015 2112000 2024 CP1DE415*")</f>
        <v>0</v>
      </c>
      <c r="E8109"/>
      <c r="F8109" s="35">
        <f>SUMIFS(F8110:F9015,K8110:K9015,"0",B8110:B9015,"5 1 3 9 5 12 31111 6 M59 20300 000132 0000R 00001 00395 015 2112000 2024 CP1DE415*")</f>
        <v>93281</v>
      </c>
      <c r="G8109" s="35">
        <f>SUMIFS(G8110:G9015,K8110:K9015,"0",B8110:B9015,"5 1 3 9 5 12 31111 6 M59 20300 000132 0000R 00001 00395 015 2112000 2024 CP1DE415*")</f>
        <v>0</v>
      </c>
      <c r="H8109" s="35">
        <f t="shared" si="127"/>
        <v>93281</v>
      </c>
      <c r="I8109" s="35"/>
      <c r="K8109" t="s">
        <v>15</v>
      </c>
    </row>
    <row r="8110" spans="2:11" ht="41.25" x14ac:dyDescent="0.2">
      <c r="B8110" s="33" t="s">
        <v>9231</v>
      </c>
      <c r="C8110" s="33" t="s">
        <v>282</v>
      </c>
      <c r="D8110" s="35">
        <f>SUMIFS(D8111:D9015,K8111:K9015,"0",B8111:B9015,"5 1 3 9 5 12 31111 6 M59 20300 000132 0000R 00001 00395 015 2112000 2024 CP1DE415 001*")-SUMIFS(E8111:E9015,K8111:K9015,"0",B8111:B9015,"5 1 3 9 5 12 31111 6 M59 20300 000132 0000R 00001 00395 015 2112000 2024 CP1DE415 001*")</f>
        <v>0</v>
      </c>
      <c r="E8110"/>
      <c r="F8110" s="35">
        <f>SUMIFS(F8111:F9015,K8111:K9015,"0",B8111:B9015,"5 1 3 9 5 12 31111 6 M59 20300 000132 0000R 00001 00395 015 2112000 2024 CP1DE415 001*")</f>
        <v>93281</v>
      </c>
      <c r="G8110" s="35">
        <f>SUMIFS(G8111:G9015,K8111:K9015,"0",B8111:B9015,"5 1 3 9 5 12 31111 6 M59 20300 000132 0000R 00001 00395 015 2112000 2024 CP1DE415 001*")</f>
        <v>0</v>
      </c>
      <c r="H8110" s="35">
        <f t="shared" si="127"/>
        <v>93281</v>
      </c>
      <c r="I8110" s="35"/>
      <c r="K8110" t="s">
        <v>15</v>
      </c>
    </row>
    <row r="8111" spans="2:11" ht="41.25" x14ac:dyDescent="0.2">
      <c r="B8111" s="31" t="s">
        <v>9232</v>
      </c>
      <c r="C8111" s="31" t="s">
        <v>9233</v>
      </c>
      <c r="D8111" s="34">
        <v>0</v>
      </c>
      <c r="E8111" s="34"/>
      <c r="F8111" s="34">
        <v>77604</v>
      </c>
      <c r="G8111" s="34">
        <v>0</v>
      </c>
      <c r="H8111" s="34">
        <f t="shared" si="127"/>
        <v>77604</v>
      </c>
      <c r="I8111" s="34"/>
      <c r="K8111" t="s">
        <v>38</v>
      </c>
    </row>
    <row r="8112" spans="2:11" ht="41.25" x14ac:dyDescent="0.2">
      <c r="B8112" s="31" t="s">
        <v>9234</v>
      </c>
      <c r="C8112" s="31" t="s">
        <v>9235</v>
      </c>
      <c r="D8112" s="34">
        <v>0</v>
      </c>
      <c r="E8112" s="34"/>
      <c r="F8112" s="34">
        <v>15677</v>
      </c>
      <c r="G8112" s="34">
        <v>0</v>
      </c>
      <c r="H8112" s="34">
        <f t="shared" si="127"/>
        <v>15677</v>
      </c>
      <c r="I8112" s="34"/>
      <c r="K8112" t="s">
        <v>38</v>
      </c>
    </row>
    <row r="8113" spans="2:11" ht="24.75" x14ac:dyDescent="0.2">
      <c r="B8113" s="33" t="s">
        <v>9236</v>
      </c>
      <c r="C8113" s="33" t="s">
        <v>9237</v>
      </c>
      <c r="D8113" s="35">
        <f>SUMIFS(D8114:D9015,K8114:K9015,"0",B8114:B9015,"5 1 3 9 8*")-SUMIFS(E8114:E9015,K8114:K9015,"0",B8114:B9015,"5 1 3 9 8*")</f>
        <v>0</v>
      </c>
      <c r="E8113"/>
      <c r="F8113" s="35">
        <f>SUMIFS(F8114:F9015,K8114:K9015,"0",B8114:B9015,"5 1 3 9 8*")</f>
        <v>1589292.1699999995</v>
      </c>
      <c r="G8113" s="35">
        <f>SUMIFS(G8114:G9015,K8114:K9015,"0",B8114:B9015,"5 1 3 9 8*")</f>
        <v>0</v>
      </c>
      <c r="H8113" s="35">
        <f t="shared" si="127"/>
        <v>1589292.1699999995</v>
      </c>
      <c r="I8113" s="35"/>
      <c r="K8113" t="s">
        <v>15</v>
      </c>
    </row>
    <row r="8114" spans="2:11" ht="12.75" x14ac:dyDescent="0.2">
      <c r="B8114" s="33" t="s">
        <v>9238</v>
      </c>
      <c r="C8114" s="33" t="s">
        <v>26</v>
      </c>
      <c r="D8114" s="35">
        <f>SUMIFS(D8115:D9015,K8115:K9015,"0",B8115:B9015,"5 1 3 9 8 12*")-SUMIFS(E8115:E9015,K8115:K9015,"0",B8115:B9015,"5 1 3 9 8 12*")</f>
        <v>0</v>
      </c>
      <c r="E8114"/>
      <c r="F8114" s="35">
        <f>SUMIFS(F8115:F9015,K8115:K9015,"0",B8115:B9015,"5 1 3 9 8 12*")</f>
        <v>1589292.1699999995</v>
      </c>
      <c r="G8114" s="35">
        <f>SUMIFS(G8115:G9015,K8115:K9015,"0",B8115:B9015,"5 1 3 9 8 12*")</f>
        <v>0</v>
      </c>
      <c r="H8114" s="35">
        <f t="shared" si="127"/>
        <v>1589292.1699999995</v>
      </c>
      <c r="I8114" s="35"/>
      <c r="K8114" t="s">
        <v>15</v>
      </c>
    </row>
    <row r="8115" spans="2:11" ht="16.5" x14ac:dyDescent="0.2">
      <c r="B8115" s="33" t="s">
        <v>9239</v>
      </c>
      <c r="C8115" s="33" t="s">
        <v>28</v>
      </c>
      <c r="D8115" s="35">
        <f>SUMIFS(D8116:D9015,K8116:K9015,"0",B8116:B9015,"5 1 3 9 8 12 31111*")-SUMIFS(E8116:E9015,K8116:K9015,"0",B8116:B9015,"5 1 3 9 8 12 31111*")</f>
        <v>0</v>
      </c>
      <c r="E8115"/>
      <c r="F8115" s="35">
        <f>SUMIFS(F8116:F9015,K8116:K9015,"0",B8116:B9015,"5 1 3 9 8 12 31111*")</f>
        <v>1589292.1699999995</v>
      </c>
      <c r="G8115" s="35">
        <f>SUMIFS(G8116:G9015,K8116:K9015,"0",B8116:B9015,"5 1 3 9 8 12 31111*")</f>
        <v>0</v>
      </c>
      <c r="H8115" s="35">
        <f t="shared" si="127"/>
        <v>1589292.1699999995</v>
      </c>
      <c r="I8115" s="35"/>
      <c r="K8115" t="s">
        <v>15</v>
      </c>
    </row>
    <row r="8116" spans="2:11" ht="12.75" x14ac:dyDescent="0.2">
      <c r="B8116" s="33" t="s">
        <v>9240</v>
      </c>
      <c r="C8116" s="33" t="s">
        <v>30</v>
      </c>
      <c r="D8116" s="35">
        <f>SUMIFS(D8117:D9015,K8117:K9015,"0",B8117:B9015,"5 1 3 9 8 12 31111 6*")-SUMIFS(E8117:E9015,K8117:K9015,"0",B8117:B9015,"5 1 3 9 8 12 31111 6*")</f>
        <v>0</v>
      </c>
      <c r="E8116"/>
      <c r="F8116" s="35">
        <f>SUMIFS(F8117:F9015,K8117:K9015,"0",B8117:B9015,"5 1 3 9 8 12 31111 6*")</f>
        <v>1589292.1699999995</v>
      </c>
      <c r="G8116" s="35">
        <f>SUMIFS(G8117:G9015,K8117:K9015,"0",B8117:B9015,"5 1 3 9 8 12 31111 6*")</f>
        <v>0</v>
      </c>
      <c r="H8116" s="35">
        <f t="shared" si="127"/>
        <v>1589292.1699999995</v>
      </c>
      <c r="I8116" s="35"/>
      <c r="K8116" t="s">
        <v>15</v>
      </c>
    </row>
    <row r="8117" spans="2:11" ht="16.5" x14ac:dyDescent="0.2">
      <c r="B8117" s="33" t="s">
        <v>9241</v>
      </c>
      <c r="C8117" s="33" t="s">
        <v>2284</v>
      </c>
      <c r="D8117" s="35">
        <f>SUMIFS(D8118:D9015,K8118:K9015,"0",B8118:B9015,"5 1 3 9 8 12 31111 6 M59*")-SUMIFS(E8118:E9015,K8118:K9015,"0",B8118:B9015,"5 1 3 9 8 12 31111 6 M59*")</f>
        <v>0</v>
      </c>
      <c r="E8117"/>
      <c r="F8117" s="35">
        <f>SUMIFS(F8118:F9015,K8118:K9015,"0",B8118:B9015,"5 1 3 9 8 12 31111 6 M59*")</f>
        <v>1589292.1699999995</v>
      </c>
      <c r="G8117" s="35">
        <f>SUMIFS(G8118:G9015,K8118:K9015,"0",B8118:B9015,"5 1 3 9 8 12 31111 6 M59*")</f>
        <v>0</v>
      </c>
      <c r="H8117" s="35">
        <f t="shared" si="127"/>
        <v>1589292.1699999995</v>
      </c>
      <c r="I8117" s="35"/>
      <c r="K8117" t="s">
        <v>15</v>
      </c>
    </row>
    <row r="8118" spans="2:11" ht="16.5" x14ac:dyDescent="0.2">
      <c r="B8118" s="33" t="s">
        <v>9242</v>
      </c>
      <c r="C8118" s="33" t="s">
        <v>1243</v>
      </c>
      <c r="D8118" s="35">
        <f>SUMIFS(D8119:D9015,K8119:K9015,"0",B8119:B9015,"5 1 3 9 8 12 31111 6 M59 10000*")-SUMIFS(E8119:E9015,K8119:K9015,"0",B8119:B9015,"5 1 3 9 8 12 31111 6 M59 10000*")</f>
        <v>0</v>
      </c>
      <c r="E8118"/>
      <c r="F8118" s="35">
        <f>SUMIFS(F8119:F9015,K8119:K9015,"0",B8119:B9015,"5 1 3 9 8 12 31111 6 M59 10000*")</f>
        <v>21292.73</v>
      </c>
      <c r="G8118" s="35">
        <f>SUMIFS(G8119:G9015,K8119:K9015,"0",B8119:B9015,"5 1 3 9 8 12 31111 6 M59 10000*")</f>
        <v>0</v>
      </c>
      <c r="H8118" s="35">
        <f t="shared" si="127"/>
        <v>21292.73</v>
      </c>
      <c r="I8118" s="35"/>
      <c r="K8118" t="s">
        <v>15</v>
      </c>
    </row>
    <row r="8119" spans="2:11" ht="16.5" x14ac:dyDescent="0.2">
      <c r="B8119" s="33" t="s">
        <v>9243</v>
      </c>
      <c r="C8119" s="33" t="s">
        <v>648</v>
      </c>
      <c r="D8119" s="35">
        <f>SUMIFS(D8120:D9015,K8120:K9015,"0",B8120:B9015,"5 1 3 9 8 12 31111 6 M59 10000 000132*")-SUMIFS(E8120:E9015,K8120:K9015,"0",B8120:B9015,"5 1 3 9 8 12 31111 6 M59 10000 000132*")</f>
        <v>0</v>
      </c>
      <c r="E8119"/>
      <c r="F8119" s="35">
        <f>SUMIFS(F8120:F9015,K8120:K9015,"0",B8120:B9015,"5 1 3 9 8 12 31111 6 M59 10000 000132*")</f>
        <v>21292.73</v>
      </c>
      <c r="G8119" s="35">
        <f>SUMIFS(G8120:G9015,K8120:K9015,"0",B8120:B9015,"5 1 3 9 8 12 31111 6 M59 10000 000132*")</f>
        <v>0</v>
      </c>
      <c r="H8119" s="35">
        <f t="shared" si="127"/>
        <v>21292.73</v>
      </c>
      <c r="I8119" s="35"/>
      <c r="K8119" t="s">
        <v>15</v>
      </c>
    </row>
    <row r="8120" spans="2:11" ht="24.75" x14ac:dyDescent="0.2">
      <c r="B8120" s="33" t="s">
        <v>9244</v>
      </c>
      <c r="C8120" s="33" t="s">
        <v>650</v>
      </c>
      <c r="D8120" s="35">
        <f>SUMIFS(D8121:D9015,K8121:K9015,"0",B8121:B9015,"5 1 3 9 8 12 31111 6 M59 10000 000132 0000R*")-SUMIFS(E8121:E9015,K8121:K9015,"0",B8121:B9015,"5 1 3 9 8 12 31111 6 M59 10000 000132 0000R*")</f>
        <v>0</v>
      </c>
      <c r="E8120"/>
      <c r="F8120" s="35">
        <f>SUMIFS(F8121:F9015,K8121:K9015,"0",B8121:B9015,"5 1 3 9 8 12 31111 6 M59 10000 000132 0000R*")</f>
        <v>21292.73</v>
      </c>
      <c r="G8120" s="35">
        <f>SUMIFS(G8121:G9015,K8121:K9015,"0",B8121:B9015,"5 1 3 9 8 12 31111 6 M59 10000 000132 0000R*")</f>
        <v>0</v>
      </c>
      <c r="H8120" s="35">
        <f t="shared" si="127"/>
        <v>21292.73</v>
      </c>
      <c r="I8120" s="35"/>
      <c r="K8120" t="s">
        <v>15</v>
      </c>
    </row>
    <row r="8121" spans="2:11" ht="24.75" x14ac:dyDescent="0.2">
      <c r="B8121" s="33" t="s">
        <v>9245</v>
      </c>
      <c r="C8121" s="33" t="s">
        <v>282</v>
      </c>
      <c r="D8121" s="35">
        <f>SUMIFS(D8122:D9015,K8122:K9015,"0",B8122:B9015,"5 1 3 9 8 12 31111 6 M59 10000 000132 0000R 00001*")-SUMIFS(E8122:E9015,K8122:K9015,"0",B8122:B9015,"5 1 3 9 8 12 31111 6 M59 10000 000132 0000R 00001*")</f>
        <v>0</v>
      </c>
      <c r="E8121"/>
      <c r="F8121" s="35">
        <f>SUMIFS(F8122:F9015,K8122:K9015,"0",B8122:B9015,"5 1 3 9 8 12 31111 6 M59 10000 000132 0000R 00001*")</f>
        <v>21292.73</v>
      </c>
      <c r="G8121" s="35">
        <f>SUMIFS(G8122:G9015,K8122:K9015,"0",B8122:B9015,"5 1 3 9 8 12 31111 6 M59 10000 000132 0000R 00001*")</f>
        <v>0</v>
      </c>
      <c r="H8121" s="35">
        <f t="shared" si="127"/>
        <v>21292.73</v>
      </c>
      <c r="I8121" s="35"/>
      <c r="K8121" t="s">
        <v>15</v>
      </c>
    </row>
    <row r="8122" spans="2:11" ht="24.75" x14ac:dyDescent="0.2">
      <c r="B8122" s="33" t="s">
        <v>9246</v>
      </c>
      <c r="C8122" s="33" t="s">
        <v>9247</v>
      </c>
      <c r="D8122" s="35">
        <f>SUMIFS(D8123:D9015,K8123:K9015,"0",B8123:B9015,"5 1 3 9 8 12 31111 6 M59 10000 000132 0000R 00001 00398*")-SUMIFS(E8123:E9015,K8123:K9015,"0",B8123:B9015,"5 1 3 9 8 12 31111 6 M59 10000 000132 0000R 00001 00398*")</f>
        <v>0</v>
      </c>
      <c r="E8122"/>
      <c r="F8122" s="35">
        <f>SUMIFS(F8123:F9015,K8123:K9015,"0",B8123:B9015,"5 1 3 9 8 12 31111 6 M59 10000 000132 0000R 00001 00398*")</f>
        <v>21292.73</v>
      </c>
      <c r="G8122" s="35">
        <f>SUMIFS(G8123:G9015,K8123:K9015,"0",B8123:B9015,"5 1 3 9 8 12 31111 6 M59 10000 000132 0000R 00001 00398*")</f>
        <v>0</v>
      </c>
      <c r="H8122" s="35">
        <f t="shared" si="127"/>
        <v>21292.73</v>
      </c>
      <c r="I8122" s="35"/>
      <c r="K8122" t="s">
        <v>15</v>
      </c>
    </row>
    <row r="8123" spans="2:11" ht="33" x14ac:dyDescent="0.2">
      <c r="B8123" s="33" t="s">
        <v>9248</v>
      </c>
      <c r="C8123" s="33" t="s">
        <v>1051</v>
      </c>
      <c r="D8123" s="35">
        <f>SUMIFS(D8124:D9015,K8124:K9015,"0",B8124:B9015,"5 1 3 9 8 12 31111 6 M59 10000 000132 0000R 00001 00398 015*")-SUMIFS(E8124:E9015,K8124:K9015,"0",B8124:B9015,"5 1 3 9 8 12 31111 6 M59 10000 000132 0000R 00001 00398 015*")</f>
        <v>0</v>
      </c>
      <c r="E8123"/>
      <c r="F8123" s="35">
        <f>SUMIFS(F8124:F9015,K8124:K9015,"0",B8124:B9015,"5 1 3 9 8 12 31111 6 M59 10000 000132 0000R 00001 00398 015*")</f>
        <v>21292.73</v>
      </c>
      <c r="G8123" s="35">
        <f>SUMIFS(G8124:G9015,K8124:K9015,"0",B8124:B9015,"5 1 3 9 8 12 31111 6 M59 10000 000132 0000R 00001 00398 015*")</f>
        <v>0</v>
      </c>
      <c r="H8123" s="35">
        <f t="shared" si="127"/>
        <v>21292.73</v>
      </c>
      <c r="I8123" s="35"/>
      <c r="K8123" t="s">
        <v>15</v>
      </c>
    </row>
    <row r="8124" spans="2:11" ht="33" x14ac:dyDescent="0.2">
      <c r="B8124" s="33" t="s">
        <v>9249</v>
      </c>
      <c r="C8124" s="33" t="s">
        <v>2927</v>
      </c>
      <c r="D8124" s="35">
        <f>SUMIFS(D8125:D9015,K8125:K9015,"0",B8125:B9015,"5 1 3 9 8 12 31111 6 M59 10000 000132 0000R 00001 00398 015 2111100*")-SUMIFS(E8125:E9015,K8125:K9015,"0",B8125:B9015,"5 1 3 9 8 12 31111 6 M59 10000 000132 0000R 00001 00398 015 2111100*")</f>
        <v>0</v>
      </c>
      <c r="E8124"/>
      <c r="F8124" s="35">
        <f>SUMIFS(F8125:F9015,K8125:K9015,"0",B8125:B9015,"5 1 3 9 8 12 31111 6 M59 10000 000132 0000R 00001 00398 015 2111100*")</f>
        <v>21292.73</v>
      </c>
      <c r="G8124" s="35">
        <f>SUMIFS(G8125:G9015,K8125:K9015,"0",B8125:B9015,"5 1 3 9 8 12 31111 6 M59 10000 000132 0000R 00001 00398 015 2111100*")</f>
        <v>0</v>
      </c>
      <c r="H8124" s="35">
        <f t="shared" si="127"/>
        <v>21292.73</v>
      </c>
      <c r="I8124" s="35"/>
      <c r="K8124" t="s">
        <v>15</v>
      </c>
    </row>
    <row r="8125" spans="2:11" ht="33" x14ac:dyDescent="0.2">
      <c r="B8125" s="33" t="s">
        <v>9250</v>
      </c>
      <c r="C8125" s="33" t="s">
        <v>660</v>
      </c>
      <c r="D8125" s="35">
        <f>SUMIFS(D8126:D9015,K8126:K9015,"0",B8126:B9015,"5 1 3 9 8 12 31111 6 M59 10000 000132 0000R 00001 00398 015 2111100 2024*")-SUMIFS(E8126:E9015,K8126:K9015,"0",B8126:B9015,"5 1 3 9 8 12 31111 6 M59 10000 000132 0000R 00001 00398 015 2111100 2024*")</f>
        <v>0</v>
      </c>
      <c r="E8125"/>
      <c r="F8125" s="35">
        <f>SUMIFS(F8126:F9015,K8126:K9015,"0",B8126:B9015,"5 1 3 9 8 12 31111 6 M59 10000 000132 0000R 00001 00398 015 2111100 2024*")</f>
        <v>21292.73</v>
      </c>
      <c r="G8125" s="35">
        <f>SUMIFS(G8126:G9015,K8126:K9015,"0",B8126:B9015,"5 1 3 9 8 12 31111 6 M59 10000 000132 0000R 00001 00398 015 2111100 2024*")</f>
        <v>0</v>
      </c>
      <c r="H8125" s="35">
        <f t="shared" si="127"/>
        <v>21292.73</v>
      </c>
      <c r="I8125" s="35"/>
      <c r="K8125" t="s">
        <v>15</v>
      </c>
    </row>
    <row r="8126" spans="2:11" ht="41.25" x14ac:dyDescent="0.2">
      <c r="B8126" s="33" t="s">
        <v>9251</v>
      </c>
      <c r="C8126" s="33" t="s">
        <v>662</v>
      </c>
      <c r="D8126" s="35">
        <f>SUMIFS(D8127:D9015,K8127:K9015,"0",B8127:B9015,"5 1 3 9 8 12 31111 6 M59 10000 000132 0000R 00001 00398 015 2111100 2024 CP1PM439*")-SUMIFS(E8127:E9015,K8127:K9015,"0",B8127:B9015,"5 1 3 9 8 12 31111 6 M59 10000 000132 0000R 00001 00398 015 2111100 2024 CP1PM439*")</f>
        <v>0</v>
      </c>
      <c r="E8126"/>
      <c r="F8126" s="35">
        <f>SUMIFS(F8127:F9015,K8127:K9015,"0",B8127:B9015,"5 1 3 9 8 12 31111 6 M59 10000 000132 0000R 00001 00398 015 2111100 2024 CP1PM439*")</f>
        <v>21292.73</v>
      </c>
      <c r="G8126" s="35">
        <f>SUMIFS(G8127:G9015,K8127:K9015,"0",B8127:B9015,"5 1 3 9 8 12 31111 6 M59 10000 000132 0000R 00001 00398 015 2111100 2024 CP1PM439*")</f>
        <v>0</v>
      </c>
      <c r="H8126" s="35">
        <f t="shared" si="127"/>
        <v>21292.73</v>
      </c>
      <c r="I8126" s="35"/>
      <c r="K8126" t="s">
        <v>15</v>
      </c>
    </row>
    <row r="8127" spans="2:11" ht="41.25" x14ac:dyDescent="0.2">
      <c r="B8127" s="33" t="s">
        <v>9252</v>
      </c>
      <c r="C8127" s="33" t="s">
        <v>282</v>
      </c>
      <c r="D8127" s="35">
        <f>SUMIFS(D8128:D9015,K8128:K9015,"0",B8128:B9015,"5 1 3 9 8 12 31111 6 M59 10000 000132 0000R 00001 00398 015 2111100 2024 CP1PM439 001*")-SUMIFS(E8128:E9015,K8128:K9015,"0",B8128:B9015,"5 1 3 9 8 12 31111 6 M59 10000 000132 0000R 00001 00398 015 2111100 2024 CP1PM439 001*")</f>
        <v>0</v>
      </c>
      <c r="E8127"/>
      <c r="F8127" s="35">
        <f>SUMIFS(F8128:F9015,K8128:K9015,"0",B8128:B9015,"5 1 3 9 8 12 31111 6 M59 10000 000132 0000R 00001 00398 015 2111100 2024 CP1PM439 001*")</f>
        <v>21292.73</v>
      </c>
      <c r="G8127" s="35">
        <f>SUMIFS(G8128:G9015,K8128:K9015,"0",B8128:B9015,"5 1 3 9 8 12 31111 6 M59 10000 000132 0000R 00001 00398 015 2111100 2024 CP1PM439 001*")</f>
        <v>0</v>
      </c>
      <c r="H8127" s="35">
        <f t="shared" si="127"/>
        <v>21292.73</v>
      </c>
      <c r="I8127" s="35"/>
      <c r="K8127" t="s">
        <v>15</v>
      </c>
    </row>
    <row r="8128" spans="2:11" ht="33" x14ac:dyDescent="0.2">
      <c r="B8128" s="31" t="s">
        <v>9253</v>
      </c>
      <c r="C8128" s="31" t="s">
        <v>9254</v>
      </c>
      <c r="D8128" s="34">
        <v>0</v>
      </c>
      <c r="E8128" s="34"/>
      <c r="F8128" s="34">
        <v>21292.73</v>
      </c>
      <c r="G8128" s="34">
        <v>0</v>
      </c>
      <c r="H8128" s="34">
        <f t="shared" si="127"/>
        <v>21292.73</v>
      </c>
      <c r="I8128" s="34"/>
      <c r="K8128" t="s">
        <v>38</v>
      </c>
    </row>
    <row r="8129" spans="2:11" ht="16.5" x14ac:dyDescent="0.2">
      <c r="B8129" s="33" t="s">
        <v>9255</v>
      </c>
      <c r="C8129" s="33" t="s">
        <v>2934</v>
      </c>
      <c r="D8129" s="35">
        <f>SUMIFS(D8130:D9015,K8130:K9015,"0",B8130:B9015,"5 1 3 9 8 12 31111 6 M59 10100*")-SUMIFS(E8130:E9015,K8130:K9015,"0",B8130:B9015,"5 1 3 9 8 12 31111 6 M59 10100*")</f>
        <v>0</v>
      </c>
      <c r="E8129"/>
      <c r="F8129" s="35">
        <f>SUMIFS(F8130:F9015,K8130:K9015,"0",B8130:B9015,"5 1 3 9 8 12 31111 6 M59 10100*")</f>
        <v>21013.8</v>
      </c>
      <c r="G8129" s="35">
        <f>SUMIFS(G8130:G9015,K8130:K9015,"0",B8130:B9015,"5 1 3 9 8 12 31111 6 M59 10100*")</f>
        <v>0</v>
      </c>
      <c r="H8129" s="35">
        <f t="shared" si="127"/>
        <v>21013.8</v>
      </c>
      <c r="I8129" s="35"/>
      <c r="K8129" t="s">
        <v>15</v>
      </c>
    </row>
    <row r="8130" spans="2:11" ht="16.5" x14ac:dyDescent="0.2">
      <c r="B8130" s="33" t="s">
        <v>9256</v>
      </c>
      <c r="C8130" s="33" t="s">
        <v>648</v>
      </c>
      <c r="D8130" s="35">
        <f>SUMIFS(D8131:D9015,K8131:K9015,"0",B8131:B9015,"5 1 3 9 8 12 31111 6 M59 10100 000132*")-SUMIFS(E8131:E9015,K8131:K9015,"0",B8131:B9015,"5 1 3 9 8 12 31111 6 M59 10100 000132*")</f>
        <v>0</v>
      </c>
      <c r="E8130"/>
      <c r="F8130" s="35">
        <f>SUMIFS(F8131:F9015,K8131:K9015,"0",B8131:B9015,"5 1 3 9 8 12 31111 6 M59 10100 000132*")</f>
        <v>21013.8</v>
      </c>
      <c r="G8130" s="35">
        <f>SUMIFS(G8131:G9015,K8131:K9015,"0",B8131:B9015,"5 1 3 9 8 12 31111 6 M59 10100 000132*")</f>
        <v>0</v>
      </c>
      <c r="H8130" s="35">
        <f t="shared" si="127"/>
        <v>21013.8</v>
      </c>
      <c r="I8130" s="35"/>
      <c r="K8130" t="s">
        <v>15</v>
      </c>
    </row>
    <row r="8131" spans="2:11" ht="24.75" x14ac:dyDescent="0.2">
      <c r="B8131" s="33" t="s">
        <v>9257</v>
      </c>
      <c r="C8131" s="33" t="s">
        <v>650</v>
      </c>
      <c r="D8131" s="35">
        <f>SUMIFS(D8132:D9015,K8132:K9015,"0",B8132:B9015,"5 1 3 9 8 12 31111 6 M59 10100 000132 0000R*")-SUMIFS(E8132:E9015,K8132:K9015,"0",B8132:B9015,"5 1 3 9 8 12 31111 6 M59 10100 000132 0000R*")</f>
        <v>0</v>
      </c>
      <c r="E8131"/>
      <c r="F8131" s="35">
        <f>SUMIFS(F8132:F9015,K8132:K9015,"0",B8132:B9015,"5 1 3 9 8 12 31111 6 M59 10100 000132 0000R*")</f>
        <v>21013.8</v>
      </c>
      <c r="G8131" s="35">
        <f>SUMIFS(G8132:G9015,K8132:K9015,"0",B8132:B9015,"5 1 3 9 8 12 31111 6 M59 10100 000132 0000R*")</f>
        <v>0</v>
      </c>
      <c r="H8131" s="35">
        <f t="shared" si="127"/>
        <v>21013.8</v>
      </c>
      <c r="I8131" s="35"/>
      <c r="K8131" t="s">
        <v>15</v>
      </c>
    </row>
    <row r="8132" spans="2:11" ht="24.75" x14ac:dyDescent="0.2">
      <c r="B8132" s="33" t="s">
        <v>9258</v>
      </c>
      <c r="C8132" s="33" t="s">
        <v>282</v>
      </c>
      <c r="D8132" s="35">
        <f>SUMIFS(D8133:D9015,K8133:K9015,"0",B8133:B9015,"5 1 3 9 8 12 31111 6 M59 10100 000132 0000R 00001*")-SUMIFS(E8133:E9015,K8133:K9015,"0",B8133:B9015,"5 1 3 9 8 12 31111 6 M59 10100 000132 0000R 00001*")</f>
        <v>0</v>
      </c>
      <c r="E8132"/>
      <c r="F8132" s="35">
        <f>SUMIFS(F8133:F9015,K8133:K9015,"0",B8133:B9015,"5 1 3 9 8 12 31111 6 M59 10100 000132 0000R 00001*")</f>
        <v>21013.8</v>
      </c>
      <c r="G8132" s="35">
        <f>SUMIFS(G8133:G9015,K8133:K9015,"0",B8133:B9015,"5 1 3 9 8 12 31111 6 M59 10100 000132 0000R 00001*")</f>
        <v>0</v>
      </c>
      <c r="H8132" s="35">
        <f t="shared" ref="H8132:H8195" si="128">D8132 + F8132 - G8132</f>
        <v>21013.8</v>
      </c>
      <c r="I8132" s="35"/>
      <c r="K8132" t="s">
        <v>15</v>
      </c>
    </row>
    <row r="8133" spans="2:11" ht="24.75" x14ac:dyDescent="0.2">
      <c r="B8133" s="33" t="s">
        <v>9259</v>
      </c>
      <c r="C8133" s="33" t="s">
        <v>9247</v>
      </c>
      <c r="D8133" s="35">
        <f>SUMIFS(D8134:D9015,K8134:K9015,"0",B8134:B9015,"5 1 3 9 8 12 31111 6 M59 10100 000132 0000R 00001 00398*")-SUMIFS(E8134:E9015,K8134:K9015,"0",B8134:B9015,"5 1 3 9 8 12 31111 6 M59 10100 000132 0000R 00001 00398*")</f>
        <v>0</v>
      </c>
      <c r="E8133"/>
      <c r="F8133" s="35">
        <f>SUMIFS(F8134:F9015,K8134:K9015,"0",B8134:B9015,"5 1 3 9 8 12 31111 6 M59 10100 000132 0000R 00001 00398*")</f>
        <v>21013.8</v>
      </c>
      <c r="G8133" s="35">
        <f>SUMIFS(G8134:G9015,K8134:K9015,"0",B8134:B9015,"5 1 3 9 8 12 31111 6 M59 10100 000132 0000R 00001 00398*")</f>
        <v>0</v>
      </c>
      <c r="H8133" s="35">
        <f t="shared" si="128"/>
        <v>21013.8</v>
      </c>
      <c r="I8133" s="35"/>
      <c r="K8133" t="s">
        <v>15</v>
      </c>
    </row>
    <row r="8134" spans="2:11" ht="33" x14ac:dyDescent="0.2">
      <c r="B8134" s="33" t="s">
        <v>9260</v>
      </c>
      <c r="C8134" s="33" t="s">
        <v>1051</v>
      </c>
      <c r="D8134" s="35">
        <f>SUMIFS(D8135:D9015,K8135:K9015,"0",B8135:B9015,"5 1 3 9 8 12 31111 6 M59 10100 000132 0000R 00001 00398 015*")-SUMIFS(E8135:E9015,K8135:K9015,"0",B8135:B9015,"5 1 3 9 8 12 31111 6 M59 10100 000132 0000R 00001 00398 015*")</f>
        <v>0</v>
      </c>
      <c r="E8134"/>
      <c r="F8134" s="35">
        <f>SUMIFS(F8135:F9015,K8135:K9015,"0",B8135:B9015,"5 1 3 9 8 12 31111 6 M59 10100 000132 0000R 00001 00398 015*")</f>
        <v>21013.8</v>
      </c>
      <c r="G8134" s="35">
        <f>SUMIFS(G8135:G9015,K8135:K9015,"0",B8135:B9015,"5 1 3 9 8 12 31111 6 M59 10100 000132 0000R 00001 00398 015*")</f>
        <v>0</v>
      </c>
      <c r="H8134" s="35">
        <f t="shared" si="128"/>
        <v>21013.8</v>
      </c>
      <c r="I8134" s="35"/>
      <c r="K8134" t="s">
        <v>15</v>
      </c>
    </row>
    <row r="8135" spans="2:11" ht="33" x14ac:dyDescent="0.2">
      <c r="B8135" s="33" t="s">
        <v>9261</v>
      </c>
      <c r="C8135" s="33" t="s">
        <v>8550</v>
      </c>
      <c r="D8135" s="35">
        <f>SUMIFS(D8136:D9015,K8136:K9015,"0",B8136:B9015,"5 1 3 9 8 12 31111 6 M59 10100 000132 0000R 00001 00398 015 2111300*")-SUMIFS(E8136:E9015,K8136:K9015,"0",B8136:B9015,"5 1 3 9 8 12 31111 6 M59 10100 000132 0000R 00001 00398 015 2111300*")</f>
        <v>0</v>
      </c>
      <c r="E8135"/>
      <c r="F8135" s="35">
        <f>SUMIFS(F8136:F9015,K8136:K9015,"0",B8136:B9015,"5 1 3 9 8 12 31111 6 M59 10100 000132 0000R 00001 00398 015 2111300*")</f>
        <v>21013.8</v>
      </c>
      <c r="G8135" s="35">
        <f>SUMIFS(G8136:G9015,K8136:K9015,"0",B8136:B9015,"5 1 3 9 8 12 31111 6 M59 10100 000132 0000R 00001 00398 015 2111300*")</f>
        <v>0</v>
      </c>
      <c r="H8135" s="35">
        <f t="shared" si="128"/>
        <v>21013.8</v>
      </c>
      <c r="I8135" s="35"/>
      <c r="K8135" t="s">
        <v>15</v>
      </c>
    </row>
    <row r="8136" spans="2:11" ht="33" x14ac:dyDescent="0.2">
      <c r="B8136" s="33" t="s">
        <v>9262</v>
      </c>
      <c r="C8136" s="33" t="s">
        <v>660</v>
      </c>
      <c r="D8136" s="35">
        <f>SUMIFS(D8137:D9015,K8137:K9015,"0",B8137:B9015,"5 1 3 9 8 12 31111 6 M59 10100 000132 0000R 00001 00398 015 2111300 2024*")-SUMIFS(E8137:E9015,K8137:K9015,"0",B8137:B9015,"5 1 3 9 8 12 31111 6 M59 10100 000132 0000R 00001 00398 015 2111300 2024*")</f>
        <v>0</v>
      </c>
      <c r="E8136"/>
      <c r="F8136" s="35">
        <f>SUMIFS(F8137:F9015,K8137:K9015,"0",B8137:B9015,"5 1 3 9 8 12 31111 6 M59 10100 000132 0000R 00001 00398 015 2111300 2024*")</f>
        <v>21013.8</v>
      </c>
      <c r="G8136" s="35">
        <f>SUMIFS(G8137:G9015,K8137:K9015,"0",B8137:B9015,"5 1 3 9 8 12 31111 6 M59 10100 000132 0000R 00001 00398 015 2111300 2024*")</f>
        <v>0</v>
      </c>
      <c r="H8136" s="35">
        <f t="shared" si="128"/>
        <v>21013.8</v>
      </c>
      <c r="I8136" s="35"/>
      <c r="K8136" t="s">
        <v>15</v>
      </c>
    </row>
    <row r="8137" spans="2:11" ht="41.25" x14ac:dyDescent="0.2">
      <c r="B8137" s="33" t="s">
        <v>9263</v>
      </c>
      <c r="C8137" s="33" t="s">
        <v>1056</v>
      </c>
      <c r="D8137" s="35">
        <f>SUMIFS(D8138:D9015,K8138:K9015,"0",B8138:B9015,"5 1 3 9 8 12 31111 6 M59 10100 000132 0000R 00001 00398 015 2111300 2024 CP1CO438*")-SUMIFS(E8138:E9015,K8138:K9015,"0",B8138:B9015,"5 1 3 9 8 12 31111 6 M59 10100 000132 0000R 00001 00398 015 2111300 2024 CP1CO438*")</f>
        <v>0</v>
      </c>
      <c r="E8137"/>
      <c r="F8137" s="35">
        <f>SUMIFS(F8138:F9015,K8138:K9015,"0",B8138:B9015,"5 1 3 9 8 12 31111 6 M59 10100 000132 0000R 00001 00398 015 2111300 2024 CP1CO438*")</f>
        <v>21013.8</v>
      </c>
      <c r="G8137" s="35">
        <f>SUMIFS(G8138:G9015,K8138:K9015,"0",B8138:B9015,"5 1 3 9 8 12 31111 6 M59 10100 000132 0000R 00001 00398 015 2111300 2024 CP1CO438*")</f>
        <v>0</v>
      </c>
      <c r="H8137" s="35">
        <f t="shared" si="128"/>
        <v>21013.8</v>
      </c>
      <c r="I8137" s="35"/>
      <c r="K8137" t="s">
        <v>15</v>
      </c>
    </row>
    <row r="8138" spans="2:11" ht="41.25" x14ac:dyDescent="0.2">
      <c r="B8138" s="33" t="s">
        <v>9264</v>
      </c>
      <c r="C8138" s="33" t="s">
        <v>282</v>
      </c>
      <c r="D8138" s="35">
        <f>SUMIFS(D8139:D9015,K8139:K9015,"0",B8139:B9015,"5 1 3 9 8 12 31111 6 M59 10100 000132 0000R 00001 00398 015 2111300 2024 CP1CO438 001*")-SUMIFS(E8139:E9015,K8139:K9015,"0",B8139:B9015,"5 1 3 9 8 12 31111 6 M59 10100 000132 0000R 00001 00398 015 2111300 2024 CP1CO438 001*")</f>
        <v>0</v>
      </c>
      <c r="E8138"/>
      <c r="F8138" s="35">
        <f>SUMIFS(F8139:F9015,K8139:K9015,"0",B8139:B9015,"5 1 3 9 8 12 31111 6 M59 10100 000132 0000R 00001 00398 015 2111300 2024 CP1CO438 001*")</f>
        <v>21013.8</v>
      </c>
      <c r="G8138" s="35">
        <f>SUMIFS(G8139:G9015,K8139:K9015,"0",B8139:B9015,"5 1 3 9 8 12 31111 6 M59 10100 000132 0000R 00001 00398 015 2111300 2024 CP1CO438 001*")</f>
        <v>0</v>
      </c>
      <c r="H8138" s="35">
        <f t="shared" si="128"/>
        <v>21013.8</v>
      </c>
      <c r="I8138" s="35"/>
      <c r="K8138" t="s">
        <v>15</v>
      </c>
    </row>
    <row r="8139" spans="2:11" ht="33" x14ac:dyDescent="0.2">
      <c r="B8139" s="31" t="s">
        <v>9265</v>
      </c>
      <c r="C8139" s="31" t="s">
        <v>9254</v>
      </c>
      <c r="D8139" s="34">
        <v>0</v>
      </c>
      <c r="E8139" s="34"/>
      <c r="F8139" s="34">
        <v>21013.8</v>
      </c>
      <c r="G8139" s="34">
        <v>0</v>
      </c>
      <c r="H8139" s="34">
        <f t="shared" si="128"/>
        <v>21013.8</v>
      </c>
      <c r="I8139" s="34"/>
      <c r="K8139" t="s">
        <v>38</v>
      </c>
    </row>
    <row r="8140" spans="2:11" ht="16.5" x14ac:dyDescent="0.2">
      <c r="B8140" s="33" t="s">
        <v>9266</v>
      </c>
      <c r="C8140" s="33" t="s">
        <v>2946</v>
      </c>
      <c r="D8140" s="35">
        <f>SUMIFS(D8141:D9015,K8141:K9015,"0",B8141:B9015,"5 1 3 9 8 12 31111 6 M59 10300*")-SUMIFS(E8141:E9015,K8141:K9015,"0",B8141:B9015,"5 1 3 9 8 12 31111 6 M59 10300*")</f>
        <v>0</v>
      </c>
      <c r="E8140"/>
      <c r="F8140" s="35">
        <f>SUMIFS(F8141:F9015,K8141:K9015,"0",B8141:B9015,"5 1 3 9 8 12 31111 6 M59 10300*")</f>
        <v>16447.060000000001</v>
      </c>
      <c r="G8140" s="35">
        <f>SUMIFS(G8141:G9015,K8141:K9015,"0",B8141:B9015,"5 1 3 9 8 12 31111 6 M59 10300*")</f>
        <v>0</v>
      </c>
      <c r="H8140" s="35">
        <f t="shared" si="128"/>
        <v>16447.060000000001</v>
      </c>
      <c r="I8140" s="35"/>
      <c r="K8140" t="s">
        <v>15</v>
      </c>
    </row>
    <row r="8141" spans="2:11" ht="16.5" x14ac:dyDescent="0.2">
      <c r="B8141" s="33" t="s">
        <v>9267</v>
      </c>
      <c r="C8141" s="33" t="s">
        <v>648</v>
      </c>
      <c r="D8141" s="35">
        <f>SUMIFS(D8142:D9015,K8142:K9015,"0",B8142:B9015,"5 1 3 9 8 12 31111 6 M59 10300 000132*")-SUMIFS(E8142:E9015,K8142:K9015,"0",B8142:B9015,"5 1 3 9 8 12 31111 6 M59 10300 000132*")</f>
        <v>0</v>
      </c>
      <c r="E8141"/>
      <c r="F8141" s="35">
        <f>SUMIFS(F8142:F9015,K8142:K9015,"0",B8142:B9015,"5 1 3 9 8 12 31111 6 M59 10300 000132*")</f>
        <v>16447.060000000001</v>
      </c>
      <c r="G8141" s="35">
        <f>SUMIFS(G8142:G9015,K8142:K9015,"0",B8142:B9015,"5 1 3 9 8 12 31111 6 M59 10300 000132*")</f>
        <v>0</v>
      </c>
      <c r="H8141" s="35">
        <f t="shared" si="128"/>
        <v>16447.060000000001</v>
      </c>
      <c r="I8141" s="35"/>
      <c r="K8141" t="s">
        <v>15</v>
      </c>
    </row>
    <row r="8142" spans="2:11" ht="24.75" x14ac:dyDescent="0.2">
      <c r="B8142" s="33" t="s">
        <v>9268</v>
      </c>
      <c r="C8142" s="33" t="s">
        <v>650</v>
      </c>
      <c r="D8142" s="35">
        <f>SUMIFS(D8143:D9015,K8143:K9015,"0",B8143:B9015,"5 1 3 9 8 12 31111 6 M59 10300 000132 0000R*")-SUMIFS(E8143:E9015,K8143:K9015,"0",B8143:B9015,"5 1 3 9 8 12 31111 6 M59 10300 000132 0000R*")</f>
        <v>0</v>
      </c>
      <c r="E8142"/>
      <c r="F8142" s="35">
        <f>SUMIFS(F8143:F9015,K8143:K9015,"0",B8143:B9015,"5 1 3 9 8 12 31111 6 M59 10300 000132 0000R*")</f>
        <v>16447.060000000001</v>
      </c>
      <c r="G8142" s="35">
        <f>SUMIFS(G8143:G9015,K8143:K9015,"0",B8143:B9015,"5 1 3 9 8 12 31111 6 M59 10300 000132 0000R*")</f>
        <v>0</v>
      </c>
      <c r="H8142" s="35">
        <f t="shared" si="128"/>
        <v>16447.060000000001</v>
      </c>
      <c r="I8142" s="35"/>
      <c r="K8142" t="s">
        <v>15</v>
      </c>
    </row>
    <row r="8143" spans="2:11" ht="24.75" x14ac:dyDescent="0.2">
      <c r="B8143" s="33" t="s">
        <v>9269</v>
      </c>
      <c r="C8143" s="33" t="s">
        <v>282</v>
      </c>
      <c r="D8143" s="35">
        <f>SUMIFS(D8144:D9015,K8144:K9015,"0",B8144:B9015,"5 1 3 9 8 12 31111 6 M59 10300 000132 0000R 00001*")-SUMIFS(E8144:E9015,K8144:K9015,"0",B8144:B9015,"5 1 3 9 8 12 31111 6 M59 10300 000132 0000R 00001*")</f>
        <v>0</v>
      </c>
      <c r="E8143"/>
      <c r="F8143" s="35">
        <f>SUMIFS(F8144:F9015,K8144:K9015,"0",B8144:B9015,"5 1 3 9 8 12 31111 6 M59 10300 000132 0000R 00001*")</f>
        <v>16447.060000000001</v>
      </c>
      <c r="G8143" s="35">
        <f>SUMIFS(G8144:G9015,K8144:K9015,"0",B8144:B9015,"5 1 3 9 8 12 31111 6 M59 10300 000132 0000R 00001*")</f>
        <v>0</v>
      </c>
      <c r="H8143" s="35">
        <f t="shared" si="128"/>
        <v>16447.060000000001</v>
      </c>
      <c r="I8143" s="35"/>
      <c r="K8143" t="s">
        <v>15</v>
      </c>
    </row>
    <row r="8144" spans="2:11" ht="24.75" x14ac:dyDescent="0.2">
      <c r="B8144" s="33" t="s">
        <v>9270</v>
      </c>
      <c r="C8144" s="33" t="s">
        <v>9247</v>
      </c>
      <c r="D8144" s="35">
        <f>SUMIFS(D8145:D9015,K8145:K9015,"0",B8145:B9015,"5 1 3 9 8 12 31111 6 M59 10300 000132 0000R 00001 00398*")-SUMIFS(E8145:E9015,K8145:K9015,"0",B8145:B9015,"5 1 3 9 8 12 31111 6 M59 10300 000132 0000R 00001 00398*")</f>
        <v>0</v>
      </c>
      <c r="E8144"/>
      <c r="F8144" s="35">
        <f>SUMIFS(F8145:F9015,K8145:K9015,"0",B8145:B9015,"5 1 3 9 8 12 31111 6 M59 10300 000132 0000R 00001 00398*")</f>
        <v>16447.060000000001</v>
      </c>
      <c r="G8144" s="35">
        <f>SUMIFS(G8145:G9015,K8145:K9015,"0",B8145:B9015,"5 1 3 9 8 12 31111 6 M59 10300 000132 0000R 00001 00398*")</f>
        <v>0</v>
      </c>
      <c r="H8144" s="35">
        <f t="shared" si="128"/>
        <v>16447.060000000001</v>
      </c>
      <c r="I8144" s="35"/>
      <c r="K8144" t="s">
        <v>15</v>
      </c>
    </row>
    <row r="8145" spans="2:11" ht="33" x14ac:dyDescent="0.2">
      <c r="B8145" s="33" t="s">
        <v>9271</v>
      </c>
      <c r="C8145" s="33" t="s">
        <v>1051</v>
      </c>
      <c r="D8145" s="35">
        <f>SUMIFS(D8146:D9015,K8146:K9015,"0",B8146:B9015,"5 1 3 9 8 12 31111 6 M59 10300 000132 0000R 00001 00398 015*")-SUMIFS(E8146:E9015,K8146:K9015,"0",B8146:B9015,"5 1 3 9 8 12 31111 6 M59 10300 000132 0000R 00001 00398 015*")</f>
        <v>0</v>
      </c>
      <c r="E8145"/>
      <c r="F8145" s="35">
        <f>SUMIFS(F8146:F9015,K8146:K9015,"0",B8146:B9015,"5 1 3 9 8 12 31111 6 M59 10300 000132 0000R 00001 00398 015*")</f>
        <v>16447.060000000001</v>
      </c>
      <c r="G8145" s="35">
        <f>SUMIFS(G8146:G9015,K8146:K9015,"0",B8146:B9015,"5 1 3 9 8 12 31111 6 M59 10300 000132 0000R 00001 00398 015*")</f>
        <v>0</v>
      </c>
      <c r="H8145" s="35">
        <f t="shared" si="128"/>
        <v>16447.060000000001</v>
      </c>
      <c r="I8145" s="35"/>
      <c r="K8145" t="s">
        <v>15</v>
      </c>
    </row>
    <row r="8146" spans="2:11" ht="33" x14ac:dyDescent="0.2">
      <c r="B8146" s="33" t="s">
        <v>9272</v>
      </c>
      <c r="C8146" s="33" t="s">
        <v>8550</v>
      </c>
      <c r="D8146" s="35">
        <f>SUMIFS(D8147:D9015,K8147:K9015,"0",B8147:B9015,"5 1 3 9 8 12 31111 6 M59 10300 000132 0000R 00001 00398 015 2111300*")-SUMIFS(E8147:E9015,K8147:K9015,"0",B8147:B9015,"5 1 3 9 8 12 31111 6 M59 10300 000132 0000R 00001 00398 015 2111300*")</f>
        <v>0</v>
      </c>
      <c r="E8146"/>
      <c r="F8146" s="35">
        <f>SUMIFS(F8147:F9015,K8147:K9015,"0",B8147:B9015,"5 1 3 9 8 12 31111 6 M59 10300 000132 0000R 00001 00398 015 2111300*")</f>
        <v>16447.060000000001</v>
      </c>
      <c r="G8146" s="35">
        <f>SUMIFS(G8147:G9015,K8147:K9015,"0",B8147:B9015,"5 1 3 9 8 12 31111 6 M59 10300 000132 0000R 00001 00398 015 2111300*")</f>
        <v>0</v>
      </c>
      <c r="H8146" s="35">
        <f t="shared" si="128"/>
        <v>16447.060000000001</v>
      </c>
      <c r="I8146" s="35"/>
      <c r="K8146" t="s">
        <v>15</v>
      </c>
    </row>
    <row r="8147" spans="2:11" ht="33" x14ac:dyDescent="0.2">
      <c r="B8147" s="33" t="s">
        <v>9273</v>
      </c>
      <c r="C8147" s="33" t="s">
        <v>660</v>
      </c>
      <c r="D8147" s="35">
        <f>SUMIFS(D8148:D9015,K8148:K9015,"0",B8148:B9015,"5 1 3 9 8 12 31111 6 M59 10300 000132 0000R 00001 00398 015 2111300 2024*")-SUMIFS(E8148:E9015,K8148:K9015,"0",B8148:B9015,"5 1 3 9 8 12 31111 6 M59 10300 000132 0000R 00001 00398 015 2111300 2024*")</f>
        <v>0</v>
      </c>
      <c r="E8147"/>
      <c r="F8147" s="35">
        <f>SUMIFS(F8148:F9015,K8148:K9015,"0",B8148:B9015,"5 1 3 9 8 12 31111 6 M59 10300 000132 0000R 00001 00398 015 2111300 2024*")</f>
        <v>16447.060000000001</v>
      </c>
      <c r="G8147" s="35">
        <f>SUMIFS(G8148:G9015,K8148:K9015,"0",B8148:B9015,"5 1 3 9 8 12 31111 6 M59 10300 000132 0000R 00001 00398 015 2111300 2024*")</f>
        <v>0</v>
      </c>
      <c r="H8147" s="35">
        <f t="shared" si="128"/>
        <v>16447.060000000001</v>
      </c>
      <c r="I8147" s="35"/>
      <c r="K8147" t="s">
        <v>15</v>
      </c>
    </row>
    <row r="8148" spans="2:11" ht="41.25" x14ac:dyDescent="0.2">
      <c r="B8148" s="33" t="s">
        <v>9274</v>
      </c>
      <c r="C8148" s="33" t="s">
        <v>2955</v>
      </c>
      <c r="D8148" s="35">
        <f>SUMIFS(D8149:D9015,K8149:K9015,"0",B8149:B9015,"5 1 3 9 8 12 31111 6 M59 10300 000132 0000R 00001 00398 015 2111300 2024 CP1GE413*")-SUMIFS(E8149:E9015,K8149:K9015,"0",B8149:B9015,"5 1 3 9 8 12 31111 6 M59 10300 000132 0000R 00001 00398 015 2111300 2024 CP1GE413*")</f>
        <v>0</v>
      </c>
      <c r="E8148"/>
      <c r="F8148" s="35">
        <f>SUMIFS(F8149:F9015,K8149:K9015,"0",B8149:B9015,"5 1 3 9 8 12 31111 6 M59 10300 000132 0000R 00001 00398 015 2111300 2024 CP1GE413*")</f>
        <v>16447.060000000001</v>
      </c>
      <c r="G8148" s="35">
        <f>SUMIFS(G8149:G9015,K8149:K9015,"0",B8149:B9015,"5 1 3 9 8 12 31111 6 M59 10300 000132 0000R 00001 00398 015 2111300 2024 CP1GE413*")</f>
        <v>0</v>
      </c>
      <c r="H8148" s="35">
        <f t="shared" si="128"/>
        <v>16447.060000000001</v>
      </c>
      <c r="I8148" s="35"/>
      <c r="K8148" t="s">
        <v>15</v>
      </c>
    </row>
    <row r="8149" spans="2:11" ht="41.25" x14ac:dyDescent="0.2">
      <c r="B8149" s="33" t="s">
        <v>9275</v>
      </c>
      <c r="C8149" s="33" t="s">
        <v>282</v>
      </c>
      <c r="D8149" s="35">
        <f>SUMIFS(D8150:D9015,K8150:K9015,"0",B8150:B9015,"5 1 3 9 8 12 31111 6 M59 10300 000132 0000R 00001 00398 015 2111300 2024 CP1GE413 001*")-SUMIFS(E8150:E9015,K8150:K9015,"0",B8150:B9015,"5 1 3 9 8 12 31111 6 M59 10300 000132 0000R 00001 00398 015 2111300 2024 CP1GE413 001*")</f>
        <v>0</v>
      </c>
      <c r="E8149"/>
      <c r="F8149" s="35">
        <f>SUMIFS(F8150:F9015,K8150:K9015,"0",B8150:B9015,"5 1 3 9 8 12 31111 6 M59 10300 000132 0000R 00001 00398 015 2111300 2024 CP1GE413 001*")</f>
        <v>16447.060000000001</v>
      </c>
      <c r="G8149" s="35">
        <f>SUMIFS(G8150:G9015,K8150:K9015,"0",B8150:B9015,"5 1 3 9 8 12 31111 6 M59 10300 000132 0000R 00001 00398 015 2111300 2024 CP1GE413 001*")</f>
        <v>0</v>
      </c>
      <c r="H8149" s="35">
        <f t="shared" si="128"/>
        <v>16447.060000000001</v>
      </c>
      <c r="I8149" s="35"/>
      <c r="K8149" t="s">
        <v>15</v>
      </c>
    </row>
    <row r="8150" spans="2:11" ht="33" x14ac:dyDescent="0.2">
      <c r="B8150" s="31" t="s">
        <v>9276</v>
      </c>
      <c r="C8150" s="31" t="s">
        <v>9254</v>
      </c>
      <c r="D8150" s="34">
        <v>0</v>
      </c>
      <c r="E8150" s="34"/>
      <c r="F8150" s="34">
        <v>16447.060000000001</v>
      </c>
      <c r="G8150" s="34">
        <v>0</v>
      </c>
      <c r="H8150" s="34">
        <f t="shared" si="128"/>
        <v>16447.060000000001</v>
      </c>
      <c r="I8150" s="34"/>
      <c r="K8150" t="s">
        <v>38</v>
      </c>
    </row>
    <row r="8151" spans="2:11" ht="24.75" x14ac:dyDescent="0.2">
      <c r="B8151" s="33" t="s">
        <v>9277</v>
      </c>
      <c r="C8151" s="33" t="s">
        <v>2959</v>
      </c>
      <c r="D8151" s="35">
        <f>SUMIFS(D8152:D9015,K8152:K9015,"0",B8152:B9015,"5 1 3 9 8 12 31111 6 M59 10400*")-SUMIFS(E8152:E9015,K8152:K9015,"0",B8152:B9015,"5 1 3 9 8 12 31111 6 M59 10400*")</f>
        <v>0</v>
      </c>
      <c r="E8151"/>
      <c r="F8151" s="35">
        <f>SUMIFS(F8152:F9015,K8152:K9015,"0",B8152:B9015,"5 1 3 9 8 12 31111 6 M59 10400*")</f>
        <v>7324.83</v>
      </c>
      <c r="G8151" s="35">
        <f>SUMIFS(G8152:G9015,K8152:K9015,"0",B8152:B9015,"5 1 3 9 8 12 31111 6 M59 10400*")</f>
        <v>0</v>
      </c>
      <c r="H8151" s="35">
        <f t="shared" si="128"/>
        <v>7324.83</v>
      </c>
      <c r="I8151" s="35"/>
      <c r="K8151" t="s">
        <v>15</v>
      </c>
    </row>
    <row r="8152" spans="2:11" ht="16.5" x14ac:dyDescent="0.2">
      <c r="B8152" s="33" t="s">
        <v>9278</v>
      </c>
      <c r="C8152" s="33" t="s">
        <v>648</v>
      </c>
      <c r="D8152" s="35">
        <f>SUMIFS(D8153:D9015,K8153:K9015,"0",B8153:B9015,"5 1 3 9 8 12 31111 6 M59 10400 000132*")-SUMIFS(E8153:E9015,K8153:K9015,"0",B8153:B9015,"5 1 3 9 8 12 31111 6 M59 10400 000132*")</f>
        <v>0</v>
      </c>
      <c r="E8152"/>
      <c r="F8152" s="35">
        <f>SUMIFS(F8153:F9015,K8153:K9015,"0",B8153:B9015,"5 1 3 9 8 12 31111 6 M59 10400 000132*")</f>
        <v>7324.83</v>
      </c>
      <c r="G8152" s="35">
        <f>SUMIFS(G8153:G9015,K8153:K9015,"0",B8153:B9015,"5 1 3 9 8 12 31111 6 M59 10400 000132*")</f>
        <v>0</v>
      </c>
      <c r="H8152" s="35">
        <f t="shared" si="128"/>
        <v>7324.83</v>
      </c>
      <c r="I8152" s="35"/>
      <c r="K8152" t="s">
        <v>15</v>
      </c>
    </row>
    <row r="8153" spans="2:11" ht="24.75" x14ac:dyDescent="0.2">
      <c r="B8153" s="33" t="s">
        <v>9279</v>
      </c>
      <c r="C8153" s="33" t="s">
        <v>650</v>
      </c>
      <c r="D8153" s="35">
        <f>SUMIFS(D8154:D9015,K8154:K9015,"0",B8154:B9015,"5 1 3 9 8 12 31111 6 M59 10400 000132 0000R*")-SUMIFS(E8154:E9015,K8154:K9015,"0",B8154:B9015,"5 1 3 9 8 12 31111 6 M59 10400 000132 0000R*")</f>
        <v>0</v>
      </c>
      <c r="E8153"/>
      <c r="F8153" s="35">
        <f>SUMIFS(F8154:F9015,K8154:K9015,"0",B8154:B9015,"5 1 3 9 8 12 31111 6 M59 10400 000132 0000R*")</f>
        <v>7324.83</v>
      </c>
      <c r="G8153" s="35">
        <f>SUMIFS(G8154:G9015,K8154:K9015,"0",B8154:B9015,"5 1 3 9 8 12 31111 6 M59 10400 000132 0000R*")</f>
        <v>0</v>
      </c>
      <c r="H8153" s="35">
        <f t="shared" si="128"/>
        <v>7324.83</v>
      </c>
      <c r="I8153" s="35"/>
      <c r="K8153" t="s">
        <v>15</v>
      </c>
    </row>
    <row r="8154" spans="2:11" ht="24.75" x14ac:dyDescent="0.2">
      <c r="B8154" s="33" t="s">
        <v>9280</v>
      </c>
      <c r="C8154" s="33" t="s">
        <v>282</v>
      </c>
      <c r="D8154" s="35">
        <f>SUMIFS(D8155:D9015,K8155:K9015,"0",B8155:B9015,"5 1 3 9 8 12 31111 6 M59 10400 000132 0000R 00001*")-SUMIFS(E8155:E9015,K8155:K9015,"0",B8155:B9015,"5 1 3 9 8 12 31111 6 M59 10400 000132 0000R 00001*")</f>
        <v>0</v>
      </c>
      <c r="E8154"/>
      <c r="F8154" s="35">
        <f>SUMIFS(F8155:F9015,K8155:K9015,"0",B8155:B9015,"5 1 3 9 8 12 31111 6 M59 10400 000132 0000R 00001*")</f>
        <v>7324.83</v>
      </c>
      <c r="G8154" s="35">
        <f>SUMIFS(G8155:G9015,K8155:K9015,"0",B8155:B9015,"5 1 3 9 8 12 31111 6 M59 10400 000132 0000R 00001*")</f>
        <v>0</v>
      </c>
      <c r="H8154" s="35">
        <f t="shared" si="128"/>
        <v>7324.83</v>
      </c>
      <c r="I8154" s="35"/>
      <c r="K8154" t="s">
        <v>15</v>
      </c>
    </row>
    <row r="8155" spans="2:11" ht="24.75" x14ac:dyDescent="0.2">
      <c r="B8155" s="33" t="s">
        <v>9281</v>
      </c>
      <c r="C8155" s="33" t="s">
        <v>9247</v>
      </c>
      <c r="D8155" s="35">
        <f>SUMIFS(D8156:D9015,K8156:K9015,"0",B8156:B9015,"5 1 3 9 8 12 31111 6 M59 10400 000132 0000R 00001 00398*")-SUMIFS(E8156:E9015,K8156:K9015,"0",B8156:B9015,"5 1 3 9 8 12 31111 6 M59 10400 000132 0000R 00001 00398*")</f>
        <v>0</v>
      </c>
      <c r="E8155"/>
      <c r="F8155" s="35">
        <f>SUMIFS(F8156:F9015,K8156:K9015,"0",B8156:B9015,"5 1 3 9 8 12 31111 6 M59 10400 000132 0000R 00001 00398*")</f>
        <v>7324.83</v>
      </c>
      <c r="G8155" s="35">
        <f>SUMIFS(G8156:G9015,K8156:K9015,"0",B8156:B9015,"5 1 3 9 8 12 31111 6 M59 10400 000132 0000R 00001 00398*")</f>
        <v>0</v>
      </c>
      <c r="H8155" s="35">
        <f t="shared" si="128"/>
        <v>7324.83</v>
      </c>
      <c r="I8155" s="35"/>
      <c r="K8155" t="s">
        <v>15</v>
      </c>
    </row>
    <row r="8156" spans="2:11" ht="33" x14ac:dyDescent="0.2">
      <c r="B8156" s="33" t="s">
        <v>9282</v>
      </c>
      <c r="C8156" s="33" t="s">
        <v>1051</v>
      </c>
      <c r="D8156" s="35">
        <f>SUMIFS(D8157:D9015,K8157:K9015,"0",B8157:B9015,"5 1 3 9 8 12 31111 6 M59 10400 000132 0000R 00001 00398 015*")-SUMIFS(E8157:E9015,K8157:K9015,"0",B8157:B9015,"5 1 3 9 8 12 31111 6 M59 10400 000132 0000R 00001 00398 015*")</f>
        <v>0</v>
      </c>
      <c r="E8156"/>
      <c r="F8156" s="35">
        <f>SUMIFS(F8157:F9015,K8157:K9015,"0",B8157:B9015,"5 1 3 9 8 12 31111 6 M59 10400 000132 0000R 00001 00398 015*")</f>
        <v>7324.83</v>
      </c>
      <c r="G8156" s="35">
        <f>SUMIFS(G8157:G9015,K8157:K9015,"0",B8157:B9015,"5 1 3 9 8 12 31111 6 M59 10400 000132 0000R 00001 00398 015*")</f>
        <v>0</v>
      </c>
      <c r="H8156" s="35">
        <f t="shared" si="128"/>
        <v>7324.83</v>
      </c>
      <c r="I8156" s="35"/>
      <c r="K8156" t="s">
        <v>15</v>
      </c>
    </row>
    <row r="8157" spans="2:11" ht="33" x14ac:dyDescent="0.2">
      <c r="B8157" s="33" t="s">
        <v>9283</v>
      </c>
      <c r="C8157" s="33" t="s">
        <v>8550</v>
      </c>
      <c r="D8157" s="35">
        <f>SUMIFS(D8158:D9015,K8158:K9015,"0",B8158:B9015,"5 1 3 9 8 12 31111 6 M59 10400 000132 0000R 00001 00398 015 2111300*")-SUMIFS(E8158:E9015,K8158:K9015,"0",B8158:B9015,"5 1 3 9 8 12 31111 6 M59 10400 000132 0000R 00001 00398 015 2111300*")</f>
        <v>0</v>
      </c>
      <c r="E8157"/>
      <c r="F8157" s="35">
        <f>SUMIFS(F8158:F9015,K8158:K9015,"0",B8158:B9015,"5 1 3 9 8 12 31111 6 M59 10400 000132 0000R 00001 00398 015 2111300*")</f>
        <v>7324.83</v>
      </c>
      <c r="G8157" s="35">
        <f>SUMIFS(G8158:G9015,K8158:K9015,"0",B8158:B9015,"5 1 3 9 8 12 31111 6 M59 10400 000132 0000R 00001 00398 015 2111300*")</f>
        <v>0</v>
      </c>
      <c r="H8157" s="35">
        <f t="shared" si="128"/>
        <v>7324.83</v>
      </c>
      <c r="I8157" s="35"/>
      <c r="K8157" t="s">
        <v>15</v>
      </c>
    </row>
    <row r="8158" spans="2:11" ht="33" x14ac:dyDescent="0.2">
      <c r="B8158" s="33" t="s">
        <v>9284</v>
      </c>
      <c r="C8158" s="33" t="s">
        <v>660</v>
      </c>
      <c r="D8158" s="35">
        <f>SUMIFS(D8159:D9015,K8159:K9015,"0",B8159:B9015,"5 1 3 9 8 12 31111 6 M59 10400 000132 0000R 00001 00398 015 2111300 2024*")-SUMIFS(E8159:E9015,K8159:K9015,"0",B8159:B9015,"5 1 3 9 8 12 31111 6 M59 10400 000132 0000R 00001 00398 015 2111300 2024*")</f>
        <v>0</v>
      </c>
      <c r="E8158"/>
      <c r="F8158" s="35">
        <f>SUMIFS(F8159:F9015,K8159:K9015,"0",B8159:B9015,"5 1 3 9 8 12 31111 6 M59 10400 000132 0000R 00001 00398 015 2111300 2024*")</f>
        <v>7324.83</v>
      </c>
      <c r="G8158" s="35">
        <f>SUMIFS(G8159:G9015,K8159:K9015,"0",B8159:B9015,"5 1 3 9 8 12 31111 6 M59 10400 000132 0000R 00001 00398 015 2111300 2024*")</f>
        <v>0</v>
      </c>
      <c r="H8158" s="35">
        <f t="shared" si="128"/>
        <v>7324.83</v>
      </c>
      <c r="I8158" s="35"/>
      <c r="K8158" t="s">
        <v>15</v>
      </c>
    </row>
    <row r="8159" spans="2:11" ht="41.25" x14ac:dyDescent="0.2">
      <c r="B8159" s="33" t="s">
        <v>9285</v>
      </c>
      <c r="C8159" s="33" t="s">
        <v>1056</v>
      </c>
      <c r="D8159" s="35">
        <f>SUMIFS(D8160:D9015,K8160:K9015,"0",B8160:B9015,"5 1 3 9 8 12 31111 6 M59 10400 000132 0000R 00001 00398 015 2111300 2024 CP1CG432*")-SUMIFS(E8160:E9015,K8160:K9015,"0",B8160:B9015,"5 1 3 9 8 12 31111 6 M59 10400 000132 0000R 00001 00398 015 2111300 2024 CP1CG432*")</f>
        <v>0</v>
      </c>
      <c r="E8159"/>
      <c r="F8159" s="35">
        <f>SUMIFS(F8160:F9015,K8160:K9015,"0",B8160:B9015,"5 1 3 9 8 12 31111 6 M59 10400 000132 0000R 00001 00398 015 2111300 2024 CP1CG432*")</f>
        <v>7324.83</v>
      </c>
      <c r="G8159" s="35">
        <f>SUMIFS(G8160:G9015,K8160:K9015,"0",B8160:B9015,"5 1 3 9 8 12 31111 6 M59 10400 000132 0000R 00001 00398 015 2111300 2024 CP1CG432*")</f>
        <v>0</v>
      </c>
      <c r="H8159" s="35">
        <f t="shared" si="128"/>
        <v>7324.83</v>
      </c>
      <c r="I8159" s="35"/>
      <c r="K8159" t="s">
        <v>15</v>
      </c>
    </row>
    <row r="8160" spans="2:11" ht="41.25" x14ac:dyDescent="0.2">
      <c r="B8160" s="33" t="s">
        <v>9286</v>
      </c>
      <c r="C8160" s="33" t="s">
        <v>282</v>
      </c>
      <c r="D8160" s="35">
        <f>SUMIFS(D8161:D9015,K8161:K9015,"0",B8161:B9015,"5 1 3 9 8 12 31111 6 M59 10400 000132 0000R 00001 00398 015 2111300 2024 CP1CG432 001*")-SUMIFS(E8161:E9015,K8161:K9015,"0",B8161:B9015,"5 1 3 9 8 12 31111 6 M59 10400 000132 0000R 00001 00398 015 2111300 2024 CP1CG432 001*")</f>
        <v>0</v>
      </c>
      <c r="E8160"/>
      <c r="F8160" s="35">
        <f>SUMIFS(F8161:F9015,K8161:K9015,"0",B8161:B9015,"5 1 3 9 8 12 31111 6 M59 10400 000132 0000R 00001 00398 015 2111300 2024 CP1CG432 001*")</f>
        <v>7324.83</v>
      </c>
      <c r="G8160" s="35">
        <f>SUMIFS(G8161:G9015,K8161:K9015,"0",B8161:B9015,"5 1 3 9 8 12 31111 6 M59 10400 000132 0000R 00001 00398 015 2111300 2024 CP1CG432 001*")</f>
        <v>0</v>
      </c>
      <c r="H8160" s="35">
        <f t="shared" si="128"/>
        <v>7324.83</v>
      </c>
      <c r="I8160" s="35"/>
      <c r="K8160" t="s">
        <v>15</v>
      </c>
    </row>
    <row r="8161" spans="2:11" ht="33" x14ac:dyDescent="0.2">
      <c r="B8161" s="31" t="s">
        <v>9287</v>
      </c>
      <c r="C8161" s="31" t="s">
        <v>9254</v>
      </c>
      <c r="D8161" s="34">
        <v>0</v>
      </c>
      <c r="E8161" s="34"/>
      <c r="F8161" s="34">
        <v>7324.83</v>
      </c>
      <c r="G8161" s="34">
        <v>0</v>
      </c>
      <c r="H8161" s="34">
        <f t="shared" si="128"/>
        <v>7324.83</v>
      </c>
      <c r="I8161" s="34"/>
      <c r="K8161" t="s">
        <v>38</v>
      </c>
    </row>
    <row r="8162" spans="2:11" ht="16.5" x14ac:dyDescent="0.2">
      <c r="B8162" s="33" t="s">
        <v>9288</v>
      </c>
      <c r="C8162" s="33" t="s">
        <v>2971</v>
      </c>
      <c r="D8162" s="35">
        <f>SUMIFS(D8163:D9015,K8163:K9015,"0",B8163:B9015,"5 1 3 9 8 12 31111 6 M59 10500*")-SUMIFS(E8163:E9015,K8163:K9015,"0",B8163:B9015,"5 1 3 9 8 12 31111 6 M59 10500*")</f>
        <v>0</v>
      </c>
      <c r="E8162"/>
      <c r="F8162" s="35">
        <f>SUMIFS(F8163:F9015,K8163:K9015,"0",B8163:B9015,"5 1 3 9 8 12 31111 6 M59 10500*")</f>
        <v>28573.39</v>
      </c>
      <c r="G8162" s="35">
        <f>SUMIFS(G8163:G9015,K8163:K9015,"0",B8163:B9015,"5 1 3 9 8 12 31111 6 M59 10500*")</f>
        <v>0</v>
      </c>
      <c r="H8162" s="35">
        <f t="shared" si="128"/>
        <v>28573.39</v>
      </c>
      <c r="I8162" s="35"/>
      <c r="K8162" t="s">
        <v>15</v>
      </c>
    </row>
    <row r="8163" spans="2:11" ht="16.5" x14ac:dyDescent="0.2">
      <c r="B8163" s="33" t="s">
        <v>9289</v>
      </c>
      <c r="C8163" s="33" t="s">
        <v>648</v>
      </c>
      <c r="D8163" s="35">
        <f>SUMIFS(D8164:D9015,K8164:K9015,"0",B8164:B9015,"5 1 3 9 8 12 31111 6 M59 10500 000132*")-SUMIFS(E8164:E9015,K8164:K9015,"0",B8164:B9015,"5 1 3 9 8 12 31111 6 M59 10500 000132*")</f>
        <v>0</v>
      </c>
      <c r="E8163"/>
      <c r="F8163" s="35">
        <f>SUMIFS(F8164:F9015,K8164:K9015,"0",B8164:B9015,"5 1 3 9 8 12 31111 6 M59 10500 000132*")</f>
        <v>28573.39</v>
      </c>
      <c r="G8163" s="35">
        <f>SUMIFS(G8164:G9015,K8164:K9015,"0",B8164:B9015,"5 1 3 9 8 12 31111 6 M59 10500 000132*")</f>
        <v>0</v>
      </c>
      <c r="H8163" s="35">
        <f t="shared" si="128"/>
        <v>28573.39</v>
      </c>
      <c r="I8163" s="35"/>
      <c r="K8163" t="s">
        <v>15</v>
      </c>
    </row>
    <row r="8164" spans="2:11" ht="24.75" x14ac:dyDescent="0.2">
      <c r="B8164" s="33" t="s">
        <v>9290</v>
      </c>
      <c r="C8164" s="33" t="s">
        <v>650</v>
      </c>
      <c r="D8164" s="35">
        <f>SUMIFS(D8165:D9015,K8165:K9015,"0",B8165:B9015,"5 1 3 9 8 12 31111 6 M59 10500 000132 0000R*")-SUMIFS(E8165:E9015,K8165:K9015,"0",B8165:B9015,"5 1 3 9 8 12 31111 6 M59 10500 000132 0000R*")</f>
        <v>0</v>
      </c>
      <c r="E8164"/>
      <c r="F8164" s="35">
        <f>SUMIFS(F8165:F9015,K8165:K9015,"0",B8165:B9015,"5 1 3 9 8 12 31111 6 M59 10500 000132 0000R*")</f>
        <v>28573.39</v>
      </c>
      <c r="G8164" s="35">
        <f>SUMIFS(G8165:G9015,K8165:K9015,"0",B8165:B9015,"5 1 3 9 8 12 31111 6 M59 10500 000132 0000R*")</f>
        <v>0</v>
      </c>
      <c r="H8164" s="35">
        <f t="shared" si="128"/>
        <v>28573.39</v>
      </c>
      <c r="I8164" s="35"/>
      <c r="K8164" t="s">
        <v>15</v>
      </c>
    </row>
    <row r="8165" spans="2:11" ht="24.75" x14ac:dyDescent="0.2">
      <c r="B8165" s="33" t="s">
        <v>9291</v>
      </c>
      <c r="C8165" s="33" t="s">
        <v>282</v>
      </c>
      <c r="D8165" s="35">
        <f>SUMIFS(D8166:D9015,K8166:K9015,"0",B8166:B9015,"5 1 3 9 8 12 31111 6 M59 10500 000132 0000R 00001*")-SUMIFS(E8166:E9015,K8166:K9015,"0",B8166:B9015,"5 1 3 9 8 12 31111 6 M59 10500 000132 0000R 00001*")</f>
        <v>0</v>
      </c>
      <c r="E8165"/>
      <c r="F8165" s="35">
        <f>SUMIFS(F8166:F9015,K8166:K9015,"0",B8166:B9015,"5 1 3 9 8 12 31111 6 M59 10500 000132 0000R 00001*")</f>
        <v>28573.39</v>
      </c>
      <c r="G8165" s="35">
        <f>SUMIFS(G8166:G9015,K8166:K9015,"0",B8166:B9015,"5 1 3 9 8 12 31111 6 M59 10500 000132 0000R 00001*")</f>
        <v>0</v>
      </c>
      <c r="H8165" s="35">
        <f t="shared" si="128"/>
        <v>28573.39</v>
      </c>
      <c r="I8165" s="35"/>
      <c r="K8165" t="s">
        <v>15</v>
      </c>
    </row>
    <row r="8166" spans="2:11" ht="24.75" x14ac:dyDescent="0.2">
      <c r="B8166" s="33" t="s">
        <v>9292</v>
      </c>
      <c r="C8166" s="33" t="s">
        <v>9247</v>
      </c>
      <c r="D8166" s="35">
        <f>SUMIFS(D8167:D9015,K8167:K9015,"0",B8167:B9015,"5 1 3 9 8 12 31111 6 M59 10500 000132 0000R 00001 00398*")-SUMIFS(E8167:E9015,K8167:K9015,"0",B8167:B9015,"5 1 3 9 8 12 31111 6 M59 10500 000132 0000R 00001 00398*")</f>
        <v>0</v>
      </c>
      <c r="E8166"/>
      <c r="F8166" s="35">
        <f>SUMIFS(F8167:F9015,K8167:K9015,"0",B8167:B9015,"5 1 3 9 8 12 31111 6 M59 10500 000132 0000R 00001 00398*")</f>
        <v>28573.39</v>
      </c>
      <c r="G8166" s="35">
        <f>SUMIFS(G8167:G9015,K8167:K9015,"0",B8167:B9015,"5 1 3 9 8 12 31111 6 M59 10500 000132 0000R 00001 00398*")</f>
        <v>0</v>
      </c>
      <c r="H8166" s="35">
        <f t="shared" si="128"/>
        <v>28573.39</v>
      </c>
      <c r="I8166" s="35"/>
      <c r="K8166" t="s">
        <v>15</v>
      </c>
    </row>
    <row r="8167" spans="2:11" ht="33" x14ac:dyDescent="0.2">
      <c r="B8167" s="33" t="s">
        <v>9293</v>
      </c>
      <c r="C8167" s="33" t="s">
        <v>1051</v>
      </c>
      <c r="D8167" s="35">
        <f>SUMIFS(D8168:D9015,K8168:K9015,"0",B8168:B9015,"5 1 3 9 8 12 31111 6 M59 10500 000132 0000R 00001 00398 015*")-SUMIFS(E8168:E9015,K8168:K9015,"0",B8168:B9015,"5 1 3 9 8 12 31111 6 M59 10500 000132 0000R 00001 00398 015*")</f>
        <v>0</v>
      </c>
      <c r="E8167"/>
      <c r="F8167" s="35">
        <f>SUMIFS(F8168:F9015,K8168:K9015,"0",B8168:B9015,"5 1 3 9 8 12 31111 6 M59 10500 000132 0000R 00001 00398 015*")</f>
        <v>28573.39</v>
      </c>
      <c r="G8167" s="35">
        <f>SUMIFS(G8168:G9015,K8168:K9015,"0",B8168:B9015,"5 1 3 9 8 12 31111 6 M59 10500 000132 0000R 00001 00398 015*")</f>
        <v>0</v>
      </c>
      <c r="H8167" s="35">
        <f t="shared" si="128"/>
        <v>28573.39</v>
      </c>
      <c r="I8167" s="35"/>
      <c r="K8167" t="s">
        <v>15</v>
      </c>
    </row>
    <row r="8168" spans="2:11" ht="33" x14ac:dyDescent="0.2">
      <c r="B8168" s="33" t="s">
        <v>9294</v>
      </c>
      <c r="C8168" s="33" t="s">
        <v>8550</v>
      </c>
      <c r="D8168" s="35">
        <f>SUMIFS(D8169:D9015,K8169:K9015,"0",B8169:B9015,"5 1 3 9 8 12 31111 6 M59 10500 000132 0000R 00001 00398 015 2111300*")-SUMIFS(E8169:E9015,K8169:K9015,"0",B8169:B9015,"5 1 3 9 8 12 31111 6 M59 10500 000132 0000R 00001 00398 015 2111300*")</f>
        <v>0</v>
      </c>
      <c r="E8168"/>
      <c r="F8168" s="35">
        <f>SUMIFS(F8169:F9015,K8169:K9015,"0",B8169:B9015,"5 1 3 9 8 12 31111 6 M59 10500 000132 0000R 00001 00398 015 2111300*")</f>
        <v>28573.39</v>
      </c>
      <c r="G8168" s="35">
        <f>SUMIFS(G8169:G9015,K8169:K9015,"0",B8169:B9015,"5 1 3 9 8 12 31111 6 M59 10500 000132 0000R 00001 00398 015 2111300*")</f>
        <v>0</v>
      </c>
      <c r="H8168" s="35">
        <f t="shared" si="128"/>
        <v>28573.39</v>
      </c>
      <c r="I8168" s="35"/>
      <c r="K8168" t="s">
        <v>15</v>
      </c>
    </row>
    <row r="8169" spans="2:11" ht="33" x14ac:dyDescent="0.2">
      <c r="B8169" s="33" t="s">
        <v>9295</v>
      </c>
      <c r="C8169" s="33" t="s">
        <v>660</v>
      </c>
      <c r="D8169" s="35">
        <f>SUMIFS(D8170:D9015,K8170:K9015,"0",B8170:B9015,"5 1 3 9 8 12 31111 6 M59 10500 000132 0000R 00001 00398 015 2111300 2024*")-SUMIFS(E8170:E9015,K8170:K9015,"0",B8170:B9015,"5 1 3 9 8 12 31111 6 M59 10500 000132 0000R 00001 00398 015 2111300 2024*")</f>
        <v>0</v>
      </c>
      <c r="E8169"/>
      <c r="F8169" s="35">
        <f>SUMIFS(F8170:F9015,K8170:K9015,"0",B8170:B9015,"5 1 3 9 8 12 31111 6 M59 10500 000132 0000R 00001 00398 015 2111300 2024*")</f>
        <v>28573.39</v>
      </c>
      <c r="G8169" s="35">
        <f>SUMIFS(G8170:G9015,K8170:K9015,"0",B8170:B9015,"5 1 3 9 8 12 31111 6 M59 10500 000132 0000R 00001 00398 015 2111300 2024*")</f>
        <v>0</v>
      </c>
      <c r="H8169" s="35">
        <f t="shared" si="128"/>
        <v>28573.39</v>
      </c>
      <c r="I8169" s="35"/>
      <c r="K8169" t="s">
        <v>15</v>
      </c>
    </row>
    <row r="8170" spans="2:11" ht="41.25" x14ac:dyDescent="0.2">
      <c r="B8170" s="33" t="s">
        <v>9296</v>
      </c>
      <c r="C8170" s="33" t="s">
        <v>1056</v>
      </c>
      <c r="D8170" s="35">
        <f>SUMIFS(D8171:D9015,K8171:K9015,"0",B8171:B9015,"5 1 3 9 8 12 31111 6 M59 10500 000132 0000R 00001 00398 015 2111300 2024 CP1CS421*")-SUMIFS(E8171:E9015,K8171:K9015,"0",B8171:B9015,"5 1 3 9 8 12 31111 6 M59 10500 000132 0000R 00001 00398 015 2111300 2024 CP1CS421*")</f>
        <v>0</v>
      </c>
      <c r="E8170"/>
      <c r="F8170" s="35">
        <f>SUMIFS(F8171:F9015,K8171:K9015,"0",B8171:B9015,"5 1 3 9 8 12 31111 6 M59 10500 000132 0000R 00001 00398 015 2111300 2024 CP1CS421*")</f>
        <v>28573.39</v>
      </c>
      <c r="G8170" s="35">
        <f>SUMIFS(G8171:G9015,K8171:K9015,"0",B8171:B9015,"5 1 3 9 8 12 31111 6 M59 10500 000132 0000R 00001 00398 015 2111300 2024 CP1CS421*")</f>
        <v>0</v>
      </c>
      <c r="H8170" s="35">
        <f t="shared" si="128"/>
        <v>28573.39</v>
      </c>
      <c r="I8170" s="35"/>
      <c r="K8170" t="s">
        <v>15</v>
      </c>
    </row>
    <row r="8171" spans="2:11" ht="41.25" x14ac:dyDescent="0.2">
      <c r="B8171" s="33" t="s">
        <v>9297</v>
      </c>
      <c r="C8171" s="33" t="s">
        <v>282</v>
      </c>
      <c r="D8171" s="35">
        <f>SUMIFS(D8172:D9015,K8172:K9015,"0",B8172:B9015,"5 1 3 9 8 12 31111 6 M59 10500 000132 0000R 00001 00398 015 2111300 2024 CP1CS421 001*")-SUMIFS(E8172:E9015,K8172:K9015,"0",B8172:B9015,"5 1 3 9 8 12 31111 6 M59 10500 000132 0000R 00001 00398 015 2111300 2024 CP1CS421 001*")</f>
        <v>0</v>
      </c>
      <c r="E8171"/>
      <c r="F8171" s="35">
        <f>SUMIFS(F8172:F9015,K8172:K9015,"0",B8172:B9015,"5 1 3 9 8 12 31111 6 M59 10500 000132 0000R 00001 00398 015 2111300 2024 CP1CS421 001*")</f>
        <v>28573.39</v>
      </c>
      <c r="G8171" s="35">
        <f>SUMIFS(G8172:G9015,K8172:K9015,"0",B8172:B9015,"5 1 3 9 8 12 31111 6 M59 10500 000132 0000R 00001 00398 015 2111300 2024 CP1CS421 001*")</f>
        <v>0</v>
      </c>
      <c r="H8171" s="35">
        <f t="shared" si="128"/>
        <v>28573.39</v>
      </c>
      <c r="I8171" s="35"/>
      <c r="K8171" t="s">
        <v>15</v>
      </c>
    </row>
    <row r="8172" spans="2:11" ht="33" x14ac:dyDescent="0.2">
      <c r="B8172" s="31" t="s">
        <v>9298</v>
      </c>
      <c r="C8172" s="31" t="s">
        <v>9254</v>
      </c>
      <c r="D8172" s="34">
        <v>0</v>
      </c>
      <c r="E8172" s="34"/>
      <c r="F8172" s="34">
        <v>28573.39</v>
      </c>
      <c r="G8172" s="34">
        <v>0</v>
      </c>
      <c r="H8172" s="34">
        <f t="shared" si="128"/>
        <v>28573.39</v>
      </c>
      <c r="I8172" s="34"/>
      <c r="K8172" t="s">
        <v>38</v>
      </c>
    </row>
    <row r="8173" spans="2:11" ht="16.5" x14ac:dyDescent="0.2">
      <c r="B8173" s="33" t="s">
        <v>9299</v>
      </c>
      <c r="C8173" s="33" t="s">
        <v>2996</v>
      </c>
      <c r="D8173" s="35">
        <f>SUMIFS(D8174:D9015,K8174:K9015,"0",B8174:B9015,"5 1 3 9 8 12 31111 6 M59 10700*")-SUMIFS(E8174:E9015,K8174:K9015,"0",B8174:B9015,"5 1 3 9 8 12 31111 6 M59 10700*")</f>
        <v>0</v>
      </c>
      <c r="E8173"/>
      <c r="F8173" s="35">
        <f>SUMIFS(F8174:F9015,K8174:K9015,"0",B8174:B9015,"5 1 3 9 8 12 31111 6 M59 10700*")</f>
        <v>2191.11</v>
      </c>
      <c r="G8173" s="35">
        <f>SUMIFS(G8174:G9015,K8174:K9015,"0",B8174:B9015,"5 1 3 9 8 12 31111 6 M59 10700*")</f>
        <v>0</v>
      </c>
      <c r="H8173" s="35">
        <f t="shared" si="128"/>
        <v>2191.11</v>
      </c>
      <c r="I8173" s="35"/>
      <c r="K8173" t="s">
        <v>15</v>
      </c>
    </row>
    <row r="8174" spans="2:11" ht="16.5" x14ac:dyDescent="0.2">
      <c r="B8174" s="33" t="s">
        <v>9300</v>
      </c>
      <c r="C8174" s="33" t="s">
        <v>648</v>
      </c>
      <c r="D8174" s="35">
        <f>SUMIFS(D8175:D9015,K8175:K9015,"0",B8175:B9015,"5 1 3 9 8 12 31111 6 M59 10700 000132*")-SUMIFS(E8175:E9015,K8175:K9015,"0",B8175:B9015,"5 1 3 9 8 12 31111 6 M59 10700 000132*")</f>
        <v>0</v>
      </c>
      <c r="E8174"/>
      <c r="F8174" s="35">
        <f>SUMIFS(F8175:F9015,K8175:K9015,"0",B8175:B9015,"5 1 3 9 8 12 31111 6 M59 10700 000132*")</f>
        <v>2191.11</v>
      </c>
      <c r="G8174" s="35">
        <f>SUMIFS(G8175:G9015,K8175:K9015,"0",B8175:B9015,"5 1 3 9 8 12 31111 6 M59 10700 000132*")</f>
        <v>0</v>
      </c>
      <c r="H8174" s="35">
        <f t="shared" si="128"/>
        <v>2191.11</v>
      </c>
      <c r="I8174" s="35"/>
      <c r="K8174" t="s">
        <v>15</v>
      </c>
    </row>
    <row r="8175" spans="2:11" ht="24.75" x14ac:dyDescent="0.2">
      <c r="B8175" s="33" t="s">
        <v>9301</v>
      </c>
      <c r="C8175" s="33" t="s">
        <v>650</v>
      </c>
      <c r="D8175" s="35">
        <f>SUMIFS(D8176:D9015,K8176:K9015,"0",B8176:B9015,"5 1 3 9 8 12 31111 6 M59 10700 000132 0000R*")-SUMIFS(E8176:E9015,K8176:K9015,"0",B8176:B9015,"5 1 3 9 8 12 31111 6 M59 10700 000132 0000R*")</f>
        <v>0</v>
      </c>
      <c r="E8175"/>
      <c r="F8175" s="35">
        <f>SUMIFS(F8176:F9015,K8176:K9015,"0",B8176:B9015,"5 1 3 9 8 12 31111 6 M59 10700 000132 0000R*")</f>
        <v>2191.11</v>
      </c>
      <c r="G8175" s="35">
        <f>SUMIFS(G8176:G9015,K8176:K9015,"0",B8176:B9015,"5 1 3 9 8 12 31111 6 M59 10700 000132 0000R*")</f>
        <v>0</v>
      </c>
      <c r="H8175" s="35">
        <f t="shared" si="128"/>
        <v>2191.11</v>
      </c>
      <c r="I8175" s="35"/>
      <c r="K8175" t="s">
        <v>15</v>
      </c>
    </row>
    <row r="8176" spans="2:11" ht="24.75" x14ac:dyDescent="0.2">
      <c r="B8176" s="33" t="s">
        <v>9302</v>
      </c>
      <c r="C8176" s="33" t="s">
        <v>282</v>
      </c>
      <c r="D8176" s="35">
        <f>SUMIFS(D8177:D9015,K8177:K9015,"0",B8177:B9015,"5 1 3 9 8 12 31111 6 M59 10700 000132 0000R 00001*")-SUMIFS(E8177:E9015,K8177:K9015,"0",B8177:B9015,"5 1 3 9 8 12 31111 6 M59 10700 000132 0000R 00001*")</f>
        <v>0</v>
      </c>
      <c r="E8176"/>
      <c r="F8176" s="35">
        <f>SUMIFS(F8177:F9015,K8177:K9015,"0",B8177:B9015,"5 1 3 9 8 12 31111 6 M59 10700 000132 0000R 00001*")</f>
        <v>2191.11</v>
      </c>
      <c r="G8176" s="35">
        <f>SUMIFS(G8177:G9015,K8177:K9015,"0",B8177:B9015,"5 1 3 9 8 12 31111 6 M59 10700 000132 0000R 00001*")</f>
        <v>0</v>
      </c>
      <c r="H8176" s="35">
        <f t="shared" si="128"/>
        <v>2191.11</v>
      </c>
      <c r="I8176" s="35"/>
      <c r="K8176" t="s">
        <v>15</v>
      </c>
    </row>
    <row r="8177" spans="2:11" ht="24.75" x14ac:dyDescent="0.2">
      <c r="B8177" s="33" t="s">
        <v>9303</v>
      </c>
      <c r="C8177" s="33" t="s">
        <v>9247</v>
      </c>
      <c r="D8177" s="35">
        <f>SUMIFS(D8178:D9015,K8178:K9015,"0",B8178:B9015,"5 1 3 9 8 12 31111 6 M59 10700 000132 0000R 00001 00398*")-SUMIFS(E8178:E9015,K8178:K9015,"0",B8178:B9015,"5 1 3 9 8 12 31111 6 M59 10700 000132 0000R 00001 00398*")</f>
        <v>0</v>
      </c>
      <c r="E8177"/>
      <c r="F8177" s="35">
        <f>SUMIFS(F8178:F9015,K8178:K9015,"0",B8178:B9015,"5 1 3 9 8 12 31111 6 M59 10700 000132 0000R 00001 00398*")</f>
        <v>2191.11</v>
      </c>
      <c r="G8177" s="35">
        <f>SUMIFS(G8178:G9015,K8178:K9015,"0",B8178:B9015,"5 1 3 9 8 12 31111 6 M59 10700 000132 0000R 00001 00398*")</f>
        <v>0</v>
      </c>
      <c r="H8177" s="35">
        <f t="shared" si="128"/>
        <v>2191.11</v>
      </c>
      <c r="I8177" s="35"/>
      <c r="K8177" t="s">
        <v>15</v>
      </c>
    </row>
    <row r="8178" spans="2:11" ht="33" x14ac:dyDescent="0.2">
      <c r="B8178" s="33" t="s">
        <v>9304</v>
      </c>
      <c r="C8178" s="33" t="s">
        <v>1051</v>
      </c>
      <c r="D8178" s="35">
        <f>SUMIFS(D8179:D9015,K8179:K9015,"0",B8179:B9015,"5 1 3 9 8 12 31111 6 M59 10700 000132 0000R 00001 00398 015*")-SUMIFS(E8179:E9015,K8179:K9015,"0",B8179:B9015,"5 1 3 9 8 12 31111 6 M59 10700 000132 0000R 00001 00398 015*")</f>
        <v>0</v>
      </c>
      <c r="E8178"/>
      <c r="F8178" s="35">
        <f>SUMIFS(F8179:F9015,K8179:K9015,"0",B8179:B9015,"5 1 3 9 8 12 31111 6 M59 10700 000132 0000R 00001 00398 015*")</f>
        <v>2191.11</v>
      </c>
      <c r="G8178" s="35">
        <f>SUMIFS(G8179:G9015,K8179:K9015,"0",B8179:B9015,"5 1 3 9 8 12 31111 6 M59 10700 000132 0000R 00001 00398 015*")</f>
        <v>0</v>
      </c>
      <c r="H8178" s="35">
        <f t="shared" si="128"/>
        <v>2191.11</v>
      </c>
      <c r="I8178" s="35"/>
      <c r="K8178" t="s">
        <v>15</v>
      </c>
    </row>
    <row r="8179" spans="2:11" ht="33" x14ac:dyDescent="0.2">
      <c r="B8179" s="33" t="s">
        <v>9305</v>
      </c>
      <c r="C8179" s="33" t="s">
        <v>8550</v>
      </c>
      <c r="D8179" s="35">
        <f>SUMIFS(D8180:D9015,K8180:K9015,"0",B8180:B9015,"5 1 3 9 8 12 31111 6 M59 10700 000132 0000R 00001 00398 015 2111300*")-SUMIFS(E8180:E9015,K8180:K9015,"0",B8180:B9015,"5 1 3 9 8 12 31111 6 M59 10700 000132 0000R 00001 00398 015 2111300*")</f>
        <v>0</v>
      </c>
      <c r="E8179"/>
      <c r="F8179" s="35">
        <f>SUMIFS(F8180:F9015,K8180:K9015,"0",B8180:B9015,"5 1 3 9 8 12 31111 6 M59 10700 000132 0000R 00001 00398 015 2111300*")</f>
        <v>2191.11</v>
      </c>
      <c r="G8179" s="35">
        <f>SUMIFS(G8180:G9015,K8180:K9015,"0",B8180:B9015,"5 1 3 9 8 12 31111 6 M59 10700 000132 0000R 00001 00398 015 2111300*")</f>
        <v>0</v>
      </c>
      <c r="H8179" s="35">
        <f t="shared" si="128"/>
        <v>2191.11</v>
      </c>
      <c r="I8179" s="35"/>
      <c r="K8179" t="s">
        <v>15</v>
      </c>
    </row>
    <row r="8180" spans="2:11" ht="33" x14ac:dyDescent="0.2">
      <c r="B8180" s="33" t="s">
        <v>9306</v>
      </c>
      <c r="C8180" s="33" t="s">
        <v>660</v>
      </c>
      <c r="D8180" s="35">
        <f>SUMIFS(D8181:D9015,K8181:K9015,"0",B8181:B9015,"5 1 3 9 8 12 31111 6 M59 10700 000132 0000R 00001 00398 015 2111300 2024*")-SUMIFS(E8181:E9015,K8181:K9015,"0",B8181:B9015,"5 1 3 9 8 12 31111 6 M59 10700 000132 0000R 00001 00398 015 2111300 2024*")</f>
        <v>0</v>
      </c>
      <c r="E8180"/>
      <c r="F8180" s="35">
        <f>SUMIFS(F8181:F9015,K8181:K9015,"0",B8181:B9015,"5 1 3 9 8 12 31111 6 M59 10700 000132 0000R 00001 00398 015 2111300 2024*")</f>
        <v>2191.11</v>
      </c>
      <c r="G8180" s="35">
        <f>SUMIFS(G8181:G9015,K8181:K9015,"0",B8181:B9015,"5 1 3 9 8 12 31111 6 M59 10700 000132 0000R 00001 00398 015 2111300 2024*")</f>
        <v>0</v>
      </c>
      <c r="H8180" s="35">
        <f t="shared" si="128"/>
        <v>2191.11</v>
      </c>
      <c r="I8180" s="35"/>
      <c r="K8180" t="s">
        <v>15</v>
      </c>
    </row>
    <row r="8181" spans="2:11" ht="41.25" x14ac:dyDescent="0.2">
      <c r="B8181" s="33" t="s">
        <v>9307</v>
      </c>
      <c r="C8181" s="33" t="s">
        <v>1056</v>
      </c>
      <c r="D8181" s="35">
        <f>SUMIFS(D8182:D9015,K8182:K9015,"0",B8182:B9015,"5 1 3 9 8 12 31111 6 M59 10700 000132 0000R 00001 00398 015 2111300 2024 CP1GB435*")-SUMIFS(E8182:E9015,K8182:K9015,"0",B8182:B9015,"5 1 3 9 8 12 31111 6 M59 10700 000132 0000R 00001 00398 015 2111300 2024 CP1GB435*")</f>
        <v>0</v>
      </c>
      <c r="E8181"/>
      <c r="F8181" s="35">
        <f>SUMIFS(F8182:F9015,K8182:K9015,"0",B8182:B9015,"5 1 3 9 8 12 31111 6 M59 10700 000132 0000R 00001 00398 015 2111300 2024 CP1GB435*")</f>
        <v>2191.11</v>
      </c>
      <c r="G8181" s="35">
        <f>SUMIFS(G8182:G9015,K8182:K9015,"0",B8182:B9015,"5 1 3 9 8 12 31111 6 M59 10700 000132 0000R 00001 00398 015 2111300 2024 CP1GB435*")</f>
        <v>0</v>
      </c>
      <c r="H8181" s="35">
        <f t="shared" si="128"/>
        <v>2191.11</v>
      </c>
      <c r="I8181" s="35"/>
      <c r="K8181" t="s">
        <v>15</v>
      </c>
    </row>
    <row r="8182" spans="2:11" ht="41.25" x14ac:dyDescent="0.2">
      <c r="B8182" s="33" t="s">
        <v>9308</v>
      </c>
      <c r="C8182" s="33" t="s">
        <v>282</v>
      </c>
      <c r="D8182" s="35">
        <f>SUMIFS(D8183:D9015,K8183:K9015,"0",B8183:B9015,"5 1 3 9 8 12 31111 6 M59 10700 000132 0000R 00001 00398 015 2111300 2024 CP1GB435 001*")-SUMIFS(E8183:E9015,K8183:K9015,"0",B8183:B9015,"5 1 3 9 8 12 31111 6 M59 10700 000132 0000R 00001 00398 015 2111300 2024 CP1GB435 001*")</f>
        <v>0</v>
      </c>
      <c r="E8182"/>
      <c r="F8182" s="35">
        <f>SUMIFS(F8183:F9015,K8183:K9015,"0",B8183:B9015,"5 1 3 9 8 12 31111 6 M59 10700 000132 0000R 00001 00398 015 2111300 2024 CP1GB435 001*")</f>
        <v>2191.11</v>
      </c>
      <c r="G8182" s="35">
        <f>SUMIFS(G8183:G9015,K8183:K9015,"0",B8183:B9015,"5 1 3 9 8 12 31111 6 M59 10700 000132 0000R 00001 00398 015 2111300 2024 CP1GB435 001*")</f>
        <v>0</v>
      </c>
      <c r="H8182" s="35">
        <f t="shared" si="128"/>
        <v>2191.11</v>
      </c>
      <c r="I8182" s="35"/>
      <c r="K8182" t="s">
        <v>15</v>
      </c>
    </row>
    <row r="8183" spans="2:11" ht="33" x14ac:dyDescent="0.2">
      <c r="B8183" s="31" t="s">
        <v>9309</v>
      </c>
      <c r="C8183" s="31" t="s">
        <v>9254</v>
      </c>
      <c r="D8183" s="34">
        <v>0</v>
      </c>
      <c r="E8183" s="34"/>
      <c r="F8183" s="34">
        <v>2191.11</v>
      </c>
      <c r="G8183" s="34">
        <v>0</v>
      </c>
      <c r="H8183" s="34">
        <f t="shared" si="128"/>
        <v>2191.11</v>
      </c>
      <c r="I8183" s="34"/>
      <c r="K8183" t="s">
        <v>38</v>
      </c>
    </row>
    <row r="8184" spans="2:11" ht="16.5" x14ac:dyDescent="0.2">
      <c r="B8184" s="33" t="s">
        <v>9310</v>
      </c>
      <c r="C8184" s="33" t="s">
        <v>3008</v>
      </c>
      <c r="D8184" s="35">
        <f>SUMIFS(D8185:D9015,K8185:K9015,"0",B8185:B9015,"5 1 3 9 8 12 31111 6 M59 10800*")-SUMIFS(E8185:E9015,K8185:K9015,"0",B8185:B9015,"5 1 3 9 8 12 31111 6 M59 10800*")</f>
        <v>0</v>
      </c>
      <c r="E8184"/>
      <c r="F8184" s="35">
        <f>SUMIFS(F8185:F9015,K8185:K9015,"0",B8185:B9015,"5 1 3 9 8 12 31111 6 M59 10800*")</f>
        <v>66868.63</v>
      </c>
      <c r="G8184" s="35">
        <f>SUMIFS(G8185:G9015,K8185:K9015,"0",B8185:B9015,"5 1 3 9 8 12 31111 6 M59 10800*")</f>
        <v>0</v>
      </c>
      <c r="H8184" s="35">
        <f t="shared" si="128"/>
        <v>66868.63</v>
      </c>
      <c r="I8184" s="35"/>
      <c r="K8184" t="s">
        <v>15</v>
      </c>
    </row>
    <row r="8185" spans="2:11" ht="16.5" x14ac:dyDescent="0.2">
      <c r="B8185" s="33" t="s">
        <v>9311</v>
      </c>
      <c r="C8185" s="33" t="s">
        <v>648</v>
      </c>
      <c r="D8185" s="35">
        <f>SUMIFS(D8186:D9015,K8186:K9015,"0",B8186:B9015,"5 1 3 9 8 12 31111 6 M59 10800 000132*")-SUMIFS(E8186:E9015,K8186:K9015,"0",B8186:B9015,"5 1 3 9 8 12 31111 6 M59 10800 000132*")</f>
        <v>0</v>
      </c>
      <c r="E8185"/>
      <c r="F8185" s="35">
        <f>SUMIFS(F8186:F9015,K8186:K9015,"0",B8186:B9015,"5 1 3 9 8 12 31111 6 M59 10800 000132*")</f>
        <v>66868.63</v>
      </c>
      <c r="G8185" s="35">
        <f>SUMIFS(G8186:G9015,K8186:K9015,"0",B8186:B9015,"5 1 3 9 8 12 31111 6 M59 10800 000132*")</f>
        <v>0</v>
      </c>
      <c r="H8185" s="35">
        <f t="shared" si="128"/>
        <v>66868.63</v>
      </c>
      <c r="I8185" s="35"/>
      <c r="K8185" t="s">
        <v>15</v>
      </c>
    </row>
    <row r="8186" spans="2:11" ht="24.75" x14ac:dyDescent="0.2">
      <c r="B8186" s="33" t="s">
        <v>9312</v>
      </c>
      <c r="C8186" s="33" t="s">
        <v>650</v>
      </c>
      <c r="D8186" s="35">
        <f>SUMIFS(D8187:D9015,K8187:K9015,"0",B8187:B9015,"5 1 3 9 8 12 31111 6 M59 10800 000132 0000R*")-SUMIFS(E8187:E9015,K8187:K9015,"0",B8187:B9015,"5 1 3 9 8 12 31111 6 M59 10800 000132 0000R*")</f>
        <v>0</v>
      </c>
      <c r="E8186"/>
      <c r="F8186" s="35">
        <f>SUMIFS(F8187:F9015,K8187:K9015,"0",B8187:B9015,"5 1 3 9 8 12 31111 6 M59 10800 000132 0000R*")</f>
        <v>66868.63</v>
      </c>
      <c r="G8186" s="35">
        <f>SUMIFS(G8187:G9015,K8187:K9015,"0",B8187:B9015,"5 1 3 9 8 12 31111 6 M59 10800 000132 0000R*")</f>
        <v>0</v>
      </c>
      <c r="H8186" s="35">
        <f t="shared" si="128"/>
        <v>66868.63</v>
      </c>
      <c r="I8186" s="35"/>
      <c r="K8186" t="s">
        <v>15</v>
      </c>
    </row>
    <row r="8187" spans="2:11" ht="24.75" x14ac:dyDescent="0.2">
      <c r="B8187" s="33" t="s">
        <v>9313</v>
      </c>
      <c r="C8187" s="33" t="s">
        <v>282</v>
      </c>
      <c r="D8187" s="35">
        <f>SUMIFS(D8188:D9015,K8188:K9015,"0",B8188:B9015,"5 1 3 9 8 12 31111 6 M59 10800 000132 0000R 00001*")-SUMIFS(E8188:E9015,K8188:K9015,"0",B8188:B9015,"5 1 3 9 8 12 31111 6 M59 10800 000132 0000R 00001*")</f>
        <v>0</v>
      </c>
      <c r="E8187"/>
      <c r="F8187" s="35">
        <f>SUMIFS(F8188:F9015,K8188:K9015,"0",B8188:B9015,"5 1 3 9 8 12 31111 6 M59 10800 000132 0000R 00001*")</f>
        <v>66868.63</v>
      </c>
      <c r="G8187" s="35">
        <f>SUMIFS(G8188:G9015,K8188:K9015,"0",B8188:B9015,"5 1 3 9 8 12 31111 6 M59 10800 000132 0000R 00001*")</f>
        <v>0</v>
      </c>
      <c r="H8187" s="35">
        <f t="shared" si="128"/>
        <v>66868.63</v>
      </c>
      <c r="I8187" s="35"/>
      <c r="K8187" t="s">
        <v>15</v>
      </c>
    </row>
    <row r="8188" spans="2:11" ht="24.75" x14ac:dyDescent="0.2">
      <c r="B8188" s="33" t="s">
        <v>9314</v>
      </c>
      <c r="C8188" s="33" t="s">
        <v>9247</v>
      </c>
      <c r="D8188" s="35">
        <f>SUMIFS(D8189:D9015,K8189:K9015,"0",B8189:B9015,"5 1 3 9 8 12 31111 6 M59 10800 000132 0000R 00001 00398*")-SUMIFS(E8189:E9015,K8189:K9015,"0",B8189:B9015,"5 1 3 9 8 12 31111 6 M59 10800 000132 0000R 00001 00398*")</f>
        <v>0</v>
      </c>
      <c r="E8188"/>
      <c r="F8188" s="35">
        <f>SUMIFS(F8189:F9015,K8189:K9015,"0",B8189:B9015,"5 1 3 9 8 12 31111 6 M59 10800 000132 0000R 00001 00398*")</f>
        <v>66868.63</v>
      </c>
      <c r="G8188" s="35">
        <f>SUMIFS(G8189:G9015,K8189:K9015,"0",B8189:B9015,"5 1 3 9 8 12 31111 6 M59 10800 000132 0000R 00001 00398*")</f>
        <v>0</v>
      </c>
      <c r="H8188" s="35">
        <f t="shared" si="128"/>
        <v>66868.63</v>
      </c>
      <c r="I8188" s="35"/>
      <c r="K8188" t="s">
        <v>15</v>
      </c>
    </row>
    <row r="8189" spans="2:11" ht="33" x14ac:dyDescent="0.2">
      <c r="B8189" s="33" t="s">
        <v>9315</v>
      </c>
      <c r="C8189" s="33" t="s">
        <v>1051</v>
      </c>
      <c r="D8189" s="35">
        <f>SUMIFS(D8190:D9015,K8190:K9015,"0",B8190:B9015,"5 1 3 9 8 12 31111 6 M59 10800 000132 0000R 00001 00398 015*")-SUMIFS(E8190:E9015,K8190:K9015,"0",B8190:B9015,"5 1 3 9 8 12 31111 6 M59 10800 000132 0000R 00001 00398 015*")</f>
        <v>0</v>
      </c>
      <c r="E8189"/>
      <c r="F8189" s="35">
        <f>SUMIFS(F8190:F9015,K8190:K9015,"0",B8190:B9015,"5 1 3 9 8 12 31111 6 M59 10800 000132 0000R 00001 00398 015*")</f>
        <v>66868.63</v>
      </c>
      <c r="G8189" s="35">
        <f>SUMIFS(G8190:G9015,K8190:K9015,"0",B8190:B9015,"5 1 3 9 8 12 31111 6 M59 10800 000132 0000R 00001 00398 015*")</f>
        <v>0</v>
      </c>
      <c r="H8189" s="35">
        <f t="shared" si="128"/>
        <v>66868.63</v>
      </c>
      <c r="I8189" s="35"/>
      <c r="K8189" t="s">
        <v>15</v>
      </c>
    </row>
    <row r="8190" spans="2:11" ht="33" x14ac:dyDescent="0.2">
      <c r="B8190" s="33" t="s">
        <v>9316</v>
      </c>
      <c r="C8190" s="33" t="s">
        <v>8550</v>
      </c>
      <c r="D8190" s="35">
        <f>SUMIFS(D8191:D9015,K8191:K9015,"0",B8191:B9015,"5 1 3 9 8 12 31111 6 M59 10800 000132 0000R 00001 00398 015 2111300*")-SUMIFS(E8191:E9015,K8191:K9015,"0",B8191:B9015,"5 1 3 9 8 12 31111 6 M59 10800 000132 0000R 00001 00398 015 2111300*")</f>
        <v>0</v>
      </c>
      <c r="E8190"/>
      <c r="F8190" s="35">
        <f>SUMIFS(F8191:F9015,K8191:K9015,"0",B8191:B9015,"5 1 3 9 8 12 31111 6 M59 10800 000132 0000R 00001 00398 015 2111300*")</f>
        <v>66868.63</v>
      </c>
      <c r="G8190" s="35">
        <f>SUMIFS(G8191:G9015,K8191:K9015,"0",B8191:B9015,"5 1 3 9 8 12 31111 6 M59 10800 000132 0000R 00001 00398 015 2111300*")</f>
        <v>0</v>
      </c>
      <c r="H8190" s="35">
        <f t="shared" si="128"/>
        <v>66868.63</v>
      </c>
      <c r="I8190" s="35"/>
      <c r="K8190" t="s">
        <v>15</v>
      </c>
    </row>
    <row r="8191" spans="2:11" ht="33" x14ac:dyDescent="0.2">
      <c r="B8191" s="33" t="s">
        <v>9317</v>
      </c>
      <c r="C8191" s="33" t="s">
        <v>660</v>
      </c>
      <c r="D8191" s="35">
        <f>SUMIFS(D8192:D9015,K8192:K9015,"0",B8192:B9015,"5 1 3 9 8 12 31111 6 M59 10800 000132 0000R 00001 00398 015 2111300 2024*")-SUMIFS(E8192:E9015,K8192:K9015,"0",B8192:B9015,"5 1 3 9 8 12 31111 6 M59 10800 000132 0000R 00001 00398 015 2111300 2024*")</f>
        <v>0</v>
      </c>
      <c r="E8191"/>
      <c r="F8191" s="35">
        <f>SUMIFS(F8192:F9015,K8192:K9015,"0",B8192:B9015,"5 1 3 9 8 12 31111 6 M59 10800 000132 0000R 00001 00398 015 2111300 2024*")</f>
        <v>66868.63</v>
      </c>
      <c r="G8191" s="35">
        <f>SUMIFS(G8192:G9015,K8192:K9015,"0",B8192:B9015,"5 1 3 9 8 12 31111 6 M59 10800 000132 0000R 00001 00398 015 2111300 2024*")</f>
        <v>0</v>
      </c>
      <c r="H8191" s="35">
        <f t="shared" si="128"/>
        <v>66868.63</v>
      </c>
      <c r="I8191" s="35"/>
      <c r="K8191" t="s">
        <v>15</v>
      </c>
    </row>
    <row r="8192" spans="2:11" ht="41.25" x14ac:dyDescent="0.2">
      <c r="B8192" s="33" t="s">
        <v>9318</v>
      </c>
      <c r="C8192" s="33" t="s">
        <v>662</v>
      </c>
      <c r="D8192" s="35">
        <f>SUMIFS(D8193:D9015,K8193:K9015,"0",B8193:B9015,"5 1 3 9 8 12 31111 6 M59 10800 000132 0000R 00001 00398 015 2111300 2024 CP1SR390*")-SUMIFS(E8193:E9015,K8193:K9015,"0",B8193:B9015,"5 1 3 9 8 12 31111 6 M59 10800 000132 0000R 00001 00398 015 2111300 2024 CP1SR390*")</f>
        <v>0</v>
      </c>
      <c r="E8192"/>
      <c r="F8192" s="35">
        <f>SUMIFS(F8193:F9015,K8193:K9015,"0",B8193:B9015,"5 1 3 9 8 12 31111 6 M59 10800 000132 0000R 00001 00398 015 2111300 2024 CP1SR390*")</f>
        <v>66868.63</v>
      </c>
      <c r="G8192" s="35">
        <f>SUMIFS(G8193:G9015,K8193:K9015,"0",B8193:B9015,"5 1 3 9 8 12 31111 6 M59 10800 000132 0000R 00001 00398 015 2111300 2024 CP1SR390*")</f>
        <v>0</v>
      </c>
      <c r="H8192" s="35">
        <f t="shared" si="128"/>
        <v>66868.63</v>
      </c>
      <c r="I8192" s="35"/>
      <c r="K8192" t="s">
        <v>15</v>
      </c>
    </row>
    <row r="8193" spans="2:11" ht="41.25" x14ac:dyDescent="0.2">
      <c r="B8193" s="33" t="s">
        <v>9319</v>
      </c>
      <c r="C8193" s="33" t="s">
        <v>282</v>
      </c>
      <c r="D8193" s="35">
        <f>SUMIFS(D8194:D9015,K8194:K9015,"0",B8194:B9015,"5 1 3 9 8 12 31111 6 M59 10800 000132 0000R 00001 00398 015 2111300 2024 CP1SR390 001*")-SUMIFS(E8194:E9015,K8194:K9015,"0",B8194:B9015,"5 1 3 9 8 12 31111 6 M59 10800 000132 0000R 00001 00398 015 2111300 2024 CP1SR390 001*")</f>
        <v>0</v>
      </c>
      <c r="E8193"/>
      <c r="F8193" s="35">
        <f>SUMIFS(F8194:F9015,K8194:K9015,"0",B8194:B9015,"5 1 3 9 8 12 31111 6 M59 10800 000132 0000R 00001 00398 015 2111300 2024 CP1SR390 001*")</f>
        <v>66868.63</v>
      </c>
      <c r="G8193" s="35">
        <f>SUMIFS(G8194:G9015,K8194:K9015,"0",B8194:B9015,"5 1 3 9 8 12 31111 6 M59 10800 000132 0000R 00001 00398 015 2111300 2024 CP1SR390 001*")</f>
        <v>0</v>
      </c>
      <c r="H8193" s="35">
        <f t="shared" si="128"/>
        <v>66868.63</v>
      </c>
      <c r="I8193" s="35"/>
      <c r="K8193" t="s">
        <v>15</v>
      </c>
    </row>
    <row r="8194" spans="2:11" ht="33" x14ac:dyDescent="0.2">
      <c r="B8194" s="31" t="s">
        <v>9320</v>
      </c>
      <c r="C8194" s="31" t="s">
        <v>9254</v>
      </c>
      <c r="D8194" s="34">
        <v>0</v>
      </c>
      <c r="E8194" s="34"/>
      <c r="F8194" s="34">
        <v>66868.63</v>
      </c>
      <c r="G8194" s="34">
        <v>0</v>
      </c>
      <c r="H8194" s="34">
        <f t="shared" si="128"/>
        <v>66868.63</v>
      </c>
      <c r="I8194" s="34"/>
      <c r="K8194" t="s">
        <v>38</v>
      </c>
    </row>
    <row r="8195" spans="2:11" ht="16.5" x14ac:dyDescent="0.2">
      <c r="B8195" s="33" t="s">
        <v>9321</v>
      </c>
      <c r="C8195" s="33" t="s">
        <v>3020</v>
      </c>
      <c r="D8195" s="35">
        <f>SUMIFS(D8196:D9015,K8196:K9015,"0",B8196:B9015,"5 1 3 9 8 12 31111 6 M59 11000*")-SUMIFS(E8196:E9015,K8196:K9015,"0",B8196:B9015,"5 1 3 9 8 12 31111 6 M59 11000*")</f>
        <v>0</v>
      </c>
      <c r="E8195"/>
      <c r="F8195" s="35">
        <f>SUMIFS(F8196:F9015,K8196:K9015,"0",B8196:B9015,"5 1 3 9 8 12 31111 6 M59 11000*")</f>
        <v>16929.75</v>
      </c>
      <c r="G8195" s="35">
        <f>SUMIFS(G8196:G9015,K8196:K9015,"0",B8196:B9015,"5 1 3 9 8 12 31111 6 M59 11000*")</f>
        <v>0</v>
      </c>
      <c r="H8195" s="35">
        <f t="shared" si="128"/>
        <v>16929.75</v>
      </c>
      <c r="I8195" s="35"/>
      <c r="K8195" t="s">
        <v>15</v>
      </c>
    </row>
    <row r="8196" spans="2:11" ht="16.5" x14ac:dyDescent="0.2">
      <c r="B8196" s="33" t="s">
        <v>9322</v>
      </c>
      <c r="C8196" s="33" t="s">
        <v>648</v>
      </c>
      <c r="D8196" s="35">
        <f>SUMIFS(D8197:D9015,K8197:K9015,"0",B8197:B9015,"5 1 3 9 8 12 31111 6 M59 11000 000132*")-SUMIFS(E8197:E9015,K8197:K9015,"0",B8197:B9015,"5 1 3 9 8 12 31111 6 M59 11000 000132*")</f>
        <v>0</v>
      </c>
      <c r="E8196"/>
      <c r="F8196" s="35">
        <f>SUMIFS(F8197:F9015,K8197:K9015,"0",B8197:B9015,"5 1 3 9 8 12 31111 6 M59 11000 000132*")</f>
        <v>16929.75</v>
      </c>
      <c r="G8196" s="35">
        <f>SUMIFS(G8197:G9015,K8197:K9015,"0",B8197:B9015,"5 1 3 9 8 12 31111 6 M59 11000 000132*")</f>
        <v>0</v>
      </c>
      <c r="H8196" s="35">
        <f t="shared" ref="H8196:H8259" si="129">D8196 + F8196 - G8196</f>
        <v>16929.75</v>
      </c>
      <c r="I8196" s="35"/>
      <c r="K8196" t="s">
        <v>15</v>
      </c>
    </row>
    <row r="8197" spans="2:11" ht="24.75" x14ac:dyDescent="0.2">
      <c r="B8197" s="33" t="s">
        <v>9323</v>
      </c>
      <c r="C8197" s="33" t="s">
        <v>650</v>
      </c>
      <c r="D8197" s="35">
        <f>SUMIFS(D8198:D9015,K8198:K9015,"0",B8198:B9015,"5 1 3 9 8 12 31111 6 M59 11000 000132 0000R*")-SUMIFS(E8198:E9015,K8198:K9015,"0",B8198:B9015,"5 1 3 9 8 12 31111 6 M59 11000 000132 0000R*")</f>
        <v>0</v>
      </c>
      <c r="E8197"/>
      <c r="F8197" s="35">
        <f>SUMIFS(F8198:F9015,K8198:K9015,"0",B8198:B9015,"5 1 3 9 8 12 31111 6 M59 11000 000132 0000R*")</f>
        <v>16929.75</v>
      </c>
      <c r="G8197" s="35">
        <f>SUMIFS(G8198:G9015,K8198:K9015,"0",B8198:B9015,"5 1 3 9 8 12 31111 6 M59 11000 000132 0000R*")</f>
        <v>0</v>
      </c>
      <c r="H8197" s="35">
        <f t="shared" si="129"/>
        <v>16929.75</v>
      </c>
      <c r="I8197" s="35"/>
      <c r="K8197" t="s">
        <v>15</v>
      </c>
    </row>
    <row r="8198" spans="2:11" ht="24.75" x14ac:dyDescent="0.2">
      <c r="B8198" s="33" t="s">
        <v>9324</v>
      </c>
      <c r="C8198" s="33" t="s">
        <v>282</v>
      </c>
      <c r="D8198" s="35">
        <f>SUMIFS(D8199:D9015,K8199:K9015,"0",B8199:B9015,"5 1 3 9 8 12 31111 6 M59 11000 000132 0000R 00001*")-SUMIFS(E8199:E9015,K8199:K9015,"0",B8199:B9015,"5 1 3 9 8 12 31111 6 M59 11000 000132 0000R 00001*")</f>
        <v>0</v>
      </c>
      <c r="E8198"/>
      <c r="F8198" s="35">
        <f>SUMIFS(F8199:F9015,K8199:K9015,"0",B8199:B9015,"5 1 3 9 8 12 31111 6 M59 11000 000132 0000R 00001*")</f>
        <v>16929.75</v>
      </c>
      <c r="G8198" s="35">
        <f>SUMIFS(G8199:G9015,K8199:K9015,"0",B8199:B9015,"5 1 3 9 8 12 31111 6 M59 11000 000132 0000R 00001*")</f>
        <v>0</v>
      </c>
      <c r="H8198" s="35">
        <f t="shared" si="129"/>
        <v>16929.75</v>
      </c>
      <c r="I8198" s="35"/>
      <c r="K8198" t="s">
        <v>15</v>
      </c>
    </row>
    <row r="8199" spans="2:11" ht="24.75" x14ac:dyDescent="0.2">
      <c r="B8199" s="33" t="s">
        <v>9325</v>
      </c>
      <c r="C8199" s="33" t="s">
        <v>9247</v>
      </c>
      <c r="D8199" s="35">
        <f>SUMIFS(D8200:D9015,K8200:K9015,"0",B8200:B9015,"5 1 3 9 8 12 31111 6 M59 11000 000132 0000R 00001 00398*")-SUMIFS(E8200:E9015,K8200:K9015,"0",B8200:B9015,"5 1 3 9 8 12 31111 6 M59 11000 000132 0000R 00001 00398*")</f>
        <v>0</v>
      </c>
      <c r="E8199"/>
      <c r="F8199" s="35">
        <f>SUMIFS(F8200:F9015,K8200:K9015,"0",B8200:B9015,"5 1 3 9 8 12 31111 6 M59 11000 000132 0000R 00001 00398*")</f>
        <v>16929.75</v>
      </c>
      <c r="G8199" s="35">
        <f>SUMIFS(G8200:G9015,K8200:K9015,"0",B8200:B9015,"5 1 3 9 8 12 31111 6 M59 11000 000132 0000R 00001 00398*")</f>
        <v>0</v>
      </c>
      <c r="H8199" s="35">
        <f t="shared" si="129"/>
        <v>16929.75</v>
      </c>
      <c r="I8199" s="35"/>
      <c r="K8199" t="s">
        <v>15</v>
      </c>
    </row>
    <row r="8200" spans="2:11" ht="33" x14ac:dyDescent="0.2">
      <c r="B8200" s="33" t="s">
        <v>9326</v>
      </c>
      <c r="C8200" s="33" t="s">
        <v>1051</v>
      </c>
      <c r="D8200" s="35">
        <f>SUMIFS(D8201:D9015,K8201:K9015,"0",B8201:B9015,"5 1 3 9 8 12 31111 6 M59 11000 000132 0000R 00001 00398 015*")-SUMIFS(E8201:E9015,K8201:K9015,"0",B8201:B9015,"5 1 3 9 8 12 31111 6 M59 11000 000132 0000R 00001 00398 015*")</f>
        <v>0</v>
      </c>
      <c r="E8200"/>
      <c r="F8200" s="35">
        <f>SUMIFS(F8201:F9015,K8201:K9015,"0",B8201:B9015,"5 1 3 9 8 12 31111 6 M59 11000 000132 0000R 00001 00398 015*")</f>
        <v>16929.75</v>
      </c>
      <c r="G8200" s="35">
        <f>SUMIFS(G8201:G9015,K8201:K9015,"0",B8201:B9015,"5 1 3 9 8 12 31111 6 M59 11000 000132 0000R 00001 00398 015*")</f>
        <v>0</v>
      </c>
      <c r="H8200" s="35">
        <f t="shared" si="129"/>
        <v>16929.75</v>
      </c>
      <c r="I8200" s="35"/>
      <c r="K8200" t="s">
        <v>15</v>
      </c>
    </row>
    <row r="8201" spans="2:11" ht="33" x14ac:dyDescent="0.2">
      <c r="B8201" s="33" t="s">
        <v>9327</v>
      </c>
      <c r="C8201" s="33" t="s">
        <v>8550</v>
      </c>
      <c r="D8201" s="35">
        <f>SUMIFS(D8202:D9015,K8202:K9015,"0",B8202:B9015,"5 1 3 9 8 12 31111 6 M59 11000 000132 0000R 00001 00398 015 2111300*")-SUMIFS(E8202:E9015,K8202:K9015,"0",B8202:B9015,"5 1 3 9 8 12 31111 6 M59 11000 000132 0000R 00001 00398 015 2111300*")</f>
        <v>0</v>
      </c>
      <c r="E8201"/>
      <c r="F8201" s="35">
        <f>SUMIFS(F8202:F9015,K8202:K9015,"0",B8202:B9015,"5 1 3 9 8 12 31111 6 M59 11000 000132 0000R 00001 00398 015 2111300*")</f>
        <v>16929.75</v>
      </c>
      <c r="G8201" s="35">
        <f>SUMIFS(G8202:G9015,K8202:K9015,"0",B8202:B9015,"5 1 3 9 8 12 31111 6 M59 11000 000132 0000R 00001 00398 015 2111300*")</f>
        <v>0</v>
      </c>
      <c r="H8201" s="35">
        <f t="shared" si="129"/>
        <v>16929.75</v>
      </c>
      <c r="I8201" s="35"/>
      <c r="K8201" t="s">
        <v>15</v>
      </c>
    </row>
    <row r="8202" spans="2:11" ht="33" x14ac:dyDescent="0.2">
      <c r="B8202" s="33" t="s">
        <v>9328</v>
      </c>
      <c r="C8202" s="33" t="s">
        <v>660</v>
      </c>
      <c r="D8202" s="35">
        <f>SUMIFS(D8203:D9015,K8203:K9015,"0",B8203:B9015,"5 1 3 9 8 12 31111 6 M59 11000 000132 0000R 00001 00398 015 2111300 2024*")-SUMIFS(E8203:E9015,K8203:K9015,"0",B8203:B9015,"5 1 3 9 8 12 31111 6 M59 11000 000132 0000R 00001 00398 015 2111300 2024*")</f>
        <v>0</v>
      </c>
      <c r="E8202"/>
      <c r="F8202" s="35">
        <f>SUMIFS(F8203:F9015,K8203:K9015,"0",B8203:B9015,"5 1 3 9 8 12 31111 6 M59 11000 000132 0000R 00001 00398 015 2111300 2024*")</f>
        <v>16929.75</v>
      </c>
      <c r="G8202" s="35">
        <f>SUMIFS(G8203:G9015,K8203:K9015,"0",B8203:B9015,"5 1 3 9 8 12 31111 6 M59 11000 000132 0000R 00001 00398 015 2111300 2024*")</f>
        <v>0</v>
      </c>
      <c r="H8202" s="35">
        <f t="shared" si="129"/>
        <v>16929.75</v>
      </c>
      <c r="I8202" s="35"/>
      <c r="K8202" t="s">
        <v>15</v>
      </c>
    </row>
    <row r="8203" spans="2:11" ht="41.25" x14ac:dyDescent="0.2">
      <c r="B8203" s="33" t="s">
        <v>9329</v>
      </c>
      <c r="C8203" s="33" t="s">
        <v>1056</v>
      </c>
      <c r="D8203" s="35">
        <f>SUMIFS(D8204:D9015,K8204:K9015,"0",B8204:B9015,"5 1 3 9 8 12 31111 6 M59 11000 000132 0000R 00001 00398 015 2111300 2024 CP1SM382*")-SUMIFS(E8204:E9015,K8204:K9015,"0",B8204:B9015,"5 1 3 9 8 12 31111 6 M59 11000 000132 0000R 00001 00398 015 2111300 2024 CP1SM382*")</f>
        <v>0</v>
      </c>
      <c r="E8203"/>
      <c r="F8203" s="35">
        <f>SUMIFS(F8204:F9015,K8204:K9015,"0",B8204:B9015,"5 1 3 9 8 12 31111 6 M59 11000 000132 0000R 00001 00398 015 2111300 2024 CP1SM382*")</f>
        <v>16929.75</v>
      </c>
      <c r="G8203" s="35">
        <f>SUMIFS(G8204:G9015,K8204:K9015,"0",B8204:B9015,"5 1 3 9 8 12 31111 6 M59 11000 000132 0000R 00001 00398 015 2111300 2024 CP1SM382*")</f>
        <v>0</v>
      </c>
      <c r="H8203" s="35">
        <f t="shared" si="129"/>
        <v>16929.75</v>
      </c>
      <c r="I8203" s="35"/>
      <c r="K8203" t="s">
        <v>15</v>
      </c>
    </row>
    <row r="8204" spans="2:11" ht="41.25" x14ac:dyDescent="0.2">
      <c r="B8204" s="33" t="s">
        <v>9330</v>
      </c>
      <c r="C8204" s="33" t="s">
        <v>282</v>
      </c>
      <c r="D8204" s="35">
        <f>SUMIFS(D8205:D9015,K8205:K9015,"0",B8205:B9015,"5 1 3 9 8 12 31111 6 M59 11000 000132 0000R 00001 00398 015 2111300 2024 CP1SM382 001*")-SUMIFS(E8205:E9015,K8205:K9015,"0",B8205:B9015,"5 1 3 9 8 12 31111 6 M59 11000 000132 0000R 00001 00398 015 2111300 2024 CP1SM382 001*")</f>
        <v>0</v>
      </c>
      <c r="E8204"/>
      <c r="F8204" s="35">
        <f>SUMIFS(F8205:F9015,K8205:K9015,"0",B8205:B9015,"5 1 3 9 8 12 31111 6 M59 11000 000132 0000R 00001 00398 015 2111300 2024 CP1SM382 001*")</f>
        <v>16929.75</v>
      </c>
      <c r="G8204" s="35">
        <f>SUMIFS(G8205:G9015,K8205:K9015,"0",B8205:B9015,"5 1 3 9 8 12 31111 6 M59 11000 000132 0000R 00001 00398 015 2111300 2024 CP1SM382 001*")</f>
        <v>0</v>
      </c>
      <c r="H8204" s="35">
        <f t="shared" si="129"/>
        <v>16929.75</v>
      </c>
      <c r="I8204" s="35"/>
      <c r="K8204" t="s">
        <v>15</v>
      </c>
    </row>
    <row r="8205" spans="2:11" ht="33" x14ac:dyDescent="0.2">
      <c r="B8205" s="31" t="s">
        <v>9331</v>
      </c>
      <c r="C8205" s="31" t="s">
        <v>9254</v>
      </c>
      <c r="D8205" s="34">
        <v>0</v>
      </c>
      <c r="E8205" s="34"/>
      <c r="F8205" s="34">
        <v>16929.75</v>
      </c>
      <c r="G8205" s="34">
        <v>0</v>
      </c>
      <c r="H8205" s="34">
        <f t="shared" si="129"/>
        <v>16929.75</v>
      </c>
      <c r="I8205" s="34"/>
      <c r="K8205" t="s">
        <v>38</v>
      </c>
    </row>
    <row r="8206" spans="2:11" ht="16.5" x14ac:dyDescent="0.2">
      <c r="B8206" s="33" t="s">
        <v>9332</v>
      </c>
      <c r="C8206" s="33" t="s">
        <v>3032</v>
      </c>
      <c r="D8206" s="35">
        <f>SUMIFS(D8207:D9015,K8207:K9015,"0",B8207:B9015,"5 1 3 9 8 12 31111 6 M59 12000*")-SUMIFS(E8207:E9015,K8207:K9015,"0",B8207:B9015,"5 1 3 9 8 12 31111 6 M59 12000*")</f>
        <v>0</v>
      </c>
      <c r="E8206"/>
      <c r="F8206" s="35">
        <f>SUMIFS(F8207:F9015,K8207:K9015,"0",B8207:B9015,"5 1 3 9 8 12 31111 6 M59 12000*")</f>
        <v>4516.46</v>
      </c>
      <c r="G8206" s="35">
        <f>SUMIFS(G8207:G9015,K8207:K9015,"0",B8207:B9015,"5 1 3 9 8 12 31111 6 M59 12000*")</f>
        <v>0</v>
      </c>
      <c r="H8206" s="35">
        <f t="shared" si="129"/>
        <v>4516.46</v>
      </c>
      <c r="I8206" s="35"/>
      <c r="K8206" t="s">
        <v>15</v>
      </c>
    </row>
    <row r="8207" spans="2:11" ht="16.5" x14ac:dyDescent="0.2">
      <c r="B8207" s="33" t="s">
        <v>9333</v>
      </c>
      <c r="C8207" s="33" t="s">
        <v>3034</v>
      </c>
      <c r="D8207" s="35">
        <f>SUMIFS(D8208:D9015,K8208:K9015,"0",B8208:B9015,"5 1 3 9 8 12 31111 6 M59 12000 000121*")-SUMIFS(E8208:E9015,K8208:K9015,"0",B8208:B9015,"5 1 3 9 8 12 31111 6 M59 12000 000121*")</f>
        <v>0</v>
      </c>
      <c r="E8207"/>
      <c r="F8207" s="35">
        <f>SUMIFS(F8208:F9015,K8208:K9015,"0",B8208:B9015,"5 1 3 9 8 12 31111 6 M59 12000 000121*")</f>
        <v>4516.46</v>
      </c>
      <c r="G8207" s="35">
        <f>SUMIFS(G8208:G9015,K8208:K9015,"0",B8208:B9015,"5 1 3 9 8 12 31111 6 M59 12000 000121*")</f>
        <v>0</v>
      </c>
      <c r="H8207" s="35">
        <f t="shared" si="129"/>
        <v>4516.46</v>
      </c>
      <c r="I8207" s="35"/>
      <c r="K8207" t="s">
        <v>15</v>
      </c>
    </row>
    <row r="8208" spans="2:11" ht="24.75" x14ac:dyDescent="0.2">
      <c r="B8208" s="33" t="s">
        <v>9334</v>
      </c>
      <c r="C8208" s="33" t="s">
        <v>1065</v>
      </c>
      <c r="D8208" s="35">
        <f>SUMIFS(D8209:D9015,K8209:K9015,"0",B8209:B9015,"5 1 3 9 8 12 31111 6 M59 12000 000121 0000E*")-SUMIFS(E8209:E9015,K8209:K9015,"0",B8209:B9015,"5 1 3 9 8 12 31111 6 M59 12000 000121 0000E*")</f>
        <v>0</v>
      </c>
      <c r="E8208"/>
      <c r="F8208" s="35">
        <f>SUMIFS(F8209:F9015,K8209:K9015,"0",B8209:B9015,"5 1 3 9 8 12 31111 6 M59 12000 000121 0000E*")</f>
        <v>4516.46</v>
      </c>
      <c r="G8208" s="35">
        <f>SUMIFS(G8209:G9015,K8209:K9015,"0",B8209:B9015,"5 1 3 9 8 12 31111 6 M59 12000 000121 0000E*")</f>
        <v>0</v>
      </c>
      <c r="H8208" s="35">
        <f t="shared" si="129"/>
        <v>4516.46</v>
      </c>
      <c r="I8208" s="35"/>
      <c r="K8208" t="s">
        <v>15</v>
      </c>
    </row>
    <row r="8209" spans="2:11" ht="24.75" x14ac:dyDescent="0.2">
      <c r="B8209" s="33" t="s">
        <v>9335</v>
      </c>
      <c r="C8209" s="33" t="s">
        <v>282</v>
      </c>
      <c r="D8209" s="35">
        <f>SUMIFS(D8210:D9015,K8210:K9015,"0",B8210:B9015,"5 1 3 9 8 12 31111 6 M59 12000 000121 0000E 00001*")-SUMIFS(E8210:E9015,K8210:K9015,"0",B8210:B9015,"5 1 3 9 8 12 31111 6 M59 12000 000121 0000E 00001*")</f>
        <v>0</v>
      </c>
      <c r="E8209"/>
      <c r="F8209" s="35">
        <f>SUMIFS(F8210:F9015,K8210:K9015,"0",B8210:B9015,"5 1 3 9 8 12 31111 6 M59 12000 000121 0000E 00001*")</f>
        <v>4516.46</v>
      </c>
      <c r="G8209" s="35">
        <f>SUMIFS(G8210:G9015,K8210:K9015,"0",B8210:B9015,"5 1 3 9 8 12 31111 6 M59 12000 000121 0000E 00001*")</f>
        <v>0</v>
      </c>
      <c r="H8209" s="35">
        <f t="shared" si="129"/>
        <v>4516.46</v>
      </c>
      <c r="I8209" s="35"/>
      <c r="K8209" t="s">
        <v>15</v>
      </c>
    </row>
    <row r="8210" spans="2:11" ht="24.75" x14ac:dyDescent="0.2">
      <c r="B8210" s="33" t="s">
        <v>9336</v>
      </c>
      <c r="C8210" s="33" t="s">
        <v>9247</v>
      </c>
      <c r="D8210" s="35">
        <f>SUMIFS(D8211:D9015,K8211:K9015,"0",B8211:B9015,"5 1 3 9 8 12 31111 6 M59 12000 000121 0000E 00001 00398*")-SUMIFS(E8211:E9015,K8211:K9015,"0",B8211:B9015,"5 1 3 9 8 12 31111 6 M59 12000 000121 0000E 00001 00398*")</f>
        <v>0</v>
      </c>
      <c r="E8210"/>
      <c r="F8210" s="35">
        <f>SUMIFS(F8211:F9015,K8211:K9015,"0",B8211:B9015,"5 1 3 9 8 12 31111 6 M59 12000 000121 0000E 00001 00398*")</f>
        <v>4516.46</v>
      </c>
      <c r="G8210" s="35">
        <f>SUMIFS(G8211:G9015,K8211:K9015,"0",B8211:B9015,"5 1 3 9 8 12 31111 6 M59 12000 000121 0000E 00001 00398*")</f>
        <v>0</v>
      </c>
      <c r="H8210" s="35">
        <f t="shared" si="129"/>
        <v>4516.46</v>
      </c>
      <c r="I8210" s="35"/>
      <c r="K8210" t="s">
        <v>15</v>
      </c>
    </row>
    <row r="8211" spans="2:11" ht="33" x14ac:dyDescent="0.2">
      <c r="B8211" s="33" t="s">
        <v>9337</v>
      </c>
      <c r="C8211" s="33" t="s">
        <v>1051</v>
      </c>
      <c r="D8211" s="35">
        <f>SUMIFS(D8212:D9015,K8212:K9015,"0",B8212:B9015,"5 1 3 9 8 12 31111 6 M59 12000 000121 0000E 00001 00398 015*")-SUMIFS(E8212:E9015,K8212:K9015,"0",B8212:B9015,"5 1 3 9 8 12 31111 6 M59 12000 000121 0000E 00001 00398 015*")</f>
        <v>0</v>
      </c>
      <c r="E8211"/>
      <c r="F8211" s="35">
        <f>SUMIFS(F8212:F9015,K8212:K9015,"0",B8212:B9015,"5 1 3 9 8 12 31111 6 M59 12000 000121 0000E 00001 00398 015*")</f>
        <v>4516.46</v>
      </c>
      <c r="G8211" s="35">
        <f>SUMIFS(G8212:G9015,K8212:K9015,"0",B8212:B9015,"5 1 3 9 8 12 31111 6 M59 12000 000121 0000E 00001 00398 015*")</f>
        <v>0</v>
      </c>
      <c r="H8211" s="35">
        <f t="shared" si="129"/>
        <v>4516.46</v>
      </c>
      <c r="I8211" s="35"/>
      <c r="K8211" t="s">
        <v>15</v>
      </c>
    </row>
    <row r="8212" spans="2:11" ht="33" x14ac:dyDescent="0.2">
      <c r="B8212" s="33" t="s">
        <v>9338</v>
      </c>
      <c r="C8212" s="33" t="s">
        <v>8550</v>
      </c>
      <c r="D8212" s="35">
        <f>SUMIFS(D8213:D9015,K8213:K9015,"0",B8213:B9015,"5 1 3 9 8 12 31111 6 M59 12000 000121 0000E 00001 00398 015 2111300*")-SUMIFS(E8213:E9015,K8213:K9015,"0",B8213:B9015,"5 1 3 9 8 12 31111 6 M59 12000 000121 0000E 00001 00398 015 2111300*")</f>
        <v>0</v>
      </c>
      <c r="E8212"/>
      <c r="F8212" s="35">
        <f>SUMIFS(F8213:F9015,K8213:K9015,"0",B8213:B9015,"5 1 3 9 8 12 31111 6 M59 12000 000121 0000E 00001 00398 015 2111300*")</f>
        <v>4516.46</v>
      </c>
      <c r="G8212" s="35">
        <f>SUMIFS(G8213:G9015,K8213:K9015,"0",B8213:B9015,"5 1 3 9 8 12 31111 6 M59 12000 000121 0000E 00001 00398 015 2111300*")</f>
        <v>0</v>
      </c>
      <c r="H8212" s="35">
        <f t="shared" si="129"/>
        <v>4516.46</v>
      </c>
      <c r="I8212" s="35"/>
      <c r="K8212" t="s">
        <v>15</v>
      </c>
    </row>
    <row r="8213" spans="2:11" ht="33" x14ac:dyDescent="0.2">
      <c r="B8213" s="33" t="s">
        <v>9339</v>
      </c>
      <c r="C8213" s="33" t="s">
        <v>660</v>
      </c>
      <c r="D8213" s="35">
        <f>SUMIFS(D8214:D9015,K8214:K9015,"0",B8214:B9015,"5 1 3 9 8 12 31111 6 M59 12000 000121 0000E 00001 00398 015 2111300 2024*")-SUMIFS(E8214:E9015,K8214:K9015,"0",B8214:B9015,"5 1 3 9 8 12 31111 6 M59 12000 000121 0000E 00001 00398 015 2111300 2024*")</f>
        <v>0</v>
      </c>
      <c r="E8213"/>
      <c r="F8213" s="35">
        <f>SUMIFS(F8214:F9015,K8214:K9015,"0",B8214:B9015,"5 1 3 9 8 12 31111 6 M59 12000 000121 0000E 00001 00398 015 2111300 2024*")</f>
        <v>4516.46</v>
      </c>
      <c r="G8213" s="35">
        <f>SUMIFS(G8214:G9015,K8214:K9015,"0",B8214:B9015,"5 1 3 9 8 12 31111 6 M59 12000 000121 0000E 00001 00398 015 2111300 2024*")</f>
        <v>0</v>
      </c>
      <c r="H8213" s="35">
        <f t="shared" si="129"/>
        <v>4516.46</v>
      </c>
      <c r="I8213" s="35"/>
      <c r="K8213" t="s">
        <v>15</v>
      </c>
    </row>
    <row r="8214" spans="2:11" ht="41.25" x14ac:dyDescent="0.2">
      <c r="B8214" s="33" t="s">
        <v>9340</v>
      </c>
      <c r="C8214" s="33" t="s">
        <v>662</v>
      </c>
      <c r="D8214" s="35">
        <f>SUMIFS(D8215:D9015,K8215:K9015,"0",B8215:B9015,"5 1 3 9 8 12 31111 6 M59 12000 000121 0000E 00001 00398 015 2111300 2024 CP1CI591*")-SUMIFS(E8215:E9015,K8215:K9015,"0",B8215:B9015,"5 1 3 9 8 12 31111 6 M59 12000 000121 0000E 00001 00398 015 2111300 2024 CP1CI591*")</f>
        <v>0</v>
      </c>
      <c r="E8214"/>
      <c r="F8214" s="35">
        <f>SUMIFS(F8215:F9015,K8215:K9015,"0",B8215:B9015,"5 1 3 9 8 12 31111 6 M59 12000 000121 0000E 00001 00398 015 2111300 2024 CP1CI591*")</f>
        <v>4516.46</v>
      </c>
      <c r="G8214" s="35">
        <f>SUMIFS(G8215:G9015,K8215:K9015,"0",B8215:B9015,"5 1 3 9 8 12 31111 6 M59 12000 000121 0000E 00001 00398 015 2111300 2024 CP1CI591*")</f>
        <v>0</v>
      </c>
      <c r="H8214" s="35">
        <f t="shared" si="129"/>
        <v>4516.46</v>
      </c>
      <c r="I8214" s="35"/>
      <c r="K8214" t="s">
        <v>15</v>
      </c>
    </row>
    <row r="8215" spans="2:11" ht="41.25" x14ac:dyDescent="0.2">
      <c r="B8215" s="33" t="s">
        <v>9341</v>
      </c>
      <c r="C8215" s="33" t="s">
        <v>282</v>
      </c>
      <c r="D8215" s="35">
        <f>SUMIFS(D8216:D9015,K8216:K9015,"0",B8216:B9015,"5 1 3 9 8 12 31111 6 M59 12000 000121 0000E 00001 00398 015 2111300 2024 CP1CI591 001*")-SUMIFS(E8216:E9015,K8216:K9015,"0",B8216:B9015,"5 1 3 9 8 12 31111 6 M59 12000 000121 0000E 00001 00398 015 2111300 2024 CP1CI591 001*")</f>
        <v>0</v>
      </c>
      <c r="E8215"/>
      <c r="F8215" s="35">
        <f>SUMIFS(F8216:F9015,K8216:K9015,"0",B8216:B9015,"5 1 3 9 8 12 31111 6 M59 12000 000121 0000E 00001 00398 015 2111300 2024 CP1CI591 001*")</f>
        <v>4516.46</v>
      </c>
      <c r="G8215" s="35">
        <f>SUMIFS(G8216:G9015,K8216:K9015,"0",B8216:B9015,"5 1 3 9 8 12 31111 6 M59 12000 000121 0000E 00001 00398 015 2111300 2024 CP1CI591 001*")</f>
        <v>0</v>
      </c>
      <c r="H8215" s="35">
        <f t="shared" si="129"/>
        <v>4516.46</v>
      </c>
      <c r="I8215" s="35"/>
      <c r="K8215" t="s">
        <v>15</v>
      </c>
    </row>
    <row r="8216" spans="2:11" ht="33" x14ac:dyDescent="0.2">
      <c r="B8216" s="31" t="s">
        <v>9342</v>
      </c>
      <c r="C8216" s="31" t="s">
        <v>9254</v>
      </c>
      <c r="D8216" s="34">
        <v>0</v>
      </c>
      <c r="E8216" s="34"/>
      <c r="F8216" s="34">
        <v>4516.46</v>
      </c>
      <c r="G8216" s="34">
        <v>0</v>
      </c>
      <c r="H8216" s="34">
        <f t="shared" si="129"/>
        <v>4516.46</v>
      </c>
      <c r="I8216" s="34"/>
      <c r="K8216" t="s">
        <v>38</v>
      </c>
    </row>
    <row r="8217" spans="2:11" ht="24.75" x14ac:dyDescent="0.2">
      <c r="B8217" s="33" t="s">
        <v>9343</v>
      </c>
      <c r="C8217" s="33" t="s">
        <v>3045</v>
      </c>
      <c r="D8217" s="35">
        <f>SUMIFS(D8218:D9015,K8218:K9015,"0",B8218:B9015,"5 1 3 9 8 12 31111 6 M59 12100*")-SUMIFS(E8218:E9015,K8218:K9015,"0",B8218:B9015,"5 1 3 9 8 12 31111 6 M59 12100*")</f>
        <v>0</v>
      </c>
      <c r="E8217"/>
      <c r="F8217" s="35">
        <f>SUMIFS(F8218:F9015,K8218:K9015,"0",B8218:B9015,"5 1 3 9 8 12 31111 6 M59 12100*")</f>
        <v>3091.01</v>
      </c>
      <c r="G8217" s="35">
        <f>SUMIFS(G8218:G9015,K8218:K9015,"0",B8218:B9015,"5 1 3 9 8 12 31111 6 M59 12100*")</f>
        <v>0</v>
      </c>
      <c r="H8217" s="35">
        <f t="shared" si="129"/>
        <v>3091.01</v>
      </c>
      <c r="I8217" s="35"/>
      <c r="K8217" t="s">
        <v>15</v>
      </c>
    </row>
    <row r="8218" spans="2:11" ht="16.5" x14ac:dyDescent="0.2">
      <c r="B8218" s="33" t="s">
        <v>9344</v>
      </c>
      <c r="C8218" s="33" t="s">
        <v>648</v>
      </c>
      <c r="D8218" s="35">
        <f>SUMIFS(D8219:D9015,K8219:K9015,"0",B8219:B9015,"5 1 3 9 8 12 31111 6 M59 12100 000132*")-SUMIFS(E8219:E9015,K8219:K9015,"0",B8219:B9015,"5 1 3 9 8 12 31111 6 M59 12100 000132*")</f>
        <v>0</v>
      </c>
      <c r="E8218"/>
      <c r="F8218" s="35">
        <f>SUMIFS(F8219:F9015,K8219:K9015,"0",B8219:B9015,"5 1 3 9 8 12 31111 6 M59 12100 000132*")</f>
        <v>3091.01</v>
      </c>
      <c r="G8218" s="35">
        <f>SUMIFS(G8219:G9015,K8219:K9015,"0",B8219:B9015,"5 1 3 9 8 12 31111 6 M59 12100 000132*")</f>
        <v>0</v>
      </c>
      <c r="H8218" s="35">
        <f t="shared" si="129"/>
        <v>3091.01</v>
      </c>
      <c r="I8218" s="35"/>
      <c r="K8218" t="s">
        <v>15</v>
      </c>
    </row>
    <row r="8219" spans="2:11" ht="24.75" x14ac:dyDescent="0.2">
      <c r="B8219" s="33" t="s">
        <v>9345</v>
      </c>
      <c r="C8219" s="33" t="s">
        <v>650</v>
      </c>
      <c r="D8219" s="35">
        <f>SUMIFS(D8220:D9015,K8220:K9015,"0",B8220:B9015,"5 1 3 9 8 12 31111 6 M59 12100 000132 0000R*")-SUMIFS(E8220:E9015,K8220:K9015,"0",B8220:B9015,"5 1 3 9 8 12 31111 6 M59 12100 000132 0000R*")</f>
        <v>0</v>
      </c>
      <c r="E8219"/>
      <c r="F8219" s="35">
        <f>SUMIFS(F8220:F9015,K8220:K9015,"0",B8220:B9015,"5 1 3 9 8 12 31111 6 M59 12100 000132 0000R*")</f>
        <v>3091.01</v>
      </c>
      <c r="G8219" s="35">
        <f>SUMIFS(G8220:G9015,K8220:K9015,"0",B8220:B9015,"5 1 3 9 8 12 31111 6 M59 12100 000132 0000R*")</f>
        <v>0</v>
      </c>
      <c r="H8219" s="35">
        <f t="shared" si="129"/>
        <v>3091.01</v>
      </c>
      <c r="I8219" s="35"/>
      <c r="K8219" t="s">
        <v>15</v>
      </c>
    </row>
    <row r="8220" spans="2:11" ht="24.75" x14ac:dyDescent="0.2">
      <c r="B8220" s="33" t="s">
        <v>9346</v>
      </c>
      <c r="C8220" s="33" t="s">
        <v>282</v>
      </c>
      <c r="D8220" s="35">
        <f>SUMIFS(D8221:D9015,K8221:K9015,"0",B8221:B9015,"5 1 3 9 8 12 31111 6 M59 12100 000132 0000R 00001*")-SUMIFS(E8221:E9015,K8221:K9015,"0",B8221:B9015,"5 1 3 9 8 12 31111 6 M59 12100 000132 0000R 00001*")</f>
        <v>0</v>
      </c>
      <c r="E8220"/>
      <c r="F8220" s="35">
        <f>SUMIFS(F8221:F9015,K8221:K9015,"0",B8221:B9015,"5 1 3 9 8 12 31111 6 M59 12100 000132 0000R 00001*")</f>
        <v>3091.01</v>
      </c>
      <c r="G8220" s="35">
        <f>SUMIFS(G8221:G9015,K8221:K9015,"0",B8221:B9015,"5 1 3 9 8 12 31111 6 M59 12100 000132 0000R 00001*")</f>
        <v>0</v>
      </c>
      <c r="H8220" s="35">
        <f t="shared" si="129"/>
        <v>3091.01</v>
      </c>
      <c r="I8220" s="35"/>
      <c r="K8220" t="s">
        <v>15</v>
      </c>
    </row>
    <row r="8221" spans="2:11" ht="24.75" x14ac:dyDescent="0.2">
      <c r="B8221" s="33" t="s">
        <v>9347</v>
      </c>
      <c r="C8221" s="33" t="s">
        <v>9247</v>
      </c>
      <c r="D8221" s="35">
        <f>SUMIFS(D8222:D9015,K8222:K9015,"0",B8222:B9015,"5 1 3 9 8 12 31111 6 M59 12100 000132 0000R 00001 00398*")-SUMIFS(E8222:E9015,K8222:K9015,"0",B8222:B9015,"5 1 3 9 8 12 31111 6 M59 12100 000132 0000R 00001 00398*")</f>
        <v>0</v>
      </c>
      <c r="E8221"/>
      <c r="F8221" s="35">
        <f>SUMIFS(F8222:F9015,K8222:K9015,"0",B8222:B9015,"5 1 3 9 8 12 31111 6 M59 12100 000132 0000R 00001 00398*")</f>
        <v>3091.01</v>
      </c>
      <c r="G8221" s="35">
        <f>SUMIFS(G8222:G9015,K8222:K9015,"0",B8222:B9015,"5 1 3 9 8 12 31111 6 M59 12100 000132 0000R 00001 00398*")</f>
        <v>0</v>
      </c>
      <c r="H8221" s="35">
        <f t="shared" si="129"/>
        <v>3091.01</v>
      </c>
      <c r="I8221" s="35"/>
      <c r="K8221" t="s">
        <v>15</v>
      </c>
    </row>
    <row r="8222" spans="2:11" ht="33" x14ac:dyDescent="0.2">
      <c r="B8222" s="33" t="s">
        <v>9348</v>
      </c>
      <c r="C8222" s="33" t="s">
        <v>1051</v>
      </c>
      <c r="D8222" s="35">
        <f>SUMIFS(D8223:D9015,K8223:K9015,"0",B8223:B9015,"5 1 3 9 8 12 31111 6 M59 12100 000132 0000R 00001 00398 015*")-SUMIFS(E8223:E9015,K8223:K9015,"0",B8223:B9015,"5 1 3 9 8 12 31111 6 M59 12100 000132 0000R 00001 00398 015*")</f>
        <v>0</v>
      </c>
      <c r="E8222"/>
      <c r="F8222" s="35">
        <f>SUMIFS(F8223:F9015,K8223:K9015,"0",B8223:B9015,"5 1 3 9 8 12 31111 6 M59 12100 000132 0000R 00001 00398 015*")</f>
        <v>3091.01</v>
      </c>
      <c r="G8222" s="35">
        <f>SUMIFS(G8223:G9015,K8223:K9015,"0",B8223:B9015,"5 1 3 9 8 12 31111 6 M59 12100 000132 0000R 00001 00398 015*")</f>
        <v>0</v>
      </c>
      <c r="H8222" s="35">
        <f t="shared" si="129"/>
        <v>3091.01</v>
      </c>
      <c r="I8222" s="35"/>
      <c r="K8222" t="s">
        <v>15</v>
      </c>
    </row>
    <row r="8223" spans="2:11" ht="33" x14ac:dyDescent="0.2">
      <c r="B8223" s="33" t="s">
        <v>9349</v>
      </c>
      <c r="C8223" s="33" t="s">
        <v>8550</v>
      </c>
      <c r="D8223" s="35">
        <f>SUMIFS(D8224:D9015,K8224:K9015,"0",B8224:B9015,"5 1 3 9 8 12 31111 6 M59 12100 000132 0000R 00001 00398 015 2111300*")-SUMIFS(E8224:E9015,K8224:K9015,"0",B8224:B9015,"5 1 3 9 8 12 31111 6 M59 12100 000132 0000R 00001 00398 015 2111300*")</f>
        <v>0</v>
      </c>
      <c r="E8223"/>
      <c r="F8223" s="35">
        <f>SUMIFS(F8224:F9015,K8224:K9015,"0",B8224:B9015,"5 1 3 9 8 12 31111 6 M59 12100 000132 0000R 00001 00398 015 2111300*")</f>
        <v>3091.01</v>
      </c>
      <c r="G8223" s="35">
        <f>SUMIFS(G8224:G9015,K8224:K9015,"0",B8224:B9015,"5 1 3 9 8 12 31111 6 M59 12100 000132 0000R 00001 00398 015 2111300*")</f>
        <v>0</v>
      </c>
      <c r="H8223" s="35">
        <f t="shared" si="129"/>
        <v>3091.01</v>
      </c>
      <c r="I8223" s="35"/>
      <c r="K8223" t="s">
        <v>15</v>
      </c>
    </row>
    <row r="8224" spans="2:11" ht="33" x14ac:dyDescent="0.2">
      <c r="B8224" s="33" t="s">
        <v>9350</v>
      </c>
      <c r="C8224" s="33" t="s">
        <v>660</v>
      </c>
      <c r="D8224" s="35">
        <f>SUMIFS(D8225:D9015,K8225:K9015,"0",B8225:B9015,"5 1 3 9 8 12 31111 6 M59 12100 000132 0000R 00001 00398 015 2111300 2024*")-SUMIFS(E8225:E9015,K8225:K9015,"0",B8225:B9015,"5 1 3 9 8 12 31111 6 M59 12100 000132 0000R 00001 00398 015 2111300 2024*")</f>
        <v>0</v>
      </c>
      <c r="E8224"/>
      <c r="F8224" s="35">
        <f>SUMIFS(F8225:F9015,K8225:K9015,"0",B8225:B9015,"5 1 3 9 8 12 31111 6 M59 12100 000132 0000R 00001 00398 015 2111300 2024*")</f>
        <v>3091.01</v>
      </c>
      <c r="G8224" s="35">
        <f>SUMIFS(G8225:G9015,K8225:K9015,"0",B8225:B9015,"5 1 3 9 8 12 31111 6 M59 12100 000132 0000R 00001 00398 015 2111300 2024*")</f>
        <v>0</v>
      </c>
      <c r="H8224" s="35">
        <f t="shared" si="129"/>
        <v>3091.01</v>
      </c>
      <c r="I8224" s="35"/>
      <c r="K8224" t="s">
        <v>15</v>
      </c>
    </row>
    <row r="8225" spans="2:11" ht="41.25" x14ac:dyDescent="0.2">
      <c r="B8225" s="33" t="s">
        <v>9351</v>
      </c>
      <c r="C8225" s="33" t="s">
        <v>1056</v>
      </c>
      <c r="D8225" s="35">
        <f>SUMIFS(D8226:D9015,K8226:K9015,"0",B8226:B9015,"5 1 3 9 8 12 31111 6 M59 12100 000132 0000R 00001 00398 015 2111300 2024 CP1TR430*")-SUMIFS(E8226:E9015,K8226:K9015,"0",B8226:B9015,"5 1 3 9 8 12 31111 6 M59 12100 000132 0000R 00001 00398 015 2111300 2024 CP1TR430*")</f>
        <v>0</v>
      </c>
      <c r="E8225"/>
      <c r="F8225" s="35">
        <f>SUMIFS(F8226:F9015,K8226:K9015,"0",B8226:B9015,"5 1 3 9 8 12 31111 6 M59 12100 000132 0000R 00001 00398 015 2111300 2024 CP1TR430*")</f>
        <v>3091.01</v>
      </c>
      <c r="G8225" s="35">
        <f>SUMIFS(G8226:G9015,K8226:K9015,"0",B8226:B9015,"5 1 3 9 8 12 31111 6 M59 12100 000132 0000R 00001 00398 015 2111300 2024 CP1TR430*")</f>
        <v>0</v>
      </c>
      <c r="H8225" s="35">
        <f t="shared" si="129"/>
        <v>3091.01</v>
      </c>
      <c r="I8225" s="35"/>
      <c r="K8225" t="s">
        <v>15</v>
      </c>
    </row>
    <row r="8226" spans="2:11" ht="41.25" x14ac:dyDescent="0.2">
      <c r="B8226" s="33" t="s">
        <v>9352</v>
      </c>
      <c r="C8226" s="33" t="s">
        <v>282</v>
      </c>
      <c r="D8226" s="35">
        <f>SUMIFS(D8227:D9015,K8227:K9015,"0",B8227:B9015,"5 1 3 9 8 12 31111 6 M59 12100 000132 0000R 00001 00398 015 2111300 2024 CP1TR430 001*")-SUMIFS(E8227:E9015,K8227:K9015,"0",B8227:B9015,"5 1 3 9 8 12 31111 6 M59 12100 000132 0000R 00001 00398 015 2111300 2024 CP1TR430 001*")</f>
        <v>0</v>
      </c>
      <c r="E8226"/>
      <c r="F8226" s="35">
        <f>SUMIFS(F8227:F9015,K8227:K9015,"0",B8227:B9015,"5 1 3 9 8 12 31111 6 M59 12100 000132 0000R 00001 00398 015 2111300 2024 CP1TR430 001*")</f>
        <v>3091.01</v>
      </c>
      <c r="G8226" s="35">
        <f>SUMIFS(G8227:G9015,K8227:K9015,"0",B8227:B9015,"5 1 3 9 8 12 31111 6 M59 12100 000132 0000R 00001 00398 015 2111300 2024 CP1TR430 001*")</f>
        <v>0</v>
      </c>
      <c r="H8226" s="35">
        <f t="shared" si="129"/>
        <v>3091.01</v>
      </c>
      <c r="I8226" s="35"/>
      <c r="K8226" t="s">
        <v>15</v>
      </c>
    </row>
    <row r="8227" spans="2:11" ht="33" x14ac:dyDescent="0.2">
      <c r="B8227" s="31" t="s">
        <v>9353</v>
      </c>
      <c r="C8227" s="31" t="s">
        <v>9254</v>
      </c>
      <c r="D8227" s="34">
        <v>0</v>
      </c>
      <c r="E8227" s="34"/>
      <c r="F8227" s="34">
        <v>3091.01</v>
      </c>
      <c r="G8227" s="34">
        <v>0</v>
      </c>
      <c r="H8227" s="34">
        <f t="shared" si="129"/>
        <v>3091.01</v>
      </c>
      <c r="I8227" s="34"/>
      <c r="K8227" t="s">
        <v>38</v>
      </c>
    </row>
    <row r="8228" spans="2:11" ht="16.5" x14ac:dyDescent="0.2">
      <c r="B8228" s="33" t="s">
        <v>9354</v>
      </c>
      <c r="C8228" s="33" t="s">
        <v>1044</v>
      </c>
      <c r="D8228" s="35">
        <f>SUMIFS(D8229:D9015,K8229:K9015,"0",B8229:B9015,"5 1 3 9 8 12 31111 6 M59 19000*")-SUMIFS(E8229:E9015,K8229:K9015,"0",B8229:B9015,"5 1 3 9 8 12 31111 6 M59 19000*")</f>
        <v>0</v>
      </c>
      <c r="E8228"/>
      <c r="F8228" s="35">
        <f>SUMIFS(F8229:F9015,K8229:K9015,"0",B8229:B9015,"5 1 3 9 8 12 31111 6 M59 19000*")</f>
        <v>13083.8</v>
      </c>
      <c r="G8228" s="35">
        <f>SUMIFS(G8229:G9015,K8229:K9015,"0",B8229:B9015,"5 1 3 9 8 12 31111 6 M59 19000*")</f>
        <v>0</v>
      </c>
      <c r="H8228" s="35">
        <f t="shared" si="129"/>
        <v>13083.8</v>
      </c>
      <c r="I8228" s="35"/>
      <c r="K8228" t="s">
        <v>15</v>
      </c>
    </row>
    <row r="8229" spans="2:11" ht="16.5" x14ac:dyDescent="0.2">
      <c r="B8229" s="33" t="s">
        <v>9355</v>
      </c>
      <c r="C8229" s="33" t="s">
        <v>648</v>
      </c>
      <c r="D8229" s="35">
        <f>SUMIFS(D8230:D9015,K8230:K9015,"0",B8230:B9015,"5 1 3 9 8 12 31111 6 M59 19000 000132*")-SUMIFS(E8230:E9015,K8230:K9015,"0",B8230:B9015,"5 1 3 9 8 12 31111 6 M59 19000 000132*")</f>
        <v>0</v>
      </c>
      <c r="E8229"/>
      <c r="F8229" s="35">
        <f>SUMIFS(F8230:F9015,K8230:K9015,"0",B8230:B9015,"5 1 3 9 8 12 31111 6 M59 19000 000132*")</f>
        <v>13083.8</v>
      </c>
      <c r="G8229" s="35">
        <f>SUMIFS(G8230:G9015,K8230:K9015,"0",B8230:B9015,"5 1 3 9 8 12 31111 6 M59 19000 000132*")</f>
        <v>0</v>
      </c>
      <c r="H8229" s="35">
        <f t="shared" si="129"/>
        <v>13083.8</v>
      </c>
      <c r="I8229" s="35"/>
      <c r="K8229" t="s">
        <v>15</v>
      </c>
    </row>
    <row r="8230" spans="2:11" ht="24.75" x14ac:dyDescent="0.2">
      <c r="B8230" s="33" t="s">
        <v>9356</v>
      </c>
      <c r="C8230" s="33" t="s">
        <v>650</v>
      </c>
      <c r="D8230" s="35">
        <f>SUMIFS(D8231:D9015,K8231:K9015,"0",B8231:B9015,"5 1 3 9 8 12 31111 6 M59 19000 000132 0000R*")-SUMIFS(E8231:E9015,K8231:K9015,"0",B8231:B9015,"5 1 3 9 8 12 31111 6 M59 19000 000132 0000R*")</f>
        <v>0</v>
      </c>
      <c r="E8230"/>
      <c r="F8230" s="35">
        <f>SUMIFS(F8231:F9015,K8231:K9015,"0",B8231:B9015,"5 1 3 9 8 12 31111 6 M59 19000 000132 0000R*")</f>
        <v>13083.8</v>
      </c>
      <c r="G8230" s="35">
        <f>SUMIFS(G8231:G9015,K8231:K9015,"0",B8231:B9015,"5 1 3 9 8 12 31111 6 M59 19000 000132 0000R*")</f>
        <v>0</v>
      </c>
      <c r="H8230" s="35">
        <f t="shared" si="129"/>
        <v>13083.8</v>
      </c>
      <c r="I8230" s="35"/>
      <c r="K8230" t="s">
        <v>15</v>
      </c>
    </row>
    <row r="8231" spans="2:11" ht="24.75" x14ac:dyDescent="0.2">
      <c r="B8231" s="33" t="s">
        <v>9357</v>
      </c>
      <c r="C8231" s="33" t="s">
        <v>282</v>
      </c>
      <c r="D8231" s="35">
        <f>SUMIFS(D8232:D9015,K8232:K9015,"0",B8232:B9015,"5 1 3 9 8 12 31111 6 M59 19000 000132 0000R 00001*")-SUMIFS(E8232:E9015,K8232:K9015,"0",B8232:B9015,"5 1 3 9 8 12 31111 6 M59 19000 000132 0000R 00001*")</f>
        <v>0</v>
      </c>
      <c r="E8231"/>
      <c r="F8231" s="35">
        <f>SUMIFS(F8232:F9015,K8232:K9015,"0",B8232:B9015,"5 1 3 9 8 12 31111 6 M59 19000 000132 0000R 00001*")</f>
        <v>13083.8</v>
      </c>
      <c r="G8231" s="35">
        <f>SUMIFS(G8232:G9015,K8232:K9015,"0",B8232:B9015,"5 1 3 9 8 12 31111 6 M59 19000 000132 0000R 00001*")</f>
        <v>0</v>
      </c>
      <c r="H8231" s="35">
        <f t="shared" si="129"/>
        <v>13083.8</v>
      </c>
      <c r="I8231" s="35"/>
      <c r="K8231" t="s">
        <v>15</v>
      </c>
    </row>
    <row r="8232" spans="2:11" ht="24.75" x14ac:dyDescent="0.2">
      <c r="B8232" s="33" t="s">
        <v>9358</v>
      </c>
      <c r="C8232" s="33" t="s">
        <v>9247</v>
      </c>
      <c r="D8232" s="35">
        <f>SUMIFS(D8233:D9015,K8233:K9015,"0",B8233:B9015,"5 1 3 9 8 12 31111 6 M59 19000 000132 0000R 00001 00398*")-SUMIFS(E8233:E9015,K8233:K9015,"0",B8233:B9015,"5 1 3 9 8 12 31111 6 M59 19000 000132 0000R 00001 00398*")</f>
        <v>0</v>
      </c>
      <c r="E8232"/>
      <c r="F8232" s="35">
        <f>SUMIFS(F8233:F9015,K8233:K9015,"0",B8233:B9015,"5 1 3 9 8 12 31111 6 M59 19000 000132 0000R 00001 00398*")</f>
        <v>13083.8</v>
      </c>
      <c r="G8232" s="35">
        <f>SUMIFS(G8233:G9015,K8233:K9015,"0",B8233:B9015,"5 1 3 9 8 12 31111 6 M59 19000 000132 0000R 00001 00398*")</f>
        <v>0</v>
      </c>
      <c r="H8232" s="35">
        <f t="shared" si="129"/>
        <v>13083.8</v>
      </c>
      <c r="I8232" s="35"/>
      <c r="K8232" t="s">
        <v>15</v>
      </c>
    </row>
    <row r="8233" spans="2:11" ht="33" x14ac:dyDescent="0.2">
      <c r="B8233" s="33" t="s">
        <v>9359</v>
      </c>
      <c r="C8233" s="33" t="s">
        <v>1051</v>
      </c>
      <c r="D8233" s="35">
        <f>SUMIFS(D8234:D9015,K8234:K9015,"0",B8234:B9015,"5 1 3 9 8 12 31111 6 M59 19000 000132 0000R 00001 00398 015*")-SUMIFS(E8234:E9015,K8234:K9015,"0",B8234:B9015,"5 1 3 9 8 12 31111 6 M59 19000 000132 0000R 00001 00398 015*")</f>
        <v>0</v>
      </c>
      <c r="E8233"/>
      <c r="F8233" s="35">
        <f>SUMIFS(F8234:F9015,K8234:K9015,"0",B8234:B9015,"5 1 3 9 8 12 31111 6 M59 19000 000132 0000R 00001 00398 015*")</f>
        <v>13083.8</v>
      </c>
      <c r="G8233" s="35">
        <f>SUMIFS(G8234:G9015,K8234:K9015,"0",B8234:B9015,"5 1 3 9 8 12 31111 6 M59 19000 000132 0000R 00001 00398 015*")</f>
        <v>0</v>
      </c>
      <c r="H8233" s="35">
        <f t="shared" si="129"/>
        <v>13083.8</v>
      </c>
      <c r="I8233" s="35"/>
      <c r="K8233" t="s">
        <v>15</v>
      </c>
    </row>
    <row r="8234" spans="2:11" ht="33" x14ac:dyDescent="0.2">
      <c r="B8234" s="33" t="s">
        <v>9360</v>
      </c>
      <c r="C8234" s="33" t="s">
        <v>8550</v>
      </c>
      <c r="D8234" s="35">
        <f>SUMIFS(D8235:D9015,K8235:K9015,"0",B8235:B9015,"5 1 3 9 8 12 31111 6 M59 19000 000132 0000R 00001 00398 015 2111300*")-SUMIFS(E8235:E9015,K8235:K9015,"0",B8235:B9015,"5 1 3 9 8 12 31111 6 M59 19000 000132 0000R 00001 00398 015 2111300*")</f>
        <v>0</v>
      </c>
      <c r="E8234"/>
      <c r="F8234" s="35">
        <f>SUMIFS(F8235:F9015,K8235:K9015,"0",B8235:B9015,"5 1 3 9 8 12 31111 6 M59 19000 000132 0000R 00001 00398 015 2111300*")</f>
        <v>13083.8</v>
      </c>
      <c r="G8234" s="35">
        <f>SUMIFS(G8235:G9015,K8235:K9015,"0",B8235:B9015,"5 1 3 9 8 12 31111 6 M59 19000 000132 0000R 00001 00398 015 2111300*")</f>
        <v>0</v>
      </c>
      <c r="H8234" s="35">
        <f t="shared" si="129"/>
        <v>13083.8</v>
      </c>
      <c r="I8234" s="35"/>
      <c r="K8234" t="s">
        <v>15</v>
      </c>
    </row>
    <row r="8235" spans="2:11" ht="33" x14ac:dyDescent="0.2">
      <c r="B8235" s="33" t="s">
        <v>9361</v>
      </c>
      <c r="C8235" s="33" t="s">
        <v>660</v>
      </c>
      <c r="D8235" s="35">
        <f>SUMIFS(D8236:D9015,K8236:K9015,"0",B8236:B9015,"5 1 3 9 8 12 31111 6 M59 19000 000132 0000R 00001 00398 015 2111300 2024*")-SUMIFS(E8236:E9015,K8236:K9015,"0",B8236:B9015,"5 1 3 9 8 12 31111 6 M59 19000 000132 0000R 00001 00398 015 2111300 2024*")</f>
        <v>0</v>
      </c>
      <c r="E8235"/>
      <c r="F8235" s="35">
        <f>SUMIFS(F8236:F9015,K8236:K9015,"0",B8236:B9015,"5 1 3 9 8 12 31111 6 M59 19000 000132 0000R 00001 00398 015 2111300 2024*")</f>
        <v>13083.8</v>
      </c>
      <c r="G8235" s="35">
        <f>SUMIFS(G8236:G9015,K8236:K9015,"0",B8236:B9015,"5 1 3 9 8 12 31111 6 M59 19000 000132 0000R 00001 00398 015 2111300 2024*")</f>
        <v>0</v>
      </c>
      <c r="H8235" s="35">
        <f t="shared" si="129"/>
        <v>13083.8</v>
      </c>
      <c r="I8235" s="35"/>
      <c r="K8235" t="s">
        <v>15</v>
      </c>
    </row>
    <row r="8236" spans="2:11" ht="41.25" x14ac:dyDescent="0.2">
      <c r="B8236" s="33" t="s">
        <v>9362</v>
      </c>
      <c r="C8236" s="33" t="s">
        <v>662</v>
      </c>
      <c r="D8236" s="35">
        <f>SUMIFS(D8237:D9015,K8237:K9015,"0",B8237:B9015,"5 1 3 9 8 12 31111 6 M59 19000 000132 0000R 00001 00398 015 2111300 2024 CP1TM440*")-SUMIFS(E8237:E9015,K8237:K9015,"0",B8237:B9015,"5 1 3 9 8 12 31111 6 M59 19000 000132 0000R 00001 00398 015 2111300 2024 CP1TM440*")</f>
        <v>0</v>
      </c>
      <c r="E8236"/>
      <c r="F8236" s="35">
        <f>SUMIFS(F8237:F9015,K8237:K9015,"0",B8237:B9015,"5 1 3 9 8 12 31111 6 M59 19000 000132 0000R 00001 00398 015 2111300 2024 CP1TM440*")</f>
        <v>13083.8</v>
      </c>
      <c r="G8236" s="35">
        <f>SUMIFS(G8237:G9015,K8237:K9015,"0",B8237:B9015,"5 1 3 9 8 12 31111 6 M59 19000 000132 0000R 00001 00398 015 2111300 2024 CP1TM440*")</f>
        <v>0</v>
      </c>
      <c r="H8236" s="35">
        <f t="shared" si="129"/>
        <v>13083.8</v>
      </c>
      <c r="I8236" s="35"/>
      <c r="K8236" t="s">
        <v>15</v>
      </c>
    </row>
    <row r="8237" spans="2:11" ht="41.25" x14ac:dyDescent="0.2">
      <c r="B8237" s="33" t="s">
        <v>9363</v>
      </c>
      <c r="C8237" s="33" t="s">
        <v>282</v>
      </c>
      <c r="D8237" s="35">
        <f>SUMIFS(D8238:D9015,K8238:K9015,"0",B8238:B9015,"5 1 3 9 8 12 31111 6 M59 19000 000132 0000R 00001 00398 015 2111300 2024 CP1TM440 001*")-SUMIFS(E8238:E9015,K8238:K9015,"0",B8238:B9015,"5 1 3 9 8 12 31111 6 M59 19000 000132 0000R 00001 00398 015 2111300 2024 CP1TM440 001*")</f>
        <v>0</v>
      </c>
      <c r="E8237"/>
      <c r="F8237" s="35">
        <f>SUMIFS(F8238:F9015,K8238:K9015,"0",B8238:B9015,"5 1 3 9 8 12 31111 6 M59 19000 000132 0000R 00001 00398 015 2111300 2024 CP1TM440 001*")</f>
        <v>13083.8</v>
      </c>
      <c r="G8237" s="35">
        <f>SUMIFS(G8238:G9015,K8238:K9015,"0",B8238:B9015,"5 1 3 9 8 12 31111 6 M59 19000 000132 0000R 00001 00398 015 2111300 2024 CP1TM440 001*")</f>
        <v>0</v>
      </c>
      <c r="H8237" s="35">
        <f t="shared" si="129"/>
        <v>13083.8</v>
      </c>
      <c r="I8237" s="35"/>
      <c r="K8237" t="s">
        <v>15</v>
      </c>
    </row>
    <row r="8238" spans="2:11" ht="33" x14ac:dyDescent="0.2">
      <c r="B8238" s="31" t="s">
        <v>9364</v>
      </c>
      <c r="C8238" s="31" t="s">
        <v>9254</v>
      </c>
      <c r="D8238" s="34">
        <v>0</v>
      </c>
      <c r="E8238" s="34"/>
      <c r="F8238" s="34">
        <v>13083.8</v>
      </c>
      <c r="G8238" s="34">
        <v>0</v>
      </c>
      <c r="H8238" s="34">
        <f t="shared" si="129"/>
        <v>13083.8</v>
      </c>
      <c r="I8238" s="34"/>
      <c r="K8238" t="s">
        <v>38</v>
      </c>
    </row>
    <row r="8239" spans="2:11" ht="16.5" x14ac:dyDescent="0.2">
      <c r="B8239" s="33" t="s">
        <v>9365</v>
      </c>
      <c r="C8239" s="33" t="s">
        <v>1044</v>
      </c>
      <c r="D8239" s="35">
        <f>SUMIFS(D8240:D9015,K8240:K9015,"0",B8240:B9015,"5 1 3 9 8 12 31111 6 M59 20000*")-SUMIFS(E8240:E9015,K8240:K9015,"0",B8240:B9015,"5 1 3 9 8 12 31111 6 M59 20000*")</f>
        <v>0</v>
      </c>
      <c r="E8239"/>
      <c r="F8239" s="35">
        <f>SUMIFS(F8240:F9015,K8240:K9015,"0",B8240:B9015,"5 1 3 9 8 12 31111 6 M59 20000*")</f>
        <v>9887.43</v>
      </c>
      <c r="G8239" s="35">
        <f>SUMIFS(G8240:G9015,K8240:K9015,"0",B8240:B9015,"5 1 3 9 8 12 31111 6 M59 20000*")</f>
        <v>0</v>
      </c>
      <c r="H8239" s="35">
        <f t="shared" si="129"/>
        <v>9887.43</v>
      </c>
      <c r="I8239" s="35"/>
      <c r="K8239" t="s">
        <v>15</v>
      </c>
    </row>
    <row r="8240" spans="2:11" ht="16.5" x14ac:dyDescent="0.2">
      <c r="B8240" s="33" t="s">
        <v>9366</v>
      </c>
      <c r="C8240" s="33" t="s">
        <v>648</v>
      </c>
      <c r="D8240" s="35">
        <f>SUMIFS(D8241:D9015,K8241:K9015,"0",B8241:B9015,"5 1 3 9 8 12 31111 6 M59 20000 000132*")-SUMIFS(E8241:E9015,K8241:K9015,"0",B8241:B9015,"5 1 3 9 8 12 31111 6 M59 20000 000132*")</f>
        <v>0</v>
      </c>
      <c r="E8240"/>
      <c r="F8240" s="35">
        <f>SUMIFS(F8241:F9015,K8241:K9015,"0",B8241:B9015,"5 1 3 9 8 12 31111 6 M59 20000 000132*")</f>
        <v>9887.43</v>
      </c>
      <c r="G8240" s="35">
        <f>SUMIFS(G8241:G9015,K8241:K9015,"0",B8241:B9015,"5 1 3 9 8 12 31111 6 M59 20000 000132*")</f>
        <v>0</v>
      </c>
      <c r="H8240" s="35">
        <f t="shared" si="129"/>
        <v>9887.43</v>
      </c>
      <c r="I8240" s="35"/>
      <c r="K8240" t="s">
        <v>15</v>
      </c>
    </row>
    <row r="8241" spans="2:11" ht="24.75" x14ac:dyDescent="0.2">
      <c r="B8241" s="33" t="s">
        <v>9367</v>
      </c>
      <c r="C8241" s="33" t="s">
        <v>650</v>
      </c>
      <c r="D8241" s="35">
        <f>SUMIFS(D8242:D9015,K8242:K9015,"0",B8242:B9015,"5 1 3 9 8 12 31111 6 M59 20000 000132 0000R*")-SUMIFS(E8242:E9015,K8242:K9015,"0",B8242:B9015,"5 1 3 9 8 12 31111 6 M59 20000 000132 0000R*")</f>
        <v>0</v>
      </c>
      <c r="E8241"/>
      <c r="F8241" s="35">
        <f>SUMIFS(F8242:F9015,K8242:K9015,"0",B8242:B9015,"5 1 3 9 8 12 31111 6 M59 20000 000132 0000R*")</f>
        <v>9887.43</v>
      </c>
      <c r="G8241" s="35">
        <f>SUMIFS(G8242:G9015,K8242:K9015,"0",B8242:B9015,"5 1 3 9 8 12 31111 6 M59 20000 000132 0000R*")</f>
        <v>0</v>
      </c>
      <c r="H8241" s="35">
        <f t="shared" si="129"/>
        <v>9887.43</v>
      </c>
      <c r="I8241" s="35"/>
      <c r="K8241" t="s">
        <v>15</v>
      </c>
    </row>
    <row r="8242" spans="2:11" ht="24.75" x14ac:dyDescent="0.2">
      <c r="B8242" s="33" t="s">
        <v>9368</v>
      </c>
      <c r="C8242" s="33" t="s">
        <v>282</v>
      </c>
      <c r="D8242" s="35">
        <f>SUMIFS(D8243:D9015,K8243:K9015,"0",B8243:B9015,"5 1 3 9 8 12 31111 6 M59 20000 000132 0000R 00001*")-SUMIFS(E8243:E9015,K8243:K9015,"0",B8243:B9015,"5 1 3 9 8 12 31111 6 M59 20000 000132 0000R 00001*")</f>
        <v>0</v>
      </c>
      <c r="E8242"/>
      <c r="F8242" s="35">
        <f>SUMIFS(F8243:F9015,K8243:K9015,"0",B8243:B9015,"5 1 3 9 8 12 31111 6 M59 20000 000132 0000R 00001*")</f>
        <v>9887.43</v>
      </c>
      <c r="G8242" s="35">
        <f>SUMIFS(G8243:G9015,K8243:K9015,"0",B8243:B9015,"5 1 3 9 8 12 31111 6 M59 20000 000132 0000R 00001*")</f>
        <v>0</v>
      </c>
      <c r="H8242" s="35">
        <f t="shared" si="129"/>
        <v>9887.43</v>
      </c>
      <c r="I8242" s="35"/>
      <c r="K8242" t="s">
        <v>15</v>
      </c>
    </row>
    <row r="8243" spans="2:11" ht="24.75" x14ac:dyDescent="0.2">
      <c r="B8243" s="33" t="s">
        <v>9369</v>
      </c>
      <c r="C8243" s="33" t="s">
        <v>9247</v>
      </c>
      <c r="D8243" s="35">
        <f>SUMIFS(D8244:D9015,K8244:K9015,"0",B8244:B9015,"5 1 3 9 8 12 31111 6 M59 20000 000132 0000R 00001 00398*")-SUMIFS(E8244:E9015,K8244:K9015,"0",B8244:B9015,"5 1 3 9 8 12 31111 6 M59 20000 000132 0000R 00001 00398*")</f>
        <v>0</v>
      </c>
      <c r="E8243"/>
      <c r="F8243" s="35">
        <f>SUMIFS(F8244:F9015,K8244:K9015,"0",B8244:B9015,"5 1 3 9 8 12 31111 6 M59 20000 000132 0000R 00001 00398*")</f>
        <v>9887.43</v>
      </c>
      <c r="G8243" s="35">
        <f>SUMIFS(G8244:G9015,K8244:K9015,"0",B8244:B9015,"5 1 3 9 8 12 31111 6 M59 20000 000132 0000R 00001 00398*")</f>
        <v>0</v>
      </c>
      <c r="H8243" s="35">
        <f t="shared" si="129"/>
        <v>9887.43</v>
      </c>
      <c r="I8243" s="35"/>
      <c r="K8243" t="s">
        <v>15</v>
      </c>
    </row>
    <row r="8244" spans="2:11" ht="33" x14ac:dyDescent="0.2">
      <c r="B8244" s="33" t="s">
        <v>9370</v>
      </c>
      <c r="C8244" s="33" t="s">
        <v>1051</v>
      </c>
      <c r="D8244" s="35">
        <f>SUMIFS(D8245:D9015,K8245:K9015,"0",B8245:B9015,"5 1 3 9 8 12 31111 6 M59 20000 000132 0000R 00001 00398 015*")-SUMIFS(E8245:E9015,K8245:K9015,"0",B8245:B9015,"5 1 3 9 8 12 31111 6 M59 20000 000132 0000R 00001 00398 015*")</f>
        <v>0</v>
      </c>
      <c r="E8244"/>
      <c r="F8244" s="35">
        <f>SUMIFS(F8245:F9015,K8245:K9015,"0",B8245:B9015,"5 1 3 9 8 12 31111 6 M59 20000 000132 0000R 00001 00398 015*")</f>
        <v>9887.43</v>
      </c>
      <c r="G8244" s="35">
        <f>SUMIFS(G8245:G9015,K8245:K9015,"0",B8245:B9015,"5 1 3 9 8 12 31111 6 M59 20000 000132 0000R 00001 00398 015*")</f>
        <v>0</v>
      </c>
      <c r="H8244" s="35">
        <f t="shared" si="129"/>
        <v>9887.43</v>
      </c>
      <c r="I8244" s="35"/>
      <c r="K8244" t="s">
        <v>15</v>
      </c>
    </row>
    <row r="8245" spans="2:11" ht="33" x14ac:dyDescent="0.2">
      <c r="B8245" s="33" t="s">
        <v>9371</v>
      </c>
      <c r="C8245" s="33" t="s">
        <v>8550</v>
      </c>
      <c r="D8245" s="35">
        <f>SUMIFS(D8246:D9015,K8246:K9015,"0",B8246:B9015,"5 1 3 9 8 12 31111 6 M59 20000 000132 0000R 00001 00398 015 2111300*")-SUMIFS(E8246:E9015,K8246:K9015,"0",B8246:B9015,"5 1 3 9 8 12 31111 6 M59 20000 000132 0000R 00001 00398 015 2111300*")</f>
        <v>0</v>
      </c>
      <c r="E8245"/>
      <c r="F8245" s="35">
        <f>SUMIFS(F8246:F9015,K8246:K9015,"0",B8246:B9015,"5 1 3 9 8 12 31111 6 M59 20000 000132 0000R 00001 00398 015 2111300*")</f>
        <v>9887.43</v>
      </c>
      <c r="G8245" s="35">
        <f>SUMIFS(G8246:G9015,K8246:K9015,"0",B8246:B9015,"5 1 3 9 8 12 31111 6 M59 20000 000132 0000R 00001 00398 015 2111300*")</f>
        <v>0</v>
      </c>
      <c r="H8245" s="35">
        <f t="shared" si="129"/>
        <v>9887.43</v>
      </c>
      <c r="I8245" s="35"/>
      <c r="K8245" t="s">
        <v>15</v>
      </c>
    </row>
    <row r="8246" spans="2:11" ht="33" x14ac:dyDescent="0.2">
      <c r="B8246" s="33" t="s">
        <v>9372</v>
      </c>
      <c r="C8246" s="33" t="s">
        <v>660</v>
      </c>
      <c r="D8246" s="35">
        <f>SUMIFS(D8247:D9015,K8247:K9015,"0",B8247:B9015,"5 1 3 9 8 12 31111 6 M59 20000 000132 0000R 00001 00398 015 2111300 2024*")-SUMIFS(E8247:E9015,K8247:K9015,"0",B8247:B9015,"5 1 3 9 8 12 31111 6 M59 20000 000132 0000R 00001 00398 015 2111300 2024*")</f>
        <v>0</v>
      </c>
      <c r="E8246"/>
      <c r="F8246" s="35">
        <f>SUMIFS(F8247:F9015,K8247:K9015,"0",B8247:B9015,"5 1 3 9 8 12 31111 6 M59 20000 000132 0000R 00001 00398 015 2111300 2024*")</f>
        <v>9887.43</v>
      </c>
      <c r="G8246" s="35">
        <f>SUMIFS(G8247:G9015,K8247:K9015,"0",B8247:B9015,"5 1 3 9 8 12 31111 6 M59 20000 000132 0000R 00001 00398 015 2111300 2024*")</f>
        <v>0</v>
      </c>
      <c r="H8246" s="35">
        <f t="shared" si="129"/>
        <v>9887.43</v>
      </c>
      <c r="I8246" s="35"/>
      <c r="K8246" t="s">
        <v>15</v>
      </c>
    </row>
    <row r="8247" spans="2:11" ht="41.25" x14ac:dyDescent="0.2">
      <c r="B8247" s="33" t="s">
        <v>9373</v>
      </c>
      <c r="C8247" s="33" t="s">
        <v>1056</v>
      </c>
      <c r="D8247" s="35">
        <f>SUMIFS(D8248:D9015,K8248:K9015,"0",B8248:B9015,"5 1 3 9 8 12 31111 6 M59 20000 000132 0000R 00001 00398 015 2111300 2024 CP1AF389*")-SUMIFS(E8248:E9015,K8248:K9015,"0",B8248:B9015,"5 1 3 9 8 12 31111 6 M59 20000 000132 0000R 00001 00398 015 2111300 2024 CP1AF389*")</f>
        <v>0</v>
      </c>
      <c r="E8247"/>
      <c r="F8247" s="35">
        <f>SUMIFS(F8248:F9015,K8248:K9015,"0",B8248:B9015,"5 1 3 9 8 12 31111 6 M59 20000 000132 0000R 00001 00398 015 2111300 2024 CP1AF389*")</f>
        <v>9887.43</v>
      </c>
      <c r="G8247" s="35">
        <f>SUMIFS(G8248:G9015,K8248:K9015,"0",B8248:B9015,"5 1 3 9 8 12 31111 6 M59 20000 000132 0000R 00001 00398 015 2111300 2024 CP1AF389*")</f>
        <v>0</v>
      </c>
      <c r="H8247" s="35">
        <f t="shared" si="129"/>
        <v>9887.43</v>
      </c>
      <c r="I8247" s="35"/>
      <c r="K8247" t="s">
        <v>15</v>
      </c>
    </row>
    <row r="8248" spans="2:11" ht="41.25" x14ac:dyDescent="0.2">
      <c r="B8248" s="33" t="s">
        <v>9374</v>
      </c>
      <c r="C8248" s="33" t="s">
        <v>282</v>
      </c>
      <c r="D8248" s="35">
        <f>SUMIFS(D8249:D9015,K8249:K9015,"0",B8249:B9015,"5 1 3 9 8 12 31111 6 M59 20000 000132 0000R 00001 00398 015 2111300 2024 CP1AF389 001*")-SUMIFS(E8249:E9015,K8249:K9015,"0",B8249:B9015,"5 1 3 9 8 12 31111 6 M59 20000 000132 0000R 00001 00398 015 2111300 2024 CP1AF389 001*")</f>
        <v>0</v>
      </c>
      <c r="E8248"/>
      <c r="F8248" s="35">
        <f>SUMIFS(F8249:F9015,K8249:K9015,"0",B8249:B9015,"5 1 3 9 8 12 31111 6 M59 20000 000132 0000R 00001 00398 015 2111300 2024 CP1AF389 001*")</f>
        <v>9887.43</v>
      </c>
      <c r="G8248" s="35">
        <f>SUMIFS(G8249:G9015,K8249:K9015,"0",B8249:B9015,"5 1 3 9 8 12 31111 6 M59 20000 000132 0000R 00001 00398 015 2111300 2024 CP1AF389 001*")</f>
        <v>0</v>
      </c>
      <c r="H8248" s="35">
        <f t="shared" si="129"/>
        <v>9887.43</v>
      </c>
      <c r="I8248" s="35"/>
      <c r="K8248" t="s">
        <v>15</v>
      </c>
    </row>
    <row r="8249" spans="2:11" ht="41.25" x14ac:dyDescent="0.2">
      <c r="B8249" s="31" t="s">
        <v>9375</v>
      </c>
      <c r="C8249" s="31" t="s">
        <v>9254</v>
      </c>
      <c r="D8249" s="34">
        <v>0</v>
      </c>
      <c r="E8249" s="34"/>
      <c r="F8249" s="34">
        <v>9887.43</v>
      </c>
      <c r="G8249" s="34">
        <v>0</v>
      </c>
      <c r="H8249" s="34">
        <f t="shared" si="129"/>
        <v>9887.43</v>
      </c>
      <c r="I8249" s="34"/>
      <c r="K8249" t="s">
        <v>38</v>
      </c>
    </row>
    <row r="8250" spans="2:11" ht="16.5" x14ac:dyDescent="0.2">
      <c r="B8250" s="33" t="s">
        <v>9376</v>
      </c>
      <c r="C8250" s="33" t="s">
        <v>3080</v>
      </c>
      <c r="D8250" s="35">
        <f>SUMIFS(D8251:D9015,K8251:K9015,"0",B8251:B9015,"5 1 3 9 8 12 31111 6 M59 20200*")-SUMIFS(E8251:E9015,K8251:K9015,"0",B8251:B9015,"5 1 3 9 8 12 31111 6 M59 20200*")</f>
        <v>0</v>
      </c>
      <c r="E8250"/>
      <c r="F8250" s="35">
        <f>SUMIFS(F8251:F9015,K8251:K9015,"0",B8251:B9015,"5 1 3 9 8 12 31111 6 M59 20200*")</f>
        <v>35802.879999999997</v>
      </c>
      <c r="G8250" s="35">
        <f>SUMIFS(G8251:G9015,K8251:K9015,"0",B8251:B9015,"5 1 3 9 8 12 31111 6 M59 20200*")</f>
        <v>0</v>
      </c>
      <c r="H8250" s="35">
        <f t="shared" si="129"/>
        <v>35802.879999999997</v>
      </c>
      <c r="I8250" s="35"/>
      <c r="K8250" t="s">
        <v>15</v>
      </c>
    </row>
    <row r="8251" spans="2:11" ht="16.5" x14ac:dyDescent="0.2">
      <c r="B8251" s="33" t="s">
        <v>9377</v>
      </c>
      <c r="C8251" s="33" t="s">
        <v>648</v>
      </c>
      <c r="D8251" s="35">
        <f>SUMIFS(D8252:D9015,K8252:K9015,"0",B8252:B9015,"5 1 3 9 8 12 31111 6 M59 20200 000132*")-SUMIFS(E8252:E9015,K8252:K9015,"0",B8252:B9015,"5 1 3 9 8 12 31111 6 M59 20200 000132*")</f>
        <v>0</v>
      </c>
      <c r="E8251"/>
      <c r="F8251" s="35">
        <f>SUMIFS(F8252:F9015,K8252:K9015,"0",B8252:B9015,"5 1 3 9 8 12 31111 6 M59 20200 000132*")</f>
        <v>35802.879999999997</v>
      </c>
      <c r="G8251" s="35">
        <f>SUMIFS(G8252:G9015,K8252:K9015,"0",B8252:B9015,"5 1 3 9 8 12 31111 6 M59 20200 000132*")</f>
        <v>0</v>
      </c>
      <c r="H8251" s="35">
        <f t="shared" si="129"/>
        <v>35802.879999999997</v>
      </c>
      <c r="I8251" s="35"/>
      <c r="K8251" t="s">
        <v>15</v>
      </c>
    </row>
    <row r="8252" spans="2:11" ht="24.75" x14ac:dyDescent="0.2">
      <c r="B8252" s="33" t="s">
        <v>9378</v>
      </c>
      <c r="C8252" s="33" t="s">
        <v>650</v>
      </c>
      <c r="D8252" s="35">
        <f>SUMIFS(D8253:D9015,K8253:K9015,"0",B8253:B9015,"5 1 3 9 8 12 31111 6 M59 20200 000132 0000R*")-SUMIFS(E8253:E9015,K8253:K9015,"0",B8253:B9015,"5 1 3 9 8 12 31111 6 M59 20200 000132 0000R*")</f>
        <v>0</v>
      </c>
      <c r="E8252"/>
      <c r="F8252" s="35">
        <f>SUMIFS(F8253:F9015,K8253:K9015,"0",B8253:B9015,"5 1 3 9 8 12 31111 6 M59 20200 000132 0000R*")</f>
        <v>35802.879999999997</v>
      </c>
      <c r="G8252" s="35">
        <f>SUMIFS(G8253:G9015,K8253:K9015,"0",B8253:B9015,"5 1 3 9 8 12 31111 6 M59 20200 000132 0000R*")</f>
        <v>0</v>
      </c>
      <c r="H8252" s="35">
        <f t="shared" si="129"/>
        <v>35802.879999999997</v>
      </c>
      <c r="I8252" s="35"/>
      <c r="K8252" t="s">
        <v>15</v>
      </c>
    </row>
    <row r="8253" spans="2:11" ht="24.75" x14ac:dyDescent="0.2">
      <c r="B8253" s="33" t="s">
        <v>9379</v>
      </c>
      <c r="C8253" s="33" t="s">
        <v>282</v>
      </c>
      <c r="D8253" s="35">
        <f>SUMIFS(D8254:D9015,K8254:K9015,"0",B8254:B9015,"5 1 3 9 8 12 31111 6 M59 20200 000132 0000R 00001*")-SUMIFS(E8254:E9015,K8254:K9015,"0",B8254:B9015,"5 1 3 9 8 12 31111 6 M59 20200 000132 0000R 00001*")</f>
        <v>0</v>
      </c>
      <c r="E8253"/>
      <c r="F8253" s="35">
        <f>SUMIFS(F8254:F9015,K8254:K9015,"0",B8254:B9015,"5 1 3 9 8 12 31111 6 M59 20200 000132 0000R 00001*")</f>
        <v>35802.879999999997</v>
      </c>
      <c r="G8253" s="35">
        <f>SUMIFS(G8254:G9015,K8254:K9015,"0",B8254:B9015,"5 1 3 9 8 12 31111 6 M59 20200 000132 0000R 00001*")</f>
        <v>0</v>
      </c>
      <c r="H8253" s="35">
        <f t="shared" si="129"/>
        <v>35802.879999999997</v>
      </c>
      <c r="I8253" s="35"/>
      <c r="K8253" t="s">
        <v>15</v>
      </c>
    </row>
    <row r="8254" spans="2:11" ht="24.75" x14ac:dyDescent="0.2">
      <c r="B8254" s="33" t="s">
        <v>9380</v>
      </c>
      <c r="C8254" s="33" t="s">
        <v>9247</v>
      </c>
      <c r="D8254" s="35">
        <f>SUMIFS(D8255:D9015,K8255:K9015,"0",B8255:B9015,"5 1 3 9 8 12 31111 6 M59 20200 000132 0000R 00001 00398*")-SUMIFS(E8255:E9015,K8255:K9015,"0",B8255:B9015,"5 1 3 9 8 12 31111 6 M59 20200 000132 0000R 00001 00398*")</f>
        <v>0</v>
      </c>
      <c r="E8254"/>
      <c r="F8254" s="35">
        <f>SUMIFS(F8255:F9015,K8255:K9015,"0",B8255:B9015,"5 1 3 9 8 12 31111 6 M59 20200 000132 0000R 00001 00398*")</f>
        <v>35802.879999999997</v>
      </c>
      <c r="G8254" s="35">
        <f>SUMIFS(G8255:G9015,K8255:K9015,"0",B8255:B9015,"5 1 3 9 8 12 31111 6 M59 20200 000132 0000R 00001 00398*")</f>
        <v>0</v>
      </c>
      <c r="H8254" s="35">
        <f t="shared" si="129"/>
        <v>35802.879999999997</v>
      </c>
      <c r="I8254" s="35"/>
      <c r="K8254" t="s">
        <v>15</v>
      </c>
    </row>
    <row r="8255" spans="2:11" ht="33" x14ac:dyDescent="0.2">
      <c r="B8255" s="33" t="s">
        <v>9381</v>
      </c>
      <c r="C8255" s="33" t="s">
        <v>1051</v>
      </c>
      <c r="D8255" s="35">
        <f>SUMIFS(D8256:D9015,K8256:K9015,"0",B8256:B9015,"5 1 3 9 8 12 31111 6 M59 20200 000132 0000R 00001 00398 015*")-SUMIFS(E8256:E9015,K8256:K9015,"0",B8256:B9015,"5 1 3 9 8 12 31111 6 M59 20200 000132 0000R 00001 00398 015*")</f>
        <v>0</v>
      </c>
      <c r="E8255"/>
      <c r="F8255" s="35">
        <f>SUMIFS(F8256:F9015,K8256:K9015,"0",B8256:B9015,"5 1 3 9 8 12 31111 6 M59 20200 000132 0000R 00001 00398 015*")</f>
        <v>35802.879999999997</v>
      </c>
      <c r="G8255" s="35">
        <f>SUMIFS(G8256:G9015,K8256:K9015,"0",B8256:B9015,"5 1 3 9 8 12 31111 6 M59 20200 000132 0000R 00001 00398 015*")</f>
        <v>0</v>
      </c>
      <c r="H8255" s="35">
        <f t="shared" si="129"/>
        <v>35802.879999999997</v>
      </c>
      <c r="I8255" s="35"/>
      <c r="K8255" t="s">
        <v>15</v>
      </c>
    </row>
    <row r="8256" spans="2:11" ht="33" x14ac:dyDescent="0.2">
      <c r="B8256" s="33" t="s">
        <v>9382</v>
      </c>
      <c r="C8256" s="33" t="s">
        <v>8550</v>
      </c>
      <c r="D8256" s="35">
        <f>SUMIFS(D8257:D9015,K8257:K9015,"0",B8257:B9015,"5 1 3 9 8 12 31111 6 M59 20200 000132 0000R 00001 00398 015 2111300*")-SUMIFS(E8257:E9015,K8257:K9015,"0",B8257:B9015,"5 1 3 9 8 12 31111 6 M59 20200 000132 0000R 00001 00398 015 2111300*")</f>
        <v>0</v>
      </c>
      <c r="E8256"/>
      <c r="F8256" s="35">
        <f>SUMIFS(F8257:F9015,K8257:K9015,"0",B8257:B9015,"5 1 3 9 8 12 31111 6 M59 20200 000132 0000R 00001 00398 015 2111300*")</f>
        <v>35802.879999999997</v>
      </c>
      <c r="G8256" s="35">
        <f>SUMIFS(G8257:G9015,K8257:K9015,"0",B8257:B9015,"5 1 3 9 8 12 31111 6 M59 20200 000132 0000R 00001 00398 015 2111300*")</f>
        <v>0</v>
      </c>
      <c r="H8256" s="35">
        <f t="shared" si="129"/>
        <v>35802.879999999997</v>
      </c>
      <c r="I8256" s="35"/>
      <c r="K8256" t="s">
        <v>15</v>
      </c>
    </row>
    <row r="8257" spans="2:11" ht="33" x14ac:dyDescent="0.2">
      <c r="B8257" s="33" t="s">
        <v>9383</v>
      </c>
      <c r="C8257" s="33" t="s">
        <v>660</v>
      </c>
      <c r="D8257" s="35">
        <f>SUMIFS(D8258:D9015,K8258:K9015,"0",B8258:B9015,"5 1 3 9 8 12 31111 6 M59 20200 000132 0000R 00001 00398 015 2111300 2024*")-SUMIFS(E8258:E9015,K8258:K9015,"0",B8258:B9015,"5 1 3 9 8 12 31111 6 M59 20200 000132 0000R 00001 00398 015 2111300 2024*")</f>
        <v>0</v>
      </c>
      <c r="E8257"/>
      <c r="F8257" s="35">
        <f>SUMIFS(F8258:F9015,K8258:K9015,"0",B8258:B9015,"5 1 3 9 8 12 31111 6 M59 20200 000132 0000R 00001 00398 015 2111300 2024*")</f>
        <v>35802.879999999997</v>
      </c>
      <c r="G8257" s="35">
        <f>SUMIFS(G8258:G9015,K8258:K9015,"0",B8258:B9015,"5 1 3 9 8 12 31111 6 M59 20200 000132 0000R 00001 00398 015 2111300 2024*")</f>
        <v>0</v>
      </c>
      <c r="H8257" s="35">
        <f t="shared" si="129"/>
        <v>35802.879999999997</v>
      </c>
      <c r="I8257" s="35"/>
      <c r="K8257" t="s">
        <v>15</v>
      </c>
    </row>
    <row r="8258" spans="2:11" ht="41.25" x14ac:dyDescent="0.2">
      <c r="B8258" s="33" t="s">
        <v>9384</v>
      </c>
      <c r="C8258" s="33" t="s">
        <v>662</v>
      </c>
      <c r="D8258" s="35">
        <f>SUMIFS(D8259:D9015,K8259:K9015,"0",B8259:B9015,"5 1 3 9 8 12 31111 6 M59 20200 000132 0000R 00001 00398 015 2111300 2024 CP1DI411*")-SUMIFS(E8259:E9015,K8259:K9015,"0",B8259:B9015,"5 1 3 9 8 12 31111 6 M59 20200 000132 0000R 00001 00398 015 2111300 2024 CP1DI411*")</f>
        <v>0</v>
      </c>
      <c r="E8258"/>
      <c r="F8258" s="35">
        <f>SUMIFS(F8259:F9015,K8259:K9015,"0",B8259:B9015,"5 1 3 9 8 12 31111 6 M59 20200 000132 0000R 00001 00398 015 2111300 2024 CP1DI411*")</f>
        <v>35802.879999999997</v>
      </c>
      <c r="G8258" s="35">
        <f>SUMIFS(G8259:G9015,K8259:K9015,"0",B8259:B9015,"5 1 3 9 8 12 31111 6 M59 20200 000132 0000R 00001 00398 015 2111300 2024 CP1DI411*")</f>
        <v>0</v>
      </c>
      <c r="H8258" s="35">
        <f t="shared" si="129"/>
        <v>35802.879999999997</v>
      </c>
      <c r="I8258" s="35"/>
      <c r="K8258" t="s">
        <v>15</v>
      </c>
    </row>
    <row r="8259" spans="2:11" ht="41.25" x14ac:dyDescent="0.2">
      <c r="B8259" s="33" t="s">
        <v>9385</v>
      </c>
      <c r="C8259" s="33" t="s">
        <v>282</v>
      </c>
      <c r="D8259" s="35">
        <f>SUMIFS(D8260:D9015,K8260:K9015,"0",B8260:B9015,"5 1 3 9 8 12 31111 6 M59 20200 000132 0000R 00001 00398 015 2111300 2024 CP1DI411 001*")-SUMIFS(E8260:E9015,K8260:K9015,"0",B8260:B9015,"5 1 3 9 8 12 31111 6 M59 20200 000132 0000R 00001 00398 015 2111300 2024 CP1DI411 001*")</f>
        <v>0</v>
      </c>
      <c r="E8259"/>
      <c r="F8259" s="35">
        <f>SUMIFS(F8260:F9015,K8260:K9015,"0",B8260:B9015,"5 1 3 9 8 12 31111 6 M59 20200 000132 0000R 00001 00398 015 2111300 2024 CP1DI411 001*")</f>
        <v>35802.879999999997</v>
      </c>
      <c r="G8259" s="35">
        <f>SUMIFS(G8260:G9015,K8260:K9015,"0",B8260:B9015,"5 1 3 9 8 12 31111 6 M59 20200 000132 0000R 00001 00398 015 2111300 2024 CP1DI411 001*")</f>
        <v>0</v>
      </c>
      <c r="H8259" s="35">
        <f t="shared" si="129"/>
        <v>35802.879999999997</v>
      </c>
      <c r="I8259" s="35"/>
      <c r="K8259" t="s">
        <v>15</v>
      </c>
    </row>
    <row r="8260" spans="2:11" ht="33" x14ac:dyDescent="0.2">
      <c r="B8260" s="31" t="s">
        <v>9386</v>
      </c>
      <c r="C8260" s="31" t="s">
        <v>9254</v>
      </c>
      <c r="D8260" s="34">
        <v>0</v>
      </c>
      <c r="E8260" s="34"/>
      <c r="F8260" s="34">
        <v>35802.879999999997</v>
      </c>
      <c r="G8260" s="34">
        <v>0</v>
      </c>
      <c r="H8260" s="34">
        <f t="shared" ref="H8260:H8323" si="130">D8260 + F8260 - G8260</f>
        <v>35802.879999999997</v>
      </c>
      <c r="I8260" s="34"/>
      <c r="K8260" t="s">
        <v>38</v>
      </c>
    </row>
    <row r="8261" spans="2:11" ht="16.5" x14ac:dyDescent="0.2">
      <c r="B8261" s="33" t="s">
        <v>9387</v>
      </c>
      <c r="C8261" s="33" t="s">
        <v>1061</v>
      </c>
      <c r="D8261" s="35">
        <f>SUMIFS(D8262:D9015,K8262:K9015,"0",B8262:B9015,"5 1 3 9 8 12 31111 6 M59 20300*")-SUMIFS(E8262:E9015,K8262:K9015,"0",B8262:B9015,"5 1 3 9 8 12 31111 6 M59 20300*")</f>
        <v>0</v>
      </c>
      <c r="E8261"/>
      <c r="F8261" s="35">
        <f>SUMIFS(F8262:F9015,K8262:K9015,"0",B8262:B9015,"5 1 3 9 8 12 31111 6 M59 20300*")</f>
        <v>37671.1</v>
      </c>
      <c r="G8261" s="35">
        <f>SUMIFS(G8262:G9015,K8262:K9015,"0",B8262:B9015,"5 1 3 9 8 12 31111 6 M59 20300*")</f>
        <v>0</v>
      </c>
      <c r="H8261" s="35">
        <f t="shared" si="130"/>
        <v>37671.1</v>
      </c>
      <c r="I8261" s="35"/>
      <c r="K8261" t="s">
        <v>15</v>
      </c>
    </row>
    <row r="8262" spans="2:11" ht="16.5" x14ac:dyDescent="0.2">
      <c r="B8262" s="33" t="s">
        <v>9388</v>
      </c>
      <c r="C8262" s="33" t="s">
        <v>648</v>
      </c>
      <c r="D8262" s="35">
        <f>SUMIFS(D8263:D9015,K8263:K9015,"0",B8263:B9015,"5 1 3 9 8 12 31111 6 M59 20300 000132*")-SUMIFS(E8263:E9015,K8263:K9015,"0",B8263:B9015,"5 1 3 9 8 12 31111 6 M59 20300 000132*")</f>
        <v>0</v>
      </c>
      <c r="E8262"/>
      <c r="F8262" s="35">
        <f>SUMIFS(F8263:F9015,K8263:K9015,"0",B8263:B9015,"5 1 3 9 8 12 31111 6 M59 20300 000132*")</f>
        <v>37671.1</v>
      </c>
      <c r="G8262" s="35">
        <f>SUMIFS(G8263:G9015,K8263:K9015,"0",B8263:B9015,"5 1 3 9 8 12 31111 6 M59 20300 000132*")</f>
        <v>0</v>
      </c>
      <c r="H8262" s="35">
        <f t="shared" si="130"/>
        <v>37671.1</v>
      </c>
      <c r="I8262" s="35"/>
      <c r="K8262" t="s">
        <v>15</v>
      </c>
    </row>
    <row r="8263" spans="2:11" ht="24.75" x14ac:dyDescent="0.2">
      <c r="B8263" s="33" t="s">
        <v>9389</v>
      </c>
      <c r="C8263" s="33" t="s">
        <v>650</v>
      </c>
      <c r="D8263" s="35">
        <f>SUMIFS(D8264:D9015,K8264:K9015,"0",B8264:B9015,"5 1 3 9 8 12 31111 6 M59 20300 000132 0000R*")-SUMIFS(E8264:E9015,K8264:K9015,"0",B8264:B9015,"5 1 3 9 8 12 31111 6 M59 20300 000132 0000R*")</f>
        <v>0</v>
      </c>
      <c r="E8263"/>
      <c r="F8263" s="35">
        <f>SUMIFS(F8264:F9015,K8264:K9015,"0",B8264:B9015,"5 1 3 9 8 12 31111 6 M59 20300 000132 0000R*")</f>
        <v>37671.1</v>
      </c>
      <c r="G8263" s="35">
        <f>SUMIFS(G8264:G9015,K8264:K9015,"0",B8264:B9015,"5 1 3 9 8 12 31111 6 M59 20300 000132 0000R*")</f>
        <v>0</v>
      </c>
      <c r="H8263" s="35">
        <f t="shared" si="130"/>
        <v>37671.1</v>
      </c>
      <c r="I8263" s="35"/>
      <c r="K8263" t="s">
        <v>15</v>
      </c>
    </row>
    <row r="8264" spans="2:11" ht="24.75" x14ac:dyDescent="0.2">
      <c r="B8264" s="33" t="s">
        <v>9390</v>
      </c>
      <c r="C8264" s="33" t="s">
        <v>282</v>
      </c>
      <c r="D8264" s="35">
        <f>SUMIFS(D8265:D9015,K8265:K9015,"0",B8265:B9015,"5 1 3 9 8 12 31111 6 M59 20300 000132 0000R 00001*")-SUMIFS(E8265:E9015,K8265:K9015,"0",B8265:B9015,"5 1 3 9 8 12 31111 6 M59 20300 000132 0000R 00001*")</f>
        <v>0</v>
      </c>
      <c r="E8264"/>
      <c r="F8264" s="35">
        <f>SUMIFS(F8265:F9015,K8265:K9015,"0",B8265:B9015,"5 1 3 9 8 12 31111 6 M59 20300 000132 0000R 00001*")</f>
        <v>37671.1</v>
      </c>
      <c r="G8264" s="35">
        <f>SUMIFS(G8265:G9015,K8265:K9015,"0",B8265:B9015,"5 1 3 9 8 12 31111 6 M59 20300 000132 0000R 00001*")</f>
        <v>0</v>
      </c>
      <c r="H8264" s="35">
        <f t="shared" si="130"/>
        <v>37671.1</v>
      </c>
      <c r="I8264" s="35"/>
      <c r="K8264" t="s">
        <v>15</v>
      </c>
    </row>
    <row r="8265" spans="2:11" ht="24.75" x14ac:dyDescent="0.2">
      <c r="B8265" s="33" t="s">
        <v>9391</v>
      </c>
      <c r="C8265" s="33" t="s">
        <v>9247</v>
      </c>
      <c r="D8265" s="35">
        <f>SUMIFS(D8266:D9015,K8266:K9015,"0",B8266:B9015,"5 1 3 9 8 12 31111 6 M59 20300 000132 0000R 00001 00398*")-SUMIFS(E8266:E9015,K8266:K9015,"0",B8266:B9015,"5 1 3 9 8 12 31111 6 M59 20300 000132 0000R 00001 00398*")</f>
        <v>0</v>
      </c>
      <c r="E8265"/>
      <c r="F8265" s="35">
        <f>SUMIFS(F8266:F9015,K8266:K9015,"0",B8266:B9015,"5 1 3 9 8 12 31111 6 M59 20300 000132 0000R 00001 00398*")</f>
        <v>37671.1</v>
      </c>
      <c r="G8265" s="35">
        <f>SUMIFS(G8266:G9015,K8266:K9015,"0",B8266:B9015,"5 1 3 9 8 12 31111 6 M59 20300 000132 0000R 00001 00398*")</f>
        <v>0</v>
      </c>
      <c r="H8265" s="35">
        <f t="shared" si="130"/>
        <v>37671.1</v>
      </c>
      <c r="I8265" s="35"/>
      <c r="K8265" t="s">
        <v>15</v>
      </c>
    </row>
    <row r="8266" spans="2:11" ht="33" x14ac:dyDescent="0.2">
      <c r="B8266" s="33" t="s">
        <v>9392</v>
      </c>
      <c r="C8266" s="33" t="s">
        <v>1051</v>
      </c>
      <c r="D8266" s="35">
        <f>SUMIFS(D8267:D9015,K8267:K9015,"0",B8267:B9015,"5 1 3 9 8 12 31111 6 M59 20300 000132 0000R 00001 00398 015*")-SUMIFS(E8267:E9015,K8267:K9015,"0",B8267:B9015,"5 1 3 9 8 12 31111 6 M59 20300 000132 0000R 00001 00398 015*")</f>
        <v>0</v>
      </c>
      <c r="E8266"/>
      <c r="F8266" s="35">
        <f>SUMIFS(F8267:F9015,K8267:K9015,"0",B8267:B9015,"5 1 3 9 8 12 31111 6 M59 20300 000132 0000R 00001 00398 015*")</f>
        <v>37671.1</v>
      </c>
      <c r="G8266" s="35">
        <f>SUMIFS(G8267:G9015,K8267:K9015,"0",B8267:B9015,"5 1 3 9 8 12 31111 6 M59 20300 000132 0000R 00001 00398 015*")</f>
        <v>0</v>
      </c>
      <c r="H8266" s="35">
        <f t="shared" si="130"/>
        <v>37671.1</v>
      </c>
      <c r="I8266" s="35"/>
      <c r="K8266" t="s">
        <v>15</v>
      </c>
    </row>
    <row r="8267" spans="2:11" ht="33" x14ac:dyDescent="0.2">
      <c r="B8267" s="33" t="s">
        <v>9393</v>
      </c>
      <c r="C8267" s="33" t="s">
        <v>8550</v>
      </c>
      <c r="D8267" s="35">
        <f>SUMIFS(D8268:D9015,K8268:K9015,"0",B8268:B9015,"5 1 3 9 8 12 31111 6 M59 20300 000132 0000R 00001 00398 015 2111300*")-SUMIFS(E8268:E9015,K8268:K9015,"0",B8268:B9015,"5 1 3 9 8 12 31111 6 M59 20300 000132 0000R 00001 00398 015 2111300*")</f>
        <v>0</v>
      </c>
      <c r="E8267"/>
      <c r="F8267" s="35">
        <f>SUMIFS(F8268:F9015,K8268:K9015,"0",B8268:B9015,"5 1 3 9 8 12 31111 6 M59 20300 000132 0000R 00001 00398 015 2111300*")</f>
        <v>37671.1</v>
      </c>
      <c r="G8267" s="35">
        <f>SUMIFS(G8268:G9015,K8268:K9015,"0",B8268:B9015,"5 1 3 9 8 12 31111 6 M59 20300 000132 0000R 00001 00398 015 2111300*")</f>
        <v>0</v>
      </c>
      <c r="H8267" s="35">
        <f t="shared" si="130"/>
        <v>37671.1</v>
      </c>
      <c r="I8267" s="35"/>
      <c r="K8267" t="s">
        <v>15</v>
      </c>
    </row>
    <row r="8268" spans="2:11" ht="33" x14ac:dyDescent="0.2">
      <c r="B8268" s="33" t="s">
        <v>9394</v>
      </c>
      <c r="C8268" s="33" t="s">
        <v>660</v>
      </c>
      <c r="D8268" s="35">
        <f>SUMIFS(D8269:D9015,K8269:K9015,"0",B8269:B9015,"5 1 3 9 8 12 31111 6 M59 20300 000132 0000R 00001 00398 015 2111300 2024*")-SUMIFS(E8269:E9015,K8269:K9015,"0",B8269:B9015,"5 1 3 9 8 12 31111 6 M59 20300 000132 0000R 00001 00398 015 2111300 2024*")</f>
        <v>0</v>
      </c>
      <c r="E8268"/>
      <c r="F8268" s="35">
        <f>SUMIFS(F8269:F9015,K8269:K9015,"0",B8269:B9015,"5 1 3 9 8 12 31111 6 M59 20300 000132 0000R 00001 00398 015 2111300 2024*")</f>
        <v>37671.1</v>
      </c>
      <c r="G8268" s="35">
        <f>SUMIFS(G8269:G9015,K8269:K9015,"0",B8269:B9015,"5 1 3 9 8 12 31111 6 M59 20300 000132 0000R 00001 00398 015 2111300 2024*")</f>
        <v>0</v>
      </c>
      <c r="H8268" s="35">
        <f t="shared" si="130"/>
        <v>37671.1</v>
      </c>
      <c r="I8268" s="35"/>
      <c r="K8268" t="s">
        <v>15</v>
      </c>
    </row>
    <row r="8269" spans="2:11" ht="41.25" x14ac:dyDescent="0.2">
      <c r="B8269" s="33" t="s">
        <v>9395</v>
      </c>
      <c r="C8269" s="33" t="s">
        <v>662</v>
      </c>
      <c r="D8269" s="35">
        <f>SUMIFS(D8270:D9015,K8270:K9015,"0",B8270:B9015,"5 1 3 9 8 12 31111 6 M59 20300 000132 0000R 00001 00398 015 2111300 2024 CP1DE415*")-SUMIFS(E8270:E9015,K8270:K9015,"0",B8270:B9015,"5 1 3 9 8 12 31111 6 M59 20300 000132 0000R 00001 00398 015 2111300 2024 CP1DE415*")</f>
        <v>0</v>
      </c>
      <c r="E8269"/>
      <c r="F8269" s="35">
        <f>SUMIFS(F8270:F9015,K8270:K9015,"0",B8270:B9015,"5 1 3 9 8 12 31111 6 M59 20300 000132 0000R 00001 00398 015 2111300 2024 CP1DE415*")</f>
        <v>37671.1</v>
      </c>
      <c r="G8269" s="35">
        <f>SUMIFS(G8270:G9015,K8270:K9015,"0",B8270:B9015,"5 1 3 9 8 12 31111 6 M59 20300 000132 0000R 00001 00398 015 2111300 2024 CP1DE415*")</f>
        <v>0</v>
      </c>
      <c r="H8269" s="35">
        <f t="shared" si="130"/>
        <v>37671.1</v>
      </c>
      <c r="I8269" s="35"/>
      <c r="K8269" t="s">
        <v>15</v>
      </c>
    </row>
    <row r="8270" spans="2:11" ht="41.25" x14ac:dyDescent="0.2">
      <c r="B8270" s="33" t="s">
        <v>9396</v>
      </c>
      <c r="C8270" s="33" t="s">
        <v>282</v>
      </c>
      <c r="D8270" s="35">
        <f>SUMIFS(D8271:D9015,K8271:K9015,"0",B8271:B9015,"5 1 3 9 8 12 31111 6 M59 20300 000132 0000R 00001 00398 015 2111300 2024 CP1DE415 001*")-SUMIFS(E8271:E9015,K8271:K9015,"0",B8271:B9015,"5 1 3 9 8 12 31111 6 M59 20300 000132 0000R 00001 00398 015 2111300 2024 CP1DE415 001*")</f>
        <v>0</v>
      </c>
      <c r="E8270"/>
      <c r="F8270" s="35">
        <f>SUMIFS(F8271:F9015,K8271:K9015,"0",B8271:B9015,"5 1 3 9 8 12 31111 6 M59 20300 000132 0000R 00001 00398 015 2111300 2024 CP1DE415 001*")</f>
        <v>37671.1</v>
      </c>
      <c r="G8270" s="35">
        <f>SUMIFS(G8271:G9015,K8271:K9015,"0",B8271:B9015,"5 1 3 9 8 12 31111 6 M59 20300 000132 0000R 00001 00398 015 2111300 2024 CP1DE415 001*")</f>
        <v>0</v>
      </c>
      <c r="H8270" s="35">
        <f t="shared" si="130"/>
        <v>37671.1</v>
      </c>
      <c r="I8270" s="35"/>
      <c r="K8270" t="s">
        <v>15</v>
      </c>
    </row>
    <row r="8271" spans="2:11" ht="41.25" x14ac:dyDescent="0.2">
      <c r="B8271" s="31" t="s">
        <v>9397</v>
      </c>
      <c r="C8271" s="31" t="s">
        <v>9254</v>
      </c>
      <c r="D8271" s="34">
        <v>0</v>
      </c>
      <c r="E8271" s="34"/>
      <c r="F8271" s="34">
        <v>37671.1</v>
      </c>
      <c r="G8271" s="34">
        <v>0</v>
      </c>
      <c r="H8271" s="34">
        <f t="shared" si="130"/>
        <v>37671.1</v>
      </c>
      <c r="I8271" s="34"/>
      <c r="K8271" t="s">
        <v>38</v>
      </c>
    </row>
    <row r="8272" spans="2:11" ht="16.5" x14ac:dyDescent="0.2">
      <c r="B8272" s="33" t="s">
        <v>9398</v>
      </c>
      <c r="C8272" s="33" t="s">
        <v>3103</v>
      </c>
      <c r="D8272" s="35">
        <f>SUMIFS(D8273:D9015,K8273:K9015,"0",B8273:B9015,"5 1 3 9 8 12 31111 6 M59 20400*")-SUMIFS(E8273:E9015,K8273:K9015,"0",B8273:B9015,"5 1 3 9 8 12 31111 6 M59 20400*")</f>
        <v>0</v>
      </c>
      <c r="E8272"/>
      <c r="F8272" s="35">
        <f>SUMIFS(F8273:F9015,K8273:K9015,"0",B8273:B9015,"5 1 3 9 8 12 31111 6 M59 20400*")</f>
        <v>18124.88</v>
      </c>
      <c r="G8272" s="35">
        <f>SUMIFS(G8273:G9015,K8273:K9015,"0",B8273:B9015,"5 1 3 9 8 12 31111 6 M59 20400*")</f>
        <v>0</v>
      </c>
      <c r="H8272" s="35">
        <f t="shared" si="130"/>
        <v>18124.88</v>
      </c>
      <c r="I8272" s="35"/>
      <c r="K8272" t="s">
        <v>15</v>
      </c>
    </row>
    <row r="8273" spans="2:11" ht="16.5" x14ac:dyDescent="0.2">
      <c r="B8273" s="33" t="s">
        <v>9399</v>
      </c>
      <c r="C8273" s="33" t="s">
        <v>648</v>
      </c>
      <c r="D8273" s="35">
        <f>SUMIFS(D8274:D9015,K8274:K9015,"0",B8274:B9015,"5 1 3 9 8 12 31111 6 M59 20400 000132*")-SUMIFS(E8274:E9015,K8274:K9015,"0",B8274:B9015,"5 1 3 9 8 12 31111 6 M59 20400 000132*")</f>
        <v>0</v>
      </c>
      <c r="E8273"/>
      <c r="F8273" s="35">
        <f>SUMIFS(F8274:F9015,K8274:K9015,"0",B8274:B9015,"5 1 3 9 8 12 31111 6 M59 20400 000132*")</f>
        <v>18124.88</v>
      </c>
      <c r="G8273" s="35">
        <f>SUMIFS(G8274:G9015,K8274:K9015,"0",B8274:B9015,"5 1 3 9 8 12 31111 6 M59 20400 000132*")</f>
        <v>0</v>
      </c>
      <c r="H8273" s="35">
        <f t="shared" si="130"/>
        <v>18124.88</v>
      </c>
      <c r="I8273" s="35"/>
      <c r="K8273" t="s">
        <v>15</v>
      </c>
    </row>
    <row r="8274" spans="2:11" ht="24.75" x14ac:dyDescent="0.2">
      <c r="B8274" s="33" t="s">
        <v>9400</v>
      </c>
      <c r="C8274" s="33" t="s">
        <v>650</v>
      </c>
      <c r="D8274" s="35">
        <f>SUMIFS(D8275:D9015,K8275:K9015,"0",B8275:B9015,"5 1 3 9 8 12 31111 6 M59 20400 000132 0000R*")-SUMIFS(E8275:E9015,K8275:K9015,"0",B8275:B9015,"5 1 3 9 8 12 31111 6 M59 20400 000132 0000R*")</f>
        <v>0</v>
      </c>
      <c r="E8274"/>
      <c r="F8274" s="35">
        <f>SUMIFS(F8275:F9015,K8275:K9015,"0",B8275:B9015,"5 1 3 9 8 12 31111 6 M59 20400 000132 0000R*")</f>
        <v>18124.88</v>
      </c>
      <c r="G8274" s="35">
        <f>SUMIFS(G8275:G9015,K8275:K9015,"0",B8275:B9015,"5 1 3 9 8 12 31111 6 M59 20400 000132 0000R*")</f>
        <v>0</v>
      </c>
      <c r="H8274" s="35">
        <f t="shared" si="130"/>
        <v>18124.88</v>
      </c>
      <c r="I8274" s="35"/>
      <c r="K8274" t="s">
        <v>15</v>
      </c>
    </row>
    <row r="8275" spans="2:11" ht="24.75" x14ac:dyDescent="0.2">
      <c r="B8275" s="33" t="s">
        <v>9401</v>
      </c>
      <c r="C8275" s="33" t="s">
        <v>282</v>
      </c>
      <c r="D8275" s="35">
        <f>SUMIFS(D8276:D9015,K8276:K9015,"0",B8276:B9015,"5 1 3 9 8 12 31111 6 M59 20400 000132 0000R 00001*")-SUMIFS(E8276:E9015,K8276:K9015,"0",B8276:B9015,"5 1 3 9 8 12 31111 6 M59 20400 000132 0000R 00001*")</f>
        <v>0</v>
      </c>
      <c r="E8275"/>
      <c r="F8275" s="35">
        <f>SUMIFS(F8276:F9015,K8276:K9015,"0",B8276:B9015,"5 1 3 9 8 12 31111 6 M59 20400 000132 0000R 00001*")</f>
        <v>18124.88</v>
      </c>
      <c r="G8275" s="35">
        <f>SUMIFS(G8276:G9015,K8276:K9015,"0",B8276:B9015,"5 1 3 9 8 12 31111 6 M59 20400 000132 0000R 00001*")</f>
        <v>0</v>
      </c>
      <c r="H8275" s="35">
        <f t="shared" si="130"/>
        <v>18124.88</v>
      </c>
      <c r="I8275" s="35"/>
      <c r="K8275" t="s">
        <v>15</v>
      </c>
    </row>
    <row r="8276" spans="2:11" ht="24.75" x14ac:dyDescent="0.2">
      <c r="B8276" s="33" t="s">
        <v>9402</v>
      </c>
      <c r="C8276" s="33" t="s">
        <v>9247</v>
      </c>
      <c r="D8276" s="35">
        <f>SUMIFS(D8277:D9015,K8277:K9015,"0",B8277:B9015,"5 1 3 9 8 12 31111 6 M59 20400 000132 0000R 00001 00398*")-SUMIFS(E8277:E9015,K8277:K9015,"0",B8277:B9015,"5 1 3 9 8 12 31111 6 M59 20400 000132 0000R 00001 00398*")</f>
        <v>0</v>
      </c>
      <c r="E8276"/>
      <c r="F8276" s="35">
        <f>SUMIFS(F8277:F9015,K8277:K9015,"0",B8277:B9015,"5 1 3 9 8 12 31111 6 M59 20400 000132 0000R 00001 00398*")</f>
        <v>18124.88</v>
      </c>
      <c r="G8276" s="35">
        <f>SUMIFS(G8277:G9015,K8277:K9015,"0",B8277:B9015,"5 1 3 9 8 12 31111 6 M59 20400 000132 0000R 00001 00398*")</f>
        <v>0</v>
      </c>
      <c r="H8276" s="35">
        <f t="shared" si="130"/>
        <v>18124.88</v>
      </c>
      <c r="I8276" s="35"/>
      <c r="K8276" t="s">
        <v>15</v>
      </c>
    </row>
    <row r="8277" spans="2:11" ht="33" x14ac:dyDescent="0.2">
      <c r="B8277" s="33" t="s">
        <v>9403</v>
      </c>
      <c r="C8277" s="33" t="s">
        <v>1051</v>
      </c>
      <c r="D8277" s="35">
        <f>SUMIFS(D8278:D9015,K8278:K9015,"0",B8278:B9015,"5 1 3 9 8 12 31111 6 M59 20400 000132 0000R 00001 00398 015*")-SUMIFS(E8278:E9015,K8278:K9015,"0",B8278:B9015,"5 1 3 9 8 12 31111 6 M59 20400 000132 0000R 00001 00398 015*")</f>
        <v>0</v>
      </c>
      <c r="E8277"/>
      <c r="F8277" s="35">
        <f>SUMIFS(F8278:F9015,K8278:K9015,"0",B8278:B9015,"5 1 3 9 8 12 31111 6 M59 20400 000132 0000R 00001 00398 015*")</f>
        <v>18124.88</v>
      </c>
      <c r="G8277" s="35">
        <f>SUMIFS(G8278:G9015,K8278:K9015,"0",B8278:B9015,"5 1 3 9 8 12 31111 6 M59 20400 000132 0000R 00001 00398 015*")</f>
        <v>0</v>
      </c>
      <c r="H8277" s="35">
        <f t="shared" si="130"/>
        <v>18124.88</v>
      </c>
      <c r="I8277" s="35"/>
      <c r="K8277" t="s">
        <v>15</v>
      </c>
    </row>
    <row r="8278" spans="2:11" ht="33" x14ac:dyDescent="0.2">
      <c r="B8278" s="33" t="s">
        <v>9404</v>
      </c>
      <c r="C8278" s="33" t="s">
        <v>8550</v>
      </c>
      <c r="D8278" s="35">
        <f>SUMIFS(D8279:D9015,K8279:K9015,"0",B8279:B9015,"5 1 3 9 8 12 31111 6 M59 20400 000132 0000R 00001 00398 015 2111300*")-SUMIFS(E8279:E9015,K8279:K9015,"0",B8279:B9015,"5 1 3 9 8 12 31111 6 M59 20400 000132 0000R 00001 00398 015 2111300*")</f>
        <v>0</v>
      </c>
      <c r="E8278"/>
      <c r="F8278" s="35">
        <f>SUMIFS(F8279:F9015,K8279:K9015,"0",B8279:B9015,"5 1 3 9 8 12 31111 6 M59 20400 000132 0000R 00001 00398 015 2111300*")</f>
        <v>18124.88</v>
      </c>
      <c r="G8278" s="35">
        <f>SUMIFS(G8279:G9015,K8279:K9015,"0",B8279:B9015,"5 1 3 9 8 12 31111 6 M59 20400 000132 0000R 00001 00398 015 2111300*")</f>
        <v>0</v>
      </c>
      <c r="H8278" s="35">
        <f t="shared" si="130"/>
        <v>18124.88</v>
      </c>
      <c r="I8278" s="35"/>
      <c r="K8278" t="s">
        <v>15</v>
      </c>
    </row>
    <row r="8279" spans="2:11" ht="33" x14ac:dyDescent="0.2">
      <c r="B8279" s="33" t="s">
        <v>9405</v>
      </c>
      <c r="C8279" s="33" t="s">
        <v>660</v>
      </c>
      <c r="D8279" s="35">
        <f>SUMIFS(D8280:D9015,K8280:K9015,"0",B8280:B9015,"5 1 3 9 8 12 31111 6 M59 20400 000132 0000R 00001 00398 015 2111300 2024*")-SUMIFS(E8280:E9015,K8280:K9015,"0",B8280:B9015,"5 1 3 9 8 12 31111 6 M59 20400 000132 0000R 00001 00398 015 2111300 2024*")</f>
        <v>0</v>
      </c>
      <c r="E8279"/>
      <c r="F8279" s="35">
        <f>SUMIFS(F8280:F9015,K8280:K9015,"0",B8280:B9015,"5 1 3 9 8 12 31111 6 M59 20400 000132 0000R 00001 00398 015 2111300 2024*")</f>
        <v>18124.88</v>
      </c>
      <c r="G8279" s="35">
        <f>SUMIFS(G8280:G9015,K8280:K9015,"0",B8280:B9015,"5 1 3 9 8 12 31111 6 M59 20400 000132 0000R 00001 00398 015 2111300 2024*")</f>
        <v>0</v>
      </c>
      <c r="H8279" s="35">
        <f t="shared" si="130"/>
        <v>18124.88</v>
      </c>
      <c r="I8279" s="35"/>
      <c r="K8279" t="s">
        <v>15</v>
      </c>
    </row>
    <row r="8280" spans="2:11" ht="41.25" x14ac:dyDescent="0.2">
      <c r="B8280" s="33" t="s">
        <v>9406</v>
      </c>
      <c r="C8280" s="33" t="s">
        <v>1056</v>
      </c>
      <c r="D8280" s="35">
        <f>SUMIFS(D8281:D9015,K8281:K9015,"0",B8281:B9015,"5 1 3 9 8 12 31111 6 M59 20400 000132 0000R 00001 00398 015 2111300 2024 CP1PV404*")-SUMIFS(E8281:E9015,K8281:K9015,"0",B8281:B9015,"5 1 3 9 8 12 31111 6 M59 20400 000132 0000R 00001 00398 015 2111300 2024 CP1PV404*")</f>
        <v>0</v>
      </c>
      <c r="E8280"/>
      <c r="F8280" s="35">
        <f>SUMIFS(F8281:F9015,K8281:K9015,"0",B8281:B9015,"5 1 3 9 8 12 31111 6 M59 20400 000132 0000R 00001 00398 015 2111300 2024 CP1PV404*")</f>
        <v>18124.88</v>
      </c>
      <c r="G8280" s="35">
        <f>SUMIFS(G8281:G9015,K8281:K9015,"0",B8281:B9015,"5 1 3 9 8 12 31111 6 M59 20400 000132 0000R 00001 00398 015 2111300 2024 CP1PV404*")</f>
        <v>0</v>
      </c>
      <c r="H8280" s="35">
        <f t="shared" si="130"/>
        <v>18124.88</v>
      </c>
      <c r="I8280" s="35"/>
      <c r="K8280" t="s">
        <v>15</v>
      </c>
    </row>
    <row r="8281" spans="2:11" ht="41.25" x14ac:dyDescent="0.2">
      <c r="B8281" s="33" t="s">
        <v>9407</v>
      </c>
      <c r="C8281" s="33" t="s">
        <v>282</v>
      </c>
      <c r="D8281" s="35">
        <f>SUMIFS(D8282:D9015,K8282:K9015,"0",B8282:B9015,"5 1 3 9 8 12 31111 6 M59 20400 000132 0000R 00001 00398 015 2111300 2024 CP1PV404 001*")-SUMIFS(E8282:E9015,K8282:K9015,"0",B8282:B9015,"5 1 3 9 8 12 31111 6 M59 20400 000132 0000R 00001 00398 015 2111300 2024 CP1PV404 001*")</f>
        <v>0</v>
      </c>
      <c r="E8281"/>
      <c r="F8281" s="35">
        <f>SUMIFS(F8282:F9015,K8282:K9015,"0",B8282:B9015,"5 1 3 9 8 12 31111 6 M59 20400 000132 0000R 00001 00398 015 2111300 2024 CP1PV404 001*")</f>
        <v>18124.88</v>
      </c>
      <c r="G8281" s="35">
        <f>SUMIFS(G8282:G9015,K8282:K9015,"0",B8282:B9015,"5 1 3 9 8 12 31111 6 M59 20400 000132 0000R 00001 00398 015 2111300 2024 CP1PV404 001*")</f>
        <v>0</v>
      </c>
      <c r="H8281" s="35">
        <f t="shared" si="130"/>
        <v>18124.88</v>
      </c>
      <c r="I8281" s="35"/>
      <c r="K8281" t="s">
        <v>15</v>
      </c>
    </row>
    <row r="8282" spans="2:11" ht="41.25" x14ac:dyDescent="0.2">
      <c r="B8282" s="31" t="s">
        <v>9408</v>
      </c>
      <c r="C8282" s="31" t="s">
        <v>9254</v>
      </c>
      <c r="D8282" s="34">
        <v>0</v>
      </c>
      <c r="E8282" s="34"/>
      <c r="F8282" s="34">
        <v>18124.88</v>
      </c>
      <c r="G8282" s="34">
        <v>0</v>
      </c>
      <c r="H8282" s="34">
        <f t="shared" si="130"/>
        <v>18124.88</v>
      </c>
      <c r="I8282" s="34"/>
      <c r="K8282" t="s">
        <v>38</v>
      </c>
    </row>
    <row r="8283" spans="2:11" ht="16.5" x14ac:dyDescent="0.2">
      <c r="B8283" s="33" t="s">
        <v>9409</v>
      </c>
      <c r="C8283" s="33" t="s">
        <v>1079</v>
      </c>
      <c r="D8283" s="35">
        <f>SUMIFS(D8284:D9015,K8284:K9015,"0",B8284:B9015,"5 1 3 9 8 12 31111 6 M59 20500*")-SUMIFS(E8284:E9015,K8284:K9015,"0",B8284:B9015,"5 1 3 9 8 12 31111 6 M59 20500*")</f>
        <v>0</v>
      </c>
      <c r="E8283"/>
      <c r="F8283" s="35">
        <f>SUMIFS(F8284:F9015,K8284:K9015,"0",B8284:B9015,"5 1 3 9 8 12 31111 6 M59 20500*")</f>
        <v>26878.23</v>
      </c>
      <c r="G8283" s="35">
        <f>SUMIFS(G8284:G9015,K8284:K9015,"0",B8284:B9015,"5 1 3 9 8 12 31111 6 M59 20500*")</f>
        <v>0</v>
      </c>
      <c r="H8283" s="35">
        <f t="shared" si="130"/>
        <v>26878.23</v>
      </c>
      <c r="I8283" s="35"/>
      <c r="K8283" t="s">
        <v>15</v>
      </c>
    </row>
    <row r="8284" spans="2:11" ht="16.5" x14ac:dyDescent="0.2">
      <c r="B8284" s="33" t="s">
        <v>9410</v>
      </c>
      <c r="C8284" s="33" t="s">
        <v>648</v>
      </c>
      <c r="D8284" s="35">
        <f>SUMIFS(D8285:D9015,K8285:K9015,"0",B8285:B9015,"5 1 3 9 8 12 31111 6 M59 20500 000132*")-SUMIFS(E8285:E9015,K8285:K9015,"0",B8285:B9015,"5 1 3 9 8 12 31111 6 M59 20500 000132*")</f>
        <v>0</v>
      </c>
      <c r="E8284"/>
      <c r="F8284" s="35">
        <f>SUMIFS(F8285:F9015,K8285:K9015,"0",B8285:B9015,"5 1 3 9 8 12 31111 6 M59 20500 000132*")</f>
        <v>26878.23</v>
      </c>
      <c r="G8284" s="35">
        <f>SUMIFS(G8285:G9015,K8285:K9015,"0",B8285:B9015,"5 1 3 9 8 12 31111 6 M59 20500 000132*")</f>
        <v>0</v>
      </c>
      <c r="H8284" s="35">
        <f t="shared" si="130"/>
        <v>26878.23</v>
      </c>
      <c r="I8284" s="35"/>
      <c r="K8284" t="s">
        <v>15</v>
      </c>
    </row>
    <row r="8285" spans="2:11" ht="24.75" x14ac:dyDescent="0.2">
      <c r="B8285" s="33" t="s">
        <v>9411</v>
      </c>
      <c r="C8285" s="33" t="s">
        <v>650</v>
      </c>
      <c r="D8285" s="35">
        <f>SUMIFS(D8286:D9015,K8286:K9015,"0",B8286:B9015,"5 1 3 9 8 12 31111 6 M59 20500 000132 0000R*")-SUMIFS(E8286:E9015,K8286:K9015,"0",B8286:B9015,"5 1 3 9 8 12 31111 6 M59 20500 000132 0000R*")</f>
        <v>0</v>
      </c>
      <c r="E8285"/>
      <c r="F8285" s="35">
        <f>SUMIFS(F8286:F9015,K8286:K9015,"0",B8286:B9015,"5 1 3 9 8 12 31111 6 M59 20500 000132 0000R*")</f>
        <v>26878.23</v>
      </c>
      <c r="G8285" s="35">
        <f>SUMIFS(G8286:G9015,K8286:K9015,"0",B8286:B9015,"5 1 3 9 8 12 31111 6 M59 20500 000132 0000R*")</f>
        <v>0</v>
      </c>
      <c r="H8285" s="35">
        <f t="shared" si="130"/>
        <v>26878.23</v>
      </c>
      <c r="I8285" s="35"/>
      <c r="K8285" t="s">
        <v>15</v>
      </c>
    </row>
    <row r="8286" spans="2:11" ht="24.75" x14ac:dyDescent="0.2">
      <c r="B8286" s="33" t="s">
        <v>9412</v>
      </c>
      <c r="C8286" s="33" t="s">
        <v>282</v>
      </c>
      <c r="D8286" s="35">
        <f>SUMIFS(D8287:D9015,K8287:K9015,"0",B8287:B9015,"5 1 3 9 8 12 31111 6 M59 20500 000132 0000R 00001*")-SUMIFS(E8287:E9015,K8287:K9015,"0",B8287:B9015,"5 1 3 9 8 12 31111 6 M59 20500 000132 0000R 00001*")</f>
        <v>0</v>
      </c>
      <c r="E8286"/>
      <c r="F8286" s="35">
        <f>SUMIFS(F8287:F9015,K8287:K9015,"0",B8287:B9015,"5 1 3 9 8 12 31111 6 M59 20500 000132 0000R 00001*")</f>
        <v>26878.23</v>
      </c>
      <c r="G8286" s="35">
        <f>SUMIFS(G8287:G9015,K8287:K9015,"0",B8287:B9015,"5 1 3 9 8 12 31111 6 M59 20500 000132 0000R 00001*")</f>
        <v>0</v>
      </c>
      <c r="H8286" s="35">
        <f t="shared" si="130"/>
        <v>26878.23</v>
      </c>
      <c r="I8286" s="35"/>
      <c r="K8286" t="s">
        <v>15</v>
      </c>
    </row>
    <row r="8287" spans="2:11" ht="24.75" x14ac:dyDescent="0.2">
      <c r="B8287" s="33" t="s">
        <v>9413</v>
      </c>
      <c r="C8287" s="33" t="s">
        <v>9247</v>
      </c>
      <c r="D8287" s="35">
        <f>SUMIFS(D8288:D9015,K8288:K9015,"0",B8288:B9015,"5 1 3 9 8 12 31111 6 M59 20500 000132 0000R 00001 00398*")-SUMIFS(E8288:E9015,K8288:K9015,"0",B8288:B9015,"5 1 3 9 8 12 31111 6 M59 20500 000132 0000R 00001 00398*")</f>
        <v>0</v>
      </c>
      <c r="E8287"/>
      <c r="F8287" s="35">
        <f>SUMIFS(F8288:F9015,K8288:K9015,"0",B8288:B9015,"5 1 3 9 8 12 31111 6 M59 20500 000132 0000R 00001 00398*")</f>
        <v>26878.23</v>
      </c>
      <c r="G8287" s="35">
        <f>SUMIFS(G8288:G9015,K8288:K9015,"0",B8288:B9015,"5 1 3 9 8 12 31111 6 M59 20500 000132 0000R 00001 00398*")</f>
        <v>0</v>
      </c>
      <c r="H8287" s="35">
        <f t="shared" si="130"/>
        <v>26878.23</v>
      </c>
      <c r="I8287" s="35"/>
      <c r="K8287" t="s">
        <v>15</v>
      </c>
    </row>
    <row r="8288" spans="2:11" ht="33" x14ac:dyDescent="0.2">
      <c r="B8288" s="33" t="s">
        <v>9414</v>
      </c>
      <c r="C8288" s="33" t="s">
        <v>1051</v>
      </c>
      <c r="D8288" s="35">
        <f>SUMIFS(D8289:D9015,K8289:K9015,"0",B8289:B9015,"5 1 3 9 8 12 31111 6 M59 20500 000132 0000R 00001 00398 015*")-SUMIFS(E8289:E9015,K8289:K9015,"0",B8289:B9015,"5 1 3 9 8 12 31111 6 M59 20500 000132 0000R 00001 00398 015*")</f>
        <v>0</v>
      </c>
      <c r="E8288"/>
      <c r="F8288" s="35">
        <f>SUMIFS(F8289:F9015,K8289:K9015,"0",B8289:B9015,"5 1 3 9 8 12 31111 6 M59 20500 000132 0000R 00001 00398 015*")</f>
        <v>26878.23</v>
      </c>
      <c r="G8288" s="35">
        <f>SUMIFS(G8289:G9015,K8289:K9015,"0",B8289:B9015,"5 1 3 9 8 12 31111 6 M59 20500 000132 0000R 00001 00398 015*")</f>
        <v>0</v>
      </c>
      <c r="H8288" s="35">
        <f t="shared" si="130"/>
        <v>26878.23</v>
      </c>
      <c r="I8288" s="35"/>
      <c r="K8288" t="s">
        <v>15</v>
      </c>
    </row>
    <row r="8289" spans="2:11" ht="33" x14ac:dyDescent="0.2">
      <c r="B8289" s="33" t="s">
        <v>9415</v>
      </c>
      <c r="C8289" s="33" t="s">
        <v>8550</v>
      </c>
      <c r="D8289" s="35">
        <f>SUMIFS(D8290:D9015,K8290:K9015,"0",B8290:B9015,"5 1 3 9 8 12 31111 6 M59 20500 000132 0000R 00001 00398 015 2111300*")-SUMIFS(E8290:E9015,K8290:K9015,"0",B8290:B9015,"5 1 3 9 8 12 31111 6 M59 20500 000132 0000R 00001 00398 015 2111300*")</f>
        <v>0</v>
      </c>
      <c r="E8289"/>
      <c r="F8289" s="35">
        <f>SUMIFS(F8290:F9015,K8290:K9015,"0",B8290:B9015,"5 1 3 9 8 12 31111 6 M59 20500 000132 0000R 00001 00398 015 2111300*")</f>
        <v>26878.23</v>
      </c>
      <c r="G8289" s="35">
        <f>SUMIFS(G8290:G9015,K8290:K9015,"0",B8290:B9015,"5 1 3 9 8 12 31111 6 M59 20500 000132 0000R 00001 00398 015 2111300*")</f>
        <v>0</v>
      </c>
      <c r="H8289" s="35">
        <f t="shared" si="130"/>
        <v>26878.23</v>
      </c>
      <c r="I8289" s="35"/>
      <c r="K8289" t="s">
        <v>15</v>
      </c>
    </row>
    <row r="8290" spans="2:11" ht="33" x14ac:dyDescent="0.2">
      <c r="B8290" s="33" t="s">
        <v>9416</v>
      </c>
      <c r="C8290" s="33" t="s">
        <v>660</v>
      </c>
      <c r="D8290" s="35">
        <f>SUMIFS(D8291:D9015,K8291:K9015,"0",B8291:B9015,"5 1 3 9 8 12 31111 6 M59 20500 000132 0000R 00001 00398 015 2111300 2024*")-SUMIFS(E8291:E9015,K8291:K9015,"0",B8291:B9015,"5 1 3 9 8 12 31111 6 M59 20500 000132 0000R 00001 00398 015 2111300 2024*")</f>
        <v>0</v>
      </c>
      <c r="E8290"/>
      <c r="F8290" s="35">
        <f>SUMIFS(F8291:F9015,K8291:K9015,"0",B8291:B9015,"5 1 3 9 8 12 31111 6 M59 20500 000132 0000R 00001 00398 015 2111300 2024*")</f>
        <v>26878.23</v>
      </c>
      <c r="G8290" s="35">
        <f>SUMIFS(G8291:G9015,K8291:K9015,"0",B8291:B9015,"5 1 3 9 8 12 31111 6 M59 20500 000132 0000R 00001 00398 015 2111300 2024*")</f>
        <v>0</v>
      </c>
      <c r="H8290" s="35">
        <f t="shared" si="130"/>
        <v>26878.23</v>
      </c>
      <c r="I8290" s="35"/>
      <c r="K8290" t="s">
        <v>15</v>
      </c>
    </row>
    <row r="8291" spans="2:11" ht="41.25" x14ac:dyDescent="0.2">
      <c r="B8291" s="33" t="s">
        <v>9417</v>
      </c>
      <c r="C8291" s="33" t="s">
        <v>1056</v>
      </c>
      <c r="D8291" s="35">
        <f>SUMIFS(D8292:D9015,K8292:K9015,"0",B8292:B9015,"5 1 3 9 8 12 31111 6 M59 20500 000132 0000R 00001 00398 015 2111300 2024 CP1CP420*")-SUMIFS(E8292:E9015,K8292:K9015,"0",B8292:B9015,"5 1 3 9 8 12 31111 6 M59 20500 000132 0000R 00001 00398 015 2111300 2024 CP1CP420*")</f>
        <v>0</v>
      </c>
      <c r="E8291"/>
      <c r="F8291" s="35">
        <f>SUMIFS(F8292:F9015,K8292:K9015,"0",B8292:B9015,"5 1 3 9 8 12 31111 6 M59 20500 000132 0000R 00001 00398 015 2111300 2024 CP1CP420*")</f>
        <v>26878.23</v>
      </c>
      <c r="G8291" s="35">
        <f>SUMIFS(G8292:G9015,K8292:K9015,"0",B8292:B9015,"5 1 3 9 8 12 31111 6 M59 20500 000132 0000R 00001 00398 015 2111300 2024 CP1CP420*")</f>
        <v>0</v>
      </c>
      <c r="H8291" s="35">
        <f t="shared" si="130"/>
        <v>26878.23</v>
      </c>
      <c r="I8291" s="35"/>
      <c r="K8291" t="s">
        <v>15</v>
      </c>
    </row>
    <row r="8292" spans="2:11" ht="41.25" x14ac:dyDescent="0.2">
      <c r="B8292" s="33" t="s">
        <v>9418</v>
      </c>
      <c r="C8292" s="33" t="s">
        <v>282</v>
      </c>
      <c r="D8292" s="35">
        <f>SUMIFS(D8293:D9015,K8293:K9015,"0",B8293:B9015,"5 1 3 9 8 12 31111 6 M59 20500 000132 0000R 00001 00398 015 2111300 2024 CP1CP420 001*")-SUMIFS(E8293:E9015,K8293:K9015,"0",B8293:B9015,"5 1 3 9 8 12 31111 6 M59 20500 000132 0000R 00001 00398 015 2111300 2024 CP1CP420 001*")</f>
        <v>0</v>
      </c>
      <c r="E8292"/>
      <c r="F8292" s="35">
        <f>SUMIFS(F8293:F9015,K8293:K9015,"0",B8293:B9015,"5 1 3 9 8 12 31111 6 M59 20500 000132 0000R 00001 00398 015 2111300 2024 CP1CP420 001*")</f>
        <v>26878.23</v>
      </c>
      <c r="G8292" s="35">
        <f>SUMIFS(G8293:G9015,K8293:K9015,"0",B8293:B9015,"5 1 3 9 8 12 31111 6 M59 20500 000132 0000R 00001 00398 015 2111300 2024 CP1CP420 001*")</f>
        <v>0</v>
      </c>
      <c r="H8292" s="35">
        <f t="shared" si="130"/>
        <v>26878.23</v>
      </c>
      <c r="I8292" s="35"/>
      <c r="K8292" t="s">
        <v>15</v>
      </c>
    </row>
    <row r="8293" spans="2:11" ht="33" x14ac:dyDescent="0.2">
      <c r="B8293" s="31" t="s">
        <v>9419</v>
      </c>
      <c r="C8293" s="31" t="s">
        <v>9254</v>
      </c>
      <c r="D8293" s="34">
        <v>0</v>
      </c>
      <c r="E8293" s="34"/>
      <c r="F8293" s="34">
        <v>26878.23</v>
      </c>
      <c r="G8293" s="34">
        <v>0</v>
      </c>
      <c r="H8293" s="34">
        <f t="shared" si="130"/>
        <v>26878.23</v>
      </c>
      <c r="I8293" s="34"/>
      <c r="K8293" t="s">
        <v>38</v>
      </c>
    </row>
    <row r="8294" spans="2:11" ht="16.5" x14ac:dyDescent="0.2">
      <c r="B8294" s="33" t="s">
        <v>9420</v>
      </c>
      <c r="C8294" s="33" t="s">
        <v>3126</v>
      </c>
      <c r="D8294" s="35">
        <f>SUMIFS(D8295:D9015,K8295:K9015,"0",B8295:B9015,"5 1 3 9 8 12 31111 6 M59 20600*")-SUMIFS(E8295:E9015,K8295:K9015,"0",B8295:B9015,"5 1 3 9 8 12 31111 6 M59 20600*")</f>
        <v>0</v>
      </c>
      <c r="E8294"/>
      <c r="F8294" s="35">
        <f>SUMIFS(F8295:F9015,K8295:K9015,"0",B8295:B9015,"5 1 3 9 8 12 31111 6 M59 20600*")</f>
        <v>20947.29</v>
      </c>
      <c r="G8294" s="35">
        <f>SUMIFS(G8295:G9015,K8295:K9015,"0",B8295:B9015,"5 1 3 9 8 12 31111 6 M59 20600*")</f>
        <v>0</v>
      </c>
      <c r="H8294" s="35">
        <f t="shared" si="130"/>
        <v>20947.29</v>
      </c>
      <c r="I8294" s="35"/>
      <c r="K8294" t="s">
        <v>15</v>
      </c>
    </row>
    <row r="8295" spans="2:11" ht="16.5" x14ac:dyDescent="0.2">
      <c r="B8295" s="33" t="s">
        <v>9421</v>
      </c>
      <c r="C8295" s="33" t="s">
        <v>648</v>
      </c>
      <c r="D8295" s="35">
        <f>SUMIFS(D8296:D9015,K8296:K9015,"0",B8296:B9015,"5 1 3 9 8 12 31111 6 M59 20600 000132*")-SUMIFS(E8296:E9015,K8296:K9015,"0",B8296:B9015,"5 1 3 9 8 12 31111 6 M59 20600 000132*")</f>
        <v>0</v>
      </c>
      <c r="E8295"/>
      <c r="F8295" s="35">
        <f>SUMIFS(F8296:F9015,K8296:K9015,"0",B8296:B9015,"5 1 3 9 8 12 31111 6 M59 20600 000132*")</f>
        <v>20947.29</v>
      </c>
      <c r="G8295" s="35">
        <f>SUMIFS(G8296:G9015,K8296:K9015,"0",B8296:B9015,"5 1 3 9 8 12 31111 6 M59 20600 000132*")</f>
        <v>0</v>
      </c>
      <c r="H8295" s="35">
        <f t="shared" si="130"/>
        <v>20947.29</v>
      </c>
      <c r="I8295" s="35"/>
      <c r="K8295" t="s">
        <v>15</v>
      </c>
    </row>
    <row r="8296" spans="2:11" ht="24.75" x14ac:dyDescent="0.2">
      <c r="B8296" s="33" t="s">
        <v>9422</v>
      </c>
      <c r="C8296" s="33" t="s">
        <v>650</v>
      </c>
      <c r="D8296" s="35">
        <f>SUMIFS(D8297:D9015,K8297:K9015,"0",B8297:B9015,"5 1 3 9 8 12 31111 6 M59 20600 000132 0000R*")-SUMIFS(E8297:E9015,K8297:K9015,"0",B8297:B9015,"5 1 3 9 8 12 31111 6 M59 20600 000132 0000R*")</f>
        <v>0</v>
      </c>
      <c r="E8296"/>
      <c r="F8296" s="35">
        <f>SUMIFS(F8297:F9015,K8297:K9015,"0",B8297:B9015,"5 1 3 9 8 12 31111 6 M59 20600 000132 0000R*")</f>
        <v>20947.29</v>
      </c>
      <c r="G8296" s="35">
        <f>SUMIFS(G8297:G9015,K8297:K9015,"0",B8297:B9015,"5 1 3 9 8 12 31111 6 M59 20600 000132 0000R*")</f>
        <v>0</v>
      </c>
      <c r="H8296" s="35">
        <f t="shared" si="130"/>
        <v>20947.29</v>
      </c>
      <c r="I8296" s="35"/>
      <c r="K8296" t="s">
        <v>15</v>
      </c>
    </row>
    <row r="8297" spans="2:11" ht="24.75" x14ac:dyDescent="0.2">
      <c r="B8297" s="33" t="s">
        <v>9423</v>
      </c>
      <c r="C8297" s="33" t="s">
        <v>282</v>
      </c>
      <c r="D8297" s="35">
        <f>SUMIFS(D8298:D9015,K8298:K9015,"0",B8298:B9015,"5 1 3 9 8 12 31111 6 M59 20600 000132 0000R 00001*")-SUMIFS(E8298:E9015,K8298:K9015,"0",B8298:B9015,"5 1 3 9 8 12 31111 6 M59 20600 000132 0000R 00001*")</f>
        <v>0</v>
      </c>
      <c r="E8297"/>
      <c r="F8297" s="35">
        <f>SUMIFS(F8298:F9015,K8298:K9015,"0",B8298:B9015,"5 1 3 9 8 12 31111 6 M59 20600 000132 0000R 00001*")</f>
        <v>20947.29</v>
      </c>
      <c r="G8297" s="35">
        <f>SUMIFS(G8298:G9015,K8298:K9015,"0",B8298:B9015,"5 1 3 9 8 12 31111 6 M59 20600 000132 0000R 00001*")</f>
        <v>0</v>
      </c>
      <c r="H8297" s="35">
        <f t="shared" si="130"/>
        <v>20947.29</v>
      </c>
      <c r="I8297" s="35"/>
      <c r="K8297" t="s">
        <v>15</v>
      </c>
    </row>
    <row r="8298" spans="2:11" ht="24.75" x14ac:dyDescent="0.2">
      <c r="B8298" s="33" t="s">
        <v>9424</v>
      </c>
      <c r="C8298" s="33" t="s">
        <v>9247</v>
      </c>
      <c r="D8298" s="35">
        <f>SUMIFS(D8299:D9015,K8299:K9015,"0",B8299:B9015,"5 1 3 9 8 12 31111 6 M59 20600 000132 0000R 00001 00398*")-SUMIFS(E8299:E9015,K8299:K9015,"0",B8299:B9015,"5 1 3 9 8 12 31111 6 M59 20600 000132 0000R 00001 00398*")</f>
        <v>0</v>
      </c>
      <c r="E8298"/>
      <c r="F8298" s="35">
        <f>SUMIFS(F8299:F9015,K8299:K9015,"0",B8299:B9015,"5 1 3 9 8 12 31111 6 M59 20600 000132 0000R 00001 00398*")</f>
        <v>20947.29</v>
      </c>
      <c r="G8298" s="35">
        <f>SUMIFS(G8299:G9015,K8299:K9015,"0",B8299:B9015,"5 1 3 9 8 12 31111 6 M59 20600 000132 0000R 00001 00398*")</f>
        <v>0</v>
      </c>
      <c r="H8298" s="35">
        <f t="shared" si="130"/>
        <v>20947.29</v>
      </c>
      <c r="I8298" s="35"/>
      <c r="K8298" t="s">
        <v>15</v>
      </c>
    </row>
    <row r="8299" spans="2:11" ht="33" x14ac:dyDescent="0.2">
      <c r="B8299" s="33" t="s">
        <v>9425</v>
      </c>
      <c r="C8299" s="33" t="s">
        <v>1051</v>
      </c>
      <c r="D8299" s="35">
        <f>SUMIFS(D8300:D9015,K8300:K9015,"0",B8300:B9015,"5 1 3 9 8 12 31111 6 M59 20600 000132 0000R 00001 00398 015*")-SUMIFS(E8300:E9015,K8300:K9015,"0",B8300:B9015,"5 1 3 9 8 12 31111 6 M59 20600 000132 0000R 00001 00398 015*")</f>
        <v>0</v>
      </c>
      <c r="E8299"/>
      <c r="F8299" s="35">
        <f>SUMIFS(F8300:F9015,K8300:K9015,"0",B8300:B9015,"5 1 3 9 8 12 31111 6 M59 20600 000132 0000R 00001 00398 015*")</f>
        <v>20947.29</v>
      </c>
      <c r="G8299" s="35">
        <f>SUMIFS(G8300:G9015,K8300:K9015,"0",B8300:B9015,"5 1 3 9 8 12 31111 6 M59 20600 000132 0000R 00001 00398 015*")</f>
        <v>0</v>
      </c>
      <c r="H8299" s="35">
        <f t="shared" si="130"/>
        <v>20947.29</v>
      </c>
      <c r="I8299" s="35"/>
      <c r="K8299" t="s">
        <v>15</v>
      </c>
    </row>
    <row r="8300" spans="2:11" ht="33" x14ac:dyDescent="0.2">
      <c r="B8300" s="33" t="s">
        <v>9426</v>
      </c>
      <c r="C8300" s="33" t="s">
        <v>8550</v>
      </c>
      <c r="D8300" s="35">
        <f>SUMIFS(D8301:D9015,K8301:K9015,"0",B8301:B9015,"5 1 3 9 8 12 31111 6 M59 20600 000132 0000R 00001 00398 015 2111300*")-SUMIFS(E8301:E9015,K8301:K9015,"0",B8301:B9015,"5 1 3 9 8 12 31111 6 M59 20600 000132 0000R 00001 00398 015 2111300*")</f>
        <v>0</v>
      </c>
      <c r="E8300"/>
      <c r="F8300" s="35">
        <f>SUMIFS(F8301:F9015,K8301:K9015,"0",B8301:B9015,"5 1 3 9 8 12 31111 6 M59 20600 000132 0000R 00001 00398 015 2111300*")</f>
        <v>20947.29</v>
      </c>
      <c r="G8300" s="35">
        <f>SUMIFS(G8301:G9015,K8301:K9015,"0",B8301:B9015,"5 1 3 9 8 12 31111 6 M59 20600 000132 0000R 00001 00398 015 2111300*")</f>
        <v>0</v>
      </c>
      <c r="H8300" s="35">
        <f t="shared" si="130"/>
        <v>20947.29</v>
      </c>
      <c r="I8300" s="35"/>
      <c r="K8300" t="s">
        <v>15</v>
      </c>
    </row>
    <row r="8301" spans="2:11" ht="33" x14ac:dyDescent="0.2">
      <c r="B8301" s="33" t="s">
        <v>9427</v>
      </c>
      <c r="C8301" s="33" t="s">
        <v>660</v>
      </c>
      <c r="D8301" s="35">
        <f>SUMIFS(D8302:D9015,K8302:K9015,"0",B8302:B9015,"5 1 3 9 8 12 31111 6 M59 20600 000132 0000R 00001 00398 015 2111300 2024*")-SUMIFS(E8302:E9015,K8302:K9015,"0",B8302:B9015,"5 1 3 9 8 12 31111 6 M59 20600 000132 0000R 00001 00398 015 2111300 2024*")</f>
        <v>0</v>
      </c>
      <c r="E8301"/>
      <c r="F8301" s="35">
        <f>SUMIFS(F8302:F9015,K8302:K9015,"0",B8302:B9015,"5 1 3 9 8 12 31111 6 M59 20600 000132 0000R 00001 00398 015 2111300 2024*")</f>
        <v>20947.29</v>
      </c>
      <c r="G8301" s="35">
        <f>SUMIFS(G8302:G9015,K8302:K9015,"0",B8302:B9015,"5 1 3 9 8 12 31111 6 M59 20600 000132 0000R 00001 00398 015 2111300 2024*")</f>
        <v>0</v>
      </c>
      <c r="H8301" s="35">
        <f t="shared" si="130"/>
        <v>20947.29</v>
      </c>
      <c r="I8301" s="35"/>
      <c r="K8301" t="s">
        <v>15</v>
      </c>
    </row>
    <row r="8302" spans="2:11" ht="41.25" x14ac:dyDescent="0.2">
      <c r="B8302" s="33" t="s">
        <v>9428</v>
      </c>
      <c r="C8302" s="33" t="s">
        <v>1056</v>
      </c>
      <c r="D8302" s="35">
        <f>SUMIFS(D8303:D9015,K8303:K9015,"0",B8303:B9015,"5 1 3 9 8 12 31111 6 M59 20600 000132 0000R 00001 00398 015 2111300 2024 CP1CA380*")-SUMIFS(E8303:E9015,K8303:K9015,"0",B8303:B9015,"5 1 3 9 8 12 31111 6 M59 20600 000132 0000R 00001 00398 015 2111300 2024 CP1CA380*")</f>
        <v>0</v>
      </c>
      <c r="E8302"/>
      <c r="F8302" s="35">
        <f>SUMIFS(F8303:F9015,K8303:K9015,"0",B8303:B9015,"5 1 3 9 8 12 31111 6 M59 20600 000132 0000R 00001 00398 015 2111300 2024 CP1CA380*")</f>
        <v>20947.29</v>
      </c>
      <c r="G8302" s="35">
        <f>SUMIFS(G8303:G9015,K8303:K9015,"0",B8303:B9015,"5 1 3 9 8 12 31111 6 M59 20600 000132 0000R 00001 00398 015 2111300 2024 CP1CA380*")</f>
        <v>0</v>
      </c>
      <c r="H8302" s="35">
        <f t="shared" si="130"/>
        <v>20947.29</v>
      </c>
      <c r="I8302" s="35"/>
      <c r="K8302" t="s">
        <v>15</v>
      </c>
    </row>
    <row r="8303" spans="2:11" ht="41.25" x14ac:dyDescent="0.2">
      <c r="B8303" s="33" t="s">
        <v>9429</v>
      </c>
      <c r="C8303" s="33" t="s">
        <v>282</v>
      </c>
      <c r="D8303" s="35">
        <f>SUMIFS(D8304:D9015,K8304:K9015,"0",B8304:B9015,"5 1 3 9 8 12 31111 6 M59 20600 000132 0000R 00001 00398 015 2111300 2024 CP1CA380 001*")-SUMIFS(E8304:E9015,K8304:K9015,"0",B8304:B9015,"5 1 3 9 8 12 31111 6 M59 20600 000132 0000R 00001 00398 015 2111300 2024 CP1CA380 001*")</f>
        <v>0</v>
      </c>
      <c r="E8303"/>
      <c r="F8303" s="35">
        <f>SUMIFS(F8304:F9015,K8304:K9015,"0",B8304:B9015,"5 1 3 9 8 12 31111 6 M59 20600 000132 0000R 00001 00398 015 2111300 2024 CP1CA380 001*")</f>
        <v>20947.29</v>
      </c>
      <c r="G8303" s="35">
        <f>SUMIFS(G8304:G9015,K8304:K9015,"0",B8304:B9015,"5 1 3 9 8 12 31111 6 M59 20600 000132 0000R 00001 00398 015 2111300 2024 CP1CA380 001*")</f>
        <v>0</v>
      </c>
      <c r="H8303" s="35">
        <f t="shared" si="130"/>
        <v>20947.29</v>
      </c>
      <c r="I8303" s="35"/>
      <c r="K8303" t="s">
        <v>15</v>
      </c>
    </row>
    <row r="8304" spans="2:11" ht="41.25" x14ac:dyDescent="0.2">
      <c r="B8304" s="31" t="s">
        <v>9430</v>
      </c>
      <c r="C8304" s="31" t="s">
        <v>9254</v>
      </c>
      <c r="D8304" s="34">
        <v>0</v>
      </c>
      <c r="E8304" s="34"/>
      <c r="F8304" s="34">
        <v>20947.29</v>
      </c>
      <c r="G8304" s="34">
        <v>0</v>
      </c>
      <c r="H8304" s="34">
        <f t="shared" si="130"/>
        <v>20947.29</v>
      </c>
      <c r="I8304" s="34"/>
      <c r="K8304" t="s">
        <v>38</v>
      </c>
    </row>
    <row r="8305" spans="2:11" ht="16.5" x14ac:dyDescent="0.2">
      <c r="B8305" s="33" t="s">
        <v>9431</v>
      </c>
      <c r="C8305" s="33" t="s">
        <v>3138</v>
      </c>
      <c r="D8305" s="35">
        <f>SUMIFS(D8306:D9015,K8306:K9015,"0",B8306:B9015,"5 1 3 9 8 12 31111 6 M59 20700*")-SUMIFS(E8306:E9015,K8306:K9015,"0",B8306:B9015,"5 1 3 9 8 12 31111 6 M59 20700*")</f>
        <v>0</v>
      </c>
      <c r="E8305"/>
      <c r="F8305" s="35">
        <f>SUMIFS(F8306:F9015,K8306:K9015,"0",B8306:B9015,"5 1 3 9 8 12 31111 6 M59 20700*")</f>
        <v>32434.45</v>
      </c>
      <c r="G8305" s="35">
        <f>SUMIFS(G8306:G9015,K8306:K9015,"0",B8306:B9015,"5 1 3 9 8 12 31111 6 M59 20700*")</f>
        <v>0</v>
      </c>
      <c r="H8305" s="35">
        <f t="shared" si="130"/>
        <v>32434.45</v>
      </c>
      <c r="I8305" s="35"/>
      <c r="K8305" t="s">
        <v>15</v>
      </c>
    </row>
    <row r="8306" spans="2:11" ht="16.5" x14ac:dyDescent="0.2">
      <c r="B8306" s="33" t="s">
        <v>9432</v>
      </c>
      <c r="C8306" s="33" t="s">
        <v>648</v>
      </c>
      <c r="D8306" s="35">
        <f>SUMIFS(D8307:D9015,K8307:K9015,"0",B8307:B9015,"5 1 3 9 8 12 31111 6 M59 20700 000132*")-SUMIFS(E8307:E9015,K8307:K9015,"0",B8307:B9015,"5 1 3 9 8 12 31111 6 M59 20700 000132*")</f>
        <v>0</v>
      </c>
      <c r="E8306"/>
      <c r="F8306" s="35">
        <f>SUMIFS(F8307:F9015,K8307:K9015,"0",B8307:B9015,"5 1 3 9 8 12 31111 6 M59 20700 000132*")</f>
        <v>32434.45</v>
      </c>
      <c r="G8306" s="35">
        <f>SUMIFS(G8307:G9015,K8307:K9015,"0",B8307:B9015,"5 1 3 9 8 12 31111 6 M59 20700 000132*")</f>
        <v>0</v>
      </c>
      <c r="H8306" s="35">
        <f t="shared" si="130"/>
        <v>32434.45</v>
      </c>
      <c r="I8306" s="35"/>
      <c r="K8306" t="s">
        <v>15</v>
      </c>
    </row>
    <row r="8307" spans="2:11" ht="24.75" x14ac:dyDescent="0.2">
      <c r="B8307" s="33" t="s">
        <v>9433</v>
      </c>
      <c r="C8307" s="33" t="s">
        <v>650</v>
      </c>
      <c r="D8307" s="35">
        <f>SUMIFS(D8308:D9015,K8308:K9015,"0",B8308:B9015,"5 1 3 9 8 12 31111 6 M59 20700 000132 0000R*")-SUMIFS(E8308:E9015,K8308:K9015,"0",B8308:B9015,"5 1 3 9 8 12 31111 6 M59 20700 000132 0000R*")</f>
        <v>0</v>
      </c>
      <c r="E8307"/>
      <c r="F8307" s="35">
        <f>SUMIFS(F8308:F9015,K8308:K9015,"0",B8308:B9015,"5 1 3 9 8 12 31111 6 M59 20700 000132 0000R*")</f>
        <v>32434.45</v>
      </c>
      <c r="G8307" s="35">
        <f>SUMIFS(G8308:G9015,K8308:K9015,"0",B8308:B9015,"5 1 3 9 8 12 31111 6 M59 20700 000132 0000R*")</f>
        <v>0</v>
      </c>
      <c r="H8307" s="35">
        <f t="shared" si="130"/>
        <v>32434.45</v>
      </c>
      <c r="I8307" s="35"/>
      <c r="K8307" t="s">
        <v>15</v>
      </c>
    </row>
    <row r="8308" spans="2:11" ht="24.75" x14ac:dyDescent="0.2">
      <c r="B8308" s="33" t="s">
        <v>9434</v>
      </c>
      <c r="C8308" s="33" t="s">
        <v>282</v>
      </c>
      <c r="D8308" s="35">
        <f>SUMIFS(D8309:D9015,K8309:K9015,"0",B8309:B9015,"5 1 3 9 8 12 31111 6 M59 20700 000132 0000R 00001*")-SUMIFS(E8309:E9015,K8309:K9015,"0",B8309:B9015,"5 1 3 9 8 12 31111 6 M59 20700 000132 0000R 00001*")</f>
        <v>0</v>
      </c>
      <c r="E8308"/>
      <c r="F8308" s="35">
        <f>SUMIFS(F8309:F9015,K8309:K9015,"0",B8309:B9015,"5 1 3 9 8 12 31111 6 M59 20700 000132 0000R 00001*")</f>
        <v>32434.45</v>
      </c>
      <c r="G8308" s="35">
        <f>SUMIFS(G8309:G9015,K8309:K9015,"0",B8309:B9015,"5 1 3 9 8 12 31111 6 M59 20700 000132 0000R 00001*")</f>
        <v>0</v>
      </c>
      <c r="H8308" s="35">
        <f t="shared" si="130"/>
        <v>32434.45</v>
      </c>
      <c r="I8308" s="35"/>
      <c r="K8308" t="s">
        <v>15</v>
      </c>
    </row>
    <row r="8309" spans="2:11" ht="24.75" x14ac:dyDescent="0.2">
      <c r="B8309" s="33" t="s">
        <v>9435</v>
      </c>
      <c r="C8309" s="33" t="s">
        <v>9247</v>
      </c>
      <c r="D8309" s="35">
        <f>SUMIFS(D8310:D9015,K8310:K9015,"0",B8310:B9015,"5 1 3 9 8 12 31111 6 M59 20700 000132 0000R 00001 00398*")-SUMIFS(E8310:E9015,K8310:K9015,"0",B8310:B9015,"5 1 3 9 8 12 31111 6 M59 20700 000132 0000R 00001 00398*")</f>
        <v>0</v>
      </c>
      <c r="E8309"/>
      <c r="F8309" s="35">
        <f>SUMIFS(F8310:F9015,K8310:K9015,"0",B8310:B9015,"5 1 3 9 8 12 31111 6 M59 20700 000132 0000R 00001 00398*")</f>
        <v>32434.45</v>
      </c>
      <c r="G8309" s="35">
        <f>SUMIFS(G8310:G9015,K8310:K9015,"0",B8310:B9015,"5 1 3 9 8 12 31111 6 M59 20700 000132 0000R 00001 00398*")</f>
        <v>0</v>
      </c>
      <c r="H8309" s="35">
        <f t="shared" si="130"/>
        <v>32434.45</v>
      </c>
      <c r="I8309" s="35"/>
      <c r="K8309" t="s">
        <v>15</v>
      </c>
    </row>
    <row r="8310" spans="2:11" ht="33" x14ac:dyDescent="0.2">
      <c r="B8310" s="33" t="s">
        <v>9436</v>
      </c>
      <c r="C8310" s="33" t="s">
        <v>1051</v>
      </c>
      <c r="D8310" s="35">
        <f>SUMIFS(D8311:D9015,K8311:K9015,"0",B8311:B9015,"5 1 3 9 8 12 31111 6 M59 20700 000132 0000R 00001 00398 015*")-SUMIFS(E8311:E9015,K8311:K9015,"0",B8311:B9015,"5 1 3 9 8 12 31111 6 M59 20700 000132 0000R 00001 00398 015*")</f>
        <v>0</v>
      </c>
      <c r="E8310"/>
      <c r="F8310" s="35">
        <f>SUMIFS(F8311:F9015,K8311:K9015,"0",B8311:B9015,"5 1 3 9 8 12 31111 6 M59 20700 000132 0000R 00001 00398 015*")</f>
        <v>32434.45</v>
      </c>
      <c r="G8310" s="35">
        <f>SUMIFS(G8311:G9015,K8311:K9015,"0",B8311:B9015,"5 1 3 9 8 12 31111 6 M59 20700 000132 0000R 00001 00398 015*")</f>
        <v>0</v>
      </c>
      <c r="H8310" s="35">
        <f t="shared" si="130"/>
        <v>32434.45</v>
      </c>
      <c r="I8310" s="35"/>
      <c r="K8310" t="s">
        <v>15</v>
      </c>
    </row>
    <row r="8311" spans="2:11" ht="33" x14ac:dyDescent="0.2">
      <c r="B8311" s="33" t="s">
        <v>9437</v>
      </c>
      <c r="C8311" s="33" t="s">
        <v>8550</v>
      </c>
      <c r="D8311" s="35">
        <f>SUMIFS(D8312:D9015,K8312:K9015,"0",B8312:B9015,"5 1 3 9 8 12 31111 6 M59 20700 000132 0000R 00001 00398 015 2111300*")-SUMIFS(E8312:E9015,K8312:K9015,"0",B8312:B9015,"5 1 3 9 8 12 31111 6 M59 20700 000132 0000R 00001 00398 015 2111300*")</f>
        <v>0</v>
      </c>
      <c r="E8311"/>
      <c r="F8311" s="35">
        <f>SUMIFS(F8312:F9015,K8312:K9015,"0",B8312:B9015,"5 1 3 9 8 12 31111 6 M59 20700 000132 0000R 00001 00398 015 2111300*")</f>
        <v>32434.45</v>
      </c>
      <c r="G8311" s="35">
        <f>SUMIFS(G8312:G9015,K8312:K9015,"0",B8312:B9015,"5 1 3 9 8 12 31111 6 M59 20700 000132 0000R 00001 00398 015 2111300*")</f>
        <v>0</v>
      </c>
      <c r="H8311" s="35">
        <f t="shared" si="130"/>
        <v>32434.45</v>
      </c>
      <c r="I8311" s="35"/>
      <c r="K8311" t="s">
        <v>15</v>
      </c>
    </row>
    <row r="8312" spans="2:11" ht="33" x14ac:dyDescent="0.2">
      <c r="B8312" s="33" t="s">
        <v>9438</v>
      </c>
      <c r="C8312" s="33" t="s">
        <v>660</v>
      </c>
      <c r="D8312" s="35">
        <f>SUMIFS(D8313:D9015,K8313:K9015,"0",B8313:B9015,"5 1 3 9 8 12 31111 6 M59 20700 000132 0000R 00001 00398 015 2111300 2024*")-SUMIFS(E8313:E9015,K8313:K9015,"0",B8313:B9015,"5 1 3 9 8 12 31111 6 M59 20700 000132 0000R 00001 00398 015 2111300 2024*")</f>
        <v>0</v>
      </c>
      <c r="E8312"/>
      <c r="F8312" s="35">
        <f>SUMIFS(F8313:F9015,K8313:K9015,"0",B8313:B9015,"5 1 3 9 8 12 31111 6 M59 20700 000132 0000R 00001 00398 015 2111300 2024*")</f>
        <v>32434.45</v>
      </c>
      <c r="G8312" s="35">
        <f>SUMIFS(G8313:G9015,K8313:K9015,"0",B8313:B9015,"5 1 3 9 8 12 31111 6 M59 20700 000132 0000R 00001 00398 015 2111300 2024*")</f>
        <v>0</v>
      </c>
      <c r="H8312" s="35">
        <f t="shared" si="130"/>
        <v>32434.45</v>
      </c>
      <c r="I8312" s="35"/>
      <c r="K8312" t="s">
        <v>15</v>
      </c>
    </row>
    <row r="8313" spans="2:11" ht="41.25" x14ac:dyDescent="0.2">
      <c r="B8313" s="33" t="s">
        <v>9439</v>
      </c>
      <c r="C8313" s="33" t="s">
        <v>662</v>
      </c>
      <c r="D8313" s="35">
        <f>SUMIFS(D8314:D9015,K8314:K9015,"0",B8314:B9015,"5 1 3 9 8 12 31111 6 M59 20700 000132 0000R 00001 00398 015 2111300 2024 CP1RM401*")-SUMIFS(E8314:E9015,K8314:K9015,"0",B8314:B9015,"5 1 3 9 8 12 31111 6 M59 20700 000132 0000R 00001 00398 015 2111300 2024 CP1RM401*")</f>
        <v>0</v>
      </c>
      <c r="E8313"/>
      <c r="F8313" s="35">
        <f>SUMIFS(F8314:F9015,K8314:K9015,"0",B8314:B9015,"5 1 3 9 8 12 31111 6 M59 20700 000132 0000R 00001 00398 015 2111300 2024 CP1RM401*")</f>
        <v>32434.45</v>
      </c>
      <c r="G8313" s="35">
        <f>SUMIFS(G8314:G9015,K8314:K9015,"0",B8314:B9015,"5 1 3 9 8 12 31111 6 M59 20700 000132 0000R 00001 00398 015 2111300 2024 CP1RM401*")</f>
        <v>0</v>
      </c>
      <c r="H8313" s="35">
        <f t="shared" si="130"/>
        <v>32434.45</v>
      </c>
      <c r="I8313" s="35"/>
      <c r="K8313" t="s">
        <v>15</v>
      </c>
    </row>
    <row r="8314" spans="2:11" ht="41.25" x14ac:dyDescent="0.2">
      <c r="B8314" s="33" t="s">
        <v>9440</v>
      </c>
      <c r="C8314" s="33" t="s">
        <v>282</v>
      </c>
      <c r="D8314" s="35">
        <f>SUMIFS(D8315:D9015,K8315:K9015,"0",B8315:B9015,"5 1 3 9 8 12 31111 6 M59 20700 000132 0000R 00001 00398 015 2111300 2024 CP1RM401 001*")-SUMIFS(E8315:E9015,K8315:K9015,"0",B8315:B9015,"5 1 3 9 8 12 31111 6 M59 20700 000132 0000R 00001 00398 015 2111300 2024 CP1RM401 001*")</f>
        <v>0</v>
      </c>
      <c r="E8314"/>
      <c r="F8314" s="35">
        <f>SUMIFS(F8315:F9015,K8315:K9015,"0",B8315:B9015,"5 1 3 9 8 12 31111 6 M59 20700 000132 0000R 00001 00398 015 2111300 2024 CP1RM401 001*")</f>
        <v>32434.45</v>
      </c>
      <c r="G8314" s="35">
        <f>SUMIFS(G8315:G9015,K8315:K9015,"0",B8315:B9015,"5 1 3 9 8 12 31111 6 M59 20700 000132 0000R 00001 00398 015 2111300 2024 CP1RM401 001*")</f>
        <v>0</v>
      </c>
      <c r="H8314" s="35">
        <f t="shared" si="130"/>
        <v>32434.45</v>
      </c>
      <c r="I8314" s="35"/>
      <c r="K8314" t="s">
        <v>15</v>
      </c>
    </row>
    <row r="8315" spans="2:11" ht="33" x14ac:dyDescent="0.2">
      <c r="B8315" s="31" t="s">
        <v>9441</v>
      </c>
      <c r="C8315" s="31" t="s">
        <v>9254</v>
      </c>
      <c r="D8315" s="34">
        <v>0</v>
      </c>
      <c r="E8315" s="34"/>
      <c r="F8315" s="34">
        <v>32434.45</v>
      </c>
      <c r="G8315" s="34">
        <v>0</v>
      </c>
      <c r="H8315" s="34">
        <f t="shared" si="130"/>
        <v>32434.45</v>
      </c>
      <c r="I8315" s="34"/>
      <c r="K8315" t="s">
        <v>38</v>
      </c>
    </row>
    <row r="8316" spans="2:11" ht="24.75" x14ac:dyDescent="0.2">
      <c r="B8316" s="33" t="s">
        <v>9442</v>
      </c>
      <c r="C8316" s="33" t="s">
        <v>3163</v>
      </c>
      <c r="D8316" s="35">
        <f>SUMIFS(D8317:D9015,K8317:K9015,"0",B8317:B9015,"5 1 3 9 8 12 31111 6 M59 21000*")-SUMIFS(E8317:E9015,K8317:K9015,"0",B8317:B9015,"5 1 3 9 8 12 31111 6 M59 21000*")</f>
        <v>0</v>
      </c>
      <c r="E8316"/>
      <c r="F8316" s="35">
        <f>SUMIFS(F8317:F9015,K8317:K9015,"0",B8317:B9015,"5 1 3 9 8 12 31111 6 M59 21000*")</f>
        <v>4236.84</v>
      </c>
      <c r="G8316" s="35">
        <f>SUMIFS(G8317:G9015,K8317:K9015,"0",B8317:B9015,"5 1 3 9 8 12 31111 6 M59 21000*")</f>
        <v>0</v>
      </c>
      <c r="H8316" s="35">
        <f t="shared" si="130"/>
        <v>4236.84</v>
      </c>
      <c r="I8316" s="35"/>
      <c r="K8316" t="s">
        <v>15</v>
      </c>
    </row>
    <row r="8317" spans="2:11" ht="16.5" x14ac:dyDescent="0.2">
      <c r="B8317" s="33" t="s">
        <v>9443</v>
      </c>
      <c r="C8317" s="33" t="s">
        <v>648</v>
      </c>
      <c r="D8317" s="35">
        <f>SUMIFS(D8318:D9015,K8318:K9015,"0",B8318:B9015,"5 1 3 9 8 12 31111 6 M59 21000 000132*")-SUMIFS(E8318:E9015,K8318:K9015,"0",B8318:B9015,"5 1 3 9 8 12 31111 6 M59 21000 000132*")</f>
        <v>0</v>
      </c>
      <c r="E8317"/>
      <c r="F8317" s="35">
        <f>SUMIFS(F8318:F9015,K8318:K9015,"0",B8318:B9015,"5 1 3 9 8 12 31111 6 M59 21000 000132*")</f>
        <v>4236.84</v>
      </c>
      <c r="G8317" s="35">
        <f>SUMIFS(G8318:G9015,K8318:K9015,"0",B8318:B9015,"5 1 3 9 8 12 31111 6 M59 21000 000132*")</f>
        <v>0</v>
      </c>
      <c r="H8317" s="35">
        <f t="shared" si="130"/>
        <v>4236.84</v>
      </c>
      <c r="I8317" s="35"/>
      <c r="K8317" t="s">
        <v>15</v>
      </c>
    </row>
    <row r="8318" spans="2:11" ht="24.75" x14ac:dyDescent="0.2">
      <c r="B8318" s="33" t="s">
        <v>9444</v>
      </c>
      <c r="C8318" s="33" t="s">
        <v>650</v>
      </c>
      <c r="D8318" s="35">
        <f>SUMIFS(D8319:D9015,K8319:K9015,"0",B8319:B9015,"5 1 3 9 8 12 31111 6 M59 21000 000132 0000R*")-SUMIFS(E8319:E9015,K8319:K9015,"0",B8319:B9015,"5 1 3 9 8 12 31111 6 M59 21000 000132 0000R*")</f>
        <v>0</v>
      </c>
      <c r="E8318"/>
      <c r="F8318" s="35">
        <f>SUMIFS(F8319:F9015,K8319:K9015,"0",B8319:B9015,"5 1 3 9 8 12 31111 6 M59 21000 000132 0000R*")</f>
        <v>4236.84</v>
      </c>
      <c r="G8318" s="35">
        <f>SUMIFS(G8319:G9015,K8319:K9015,"0",B8319:B9015,"5 1 3 9 8 12 31111 6 M59 21000 000132 0000R*")</f>
        <v>0</v>
      </c>
      <c r="H8318" s="35">
        <f t="shared" si="130"/>
        <v>4236.84</v>
      </c>
      <c r="I8318" s="35"/>
      <c r="K8318" t="s">
        <v>15</v>
      </c>
    </row>
    <row r="8319" spans="2:11" ht="24.75" x14ac:dyDescent="0.2">
      <c r="B8319" s="33" t="s">
        <v>9445</v>
      </c>
      <c r="C8319" s="33" t="s">
        <v>282</v>
      </c>
      <c r="D8319" s="35">
        <f>SUMIFS(D8320:D9015,K8320:K9015,"0",B8320:B9015,"5 1 3 9 8 12 31111 6 M59 21000 000132 0000R 00001*")-SUMIFS(E8320:E9015,K8320:K9015,"0",B8320:B9015,"5 1 3 9 8 12 31111 6 M59 21000 000132 0000R 00001*")</f>
        <v>0</v>
      </c>
      <c r="E8319"/>
      <c r="F8319" s="35">
        <f>SUMIFS(F8320:F9015,K8320:K9015,"0",B8320:B9015,"5 1 3 9 8 12 31111 6 M59 21000 000132 0000R 00001*")</f>
        <v>4236.84</v>
      </c>
      <c r="G8319" s="35">
        <f>SUMIFS(G8320:G9015,K8320:K9015,"0",B8320:B9015,"5 1 3 9 8 12 31111 6 M59 21000 000132 0000R 00001*")</f>
        <v>0</v>
      </c>
      <c r="H8319" s="35">
        <f t="shared" si="130"/>
        <v>4236.84</v>
      </c>
      <c r="I8319" s="35"/>
      <c r="K8319" t="s">
        <v>15</v>
      </c>
    </row>
    <row r="8320" spans="2:11" ht="24.75" x14ac:dyDescent="0.2">
      <c r="B8320" s="33" t="s">
        <v>9446</v>
      </c>
      <c r="C8320" s="33" t="s">
        <v>9247</v>
      </c>
      <c r="D8320" s="35">
        <f>SUMIFS(D8321:D9015,K8321:K9015,"0",B8321:B9015,"5 1 3 9 8 12 31111 6 M59 21000 000132 0000R 00001 00398*")-SUMIFS(E8321:E9015,K8321:K9015,"0",B8321:B9015,"5 1 3 9 8 12 31111 6 M59 21000 000132 0000R 00001 00398*")</f>
        <v>0</v>
      </c>
      <c r="E8320"/>
      <c r="F8320" s="35">
        <f>SUMIFS(F8321:F9015,K8321:K9015,"0",B8321:B9015,"5 1 3 9 8 12 31111 6 M59 21000 000132 0000R 00001 00398*")</f>
        <v>4236.84</v>
      </c>
      <c r="G8320" s="35">
        <f>SUMIFS(G8321:G9015,K8321:K9015,"0",B8321:B9015,"5 1 3 9 8 12 31111 6 M59 21000 000132 0000R 00001 00398*")</f>
        <v>0</v>
      </c>
      <c r="H8320" s="35">
        <f t="shared" si="130"/>
        <v>4236.84</v>
      </c>
      <c r="I8320" s="35"/>
      <c r="K8320" t="s">
        <v>15</v>
      </c>
    </row>
    <row r="8321" spans="2:11" ht="33" x14ac:dyDescent="0.2">
      <c r="B8321" s="33" t="s">
        <v>9447</v>
      </c>
      <c r="C8321" s="33" t="s">
        <v>1051</v>
      </c>
      <c r="D8321" s="35">
        <f>SUMIFS(D8322:D9015,K8322:K9015,"0",B8322:B9015,"5 1 3 9 8 12 31111 6 M59 21000 000132 0000R 00001 00398 015*")-SUMIFS(E8322:E9015,K8322:K9015,"0",B8322:B9015,"5 1 3 9 8 12 31111 6 M59 21000 000132 0000R 00001 00398 015*")</f>
        <v>0</v>
      </c>
      <c r="E8321"/>
      <c r="F8321" s="35">
        <f>SUMIFS(F8322:F9015,K8322:K9015,"0",B8322:B9015,"5 1 3 9 8 12 31111 6 M59 21000 000132 0000R 00001 00398 015*")</f>
        <v>4236.84</v>
      </c>
      <c r="G8321" s="35">
        <f>SUMIFS(G8322:G9015,K8322:K9015,"0",B8322:B9015,"5 1 3 9 8 12 31111 6 M59 21000 000132 0000R 00001 00398 015*")</f>
        <v>0</v>
      </c>
      <c r="H8321" s="35">
        <f t="shared" si="130"/>
        <v>4236.84</v>
      </c>
      <c r="I8321" s="35"/>
      <c r="K8321" t="s">
        <v>15</v>
      </c>
    </row>
    <row r="8322" spans="2:11" ht="33" x14ac:dyDescent="0.2">
      <c r="B8322" s="33" t="s">
        <v>9448</v>
      </c>
      <c r="C8322" s="33" t="s">
        <v>2927</v>
      </c>
      <c r="D8322" s="35">
        <f>SUMIFS(D8323:D9015,K8323:K9015,"0",B8323:B9015,"5 1 3 9 8 12 31111 6 M59 21000 000132 0000R 00001 00398 015 2111100*")-SUMIFS(E8323:E9015,K8323:K9015,"0",B8323:B9015,"5 1 3 9 8 12 31111 6 M59 21000 000132 0000R 00001 00398 015 2111100*")</f>
        <v>0</v>
      </c>
      <c r="E8322"/>
      <c r="F8322" s="35">
        <f>SUMIFS(F8323:F9015,K8323:K9015,"0",B8323:B9015,"5 1 3 9 8 12 31111 6 M59 21000 000132 0000R 00001 00398 015 2111100*")</f>
        <v>4236.84</v>
      </c>
      <c r="G8322" s="35">
        <f>SUMIFS(G8323:G9015,K8323:K9015,"0",B8323:B9015,"5 1 3 9 8 12 31111 6 M59 21000 000132 0000R 00001 00398 015 2111100*")</f>
        <v>0</v>
      </c>
      <c r="H8322" s="35">
        <f t="shared" si="130"/>
        <v>4236.84</v>
      </c>
      <c r="I8322" s="35"/>
      <c r="K8322" t="s">
        <v>15</v>
      </c>
    </row>
    <row r="8323" spans="2:11" ht="33" x14ac:dyDescent="0.2">
      <c r="B8323" s="33" t="s">
        <v>9449</v>
      </c>
      <c r="C8323" s="33" t="s">
        <v>660</v>
      </c>
      <c r="D8323" s="35">
        <f>SUMIFS(D8324:D9015,K8324:K9015,"0",B8324:B9015,"5 1 3 9 8 12 31111 6 M59 21000 000132 0000R 00001 00398 015 2111100 2024*")-SUMIFS(E8324:E9015,K8324:K9015,"0",B8324:B9015,"5 1 3 9 8 12 31111 6 M59 21000 000132 0000R 00001 00398 015 2111100 2024*")</f>
        <v>0</v>
      </c>
      <c r="E8323"/>
      <c r="F8323" s="35">
        <f>SUMIFS(F8324:F9015,K8324:K9015,"0",B8324:B9015,"5 1 3 9 8 12 31111 6 M59 21000 000132 0000R 00001 00398 015 2111100 2024*")</f>
        <v>4236.84</v>
      </c>
      <c r="G8323" s="35">
        <f>SUMIFS(G8324:G9015,K8324:K9015,"0",B8324:B9015,"5 1 3 9 8 12 31111 6 M59 21000 000132 0000R 00001 00398 015 2111100 2024*")</f>
        <v>0</v>
      </c>
      <c r="H8323" s="35">
        <f t="shared" si="130"/>
        <v>4236.84</v>
      </c>
      <c r="I8323" s="35"/>
      <c r="K8323" t="s">
        <v>15</v>
      </c>
    </row>
    <row r="8324" spans="2:11" ht="41.25" x14ac:dyDescent="0.2">
      <c r="B8324" s="33" t="s">
        <v>9450</v>
      </c>
      <c r="C8324" s="33" t="s">
        <v>1056</v>
      </c>
      <c r="D8324" s="35">
        <f>SUMIFS(D8325:D9015,K8325:K9015,"0",B8325:B9015,"5 1 3 9 8 12 31111 6 M59 21000 000132 0000R 00001 00398 015 2111100 2024 CP1PP402*")-SUMIFS(E8325:E9015,K8325:K9015,"0",B8325:B9015,"5 1 3 9 8 12 31111 6 M59 21000 000132 0000R 00001 00398 015 2111100 2024 CP1PP402*")</f>
        <v>0</v>
      </c>
      <c r="E8324"/>
      <c r="F8324" s="35">
        <f>SUMIFS(F8325:F9015,K8325:K9015,"0",B8325:B9015,"5 1 3 9 8 12 31111 6 M59 21000 000132 0000R 00001 00398 015 2111100 2024 CP1PP402*")</f>
        <v>4236.84</v>
      </c>
      <c r="G8324" s="35">
        <f>SUMIFS(G8325:G9015,K8325:K9015,"0",B8325:B9015,"5 1 3 9 8 12 31111 6 M59 21000 000132 0000R 00001 00398 015 2111100 2024 CP1PP402*")</f>
        <v>0</v>
      </c>
      <c r="H8324" s="35">
        <f t="shared" ref="H8324:H8387" si="131">D8324 + F8324 - G8324</f>
        <v>4236.84</v>
      </c>
      <c r="I8324" s="35"/>
      <c r="K8324" t="s">
        <v>15</v>
      </c>
    </row>
    <row r="8325" spans="2:11" ht="41.25" x14ac:dyDescent="0.2">
      <c r="B8325" s="33" t="s">
        <v>9451</v>
      </c>
      <c r="C8325" s="33" t="s">
        <v>282</v>
      </c>
      <c r="D8325" s="35">
        <f>SUMIFS(D8326:D9015,K8326:K9015,"0",B8326:B9015,"5 1 3 9 8 12 31111 6 M59 21000 000132 0000R 00001 00398 015 2111100 2024 CP1PP402 001*")-SUMIFS(E8326:E9015,K8326:K9015,"0",B8326:B9015,"5 1 3 9 8 12 31111 6 M59 21000 000132 0000R 00001 00398 015 2111100 2024 CP1PP402 001*")</f>
        <v>0</v>
      </c>
      <c r="E8325"/>
      <c r="F8325" s="35">
        <f>SUMIFS(F8326:F9015,K8326:K9015,"0",B8326:B9015,"5 1 3 9 8 12 31111 6 M59 21000 000132 0000R 00001 00398 015 2111100 2024 CP1PP402 001*")</f>
        <v>4236.84</v>
      </c>
      <c r="G8325" s="35">
        <f>SUMIFS(G8326:G9015,K8326:K9015,"0",B8326:B9015,"5 1 3 9 8 12 31111 6 M59 21000 000132 0000R 00001 00398 015 2111100 2024 CP1PP402 001*")</f>
        <v>0</v>
      </c>
      <c r="H8325" s="35">
        <f t="shared" si="131"/>
        <v>4236.84</v>
      </c>
      <c r="I8325" s="35"/>
      <c r="K8325" t="s">
        <v>15</v>
      </c>
    </row>
    <row r="8326" spans="2:11" ht="33" x14ac:dyDescent="0.2">
      <c r="B8326" s="31" t="s">
        <v>9452</v>
      </c>
      <c r="C8326" s="31" t="s">
        <v>9254</v>
      </c>
      <c r="D8326" s="34">
        <v>0</v>
      </c>
      <c r="E8326" s="34"/>
      <c r="F8326" s="34">
        <v>4236.84</v>
      </c>
      <c r="G8326" s="34">
        <v>0</v>
      </c>
      <c r="H8326" s="34">
        <f t="shared" si="131"/>
        <v>4236.84</v>
      </c>
      <c r="I8326" s="34"/>
      <c r="K8326" t="s">
        <v>38</v>
      </c>
    </row>
    <row r="8327" spans="2:11" ht="24.75" x14ac:dyDescent="0.2">
      <c r="B8327" s="33" t="s">
        <v>9453</v>
      </c>
      <c r="C8327" s="33" t="s">
        <v>3175</v>
      </c>
      <c r="D8327" s="35">
        <f>SUMIFS(D8328:D9015,K8328:K9015,"0",B8328:B9015,"5 1 3 9 8 12 31111 6 M59 22000*")-SUMIFS(E8328:E9015,K8328:K9015,"0",B8328:B9015,"5 1 3 9 8 12 31111 6 M59 22000*")</f>
        <v>0</v>
      </c>
      <c r="E8327"/>
      <c r="F8327" s="35">
        <f>SUMIFS(F8328:F9015,K8328:K9015,"0",B8328:B9015,"5 1 3 9 8 12 31111 6 M59 22000*")</f>
        <v>8120.04</v>
      </c>
      <c r="G8327" s="35">
        <f>SUMIFS(G8328:G9015,K8328:K9015,"0",B8328:B9015,"5 1 3 9 8 12 31111 6 M59 22000*")</f>
        <v>0</v>
      </c>
      <c r="H8327" s="35">
        <f t="shared" si="131"/>
        <v>8120.04</v>
      </c>
      <c r="I8327" s="35"/>
      <c r="K8327" t="s">
        <v>15</v>
      </c>
    </row>
    <row r="8328" spans="2:11" ht="16.5" x14ac:dyDescent="0.2">
      <c r="B8328" s="33" t="s">
        <v>9454</v>
      </c>
      <c r="C8328" s="33" t="s">
        <v>648</v>
      </c>
      <c r="D8328" s="35">
        <f>SUMIFS(D8329:D9015,K8329:K9015,"0",B8329:B9015,"5 1 3 9 8 12 31111 6 M59 22000 000132*")-SUMIFS(E8329:E9015,K8329:K9015,"0",B8329:B9015,"5 1 3 9 8 12 31111 6 M59 22000 000132*")</f>
        <v>0</v>
      </c>
      <c r="E8328"/>
      <c r="F8328" s="35">
        <f>SUMIFS(F8329:F9015,K8329:K9015,"0",B8329:B9015,"5 1 3 9 8 12 31111 6 M59 22000 000132*")</f>
        <v>8120.04</v>
      </c>
      <c r="G8328" s="35">
        <f>SUMIFS(G8329:G9015,K8329:K9015,"0",B8329:B9015,"5 1 3 9 8 12 31111 6 M59 22000 000132*")</f>
        <v>0</v>
      </c>
      <c r="H8328" s="35">
        <f t="shared" si="131"/>
        <v>8120.04</v>
      </c>
      <c r="I8328" s="35"/>
      <c r="K8328" t="s">
        <v>15</v>
      </c>
    </row>
    <row r="8329" spans="2:11" ht="24.75" x14ac:dyDescent="0.2">
      <c r="B8329" s="33" t="s">
        <v>9455</v>
      </c>
      <c r="C8329" s="33" t="s">
        <v>650</v>
      </c>
      <c r="D8329" s="35">
        <f>SUMIFS(D8330:D9015,K8330:K9015,"0",B8330:B9015,"5 1 3 9 8 12 31111 6 M59 22000 000132 0000R*")-SUMIFS(E8330:E9015,K8330:K9015,"0",B8330:B9015,"5 1 3 9 8 12 31111 6 M59 22000 000132 0000R*")</f>
        <v>0</v>
      </c>
      <c r="E8329"/>
      <c r="F8329" s="35">
        <f>SUMIFS(F8330:F9015,K8330:K9015,"0",B8330:B9015,"5 1 3 9 8 12 31111 6 M59 22000 000132 0000R*")</f>
        <v>8120.04</v>
      </c>
      <c r="G8329" s="35">
        <f>SUMIFS(G8330:G9015,K8330:K9015,"0",B8330:B9015,"5 1 3 9 8 12 31111 6 M59 22000 000132 0000R*")</f>
        <v>0</v>
      </c>
      <c r="H8329" s="35">
        <f t="shared" si="131"/>
        <v>8120.04</v>
      </c>
      <c r="I8329" s="35"/>
      <c r="K8329" t="s">
        <v>15</v>
      </c>
    </row>
    <row r="8330" spans="2:11" ht="24.75" x14ac:dyDescent="0.2">
      <c r="B8330" s="33" t="s">
        <v>9456</v>
      </c>
      <c r="C8330" s="33" t="s">
        <v>282</v>
      </c>
      <c r="D8330" s="35">
        <f>SUMIFS(D8331:D9015,K8331:K9015,"0",B8331:B9015,"5 1 3 9 8 12 31111 6 M59 22000 000132 0000R 00001*")-SUMIFS(E8331:E9015,K8331:K9015,"0",B8331:B9015,"5 1 3 9 8 12 31111 6 M59 22000 000132 0000R 00001*")</f>
        <v>0</v>
      </c>
      <c r="E8330"/>
      <c r="F8330" s="35">
        <f>SUMIFS(F8331:F9015,K8331:K9015,"0",B8331:B9015,"5 1 3 9 8 12 31111 6 M59 22000 000132 0000R 00001*")</f>
        <v>8120.04</v>
      </c>
      <c r="G8330" s="35">
        <f>SUMIFS(G8331:G9015,K8331:K9015,"0",B8331:B9015,"5 1 3 9 8 12 31111 6 M59 22000 000132 0000R 00001*")</f>
        <v>0</v>
      </c>
      <c r="H8330" s="35">
        <f t="shared" si="131"/>
        <v>8120.04</v>
      </c>
      <c r="I8330" s="35"/>
      <c r="K8330" t="s">
        <v>15</v>
      </c>
    </row>
    <row r="8331" spans="2:11" ht="24.75" x14ac:dyDescent="0.2">
      <c r="B8331" s="33" t="s">
        <v>9457</v>
      </c>
      <c r="C8331" s="33" t="s">
        <v>9247</v>
      </c>
      <c r="D8331" s="35">
        <f>SUMIFS(D8332:D9015,K8332:K9015,"0",B8332:B9015,"5 1 3 9 8 12 31111 6 M59 22000 000132 0000R 00001 00398*")-SUMIFS(E8332:E9015,K8332:K9015,"0",B8332:B9015,"5 1 3 9 8 12 31111 6 M59 22000 000132 0000R 00001 00398*")</f>
        <v>0</v>
      </c>
      <c r="E8331"/>
      <c r="F8331" s="35">
        <f>SUMIFS(F8332:F9015,K8332:K9015,"0",B8332:B9015,"5 1 3 9 8 12 31111 6 M59 22000 000132 0000R 00001 00398*")</f>
        <v>8120.04</v>
      </c>
      <c r="G8331" s="35">
        <f>SUMIFS(G8332:G9015,K8332:K9015,"0",B8332:B9015,"5 1 3 9 8 12 31111 6 M59 22000 000132 0000R 00001 00398*")</f>
        <v>0</v>
      </c>
      <c r="H8331" s="35">
        <f t="shared" si="131"/>
        <v>8120.04</v>
      </c>
      <c r="I8331" s="35"/>
      <c r="K8331" t="s">
        <v>15</v>
      </c>
    </row>
    <row r="8332" spans="2:11" ht="33" x14ac:dyDescent="0.2">
      <c r="B8332" s="33" t="s">
        <v>9458</v>
      </c>
      <c r="C8332" s="33" t="s">
        <v>1051</v>
      </c>
      <c r="D8332" s="35">
        <f>SUMIFS(D8333:D9015,K8333:K9015,"0",B8333:B9015,"5 1 3 9 8 12 31111 6 M59 22000 000132 0000R 00001 00398 015*")-SUMIFS(E8333:E9015,K8333:K9015,"0",B8333:B9015,"5 1 3 9 8 12 31111 6 M59 22000 000132 0000R 00001 00398 015*")</f>
        <v>0</v>
      </c>
      <c r="E8332"/>
      <c r="F8332" s="35">
        <f>SUMIFS(F8333:F9015,K8333:K9015,"0",B8333:B9015,"5 1 3 9 8 12 31111 6 M59 22000 000132 0000R 00001 00398 015*")</f>
        <v>8120.04</v>
      </c>
      <c r="G8332" s="35">
        <f>SUMIFS(G8333:G9015,K8333:K9015,"0",B8333:B9015,"5 1 3 9 8 12 31111 6 M59 22000 000132 0000R 00001 00398 015*")</f>
        <v>0</v>
      </c>
      <c r="H8332" s="35">
        <f t="shared" si="131"/>
        <v>8120.04</v>
      </c>
      <c r="I8332" s="35"/>
      <c r="K8332" t="s">
        <v>15</v>
      </c>
    </row>
    <row r="8333" spans="2:11" ht="33" x14ac:dyDescent="0.2">
      <c r="B8333" s="33" t="s">
        <v>9459</v>
      </c>
      <c r="C8333" s="33" t="s">
        <v>8550</v>
      </c>
      <c r="D8333" s="35">
        <f>SUMIFS(D8334:D9015,K8334:K9015,"0",B8334:B9015,"5 1 3 9 8 12 31111 6 M59 22000 000132 0000R 00001 00398 015 2111300*")-SUMIFS(E8334:E9015,K8334:K9015,"0",B8334:B9015,"5 1 3 9 8 12 31111 6 M59 22000 000132 0000R 00001 00398 015 2111300*")</f>
        <v>0</v>
      </c>
      <c r="E8333"/>
      <c r="F8333" s="35">
        <f>SUMIFS(F8334:F9015,K8334:K9015,"0",B8334:B9015,"5 1 3 9 8 12 31111 6 M59 22000 000132 0000R 00001 00398 015 2111300*")</f>
        <v>8120.04</v>
      </c>
      <c r="G8333" s="35">
        <f>SUMIFS(G8334:G9015,K8334:K9015,"0",B8334:B9015,"5 1 3 9 8 12 31111 6 M59 22000 000132 0000R 00001 00398 015 2111300*")</f>
        <v>0</v>
      </c>
      <c r="H8333" s="35">
        <f t="shared" si="131"/>
        <v>8120.04</v>
      </c>
      <c r="I8333" s="35"/>
      <c r="K8333" t="s">
        <v>15</v>
      </c>
    </row>
    <row r="8334" spans="2:11" ht="33" x14ac:dyDescent="0.2">
      <c r="B8334" s="33" t="s">
        <v>9460</v>
      </c>
      <c r="C8334" s="33" t="s">
        <v>660</v>
      </c>
      <c r="D8334" s="35">
        <f>SUMIFS(D8335:D9015,K8335:K9015,"0",B8335:B9015,"5 1 3 9 8 12 31111 6 M59 22000 000132 0000R 00001 00398 015 2111300 2024*")-SUMIFS(E8335:E9015,K8335:K9015,"0",B8335:B9015,"5 1 3 9 8 12 31111 6 M59 22000 000132 0000R 00001 00398 015 2111300 2024*")</f>
        <v>0</v>
      </c>
      <c r="E8334"/>
      <c r="F8334" s="35">
        <f>SUMIFS(F8335:F9015,K8335:K9015,"0",B8335:B9015,"5 1 3 9 8 12 31111 6 M59 22000 000132 0000R 00001 00398 015 2111300 2024*")</f>
        <v>8120.04</v>
      </c>
      <c r="G8334" s="35">
        <f>SUMIFS(G8335:G9015,K8335:K9015,"0",B8335:B9015,"5 1 3 9 8 12 31111 6 M59 22000 000132 0000R 00001 00398 015 2111300 2024*")</f>
        <v>0</v>
      </c>
      <c r="H8334" s="35">
        <f t="shared" si="131"/>
        <v>8120.04</v>
      </c>
      <c r="I8334" s="35"/>
      <c r="K8334" t="s">
        <v>15</v>
      </c>
    </row>
    <row r="8335" spans="2:11" ht="41.25" x14ac:dyDescent="0.2">
      <c r="B8335" s="33" t="s">
        <v>9461</v>
      </c>
      <c r="C8335" s="33" t="s">
        <v>1056</v>
      </c>
      <c r="D8335" s="35">
        <f>SUMIFS(D8336:D9015,K8336:K9015,"0",B8336:B9015,"5 1 3 9 8 12 31111 6 M59 22000 000132 0000R 00001 00398 015 2111300 2024 CP1PL384*")-SUMIFS(E8336:E9015,K8336:K9015,"0",B8336:B9015,"5 1 3 9 8 12 31111 6 M59 22000 000132 0000R 00001 00398 015 2111300 2024 CP1PL384*")</f>
        <v>0</v>
      </c>
      <c r="E8335"/>
      <c r="F8335" s="35">
        <f>SUMIFS(F8336:F9015,K8336:K9015,"0",B8336:B9015,"5 1 3 9 8 12 31111 6 M59 22000 000132 0000R 00001 00398 015 2111300 2024 CP1PL384*")</f>
        <v>8120.04</v>
      </c>
      <c r="G8335" s="35">
        <f>SUMIFS(G8336:G9015,K8336:K9015,"0",B8336:B9015,"5 1 3 9 8 12 31111 6 M59 22000 000132 0000R 00001 00398 015 2111300 2024 CP1PL384*")</f>
        <v>0</v>
      </c>
      <c r="H8335" s="35">
        <f t="shared" si="131"/>
        <v>8120.04</v>
      </c>
      <c r="I8335" s="35"/>
      <c r="K8335" t="s">
        <v>15</v>
      </c>
    </row>
    <row r="8336" spans="2:11" ht="41.25" x14ac:dyDescent="0.2">
      <c r="B8336" s="33" t="s">
        <v>9462</v>
      </c>
      <c r="C8336" s="33" t="s">
        <v>282</v>
      </c>
      <c r="D8336" s="35">
        <f>SUMIFS(D8337:D9015,K8337:K9015,"0",B8337:B9015,"5 1 3 9 8 12 31111 6 M59 22000 000132 0000R 00001 00398 015 2111300 2024 CP1PL384 001*")-SUMIFS(E8337:E9015,K8337:K9015,"0",B8337:B9015,"5 1 3 9 8 12 31111 6 M59 22000 000132 0000R 00001 00398 015 2111300 2024 CP1PL384 001*")</f>
        <v>0</v>
      </c>
      <c r="E8336"/>
      <c r="F8336" s="35">
        <f>SUMIFS(F8337:F9015,K8337:K9015,"0",B8337:B9015,"5 1 3 9 8 12 31111 6 M59 22000 000132 0000R 00001 00398 015 2111300 2024 CP1PL384 001*")</f>
        <v>8120.04</v>
      </c>
      <c r="G8336" s="35">
        <f>SUMIFS(G8337:G9015,K8337:K9015,"0",B8337:B9015,"5 1 3 9 8 12 31111 6 M59 22000 000132 0000R 00001 00398 015 2111300 2024 CP1PL384 001*")</f>
        <v>0</v>
      </c>
      <c r="H8336" s="35">
        <f t="shared" si="131"/>
        <v>8120.04</v>
      </c>
      <c r="I8336" s="35"/>
      <c r="K8336" t="s">
        <v>15</v>
      </c>
    </row>
    <row r="8337" spans="2:11" ht="41.25" x14ac:dyDescent="0.2">
      <c r="B8337" s="31" t="s">
        <v>9463</v>
      </c>
      <c r="C8337" s="31" t="s">
        <v>9254</v>
      </c>
      <c r="D8337" s="34">
        <v>0</v>
      </c>
      <c r="E8337" s="34"/>
      <c r="F8337" s="34">
        <v>8120.04</v>
      </c>
      <c r="G8337" s="34">
        <v>0</v>
      </c>
      <c r="H8337" s="34">
        <f t="shared" si="131"/>
        <v>8120.04</v>
      </c>
      <c r="I8337" s="34"/>
      <c r="K8337" t="s">
        <v>38</v>
      </c>
    </row>
    <row r="8338" spans="2:11" ht="16.5" x14ac:dyDescent="0.2">
      <c r="B8338" s="33" t="s">
        <v>9464</v>
      </c>
      <c r="C8338" s="33" t="s">
        <v>646</v>
      </c>
      <c r="D8338" s="35">
        <f>SUMIFS(D8339:D9015,K8339:K9015,"0",B8339:B9015,"5 1 3 9 8 12 31111 6 M59 30100*")-SUMIFS(E8339:E9015,K8339:K9015,"0",B8339:B9015,"5 1 3 9 8 12 31111 6 M59 30100*")</f>
        <v>0</v>
      </c>
      <c r="E8338"/>
      <c r="F8338" s="35">
        <f>SUMIFS(F8339:F9015,K8339:K9015,"0",B8339:B9015,"5 1 3 9 8 12 31111 6 M59 30100*")</f>
        <v>4236.84</v>
      </c>
      <c r="G8338" s="35">
        <f>SUMIFS(G8339:G9015,K8339:K9015,"0",B8339:B9015,"5 1 3 9 8 12 31111 6 M59 30100*")</f>
        <v>0</v>
      </c>
      <c r="H8338" s="35">
        <f t="shared" si="131"/>
        <v>4236.84</v>
      </c>
      <c r="I8338" s="35"/>
      <c r="K8338" t="s">
        <v>15</v>
      </c>
    </row>
    <row r="8339" spans="2:11" ht="16.5" x14ac:dyDescent="0.2">
      <c r="B8339" s="33" t="s">
        <v>9465</v>
      </c>
      <c r="C8339" s="33" t="s">
        <v>648</v>
      </c>
      <c r="D8339" s="35">
        <f>SUMIFS(D8340:D9015,K8340:K9015,"0",B8340:B9015,"5 1 3 9 8 12 31111 6 M59 30100 000132*")-SUMIFS(E8340:E9015,K8340:K9015,"0",B8340:B9015,"5 1 3 9 8 12 31111 6 M59 30100 000132*")</f>
        <v>0</v>
      </c>
      <c r="E8339"/>
      <c r="F8339" s="35">
        <f>SUMIFS(F8340:F9015,K8340:K9015,"0",B8340:B9015,"5 1 3 9 8 12 31111 6 M59 30100 000132*")</f>
        <v>4236.84</v>
      </c>
      <c r="G8339" s="35">
        <f>SUMIFS(G8340:G9015,K8340:K9015,"0",B8340:B9015,"5 1 3 9 8 12 31111 6 M59 30100 000132*")</f>
        <v>0</v>
      </c>
      <c r="H8339" s="35">
        <f t="shared" si="131"/>
        <v>4236.84</v>
      </c>
      <c r="I8339" s="35"/>
      <c r="K8339" t="s">
        <v>15</v>
      </c>
    </row>
    <row r="8340" spans="2:11" ht="24.75" x14ac:dyDescent="0.2">
      <c r="B8340" s="33" t="s">
        <v>9466</v>
      </c>
      <c r="C8340" s="33" t="s">
        <v>650</v>
      </c>
      <c r="D8340" s="35">
        <f>SUMIFS(D8341:D9015,K8341:K9015,"0",B8341:B9015,"5 1 3 9 8 12 31111 6 M59 30100 000132 0000R*")-SUMIFS(E8341:E9015,K8341:K9015,"0",B8341:B9015,"5 1 3 9 8 12 31111 6 M59 30100 000132 0000R*")</f>
        <v>0</v>
      </c>
      <c r="E8340"/>
      <c r="F8340" s="35">
        <f>SUMIFS(F8341:F9015,K8341:K9015,"0",B8341:B9015,"5 1 3 9 8 12 31111 6 M59 30100 000132 0000R*")</f>
        <v>4236.84</v>
      </c>
      <c r="G8340" s="35">
        <f>SUMIFS(G8341:G9015,K8341:K9015,"0",B8341:B9015,"5 1 3 9 8 12 31111 6 M59 30100 000132 0000R*")</f>
        <v>0</v>
      </c>
      <c r="H8340" s="35">
        <f t="shared" si="131"/>
        <v>4236.84</v>
      </c>
      <c r="I8340" s="35"/>
      <c r="K8340" t="s">
        <v>15</v>
      </c>
    </row>
    <row r="8341" spans="2:11" ht="24.75" x14ac:dyDescent="0.2">
      <c r="B8341" s="33" t="s">
        <v>9467</v>
      </c>
      <c r="C8341" s="33" t="s">
        <v>282</v>
      </c>
      <c r="D8341" s="35">
        <f>SUMIFS(D8342:D9015,K8342:K9015,"0",B8342:B9015,"5 1 3 9 8 12 31111 6 M59 30100 000132 0000R 00001*")-SUMIFS(E8342:E9015,K8342:K9015,"0",B8342:B9015,"5 1 3 9 8 12 31111 6 M59 30100 000132 0000R 00001*")</f>
        <v>0</v>
      </c>
      <c r="E8341"/>
      <c r="F8341" s="35">
        <f>SUMIFS(F8342:F9015,K8342:K9015,"0",B8342:B9015,"5 1 3 9 8 12 31111 6 M59 30100 000132 0000R 00001*")</f>
        <v>4236.84</v>
      </c>
      <c r="G8341" s="35">
        <f>SUMIFS(G8342:G9015,K8342:K9015,"0",B8342:B9015,"5 1 3 9 8 12 31111 6 M59 30100 000132 0000R 00001*")</f>
        <v>0</v>
      </c>
      <c r="H8341" s="35">
        <f t="shared" si="131"/>
        <v>4236.84</v>
      </c>
      <c r="I8341" s="35"/>
      <c r="K8341" t="s">
        <v>15</v>
      </c>
    </row>
    <row r="8342" spans="2:11" ht="24.75" x14ac:dyDescent="0.2">
      <c r="B8342" s="33" t="s">
        <v>9468</v>
      </c>
      <c r="C8342" s="33" t="s">
        <v>9247</v>
      </c>
      <c r="D8342" s="35">
        <f>SUMIFS(D8343:D9015,K8343:K9015,"0",B8343:B9015,"5 1 3 9 8 12 31111 6 M59 30100 000132 0000R 00001 00398*")-SUMIFS(E8343:E9015,K8343:K9015,"0",B8343:B9015,"5 1 3 9 8 12 31111 6 M59 30100 000132 0000R 00001 00398*")</f>
        <v>0</v>
      </c>
      <c r="E8342"/>
      <c r="F8342" s="35">
        <f>SUMIFS(F8343:F9015,K8343:K9015,"0",B8343:B9015,"5 1 3 9 8 12 31111 6 M59 30100 000132 0000R 00001 00398*")</f>
        <v>4236.84</v>
      </c>
      <c r="G8342" s="35">
        <f>SUMIFS(G8343:G9015,K8343:K9015,"0",B8343:B9015,"5 1 3 9 8 12 31111 6 M59 30100 000132 0000R 00001 00398*")</f>
        <v>0</v>
      </c>
      <c r="H8342" s="35">
        <f t="shared" si="131"/>
        <v>4236.84</v>
      </c>
      <c r="I8342" s="35"/>
      <c r="K8342" t="s">
        <v>15</v>
      </c>
    </row>
    <row r="8343" spans="2:11" ht="33" x14ac:dyDescent="0.2">
      <c r="B8343" s="33" t="s">
        <v>9469</v>
      </c>
      <c r="C8343" s="33" t="s">
        <v>1051</v>
      </c>
      <c r="D8343" s="35">
        <f>SUMIFS(D8344:D9015,K8344:K9015,"0",B8344:B9015,"5 1 3 9 8 12 31111 6 M59 30100 000132 0000R 00001 00398 015*")-SUMIFS(E8344:E9015,K8344:K9015,"0",B8344:B9015,"5 1 3 9 8 12 31111 6 M59 30100 000132 0000R 00001 00398 015*")</f>
        <v>0</v>
      </c>
      <c r="E8343"/>
      <c r="F8343" s="35">
        <f>SUMIFS(F8344:F9015,K8344:K9015,"0",B8344:B9015,"5 1 3 9 8 12 31111 6 M59 30100 000132 0000R 00001 00398 015*")</f>
        <v>4236.84</v>
      </c>
      <c r="G8343" s="35">
        <f>SUMIFS(G8344:G9015,K8344:K9015,"0",B8344:B9015,"5 1 3 9 8 12 31111 6 M59 30100 000132 0000R 00001 00398 015*")</f>
        <v>0</v>
      </c>
      <c r="H8343" s="35">
        <f t="shared" si="131"/>
        <v>4236.84</v>
      </c>
      <c r="I8343" s="35"/>
      <c r="K8343" t="s">
        <v>15</v>
      </c>
    </row>
    <row r="8344" spans="2:11" ht="33" x14ac:dyDescent="0.2">
      <c r="B8344" s="33" t="s">
        <v>9470</v>
      </c>
      <c r="C8344" s="33" t="s">
        <v>8550</v>
      </c>
      <c r="D8344" s="35">
        <f>SUMIFS(D8345:D9015,K8345:K9015,"0",B8345:B9015,"5 1 3 9 8 12 31111 6 M59 30100 000132 0000R 00001 00398 015 2111300*")-SUMIFS(E8345:E9015,K8345:K9015,"0",B8345:B9015,"5 1 3 9 8 12 31111 6 M59 30100 000132 0000R 00001 00398 015 2111300*")</f>
        <v>0</v>
      </c>
      <c r="E8344"/>
      <c r="F8344" s="35">
        <f>SUMIFS(F8345:F9015,K8345:K9015,"0",B8345:B9015,"5 1 3 9 8 12 31111 6 M59 30100 000132 0000R 00001 00398 015 2111300*")</f>
        <v>4236.84</v>
      </c>
      <c r="G8344" s="35">
        <f>SUMIFS(G8345:G9015,K8345:K9015,"0",B8345:B9015,"5 1 3 9 8 12 31111 6 M59 30100 000132 0000R 00001 00398 015 2111300*")</f>
        <v>0</v>
      </c>
      <c r="H8344" s="35">
        <f t="shared" si="131"/>
        <v>4236.84</v>
      </c>
      <c r="I8344" s="35"/>
      <c r="K8344" t="s">
        <v>15</v>
      </c>
    </row>
    <row r="8345" spans="2:11" ht="33" x14ac:dyDescent="0.2">
      <c r="B8345" s="33" t="s">
        <v>9471</v>
      </c>
      <c r="C8345" s="33" t="s">
        <v>660</v>
      </c>
      <c r="D8345" s="35">
        <f>SUMIFS(D8346:D9015,K8346:K9015,"0",B8346:B9015,"5 1 3 9 8 12 31111 6 M59 30100 000132 0000R 00001 00398 015 2111300 2024*")-SUMIFS(E8346:E9015,K8346:K9015,"0",B8346:B9015,"5 1 3 9 8 12 31111 6 M59 30100 000132 0000R 00001 00398 015 2111300 2024*")</f>
        <v>0</v>
      </c>
      <c r="E8345"/>
      <c r="F8345" s="35">
        <f>SUMIFS(F8346:F9015,K8346:K9015,"0",B8346:B9015,"5 1 3 9 8 12 31111 6 M59 30100 000132 0000R 00001 00398 015 2111300 2024*")</f>
        <v>4236.84</v>
      </c>
      <c r="G8345" s="35">
        <f>SUMIFS(G8346:G9015,K8346:K9015,"0",B8346:B9015,"5 1 3 9 8 12 31111 6 M59 30100 000132 0000R 00001 00398 015 2111300 2024*")</f>
        <v>0</v>
      </c>
      <c r="H8345" s="35">
        <f t="shared" si="131"/>
        <v>4236.84</v>
      </c>
      <c r="I8345" s="35"/>
      <c r="K8345" t="s">
        <v>15</v>
      </c>
    </row>
    <row r="8346" spans="2:11" ht="41.25" x14ac:dyDescent="0.2">
      <c r="B8346" s="33" t="s">
        <v>9472</v>
      </c>
      <c r="C8346" s="33" t="s">
        <v>662</v>
      </c>
      <c r="D8346" s="35">
        <f>SUMIFS(D8347:D9015,K8347:K9015,"0",B8347:B9015,"5 1 3 9 8 12 31111 6 M59 30100 000132 0000R 00001 00398 015 2111300 2024 CP1OP405*")-SUMIFS(E8347:E9015,K8347:K9015,"0",B8347:B9015,"5 1 3 9 8 12 31111 6 M59 30100 000132 0000R 00001 00398 015 2111300 2024 CP1OP405*")</f>
        <v>0</v>
      </c>
      <c r="E8346"/>
      <c r="F8346" s="35">
        <f>SUMIFS(F8347:F9015,K8347:K9015,"0",B8347:B9015,"5 1 3 9 8 12 31111 6 M59 30100 000132 0000R 00001 00398 015 2111300 2024 CP1OP405*")</f>
        <v>4236.84</v>
      </c>
      <c r="G8346" s="35">
        <f>SUMIFS(G8347:G9015,K8347:K9015,"0",B8347:B9015,"5 1 3 9 8 12 31111 6 M59 30100 000132 0000R 00001 00398 015 2111300 2024 CP1OP405*")</f>
        <v>0</v>
      </c>
      <c r="H8346" s="35">
        <f t="shared" si="131"/>
        <v>4236.84</v>
      </c>
      <c r="I8346" s="35"/>
      <c r="K8346" t="s">
        <v>15</v>
      </c>
    </row>
    <row r="8347" spans="2:11" ht="41.25" x14ac:dyDescent="0.2">
      <c r="B8347" s="33" t="s">
        <v>9473</v>
      </c>
      <c r="C8347" s="33" t="s">
        <v>282</v>
      </c>
      <c r="D8347" s="35">
        <f>SUMIFS(D8348:D9015,K8348:K9015,"0",B8348:B9015,"5 1 3 9 8 12 31111 6 M59 30100 000132 0000R 00001 00398 015 2111300 2024 CP1OP405 001*")-SUMIFS(E8348:E9015,K8348:K9015,"0",B8348:B9015,"5 1 3 9 8 12 31111 6 M59 30100 000132 0000R 00001 00398 015 2111300 2024 CP1OP405 001*")</f>
        <v>0</v>
      </c>
      <c r="E8347"/>
      <c r="F8347" s="35">
        <f>SUMIFS(F8348:F9015,K8348:K9015,"0",B8348:B9015,"5 1 3 9 8 12 31111 6 M59 30100 000132 0000R 00001 00398 015 2111300 2024 CP1OP405 001*")</f>
        <v>4236.84</v>
      </c>
      <c r="G8347" s="35">
        <f>SUMIFS(G8348:G9015,K8348:K9015,"0",B8348:B9015,"5 1 3 9 8 12 31111 6 M59 30100 000132 0000R 00001 00398 015 2111300 2024 CP1OP405 001*")</f>
        <v>0</v>
      </c>
      <c r="H8347" s="35">
        <f t="shared" si="131"/>
        <v>4236.84</v>
      </c>
      <c r="I8347" s="35"/>
      <c r="K8347" t="s">
        <v>15</v>
      </c>
    </row>
    <row r="8348" spans="2:11" ht="33" x14ac:dyDescent="0.2">
      <c r="B8348" s="31" t="s">
        <v>9474</v>
      </c>
      <c r="C8348" s="31" t="s">
        <v>9254</v>
      </c>
      <c r="D8348" s="34">
        <v>0</v>
      </c>
      <c r="E8348" s="34"/>
      <c r="F8348" s="34">
        <v>4236.84</v>
      </c>
      <c r="G8348" s="34">
        <v>0</v>
      </c>
      <c r="H8348" s="34">
        <f t="shared" si="131"/>
        <v>4236.84</v>
      </c>
      <c r="I8348" s="34"/>
      <c r="K8348" t="s">
        <v>38</v>
      </c>
    </row>
    <row r="8349" spans="2:11" ht="24.75" x14ac:dyDescent="0.2">
      <c r="B8349" s="33" t="s">
        <v>9475</v>
      </c>
      <c r="C8349" s="33" t="s">
        <v>3222</v>
      </c>
      <c r="D8349" s="35">
        <f>SUMIFS(D8350:D9015,K8350:K9015,"0",B8350:B9015,"5 1 3 9 8 12 31111 6 M59 30200*")-SUMIFS(E8350:E9015,K8350:K9015,"0",B8350:B9015,"5 1 3 9 8 12 31111 6 M59 30200*")</f>
        <v>0</v>
      </c>
      <c r="E8349"/>
      <c r="F8349" s="35">
        <f>SUMIFS(F8350:F9015,K8350:K9015,"0",B8350:B9015,"5 1 3 9 8 12 31111 6 M59 30200*")</f>
        <v>3270.02</v>
      </c>
      <c r="G8349" s="35">
        <f>SUMIFS(G8350:G9015,K8350:K9015,"0",B8350:B9015,"5 1 3 9 8 12 31111 6 M59 30200*")</f>
        <v>0</v>
      </c>
      <c r="H8349" s="35">
        <f t="shared" si="131"/>
        <v>3270.02</v>
      </c>
      <c r="I8349" s="35"/>
      <c r="K8349" t="s">
        <v>15</v>
      </c>
    </row>
    <row r="8350" spans="2:11" ht="16.5" x14ac:dyDescent="0.2">
      <c r="B8350" s="33" t="s">
        <v>9476</v>
      </c>
      <c r="C8350" s="33" t="s">
        <v>648</v>
      </c>
      <c r="D8350" s="35">
        <f>SUMIFS(D8351:D9015,K8351:K9015,"0",B8351:B9015,"5 1 3 9 8 12 31111 6 M59 30200 000132*")-SUMIFS(E8351:E9015,K8351:K9015,"0",B8351:B9015,"5 1 3 9 8 12 31111 6 M59 30200 000132*")</f>
        <v>0</v>
      </c>
      <c r="E8350"/>
      <c r="F8350" s="35">
        <f>SUMIFS(F8351:F9015,K8351:K9015,"0",B8351:B9015,"5 1 3 9 8 12 31111 6 M59 30200 000132*")</f>
        <v>3270.02</v>
      </c>
      <c r="G8350" s="35">
        <f>SUMIFS(G8351:G9015,K8351:K9015,"0",B8351:B9015,"5 1 3 9 8 12 31111 6 M59 30200 000132*")</f>
        <v>0</v>
      </c>
      <c r="H8350" s="35">
        <f t="shared" si="131"/>
        <v>3270.02</v>
      </c>
      <c r="I8350" s="35"/>
      <c r="K8350" t="s">
        <v>15</v>
      </c>
    </row>
    <row r="8351" spans="2:11" ht="24.75" x14ac:dyDescent="0.2">
      <c r="B8351" s="33" t="s">
        <v>9477</v>
      </c>
      <c r="C8351" s="33" t="s">
        <v>650</v>
      </c>
      <c r="D8351" s="35">
        <f>SUMIFS(D8352:D9015,K8352:K9015,"0",B8352:B9015,"5 1 3 9 8 12 31111 6 M59 30200 000132 0000R*")-SUMIFS(E8352:E9015,K8352:K9015,"0",B8352:B9015,"5 1 3 9 8 12 31111 6 M59 30200 000132 0000R*")</f>
        <v>0</v>
      </c>
      <c r="E8351"/>
      <c r="F8351" s="35">
        <f>SUMIFS(F8352:F9015,K8352:K9015,"0",B8352:B9015,"5 1 3 9 8 12 31111 6 M59 30200 000132 0000R*")</f>
        <v>3270.02</v>
      </c>
      <c r="G8351" s="35">
        <f>SUMIFS(G8352:G9015,K8352:K9015,"0",B8352:B9015,"5 1 3 9 8 12 31111 6 M59 30200 000132 0000R*")</f>
        <v>0</v>
      </c>
      <c r="H8351" s="35">
        <f t="shared" si="131"/>
        <v>3270.02</v>
      </c>
      <c r="I8351" s="35"/>
      <c r="K8351" t="s">
        <v>15</v>
      </c>
    </row>
    <row r="8352" spans="2:11" ht="24.75" x14ac:dyDescent="0.2">
      <c r="B8352" s="33" t="s">
        <v>9478</v>
      </c>
      <c r="C8352" s="33" t="s">
        <v>282</v>
      </c>
      <c r="D8352" s="35">
        <f>SUMIFS(D8353:D9015,K8353:K9015,"0",B8353:B9015,"5 1 3 9 8 12 31111 6 M59 30200 000132 0000R 00001*")-SUMIFS(E8353:E9015,K8353:K9015,"0",B8353:B9015,"5 1 3 9 8 12 31111 6 M59 30200 000132 0000R 00001*")</f>
        <v>0</v>
      </c>
      <c r="E8352"/>
      <c r="F8352" s="35">
        <f>SUMIFS(F8353:F9015,K8353:K9015,"0",B8353:B9015,"5 1 3 9 8 12 31111 6 M59 30200 000132 0000R 00001*")</f>
        <v>3270.02</v>
      </c>
      <c r="G8352" s="35">
        <f>SUMIFS(G8353:G9015,K8353:K9015,"0",B8353:B9015,"5 1 3 9 8 12 31111 6 M59 30200 000132 0000R 00001*")</f>
        <v>0</v>
      </c>
      <c r="H8352" s="35">
        <f t="shared" si="131"/>
        <v>3270.02</v>
      </c>
      <c r="I8352" s="35"/>
      <c r="K8352" t="s">
        <v>15</v>
      </c>
    </row>
    <row r="8353" spans="2:11" ht="24.75" x14ac:dyDescent="0.2">
      <c r="B8353" s="33" t="s">
        <v>9479</v>
      </c>
      <c r="C8353" s="33" t="s">
        <v>9247</v>
      </c>
      <c r="D8353" s="35">
        <f>SUMIFS(D8354:D9015,K8354:K9015,"0",B8354:B9015,"5 1 3 9 8 12 31111 6 M59 30200 000132 0000R 00001 00398*")-SUMIFS(E8354:E9015,K8354:K9015,"0",B8354:B9015,"5 1 3 9 8 12 31111 6 M59 30200 000132 0000R 00001 00398*")</f>
        <v>0</v>
      </c>
      <c r="E8353"/>
      <c r="F8353" s="35">
        <f>SUMIFS(F8354:F9015,K8354:K9015,"0",B8354:B9015,"5 1 3 9 8 12 31111 6 M59 30200 000132 0000R 00001 00398*")</f>
        <v>3270.02</v>
      </c>
      <c r="G8353" s="35">
        <f>SUMIFS(G8354:G9015,K8354:K9015,"0",B8354:B9015,"5 1 3 9 8 12 31111 6 M59 30200 000132 0000R 00001 00398*")</f>
        <v>0</v>
      </c>
      <c r="H8353" s="35">
        <f t="shared" si="131"/>
        <v>3270.02</v>
      </c>
      <c r="I8353" s="35"/>
      <c r="K8353" t="s">
        <v>15</v>
      </c>
    </row>
    <row r="8354" spans="2:11" ht="33" x14ac:dyDescent="0.2">
      <c r="B8354" s="33" t="s">
        <v>9480</v>
      </c>
      <c r="C8354" s="33" t="s">
        <v>1051</v>
      </c>
      <c r="D8354" s="35">
        <f>SUMIFS(D8355:D9015,K8355:K9015,"0",B8355:B9015,"5 1 3 9 8 12 31111 6 M59 30200 000132 0000R 00001 00398 015*")-SUMIFS(E8355:E9015,K8355:K9015,"0",B8355:B9015,"5 1 3 9 8 12 31111 6 M59 30200 000132 0000R 00001 00398 015*")</f>
        <v>0</v>
      </c>
      <c r="E8354"/>
      <c r="F8354" s="35">
        <f>SUMIFS(F8355:F9015,K8355:K9015,"0",B8355:B9015,"5 1 3 9 8 12 31111 6 M59 30200 000132 0000R 00001 00398 015*")</f>
        <v>3270.02</v>
      </c>
      <c r="G8354" s="35">
        <f>SUMIFS(G8355:G9015,K8355:K9015,"0",B8355:B9015,"5 1 3 9 8 12 31111 6 M59 30200 000132 0000R 00001 00398 015*")</f>
        <v>0</v>
      </c>
      <c r="H8354" s="35">
        <f t="shared" si="131"/>
        <v>3270.02</v>
      </c>
      <c r="I8354" s="35"/>
      <c r="K8354" t="s">
        <v>15</v>
      </c>
    </row>
    <row r="8355" spans="2:11" ht="33" x14ac:dyDescent="0.2">
      <c r="B8355" s="33" t="s">
        <v>9481</v>
      </c>
      <c r="C8355" s="33" t="s">
        <v>8550</v>
      </c>
      <c r="D8355" s="35">
        <f>SUMIFS(D8356:D9015,K8356:K9015,"0",B8356:B9015,"5 1 3 9 8 12 31111 6 M59 30200 000132 0000R 00001 00398 015 2111300*")-SUMIFS(E8356:E9015,K8356:K9015,"0",B8356:B9015,"5 1 3 9 8 12 31111 6 M59 30200 000132 0000R 00001 00398 015 2111300*")</f>
        <v>0</v>
      </c>
      <c r="E8355"/>
      <c r="F8355" s="35">
        <f>SUMIFS(F8356:F9015,K8356:K9015,"0",B8356:B9015,"5 1 3 9 8 12 31111 6 M59 30200 000132 0000R 00001 00398 015 2111300*")</f>
        <v>3270.02</v>
      </c>
      <c r="G8355" s="35">
        <f>SUMIFS(G8356:G9015,K8356:K9015,"0",B8356:B9015,"5 1 3 9 8 12 31111 6 M59 30200 000132 0000R 00001 00398 015 2111300*")</f>
        <v>0</v>
      </c>
      <c r="H8355" s="35">
        <f t="shared" si="131"/>
        <v>3270.02</v>
      </c>
      <c r="I8355" s="35"/>
      <c r="K8355" t="s">
        <v>15</v>
      </c>
    </row>
    <row r="8356" spans="2:11" ht="33" x14ac:dyDescent="0.2">
      <c r="B8356" s="33" t="s">
        <v>9482</v>
      </c>
      <c r="C8356" s="33" t="s">
        <v>660</v>
      </c>
      <c r="D8356" s="35">
        <f>SUMIFS(D8357:D9015,K8357:K9015,"0",B8357:B9015,"5 1 3 9 8 12 31111 6 M59 30200 000132 0000R 00001 00398 015 2111300 2024*")-SUMIFS(E8357:E9015,K8357:K9015,"0",B8357:B9015,"5 1 3 9 8 12 31111 6 M59 30200 000132 0000R 00001 00398 015 2111300 2024*")</f>
        <v>0</v>
      </c>
      <c r="E8356"/>
      <c r="F8356" s="35">
        <f>SUMIFS(F8357:F9015,K8357:K9015,"0",B8357:B9015,"5 1 3 9 8 12 31111 6 M59 30200 000132 0000R 00001 00398 015 2111300 2024*")</f>
        <v>3270.02</v>
      </c>
      <c r="G8356" s="35">
        <f>SUMIFS(G8357:G9015,K8357:K9015,"0",B8357:B9015,"5 1 3 9 8 12 31111 6 M59 30200 000132 0000R 00001 00398 015 2111300 2024*")</f>
        <v>0</v>
      </c>
      <c r="H8356" s="35">
        <f t="shared" si="131"/>
        <v>3270.02</v>
      </c>
      <c r="I8356" s="35"/>
      <c r="K8356" t="s">
        <v>15</v>
      </c>
    </row>
    <row r="8357" spans="2:11" ht="41.25" x14ac:dyDescent="0.2">
      <c r="B8357" s="33" t="s">
        <v>9483</v>
      </c>
      <c r="C8357" s="33" t="s">
        <v>1056</v>
      </c>
      <c r="D8357" s="35">
        <f>SUMIFS(D8358:D9015,K8358:K9015,"0",B8358:B9015,"5 1 3 9 8 12 31111 6 M59 30200 000132 0000R 00001 00398 015 2111300 2024 CP1OT378*")-SUMIFS(E8358:E9015,K8358:K9015,"0",B8358:B9015,"5 1 3 9 8 12 31111 6 M59 30200 000132 0000R 00001 00398 015 2111300 2024 CP1OT378*")</f>
        <v>0</v>
      </c>
      <c r="E8357"/>
      <c r="F8357" s="35">
        <f>SUMIFS(F8358:F9015,K8358:K9015,"0",B8358:B9015,"5 1 3 9 8 12 31111 6 M59 30200 000132 0000R 00001 00398 015 2111300 2024 CP1OT378*")</f>
        <v>3270.02</v>
      </c>
      <c r="G8357" s="35">
        <f>SUMIFS(G8358:G9015,K8358:K9015,"0",B8358:B9015,"5 1 3 9 8 12 31111 6 M59 30200 000132 0000R 00001 00398 015 2111300 2024 CP1OT378*")</f>
        <v>0</v>
      </c>
      <c r="H8357" s="35">
        <f t="shared" si="131"/>
        <v>3270.02</v>
      </c>
      <c r="I8357" s="35"/>
      <c r="K8357" t="s">
        <v>15</v>
      </c>
    </row>
    <row r="8358" spans="2:11" ht="41.25" x14ac:dyDescent="0.2">
      <c r="B8358" s="33" t="s">
        <v>9484</v>
      </c>
      <c r="C8358" s="33" t="s">
        <v>282</v>
      </c>
      <c r="D8358" s="35">
        <f>SUMIFS(D8359:D9015,K8359:K9015,"0",B8359:B9015,"5 1 3 9 8 12 31111 6 M59 30200 000132 0000R 00001 00398 015 2111300 2024 CP1OT378 001*")-SUMIFS(E8359:E9015,K8359:K9015,"0",B8359:B9015,"5 1 3 9 8 12 31111 6 M59 30200 000132 0000R 00001 00398 015 2111300 2024 CP1OT378 001*")</f>
        <v>0</v>
      </c>
      <c r="E8358"/>
      <c r="F8358" s="35">
        <f>SUMIFS(F8359:F9015,K8359:K9015,"0",B8359:B9015,"5 1 3 9 8 12 31111 6 M59 30200 000132 0000R 00001 00398 015 2111300 2024 CP1OT378 001*")</f>
        <v>3270.02</v>
      </c>
      <c r="G8358" s="35">
        <f>SUMIFS(G8359:G9015,K8359:K9015,"0",B8359:B9015,"5 1 3 9 8 12 31111 6 M59 30200 000132 0000R 00001 00398 015 2111300 2024 CP1OT378 001*")</f>
        <v>0</v>
      </c>
      <c r="H8358" s="35">
        <f t="shared" si="131"/>
        <v>3270.02</v>
      </c>
      <c r="I8358" s="35"/>
      <c r="K8358" t="s">
        <v>15</v>
      </c>
    </row>
    <row r="8359" spans="2:11" ht="41.25" x14ac:dyDescent="0.2">
      <c r="B8359" s="31" t="s">
        <v>9485</v>
      </c>
      <c r="C8359" s="31" t="s">
        <v>9254</v>
      </c>
      <c r="D8359" s="34">
        <v>0</v>
      </c>
      <c r="E8359" s="34"/>
      <c r="F8359" s="34">
        <v>3270.02</v>
      </c>
      <c r="G8359" s="34">
        <v>0</v>
      </c>
      <c r="H8359" s="34">
        <f t="shared" si="131"/>
        <v>3270.02</v>
      </c>
      <c r="I8359" s="34"/>
      <c r="K8359" t="s">
        <v>38</v>
      </c>
    </row>
    <row r="8360" spans="2:11" ht="16.5" x14ac:dyDescent="0.2">
      <c r="B8360" s="33" t="s">
        <v>9486</v>
      </c>
      <c r="C8360" s="33" t="s">
        <v>1092</v>
      </c>
      <c r="D8360" s="35">
        <f>SUMIFS(D8361:D9015,K8361:K9015,"0",B8361:B9015,"5 1 3 9 8 12 31111 6 M59 40000*")-SUMIFS(E8361:E9015,K8361:K9015,"0",B8361:B9015,"5 1 3 9 8 12 31111 6 M59 40000*")</f>
        <v>0</v>
      </c>
      <c r="E8360"/>
      <c r="F8360" s="35">
        <f>SUMIFS(F8361:F9015,K8361:K9015,"0",B8361:B9015,"5 1 3 9 8 12 31111 6 M59 40000*")</f>
        <v>411207.61</v>
      </c>
      <c r="G8360" s="35">
        <f>SUMIFS(G8361:G9015,K8361:K9015,"0",B8361:B9015,"5 1 3 9 8 12 31111 6 M59 40000*")</f>
        <v>0</v>
      </c>
      <c r="H8360" s="35">
        <f t="shared" si="131"/>
        <v>411207.61</v>
      </c>
      <c r="I8360" s="35"/>
      <c r="K8360" t="s">
        <v>15</v>
      </c>
    </row>
    <row r="8361" spans="2:11" ht="16.5" x14ac:dyDescent="0.2">
      <c r="B8361" s="33" t="s">
        <v>9487</v>
      </c>
      <c r="C8361" s="33" t="s">
        <v>1094</v>
      </c>
      <c r="D8361" s="35">
        <f>SUMIFS(D8362:D9015,K8362:K9015,"0",B8362:B9015,"5 1 3 9 8 12 31111 6 M59 40000 000161*")-SUMIFS(E8362:E9015,K8362:K9015,"0",B8362:B9015,"5 1 3 9 8 12 31111 6 M59 40000 000161*")</f>
        <v>0</v>
      </c>
      <c r="E8361"/>
      <c r="F8361" s="35">
        <f>SUMIFS(F8362:F9015,K8362:K9015,"0",B8362:B9015,"5 1 3 9 8 12 31111 6 M59 40000 000161*")</f>
        <v>411207.61</v>
      </c>
      <c r="G8361" s="35">
        <f>SUMIFS(G8362:G9015,K8362:K9015,"0",B8362:B9015,"5 1 3 9 8 12 31111 6 M59 40000 000161*")</f>
        <v>0</v>
      </c>
      <c r="H8361" s="35">
        <f t="shared" si="131"/>
        <v>411207.61</v>
      </c>
      <c r="I8361" s="35"/>
      <c r="K8361" t="s">
        <v>15</v>
      </c>
    </row>
    <row r="8362" spans="2:11" ht="24.75" x14ac:dyDescent="0.2">
      <c r="B8362" s="33" t="s">
        <v>9488</v>
      </c>
      <c r="C8362" s="33" t="s">
        <v>1065</v>
      </c>
      <c r="D8362" s="35">
        <f>SUMIFS(D8363:D9015,K8363:K9015,"0",B8363:B9015,"5 1 3 9 8 12 31111 6 M59 40000 000161 0000E*")-SUMIFS(E8363:E9015,K8363:K9015,"0",B8363:B9015,"5 1 3 9 8 12 31111 6 M59 40000 000161 0000E*")</f>
        <v>0</v>
      </c>
      <c r="E8362"/>
      <c r="F8362" s="35">
        <f>SUMIFS(F8363:F9015,K8363:K9015,"0",B8363:B9015,"5 1 3 9 8 12 31111 6 M59 40000 000161 0000E*")</f>
        <v>411207.61</v>
      </c>
      <c r="G8362" s="35">
        <f>SUMIFS(G8363:G9015,K8363:K9015,"0",B8363:B9015,"5 1 3 9 8 12 31111 6 M59 40000 000161 0000E*")</f>
        <v>0</v>
      </c>
      <c r="H8362" s="35">
        <f t="shared" si="131"/>
        <v>411207.61</v>
      </c>
      <c r="I8362" s="35"/>
      <c r="K8362" t="s">
        <v>15</v>
      </c>
    </row>
    <row r="8363" spans="2:11" ht="24.75" x14ac:dyDescent="0.2">
      <c r="B8363" s="33" t="s">
        <v>9489</v>
      </c>
      <c r="C8363" s="33" t="s">
        <v>282</v>
      </c>
      <c r="D8363" s="35">
        <f>SUMIFS(D8364:D9015,K8364:K9015,"0",B8364:B9015,"5 1 3 9 8 12 31111 6 M59 40000 000161 0000E 00001*")-SUMIFS(E8364:E9015,K8364:K9015,"0",B8364:B9015,"5 1 3 9 8 12 31111 6 M59 40000 000161 0000E 00001*")</f>
        <v>0</v>
      </c>
      <c r="E8363"/>
      <c r="F8363" s="35">
        <f>SUMIFS(F8364:F9015,K8364:K9015,"0",B8364:B9015,"5 1 3 9 8 12 31111 6 M59 40000 000161 0000E 00001*")</f>
        <v>411207.61</v>
      </c>
      <c r="G8363" s="35">
        <f>SUMIFS(G8364:G9015,K8364:K9015,"0",B8364:B9015,"5 1 3 9 8 12 31111 6 M59 40000 000161 0000E 00001*")</f>
        <v>0</v>
      </c>
      <c r="H8363" s="35">
        <f t="shared" si="131"/>
        <v>411207.61</v>
      </c>
      <c r="I8363" s="35"/>
      <c r="K8363" t="s">
        <v>15</v>
      </c>
    </row>
    <row r="8364" spans="2:11" ht="24.75" x14ac:dyDescent="0.2">
      <c r="B8364" s="33" t="s">
        <v>9490</v>
      </c>
      <c r="C8364" s="33" t="s">
        <v>9247</v>
      </c>
      <c r="D8364" s="35">
        <f>SUMIFS(D8365:D9015,K8365:K9015,"0",B8365:B9015,"5 1 3 9 8 12 31111 6 M59 40000 000161 0000E 00001 00398*")-SUMIFS(E8365:E9015,K8365:K9015,"0",B8365:B9015,"5 1 3 9 8 12 31111 6 M59 40000 000161 0000E 00001 00398*")</f>
        <v>0</v>
      </c>
      <c r="E8364"/>
      <c r="F8364" s="35">
        <f>SUMIFS(F8365:F9015,K8365:K9015,"0",B8365:B9015,"5 1 3 9 8 12 31111 6 M59 40000 000161 0000E 00001 00398*")</f>
        <v>411207.61</v>
      </c>
      <c r="G8364" s="35">
        <f>SUMIFS(G8365:G9015,K8365:K9015,"0",B8365:B9015,"5 1 3 9 8 12 31111 6 M59 40000 000161 0000E 00001 00398*")</f>
        <v>0</v>
      </c>
      <c r="H8364" s="35">
        <f t="shared" si="131"/>
        <v>411207.61</v>
      </c>
      <c r="I8364" s="35"/>
      <c r="K8364" t="s">
        <v>15</v>
      </c>
    </row>
    <row r="8365" spans="2:11" ht="33" x14ac:dyDescent="0.2">
      <c r="B8365" s="33" t="s">
        <v>9491</v>
      </c>
      <c r="C8365" s="33" t="s">
        <v>656</v>
      </c>
      <c r="D8365" s="35">
        <f>SUMIFS(D8366:D9015,K8366:K9015,"0",B8366:B9015,"5 1 3 9 8 12 31111 6 M59 40000 000161 0000E 00001 00398 025*")-SUMIFS(E8366:E9015,K8366:K9015,"0",B8366:B9015,"5 1 3 9 8 12 31111 6 M59 40000 000161 0000E 00001 00398 025*")</f>
        <v>0</v>
      </c>
      <c r="E8365"/>
      <c r="F8365" s="35">
        <f>SUMIFS(F8366:F9015,K8366:K9015,"0",B8366:B9015,"5 1 3 9 8 12 31111 6 M59 40000 000161 0000E 00001 00398 025*")</f>
        <v>411207.61</v>
      </c>
      <c r="G8365" s="35">
        <f>SUMIFS(G8366:G9015,K8366:K9015,"0",B8366:B9015,"5 1 3 9 8 12 31111 6 M59 40000 000161 0000E 00001 00398 025*")</f>
        <v>0</v>
      </c>
      <c r="H8365" s="35">
        <f t="shared" si="131"/>
        <v>411207.61</v>
      </c>
      <c r="I8365" s="35"/>
      <c r="K8365" t="s">
        <v>15</v>
      </c>
    </row>
    <row r="8366" spans="2:11" ht="33" x14ac:dyDescent="0.2">
      <c r="B8366" s="33" t="s">
        <v>9492</v>
      </c>
      <c r="C8366" s="33" t="s">
        <v>8550</v>
      </c>
      <c r="D8366" s="35">
        <f>SUMIFS(D8367:D9015,K8367:K9015,"0",B8367:B9015,"5 1 3 9 8 12 31111 6 M59 40000 000161 0000E 00001 00398 025 2111300*")-SUMIFS(E8367:E9015,K8367:K9015,"0",B8367:B9015,"5 1 3 9 8 12 31111 6 M59 40000 000161 0000E 00001 00398 025 2111300*")</f>
        <v>0</v>
      </c>
      <c r="E8366"/>
      <c r="F8366" s="35">
        <f>SUMIFS(F8367:F9015,K8367:K9015,"0",B8367:B9015,"5 1 3 9 8 12 31111 6 M59 40000 000161 0000E 00001 00398 025 2111300*")</f>
        <v>411207.61</v>
      </c>
      <c r="G8366" s="35">
        <f>SUMIFS(G8367:G9015,K8367:K9015,"0",B8367:B9015,"5 1 3 9 8 12 31111 6 M59 40000 000161 0000E 00001 00398 025 2111300*")</f>
        <v>0</v>
      </c>
      <c r="H8366" s="35">
        <f t="shared" si="131"/>
        <v>411207.61</v>
      </c>
      <c r="I8366" s="35"/>
      <c r="K8366" t="s">
        <v>15</v>
      </c>
    </row>
    <row r="8367" spans="2:11" ht="33" x14ac:dyDescent="0.2">
      <c r="B8367" s="33" t="s">
        <v>9493</v>
      </c>
      <c r="C8367" s="33" t="s">
        <v>660</v>
      </c>
      <c r="D8367" s="35">
        <f>SUMIFS(D8368:D9015,K8368:K9015,"0",B8368:B9015,"5 1 3 9 8 12 31111 6 M59 40000 000161 0000E 00001 00398 025 2111300 2024*")-SUMIFS(E8368:E9015,K8368:K9015,"0",B8368:B9015,"5 1 3 9 8 12 31111 6 M59 40000 000161 0000E 00001 00398 025 2111300 2024*")</f>
        <v>0</v>
      </c>
      <c r="E8367"/>
      <c r="F8367" s="35">
        <f>SUMIFS(F8368:F9015,K8368:K9015,"0",B8368:B9015,"5 1 3 9 8 12 31111 6 M59 40000 000161 0000E 00001 00398 025 2111300 2024*")</f>
        <v>411207.61</v>
      </c>
      <c r="G8367" s="35">
        <f>SUMIFS(G8368:G9015,K8368:K9015,"0",B8368:B9015,"5 1 3 9 8 12 31111 6 M59 40000 000161 0000E 00001 00398 025 2111300 2024*")</f>
        <v>0</v>
      </c>
      <c r="H8367" s="35">
        <f t="shared" si="131"/>
        <v>411207.61</v>
      </c>
      <c r="I8367" s="35"/>
      <c r="K8367" t="s">
        <v>15</v>
      </c>
    </row>
    <row r="8368" spans="2:11" ht="41.25" x14ac:dyDescent="0.2">
      <c r="B8368" s="33" t="s">
        <v>9494</v>
      </c>
      <c r="C8368" s="33" t="s">
        <v>662</v>
      </c>
      <c r="D8368" s="35">
        <f>SUMIFS(D8369:D9015,K8369:K9015,"0",B8369:B9015,"5 1 3 9 8 12 31111 6 M59 40000 000161 0000E 00001 00398 025 2111300 2024 CP4SP372*")-SUMIFS(E8369:E9015,K8369:K9015,"0",B8369:B9015,"5 1 3 9 8 12 31111 6 M59 40000 000161 0000E 00001 00398 025 2111300 2024 CP4SP372*")</f>
        <v>0</v>
      </c>
      <c r="E8368"/>
      <c r="F8368" s="35">
        <f>SUMIFS(F8369:F9015,K8369:K9015,"0",B8369:B9015,"5 1 3 9 8 12 31111 6 M59 40000 000161 0000E 00001 00398 025 2111300 2024 CP4SP372*")</f>
        <v>411207.61</v>
      </c>
      <c r="G8368" s="35">
        <f>SUMIFS(G8369:G9015,K8369:K9015,"0",B8369:B9015,"5 1 3 9 8 12 31111 6 M59 40000 000161 0000E 00001 00398 025 2111300 2024 CP4SP372*")</f>
        <v>0</v>
      </c>
      <c r="H8368" s="35">
        <f t="shared" si="131"/>
        <v>411207.61</v>
      </c>
      <c r="I8368" s="35"/>
      <c r="K8368" t="s">
        <v>15</v>
      </c>
    </row>
    <row r="8369" spans="2:11" ht="41.25" x14ac:dyDescent="0.2">
      <c r="B8369" s="33" t="s">
        <v>9495</v>
      </c>
      <c r="C8369" s="33" t="s">
        <v>664</v>
      </c>
      <c r="D8369" s="35">
        <f>SUMIFS(D8370:D9015,K8370:K9015,"0",B8370:B9015,"5 1 3 9 8 12 31111 6 M59 40000 000161 0000E 00001 00398 025 2111300 2024 CP4SP372 003*")-SUMIFS(E8370:E9015,K8370:K9015,"0",B8370:B9015,"5 1 3 9 8 12 31111 6 M59 40000 000161 0000E 00001 00398 025 2111300 2024 CP4SP372 003*")</f>
        <v>0</v>
      </c>
      <c r="E8369"/>
      <c r="F8369" s="35">
        <f>SUMIFS(F8370:F9015,K8370:K9015,"0",B8370:B9015,"5 1 3 9 8 12 31111 6 M59 40000 000161 0000E 00001 00398 025 2111300 2024 CP4SP372 003*")</f>
        <v>411207.61</v>
      </c>
      <c r="G8369" s="35">
        <f>SUMIFS(G8370:G9015,K8370:K9015,"0",B8370:B9015,"5 1 3 9 8 12 31111 6 M59 40000 000161 0000E 00001 00398 025 2111300 2024 CP4SP372 003*")</f>
        <v>0</v>
      </c>
      <c r="H8369" s="35">
        <f t="shared" si="131"/>
        <v>411207.61</v>
      </c>
      <c r="I8369" s="35"/>
      <c r="K8369" t="s">
        <v>15</v>
      </c>
    </row>
    <row r="8370" spans="2:11" ht="33" x14ac:dyDescent="0.2">
      <c r="B8370" s="31" t="s">
        <v>9496</v>
      </c>
      <c r="C8370" s="31" t="s">
        <v>9254</v>
      </c>
      <c r="D8370" s="34">
        <v>0</v>
      </c>
      <c r="E8370" s="34"/>
      <c r="F8370" s="34">
        <v>411207.61</v>
      </c>
      <c r="G8370" s="34">
        <v>0</v>
      </c>
      <c r="H8370" s="34">
        <f t="shared" si="131"/>
        <v>411207.61</v>
      </c>
      <c r="I8370" s="34"/>
      <c r="K8370" t="s">
        <v>38</v>
      </c>
    </row>
    <row r="8371" spans="2:11" ht="16.5" x14ac:dyDescent="0.2">
      <c r="B8371" s="33" t="s">
        <v>9497</v>
      </c>
      <c r="C8371" s="33" t="s">
        <v>3281</v>
      </c>
      <c r="D8371" s="35">
        <f>SUMIFS(D8372:D9015,K8372:K9015,"0",B8372:B9015,"5 1 3 9 8 12 31111 6 M59 50000*")-SUMIFS(E8372:E9015,K8372:K9015,"0",B8372:B9015,"5 1 3 9 8 12 31111 6 M59 50000*")</f>
        <v>0</v>
      </c>
      <c r="E8371"/>
      <c r="F8371" s="35">
        <f>SUMIFS(F8372:F9015,K8372:K9015,"0",B8372:B9015,"5 1 3 9 8 12 31111 6 M59 50000*")</f>
        <v>75271.45</v>
      </c>
      <c r="G8371" s="35">
        <f>SUMIFS(G8372:G9015,K8372:K9015,"0",B8372:B9015,"5 1 3 9 8 12 31111 6 M59 50000*")</f>
        <v>0</v>
      </c>
      <c r="H8371" s="35">
        <f t="shared" si="131"/>
        <v>75271.45</v>
      </c>
      <c r="I8371" s="35"/>
      <c r="K8371" t="s">
        <v>15</v>
      </c>
    </row>
    <row r="8372" spans="2:11" ht="16.5" x14ac:dyDescent="0.2">
      <c r="B8372" s="33" t="s">
        <v>9498</v>
      </c>
      <c r="C8372" s="33" t="s">
        <v>3283</v>
      </c>
      <c r="D8372" s="35">
        <f>SUMIFS(D8373:D9015,K8373:K9015,"0",B8373:B9015,"5 1 3 9 8 12 31111 6 M59 50000 000223*")-SUMIFS(E8373:E9015,K8373:K9015,"0",B8373:B9015,"5 1 3 9 8 12 31111 6 M59 50000 000223*")</f>
        <v>0</v>
      </c>
      <c r="E8372"/>
      <c r="F8372" s="35">
        <f>SUMIFS(F8373:F9015,K8373:K9015,"0",B8373:B9015,"5 1 3 9 8 12 31111 6 M59 50000 000223*")</f>
        <v>75271.45</v>
      </c>
      <c r="G8372" s="35">
        <f>SUMIFS(G8373:G9015,K8373:K9015,"0",B8373:B9015,"5 1 3 9 8 12 31111 6 M59 50000 000223*")</f>
        <v>0</v>
      </c>
      <c r="H8372" s="35">
        <f t="shared" si="131"/>
        <v>75271.45</v>
      </c>
      <c r="I8372" s="35"/>
      <c r="K8372" t="s">
        <v>15</v>
      </c>
    </row>
    <row r="8373" spans="2:11" ht="24.75" x14ac:dyDescent="0.2">
      <c r="B8373" s="33" t="s">
        <v>9499</v>
      </c>
      <c r="C8373" s="33" t="s">
        <v>1065</v>
      </c>
      <c r="D8373" s="35">
        <f>SUMIFS(D8374:D9015,K8374:K9015,"0",B8374:B9015,"5 1 3 9 8 12 31111 6 M59 50000 000223 0000E*")-SUMIFS(E8374:E9015,K8374:K9015,"0",B8374:B9015,"5 1 3 9 8 12 31111 6 M59 50000 000223 0000E*")</f>
        <v>0</v>
      </c>
      <c r="E8373"/>
      <c r="F8373" s="35">
        <f>SUMIFS(F8374:F9015,K8374:K9015,"0",B8374:B9015,"5 1 3 9 8 12 31111 6 M59 50000 000223 0000E*")</f>
        <v>75271.45</v>
      </c>
      <c r="G8373" s="35">
        <f>SUMIFS(G8374:G9015,K8374:K9015,"0",B8374:B9015,"5 1 3 9 8 12 31111 6 M59 50000 000223 0000E*")</f>
        <v>0</v>
      </c>
      <c r="H8373" s="35">
        <f t="shared" si="131"/>
        <v>75271.45</v>
      </c>
      <c r="I8373" s="35"/>
      <c r="K8373" t="s">
        <v>15</v>
      </c>
    </row>
    <row r="8374" spans="2:11" ht="24.75" x14ac:dyDescent="0.2">
      <c r="B8374" s="33" t="s">
        <v>9500</v>
      </c>
      <c r="C8374" s="33" t="s">
        <v>282</v>
      </c>
      <c r="D8374" s="35">
        <f>SUMIFS(D8375:D9015,K8375:K9015,"0",B8375:B9015,"5 1 3 9 8 12 31111 6 M59 50000 000223 0000E 00001*")-SUMIFS(E8375:E9015,K8375:K9015,"0",B8375:B9015,"5 1 3 9 8 12 31111 6 M59 50000 000223 0000E 00001*")</f>
        <v>0</v>
      </c>
      <c r="E8374"/>
      <c r="F8374" s="35">
        <f>SUMIFS(F8375:F9015,K8375:K9015,"0",B8375:B9015,"5 1 3 9 8 12 31111 6 M59 50000 000223 0000E 00001*")</f>
        <v>75271.45</v>
      </c>
      <c r="G8374" s="35">
        <f>SUMIFS(G8375:G9015,K8375:K9015,"0",B8375:B9015,"5 1 3 9 8 12 31111 6 M59 50000 000223 0000E 00001*")</f>
        <v>0</v>
      </c>
      <c r="H8374" s="35">
        <f t="shared" si="131"/>
        <v>75271.45</v>
      </c>
      <c r="I8374" s="35"/>
      <c r="K8374" t="s">
        <v>15</v>
      </c>
    </row>
    <row r="8375" spans="2:11" ht="24.75" x14ac:dyDescent="0.2">
      <c r="B8375" s="33" t="s">
        <v>9501</v>
      </c>
      <c r="C8375" s="33" t="s">
        <v>9247</v>
      </c>
      <c r="D8375" s="35">
        <f>SUMIFS(D8376:D9015,K8376:K9015,"0",B8376:B9015,"5 1 3 9 8 12 31111 6 M59 50000 000223 0000E 00001 00398*")-SUMIFS(E8376:E9015,K8376:K9015,"0",B8376:B9015,"5 1 3 9 8 12 31111 6 M59 50000 000223 0000E 00001 00398*")</f>
        <v>0</v>
      </c>
      <c r="E8375"/>
      <c r="F8375" s="35">
        <f>SUMIFS(F8376:F9015,K8376:K9015,"0",B8376:B9015,"5 1 3 9 8 12 31111 6 M59 50000 000223 0000E 00001 00398*")</f>
        <v>75271.45</v>
      </c>
      <c r="G8375" s="35">
        <f>SUMIFS(G8376:G9015,K8376:K9015,"0",B8376:B9015,"5 1 3 9 8 12 31111 6 M59 50000 000223 0000E 00001 00398*")</f>
        <v>0</v>
      </c>
      <c r="H8375" s="35">
        <f t="shared" si="131"/>
        <v>75271.45</v>
      </c>
      <c r="I8375" s="35"/>
      <c r="K8375" t="s">
        <v>15</v>
      </c>
    </row>
    <row r="8376" spans="2:11" ht="33" x14ac:dyDescent="0.2">
      <c r="B8376" s="33" t="s">
        <v>9502</v>
      </c>
      <c r="C8376" s="33" t="s">
        <v>1051</v>
      </c>
      <c r="D8376" s="35">
        <f>SUMIFS(D8377:D9015,K8377:K9015,"0",B8377:B9015,"5 1 3 9 8 12 31111 6 M59 50000 000223 0000E 00001 00398 015*")-SUMIFS(E8377:E9015,K8377:K9015,"0",B8377:B9015,"5 1 3 9 8 12 31111 6 M59 50000 000223 0000E 00001 00398 015*")</f>
        <v>0</v>
      </c>
      <c r="E8376"/>
      <c r="F8376" s="35">
        <f>SUMIFS(F8377:F9015,K8377:K9015,"0",B8377:B9015,"5 1 3 9 8 12 31111 6 M59 50000 000223 0000E 00001 00398 015*")</f>
        <v>75271.45</v>
      </c>
      <c r="G8376" s="35">
        <f>SUMIFS(G8377:G9015,K8377:K9015,"0",B8377:B9015,"5 1 3 9 8 12 31111 6 M59 50000 000223 0000E 00001 00398 015*")</f>
        <v>0</v>
      </c>
      <c r="H8376" s="35">
        <f t="shared" si="131"/>
        <v>75271.45</v>
      </c>
      <c r="I8376" s="35"/>
      <c r="K8376" t="s">
        <v>15</v>
      </c>
    </row>
    <row r="8377" spans="2:11" ht="33" x14ac:dyDescent="0.2">
      <c r="B8377" s="33" t="s">
        <v>9503</v>
      </c>
      <c r="C8377" s="33" t="s">
        <v>8550</v>
      </c>
      <c r="D8377" s="35">
        <f>SUMIFS(D8378:D9015,K8378:K9015,"0",B8378:B9015,"5 1 3 9 8 12 31111 6 M59 50000 000223 0000E 00001 00398 015 2111300*")-SUMIFS(E8378:E9015,K8378:K9015,"0",B8378:B9015,"5 1 3 9 8 12 31111 6 M59 50000 000223 0000E 00001 00398 015 2111300*")</f>
        <v>0</v>
      </c>
      <c r="E8377"/>
      <c r="F8377" s="35">
        <f>SUMIFS(F8378:F9015,K8378:K9015,"0",B8378:B9015,"5 1 3 9 8 12 31111 6 M59 50000 000223 0000E 00001 00398 015 2111300*")</f>
        <v>75271.45</v>
      </c>
      <c r="G8377" s="35">
        <f>SUMIFS(G8378:G9015,K8378:K9015,"0",B8378:B9015,"5 1 3 9 8 12 31111 6 M59 50000 000223 0000E 00001 00398 015 2111300*")</f>
        <v>0</v>
      </c>
      <c r="H8377" s="35">
        <f t="shared" si="131"/>
        <v>75271.45</v>
      </c>
      <c r="I8377" s="35"/>
      <c r="K8377" t="s">
        <v>15</v>
      </c>
    </row>
    <row r="8378" spans="2:11" ht="33" x14ac:dyDescent="0.2">
      <c r="B8378" s="33" t="s">
        <v>9504</v>
      </c>
      <c r="C8378" s="33" t="s">
        <v>660</v>
      </c>
      <c r="D8378" s="35">
        <f>SUMIFS(D8379:D9015,K8379:K9015,"0",B8379:B9015,"5 1 3 9 8 12 31111 6 M59 50000 000223 0000E 00001 00398 015 2111300 2024*")-SUMIFS(E8379:E9015,K8379:K9015,"0",B8379:B9015,"5 1 3 9 8 12 31111 6 M59 50000 000223 0000E 00001 00398 015 2111300 2024*")</f>
        <v>0</v>
      </c>
      <c r="E8378"/>
      <c r="F8378" s="35">
        <f>SUMIFS(F8379:F9015,K8379:K9015,"0",B8379:B9015,"5 1 3 9 8 12 31111 6 M59 50000 000223 0000E 00001 00398 015 2111300 2024*")</f>
        <v>75271.45</v>
      </c>
      <c r="G8378" s="35">
        <f>SUMIFS(G8379:G9015,K8379:K9015,"0",B8379:B9015,"5 1 3 9 8 12 31111 6 M59 50000 000223 0000E 00001 00398 015 2111300 2024*")</f>
        <v>0</v>
      </c>
      <c r="H8378" s="35">
        <f t="shared" si="131"/>
        <v>75271.45</v>
      </c>
      <c r="I8378" s="35"/>
      <c r="K8378" t="s">
        <v>15</v>
      </c>
    </row>
    <row r="8379" spans="2:11" ht="41.25" x14ac:dyDescent="0.2">
      <c r="B8379" s="33" t="s">
        <v>9505</v>
      </c>
      <c r="C8379" s="33" t="s">
        <v>662</v>
      </c>
      <c r="D8379" s="35">
        <f>SUMIFS(D8380:D9015,K8380:K9015,"0",B8380:B9015,"5 1 3 9 8 12 31111 6 M59 50000 000223 0000E 00001 00398 015 2111300 2024 CP1DA424*")-SUMIFS(E8380:E9015,K8380:K9015,"0",B8380:B9015,"5 1 3 9 8 12 31111 6 M59 50000 000223 0000E 00001 00398 015 2111300 2024 CP1DA424*")</f>
        <v>0</v>
      </c>
      <c r="E8379"/>
      <c r="F8379" s="35">
        <f>SUMIFS(F8380:F9015,K8380:K9015,"0",B8380:B9015,"5 1 3 9 8 12 31111 6 M59 50000 000223 0000E 00001 00398 015 2111300 2024 CP1DA424*")</f>
        <v>75271.45</v>
      </c>
      <c r="G8379" s="35">
        <f>SUMIFS(G8380:G9015,K8380:K9015,"0",B8380:B9015,"5 1 3 9 8 12 31111 6 M59 50000 000223 0000E 00001 00398 015 2111300 2024 CP1DA424*")</f>
        <v>0</v>
      </c>
      <c r="H8379" s="35">
        <f t="shared" si="131"/>
        <v>75271.45</v>
      </c>
      <c r="I8379" s="35"/>
      <c r="K8379" t="s">
        <v>15</v>
      </c>
    </row>
    <row r="8380" spans="2:11" ht="41.25" x14ac:dyDescent="0.2">
      <c r="B8380" s="33" t="s">
        <v>9506</v>
      </c>
      <c r="C8380" s="33" t="s">
        <v>282</v>
      </c>
      <c r="D8380" s="35">
        <f>SUMIFS(D8381:D9015,K8381:K9015,"0",B8381:B9015,"5 1 3 9 8 12 31111 6 M59 50000 000223 0000E 00001 00398 015 2111300 2024 CP1DA424 001*")-SUMIFS(E8381:E9015,K8381:K9015,"0",B8381:B9015,"5 1 3 9 8 12 31111 6 M59 50000 000223 0000E 00001 00398 015 2111300 2024 CP1DA424 001*")</f>
        <v>0</v>
      </c>
      <c r="E8380"/>
      <c r="F8380" s="35">
        <f>SUMIFS(F8381:F9015,K8381:K9015,"0",B8381:B9015,"5 1 3 9 8 12 31111 6 M59 50000 000223 0000E 00001 00398 015 2111300 2024 CP1DA424 001*")</f>
        <v>75271.45</v>
      </c>
      <c r="G8380" s="35">
        <f>SUMIFS(G8381:G9015,K8381:K9015,"0",B8381:B9015,"5 1 3 9 8 12 31111 6 M59 50000 000223 0000E 00001 00398 015 2111300 2024 CP1DA424 001*")</f>
        <v>0</v>
      </c>
      <c r="H8380" s="35">
        <f t="shared" si="131"/>
        <v>75271.45</v>
      </c>
      <c r="I8380" s="35"/>
      <c r="K8380" t="s">
        <v>15</v>
      </c>
    </row>
    <row r="8381" spans="2:11" ht="41.25" x14ac:dyDescent="0.2">
      <c r="B8381" s="31" t="s">
        <v>9507</v>
      </c>
      <c r="C8381" s="31" t="s">
        <v>9254</v>
      </c>
      <c r="D8381" s="34">
        <v>0</v>
      </c>
      <c r="E8381" s="34"/>
      <c r="F8381" s="34">
        <v>75271.45</v>
      </c>
      <c r="G8381" s="34">
        <v>0</v>
      </c>
      <c r="H8381" s="34">
        <f t="shared" si="131"/>
        <v>75271.45</v>
      </c>
      <c r="I8381" s="34"/>
      <c r="K8381" t="s">
        <v>38</v>
      </c>
    </row>
    <row r="8382" spans="2:11" ht="16.5" x14ac:dyDescent="0.2">
      <c r="B8382" s="33" t="s">
        <v>9508</v>
      </c>
      <c r="C8382" s="33" t="s">
        <v>3294</v>
      </c>
      <c r="D8382" s="35">
        <f>SUMIFS(D8383:D9015,K8383:K9015,"0",B8383:B9015,"5 1 3 9 8 12 31111 6 M59 50100*")-SUMIFS(E8383:E9015,K8383:K9015,"0",B8383:B9015,"5 1 3 9 8 12 31111 6 M59 50100*")</f>
        <v>0</v>
      </c>
      <c r="E8382"/>
      <c r="F8382" s="35">
        <f>SUMIFS(F8383:F9015,K8383:K9015,"0",B8383:B9015,"5 1 3 9 8 12 31111 6 M59 50100*")</f>
        <v>2512.34</v>
      </c>
      <c r="G8382" s="35">
        <f>SUMIFS(G8383:G9015,K8383:K9015,"0",B8383:B9015,"5 1 3 9 8 12 31111 6 M59 50100*")</f>
        <v>0</v>
      </c>
      <c r="H8382" s="35">
        <f t="shared" si="131"/>
        <v>2512.34</v>
      </c>
      <c r="I8382" s="35"/>
      <c r="K8382" t="s">
        <v>15</v>
      </c>
    </row>
    <row r="8383" spans="2:11" ht="16.5" x14ac:dyDescent="0.2">
      <c r="B8383" s="33" t="s">
        <v>9509</v>
      </c>
      <c r="C8383" s="33" t="s">
        <v>648</v>
      </c>
      <c r="D8383" s="35">
        <f>SUMIFS(D8384:D9015,K8384:K9015,"0",B8384:B9015,"5 1 3 9 8 12 31111 6 M59 50100 000132*")-SUMIFS(E8384:E9015,K8384:K9015,"0",B8384:B9015,"5 1 3 9 8 12 31111 6 M59 50100 000132*")</f>
        <v>0</v>
      </c>
      <c r="E8383"/>
      <c r="F8383" s="35">
        <f>SUMIFS(F8384:F9015,K8384:K9015,"0",B8384:B9015,"5 1 3 9 8 12 31111 6 M59 50100 000132*")</f>
        <v>2512.34</v>
      </c>
      <c r="G8383" s="35">
        <f>SUMIFS(G8384:G9015,K8384:K9015,"0",B8384:B9015,"5 1 3 9 8 12 31111 6 M59 50100 000132*")</f>
        <v>0</v>
      </c>
      <c r="H8383" s="35">
        <f t="shared" si="131"/>
        <v>2512.34</v>
      </c>
      <c r="I8383" s="35"/>
      <c r="K8383" t="s">
        <v>15</v>
      </c>
    </row>
    <row r="8384" spans="2:11" ht="24.75" x14ac:dyDescent="0.2">
      <c r="B8384" s="33" t="s">
        <v>9510</v>
      </c>
      <c r="C8384" s="33" t="s">
        <v>650</v>
      </c>
      <c r="D8384" s="35">
        <f>SUMIFS(D8385:D9015,K8385:K9015,"0",B8385:B9015,"5 1 3 9 8 12 31111 6 M59 50100 000132 0000R*")-SUMIFS(E8385:E9015,K8385:K9015,"0",B8385:B9015,"5 1 3 9 8 12 31111 6 M59 50100 000132 0000R*")</f>
        <v>0</v>
      </c>
      <c r="E8384"/>
      <c r="F8384" s="35">
        <f>SUMIFS(F8385:F9015,K8385:K9015,"0",B8385:B9015,"5 1 3 9 8 12 31111 6 M59 50100 000132 0000R*")</f>
        <v>2512.34</v>
      </c>
      <c r="G8384" s="35">
        <f>SUMIFS(G8385:G9015,K8385:K9015,"0",B8385:B9015,"5 1 3 9 8 12 31111 6 M59 50100 000132 0000R*")</f>
        <v>0</v>
      </c>
      <c r="H8384" s="35">
        <f t="shared" si="131"/>
        <v>2512.34</v>
      </c>
      <c r="I8384" s="35"/>
      <c r="K8384" t="s">
        <v>15</v>
      </c>
    </row>
    <row r="8385" spans="2:11" ht="24.75" x14ac:dyDescent="0.2">
      <c r="B8385" s="33" t="s">
        <v>9511</v>
      </c>
      <c r="C8385" s="33" t="s">
        <v>282</v>
      </c>
      <c r="D8385" s="35">
        <f>SUMIFS(D8386:D9015,K8386:K9015,"0",B8386:B9015,"5 1 3 9 8 12 31111 6 M59 50100 000132 0000R 00001*")-SUMIFS(E8386:E9015,K8386:K9015,"0",B8386:B9015,"5 1 3 9 8 12 31111 6 M59 50100 000132 0000R 00001*")</f>
        <v>0</v>
      </c>
      <c r="E8385"/>
      <c r="F8385" s="35">
        <f>SUMIFS(F8386:F9015,K8386:K9015,"0",B8386:B9015,"5 1 3 9 8 12 31111 6 M59 50100 000132 0000R 00001*")</f>
        <v>2512.34</v>
      </c>
      <c r="G8385" s="35">
        <f>SUMIFS(G8386:G9015,K8386:K9015,"0",B8386:B9015,"5 1 3 9 8 12 31111 6 M59 50100 000132 0000R 00001*")</f>
        <v>0</v>
      </c>
      <c r="H8385" s="35">
        <f t="shared" si="131"/>
        <v>2512.34</v>
      </c>
      <c r="I8385" s="35"/>
      <c r="K8385" t="s">
        <v>15</v>
      </c>
    </row>
    <row r="8386" spans="2:11" ht="24.75" x14ac:dyDescent="0.2">
      <c r="B8386" s="33" t="s">
        <v>9512</v>
      </c>
      <c r="C8386" s="33" t="s">
        <v>9247</v>
      </c>
      <c r="D8386" s="35">
        <f>SUMIFS(D8387:D9015,K8387:K9015,"0",B8387:B9015,"5 1 3 9 8 12 31111 6 M59 50100 000132 0000R 00001 00398*")-SUMIFS(E8387:E9015,K8387:K9015,"0",B8387:B9015,"5 1 3 9 8 12 31111 6 M59 50100 000132 0000R 00001 00398*")</f>
        <v>0</v>
      </c>
      <c r="E8386"/>
      <c r="F8386" s="35">
        <f>SUMIFS(F8387:F9015,K8387:K9015,"0",B8387:B9015,"5 1 3 9 8 12 31111 6 M59 50100 000132 0000R 00001 00398*")</f>
        <v>2512.34</v>
      </c>
      <c r="G8386" s="35">
        <f>SUMIFS(G8387:G9015,K8387:K9015,"0",B8387:B9015,"5 1 3 9 8 12 31111 6 M59 50100 000132 0000R 00001 00398*")</f>
        <v>0</v>
      </c>
      <c r="H8386" s="35">
        <f t="shared" si="131"/>
        <v>2512.34</v>
      </c>
      <c r="I8386" s="35"/>
      <c r="K8386" t="s">
        <v>15</v>
      </c>
    </row>
    <row r="8387" spans="2:11" ht="33" x14ac:dyDescent="0.2">
      <c r="B8387" s="33" t="s">
        <v>9513</v>
      </c>
      <c r="C8387" s="33" t="s">
        <v>1051</v>
      </c>
      <c r="D8387" s="35">
        <f>SUMIFS(D8388:D9015,K8388:K9015,"0",B8388:B9015,"5 1 3 9 8 12 31111 6 M59 50100 000132 0000R 00001 00398 015*")-SUMIFS(E8388:E9015,K8388:K9015,"0",B8388:B9015,"5 1 3 9 8 12 31111 6 M59 50100 000132 0000R 00001 00398 015*")</f>
        <v>0</v>
      </c>
      <c r="E8387"/>
      <c r="F8387" s="35">
        <f>SUMIFS(F8388:F9015,K8388:K9015,"0",B8388:B9015,"5 1 3 9 8 12 31111 6 M59 50100 000132 0000R 00001 00398 015*")</f>
        <v>2512.34</v>
      </c>
      <c r="G8387" s="35">
        <f>SUMIFS(G8388:G9015,K8388:K9015,"0",B8388:B9015,"5 1 3 9 8 12 31111 6 M59 50100 000132 0000R 00001 00398 015*")</f>
        <v>0</v>
      </c>
      <c r="H8387" s="35">
        <f t="shared" si="131"/>
        <v>2512.34</v>
      </c>
      <c r="I8387" s="35"/>
      <c r="K8387" t="s">
        <v>15</v>
      </c>
    </row>
    <row r="8388" spans="2:11" ht="33" x14ac:dyDescent="0.2">
      <c r="B8388" s="33" t="s">
        <v>9514</v>
      </c>
      <c r="C8388" s="33" t="s">
        <v>8550</v>
      </c>
      <c r="D8388" s="35">
        <f>SUMIFS(D8389:D9015,K8389:K9015,"0",B8389:B9015,"5 1 3 9 8 12 31111 6 M59 50100 000132 0000R 00001 00398 015 2111300*")-SUMIFS(E8389:E9015,K8389:K9015,"0",B8389:B9015,"5 1 3 9 8 12 31111 6 M59 50100 000132 0000R 00001 00398 015 2111300*")</f>
        <v>0</v>
      </c>
      <c r="E8388"/>
      <c r="F8388" s="35">
        <f>SUMIFS(F8389:F9015,K8389:K9015,"0",B8389:B9015,"5 1 3 9 8 12 31111 6 M59 50100 000132 0000R 00001 00398 015 2111300*")</f>
        <v>2512.34</v>
      </c>
      <c r="G8388" s="35">
        <f>SUMIFS(G8389:G9015,K8389:K9015,"0",B8389:B9015,"5 1 3 9 8 12 31111 6 M59 50100 000132 0000R 00001 00398 015 2111300*")</f>
        <v>0</v>
      </c>
      <c r="H8388" s="35">
        <f t="shared" ref="H8388:H8451" si="132">D8388 + F8388 - G8388</f>
        <v>2512.34</v>
      </c>
      <c r="I8388" s="35"/>
      <c r="K8388" t="s">
        <v>15</v>
      </c>
    </row>
    <row r="8389" spans="2:11" ht="33" x14ac:dyDescent="0.2">
      <c r="B8389" s="33" t="s">
        <v>9515</v>
      </c>
      <c r="C8389" s="33" t="s">
        <v>660</v>
      </c>
      <c r="D8389" s="35">
        <f>SUMIFS(D8390:D9015,K8390:K9015,"0",B8390:B9015,"5 1 3 9 8 12 31111 6 M59 50100 000132 0000R 00001 00398 015 2111300 2024*")-SUMIFS(E8390:E9015,K8390:K9015,"0",B8390:B9015,"5 1 3 9 8 12 31111 6 M59 50100 000132 0000R 00001 00398 015 2111300 2024*")</f>
        <v>0</v>
      </c>
      <c r="E8389"/>
      <c r="F8389" s="35">
        <f>SUMIFS(F8390:F9015,K8390:K9015,"0",B8390:B9015,"5 1 3 9 8 12 31111 6 M59 50100 000132 0000R 00001 00398 015 2111300 2024*")</f>
        <v>2512.34</v>
      </c>
      <c r="G8389" s="35">
        <f>SUMIFS(G8390:G9015,K8390:K9015,"0",B8390:B9015,"5 1 3 9 8 12 31111 6 M59 50100 000132 0000R 00001 00398 015 2111300 2024*")</f>
        <v>0</v>
      </c>
      <c r="H8389" s="35">
        <f t="shared" si="132"/>
        <v>2512.34</v>
      </c>
      <c r="I8389" s="35"/>
      <c r="K8389" t="s">
        <v>15</v>
      </c>
    </row>
    <row r="8390" spans="2:11" ht="41.25" x14ac:dyDescent="0.2">
      <c r="B8390" s="33" t="s">
        <v>9516</v>
      </c>
      <c r="C8390" s="33" t="s">
        <v>1056</v>
      </c>
      <c r="D8390" s="35">
        <f>SUMIFS(D8391:D9015,K8391:K9015,"0",B8391:B9015,"5 1 3 9 8 12 31111 6 M59 50100 000132 0000R 00001 00398 015 2111300 2024 CP1AG431*")-SUMIFS(E8391:E9015,K8391:K9015,"0",B8391:B9015,"5 1 3 9 8 12 31111 6 M59 50100 000132 0000R 00001 00398 015 2111300 2024 CP1AG431*")</f>
        <v>0</v>
      </c>
      <c r="E8390"/>
      <c r="F8390" s="35">
        <f>SUMIFS(F8391:F9015,K8391:K9015,"0",B8391:B9015,"5 1 3 9 8 12 31111 6 M59 50100 000132 0000R 00001 00398 015 2111300 2024 CP1AG431*")</f>
        <v>2512.34</v>
      </c>
      <c r="G8390" s="35">
        <f>SUMIFS(G8391:G9015,K8391:K9015,"0",B8391:B9015,"5 1 3 9 8 12 31111 6 M59 50100 000132 0000R 00001 00398 015 2111300 2024 CP1AG431*")</f>
        <v>0</v>
      </c>
      <c r="H8390" s="35">
        <f t="shared" si="132"/>
        <v>2512.34</v>
      </c>
      <c r="I8390" s="35"/>
      <c r="K8390" t="s">
        <v>15</v>
      </c>
    </row>
    <row r="8391" spans="2:11" ht="41.25" x14ac:dyDescent="0.2">
      <c r="B8391" s="33" t="s">
        <v>9517</v>
      </c>
      <c r="C8391" s="33" t="s">
        <v>282</v>
      </c>
      <c r="D8391" s="35">
        <f>SUMIFS(D8392:D9015,K8392:K9015,"0",B8392:B9015,"5 1 3 9 8 12 31111 6 M59 50100 000132 0000R 00001 00398 015 2111300 2024 CP1AG431 001*")-SUMIFS(E8392:E9015,K8392:K9015,"0",B8392:B9015,"5 1 3 9 8 12 31111 6 M59 50100 000132 0000R 00001 00398 015 2111300 2024 CP1AG431 001*")</f>
        <v>0</v>
      </c>
      <c r="E8391"/>
      <c r="F8391" s="35">
        <f>SUMIFS(F8392:F9015,K8392:K9015,"0",B8392:B9015,"5 1 3 9 8 12 31111 6 M59 50100 000132 0000R 00001 00398 015 2111300 2024 CP1AG431 001*")</f>
        <v>2512.34</v>
      </c>
      <c r="G8391" s="35">
        <f>SUMIFS(G8392:G9015,K8392:K9015,"0",B8392:B9015,"5 1 3 9 8 12 31111 6 M59 50100 000132 0000R 00001 00398 015 2111300 2024 CP1AG431 001*")</f>
        <v>0</v>
      </c>
      <c r="H8391" s="35">
        <f t="shared" si="132"/>
        <v>2512.34</v>
      </c>
      <c r="I8391" s="35"/>
      <c r="K8391" t="s">
        <v>15</v>
      </c>
    </row>
    <row r="8392" spans="2:11" ht="33" x14ac:dyDescent="0.2">
      <c r="B8392" s="31" t="s">
        <v>9518</v>
      </c>
      <c r="C8392" s="31" t="s">
        <v>9254</v>
      </c>
      <c r="D8392" s="34">
        <v>0</v>
      </c>
      <c r="E8392" s="34"/>
      <c r="F8392" s="34">
        <v>2512.34</v>
      </c>
      <c r="G8392" s="34">
        <v>0</v>
      </c>
      <c r="H8392" s="34">
        <f t="shared" si="132"/>
        <v>2512.34</v>
      </c>
      <c r="I8392" s="34"/>
      <c r="K8392" t="s">
        <v>38</v>
      </c>
    </row>
    <row r="8393" spans="2:11" ht="16.5" x14ac:dyDescent="0.2">
      <c r="B8393" s="33" t="s">
        <v>9519</v>
      </c>
      <c r="C8393" s="33" t="s">
        <v>1269</v>
      </c>
      <c r="D8393" s="35">
        <f>SUMIFS(D8394:D9015,K8394:K9015,"0",B8394:B9015,"5 1 3 9 8 12 31111 6 M59 60100*")-SUMIFS(E8394:E9015,K8394:K9015,"0",B8394:B9015,"5 1 3 9 8 12 31111 6 M59 60100*")</f>
        <v>0</v>
      </c>
      <c r="E8393"/>
      <c r="F8393" s="35">
        <f>SUMIFS(F8394:F9015,K8394:K9015,"0",B8394:B9015,"5 1 3 9 8 12 31111 6 M59 60100*")</f>
        <v>103932.46</v>
      </c>
      <c r="G8393" s="35">
        <f>SUMIFS(G8394:G9015,K8394:K9015,"0",B8394:B9015,"5 1 3 9 8 12 31111 6 M59 60100*")</f>
        <v>0</v>
      </c>
      <c r="H8393" s="35">
        <f t="shared" si="132"/>
        <v>103932.46</v>
      </c>
      <c r="I8393" s="35"/>
      <c r="K8393" t="s">
        <v>15</v>
      </c>
    </row>
    <row r="8394" spans="2:11" ht="16.5" x14ac:dyDescent="0.2">
      <c r="B8394" s="33" t="s">
        <v>9520</v>
      </c>
      <c r="C8394" s="33" t="s">
        <v>648</v>
      </c>
      <c r="D8394" s="35">
        <f>SUMIFS(D8395:D9015,K8395:K9015,"0",B8395:B9015,"5 1 3 9 8 12 31111 6 M59 60100 000132*")-SUMIFS(E8395:E9015,K8395:K9015,"0",B8395:B9015,"5 1 3 9 8 12 31111 6 M59 60100 000132*")</f>
        <v>0</v>
      </c>
      <c r="E8394"/>
      <c r="F8394" s="35">
        <f>SUMIFS(F8395:F9015,K8395:K9015,"0",B8395:B9015,"5 1 3 9 8 12 31111 6 M59 60100 000132*")</f>
        <v>103932.46</v>
      </c>
      <c r="G8394" s="35">
        <f>SUMIFS(G8395:G9015,K8395:K9015,"0",B8395:B9015,"5 1 3 9 8 12 31111 6 M59 60100 000132*")</f>
        <v>0</v>
      </c>
      <c r="H8394" s="35">
        <f t="shared" si="132"/>
        <v>103932.46</v>
      </c>
      <c r="I8394" s="35"/>
      <c r="K8394" t="s">
        <v>15</v>
      </c>
    </row>
    <row r="8395" spans="2:11" ht="24.75" x14ac:dyDescent="0.2">
      <c r="B8395" s="33" t="s">
        <v>9521</v>
      </c>
      <c r="C8395" s="33" t="s">
        <v>650</v>
      </c>
      <c r="D8395" s="35">
        <f>SUMIFS(D8396:D9015,K8396:K9015,"0",B8396:B9015,"5 1 3 9 8 12 31111 6 M59 60100 000132 0000R*")-SUMIFS(E8396:E9015,K8396:K9015,"0",B8396:B9015,"5 1 3 9 8 12 31111 6 M59 60100 000132 0000R*")</f>
        <v>0</v>
      </c>
      <c r="E8395"/>
      <c r="F8395" s="35">
        <f>SUMIFS(F8396:F9015,K8396:K9015,"0",B8396:B9015,"5 1 3 9 8 12 31111 6 M59 60100 000132 0000R*")</f>
        <v>103932.46</v>
      </c>
      <c r="G8395" s="35">
        <f>SUMIFS(G8396:G9015,K8396:K9015,"0",B8396:B9015,"5 1 3 9 8 12 31111 6 M59 60100 000132 0000R*")</f>
        <v>0</v>
      </c>
      <c r="H8395" s="35">
        <f t="shared" si="132"/>
        <v>103932.46</v>
      </c>
      <c r="I8395" s="35"/>
      <c r="K8395" t="s">
        <v>15</v>
      </c>
    </row>
    <row r="8396" spans="2:11" ht="24.75" x14ac:dyDescent="0.2">
      <c r="B8396" s="33" t="s">
        <v>9522</v>
      </c>
      <c r="C8396" s="33" t="s">
        <v>282</v>
      </c>
      <c r="D8396" s="35">
        <f>SUMIFS(D8397:D9015,K8397:K9015,"0",B8397:B9015,"5 1 3 9 8 12 31111 6 M59 60100 000132 0000R 00001*")-SUMIFS(E8397:E9015,K8397:K9015,"0",B8397:B9015,"5 1 3 9 8 12 31111 6 M59 60100 000132 0000R 00001*")</f>
        <v>0</v>
      </c>
      <c r="E8396"/>
      <c r="F8396" s="35">
        <f>SUMIFS(F8397:F9015,K8397:K9015,"0",B8397:B9015,"5 1 3 9 8 12 31111 6 M59 60100 000132 0000R 00001*")</f>
        <v>103932.46</v>
      </c>
      <c r="G8396" s="35">
        <f>SUMIFS(G8397:G9015,K8397:K9015,"0",B8397:B9015,"5 1 3 9 8 12 31111 6 M59 60100 000132 0000R 00001*")</f>
        <v>0</v>
      </c>
      <c r="H8396" s="35">
        <f t="shared" si="132"/>
        <v>103932.46</v>
      </c>
      <c r="I8396" s="35"/>
      <c r="K8396" t="s">
        <v>15</v>
      </c>
    </row>
    <row r="8397" spans="2:11" ht="24.75" x14ac:dyDescent="0.2">
      <c r="B8397" s="33" t="s">
        <v>9523</v>
      </c>
      <c r="C8397" s="33" t="s">
        <v>9247</v>
      </c>
      <c r="D8397" s="35">
        <f>SUMIFS(D8398:D9015,K8398:K9015,"0",B8398:B9015,"5 1 3 9 8 12 31111 6 M59 60100 000132 0000R 00001 00398*")-SUMIFS(E8398:E9015,K8398:K9015,"0",B8398:B9015,"5 1 3 9 8 12 31111 6 M59 60100 000132 0000R 00001 00398*")</f>
        <v>0</v>
      </c>
      <c r="E8397"/>
      <c r="F8397" s="35">
        <f>SUMIFS(F8398:F9015,K8398:K9015,"0",B8398:B9015,"5 1 3 9 8 12 31111 6 M59 60100 000132 0000R 00001 00398*")</f>
        <v>103932.46</v>
      </c>
      <c r="G8397" s="35">
        <f>SUMIFS(G8398:G9015,K8398:K9015,"0",B8398:B9015,"5 1 3 9 8 12 31111 6 M59 60100 000132 0000R 00001 00398*")</f>
        <v>0</v>
      </c>
      <c r="H8397" s="35">
        <f t="shared" si="132"/>
        <v>103932.46</v>
      </c>
      <c r="I8397" s="35"/>
      <c r="K8397" t="s">
        <v>15</v>
      </c>
    </row>
    <row r="8398" spans="2:11" ht="33" x14ac:dyDescent="0.2">
      <c r="B8398" s="33" t="s">
        <v>9524</v>
      </c>
      <c r="C8398" s="33" t="s">
        <v>1051</v>
      </c>
      <c r="D8398" s="35">
        <f>SUMIFS(D8399:D9015,K8399:K9015,"0",B8399:B9015,"5 1 3 9 8 12 31111 6 M59 60100 000132 0000R 00001 00398 015*")-SUMIFS(E8399:E9015,K8399:K9015,"0",B8399:B9015,"5 1 3 9 8 12 31111 6 M59 60100 000132 0000R 00001 00398 015*")</f>
        <v>0</v>
      </c>
      <c r="E8398"/>
      <c r="F8398" s="35">
        <f>SUMIFS(F8399:F9015,K8399:K9015,"0",B8399:B9015,"5 1 3 9 8 12 31111 6 M59 60100 000132 0000R 00001 00398 015*")</f>
        <v>103932.46</v>
      </c>
      <c r="G8398" s="35">
        <f>SUMIFS(G8399:G9015,K8399:K9015,"0",B8399:B9015,"5 1 3 9 8 12 31111 6 M59 60100 000132 0000R 00001 00398 015*")</f>
        <v>0</v>
      </c>
      <c r="H8398" s="35">
        <f t="shared" si="132"/>
        <v>103932.46</v>
      </c>
      <c r="I8398" s="35"/>
      <c r="K8398" t="s">
        <v>15</v>
      </c>
    </row>
    <row r="8399" spans="2:11" ht="33" x14ac:dyDescent="0.2">
      <c r="B8399" s="33" t="s">
        <v>9525</v>
      </c>
      <c r="C8399" s="33" t="s">
        <v>8550</v>
      </c>
      <c r="D8399" s="35">
        <f>SUMIFS(D8400:D9015,K8400:K9015,"0",B8400:B9015,"5 1 3 9 8 12 31111 6 M59 60100 000132 0000R 00001 00398 015 2111300*")-SUMIFS(E8400:E9015,K8400:K9015,"0",B8400:B9015,"5 1 3 9 8 12 31111 6 M59 60100 000132 0000R 00001 00398 015 2111300*")</f>
        <v>0</v>
      </c>
      <c r="E8399"/>
      <c r="F8399" s="35">
        <f>SUMIFS(F8400:F9015,K8400:K9015,"0",B8400:B9015,"5 1 3 9 8 12 31111 6 M59 60100 000132 0000R 00001 00398 015 2111300*")</f>
        <v>103932.46</v>
      </c>
      <c r="G8399" s="35">
        <f>SUMIFS(G8400:G9015,K8400:K9015,"0",B8400:B9015,"5 1 3 9 8 12 31111 6 M59 60100 000132 0000R 00001 00398 015 2111300*")</f>
        <v>0</v>
      </c>
      <c r="H8399" s="35">
        <f t="shared" si="132"/>
        <v>103932.46</v>
      </c>
      <c r="I8399" s="35"/>
      <c r="K8399" t="s">
        <v>15</v>
      </c>
    </row>
    <row r="8400" spans="2:11" ht="33" x14ac:dyDescent="0.2">
      <c r="B8400" s="33" t="s">
        <v>9526</v>
      </c>
      <c r="C8400" s="33" t="s">
        <v>660</v>
      </c>
      <c r="D8400" s="35">
        <f>SUMIFS(D8401:D9015,K8401:K9015,"0",B8401:B9015,"5 1 3 9 8 12 31111 6 M59 60100 000132 0000R 00001 00398 015 2111300 2024*")-SUMIFS(E8401:E9015,K8401:K9015,"0",B8401:B9015,"5 1 3 9 8 12 31111 6 M59 60100 000132 0000R 00001 00398 015 2111300 2024*")</f>
        <v>0</v>
      </c>
      <c r="E8400"/>
      <c r="F8400" s="35">
        <f>SUMIFS(F8401:F9015,K8401:K9015,"0",B8401:B9015,"5 1 3 9 8 12 31111 6 M59 60100 000132 0000R 00001 00398 015 2111300 2024*")</f>
        <v>103932.46</v>
      </c>
      <c r="G8400" s="35">
        <f>SUMIFS(G8401:G9015,K8401:K9015,"0",B8401:B9015,"5 1 3 9 8 12 31111 6 M59 60100 000132 0000R 00001 00398 015 2111300 2024*")</f>
        <v>0</v>
      </c>
      <c r="H8400" s="35">
        <f t="shared" si="132"/>
        <v>103932.46</v>
      </c>
      <c r="I8400" s="35"/>
      <c r="K8400" t="s">
        <v>15</v>
      </c>
    </row>
    <row r="8401" spans="2:11" ht="41.25" x14ac:dyDescent="0.2">
      <c r="B8401" s="33" t="s">
        <v>9527</v>
      </c>
      <c r="C8401" s="33" t="s">
        <v>1056</v>
      </c>
      <c r="D8401" s="35">
        <f>SUMIFS(D8402:D9015,K8402:K9015,"0",B8402:B9015,"5 1 3 9 8 12 31111 6 M59 60100 000132 0000R 00001 00398 015 2111300 2024 CP1DM394*")-SUMIFS(E8402:E9015,K8402:K9015,"0",B8402:B9015,"5 1 3 9 8 12 31111 6 M59 60100 000132 0000R 00001 00398 015 2111300 2024 CP1DM394*")</f>
        <v>0</v>
      </c>
      <c r="E8401"/>
      <c r="F8401" s="35">
        <f>SUMIFS(F8402:F9015,K8402:K9015,"0",B8402:B9015,"5 1 3 9 8 12 31111 6 M59 60100 000132 0000R 00001 00398 015 2111300 2024 CP1DM394*")</f>
        <v>103932.46</v>
      </c>
      <c r="G8401" s="35">
        <f>SUMIFS(G8402:G9015,K8402:K9015,"0",B8402:B9015,"5 1 3 9 8 12 31111 6 M59 60100 000132 0000R 00001 00398 015 2111300 2024 CP1DM394*")</f>
        <v>0</v>
      </c>
      <c r="H8401" s="35">
        <f t="shared" si="132"/>
        <v>103932.46</v>
      </c>
      <c r="I8401" s="35"/>
      <c r="K8401" t="s">
        <v>15</v>
      </c>
    </row>
    <row r="8402" spans="2:11" ht="41.25" x14ac:dyDescent="0.2">
      <c r="B8402" s="33" t="s">
        <v>9528</v>
      </c>
      <c r="C8402" s="33" t="s">
        <v>282</v>
      </c>
      <c r="D8402" s="35">
        <f>SUMIFS(D8403:D9015,K8403:K9015,"0",B8403:B9015,"5 1 3 9 8 12 31111 6 M59 60100 000132 0000R 00001 00398 015 2111300 2024 CP1DM394 001*")-SUMIFS(E8403:E9015,K8403:K9015,"0",B8403:B9015,"5 1 3 9 8 12 31111 6 M59 60100 000132 0000R 00001 00398 015 2111300 2024 CP1DM394 001*")</f>
        <v>0</v>
      </c>
      <c r="E8402"/>
      <c r="F8402" s="35">
        <f>SUMIFS(F8403:F9015,K8403:K9015,"0",B8403:B9015,"5 1 3 9 8 12 31111 6 M59 60100 000132 0000R 00001 00398 015 2111300 2024 CP1DM394 001*")</f>
        <v>103932.46</v>
      </c>
      <c r="G8402" s="35">
        <f>SUMIFS(G8403:G9015,K8403:K9015,"0",B8403:B9015,"5 1 3 9 8 12 31111 6 M59 60100 000132 0000R 00001 00398 015 2111300 2024 CP1DM394 001*")</f>
        <v>0</v>
      </c>
      <c r="H8402" s="35">
        <f t="shared" si="132"/>
        <v>103932.46</v>
      </c>
      <c r="I8402" s="35"/>
      <c r="K8402" t="s">
        <v>15</v>
      </c>
    </row>
    <row r="8403" spans="2:11" ht="33" x14ac:dyDescent="0.2">
      <c r="B8403" s="31" t="s">
        <v>9529</v>
      </c>
      <c r="C8403" s="31" t="s">
        <v>9254</v>
      </c>
      <c r="D8403" s="34">
        <v>0</v>
      </c>
      <c r="E8403" s="34"/>
      <c r="F8403" s="34">
        <v>103932.46</v>
      </c>
      <c r="G8403" s="34">
        <v>0</v>
      </c>
      <c r="H8403" s="34">
        <f t="shared" si="132"/>
        <v>103932.46</v>
      </c>
      <c r="I8403" s="34"/>
      <c r="K8403" t="s">
        <v>38</v>
      </c>
    </row>
    <row r="8404" spans="2:11" ht="24.75" x14ac:dyDescent="0.2">
      <c r="B8404" s="33" t="s">
        <v>9530</v>
      </c>
      <c r="C8404" s="33" t="s">
        <v>3317</v>
      </c>
      <c r="D8404" s="35">
        <f>SUMIFS(D8405:D9015,K8405:K9015,"0",B8405:B9015,"5 1 3 9 8 12 31111 6 M59 61000*")-SUMIFS(E8405:E9015,K8405:K9015,"0",B8405:B9015,"5 1 3 9 8 12 31111 6 M59 61000*")</f>
        <v>0</v>
      </c>
      <c r="E8404"/>
      <c r="F8404" s="35">
        <f>SUMIFS(F8405:F9015,K8405:K9015,"0",B8405:B9015,"5 1 3 9 8 12 31111 6 M59 61000*")</f>
        <v>3036.86</v>
      </c>
      <c r="G8404" s="35">
        <f>SUMIFS(G8405:G9015,K8405:K9015,"0",B8405:B9015,"5 1 3 9 8 12 31111 6 M59 61000*")</f>
        <v>0</v>
      </c>
      <c r="H8404" s="35">
        <f t="shared" si="132"/>
        <v>3036.86</v>
      </c>
      <c r="I8404" s="35"/>
      <c r="K8404" t="s">
        <v>15</v>
      </c>
    </row>
    <row r="8405" spans="2:11" ht="16.5" x14ac:dyDescent="0.2">
      <c r="B8405" s="33" t="s">
        <v>9531</v>
      </c>
      <c r="C8405" s="33" t="s">
        <v>648</v>
      </c>
      <c r="D8405" s="35">
        <f>SUMIFS(D8406:D9015,K8406:K9015,"0",B8406:B9015,"5 1 3 9 8 12 31111 6 M59 61000 000132*")-SUMIFS(E8406:E9015,K8406:K9015,"0",B8406:B9015,"5 1 3 9 8 12 31111 6 M59 61000 000132*")</f>
        <v>0</v>
      </c>
      <c r="E8405"/>
      <c r="F8405" s="35">
        <f>SUMIFS(F8406:F9015,K8406:K9015,"0",B8406:B9015,"5 1 3 9 8 12 31111 6 M59 61000 000132*")</f>
        <v>3036.86</v>
      </c>
      <c r="G8405" s="35">
        <f>SUMIFS(G8406:G9015,K8406:K9015,"0",B8406:B9015,"5 1 3 9 8 12 31111 6 M59 61000 000132*")</f>
        <v>0</v>
      </c>
      <c r="H8405" s="35">
        <f t="shared" si="132"/>
        <v>3036.86</v>
      </c>
      <c r="I8405" s="35"/>
      <c r="K8405" t="s">
        <v>15</v>
      </c>
    </row>
    <row r="8406" spans="2:11" ht="24.75" x14ac:dyDescent="0.2">
      <c r="B8406" s="33" t="s">
        <v>9532</v>
      </c>
      <c r="C8406" s="33" t="s">
        <v>650</v>
      </c>
      <c r="D8406" s="35">
        <f>SUMIFS(D8407:D9015,K8407:K9015,"0",B8407:B9015,"5 1 3 9 8 12 31111 6 M59 61000 000132 0000R*")-SUMIFS(E8407:E9015,K8407:K9015,"0",B8407:B9015,"5 1 3 9 8 12 31111 6 M59 61000 000132 0000R*")</f>
        <v>0</v>
      </c>
      <c r="E8406"/>
      <c r="F8406" s="35">
        <f>SUMIFS(F8407:F9015,K8407:K9015,"0",B8407:B9015,"5 1 3 9 8 12 31111 6 M59 61000 000132 0000R*")</f>
        <v>3036.86</v>
      </c>
      <c r="G8406" s="35">
        <f>SUMIFS(G8407:G9015,K8407:K9015,"0",B8407:B9015,"5 1 3 9 8 12 31111 6 M59 61000 000132 0000R*")</f>
        <v>0</v>
      </c>
      <c r="H8406" s="35">
        <f t="shared" si="132"/>
        <v>3036.86</v>
      </c>
      <c r="I8406" s="35"/>
      <c r="K8406" t="s">
        <v>15</v>
      </c>
    </row>
    <row r="8407" spans="2:11" ht="24.75" x14ac:dyDescent="0.2">
      <c r="B8407" s="33" t="s">
        <v>9533</v>
      </c>
      <c r="C8407" s="33" t="s">
        <v>282</v>
      </c>
      <c r="D8407" s="35">
        <f>SUMIFS(D8408:D9015,K8408:K9015,"0",B8408:B9015,"5 1 3 9 8 12 31111 6 M59 61000 000132 0000R 00001*")-SUMIFS(E8408:E9015,K8408:K9015,"0",B8408:B9015,"5 1 3 9 8 12 31111 6 M59 61000 000132 0000R 00001*")</f>
        <v>0</v>
      </c>
      <c r="E8407"/>
      <c r="F8407" s="35">
        <f>SUMIFS(F8408:F9015,K8408:K9015,"0",B8408:B9015,"5 1 3 9 8 12 31111 6 M59 61000 000132 0000R 00001*")</f>
        <v>3036.86</v>
      </c>
      <c r="G8407" s="35">
        <f>SUMIFS(G8408:G9015,K8408:K9015,"0",B8408:B9015,"5 1 3 9 8 12 31111 6 M59 61000 000132 0000R 00001*")</f>
        <v>0</v>
      </c>
      <c r="H8407" s="35">
        <f t="shared" si="132"/>
        <v>3036.86</v>
      </c>
      <c r="I8407" s="35"/>
      <c r="K8407" t="s">
        <v>15</v>
      </c>
    </row>
    <row r="8408" spans="2:11" ht="24.75" x14ac:dyDescent="0.2">
      <c r="B8408" s="33" t="s">
        <v>9534</v>
      </c>
      <c r="C8408" s="33" t="s">
        <v>9247</v>
      </c>
      <c r="D8408" s="35">
        <f>SUMIFS(D8409:D9015,K8409:K9015,"0",B8409:B9015,"5 1 3 9 8 12 31111 6 M59 61000 000132 0000R 00001 00398*")-SUMIFS(E8409:E9015,K8409:K9015,"0",B8409:B9015,"5 1 3 9 8 12 31111 6 M59 61000 000132 0000R 00001 00398*")</f>
        <v>0</v>
      </c>
      <c r="E8408"/>
      <c r="F8408" s="35">
        <f>SUMIFS(F8409:F9015,K8409:K9015,"0",B8409:B9015,"5 1 3 9 8 12 31111 6 M59 61000 000132 0000R 00001 00398*")</f>
        <v>3036.86</v>
      </c>
      <c r="G8408" s="35">
        <f>SUMIFS(G8409:G9015,K8409:K9015,"0",B8409:B9015,"5 1 3 9 8 12 31111 6 M59 61000 000132 0000R 00001 00398*")</f>
        <v>0</v>
      </c>
      <c r="H8408" s="35">
        <f t="shared" si="132"/>
        <v>3036.86</v>
      </c>
      <c r="I8408" s="35"/>
      <c r="K8408" t="s">
        <v>15</v>
      </c>
    </row>
    <row r="8409" spans="2:11" ht="33" x14ac:dyDescent="0.2">
      <c r="B8409" s="33" t="s">
        <v>9535</v>
      </c>
      <c r="C8409" s="33" t="s">
        <v>1051</v>
      </c>
      <c r="D8409" s="35">
        <f>SUMIFS(D8410:D9015,K8410:K9015,"0",B8410:B9015,"5 1 3 9 8 12 31111 6 M59 61000 000132 0000R 00001 00398 015*")-SUMIFS(E8410:E9015,K8410:K9015,"0",B8410:B9015,"5 1 3 9 8 12 31111 6 M59 61000 000132 0000R 00001 00398 015*")</f>
        <v>0</v>
      </c>
      <c r="E8409"/>
      <c r="F8409" s="35">
        <f>SUMIFS(F8410:F9015,K8410:K9015,"0",B8410:B9015,"5 1 3 9 8 12 31111 6 M59 61000 000132 0000R 00001 00398 015*")</f>
        <v>3036.86</v>
      </c>
      <c r="G8409" s="35">
        <f>SUMIFS(G8410:G9015,K8410:K9015,"0",B8410:B9015,"5 1 3 9 8 12 31111 6 M59 61000 000132 0000R 00001 00398 015*")</f>
        <v>0</v>
      </c>
      <c r="H8409" s="35">
        <f t="shared" si="132"/>
        <v>3036.86</v>
      </c>
      <c r="I8409" s="35"/>
      <c r="K8409" t="s">
        <v>15</v>
      </c>
    </row>
    <row r="8410" spans="2:11" ht="33" x14ac:dyDescent="0.2">
      <c r="B8410" s="33" t="s">
        <v>9536</v>
      </c>
      <c r="C8410" s="33" t="s">
        <v>8550</v>
      </c>
      <c r="D8410" s="35">
        <f>SUMIFS(D8411:D9015,K8411:K9015,"0",B8411:B9015,"5 1 3 9 8 12 31111 6 M59 61000 000132 0000R 00001 00398 015 2111300*")-SUMIFS(E8411:E9015,K8411:K9015,"0",B8411:B9015,"5 1 3 9 8 12 31111 6 M59 61000 000132 0000R 00001 00398 015 2111300*")</f>
        <v>0</v>
      </c>
      <c r="E8410"/>
      <c r="F8410" s="35">
        <f>SUMIFS(F8411:F9015,K8411:K9015,"0",B8411:B9015,"5 1 3 9 8 12 31111 6 M59 61000 000132 0000R 00001 00398 015 2111300*")</f>
        <v>3036.86</v>
      </c>
      <c r="G8410" s="35">
        <f>SUMIFS(G8411:G9015,K8411:K9015,"0",B8411:B9015,"5 1 3 9 8 12 31111 6 M59 61000 000132 0000R 00001 00398 015 2111300*")</f>
        <v>0</v>
      </c>
      <c r="H8410" s="35">
        <f t="shared" si="132"/>
        <v>3036.86</v>
      </c>
      <c r="I8410" s="35"/>
      <c r="K8410" t="s">
        <v>15</v>
      </c>
    </row>
    <row r="8411" spans="2:11" ht="33" x14ac:dyDescent="0.2">
      <c r="B8411" s="33" t="s">
        <v>9537</v>
      </c>
      <c r="C8411" s="33" t="s">
        <v>660</v>
      </c>
      <c r="D8411" s="35">
        <f>SUMIFS(D8412:D9015,K8412:K9015,"0",B8412:B9015,"5 1 3 9 8 12 31111 6 M59 61000 000132 0000R 00001 00398 015 2111300 2024*")-SUMIFS(E8412:E9015,K8412:K9015,"0",B8412:B9015,"5 1 3 9 8 12 31111 6 M59 61000 000132 0000R 00001 00398 015 2111300 2024*")</f>
        <v>0</v>
      </c>
      <c r="E8411"/>
      <c r="F8411" s="35">
        <f>SUMIFS(F8412:F9015,K8412:K9015,"0",B8412:B9015,"5 1 3 9 8 12 31111 6 M59 61000 000132 0000R 00001 00398 015 2111300 2024*")</f>
        <v>3036.86</v>
      </c>
      <c r="G8411" s="35">
        <f>SUMIFS(G8412:G9015,K8412:K9015,"0",B8412:B9015,"5 1 3 9 8 12 31111 6 M59 61000 000132 0000R 00001 00398 015 2111300 2024*")</f>
        <v>0</v>
      </c>
      <c r="H8411" s="35">
        <f t="shared" si="132"/>
        <v>3036.86</v>
      </c>
      <c r="I8411" s="35"/>
      <c r="K8411" t="s">
        <v>15</v>
      </c>
    </row>
    <row r="8412" spans="2:11" ht="41.25" x14ac:dyDescent="0.2">
      <c r="B8412" s="33" t="s">
        <v>9538</v>
      </c>
      <c r="C8412" s="33" t="s">
        <v>1056</v>
      </c>
      <c r="D8412" s="35">
        <f>SUMIFS(D8413:D9015,K8413:K9015,"0",B8413:B9015,"5 1 3 9 8 12 31111 6 M59 61000 000132 0000R 00001 00398 015 2111300 2024 CP1MI406*")-SUMIFS(E8413:E9015,K8413:K9015,"0",B8413:B9015,"5 1 3 9 8 12 31111 6 M59 61000 000132 0000R 00001 00398 015 2111300 2024 CP1MI406*")</f>
        <v>0</v>
      </c>
      <c r="E8412"/>
      <c r="F8412" s="35">
        <f>SUMIFS(F8413:F9015,K8413:K9015,"0",B8413:B9015,"5 1 3 9 8 12 31111 6 M59 61000 000132 0000R 00001 00398 015 2111300 2024 CP1MI406*")</f>
        <v>3036.86</v>
      </c>
      <c r="G8412" s="35">
        <f>SUMIFS(G8413:G9015,K8413:K9015,"0",B8413:B9015,"5 1 3 9 8 12 31111 6 M59 61000 000132 0000R 00001 00398 015 2111300 2024 CP1MI406*")</f>
        <v>0</v>
      </c>
      <c r="H8412" s="35">
        <f t="shared" si="132"/>
        <v>3036.86</v>
      </c>
      <c r="I8412" s="35"/>
      <c r="K8412" t="s">
        <v>15</v>
      </c>
    </row>
    <row r="8413" spans="2:11" ht="41.25" x14ac:dyDescent="0.2">
      <c r="B8413" s="33" t="s">
        <v>9539</v>
      </c>
      <c r="C8413" s="33" t="s">
        <v>282</v>
      </c>
      <c r="D8413" s="35">
        <f>SUMIFS(D8414:D9015,K8414:K9015,"0",B8414:B9015,"5 1 3 9 8 12 31111 6 M59 61000 000132 0000R 00001 00398 015 2111300 2024 CP1MI406 001*")-SUMIFS(E8414:E9015,K8414:K9015,"0",B8414:B9015,"5 1 3 9 8 12 31111 6 M59 61000 000132 0000R 00001 00398 015 2111300 2024 CP1MI406 001*")</f>
        <v>0</v>
      </c>
      <c r="E8413"/>
      <c r="F8413" s="35">
        <f>SUMIFS(F8414:F9015,K8414:K9015,"0",B8414:B9015,"5 1 3 9 8 12 31111 6 M59 61000 000132 0000R 00001 00398 015 2111300 2024 CP1MI406 001*")</f>
        <v>3036.86</v>
      </c>
      <c r="G8413" s="35">
        <f>SUMIFS(G8414:G9015,K8414:K9015,"0",B8414:B9015,"5 1 3 9 8 12 31111 6 M59 61000 000132 0000R 00001 00398 015 2111300 2024 CP1MI406 001*")</f>
        <v>0</v>
      </c>
      <c r="H8413" s="35">
        <f t="shared" si="132"/>
        <v>3036.86</v>
      </c>
      <c r="I8413" s="35"/>
      <c r="K8413" t="s">
        <v>15</v>
      </c>
    </row>
    <row r="8414" spans="2:11" ht="33" x14ac:dyDescent="0.2">
      <c r="B8414" s="31" t="s">
        <v>9540</v>
      </c>
      <c r="C8414" s="31" t="s">
        <v>9254</v>
      </c>
      <c r="D8414" s="34">
        <v>0</v>
      </c>
      <c r="E8414" s="34"/>
      <c r="F8414" s="34">
        <v>3036.86</v>
      </c>
      <c r="G8414" s="34">
        <v>0</v>
      </c>
      <c r="H8414" s="34">
        <f t="shared" si="132"/>
        <v>3036.86</v>
      </c>
      <c r="I8414" s="34"/>
      <c r="K8414" t="s">
        <v>38</v>
      </c>
    </row>
    <row r="8415" spans="2:11" ht="16.5" x14ac:dyDescent="0.2">
      <c r="B8415" s="33" t="s">
        <v>9541</v>
      </c>
      <c r="C8415" s="33" t="s">
        <v>3329</v>
      </c>
      <c r="D8415" s="35">
        <f>SUMIFS(D8416:D9015,K8416:K9015,"0",B8416:B9015,"5 1 3 9 8 12 31111 6 M59 62000*")-SUMIFS(E8416:E9015,K8416:K9015,"0",B8416:B9015,"5 1 3 9 8 12 31111 6 M59 62000*")</f>
        <v>0</v>
      </c>
      <c r="E8415"/>
      <c r="F8415" s="35">
        <f>SUMIFS(F8416:F9015,K8416:K9015,"0",B8416:B9015,"5 1 3 9 8 12 31111 6 M59 62000*")</f>
        <v>11766.94</v>
      </c>
      <c r="G8415" s="35">
        <f>SUMIFS(G8416:G9015,K8416:K9015,"0",B8416:B9015,"5 1 3 9 8 12 31111 6 M59 62000*")</f>
        <v>0</v>
      </c>
      <c r="H8415" s="35">
        <f t="shared" si="132"/>
        <v>11766.94</v>
      </c>
      <c r="I8415" s="35"/>
      <c r="K8415" t="s">
        <v>15</v>
      </c>
    </row>
    <row r="8416" spans="2:11" ht="16.5" x14ac:dyDescent="0.2">
      <c r="B8416" s="33" t="s">
        <v>9542</v>
      </c>
      <c r="C8416" s="33" t="s">
        <v>648</v>
      </c>
      <c r="D8416" s="35">
        <f>SUMIFS(D8417:D9015,K8417:K9015,"0",B8417:B9015,"5 1 3 9 8 12 31111 6 M59 62000 000132*")-SUMIFS(E8417:E9015,K8417:K9015,"0",B8417:B9015,"5 1 3 9 8 12 31111 6 M59 62000 000132*")</f>
        <v>0</v>
      </c>
      <c r="E8416"/>
      <c r="F8416" s="35">
        <f>SUMIFS(F8417:F9015,K8417:K9015,"0",B8417:B9015,"5 1 3 9 8 12 31111 6 M59 62000 000132*")</f>
        <v>11766.94</v>
      </c>
      <c r="G8416" s="35">
        <f>SUMIFS(G8417:G9015,K8417:K9015,"0",B8417:B9015,"5 1 3 9 8 12 31111 6 M59 62000 000132*")</f>
        <v>0</v>
      </c>
      <c r="H8416" s="35">
        <f t="shared" si="132"/>
        <v>11766.94</v>
      </c>
      <c r="I8416" s="35"/>
      <c r="K8416" t="s">
        <v>15</v>
      </c>
    </row>
    <row r="8417" spans="2:11" ht="24.75" x14ac:dyDescent="0.2">
      <c r="B8417" s="33" t="s">
        <v>9543</v>
      </c>
      <c r="C8417" s="33" t="s">
        <v>650</v>
      </c>
      <c r="D8417" s="35">
        <f>SUMIFS(D8418:D9015,K8418:K9015,"0",B8418:B9015,"5 1 3 9 8 12 31111 6 M59 62000 000132 0000R*")-SUMIFS(E8418:E9015,K8418:K9015,"0",B8418:B9015,"5 1 3 9 8 12 31111 6 M59 62000 000132 0000R*")</f>
        <v>0</v>
      </c>
      <c r="E8417"/>
      <c r="F8417" s="35">
        <f>SUMIFS(F8418:F9015,K8418:K9015,"0",B8418:B9015,"5 1 3 9 8 12 31111 6 M59 62000 000132 0000R*")</f>
        <v>11766.94</v>
      </c>
      <c r="G8417" s="35">
        <f>SUMIFS(G8418:G9015,K8418:K9015,"0",B8418:B9015,"5 1 3 9 8 12 31111 6 M59 62000 000132 0000R*")</f>
        <v>0</v>
      </c>
      <c r="H8417" s="35">
        <f t="shared" si="132"/>
        <v>11766.94</v>
      </c>
      <c r="I8417" s="35"/>
      <c r="K8417" t="s">
        <v>15</v>
      </c>
    </row>
    <row r="8418" spans="2:11" ht="24.75" x14ac:dyDescent="0.2">
      <c r="B8418" s="33" t="s">
        <v>9544</v>
      </c>
      <c r="C8418" s="33" t="s">
        <v>282</v>
      </c>
      <c r="D8418" s="35">
        <f>SUMIFS(D8419:D9015,K8419:K9015,"0",B8419:B9015,"5 1 3 9 8 12 31111 6 M59 62000 000132 0000R 00001*")-SUMIFS(E8419:E9015,K8419:K9015,"0",B8419:B9015,"5 1 3 9 8 12 31111 6 M59 62000 000132 0000R 00001*")</f>
        <v>0</v>
      </c>
      <c r="E8418"/>
      <c r="F8418" s="35">
        <f>SUMIFS(F8419:F9015,K8419:K9015,"0",B8419:B9015,"5 1 3 9 8 12 31111 6 M59 62000 000132 0000R 00001*")</f>
        <v>11766.94</v>
      </c>
      <c r="G8418" s="35">
        <f>SUMIFS(G8419:G9015,K8419:K9015,"0",B8419:B9015,"5 1 3 9 8 12 31111 6 M59 62000 000132 0000R 00001*")</f>
        <v>0</v>
      </c>
      <c r="H8418" s="35">
        <f t="shared" si="132"/>
        <v>11766.94</v>
      </c>
      <c r="I8418" s="35"/>
      <c r="K8418" t="s">
        <v>15</v>
      </c>
    </row>
    <row r="8419" spans="2:11" ht="24.75" x14ac:dyDescent="0.2">
      <c r="B8419" s="33" t="s">
        <v>9545</v>
      </c>
      <c r="C8419" s="33" t="s">
        <v>9247</v>
      </c>
      <c r="D8419" s="35">
        <f>SUMIFS(D8420:D9015,K8420:K9015,"0",B8420:B9015,"5 1 3 9 8 12 31111 6 M59 62000 000132 0000R 00001 00398*")-SUMIFS(E8420:E9015,K8420:K9015,"0",B8420:B9015,"5 1 3 9 8 12 31111 6 M59 62000 000132 0000R 00001 00398*")</f>
        <v>0</v>
      </c>
      <c r="E8419"/>
      <c r="F8419" s="35">
        <f>SUMIFS(F8420:F9015,K8420:K9015,"0",B8420:B9015,"5 1 3 9 8 12 31111 6 M59 62000 000132 0000R 00001 00398*")</f>
        <v>11766.94</v>
      </c>
      <c r="G8419" s="35">
        <f>SUMIFS(G8420:G9015,K8420:K9015,"0",B8420:B9015,"5 1 3 9 8 12 31111 6 M59 62000 000132 0000R 00001 00398*")</f>
        <v>0</v>
      </c>
      <c r="H8419" s="35">
        <f t="shared" si="132"/>
        <v>11766.94</v>
      </c>
      <c r="I8419" s="35"/>
      <c r="K8419" t="s">
        <v>15</v>
      </c>
    </row>
    <row r="8420" spans="2:11" ht="33" x14ac:dyDescent="0.2">
      <c r="B8420" s="33" t="s">
        <v>9546</v>
      </c>
      <c r="C8420" s="33" t="s">
        <v>1051</v>
      </c>
      <c r="D8420" s="35">
        <f>SUMIFS(D8421:D9015,K8421:K9015,"0",B8421:B9015,"5 1 3 9 8 12 31111 6 M59 62000 000132 0000R 00001 00398 015*")-SUMIFS(E8421:E9015,K8421:K9015,"0",B8421:B9015,"5 1 3 9 8 12 31111 6 M59 62000 000132 0000R 00001 00398 015*")</f>
        <v>0</v>
      </c>
      <c r="E8420"/>
      <c r="F8420" s="35">
        <f>SUMIFS(F8421:F9015,K8421:K9015,"0",B8421:B9015,"5 1 3 9 8 12 31111 6 M59 62000 000132 0000R 00001 00398 015*")</f>
        <v>11766.94</v>
      </c>
      <c r="G8420" s="35">
        <f>SUMIFS(G8421:G9015,K8421:K9015,"0",B8421:B9015,"5 1 3 9 8 12 31111 6 M59 62000 000132 0000R 00001 00398 015*")</f>
        <v>0</v>
      </c>
      <c r="H8420" s="35">
        <f t="shared" si="132"/>
        <v>11766.94</v>
      </c>
      <c r="I8420" s="35"/>
      <c r="K8420" t="s">
        <v>15</v>
      </c>
    </row>
    <row r="8421" spans="2:11" ht="33" x14ac:dyDescent="0.2">
      <c r="B8421" s="33" t="s">
        <v>9547</v>
      </c>
      <c r="C8421" s="33" t="s">
        <v>8550</v>
      </c>
      <c r="D8421" s="35">
        <f>SUMIFS(D8422:D9015,K8422:K9015,"0",B8422:B9015,"5 1 3 9 8 12 31111 6 M59 62000 000132 0000R 00001 00398 015 2111300*")-SUMIFS(E8422:E9015,K8422:K9015,"0",B8422:B9015,"5 1 3 9 8 12 31111 6 M59 62000 000132 0000R 00001 00398 015 2111300*")</f>
        <v>0</v>
      </c>
      <c r="E8421"/>
      <c r="F8421" s="35">
        <f>SUMIFS(F8422:F9015,K8422:K9015,"0",B8422:B9015,"5 1 3 9 8 12 31111 6 M59 62000 000132 0000R 00001 00398 015 2111300*")</f>
        <v>11766.94</v>
      </c>
      <c r="G8421" s="35">
        <f>SUMIFS(G8422:G9015,K8422:K9015,"0",B8422:B9015,"5 1 3 9 8 12 31111 6 M59 62000 000132 0000R 00001 00398 015 2111300*")</f>
        <v>0</v>
      </c>
      <c r="H8421" s="35">
        <f t="shared" si="132"/>
        <v>11766.94</v>
      </c>
      <c r="I8421" s="35"/>
      <c r="K8421" t="s">
        <v>15</v>
      </c>
    </row>
    <row r="8422" spans="2:11" ht="33" x14ac:dyDescent="0.2">
      <c r="B8422" s="33" t="s">
        <v>9548</v>
      </c>
      <c r="C8422" s="33" t="s">
        <v>660</v>
      </c>
      <c r="D8422" s="35">
        <f>SUMIFS(D8423:D9015,K8423:K9015,"0",B8423:B9015,"5 1 3 9 8 12 31111 6 M59 62000 000132 0000R 00001 00398 015 2111300 2024*")-SUMIFS(E8423:E9015,K8423:K9015,"0",B8423:B9015,"5 1 3 9 8 12 31111 6 M59 62000 000132 0000R 00001 00398 015 2111300 2024*")</f>
        <v>0</v>
      </c>
      <c r="E8422"/>
      <c r="F8422" s="35">
        <f>SUMIFS(F8423:F9015,K8423:K9015,"0",B8423:B9015,"5 1 3 9 8 12 31111 6 M59 62000 000132 0000R 00001 00398 015 2111300 2024*")</f>
        <v>11766.94</v>
      </c>
      <c r="G8422" s="35">
        <f>SUMIFS(G8423:G9015,K8423:K9015,"0",B8423:B9015,"5 1 3 9 8 12 31111 6 M59 62000 000132 0000R 00001 00398 015 2111300 2024*")</f>
        <v>0</v>
      </c>
      <c r="H8422" s="35">
        <f t="shared" si="132"/>
        <v>11766.94</v>
      </c>
      <c r="I8422" s="35"/>
      <c r="K8422" t="s">
        <v>15</v>
      </c>
    </row>
    <row r="8423" spans="2:11" ht="41.25" x14ac:dyDescent="0.2">
      <c r="B8423" s="33" t="s">
        <v>9549</v>
      </c>
      <c r="C8423" s="33" t="s">
        <v>1056</v>
      </c>
      <c r="D8423" s="35">
        <f>SUMIFS(D8424:D9015,K8424:K9015,"0",B8424:B9015,"5 1 3 9 8 12 31111 6 M59 62000 000132 0000R 00001 00398 015 2111300 2024 CP1AM426*")-SUMIFS(E8424:E9015,K8424:K9015,"0",B8424:B9015,"5 1 3 9 8 12 31111 6 M59 62000 000132 0000R 00001 00398 015 2111300 2024 CP1AM426*")</f>
        <v>0</v>
      </c>
      <c r="E8423"/>
      <c r="F8423" s="35">
        <f>SUMIFS(F8424:F9015,K8424:K9015,"0",B8424:B9015,"5 1 3 9 8 12 31111 6 M59 62000 000132 0000R 00001 00398 015 2111300 2024 CP1AM426*")</f>
        <v>11766.94</v>
      </c>
      <c r="G8423" s="35">
        <f>SUMIFS(G8424:G9015,K8424:K9015,"0",B8424:B9015,"5 1 3 9 8 12 31111 6 M59 62000 000132 0000R 00001 00398 015 2111300 2024 CP1AM426*")</f>
        <v>0</v>
      </c>
      <c r="H8423" s="35">
        <f t="shared" si="132"/>
        <v>11766.94</v>
      </c>
      <c r="I8423" s="35"/>
      <c r="K8423" t="s">
        <v>15</v>
      </c>
    </row>
    <row r="8424" spans="2:11" ht="41.25" x14ac:dyDescent="0.2">
      <c r="B8424" s="33" t="s">
        <v>9550</v>
      </c>
      <c r="C8424" s="33" t="s">
        <v>282</v>
      </c>
      <c r="D8424" s="35">
        <f>SUMIFS(D8425:D9015,K8425:K9015,"0",B8425:B9015,"5 1 3 9 8 12 31111 6 M59 62000 000132 0000R 00001 00398 015 2111300 2024 CP1AM426 001*")-SUMIFS(E8425:E9015,K8425:K9015,"0",B8425:B9015,"5 1 3 9 8 12 31111 6 M59 62000 000132 0000R 00001 00398 015 2111300 2024 CP1AM426 001*")</f>
        <v>0</v>
      </c>
      <c r="E8424"/>
      <c r="F8424" s="35">
        <f>SUMIFS(F8425:F9015,K8425:K9015,"0",B8425:B9015,"5 1 3 9 8 12 31111 6 M59 62000 000132 0000R 00001 00398 015 2111300 2024 CP1AM426 001*")</f>
        <v>11766.94</v>
      </c>
      <c r="G8424" s="35">
        <f>SUMIFS(G8425:G9015,K8425:K9015,"0",B8425:B9015,"5 1 3 9 8 12 31111 6 M59 62000 000132 0000R 00001 00398 015 2111300 2024 CP1AM426 001*")</f>
        <v>0</v>
      </c>
      <c r="H8424" s="35">
        <f t="shared" si="132"/>
        <v>11766.94</v>
      </c>
      <c r="I8424" s="35"/>
      <c r="K8424" t="s">
        <v>15</v>
      </c>
    </row>
    <row r="8425" spans="2:11" ht="41.25" x14ac:dyDescent="0.2">
      <c r="B8425" s="31" t="s">
        <v>9551</v>
      </c>
      <c r="C8425" s="31" t="s">
        <v>9254</v>
      </c>
      <c r="D8425" s="34">
        <v>0</v>
      </c>
      <c r="E8425" s="34"/>
      <c r="F8425" s="34">
        <v>11766.94</v>
      </c>
      <c r="G8425" s="34">
        <v>0</v>
      </c>
      <c r="H8425" s="34">
        <f t="shared" si="132"/>
        <v>11766.94</v>
      </c>
      <c r="I8425" s="34"/>
      <c r="K8425" t="s">
        <v>38</v>
      </c>
    </row>
    <row r="8426" spans="2:11" ht="16.5" x14ac:dyDescent="0.2">
      <c r="B8426" s="33" t="s">
        <v>9552</v>
      </c>
      <c r="C8426" s="33" t="s">
        <v>3341</v>
      </c>
      <c r="D8426" s="35">
        <f>SUMIFS(D8427:D9015,K8427:K9015,"0",B8427:B9015,"5 1 3 9 8 12 31111 6 M59 63000*")-SUMIFS(E8427:E9015,K8427:K9015,"0",B8427:B9015,"5 1 3 9 8 12 31111 6 M59 63000*")</f>
        <v>0</v>
      </c>
      <c r="E8426"/>
      <c r="F8426" s="35">
        <f>SUMIFS(F8427:F9015,K8427:K9015,"0",B8427:B9015,"5 1 3 9 8 12 31111 6 M59 63000*")</f>
        <v>5500</v>
      </c>
      <c r="G8426" s="35">
        <f>SUMIFS(G8427:G9015,K8427:K9015,"0",B8427:B9015,"5 1 3 9 8 12 31111 6 M59 63000*")</f>
        <v>0</v>
      </c>
      <c r="H8426" s="35">
        <f t="shared" si="132"/>
        <v>5500</v>
      </c>
      <c r="I8426" s="35"/>
      <c r="K8426" t="s">
        <v>15</v>
      </c>
    </row>
    <row r="8427" spans="2:11" ht="16.5" x14ac:dyDescent="0.2">
      <c r="B8427" s="33" t="s">
        <v>9553</v>
      </c>
      <c r="C8427" s="33" t="s">
        <v>648</v>
      </c>
      <c r="D8427" s="35">
        <f>SUMIFS(D8428:D9015,K8428:K9015,"0",B8428:B9015,"5 1 3 9 8 12 31111 6 M59 63000 000132*")-SUMIFS(E8428:E9015,K8428:K9015,"0",B8428:B9015,"5 1 3 9 8 12 31111 6 M59 63000 000132*")</f>
        <v>0</v>
      </c>
      <c r="E8427"/>
      <c r="F8427" s="35">
        <f>SUMIFS(F8428:F9015,K8428:K9015,"0",B8428:B9015,"5 1 3 9 8 12 31111 6 M59 63000 000132*")</f>
        <v>5500</v>
      </c>
      <c r="G8427" s="35">
        <f>SUMIFS(G8428:G9015,K8428:K9015,"0",B8428:B9015,"5 1 3 9 8 12 31111 6 M59 63000 000132*")</f>
        <v>0</v>
      </c>
      <c r="H8427" s="35">
        <f t="shared" si="132"/>
        <v>5500</v>
      </c>
      <c r="I8427" s="35"/>
      <c r="K8427" t="s">
        <v>15</v>
      </c>
    </row>
    <row r="8428" spans="2:11" ht="24.75" x14ac:dyDescent="0.2">
      <c r="B8428" s="33" t="s">
        <v>9554</v>
      </c>
      <c r="C8428" s="33" t="s">
        <v>650</v>
      </c>
      <c r="D8428" s="35">
        <f>SUMIFS(D8429:D9015,K8429:K9015,"0",B8429:B9015,"5 1 3 9 8 12 31111 6 M59 63000 000132 0000R*")-SUMIFS(E8429:E9015,K8429:K9015,"0",B8429:B9015,"5 1 3 9 8 12 31111 6 M59 63000 000132 0000R*")</f>
        <v>0</v>
      </c>
      <c r="E8428"/>
      <c r="F8428" s="35">
        <f>SUMIFS(F8429:F9015,K8429:K9015,"0",B8429:B9015,"5 1 3 9 8 12 31111 6 M59 63000 000132 0000R*")</f>
        <v>5500</v>
      </c>
      <c r="G8428" s="35">
        <f>SUMIFS(G8429:G9015,K8429:K9015,"0",B8429:B9015,"5 1 3 9 8 12 31111 6 M59 63000 000132 0000R*")</f>
        <v>0</v>
      </c>
      <c r="H8428" s="35">
        <f t="shared" si="132"/>
        <v>5500</v>
      </c>
      <c r="I8428" s="35"/>
      <c r="K8428" t="s">
        <v>15</v>
      </c>
    </row>
    <row r="8429" spans="2:11" ht="24.75" x14ac:dyDescent="0.2">
      <c r="B8429" s="33" t="s">
        <v>9555</v>
      </c>
      <c r="C8429" s="33" t="s">
        <v>282</v>
      </c>
      <c r="D8429" s="35">
        <f>SUMIFS(D8430:D9015,K8430:K9015,"0",B8430:B9015,"5 1 3 9 8 12 31111 6 M59 63000 000132 0000R 00001*")-SUMIFS(E8430:E9015,K8430:K9015,"0",B8430:B9015,"5 1 3 9 8 12 31111 6 M59 63000 000132 0000R 00001*")</f>
        <v>0</v>
      </c>
      <c r="E8429"/>
      <c r="F8429" s="35">
        <f>SUMIFS(F8430:F9015,K8430:K9015,"0",B8430:B9015,"5 1 3 9 8 12 31111 6 M59 63000 000132 0000R 00001*")</f>
        <v>5500</v>
      </c>
      <c r="G8429" s="35">
        <f>SUMIFS(G8430:G9015,K8430:K9015,"0",B8430:B9015,"5 1 3 9 8 12 31111 6 M59 63000 000132 0000R 00001*")</f>
        <v>0</v>
      </c>
      <c r="H8429" s="35">
        <f t="shared" si="132"/>
        <v>5500</v>
      </c>
      <c r="I8429" s="35"/>
      <c r="K8429" t="s">
        <v>15</v>
      </c>
    </row>
    <row r="8430" spans="2:11" ht="24.75" x14ac:dyDescent="0.2">
      <c r="B8430" s="33" t="s">
        <v>9556</v>
      </c>
      <c r="C8430" s="33" t="s">
        <v>9247</v>
      </c>
      <c r="D8430" s="35">
        <f>SUMIFS(D8431:D9015,K8431:K9015,"0",B8431:B9015,"5 1 3 9 8 12 31111 6 M59 63000 000132 0000R 00001 00398*")-SUMIFS(E8431:E9015,K8431:K9015,"0",B8431:B9015,"5 1 3 9 8 12 31111 6 M59 63000 000132 0000R 00001 00398*")</f>
        <v>0</v>
      </c>
      <c r="E8430"/>
      <c r="F8430" s="35">
        <f>SUMIFS(F8431:F9015,K8431:K9015,"0",B8431:B9015,"5 1 3 9 8 12 31111 6 M59 63000 000132 0000R 00001 00398*")</f>
        <v>5500</v>
      </c>
      <c r="G8430" s="35">
        <f>SUMIFS(G8431:G9015,K8431:K9015,"0",B8431:B9015,"5 1 3 9 8 12 31111 6 M59 63000 000132 0000R 00001 00398*")</f>
        <v>0</v>
      </c>
      <c r="H8430" s="35">
        <f t="shared" si="132"/>
        <v>5500</v>
      </c>
      <c r="I8430" s="35"/>
      <c r="K8430" t="s">
        <v>15</v>
      </c>
    </row>
    <row r="8431" spans="2:11" ht="33" x14ac:dyDescent="0.2">
      <c r="B8431" s="33" t="s">
        <v>9557</v>
      </c>
      <c r="C8431" s="33" t="s">
        <v>1051</v>
      </c>
      <c r="D8431" s="35">
        <f>SUMIFS(D8432:D9015,K8432:K9015,"0",B8432:B9015,"5 1 3 9 8 12 31111 6 M59 63000 000132 0000R 00001 00398 015*")-SUMIFS(E8432:E9015,K8432:K9015,"0",B8432:B9015,"5 1 3 9 8 12 31111 6 M59 63000 000132 0000R 00001 00398 015*")</f>
        <v>0</v>
      </c>
      <c r="E8431"/>
      <c r="F8431" s="35">
        <f>SUMIFS(F8432:F9015,K8432:K9015,"0",B8432:B9015,"5 1 3 9 8 12 31111 6 M59 63000 000132 0000R 00001 00398 015*")</f>
        <v>5500</v>
      </c>
      <c r="G8431" s="35">
        <f>SUMIFS(G8432:G9015,K8432:K9015,"0",B8432:B9015,"5 1 3 9 8 12 31111 6 M59 63000 000132 0000R 00001 00398 015*")</f>
        <v>0</v>
      </c>
      <c r="H8431" s="35">
        <f t="shared" si="132"/>
        <v>5500</v>
      </c>
      <c r="I8431" s="35"/>
      <c r="K8431" t="s">
        <v>15</v>
      </c>
    </row>
    <row r="8432" spans="2:11" ht="33" x14ac:dyDescent="0.2">
      <c r="B8432" s="33" t="s">
        <v>9558</v>
      </c>
      <c r="C8432" s="33" t="s">
        <v>8550</v>
      </c>
      <c r="D8432" s="35">
        <f>SUMIFS(D8433:D9015,K8433:K9015,"0",B8433:B9015,"5 1 3 9 8 12 31111 6 M59 63000 000132 0000R 00001 00398 015 2111300*")-SUMIFS(E8433:E9015,K8433:K9015,"0",B8433:B9015,"5 1 3 9 8 12 31111 6 M59 63000 000132 0000R 00001 00398 015 2111300*")</f>
        <v>0</v>
      </c>
      <c r="E8432"/>
      <c r="F8432" s="35">
        <f>SUMIFS(F8433:F9015,K8433:K9015,"0",B8433:B9015,"5 1 3 9 8 12 31111 6 M59 63000 000132 0000R 00001 00398 015 2111300*")</f>
        <v>5500</v>
      </c>
      <c r="G8432" s="35">
        <f>SUMIFS(G8433:G9015,K8433:K9015,"0",B8433:B9015,"5 1 3 9 8 12 31111 6 M59 63000 000132 0000R 00001 00398 015 2111300*")</f>
        <v>0</v>
      </c>
      <c r="H8432" s="35">
        <f t="shared" si="132"/>
        <v>5500</v>
      </c>
      <c r="I8432" s="35"/>
      <c r="K8432" t="s">
        <v>15</v>
      </c>
    </row>
    <row r="8433" spans="2:11" ht="33" x14ac:dyDescent="0.2">
      <c r="B8433" s="33" t="s">
        <v>9559</v>
      </c>
      <c r="C8433" s="33" t="s">
        <v>660</v>
      </c>
      <c r="D8433" s="35">
        <f>SUMIFS(D8434:D9015,K8434:K9015,"0",B8434:B9015,"5 1 3 9 8 12 31111 6 M59 63000 000132 0000R 00001 00398 015 2111300 2024*")-SUMIFS(E8434:E9015,K8434:K9015,"0",B8434:B9015,"5 1 3 9 8 12 31111 6 M59 63000 000132 0000R 00001 00398 015 2111300 2024*")</f>
        <v>0</v>
      </c>
      <c r="E8433"/>
      <c r="F8433" s="35">
        <f>SUMIFS(F8434:F9015,K8434:K9015,"0",B8434:B9015,"5 1 3 9 8 12 31111 6 M59 63000 000132 0000R 00001 00398 015 2111300 2024*")</f>
        <v>5500</v>
      </c>
      <c r="G8433" s="35">
        <f>SUMIFS(G8434:G9015,K8434:K9015,"0",B8434:B9015,"5 1 3 9 8 12 31111 6 M59 63000 000132 0000R 00001 00398 015 2111300 2024*")</f>
        <v>0</v>
      </c>
      <c r="H8433" s="35">
        <f t="shared" si="132"/>
        <v>5500</v>
      </c>
      <c r="I8433" s="35"/>
      <c r="K8433" t="s">
        <v>15</v>
      </c>
    </row>
    <row r="8434" spans="2:11" ht="41.25" x14ac:dyDescent="0.2">
      <c r="B8434" s="33" t="s">
        <v>9560</v>
      </c>
      <c r="C8434" s="33" t="s">
        <v>1056</v>
      </c>
      <c r="D8434" s="35">
        <f>SUMIFS(D8435:D9015,K8435:K9015,"0",B8435:B9015,"5 1 3 9 8 12 31111 6 M59 63000 000132 0000R 00001 00398 015 2111300 2024 CP1PR434*")-SUMIFS(E8435:E9015,K8435:K9015,"0",B8435:B9015,"5 1 3 9 8 12 31111 6 M59 63000 000132 0000R 00001 00398 015 2111300 2024 CP1PR434*")</f>
        <v>0</v>
      </c>
      <c r="E8434"/>
      <c r="F8434" s="35">
        <f>SUMIFS(F8435:F9015,K8435:K9015,"0",B8435:B9015,"5 1 3 9 8 12 31111 6 M59 63000 000132 0000R 00001 00398 015 2111300 2024 CP1PR434*")</f>
        <v>5500</v>
      </c>
      <c r="G8434" s="35">
        <f>SUMIFS(G8435:G9015,K8435:K9015,"0",B8435:B9015,"5 1 3 9 8 12 31111 6 M59 63000 000132 0000R 00001 00398 015 2111300 2024 CP1PR434*")</f>
        <v>0</v>
      </c>
      <c r="H8434" s="35">
        <f t="shared" si="132"/>
        <v>5500</v>
      </c>
      <c r="I8434" s="35"/>
      <c r="K8434" t="s">
        <v>15</v>
      </c>
    </row>
    <row r="8435" spans="2:11" ht="41.25" x14ac:dyDescent="0.2">
      <c r="B8435" s="33" t="s">
        <v>9561</v>
      </c>
      <c r="C8435" s="33" t="s">
        <v>282</v>
      </c>
      <c r="D8435" s="35">
        <f>SUMIFS(D8436:D9015,K8436:K9015,"0",B8436:B9015,"5 1 3 9 8 12 31111 6 M59 63000 000132 0000R 00001 00398 015 2111300 2024 CP1PR434 001*")-SUMIFS(E8436:E9015,K8436:K9015,"0",B8436:B9015,"5 1 3 9 8 12 31111 6 M59 63000 000132 0000R 00001 00398 015 2111300 2024 CP1PR434 001*")</f>
        <v>0</v>
      </c>
      <c r="E8435"/>
      <c r="F8435" s="35">
        <f>SUMIFS(F8436:F9015,K8436:K9015,"0",B8436:B9015,"5 1 3 9 8 12 31111 6 M59 63000 000132 0000R 00001 00398 015 2111300 2024 CP1PR434 001*")</f>
        <v>5500</v>
      </c>
      <c r="G8435" s="35">
        <f>SUMIFS(G8436:G9015,K8436:K9015,"0",B8436:B9015,"5 1 3 9 8 12 31111 6 M59 63000 000132 0000R 00001 00398 015 2111300 2024 CP1PR434 001*")</f>
        <v>0</v>
      </c>
      <c r="H8435" s="35">
        <f t="shared" si="132"/>
        <v>5500</v>
      </c>
      <c r="I8435" s="35"/>
      <c r="K8435" t="s">
        <v>15</v>
      </c>
    </row>
    <row r="8436" spans="2:11" ht="41.25" x14ac:dyDescent="0.2">
      <c r="B8436" s="31" t="s">
        <v>9562</v>
      </c>
      <c r="C8436" s="31" t="s">
        <v>9254</v>
      </c>
      <c r="D8436" s="34">
        <v>0</v>
      </c>
      <c r="E8436" s="34"/>
      <c r="F8436" s="34">
        <v>5500</v>
      </c>
      <c r="G8436" s="34">
        <v>0</v>
      </c>
      <c r="H8436" s="34">
        <f t="shared" si="132"/>
        <v>5500</v>
      </c>
      <c r="I8436" s="34"/>
      <c r="K8436" t="s">
        <v>38</v>
      </c>
    </row>
    <row r="8437" spans="2:11" ht="24.75" x14ac:dyDescent="0.2">
      <c r="B8437" s="33" t="s">
        <v>9563</v>
      </c>
      <c r="C8437" s="33" t="s">
        <v>3353</v>
      </c>
      <c r="D8437" s="35">
        <f>SUMIFS(D8438:D9015,K8438:K9015,"0",B8438:B9015,"5 1 3 9 8 12 31111 6 M59 64000*")-SUMIFS(E8438:E9015,K8438:K9015,"0",B8438:B9015,"5 1 3 9 8 12 31111 6 M59 64000*")</f>
        <v>0</v>
      </c>
      <c r="E8437"/>
      <c r="F8437" s="35">
        <f>SUMIFS(F8438:F9015,K8438:K9015,"0",B8438:B9015,"5 1 3 9 8 12 31111 6 M59 64000*")</f>
        <v>5833.56</v>
      </c>
      <c r="G8437" s="35">
        <f>SUMIFS(G8438:G9015,K8438:K9015,"0",B8438:B9015,"5 1 3 9 8 12 31111 6 M59 64000*")</f>
        <v>0</v>
      </c>
      <c r="H8437" s="35">
        <f t="shared" si="132"/>
        <v>5833.56</v>
      </c>
      <c r="I8437" s="35"/>
      <c r="K8437" t="s">
        <v>15</v>
      </c>
    </row>
    <row r="8438" spans="2:11" ht="16.5" x14ac:dyDescent="0.2">
      <c r="B8438" s="33" t="s">
        <v>9564</v>
      </c>
      <c r="C8438" s="33" t="s">
        <v>648</v>
      </c>
      <c r="D8438" s="35">
        <f>SUMIFS(D8439:D9015,K8439:K9015,"0",B8439:B9015,"5 1 3 9 8 12 31111 6 M59 64000 000132*")-SUMIFS(E8439:E9015,K8439:K9015,"0",B8439:B9015,"5 1 3 9 8 12 31111 6 M59 64000 000132*")</f>
        <v>0</v>
      </c>
      <c r="E8438"/>
      <c r="F8438" s="35">
        <f>SUMIFS(F8439:F9015,K8439:K9015,"0",B8439:B9015,"5 1 3 9 8 12 31111 6 M59 64000 000132*")</f>
        <v>5833.56</v>
      </c>
      <c r="G8438" s="35">
        <f>SUMIFS(G8439:G9015,K8439:K9015,"0",B8439:B9015,"5 1 3 9 8 12 31111 6 M59 64000 000132*")</f>
        <v>0</v>
      </c>
      <c r="H8438" s="35">
        <f t="shared" si="132"/>
        <v>5833.56</v>
      </c>
      <c r="I8438" s="35"/>
      <c r="K8438" t="s">
        <v>15</v>
      </c>
    </row>
    <row r="8439" spans="2:11" ht="24.75" x14ac:dyDescent="0.2">
      <c r="B8439" s="33" t="s">
        <v>9565</v>
      </c>
      <c r="C8439" s="33" t="s">
        <v>650</v>
      </c>
      <c r="D8439" s="35">
        <f>SUMIFS(D8440:D9015,K8440:K9015,"0",B8440:B9015,"5 1 3 9 8 12 31111 6 M59 64000 000132 0000R*")-SUMIFS(E8440:E9015,K8440:K9015,"0",B8440:B9015,"5 1 3 9 8 12 31111 6 M59 64000 000132 0000R*")</f>
        <v>0</v>
      </c>
      <c r="E8439"/>
      <c r="F8439" s="35">
        <f>SUMIFS(F8440:F9015,K8440:K9015,"0",B8440:B9015,"5 1 3 9 8 12 31111 6 M59 64000 000132 0000R*")</f>
        <v>5833.56</v>
      </c>
      <c r="G8439" s="35">
        <f>SUMIFS(G8440:G9015,K8440:K9015,"0",B8440:B9015,"5 1 3 9 8 12 31111 6 M59 64000 000132 0000R*")</f>
        <v>0</v>
      </c>
      <c r="H8439" s="35">
        <f t="shared" si="132"/>
        <v>5833.56</v>
      </c>
      <c r="I8439" s="35"/>
      <c r="K8439" t="s">
        <v>15</v>
      </c>
    </row>
    <row r="8440" spans="2:11" ht="24.75" x14ac:dyDescent="0.2">
      <c r="B8440" s="33" t="s">
        <v>9566</v>
      </c>
      <c r="C8440" s="33" t="s">
        <v>282</v>
      </c>
      <c r="D8440" s="35">
        <f>SUMIFS(D8441:D9015,K8441:K9015,"0",B8441:B9015,"5 1 3 9 8 12 31111 6 M59 64000 000132 0000R 00001*")-SUMIFS(E8441:E9015,K8441:K9015,"0",B8441:B9015,"5 1 3 9 8 12 31111 6 M59 64000 000132 0000R 00001*")</f>
        <v>0</v>
      </c>
      <c r="E8440"/>
      <c r="F8440" s="35">
        <f>SUMIFS(F8441:F9015,K8441:K9015,"0",B8441:B9015,"5 1 3 9 8 12 31111 6 M59 64000 000132 0000R 00001*")</f>
        <v>5833.56</v>
      </c>
      <c r="G8440" s="35">
        <f>SUMIFS(G8441:G9015,K8441:K9015,"0",B8441:B9015,"5 1 3 9 8 12 31111 6 M59 64000 000132 0000R 00001*")</f>
        <v>0</v>
      </c>
      <c r="H8440" s="35">
        <f t="shared" si="132"/>
        <v>5833.56</v>
      </c>
      <c r="I8440" s="35"/>
      <c r="K8440" t="s">
        <v>15</v>
      </c>
    </row>
    <row r="8441" spans="2:11" ht="24.75" x14ac:dyDescent="0.2">
      <c r="B8441" s="33" t="s">
        <v>9567</v>
      </c>
      <c r="C8441" s="33" t="s">
        <v>9247</v>
      </c>
      <c r="D8441" s="35">
        <f>SUMIFS(D8442:D9015,K8442:K9015,"0",B8442:B9015,"5 1 3 9 8 12 31111 6 M59 64000 000132 0000R 00001 00398*")-SUMIFS(E8442:E9015,K8442:K9015,"0",B8442:B9015,"5 1 3 9 8 12 31111 6 M59 64000 000132 0000R 00001 00398*")</f>
        <v>0</v>
      </c>
      <c r="E8441"/>
      <c r="F8441" s="35">
        <f>SUMIFS(F8442:F9015,K8442:K9015,"0",B8442:B9015,"5 1 3 9 8 12 31111 6 M59 64000 000132 0000R 00001 00398*")</f>
        <v>5833.56</v>
      </c>
      <c r="G8441" s="35">
        <f>SUMIFS(G8442:G9015,K8442:K9015,"0",B8442:B9015,"5 1 3 9 8 12 31111 6 M59 64000 000132 0000R 00001 00398*")</f>
        <v>0</v>
      </c>
      <c r="H8441" s="35">
        <f t="shared" si="132"/>
        <v>5833.56</v>
      </c>
      <c r="I8441" s="35"/>
      <c r="K8441" t="s">
        <v>15</v>
      </c>
    </row>
    <row r="8442" spans="2:11" ht="33" x14ac:dyDescent="0.2">
      <c r="B8442" s="33" t="s">
        <v>9568</v>
      </c>
      <c r="C8442" s="33" t="s">
        <v>1051</v>
      </c>
      <c r="D8442" s="35">
        <f>SUMIFS(D8443:D9015,K8443:K9015,"0",B8443:B9015,"5 1 3 9 8 12 31111 6 M59 64000 000132 0000R 00001 00398 015*")-SUMIFS(E8443:E9015,K8443:K9015,"0",B8443:B9015,"5 1 3 9 8 12 31111 6 M59 64000 000132 0000R 00001 00398 015*")</f>
        <v>0</v>
      </c>
      <c r="E8442"/>
      <c r="F8442" s="35">
        <f>SUMIFS(F8443:F9015,K8443:K9015,"0",B8443:B9015,"5 1 3 9 8 12 31111 6 M59 64000 000132 0000R 00001 00398 015*")</f>
        <v>5833.56</v>
      </c>
      <c r="G8442" s="35">
        <f>SUMIFS(G8443:G9015,K8443:K9015,"0",B8443:B9015,"5 1 3 9 8 12 31111 6 M59 64000 000132 0000R 00001 00398 015*")</f>
        <v>0</v>
      </c>
      <c r="H8442" s="35">
        <f t="shared" si="132"/>
        <v>5833.56</v>
      </c>
      <c r="I8442" s="35"/>
      <c r="K8442" t="s">
        <v>15</v>
      </c>
    </row>
    <row r="8443" spans="2:11" ht="33" x14ac:dyDescent="0.2">
      <c r="B8443" s="33" t="s">
        <v>9569</v>
      </c>
      <c r="C8443" s="33" t="s">
        <v>8550</v>
      </c>
      <c r="D8443" s="35">
        <f>SUMIFS(D8444:D9015,K8444:K9015,"0",B8444:B9015,"5 1 3 9 8 12 31111 6 M59 64000 000132 0000R 00001 00398 015 2111300*")-SUMIFS(E8444:E9015,K8444:K9015,"0",B8444:B9015,"5 1 3 9 8 12 31111 6 M59 64000 000132 0000R 00001 00398 015 2111300*")</f>
        <v>0</v>
      </c>
      <c r="E8443"/>
      <c r="F8443" s="35">
        <f>SUMIFS(F8444:F9015,K8444:K9015,"0",B8444:B9015,"5 1 3 9 8 12 31111 6 M59 64000 000132 0000R 00001 00398 015 2111300*")</f>
        <v>5833.56</v>
      </c>
      <c r="G8443" s="35">
        <f>SUMIFS(G8444:G9015,K8444:K9015,"0",B8444:B9015,"5 1 3 9 8 12 31111 6 M59 64000 000132 0000R 00001 00398 015 2111300*")</f>
        <v>0</v>
      </c>
      <c r="H8443" s="35">
        <f t="shared" si="132"/>
        <v>5833.56</v>
      </c>
      <c r="I8443" s="35"/>
      <c r="K8443" t="s">
        <v>15</v>
      </c>
    </row>
    <row r="8444" spans="2:11" ht="33" x14ac:dyDescent="0.2">
      <c r="B8444" s="33" t="s">
        <v>9570</v>
      </c>
      <c r="C8444" s="33" t="s">
        <v>660</v>
      </c>
      <c r="D8444" s="35">
        <f>SUMIFS(D8445:D9015,K8445:K9015,"0",B8445:B9015,"5 1 3 9 8 12 31111 6 M59 64000 000132 0000R 00001 00398 015 2111300 2024*")-SUMIFS(E8445:E9015,K8445:K9015,"0",B8445:B9015,"5 1 3 9 8 12 31111 6 M59 64000 000132 0000R 00001 00398 015 2111300 2024*")</f>
        <v>0</v>
      </c>
      <c r="E8444"/>
      <c r="F8444" s="35">
        <f>SUMIFS(F8445:F9015,K8445:K9015,"0",B8445:B9015,"5 1 3 9 8 12 31111 6 M59 64000 000132 0000R 00001 00398 015 2111300 2024*")</f>
        <v>5833.56</v>
      </c>
      <c r="G8444" s="35">
        <f>SUMIFS(G8445:G9015,K8445:K9015,"0",B8445:B9015,"5 1 3 9 8 12 31111 6 M59 64000 000132 0000R 00001 00398 015 2111300 2024*")</f>
        <v>0</v>
      </c>
      <c r="H8444" s="35">
        <f t="shared" si="132"/>
        <v>5833.56</v>
      </c>
      <c r="I8444" s="35"/>
      <c r="K8444" t="s">
        <v>15</v>
      </c>
    </row>
    <row r="8445" spans="2:11" ht="41.25" x14ac:dyDescent="0.2">
      <c r="B8445" s="33" t="s">
        <v>9571</v>
      </c>
      <c r="C8445" s="33" t="s">
        <v>1056</v>
      </c>
      <c r="D8445" s="35">
        <f>SUMIFS(D8446:D9015,K8446:K9015,"0",B8446:B9015,"5 1 3 9 8 12 31111 6 M59 64000 000132 0000R 00001 00398 015 2111300 2024 CP1IG433*")-SUMIFS(E8446:E9015,K8446:K9015,"0",B8446:B9015,"5 1 3 9 8 12 31111 6 M59 64000 000132 0000R 00001 00398 015 2111300 2024 CP1IG433*")</f>
        <v>0</v>
      </c>
      <c r="E8445"/>
      <c r="F8445" s="35">
        <f>SUMIFS(F8446:F9015,K8446:K9015,"0",B8446:B9015,"5 1 3 9 8 12 31111 6 M59 64000 000132 0000R 00001 00398 015 2111300 2024 CP1IG433*")</f>
        <v>5833.56</v>
      </c>
      <c r="G8445" s="35">
        <f>SUMIFS(G8446:G9015,K8446:K9015,"0",B8446:B9015,"5 1 3 9 8 12 31111 6 M59 64000 000132 0000R 00001 00398 015 2111300 2024 CP1IG433*")</f>
        <v>0</v>
      </c>
      <c r="H8445" s="35">
        <f t="shared" si="132"/>
        <v>5833.56</v>
      </c>
      <c r="I8445" s="35"/>
      <c r="K8445" t="s">
        <v>15</v>
      </c>
    </row>
    <row r="8446" spans="2:11" ht="41.25" x14ac:dyDescent="0.2">
      <c r="B8446" s="33" t="s">
        <v>9572</v>
      </c>
      <c r="C8446" s="33" t="s">
        <v>282</v>
      </c>
      <c r="D8446" s="35">
        <f>SUMIFS(D8447:D9015,K8447:K9015,"0",B8447:B9015,"5 1 3 9 8 12 31111 6 M59 64000 000132 0000R 00001 00398 015 2111300 2024 CP1IG433 001*")-SUMIFS(E8447:E9015,K8447:K9015,"0",B8447:B9015,"5 1 3 9 8 12 31111 6 M59 64000 000132 0000R 00001 00398 015 2111300 2024 CP1IG433 001*")</f>
        <v>0</v>
      </c>
      <c r="E8446"/>
      <c r="F8446" s="35">
        <f>SUMIFS(F8447:F9015,K8447:K9015,"0",B8447:B9015,"5 1 3 9 8 12 31111 6 M59 64000 000132 0000R 00001 00398 015 2111300 2024 CP1IG433 001*")</f>
        <v>5833.56</v>
      </c>
      <c r="G8446" s="35">
        <f>SUMIFS(G8447:G9015,K8447:K9015,"0",B8447:B9015,"5 1 3 9 8 12 31111 6 M59 64000 000132 0000R 00001 00398 015 2111300 2024 CP1IG433 001*")</f>
        <v>0</v>
      </c>
      <c r="H8446" s="35">
        <f t="shared" si="132"/>
        <v>5833.56</v>
      </c>
      <c r="I8446" s="35"/>
      <c r="K8446" t="s">
        <v>15</v>
      </c>
    </row>
    <row r="8447" spans="2:11" ht="41.25" x14ac:dyDescent="0.2">
      <c r="B8447" s="31" t="s">
        <v>9573</v>
      </c>
      <c r="C8447" s="31" t="s">
        <v>9254</v>
      </c>
      <c r="D8447" s="34">
        <v>0</v>
      </c>
      <c r="E8447" s="34"/>
      <c r="F8447" s="34">
        <v>5833.56</v>
      </c>
      <c r="G8447" s="34">
        <v>0</v>
      </c>
      <c r="H8447" s="34">
        <f t="shared" si="132"/>
        <v>5833.56</v>
      </c>
      <c r="I8447" s="34"/>
      <c r="K8447" t="s">
        <v>38</v>
      </c>
    </row>
    <row r="8448" spans="2:11" ht="24.75" x14ac:dyDescent="0.2">
      <c r="B8448" s="33" t="s">
        <v>9574</v>
      </c>
      <c r="C8448" s="33" t="s">
        <v>3365</v>
      </c>
      <c r="D8448" s="35">
        <f>SUMIFS(D8449:D9015,K8449:K9015,"0",B8449:B9015,"5 1 3 9 8 12 31111 6 M59 65000*")-SUMIFS(E8449:E9015,K8449:K9015,"0",B8449:B9015,"5 1 3 9 8 12 31111 6 M59 65000*")</f>
        <v>0</v>
      </c>
      <c r="E8448"/>
      <c r="F8448" s="35">
        <f>SUMIFS(F8449:F9015,K8449:K9015,"0",B8449:B9015,"5 1 3 9 8 12 31111 6 M59 65000*")</f>
        <v>5693.74</v>
      </c>
      <c r="G8448" s="35">
        <f>SUMIFS(G8449:G9015,K8449:K9015,"0",B8449:B9015,"5 1 3 9 8 12 31111 6 M59 65000*")</f>
        <v>0</v>
      </c>
      <c r="H8448" s="35">
        <f t="shared" si="132"/>
        <v>5693.74</v>
      </c>
      <c r="I8448" s="35"/>
      <c r="K8448" t="s">
        <v>15</v>
      </c>
    </row>
    <row r="8449" spans="2:11" ht="16.5" x14ac:dyDescent="0.2">
      <c r="B8449" s="33" t="s">
        <v>9575</v>
      </c>
      <c r="C8449" s="33" t="s">
        <v>648</v>
      </c>
      <c r="D8449" s="35">
        <f>SUMIFS(D8450:D9015,K8450:K9015,"0",B8450:B9015,"5 1 3 9 8 12 31111 6 M59 65000 000132*")-SUMIFS(E8450:E9015,K8450:K9015,"0",B8450:B9015,"5 1 3 9 8 12 31111 6 M59 65000 000132*")</f>
        <v>0</v>
      </c>
      <c r="E8449"/>
      <c r="F8449" s="35">
        <f>SUMIFS(F8450:F9015,K8450:K9015,"0",B8450:B9015,"5 1 3 9 8 12 31111 6 M59 65000 000132*")</f>
        <v>5693.74</v>
      </c>
      <c r="G8449" s="35">
        <f>SUMIFS(G8450:G9015,K8450:K9015,"0",B8450:B9015,"5 1 3 9 8 12 31111 6 M59 65000 000132*")</f>
        <v>0</v>
      </c>
      <c r="H8449" s="35">
        <f t="shared" si="132"/>
        <v>5693.74</v>
      </c>
      <c r="I8449" s="35"/>
      <c r="K8449" t="s">
        <v>15</v>
      </c>
    </row>
    <row r="8450" spans="2:11" ht="24.75" x14ac:dyDescent="0.2">
      <c r="B8450" s="33" t="s">
        <v>9576</v>
      </c>
      <c r="C8450" s="33" t="s">
        <v>650</v>
      </c>
      <c r="D8450" s="35">
        <f>SUMIFS(D8451:D9015,K8451:K9015,"0",B8451:B9015,"5 1 3 9 8 12 31111 6 M59 65000 000132 0000R*")-SUMIFS(E8451:E9015,K8451:K9015,"0",B8451:B9015,"5 1 3 9 8 12 31111 6 M59 65000 000132 0000R*")</f>
        <v>0</v>
      </c>
      <c r="E8450"/>
      <c r="F8450" s="35">
        <f>SUMIFS(F8451:F9015,K8451:K9015,"0",B8451:B9015,"5 1 3 9 8 12 31111 6 M59 65000 000132 0000R*")</f>
        <v>5693.74</v>
      </c>
      <c r="G8450" s="35">
        <f>SUMIFS(G8451:G9015,K8451:K9015,"0",B8451:B9015,"5 1 3 9 8 12 31111 6 M59 65000 000132 0000R*")</f>
        <v>0</v>
      </c>
      <c r="H8450" s="35">
        <f t="shared" si="132"/>
        <v>5693.74</v>
      </c>
      <c r="I8450" s="35"/>
      <c r="K8450" t="s">
        <v>15</v>
      </c>
    </row>
    <row r="8451" spans="2:11" ht="24.75" x14ac:dyDescent="0.2">
      <c r="B8451" s="33" t="s">
        <v>9577</v>
      </c>
      <c r="C8451" s="33" t="s">
        <v>282</v>
      </c>
      <c r="D8451" s="35">
        <f>SUMIFS(D8452:D9015,K8452:K9015,"0",B8452:B9015,"5 1 3 9 8 12 31111 6 M59 65000 000132 0000R 00001*")-SUMIFS(E8452:E9015,K8452:K9015,"0",B8452:B9015,"5 1 3 9 8 12 31111 6 M59 65000 000132 0000R 00001*")</f>
        <v>0</v>
      </c>
      <c r="E8451"/>
      <c r="F8451" s="35">
        <f>SUMIFS(F8452:F9015,K8452:K9015,"0",B8452:B9015,"5 1 3 9 8 12 31111 6 M59 65000 000132 0000R 00001*")</f>
        <v>5693.74</v>
      </c>
      <c r="G8451" s="35">
        <f>SUMIFS(G8452:G9015,K8452:K9015,"0",B8452:B9015,"5 1 3 9 8 12 31111 6 M59 65000 000132 0000R 00001*")</f>
        <v>0</v>
      </c>
      <c r="H8451" s="35">
        <f t="shared" si="132"/>
        <v>5693.74</v>
      </c>
      <c r="I8451" s="35"/>
      <c r="K8451" t="s">
        <v>15</v>
      </c>
    </row>
    <row r="8452" spans="2:11" ht="24.75" x14ac:dyDescent="0.2">
      <c r="B8452" s="33" t="s">
        <v>9578</v>
      </c>
      <c r="C8452" s="33" t="s">
        <v>9247</v>
      </c>
      <c r="D8452" s="35">
        <f>SUMIFS(D8453:D9015,K8453:K9015,"0",B8453:B9015,"5 1 3 9 8 12 31111 6 M59 65000 000132 0000R 00001 00398*")-SUMIFS(E8453:E9015,K8453:K9015,"0",B8453:B9015,"5 1 3 9 8 12 31111 6 M59 65000 000132 0000R 00001 00398*")</f>
        <v>0</v>
      </c>
      <c r="E8452"/>
      <c r="F8452" s="35">
        <f>SUMIFS(F8453:F9015,K8453:K9015,"0",B8453:B9015,"5 1 3 9 8 12 31111 6 M59 65000 000132 0000R 00001 00398*")</f>
        <v>5693.74</v>
      </c>
      <c r="G8452" s="35">
        <f>SUMIFS(G8453:G9015,K8453:K9015,"0",B8453:B9015,"5 1 3 9 8 12 31111 6 M59 65000 000132 0000R 00001 00398*")</f>
        <v>0</v>
      </c>
      <c r="H8452" s="35">
        <f t="shared" ref="H8452:H8515" si="133">D8452 + F8452 - G8452</f>
        <v>5693.74</v>
      </c>
      <c r="I8452" s="35"/>
      <c r="K8452" t="s">
        <v>15</v>
      </c>
    </row>
    <row r="8453" spans="2:11" ht="33" x14ac:dyDescent="0.2">
      <c r="B8453" s="33" t="s">
        <v>9579</v>
      </c>
      <c r="C8453" s="33" t="s">
        <v>1051</v>
      </c>
      <c r="D8453" s="35">
        <f>SUMIFS(D8454:D9015,K8454:K9015,"0",B8454:B9015,"5 1 3 9 8 12 31111 6 M59 65000 000132 0000R 00001 00398 015*")-SUMIFS(E8454:E9015,K8454:K9015,"0",B8454:B9015,"5 1 3 9 8 12 31111 6 M59 65000 000132 0000R 00001 00398 015*")</f>
        <v>0</v>
      </c>
      <c r="E8453"/>
      <c r="F8453" s="35">
        <f>SUMIFS(F8454:F9015,K8454:K9015,"0",B8454:B9015,"5 1 3 9 8 12 31111 6 M59 65000 000132 0000R 00001 00398 015*")</f>
        <v>5693.74</v>
      </c>
      <c r="G8453" s="35">
        <f>SUMIFS(G8454:G9015,K8454:K9015,"0",B8454:B9015,"5 1 3 9 8 12 31111 6 M59 65000 000132 0000R 00001 00398 015*")</f>
        <v>0</v>
      </c>
      <c r="H8453" s="35">
        <f t="shared" si="133"/>
        <v>5693.74</v>
      </c>
      <c r="I8453" s="35"/>
      <c r="K8453" t="s">
        <v>15</v>
      </c>
    </row>
    <row r="8454" spans="2:11" ht="33" x14ac:dyDescent="0.2">
      <c r="B8454" s="33" t="s">
        <v>9580</v>
      </c>
      <c r="C8454" s="33" t="s">
        <v>8550</v>
      </c>
      <c r="D8454" s="35">
        <f>SUMIFS(D8455:D9015,K8455:K9015,"0",B8455:B9015,"5 1 3 9 8 12 31111 6 M59 65000 000132 0000R 00001 00398 015 2111300*")-SUMIFS(E8455:E9015,K8455:K9015,"0",B8455:B9015,"5 1 3 9 8 12 31111 6 M59 65000 000132 0000R 00001 00398 015 2111300*")</f>
        <v>0</v>
      </c>
      <c r="E8454"/>
      <c r="F8454" s="35">
        <f>SUMIFS(F8455:F9015,K8455:K9015,"0",B8455:B9015,"5 1 3 9 8 12 31111 6 M59 65000 000132 0000R 00001 00398 015 2111300*")</f>
        <v>5693.74</v>
      </c>
      <c r="G8454" s="35">
        <f>SUMIFS(G8455:G9015,K8455:K9015,"0",B8455:B9015,"5 1 3 9 8 12 31111 6 M59 65000 000132 0000R 00001 00398 015 2111300*")</f>
        <v>0</v>
      </c>
      <c r="H8454" s="35">
        <f t="shared" si="133"/>
        <v>5693.74</v>
      </c>
      <c r="I8454" s="35"/>
      <c r="K8454" t="s">
        <v>15</v>
      </c>
    </row>
    <row r="8455" spans="2:11" ht="33" x14ac:dyDescent="0.2">
      <c r="B8455" s="33" t="s">
        <v>9581</v>
      </c>
      <c r="C8455" s="33" t="s">
        <v>660</v>
      </c>
      <c r="D8455" s="35">
        <f>SUMIFS(D8456:D9015,K8456:K9015,"0",B8456:B9015,"5 1 3 9 8 12 31111 6 M59 65000 000132 0000R 00001 00398 015 2111300 2024*")-SUMIFS(E8456:E9015,K8456:K9015,"0",B8456:B9015,"5 1 3 9 8 12 31111 6 M59 65000 000132 0000R 00001 00398 015 2111300 2024*")</f>
        <v>0</v>
      </c>
      <c r="E8455"/>
      <c r="F8455" s="35">
        <f>SUMIFS(F8456:F9015,K8456:K9015,"0",B8456:B9015,"5 1 3 9 8 12 31111 6 M59 65000 000132 0000R 00001 00398 015 2111300 2024*")</f>
        <v>5693.74</v>
      </c>
      <c r="G8455" s="35">
        <f>SUMIFS(G8456:G9015,K8456:K9015,"0",B8456:B9015,"5 1 3 9 8 12 31111 6 M59 65000 000132 0000R 00001 00398 015 2111300 2024*")</f>
        <v>0</v>
      </c>
      <c r="H8455" s="35">
        <f t="shared" si="133"/>
        <v>5693.74</v>
      </c>
      <c r="I8455" s="35"/>
      <c r="K8455" t="s">
        <v>15</v>
      </c>
    </row>
    <row r="8456" spans="2:11" ht="41.25" x14ac:dyDescent="0.2">
      <c r="B8456" s="33" t="s">
        <v>9582</v>
      </c>
      <c r="C8456" s="33" t="s">
        <v>1056</v>
      </c>
      <c r="D8456" s="35">
        <f>SUMIFS(D8457:D9015,K8457:K9015,"0",B8457:B9015,"5 1 3 9 8 12 31111 6 M59 65000 000132 0000R 00001 00398 015 2111300 2024 CP1EV381*")-SUMIFS(E8457:E9015,K8457:K9015,"0",B8457:B9015,"5 1 3 9 8 12 31111 6 M59 65000 000132 0000R 00001 00398 015 2111300 2024 CP1EV381*")</f>
        <v>0</v>
      </c>
      <c r="E8456"/>
      <c r="F8456" s="35">
        <f>SUMIFS(F8457:F9015,K8457:K9015,"0",B8457:B9015,"5 1 3 9 8 12 31111 6 M59 65000 000132 0000R 00001 00398 015 2111300 2024 CP1EV381*")</f>
        <v>5693.74</v>
      </c>
      <c r="G8456" s="35">
        <f>SUMIFS(G8457:G9015,K8457:K9015,"0",B8457:B9015,"5 1 3 9 8 12 31111 6 M59 65000 000132 0000R 00001 00398 015 2111300 2024 CP1EV381*")</f>
        <v>0</v>
      </c>
      <c r="H8456" s="35">
        <f t="shared" si="133"/>
        <v>5693.74</v>
      </c>
      <c r="I8456" s="35"/>
      <c r="K8456" t="s">
        <v>15</v>
      </c>
    </row>
    <row r="8457" spans="2:11" ht="41.25" x14ac:dyDescent="0.2">
      <c r="B8457" s="33" t="s">
        <v>9583</v>
      </c>
      <c r="C8457" s="33" t="s">
        <v>282</v>
      </c>
      <c r="D8457" s="35">
        <f>SUMIFS(D8458:D9015,K8458:K9015,"0",B8458:B9015,"5 1 3 9 8 12 31111 6 M59 65000 000132 0000R 00001 00398 015 2111300 2024 CP1EV381 001*")-SUMIFS(E8458:E9015,K8458:K9015,"0",B8458:B9015,"5 1 3 9 8 12 31111 6 M59 65000 000132 0000R 00001 00398 015 2111300 2024 CP1EV381 001*")</f>
        <v>0</v>
      </c>
      <c r="E8457"/>
      <c r="F8457" s="35">
        <f>SUMIFS(F8458:F9015,K8458:K9015,"0",B8458:B9015,"5 1 3 9 8 12 31111 6 M59 65000 000132 0000R 00001 00398 015 2111300 2024 CP1EV381 001*")</f>
        <v>5693.74</v>
      </c>
      <c r="G8457" s="35">
        <f>SUMIFS(G8458:G9015,K8458:K9015,"0",B8458:B9015,"5 1 3 9 8 12 31111 6 M59 65000 000132 0000R 00001 00398 015 2111300 2024 CP1EV381 001*")</f>
        <v>0</v>
      </c>
      <c r="H8457" s="35">
        <f t="shared" si="133"/>
        <v>5693.74</v>
      </c>
      <c r="I8457" s="35"/>
      <c r="K8457" t="s">
        <v>15</v>
      </c>
    </row>
    <row r="8458" spans="2:11" ht="33" x14ac:dyDescent="0.2">
      <c r="B8458" s="31" t="s">
        <v>9584</v>
      </c>
      <c r="C8458" s="31" t="s">
        <v>9254</v>
      </c>
      <c r="D8458" s="34">
        <v>0</v>
      </c>
      <c r="E8458" s="34"/>
      <c r="F8458" s="34">
        <v>5693.74</v>
      </c>
      <c r="G8458" s="34">
        <v>0</v>
      </c>
      <c r="H8458" s="34">
        <f t="shared" si="133"/>
        <v>5693.74</v>
      </c>
      <c r="I8458" s="34"/>
      <c r="K8458" t="s">
        <v>38</v>
      </c>
    </row>
    <row r="8459" spans="2:11" ht="16.5" x14ac:dyDescent="0.2">
      <c r="B8459" s="33" t="s">
        <v>9585</v>
      </c>
      <c r="C8459" s="33" t="s">
        <v>3377</v>
      </c>
      <c r="D8459" s="35">
        <f>SUMIFS(D8460:D9015,K8460:K9015,"0",B8460:B9015,"5 1 3 9 8 12 31111 6 M59 70000*")-SUMIFS(E8460:E9015,K8460:K9015,"0",B8460:B9015,"5 1 3 9 8 12 31111 6 M59 70000*")</f>
        <v>0</v>
      </c>
      <c r="E8459"/>
      <c r="F8459" s="35">
        <f>SUMIFS(F8460:F9015,K8460:K9015,"0",B8460:B9015,"5 1 3 9 8 12 31111 6 M59 70000*")</f>
        <v>7724.23</v>
      </c>
      <c r="G8459" s="35">
        <f>SUMIFS(G8460:G9015,K8460:K9015,"0",B8460:B9015,"5 1 3 9 8 12 31111 6 M59 70000*")</f>
        <v>0</v>
      </c>
      <c r="H8459" s="35">
        <f t="shared" si="133"/>
        <v>7724.23</v>
      </c>
      <c r="I8459" s="35"/>
      <c r="K8459" t="s">
        <v>15</v>
      </c>
    </row>
    <row r="8460" spans="2:11" ht="16.5" x14ac:dyDescent="0.2">
      <c r="B8460" s="33" t="s">
        <v>9586</v>
      </c>
      <c r="C8460" s="33" t="s">
        <v>648</v>
      </c>
      <c r="D8460" s="35">
        <f>SUMIFS(D8461:D9015,K8461:K9015,"0",B8461:B9015,"5 1 3 9 8 12 31111 6 M59 70000 000132*")-SUMIFS(E8461:E9015,K8461:K9015,"0",B8461:B9015,"5 1 3 9 8 12 31111 6 M59 70000 000132*")</f>
        <v>0</v>
      </c>
      <c r="E8460"/>
      <c r="F8460" s="35">
        <f>SUMIFS(F8461:F9015,K8461:K9015,"0",B8461:B9015,"5 1 3 9 8 12 31111 6 M59 70000 000132*")</f>
        <v>7724.23</v>
      </c>
      <c r="G8460" s="35">
        <f>SUMIFS(G8461:G9015,K8461:K9015,"0",B8461:B9015,"5 1 3 9 8 12 31111 6 M59 70000 000132*")</f>
        <v>0</v>
      </c>
      <c r="H8460" s="35">
        <f t="shared" si="133"/>
        <v>7724.23</v>
      </c>
      <c r="I8460" s="35"/>
      <c r="K8460" t="s">
        <v>15</v>
      </c>
    </row>
    <row r="8461" spans="2:11" ht="24.75" x14ac:dyDescent="0.2">
      <c r="B8461" s="33" t="s">
        <v>9587</v>
      </c>
      <c r="C8461" s="33" t="s">
        <v>650</v>
      </c>
      <c r="D8461" s="35">
        <f>SUMIFS(D8462:D9015,K8462:K9015,"0",B8462:B9015,"5 1 3 9 8 12 31111 6 M59 70000 000132 0000R*")-SUMIFS(E8462:E9015,K8462:K9015,"0",B8462:B9015,"5 1 3 9 8 12 31111 6 M59 70000 000132 0000R*")</f>
        <v>0</v>
      </c>
      <c r="E8461"/>
      <c r="F8461" s="35">
        <f>SUMIFS(F8462:F9015,K8462:K9015,"0",B8462:B9015,"5 1 3 9 8 12 31111 6 M59 70000 000132 0000R*")</f>
        <v>7724.23</v>
      </c>
      <c r="G8461" s="35">
        <f>SUMIFS(G8462:G9015,K8462:K9015,"0",B8462:B9015,"5 1 3 9 8 12 31111 6 M59 70000 000132 0000R*")</f>
        <v>0</v>
      </c>
      <c r="H8461" s="35">
        <f t="shared" si="133"/>
        <v>7724.23</v>
      </c>
      <c r="I8461" s="35"/>
      <c r="K8461" t="s">
        <v>15</v>
      </c>
    </row>
    <row r="8462" spans="2:11" ht="24.75" x14ac:dyDescent="0.2">
      <c r="B8462" s="33" t="s">
        <v>9588</v>
      </c>
      <c r="C8462" s="33" t="s">
        <v>282</v>
      </c>
      <c r="D8462" s="35">
        <f>SUMIFS(D8463:D9015,K8463:K9015,"0",B8463:B9015,"5 1 3 9 8 12 31111 6 M59 70000 000132 0000R 00001*")-SUMIFS(E8463:E9015,K8463:K9015,"0",B8463:B9015,"5 1 3 9 8 12 31111 6 M59 70000 000132 0000R 00001*")</f>
        <v>0</v>
      </c>
      <c r="E8462"/>
      <c r="F8462" s="35">
        <f>SUMIFS(F8463:F9015,K8463:K9015,"0",B8463:B9015,"5 1 3 9 8 12 31111 6 M59 70000 000132 0000R 00001*")</f>
        <v>7724.23</v>
      </c>
      <c r="G8462" s="35">
        <f>SUMIFS(G8463:G9015,K8463:K9015,"0",B8463:B9015,"5 1 3 9 8 12 31111 6 M59 70000 000132 0000R 00001*")</f>
        <v>0</v>
      </c>
      <c r="H8462" s="35">
        <f t="shared" si="133"/>
        <v>7724.23</v>
      </c>
      <c r="I8462" s="35"/>
      <c r="K8462" t="s">
        <v>15</v>
      </c>
    </row>
    <row r="8463" spans="2:11" ht="24.75" x14ac:dyDescent="0.2">
      <c r="B8463" s="33" t="s">
        <v>9589</v>
      </c>
      <c r="C8463" s="33" t="s">
        <v>9247</v>
      </c>
      <c r="D8463" s="35">
        <f>SUMIFS(D8464:D9015,K8464:K9015,"0",B8464:B9015,"5 1 3 9 8 12 31111 6 M59 70000 000132 0000R 00001 00398*")-SUMIFS(E8464:E9015,K8464:K9015,"0",B8464:B9015,"5 1 3 9 8 12 31111 6 M59 70000 000132 0000R 00001 00398*")</f>
        <v>0</v>
      </c>
      <c r="E8463"/>
      <c r="F8463" s="35">
        <f>SUMIFS(F8464:F9015,K8464:K9015,"0",B8464:B9015,"5 1 3 9 8 12 31111 6 M59 70000 000132 0000R 00001 00398*")</f>
        <v>7724.23</v>
      </c>
      <c r="G8463" s="35">
        <f>SUMIFS(G8464:G9015,K8464:K9015,"0",B8464:B9015,"5 1 3 9 8 12 31111 6 M59 70000 000132 0000R 00001 00398*")</f>
        <v>0</v>
      </c>
      <c r="H8463" s="35">
        <f t="shared" si="133"/>
        <v>7724.23</v>
      </c>
      <c r="I8463" s="35"/>
      <c r="K8463" t="s">
        <v>15</v>
      </c>
    </row>
    <row r="8464" spans="2:11" ht="33" x14ac:dyDescent="0.2">
      <c r="B8464" s="33" t="s">
        <v>9590</v>
      </c>
      <c r="C8464" s="33" t="s">
        <v>1051</v>
      </c>
      <c r="D8464" s="35">
        <f>SUMIFS(D8465:D9015,K8465:K9015,"0",B8465:B9015,"5 1 3 9 8 12 31111 6 M59 70000 000132 0000R 00001 00398 015*")-SUMIFS(E8465:E9015,K8465:K9015,"0",B8465:B9015,"5 1 3 9 8 12 31111 6 M59 70000 000132 0000R 00001 00398 015*")</f>
        <v>0</v>
      </c>
      <c r="E8464"/>
      <c r="F8464" s="35">
        <f>SUMIFS(F8465:F9015,K8465:K9015,"0",B8465:B9015,"5 1 3 9 8 12 31111 6 M59 70000 000132 0000R 00001 00398 015*")</f>
        <v>7724.23</v>
      </c>
      <c r="G8464" s="35">
        <f>SUMIFS(G8465:G9015,K8465:K9015,"0",B8465:B9015,"5 1 3 9 8 12 31111 6 M59 70000 000132 0000R 00001 00398 015*")</f>
        <v>0</v>
      </c>
      <c r="H8464" s="35">
        <f t="shared" si="133"/>
        <v>7724.23</v>
      </c>
      <c r="I8464" s="35"/>
      <c r="K8464" t="s">
        <v>15</v>
      </c>
    </row>
    <row r="8465" spans="2:11" ht="33" x14ac:dyDescent="0.2">
      <c r="B8465" s="33" t="s">
        <v>9591</v>
      </c>
      <c r="C8465" s="33" t="s">
        <v>8550</v>
      </c>
      <c r="D8465" s="35">
        <f>SUMIFS(D8466:D9015,K8466:K9015,"0",B8466:B9015,"5 1 3 9 8 12 31111 6 M59 70000 000132 0000R 00001 00398 015 2111300*")-SUMIFS(E8466:E9015,K8466:K9015,"0",B8466:B9015,"5 1 3 9 8 12 31111 6 M59 70000 000132 0000R 00001 00398 015 2111300*")</f>
        <v>0</v>
      </c>
      <c r="E8465"/>
      <c r="F8465" s="35">
        <f>SUMIFS(F8466:F9015,K8466:K9015,"0",B8466:B9015,"5 1 3 9 8 12 31111 6 M59 70000 000132 0000R 00001 00398 015 2111300*")</f>
        <v>7724.23</v>
      </c>
      <c r="G8465" s="35">
        <f>SUMIFS(G8466:G9015,K8466:K9015,"0",B8466:B9015,"5 1 3 9 8 12 31111 6 M59 70000 000132 0000R 00001 00398 015 2111300*")</f>
        <v>0</v>
      </c>
      <c r="H8465" s="35">
        <f t="shared" si="133"/>
        <v>7724.23</v>
      </c>
      <c r="I8465" s="35"/>
      <c r="K8465" t="s">
        <v>15</v>
      </c>
    </row>
    <row r="8466" spans="2:11" ht="33" x14ac:dyDescent="0.2">
      <c r="B8466" s="33" t="s">
        <v>9592</v>
      </c>
      <c r="C8466" s="33" t="s">
        <v>660</v>
      </c>
      <c r="D8466" s="35">
        <f>SUMIFS(D8467:D9015,K8467:K9015,"0",B8467:B9015,"5 1 3 9 8 12 31111 6 M59 70000 000132 0000R 00001 00398 015 2111300 2024*")-SUMIFS(E8467:E9015,K8467:K9015,"0",B8467:B9015,"5 1 3 9 8 12 31111 6 M59 70000 000132 0000R 00001 00398 015 2111300 2024*")</f>
        <v>0</v>
      </c>
      <c r="E8466"/>
      <c r="F8466" s="35">
        <f>SUMIFS(F8467:F9015,K8467:K9015,"0",B8467:B9015,"5 1 3 9 8 12 31111 6 M59 70000 000132 0000R 00001 00398 015 2111300 2024*")</f>
        <v>7724.23</v>
      </c>
      <c r="G8466" s="35">
        <f>SUMIFS(G8467:G9015,K8467:K9015,"0",B8467:B9015,"5 1 3 9 8 12 31111 6 M59 70000 000132 0000R 00001 00398 015 2111300 2024*")</f>
        <v>0</v>
      </c>
      <c r="H8466" s="35">
        <f t="shared" si="133"/>
        <v>7724.23</v>
      </c>
      <c r="I8466" s="35"/>
      <c r="K8466" t="s">
        <v>15</v>
      </c>
    </row>
    <row r="8467" spans="2:11" ht="41.25" x14ac:dyDescent="0.2">
      <c r="B8467" s="33" t="s">
        <v>9593</v>
      </c>
      <c r="C8467" s="33" t="s">
        <v>1056</v>
      </c>
      <c r="D8467" s="35">
        <f>SUMIFS(D8468:D9015,K8468:K9015,"0",B8468:B9015,"5 1 3 9 8 12 31111 6 M59 70000 000132 0000R 00001 00398 015 2111300 2024 CP1DS387*")-SUMIFS(E8468:E9015,K8468:K9015,"0",B8468:B9015,"5 1 3 9 8 12 31111 6 M59 70000 000132 0000R 00001 00398 015 2111300 2024 CP1DS387*")</f>
        <v>0</v>
      </c>
      <c r="E8467"/>
      <c r="F8467" s="35">
        <f>SUMIFS(F8468:F9015,K8468:K9015,"0",B8468:B9015,"5 1 3 9 8 12 31111 6 M59 70000 000132 0000R 00001 00398 015 2111300 2024 CP1DS387*")</f>
        <v>7724.23</v>
      </c>
      <c r="G8467" s="35">
        <f>SUMIFS(G8468:G9015,K8468:K9015,"0",B8468:B9015,"5 1 3 9 8 12 31111 6 M59 70000 000132 0000R 00001 00398 015 2111300 2024 CP1DS387*")</f>
        <v>0</v>
      </c>
      <c r="H8467" s="35">
        <f t="shared" si="133"/>
        <v>7724.23</v>
      </c>
      <c r="I8467" s="35"/>
      <c r="K8467" t="s">
        <v>15</v>
      </c>
    </row>
    <row r="8468" spans="2:11" ht="41.25" x14ac:dyDescent="0.2">
      <c r="B8468" s="33" t="s">
        <v>9594</v>
      </c>
      <c r="C8468" s="33" t="s">
        <v>282</v>
      </c>
      <c r="D8468" s="35">
        <f>SUMIFS(D8469:D9015,K8469:K9015,"0",B8469:B9015,"5 1 3 9 8 12 31111 6 M59 70000 000132 0000R 00001 00398 015 2111300 2024 CP1DS387 001*")-SUMIFS(E8469:E9015,K8469:K9015,"0",B8469:B9015,"5 1 3 9 8 12 31111 6 M59 70000 000132 0000R 00001 00398 015 2111300 2024 CP1DS387 001*")</f>
        <v>0</v>
      </c>
      <c r="E8468"/>
      <c r="F8468" s="35">
        <f>SUMIFS(F8469:F9015,K8469:K9015,"0",B8469:B9015,"5 1 3 9 8 12 31111 6 M59 70000 000132 0000R 00001 00398 015 2111300 2024 CP1DS387 001*")</f>
        <v>7724.23</v>
      </c>
      <c r="G8468" s="35">
        <f>SUMIFS(G8469:G9015,K8469:K9015,"0",B8469:B9015,"5 1 3 9 8 12 31111 6 M59 70000 000132 0000R 00001 00398 015 2111300 2024 CP1DS387 001*")</f>
        <v>0</v>
      </c>
      <c r="H8468" s="35">
        <f t="shared" si="133"/>
        <v>7724.23</v>
      </c>
      <c r="I8468" s="35"/>
      <c r="K8468" t="s">
        <v>15</v>
      </c>
    </row>
    <row r="8469" spans="2:11" ht="33" x14ac:dyDescent="0.2">
      <c r="B8469" s="31" t="s">
        <v>9595</v>
      </c>
      <c r="C8469" s="31" t="s">
        <v>9254</v>
      </c>
      <c r="D8469" s="34">
        <v>0</v>
      </c>
      <c r="E8469" s="34"/>
      <c r="F8469" s="34">
        <v>7724.23</v>
      </c>
      <c r="G8469" s="34">
        <v>0</v>
      </c>
      <c r="H8469" s="34">
        <f t="shared" si="133"/>
        <v>7724.23</v>
      </c>
      <c r="I8469" s="34"/>
      <c r="K8469" t="s">
        <v>38</v>
      </c>
    </row>
    <row r="8470" spans="2:11" ht="16.5" x14ac:dyDescent="0.2">
      <c r="B8470" s="33" t="s">
        <v>9596</v>
      </c>
      <c r="C8470" s="33" t="s">
        <v>3389</v>
      </c>
      <c r="D8470" s="35">
        <f>SUMIFS(D8471:D9015,K8471:K9015,"0",B8471:B9015,"5 1 3 9 8 12 31111 6 M59 70100*")-SUMIFS(E8471:E9015,K8471:K9015,"0",B8471:B9015,"5 1 3 9 8 12 31111 6 M59 70100*")</f>
        <v>0</v>
      </c>
      <c r="E8470"/>
      <c r="F8470" s="35">
        <f>SUMIFS(F8471:F9015,K8471:K9015,"0",B8471:B9015,"5 1 3 9 8 12 31111 6 M59 70100*")</f>
        <v>11830.87</v>
      </c>
      <c r="G8470" s="35">
        <f>SUMIFS(G8471:G9015,K8471:K9015,"0",B8471:B9015,"5 1 3 9 8 12 31111 6 M59 70100*")</f>
        <v>0</v>
      </c>
      <c r="H8470" s="35">
        <f t="shared" si="133"/>
        <v>11830.87</v>
      </c>
      <c r="I8470" s="35"/>
      <c r="K8470" t="s">
        <v>15</v>
      </c>
    </row>
    <row r="8471" spans="2:11" ht="16.5" x14ac:dyDescent="0.2">
      <c r="B8471" s="33" t="s">
        <v>9597</v>
      </c>
      <c r="C8471" s="33" t="s">
        <v>648</v>
      </c>
      <c r="D8471" s="35">
        <f>SUMIFS(D8472:D9015,K8472:K9015,"0",B8472:B9015,"5 1 3 9 8 12 31111 6 M59 70100 000132*")-SUMIFS(E8472:E9015,K8472:K9015,"0",B8472:B9015,"5 1 3 9 8 12 31111 6 M59 70100 000132*")</f>
        <v>0</v>
      </c>
      <c r="E8471"/>
      <c r="F8471" s="35">
        <f>SUMIFS(F8472:F9015,K8472:K9015,"0",B8472:B9015,"5 1 3 9 8 12 31111 6 M59 70100 000132*")</f>
        <v>11830.87</v>
      </c>
      <c r="G8471" s="35">
        <f>SUMIFS(G8472:G9015,K8472:K9015,"0",B8472:B9015,"5 1 3 9 8 12 31111 6 M59 70100 000132*")</f>
        <v>0</v>
      </c>
      <c r="H8471" s="35">
        <f t="shared" si="133"/>
        <v>11830.87</v>
      </c>
      <c r="I8471" s="35"/>
      <c r="K8471" t="s">
        <v>15</v>
      </c>
    </row>
    <row r="8472" spans="2:11" ht="24.75" x14ac:dyDescent="0.2">
      <c r="B8472" s="33" t="s">
        <v>9598</v>
      </c>
      <c r="C8472" s="33" t="s">
        <v>650</v>
      </c>
      <c r="D8472" s="35">
        <f>SUMIFS(D8473:D9015,K8473:K9015,"0",B8473:B9015,"5 1 3 9 8 12 31111 6 M59 70100 000132 0000R*")-SUMIFS(E8473:E9015,K8473:K9015,"0",B8473:B9015,"5 1 3 9 8 12 31111 6 M59 70100 000132 0000R*")</f>
        <v>0</v>
      </c>
      <c r="E8472"/>
      <c r="F8472" s="35">
        <f>SUMIFS(F8473:F9015,K8473:K9015,"0",B8473:B9015,"5 1 3 9 8 12 31111 6 M59 70100 000132 0000R*")</f>
        <v>11830.87</v>
      </c>
      <c r="G8472" s="35">
        <f>SUMIFS(G8473:G9015,K8473:K9015,"0",B8473:B9015,"5 1 3 9 8 12 31111 6 M59 70100 000132 0000R*")</f>
        <v>0</v>
      </c>
      <c r="H8472" s="35">
        <f t="shared" si="133"/>
        <v>11830.87</v>
      </c>
      <c r="I8472" s="35"/>
      <c r="K8472" t="s">
        <v>15</v>
      </c>
    </row>
    <row r="8473" spans="2:11" ht="24.75" x14ac:dyDescent="0.2">
      <c r="B8473" s="33" t="s">
        <v>9599</v>
      </c>
      <c r="C8473" s="33" t="s">
        <v>282</v>
      </c>
      <c r="D8473" s="35">
        <f>SUMIFS(D8474:D9015,K8474:K9015,"0",B8474:B9015,"5 1 3 9 8 12 31111 6 M59 70100 000132 0000R 00001*")-SUMIFS(E8474:E9015,K8474:K9015,"0",B8474:B9015,"5 1 3 9 8 12 31111 6 M59 70100 000132 0000R 00001*")</f>
        <v>0</v>
      </c>
      <c r="E8473"/>
      <c r="F8473" s="35">
        <f>SUMIFS(F8474:F9015,K8474:K9015,"0",B8474:B9015,"5 1 3 9 8 12 31111 6 M59 70100 000132 0000R 00001*")</f>
        <v>11830.87</v>
      </c>
      <c r="G8473" s="35">
        <f>SUMIFS(G8474:G9015,K8474:K9015,"0",B8474:B9015,"5 1 3 9 8 12 31111 6 M59 70100 000132 0000R 00001*")</f>
        <v>0</v>
      </c>
      <c r="H8473" s="35">
        <f t="shared" si="133"/>
        <v>11830.87</v>
      </c>
      <c r="I8473" s="35"/>
      <c r="K8473" t="s">
        <v>15</v>
      </c>
    </row>
    <row r="8474" spans="2:11" ht="24.75" x14ac:dyDescent="0.2">
      <c r="B8474" s="33" t="s">
        <v>9600</v>
      </c>
      <c r="C8474" s="33" t="s">
        <v>9247</v>
      </c>
      <c r="D8474" s="35">
        <f>SUMIFS(D8475:D9015,K8475:K9015,"0",B8475:B9015,"5 1 3 9 8 12 31111 6 M59 70100 000132 0000R 00001 00398*")-SUMIFS(E8475:E9015,K8475:K9015,"0",B8475:B9015,"5 1 3 9 8 12 31111 6 M59 70100 000132 0000R 00001 00398*")</f>
        <v>0</v>
      </c>
      <c r="E8474"/>
      <c r="F8474" s="35">
        <f>SUMIFS(F8475:F9015,K8475:K9015,"0",B8475:B9015,"5 1 3 9 8 12 31111 6 M59 70100 000132 0000R 00001 00398*")</f>
        <v>11830.87</v>
      </c>
      <c r="G8474" s="35">
        <f>SUMIFS(G8475:G9015,K8475:K9015,"0",B8475:B9015,"5 1 3 9 8 12 31111 6 M59 70100 000132 0000R 00001 00398*")</f>
        <v>0</v>
      </c>
      <c r="H8474" s="35">
        <f t="shared" si="133"/>
        <v>11830.87</v>
      </c>
      <c r="I8474" s="35"/>
      <c r="K8474" t="s">
        <v>15</v>
      </c>
    </row>
    <row r="8475" spans="2:11" ht="33" x14ac:dyDescent="0.2">
      <c r="B8475" s="33" t="s">
        <v>9601</v>
      </c>
      <c r="C8475" s="33" t="s">
        <v>1051</v>
      </c>
      <c r="D8475" s="35">
        <f>SUMIFS(D8476:D9015,K8476:K9015,"0",B8476:B9015,"5 1 3 9 8 12 31111 6 M59 70100 000132 0000R 00001 00398 015*")-SUMIFS(E8476:E9015,K8476:K9015,"0",B8476:B9015,"5 1 3 9 8 12 31111 6 M59 70100 000132 0000R 00001 00398 015*")</f>
        <v>0</v>
      </c>
      <c r="E8475"/>
      <c r="F8475" s="35">
        <f>SUMIFS(F8476:F9015,K8476:K9015,"0",B8476:B9015,"5 1 3 9 8 12 31111 6 M59 70100 000132 0000R 00001 00398 015*")</f>
        <v>11830.87</v>
      </c>
      <c r="G8475" s="35">
        <f>SUMIFS(G8476:G9015,K8476:K9015,"0",B8476:B9015,"5 1 3 9 8 12 31111 6 M59 70100 000132 0000R 00001 00398 015*")</f>
        <v>0</v>
      </c>
      <c r="H8475" s="35">
        <f t="shared" si="133"/>
        <v>11830.87</v>
      </c>
      <c r="I8475" s="35"/>
      <c r="K8475" t="s">
        <v>15</v>
      </c>
    </row>
    <row r="8476" spans="2:11" ht="33" x14ac:dyDescent="0.2">
      <c r="B8476" s="33" t="s">
        <v>9602</v>
      </c>
      <c r="C8476" s="33" t="s">
        <v>8550</v>
      </c>
      <c r="D8476" s="35">
        <f>SUMIFS(D8477:D9015,K8477:K9015,"0",B8477:B9015,"5 1 3 9 8 12 31111 6 M59 70100 000132 0000R 00001 00398 015 2111300*")-SUMIFS(E8477:E9015,K8477:K9015,"0",B8477:B9015,"5 1 3 9 8 12 31111 6 M59 70100 000132 0000R 00001 00398 015 2111300*")</f>
        <v>0</v>
      </c>
      <c r="E8476"/>
      <c r="F8476" s="35">
        <f>SUMIFS(F8477:F9015,K8477:K9015,"0",B8477:B9015,"5 1 3 9 8 12 31111 6 M59 70100 000132 0000R 00001 00398 015 2111300*")</f>
        <v>11830.87</v>
      </c>
      <c r="G8476" s="35">
        <f>SUMIFS(G8477:G9015,K8477:K9015,"0",B8477:B9015,"5 1 3 9 8 12 31111 6 M59 70100 000132 0000R 00001 00398 015 2111300*")</f>
        <v>0</v>
      </c>
      <c r="H8476" s="35">
        <f t="shared" si="133"/>
        <v>11830.87</v>
      </c>
      <c r="I8476" s="35"/>
      <c r="K8476" t="s">
        <v>15</v>
      </c>
    </row>
    <row r="8477" spans="2:11" ht="33" x14ac:dyDescent="0.2">
      <c r="B8477" s="33" t="s">
        <v>9603</v>
      </c>
      <c r="C8477" s="33" t="s">
        <v>660</v>
      </c>
      <c r="D8477" s="35">
        <f>SUMIFS(D8478:D9015,K8478:K9015,"0",B8478:B9015,"5 1 3 9 8 12 31111 6 M59 70100 000132 0000R 00001 00398 015 2111300 2024*")-SUMIFS(E8478:E9015,K8478:K9015,"0",B8478:B9015,"5 1 3 9 8 12 31111 6 M59 70100 000132 0000R 00001 00398 015 2111300 2024*")</f>
        <v>0</v>
      </c>
      <c r="E8477"/>
      <c r="F8477" s="35">
        <f>SUMIFS(F8478:F9015,K8478:K9015,"0",B8478:B9015,"5 1 3 9 8 12 31111 6 M59 70100 000132 0000R 00001 00398 015 2111300 2024*")</f>
        <v>11830.87</v>
      </c>
      <c r="G8477" s="35">
        <f>SUMIFS(G8478:G9015,K8478:K9015,"0",B8478:B9015,"5 1 3 9 8 12 31111 6 M59 70100 000132 0000R 00001 00398 015 2111300 2024*")</f>
        <v>0</v>
      </c>
      <c r="H8477" s="35">
        <f t="shared" si="133"/>
        <v>11830.87</v>
      </c>
      <c r="I8477" s="35"/>
      <c r="K8477" t="s">
        <v>15</v>
      </c>
    </row>
    <row r="8478" spans="2:11" ht="41.25" x14ac:dyDescent="0.2">
      <c r="B8478" s="33" t="s">
        <v>9604</v>
      </c>
      <c r="C8478" s="33" t="s">
        <v>1056</v>
      </c>
      <c r="D8478" s="35">
        <f>SUMIFS(D8479:D9015,K8479:K9015,"0",B8479:B9015,"5 1 3 9 8 12 31111 6 M59 70100 000132 0000R 00001 00398 015 2111300 2024 CP1MM393*")-SUMIFS(E8479:E9015,K8479:K9015,"0",B8479:B9015,"5 1 3 9 8 12 31111 6 M59 70100 000132 0000R 00001 00398 015 2111300 2024 CP1MM393*")</f>
        <v>0</v>
      </c>
      <c r="E8478"/>
      <c r="F8478" s="35">
        <f>SUMIFS(F8479:F9015,K8479:K9015,"0",B8479:B9015,"5 1 3 9 8 12 31111 6 M59 70100 000132 0000R 00001 00398 015 2111300 2024 CP1MM393*")</f>
        <v>11830.87</v>
      </c>
      <c r="G8478" s="35">
        <f>SUMIFS(G8479:G9015,K8479:K9015,"0",B8479:B9015,"5 1 3 9 8 12 31111 6 M59 70100 000132 0000R 00001 00398 015 2111300 2024 CP1MM393*")</f>
        <v>0</v>
      </c>
      <c r="H8478" s="35">
        <f t="shared" si="133"/>
        <v>11830.87</v>
      </c>
      <c r="I8478" s="35"/>
      <c r="K8478" t="s">
        <v>15</v>
      </c>
    </row>
    <row r="8479" spans="2:11" ht="41.25" x14ac:dyDescent="0.2">
      <c r="B8479" s="33" t="s">
        <v>9605</v>
      </c>
      <c r="C8479" s="33" t="s">
        <v>282</v>
      </c>
      <c r="D8479" s="35">
        <f>SUMIFS(D8480:D9015,K8480:K9015,"0",B8480:B9015,"5 1 3 9 8 12 31111 6 M59 70100 000132 0000R 00001 00398 015 2111300 2024 CP1MM393 001*")-SUMIFS(E8480:E9015,K8480:K9015,"0",B8480:B9015,"5 1 3 9 8 12 31111 6 M59 70100 000132 0000R 00001 00398 015 2111300 2024 CP1MM393 001*")</f>
        <v>0</v>
      </c>
      <c r="E8479"/>
      <c r="F8479" s="35">
        <f>SUMIFS(F8480:F9015,K8480:K9015,"0",B8480:B9015,"5 1 3 9 8 12 31111 6 M59 70100 000132 0000R 00001 00398 015 2111300 2024 CP1MM393 001*")</f>
        <v>11830.87</v>
      </c>
      <c r="G8479" s="35">
        <f>SUMIFS(G8480:G9015,K8480:K9015,"0",B8480:B9015,"5 1 3 9 8 12 31111 6 M59 70100 000132 0000R 00001 00398 015 2111300 2024 CP1MM393 001*")</f>
        <v>0</v>
      </c>
      <c r="H8479" s="35">
        <f t="shared" si="133"/>
        <v>11830.87</v>
      </c>
      <c r="I8479" s="35"/>
      <c r="K8479" t="s">
        <v>15</v>
      </c>
    </row>
    <row r="8480" spans="2:11" ht="33" x14ac:dyDescent="0.2">
      <c r="B8480" s="31" t="s">
        <v>9606</v>
      </c>
      <c r="C8480" s="31" t="s">
        <v>9254</v>
      </c>
      <c r="D8480" s="34">
        <v>0</v>
      </c>
      <c r="E8480" s="34"/>
      <c r="F8480" s="34">
        <v>11830.87</v>
      </c>
      <c r="G8480" s="34">
        <v>0</v>
      </c>
      <c r="H8480" s="34">
        <f t="shared" si="133"/>
        <v>11830.87</v>
      </c>
      <c r="I8480" s="34"/>
      <c r="K8480" t="s">
        <v>38</v>
      </c>
    </row>
    <row r="8481" spans="2:11" ht="16.5" x14ac:dyDescent="0.2">
      <c r="B8481" s="33" t="s">
        <v>9607</v>
      </c>
      <c r="C8481" s="33" t="s">
        <v>3401</v>
      </c>
      <c r="D8481" s="35">
        <f>SUMIFS(D8482:D9015,K8482:K9015,"0",B8482:B9015,"5 1 3 9 8 12 31111 6 M59 70200*")-SUMIFS(E8482:E9015,K8482:K9015,"0",B8482:B9015,"5 1 3 9 8 12 31111 6 M59 70200*")</f>
        <v>0</v>
      </c>
      <c r="E8481"/>
      <c r="F8481" s="35">
        <f>SUMIFS(F8482:F9015,K8482:K9015,"0",B8482:B9015,"5 1 3 9 8 12 31111 6 M59 70200*")</f>
        <v>4437.83</v>
      </c>
      <c r="G8481" s="35">
        <f>SUMIFS(G8482:G9015,K8482:K9015,"0",B8482:B9015,"5 1 3 9 8 12 31111 6 M59 70200*")</f>
        <v>0</v>
      </c>
      <c r="H8481" s="35">
        <f t="shared" si="133"/>
        <v>4437.83</v>
      </c>
      <c r="I8481" s="35"/>
      <c r="K8481" t="s">
        <v>15</v>
      </c>
    </row>
    <row r="8482" spans="2:11" ht="16.5" x14ac:dyDescent="0.2">
      <c r="B8482" s="33" t="s">
        <v>9608</v>
      </c>
      <c r="C8482" s="33" t="s">
        <v>648</v>
      </c>
      <c r="D8482" s="35">
        <f>SUMIFS(D8483:D9015,K8483:K9015,"0",B8483:B9015,"5 1 3 9 8 12 31111 6 M59 70200 000132*")-SUMIFS(E8483:E9015,K8483:K9015,"0",B8483:B9015,"5 1 3 9 8 12 31111 6 M59 70200 000132*")</f>
        <v>0</v>
      </c>
      <c r="E8482"/>
      <c r="F8482" s="35">
        <f>SUMIFS(F8483:F9015,K8483:K9015,"0",B8483:B9015,"5 1 3 9 8 12 31111 6 M59 70200 000132*")</f>
        <v>4437.83</v>
      </c>
      <c r="G8482" s="35">
        <f>SUMIFS(G8483:G9015,K8483:K9015,"0",B8483:B9015,"5 1 3 9 8 12 31111 6 M59 70200 000132*")</f>
        <v>0</v>
      </c>
      <c r="H8482" s="35">
        <f t="shared" si="133"/>
        <v>4437.83</v>
      </c>
      <c r="I8482" s="35"/>
      <c r="K8482" t="s">
        <v>15</v>
      </c>
    </row>
    <row r="8483" spans="2:11" ht="24.75" x14ac:dyDescent="0.2">
      <c r="B8483" s="33" t="s">
        <v>9609</v>
      </c>
      <c r="C8483" s="33" t="s">
        <v>650</v>
      </c>
      <c r="D8483" s="35">
        <f>SUMIFS(D8484:D9015,K8484:K9015,"0",B8484:B9015,"5 1 3 9 8 12 31111 6 M59 70200 000132 0000R*")-SUMIFS(E8484:E9015,K8484:K9015,"0",B8484:B9015,"5 1 3 9 8 12 31111 6 M59 70200 000132 0000R*")</f>
        <v>0</v>
      </c>
      <c r="E8483"/>
      <c r="F8483" s="35">
        <f>SUMIFS(F8484:F9015,K8484:K9015,"0",B8484:B9015,"5 1 3 9 8 12 31111 6 M59 70200 000132 0000R*")</f>
        <v>4437.83</v>
      </c>
      <c r="G8483" s="35">
        <f>SUMIFS(G8484:G9015,K8484:K9015,"0",B8484:B9015,"5 1 3 9 8 12 31111 6 M59 70200 000132 0000R*")</f>
        <v>0</v>
      </c>
      <c r="H8483" s="35">
        <f t="shared" si="133"/>
        <v>4437.83</v>
      </c>
      <c r="I8483" s="35"/>
      <c r="K8483" t="s">
        <v>15</v>
      </c>
    </row>
    <row r="8484" spans="2:11" ht="24.75" x14ac:dyDescent="0.2">
      <c r="B8484" s="33" t="s">
        <v>9610</v>
      </c>
      <c r="C8484" s="33" t="s">
        <v>282</v>
      </c>
      <c r="D8484" s="35">
        <f>SUMIFS(D8485:D9015,K8485:K9015,"0",B8485:B9015,"5 1 3 9 8 12 31111 6 M59 70200 000132 0000R 00001*")-SUMIFS(E8485:E9015,K8485:K9015,"0",B8485:B9015,"5 1 3 9 8 12 31111 6 M59 70200 000132 0000R 00001*")</f>
        <v>0</v>
      </c>
      <c r="E8484"/>
      <c r="F8484" s="35">
        <f>SUMIFS(F8485:F9015,K8485:K9015,"0",B8485:B9015,"5 1 3 9 8 12 31111 6 M59 70200 000132 0000R 00001*")</f>
        <v>4437.83</v>
      </c>
      <c r="G8484" s="35">
        <f>SUMIFS(G8485:G9015,K8485:K9015,"0",B8485:B9015,"5 1 3 9 8 12 31111 6 M59 70200 000132 0000R 00001*")</f>
        <v>0</v>
      </c>
      <c r="H8484" s="35">
        <f t="shared" si="133"/>
        <v>4437.83</v>
      </c>
      <c r="I8484" s="35"/>
      <c r="K8484" t="s">
        <v>15</v>
      </c>
    </row>
    <row r="8485" spans="2:11" ht="24.75" x14ac:dyDescent="0.2">
      <c r="B8485" s="33" t="s">
        <v>9611</v>
      </c>
      <c r="C8485" s="33" t="s">
        <v>9247</v>
      </c>
      <c r="D8485" s="35">
        <f>SUMIFS(D8486:D9015,K8486:K9015,"0",B8486:B9015,"5 1 3 9 8 12 31111 6 M59 70200 000132 0000R 00001 00398*")-SUMIFS(E8486:E9015,K8486:K9015,"0",B8486:B9015,"5 1 3 9 8 12 31111 6 M59 70200 000132 0000R 00001 00398*")</f>
        <v>0</v>
      </c>
      <c r="E8485"/>
      <c r="F8485" s="35">
        <f>SUMIFS(F8486:F9015,K8486:K9015,"0",B8486:B9015,"5 1 3 9 8 12 31111 6 M59 70200 000132 0000R 00001 00398*")</f>
        <v>4437.83</v>
      </c>
      <c r="G8485" s="35">
        <f>SUMIFS(G8486:G9015,K8486:K9015,"0",B8486:B9015,"5 1 3 9 8 12 31111 6 M59 70200 000132 0000R 00001 00398*")</f>
        <v>0</v>
      </c>
      <c r="H8485" s="35">
        <f t="shared" si="133"/>
        <v>4437.83</v>
      </c>
      <c r="I8485" s="35"/>
      <c r="K8485" t="s">
        <v>15</v>
      </c>
    </row>
    <row r="8486" spans="2:11" ht="33" x14ac:dyDescent="0.2">
      <c r="B8486" s="33" t="s">
        <v>9612</v>
      </c>
      <c r="C8486" s="33" t="s">
        <v>1051</v>
      </c>
      <c r="D8486" s="35">
        <f>SUMIFS(D8487:D9015,K8487:K9015,"0",B8487:B9015,"5 1 3 9 8 12 31111 6 M59 70200 000132 0000R 00001 00398 015*")-SUMIFS(E8487:E9015,K8487:K9015,"0",B8487:B9015,"5 1 3 9 8 12 31111 6 M59 70200 000132 0000R 00001 00398 015*")</f>
        <v>0</v>
      </c>
      <c r="E8486"/>
      <c r="F8486" s="35">
        <f>SUMIFS(F8487:F9015,K8487:K9015,"0",B8487:B9015,"5 1 3 9 8 12 31111 6 M59 70200 000132 0000R 00001 00398 015*")</f>
        <v>4437.83</v>
      </c>
      <c r="G8486" s="35">
        <f>SUMIFS(G8487:G9015,K8487:K9015,"0",B8487:B9015,"5 1 3 9 8 12 31111 6 M59 70200 000132 0000R 00001 00398 015*")</f>
        <v>0</v>
      </c>
      <c r="H8486" s="35">
        <f t="shared" si="133"/>
        <v>4437.83</v>
      </c>
      <c r="I8486" s="35"/>
      <c r="K8486" t="s">
        <v>15</v>
      </c>
    </row>
    <row r="8487" spans="2:11" ht="33" x14ac:dyDescent="0.2">
      <c r="B8487" s="33" t="s">
        <v>9613</v>
      </c>
      <c r="C8487" s="33" t="s">
        <v>8550</v>
      </c>
      <c r="D8487" s="35">
        <f>SUMIFS(D8488:D9015,K8488:K9015,"0",B8488:B9015,"5 1 3 9 8 12 31111 6 M59 70200 000132 0000R 00001 00398 015 2111300*")-SUMIFS(E8488:E9015,K8488:K9015,"0",B8488:B9015,"5 1 3 9 8 12 31111 6 M59 70200 000132 0000R 00001 00398 015 2111300*")</f>
        <v>0</v>
      </c>
      <c r="E8487"/>
      <c r="F8487" s="35">
        <f>SUMIFS(F8488:F9015,K8488:K9015,"0",B8488:B9015,"5 1 3 9 8 12 31111 6 M59 70200 000132 0000R 00001 00398 015 2111300*")</f>
        <v>4437.83</v>
      </c>
      <c r="G8487" s="35">
        <f>SUMIFS(G8488:G9015,K8488:K9015,"0",B8488:B9015,"5 1 3 9 8 12 31111 6 M59 70200 000132 0000R 00001 00398 015 2111300*")</f>
        <v>0</v>
      </c>
      <c r="H8487" s="35">
        <f t="shared" si="133"/>
        <v>4437.83</v>
      </c>
      <c r="I8487" s="35"/>
      <c r="K8487" t="s">
        <v>15</v>
      </c>
    </row>
    <row r="8488" spans="2:11" ht="33" x14ac:dyDescent="0.2">
      <c r="B8488" s="33" t="s">
        <v>9614</v>
      </c>
      <c r="C8488" s="33" t="s">
        <v>660</v>
      </c>
      <c r="D8488" s="35">
        <f>SUMIFS(D8489:D9015,K8489:K9015,"0",B8489:B9015,"5 1 3 9 8 12 31111 6 M59 70200 000132 0000R 00001 00398 015 2111300 2024*")-SUMIFS(E8489:E9015,K8489:K9015,"0",B8489:B9015,"5 1 3 9 8 12 31111 6 M59 70200 000132 0000R 00001 00398 015 2111300 2024*")</f>
        <v>0</v>
      </c>
      <c r="E8488"/>
      <c r="F8488" s="35">
        <f>SUMIFS(F8489:F9015,K8489:K9015,"0",B8489:B9015,"5 1 3 9 8 12 31111 6 M59 70200 000132 0000R 00001 00398 015 2111300 2024*")</f>
        <v>4437.83</v>
      </c>
      <c r="G8488" s="35">
        <f>SUMIFS(G8489:G9015,K8489:K9015,"0",B8489:B9015,"5 1 3 9 8 12 31111 6 M59 70200 000132 0000R 00001 00398 015 2111300 2024*")</f>
        <v>0</v>
      </c>
      <c r="H8488" s="35">
        <f t="shared" si="133"/>
        <v>4437.83</v>
      </c>
      <c r="I8488" s="35"/>
      <c r="K8488" t="s">
        <v>15</v>
      </c>
    </row>
    <row r="8489" spans="2:11" ht="41.25" x14ac:dyDescent="0.2">
      <c r="B8489" s="33" t="s">
        <v>9615</v>
      </c>
      <c r="C8489" s="33" t="s">
        <v>1056</v>
      </c>
      <c r="D8489" s="35">
        <f>SUMIFS(D8490:D9015,K8490:K9015,"0",B8490:B9015,"5 1 3 9 8 12 31111 6 M59 70200 000132 0000R 00001 00398 015 2111300 2024 CP1SE410*")-SUMIFS(E8490:E9015,K8490:K9015,"0",B8490:B9015,"5 1 3 9 8 12 31111 6 M59 70200 000132 0000R 00001 00398 015 2111300 2024 CP1SE410*")</f>
        <v>0</v>
      </c>
      <c r="E8489"/>
      <c r="F8489" s="35">
        <f>SUMIFS(F8490:F9015,K8490:K9015,"0",B8490:B9015,"5 1 3 9 8 12 31111 6 M59 70200 000132 0000R 00001 00398 015 2111300 2024 CP1SE410*")</f>
        <v>4437.83</v>
      </c>
      <c r="G8489" s="35">
        <f>SUMIFS(G8490:G9015,K8490:K9015,"0",B8490:B9015,"5 1 3 9 8 12 31111 6 M59 70200 000132 0000R 00001 00398 015 2111300 2024 CP1SE410*")</f>
        <v>0</v>
      </c>
      <c r="H8489" s="35">
        <f t="shared" si="133"/>
        <v>4437.83</v>
      </c>
      <c r="I8489" s="35"/>
      <c r="K8489" t="s">
        <v>15</v>
      </c>
    </row>
    <row r="8490" spans="2:11" ht="41.25" x14ac:dyDescent="0.2">
      <c r="B8490" s="33" t="s">
        <v>9616</v>
      </c>
      <c r="C8490" s="33" t="s">
        <v>282</v>
      </c>
      <c r="D8490" s="35">
        <f>SUMIFS(D8491:D9015,K8491:K9015,"0",B8491:B9015,"5 1 3 9 8 12 31111 6 M59 70200 000132 0000R 00001 00398 015 2111300 2024 CP1SE410 001*")-SUMIFS(E8491:E9015,K8491:K9015,"0",B8491:B9015,"5 1 3 9 8 12 31111 6 M59 70200 000132 0000R 00001 00398 015 2111300 2024 CP1SE410 001*")</f>
        <v>0</v>
      </c>
      <c r="E8490"/>
      <c r="F8490" s="35">
        <f>SUMIFS(F8491:F9015,K8491:K9015,"0",B8491:B9015,"5 1 3 9 8 12 31111 6 M59 70200 000132 0000R 00001 00398 015 2111300 2024 CP1SE410 001*")</f>
        <v>4437.83</v>
      </c>
      <c r="G8490" s="35">
        <f>SUMIFS(G8491:G9015,K8491:K9015,"0",B8491:B9015,"5 1 3 9 8 12 31111 6 M59 70200 000132 0000R 00001 00398 015 2111300 2024 CP1SE410 001*")</f>
        <v>0</v>
      </c>
      <c r="H8490" s="35">
        <f t="shared" si="133"/>
        <v>4437.83</v>
      </c>
      <c r="I8490" s="35"/>
      <c r="K8490" t="s">
        <v>15</v>
      </c>
    </row>
    <row r="8491" spans="2:11" ht="33" x14ac:dyDescent="0.2">
      <c r="B8491" s="31" t="s">
        <v>9617</v>
      </c>
      <c r="C8491" s="31" t="s">
        <v>9254</v>
      </c>
      <c r="D8491" s="34">
        <v>0</v>
      </c>
      <c r="E8491" s="34"/>
      <c r="F8491" s="34">
        <v>4437.83</v>
      </c>
      <c r="G8491" s="34">
        <v>0</v>
      </c>
      <c r="H8491" s="34">
        <f t="shared" si="133"/>
        <v>4437.83</v>
      </c>
      <c r="I8491" s="34"/>
      <c r="K8491" t="s">
        <v>38</v>
      </c>
    </row>
    <row r="8492" spans="2:11" ht="16.5" x14ac:dyDescent="0.2">
      <c r="B8492" s="33" t="s">
        <v>9618</v>
      </c>
      <c r="C8492" s="33" t="s">
        <v>3413</v>
      </c>
      <c r="D8492" s="35">
        <f>SUMIFS(D8493:D9015,K8493:K9015,"0",B8493:B9015,"5 1 3 9 8 12 31111 6 M59 70300*")-SUMIFS(E8493:E9015,K8493:K9015,"0",B8493:B9015,"5 1 3 9 8 12 31111 6 M59 70300*")</f>
        <v>0</v>
      </c>
      <c r="E8492"/>
      <c r="F8492" s="35">
        <f>SUMIFS(F8493:F9015,K8493:K9015,"0",B8493:B9015,"5 1 3 9 8 12 31111 6 M59 70300*")</f>
        <v>26562.46</v>
      </c>
      <c r="G8492" s="35">
        <f>SUMIFS(G8493:G9015,K8493:K9015,"0",B8493:B9015,"5 1 3 9 8 12 31111 6 M59 70300*")</f>
        <v>0</v>
      </c>
      <c r="H8492" s="35">
        <f t="shared" si="133"/>
        <v>26562.46</v>
      </c>
      <c r="I8492" s="35"/>
      <c r="K8492" t="s">
        <v>15</v>
      </c>
    </row>
    <row r="8493" spans="2:11" ht="16.5" x14ac:dyDescent="0.2">
      <c r="B8493" s="33" t="s">
        <v>9619</v>
      </c>
      <c r="C8493" s="33" t="s">
        <v>648</v>
      </c>
      <c r="D8493" s="35">
        <f>SUMIFS(D8494:D9015,K8494:K9015,"0",B8494:B9015,"5 1 3 9 8 12 31111 6 M59 70300 000132*")-SUMIFS(E8494:E9015,K8494:K9015,"0",B8494:B9015,"5 1 3 9 8 12 31111 6 M59 70300 000132*")</f>
        <v>0</v>
      </c>
      <c r="E8493"/>
      <c r="F8493" s="35">
        <f>SUMIFS(F8494:F9015,K8494:K9015,"0",B8494:B9015,"5 1 3 9 8 12 31111 6 M59 70300 000132*")</f>
        <v>26562.46</v>
      </c>
      <c r="G8493" s="35">
        <f>SUMIFS(G8494:G9015,K8494:K9015,"0",B8494:B9015,"5 1 3 9 8 12 31111 6 M59 70300 000132*")</f>
        <v>0</v>
      </c>
      <c r="H8493" s="35">
        <f t="shared" si="133"/>
        <v>26562.46</v>
      </c>
      <c r="I8493" s="35"/>
      <c r="K8493" t="s">
        <v>15</v>
      </c>
    </row>
    <row r="8494" spans="2:11" ht="24.75" x14ac:dyDescent="0.2">
      <c r="B8494" s="33" t="s">
        <v>9620</v>
      </c>
      <c r="C8494" s="33" t="s">
        <v>650</v>
      </c>
      <c r="D8494" s="35">
        <f>SUMIFS(D8495:D9015,K8495:K9015,"0",B8495:B9015,"5 1 3 9 8 12 31111 6 M59 70300 000132 0000R*")-SUMIFS(E8495:E9015,K8495:K9015,"0",B8495:B9015,"5 1 3 9 8 12 31111 6 M59 70300 000132 0000R*")</f>
        <v>0</v>
      </c>
      <c r="E8494"/>
      <c r="F8494" s="35">
        <f>SUMIFS(F8495:F9015,K8495:K9015,"0",B8495:B9015,"5 1 3 9 8 12 31111 6 M59 70300 000132 0000R*")</f>
        <v>26562.46</v>
      </c>
      <c r="G8494" s="35">
        <f>SUMIFS(G8495:G9015,K8495:K9015,"0",B8495:B9015,"5 1 3 9 8 12 31111 6 M59 70300 000132 0000R*")</f>
        <v>0</v>
      </c>
      <c r="H8494" s="35">
        <f t="shared" si="133"/>
        <v>26562.46</v>
      </c>
      <c r="I8494" s="35"/>
      <c r="K8494" t="s">
        <v>15</v>
      </c>
    </row>
    <row r="8495" spans="2:11" ht="24.75" x14ac:dyDescent="0.2">
      <c r="B8495" s="33" t="s">
        <v>9621</v>
      </c>
      <c r="C8495" s="33" t="s">
        <v>282</v>
      </c>
      <c r="D8495" s="35">
        <f>SUMIFS(D8496:D9015,K8496:K9015,"0",B8496:B9015,"5 1 3 9 8 12 31111 6 M59 70300 000132 0000R 00001*")-SUMIFS(E8496:E9015,K8496:K9015,"0",B8496:B9015,"5 1 3 9 8 12 31111 6 M59 70300 000132 0000R 00001*")</f>
        <v>0</v>
      </c>
      <c r="E8495"/>
      <c r="F8495" s="35">
        <f>SUMIFS(F8496:F9015,K8496:K9015,"0",B8496:B9015,"5 1 3 9 8 12 31111 6 M59 70300 000132 0000R 00001*")</f>
        <v>26562.46</v>
      </c>
      <c r="G8495" s="35">
        <f>SUMIFS(G8496:G9015,K8496:K9015,"0",B8496:B9015,"5 1 3 9 8 12 31111 6 M59 70300 000132 0000R 00001*")</f>
        <v>0</v>
      </c>
      <c r="H8495" s="35">
        <f t="shared" si="133"/>
        <v>26562.46</v>
      </c>
      <c r="I8495" s="35"/>
      <c r="K8495" t="s">
        <v>15</v>
      </c>
    </row>
    <row r="8496" spans="2:11" ht="24.75" x14ac:dyDescent="0.2">
      <c r="B8496" s="33" t="s">
        <v>9622</v>
      </c>
      <c r="C8496" s="33" t="s">
        <v>9247</v>
      </c>
      <c r="D8496" s="35">
        <f>SUMIFS(D8497:D9015,K8497:K9015,"0",B8497:B9015,"5 1 3 9 8 12 31111 6 M59 70300 000132 0000R 00001 00398*")-SUMIFS(E8497:E9015,K8497:K9015,"0",B8497:B9015,"5 1 3 9 8 12 31111 6 M59 70300 000132 0000R 00001 00398*")</f>
        <v>0</v>
      </c>
      <c r="E8496"/>
      <c r="F8496" s="35">
        <f>SUMIFS(F8497:F9015,K8497:K9015,"0",B8497:B9015,"5 1 3 9 8 12 31111 6 M59 70300 000132 0000R 00001 00398*")</f>
        <v>26562.46</v>
      </c>
      <c r="G8496" s="35">
        <f>SUMIFS(G8497:G9015,K8497:K9015,"0",B8497:B9015,"5 1 3 9 8 12 31111 6 M59 70300 000132 0000R 00001 00398*")</f>
        <v>0</v>
      </c>
      <c r="H8496" s="35">
        <f t="shared" si="133"/>
        <v>26562.46</v>
      </c>
      <c r="I8496" s="35"/>
      <c r="K8496" t="s">
        <v>15</v>
      </c>
    </row>
    <row r="8497" spans="2:11" ht="33" x14ac:dyDescent="0.2">
      <c r="B8497" s="33" t="s">
        <v>9623</v>
      </c>
      <c r="C8497" s="33" t="s">
        <v>1051</v>
      </c>
      <c r="D8497" s="35">
        <f>SUMIFS(D8498:D9015,K8498:K9015,"0",B8498:B9015,"5 1 3 9 8 12 31111 6 M59 70300 000132 0000R 00001 00398 015*")-SUMIFS(E8498:E9015,K8498:K9015,"0",B8498:B9015,"5 1 3 9 8 12 31111 6 M59 70300 000132 0000R 00001 00398 015*")</f>
        <v>0</v>
      </c>
      <c r="E8497"/>
      <c r="F8497" s="35">
        <f>SUMIFS(F8498:F9015,K8498:K9015,"0",B8498:B9015,"5 1 3 9 8 12 31111 6 M59 70300 000132 0000R 00001 00398 015*")</f>
        <v>26562.46</v>
      </c>
      <c r="G8497" s="35">
        <f>SUMIFS(G8498:G9015,K8498:K9015,"0",B8498:B9015,"5 1 3 9 8 12 31111 6 M59 70300 000132 0000R 00001 00398 015*")</f>
        <v>0</v>
      </c>
      <c r="H8497" s="35">
        <f t="shared" si="133"/>
        <v>26562.46</v>
      </c>
      <c r="I8497" s="35"/>
      <c r="K8497" t="s">
        <v>15</v>
      </c>
    </row>
    <row r="8498" spans="2:11" ht="33" x14ac:dyDescent="0.2">
      <c r="B8498" s="33" t="s">
        <v>9624</v>
      </c>
      <c r="C8498" s="33" t="s">
        <v>8550</v>
      </c>
      <c r="D8498" s="35">
        <f>SUMIFS(D8499:D9015,K8499:K9015,"0",B8499:B9015,"5 1 3 9 8 12 31111 6 M59 70300 000132 0000R 00001 00398 015 2111300*")-SUMIFS(E8499:E9015,K8499:K9015,"0",B8499:B9015,"5 1 3 9 8 12 31111 6 M59 70300 000132 0000R 00001 00398 015 2111300*")</f>
        <v>0</v>
      </c>
      <c r="E8498"/>
      <c r="F8498" s="35">
        <f>SUMIFS(F8499:F9015,K8499:K9015,"0",B8499:B9015,"5 1 3 9 8 12 31111 6 M59 70300 000132 0000R 00001 00398 015 2111300*")</f>
        <v>26562.46</v>
      </c>
      <c r="G8498" s="35">
        <f>SUMIFS(G8499:G9015,K8499:K9015,"0",B8499:B9015,"5 1 3 9 8 12 31111 6 M59 70300 000132 0000R 00001 00398 015 2111300*")</f>
        <v>0</v>
      </c>
      <c r="H8498" s="35">
        <f t="shared" si="133"/>
        <v>26562.46</v>
      </c>
      <c r="I8498" s="35"/>
      <c r="K8498" t="s">
        <v>15</v>
      </c>
    </row>
    <row r="8499" spans="2:11" ht="33" x14ac:dyDescent="0.2">
      <c r="B8499" s="33" t="s">
        <v>9625</v>
      </c>
      <c r="C8499" s="33" t="s">
        <v>660</v>
      </c>
      <c r="D8499" s="35">
        <f>SUMIFS(D8500:D9015,K8500:K9015,"0",B8500:B9015,"5 1 3 9 8 12 31111 6 M59 70300 000132 0000R 00001 00398 015 2111300 2024*")-SUMIFS(E8500:E9015,K8500:K9015,"0",B8500:B9015,"5 1 3 9 8 12 31111 6 M59 70300 000132 0000R 00001 00398 015 2111300 2024*")</f>
        <v>0</v>
      </c>
      <c r="E8499"/>
      <c r="F8499" s="35">
        <f>SUMIFS(F8500:F9015,K8500:K9015,"0",B8500:B9015,"5 1 3 9 8 12 31111 6 M59 70300 000132 0000R 00001 00398 015 2111300 2024*")</f>
        <v>26562.46</v>
      </c>
      <c r="G8499" s="35">
        <f>SUMIFS(G8500:G9015,K8500:K9015,"0",B8500:B9015,"5 1 3 9 8 12 31111 6 M59 70300 000132 0000R 00001 00398 015 2111300 2024*")</f>
        <v>0</v>
      </c>
      <c r="H8499" s="35">
        <f t="shared" si="133"/>
        <v>26562.46</v>
      </c>
      <c r="I8499" s="35"/>
      <c r="K8499" t="s">
        <v>15</v>
      </c>
    </row>
    <row r="8500" spans="2:11" ht="41.25" x14ac:dyDescent="0.2">
      <c r="B8500" s="33" t="s">
        <v>9626</v>
      </c>
      <c r="C8500" s="33" t="s">
        <v>1056</v>
      </c>
      <c r="D8500" s="35">
        <f>SUMIFS(D8501:D9015,K8501:K9015,"0",B8501:B9015,"5 1 3 9 8 12 31111 6 M59 70300 000132 0000R 00001 00398 015 2111300 2024 CP1CU419*")-SUMIFS(E8501:E9015,K8501:K9015,"0",B8501:B9015,"5 1 3 9 8 12 31111 6 M59 70300 000132 0000R 00001 00398 015 2111300 2024 CP1CU419*")</f>
        <v>0</v>
      </c>
      <c r="E8500"/>
      <c r="F8500" s="35">
        <f>SUMIFS(F8501:F9015,K8501:K9015,"0",B8501:B9015,"5 1 3 9 8 12 31111 6 M59 70300 000132 0000R 00001 00398 015 2111300 2024 CP1CU419*")</f>
        <v>26562.46</v>
      </c>
      <c r="G8500" s="35">
        <f>SUMIFS(G8501:G9015,K8501:K9015,"0",B8501:B9015,"5 1 3 9 8 12 31111 6 M59 70300 000132 0000R 00001 00398 015 2111300 2024 CP1CU419*")</f>
        <v>0</v>
      </c>
      <c r="H8500" s="35">
        <f t="shared" si="133"/>
        <v>26562.46</v>
      </c>
      <c r="I8500" s="35"/>
      <c r="K8500" t="s">
        <v>15</v>
      </c>
    </row>
    <row r="8501" spans="2:11" ht="41.25" x14ac:dyDescent="0.2">
      <c r="B8501" s="33" t="s">
        <v>9627</v>
      </c>
      <c r="C8501" s="33" t="s">
        <v>282</v>
      </c>
      <c r="D8501" s="35">
        <f>SUMIFS(D8502:D9015,K8502:K9015,"0",B8502:B9015,"5 1 3 9 8 12 31111 6 M59 70300 000132 0000R 00001 00398 015 2111300 2024 CP1CU419 001*")-SUMIFS(E8502:E9015,K8502:K9015,"0",B8502:B9015,"5 1 3 9 8 12 31111 6 M59 70300 000132 0000R 00001 00398 015 2111300 2024 CP1CU419 001*")</f>
        <v>0</v>
      </c>
      <c r="E8501"/>
      <c r="F8501" s="35">
        <f>SUMIFS(F8502:F9015,K8502:K9015,"0",B8502:B9015,"5 1 3 9 8 12 31111 6 M59 70300 000132 0000R 00001 00398 015 2111300 2024 CP1CU419 001*")</f>
        <v>26562.46</v>
      </c>
      <c r="G8501" s="35">
        <f>SUMIFS(G8502:G9015,K8502:K9015,"0",B8502:B9015,"5 1 3 9 8 12 31111 6 M59 70300 000132 0000R 00001 00398 015 2111300 2024 CP1CU419 001*")</f>
        <v>0</v>
      </c>
      <c r="H8501" s="35">
        <f t="shared" si="133"/>
        <v>26562.46</v>
      </c>
      <c r="I8501" s="35"/>
      <c r="K8501" t="s">
        <v>15</v>
      </c>
    </row>
    <row r="8502" spans="2:11" ht="33" x14ac:dyDescent="0.2">
      <c r="B8502" s="31" t="s">
        <v>9628</v>
      </c>
      <c r="C8502" s="31" t="s">
        <v>9254</v>
      </c>
      <c r="D8502" s="34">
        <v>0</v>
      </c>
      <c r="E8502" s="34"/>
      <c r="F8502" s="34">
        <v>26562.46</v>
      </c>
      <c r="G8502" s="34">
        <v>0</v>
      </c>
      <c r="H8502" s="34">
        <f t="shared" si="133"/>
        <v>26562.46</v>
      </c>
      <c r="I8502" s="34"/>
      <c r="K8502" t="s">
        <v>38</v>
      </c>
    </row>
    <row r="8503" spans="2:11" ht="16.5" x14ac:dyDescent="0.2">
      <c r="B8503" s="33" t="s">
        <v>9629</v>
      </c>
      <c r="C8503" s="33" t="s">
        <v>3425</v>
      </c>
      <c r="D8503" s="35">
        <f>SUMIFS(D8504:D9015,K8504:K9015,"0",B8504:B9015,"5 1 3 9 8 12 31111 6 M59 70400*")-SUMIFS(E8504:E9015,K8504:K9015,"0",B8504:B9015,"5 1 3 9 8 12 31111 6 M59 70400*")</f>
        <v>0</v>
      </c>
      <c r="E8503"/>
      <c r="F8503" s="35">
        <f>SUMIFS(F8504:F9015,K8504:K9015,"0",B8504:B9015,"5 1 3 9 8 12 31111 6 M59 70400*")</f>
        <v>4617.28</v>
      </c>
      <c r="G8503" s="35">
        <f>SUMIFS(G8504:G9015,K8504:K9015,"0",B8504:B9015,"5 1 3 9 8 12 31111 6 M59 70400*")</f>
        <v>0</v>
      </c>
      <c r="H8503" s="35">
        <f t="shared" si="133"/>
        <v>4617.28</v>
      </c>
      <c r="I8503" s="35"/>
      <c r="K8503" t="s">
        <v>15</v>
      </c>
    </row>
    <row r="8504" spans="2:11" ht="16.5" x14ac:dyDescent="0.2">
      <c r="B8504" s="33" t="s">
        <v>9630</v>
      </c>
      <c r="C8504" s="33" t="s">
        <v>3427</v>
      </c>
      <c r="D8504" s="35">
        <f>SUMIFS(D8505:D9015,K8505:K9015,"0",B8505:B9015,"5 1 3 9 8 12 31111 6 M59 70400 000241*")-SUMIFS(E8505:E9015,K8505:K9015,"0",B8505:B9015,"5 1 3 9 8 12 31111 6 M59 70400 000241*")</f>
        <v>0</v>
      </c>
      <c r="E8504"/>
      <c r="F8504" s="35">
        <f>SUMIFS(F8505:F9015,K8505:K9015,"0",B8505:B9015,"5 1 3 9 8 12 31111 6 M59 70400 000241*")</f>
        <v>4617.28</v>
      </c>
      <c r="G8504" s="35">
        <f>SUMIFS(G8505:G9015,K8505:K9015,"0",B8505:B9015,"5 1 3 9 8 12 31111 6 M59 70400 000241*")</f>
        <v>0</v>
      </c>
      <c r="H8504" s="35">
        <f t="shared" si="133"/>
        <v>4617.28</v>
      </c>
      <c r="I8504" s="35"/>
      <c r="K8504" t="s">
        <v>15</v>
      </c>
    </row>
    <row r="8505" spans="2:11" ht="24.75" x14ac:dyDescent="0.2">
      <c r="B8505" s="33" t="s">
        <v>9631</v>
      </c>
      <c r="C8505" s="33" t="s">
        <v>650</v>
      </c>
      <c r="D8505" s="35">
        <f>SUMIFS(D8506:D9015,K8506:K9015,"0",B8506:B9015,"5 1 3 9 8 12 31111 6 M59 70400 000241 0000R*")-SUMIFS(E8506:E9015,K8506:K9015,"0",B8506:B9015,"5 1 3 9 8 12 31111 6 M59 70400 000241 0000R*")</f>
        <v>0</v>
      </c>
      <c r="E8505"/>
      <c r="F8505" s="35">
        <f>SUMIFS(F8506:F9015,K8506:K9015,"0",B8506:B9015,"5 1 3 9 8 12 31111 6 M59 70400 000241 0000R*")</f>
        <v>4617.28</v>
      </c>
      <c r="G8505" s="35">
        <f>SUMIFS(G8506:G9015,K8506:K9015,"0",B8506:B9015,"5 1 3 9 8 12 31111 6 M59 70400 000241 0000R*")</f>
        <v>0</v>
      </c>
      <c r="H8505" s="35">
        <f t="shared" si="133"/>
        <v>4617.28</v>
      </c>
      <c r="I8505" s="35"/>
      <c r="K8505" t="s">
        <v>15</v>
      </c>
    </row>
    <row r="8506" spans="2:11" ht="24.75" x14ac:dyDescent="0.2">
      <c r="B8506" s="33" t="s">
        <v>9632</v>
      </c>
      <c r="C8506" s="33" t="s">
        <v>282</v>
      </c>
      <c r="D8506" s="35">
        <f>SUMIFS(D8507:D9015,K8507:K9015,"0",B8507:B9015,"5 1 3 9 8 12 31111 6 M59 70400 000241 0000R 00001*")-SUMIFS(E8507:E9015,K8507:K9015,"0",B8507:B9015,"5 1 3 9 8 12 31111 6 M59 70400 000241 0000R 00001*")</f>
        <v>0</v>
      </c>
      <c r="E8506"/>
      <c r="F8506" s="35">
        <f>SUMIFS(F8507:F9015,K8507:K9015,"0",B8507:B9015,"5 1 3 9 8 12 31111 6 M59 70400 000241 0000R 00001*")</f>
        <v>4617.28</v>
      </c>
      <c r="G8506" s="35">
        <f>SUMIFS(G8507:G9015,K8507:K9015,"0",B8507:B9015,"5 1 3 9 8 12 31111 6 M59 70400 000241 0000R 00001*")</f>
        <v>0</v>
      </c>
      <c r="H8506" s="35">
        <f t="shared" si="133"/>
        <v>4617.28</v>
      </c>
      <c r="I8506" s="35"/>
      <c r="K8506" t="s">
        <v>15</v>
      </c>
    </row>
    <row r="8507" spans="2:11" ht="24.75" x14ac:dyDescent="0.2">
      <c r="B8507" s="33" t="s">
        <v>9633</v>
      </c>
      <c r="C8507" s="33" t="s">
        <v>9247</v>
      </c>
      <c r="D8507" s="35">
        <f>SUMIFS(D8508:D9015,K8508:K9015,"0",B8508:B9015,"5 1 3 9 8 12 31111 6 M59 70400 000241 0000R 00001 00398*")-SUMIFS(E8508:E9015,K8508:K9015,"0",B8508:B9015,"5 1 3 9 8 12 31111 6 M59 70400 000241 0000R 00001 00398*")</f>
        <v>0</v>
      </c>
      <c r="E8507"/>
      <c r="F8507" s="35">
        <f>SUMIFS(F8508:F9015,K8508:K9015,"0",B8508:B9015,"5 1 3 9 8 12 31111 6 M59 70400 000241 0000R 00001 00398*")</f>
        <v>4617.28</v>
      </c>
      <c r="G8507" s="35">
        <f>SUMIFS(G8508:G9015,K8508:K9015,"0",B8508:B9015,"5 1 3 9 8 12 31111 6 M59 70400 000241 0000R 00001 00398*")</f>
        <v>0</v>
      </c>
      <c r="H8507" s="35">
        <f t="shared" si="133"/>
        <v>4617.28</v>
      </c>
      <c r="I8507" s="35"/>
      <c r="K8507" t="s">
        <v>15</v>
      </c>
    </row>
    <row r="8508" spans="2:11" ht="33" x14ac:dyDescent="0.2">
      <c r="B8508" s="33" t="s">
        <v>9634</v>
      </c>
      <c r="C8508" s="33" t="s">
        <v>1051</v>
      </c>
      <c r="D8508" s="35">
        <f>SUMIFS(D8509:D9015,K8509:K9015,"0",B8509:B9015,"5 1 3 9 8 12 31111 6 M59 70400 000241 0000R 00001 00398 015*")-SUMIFS(E8509:E9015,K8509:K9015,"0",B8509:B9015,"5 1 3 9 8 12 31111 6 M59 70400 000241 0000R 00001 00398 015*")</f>
        <v>0</v>
      </c>
      <c r="E8508"/>
      <c r="F8508" s="35">
        <f>SUMIFS(F8509:F9015,K8509:K9015,"0",B8509:B9015,"5 1 3 9 8 12 31111 6 M59 70400 000241 0000R 00001 00398 015*")</f>
        <v>4617.28</v>
      </c>
      <c r="G8508" s="35">
        <f>SUMIFS(G8509:G9015,K8509:K9015,"0",B8509:B9015,"5 1 3 9 8 12 31111 6 M59 70400 000241 0000R 00001 00398 015*")</f>
        <v>0</v>
      </c>
      <c r="H8508" s="35">
        <f t="shared" si="133"/>
        <v>4617.28</v>
      </c>
      <c r="I8508" s="35"/>
      <c r="K8508" t="s">
        <v>15</v>
      </c>
    </row>
    <row r="8509" spans="2:11" ht="33" x14ac:dyDescent="0.2">
      <c r="B8509" s="33" t="s">
        <v>9635</v>
      </c>
      <c r="C8509" s="33" t="s">
        <v>2927</v>
      </c>
      <c r="D8509" s="35">
        <f>SUMIFS(D8510:D9015,K8510:K9015,"0",B8510:B9015,"5 1 3 9 8 12 31111 6 M59 70400 000241 0000R 00001 00398 015 2111100*")-SUMIFS(E8510:E9015,K8510:K9015,"0",B8510:B9015,"5 1 3 9 8 12 31111 6 M59 70400 000241 0000R 00001 00398 015 2111100*")</f>
        <v>0</v>
      </c>
      <c r="E8509"/>
      <c r="F8509" s="35">
        <f>SUMIFS(F8510:F9015,K8510:K9015,"0",B8510:B9015,"5 1 3 9 8 12 31111 6 M59 70400 000241 0000R 00001 00398 015 2111100*")</f>
        <v>4617.28</v>
      </c>
      <c r="G8509" s="35">
        <f>SUMIFS(G8510:G9015,K8510:K9015,"0",B8510:B9015,"5 1 3 9 8 12 31111 6 M59 70400 000241 0000R 00001 00398 015 2111100*")</f>
        <v>0</v>
      </c>
      <c r="H8509" s="35">
        <f t="shared" si="133"/>
        <v>4617.28</v>
      </c>
      <c r="I8509" s="35"/>
      <c r="K8509" t="s">
        <v>15</v>
      </c>
    </row>
    <row r="8510" spans="2:11" ht="33" x14ac:dyDescent="0.2">
      <c r="B8510" s="33" t="s">
        <v>9636</v>
      </c>
      <c r="C8510" s="33" t="s">
        <v>660</v>
      </c>
      <c r="D8510" s="35">
        <f>SUMIFS(D8511:D9015,K8511:K9015,"0",B8511:B9015,"5 1 3 9 8 12 31111 6 M59 70400 000241 0000R 00001 00398 015 2111100 2024*")-SUMIFS(E8511:E9015,K8511:K9015,"0",B8511:B9015,"5 1 3 9 8 12 31111 6 M59 70400 000241 0000R 00001 00398 015 2111100 2024*")</f>
        <v>0</v>
      </c>
      <c r="E8510"/>
      <c r="F8510" s="35">
        <f>SUMIFS(F8511:F9015,K8511:K9015,"0",B8511:B9015,"5 1 3 9 8 12 31111 6 M59 70400 000241 0000R 00001 00398 015 2111100 2024*")</f>
        <v>4617.28</v>
      </c>
      <c r="G8510" s="35">
        <f>SUMIFS(G8511:G9015,K8511:K9015,"0",B8511:B9015,"5 1 3 9 8 12 31111 6 M59 70400 000241 0000R 00001 00398 015 2111100 2024*")</f>
        <v>0</v>
      </c>
      <c r="H8510" s="35">
        <f t="shared" si="133"/>
        <v>4617.28</v>
      </c>
      <c r="I8510" s="35"/>
      <c r="K8510" t="s">
        <v>15</v>
      </c>
    </row>
    <row r="8511" spans="2:11" ht="41.25" x14ac:dyDescent="0.2">
      <c r="B8511" s="33" t="s">
        <v>9637</v>
      </c>
      <c r="C8511" s="33" t="s">
        <v>662</v>
      </c>
      <c r="D8511" s="35">
        <f>SUMIFS(D8512:D9015,K8512:K9015,"0",B8512:B9015,"5 1 3 9 8 12 31111 6 M59 70400 000241 0000R 00001 00398 015 2111100 2024 CP1DD418*")-SUMIFS(E8512:E9015,K8512:K9015,"0",B8512:B9015,"5 1 3 9 8 12 31111 6 M59 70400 000241 0000R 00001 00398 015 2111100 2024 CP1DD418*")</f>
        <v>0</v>
      </c>
      <c r="E8511"/>
      <c r="F8511" s="35">
        <f>SUMIFS(F8512:F9015,K8512:K9015,"0",B8512:B9015,"5 1 3 9 8 12 31111 6 M59 70400 000241 0000R 00001 00398 015 2111100 2024 CP1DD418*")</f>
        <v>4617.28</v>
      </c>
      <c r="G8511" s="35">
        <f>SUMIFS(G8512:G9015,K8512:K9015,"0",B8512:B9015,"5 1 3 9 8 12 31111 6 M59 70400 000241 0000R 00001 00398 015 2111100 2024 CP1DD418*")</f>
        <v>0</v>
      </c>
      <c r="H8511" s="35">
        <f t="shared" si="133"/>
        <v>4617.28</v>
      </c>
      <c r="I8511" s="35"/>
      <c r="K8511" t="s">
        <v>15</v>
      </c>
    </row>
    <row r="8512" spans="2:11" ht="41.25" x14ac:dyDescent="0.2">
      <c r="B8512" s="33" t="s">
        <v>9638</v>
      </c>
      <c r="C8512" s="33" t="s">
        <v>282</v>
      </c>
      <c r="D8512" s="35">
        <f>SUMIFS(D8513:D9015,K8513:K9015,"0",B8513:B9015,"5 1 3 9 8 12 31111 6 M59 70400 000241 0000R 00001 00398 015 2111100 2024 CP1DD418 001*")-SUMIFS(E8513:E9015,K8513:K9015,"0",B8513:B9015,"5 1 3 9 8 12 31111 6 M59 70400 000241 0000R 00001 00398 015 2111100 2024 CP1DD418 001*")</f>
        <v>0</v>
      </c>
      <c r="E8512"/>
      <c r="F8512" s="35">
        <f>SUMIFS(F8513:F9015,K8513:K9015,"0",B8513:B9015,"5 1 3 9 8 12 31111 6 M59 70400 000241 0000R 00001 00398 015 2111100 2024 CP1DD418 001*")</f>
        <v>4617.28</v>
      </c>
      <c r="G8512" s="35">
        <f>SUMIFS(G8513:G9015,K8513:K9015,"0",B8513:B9015,"5 1 3 9 8 12 31111 6 M59 70400 000241 0000R 00001 00398 015 2111100 2024 CP1DD418 001*")</f>
        <v>0</v>
      </c>
      <c r="H8512" s="35">
        <f t="shared" si="133"/>
        <v>4617.28</v>
      </c>
      <c r="I8512" s="35"/>
      <c r="K8512" t="s">
        <v>15</v>
      </c>
    </row>
    <row r="8513" spans="2:11" ht="33" x14ac:dyDescent="0.2">
      <c r="B8513" s="31" t="s">
        <v>9639</v>
      </c>
      <c r="C8513" s="31" t="s">
        <v>9254</v>
      </c>
      <c r="D8513" s="34">
        <v>0</v>
      </c>
      <c r="E8513" s="34"/>
      <c r="F8513" s="34">
        <v>4617.28</v>
      </c>
      <c r="G8513" s="34">
        <v>0</v>
      </c>
      <c r="H8513" s="34">
        <f t="shared" si="133"/>
        <v>4617.28</v>
      </c>
      <c r="I8513" s="34"/>
      <c r="K8513" t="s">
        <v>38</v>
      </c>
    </row>
    <row r="8514" spans="2:11" ht="16.5" x14ac:dyDescent="0.2">
      <c r="B8514" s="33" t="s">
        <v>9640</v>
      </c>
      <c r="C8514" s="33" t="s">
        <v>3438</v>
      </c>
      <c r="D8514" s="35">
        <f>SUMIFS(D8515:D9015,K8515:K9015,"0",B8515:B9015,"5 1 3 9 8 12 31111 6 M59 70500*")-SUMIFS(E8515:E9015,K8515:K9015,"0",B8515:B9015,"5 1 3 9 8 12 31111 6 M59 70500*")</f>
        <v>0</v>
      </c>
      <c r="E8514"/>
      <c r="F8514" s="35">
        <f>SUMIFS(F8515:F9015,K8515:K9015,"0",B8515:B9015,"5 1 3 9 8 12 31111 6 M59 70500*")</f>
        <v>3809.26</v>
      </c>
      <c r="G8514" s="35">
        <f>SUMIFS(G8515:G9015,K8515:K9015,"0",B8515:B9015,"5 1 3 9 8 12 31111 6 M59 70500*")</f>
        <v>0</v>
      </c>
      <c r="H8514" s="35">
        <f t="shared" si="133"/>
        <v>3809.26</v>
      </c>
      <c r="I8514" s="35"/>
      <c r="K8514" t="s">
        <v>15</v>
      </c>
    </row>
    <row r="8515" spans="2:11" ht="16.5" x14ac:dyDescent="0.2">
      <c r="B8515" s="33" t="s">
        <v>9641</v>
      </c>
      <c r="C8515" s="33" t="s">
        <v>648</v>
      </c>
      <c r="D8515" s="35">
        <f>SUMIFS(D8516:D9015,K8516:K9015,"0",B8516:B9015,"5 1 3 9 8 12 31111 6 M59 70500 000132*")-SUMIFS(E8516:E9015,K8516:K9015,"0",B8516:B9015,"5 1 3 9 8 12 31111 6 M59 70500 000132*")</f>
        <v>0</v>
      </c>
      <c r="E8515"/>
      <c r="F8515" s="35">
        <f>SUMIFS(F8516:F9015,K8516:K9015,"0",B8516:B9015,"5 1 3 9 8 12 31111 6 M59 70500 000132*")</f>
        <v>3809.26</v>
      </c>
      <c r="G8515" s="35">
        <f>SUMIFS(G8516:G9015,K8516:K9015,"0",B8516:B9015,"5 1 3 9 8 12 31111 6 M59 70500 000132*")</f>
        <v>0</v>
      </c>
      <c r="H8515" s="35">
        <f t="shared" si="133"/>
        <v>3809.26</v>
      </c>
      <c r="I8515" s="35"/>
      <c r="K8515" t="s">
        <v>15</v>
      </c>
    </row>
    <row r="8516" spans="2:11" ht="24.75" x14ac:dyDescent="0.2">
      <c r="B8516" s="33" t="s">
        <v>9642</v>
      </c>
      <c r="C8516" s="33" t="s">
        <v>650</v>
      </c>
      <c r="D8516" s="35">
        <f>SUMIFS(D8517:D9015,K8517:K9015,"0",B8517:B9015,"5 1 3 9 8 12 31111 6 M59 70500 000132 0000R*")-SUMIFS(E8517:E9015,K8517:K9015,"0",B8517:B9015,"5 1 3 9 8 12 31111 6 M59 70500 000132 0000R*")</f>
        <v>0</v>
      </c>
      <c r="E8516"/>
      <c r="F8516" s="35">
        <f>SUMIFS(F8517:F9015,K8517:K9015,"0",B8517:B9015,"5 1 3 9 8 12 31111 6 M59 70500 000132 0000R*")</f>
        <v>3809.26</v>
      </c>
      <c r="G8516" s="35">
        <f>SUMIFS(G8517:G9015,K8517:K9015,"0",B8517:B9015,"5 1 3 9 8 12 31111 6 M59 70500 000132 0000R*")</f>
        <v>0</v>
      </c>
      <c r="H8516" s="35">
        <f t="shared" ref="H8516:H8579" si="134">D8516 + F8516 - G8516</f>
        <v>3809.26</v>
      </c>
      <c r="I8516" s="35"/>
      <c r="K8516" t="s">
        <v>15</v>
      </c>
    </row>
    <row r="8517" spans="2:11" ht="24.75" x14ac:dyDescent="0.2">
      <c r="B8517" s="33" t="s">
        <v>9643</v>
      </c>
      <c r="C8517" s="33" t="s">
        <v>282</v>
      </c>
      <c r="D8517" s="35">
        <f>SUMIFS(D8518:D9015,K8518:K9015,"0",B8518:B9015,"5 1 3 9 8 12 31111 6 M59 70500 000132 0000R 00001*")-SUMIFS(E8518:E9015,K8518:K9015,"0",B8518:B9015,"5 1 3 9 8 12 31111 6 M59 70500 000132 0000R 00001*")</f>
        <v>0</v>
      </c>
      <c r="E8517"/>
      <c r="F8517" s="35">
        <f>SUMIFS(F8518:F9015,K8518:K9015,"0",B8518:B9015,"5 1 3 9 8 12 31111 6 M59 70500 000132 0000R 00001*")</f>
        <v>3809.26</v>
      </c>
      <c r="G8517" s="35">
        <f>SUMIFS(G8518:G9015,K8518:K9015,"0",B8518:B9015,"5 1 3 9 8 12 31111 6 M59 70500 000132 0000R 00001*")</f>
        <v>0</v>
      </c>
      <c r="H8517" s="35">
        <f t="shared" si="134"/>
        <v>3809.26</v>
      </c>
      <c r="I8517" s="35"/>
      <c r="K8517" t="s">
        <v>15</v>
      </c>
    </row>
    <row r="8518" spans="2:11" ht="24.75" x14ac:dyDescent="0.2">
      <c r="B8518" s="33" t="s">
        <v>9644</v>
      </c>
      <c r="C8518" s="33" t="s">
        <v>9247</v>
      </c>
      <c r="D8518" s="35">
        <f>SUMIFS(D8519:D9015,K8519:K9015,"0",B8519:B9015,"5 1 3 9 8 12 31111 6 M59 70500 000132 0000R 00001 00398*")-SUMIFS(E8519:E9015,K8519:K9015,"0",B8519:B9015,"5 1 3 9 8 12 31111 6 M59 70500 000132 0000R 00001 00398*")</f>
        <v>0</v>
      </c>
      <c r="E8518"/>
      <c r="F8518" s="35">
        <f>SUMIFS(F8519:F9015,K8519:K9015,"0",B8519:B9015,"5 1 3 9 8 12 31111 6 M59 70500 000132 0000R 00001 00398*")</f>
        <v>3809.26</v>
      </c>
      <c r="G8518" s="35">
        <f>SUMIFS(G8519:G9015,K8519:K9015,"0",B8519:B9015,"5 1 3 9 8 12 31111 6 M59 70500 000132 0000R 00001 00398*")</f>
        <v>0</v>
      </c>
      <c r="H8518" s="35">
        <f t="shared" si="134"/>
        <v>3809.26</v>
      </c>
      <c r="I8518" s="35"/>
      <c r="K8518" t="s">
        <v>15</v>
      </c>
    </row>
    <row r="8519" spans="2:11" ht="33" x14ac:dyDescent="0.2">
      <c r="B8519" s="33" t="s">
        <v>9645</v>
      </c>
      <c r="C8519" s="33" t="s">
        <v>1051</v>
      </c>
      <c r="D8519" s="35">
        <f>SUMIFS(D8520:D9015,K8520:K9015,"0",B8520:B9015,"5 1 3 9 8 12 31111 6 M59 70500 000132 0000R 00001 00398 015*")-SUMIFS(E8520:E9015,K8520:K9015,"0",B8520:B9015,"5 1 3 9 8 12 31111 6 M59 70500 000132 0000R 00001 00398 015*")</f>
        <v>0</v>
      </c>
      <c r="E8519"/>
      <c r="F8519" s="35">
        <f>SUMIFS(F8520:F9015,K8520:K9015,"0",B8520:B9015,"5 1 3 9 8 12 31111 6 M59 70500 000132 0000R 00001 00398 015*")</f>
        <v>3809.26</v>
      </c>
      <c r="G8519" s="35">
        <f>SUMIFS(G8520:G9015,K8520:K9015,"0",B8520:B9015,"5 1 3 9 8 12 31111 6 M59 70500 000132 0000R 00001 00398 015*")</f>
        <v>0</v>
      </c>
      <c r="H8519" s="35">
        <f t="shared" si="134"/>
        <v>3809.26</v>
      </c>
      <c r="I8519" s="35"/>
      <c r="K8519" t="s">
        <v>15</v>
      </c>
    </row>
    <row r="8520" spans="2:11" ht="33" x14ac:dyDescent="0.2">
      <c r="B8520" s="33" t="s">
        <v>9646</v>
      </c>
      <c r="C8520" s="33" t="s">
        <v>8550</v>
      </c>
      <c r="D8520" s="35">
        <f>SUMIFS(D8521:D9015,K8521:K9015,"0",B8521:B9015,"5 1 3 9 8 12 31111 6 M59 70500 000132 0000R 00001 00398 015 2111300*")-SUMIFS(E8521:E9015,K8521:K9015,"0",B8521:B9015,"5 1 3 9 8 12 31111 6 M59 70500 000132 0000R 00001 00398 015 2111300*")</f>
        <v>0</v>
      </c>
      <c r="E8520"/>
      <c r="F8520" s="35">
        <f>SUMIFS(F8521:F9015,K8521:K9015,"0",B8521:B9015,"5 1 3 9 8 12 31111 6 M59 70500 000132 0000R 00001 00398 015 2111300*")</f>
        <v>3809.26</v>
      </c>
      <c r="G8520" s="35">
        <f>SUMIFS(G8521:G9015,K8521:K9015,"0",B8521:B9015,"5 1 3 9 8 12 31111 6 M59 70500 000132 0000R 00001 00398 015 2111300*")</f>
        <v>0</v>
      </c>
      <c r="H8520" s="35">
        <f t="shared" si="134"/>
        <v>3809.26</v>
      </c>
      <c r="I8520" s="35"/>
      <c r="K8520" t="s">
        <v>15</v>
      </c>
    </row>
    <row r="8521" spans="2:11" ht="33" x14ac:dyDescent="0.2">
      <c r="B8521" s="33" t="s">
        <v>9647</v>
      </c>
      <c r="C8521" s="33" t="s">
        <v>660</v>
      </c>
      <c r="D8521" s="35">
        <f>SUMIFS(D8522:D9015,K8522:K9015,"0",B8522:B9015,"5 1 3 9 8 12 31111 6 M59 70500 000132 0000R 00001 00398 015 2111300 2024*")-SUMIFS(E8522:E9015,K8522:K9015,"0",B8522:B9015,"5 1 3 9 8 12 31111 6 M59 70500 000132 0000R 00001 00398 015 2111300 2024*")</f>
        <v>0</v>
      </c>
      <c r="E8521"/>
      <c r="F8521" s="35">
        <f>SUMIFS(F8522:F9015,K8522:K9015,"0",B8522:B9015,"5 1 3 9 8 12 31111 6 M59 70500 000132 0000R 00001 00398 015 2111300 2024*")</f>
        <v>3809.26</v>
      </c>
      <c r="G8521" s="35">
        <f>SUMIFS(G8522:G9015,K8522:K9015,"0",B8522:B9015,"5 1 3 9 8 12 31111 6 M59 70500 000132 0000R 00001 00398 015 2111300 2024*")</f>
        <v>0</v>
      </c>
      <c r="H8521" s="35">
        <f t="shared" si="134"/>
        <v>3809.26</v>
      </c>
      <c r="I8521" s="35"/>
      <c r="K8521" t="s">
        <v>15</v>
      </c>
    </row>
    <row r="8522" spans="2:11" ht="41.25" x14ac:dyDescent="0.2">
      <c r="B8522" s="33" t="s">
        <v>9648</v>
      </c>
      <c r="C8522" s="33" t="s">
        <v>1056</v>
      </c>
      <c r="D8522" s="35">
        <f>SUMIFS(D8523:D9015,K8523:K9015,"0",B8523:B9015,"5 1 3 9 8 12 31111 6 M59 70500 000132 0000R 00001 00398 015 2111300 2024 CP1DT395*")-SUMIFS(E8523:E9015,K8523:K9015,"0",B8523:B9015,"5 1 3 9 8 12 31111 6 M59 70500 000132 0000R 00001 00398 015 2111300 2024 CP1DT395*")</f>
        <v>0</v>
      </c>
      <c r="E8522"/>
      <c r="F8522" s="35">
        <f>SUMIFS(F8523:F9015,K8523:K9015,"0",B8523:B9015,"5 1 3 9 8 12 31111 6 M59 70500 000132 0000R 00001 00398 015 2111300 2024 CP1DT395*")</f>
        <v>3809.26</v>
      </c>
      <c r="G8522" s="35">
        <f>SUMIFS(G8523:G9015,K8523:K9015,"0",B8523:B9015,"5 1 3 9 8 12 31111 6 M59 70500 000132 0000R 00001 00398 015 2111300 2024 CP1DT395*")</f>
        <v>0</v>
      </c>
      <c r="H8522" s="35">
        <f t="shared" si="134"/>
        <v>3809.26</v>
      </c>
      <c r="I8522" s="35"/>
      <c r="K8522" t="s">
        <v>15</v>
      </c>
    </row>
    <row r="8523" spans="2:11" ht="41.25" x14ac:dyDescent="0.2">
      <c r="B8523" s="33" t="s">
        <v>9649</v>
      </c>
      <c r="C8523" s="33" t="s">
        <v>282</v>
      </c>
      <c r="D8523" s="35">
        <f>SUMIFS(D8524:D9015,K8524:K9015,"0",B8524:B9015,"5 1 3 9 8 12 31111 6 M59 70500 000132 0000R 00001 00398 015 2111300 2024 CP1DT395 001*")-SUMIFS(E8524:E9015,K8524:K9015,"0",B8524:B9015,"5 1 3 9 8 12 31111 6 M59 70500 000132 0000R 00001 00398 015 2111300 2024 CP1DT395 001*")</f>
        <v>0</v>
      </c>
      <c r="E8523"/>
      <c r="F8523" s="35">
        <f>SUMIFS(F8524:F9015,K8524:K9015,"0",B8524:B9015,"5 1 3 9 8 12 31111 6 M59 70500 000132 0000R 00001 00398 015 2111300 2024 CP1DT395 001*")</f>
        <v>3809.26</v>
      </c>
      <c r="G8523" s="35">
        <f>SUMIFS(G8524:G9015,K8524:K9015,"0",B8524:B9015,"5 1 3 9 8 12 31111 6 M59 70500 000132 0000R 00001 00398 015 2111300 2024 CP1DT395 001*")</f>
        <v>0</v>
      </c>
      <c r="H8523" s="35">
        <f t="shared" si="134"/>
        <v>3809.26</v>
      </c>
      <c r="I8523" s="35"/>
      <c r="K8523" t="s">
        <v>15</v>
      </c>
    </row>
    <row r="8524" spans="2:11" ht="33" x14ac:dyDescent="0.2">
      <c r="B8524" s="31" t="s">
        <v>9650</v>
      </c>
      <c r="C8524" s="31" t="s">
        <v>9254</v>
      </c>
      <c r="D8524" s="34">
        <v>0</v>
      </c>
      <c r="E8524" s="34"/>
      <c r="F8524" s="34">
        <v>3809.26</v>
      </c>
      <c r="G8524" s="34">
        <v>0</v>
      </c>
      <c r="H8524" s="34">
        <f t="shared" si="134"/>
        <v>3809.26</v>
      </c>
      <c r="I8524" s="34"/>
      <c r="K8524" t="s">
        <v>38</v>
      </c>
    </row>
    <row r="8525" spans="2:11" ht="16.5" x14ac:dyDescent="0.2">
      <c r="B8525" s="33" t="s">
        <v>9651</v>
      </c>
      <c r="C8525" s="33" t="s">
        <v>3450</v>
      </c>
      <c r="D8525" s="35">
        <f>SUMIFS(D8526:D9015,K8526:K9015,"0",B8526:B9015,"5 1 3 9 8 12 31111 6 M59 70600*")-SUMIFS(E8526:E9015,K8526:K9015,"0",B8526:B9015,"5 1 3 9 8 12 31111 6 M59 70600*")</f>
        <v>0</v>
      </c>
      <c r="E8525"/>
      <c r="F8525" s="35">
        <f>SUMIFS(F8526:F9015,K8526:K9015,"0",B8526:B9015,"5 1 3 9 8 12 31111 6 M59 70600*")</f>
        <v>3554.98</v>
      </c>
      <c r="G8525" s="35">
        <f>SUMIFS(G8526:G9015,K8526:K9015,"0",B8526:B9015,"5 1 3 9 8 12 31111 6 M59 70600*")</f>
        <v>0</v>
      </c>
      <c r="H8525" s="35">
        <f t="shared" si="134"/>
        <v>3554.98</v>
      </c>
      <c r="I8525" s="35"/>
      <c r="K8525" t="s">
        <v>15</v>
      </c>
    </row>
    <row r="8526" spans="2:11" ht="16.5" x14ac:dyDescent="0.2">
      <c r="B8526" s="33" t="s">
        <v>9652</v>
      </c>
      <c r="C8526" s="33" t="s">
        <v>648</v>
      </c>
      <c r="D8526" s="35">
        <f>SUMIFS(D8527:D9015,K8527:K9015,"0",B8527:B9015,"5 1 3 9 8 12 31111 6 M59 70600 000132*")-SUMIFS(E8527:E9015,K8527:K9015,"0",B8527:B9015,"5 1 3 9 8 12 31111 6 M59 70600 000132*")</f>
        <v>0</v>
      </c>
      <c r="E8526"/>
      <c r="F8526" s="35">
        <f>SUMIFS(F8527:F9015,K8527:K9015,"0",B8527:B9015,"5 1 3 9 8 12 31111 6 M59 70600 000132*")</f>
        <v>3554.98</v>
      </c>
      <c r="G8526" s="35">
        <f>SUMIFS(G8527:G9015,K8527:K9015,"0",B8527:B9015,"5 1 3 9 8 12 31111 6 M59 70600 000132*")</f>
        <v>0</v>
      </c>
      <c r="H8526" s="35">
        <f t="shared" si="134"/>
        <v>3554.98</v>
      </c>
      <c r="I8526" s="35"/>
      <c r="K8526" t="s">
        <v>15</v>
      </c>
    </row>
    <row r="8527" spans="2:11" ht="24.75" x14ac:dyDescent="0.2">
      <c r="B8527" s="33" t="s">
        <v>9653</v>
      </c>
      <c r="C8527" s="33" t="s">
        <v>650</v>
      </c>
      <c r="D8527" s="35">
        <f>SUMIFS(D8528:D9015,K8528:K9015,"0",B8528:B9015,"5 1 3 9 8 12 31111 6 M59 70600 000132 0000R*")-SUMIFS(E8528:E9015,K8528:K9015,"0",B8528:B9015,"5 1 3 9 8 12 31111 6 M59 70600 000132 0000R*")</f>
        <v>0</v>
      </c>
      <c r="E8527"/>
      <c r="F8527" s="35">
        <f>SUMIFS(F8528:F9015,K8528:K9015,"0",B8528:B9015,"5 1 3 9 8 12 31111 6 M59 70600 000132 0000R*")</f>
        <v>3554.98</v>
      </c>
      <c r="G8527" s="35">
        <f>SUMIFS(G8528:G9015,K8528:K9015,"0",B8528:B9015,"5 1 3 9 8 12 31111 6 M59 70600 000132 0000R*")</f>
        <v>0</v>
      </c>
      <c r="H8527" s="35">
        <f t="shared" si="134"/>
        <v>3554.98</v>
      </c>
      <c r="I8527" s="35"/>
      <c r="K8527" t="s">
        <v>15</v>
      </c>
    </row>
    <row r="8528" spans="2:11" ht="24.75" x14ac:dyDescent="0.2">
      <c r="B8528" s="33" t="s">
        <v>9654</v>
      </c>
      <c r="C8528" s="33" t="s">
        <v>282</v>
      </c>
      <c r="D8528" s="35">
        <f>SUMIFS(D8529:D9015,K8529:K9015,"0",B8529:B9015,"5 1 3 9 8 12 31111 6 M59 70600 000132 0000R 00001*")-SUMIFS(E8529:E9015,K8529:K9015,"0",B8529:B9015,"5 1 3 9 8 12 31111 6 M59 70600 000132 0000R 00001*")</f>
        <v>0</v>
      </c>
      <c r="E8528"/>
      <c r="F8528" s="35">
        <f>SUMIFS(F8529:F9015,K8529:K9015,"0",B8529:B9015,"5 1 3 9 8 12 31111 6 M59 70600 000132 0000R 00001*")</f>
        <v>3554.98</v>
      </c>
      <c r="G8528" s="35">
        <f>SUMIFS(G8529:G9015,K8529:K9015,"0",B8529:B9015,"5 1 3 9 8 12 31111 6 M59 70600 000132 0000R 00001*")</f>
        <v>0</v>
      </c>
      <c r="H8528" s="35">
        <f t="shared" si="134"/>
        <v>3554.98</v>
      </c>
      <c r="I8528" s="35"/>
      <c r="K8528" t="s">
        <v>15</v>
      </c>
    </row>
    <row r="8529" spans="2:11" ht="24.75" x14ac:dyDescent="0.2">
      <c r="B8529" s="33" t="s">
        <v>9655</v>
      </c>
      <c r="C8529" s="33" t="s">
        <v>9247</v>
      </c>
      <c r="D8529" s="35">
        <f>SUMIFS(D8530:D9015,K8530:K9015,"0",B8530:B9015,"5 1 3 9 8 12 31111 6 M59 70600 000132 0000R 00001 00398*")-SUMIFS(E8530:E9015,K8530:K9015,"0",B8530:B9015,"5 1 3 9 8 12 31111 6 M59 70600 000132 0000R 00001 00398*")</f>
        <v>0</v>
      </c>
      <c r="E8529"/>
      <c r="F8529" s="35">
        <f>SUMIFS(F8530:F9015,K8530:K9015,"0",B8530:B9015,"5 1 3 9 8 12 31111 6 M59 70600 000132 0000R 00001 00398*")</f>
        <v>3554.98</v>
      </c>
      <c r="G8529" s="35">
        <f>SUMIFS(G8530:G9015,K8530:K9015,"0",B8530:B9015,"5 1 3 9 8 12 31111 6 M59 70600 000132 0000R 00001 00398*")</f>
        <v>0</v>
      </c>
      <c r="H8529" s="35">
        <f t="shared" si="134"/>
        <v>3554.98</v>
      </c>
      <c r="I8529" s="35"/>
      <c r="K8529" t="s">
        <v>15</v>
      </c>
    </row>
    <row r="8530" spans="2:11" ht="33" x14ac:dyDescent="0.2">
      <c r="B8530" s="33" t="s">
        <v>9656</v>
      </c>
      <c r="C8530" s="33" t="s">
        <v>1051</v>
      </c>
      <c r="D8530" s="35">
        <f>SUMIFS(D8531:D9015,K8531:K9015,"0",B8531:B9015,"5 1 3 9 8 12 31111 6 M59 70600 000132 0000R 00001 00398 015*")-SUMIFS(E8531:E9015,K8531:K9015,"0",B8531:B9015,"5 1 3 9 8 12 31111 6 M59 70600 000132 0000R 00001 00398 015*")</f>
        <v>0</v>
      </c>
      <c r="E8530"/>
      <c r="F8530" s="35">
        <f>SUMIFS(F8531:F9015,K8531:K9015,"0",B8531:B9015,"5 1 3 9 8 12 31111 6 M59 70600 000132 0000R 00001 00398 015*")</f>
        <v>3554.98</v>
      </c>
      <c r="G8530" s="35">
        <f>SUMIFS(G8531:G9015,K8531:K9015,"0",B8531:B9015,"5 1 3 9 8 12 31111 6 M59 70600 000132 0000R 00001 00398 015*")</f>
        <v>0</v>
      </c>
      <c r="H8530" s="35">
        <f t="shared" si="134"/>
        <v>3554.98</v>
      </c>
      <c r="I8530" s="35"/>
      <c r="K8530" t="s">
        <v>15</v>
      </c>
    </row>
    <row r="8531" spans="2:11" ht="33" x14ac:dyDescent="0.2">
      <c r="B8531" s="33" t="s">
        <v>9657</v>
      </c>
      <c r="C8531" s="33" t="s">
        <v>8550</v>
      </c>
      <c r="D8531" s="35">
        <f>SUMIFS(D8532:D9015,K8532:K9015,"0",B8532:B9015,"5 1 3 9 8 12 31111 6 M59 70600 000132 0000R 00001 00398 015 2111300*")-SUMIFS(E8532:E9015,K8532:K9015,"0",B8532:B9015,"5 1 3 9 8 12 31111 6 M59 70600 000132 0000R 00001 00398 015 2111300*")</f>
        <v>0</v>
      </c>
      <c r="E8531"/>
      <c r="F8531" s="35">
        <f>SUMIFS(F8532:F9015,K8532:K9015,"0",B8532:B9015,"5 1 3 9 8 12 31111 6 M59 70600 000132 0000R 00001 00398 015 2111300*")</f>
        <v>3554.98</v>
      </c>
      <c r="G8531" s="35">
        <f>SUMIFS(G8532:G9015,K8532:K9015,"0",B8532:B9015,"5 1 3 9 8 12 31111 6 M59 70600 000132 0000R 00001 00398 015 2111300*")</f>
        <v>0</v>
      </c>
      <c r="H8531" s="35">
        <f t="shared" si="134"/>
        <v>3554.98</v>
      </c>
      <c r="I8531" s="35"/>
      <c r="K8531" t="s">
        <v>15</v>
      </c>
    </row>
    <row r="8532" spans="2:11" ht="33" x14ac:dyDescent="0.2">
      <c r="B8532" s="33" t="s">
        <v>9658</v>
      </c>
      <c r="C8532" s="33" t="s">
        <v>660</v>
      </c>
      <c r="D8532" s="35">
        <f>SUMIFS(D8533:D9015,K8533:K9015,"0",B8533:B9015,"5 1 3 9 8 12 31111 6 M59 70600 000132 0000R 00001 00398 015 2111300 2024*")-SUMIFS(E8533:E9015,K8533:K9015,"0",B8533:B9015,"5 1 3 9 8 12 31111 6 M59 70600 000132 0000R 00001 00398 015 2111300 2024*")</f>
        <v>0</v>
      </c>
      <c r="E8532"/>
      <c r="F8532" s="35">
        <f>SUMIFS(F8533:F9015,K8533:K9015,"0",B8533:B9015,"5 1 3 9 8 12 31111 6 M59 70600 000132 0000R 00001 00398 015 2111300 2024*")</f>
        <v>3554.98</v>
      </c>
      <c r="G8532" s="35">
        <f>SUMIFS(G8533:G9015,K8533:K9015,"0",B8533:B9015,"5 1 3 9 8 12 31111 6 M59 70600 000132 0000R 00001 00398 015 2111300 2024*")</f>
        <v>0</v>
      </c>
      <c r="H8532" s="35">
        <f t="shared" si="134"/>
        <v>3554.98</v>
      </c>
      <c r="I8532" s="35"/>
      <c r="K8532" t="s">
        <v>15</v>
      </c>
    </row>
    <row r="8533" spans="2:11" ht="41.25" x14ac:dyDescent="0.2">
      <c r="B8533" s="33" t="s">
        <v>9659</v>
      </c>
      <c r="C8533" s="33" t="s">
        <v>1056</v>
      </c>
      <c r="D8533" s="35">
        <f>SUMIFS(D8534:D9015,K8534:K9015,"0",B8534:B9015,"5 1 3 9 8 12 31111 6 M59 70600 000132 0000R 00001 00398 015 2111300 2024 CP1DJ409*")-SUMIFS(E8534:E9015,K8534:K9015,"0",B8534:B9015,"5 1 3 9 8 12 31111 6 M59 70600 000132 0000R 00001 00398 015 2111300 2024 CP1DJ409*")</f>
        <v>0</v>
      </c>
      <c r="E8533"/>
      <c r="F8533" s="35">
        <f>SUMIFS(F8534:F9015,K8534:K9015,"0",B8534:B9015,"5 1 3 9 8 12 31111 6 M59 70600 000132 0000R 00001 00398 015 2111300 2024 CP1DJ409*")</f>
        <v>3554.98</v>
      </c>
      <c r="G8533" s="35">
        <f>SUMIFS(G8534:G9015,K8534:K9015,"0",B8534:B9015,"5 1 3 9 8 12 31111 6 M59 70600 000132 0000R 00001 00398 015 2111300 2024 CP1DJ409*")</f>
        <v>0</v>
      </c>
      <c r="H8533" s="35">
        <f t="shared" si="134"/>
        <v>3554.98</v>
      </c>
      <c r="I8533" s="35"/>
      <c r="K8533" t="s">
        <v>15</v>
      </c>
    </row>
    <row r="8534" spans="2:11" ht="41.25" x14ac:dyDescent="0.2">
      <c r="B8534" s="33" t="s">
        <v>9660</v>
      </c>
      <c r="C8534" s="33" t="s">
        <v>282</v>
      </c>
      <c r="D8534" s="35">
        <f>SUMIFS(D8535:D9015,K8535:K9015,"0",B8535:B9015,"5 1 3 9 8 12 31111 6 M59 70600 000132 0000R 00001 00398 015 2111300 2024 CP1DJ409 001*")-SUMIFS(E8535:E9015,K8535:K9015,"0",B8535:B9015,"5 1 3 9 8 12 31111 6 M59 70600 000132 0000R 00001 00398 015 2111300 2024 CP1DJ409 001*")</f>
        <v>0</v>
      </c>
      <c r="E8534"/>
      <c r="F8534" s="35">
        <f>SUMIFS(F8535:F9015,K8535:K9015,"0",B8535:B9015,"5 1 3 9 8 12 31111 6 M59 70600 000132 0000R 00001 00398 015 2111300 2024 CP1DJ409 001*")</f>
        <v>3554.98</v>
      </c>
      <c r="G8534" s="35">
        <f>SUMIFS(G8535:G9015,K8535:K9015,"0",B8535:B9015,"5 1 3 9 8 12 31111 6 M59 70600 000132 0000R 00001 00398 015 2111300 2024 CP1DJ409 001*")</f>
        <v>0</v>
      </c>
      <c r="H8534" s="35">
        <f t="shared" si="134"/>
        <v>3554.98</v>
      </c>
      <c r="I8534" s="35"/>
      <c r="K8534" t="s">
        <v>15</v>
      </c>
    </row>
    <row r="8535" spans="2:11" ht="33" x14ac:dyDescent="0.2">
      <c r="B8535" s="31" t="s">
        <v>9661</v>
      </c>
      <c r="C8535" s="31" t="s">
        <v>9254</v>
      </c>
      <c r="D8535" s="34">
        <v>0</v>
      </c>
      <c r="E8535" s="34"/>
      <c r="F8535" s="34">
        <v>3554.98</v>
      </c>
      <c r="G8535" s="34">
        <v>0</v>
      </c>
      <c r="H8535" s="34">
        <f t="shared" si="134"/>
        <v>3554.98</v>
      </c>
      <c r="I8535" s="34"/>
      <c r="K8535" t="s">
        <v>38</v>
      </c>
    </row>
    <row r="8536" spans="2:11" ht="16.5" x14ac:dyDescent="0.2">
      <c r="B8536" s="33" t="s">
        <v>9662</v>
      </c>
      <c r="C8536" s="33" t="s">
        <v>3462</v>
      </c>
      <c r="D8536" s="35">
        <f>SUMIFS(D8537:D9015,K8537:K9015,"0",B8537:B9015,"5 1 3 9 8 12 31111 6 M59 70700*")-SUMIFS(E8537:E9015,K8537:K9015,"0",B8537:B9015,"5 1 3 9 8 12 31111 6 M59 70700*")</f>
        <v>0</v>
      </c>
      <c r="E8536"/>
      <c r="F8536" s="35">
        <f>SUMIFS(F8537:F9015,K8537:K9015,"0",B8537:B9015,"5 1 3 9 8 12 31111 6 M59 70700*")</f>
        <v>15778.55</v>
      </c>
      <c r="G8536" s="35">
        <f>SUMIFS(G8537:G9015,K8537:K9015,"0",B8537:B9015,"5 1 3 9 8 12 31111 6 M59 70700*")</f>
        <v>0</v>
      </c>
      <c r="H8536" s="35">
        <f t="shared" si="134"/>
        <v>15778.55</v>
      </c>
      <c r="I8536" s="35"/>
      <c r="K8536" t="s">
        <v>15</v>
      </c>
    </row>
    <row r="8537" spans="2:11" ht="16.5" x14ac:dyDescent="0.2">
      <c r="B8537" s="33" t="s">
        <v>9663</v>
      </c>
      <c r="C8537" s="33" t="s">
        <v>648</v>
      </c>
      <c r="D8537" s="35">
        <f>SUMIFS(D8538:D9015,K8538:K9015,"0",B8538:B9015,"5 1 3 9 8 12 31111 6 M59 70700 000132*")-SUMIFS(E8538:E9015,K8538:K9015,"0",B8538:B9015,"5 1 3 9 8 12 31111 6 M59 70700 000132*")</f>
        <v>0</v>
      </c>
      <c r="E8537"/>
      <c r="F8537" s="35">
        <f>SUMIFS(F8538:F9015,K8538:K9015,"0",B8538:B9015,"5 1 3 9 8 12 31111 6 M59 70700 000132*")</f>
        <v>15778.55</v>
      </c>
      <c r="G8537" s="35">
        <f>SUMIFS(G8538:G9015,K8538:K9015,"0",B8538:B9015,"5 1 3 9 8 12 31111 6 M59 70700 000132*")</f>
        <v>0</v>
      </c>
      <c r="H8537" s="35">
        <f t="shared" si="134"/>
        <v>15778.55</v>
      </c>
      <c r="I8537" s="35"/>
      <c r="K8537" t="s">
        <v>15</v>
      </c>
    </row>
    <row r="8538" spans="2:11" ht="24.75" x14ac:dyDescent="0.2">
      <c r="B8538" s="33" t="s">
        <v>9664</v>
      </c>
      <c r="C8538" s="33" t="s">
        <v>650</v>
      </c>
      <c r="D8538" s="35">
        <f>SUMIFS(D8539:D9015,K8539:K9015,"0",B8539:B9015,"5 1 3 9 8 12 31111 6 M59 70700 000132 0000R*")-SUMIFS(E8539:E9015,K8539:K9015,"0",B8539:B9015,"5 1 3 9 8 12 31111 6 M59 70700 000132 0000R*")</f>
        <v>0</v>
      </c>
      <c r="E8538"/>
      <c r="F8538" s="35">
        <f>SUMIFS(F8539:F9015,K8539:K9015,"0",B8539:B9015,"5 1 3 9 8 12 31111 6 M59 70700 000132 0000R*")</f>
        <v>15778.55</v>
      </c>
      <c r="G8538" s="35">
        <f>SUMIFS(G8539:G9015,K8539:K9015,"0",B8539:B9015,"5 1 3 9 8 12 31111 6 M59 70700 000132 0000R*")</f>
        <v>0</v>
      </c>
      <c r="H8538" s="35">
        <f t="shared" si="134"/>
        <v>15778.55</v>
      </c>
      <c r="I8538" s="35"/>
      <c r="K8538" t="s">
        <v>15</v>
      </c>
    </row>
    <row r="8539" spans="2:11" ht="24.75" x14ac:dyDescent="0.2">
      <c r="B8539" s="33" t="s">
        <v>9665</v>
      </c>
      <c r="C8539" s="33" t="s">
        <v>282</v>
      </c>
      <c r="D8539" s="35">
        <f>SUMIFS(D8540:D9015,K8540:K9015,"0",B8540:B9015,"5 1 3 9 8 12 31111 6 M59 70700 000132 0000R 00001*")-SUMIFS(E8540:E9015,K8540:K9015,"0",B8540:B9015,"5 1 3 9 8 12 31111 6 M59 70700 000132 0000R 00001*")</f>
        <v>0</v>
      </c>
      <c r="E8539"/>
      <c r="F8539" s="35">
        <f>SUMIFS(F8540:F9015,K8540:K9015,"0",B8540:B9015,"5 1 3 9 8 12 31111 6 M59 70700 000132 0000R 00001*")</f>
        <v>15778.55</v>
      </c>
      <c r="G8539" s="35">
        <f>SUMIFS(G8540:G9015,K8540:K9015,"0",B8540:B9015,"5 1 3 9 8 12 31111 6 M59 70700 000132 0000R 00001*")</f>
        <v>0</v>
      </c>
      <c r="H8539" s="35">
        <f t="shared" si="134"/>
        <v>15778.55</v>
      </c>
      <c r="I8539" s="35"/>
      <c r="K8539" t="s">
        <v>15</v>
      </c>
    </row>
    <row r="8540" spans="2:11" ht="24.75" x14ac:dyDescent="0.2">
      <c r="B8540" s="33" t="s">
        <v>9666</v>
      </c>
      <c r="C8540" s="33" t="s">
        <v>9247</v>
      </c>
      <c r="D8540" s="35">
        <f>SUMIFS(D8541:D9015,K8541:K9015,"0",B8541:B9015,"5 1 3 9 8 12 31111 6 M59 70700 000132 0000R 00001 00398*")-SUMIFS(E8541:E9015,K8541:K9015,"0",B8541:B9015,"5 1 3 9 8 12 31111 6 M59 70700 000132 0000R 00001 00398*")</f>
        <v>0</v>
      </c>
      <c r="E8540"/>
      <c r="F8540" s="35">
        <f>SUMIFS(F8541:F9015,K8541:K9015,"0",B8541:B9015,"5 1 3 9 8 12 31111 6 M59 70700 000132 0000R 00001 00398*")</f>
        <v>15778.55</v>
      </c>
      <c r="G8540" s="35">
        <f>SUMIFS(G8541:G9015,K8541:K9015,"0",B8541:B9015,"5 1 3 9 8 12 31111 6 M59 70700 000132 0000R 00001 00398*")</f>
        <v>0</v>
      </c>
      <c r="H8540" s="35">
        <f t="shared" si="134"/>
        <v>15778.55</v>
      </c>
      <c r="I8540" s="35"/>
      <c r="K8540" t="s">
        <v>15</v>
      </c>
    </row>
    <row r="8541" spans="2:11" ht="33" x14ac:dyDescent="0.2">
      <c r="B8541" s="33" t="s">
        <v>9667</v>
      </c>
      <c r="C8541" s="33" t="s">
        <v>1051</v>
      </c>
      <c r="D8541" s="35">
        <f>SUMIFS(D8542:D9015,K8542:K9015,"0",B8542:B9015,"5 1 3 9 8 12 31111 6 M59 70700 000132 0000R 00001 00398 015*")-SUMIFS(E8542:E9015,K8542:K9015,"0",B8542:B9015,"5 1 3 9 8 12 31111 6 M59 70700 000132 0000R 00001 00398 015*")</f>
        <v>0</v>
      </c>
      <c r="E8541"/>
      <c r="F8541" s="35">
        <f>SUMIFS(F8542:F9015,K8542:K9015,"0",B8542:B9015,"5 1 3 9 8 12 31111 6 M59 70700 000132 0000R 00001 00398 015*")</f>
        <v>15778.55</v>
      </c>
      <c r="G8541" s="35">
        <f>SUMIFS(G8542:G9015,K8542:K9015,"0",B8542:B9015,"5 1 3 9 8 12 31111 6 M59 70700 000132 0000R 00001 00398 015*")</f>
        <v>0</v>
      </c>
      <c r="H8541" s="35">
        <f t="shared" si="134"/>
        <v>15778.55</v>
      </c>
      <c r="I8541" s="35"/>
      <c r="K8541" t="s">
        <v>15</v>
      </c>
    </row>
    <row r="8542" spans="2:11" ht="33" x14ac:dyDescent="0.2">
      <c r="B8542" s="33" t="s">
        <v>9668</v>
      </c>
      <c r="C8542" s="33" t="s">
        <v>8550</v>
      </c>
      <c r="D8542" s="35">
        <f>SUMIFS(D8543:D9015,K8543:K9015,"0",B8543:B9015,"5 1 3 9 8 12 31111 6 M59 70700 000132 0000R 00001 00398 015 2111300*")-SUMIFS(E8543:E9015,K8543:K9015,"0",B8543:B9015,"5 1 3 9 8 12 31111 6 M59 70700 000132 0000R 00001 00398 015 2111300*")</f>
        <v>0</v>
      </c>
      <c r="E8542"/>
      <c r="F8542" s="35">
        <f>SUMIFS(F8543:F9015,K8543:K9015,"0",B8543:B9015,"5 1 3 9 8 12 31111 6 M59 70700 000132 0000R 00001 00398 015 2111300*")</f>
        <v>15778.55</v>
      </c>
      <c r="G8542" s="35">
        <f>SUMIFS(G8543:G9015,K8543:K9015,"0",B8543:B9015,"5 1 3 9 8 12 31111 6 M59 70700 000132 0000R 00001 00398 015 2111300*")</f>
        <v>0</v>
      </c>
      <c r="H8542" s="35">
        <f t="shared" si="134"/>
        <v>15778.55</v>
      </c>
      <c r="I8542" s="35"/>
      <c r="K8542" t="s">
        <v>15</v>
      </c>
    </row>
    <row r="8543" spans="2:11" ht="33" x14ac:dyDescent="0.2">
      <c r="B8543" s="33" t="s">
        <v>9669</v>
      </c>
      <c r="C8543" s="33" t="s">
        <v>660</v>
      </c>
      <c r="D8543" s="35">
        <f>SUMIFS(D8544:D9015,K8544:K9015,"0",B8544:B9015,"5 1 3 9 8 12 31111 6 M59 70700 000132 0000R 00001 00398 015 2111300 2024*")-SUMIFS(E8544:E9015,K8544:K9015,"0",B8544:B9015,"5 1 3 9 8 12 31111 6 M59 70700 000132 0000R 00001 00398 015 2111300 2024*")</f>
        <v>0</v>
      </c>
      <c r="E8543"/>
      <c r="F8543" s="35">
        <f>SUMIFS(F8544:F9015,K8544:K9015,"0",B8544:B9015,"5 1 3 9 8 12 31111 6 M59 70700 000132 0000R 00001 00398 015 2111300 2024*")</f>
        <v>15778.55</v>
      </c>
      <c r="G8543" s="35">
        <f>SUMIFS(G8544:G9015,K8544:K9015,"0",B8544:B9015,"5 1 3 9 8 12 31111 6 M59 70700 000132 0000R 00001 00398 015 2111300 2024*")</f>
        <v>0</v>
      </c>
      <c r="H8543" s="35">
        <f t="shared" si="134"/>
        <v>15778.55</v>
      </c>
      <c r="I8543" s="35"/>
      <c r="K8543" t="s">
        <v>15</v>
      </c>
    </row>
    <row r="8544" spans="2:11" ht="41.25" x14ac:dyDescent="0.2">
      <c r="B8544" s="33" t="s">
        <v>9670</v>
      </c>
      <c r="C8544" s="33" t="s">
        <v>1056</v>
      </c>
      <c r="D8544" s="35">
        <f>SUMIFS(D8545:D9015,K8545:K9015,"0",B8545:B9015,"5 1 3 9 8 12 31111 6 M59 70700 000132 0000R 00001 00398 015 2111300 2024 CP1SA397*")-SUMIFS(E8545:E9015,K8545:K9015,"0",B8545:B9015,"5 1 3 9 8 12 31111 6 M59 70700 000132 0000R 00001 00398 015 2111300 2024 CP1SA397*")</f>
        <v>0</v>
      </c>
      <c r="E8544"/>
      <c r="F8544" s="35">
        <f>SUMIFS(F8545:F9015,K8545:K9015,"0",B8545:B9015,"5 1 3 9 8 12 31111 6 M59 70700 000132 0000R 00001 00398 015 2111300 2024 CP1SA397*")</f>
        <v>15778.55</v>
      </c>
      <c r="G8544" s="35">
        <f>SUMIFS(G8545:G9015,K8545:K9015,"0",B8545:B9015,"5 1 3 9 8 12 31111 6 M59 70700 000132 0000R 00001 00398 015 2111300 2024 CP1SA397*")</f>
        <v>0</v>
      </c>
      <c r="H8544" s="35">
        <f t="shared" si="134"/>
        <v>15778.55</v>
      </c>
      <c r="I8544" s="35"/>
      <c r="K8544" t="s">
        <v>15</v>
      </c>
    </row>
    <row r="8545" spans="2:11" ht="41.25" x14ac:dyDescent="0.2">
      <c r="B8545" s="33" t="s">
        <v>9671</v>
      </c>
      <c r="C8545" s="33" t="s">
        <v>282</v>
      </c>
      <c r="D8545" s="35">
        <f>SUMIFS(D8546:D9015,K8546:K9015,"0",B8546:B9015,"5 1 3 9 8 12 31111 6 M59 70700 000132 0000R 00001 00398 015 2111300 2024 CP1SA397 001*")-SUMIFS(E8546:E9015,K8546:K9015,"0",B8546:B9015,"5 1 3 9 8 12 31111 6 M59 70700 000132 0000R 00001 00398 015 2111300 2024 CP1SA397 001*")</f>
        <v>0</v>
      </c>
      <c r="E8545"/>
      <c r="F8545" s="35">
        <f>SUMIFS(F8546:F9015,K8546:K9015,"0",B8546:B9015,"5 1 3 9 8 12 31111 6 M59 70700 000132 0000R 00001 00398 015 2111300 2024 CP1SA397 001*")</f>
        <v>15778.55</v>
      </c>
      <c r="G8545" s="35">
        <f>SUMIFS(G8546:G9015,K8546:K9015,"0",B8546:B9015,"5 1 3 9 8 12 31111 6 M59 70700 000132 0000R 00001 00398 015 2111300 2024 CP1SA397 001*")</f>
        <v>0</v>
      </c>
      <c r="H8545" s="35">
        <f t="shared" si="134"/>
        <v>15778.55</v>
      </c>
      <c r="I8545" s="35"/>
      <c r="K8545" t="s">
        <v>15</v>
      </c>
    </row>
    <row r="8546" spans="2:11" ht="33" x14ac:dyDescent="0.2">
      <c r="B8546" s="31" t="s">
        <v>9672</v>
      </c>
      <c r="C8546" s="31" t="s">
        <v>9254</v>
      </c>
      <c r="D8546" s="34">
        <v>0</v>
      </c>
      <c r="E8546" s="34"/>
      <c r="F8546" s="34">
        <v>15778.55</v>
      </c>
      <c r="G8546" s="34">
        <v>0</v>
      </c>
      <c r="H8546" s="34">
        <f t="shared" si="134"/>
        <v>15778.55</v>
      </c>
      <c r="I8546" s="34"/>
      <c r="K8546" t="s">
        <v>38</v>
      </c>
    </row>
    <row r="8547" spans="2:11" ht="16.5" x14ac:dyDescent="0.2">
      <c r="B8547" s="33" t="s">
        <v>9673</v>
      </c>
      <c r="C8547" s="33" t="s">
        <v>3474</v>
      </c>
      <c r="D8547" s="35">
        <f>SUMIFS(D8548:D9015,K8548:K9015,"0",B8548:B9015,"5 1 3 9 8 12 31111 6 M59 70800*")-SUMIFS(E8548:E9015,K8548:K9015,"0",B8548:B9015,"5 1 3 9 8 12 31111 6 M59 70800*")</f>
        <v>0</v>
      </c>
      <c r="E8547"/>
      <c r="F8547" s="35">
        <f>SUMIFS(F8548:F9015,K8548:K9015,"0",B8548:B9015,"5 1 3 9 8 12 31111 6 M59 70800*")</f>
        <v>56898.77</v>
      </c>
      <c r="G8547" s="35">
        <f>SUMIFS(G8548:G9015,K8548:K9015,"0",B8548:B9015,"5 1 3 9 8 12 31111 6 M59 70800*")</f>
        <v>0</v>
      </c>
      <c r="H8547" s="35">
        <f t="shared" si="134"/>
        <v>56898.77</v>
      </c>
      <c r="I8547" s="35"/>
      <c r="K8547" t="s">
        <v>15</v>
      </c>
    </row>
    <row r="8548" spans="2:11" ht="16.5" x14ac:dyDescent="0.2">
      <c r="B8548" s="33" t="s">
        <v>9674</v>
      </c>
      <c r="C8548" s="33" t="s">
        <v>648</v>
      </c>
      <c r="D8548" s="35">
        <f>SUMIFS(D8549:D9015,K8549:K9015,"0",B8549:B9015,"5 1 3 9 8 12 31111 6 M59 70800 000132*")-SUMIFS(E8549:E9015,K8549:K9015,"0",B8549:B9015,"5 1 3 9 8 12 31111 6 M59 70800 000132*")</f>
        <v>0</v>
      </c>
      <c r="E8548"/>
      <c r="F8548" s="35">
        <f>SUMIFS(F8549:F9015,K8549:K9015,"0",B8549:B9015,"5 1 3 9 8 12 31111 6 M59 70800 000132*")</f>
        <v>56898.77</v>
      </c>
      <c r="G8548" s="35">
        <f>SUMIFS(G8549:G9015,K8549:K9015,"0",B8549:B9015,"5 1 3 9 8 12 31111 6 M59 70800 000132*")</f>
        <v>0</v>
      </c>
      <c r="H8548" s="35">
        <f t="shared" si="134"/>
        <v>56898.77</v>
      </c>
      <c r="I8548" s="35"/>
      <c r="K8548" t="s">
        <v>15</v>
      </c>
    </row>
    <row r="8549" spans="2:11" ht="24.75" x14ac:dyDescent="0.2">
      <c r="B8549" s="33" t="s">
        <v>9675</v>
      </c>
      <c r="C8549" s="33" t="s">
        <v>650</v>
      </c>
      <c r="D8549" s="35">
        <f>SUMIFS(D8550:D9015,K8550:K9015,"0",B8550:B9015,"5 1 3 9 8 12 31111 6 M59 70800 000132 0000R*")-SUMIFS(E8550:E9015,K8550:K9015,"0",B8550:B9015,"5 1 3 9 8 12 31111 6 M59 70800 000132 0000R*")</f>
        <v>0</v>
      </c>
      <c r="E8549"/>
      <c r="F8549" s="35">
        <f>SUMIFS(F8550:F9015,K8550:K9015,"0",B8550:B9015,"5 1 3 9 8 12 31111 6 M59 70800 000132 0000R*")</f>
        <v>56898.77</v>
      </c>
      <c r="G8549" s="35">
        <f>SUMIFS(G8550:G9015,K8550:K9015,"0",B8550:B9015,"5 1 3 9 8 12 31111 6 M59 70800 000132 0000R*")</f>
        <v>0</v>
      </c>
      <c r="H8549" s="35">
        <f t="shared" si="134"/>
        <v>56898.77</v>
      </c>
      <c r="I8549" s="35"/>
      <c r="K8549" t="s">
        <v>15</v>
      </c>
    </row>
    <row r="8550" spans="2:11" ht="24.75" x14ac:dyDescent="0.2">
      <c r="B8550" s="33" t="s">
        <v>9676</v>
      </c>
      <c r="C8550" s="33" t="s">
        <v>282</v>
      </c>
      <c r="D8550" s="35">
        <f>SUMIFS(D8551:D9015,K8551:K9015,"0",B8551:B9015,"5 1 3 9 8 12 31111 6 M59 70800 000132 0000R 00001*")-SUMIFS(E8551:E9015,K8551:K9015,"0",B8551:B9015,"5 1 3 9 8 12 31111 6 M59 70800 000132 0000R 00001*")</f>
        <v>0</v>
      </c>
      <c r="E8550"/>
      <c r="F8550" s="35">
        <f>SUMIFS(F8551:F9015,K8551:K9015,"0",B8551:B9015,"5 1 3 9 8 12 31111 6 M59 70800 000132 0000R 00001*")</f>
        <v>56898.77</v>
      </c>
      <c r="G8550" s="35">
        <f>SUMIFS(G8551:G9015,K8551:K9015,"0",B8551:B9015,"5 1 3 9 8 12 31111 6 M59 70800 000132 0000R 00001*")</f>
        <v>0</v>
      </c>
      <c r="H8550" s="35">
        <f t="shared" si="134"/>
        <v>56898.77</v>
      </c>
      <c r="I8550" s="35"/>
      <c r="K8550" t="s">
        <v>15</v>
      </c>
    </row>
    <row r="8551" spans="2:11" ht="24.75" x14ac:dyDescent="0.2">
      <c r="B8551" s="33" t="s">
        <v>9677</v>
      </c>
      <c r="C8551" s="33" t="s">
        <v>9247</v>
      </c>
      <c r="D8551" s="35">
        <f>SUMIFS(D8552:D9015,K8552:K9015,"0",B8552:B9015,"5 1 3 9 8 12 31111 6 M59 70800 000132 0000R 00001 00398*")-SUMIFS(E8552:E9015,K8552:K9015,"0",B8552:B9015,"5 1 3 9 8 12 31111 6 M59 70800 000132 0000R 00001 00398*")</f>
        <v>0</v>
      </c>
      <c r="E8551"/>
      <c r="F8551" s="35">
        <f>SUMIFS(F8552:F9015,K8552:K9015,"0",B8552:B9015,"5 1 3 9 8 12 31111 6 M59 70800 000132 0000R 00001 00398*")</f>
        <v>56898.77</v>
      </c>
      <c r="G8551" s="35">
        <f>SUMIFS(G8552:G9015,K8552:K9015,"0",B8552:B9015,"5 1 3 9 8 12 31111 6 M59 70800 000132 0000R 00001 00398*")</f>
        <v>0</v>
      </c>
      <c r="H8551" s="35">
        <f t="shared" si="134"/>
        <v>56898.77</v>
      </c>
      <c r="I8551" s="35"/>
      <c r="K8551" t="s">
        <v>15</v>
      </c>
    </row>
    <row r="8552" spans="2:11" ht="33" x14ac:dyDescent="0.2">
      <c r="B8552" s="33" t="s">
        <v>9678</v>
      </c>
      <c r="C8552" s="33" t="s">
        <v>1051</v>
      </c>
      <c r="D8552" s="35">
        <f>SUMIFS(D8553:D9015,K8553:K9015,"0",B8553:B9015,"5 1 3 9 8 12 31111 6 M59 70800 000132 0000R 00001 00398 015*")-SUMIFS(E8553:E9015,K8553:K9015,"0",B8553:B9015,"5 1 3 9 8 12 31111 6 M59 70800 000132 0000R 00001 00398 015*")</f>
        <v>0</v>
      </c>
      <c r="E8552"/>
      <c r="F8552" s="35">
        <f>SUMIFS(F8553:F9015,K8553:K9015,"0",B8553:B9015,"5 1 3 9 8 12 31111 6 M59 70800 000132 0000R 00001 00398 015*")</f>
        <v>56898.77</v>
      </c>
      <c r="G8552" s="35">
        <f>SUMIFS(G8553:G9015,K8553:K9015,"0",B8553:B9015,"5 1 3 9 8 12 31111 6 M59 70800 000132 0000R 00001 00398 015*")</f>
        <v>0</v>
      </c>
      <c r="H8552" s="35">
        <f t="shared" si="134"/>
        <v>56898.77</v>
      </c>
      <c r="I8552" s="35"/>
      <c r="K8552" t="s">
        <v>15</v>
      </c>
    </row>
    <row r="8553" spans="2:11" ht="33" x14ac:dyDescent="0.2">
      <c r="B8553" s="33" t="s">
        <v>9679</v>
      </c>
      <c r="C8553" s="33" t="s">
        <v>8550</v>
      </c>
      <c r="D8553" s="35">
        <f>SUMIFS(D8554:D9015,K8554:K9015,"0",B8554:B9015,"5 1 3 9 8 12 31111 6 M59 70800 000132 0000R 00001 00398 015 2111300*")-SUMIFS(E8554:E9015,K8554:K9015,"0",B8554:B9015,"5 1 3 9 8 12 31111 6 M59 70800 000132 0000R 00001 00398 015 2111300*")</f>
        <v>0</v>
      </c>
      <c r="E8553"/>
      <c r="F8553" s="35">
        <f>SUMIFS(F8554:F9015,K8554:K9015,"0",B8554:B9015,"5 1 3 9 8 12 31111 6 M59 70800 000132 0000R 00001 00398 015 2111300*")</f>
        <v>56898.77</v>
      </c>
      <c r="G8553" s="35">
        <f>SUMIFS(G8554:G9015,K8554:K9015,"0",B8554:B9015,"5 1 3 9 8 12 31111 6 M59 70800 000132 0000R 00001 00398 015 2111300*")</f>
        <v>0</v>
      </c>
      <c r="H8553" s="35">
        <f t="shared" si="134"/>
        <v>56898.77</v>
      </c>
      <c r="I8553" s="35"/>
      <c r="K8553" t="s">
        <v>15</v>
      </c>
    </row>
    <row r="8554" spans="2:11" ht="33" x14ac:dyDescent="0.2">
      <c r="B8554" s="33" t="s">
        <v>9680</v>
      </c>
      <c r="C8554" s="33" t="s">
        <v>660</v>
      </c>
      <c r="D8554" s="35">
        <f>SUMIFS(D8555:D9015,K8555:K9015,"0",B8555:B9015,"5 1 3 9 8 12 31111 6 M59 70800 000132 0000R 00001 00398 015 2111300 2024*")-SUMIFS(E8555:E9015,K8555:K9015,"0",B8555:B9015,"5 1 3 9 8 12 31111 6 M59 70800 000132 0000R 00001 00398 015 2111300 2024*")</f>
        <v>0</v>
      </c>
      <c r="E8554"/>
      <c r="F8554" s="35">
        <f>SUMIFS(F8555:F9015,K8555:K9015,"0",B8555:B9015,"5 1 3 9 8 12 31111 6 M59 70800 000132 0000R 00001 00398 015 2111300 2024*")</f>
        <v>56898.77</v>
      </c>
      <c r="G8554" s="35">
        <f>SUMIFS(G8555:G9015,K8555:K9015,"0",B8555:B9015,"5 1 3 9 8 12 31111 6 M59 70800 000132 0000R 00001 00398 015 2111300 2024*")</f>
        <v>0</v>
      </c>
      <c r="H8554" s="35">
        <f t="shared" si="134"/>
        <v>56898.77</v>
      </c>
      <c r="I8554" s="35"/>
      <c r="K8554" t="s">
        <v>15</v>
      </c>
    </row>
    <row r="8555" spans="2:11" ht="41.25" x14ac:dyDescent="0.2">
      <c r="B8555" s="33" t="s">
        <v>9681</v>
      </c>
      <c r="C8555" s="33" t="s">
        <v>662</v>
      </c>
      <c r="D8555" s="35">
        <f>SUMIFS(D8556:D9015,K8556:K9015,"0",B8556:B9015,"5 1 3 9 8 12 31111 6 M59 70800 000132 0000R 00001 00398 015 2111300 2024 CP1ED416*")-SUMIFS(E8556:E9015,K8556:K9015,"0",B8556:B9015,"5 1 3 9 8 12 31111 6 M59 70800 000132 0000R 00001 00398 015 2111300 2024 CP1ED416*")</f>
        <v>0</v>
      </c>
      <c r="E8555"/>
      <c r="F8555" s="35">
        <f>SUMIFS(F8556:F9015,K8556:K9015,"0",B8556:B9015,"5 1 3 9 8 12 31111 6 M59 70800 000132 0000R 00001 00398 015 2111300 2024 CP1ED416*")</f>
        <v>56898.77</v>
      </c>
      <c r="G8555" s="35">
        <f>SUMIFS(G8556:G9015,K8556:K9015,"0",B8556:B9015,"5 1 3 9 8 12 31111 6 M59 70800 000132 0000R 00001 00398 015 2111300 2024 CP1ED416*")</f>
        <v>0</v>
      </c>
      <c r="H8555" s="35">
        <f t="shared" si="134"/>
        <v>56898.77</v>
      </c>
      <c r="I8555" s="35"/>
      <c r="K8555" t="s">
        <v>15</v>
      </c>
    </row>
    <row r="8556" spans="2:11" ht="41.25" x14ac:dyDescent="0.2">
      <c r="B8556" s="33" t="s">
        <v>9682</v>
      </c>
      <c r="C8556" s="33" t="s">
        <v>282</v>
      </c>
      <c r="D8556" s="35">
        <f>SUMIFS(D8557:D9015,K8557:K9015,"0",B8557:B9015,"5 1 3 9 8 12 31111 6 M59 70800 000132 0000R 00001 00398 015 2111300 2024 CP1ED416 001*")-SUMIFS(E8557:E9015,K8557:K9015,"0",B8557:B9015,"5 1 3 9 8 12 31111 6 M59 70800 000132 0000R 00001 00398 015 2111300 2024 CP1ED416 001*")</f>
        <v>0</v>
      </c>
      <c r="E8556"/>
      <c r="F8556" s="35">
        <f>SUMIFS(F8557:F9015,K8557:K9015,"0",B8557:B9015,"5 1 3 9 8 12 31111 6 M59 70800 000132 0000R 00001 00398 015 2111300 2024 CP1ED416 001*")</f>
        <v>56898.77</v>
      </c>
      <c r="G8556" s="35">
        <f>SUMIFS(G8557:G9015,K8557:K9015,"0",B8557:B9015,"5 1 3 9 8 12 31111 6 M59 70800 000132 0000R 00001 00398 015 2111300 2024 CP1ED416 001*")</f>
        <v>0</v>
      </c>
      <c r="H8556" s="35">
        <f t="shared" si="134"/>
        <v>56898.77</v>
      </c>
      <c r="I8556" s="35"/>
      <c r="K8556" t="s">
        <v>15</v>
      </c>
    </row>
    <row r="8557" spans="2:11" ht="33" x14ac:dyDescent="0.2">
      <c r="B8557" s="31" t="s">
        <v>9683</v>
      </c>
      <c r="C8557" s="31" t="s">
        <v>9254</v>
      </c>
      <c r="D8557" s="34">
        <v>0</v>
      </c>
      <c r="E8557" s="34"/>
      <c r="F8557" s="34">
        <v>56898.77</v>
      </c>
      <c r="G8557" s="34">
        <v>0</v>
      </c>
      <c r="H8557" s="34">
        <f t="shared" si="134"/>
        <v>56898.77</v>
      </c>
      <c r="I8557" s="34"/>
      <c r="K8557" t="s">
        <v>38</v>
      </c>
    </row>
    <row r="8558" spans="2:11" ht="16.5" x14ac:dyDescent="0.2">
      <c r="B8558" s="33" t="s">
        <v>9684</v>
      </c>
      <c r="C8558" s="33" t="s">
        <v>3499</v>
      </c>
      <c r="D8558" s="35">
        <f>SUMIFS(D8559:D9015,K8559:K9015,"0",B8559:B9015,"5 1 3 9 8 12 31111 6 M59 71000*")-SUMIFS(E8559:E9015,K8559:K9015,"0",B8559:B9015,"5 1 3 9 8 12 31111 6 M59 71000*")</f>
        <v>0</v>
      </c>
      <c r="E8558"/>
      <c r="F8558" s="35">
        <f>SUMIFS(F8559:F9015,K8559:K9015,"0",B8559:B9015,"5 1 3 9 8 12 31111 6 M59 71000*")</f>
        <v>1885</v>
      </c>
      <c r="G8558" s="35">
        <f>SUMIFS(G8559:G9015,K8559:K9015,"0",B8559:B9015,"5 1 3 9 8 12 31111 6 M59 71000*")</f>
        <v>0</v>
      </c>
      <c r="H8558" s="35">
        <f t="shared" si="134"/>
        <v>1885</v>
      </c>
      <c r="I8558" s="35"/>
      <c r="K8558" t="s">
        <v>15</v>
      </c>
    </row>
    <row r="8559" spans="2:11" ht="16.5" x14ac:dyDescent="0.2">
      <c r="B8559" s="33" t="s">
        <v>9685</v>
      </c>
      <c r="C8559" s="33" t="s">
        <v>648</v>
      </c>
      <c r="D8559" s="35">
        <f>SUMIFS(D8560:D9015,K8560:K9015,"0",B8560:B9015,"5 1 3 9 8 12 31111 6 M59 71000 000132*")-SUMIFS(E8560:E9015,K8560:K9015,"0",B8560:B9015,"5 1 3 9 8 12 31111 6 M59 71000 000132*")</f>
        <v>0</v>
      </c>
      <c r="E8559"/>
      <c r="F8559" s="35">
        <f>SUMIFS(F8560:F9015,K8560:K9015,"0",B8560:B9015,"5 1 3 9 8 12 31111 6 M59 71000 000132*")</f>
        <v>1885</v>
      </c>
      <c r="G8559" s="35">
        <f>SUMIFS(G8560:G9015,K8560:K9015,"0",B8560:B9015,"5 1 3 9 8 12 31111 6 M59 71000 000132*")</f>
        <v>0</v>
      </c>
      <c r="H8559" s="35">
        <f t="shared" si="134"/>
        <v>1885</v>
      </c>
      <c r="I8559" s="35"/>
      <c r="K8559" t="s">
        <v>15</v>
      </c>
    </row>
    <row r="8560" spans="2:11" ht="24.75" x14ac:dyDescent="0.2">
      <c r="B8560" s="33" t="s">
        <v>9686</v>
      </c>
      <c r="C8560" s="33" t="s">
        <v>650</v>
      </c>
      <c r="D8560" s="35">
        <f>SUMIFS(D8561:D9015,K8561:K9015,"0",B8561:B9015,"5 1 3 9 8 12 31111 6 M59 71000 000132 0000R*")-SUMIFS(E8561:E9015,K8561:K9015,"0",B8561:B9015,"5 1 3 9 8 12 31111 6 M59 71000 000132 0000R*")</f>
        <v>0</v>
      </c>
      <c r="E8560"/>
      <c r="F8560" s="35">
        <f>SUMIFS(F8561:F9015,K8561:K9015,"0",B8561:B9015,"5 1 3 9 8 12 31111 6 M59 71000 000132 0000R*")</f>
        <v>1885</v>
      </c>
      <c r="G8560" s="35">
        <f>SUMIFS(G8561:G9015,K8561:K9015,"0",B8561:B9015,"5 1 3 9 8 12 31111 6 M59 71000 000132 0000R*")</f>
        <v>0</v>
      </c>
      <c r="H8560" s="35">
        <f t="shared" si="134"/>
        <v>1885</v>
      </c>
      <c r="I8560" s="35"/>
      <c r="K8560" t="s">
        <v>15</v>
      </c>
    </row>
    <row r="8561" spans="2:11" ht="24.75" x14ac:dyDescent="0.2">
      <c r="B8561" s="33" t="s">
        <v>9687</v>
      </c>
      <c r="C8561" s="33" t="s">
        <v>282</v>
      </c>
      <c r="D8561" s="35">
        <f>SUMIFS(D8562:D9015,K8562:K9015,"0",B8562:B9015,"5 1 3 9 8 12 31111 6 M59 71000 000132 0000R 00001*")-SUMIFS(E8562:E9015,K8562:K9015,"0",B8562:B9015,"5 1 3 9 8 12 31111 6 M59 71000 000132 0000R 00001*")</f>
        <v>0</v>
      </c>
      <c r="E8561"/>
      <c r="F8561" s="35">
        <f>SUMIFS(F8562:F9015,K8562:K9015,"0",B8562:B9015,"5 1 3 9 8 12 31111 6 M59 71000 000132 0000R 00001*")</f>
        <v>1885</v>
      </c>
      <c r="G8561" s="35">
        <f>SUMIFS(G8562:G9015,K8562:K9015,"0",B8562:B9015,"5 1 3 9 8 12 31111 6 M59 71000 000132 0000R 00001*")</f>
        <v>0</v>
      </c>
      <c r="H8561" s="35">
        <f t="shared" si="134"/>
        <v>1885</v>
      </c>
      <c r="I8561" s="35"/>
      <c r="K8561" t="s">
        <v>15</v>
      </c>
    </row>
    <row r="8562" spans="2:11" ht="24.75" x14ac:dyDescent="0.2">
      <c r="B8562" s="33" t="s">
        <v>9688</v>
      </c>
      <c r="C8562" s="33" t="s">
        <v>9247</v>
      </c>
      <c r="D8562" s="35">
        <f>SUMIFS(D8563:D9015,K8563:K9015,"0",B8563:B9015,"5 1 3 9 8 12 31111 6 M59 71000 000132 0000R 00001 00398*")-SUMIFS(E8563:E9015,K8563:K9015,"0",B8563:B9015,"5 1 3 9 8 12 31111 6 M59 71000 000132 0000R 00001 00398*")</f>
        <v>0</v>
      </c>
      <c r="E8562"/>
      <c r="F8562" s="35">
        <f>SUMIFS(F8563:F9015,K8563:K9015,"0",B8563:B9015,"5 1 3 9 8 12 31111 6 M59 71000 000132 0000R 00001 00398*")</f>
        <v>1885</v>
      </c>
      <c r="G8562" s="35">
        <f>SUMIFS(G8563:G9015,K8563:K9015,"0",B8563:B9015,"5 1 3 9 8 12 31111 6 M59 71000 000132 0000R 00001 00398*")</f>
        <v>0</v>
      </c>
      <c r="H8562" s="35">
        <f t="shared" si="134"/>
        <v>1885</v>
      </c>
      <c r="I8562" s="35"/>
      <c r="K8562" t="s">
        <v>15</v>
      </c>
    </row>
    <row r="8563" spans="2:11" ht="33" x14ac:dyDescent="0.2">
      <c r="B8563" s="33" t="s">
        <v>9689</v>
      </c>
      <c r="C8563" s="33" t="s">
        <v>1051</v>
      </c>
      <c r="D8563" s="35">
        <f>SUMIFS(D8564:D9015,K8564:K9015,"0",B8564:B9015,"5 1 3 9 8 12 31111 6 M59 71000 000132 0000R 00001 00398 015*")-SUMIFS(E8564:E9015,K8564:K9015,"0",B8564:B9015,"5 1 3 9 8 12 31111 6 M59 71000 000132 0000R 00001 00398 015*")</f>
        <v>0</v>
      </c>
      <c r="E8563"/>
      <c r="F8563" s="35">
        <f>SUMIFS(F8564:F9015,K8564:K9015,"0",B8564:B9015,"5 1 3 9 8 12 31111 6 M59 71000 000132 0000R 00001 00398 015*")</f>
        <v>1885</v>
      </c>
      <c r="G8563" s="35">
        <f>SUMIFS(G8564:G9015,K8564:K9015,"0",B8564:B9015,"5 1 3 9 8 12 31111 6 M59 71000 000132 0000R 00001 00398 015*")</f>
        <v>0</v>
      </c>
      <c r="H8563" s="35">
        <f t="shared" si="134"/>
        <v>1885</v>
      </c>
      <c r="I8563" s="35"/>
      <c r="K8563" t="s">
        <v>15</v>
      </c>
    </row>
    <row r="8564" spans="2:11" ht="33" x14ac:dyDescent="0.2">
      <c r="B8564" s="33" t="s">
        <v>9690</v>
      </c>
      <c r="C8564" s="33" t="s">
        <v>8550</v>
      </c>
      <c r="D8564" s="35">
        <f>SUMIFS(D8565:D9015,K8565:K9015,"0",B8565:B9015,"5 1 3 9 8 12 31111 6 M59 71000 000132 0000R 00001 00398 015 2111300*")-SUMIFS(E8565:E9015,K8565:K9015,"0",B8565:B9015,"5 1 3 9 8 12 31111 6 M59 71000 000132 0000R 00001 00398 015 2111300*")</f>
        <v>0</v>
      </c>
      <c r="E8564"/>
      <c r="F8564" s="35">
        <f>SUMIFS(F8565:F9015,K8565:K9015,"0",B8565:B9015,"5 1 3 9 8 12 31111 6 M59 71000 000132 0000R 00001 00398 015 2111300*")</f>
        <v>1885</v>
      </c>
      <c r="G8564" s="35">
        <f>SUMIFS(G8565:G9015,K8565:K9015,"0",B8565:B9015,"5 1 3 9 8 12 31111 6 M59 71000 000132 0000R 00001 00398 015 2111300*")</f>
        <v>0</v>
      </c>
      <c r="H8564" s="35">
        <f t="shared" si="134"/>
        <v>1885</v>
      </c>
      <c r="I8564" s="35"/>
      <c r="K8564" t="s">
        <v>15</v>
      </c>
    </row>
    <row r="8565" spans="2:11" ht="33" x14ac:dyDescent="0.2">
      <c r="B8565" s="33" t="s">
        <v>9691</v>
      </c>
      <c r="C8565" s="33" t="s">
        <v>660</v>
      </c>
      <c r="D8565" s="35">
        <f>SUMIFS(D8566:D9015,K8566:K9015,"0",B8566:B9015,"5 1 3 9 8 12 31111 6 M59 71000 000132 0000R 00001 00398 015 2111300 2024*")-SUMIFS(E8566:E9015,K8566:K9015,"0",B8566:B9015,"5 1 3 9 8 12 31111 6 M59 71000 000132 0000R 00001 00398 015 2111300 2024*")</f>
        <v>0</v>
      </c>
      <c r="E8565"/>
      <c r="F8565" s="35">
        <f>SUMIFS(F8566:F9015,K8566:K9015,"0",B8566:B9015,"5 1 3 9 8 12 31111 6 M59 71000 000132 0000R 00001 00398 015 2111300 2024*")</f>
        <v>1885</v>
      </c>
      <c r="G8565" s="35">
        <f>SUMIFS(G8566:G9015,K8566:K9015,"0",B8566:B9015,"5 1 3 9 8 12 31111 6 M59 71000 000132 0000R 00001 00398 015 2111300 2024*")</f>
        <v>0</v>
      </c>
      <c r="H8565" s="35">
        <f t="shared" si="134"/>
        <v>1885</v>
      </c>
      <c r="I8565" s="35"/>
      <c r="K8565" t="s">
        <v>15</v>
      </c>
    </row>
    <row r="8566" spans="2:11" ht="41.25" x14ac:dyDescent="0.2">
      <c r="B8566" s="33" t="s">
        <v>9692</v>
      </c>
      <c r="C8566" s="33" t="s">
        <v>662</v>
      </c>
      <c r="D8566" s="35">
        <f>SUMIFS(D8567:D9015,K8567:K9015,"0",B8567:B9015,"5 1 3 9 8 12 31111 6 M59 71000 000132 0000R 00001 00398 015 2111300 2024 CP1AP422*")-SUMIFS(E8567:E9015,K8567:K9015,"0",B8567:B9015,"5 1 3 9 8 12 31111 6 M59 71000 000132 0000R 00001 00398 015 2111300 2024 CP1AP422*")</f>
        <v>0</v>
      </c>
      <c r="E8566"/>
      <c r="F8566" s="35">
        <f>SUMIFS(F8567:F9015,K8567:K9015,"0",B8567:B9015,"5 1 3 9 8 12 31111 6 M59 71000 000132 0000R 00001 00398 015 2111300 2024 CP1AP422*")</f>
        <v>1885</v>
      </c>
      <c r="G8566" s="35">
        <f>SUMIFS(G8567:G9015,K8567:K9015,"0",B8567:B9015,"5 1 3 9 8 12 31111 6 M59 71000 000132 0000R 00001 00398 015 2111300 2024 CP1AP422*")</f>
        <v>0</v>
      </c>
      <c r="H8566" s="35">
        <f t="shared" si="134"/>
        <v>1885</v>
      </c>
      <c r="I8566" s="35"/>
      <c r="K8566" t="s">
        <v>15</v>
      </c>
    </row>
    <row r="8567" spans="2:11" ht="41.25" x14ac:dyDescent="0.2">
      <c r="B8567" s="33" t="s">
        <v>9693</v>
      </c>
      <c r="C8567" s="33" t="s">
        <v>282</v>
      </c>
      <c r="D8567" s="35">
        <f>SUMIFS(D8568:D9015,K8568:K9015,"0",B8568:B9015,"5 1 3 9 8 12 31111 6 M59 71000 000132 0000R 00001 00398 015 2111300 2024 CP1AP422 001*")-SUMIFS(E8568:E9015,K8568:K9015,"0",B8568:B9015,"5 1 3 9 8 12 31111 6 M59 71000 000132 0000R 00001 00398 015 2111300 2024 CP1AP422 001*")</f>
        <v>0</v>
      </c>
      <c r="E8567"/>
      <c r="F8567" s="35">
        <f>SUMIFS(F8568:F9015,K8568:K9015,"0",B8568:B9015,"5 1 3 9 8 12 31111 6 M59 71000 000132 0000R 00001 00398 015 2111300 2024 CP1AP422 001*")</f>
        <v>1885</v>
      </c>
      <c r="G8567" s="35">
        <f>SUMIFS(G8568:G9015,K8568:K9015,"0",B8568:B9015,"5 1 3 9 8 12 31111 6 M59 71000 000132 0000R 00001 00398 015 2111300 2024 CP1AP422 001*")</f>
        <v>0</v>
      </c>
      <c r="H8567" s="35">
        <f t="shared" si="134"/>
        <v>1885</v>
      </c>
      <c r="I8567" s="35"/>
      <c r="K8567" t="s">
        <v>15</v>
      </c>
    </row>
    <row r="8568" spans="2:11" ht="33" x14ac:dyDescent="0.2">
      <c r="B8568" s="31" t="s">
        <v>9694</v>
      </c>
      <c r="C8568" s="31" t="s">
        <v>9254</v>
      </c>
      <c r="D8568" s="34">
        <v>0</v>
      </c>
      <c r="E8568" s="34"/>
      <c r="F8568" s="34">
        <v>1885</v>
      </c>
      <c r="G8568" s="34">
        <v>0</v>
      </c>
      <c r="H8568" s="34">
        <f t="shared" si="134"/>
        <v>1885</v>
      </c>
      <c r="I8568" s="34"/>
      <c r="K8568" t="s">
        <v>38</v>
      </c>
    </row>
    <row r="8569" spans="2:11" ht="16.5" x14ac:dyDescent="0.2">
      <c r="B8569" s="33" t="s">
        <v>9695</v>
      </c>
      <c r="C8569" s="33" t="s">
        <v>3511</v>
      </c>
      <c r="D8569" s="35">
        <f>SUMIFS(D8570:D9015,K8570:K9015,"0",B8570:B9015,"5 1 3 9 8 12 31111 6 M59 72000*")-SUMIFS(E8570:E9015,K8570:K9015,"0",B8570:B9015,"5 1 3 9 8 12 31111 6 M59 72000*")</f>
        <v>0</v>
      </c>
      <c r="E8569"/>
      <c r="F8569" s="35">
        <f>SUMIFS(F8570:F9015,K8570:K9015,"0",B8570:B9015,"5 1 3 9 8 12 31111 6 M59 72000*")</f>
        <v>3106.97</v>
      </c>
      <c r="G8569" s="35">
        <f>SUMIFS(G8570:G9015,K8570:K9015,"0",B8570:B9015,"5 1 3 9 8 12 31111 6 M59 72000*")</f>
        <v>0</v>
      </c>
      <c r="H8569" s="35">
        <f t="shared" si="134"/>
        <v>3106.97</v>
      </c>
      <c r="I8569" s="35"/>
      <c r="K8569" t="s">
        <v>15</v>
      </c>
    </row>
    <row r="8570" spans="2:11" ht="16.5" x14ac:dyDescent="0.2">
      <c r="B8570" s="33" t="s">
        <v>9696</v>
      </c>
      <c r="C8570" s="33" t="s">
        <v>648</v>
      </c>
      <c r="D8570" s="35">
        <f>SUMIFS(D8571:D9015,K8571:K9015,"0",B8571:B9015,"5 1 3 9 8 12 31111 6 M59 72000 000132*")-SUMIFS(E8571:E9015,K8571:K9015,"0",B8571:B9015,"5 1 3 9 8 12 31111 6 M59 72000 000132*")</f>
        <v>0</v>
      </c>
      <c r="E8570"/>
      <c r="F8570" s="35">
        <f>SUMIFS(F8571:F9015,K8571:K9015,"0",B8571:B9015,"5 1 3 9 8 12 31111 6 M59 72000 000132*")</f>
        <v>3106.97</v>
      </c>
      <c r="G8570" s="35">
        <f>SUMIFS(G8571:G9015,K8571:K9015,"0",B8571:B9015,"5 1 3 9 8 12 31111 6 M59 72000 000132*")</f>
        <v>0</v>
      </c>
      <c r="H8570" s="35">
        <f t="shared" si="134"/>
        <v>3106.97</v>
      </c>
      <c r="I8570" s="35"/>
      <c r="K8570" t="s">
        <v>15</v>
      </c>
    </row>
    <row r="8571" spans="2:11" ht="24.75" x14ac:dyDescent="0.2">
      <c r="B8571" s="33" t="s">
        <v>9697</v>
      </c>
      <c r="C8571" s="33" t="s">
        <v>650</v>
      </c>
      <c r="D8571" s="35">
        <f>SUMIFS(D8572:D9015,K8572:K9015,"0",B8572:B9015,"5 1 3 9 8 12 31111 6 M59 72000 000132 0000R*")-SUMIFS(E8572:E9015,K8572:K9015,"0",B8572:B9015,"5 1 3 9 8 12 31111 6 M59 72000 000132 0000R*")</f>
        <v>0</v>
      </c>
      <c r="E8571"/>
      <c r="F8571" s="35">
        <f>SUMIFS(F8572:F9015,K8572:K9015,"0",B8572:B9015,"5 1 3 9 8 12 31111 6 M59 72000 000132 0000R*")</f>
        <v>3106.97</v>
      </c>
      <c r="G8571" s="35">
        <f>SUMIFS(G8572:G9015,K8572:K9015,"0",B8572:B9015,"5 1 3 9 8 12 31111 6 M59 72000 000132 0000R*")</f>
        <v>0</v>
      </c>
      <c r="H8571" s="35">
        <f t="shared" si="134"/>
        <v>3106.97</v>
      </c>
      <c r="I8571" s="35"/>
      <c r="K8571" t="s">
        <v>15</v>
      </c>
    </row>
    <row r="8572" spans="2:11" ht="24.75" x14ac:dyDescent="0.2">
      <c r="B8572" s="33" t="s">
        <v>9698</v>
      </c>
      <c r="C8572" s="33" t="s">
        <v>282</v>
      </c>
      <c r="D8572" s="35">
        <f>SUMIFS(D8573:D9015,K8573:K9015,"0",B8573:B9015,"5 1 3 9 8 12 31111 6 M59 72000 000132 0000R 00001*")-SUMIFS(E8573:E9015,K8573:K9015,"0",B8573:B9015,"5 1 3 9 8 12 31111 6 M59 72000 000132 0000R 00001*")</f>
        <v>0</v>
      </c>
      <c r="E8572"/>
      <c r="F8572" s="35">
        <f>SUMIFS(F8573:F9015,K8573:K9015,"0",B8573:B9015,"5 1 3 9 8 12 31111 6 M59 72000 000132 0000R 00001*")</f>
        <v>3106.97</v>
      </c>
      <c r="G8572" s="35">
        <f>SUMIFS(G8573:G9015,K8573:K9015,"0",B8573:B9015,"5 1 3 9 8 12 31111 6 M59 72000 000132 0000R 00001*")</f>
        <v>0</v>
      </c>
      <c r="H8572" s="35">
        <f t="shared" si="134"/>
        <v>3106.97</v>
      </c>
      <c r="I8572" s="35"/>
      <c r="K8572" t="s">
        <v>15</v>
      </c>
    </row>
    <row r="8573" spans="2:11" ht="24.75" x14ac:dyDescent="0.2">
      <c r="B8573" s="33" t="s">
        <v>9699</v>
      </c>
      <c r="C8573" s="33" t="s">
        <v>9247</v>
      </c>
      <c r="D8573" s="35">
        <f>SUMIFS(D8574:D9015,K8574:K9015,"0",B8574:B9015,"5 1 3 9 8 12 31111 6 M59 72000 000132 0000R 00001 00398*")-SUMIFS(E8574:E9015,K8574:K9015,"0",B8574:B9015,"5 1 3 9 8 12 31111 6 M59 72000 000132 0000R 00001 00398*")</f>
        <v>0</v>
      </c>
      <c r="E8573"/>
      <c r="F8573" s="35">
        <f>SUMIFS(F8574:F9015,K8574:K9015,"0",B8574:B9015,"5 1 3 9 8 12 31111 6 M59 72000 000132 0000R 00001 00398*")</f>
        <v>3106.97</v>
      </c>
      <c r="G8573" s="35">
        <f>SUMIFS(G8574:G9015,K8574:K9015,"0",B8574:B9015,"5 1 3 9 8 12 31111 6 M59 72000 000132 0000R 00001 00398*")</f>
        <v>0</v>
      </c>
      <c r="H8573" s="35">
        <f t="shared" si="134"/>
        <v>3106.97</v>
      </c>
      <c r="I8573" s="35"/>
      <c r="K8573" t="s">
        <v>15</v>
      </c>
    </row>
    <row r="8574" spans="2:11" ht="33" x14ac:dyDescent="0.2">
      <c r="B8574" s="33" t="s">
        <v>9700</v>
      </c>
      <c r="C8574" s="33" t="s">
        <v>1051</v>
      </c>
      <c r="D8574" s="35">
        <f>SUMIFS(D8575:D9015,K8575:K9015,"0",B8575:B9015,"5 1 3 9 8 12 31111 6 M59 72000 000132 0000R 00001 00398 015*")-SUMIFS(E8575:E9015,K8575:K9015,"0",B8575:B9015,"5 1 3 9 8 12 31111 6 M59 72000 000132 0000R 00001 00398 015*")</f>
        <v>0</v>
      </c>
      <c r="E8574"/>
      <c r="F8574" s="35">
        <f>SUMIFS(F8575:F9015,K8575:K9015,"0",B8575:B9015,"5 1 3 9 8 12 31111 6 M59 72000 000132 0000R 00001 00398 015*")</f>
        <v>3106.97</v>
      </c>
      <c r="G8574" s="35">
        <f>SUMIFS(G8575:G9015,K8575:K9015,"0",B8575:B9015,"5 1 3 9 8 12 31111 6 M59 72000 000132 0000R 00001 00398 015*")</f>
        <v>0</v>
      </c>
      <c r="H8574" s="35">
        <f t="shared" si="134"/>
        <v>3106.97</v>
      </c>
      <c r="I8574" s="35"/>
      <c r="K8574" t="s">
        <v>15</v>
      </c>
    </row>
    <row r="8575" spans="2:11" ht="33" x14ac:dyDescent="0.2">
      <c r="B8575" s="33" t="s">
        <v>9701</v>
      </c>
      <c r="C8575" s="33" t="s">
        <v>8550</v>
      </c>
      <c r="D8575" s="35">
        <f>SUMIFS(D8576:D9015,K8576:K9015,"0",B8576:B9015,"5 1 3 9 8 12 31111 6 M59 72000 000132 0000R 00001 00398 015 2111300*")-SUMIFS(E8576:E9015,K8576:K9015,"0",B8576:B9015,"5 1 3 9 8 12 31111 6 M59 72000 000132 0000R 00001 00398 015 2111300*")</f>
        <v>0</v>
      </c>
      <c r="E8575"/>
      <c r="F8575" s="35">
        <f>SUMIFS(F8576:F9015,K8576:K9015,"0",B8576:B9015,"5 1 3 9 8 12 31111 6 M59 72000 000132 0000R 00001 00398 015 2111300*")</f>
        <v>3106.97</v>
      </c>
      <c r="G8575" s="35">
        <f>SUMIFS(G8576:G9015,K8576:K9015,"0",B8576:B9015,"5 1 3 9 8 12 31111 6 M59 72000 000132 0000R 00001 00398 015 2111300*")</f>
        <v>0</v>
      </c>
      <c r="H8575" s="35">
        <f t="shared" si="134"/>
        <v>3106.97</v>
      </c>
      <c r="I8575" s="35"/>
      <c r="K8575" t="s">
        <v>15</v>
      </c>
    </row>
    <row r="8576" spans="2:11" ht="33" x14ac:dyDescent="0.2">
      <c r="B8576" s="33" t="s">
        <v>9702</v>
      </c>
      <c r="C8576" s="33" t="s">
        <v>660</v>
      </c>
      <c r="D8576" s="35">
        <f>SUMIFS(D8577:D9015,K8577:K9015,"0",B8577:B9015,"5 1 3 9 8 12 31111 6 M59 72000 000132 0000R 00001 00398 015 2111300 2024*")-SUMIFS(E8577:E9015,K8577:K9015,"0",B8577:B9015,"5 1 3 9 8 12 31111 6 M59 72000 000132 0000R 00001 00398 015 2111300 2024*")</f>
        <v>0</v>
      </c>
      <c r="E8576"/>
      <c r="F8576" s="35">
        <f>SUMIFS(F8577:F9015,K8577:K9015,"0",B8577:B9015,"5 1 3 9 8 12 31111 6 M59 72000 000132 0000R 00001 00398 015 2111300 2024*")</f>
        <v>3106.97</v>
      </c>
      <c r="G8576" s="35">
        <f>SUMIFS(G8577:G9015,K8577:K9015,"0",B8577:B9015,"5 1 3 9 8 12 31111 6 M59 72000 000132 0000R 00001 00398 015 2111300 2024*")</f>
        <v>0</v>
      </c>
      <c r="H8576" s="35">
        <f t="shared" si="134"/>
        <v>3106.97</v>
      </c>
      <c r="I8576" s="35"/>
      <c r="K8576" t="s">
        <v>15</v>
      </c>
    </row>
    <row r="8577" spans="2:11" ht="41.25" x14ac:dyDescent="0.2">
      <c r="B8577" s="33" t="s">
        <v>9703</v>
      </c>
      <c r="C8577" s="33" t="s">
        <v>1056</v>
      </c>
      <c r="D8577" s="35">
        <f>SUMIFS(D8578:D9015,K8578:K9015,"0",B8578:B9015,"5 1 3 9 8 12 31111 6 M59 72000 000132 0000R 00001 00398 015 2111300 2024 CP1SC386*")-SUMIFS(E8578:E9015,K8578:K9015,"0",B8578:B9015,"5 1 3 9 8 12 31111 6 M59 72000 000132 0000R 00001 00398 015 2111300 2024 CP1SC386*")</f>
        <v>0</v>
      </c>
      <c r="E8577"/>
      <c r="F8577" s="35">
        <f>SUMIFS(F8578:F9015,K8578:K9015,"0",B8578:B9015,"5 1 3 9 8 12 31111 6 M59 72000 000132 0000R 00001 00398 015 2111300 2024 CP1SC386*")</f>
        <v>3106.97</v>
      </c>
      <c r="G8577" s="35">
        <f>SUMIFS(G8578:G9015,K8578:K9015,"0",B8578:B9015,"5 1 3 9 8 12 31111 6 M59 72000 000132 0000R 00001 00398 015 2111300 2024 CP1SC386*")</f>
        <v>0</v>
      </c>
      <c r="H8577" s="35">
        <f t="shared" si="134"/>
        <v>3106.97</v>
      </c>
      <c r="I8577" s="35"/>
      <c r="K8577" t="s">
        <v>15</v>
      </c>
    </row>
    <row r="8578" spans="2:11" ht="41.25" x14ac:dyDescent="0.2">
      <c r="B8578" s="33" t="s">
        <v>9704</v>
      </c>
      <c r="C8578" s="33" t="s">
        <v>282</v>
      </c>
      <c r="D8578" s="35">
        <f>SUMIFS(D8579:D9015,K8579:K9015,"0",B8579:B9015,"5 1 3 9 8 12 31111 6 M59 72000 000132 0000R 00001 00398 015 2111300 2024 CP1SC386 001*")-SUMIFS(E8579:E9015,K8579:K9015,"0",B8579:B9015,"5 1 3 9 8 12 31111 6 M59 72000 000132 0000R 00001 00398 015 2111300 2024 CP1SC386 001*")</f>
        <v>0</v>
      </c>
      <c r="E8578"/>
      <c r="F8578" s="35">
        <f>SUMIFS(F8579:F9015,K8579:K9015,"0",B8579:B9015,"5 1 3 9 8 12 31111 6 M59 72000 000132 0000R 00001 00398 015 2111300 2024 CP1SC386 001*")</f>
        <v>3106.97</v>
      </c>
      <c r="G8578" s="35">
        <f>SUMIFS(G8579:G9015,K8579:K9015,"0",B8579:B9015,"5 1 3 9 8 12 31111 6 M59 72000 000132 0000R 00001 00398 015 2111300 2024 CP1SC386 001*")</f>
        <v>0</v>
      </c>
      <c r="H8578" s="35">
        <f t="shared" si="134"/>
        <v>3106.97</v>
      </c>
      <c r="I8578" s="35"/>
      <c r="K8578" t="s">
        <v>15</v>
      </c>
    </row>
    <row r="8579" spans="2:11" ht="33" x14ac:dyDescent="0.2">
      <c r="B8579" s="31" t="s">
        <v>9705</v>
      </c>
      <c r="C8579" s="31" t="s">
        <v>9254</v>
      </c>
      <c r="D8579" s="34">
        <v>0</v>
      </c>
      <c r="E8579" s="34"/>
      <c r="F8579" s="34">
        <v>3106.97</v>
      </c>
      <c r="G8579" s="34">
        <v>0</v>
      </c>
      <c r="H8579" s="34">
        <f t="shared" si="134"/>
        <v>3106.97</v>
      </c>
      <c r="I8579" s="34"/>
      <c r="K8579" t="s">
        <v>38</v>
      </c>
    </row>
    <row r="8580" spans="2:11" ht="16.5" x14ac:dyDescent="0.2">
      <c r="B8580" s="33" t="s">
        <v>9706</v>
      </c>
      <c r="C8580" s="33" t="s">
        <v>3523</v>
      </c>
      <c r="D8580" s="35">
        <f>SUMIFS(D8581:D9015,K8581:K9015,"0",B8581:B9015,"5 1 3 9 8 12 31111 6 M59 80000*")-SUMIFS(E8581:E9015,K8581:K9015,"0",B8581:B9015,"5 1 3 9 8 12 31111 6 M59 80000*")</f>
        <v>0</v>
      </c>
      <c r="E8580"/>
      <c r="F8580" s="35">
        <f>SUMIFS(F8581:F9015,K8581:K9015,"0",B8581:B9015,"5 1 3 9 8 12 31111 6 M59 80000*")</f>
        <v>11601.2</v>
      </c>
      <c r="G8580" s="35">
        <f>SUMIFS(G8581:G9015,K8581:K9015,"0",B8581:B9015,"5 1 3 9 8 12 31111 6 M59 80000*")</f>
        <v>0</v>
      </c>
      <c r="H8580" s="35">
        <f t="shared" ref="H8580:H8643" si="135">D8580 + F8580 - G8580</f>
        <v>11601.2</v>
      </c>
      <c r="I8580" s="35"/>
      <c r="K8580" t="s">
        <v>15</v>
      </c>
    </row>
    <row r="8581" spans="2:11" ht="16.5" x14ac:dyDescent="0.2">
      <c r="B8581" s="33" t="s">
        <v>9707</v>
      </c>
      <c r="C8581" s="33" t="s">
        <v>648</v>
      </c>
      <c r="D8581" s="35">
        <f>SUMIFS(D8582:D9015,K8582:K9015,"0",B8582:B9015,"5 1 3 9 8 12 31111 6 M59 80000 000132*")-SUMIFS(E8582:E9015,K8582:K9015,"0",B8582:B9015,"5 1 3 9 8 12 31111 6 M59 80000 000132*")</f>
        <v>0</v>
      </c>
      <c r="E8581"/>
      <c r="F8581" s="35">
        <f>SUMIFS(F8582:F9015,K8582:K9015,"0",B8582:B9015,"5 1 3 9 8 12 31111 6 M59 80000 000132*")</f>
        <v>11601.2</v>
      </c>
      <c r="G8581" s="35">
        <f>SUMIFS(G8582:G9015,K8582:K9015,"0",B8582:B9015,"5 1 3 9 8 12 31111 6 M59 80000 000132*")</f>
        <v>0</v>
      </c>
      <c r="H8581" s="35">
        <f t="shared" si="135"/>
        <v>11601.2</v>
      </c>
      <c r="I8581" s="35"/>
      <c r="K8581" t="s">
        <v>15</v>
      </c>
    </row>
    <row r="8582" spans="2:11" ht="24.75" x14ac:dyDescent="0.2">
      <c r="B8582" s="33" t="s">
        <v>9708</v>
      </c>
      <c r="C8582" s="33" t="s">
        <v>650</v>
      </c>
      <c r="D8582" s="35">
        <f>SUMIFS(D8583:D9015,K8583:K9015,"0",B8583:B9015,"5 1 3 9 8 12 31111 6 M59 80000 000132 0000R*")-SUMIFS(E8583:E9015,K8583:K9015,"0",B8583:B9015,"5 1 3 9 8 12 31111 6 M59 80000 000132 0000R*")</f>
        <v>0</v>
      </c>
      <c r="E8582"/>
      <c r="F8582" s="35">
        <f>SUMIFS(F8583:F9015,K8583:K9015,"0",B8583:B9015,"5 1 3 9 8 12 31111 6 M59 80000 000132 0000R*")</f>
        <v>11601.2</v>
      </c>
      <c r="G8582" s="35">
        <f>SUMIFS(G8583:G9015,K8583:K9015,"0",B8583:B9015,"5 1 3 9 8 12 31111 6 M59 80000 000132 0000R*")</f>
        <v>0</v>
      </c>
      <c r="H8582" s="35">
        <f t="shared" si="135"/>
        <v>11601.2</v>
      </c>
      <c r="I8582" s="35"/>
      <c r="K8582" t="s">
        <v>15</v>
      </c>
    </row>
    <row r="8583" spans="2:11" ht="24.75" x14ac:dyDescent="0.2">
      <c r="B8583" s="33" t="s">
        <v>9709</v>
      </c>
      <c r="C8583" s="33" t="s">
        <v>282</v>
      </c>
      <c r="D8583" s="35">
        <f>SUMIFS(D8584:D9015,K8584:K9015,"0",B8584:B9015,"5 1 3 9 8 12 31111 6 M59 80000 000132 0000R 00001*")-SUMIFS(E8584:E9015,K8584:K9015,"0",B8584:B9015,"5 1 3 9 8 12 31111 6 M59 80000 000132 0000R 00001*")</f>
        <v>0</v>
      </c>
      <c r="E8583"/>
      <c r="F8583" s="35">
        <f>SUMIFS(F8584:F9015,K8584:K9015,"0",B8584:B9015,"5 1 3 9 8 12 31111 6 M59 80000 000132 0000R 00001*")</f>
        <v>11601.2</v>
      </c>
      <c r="G8583" s="35">
        <f>SUMIFS(G8584:G9015,K8584:K9015,"0",B8584:B9015,"5 1 3 9 8 12 31111 6 M59 80000 000132 0000R 00001*")</f>
        <v>0</v>
      </c>
      <c r="H8583" s="35">
        <f t="shared" si="135"/>
        <v>11601.2</v>
      </c>
      <c r="I8583" s="35"/>
      <c r="K8583" t="s">
        <v>15</v>
      </c>
    </row>
    <row r="8584" spans="2:11" ht="24.75" x14ac:dyDescent="0.2">
      <c r="B8584" s="33" t="s">
        <v>9710</v>
      </c>
      <c r="C8584" s="33" t="s">
        <v>9247</v>
      </c>
      <c r="D8584" s="35">
        <f>SUMIFS(D8585:D9015,K8585:K9015,"0",B8585:B9015,"5 1 3 9 8 12 31111 6 M59 80000 000132 0000R 00001 00398*")-SUMIFS(E8585:E9015,K8585:K9015,"0",B8585:B9015,"5 1 3 9 8 12 31111 6 M59 80000 000132 0000R 00001 00398*")</f>
        <v>0</v>
      </c>
      <c r="E8584"/>
      <c r="F8584" s="35">
        <f>SUMIFS(F8585:F9015,K8585:K9015,"0",B8585:B9015,"5 1 3 9 8 12 31111 6 M59 80000 000132 0000R 00001 00398*")</f>
        <v>11601.2</v>
      </c>
      <c r="G8584" s="35">
        <f>SUMIFS(G8585:G9015,K8585:K9015,"0",B8585:B9015,"5 1 3 9 8 12 31111 6 M59 80000 000132 0000R 00001 00398*")</f>
        <v>0</v>
      </c>
      <c r="H8584" s="35">
        <f t="shared" si="135"/>
        <v>11601.2</v>
      </c>
      <c r="I8584" s="35"/>
      <c r="K8584" t="s">
        <v>15</v>
      </c>
    </row>
    <row r="8585" spans="2:11" ht="33" x14ac:dyDescent="0.2">
      <c r="B8585" s="33" t="s">
        <v>9711</v>
      </c>
      <c r="C8585" s="33" t="s">
        <v>1051</v>
      </c>
      <c r="D8585" s="35">
        <f>SUMIFS(D8586:D9015,K8586:K9015,"0",B8586:B9015,"5 1 3 9 8 12 31111 6 M59 80000 000132 0000R 00001 00398 015*")-SUMIFS(E8586:E9015,K8586:K9015,"0",B8586:B9015,"5 1 3 9 8 12 31111 6 M59 80000 000132 0000R 00001 00398 015*")</f>
        <v>0</v>
      </c>
      <c r="E8585"/>
      <c r="F8585" s="35">
        <f>SUMIFS(F8586:F9015,K8586:K9015,"0",B8586:B9015,"5 1 3 9 8 12 31111 6 M59 80000 000132 0000R 00001 00398 015*")</f>
        <v>11601.2</v>
      </c>
      <c r="G8585" s="35">
        <f>SUMIFS(G8586:G9015,K8586:K9015,"0",B8586:B9015,"5 1 3 9 8 12 31111 6 M59 80000 000132 0000R 00001 00398 015*")</f>
        <v>0</v>
      </c>
      <c r="H8585" s="35">
        <f t="shared" si="135"/>
        <v>11601.2</v>
      </c>
      <c r="I8585" s="35"/>
      <c r="K8585" t="s">
        <v>15</v>
      </c>
    </row>
    <row r="8586" spans="2:11" ht="33" x14ac:dyDescent="0.2">
      <c r="B8586" s="33" t="s">
        <v>9712</v>
      </c>
      <c r="C8586" s="33" t="s">
        <v>8550</v>
      </c>
      <c r="D8586" s="35">
        <f>SUMIFS(D8587:D9015,K8587:K9015,"0",B8587:B9015,"5 1 3 9 8 12 31111 6 M59 80000 000132 0000R 00001 00398 015 2111300*")-SUMIFS(E8587:E9015,K8587:K9015,"0",B8587:B9015,"5 1 3 9 8 12 31111 6 M59 80000 000132 0000R 00001 00398 015 2111300*")</f>
        <v>0</v>
      </c>
      <c r="E8586"/>
      <c r="F8586" s="35">
        <f>SUMIFS(F8587:F9015,K8587:K9015,"0",B8587:B9015,"5 1 3 9 8 12 31111 6 M59 80000 000132 0000R 00001 00398 015 2111300*")</f>
        <v>11601.2</v>
      </c>
      <c r="G8586" s="35">
        <f>SUMIFS(G8587:G9015,K8587:K9015,"0",B8587:B9015,"5 1 3 9 8 12 31111 6 M59 80000 000132 0000R 00001 00398 015 2111300*")</f>
        <v>0</v>
      </c>
      <c r="H8586" s="35">
        <f t="shared" si="135"/>
        <v>11601.2</v>
      </c>
      <c r="I8586" s="35"/>
      <c r="K8586" t="s">
        <v>15</v>
      </c>
    </row>
    <row r="8587" spans="2:11" ht="33" x14ac:dyDescent="0.2">
      <c r="B8587" s="33" t="s">
        <v>9713</v>
      </c>
      <c r="C8587" s="33" t="s">
        <v>660</v>
      </c>
      <c r="D8587" s="35">
        <f>SUMIFS(D8588:D9015,K8588:K9015,"0",B8588:B9015,"5 1 3 9 8 12 31111 6 M59 80000 000132 0000R 00001 00398 015 2111300 2024*")-SUMIFS(E8588:E9015,K8588:K9015,"0",B8588:B9015,"5 1 3 9 8 12 31111 6 M59 80000 000132 0000R 00001 00398 015 2111300 2024*")</f>
        <v>0</v>
      </c>
      <c r="E8587"/>
      <c r="F8587" s="35">
        <f>SUMIFS(F8588:F9015,K8588:K9015,"0",B8588:B9015,"5 1 3 9 8 12 31111 6 M59 80000 000132 0000R 00001 00398 015 2111300 2024*")</f>
        <v>11601.2</v>
      </c>
      <c r="G8587" s="35">
        <f>SUMIFS(G8588:G9015,K8588:K9015,"0",B8588:B9015,"5 1 3 9 8 12 31111 6 M59 80000 000132 0000R 00001 00398 015 2111300 2024*")</f>
        <v>0</v>
      </c>
      <c r="H8587" s="35">
        <f t="shared" si="135"/>
        <v>11601.2</v>
      </c>
      <c r="I8587" s="35"/>
      <c r="K8587" t="s">
        <v>15</v>
      </c>
    </row>
    <row r="8588" spans="2:11" ht="41.25" x14ac:dyDescent="0.2">
      <c r="B8588" s="33" t="s">
        <v>9714</v>
      </c>
      <c r="C8588" s="33" t="s">
        <v>1056</v>
      </c>
      <c r="D8588" s="35">
        <f>SUMIFS(D8589:D9015,K8589:K9015,"0",B8589:B9015,"5 1 3 9 8 12 31111 6 M59 80000 000132 0000R 00001 00398 015 2111300 2024 CP1DR388*")-SUMIFS(E8589:E9015,K8589:K9015,"0",B8589:B9015,"5 1 3 9 8 12 31111 6 M59 80000 000132 0000R 00001 00398 015 2111300 2024 CP1DR388*")</f>
        <v>0</v>
      </c>
      <c r="E8588"/>
      <c r="F8588" s="35">
        <f>SUMIFS(F8589:F9015,K8589:K9015,"0",B8589:B9015,"5 1 3 9 8 12 31111 6 M59 80000 000132 0000R 00001 00398 015 2111300 2024 CP1DR388*")</f>
        <v>11601.2</v>
      </c>
      <c r="G8588" s="35">
        <f>SUMIFS(G8589:G9015,K8589:K9015,"0",B8589:B9015,"5 1 3 9 8 12 31111 6 M59 80000 000132 0000R 00001 00398 015 2111300 2024 CP1DR388*")</f>
        <v>0</v>
      </c>
      <c r="H8588" s="35">
        <f t="shared" si="135"/>
        <v>11601.2</v>
      </c>
      <c r="I8588" s="35"/>
      <c r="K8588" t="s">
        <v>15</v>
      </c>
    </row>
    <row r="8589" spans="2:11" ht="41.25" x14ac:dyDescent="0.2">
      <c r="B8589" s="33" t="s">
        <v>9715</v>
      </c>
      <c r="C8589" s="33" t="s">
        <v>282</v>
      </c>
      <c r="D8589" s="35">
        <f>SUMIFS(D8590:D9015,K8590:K9015,"0",B8590:B9015,"5 1 3 9 8 12 31111 6 M59 80000 000132 0000R 00001 00398 015 2111300 2024 CP1DR388 001*")-SUMIFS(E8590:E9015,K8590:K9015,"0",B8590:B9015,"5 1 3 9 8 12 31111 6 M59 80000 000132 0000R 00001 00398 015 2111300 2024 CP1DR388 001*")</f>
        <v>0</v>
      </c>
      <c r="E8589"/>
      <c r="F8589" s="35">
        <f>SUMIFS(F8590:F9015,K8590:K9015,"0",B8590:B9015,"5 1 3 9 8 12 31111 6 M59 80000 000132 0000R 00001 00398 015 2111300 2024 CP1DR388 001*")</f>
        <v>11601.2</v>
      </c>
      <c r="G8589" s="35">
        <f>SUMIFS(G8590:G9015,K8590:K9015,"0",B8590:B9015,"5 1 3 9 8 12 31111 6 M59 80000 000132 0000R 00001 00398 015 2111300 2024 CP1DR388 001*")</f>
        <v>0</v>
      </c>
      <c r="H8589" s="35">
        <f t="shared" si="135"/>
        <v>11601.2</v>
      </c>
      <c r="I8589" s="35"/>
      <c r="K8589" t="s">
        <v>15</v>
      </c>
    </row>
    <row r="8590" spans="2:11" ht="41.25" x14ac:dyDescent="0.2">
      <c r="B8590" s="31" t="s">
        <v>9716</v>
      </c>
      <c r="C8590" s="31" t="s">
        <v>9254</v>
      </c>
      <c r="D8590" s="34">
        <v>0</v>
      </c>
      <c r="E8590" s="34"/>
      <c r="F8590" s="34">
        <v>11601.2</v>
      </c>
      <c r="G8590" s="34">
        <v>0</v>
      </c>
      <c r="H8590" s="34">
        <f t="shared" si="135"/>
        <v>11601.2</v>
      </c>
      <c r="I8590" s="34"/>
      <c r="K8590" t="s">
        <v>38</v>
      </c>
    </row>
    <row r="8591" spans="2:11" ht="16.5" x14ac:dyDescent="0.2">
      <c r="B8591" s="33" t="s">
        <v>9717</v>
      </c>
      <c r="C8591" s="33" t="s">
        <v>3535</v>
      </c>
      <c r="D8591" s="35">
        <f>SUMIFS(D8592:D9015,K8592:K9015,"0",B8592:B9015,"5 1 3 9 8 12 31111 6 M59 80100*")-SUMIFS(E8592:E9015,K8592:K9015,"0",B8592:B9015,"5 1 3 9 8 12 31111 6 M59 80100*")</f>
        <v>0</v>
      </c>
      <c r="E8591"/>
      <c r="F8591" s="35">
        <f>SUMIFS(F8592:F9015,K8592:K9015,"0",B8592:B9015,"5 1 3 9 8 12 31111 6 M59 80100*")</f>
        <v>2301.2600000000002</v>
      </c>
      <c r="G8591" s="35">
        <f>SUMIFS(G8592:G9015,K8592:K9015,"0",B8592:B9015,"5 1 3 9 8 12 31111 6 M59 80100*")</f>
        <v>0</v>
      </c>
      <c r="H8591" s="35">
        <f t="shared" si="135"/>
        <v>2301.2600000000002</v>
      </c>
      <c r="I8591" s="35"/>
      <c r="K8591" t="s">
        <v>15</v>
      </c>
    </row>
    <row r="8592" spans="2:11" ht="16.5" x14ac:dyDescent="0.2">
      <c r="B8592" s="33" t="s">
        <v>9718</v>
      </c>
      <c r="C8592" s="33" t="s">
        <v>648</v>
      </c>
      <c r="D8592" s="35">
        <f>SUMIFS(D8593:D9015,K8593:K9015,"0",B8593:B9015,"5 1 3 9 8 12 31111 6 M59 80100 000132*")-SUMIFS(E8593:E9015,K8593:K9015,"0",B8593:B9015,"5 1 3 9 8 12 31111 6 M59 80100 000132*")</f>
        <v>0</v>
      </c>
      <c r="E8592"/>
      <c r="F8592" s="35">
        <f>SUMIFS(F8593:F9015,K8593:K9015,"0",B8593:B9015,"5 1 3 9 8 12 31111 6 M59 80100 000132*")</f>
        <v>2301.2600000000002</v>
      </c>
      <c r="G8592" s="35">
        <f>SUMIFS(G8593:G9015,K8593:K9015,"0",B8593:B9015,"5 1 3 9 8 12 31111 6 M59 80100 000132*")</f>
        <v>0</v>
      </c>
      <c r="H8592" s="35">
        <f t="shared" si="135"/>
        <v>2301.2600000000002</v>
      </c>
      <c r="I8592" s="35"/>
      <c r="K8592" t="s">
        <v>15</v>
      </c>
    </row>
    <row r="8593" spans="2:11" ht="24.75" x14ac:dyDescent="0.2">
      <c r="B8593" s="33" t="s">
        <v>9719</v>
      </c>
      <c r="C8593" s="33" t="s">
        <v>650</v>
      </c>
      <c r="D8593" s="35">
        <f>SUMIFS(D8594:D9015,K8594:K9015,"0",B8594:B9015,"5 1 3 9 8 12 31111 6 M59 80100 000132 0000R*")-SUMIFS(E8594:E9015,K8594:K9015,"0",B8594:B9015,"5 1 3 9 8 12 31111 6 M59 80100 000132 0000R*")</f>
        <v>0</v>
      </c>
      <c r="E8593"/>
      <c r="F8593" s="35">
        <f>SUMIFS(F8594:F9015,K8594:K9015,"0",B8594:B9015,"5 1 3 9 8 12 31111 6 M59 80100 000132 0000R*")</f>
        <v>2301.2600000000002</v>
      </c>
      <c r="G8593" s="35">
        <f>SUMIFS(G8594:G9015,K8594:K9015,"0",B8594:B9015,"5 1 3 9 8 12 31111 6 M59 80100 000132 0000R*")</f>
        <v>0</v>
      </c>
      <c r="H8593" s="35">
        <f t="shared" si="135"/>
        <v>2301.2600000000002</v>
      </c>
      <c r="I8593" s="35"/>
      <c r="K8593" t="s">
        <v>15</v>
      </c>
    </row>
    <row r="8594" spans="2:11" ht="24.75" x14ac:dyDescent="0.2">
      <c r="B8594" s="33" t="s">
        <v>9720</v>
      </c>
      <c r="C8594" s="33" t="s">
        <v>282</v>
      </c>
      <c r="D8594" s="35">
        <f>SUMIFS(D8595:D9015,K8595:K9015,"0",B8595:B9015,"5 1 3 9 8 12 31111 6 M59 80100 000132 0000R 00001*")-SUMIFS(E8595:E9015,K8595:K9015,"0",B8595:B9015,"5 1 3 9 8 12 31111 6 M59 80100 000132 0000R 00001*")</f>
        <v>0</v>
      </c>
      <c r="E8594"/>
      <c r="F8594" s="35">
        <f>SUMIFS(F8595:F9015,K8595:K9015,"0",B8595:B9015,"5 1 3 9 8 12 31111 6 M59 80100 000132 0000R 00001*")</f>
        <v>2301.2600000000002</v>
      </c>
      <c r="G8594" s="35">
        <f>SUMIFS(G8595:G9015,K8595:K9015,"0",B8595:B9015,"5 1 3 9 8 12 31111 6 M59 80100 000132 0000R 00001*")</f>
        <v>0</v>
      </c>
      <c r="H8594" s="35">
        <f t="shared" si="135"/>
        <v>2301.2600000000002</v>
      </c>
      <c r="I8594" s="35"/>
      <c r="K8594" t="s">
        <v>15</v>
      </c>
    </row>
    <row r="8595" spans="2:11" ht="24.75" x14ac:dyDescent="0.2">
      <c r="B8595" s="33" t="s">
        <v>9721</v>
      </c>
      <c r="C8595" s="33" t="s">
        <v>9247</v>
      </c>
      <c r="D8595" s="35">
        <f>SUMIFS(D8596:D9015,K8596:K9015,"0",B8596:B9015,"5 1 3 9 8 12 31111 6 M59 80100 000132 0000R 00001 00398*")-SUMIFS(E8596:E9015,K8596:K9015,"0",B8596:B9015,"5 1 3 9 8 12 31111 6 M59 80100 000132 0000R 00001 00398*")</f>
        <v>0</v>
      </c>
      <c r="E8595"/>
      <c r="F8595" s="35">
        <f>SUMIFS(F8596:F9015,K8596:K9015,"0",B8596:B9015,"5 1 3 9 8 12 31111 6 M59 80100 000132 0000R 00001 00398*")</f>
        <v>2301.2600000000002</v>
      </c>
      <c r="G8595" s="35">
        <f>SUMIFS(G8596:G9015,K8596:K9015,"0",B8596:B9015,"5 1 3 9 8 12 31111 6 M59 80100 000132 0000R 00001 00398*")</f>
        <v>0</v>
      </c>
      <c r="H8595" s="35">
        <f t="shared" si="135"/>
        <v>2301.2600000000002</v>
      </c>
      <c r="I8595" s="35"/>
      <c r="K8595" t="s">
        <v>15</v>
      </c>
    </row>
    <row r="8596" spans="2:11" ht="33" x14ac:dyDescent="0.2">
      <c r="B8596" s="33" t="s">
        <v>9722</v>
      </c>
      <c r="C8596" s="33" t="s">
        <v>1051</v>
      </c>
      <c r="D8596" s="35">
        <f>SUMIFS(D8597:D9015,K8597:K9015,"0",B8597:B9015,"5 1 3 9 8 12 31111 6 M59 80100 000132 0000R 00001 00398 015*")-SUMIFS(E8597:E9015,K8597:K9015,"0",B8597:B9015,"5 1 3 9 8 12 31111 6 M59 80100 000132 0000R 00001 00398 015*")</f>
        <v>0</v>
      </c>
      <c r="E8596"/>
      <c r="F8596" s="35">
        <f>SUMIFS(F8597:F9015,K8597:K9015,"0",B8597:B9015,"5 1 3 9 8 12 31111 6 M59 80100 000132 0000R 00001 00398 015*")</f>
        <v>2301.2600000000002</v>
      </c>
      <c r="G8596" s="35">
        <f>SUMIFS(G8597:G9015,K8597:K9015,"0",B8597:B9015,"5 1 3 9 8 12 31111 6 M59 80100 000132 0000R 00001 00398 015*")</f>
        <v>0</v>
      </c>
      <c r="H8596" s="35">
        <f t="shared" si="135"/>
        <v>2301.2600000000002</v>
      </c>
      <c r="I8596" s="35"/>
      <c r="K8596" t="s">
        <v>15</v>
      </c>
    </row>
    <row r="8597" spans="2:11" ht="33" x14ac:dyDescent="0.2">
      <c r="B8597" s="33" t="s">
        <v>9723</v>
      </c>
      <c r="C8597" s="33" t="s">
        <v>8550</v>
      </c>
      <c r="D8597" s="35">
        <f>SUMIFS(D8598:D9015,K8598:K9015,"0",B8598:B9015,"5 1 3 9 8 12 31111 6 M59 80100 000132 0000R 00001 00398 015 2111300*")-SUMIFS(E8598:E9015,K8598:K9015,"0",B8598:B9015,"5 1 3 9 8 12 31111 6 M59 80100 000132 0000R 00001 00398 015 2111300*")</f>
        <v>0</v>
      </c>
      <c r="E8597"/>
      <c r="F8597" s="35">
        <f>SUMIFS(F8598:F9015,K8598:K9015,"0",B8598:B9015,"5 1 3 9 8 12 31111 6 M59 80100 000132 0000R 00001 00398 015 2111300*")</f>
        <v>2301.2600000000002</v>
      </c>
      <c r="G8597" s="35">
        <f>SUMIFS(G8598:G9015,K8598:K9015,"0",B8598:B9015,"5 1 3 9 8 12 31111 6 M59 80100 000132 0000R 00001 00398 015 2111300*")</f>
        <v>0</v>
      </c>
      <c r="H8597" s="35">
        <f t="shared" si="135"/>
        <v>2301.2600000000002</v>
      </c>
      <c r="I8597" s="35"/>
      <c r="K8597" t="s">
        <v>15</v>
      </c>
    </row>
    <row r="8598" spans="2:11" ht="33" x14ac:dyDescent="0.2">
      <c r="B8598" s="33" t="s">
        <v>9724</v>
      </c>
      <c r="C8598" s="33" t="s">
        <v>660</v>
      </c>
      <c r="D8598" s="35">
        <f>SUMIFS(D8599:D9015,K8599:K9015,"0",B8599:B9015,"5 1 3 9 8 12 31111 6 M59 80100 000132 0000R 00001 00398 015 2111300 2024*")-SUMIFS(E8599:E9015,K8599:K9015,"0",B8599:B9015,"5 1 3 9 8 12 31111 6 M59 80100 000132 0000R 00001 00398 015 2111300 2024*")</f>
        <v>0</v>
      </c>
      <c r="E8598"/>
      <c r="F8598" s="35">
        <f>SUMIFS(F8599:F9015,K8599:K9015,"0",B8599:B9015,"5 1 3 9 8 12 31111 6 M59 80100 000132 0000R 00001 00398 015 2111300 2024*")</f>
        <v>2301.2600000000002</v>
      </c>
      <c r="G8598" s="35">
        <f>SUMIFS(G8599:G9015,K8599:K9015,"0",B8599:B9015,"5 1 3 9 8 12 31111 6 M59 80100 000132 0000R 00001 00398 015 2111300 2024*")</f>
        <v>0</v>
      </c>
      <c r="H8598" s="35">
        <f t="shared" si="135"/>
        <v>2301.2600000000002</v>
      </c>
      <c r="I8598" s="35"/>
      <c r="K8598" t="s">
        <v>15</v>
      </c>
    </row>
    <row r="8599" spans="2:11" ht="41.25" x14ac:dyDescent="0.2">
      <c r="B8599" s="33" t="s">
        <v>9725</v>
      </c>
      <c r="C8599" s="33" t="s">
        <v>1056</v>
      </c>
      <c r="D8599" s="35">
        <f>SUMIFS(D8600:D9015,K8600:K9015,"0",B8600:B9015,"5 1 3 9 8 12 31111 6 M59 80100 000132 0000R 00001 00398 015 2111300 2024 CP1AC425*")-SUMIFS(E8600:E9015,K8600:K9015,"0",B8600:B9015,"5 1 3 9 8 12 31111 6 M59 80100 000132 0000R 00001 00398 015 2111300 2024 CP1AC425*")</f>
        <v>0</v>
      </c>
      <c r="E8599"/>
      <c r="F8599" s="35">
        <f>SUMIFS(F8600:F9015,K8600:K9015,"0",B8600:B9015,"5 1 3 9 8 12 31111 6 M59 80100 000132 0000R 00001 00398 015 2111300 2024 CP1AC425*")</f>
        <v>2301.2600000000002</v>
      </c>
      <c r="G8599" s="35">
        <f>SUMIFS(G8600:G9015,K8600:K9015,"0",B8600:B9015,"5 1 3 9 8 12 31111 6 M59 80100 000132 0000R 00001 00398 015 2111300 2024 CP1AC425*")</f>
        <v>0</v>
      </c>
      <c r="H8599" s="35">
        <f t="shared" si="135"/>
        <v>2301.2600000000002</v>
      </c>
      <c r="I8599" s="35"/>
      <c r="K8599" t="s">
        <v>15</v>
      </c>
    </row>
    <row r="8600" spans="2:11" ht="41.25" x14ac:dyDescent="0.2">
      <c r="B8600" s="33" t="s">
        <v>9726</v>
      </c>
      <c r="C8600" s="33" t="s">
        <v>282</v>
      </c>
      <c r="D8600" s="35">
        <f>SUMIFS(D8601:D9015,K8601:K9015,"0",B8601:B9015,"5 1 3 9 8 12 31111 6 M59 80100 000132 0000R 00001 00398 015 2111300 2024 CP1AC425 001*")-SUMIFS(E8601:E9015,K8601:K9015,"0",B8601:B9015,"5 1 3 9 8 12 31111 6 M59 80100 000132 0000R 00001 00398 015 2111300 2024 CP1AC425 001*")</f>
        <v>0</v>
      </c>
      <c r="E8600"/>
      <c r="F8600" s="35">
        <f>SUMIFS(F8601:F9015,K8601:K9015,"0",B8601:B9015,"5 1 3 9 8 12 31111 6 M59 80100 000132 0000R 00001 00398 015 2111300 2024 CP1AC425 001*")</f>
        <v>2301.2600000000002</v>
      </c>
      <c r="G8600" s="35">
        <f>SUMIFS(G8601:G9015,K8601:K9015,"0",B8601:B9015,"5 1 3 9 8 12 31111 6 M59 80100 000132 0000R 00001 00398 015 2111300 2024 CP1AC425 001*")</f>
        <v>0</v>
      </c>
      <c r="H8600" s="35">
        <f t="shared" si="135"/>
        <v>2301.2600000000002</v>
      </c>
      <c r="I8600" s="35"/>
      <c r="K8600" t="s">
        <v>15</v>
      </c>
    </row>
    <row r="8601" spans="2:11" ht="33" x14ac:dyDescent="0.2">
      <c r="B8601" s="31" t="s">
        <v>9727</v>
      </c>
      <c r="C8601" s="31" t="s">
        <v>9254</v>
      </c>
      <c r="D8601" s="34">
        <v>0</v>
      </c>
      <c r="E8601" s="34"/>
      <c r="F8601" s="34">
        <v>2301.2600000000002</v>
      </c>
      <c r="G8601" s="34">
        <v>0</v>
      </c>
      <c r="H8601" s="34">
        <f t="shared" si="135"/>
        <v>2301.2600000000002</v>
      </c>
      <c r="I8601" s="34"/>
      <c r="K8601" t="s">
        <v>38</v>
      </c>
    </row>
    <row r="8602" spans="2:11" ht="16.5" x14ac:dyDescent="0.2">
      <c r="B8602" s="33" t="s">
        <v>9728</v>
      </c>
      <c r="C8602" s="33" t="s">
        <v>6290</v>
      </c>
      <c r="D8602" s="35">
        <f>SUMIFS(D8603:D9015,K8603:K9015,"0",B8603:B9015,"5 1 3 9 8 12 31111 6 M59 80200*")-SUMIFS(E8603:E9015,K8603:K9015,"0",B8603:B9015,"5 1 3 9 8 12 31111 6 M59 80200*")</f>
        <v>0</v>
      </c>
      <c r="E8602"/>
      <c r="F8602" s="35">
        <f>SUMIFS(F8603:F9015,K8603:K9015,"0",B8603:B9015,"5 1 3 9 8 12 31111 6 M59 80200*")</f>
        <v>2301.2600000000002</v>
      </c>
      <c r="G8602" s="35">
        <f>SUMIFS(G8603:G9015,K8603:K9015,"0",B8603:B9015,"5 1 3 9 8 12 31111 6 M59 80200*")</f>
        <v>0</v>
      </c>
      <c r="H8602" s="35">
        <f t="shared" si="135"/>
        <v>2301.2600000000002</v>
      </c>
      <c r="I8602" s="35"/>
      <c r="K8602" t="s">
        <v>15</v>
      </c>
    </row>
    <row r="8603" spans="2:11" ht="16.5" x14ac:dyDescent="0.2">
      <c r="B8603" s="33" t="s">
        <v>9729</v>
      </c>
      <c r="C8603" s="33" t="s">
        <v>648</v>
      </c>
      <c r="D8603" s="35">
        <f>SUMIFS(D8604:D9015,K8604:K9015,"0",B8604:B9015,"5 1 3 9 8 12 31111 6 M59 80200 000132*")-SUMIFS(E8604:E9015,K8604:K9015,"0",B8604:B9015,"5 1 3 9 8 12 31111 6 M59 80200 000132*")</f>
        <v>0</v>
      </c>
      <c r="E8603"/>
      <c r="F8603" s="35">
        <f>SUMIFS(F8604:F9015,K8604:K9015,"0",B8604:B9015,"5 1 3 9 8 12 31111 6 M59 80200 000132*")</f>
        <v>2301.2600000000002</v>
      </c>
      <c r="G8603" s="35">
        <f>SUMIFS(G8604:G9015,K8604:K9015,"0",B8604:B9015,"5 1 3 9 8 12 31111 6 M59 80200 000132*")</f>
        <v>0</v>
      </c>
      <c r="H8603" s="35">
        <f t="shared" si="135"/>
        <v>2301.2600000000002</v>
      </c>
      <c r="I8603" s="35"/>
      <c r="K8603" t="s">
        <v>15</v>
      </c>
    </row>
    <row r="8604" spans="2:11" ht="24.75" x14ac:dyDescent="0.2">
      <c r="B8604" s="33" t="s">
        <v>9730</v>
      </c>
      <c r="C8604" s="33" t="s">
        <v>650</v>
      </c>
      <c r="D8604" s="35">
        <f>SUMIFS(D8605:D9015,K8605:K9015,"0",B8605:B9015,"5 1 3 9 8 12 31111 6 M59 80200 000132 0000R*")-SUMIFS(E8605:E9015,K8605:K9015,"0",B8605:B9015,"5 1 3 9 8 12 31111 6 M59 80200 000132 0000R*")</f>
        <v>0</v>
      </c>
      <c r="E8604"/>
      <c r="F8604" s="35">
        <f>SUMIFS(F8605:F9015,K8605:K9015,"0",B8605:B9015,"5 1 3 9 8 12 31111 6 M59 80200 000132 0000R*")</f>
        <v>2301.2600000000002</v>
      </c>
      <c r="G8604" s="35">
        <f>SUMIFS(G8605:G9015,K8605:K9015,"0",B8605:B9015,"5 1 3 9 8 12 31111 6 M59 80200 000132 0000R*")</f>
        <v>0</v>
      </c>
      <c r="H8604" s="35">
        <f t="shared" si="135"/>
        <v>2301.2600000000002</v>
      </c>
      <c r="I8604" s="35"/>
      <c r="K8604" t="s">
        <v>15</v>
      </c>
    </row>
    <row r="8605" spans="2:11" ht="24.75" x14ac:dyDescent="0.2">
      <c r="B8605" s="33" t="s">
        <v>9731</v>
      </c>
      <c r="C8605" s="33" t="s">
        <v>282</v>
      </c>
      <c r="D8605" s="35">
        <f>SUMIFS(D8606:D9015,K8606:K9015,"0",B8606:B9015,"5 1 3 9 8 12 31111 6 M59 80200 000132 0000R 00001*")-SUMIFS(E8606:E9015,K8606:K9015,"0",B8606:B9015,"5 1 3 9 8 12 31111 6 M59 80200 000132 0000R 00001*")</f>
        <v>0</v>
      </c>
      <c r="E8605"/>
      <c r="F8605" s="35">
        <f>SUMIFS(F8606:F9015,K8606:K9015,"0",B8606:B9015,"5 1 3 9 8 12 31111 6 M59 80200 000132 0000R 00001*")</f>
        <v>2301.2600000000002</v>
      </c>
      <c r="G8605" s="35">
        <f>SUMIFS(G8606:G9015,K8606:K9015,"0",B8606:B9015,"5 1 3 9 8 12 31111 6 M59 80200 000132 0000R 00001*")</f>
        <v>0</v>
      </c>
      <c r="H8605" s="35">
        <f t="shared" si="135"/>
        <v>2301.2600000000002</v>
      </c>
      <c r="I8605" s="35"/>
      <c r="K8605" t="s">
        <v>15</v>
      </c>
    </row>
    <row r="8606" spans="2:11" ht="24.75" x14ac:dyDescent="0.2">
      <c r="B8606" s="33" t="s">
        <v>9732</v>
      </c>
      <c r="C8606" s="33" t="s">
        <v>9247</v>
      </c>
      <c r="D8606" s="35">
        <f>SUMIFS(D8607:D9015,K8607:K9015,"0",B8607:B9015,"5 1 3 9 8 12 31111 6 M59 80200 000132 0000R 00001 00398*")-SUMIFS(E8607:E9015,K8607:K9015,"0",B8607:B9015,"5 1 3 9 8 12 31111 6 M59 80200 000132 0000R 00001 00398*")</f>
        <v>0</v>
      </c>
      <c r="E8606"/>
      <c r="F8606" s="35">
        <f>SUMIFS(F8607:F9015,K8607:K9015,"0",B8607:B9015,"5 1 3 9 8 12 31111 6 M59 80200 000132 0000R 00001 00398*")</f>
        <v>2301.2600000000002</v>
      </c>
      <c r="G8606" s="35">
        <f>SUMIFS(G8607:G9015,K8607:K9015,"0",B8607:B9015,"5 1 3 9 8 12 31111 6 M59 80200 000132 0000R 00001 00398*")</f>
        <v>0</v>
      </c>
      <c r="H8606" s="35">
        <f t="shared" si="135"/>
        <v>2301.2600000000002</v>
      </c>
      <c r="I8606" s="35"/>
      <c r="K8606" t="s">
        <v>15</v>
      </c>
    </row>
    <row r="8607" spans="2:11" ht="33" x14ac:dyDescent="0.2">
      <c r="B8607" s="33" t="s">
        <v>9733</v>
      </c>
      <c r="C8607" s="33" t="s">
        <v>1051</v>
      </c>
      <c r="D8607" s="35">
        <f>SUMIFS(D8608:D9015,K8608:K9015,"0",B8608:B9015,"5 1 3 9 8 12 31111 6 M59 80200 000132 0000R 00001 00398 015*")-SUMIFS(E8608:E9015,K8608:K9015,"0",B8608:B9015,"5 1 3 9 8 12 31111 6 M59 80200 000132 0000R 00001 00398 015*")</f>
        <v>0</v>
      </c>
      <c r="E8607"/>
      <c r="F8607" s="35">
        <f>SUMIFS(F8608:F9015,K8608:K9015,"0",B8608:B9015,"5 1 3 9 8 12 31111 6 M59 80200 000132 0000R 00001 00398 015*")</f>
        <v>2301.2600000000002</v>
      </c>
      <c r="G8607" s="35">
        <f>SUMIFS(G8608:G9015,K8608:K9015,"0",B8608:B9015,"5 1 3 9 8 12 31111 6 M59 80200 000132 0000R 00001 00398 015*")</f>
        <v>0</v>
      </c>
      <c r="H8607" s="35">
        <f t="shared" si="135"/>
        <v>2301.2600000000002</v>
      </c>
      <c r="I8607" s="35"/>
      <c r="K8607" t="s">
        <v>15</v>
      </c>
    </row>
    <row r="8608" spans="2:11" ht="33" x14ac:dyDescent="0.2">
      <c r="B8608" s="33" t="s">
        <v>9734</v>
      </c>
      <c r="C8608" s="33" t="s">
        <v>8550</v>
      </c>
      <c r="D8608" s="35">
        <f>SUMIFS(D8609:D9015,K8609:K9015,"0",B8609:B9015,"5 1 3 9 8 12 31111 6 M59 80200 000132 0000R 00001 00398 015 2111300*")-SUMIFS(E8609:E9015,K8609:K9015,"0",B8609:B9015,"5 1 3 9 8 12 31111 6 M59 80200 000132 0000R 00001 00398 015 2111300*")</f>
        <v>0</v>
      </c>
      <c r="E8608"/>
      <c r="F8608" s="35">
        <f>SUMIFS(F8609:F9015,K8609:K9015,"0",B8609:B9015,"5 1 3 9 8 12 31111 6 M59 80200 000132 0000R 00001 00398 015 2111300*")</f>
        <v>2301.2600000000002</v>
      </c>
      <c r="G8608" s="35">
        <f>SUMIFS(G8609:G9015,K8609:K9015,"0",B8609:B9015,"5 1 3 9 8 12 31111 6 M59 80200 000132 0000R 00001 00398 015 2111300*")</f>
        <v>0</v>
      </c>
      <c r="H8608" s="35">
        <f t="shared" si="135"/>
        <v>2301.2600000000002</v>
      </c>
      <c r="I8608" s="35"/>
      <c r="K8608" t="s">
        <v>15</v>
      </c>
    </row>
    <row r="8609" spans="2:11" ht="33" x14ac:dyDescent="0.2">
      <c r="B8609" s="33" t="s">
        <v>9735</v>
      </c>
      <c r="C8609" s="33" t="s">
        <v>660</v>
      </c>
      <c r="D8609" s="35">
        <f>SUMIFS(D8610:D9015,K8610:K9015,"0",B8610:B9015,"5 1 3 9 8 12 31111 6 M59 80200 000132 0000R 00001 00398 015 2111300 2024*")-SUMIFS(E8610:E9015,K8610:K9015,"0",B8610:B9015,"5 1 3 9 8 12 31111 6 M59 80200 000132 0000R 00001 00398 015 2111300 2024*")</f>
        <v>0</v>
      </c>
      <c r="E8609"/>
      <c r="F8609" s="35">
        <f>SUMIFS(F8610:F9015,K8610:K9015,"0",B8610:B9015,"5 1 3 9 8 12 31111 6 M59 80200 000132 0000R 00001 00398 015 2111300 2024*")</f>
        <v>2301.2600000000002</v>
      </c>
      <c r="G8609" s="35">
        <f>SUMIFS(G8610:G9015,K8610:K9015,"0",B8610:B9015,"5 1 3 9 8 12 31111 6 M59 80200 000132 0000R 00001 00398 015 2111300 2024*")</f>
        <v>0</v>
      </c>
      <c r="H8609" s="35">
        <f t="shared" si="135"/>
        <v>2301.2600000000002</v>
      </c>
      <c r="I8609" s="35"/>
      <c r="K8609" t="s">
        <v>15</v>
      </c>
    </row>
    <row r="8610" spans="2:11" ht="41.25" x14ac:dyDescent="0.2">
      <c r="B8610" s="33" t="s">
        <v>9736</v>
      </c>
      <c r="C8610" s="33" t="s">
        <v>1056</v>
      </c>
      <c r="D8610" s="35">
        <f>SUMIFS(D8611:D9015,K8611:K9015,"0",B8611:B9015,"5 1 3 9 8 12 31111 6 M59 80200 000132 0000R 00001 00398 015 2111300 2024 CP1RF400*")-SUMIFS(E8611:E9015,K8611:K9015,"0",B8611:B9015,"5 1 3 9 8 12 31111 6 M59 80200 000132 0000R 00001 00398 015 2111300 2024 CP1RF400*")</f>
        <v>0</v>
      </c>
      <c r="E8610"/>
      <c r="F8610" s="35">
        <f>SUMIFS(F8611:F9015,K8611:K9015,"0",B8611:B9015,"5 1 3 9 8 12 31111 6 M59 80200 000132 0000R 00001 00398 015 2111300 2024 CP1RF400*")</f>
        <v>2301.2600000000002</v>
      </c>
      <c r="G8610" s="35">
        <f>SUMIFS(G8611:G9015,K8611:K9015,"0",B8611:B9015,"5 1 3 9 8 12 31111 6 M59 80200 000132 0000R 00001 00398 015 2111300 2024 CP1RF400*")</f>
        <v>0</v>
      </c>
      <c r="H8610" s="35">
        <f t="shared" si="135"/>
        <v>2301.2600000000002</v>
      </c>
      <c r="I8610" s="35"/>
      <c r="K8610" t="s">
        <v>15</v>
      </c>
    </row>
    <row r="8611" spans="2:11" ht="41.25" x14ac:dyDescent="0.2">
      <c r="B8611" s="33" t="s">
        <v>9737</v>
      </c>
      <c r="C8611" s="33" t="s">
        <v>282</v>
      </c>
      <c r="D8611" s="35">
        <f>SUMIFS(D8612:D9015,K8612:K9015,"0",B8612:B9015,"5 1 3 9 8 12 31111 6 M59 80200 000132 0000R 00001 00398 015 2111300 2024 CP1RF400 001*")-SUMIFS(E8612:E9015,K8612:K9015,"0",B8612:B9015,"5 1 3 9 8 12 31111 6 M59 80200 000132 0000R 00001 00398 015 2111300 2024 CP1RF400 001*")</f>
        <v>0</v>
      </c>
      <c r="E8611"/>
      <c r="F8611" s="35">
        <f>SUMIFS(F8612:F9015,K8612:K9015,"0",B8612:B9015,"5 1 3 9 8 12 31111 6 M59 80200 000132 0000R 00001 00398 015 2111300 2024 CP1RF400 001*")</f>
        <v>2301.2600000000002</v>
      </c>
      <c r="G8611" s="35">
        <f>SUMIFS(G8612:G9015,K8612:K9015,"0",B8612:B9015,"5 1 3 9 8 12 31111 6 M59 80200 000132 0000R 00001 00398 015 2111300 2024 CP1RF400 001*")</f>
        <v>0</v>
      </c>
      <c r="H8611" s="35">
        <f t="shared" si="135"/>
        <v>2301.2600000000002</v>
      </c>
      <c r="I8611" s="35"/>
      <c r="K8611" t="s">
        <v>15</v>
      </c>
    </row>
    <row r="8612" spans="2:11" ht="41.25" x14ac:dyDescent="0.2">
      <c r="B8612" s="31" t="s">
        <v>9738</v>
      </c>
      <c r="C8612" s="31" t="s">
        <v>9254</v>
      </c>
      <c r="D8612" s="34">
        <v>0</v>
      </c>
      <c r="E8612" s="34"/>
      <c r="F8612" s="34">
        <v>2301.2600000000002</v>
      </c>
      <c r="G8612" s="34">
        <v>0</v>
      </c>
      <c r="H8612" s="34">
        <f t="shared" si="135"/>
        <v>2301.2600000000002</v>
      </c>
      <c r="I8612" s="34"/>
      <c r="K8612" t="s">
        <v>38</v>
      </c>
    </row>
    <row r="8613" spans="2:11" ht="16.5" x14ac:dyDescent="0.2">
      <c r="B8613" s="33" t="s">
        <v>9739</v>
      </c>
      <c r="C8613" s="33" t="s">
        <v>3547</v>
      </c>
      <c r="D8613" s="35">
        <f>SUMIFS(D8614:D9015,K8614:K9015,"0",B8614:B9015,"5 1 3 9 8 12 31111 6 M59 80300*")-SUMIFS(E8614:E9015,K8614:K9015,"0",B8614:B9015,"5 1 3 9 8 12 31111 6 M59 80300*")</f>
        <v>0</v>
      </c>
      <c r="E8613"/>
      <c r="F8613" s="35">
        <f>SUMIFS(F8614:F9015,K8614:K9015,"0",B8614:B9015,"5 1 3 9 8 12 31111 6 M59 80300*")</f>
        <v>2301.2600000000002</v>
      </c>
      <c r="G8613" s="35">
        <f>SUMIFS(G8614:G9015,K8614:K9015,"0",B8614:B9015,"5 1 3 9 8 12 31111 6 M59 80300*")</f>
        <v>0</v>
      </c>
      <c r="H8613" s="35">
        <f t="shared" si="135"/>
        <v>2301.2600000000002</v>
      </c>
      <c r="I8613" s="35"/>
      <c r="K8613" t="s">
        <v>15</v>
      </c>
    </row>
    <row r="8614" spans="2:11" ht="16.5" x14ac:dyDescent="0.2">
      <c r="B8614" s="33" t="s">
        <v>9740</v>
      </c>
      <c r="C8614" s="33" t="s">
        <v>648</v>
      </c>
      <c r="D8614" s="35">
        <f>SUMIFS(D8615:D9015,K8615:K9015,"0",B8615:B9015,"5 1 3 9 8 12 31111 6 M59 80300 000132*")-SUMIFS(E8615:E9015,K8615:K9015,"0",B8615:B9015,"5 1 3 9 8 12 31111 6 M59 80300 000132*")</f>
        <v>0</v>
      </c>
      <c r="E8614"/>
      <c r="F8614" s="35">
        <f>SUMIFS(F8615:F9015,K8615:K9015,"0",B8615:B9015,"5 1 3 9 8 12 31111 6 M59 80300 000132*")</f>
        <v>2301.2600000000002</v>
      </c>
      <c r="G8614" s="35">
        <f>SUMIFS(G8615:G9015,K8615:K9015,"0",B8615:B9015,"5 1 3 9 8 12 31111 6 M59 80300 000132*")</f>
        <v>0</v>
      </c>
      <c r="H8614" s="35">
        <f t="shared" si="135"/>
        <v>2301.2600000000002</v>
      </c>
      <c r="I8614" s="35"/>
      <c r="K8614" t="s">
        <v>15</v>
      </c>
    </row>
    <row r="8615" spans="2:11" ht="24.75" x14ac:dyDescent="0.2">
      <c r="B8615" s="33" t="s">
        <v>9741</v>
      </c>
      <c r="C8615" s="33" t="s">
        <v>650</v>
      </c>
      <c r="D8615" s="35">
        <f>SUMIFS(D8616:D9015,K8616:K9015,"0",B8616:B9015,"5 1 3 9 8 12 31111 6 M59 80300 000132 0000R*")-SUMIFS(E8616:E9015,K8616:K9015,"0",B8616:B9015,"5 1 3 9 8 12 31111 6 M59 80300 000132 0000R*")</f>
        <v>0</v>
      </c>
      <c r="E8615"/>
      <c r="F8615" s="35">
        <f>SUMIFS(F8616:F9015,K8616:K9015,"0",B8616:B9015,"5 1 3 9 8 12 31111 6 M59 80300 000132 0000R*")</f>
        <v>2301.2600000000002</v>
      </c>
      <c r="G8615" s="35">
        <f>SUMIFS(G8616:G9015,K8616:K9015,"0",B8616:B9015,"5 1 3 9 8 12 31111 6 M59 80300 000132 0000R*")</f>
        <v>0</v>
      </c>
      <c r="H8615" s="35">
        <f t="shared" si="135"/>
        <v>2301.2600000000002</v>
      </c>
      <c r="I8615" s="35"/>
      <c r="K8615" t="s">
        <v>15</v>
      </c>
    </row>
    <row r="8616" spans="2:11" ht="24.75" x14ac:dyDescent="0.2">
      <c r="B8616" s="33" t="s">
        <v>9742</v>
      </c>
      <c r="C8616" s="33" t="s">
        <v>282</v>
      </c>
      <c r="D8616" s="35">
        <f>SUMIFS(D8617:D9015,K8617:K9015,"0",B8617:B9015,"5 1 3 9 8 12 31111 6 M59 80300 000132 0000R 00001*")-SUMIFS(E8617:E9015,K8617:K9015,"0",B8617:B9015,"5 1 3 9 8 12 31111 6 M59 80300 000132 0000R 00001*")</f>
        <v>0</v>
      </c>
      <c r="E8616"/>
      <c r="F8616" s="35">
        <f>SUMIFS(F8617:F9015,K8617:K9015,"0",B8617:B9015,"5 1 3 9 8 12 31111 6 M59 80300 000132 0000R 00001*")</f>
        <v>2301.2600000000002</v>
      </c>
      <c r="G8616" s="35">
        <f>SUMIFS(G8617:G9015,K8617:K9015,"0",B8617:B9015,"5 1 3 9 8 12 31111 6 M59 80300 000132 0000R 00001*")</f>
        <v>0</v>
      </c>
      <c r="H8616" s="35">
        <f t="shared" si="135"/>
        <v>2301.2600000000002</v>
      </c>
      <c r="I8616" s="35"/>
      <c r="K8616" t="s">
        <v>15</v>
      </c>
    </row>
    <row r="8617" spans="2:11" ht="24.75" x14ac:dyDescent="0.2">
      <c r="B8617" s="33" t="s">
        <v>9743</v>
      </c>
      <c r="C8617" s="33" t="s">
        <v>9247</v>
      </c>
      <c r="D8617" s="35">
        <f>SUMIFS(D8618:D9015,K8618:K9015,"0",B8618:B9015,"5 1 3 9 8 12 31111 6 M59 80300 000132 0000R 00001 00398*")-SUMIFS(E8618:E9015,K8618:K9015,"0",B8618:B9015,"5 1 3 9 8 12 31111 6 M59 80300 000132 0000R 00001 00398*")</f>
        <v>0</v>
      </c>
      <c r="E8617"/>
      <c r="F8617" s="35">
        <f>SUMIFS(F8618:F9015,K8618:K9015,"0",B8618:B9015,"5 1 3 9 8 12 31111 6 M59 80300 000132 0000R 00001 00398*")</f>
        <v>2301.2600000000002</v>
      </c>
      <c r="G8617" s="35">
        <f>SUMIFS(G8618:G9015,K8618:K9015,"0",B8618:B9015,"5 1 3 9 8 12 31111 6 M59 80300 000132 0000R 00001 00398*")</f>
        <v>0</v>
      </c>
      <c r="H8617" s="35">
        <f t="shared" si="135"/>
        <v>2301.2600000000002</v>
      </c>
      <c r="I8617" s="35"/>
      <c r="K8617" t="s">
        <v>15</v>
      </c>
    </row>
    <row r="8618" spans="2:11" ht="33" x14ac:dyDescent="0.2">
      <c r="B8618" s="33" t="s">
        <v>9744</v>
      </c>
      <c r="C8618" s="33" t="s">
        <v>1051</v>
      </c>
      <c r="D8618" s="35">
        <f>SUMIFS(D8619:D9015,K8619:K9015,"0",B8619:B9015,"5 1 3 9 8 12 31111 6 M59 80300 000132 0000R 00001 00398 015*")-SUMIFS(E8619:E9015,K8619:K9015,"0",B8619:B9015,"5 1 3 9 8 12 31111 6 M59 80300 000132 0000R 00001 00398 015*")</f>
        <v>0</v>
      </c>
      <c r="E8618"/>
      <c r="F8618" s="35">
        <f>SUMIFS(F8619:F9015,K8619:K9015,"0",B8619:B9015,"5 1 3 9 8 12 31111 6 M59 80300 000132 0000R 00001 00398 015*")</f>
        <v>2301.2600000000002</v>
      </c>
      <c r="G8618" s="35">
        <f>SUMIFS(G8619:G9015,K8619:K9015,"0",B8619:B9015,"5 1 3 9 8 12 31111 6 M59 80300 000132 0000R 00001 00398 015*")</f>
        <v>0</v>
      </c>
      <c r="H8618" s="35">
        <f t="shared" si="135"/>
        <v>2301.2600000000002</v>
      </c>
      <c r="I8618" s="35"/>
      <c r="K8618" t="s">
        <v>15</v>
      </c>
    </row>
    <row r="8619" spans="2:11" ht="33" x14ac:dyDescent="0.2">
      <c r="B8619" s="33" t="s">
        <v>9745</v>
      </c>
      <c r="C8619" s="33" t="s">
        <v>8550</v>
      </c>
      <c r="D8619" s="35">
        <f>SUMIFS(D8620:D9015,K8620:K9015,"0",B8620:B9015,"5 1 3 9 8 12 31111 6 M59 80300 000132 0000R 00001 00398 015 2111300*")-SUMIFS(E8620:E9015,K8620:K9015,"0",B8620:B9015,"5 1 3 9 8 12 31111 6 M59 80300 000132 0000R 00001 00398 015 2111300*")</f>
        <v>0</v>
      </c>
      <c r="E8619"/>
      <c r="F8619" s="35">
        <f>SUMIFS(F8620:F9015,K8620:K9015,"0",B8620:B9015,"5 1 3 9 8 12 31111 6 M59 80300 000132 0000R 00001 00398 015 2111300*")</f>
        <v>2301.2600000000002</v>
      </c>
      <c r="G8619" s="35">
        <f>SUMIFS(G8620:G9015,K8620:K9015,"0",B8620:B9015,"5 1 3 9 8 12 31111 6 M59 80300 000132 0000R 00001 00398 015 2111300*")</f>
        <v>0</v>
      </c>
      <c r="H8619" s="35">
        <f t="shared" si="135"/>
        <v>2301.2600000000002</v>
      </c>
      <c r="I8619" s="35"/>
      <c r="K8619" t="s">
        <v>15</v>
      </c>
    </row>
    <row r="8620" spans="2:11" ht="33" x14ac:dyDescent="0.2">
      <c r="B8620" s="33" t="s">
        <v>9746</v>
      </c>
      <c r="C8620" s="33" t="s">
        <v>660</v>
      </c>
      <c r="D8620" s="35">
        <f>SUMIFS(D8621:D9015,K8621:K9015,"0",B8621:B9015,"5 1 3 9 8 12 31111 6 M59 80300 000132 0000R 00001 00398 015 2111300 2024*")-SUMIFS(E8621:E9015,K8621:K9015,"0",B8621:B9015,"5 1 3 9 8 12 31111 6 M59 80300 000132 0000R 00001 00398 015 2111300 2024*")</f>
        <v>0</v>
      </c>
      <c r="E8620"/>
      <c r="F8620" s="35">
        <f>SUMIFS(F8621:F9015,K8621:K9015,"0",B8621:B9015,"5 1 3 9 8 12 31111 6 M59 80300 000132 0000R 00001 00398 015 2111300 2024*")</f>
        <v>2301.2600000000002</v>
      </c>
      <c r="G8620" s="35">
        <f>SUMIFS(G8621:G9015,K8621:K9015,"0",B8621:B9015,"5 1 3 9 8 12 31111 6 M59 80300 000132 0000R 00001 00398 015 2111300 2024*")</f>
        <v>0</v>
      </c>
      <c r="H8620" s="35">
        <f t="shared" si="135"/>
        <v>2301.2600000000002</v>
      </c>
      <c r="I8620" s="35"/>
      <c r="K8620" t="s">
        <v>15</v>
      </c>
    </row>
    <row r="8621" spans="2:11" ht="41.25" x14ac:dyDescent="0.2">
      <c r="B8621" s="33" t="s">
        <v>9747</v>
      </c>
      <c r="C8621" s="33" t="s">
        <v>1056</v>
      </c>
      <c r="D8621" s="35">
        <f>SUMIFS(D8622:D9015,K8622:K9015,"0",B8622:B9015,"5 1 3 9 8 12 31111 6 M59 80300 000132 0000R 00001 00398 015 2111300 2024 CP1GA414*")-SUMIFS(E8622:E9015,K8622:K9015,"0",B8622:B9015,"5 1 3 9 8 12 31111 6 M59 80300 000132 0000R 00001 00398 015 2111300 2024 CP1GA414*")</f>
        <v>0</v>
      </c>
      <c r="E8621"/>
      <c r="F8621" s="35">
        <f>SUMIFS(F8622:F9015,K8622:K9015,"0",B8622:B9015,"5 1 3 9 8 12 31111 6 M59 80300 000132 0000R 00001 00398 015 2111300 2024 CP1GA414*")</f>
        <v>2301.2600000000002</v>
      </c>
      <c r="G8621" s="35">
        <f>SUMIFS(G8622:G9015,K8622:K9015,"0",B8622:B9015,"5 1 3 9 8 12 31111 6 M59 80300 000132 0000R 00001 00398 015 2111300 2024 CP1GA414*")</f>
        <v>0</v>
      </c>
      <c r="H8621" s="35">
        <f t="shared" si="135"/>
        <v>2301.2600000000002</v>
      </c>
      <c r="I8621" s="35"/>
      <c r="K8621" t="s">
        <v>15</v>
      </c>
    </row>
    <row r="8622" spans="2:11" ht="41.25" x14ac:dyDescent="0.2">
      <c r="B8622" s="33" t="s">
        <v>9748</v>
      </c>
      <c r="C8622" s="33" t="s">
        <v>282</v>
      </c>
      <c r="D8622" s="35">
        <f>SUMIFS(D8623:D9015,K8623:K9015,"0",B8623:B9015,"5 1 3 9 8 12 31111 6 M59 80300 000132 0000R 00001 00398 015 2111300 2024 CP1GA414 001*")-SUMIFS(E8623:E9015,K8623:K9015,"0",B8623:B9015,"5 1 3 9 8 12 31111 6 M59 80300 000132 0000R 00001 00398 015 2111300 2024 CP1GA414 001*")</f>
        <v>0</v>
      </c>
      <c r="E8622"/>
      <c r="F8622" s="35">
        <f>SUMIFS(F8623:F9015,K8623:K9015,"0",B8623:B9015,"5 1 3 9 8 12 31111 6 M59 80300 000132 0000R 00001 00398 015 2111300 2024 CP1GA414 001*")</f>
        <v>2301.2600000000002</v>
      </c>
      <c r="G8622" s="35">
        <f>SUMIFS(G8623:G9015,K8623:K9015,"0",B8623:B9015,"5 1 3 9 8 12 31111 6 M59 80300 000132 0000R 00001 00398 015 2111300 2024 CP1GA414 001*")</f>
        <v>0</v>
      </c>
      <c r="H8622" s="35">
        <f t="shared" si="135"/>
        <v>2301.2600000000002</v>
      </c>
      <c r="I8622" s="35"/>
      <c r="K8622" t="s">
        <v>15</v>
      </c>
    </row>
    <row r="8623" spans="2:11" ht="41.25" x14ac:dyDescent="0.2">
      <c r="B8623" s="31" t="s">
        <v>9749</v>
      </c>
      <c r="C8623" s="31" t="s">
        <v>9254</v>
      </c>
      <c r="D8623" s="34">
        <v>0</v>
      </c>
      <c r="E8623" s="34"/>
      <c r="F8623" s="34">
        <v>2301.2600000000002</v>
      </c>
      <c r="G8623" s="34">
        <v>0</v>
      </c>
      <c r="H8623" s="34">
        <f t="shared" si="135"/>
        <v>2301.2600000000002</v>
      </c>
      <c r="I8623" s="34"/>
      <c r="K8623" t="s">
        <v>38</v>
      </c>
    </row>
    <row r="8624" spans="2:11" ht="16.5" x14ac:dyDescent="0.2">
      <c r="B8624" s="33" t="s">
        <v>9750</v>
      </c>
      <c r="C8624" s="33" t="s">
        <v>3559</v>
      </c>
      <c r="D8624" s="35">
        <f>SUMIFS(D8625:D9015,K8625:K9015,"0",B8625:B9015,"5 1 3 9 8 12 31111 6 M59 80400*")-SUMIFS(E8625:E9015,K8625:K9015,"0",B8625:B9015,"5 1 3 9 8 12 31111 6 M59 80400*")</f>
        <v>0</v>
      </c>
      <c r="E8624"/>
      <c r="F8624" s="35">
        <f>SUMIFS(F8625:F9015,K8625:K9015,"0",B8625:B9015,"5 1 3 9 8 12 31111 6 M59 80400*")</f>
        <v>2301.2600000000002</v>
      </c>
      <c r="G8624" s="35">
        <f>SUMIFS(G8625:G9015,K8625:K9015,"0",B8625:B9015,"5 1 3 9 8 12 31111 6 M59 80400*")</f>
        <v>0</v>
      </c>
      <c r="H8624" s="35">
        <f t="shared" si="135"/>
        <v>2301.2600000000002</v>
      </c>
      <c r="I8624" s="35"/>
      <c r="K8624" t="s">
        <v>15</v>
      </c>
    </row>
    <row r="8625" spans="2:11" ht="16.5" x14ac:dyDescent="0.2">
      <c r="B8625" s="33" t="s">
        <v>9751</v>
      </c>
      <c r="C8625" s="33" t="s">
        <v>648</v>
      </c>
      <c r="D8625" s="35">
        <f>SUMIFS(D8626:D9015,K8626:K9015,"0",B8626:B9015,"5 1 3 9 8 12 31111 6 M59 80400 000132*")-SUMIFS(E8626:E9015,K8626:K9015,"0",B8626:B9015,"5 1 3 9 8 12 31111 6 M59 80400 000132*")</f>
        <v>0</v>
      </c>
      <c r="E8625"/>
      <c r="F8625" s="35">
        <f>SUMIFS(F8626:F9015,K8626:K9015,"0",B8626:B9015,"5 1 3 9 8 12 31111 6 M59 80400 000132*")</f>
        <v>2301.2600000000002</v>
      </c>
      <c r="G8625" s="35">
        <f>SUMIFS(G8626:G9015,K8626:K9015,"0",B8626:B9015,"5 1 3 9 8 12 31111 6 M59 80400 000132*")</f>
        <v>0</v>
      </c>
      <c r="H8625" s="35">
        <f t="shared" si="135"/>
        <v>2301.2600000000002</v>
      </c>
      <c r="I8625" s="35"/>
      <c r="K8625" t="s">
        <v>15</v>
      </c>
    </row>
    <row r="8626" spans="2:11" ht="24.75" x14ac:dyDescent="0.2">
      <c r="B8626" s="33" t="s">
        <v>9752</v>
      </c>
      <c r="C8626" s="33" t="s">
        <v>650</v>
      </c>
      <c r="D8626" s="35">
        <f>SUMIFS(D8627:D9015,K8627:K9015,"0",B8627:B9015,"5 1 3 9 8 12 31111 6 M59 80400 000132 0000R*")-SUMIFS(E8627:E9015,K8627:K9015,"0",B8627:B9015,"5 1 3 9 8 12 31111 6 M59 80400 000132 0000R*")</f>
        <v>0</v>
      </c>
      <c r="E8626"/>
      <c r="F8626" s="35">
        <f>SUMIFS(F8627:F9015,K8627:K9015,"0",B8627:B9015,"5 1 3 9 8 12 31111 6 M59 80400 000132 0000R*")</f>
        <v>2301.2600000000002</v>
      </c>
      <c r="G8626" s="35">
        <f>SUMIFS(G8627:G9015,K8627:K9015,"0",B8627:B9015,"5 1 3 9 8 12 31111 6 M59 80400 000132 0000R*")</f>
        <v>0</v>
      </c>
      <c r="H8626" s="35">
        <f t="shared" si="135"/>
        <v>2301.2600000000002</v>
      </c>
      <c r="I8626" s="35"/>
      <c r="K8626" t="s">
        <v>15</v>
      </c>
    </row>
    <row r="8627" spans="2:11" ht="24.75" x14ac:dyDescent="0.2">
      <c r="B8627" s="33" t="s">
        <v>9753</v>
      </c>
      <c r="C8627" s="33" t="s">
        <v>282</v>
      </c>
      <c r="D8627" s="35">
        <f>SUMIFS(D8628:D9015,K8628:K9015,"0",B8628:B9015,"5 1 3 9 8 12 31111 6 M59 80400 000132 0000R 00001*")-SUMIFS(E8628:E9015,K8628:K9015,"0",B8628:B9015,"5 1 3 9 8 12 31111 6 M59 80400 000132 0000R 00001*")</f>
        <v>0</v>
      </c>
      <c r="E8627"/>
      <c r="F8627" s="35">
        <f>SUMIFS(F8628:F9015,K8628:K9015,"0",B8628:B9015,"5 1 3 9 8 12 31111 6 M59 80400 000132 0000R 00001*")</f>
        <v>2301.2600000000002</v>
      </c>
      <c r="G8627" s="35">
        <f>SUMIFS(G8628:G9015,K8628:K9015,"0",B8628:B9015,"5 1 3 9 8 12 31111 6 M59 80400 000132 0000R 00001*")</f>
        <v>0</v>
      </c>
      <c r="H8627" s="35">
        <f t="shared" si="135"/>
        <v>2301.2600000000002</v>
      </c>
      <c r="I8627" s="35"/>
      <c r="K8627" t="s">
        <v>15</v>
      </c>
    </row>
    <row r="8628" spans="2:11" ht="24.75" x14ac:dyDescent="0.2">
      <c r="B8628" s="33" t="s">
        <v>9754</v>
      </c>
      <c r="C8628" s="33" t="s">
        <v>9247</v>
      </c>
      <c r="D8628" s="35">
        <f>SUMIFS(D8629:D9015,K8629:K9015,"0",B8629:B9015,"5 1 3 9 8 12 31111 6 M59 80400 000132 0000R 00001 00398*")-SUMIFS(E8629:E9015,K8629:K9015,"0",B8629:B9015,"5 1 3 9 8 12 31111 6 M59 80400 000132 0000R 00001 00398*")</f>
        <v>0</v>
      </c>
      <c r="E8628"/>
      <c r="F8628" s="35">
        <f>SUMIFS(F8629:F9015,K8629:K9015,"0",B8629:B9015,"5 1 3 9 8 12 31111 6 M59 80400 000132 0000R 00001 00398*")</f>
        <v>2301.2600000000002</v>
      </c>
      <c r="G8628" s="35">
        <f>SUMIFS(G8629:G9015,K8629:K9015,"0",B8629:B9015,"5 1 3 9 8 12 31111 6 M59 80400 000132 0000R 00001 00398*")</f>
        <v>0</v>
      </c>
      <c r="H8628" s="35">
        <f t="shared" si="135"/>
        <v>2301.2600000000002</v>
      </c>
      <c r="I8628" s="35"/>
      <c r="K8628" t="s">
        <v>15</v>
      </c>
    </row>
    <row r="8629" spans="2:11" ht="33" x14ac:dyDescent="0.2">
      <c r="B8629" s="33" t="s">
        <v>9755</v>
      </c>
      <c r="C8629" s="33" t="s">
        <v>1051</v>
      </c>
      <c r="D8629" s="35">
        <f>SUMIFS(D8630:D9015,K8630:K9015,"0",B8630:B9015,"5 1 3 9 8 12 31111 6 M59 80400 000132 0000R 00001 00398 015*")-SUMIFS(E8630:E9015,K8630:K9015,"0",B8630:B9015,"5 1 3 9 8 12 31111 6 M59 80400 000132 0000R 00001 00398 015*")</f>
        <v>0</v>
      </c>
      <c r="E8629"/>
      <c r="F8629" s="35">
        <f>SUMIFS(F8630:F9015,K8630:K9015,"0",B8630:B9015,"5 1 3 9 8 12 31111 6 M59 80400 000132 0000R 00001 00398 015*")</f>
        <v>2301.2600000000002</v>
      </c>
      <c r="G8629" s="35">
        <f>SUMIFS(G8630:G9015,K8630:K9015,"0",B8630:B9015,"5 1 3 9 8 12 31111 6 M59 80400 000132 0000R 00001 00398 015*")</f>
        <v>0</v>
      </c>
      <c r="H8629" s="35">
        <f t="shared" si="135"/>
        <v>2301.2600000000002</v>
      </c>
      <c r="I8629" s="35"/>
      <c r="K8629" t="s">
        <v>15</v>
      </c>
    </row>
    <row r="8630" spans="2:11" ht="33" x14ac:dyDescent="0.2">
      <c r="B8630" s="33" t="s">
        <v>9756</v>
      </c>
      <c r="C8630" s="33" t="s">
        <v>8550</v>
      </c>
      <c r="D8630" s="35">
        <f>SUMIFS(D8631:D9015,K8631:K9015,"0",B8631:B9015,"5 1 3 9 8 12 31111 6 M59 80400 000132 0000R 00001 00398 015 2111300*")-SUMIFS(E8631:E9015,K8631:K9015,"0",B8631:B9015,"5 1 3 9 8 12 31111 6 M59 80400 000132 0000R 00001 00398 015 2111300*")</f>
        <v>0</v>
      </c>
      <c r="E8630"/>
      <c r="F8630" s="35">
        <f>SUMIFS(F8631:F9015,K8631:K9015,"0",B8631:B9015,"5 1 3 9 8 12 31111 6 M59 80400 000132 0000R 00001 00398 015 2111300*")</f>
        <v>2301.2600000000002</v>
      </c>
      <c r="G8630" s="35">
        <f>SUMIFS(G8631:G9015,K8631:K9015,"0",B8631:B9015,"5 1 3 9 8 12 31111 6 M59 80400 000132 0000R 00001 00398 015 2111300*")</f>
        <v>0</v>
      </c>
      <c r="H8630" s="35">
        <f t="shared" si="135"/>
        <v>2301.2600000000002</v>
      </c>
      <c r="I8630" s="35"/>
      <c r="K8630" t="s">
        <v>15</v>
      </c>
    </row>
    <row r="8631" spans="2:11" ht="33" x14ac:dyDescent="0.2">
      <c r="B8631" s="33" t="s">
        <v>9757</v>
      </c>
      <c r="C8631" s="33" t="s">
        <v>660</v>
      </c>
      <c r="D8631" s="35">
        <f>SUMIFS(D8632:D9015,K8632:K9015,"0",B8632:B9015,"5 1 3 9 8 12 31111 6 M59 80400 000132 0000R 00001 00398 015 2111300 2024*")-SUMIFS(E8632:E9015,K8632:K9015,"0",B8632:B9015,"5 1 3 9 8 12 31111 6 M59 80400 000132 0000R 00001 00398 015 2111300 2024*")</f>
        <v>0</v>
      </c>
      <c r="E8631"/>
      <c r="F8631" s="35">
        <f>SUMIFS(F8632:F9015,K8632:K9015,"0",B8632:B9015,"5 1 3 9 8 12 31111 6 M59 80400 000132 0000R 00001 00398 015 2111300 2024*")</f>
        <v>2301.2600000000002</v>
      </c>
      <c r="G8631" s="35">
        <f>SUMIFS(G8632:G9015,K8632:K9015,"0",B8632:B9015,"5 1 3 9 8 12 31111 6 M59 80400 000132 0000R 00001 00398 015 2111300 2024*")</f>
        <v>0</v>
      </c>
      <c r="H8631" s="35">
        <f t="shared" si="135"/>
        <v>2301.2600000000002</v>
      </c>
      <c r="I8631" s="35"/>
      <c r="K8631" t="s">
        <v>15</v>
      </c>
    </row>
    <row r="8632" spans="2:11" ht="41.25" x14ac:dyDescent="0.2">
      <c r="B8632" s="33" t="s">
        <v>9758</v>
      </c>
      <c r="C8632" s="33" t="s">
        <v>1056</v>
      </c>
      <c r="D8632" s="35">
        <f>SUMIFS(D8633:D9015,K8633:K9015,"0",B8633:B9015,"5 1 3 9 8 12 31111 6 M59 80400 000132 0000R 00001 00398 015 2111300 2024 CP1DP403*")-SUMIFS(E8633:E9015,K8633:K9015,"0",B8633:B9015,"5 1 3 9 8 12 31111 6 M59 80400 000132 0000R 00001 00398 015 2111300 2024 CP1DP403*")</f>
        <v>0</v>
      </c>
      <c r="E8632"/>
      <c r="F8632" s="35">
        <f>SUMIFS(F8633:F9015,K8633:K9015,"0",B8633:B9015,"5 1 3 9 8 12 31111 6 M59 80400 000132 0000R 00001 00398 015 2111300 2024 CP1DP403*")</f>
        <v>2301.2600000000002</v>
      </c>
      <c r="G8632" s="35">
        <f>SUMIFS(G8633:G9015,K8633:K9015,"0",B8633:B9015,"5 1 3 9 8 12 31111 6 M59 80400 000132 0000R 00001 00398 015 2111300 2024 CP1DP403*")</f>
        <v>0</v>
      </c>
      <c r="H8632" s="35">
        <f t="shared" si="135"/>
        <v>2301.2600000000002</v>
      </c>
      <c r="I8632" s="35"/>
      <c r="K8632" t="s">
        <v>15</v>
      </c>
    </row>
    <row r="8633" spans="2:11" ht="41.25" x14ac:dyDescent="0.2">
      <c r="B8633" s="33" t="s">
        <v>9759</v>
      </c>
      <c r="C8633" s="33" t="s">
        <v>282</v>
      </c>
      <c r="D8633" s="35">
        <f>SUMIFS(D8634:D9015,K8634:K9015,"0",B8634:B9015,"5 1 3 9 8 12 31111 6 M59 80400 000132 0000R 00001 00398 015 2111300 2024 CP1DP403 001*")-SUMIFS(E8634:E9015,K8634:K9015,"0",B8634:B9015,"5 1 3 9 8 12 31111 6 M59 80400 000132 0000R 00001 00398 015 2111300 2024 CP1DP403 001*")</f>
        <v>0</v>
      </c>
      <c r="E8633"/>
      <c r="F8633" s="35">
        <f>SUMIFS(F8634:F9015,K8634:K9015,"0",B8634:B9015,"5 1 3 9 8 12 31111 6 M59 80400 000132 0000R 00001 00398 015 2111300 2024 CP1DP403 001*")</f>
        <v>2301.2600000000002</v>
      </c>
      <c r="G8633" s="35">
        <f>SUMIFS(G8634:G9015,K8634:K9015,"0",B8634:B9015,"5 1 3 9 8 12 31111 6 M59 80400 000132 0000R 00001 00398 015 2111300 2024 CP1DP403 001*")</f>
        <v>0</v>
      </c>
      <c r="H8633" s="35">
        <f t="shared" si="135"/>
        <v>2301.2600000000002</v>
      </c>
      <c r="I8633" s="35"/>
      <c r="K8633" t="s">
        <v>15</v>
      </c>
    </row>
    <row r="8634" spans="2:11" ht="41.25" x14ac:dyDescent="0.2">
      <c r="B8634" s="31" t="s">
        <v>9760</v>
      </c>
      <c r="C8634" s="31" t="s">
        <v>9254</v>
      </c>
      <c r="D8634" s="34">
        <v>0</v>
      </c>
      <c r="E8634" s="34"/>
      <c r="F8634" s="34">
        <v>2301.2600000000002</v>
      </c>
      <c r="G8634" s="34">
        <v>0</v>
      </c>
      <c r="H8634" s="34">
        <f t="shared" si="135"/>
        <v>2301.2600000000002</v>
      </c>
      <c r="I8634" s="34"/>
      <c r="K8634" t="s">
        <v>38</v>
      </c>
    </row>
    <row r="8635" spans="2:11" ht="24.75" x14ac:dyDescent="0.2">
      <c r="B8635" s="33" t="s">
        <v>9761</v>
      </c>
      <c r="C8635" s="33" t="s">
        <v>3571</v>
      </c>
      <c r="D8635" s="35">
        <f>SUMIFS(D8636:D9015,K8636:K9015,"0",B8636:B9015,"5 1 3 9 8 12 31111 6 M59 80500*")-SUMIFS(E8636:E9015,K8636:K9015,"0",B8636:B9015,"5 1 3 9 8 12 31111 6 M59 80500*")</f>
        <v>0</v>
      </c>
      <c r="E8635"/>
      <c r="F8635" s="35">
        <f>SUMIFS(F8636:F9015,K8636:K9015,"0",B8636:B9015,"5 1 3 9 8 12 31111 6 M59 80500*")</f>
        <v>6013.54</v>
      </c>
      <c r="G8635" s="35">
        <f>SUMIFS(G8636:G9015,K8636:K9015,"0",B8636:B9015,"5 1 3 9 8 12 31111 6 M59 80500*")</f>
        <v>0</v>
      </c>
      <c r="H8635" s="35">
        <f t="shared" si="135"/>
        <v>6013.54</v>
      </c>
      <c r="I8635" s="35"/>
      <c r="K8635" t="s">
        <v>15</v>
      </c>
    </row>
    <row r="8636" spans="2:11" ht="16.5" x14ac:dyDescent="0.2">
      <c r="B8636" s="33" t="s">
        <v>9762</v>
      </c>
      <c r="C8636" s="33" t="s">
        <v>3573</v>
      </c>
      <c r="D8636" s="35">
        <f>SUMIFS(D8637:D9015,K8637:K9015,"0",B8637:B9015,"5 1 3 9 8 12 31111 6 M59 80500 000216*")-SUMIFS(E8637:E9015,K8637:K9015,"0",B8637:B9015,"5 1 3 9 8 12 31111 6 M59 80500 000216*")</f>
        <v>0</v>
      </c>
      <c r="E8636"/>
      <c r="F8636" s="35">
        <f>SUMIFS(F8637:F9015,K8637:K9015,"0",B8637:B9015,"5 1 3 9 8 12 31111 6 M59 80500 000216*")</f>
        <v>6013.54</v>
      </c>
      <c r="G8636" s="35">
        <f>SUMIFS(G8637:G9015,K8637:K9015,"0",B8637:B9015,"5 1 3 9 8 12 31111 6 M59 80500 000216*")</f>
        <v>0</v>
      </c>
      <c r="H8636" s="35">
        <f t="shared" si="135"/>
        <v>6013.54</v>
      </c>
      <c r="I8636" s="35"/>
      <c r="K8636" t="s">
        <v>15</v>
      </c>
    </row>
    <row r="8637" spans="2:11" ht="24.75" x14ac:dyDescent="0.2">
      <c r="B8637" s="33" t="s">
        <v>9763</v>
      </c>
      <c r="C8637" s="33" t="s">
        <v>650</v>
      </c>
      <c r="D8637" s="35">
        <f>SUMIFS(D8638:D9015,K8638:K9015,"0",B8638:B9015,"5 1 3 9 8 12 31111 6 M59 80500 000216 0000R*")-SUMIFS(E8638:E9015,K8638:K9015,"0",B8638:B9015,"5 1 3 9 8 12 31111 6 M59 80500 000216 0000R*")</f>
        <v>0</v>
      </c>
      <c r="E8637"/>
      <c r="F8637" s="35">
        <f>SUMIFS(F8638:F9015,K8638:K9015,"0",B8638:B9015,"5 1 3 9 8 12 31111 6 M59 80500 000216 0000R*")</f>
        <v>6013.54</v>
      </c>
      <c r="G8637" s="35">
        <f>SUMIFS(G8638:G9015,K8638:K9015,"0",B8638:B9015,"5 1 3 9 8 12 31111 6 M59 80500 000216 0000R*")</f>
        <v>0</v>
      </c>
      <c r="H8637" s="35">
        <f t="shared" si="135"/>
        <v>6013.54</v>
      </c>
      <c r="I8637" s="35"/>
      <c r="K8637" t="s">
        <v>15</v>
      </c>
    </row>
    <row r="8638" spans="2:11" ht="24.75" x14ac:dyDescent="0.2">
      <c r="B8638" s="33" t="s">
        <v>9764</v>
      </c>
      <c r="C8638" s="33" t="s">
        <v>282</v>
      </c>
      <c r="D8638" s="35">
        <f>SUMIFS(D8639:D9015,K8639:K9015,"0",B8639:B9015,"5 1 3 9 8 12 31111 6 M59 80500 000216 0000R 00001*")-SUMIFS(E8639:E9015,K8639:K9015,"0",B8639:B9015,"5 1 3 9 8 12 31111 6 M59 80500 000216 0000R 00001*")</f>
        <v>0</v>
      </c>
      <c r="E8638"/>
      <c r="F8638" s="35">
        <f>SUMIFS(F8639:F9015,K8639:K9015,"0",B8639:B9015,"5 1 3 9 8 12 31111 6 M59 80500 000216 0000R 00001*")</f>
        <v>6013.54</v>
      </c>
      <c r="G8638" s="35">
        <f>SUMIFS(G8639:G9015,K8639:K9015,"0",B8639:B9015,"5 1 3 9 8 12 31111 6 M59 80500 000216 0000R 00001*")</f>
        <v>0</v>
      </c>
      <c r="H8638" s="35">
        <f t="shared" si="135"/>
        <v>6013.54</v>
      </c>
      <c r="I8638" s="35"/>
      <c r="K8638" t="s">
        <v>15</v>
      </c>
    </row>
    <row r="8639" spans="2:11" ht="24.75" x14ac:dyDescent="0.2">
      <c r="B8639" s="33" t="s">
        <v>9765</v>
      </c>
      <c r="C8639" s="33" t="s">
        <v>9247</v>
      </c>
      <c r="D8639" s="35">
        <f>SUMIFS(D8640:D9015,K8640:K9015,"0",B8640:B9015,"5 1 3 9 8 12 31111 6 M59 80500 000216 0000R 00001 00398*")-SUMIFS(E8640:E9015,K8640:K9015,"0",B8640:B9015,"5 1 3 9 8 12 31111 6 M59 80500 000216 0000R 00001 00398*")</f>
        <v>0</v>
      </c>
      <c r="E8639"/>
      <c r="F8639" s="35">
        <f>SUMIFS(F8640:F9015,K8640:K9015,"0",B8640:B9015,"5 1 3 9 8 12 31111 6 M59 80500 000216 0000R 00001 00398*")</f>
        <v>6013.54</v>
      </c>
      <c r="G8639" s="35">
        <f>SUMIFS(G8640:G9015,K8640:K9015,"0",B8640:B9015,"5 1 3 9 8 12 31111 6 M59 80500 000216 0000R 00001 00398*")</f>
        <v>0</v>
      </c>
      <c r="H8639" s="35">
        <f t="shared" si="135"/>
        <v>6013.54</v>
      </c>
      <c r="I8639" s="35"/>
      <c r="K8639" t="s">
        <v>15</v>
      </c>
    </row>
    <row r="8640" spans="2:11" ht="33" x14ac:dyDescent="0.2">
      <c r="B8640" s="33" t="s">
        <v>9766</v>
      </c>
      <c r="C8640" s="33" t="s">
        <v>1051</v>
      </c>
      <c r="D8640" s="35">
        <f>SUMIFS(D8641:D9015,K8641:K9015,"0",B8641:B9015,"5 1 3 9 8 12 31111 6 M59 80500 000216 0000R 00001 00398 015*")-SUMIFS(E8641:E9015,K8641:K9015,"0",B8641:B9015,"5 1 3 9 8 12 31111 6 M59 80500 000216 0000R 00001 00398 015*")</f>
        <v>0</v>
      </c>
      <c r="E8640"/>
      <c r="F8640" s="35">
        <f>SUMIFS(F8641:F9015,K8641:K9015,"0",B8641:B9015,"5 1 3 9 8 12 31111 6 M59 80500 000216 0000R 00001 00398 015*")</f>
        <v>6013.54</v>
      </c>
      <c r="G8640" s="35">
        <f>SUMIFS(G8641:G9015,K8641:K9015,"0",B8641:B9015,"5 1 3 9 8 12 31111 6 M59 80500 000216 0000R 00001 00398 015*")</f>
        <v>0</v>
      </c>
      <c r="H8640" s="35">
        <f t="shared" si="135"/>
        <v>6013.54</v>
      </c>
      <c r="I8640" s="35"/>
      <c r="K8640" t="s">
        <v>15</v>
      </c>
    </row>
    <row r="8641" spans="2:11" ht="33" x14ac:dyDescent="0.2">
      <c r="B8641" s="33" t="s">
        <v>9767</v>
      </c>
      <c r="C8641" s="33" t="s">
        <v>8550</v>
      </c>
      <c r="D8641" s="35">
        <f>SUMIFS(D8642:D9015,K8642:K9015,"0",B8642:B9015,"5 1 3 9 8 12 31111 6 M59 80500 000216 0000R 00001 00398 015 2111300*")-SUMIFS(E8642:E9015,K8642:K9015,"0",B8642:B9015,"5 1 3 9 8 12 31111 6 M59 80500 000216 0000R 00001 00398 015 2111300*")</f>
        <v>0</v>
      </c>
      <c r="E8641"/>
      <c r="F8641" s="35">
        <f>SUMIFS(F8642:F9015,K8642:K9015,"0",B8642:B9015,"5 1 3 9 8 12 31111 6 M59 80500 000216 0000R 00001 00398 015 2111300*")</f>
        <v>6013.54</v>
      </c>
      <c r="G8641" s="35">
        <f>SUMIFS(G8642:G9015,K8642:K9015,"0",B8642:B9015,"5 1 3 9 8 12 31111 6 M59 80500 000216 0000R 00001 00398 015 2111300*")</f>
        <v>0</v>
      </c>
      <c r="H8641" s="35">
        <f t="shared" si="135"/>
        <v>6013.54</v>
      </c>
      <c r="I8641" s="35"/>
      <c r="K8641" t="s">
        <v>15</v>
      </c>
    </row>
    <row r="8642" spans="2:11" ht="33" x14ac:dyDescent="0.2">
      <c r="B8642" s="33" t="s">
        <v>9768</v>
      </c>
      <c r="C8642" s="33" t="s">
        <v>660</v>
      </c>
      <c r="D8642" s="35">
        <f>SUMIFS(D8643:D9015,K8643:K9015,"0",B8643:B9015,"5 1 3 9 8 12 31111 6 M59 80500 000216 0000R 00001 00398 015 2111300 2024*")-SUMIFS(E8643:E9015,K8643:K9015,"0",B8643:B9015,"5 1 3 9 8 12 31111 6 M59 80500 000216 0000R 00001 00398 015 2111300 2024*")</f>
        <v>0</v>
      </c>
      <c r="E8642"/>
      <c r="F8642" s="35">
        <f>SUMIFS(F8643:F9015,K8643:K9015,"0",B8643:B9015,"5 1 3 9 8 12 31111 6 M59 80500 000216 0000R 00001 00398 015 2111300 2024*")</f>
        <v>6013.54</v>
      </c>
      <c r="G8642" s="35">
        <f>SUMIFS(G8643:G9015,K8643:K9015,"0",B8643:B9015,"5 1 3 9 8 12 31111 6 M59 80500 000216 0000R 00001 00398 015 2111300 2024*")</f>
        <v>0</v>
      </c>
      <c r="H8642" s="35">
        <f t="shared" si="135"/>
        <v>6013.54</v>
      </c>
      <c r="I8642" s="35"/>
      <c r="K8642" t="s">
        <v>15</v>
      </c>
    </row>
    <row r="8643" spans="2:11" ht="41.25" x14ac:dyDescent="0.2">
      <c r="B8643" s="33" t="s">
        <v>9769</v>
      </c>
      <c r="C8643" s="33" t="s">
        <v>1056</v>
      </c>
      <c r="D8643" s="35">
        <f>SUMIFS(D8644:D9015,K8644:K9015,"0",B8644:B9015,"5 1 3 9 8 12 31111 6 M59 80500 000216 0000R 00001 00398 015 2111300 2024 CP1MA417*")-SUMIFS(E8644:E9015,K8644:K9015,"0",B8644:B9015,"5 1 3 9 8 12 31111 6 M59 80500 000216 0000R 00001 00398 015 2111300 2024 CP1MA417*")</f>
        <v>0</v>
      </c>
      <c r="E8643"/>
      <c r="F8643" s="35">
        <f>SUMIFS(F8644:F9015,K8644:K9015,"0",B8644:B9015,"5 1 3 9 8 12 31111 6 M59 80500 000216 0000R 00001 00398 015 2111300 2024 CP1MA417*")</f>
        <v>6013.54</v>
      </c>
      <c r="G8643" s="35">
        <f>SUMIFS(G8644:G9015,K8644:K9015,"0",B8644:B9015,"5 1 3 9 8 12 31111 6 M59 80500 000216 0000R 00001 00398 015 2111300 2024 CP1MA417*")</f>
        <v>0</v>
      </c>
      <c r="H8643" s="35">
        <f t="shared" si="135"/>
        <v>6013.54</v>
      </c>
      <c r="I8643" s="35"/>
      <c r="K8643" t="s">
        <v>15</v>
      </c>
    </row>
    <row r="8644" spans="2:11" ht="41.25" x14ac:dyDescent="0.2">
      <c r="B8644" s="33" t="s">
        <v>9770</v>
      </c>
      <c r="C8644" s="33" t="s">
        <v>282</v>
      </c>
      <c r="D8644" s="35">
        <f>SUMIFS(D8645:D9015,K8645:K9015,"0",B8645:B9015,"5 1 3 9 8 12 31111 6 M59 80500 000216 0000R 00001 00398 015 2111300 2024 CP1MA417 001*")-SUMIFS(E8645:E9015,K8645:K9015,"0",B8645:B9015,"5 1 3 9 8 12 31111 6 M59 80500 000216 0000R 00001 00398 015 2111300 2024 CP1MA417 001*")</f>
        <v>0</v>
      </c>
      <c r="E8644"/>
      <c r="F8644" s="35">
        <f>SUMIFS(F8645:F9015,K8645:K9015,"0",B8645:B9015,"5 1 3 9 8 12 31111 6 M59 80500 000216 0000R 00001 00398 015 2111300 2024 CP1MA417 001*")</f>
        <v>6013.54</v>
      </c>
      <c r="G8644" s="35">
        <f>SUMIFS(G8645:G9015,K8645:K9015,"0",B8645:B9015,"5 1 3 9 8 12 31111 6 M59 80500 000216 0000R 00001 00398 015 2111300 2024 CP1MA417 001*")</f>
        <v>0</v>
      </c>
      <c r="H8644" s="35">
        <f t="shared" ref="H8644:H8707" si="136">D8644 + F8644 - G8644</f>
        <v>6013.54</v>
      </c>
      <c r="I8644" s="35"/>
      <c r="K8644" t="s">
        <v>15</v>
      </c>
    </row>
    <row r="8645" spans="2:11" ht="33" x14ac:dyDescent="0.2">
      <c r="B8645" s="31" t="s">
        <v>9771</v>
      </c>
      <c r="C8645" s="31" t="s">
        <v>9254</v>
      </c>
      <c r="D8645" s="34">
        <v>0</v>
      </c>
      <c r="E8645" s="34"/>
      <c r="F8645" s="34">
        <v>6013.54</v>
      </c>
      <c r="G8645" s="34">
        <v>0</v>
      </c>
      <c r="H8645" s="34">
        <f t="shared" si="136"/>
        <v>6013.54</v>
      </c>
      <c r="I8645" s="34"/>
      <c r="K8645" t="s">
        <v>38</v>
      </c>
    </row>
    <row r="8646" spans="2:11" ht="16.5" x14ac:dyDescent="0.2">
      <c r="B8646" s="33" t="s">
        <v>9772</v>
      </c>
      <c r="C8646" s="33" t="s">
        <v>3584</v>
      </c>
      <c r="D8646" s="35">
        <f>SUMIFS(D8647:D9015,K8647:K9015,"0",B8647:B9015,"5 1 3 9 8 12 31111 6 M59 80700*")-SUMIFS(E8647:E9015,K8647:K9015,"0",B8647:B9015,"5 1 3 9 8 12 31111 6 M59 80700*")</f>
        <v>0</v>
      </c>
      <c r="E8646"/>
      <c r="F8646" s="35">
        <f>SUMIFS(F8647:F9015,K8647:K9015,"0",B8647:B9015,"5 1 3 9 8 12 31111 6 M59 80700*")</f>
        <v>2046.98</v>
      </c>
      <c r="G8646" s="35">
        <f>SUMIFS(G8647:G9015,K8647:K9015,"0",B8647:B9015,"5 1 3 9 8 12 31111 6 M59 80700*")</f>
        <v>0</v>
      </c>
      <c r="H8646" s="35">
        <f t="shared" si="136"/>
        <v>2046.98</v>
      </c>
      <c r="I8646" s="35"/>
      <c r="K8646" t="s">
        <v>15</v>
      </c>
    </row>
    <row r="8647" spans="2:11" ht="16.5" x14ac:dyDescent="0.2">
      <c r="B8647" s="33" t="s">
        <v>9773</v>
      </c>
      <c r="C8647" s="33" t="s">
        <v>648</v>
      </c>
      <c r="D8647" s="35">
        <f>SUMIFS(D8648:D9015,K8648:K9015,"0",B8648:B9015,"5 1 3 9 8 12 31111 6 M59 80700 000132*")-SUMIFS(E8648:E9015,K8648:K9015,"0",B8648:B9015,"5 1 3 9 8 12 31111 6 M59 80700 000132*")</f>
        <v>0</v>
      </c>
      <c r="E8647"/>
      <c r="F8647" s="35">
        <f>SUMIFS(F8648:F9015,K8648:K9015,"0",B8648:B9015,"5 1 3 9 8 12 31111 6 M59 80700 000132*")</f>
        <v>2046.98</v>
      </c>
      <c r="G8647" s="35">
        <f>SUMIFS(G8648:G9015,K8648:K9015,"0",B8648:B9015,"5 1 3 9 8 12 31111 6 M59 80700 000132*")</f>
        <v>0</v>
      </c>
      <c r="H8647" s="35">
        <f t="shared" si="136"/>
        <v>2046.98</v>
      </c>
      <c r="I8647" s="35"/>
      <c r="K8647" t="s">
        <v>15</v>
      </c>
    </row>
    <row r="8648" spans="2:11" ht="24.75" x14ac:dyDescent="0.2">
      <c r="B8648" s="33" t="s">
        <v>9774</v>
      </c>
      <c r="C8648" s="33" t="s">
        <v>650</v>
      </c>
      <c r="D8648" s="35">
        <f>SUMIFS(D8649:D9015,K8649:K9015,"0",B8649:B9015,"5 1 3 9 8 12 31111 6 M59 80700 000132 0000R*")-SUMIFS(E8649:E9015,K8649:K9015,"0",B8649:B9015,"5 1 3 9 8 12 31111 6 M59 80700 000132 0000R*")</f>
        <v>0</v>
      </c>
      <c r="E8648"/>
      <c r="F8648" s="35">
        <f>SUMIFS(F8649:F9015,K8649:K9015,"0",B8649:B9015,"5 1 3 9 8 12 31111 6 M59 80700 000132 0000R*")</f>
        <v>2046.98</v>
      </c>
      <c r="G8648" s="35">
        <f>SUMIFS(G8649:G9015,K8649:K9015,"0",B8649:B9015,"5 1 3 9 8 12 31111 6 M59 80700 000132 0000R*")</f>
        <v>0</v>
      </c>
      <c r="H8648" s="35">
        <f t="shared" si="136"/>
        <v>2046.98</v>
      </c>
      <c r="I8648" s="35"/>
      <c r="K8648" t="s">
        <v>15</v>
      </c>
    </row>
    <row r="8649" spans="2:11" ht="24.75" x14ac:dyDescent="0.2">
      <c r="B8649" s="33" t="s">
        <v>9775</v>
      </c>
      <c r="C8649" s="33" t="s">
        <v>282</v>
      </c>
      <c r="D8649" s="35">
        <f>SUMIFS(D8650:D9015,K8650:K9015,"0",B8650:B9015,"5 1 3 9 8 12 31111 6 M59 80700 000132 0000R 00001*")-SUMIFS(E8650:E9015,K8650:K9015,"0",B8650:B9015,"5 1 3 9 8 12 31111 6 M59 80700 000132 0000R 00001*")</f>
        <v>0</v>
      </c>
      <c r="E8649"/>
      <c r="F8649" s="35">
        <f>SUMIFS(F8650:F9015,K8650:K9015,"0",B8650:B9015,"5 1 3 9 8 12 31111 6 M59 80700 000132 0000R 00001*")</f>
        <v>2046.98</v>
      </c>
      <c r="G8649" s="35">
        <f>SUMIFS(G8650:G9015,K8650:K9015,"0",B8650:B9015,"5 1 3 9 8 12 31111 6 M59 80700 000132 0000R 00001*")</f>
        <v>0</v>
      </c>
      <c r="H8649" s="35">
        <f t="shared" si="136"/>
        <v>2046.98</v>
      </c>
      <c r="I8649" s="35"/>
      <c r="K8649" t="s">
        <v>15</v>
      </c>
    </row>
    <row r="8650" spans="2:11" ht="24.75" x14ac:dyDescent="0.2">
      <c r="B8650" s="33" t="s">
        <v>9776</v>
      </c>
      <c r="C8650" s="33" t="s">
        <v>9247</v>
      </c>
      <c r="D8650" s="35">
        <f>SUMIFS(D8651:D9015,K8651:K9015,"0",B8651:B9015,"5 1 3 9 8 12 31111 6 M59 80700 000132 0000R 00001 00398*")-SUMIFS(E8651:E9015,K8651:K9015,"0",B8651:B9015,"5 1 3 9 8 12 31111 6 M59 80700 000132 0000R 00001 00398*")</f>
        <v>0</v>
      </c>
      <c r="E8650"/>
      <c r="F8650" s="35">
        <f>SUMIFS(F8651:F9015,K8651:K9015,"0",B8651:B9015,"5 1 3 9 8 12 31111 6 M59 80700 000132 0000R 00001 00398*")</f>
        <v>2046.98</v>
      </c>
      <c r="G8650" s="35">
        <f>SUMIFS(G8651:G9015,K8651:K9015,"0",B8651:B9015,"5 1 3 9 8 12 31111 6 M59 80700 000132 0000R 00001 00398*")</f>
        <v>0</v>
      </c>
      <c r="H8650" s="35">
        <f t="shared" si="136"/>
        <v>2046.98</v>
      </c>
      <c r="I8650" s="35"/>
      <c r="K8650" t="s">
        <v>15</v>
      </c>
    </row>
    <row r="8651" spans="2:11" ht="33" x14ac:dyDescent="0.2">
      <c r="B8651" s="33" t="s">
        <v>9777</v>
      </c>
      <c r="C8651" s="33" t="s">
        <v>1051</v>
      </c>
      <c r="D8651" s="35">
        <f>SUMIFS(D8652:D9015,K8652:K9015,"0",B8652:B9015,"5 1 3 9 8 12 31111 6 M59 80700 000132 0000R 00001 00398 015*")-SUMIFS(E8652:E9015,K8652:K9015,"0",B8652:B9015,"5 1 3 9 8 12 31111 6 M59 80700 000132 0000R 00001 00398 015*")</f>
        <v>0</v>
      </c>
      <c r="E8651"/>
      <c r="F8651" s="35">
        <f>SUMIFS(F8652:F9015,K8652:K9015,"0",B8652:B9015,"5 1 3 9 8 12 31111 6 M59 80700 000132 0000R 00001 00398 015*")</f>
        <v>2046.98</v>
      </c>
      <c r="G8651" s="35">
        <f>SUMIFS(G8652:G9015,K8652:K9015,"0",B8652:B9015,"5 1 3 9 8 12 31111 6 M59 80700 000132 0000R 00001 00398 015*")</f>
        <v>0</v>
      </c>
      <c r="H8651" s="35">
        <f t="shared" si="136"/>
        <v>2046.98</v>
      </c>
      <c r="I8651" s="35"/>
      <c r="K8651" t="s">
        <v>15</v>
      </c>
    </row>
    <row r="8652" spans="2:11" ht="33" x14ac:dyDescent="0.2">
      <c r="B8652" s="33" t="s">
        <v>9778</v>
      </c>
      <c r="C8652" s="33" t="s">
        <v>8550</v>
      </c>
      <c r="D8652" s="35">
        <f>SUMIFS(D8653:D9015,K8653:K9015,"0",B8653:B9015,"5 1 3 9 8 12 31111 6 M59 80700 000132 0000R 00001 00398 015 2111300*")-SUMIFS(E8653:E9015,K8653:K9015,"0",B8653:B9015,"5 1 3 9 8 12 31111 6 M59 80700 000132 0000R 00001 00398 015 2111300*")</f>
        <v>0</v>
      </c>
      <c r="E8652"/>
      <c r="F8652" s="35">
        <f>SUMIFS(F8653:F9015,K8653:K9015,"0",B8653:B9015,"5 1 3 9 8 12 31111 6 M59 80700 000132 0000R 00001 00398 015 2111300*")</f>
        <v>2046.98</v>
      </c>
      <c r="G8652" s="35">
        <f>SUMIFS(G8653:G9015,K8653:K9015,"0",B8653:B9015,"5 1 3 9 8 12 31111 6 M59 80700 000132 0000R 00001 00398 015 2111300*")</f>
        <v>0</v>
      </c>
      <c r="H8652" s="35">
        <f t="shared" si="136"/>
        <v>2046.98</v>
      </c>
      <c r="I8652" s="35"/>
      <c r="K8652" t="s">
        <v>15</v>
      </c>
    </row>
    <row r="8653" spans="2:11" ht="33" x14ac:dyDescent="0.2">
      <c r="B8653" s="33" t="s">
        <v>9779</v>
      </c>
      <c r="C8653" s="33" t="s">
        <v>660</v>
      </c>
      <c r="D8653" s="35">
        <f>SUMIFS(D8654:D9015,K8654:K9015,"0",B8654:B9015,"5 1 3 9 8 12 31111 6 M59 80700 000132 0000R 00001 00398 015 2111300 2024*")-SUMIFS(E8654:E9015,K8654:K9015,"0",B8654:B9015,"5 1 3 9 8 12 31111 6 M59 80700 000132 0000R 00001 00398 015 2111300 2024*")</f>
        <v>0</v>
      </c>
      <c r="E8653"/>
      <c r="F8653" s="35">
        <f>SUMIFS(F8654:F9015,K8654:K9015,"0",B8654:B9015,"5 1 3 9 8 12 31111 6 M59 80700 000132 0000R 00001 00398 015 2111300 2024*")</f>
        <v>2046.98</v>
      </c>
      <c r="G8653" s="35">
        <f>SUMIFS(G8654:G9015,K8654:K9015,"0",B8654:B9015,"5 1 3 9 8 12 31111 6 M59 80700 000132 0000R 00001 00398 015 2111300 2024*")</f>
        <v>0</v>
      </c>
      <c r="H8653" s="35">
        <f t="shared" si="136"/>
        <v>2046.98</v>
      </c>
      <c r="I8653" s="35"/>
      <c r="K8653" t="s">
        <v>15</v>
      </c>
    </row>
    <row r="8654" spans="2:11" ht="41.25" x14ac:dyDescent="0.2">
      <c r="B8654" s="33" t="s">
        <v>9780</v>
      </c>
      <c r="C8654" s="33" t="s">
        <v>1056</v>
      </c>
      <c r="D8654" s="35">
        <f>SUMIFS(D8655:D9015,K8655:K9015,"0",B8655:B9015,"5 1 3 9 8 12 31111 6 M59 80700 000132 0000R 00001 00398 015 2111300 2024 CP1ME407*")-SUMIFS(E8655:E9015,K8655:K9015,"0",B8655:B9015,"5 1 3 9 8 12 31111 6 M59 80700 000132 0000R 00001 00398 015 2111300 2024 CP1ME407*")</f>
        <v>0</v>
      </c>
      <c r="E8654"/>
      <c r="F8654" s="35">
        <f>SUMIFS(F8655:F9015,K8655:K9015,"0",B8655:B9015,"5 1 3 9 8 12 31111 6 M59 80700 000132 0000R 00001 00398 015 2111300 2024 CP1ME407*")</f>
        <v>2046.98</v>
      </c>
      <c r="G8654" s="35">
        <f>SUMIFS(G8655:G9015,K8655:K9015,"0",B8655:B9015,"5 1 3 9 8 12 31111 6 M59 80700 000132 0000R 00001 00398 015 2111300 2024 CP1ME407*")</f>
        <v>0</v>
      </c>
      <c r="H8654" s="35">
        <f t="shared" si="136"/>
        <v>2046.98</v>
      </c>
      <c r="I8654" s="35"/>
      <c r="K8654" t="s">
        <v>15</v>
      </c>
    </row>
    <row r="8655" spans="2:11" ht="41.25" x14ac:dyDescent="0.2">
      <c r="B8655" s="33" t="s">
        <v>9781</v>
      </c>
      <c r="C8655" s="33" t="s">
        <v>282</v>
      </c>
      <c r="D8655" s="35">
        <f>SUMIFS(D8656:D9015,K8656:K9015,"0",B8656:B9015,"5 1 3 9 8 12 31111 6 M59 80700 000132 0000R 00001 00398 015 2111300 2024 CP1ME407 001*")-SUMIFS(E8656:E9015,K8656:K9015,"0",B8656:B9015,"5 1 3 9 8 12 31111 6 M59 80700 000132 0000R 00001 00398 015 2111300 2024 CP1ME407 001*")</f>
        <v>0</v>
      </c>
      <c r="E8655"/>
      <c r="F8655" s="35">
        <f>SUMIFS(F8656:F9015,K8656:K9015,"0",B8656:B9015,"5 1 3 9 8 12 31111 6 M59 80700 000132 0000R 00001 00398 015 2111300 2024 CP1ME407 001*")</f>
        <v>2046.98</v>
      </c>
      <c r="G8655" s="35">
        <f>SUMIFS(G8656:G9015,K8656:K9015,"0",B8656:B9015,"5 1 3 9 8 12 31111 6 M59 80700 000132 0000R 00001 00398 015 2111300 2024 CP1ME407 001*")</f>
        <v>0</v>
      </c>
      <c r="H8655" s="35">
        <f t="shared" si="136"/>
        <v>2046.98</v>
      </c>
      <c r="I8655" s="35"/>
      <c r="K8655" t="s">
        <v>15</v>
      </c>
    </row>
    <row r="8656" spans="2:11" ht="33" x14ac:dyDescent="0.2">
      <c r="B8656" s="31" t="s">
        <v>9782</v>
      </c>
      <c r="C8656" s="31" t="s">
        <v>9254</v>
      </c>
      <c r="D8656" s="34">
        <v>0</v>
      </c>
      <c r="E8656" s="34"/>
      <c r="F8656" s="34">
        <v>2046.98</v>
      </c>
      <c r="G8656" s="34">
        <v>0</v>
      </c>
      <c r="H8656" s="34">
        <f t="shared" si="136"/>
        <v>2046.98</v>
      </c>
      <c r="I8656" s="34"/>
      <c r="K8656" t="s">
        <v>38</v>
      </c>
    </row>
    <row r="8657" spans="2:11" ht="16.5" x14ac:dyDescent="0.2">
      <c r="B8657" s="33" t="s">
        <v>9783</v>
      </c>
      <c r="C8657" s="33" t="s">
        <v>3596</v>
      </c>
      <c r="D8657" s="35">
        <f>SUMIFS(D8658:D9015,K8658:K9015,"0",B8658:B9015,"5 1 3 9 8 12 31111 6 M59 90000*")-SUMIFS(E8658:E9015,K8658:K9015,"0",B8658:B9015,"5 1 3 9 8 12 31111 6 M59 90000*")</f>
        <v>0</v>
      </c>
      <c r="E8657"/>
      <c r="F8657" s="35">
        <f>SUMIFS(F8658:F9015,K8658:K9015,"0",B8658:B9015,"5 1 3 9 8 12 31111 6 M59 90000*")</f>
        <v>18275.25</v>
      </c>
      <c r="G8657" s="35">
        <f>SUMIFS(G8658:G9015,K8658:K9015,"0",B8658:B9015,"5 1 3 9 8 12 31111 6 M59 90000*")</f>
        <v>0</v>
      </c>
      <c r="H8657" s="35">
        <f t="shared" si="136"/>
        <v>18275.25</v>
      </c>
      <c r="I8657" s="35"/>
      <c r="K8657" t="s">
        <v>15</v>
      </c>
    </row>
    <row r="8658" spans="2:11" ht="16.5" x14ac:dyDescent="0.2">
      <c r="B8658" s="33" t="s">
        <v>9784</v>
      </c>
      <c r="C8658" s="33" t="s">
        <v>648</v>
      </c>
      <c r="D8658" s="35">
        <f>SUMIFS(D8659:D9015,K8659:K9015,"0",B8659:B9015,"5 1 3 9 8 12 31111 6 M59 90000 000132*")-SUMIFS(E8659:E9015,K8659:K9015,"0",B8659:B9015,"5 1 3 9 8 12 31111 6 M59 90000 000132*")</f>
        <v>0</v>
      </c>
      <c r="E8658"/>
      <c r="F8658" s="35">
        <f>SUMIFS(F8659:F9015,K8659:K9015,"0",B8659:B9015,"5 1 3 9 8 12 31111 6 M59 90000 000132*")</f>
        <v>18275.25</v>
      </c>
      <c r="G8658" s="35">
        <f>SUMIFS(G8659:G9015,K8659:K9015,"0",B8659:B9015,"5 1 3 9 8 12 31111 6 M59 90000 000132*")</f>
        <v>0</v>
      </c>
      <c r="H8658" s="35">
        <f t="shared" si="136"/>
        <v>18275.25</v>
      </c>
      <c r="I8658" s="35"/>
      <c r="K8658" t="s">
        <v>15</v>
      </c>
    </row>
    <row r="8659" spans="2:11" ht="24.75" x14ac:dyDescent="0.2">
      <c r="B8659" s="33" t="s">
        <v>9785</v>
      </c>
      <c r="C8659" s="33" t="s">
        <v>650</v>
      </c>
      <c r="D8659" s="35">
        <f>SUMIFS(D8660:D9015,K8660:K9015,"0",B8660:B9015,"5 1 3 9 8 12 31111 6 M59 90000 000132 0000R*")-SUMIFS(E8660:E9015,K8660:K9015,"0",B8660:B9015,"5 1 3 9 8 12 31111 6 M59 90000 000132 0000R*")</f>
        <v>0</v>
      </c>
      <c r="E8659"/>
      <c r="F8659" s="35">
        <f>SUMIFS(F8660:F9015,K8660:K9015,"0",B8660:B9015,"5 1 3 9 8 12 31111 6 M59 90000 000132 0000R*")</f>
        <v>18275.25</v>
      </c>
      <c r="G8659" s="35">
        <f>SUMIFS(G8660:G9015,K8660:K9015,"0",B8660:B9015,"5 1 3 9 8 12 31111 6 M59 90000 000132 0000R*")</f>
        <v>0</v>
      </c>
      <c r="H8659" s="35">
        <f t="shared" si="136"/>
        <v>18275.25</v>
      </c>
      <c r="I8659" s="35"/>
      <c r="K8659" t="s">
        <v>15</v>
      </c>
    </row>
    <row r="8660" spans="2:11" ht="24.75" x14ac:dyDescent="0.2">
      <c r="B8660" s="33" t="s">
        <v>9786</v>
      </c>
      <c r="C8660" s="33" t="s">
        <v>282</v>
      </c>
      <c r="D8660" s="35">
        <f>SUMIFS(D8661:D9015,K8661:K9015,"0",B8661:B9015,"5 1 3 9 8 12 31111 6 M59 90000 000132 0000R 00001*")-SUMIFS(E8661:E9015,K8661:K9015,"0",B8661:B9015,"5 1 3 9 8 12 31111 6 M59 90000 000132 0000R 00001*")</f>
        <v>0</v>
      </c>
      <c r="E8660"/>
      <c r="F8660" s="35">
        <f>SUMIFS(F8661:F9015,K8661:K9015,"0",B8661:B9015,"5 1 3 9 8 12 31111 6 M59 90000 000132 0000R 00001*")</f>
        <v>18275.25</v>
      </c>
      <c r="G8660" s="35">
        <f>SUMIFS(G8661:G9015,K8661:K9015,"0",B8661:B9015,"5 1 3 9 8 12 31111 6 M59 90000 000132 0000R 00001*")</f>
        <v>0</v>
      </c>
      <c r="H8660" s="35">
        <f t="shared" si="136"/>
        <v>18275.25</v>
      </c>
      <c r="I8660" s="35"/>
      <c r="K8660" t="s">
        <v>15</v>
      </c>
    </row>
    <row r="8661" spans="2:11" ht="24.75" x14ac:dyDescent="0.2">
      <c r="B8661" s="33" t="s">
        <v>9787</v>
      </c>
      <c r="C8661" s="33" t="s">
        <v>9247</v>
      </c>
      <c r="D8661" s="35">
        <f>SUMIFS(D8662:D9015,K8662:K9015,"0",B8662:B9015,"5 1 3 9 8 12 31111 6 M59 90000 000132 0000R 00001 00398*")-SUMIFS(E8662:E9015,K8662:K9015,"0",B8662:B9015,"5 1 3 9 8 12 31111 6 M59 90000 000132 0000R 00001 00398*")</f>
        <v>0</v>
      </c>
      <c r="E8661"/>
      <c r="F8661" s="35">
        <f>SUMIFS(F8662:F9015,K8662:K9015,"0",B8662:B9015,"5 1 3 9 8 12 31111 6 M59 90000 000132 0000R 00001 00398*")</f>
        <v>18275.25</v>
      </c>
      <c r="G8661" s="35">
        <f>SUMIFS(G8662:G9015,K8662:K9015,"0",B8662:B9015,"5 1 3 9 8 12 31111 6 M59 90000 000132 0000R 00001 00398*")</f>
        <v>0</v>
      </c>
      <c r="H8661" s="35">
        <f t="shared" si="136"/>
        <v>18275.25</v>
      </c>
      <c r="I8661" s="35"/>
      <c r="K8661" t="s">
        <v>15</v>
      </c>
    </row>
    <row r="8662" spans="2:11" ht="33" x14ac:dyDescent="0.2">
      <c r="B8662" s="33" t="s">
        <v>9788</v>
      </c>
      <c r="C8662" s="33" t="s">
        <v>1051</v>
      </c>
      <c r="D8662" s="35">
        <f>SUMIFS(D8663:D9015,K8663:K9015,"0",B8663:B9015,"5 1 3 9 8 12 31111 6 M59 90000 000132 0000R 00001 00398 015*")-SUMIFS(E8663:E9015,K8663:K9015,"0",B8663:B9015,"5 1 3 9 8 12 31111 6 M59 90000 000132 0000R 00001 00398 015*")</f>
        <v>0</v>
      </c>
      <c r="E8662"/>
      <c r="F8662" s="35">
        <f>SUMIFS(F8663:F9015,K8663:K9015,"0",B8663:B9015,"5 1 3 9 8 12 31111 6 M59 90000 000132 0000R 00001 00398 015*")</f>
        <v>18275.25</v>
      </c>
      <c r="G8662" s="35">
        <f>SUMIFS(G8663:G9015,K8663:K9015,"0",B8663:B9015,"5 1 3 9 8 12 31111 6 M59 90000 000132 0000R 00001 00398 015*")</f>
        <v>0</v>
      </c>
      <c r="H8662" s="35">
        <f t="shared" si="136"/>
        <v>18275.25</v>
      </c>
      <c r="I8662" s="35"/>
      <c r="K8662" t="s">
        <v>15</v>
      </c>
    </row>
    <row r="8663" spans="2:11" ht="33" x14ac:dyDescent="0.2">
      <c r="B8663" s="33" t="s">
        <v>9789</v>
      </c>
      <c r="C8663" s="33" t="s">
        <v>8550</v>
      </c>
      <c r="D8663" s="35">
        <f>SUMIFS(D8664:D9015,K8664:K9015,"0",B8664:B9015,"5 1 3 9 8 12 31111 6 M59 90000 000132 0000R 00001 00398 015 2111300*")-SUMIFS(E8664:E9015,K8664:K9015,"0",B8664:B9015,"5 1 3 9 8 12 31111 6 M59 90000 000132 0000R 00001 00398 015 2111300*")</f>
        <v>0</v>
      </c>
      <c r="E8663"/>
      <c r="F8663" s="35">
        <f>SUMIFS(F8664:F9015,K8664:K9015,"0",B8664:B9015,"5 1 3 9 8 12 31111 6 M59 90000 000132 0000R 00001 00398 015 2111300*")</f>
        <v>18275.25</v>
      </c>
      <c r="G8663" s="35">
        <f>SUMIFS(G8664:G9015,K8664:K9015,"0",B8664:B9015,"5 1 3 9 8 12 31111 6 M59 90000 000132 0000R 00001 00398 015 2111300*")</f>
        <v>0</v>
      </c>
      <c r="H8663" s="35">
        <f t="shared" si="136"/>
        <v>18275.25</v>
      </c>
      <c r="I8663" s="35"/>
      <c r="K8663" t="s">
        <v>15</v>
      </c>
    </row>
    <row r="8664" spans="2:11" ht="33" x14ac:dyDescent="0.2">
      <c r="B8664" s="33" t="s">
        <v>9790</v>
      </c>
      <c r="C8664" s="33" t="s">
        <v>660</v>
      </c>
      <c r="D8664" s="35">
        <f>SUMIFS(D8665:D9015,K8665:K9015,"0",B8665:B9015,"5 1 3 9 8 12 31111 6 M59 90000 000132 0000R 00001 00398 015 2111300 2024*")-SUMIFS(E8665:E9015,K8665:K9015,"0",B8665:B9015,"5 1 3 9 8 12 31111 6 M59 90000 000132 0000R 00001 00398 015 2111300 2024*")</f>
        <v>0</v>
      </c>
      <c r="E8664"/>
      <c r="F8664" s="35">
        <f>SUMIFS(F8665:F9015,K8665:K9015,"0",B8665:B9015,"5 1 3 9 8 12 31111 6 M59 90000 000132 0000R 00001 00398 015 2111300 2024*")</f>
        <v>18275.25</v>
      </c>
      <c r="G8664" s="35">
        <f>SUMIFS(G8665:G9015,K8665:K9015,"0",B8665:B9015,"5 1 3 9 8 12 31111 6 M59 90000 000132 0000R 00001 00398 015 2111300 2024*")</f>
        <v>0</v>
      </c>
      <c r="H8664" s="35">
        <f t="shared" si="136"/>
        <v>18275.25</v>
      </c>
      <c r="I8664" s="35"/>
      <c r="K8664" t="s">
        <v>15</v>
      </c>
    </row>
    <row r="8665" spans="2:11" ht="41.25" x14ac:dyDescent="0.2">
      <c r="B8665" s="33" t="s">
        <v>9791</v>
      </c>
      <c r="C8665" s="33" t="s">
        <v>1056</v>
      </c>
      <c r="D8665" s="35">
        <f>SUMIFS(D8666:D9015,K8666:K9015,"0",B8666:B9015,"5 1 3 9 8 12 31111 6 M59 90000 000132 0000R 00001 00398 015 2111300 2024 CP1SG383*")-SUMIFS(E8666:E9015,K8666:K9015,"0",B8666:B9015,"5 1 3 9 8 12 31111 6 M59 90000 000132 0000R 00001 00398 015 2111300 2024 CP1SG383*")</f>
        <v>0</v>
      </c>
      <c r="E8665"/>
      <c r="F8665" s="35">
        <f>SUMIFS(F8666:F9015,K8666:K9015,"0",B8666:B9015,"5 1 3 9 8 12 31111 6 M59 90000 000132 0000R 00001 00398 015 2111300 2024 CP1SG383*")</f>
        <v>18275.25</v>
      </c>
      <c r="G8665" s="35">
        <f>SUMIFS(G8666:G9015,K8666:K9015,"0",B8666:B9015,"5 1 3 9 8 12 31111 6 M59 90000 000132 0000R 00001 00398 015 2111300 2024 CP1SG383*")</f>
        <v>0</v>
      </c>
      <c r="H8665" s="35">
        <f t="shared" si="136"/>
        <v>18275.25</v>
      </c>
      <c r="I8665" s="35"/>
      <c r="K8665" t="s">
        <v>15</v>
      </c>
    </row>
    <row r="8666" spans="2:11" ht="41.25" x14ac:dyDescent="0.2">
      <c r="B8666" s="33" t="s">
        <v>9792</v>
      </c>
      <c r="C8666" s="33" t="s">
        <v>282</v>
      </c>
      <c r="D8666" s="35">
        <f>SUMIFS(D8667:D9015,K8667:K9015,"0",B8667:B9015,"5 1 3 9 8 12 31111 6 M59 90000 000132 0000R 00001 00398 015 2111300 2024 CP1SG383 001*")-SUMIFS(E8667:E9015,K8667:K9015,"0",B8667:B9015,"5 1 3 9 8 12 31111 6 M59 90000 000132 0000R 00001 00398 015 2111300 2024 CP1SG383 001*")</f>
        <v>0</v>
      </c>
      <c r="E8666"/>
      <c r="F8666" s="35">
        <f>SUMIFS(F8667:F9015,K8667:K9015,"0",B8667:B9015,"5 1 3 9 8 12 31111 6 M59 90000 000132 0000R 00001 00398 015 2111300 2024 CP1SG383 001*")</f>
        <v>18275.25</v>
      </c>
      <c r="G8666" s="35">
        <f>SUMIFS(G8667:G9015,K8667:K9015,"0",B8667:B9015,"5 1 3 9 8 12 31111 6 M59 90000 000132 0000R 00001 00398 015 2111300 2024 CP1SG383 001*")</f>
        <v>0</v>
      </c>
      <c r="H8666" s="35">
        <f t="shared" si="136"/>
        <v>18275.25</v>
      </c>
      <c r="I8666" s="35"/>
      <c r="K8666" t="s">
        <v>15</v>
      </c>
    </row>
    <row r="8667" spans="2:11" ht="41.25" x14ac:dyDescent="0.2">
      <c r="B8667" s="31" t="s">
        <v>9793</v>
      </c>
      <c r="C8667" s="31" t="s">
        <v>9254</v>
      </c>
      <c r="D8667" s="34">
        <v>0</v>
      </c>
      <c r="E8667" s="34"/>
      <c r="F8667" s="34">
        <v>18275.25</v>
      </c>
      <c r="G8667" s="34">
        <v>0</v>
      </c>
      <c r="H8667" s="34">
        <f t="shared" si="136"/>
        <v>18275.25</v>
      </c>
      <c r="I8667" s="34"/>
      <c r="K8667" t="s">
        <v>38</v>
      </c>
    </row>
    <row r="8668" spans="2:11" ht="16.5" x14ac:dyDescent="0.2">
      <c r="B8668" s="33" t="s">
        <v>9794</v>
      </c>
      <c r="C8668" s="33" t="s">
        <v>3608</v>
      </c>
      <c r="D8668" s="35">
        <f>SUMIFS(D8669:D9015,K8669:K9015,"0",B8669:B9015,"5 1 3 9 8 12 31111 6 M59 91000*")-SUMIFS(E8669:E9015,K8669:K9015,"0",B8669:B9015,"5 1 3 9 8 12 31111 6 M59 91000*")</f>
        <v>0</v>
      </c>
      <c r="E8668"/>
      <c r="F8668" s="35">
        <f>SUMIFS(F8669:F9015,K8669:K9015,"0",B8669:B9015,"5 1 3 9 8 12 31111 6 M59 91000*")</f>
        <v>19180.39</v>
      </c>
      <c r="G8668" s="35">
        <f>SUMIFS(G8669:G9015,K8669:K9015,"0",B8669:B9015,"5 1 3 9 8 12 31111 6 M59 91000*")</f>
        <v>0</v>
      </c>
      <c r="H8668" s="35">
        <f t="shared" si="136"/>
        <v>19180.39</v>
      </c>
      <c r="I8668" s="35"/>
      <c r="K8668" t="s">
        <v>15</v>
      </c>
    </row>
    <row r="8669" spans="2:11" ht="16.5" x14ac:dyDescent="0.2">
      <c r="B8669" s="33" t="s">
        <v>9795</v>
      </c>
      <c r="C8669" s="33" t="s">
        <v>648</v>
      </c>
      <c r="D8669" s="35">
        <f>SUMIFS(D8670:D9015,K8670:K9015,"0",B8670:B9015,"5 1 3 9 8 12 31111 6 M59 91000 000132*")-SUMIFS(E8670:E9015,K8670:K9015,"0",B8670:B9015,"5 1 3 9 8 12 31111 6 M59 91000 000132*")</f>
        <v>0</v>
      </c>
      <c r="E8669"/>
      <c r="F8669" s="35">
        <f>SUMIFS(F8670:F9015,K8670:K9015,"0",B8670:B9015,"5 1 3 9 8 12 31111 6 M59 91000 000132*")</f>
        <v>19180.39</v>
      </c>
      <c r="G8669" s="35">
        <f>SUMIFS(G8670:G9015,K8670:K9015,"0",B8670:B9015,"5 1 3 9 8 12 31111 6 M59 91000 000132*")</f>
        <v>0</v>
      </c>
      <c r="H8669" s="35">
        <f t="shared" si="136"/>
        <v>19180.39</v>
      </c>
      <c r="I8669" s="35"/>
      <c r="K8669" t="s">
        <v>15</v>
      </c>
    </row>
    <row r="8670" spans="2:11" ht="24.75" x14ac:dyDescent="0.2">
      <c r="B8670" s="33" t="s">
        <v>9796</v>
      </c>
      <c r="C8670" s="33" t="s">
        <v>650</v>
      </c>
      <c r="D8670" s="35">
        <f>SUMIFS(D8671:D9015,K8671:K9015,"0",B8671:B9015,"5 1 3 9 8 12 31111 6 M59 91000 000132 0000R*")-SUMIFS(E8671:E9015,K8671:K9015,"0",B8671:B9015,"5 1 3 9 8 12 31111 6 M59 91000 000132 0000R*")</f>
        <v>0</v>
      </c>
      <c r="E8670"/>
      <c r="F8670" s="35">
        <f>SUMIFS(F8671:F9015,K8671:K9015,"0",B8671:B9015,"5 1 3 9 8 12 31111 6 M59 91000 000132 0000R*")</f>
        <v>19180.39</v>
      </c>
      <c r="G8670" s="35">
        <f>SUMIFS(G8671:G9015,K8671:K9015,"0",B8671:B9015,"5 1 3 9 8 12 31111 6 M59 91000 000132 0000R*")</f>
        <v>0</v>
      </c>
      <c r="H8670" s="35">
        <f t="shared" si="136"/>
        <v>19180.39</v>
      </c>
      <c r="I8670" s="35"/>
      <c r="K8670" t="s">
        <v>15</v>
      </c>
    </row>
    <row r="8671" spans="2:11" ht="24.75" x14ac:dyDescent="0.2">
      <c r="B8671" s="33" t="s">
        <v>9797</v>
      </c>
      <c r="C8671" s="33" t="s">
        <v>282</v>
      </c>
      <c r="D8671" s="35">
        <f>SUMIFS(D8672:D9015,K8672:K9015,"0",B8672:B9015,"5 1 3 9 8 12 31111 6 M59 91000 000132 0000R 00001*")-SUMIFS(E8672:E9015,K8672:K9015,"0",B8672:B9015,"5 1 3 9 8 12 31111 6 M59 91000 000132 0000R 00001*")</f>
        <v>0</v>
      </c>
      <c r="E8671"/>
      <c r="F8671" s="35">
        <f>SUMIFS(F8672:F9015,K8672:K9015,"0",B8672:B9015,"5 1 3 9 8 12 31111 6 M59 91000 000132 0000R 00001*")</f>
        <v>19180.39</v>
      </c>
      <c r="G8671" s="35">
        <f>SUMIFS(G8672:G9015,K8672:K9015,"0",B8672:B9015,"5 1 3 9 8 12 31111 6 M59 91000 000132 0000R 00001*")</f>
        <v>0</v>
      </c>
      <c r="H8671" s="35">
        <f t="shared" si="136"/>
        <v>19180.39</v>
      </c>
      <c r="I8671" s="35"/>
      <c r="K8671" t="s">
        <v>15</v>
      </c>
    </row>
    <row r="8672" spans="2:11" ht="24.75" x14ac:dyDescent="0.2">
      <c r="B8672" s="33" t="s">
        <v>9798</v>
      </c>
      <c r="C8672" s="33" t="s">
        <v>9247</v>
      </c>
      <c r="D8672" s="35">
        <f>SUMIFS(D8673:D9015,K8673:K9015,"0",B8673:B9015,"5 1 3 9 8 12 31111 6 M59 91000 000132 0000R 00001 00398*")-SUMIFS(E8673:E9015,K8673:K9015,"0",B8673:B9015,"5 1 3 9 8 12 31111 6 M59 91000 000132 0000R 00001 00398*")</f>
        <v>0</v>
      </c>
      <c r="E8672"/>
      <c r="F8672" s="35">
        <f>SUMIFS(F8673:F9015,K8673:K9015,"0",B8673:B9015,"5 1 3 9 8 12 31111 6 M59 91000 000132 0000R 00001 00398*")</f>
        <v>19180.39</v>
      </c>
      <c r="G8672" s="35">
        <f>SUMIFS(G8673:G9015,K8673:K9015,"0",B8673:B9015,"5 1 3 9 8 12 31111 6 M59 91000 000132 0000R 00001 00398*")</f>
        <v>0</v>
      </c>
      <c r="H8672" s="35">
        <f t="shared" si="136"/>
        <v>19180.39</v>
      </c>
      <c r="I8672" s="35"/>
      <c r="K8672" t="s">
        <v>15</v>
      </c>
    </row>
    <row r="8673" spans="2:11" ht="33" x14ac:dyDescent="0.2">
      <c r="B8673" s="33" t="s">
        <v>9799</v>
      </c>
      <c r="C8673" s="33" t="s">
        <v>1051</v>
      </c>
      <c r="D8673" s="35">
        <f>SUMIFS(D8674:D9015,K8674:K9015,"0",B8674:B9015,"5 1 3 9 8 12 31111 6 M59 91000 000132 0000R 00001 00398 015*")-SUMIFS(E8674:E9015,K8674:K9015,"0",B8674:B9015,"5 1 3 9 8 12 31111 6 M59 91000 000132 0000R 00001 00398 015*")</f>
        <v>0</v>
      </c>
      <c r="E8673"/>
      <c r="F8673" s="35">
        <f>SUMIFS(F8674:F9015,K8674:K9015,"0",B8674:B9015,"5 1 3 9 8 12 31111 6 M59 91000 000132 0000R 00001 00398 015*")</f>
        <v>19180.39</v>
      </c>
      <c r="G8673" s="35">
        <f>SUMIFS(G8674:G9015,K8674:K9015,"0",B8674:B9015,"5 1 3 9 8 12 31111 6 M59 91000 000132 0000R 00001 00398 015*")</f>
        <v>0</v>
      </c>
      <c r="H8673" s="35">
        <f t="shared" si="136"/>
        <v>19180.39</v>
      </c>
      <c r="I8673" s="35"/>
      <c r="K8673" t="s">
        <v>15</v>
      </c>
    </row>
    <row r="8674" spans="2:11" ht="33" x14ac:dyDescent="0.2">
      <c r="B8674" s="33" t="s">
        <v>9800</v>
      </c>
      <c r="C8674" s="33" t="s">
        <v>8550</v>
      </c>
      <c r="D8674" s="35">
        <f>SUMIFS(D8675:D9015,K8675:K9015,"0",B8675:B9015,"5 1 3 9 8 12 31111 6 M59 91000 000132 0000R 00001 00398 015 2111300*")-SUMIFS(E8675:E9015,K8675:K9015,"0",B8675:B9015,"5 1 3 9 8 12 31111 6 M59 91000 000132 0000R 00001 00398 015 2111300*")</f>
        <v>0</v>
      </c>
      <c r="E8674"/>
      <c r="F8674" s="35">
        <f>SUMIFS(F8675:F9015,K8675:K9015,"0",B8675:B9015,"5 1 3 9 8 12 31111 6 M59 91000 000132 0000R 00001 00398 015 2111300*")</f>
        <v>19180.39</v>
      </c>
      <c r="G8674" s="35">
        <f>SUMIFS(G8675:G9015,K8675:K9015,"0",B8675:B9015,"5 1 3 9 8 12 31111 6 M59 91000 000132 0000R 00001 00398 015 2111300*")</f>
        <v>0</v>
      </c>
      <c r="H8674" s="35">
        <f t="shared" si="136"/>
        <v>19180.39</v>
      </c>
      <c r="I8674" s="35"/>
      <c r="K8674" t="s">
        <v>15</v>
      </c>
    </row>
    <row r="8675" spans="2:11" ht="33" x14ac:dyDescent="0.2">
      <c r="B8675" s="33" t="s">
        <v>9801</v>
      </c>
      <c r="C8675" s="33" t="s">
        <v>660</v>
      </c>
      <c r="D8675" s="35">
        <f>SUMIFS(D8676:D9015,K8676:K9015,"0",B8676:B9015,"5 1 3 9 8 12 31111 6 M59 91000 000132 0000R 00001 00398 015 2111300 2024*")-SUMIFS(E8676:E9015,K8676:K9015,"0",B8676:B9015,"5 1 3 9 8 12 31111 6 M59 91000 000132 0000R 00001 00398 015 2111300 2024*")</f>
        <v>0</v>
      </c>
      <c r="E8675"/>
      <c r="F8675" s="35">
        <f>SUMIFS(F8676:F9015,K8676:K9015,"0",B8676:B9015,"5 1 3 9 8 12 31111 6 M59 91000 000132 0000R 00001 00398 015 2111300 2024*")</f>
        <v>19180.39</v>
      </c>
      <c r="G8675" s="35">
        <f>SUMIFS(G8676:G9015,K8676:K9015,"0",B8676:B9015,"5 1 3 9 8 12 31111 6 M59 91000 000132 0000R 00001 00398 015 2111300 2024*")</f>
        <v>0</v>
      </c>
      <c r="H8675" s="35">
        <f t="shared" si="136"/>
        <v>19180.39</v>
      </c>
      <c r="I8675" s="35"/>
      <c r="K8675" t="s">
        <v>15</v>
      </c>
    </row>
    <row r="8676" spans="2:11" ht="41.25" x14ac:dyDescent="0.2">
      <c r="B8676" s="33" t="s">
        <v>9802</v>
      </c>
      <c r="C8676" s="33" t="s">
        <v>1056</v>
      </c>
      <c r="D8676" s="35">
        <f>SUMIFS(D8677:D9015,K8677:K9015,"0",B8677:B9015,"5 1 3 9 8 12 31111 6 M59 91000 000132 0000R 00001 00398 015 2111300 2024 CP1RE398*")-SUMIFS(E8677:E9015,K8677:K9015,"0",B8677:B9015,"5 1 3 9 8 12 31111 6 M59 91000 000132 0000R 00001 00398 015 2111300 2024 CP1RE398*")</f>
        <v>0</v>
      </c>
      <c r="E8676"/>
      <c r="F8676" s="35">
        <f>SUMIFS(F8677:F9015,K8677:K9015,"0",B8677:B9015,"5 1 3 9 8 12 31111 6 M59 91000 000132 0000R 00001 00398 015 2111300 2024 CP1RE398*")</f>
        <v>19180.39</v>
      </c>
      <c r="G8676" s="35">
        <f>SUMIFS(G8677:G9015,K8677:K9015,"0",B8677:B9015,"5 1 3 9 8 12 31111 6 M59 91000 000132 0000R 00001 00398 015 2111300 2024 CP1RE398*")</f>
        <v>0</v>
      </c>
      <c r="H8676" s="35">
        <f t="shared" si="136"/>
        <v>19180.39</v>
      </c>
      <c r="I8676" s="35"/>
      <c r="K8676" t="s">
        <v>15</v>
      </c>
    </row>
    <row r="8677" spans="2:11" ht="41.25" x14ac:dyDescent="0.2">
      <c r="B8677" s="33" t="s">
        <v>9803</v>
      </c>
      <c r="C8677" s="33" t="s">
        <v>282</v>
      </c>
      <c r="D8677" s="35">
        <f>SUMIFS(D8678:D9015,K8678:K9015,"0",B8678:B9015,"5 1 3 9 8 12 31111 6 M59 91000 000132 0000R 00001 00398 015 2111300 2024 CP1RE398 001*")-SUMIFS(E8678:E9015,K8678:K9015,"0",B8678:B9015,"5 1 3 9 8 12 31111 6 M59 91000 000132 0000R 00001 00398 015 2111300 2024 CP1RE398 001*")</f>
        <v>0</v>
      </c>
      <c r="E8677"/>
      <c r="F8677" s="35">
        <f>SUMIFS(F8678:F9015,K8678:K9015,"0",B8678:B9015,"5 1 3 9 8 12 31111 6 M59 91000 000132 0000R 00001 00398 015 2111300 2024 CP1RE398 001*")</f>
        <v>19180.39</v>
      </c>
      <c r="G8677" s="35">
        <f>SUMIFS(G8678:G9015,K8678:K9015,"0",B8678:B9015,"5 1 3 9 8 12 31111 6 M59 91000 000132 0000R 00001 00398 015 2111300 2024 CP1RE398 001*")</f>
        <v>0</v>
      </c>
      <c r="H8677" s="35">
        <f t="shared" si="136"/>
        <v>19180.39</v>
      </c>
      <c r="I8677" s="35"/>
      <c r="K8677" t="s">
        <v>15</v>
      </c>
    </row>
    <row r="8678" spans="2:11" ht="33" x14ac:dyDescent="0.2">
      <c r="B8678" s="31" t="s">
        <v>9804</v>
      </c>
      <c r="C8678" s="31" t="s">
        <v>9254</v>
      </c>
      <c r="D8678" s="34">
        <v>0</v>
      </c>
      <c r="E8678" s="34"/>
      <c r="F8678" s="34">
        <v>19180.39</v>
      </c>
      <c r="G8678" s="34">
        <v>0</v>
      </c>
      <c r="H8678" s="34">
        <f t="shared" si="136"/>
        <v>19180.39</v>
      </c>
      <c r="I8678" s="34"/>
      <c r="K8678" t="s">
        <v>38</v>
      </c>
    </row>
    <row r="8679" spans="2:11" ht="16.5" x14ac:dyDescent="0.2">
      <c r="B8679" s="33" t="s">
        <v>9805</v>
      </c>
      <c r="C8679" s="33" t="s">
        <v>3620</v>
      </c>
      <c r="D8679" s="35">
        <f>SUMIFS(D8680:D9015,K8680:K9015,"0",B8680:B9015,"5 1 3 9 8 12 31111 6 M59 92000*")-SUMIFS(E8680:E9015,K8680:K9015,"0",B8680:B9015,"5 1 3 9 8 12 31111 6 M59 92000*")</f>
        <v>0</v>
      </c>
      <c r="E8679"/>
      <c r="F8679" s="35">
        <f>SUMIFS(F8680:F9015,K8680:K9015,"0",B8680:B9015,"5 1 3 9 8 12 31111 6 M59 92000*")</f>
        <v>24444.1</v>
      </c>
      <c r="G8679" s="35">
        <f>SUMIFS(G8680:G9015,K8680:K9015,"0",B8680:B9015,"5 1 3 9 8 12 31111 6 M59 92000*")</f>
        <v>0</v>
      </c>
      <c r="H8679" s="35">
        <f t="shared" si="136"/>
        <v>24444.1</v>
      </c>
      <c r="I8679" s="35"/>
      <c r="K8679" t="s">
        <v>15</v>
      </c>
    </row>
    <row r="8680" spans="2:11" ht="24.75" x14ac:dyDescent="0.2">
      <c r="B8680" s="33" t="s">
        <v>9806</v>
      </c>
      <c r="C8680" s="33" t="s">
        <v>3152</v>
      </c>
      <c r="D8680" s="35">
        <f>SUMIFS(D8681:D9015,K8681:K9015,"0",B8681:B9015,"5 1 3 9 8 12 31111 6 M59 92000 000181*")-SUMIFS(E8681:E9015,K8681:K9015,"0",B8681:B9015,"5 1 3 9 8 12 31111 6 M59 92000 000181*")</f>
        <v>0</v>
      </c>
      <c r="E8680"/>
      <c r="F8680" s="35">
        <f>SUMIFS(F8681:F9015,K8681:K9015,"0",B8681:B9015,"5 1 3 9 8 12 31111 6 M59 92000 000181*")</f>
        <v>24444.1</v>
      </c>
      <c r="G8680" s="35">
        <f>SUMIFS(G8681:G9015,K8681:K9015,"0",B8681:B9015,"5 1 3 9 8 12 31111 6 M59 92000 000181*")</f>
        <v>0</v>
      </c>
      <c r="H8680" s="35">
        <f t="shared" si="136"/>
        <v>24444.1</v>
      </c>
      <c r="I8680" s="35"/>
      <c r="K8680" t="s">
        <v>15</v>
      </c>
    </row>
    <row r="8681" spans="2:11" ht="24.75" x14ac:dyDescent="0.2">
      <c r="B8681" s="33" t="s">
        <v>9807</v>
      </c>
      <c r="C8681" s="33" t="s">
        <v>1065</v>
      </c>
      <c r="D8681" s="35">
        <f>SUMIFS(D8682:D9015,K8682:K9015,"0",B8682:B9015,"5 1 3 9 8 12 31111 6 M59 92000 000181 0000E*")-SUMIFS(E8682:E9015,K8682:K9015,"0",B8682:B9015,"5 1 3 9 8 12 31111 6 M59 92000 000181 0000E*")</f>
        <v>0</v>
      </c>
      <c r="E8681"/>
      <c r="F8681" s="35">
        <f>SUMIFS(F8682:F9015,K8682:K9015,"0",B8682:B9015,"5 1 3 9 8 12 31111 6 M59 92000 000181 0000E*")</f>
        <v>24444.1</v>
      </c>
      <c r="G8681" s="35">
        <f>SUMIFS(G8682:G9015,K8682:K9015,"0",B8682:B9015,"5 1 3 9 8 12 31111 6 M59 92000 000181 0000E*")</f>
        <v>0</v>
      </c>
      <c r="H8681" s="35">
        <f t="shared" si="136"/>
        <v>24444.1</v>
      </c>
      <c r="I8681" s="35"/>
      <c r="K8681" t="s">
        <v>15</v>
      </c>
    </row>
    <row r="8682" spans="2:11" ht="24.75" x14ac:dyDescent="0.2">
      <c r="B8682" s="33" t="s">
        <v>9808</v>
      </c>
      <c r="C8682" s="33" t="s">
        <v>282</v>
      </c>
      <c r="D8682" s="35">
        <f>SUMIFS(D8683:D9015,K8683:K9015,"0",B8683:B9015,"5 1 3 9 8 12 31111 6 M59 92000 000181 0000E 00001*")-SUMIFS(E8683:E9015,K8683:K9015,"0",B8683:B9015,"5 1 3 9 8 12 31111 6 M59 92000 000181 0000E 00001*")</f>
        <v>0</v>
      </c>
      <c r="E8682"/>
      <c r="F8682" s="35">
        <f>SUMIFS(F8683:F9015,K8683:K9015,"0",B8683:B9015,"5 1 3 9 8 12 31111 6 M59 92000 000181 0000E 00001*")</f>
        <v>24444.1</v>
      </c>
      <c r="G8682" s="35">
        <f>SUMIFS(G8683:G9015,K8683:K9015,"0",B8683:B9015,"5 1 3 9 8 12 31111 6 M59 92000 000181 0000E 00001*")</f>
        <v>0</v>
      </c>
      <c r="H8682" s="35">
        <f t="shared" si="136"/>
        <v>24444.1</v>
      </c>
      <c r="I8682" s="35"/>
      <c r="K8682" t="s">
        <v>15</v>
      </c>
    </row>
    <row r="8683" spans="2:11" ht="24.75" x14ac:dyDescent="0.2">
      <c r="B8683" s="33" t="s">
        <v>9809</v>
      </c>
      <c r="C8683" s="33" t="s">
        <v>9247</v>
      </c>
      <c r="D8683" s="35">
        <f>SUMIFS(D8684:D9015,K8684:K9015,"0",B8684:B9015,"5 1 3 9 8 12 31111 6 M59 92000 000181 0000E 00001 00398*")-SUMIFS(E8684:E9015,K8684:K9015,"0",B8684:B9015,"5 1 3 9 8 12 31111 6 M59 92000 000181 0000E 00001 00398*")</f>
        <v>0</v>
      </c>
      <c r="E8683"/>
      <c r="F8683" s="35">
        <f>SUMIFS(F8684:F9015,K8684:K9015,"0",B8684:B9015,"5 1 3 9 8 12 31111 6 M59 92000 000181 0000E 00001 00398*")</f>
        <v>24444.1</v>
      </c>
      <c r="G8683" s="35">
        <f>SUMIFS(G8684:G9015,K8684:K9015,"0",B8684:B9015,"5 1 3 9 8 12 31111 6 M59 92000 000181 0000E 00001 00398*")</f>
        <v>0</v>
      </c>
      <c r="H8683" s="35">
        <f t="shared" si="136"/>
        <v>24444.1</v>
      </c>
      <c r="I8683" s="35"/>
      <c r="K8683" t="s">
        <v>15</v>
      </c>
    </row>
    <row r="8684" spans="2:11" ht="33" x14ac:dyDescent="0.2">
      <c r="B8684" s="33" t="s">
        <v>9810</v>
      </c>
      <c r="C8684" s="33" t="s">
        <v>1051</v>
      </c>
      <c r="D8684" s="35">
        <f>SUMIFS(D8685:D9015,K8685:K9015,"0",B8685:B9015,"5 1 3 9 8 12 31111 6 M59 92000 000181 0000E 00001 00398 015*")-SUMIFS(E8685:E9015,K8685:K9015,"0",B8685:B9015,"5 1 3 9 8 12 31111 6 M59 92000 000181 0000E 00001 00398 015*")</f>
        <v>0</v>
      </c>
      <c r="E8684"/>
      <c r="F8684" s="35">
        <f>SUMIFS(F8685:F9015,K8685:K9015,"0",B8685:B9015,"5 1 3 9 8 12 31111 6 M59 92000 000181 0000E 00001 00398 015*")</f>
        <v>24444.1</v>
      </c>
      <c r="G8684" s="35">
        <f>SUMIFS(G8685:G9015,K8685:K9015,"0",B8685:B9015,"5 1 3 9 8 12 31111 6 M59 92000 000181 0000E 00001 00398 015*")</f>
        <v>0</v>
      </c>
      <c r="H8684" s="35">
        <f t="shared" si="136"/>
        <v>24444.1</v>
      </c>
      <c r="I8684" s="35"/>
      <c r="K8684" t="s">
        <v>15</v>
      </c>
    </row>
    <row r="8685" spans="2:11" ht="33" x14ac:dyDescent="0.2">
      <c r="B8685" s="33" t="s">
        <v>9811</v>
      </c>
      <c r="C8685" s="33" t="s">
        <v>8550</v>
      </c>
      <c r="D8685" s="35">
        <f>SUMIFS(D8686:D9015,K8686:K9015,"0",B8686:B9015,"5 1 3 9 8 12 31111 6 M59 92000 000181 0000E 00001 00398 015 2111300*")-SUMIFS(E8686:E9015,K8686:K9015,"0",B8686:B9015,"5 1 3 9 8 12 31111 6 M59 92000 000181 0000E 00001 00398 015 2111300*")</f>
        <v>0</v>
      </c>
      <c r="E8685"/>
      <c r="F8685" s="35">
        <f>SUMIFS(F8686:F9015,K8686:K9015,"0",B8686:B9015,"5 1 3 9 8 12 31111 6 M59 92000 000181 0000E 00001 00398 015 2111300*")</f>
        <v>24444.1</v>
      </c>
      <c r="G8685" s="35">
        <f>SUMIFS(G8686:G9015,K8686:K9015,"0",B8686:B9015,"5 1 3 9 8 12 31111 6 M59 92000 000181 0000E 00001 00398 015 2111300*")</f>
        <v>0</v>
      </c>
      <c r="H8685" s="35">
        <f t="shared" si="136"/>
        <v>24444.1</v>
      </c>
      <c r="I8685" s="35"/>
      <c r="K8685" t="s">
        <v>15</v>
      </c>
    </row>
    <row r="8686" spans="2:11" ht="33" x14ac:dyDescent="0.2">
      <c r="B8686" s="33" t="s">
        <v>9812</v>
      </c>
      <c r="C8686" s="33" t="s">
        <v>660</v>
      </c>
      <c r="D8686" s="35">
        <f>SUMIFS(D8687:D9015,K8687:K9015,"0",B8687:B9015,"5 1 3 9 8 12 31111 6 M59 92000 000181 0000E 00001 00398 015 2111300 2024*")-SUMIFS(E8687:E9015,K8687:K9015,"0",B8687:B9015,"5 1 3 9 8 12 31111 6 M59 92000 000181 0000E 00001 00398 015 2111300 2024*")</f>
        <v>0</v>
      </c>
      <c r="E8686"/>
      <c r="F8686" s="35">
        <f>SUMIFS(F8687:F9015,K8687:K9015,"0",B8687:B9015,"5 1 3 9 8 12 31111 6 M59 92000 000181 0000E 00001 00398 015 2111300 2024*")</f>
        <v>24444.1</v>
      </c>
      <c r="G8686" s="35">
        <f>SUMIFS(G8687:G9015,K8687:K9015,"0",B8687:B9015,"5 1 3 9 8 12 31111 6 M59 92000 000181 0000E 00001 00398 015 2111300 2024*")</f>
        <v>0</v>
      </c>
      <c r="H8686" s="35">
        <f t="shared" si="136"/>
        <v>24444.1</v>
      </c>
      <c r="I8686" s="35"/>
      <c r="K8686" t="s">
        <v>15</v>
      </c>
    </row>
    <row r="8687" spans="2:11" ht="41.25" x14ac:dyDescent="0.2">
      <c r="B8687" s="33" t="s">
        <v>9813</v>
      </c>
      <c r="C8687" s="33" t="s">
        <v>1056</v>
      </c>
      <c r="D8687" s="35">
        <f>SUMIFS(D8688:D9015,K8688:K9015,"0",B8688:B9015,"5 1 3 9 8 12 31111 6 M59 92000 000181 0000E 00001 00398 015 2111300 2024 CP1RC399*")-SUMIFS(E8688:E9015,K8688:K9015,"0",B8688:B9015,"5 1 3 9 8 12 31111 6 M59 92000 000181 0000E 00001 00398 015 2111300 2024 CP1RC399*")</f>
        <v>0</v>
      </c>
      <c r="E8687"/>
      <c r="F8687" s="35">
        <f>SUMIFS(F8688:F9015,K8688:K9015,"0",B8688:B9015,"5 1 3 9 8 12 31111 6 M59 92000 000181 0000E 00001 00398 015 2111300 2024 CP1RC399*")</f>
        <v>24444.1</v>
      </c>
      <c r="G8687" s="35">
        <f>SUMIFS(G8688:G9015,K8688:K9015,"0",B8688:B9015,"5 1 3 9 8 12 31111 6 M59 92000 000181 0000E 00001 00398 015 2111300 2024 CP1RC399*")</f>
        <v>0</v>
      </c>
      <c r="H8687" s="35">
        <f t="shared" si="136"/>
        <v>24444.1</v>
      </c>
      <c r="I8687" s="35"/>
      <c r="K8687" t="s">
        <v>15</v>
      </c>
    </row>
    <row r="8688" spans="2:11" ht="41.25" x14ac:dyDescent="0.2">
      <c r="B8688" s="33" t="s">
        <v>9814</v>
      </c>
      <c r="C8688" s="33" t="s">
        <v>282</v>
      </c>
      <c r="D8688" s="35">
        <f>SUMIFS(D8689:D9015,K8689:K9015,"0",B8689:B9015,"5 1 3 9 8 12 31111 6 M59 92000 000181 0000E 00001 00398 015 2111300 2024 CP1RC399 001*")-SUMIFS(E8689:E9015,K8689:K9015,"0",B8689:B9015,"5 1 3 9 8 12 31111 6 M59 92000 000181 0000E 00001 00398 015 2111300 2024 CP1RC399 001*")</f>
        <v>0</v>
      </c>
      <c r="E8688"/>
      <c r="F8688" s="35">
        <f>SUMIFS(F8689:F9015,K8689:K9015,"0",B8689:B9015,"5 1 3 9 8 12 31111 6 M59 92000 000181 0000E 00001 00398 015 2111300 2024 CP1RC399 001*")</f>
        <v>24444.1</v>
      </c>
      <c r="G8688" s="35">
        <f>SUMIFS(G8689:G9015,K8689:K9015,"0",B8689:B9015,"5 1 3 9 8 12 31111 6 M59 92000 000181 0000E 00001 00398 015 2111300 2024 CP1RC399 001*")</f>
        <v>0</v>
      </c>
      <c r="H8688" s="35">
        <f t="shared" si="136"/>
        <v>24444.1</v>
      </c>
      <c r="I8688" s="35"/>
      <c r="K8688" t="s">
        <v>15</v>
      </c>
    </row>
    <row r="8689" spans="2:11" ht="33" x14ac:dyDescent="0.2">
      <c r="B8689" s="31" t="s">
        <v>9815</v>
      </c>
      <c r="C8689" s="31" t="s">
        <v>9254</v>
      </c>
      <c r="D8689" s="34">
        <v>0</v>
      </c>
      <c r="E8689" s="34"/>
      <c r="F8689" s="34">
        <v>24444.1</v>
      </c>
      <c r="G8689" s="34">
        <v>0</v>
      </c>
      <c r="H8689" s="34">
        <f t="shared" si="136"/>
        <v>24444.1</v>
      </c>
      <c r="I8689" s="34"/>
      <c r="K8689" t="s">
        <v>38</v>
      </c>
    </row>
    <row r="8690" spans="2:11" ht="24.75" x14ac:dyDescent="0.2">
      <c r="B8690" s="33" t="s">
        <v>9816</v>
      </c>
      <c r="C8690" s="33" t="s">
        <v>3632</v>
      </c>
      <c r="D8690" s="35">
        <f>SUMIFS(D8691:D9015,K8691:K9015,"0",B8691:B9015,"5 1 3 9 8 12 31111 6 M59 93000*")-SUMIFS(E8691:E9015,K8691:K9015,"0",B8691:B9015,"5 1 3 9 8 12 31111 6 M59 93000*")</f>
        <v>0</v>
      </c>
      <c r="E8690"/>
      <c r="F8690" s="35">
        <f>SUMIFS(F8691:F9015,K8691:K9015,"0",B8691:B9015,"5 1 3 9 8 12 31111 6 M59 93000*")</f>
        <v>5498.13</v>
      </c>
      <c r="G8690" s="35">
        <f>SUMIFS(G8691:G9015,K8691:K9015,"0",B8691:B9015,"5 1 3 9 8 12 31111 6 M59 93000*")</f>
        <v>0</v>
      </c>
      <c r="H8690" s="35">
        <f t="shared" si="136"/>
        <v>5498.13</v>
      </c>
      <c r="I8690" s="35"/>
      <c r="K8690" t="s">
        <v>15</v>
      </c>
    </row>
    <row r="8691" spans="2:11" ht="16.5" x14ac:dyDescent="0.2">
      <c r="B8691" s="33" t="s">
        <v>9817</v>
      </c>
      <c r="C8691" s="33" t="s">
        <v>648</v>
      </c>
      <c r="D8691" s="35">
        <f>SUMIFS(D8692:D9015,K8692:K9015,"0",B8692:B9015,"5 1 3 9 8 12 31111 6 M59 93000 000132*")-SUMIFS(E8692:E9015,K8692:K9015,"0",B8692:B9015,"5 1 3 9 8 12 31111 6 M59 93000 000132*")</f>
        <v>0</v>
      </c>
      <c r="E8691"/>
      <c r="F8691" s="35">
        <f>SUMIFS(F8692:F9015,K8692:K9015,"0",B8692:B9015,"5 1 3 9 8 12 31111 6 M59 93000 000132*")</f>
        <v>5498.13</v>
      </c>
      <c r="G8691" s="35">
        <f>SUMIFS(G8692:G9015,K8692:K9015,"0",B8692:B9015,"5 1 3 9 8 12 31111 6 M59 93000 000132*")</f>
        <v>0</v>
      </c>
      <c r="H8691" s="35">
        <f t="shared" si="136"/>
        <v>5498.13</v>
      </c>
      <c r="I8691" s="35"/>
      <c r="K8691" t="s">
        <v>15</v>
      </c>
    </row>
    <row r="8692" spans="2:11" ht="24.75" x14ac:dyDescent="0.2">
      <c r="B8692" s="33" t="s">
        <v>9818</v>
      </c>
      <c r="C8692" s="33" t="s">
        <v>650</v>
      </c>
      <c r="D8692" s="35">
        <f>SUMIFS(D8693:D9015,K8693:K9015,"0",B8693:B9015,"5 1 3 9 8 12 31111 6 M59 93000 000132 0000R*")-SUMIFS(E8693:E9015,K8693:K9015,"0",B8693:B9015,"5 1 3 9 8 12 31111 6 M59 93000 000132 0000R*")</f>
        <v>0</v>
      </c>
      <c r="E8692"/>
      <c r="F8692" s="35">
        <f>SUMIFS(F8693:F9015,K8693:K9015,"0",B8693:B9015,"5 1 3 9 8 12 31111 6 M59 93000 000132 0000R*")</f>
        <v>5498.13</v>
      </c>
      <c r="G8692" s="35">
        <f>SUMIFS(G8693:G9015,K8693:K9015,"0",B8693:B9015,"5 1 3 9 8 12 31111 6 M59 93000 000132 0000R*")</f>
        <v>0</v>
      </c>
      <c r="H8692" s="35">
        <f t="shared" si="136"/>
        <v>5498.13</v>
      </c>
      <c r="I8692" s="35"/>
      <c r="K8692" t="s">
        <v>15</v>
      </c>
    </row>
    <row r="8693" spans="2:11" ht="24.75" x14ac:dyDescent="0.2">
      <c r="B8693" s="33" t="s">
        <v>9819</v>
      </c>
      <c r="C8693" s="33" t="s">
        <v>282</v>
      </c>
      <c r="D8693" s="35">
        <f>SUMIFS(D8694:D9015,K8694:K9015,"0",B8694:B9015,"5 1 3 9 8 12 31111 6 M59 93000 000132 0000R 00001*")-SUMIFS(E8694:E9015,K8694:K9015,"0",B8694:B9015,"5 1 3 9 8 12 31111 6 M59 93000 000132 0000R 00001*")</f>
        <v>0</v>
      </c>
      <c r="E8693"/>
      <c r="F8693" s="35">
        <f>SUMIFS(F8694:F9015,K8694:K9015,"0",B8694:B9015,"5 1 3 9 8 12 31111 6 M59 93000 000132 0000R 00001*")</f>
        <v>5498.13</v>
      </c>
      <c r="G8693" s="35">
        <f>SUMIFS(G8694:G9015,K8694:K9015,"0",B8694:B9015,"5 1 3 9 8 12 31111 6 M59 93000 000132 0000R 00001*")</f>
        <v>0</v>
      </c>
      <c r="H8693" s="35">
        <f t="shared" si="136"/>
        <v>5498.13</v>
      </c>
      <c r="I8693" s="35"/>
      <c r="K8693" t="s">
        <v>15</v>
      </c>
    </row>
    <row r="8694" spans="2:11" ht="24.75" x14ac:dyDescent="0.2">
      <c r="B8694" s="33" t="s">
        <v>9820</v>
      </c>
      <c r="C8694" s="33" t="s">
        <v>9247</v>
      </c>
      <c r="D8694" s="35">
        <f>SUMIFS(D8695:D9015,K8695:K9015,"0",B8695:B9015,"5 1 3 9 8 12 31111 6 M59 93000 000132 0000R 00001 00398*")-SUMIFS(E8695:E9015,K8695:K9015,"0",B8695:B9015,"5 1 3 9 8 12 31111 6 M59 93000 000132 0000R 00001 00398*")</f>
        <v>0</v>
      </c>
      <c r="E8694"/>
      <c r="F8694" s="35">
        <f>SUMIFS(F8695:F9015,K8695:K9015,"0",B8695:B9015,"5 1 3 9 8 12 31111 6 M59 93000 000132 0000R 00001 00398*")</f>
        <v>5498.13</v>
      </c>
      <c r="G8694" s="35">
        <f>SUMIFS(G8695:G9015,K8695:K9015,"0",B8695:B9015,"5 1 3 9 8 12 31111 6 M59 93000 000132 0000R 00001 00398*")</f>
        <v>0</v>
      </c>
      <c r="H8694" s="35">
        <f t="shared" si="136"/>
        <v>5498.13</v>
      </c>
      <c r="I8694" s="35"/>
      <c r="K8694" t="s">
        <v>15</v>
      </c>
    </row>
    <row r="8695" spans="2:11" ht="33" x14ac:dyDescent="0.2">
      <c r="B8695" s="33" t="s">
        <v>9821</v>
      </c>
      <c r="C8695" s="33" t="s">
        <v>1051</v>
      </c>
      <c r="D8695" s="35">
        <f>SUMIFS(D8696:D9015,K8696:K9015,"0",B8696:B9015,"5 1 3 9 8 12 31111 6 M59 93000 000132 0000R 00001 00398 015*")-SUMIFS(E8696:E9015,K8696:K9015,"0",B8696:B9015,"5 1 3 9 8 12 31111 6 M59 93000 000132 0000R 00001 00398 015*")</f>
        <v>0</v>
      </c>
      <c r="E8695"/>
      <c r="F8695" s="35">
        <f>SUMIFS(F8696:F9015,K8696:K9015,"0",B8696:B9015,"5 1 3 9 8 12 31111 6 M59 93000 000132 0000R 00001 00398 015*")</f>
        <v>5498.13</v>
      </c>
      <c r="G8695" s="35">
        <f>SUMIFS(G8696:G9015,K8696:K9015,"0",B8696:B9015,"5 1 3 9 8 12 31111 6 M59 93000 000132 0000R 00001 00398 015*")</f>
        <v>0</v>
      </c>
      <c r="H8695" s="35">
        <f t="shared" si="136"/>
        <v>5498.13</v>
      </c>
      <c r="I8695" s="35"/>
      <c r="K8695" t="s">
        <v>15</v>
      </c>
    </row>
    <row r="8696" spans="2:11" ht="33" x14ac:dyDescent="0.2">
      <c r="B8696" s="33" t="s">
        <v>9822</v>
      </c>
      <c r="C8696" s="33" t="s">
        <v>8550</v>
      </c>
      <c r="D8696" s="35">
        <f>SUMIFS(D8697:D9015,K8697:K9015,"0",B8697:B9015,"5 1 3 9 8 12 31111 6 M59 93000 000132 0000R 00001 00398 015 2111300*")-SUMIFS(E8697:E9015,K8697:K9015,"0",B8697:B9015,"5 1 3 9 8 12 31111 6 M59 93000 000132 0000R 00001 00398 015 2111300*")</f>
        <v>0</v>
      </c>
      <c r="E8696"/>
      <c r="F8696" s="35">
        <f>SUMIFS(F8697:F9015,K8697:K9015,"0",B8697:B9015,"5 1 3 9 8 12 31111 6 M59 93000 000132 0000R 00001 00398 015 2111300*")</f>
        <v>5498.13</v>
      </c>
      <c r="G8696" s="35">
        <f>SUMIFS(G8697:G9015,K8697:K9015,"0",B8697:B9015,"5 1 3 9 8 12 31111 6 M59 93000 000132 0000R 00001 00398 015 2111300*")</f>
        <v>0</v>
      </c>
      <c r="H8696" s="35">
        <f t="shared" si="136"/>
        <v>5498.13</v>
      </c>
      <c r="I8696" s="35"/>
      <c r="K8696" t="s">
        <v>15</v>
      </c>
    </row>
    <row r="8697" spans="2:11" ht="33" x14ac:dyDescent="0.2">
      <c r="B8697" s="33" t="s">
        <v>9823</v>
      </c>
      <c r="C8697" s="33" t="s">
        <v>660</v>
      </c>
      <c r="D8697" s="35">
        <f>SUMIFS(D8698:D9015,K8698:K9015,"0",B8698:B9015,"5 1 3 9 8 12 31111 6 M59 93000 000132 0000R 00001 00398 015 2111300 2024*")-SUMIFS(E8698:E9015,K8698:K9015,"0",B8698:B9015,"5 1 3 9 8 12 31111 6 M59 93000 000132 0000R 00001 00398 015 2111300 2024*")</f>
        <v>0</v>
      </c>
      <c r="E8697"/>
      <c r="F8697" s="35">
        <f>SUMIFS(F8698:F9015,K8698:K9015,"0",B8698:B9015,"5 1 3 9 8 12 31111 6 M59 93000 000132 0000R 00001 00398 015 2111300 2024*")</f>
        <v>5498.13</v>
      </c>
      <c r="G8697" s="35">
        <f>SUMIFS(G8698:G9015,K8698:K9015,"0",B8698:B9015,"5 1 3 9 8 12 31111 6 M59 93000 000132 0000R 00001 00398 015 2111300 2024*")</f>
        <v>0</v>
      </c>
      <c r="H8697" s="35">
        <f t="shared" si="136"/>
        <v>5498.13</v>
      </c>
      <c r="I8697" s="35"/>
      <c r="K8697" t="s">
        <v>15</v>
      </c>
    </row>
    <row r="8698" spans="2:11" ht="41.25" x14ac:dyDescent="0.2">
      <c r="B8698" s="33" t="s">
        <v>9824</v>
      </c>
      <c r="C8698" s="33" t="s">
        <v>1056</v>
      </c>
      <c r="D8698" s="35">
        <f>SUMIFS(D8699:D9015,K8699:K9015,"0",B8699:B9015,"5 1 3 9 8 12 31111 6 M59 93000 000132 0000R 00001 00398 015 2111300 2024 CP1RS429*")-SUMIFS(E8699:E9015,K8699:K9015,"0",B8699:B9015,"5 1 3 9 8 12 31111 6 M59 93000 000132 0000R 00001 00398 015 2111300 2024 CP1RS429*")</f>
        <v>0</v>
      </c>
      <c r="E8698"/>
      <c r="F8698" s="35">
        <f>SUMIFS(F8699:F9015,K8699:K9015,"0",B8699:B9015,"5 1 3 9 8 12 31111 6 M59 93000 000132 0000R 00001 00398 015 2111300 2024 CP1RS429*")</f>
        <v>5498.13</v>
      </c>
      <c r="G8698" s="35">
        <f>SUMIFS(G8699:G9015,K8699:K9015,"0",B8699:B9015,"5 1 3 9 8 12 31111 6 M59 93000 000132 0000R 00001 00398 015 2111300 2024 CP1RS429*")</f>
        <v>0</v>
      </c>
      <c r="H8698" s="35">
        <f t="shared" si="136"/>
        <v>5498.13</v>
      </c>
      <c r="I8698" s="35"/>
      <c r="K8698" t="s">
        <v>15</v>
      </c>
    </row>
    <row r="8699" spans="2:11" ht="41.25" x14ac:dyDescent="0.2">
      <c r="B8699" s="33" t="s">
        <v>9825</v>
      </c>
      <c r="C8699" s="33" t="s">
        <v>282</v>
      </c>
      <c r="D8699" s="35">
        <f>SUMIFS(D8700:D9015,K8700:K9015,"0",B8700:B9015,"5 1 3 9 8 12 31111 6 M59 93000 000132 0000R 00001 00398 015 2111300 2024 CP1RS429 001*")-SUMIFS(E8700:E9015,K8700:K9015,"0",B8700:B9015,"5 1 3 9 8 12 31111 6 M59 93000 000132 0000R 00001 00398 015 2111300 2024 CP1RS429 001*")</f>
        <v>0</v>
      </c>
      <c r="E8699"/>
      <c r="F8699" s="35">
        <f>SUMIFS(F8700:F9015,K8700:K9015,"0",B8700:B9015,"5 1 3 9 8 12 31111 6 M59 93000 000132 0000R 00001 00398 015 2111300 2024 CP1RS429 001*")</f>
        <v>5498.13</v>
      </c>
      <c r="G8699" s="35">
        <f>SUMIFS(G8700:G9015,K8700:K9015,"0",B8700:B9015,"5 1 3 9 8 12 31111 6 M59 93000 000132 0000R 00001 00398 015 2111300 2024 CP1RS429 001*")</f>
        <v>0</v>
      </c>
      <c r="H8699" s="35">
        <f t="shared" si="136"/>
        <v>5498.13</v>
      </c>
      <c r="I8699" s="35"/>
      <c r="K8699" t="s">
        <v>15</v>
      </c>
    </row>
    <row r="8700" spans="2:11" ht="41.25" x14ac:dyDescent="0.2">
      <c r="B8700" s="31" t="s">
        <v>9826</v>
      </c>
      <c r="C8700" s="31" t="s">
        <v>9254</v>
      </c>
      <c r="D8700" s="34">
        <v>0</v>
      </c>
      <c r="E8700" s="34"/>
      <c r="F8700" s="34">
        <v>5498.13</v>
      </c>
      <c r="G8700" s="34">
        <v>0</v>
      </c>
      <c r="H8700" s="34">
        <f t="shared" si="136"/>
        <v>5498.13</v>
      </c>
      <c r="I8700" s="34"/>
      <c r="K8700" t="s">
        <v>38</v>
      </c>
    </row>
    <row r="8701" spans="2:11" ht="16.5" x14ac:dyDescent="0.2">
      <c r="B8701" s="33" t="s">
        <v>9827</v>
      </c>
      <c r="C8701" s="33" t="s">
        <v>3644</v>
      </c>
      <c r="D8701" s="35">
        <f>SUMIFS(D8702:D9015,K8702:K9015,"0",B8702:B9015,"5 1 3 9 8 12 31111 6 M59 94000*")-SUMIFS(E8702:E9015,K8702:K9015,"0",B8702:B9015,"5 1 3 9 8 12 31111 6 M59 94000*")</f>
        <v>0</v>
      </c>
      <c r="E8701"/>
      <c r="F8701" s="35">
        <f>SUMIFS(F8702:F9015,K8702:K9015,"0",B8702:B9015,"5 1 3 9 8 12 31111 6 M59 94000*")</f>
        <v>19614.78</v>
      </c>
      <c r="G8701" s="35">
        <f>SUMIFS(G8702:G9015,K8702:K9015,"0",B8702:B9015,"5 1 3 9 8 12 31111 6 M59 94000*")</f>
        <v>0</v>
      </c>
      <c r="H8701" s="35">
        <f t="shared" si="136"/>
        <v>19614.78</v>
      </c>
      <c r="I8701" s="35"/>
      <c r="K8701" t="s">
        <v>15</v>
      </c>
    </row>
    <row r="8702" spans="2:11" ht="24.75" x14ac:dyDescent="0.2">
      <c r="B8702" s="33" t="s">
        <v>9828</v>
      </c>
      <c r="C8702" s="33" t="s">
        <v>3152</v>
      </c>
      <c r="D8702" s="35">
        <f>SUMIFS(D8703:D9015,K8703:K9015,"0",B8703:B9015,"5 1 3 9 8 12 31111 6 M59 94000 000181*")-SUMIFS(E8703:E9015,K8703:K9015,"0",B8703:B9015,"5 1 3 9 8 12 31111 6 M59 94000 000181*")</f>
        <v>0</v>
      </c>
      <c r="E8702"/>
      <c r="F8702" s="35">
        <f>SUMIFS(F8703:F9015,K8703:K9015,"0",B8703:B9015,"5 1 3 9 8 12 31111 6 M59 94000 000181*")</f>
        <v>19614.78</v>
      </c>
      <c r="G8702" s="35">
        <f>SUMIFS(G8703:G9015,K8703:K9015,"0",B8703:B9015,"5 1 3 9 8 12 31111 6 M59 94000 000181*")</f>
        <v>0</v>
      </c>
      <c r="H8702" s="35">
        <f t="shared" si="136"/>
        <v>19614.78</v>
      </c>
      <c r="I8702" s="35"/>
      <c r="K8702" t="s">
        <v>15</v>
      </c>
    </row>
    <row r="8703" spans="2:11" ht="24.75" x14ac:dyDescent="0.2">
      <c r="B8703" s="33" t="s">
        <v>9829</v>
      </c>
      <c r="C8703" s="33" t="s">
        <v>650</v>
      </c>
      <c r="D8703" s="35">
        <f>SUMIFS(D8704:D9015,K8704:K9015,"0",B8704:B9015,"5 1 3 9 8 12 31111 6 M59 94000 000181 0000R*")-SUMIFS(E8704:E9015,K8704:K9015,"0",B8704:B9015,"5 1 3 9 8 12 31111 6 M59 94000 000181 0000R*")</f>
        <v>0</v>
      </c>
      <c r="E8703"/>
      <c r="F8703" s="35">
        <f>SUMIFS(F8704:F9015,K8704:K9015,"0",B8704:B9015,"5 1 3 9 8 12 31111 6 M59 94000 000181 0000R*")</f>
        <v>19614.78</v>
      </c>
      <c r="G8703" s="35">
        <f>SUMIFS(G8704:G9015,K8704:K9015,"0",B8704:B9015,"5 1 3 9 8 12 31111 6 M59 94000 000181 0000R*")</f>
        <v>0</v>
      </c>
      <c r="H8703" s="35">
        <f t="shared" si="136"/>
        <v>19614.78</v>
      </c>
      <c r="I8703" s="35"/>
      <c r="K8703" t="s">
        <v>15</v>
      </c>
    </row>
    <row r="8704" spans="2:11" ht="24.75" x14ac:dyDescent="0.2">
      <c r="B8704" s="33" t="s">
        <v>9830</v>
      </c>
      <c r="C8704" s="33" t="s">
        <v>282</v>
      </c>
      <c r="D8704" s="35">
        <f>SUMIFS(D8705:D9015,K8705:K9015,"0",B8705:B9015,"5 1 3 9 8 12 31111 6 M59 94000 000181 0000R 00001*")-SUMIFS(E8705:E9015,K8705:K9015,"0",B8705:B9015,"5 1 3 9 8 12 31111 6 M59 94000 000181 0000R 00001*")</f>
        <v>0</v>
      </c>
      <c r="E8704"/>
      <c r="F8704" s="35">
        <f>SUMIFS(F8705:F9015,K8705:K9015,"0",B8705:B9015,"5 1 3 9 8 12 31111 6 M59 94000 000181 0000R 00001*")</f>
        <v>19614.78</v>
      </c>
      <c r="G8704" s="35">
        <f>SUMIFS(G8705:G9015,K8705:K9015,"0",B8705:B9015,"5 1 3 9 8 12 31111 6 M59 94000 000181 0000R 00001*")</f>
        <v>0</v>
      </c>
      <c r="H8704" s="35">
        <f t="shared" si="136"/>
        <v>19614.78</v>
      </c>
      <c r="I8704" s="35"/>
      <c r="K8704" t="s">
        <v>15</v>
      </c>
    </row>
    <row r="8705" spans="2:11" ht="24.75" x14ac:dyDescent="0.2">
      <c r="B8705" s="33" t="s">
        <v>9831</v>
      </c>
      <c r="C8705" s="33" t="s">
        <v>9247</v>
      </c>
      <c r="D8705" s="35">
        <f>SUMIFS(D8706:D9015,K8706:K9015,"0",B8706:B9015,"5 1 3 9 8 12 31111 6 M59 94000 000181 0000R 00001 00398*")-SUMIFS(E8706:E9015,K8706:K9015,"0",B8706:B9015,"5 1 3 9 8 12 31111 6 M59 94000 000181 0000R 00001 00398*")</f>
        <v>0</v>
      </c>
      <c r="E8705"/>
      <c r="F8705" s="35">
        <f>SUMIFS(F8706:F9015,K8706:K9015,"0",B8706:B9015,"5 1 3 9 8 12 31111 6 M59 94000 000181 0000R 00001 00398*")</f>
        <v>19614.78</v>
      </c>
      <c r="G8705" s="35">
        <f>SUMIFS(G8706:G9015,K8706:K9015,"0",B8706:B9015,"5 1 3 9 8 12 31111 6 M59 94000 000181 0000R 00001 00398*")</f>
        <v>0</v>
      </c>
      <c r="H8705" s="35">
        <f t="shared" si="136"/>
        <v>19614.78</v>
      </c>
      <c r="I8705" s="35"/>
      <c r="K8705" t="s">
        <v>15</v>
      </c>
    </row>
    <row r="8706" spans="2:11" ht="33" x14ac:dyDescent="0.2">
      <c r="B8706" s="33" t="s">
        <v>9832</v>
      </c>
      <c r="C8706" s="33" t="s">
        <v>1051</v>
      </c>
      <c r="D8706" s="35">
        <f>SUMIFS(D8707:D9015,K8707:K9015,"0",B8707:B9015,"5 1 3 9 8 12 31111 6 M59 94000 000181 0000R 00001 00398 015*")-SUMIFS(E8707:E9015,K8707:K9015,"0",B8707:B9015,"5 1 3 9 8 12 31111 6 M59 94000 000181 0000R 00001 00398 015*")</f>
        <v>0</v>
      </c>
      <c r="E8706"/>
      <c r="F8706" s="35">
        <f>SUMIFS(F8707:F9015,K8707:K9015,"0",B8707:B9015,"5 1 3 9 8 12 31111 6 M59 94000 000181 0000R 00001 00398 015*")</f>
        <v>19614.78</v>
      </c>
      <c r="G8706" s="35">
        <f>SUMIFS(G8707:G9015,K8707:K9015,"0",B8707:B9015,"5 1 3 9 8 12 31111 6 M59 94000 000181 0000R 00001 00398 015*")</f>
        <v>0</v>
      </c>
      <c r="H8706" s="35">
        <f t="shared" si="136"/>
        <v>19614.78</v>
      </c>
      <c r="I8706" s="35"/>
      <c r="K8706" t="s">
        <v>15</v>
      </c>
    </row>
    <row r="8707" spans="2:11" ht="33" x14ac:dyDescent="0.2">
      <c r="B8707" s="33" t="s">
        <v>9833</v>
      </c>
      <c r="C8707" s="33" t="s">
        <v>8550</v>
      </c>
      <c r="D8707" s="35">
        <f>SUMIFS(D8708:D9015,K8708:K9015,"0",B8708:B9015,"5 1 3 9 8 12 31111 6 M59 94000 000181 0000R 00001 00398 015 2111300*")-SUMIFS(E8708:E9015,K8708:K9015,"0",B8708:B9015,"5 1 3 9 8 12 31111 6 M59 94000 000181 0000R 00001 00398 015 2111300*")</f>
        <v>0</v>
      </c>
      <c r="E8707"/>
      <c r="F8707" s="35">
        <f>SUMIFS(F8708:F9015,K8708:K9015,"0",B8708:B9015,"5 1 3 9 8 12 31111 6 M59 94000 000181 0000R 00001 00398 015 2111300*")</f>
        <v>19614.78</v>
      </c>
      <c r="G8707" s="35">
        <f>SUMIFS(G8708:G9015,K8708:K9015,"0",B8708:B9015,"5 1 3 9 8 12 31111 6 M59 94000 000181 0000R 00001 00398 015 2111300*")</f>
        <v>0</v>
      </c>
      <c r="H8707" s="35">
        <f t="shared" si="136"/>
        <v>19614.78</v>
      </c>
      <c r="I8707" s="35"/>
      <c r="K8707" t="s">
        <v>15</v>
      </c>
    </row>
    <row r="8708" spans="2:11" ht="33" x14ac:dyDescent="0.2">
      <c r="B8708" s="33" t="s">
        <v>9834</v>
      </c>
      <c r="C8708" s="33" t="s">
        <v>660</v>
      </c>
      <c r="D8708" s="35">
        <f>SUMIFS(D8709:D9015,K8709:K9015,"0",B8709:B9015,"5 1 3 9 8 12 31111 6 M59 94000 000181 0000R 00001 00398 015 2111300 2024*")-SUMIFS(E8709:E9015,K8709:K9015,"0",B8709:B9015,"5 1 3 9 8 12 31111 6 M59 94000 000181 0000R 00001 00398 015 2111300 2024*")</f>
        <v>0</v>
      </c>
      <c r="E8708"/>
      <c r="F8708" s="35">
        <f>SUMIFS(F8709:F9015,K8709:K9015,"0",B8709:B9015,"5 1 3 9 8 12 31111 6 M59 94000 000181 0000R 00001 00398 015 2111300 2024*")</f>
        <v>19614.78</v>
      </c>
      <c r="G8708" s="35">
        <f>SUMIFS(G8709:G9015,K8709:K9015,"0",B8709:B9015,"5 1 3 9 8 12 31111 6 M59 94000 000181 0000R 00001 00398 015 2111300 2024*")</f>
        <v>0</v>
      </c>
      <c r="H8708" s="35">
        <f t="shared" ref="H8708:H8771" si="137">D8708 + F8708 - G8708</f>
        <v>19614.78</v>
      </c>
      <c r="I8708" s="35"/>
      <c r="K8708" t="s">
        <v>15</v>
      </c>
    </row>
    <row r="8709" spans="2:11" ht="41.25" x14ac:dyDescent="0.2">
      <c r="B8709" s="33" t="s">
        <v>9835</v>
      </c>
      <c r="C8709" s="33" t="s">
        <v>1056</v>
      </c>
      <c r="D8709" s="35">
        <f>SUMIFS(D8710:D9015,K8710:K9015,"0",B8710:B9015,"5 1 3 9 8 12 31111 6 M59 94000 000181 0000R 00001 00398 015 2111300 2024 CP1OM392*")-SUMIFS(E8710:E9015,K8710:K9015,"0",B8710:B9015,"5 1 3 9 8 12 31111 6 M59 94000 000181 0000R 00001 00398 015 2111300 2024 CP1OM392*")</f>
        <v>0</v>
      </c>
      <c r="E8709"/>
      <c r="F8709" s="35">
        <f>SUMIFS(F8710:F9015,K8710:K9015,"0",B8710:B9015,"5 1 3 9 8 12 31111 6 M59 94000 000181 0000R 00001 00398 015 2111300 2024 CP1OM392*")</f>
        <v>19614.78</v>
      </c>
      <c r="G8709" s="35">
        <f>SUMIFS(G8710:G9015,K8710:K9015,"0",B8710:B9015,"5 1 3 9 8 12 31111 6 M59 94000 000181 0000R 00001 00398 015 2111300 2024 CP1OM392*")</f>
        <v>0</v>
      </c>
      <c r="H8709" s="35">
        <f t="shared" si="137"/>
        <v>19614.78</v>
      </c>
      <c r="I8709" s="35"/>
      <c r="K8709" t="s">
        <v>15</v>
      </c>
    </row>
    <row r="8710" spans="2:11" ht="41.25" x14ac:dyDescent="0.2">
      <c r="B8710" s="33" t="s">
        <v>9836</v>
      </c>
      <c r="C8710" s="33" t="s">
        <v>282</v>
      </c>
      <c r="D8710" s="35">
        <f>SUMIFS(D8711:D9015,K8711:K9015,"0",B8711:B9015,"5 1 3 9 8 12 31111 6 M59 94000 000181 0000R 00001 00398 015 2111300 2024 CP1OM392 001*")-SUMIFS(E8711:E9015,K8711:K9015,"0",B8711:B9015,"5 1 3 9 8 12 31111 6 M59 94000 000181 0000R 00001 00398 015 2111300 2024 CP1OM392 001*")</f>
        <v>0</v>
      </c>
      <c r="E8710"/>
      <c r="F8710" s="35">
        <f>SUMIFS(F8711:F9015,K8711:K9015,"0",B8711:B9015,"5 1 3 9 8 12 31111 6 M59 94000 000181 0000R 00001 00398 015 2111300 2024 CP1OM392 001*")</f>
        <v>19614.78</v>
      </c>
      <c r="G8710" s="35">
        <f>SUMIFS(G8711:G9015,K8711:K9015,"0",B8711:B9015,"5 1 3 9 8 12 31111 6 M59 94000 000181 0000R 00001 00398 015 2111300 2024 CP1OM392 001*")</f>
        <v>0</v>
      </c>
      <c r="H8710" s="35">
        <f t="shared" si="137"/>
        <v>19614.78</v>
      </c>
      <c r="I8710" s="35"/>
      <c r="K8710" t="s">
        <v>15</v>
      </c>
    </row>
    <row r="8711" spans="2:11" ht="33" x14ac:dyDescent="0.2">
      <c r="B8711" s="31" t="s">
        <v>9837</v>
      </c>
      <c r="C8711" s="31" t="s">
        <v>9254</v>
      </c>
      <c r="D8711" s="34">
        <v>0</v>
      </c>
      <c r="E8711" s="34"/>
      <c r="F8711" s="34">
        <v>19614.78</v>
      </c>
      <c r="G8711" s="34">
        <v>0</v>
      </c>
      <c r="H8711" s="34">
        <f t="shared" si="137"/>
        <v>19614.78</v>
      </c>
      <c r="I8711" s="34"/>
      <c r="K8711" t="s">
        <v>38</v>
      </c>
    </row>
    <row r="8712" spans="2:11" ht="16.5" x14ac:dyDescent="0.2">
      <c r="B8712" s="33" t="s">
        <v>9838</v>
      </c>
      <c r="C8712" s="33" t="s">
        <v>3656</v>
      </c>
      <c r="D8712" s="35">
        <f>SUMIFS(D8713:D9015,K8713:K9015,"0",B8713:B9015,"5 1 3 9 8 12 31111 6 M59 94100*")-SUMIFS(E8713:E9015,K8713:K9015,"0",B8713:B9015,"5 1 3 9 8 12 31111 6 M59 94100*")</f>
        <v>0</v>
      </c>
      <c r="E8712"/>
      <c r="F8712" s="35">
        <f>SUMIFS(F8713:F9015,K8713:K9015,"0",B8713:B9015,"5 1 3 9 8 12 31111 6 M59 94100*")</f>
        <v>6905.07</v>
      </c>
      <c r="G8712" s="35">
        <f>SUMIFS(G8713:G9015,K8713:K9015,"0",B8713:B9015,"5 1 3 9 8 12 31111 6 M59 94100*")</f>
        <v>0</v>
      </c>
      <c r="H8712" s="35">
        <f t="shared" si="137"/>
        <v>6905.07</v>
      </c>
      <c r="I8712" s="35"/>
      <c r="K8712" t="s">
        <v>15</v>
      </c>
    </row>
    <row r="8713" spans="2:11" ht="16.5" x14ac:dyDescent="0.2">
      <c r="B8713" s="33" t="s">
        <v>9839</v>
      </c>
      <c r="C8713" s="33" t="s">
        <v>648</v>
      </c>
      <c r="D8713" s="35">
        <f>SUMIFS(D8714:D9015,K8714:K9015,"0",B8714:B9015,"5 1 3 9 8 12 31111 6 M59 94100 000132*")-SUMIFS(E8714:E9015,K8714:K9015,"0",B8714:B9015,"5 1 3 9 8 12 31111 6 M59 94100 000132*")</f>
        <v>0</v>
      </c>
      <c r="E8713"/>
      <c r="F8713" s="35">
        <f>SUMIFS(F8714:F9015,K8714:K9015,"0",B8714:B9015,"5 1 3 9 8 12 31111 6 M59 94100 000132*")</f>
        <v>6905.07</v>
      </c>
      <c r="G8713" s="35">
        <f>SUMIFS(G8714:G9015,K8714:K9015,"0",B8714:B9015,"5 1 3 9 8 12 31111 6 M59 94100 000132*")</f>
        <v>0</v>
      </c>
      <c r="H8713" s="35">
        <f t="shared" si="137"/>
        <v>6905.07</v>
      </c>
      <c r="I8713" s="35"/>
      <c r="K8713" t="s">
        <v>15</v>
      </c>
    </row>
    <row r="8714" spans="2:11" ht="24.75" x14ac:dyDescent="0.2">
      <c r="B8714" s="33" t="s">
        <v>9840</v>
      </c>
      <c r="C8714" s="33" t="s">
        <v>650</v>
      </c>
      <c r="D8714" s="35">
        <f>SUMIFS(D8715:D9015,K8715:K9015,"0",B8715:B9015,"5 1 3 9 8 12 31111 6 M59 94100 000132 0000R*")-SUMIFS(E8715:E9015,K8715:K9015,"0",B8715:B9015,"5 1 3 9 8 12 31111 6 M59 94100 000132 0000R*")</f>
        <v>0</v>
      </c>
      <c r="E8714"/>
      <c r="F8714" s="35">
        <f>SUMIFS(F8715:F9015,K8715:K9015,"0",B8715:B9015,"5 1 3 9 8 12 31111 6 M59 94100 000132 0000R*")</f>
        <v>6905.07</v>
      </c>
      <c r="G8714" s="35">
        <f>SUMIFS(G8715:G9015,K8715:K9015,"0",B8715:B9015,"5 1 3 9 8 12 31111 6 M59 94100 000132 0000R*")</f>
        <v>0</v>
      </c>
      <c r="H8714" s="35">
        <f t="shared" si="137"/>
        <v>6905.07</v>
      </c>
      <c r="I8714" s="35"/>
      <c r="K8714" t="s">
        <v>15</v>
      </c>
    </row>
    <row r="8715" spans="2:11" ht="24.75" x14ac:dyDescent="0.2">
      <c r="B8715" s="33" t="s">
        <v>9841</v>
      </c>
      <c r="C8715" s="33" t="s">
        <v>282</v>
      </c>
      <c r="D8715" s="35">
        <f>SUMIFS(D8716:D9015,K8716:K9015,"0",B8716:B9015,"5 1 3 9 8 12 31111 6 M59 94100 000132 0000R 00001*")-SUMIFS(E8716:E9015,K8716:K9015,"0",B8716:B9015,"5 1 3 9 8 12 31111 6 M59 94100 000132 0000R 00001*")</f>
        <v>0</v>
      </c>
      <c r="E8715"/>
      <c r="F8715" s="35">
        <f>SUMIFS(F8716:F9015,K8716:K9015,"0",B8716:B9015,"5 1 3 9 8 12 31111 6 M59 94100 000132 0000R 00001*")</f>
        <v>6905.07</v>
      </c>
      <c r="G8715" s="35">
        <f>SUMIFS(G8716:G9015,K8716:K9015,"0",B8716:B9015,"5 1 3 9 8 12 31111 6 M59 94100 000132 0000R 00001*")</f>
        <v>0</v>
      </c>
      <c r="H8715" s="35">
        <f t="shared" si="137"/>
        <v>6905.07</v>
      </c>
      <c r="I8715" s="35"/>
      <c r="K8715" t="s">
        <v>15</v>
      </c>
    </row>
    <row r="8716" spans="2:11" ht="24.75" x14ac:dyDescent="0.2">
      <c r="B8716" s="33" t="s">
        <v>9842</v>
      </c>
      <c r="C8716" s="33" t="s">
        <v>9247</v>
      </c>
      <c r="D8716" s="35">
        <f>SUMIFS(D8717:D9015,K8717:K9015,"0",B8717:B9015,"5 1 3 9 8 12 31111 6 M59 94100 000132 0000R 00001 00398*")-SUMIFS(E8717:E9015,K8717:K9015,"0",B8717:B9015,"5 1 3 9 8 12 31111 6 M59 94100 000132 0000R 00001 00398*")</f>
        <v>0</v>
      </c>
      <c r="E8716"/>
      <c r="F8716" s="35">
        <f>SUMIFS(F8717:F9015,K8717:K9015,"0",B8717:B9015,"5 1 3 9 8 12 31111 6 M59 94100 000132 0000R 00001 00398*")</f>
        <v>6905.07</v>
      </c>
      <c r="G8716" s="35">
        <f>SUMIFS(G8717:G9015,K8717:K9015,"0",B8717:B9015,"5 1 3 9 8 12 31111 6 M59 94100 000132 0000R 00001 00398*")</f>
        <v>0</v>
      </c>
      <c r="H8716" s="35">
        <f t="shared" si="137"/>
        <v>6905.07</v>
      </c>
      <c r="I8716" s="35"/>
      <c r="K8716" t="s">
        <v>15</v>
      </c>
    </row>
    <row r="8717" spans="2:11" ht="33" x14ac:dyDescent="0.2">
      <c r="B8717" s="33" t="s">
        <v>9843</v>
      </c>
      <c r="C8717" s="33" t="s">
        <v>1051</v>
      </c>
      <c r="D8717" s="35">
        <f>SUMIFS(D8718:D9015,K8718:K9015,"0",B8718:B9015,"5 1 3 9 8 12 31111 6 M59 94100 000132 0000R 00001 00398 015*")-SUMIFS(E8718:E9015,K8718:K9015,"0",B8718:B9015,"5 1 3 9 8 12 31111 6 M59 94100 000132 0000R 00001 00398 015*")</f>
        <v>0</v>
      </c>
      <c r="E8717"/>
      <c r="F8717" s="35">
        <f>SUMIFS(F8718:F9015,K8718:K9015,"0",B8718:B9015,"5 1 3 9 8 12 31111 6 M59 94100 000132 0000R 00001 00398 015*")</f>
        <v>6905.07</v>
      </c>
      <c r="G8717" s="35">
        <f>SUMIFS(G8718:G9015,K8718:K9015,"0",B8718:B9015,"5 1 3 9 8 12 31111 6 M59 94100 000132 0000R 00001 00398 015*")</f>
        <v>0</v>
      </c>
      <c r="H8717" s="35">
        <f t="shared" si="137"/>
        <v>6905.07</v>
      </c>
      <c r="I8717" s="35"/>
      <c r="K8717" t="s">
        <v>15</v>
      </c>
    </row>
    <row r="8718" spans="2:11" ht="33" x14ac:dyDescent="0.2">
      <c r="B8718" s="33" t="s">
        <v>9844</v>
      </c>
      <c r="C8718" s="33" t="s">
        <v>8550</v>
      </c>
      <c r="D8718" s="35">
        <f>SUMIFS(D8719:D9015,K8719:K9015,"0",B8719:B9015,"5 1 3 9 8 12 31111 6 M59 94100 000132 0000R 00001 00398 015 2111300*")-SUMIFS(E8719:E9015,K8719:K9015,"0",B8719:B9015,"5 1 3 9 8 12 31111 6 M59 94100 000132 0000R 00001 00398 015 2111300*")</f>
        <v>0</v>
      </c>
      <c r="E8718"/>
      <c r="F8718" s="35">
        <f>SUMIFS(F8719:F9015,K8719:K9015,"0",B8719:B9015,"5 1 3 9 8 12 31111 6 M59 94100 000132 0000R 00001 00398 015 2111300*")</f>
        <v>6905.07</v>
      </c>
      <c r="G8718" s="35">
        <f>SUMIFS(G8719:G9015,K8719:K9015,"0",B8719:B9015,"5 1 3 9 8 12 31111 6 M59 94100 000132 0000R 00001 00398 015 2111300*")</f>
        <v>0</v>
      </c>
      <c r="H8718" s="35">
        <f t="shared" si="137"/>
        <v>6905.07</v>
      </c>
      <c r="I8718" s="35"/>
      <c r="K8718" t="s">
        <v>15</v>
      </c>
    </row>
    <row r="8719" spans="2:11" ht="33" x14ac:dyDescent="0.2">
      <c r="B8719" s="33" t="s">
        <v>9845</v>
      </c>
      <c r="C8719" s="33" t="s">
        <v>660</v>
      </c>
      <c r="D8719" s="35">
        <f>SUMIFS(D8720:D9015,K8720:K9015,"0",B8720:B9015,"5 1 3 9 8 12 31111 6 M59 94100 000132 0000R 00001 00398 015 2111300 2024*")-SUMIFS(E8720:E9015,K8720:K9015,"0",B8720:B9015,"5 1 3 9 8 12 31111 6 M59 94100 000132 0000R 00001 00398 015 2111300 2024*")</f>
        <v>0</v>
      </c>
      <c r="E8719"/>
      <c r="F8719" s="35">
        <f>SUMIFS(F8720:F9015,K8720:K9015,"0",B8720:B9015,"5 1 3 9 8 12 31111 6 M59 94100 000132 0000R 00001 00398 015 2111300 2024*")</f>
        <v>6905.07</v>
      </c>
      <c r="G8719" s="35">
        <f>SUMIFS(G8720:G9015,K8720:K9015,"0",B8720:B9015,"5 1 3 9 8 12 31111 6 M59 94100 000132 0000R 00001 00398 015 2111300 2024*")</f>
        <v>0</v>
      </c>
      <c r="H8719" s="35">
        <f t="shared" si="137"/>
        <v>6905.07</v>
      </c>
      <c r="I8719" s="35"/>
      <c r="K8719" t="s">
        <v>15</v>
      </c>
    </row>
    <row r="8720" spans="2:11" ht="41.25" x14ac:dyDescent="0.2">
      <c r="B8720" s="33" t="s">
        <v>9846</v>
      </c>
      <c r="C8720" s="33" t="s">
        <v>1056</v>
      </c>
      <c r="D8720" s="35">
        <f>SUMIFS(D8721:D9015,K8721:K9015,"0",B8721:B9015,"5 1 3 9 8 12 31111 6 M59 94100 000132 0000R 00001 00398 015 2111300 2024 CP1AT427*")-SUMIFS(E8721:E9015,K8721:K9015,"0",B8721:B9015,"5 1 3 9 8 12 31111 6 M59 94100 000132 0000R 00001 00398 015 2111300 2024 CP1AT427*")</f>
        <v>0</v>
      </c>
      <c r="E8720"/>
      <c r="F8720" s="35">
        <f>SUMIFS(F8721:F9015,K8721:K9015,"0",B8721:B9015,"5 1 3 9 8 12 31111 6 M59 94100 000132 0000R 00001 00398 015 2111300 2024 CP1AT427*")</f>
        <v>6905.07</v>
      </c>
      <c r="G8720" s="35">
        <f>SUMIFS(G8721:G9015,K8721:K9015,"0",B8721:B9015,"5 1 3 9 8 12 31111 6 M59 94100 000132 0000R 00001 00398 015 2111300 2024 CP1AT427*")</f>
        <v>0</v>
      </c>
      <c r="H8720" s="35">
        <f t="shared" si="137"/>
        <v>6905.07</v>
      </c>
      <c r="I8720" s="35"/>
      <c r="K8720" t="s">
        <v>15</v>
      </c>
    </row>
    <row r="8721" spans="2:11" ht="41.25" x14ac:dyDescent="0.2">
      <c r="B8721" s="33" t="s">
        <v>9847</v>
      </c>
      <c r="C8721" s="33" t="s">
        <v>282</v>
      </c>
      <c r="D8721" s="35">
        <f>SUMIFS(D8722:D9015,K8722:K9015,"0",B8722:B9015,"5 1 3 9 8 12 31111 6 M59 94100 000132 0000R 00001 00398 015 2111300 2024 CP1AT427 001*")-SUMIFS(E8722:E9015,K8722:K9015,"0",B8722:B9015,"5 1 3 9 8 12 31111 6 M59 94100 000132 0000R 00001 00398 015 2111300 2024 CP1AT427 001*")</f>
        <v>0</v>
      </c>
      <c r="E8721"/>
      <c r="F8721" s="35">
        <f>SUMIFS(F8722:F9015,K8722:K9015,"0",B8722:B9015,"5 1 3 9 8 12 31111 6 M59 94100 000132 0000R 00001 00398 015 2111300 2024 CP1AT427 001*")</f>
        <v>6905.07</v>
      </c>
      <c r="G8721" s="35">
        <f>SUMIFS(G8722:G9015,K8722:K9015,"0",B8722:B9015,"5 1 3 9 8 12 31111 6 M59 94100 000132 0000R 00001 00398 015 2111300 2024 CP1AT427 001*")</f>
        <v>0</v>
      </c>
      <c r="H8721" s="35">
        <f t="shared" si="137"/>
        <v>6905.07</v>
      </c>
      <c r="I8721" s="35"/>
      <c r="K8721" t="s">
        <v>15</v>
      </c>
    </row>
    <row r="8722" spans="2:11" ht="33" x14ac:dyDescent="0.2">
      <c r="B8722" s="31" t="s">
        <v>9848</v>
      </c>
      <c r="C8722" s="31" t="s">
        <v>9849</v>
      </c>
      <c r="D8722" s="34">
        <v>0</v>
      </c>
      <c r="E8722" s="34"/>
      <c r="F8722" s="34">
        <v>6905.07</v>
      </c>
      <c r="G8722" s="34">
        <v>0</v>
      </c>
      <c r="H8722" s="34">
        <f t="shared" si="137"/>
        <v>6905.07</v>
      </c>
      <c r="I8722" s="34"/>
      <c r="K8722" t="s">
        <v>38</v>
      </c>
    </row>
    <row r="8723" spans="2:11" ht="16.5" x14ac:dyDescent="0.2">
      <c r="B8723" s="33" t="s">
        <v>9850</v>
      </c>
      <c r="C8723" s="33" t="s">
        <v>3668</v>
      </c>
      <c r="D8723" s="35">
        <f>SUMIFS(D8724:D9015,K8724:K9015,"0",B8724:B9015,"5 1 3 9 8 12 31111 6 M59 95000*")-SUMIFS(E8724:E9015,K8724:K9015,"0",B8724:B9015,"5 1 3 9 8 12 31111 6 M59 95000*")</f>
        <v>0</v>
      </c>
      <c r="E8723"/>
      <c r="F8723" s="35">
        <f>SUMIFS(F8724:F9015,K8724:K9015,"0",B8724:B9015,"5 1 3 9 8 12 31111 6 M59 95000*")</f>
        <v>11500</v>
      </c>
      <c r="G8723" s="35">
        <f>SUMIFS(G8724:G9015,K8724:K9015,"0",B8724:B9015,"5 1 3 9 8 12 31111 6 M59 95000*")</f>
        <v>0</v>
      </c>
      <c r="H8723" s="35">
        <f t="shared" si="137"/>
        <v>11500</v>
      </c>
      <c r="I8723" s="35"/>
      <c r="K8723" t="s">
        <v>15</v>
      </c>
    </row>
    <row r="8724" spans="2:11" ht="16.5" x14ac:dyDescent="0.2">
      <c r="B8724" s="33" t="s">
        <v>9851</v>
      </c>
      <c r="C8724" s="33" t="s">
        <v>1063</v>
      </c>
      <c r="D8724" s="35">
        <f>SUMIFS(D8725:D9015,K8725:K9015,"0",B8725:B9015,"5 1 3 9 8 12 31111 6 M59 95000 000139*")-SUMIFS(E8725:E9015,K8725:K9015,"0",B8725:B9015,"5 1 3 9 8 12 31111 6 M59 95000 000139*")</f>
        <v>0</v>
      </c>
      <c r="E8724"/>
      <c r="F8724" s="35">
        <f>SUMIFS(F8725:F9015,K8725:K9015,"0",B8725:B9015,"5 1 3 9 8 12 31111 6 M59 95000 000139*")</f>
        <v>11500</v>
      </c>
      <c r="G8724" s="35">
        <f>SUMIFS(G8725:G9015,K8725:K9015,"0",B8725:B9015,"5 1 3 9 8 12 31111 6 M59 95000 000139*")</f>
        <v>0</v>
      </c>
      <c r="H8724" s="35">
        <f t="shared" si="137"/>
        <v>11500</v>
      </c>
      <c r="I8724" s="35"/>
      <c r="K8724" t="s">
        <v>15</v>
      </c>
    </row>
    <row r="8725" spans="2:11" ht="24.75" x14ac:dyDescent="0.2">
      <c r="B8725" s="33" t="s">
        <v>9852</v>
      </c>
      <c r="C8725" s="33" t="s">
        <v>3671</v>
      </c>
      <c r="D8725" s="35">
        <f>SUMIFS(D8726:D9015,K8726:K9015,"0",B8726:B9015,"5 1 3 9 8 12 31111 6 M59 95000 000139 0000L*")-SUMIFS(E8726:E9015,K8726:K9015,"0",B8726:B9015,"5 1 3 9 8 12 31111 6 M59 95000 000139 0000L*")</f>
        <v>0</v>
      </c>
      <c r="E8725"/>
      <c r="F8725" s="35">
        <f>SUMIFS(F8726:F9015,K8726:K9015,"0",B8726:B9015,"5 1 3 9 8 12 31111 6 M59 95000 000139 0000L*")</f>
        <v>11500</v>
      </c>
      <c r="G8725" s="35">
        <f>SUMIFS(G8726:G9015,K8726:K9015,"0",B8726:B9015,"5 1 3 9 8 12 31111 6 M59 95000 000139 0000L*")</f>
        <v>0</v>
      </c>
      <c r="H8725" s="35">
        <f t="shared" si="137"/>
        <v>11500</v>
      </c>
      <c r="I8725" s="35"/>
      <c r="K8725" t="s">
        <v>15</v>
      </c>
    </row>
    <row r="8726" spans="2:11" ht="24.75" x14ac:dyDescent="0.2">
      <c r="B8726" s="33" t="s">
        <v>9853</v>
      </c>
      <c r="C8726" s="33" t="s">
        <v>282</v>
      </c>
      <c r="D8726" s="35">
        <f>SUMIFS(D8727:D9015,K8727:K9015,"0",B8727:B9015,"5 1 3 9 8 12 31111 6 M59 95000 000139 0000L 00001*")-SUMIFS(E8727:E9015,K8727:K9015,"0",B8727:B9015,"5 1 3 9 8 12 31111 6 M59 95000 000139 0000L 00001*")</f>
        <v>0</v>
      </c>
      <c r="E8726"/>
      <c r="F8726" s="35">
        <f>SUMIFS(F8727:F9015,K8727:K9015,"0",B8727:B9015,"5 1 3 9 8 12 31111 6 M59 95000 000139 0000L 00001*")</f>
        <v>11500</v>
      </c>
      <c r="G8726" s="35">
        <f>SUMIFS(G8727:G9015,K8727:K9015,"0",B8727:B9015,"5 1 3 9 8 12 31111 6 M59 95000 000139 0000L 00001*")</f>
        <v>0</v>
      </c>
      <c r="H8726" s="35">
        <f t="shared" si="137"/>
        <v>11500</v>
      </c>
      <c r="I8726" s="35"/>
      <c r="K8726" t="s">
        <v>15</v>
      </c>
    </row>
    <row r="8727" spans="2:11" ht="24.75" x14ac:dyDescent="0.2">
      <c r="B8727" s="33" t="s">
        <v>9854</v>
      </c>
      <c r="C8727" s="33" t="s">
        <v>9247</v>
      </c>
      <c r="D8727" s="35">
        <f>SUMIFS(D8728:D9015,K8728:K9015,"0",B8728:B9015,"5 1 3 9 8 12 31111 6 M59 95000 000139 0000L 00001 00398*")-SUMIFS(E8728:E9015,K8728:K9015,"0",B8728:B9015,"5 1 3 9 8 12 31111 6 M59 95000 000139 0000L 00001 00398*")</f>
        <v>0</v>
      </c>
      <c r="E8727"/>
      <c r="F8727" s="35">
        <f>SUMIFS(F8728:F9015,K8728:K9015,"0",B8728:B9015,"5 1 3 9 8 12 31111 6 M59 95000 000139 0000L 00001 00398*")</f>
        <v>11500</v>
      </c>
      <c r="G8727" s="35">
        <f>SUMIFS(G8728:G9015,K8728:K9015,"0",B8728:B9015,"5 1 3 9 8 12 31111 6 M59 95000 000139 0000L 00001 00398*")</f>
        <v>0</v>
      </c>
      <c r="H8727" s="35">
        <f t="shared" si="137"/>
        <v>11500</v>
      </c>
      <c r="I8727" s="35"/>
      <c r="K8727" t="s">
        <v>15</v>
      </c>
    </row>
    <row r="8728" spans="2:11" ht="33" x14ac:dyDescent="0.2">
      <c r="B8728" s="33" t="s">
        <v>9855</v>
      </c>
      <c r="C8728" s="33" t="s">
        <v>1051</v>
      </c>
      <c r="D8728" s="35">
        <f>SUMIFS(D8729:D9015,K8729:K9015,"0",B8729:B9015,"5 1 3 9 8 12 31111 6 M59 95000 000139 0000L 00001 00398 015*")-SUMIFS(E8729:E9015,K8729:K9015,"0",B8729:B9015,"5 1 3 9 8 12 31111 6 M59 95000 000139 0000L 00001 00398 015*")</f>
        <v>0</v>
      </c>
      <c r="E8728"/>
      <c r="F8728" s="35">
        <f>SUMIFS(F8729:F9015,K8729:K9015,"0",B8729:B9015,"5 1 3 9 8 12 31111 6 M59 95000 000139 0000L 00001 00398 015*")</f>
        <v>11500</v>
      </c>
      <c r="G8728" s="35">
        <f>SUMIFS(G8729:G9015,K8729:K9015,"0",B8729:B9015,"5 1 3 9 8 12 31111 6 M59 95000 000139 0000L 00001 00398 015*")</f>
        <v>0</v>
      </c>
      <c r="H8728" s="35">
        <f t="shared" si="137"/>
        <v>11500</v>
      </c>
      <c r="I8728" s="35"/>
      <c r="K8728" t="s">
        <v>15</v>
      </c>
    </row>
    <row r="8729" spans="2:11" ht="33" x14ac:dyDescent="0.2">
      <c r="B8729" s="33" t="s">
        <v>9856</v>
      </c>
      <c r="C8729" s="33" t="s">
        <v>2927</v>
      </c>
      <c r="D8729" s="35">
        <f>SUMIFS(D8730:D9015,K8730:K9015,"0",B8730:B9015,"5 1 3 9 8 12 31111 6 M59 95000 000139 0000L 00001 00398 015 2111100*")-SUMIFS(E8730:E9015,K8730:K9015,"0",B8730:B9015,"5 1 3 9 8 12 31111 6 M59 95000 000139 0000L 00001 00398 015 2111100*")</f>
        <v>0</v>
      </c>
      <c r="E8729"/>
      <c r="F8729" s="35">
        <f>SUMIFS(F8730:F9015,K8730:K9015,"0",B8730:B9015,"5 1 3 9 8 12 31111 6 M59 95000 000139 0000L 00001 00398 015 2111100*")</f>
        <v>11500</v>
      </c>
      <c r="G8729" s="35">
        <f>SUMIFS(G8730:G9015,K8730:K9015,"0",B8730:B9015,"5 1 3 9 8 12 31111 6 M59 95000 000139 0000L 00001 00398 015 2111100*")</f>
        <v>0</v>
      </c>
      <c r="H8729" s="35">
        <f t="shared" si="137"/>
        <v>11500</v>
      </c>
      <c r="I8729" s="35"/>
      <c r="K8729" t="s">
        <v>15</v>
      </c>
    </row>
    <row r="8730" spans="2:11" ht="33" x14ac:dyDescent="0.2">
      <c r="B8730" s="33" t="s">
        <v>9857</v>
      </c>
      <c r="C8730" s="33" t="s">
        <v>660</v>
      </c>
      <c r="D8730" s="35">
        <f>SUMIFS(D8731:D9015,K8731:K9015,"0",B8731:B9015,"5 1 3 9 8 12 31111 6 M59 95000 000139 0000L 00001 00398 015 2111100 2024*")-SUMIFS(E8731:E9015,K8731:K9015,"0",B8731:B9015,"5 1 3 9 8 12 31111 6 M59 95000 000139 0000L 00001 00398 015 2111100 2024*")</f>
        <v>0</v>
      </c>
      <c r="E8730"/>
      <c r="F8730" s="35">
        <f>SUMIFS(F8731:F9015,K8731:K9015,"0",B8731:B9015,"5 1 3 9 8 12 31111 6 M59 95000 000139 0000L 00001 00398 015 2111100 2024*")</f>
        <v>11500</v>
      </c>
      <c r="G8730" s="35">
        <f>SUMIFS(G8731:G9015,K8731:K9015,"0",B8731:B9015,"5 1 3 9 8 12 31111 6 M59 95000 000139 0000L 00001 00398 015 2111100 2024*")</f>
        <v>0</v>
      </c>
      <c r="H8730" s="35">
        <f t="shared" si="137"/>
        <v>11500</v>
      </c>
      <c r="I8730" s="35"/>
      <c r="K8730" t="s">
        <v>15</v>
      </c>
    </row>
    <row r="8731" spans="2:11" ht="41.25" x14ac:dyDescent="0.2">
      <c r="B8731" s="33" t="s">
        <v>9858</v>
      </c>
      <c r="C8731" s="33" t="s">
        <v>1056</v>
      </c>
      <c r="D8731" s="35">
        <f>SUMIFS(D8732:D9015,K8732:K9015,"0",B8732:B9015,"5 1 3 9 8 12 31111 6 M59 95000 000139 0000L 00001 00398 015 2111100 2024 CP1AJ437*")-SUMIFS(E8732:E9015,K8732:K9015,"0",B8732:B9015,"5 1 3 9 8 12 31111 6 M59 95000 000139 0000L 00001 00398 015 2111100 2024 CP1AJ437*")</f>
        <v>0</v>
      </c>
      <c r="E8731"/>
      <c r="F8731" s="35">
        <f>SUMIFS(F8732:F9015,K8732:K9015,"0",B8732:B9015,"5 1 3 9 8 12 31111 6 M59 95000 000139 0000L 00001 00398 015 2111100 2024 CP1AJ437*")</f>
        <v>11500</v>
      </c>
      <c r="G8731" s="35">
        <f>SUMIFS(G8732:G9015,K8732:K9015,"0",B8732:B9015,"5 1 3 9 8 12 31111 6 M59 95000 000139 0000L 00001 00398 015 2111100 2024 CP1AJ437*")</f>
        <v>0</v>
      </c>
      <c r="H8731" s="35">
        <f t="shared" si="137"/>
        <v>11500</v>
      </c>
      <c r="I8731" s="35"/>
      <c r="K8731" t="s">
        <v>15</v>
      </c>
    </row>
    <row r="8732" spans="2:11" ht="41.25" x14ac:dyDescent="0.2">
      <c r="B8732" s="33" t="s">
        <v>9859</v>
      </c>
      <c r="C8732" s="33" t="s">
        <v>282</v>
      </c>
      <c r="D8732" s="35">
        <f>SUMIFS(D8733:D9015,K8733:K9015,"0",B8733:B9015,"5 1 3 9 8 12 31111 6 M59 95000 000139 0000L 00001 00398 015 2111100 2024 CP1AJ437 001*")-SUMIFS(E8733:E9015,K8733:K9015,"0",B8733:B9015,"5 1 3 9 8 12 31111 6 M59 95000 000139 0000L 00001 00398 015 2111100 2024 CP1AJ437 001*")</f>
        <v>0</v>
      </c>
      <c r="E8732"/>
      <c r="F8732" s="35">
        <f>SUMIFS(F8733:F9015,K8733:K9015,"0",B8733:B9015,"5 1 3 9 8 12 31111 6 M59 95000 000139 0000L 00001 00398 015 2111100 2024 CP1AJ437 001*")</f>
        <v>11500</v>
      </c>
      <c r="G8732" s="35">
        <f>SUMIFS(G8733:G9015,K8733:K9015,"0",B8733:B9015,"5 1 3 9 8 12 31111 6 M59 95000 000139 0000L 00001 00398 015 2111100 2024 CP1AJ437 001*")</f>
        <v>0</v>
      </c>
      <c r="H8732" s="35">
        <f t="shared" si="137"/>
        <v>11500</v>
      </c>
      <c r="I8732" s="35"/>
      <c r="K8732" t="s">
        <v>15</v>
      </c>
    </row>
    <row r="8733" spans="2:11" ht="33" x14ac:dyDescent="0.2">
      <c r="B8733" s="31" t="s">
        <v>9860</v>
      </c>
      <c r="C8733" s="31" t="s">
        <v>9254</v>
      </c>
      <c r="D8733" s="34">
        <v>0</v>
      </c>
      <c r="E8733" s="34"/>
      <c r="F8733" s="34">
        <v>11500</v>
      </c>
      <c r="G8733" s="34">
        <v>0</v>
      </c>
      <c r="H8733" s="34">
        <f t="shared" si="137"/>
        <v>11500</v>
      </c>
      <c r="I8733" s="34"/>
      <c r="K8733" t="s">
        <v>38</v>
      </c>
    </row>
    <row r="8734" spans="2:11" ht="16.5" x14ac:dyDescent="0.2">
      <c r="B8734" s="33" t="s">
        <v>9861</v>
      </c>
      <c r="C8734" s="33" t="s">
        <v>3681</v>
      </c>
      <c r="D8734" s="35">
        <f>SUMIFS(D8735:D9015,K8735:K9015,"0",B8735:B9015,"5 1 3 9 8 12 31111 6 M59 96000*")-SUMIFS(E8735:E9015,K8735:K9015,"0",B8735:B9015,"5 1 3 9 8 12 31111 6 M59 96000*")</f>
        <v>0</v>
      </c>
      <c r="E8734"/>
      <c r="F8734" s="35">
        <f>SUMIFS(F8735:F9015,K8735:K9015,"0",B8735:B9015,"5 1 3 9 8 12 31111 6 M59 96000*")</f>
        <v>5794.19</v>
      </c>
      <c r="G8734" s="35">
        <f>SUMIFS(G8735:G9015,K8735:K9015,"0",B8735:B9015,"5 1 3 9 8 12 31111 6 M59 96000*")</f>
        <v>0</v>
      </c>
      <c r="H8734" s="35">
        <f t="shared" si="137"/>
        <v>5794.19</v>
      </c>
      <c r="I8734" s="35"/>
      <c r="K8734" t="s">
        <v>15</v>
      </c>
    </row>
    <row r="8735" spans="2:11" ht="16.5" x14ac:dyDescent="0.2">
      <c r="B8735" s="33" t="s">
        <v>9862</v>
      </c>
      <c r="C8735" s="33" t="s">
        <v>648</v>
      </c>
      <c r="D8735" s="35">
        <f>SUMIFS(D8736:D9015,K8736:K9015,"0",B8736:B9015,"5 1 3 9 8 12 31111 6 M59 96000 000132*")-SUMIFS(E8736:E9015,K8736:K9015,"0",B8736:B9015,"5 1 3 9 8 12 31111 6 M59 96000 000132*")</f>
        <v>0</v>
      </c>
      <c r="E8735"/>
      <c r="F8735" s="35">
        <f>SUMIFS(F8736:F9015,K8736:K9015,"0",B8736:B9015,"5 1 3 9 8 12 31111 6 M59 96000 000132*")</f>
        <v>5794.19</v>
      </c>
      <c r="G8735" s="35">
        <f>SUMIFS(G8736:G9015,K8736:K9015,"0",B8736:B9015,"5 1 3 9 8 12 31111 6 M59 96000 000132*")</f>
        <v>0</v>
      </c>
      <c r="H8735" s="35">
        <f t="shared" si="137"/>
        <v>5794.19</v>
      </c>
      <c r="I8735" s="35"/>
      <c r="K8735" t="s">
        <v>15</v>
      </c>
    </row>
    <row r="8736" spans="2:11" ht="24.75" x14ac:dyDescent="0.2">
      <c r="B8736" s="33" t="s">
        <v>9863</v>
      </c>
      <c r="C8736" s="33" t="s">
        <v>650</v>
      </c>
      <c r="D8736" s="35">
        <f>SUMIFS(D8737:D9015,K8737:K9015,"0",B8737:B9015,"5 1 3 9 8 12 31111 6 M59 96000 000132 0000R*")-SUMIFS(E8737:E9015,K8737:K9015,"0",B8737:B9015,"5 1 3 9 8 12 31111 6 M59 96000 000132 0000R*")</f>
        <v>0</v>
      </c>
      <c r="E8736"/>
      <c r="F8736" s="35">
        <f>SUMIFS(F8737:F9015,K8737:K9015,"0",B8737:B9015,"5 1 3 9 8 12 31111 6 M59 96000 000132 0000R*")</f>
        <v>5794.19</v>
      </c>
      <c r="G8736" s="35">
        <f>SUMIFS(G8737:G9015,K8737:K9015,"0",B8737:B9015,"5 1 3 9 8 12 31111 6 M59 96000 000132 0000R*")</f>
        <v>0</v>
      </c>
      <c r="H8736" s="35">
        <f t="shared" si="137"/>
        <v>5794.19</v>
      </c>
      <c r="I8736" s="35"/>
      <c r="K8736" t="s">
        <v>15</v>
      </c>
    </row>
    <row r="8737" spans="2:11" ht="24.75" x14ac:dyDescent="0.2">
      <c r="B8737" s="33" t="s">
        <v>9864</v>
      </c>
      <c r="C8737" s="33" t="s">
        <v>282</v>
      </c>
      <c r="D8737" s="35">
        <f>SUMIFS(D8738:D9015,K8738:K9015,"0",B8738:B9015,"5 1 3 9 8 12 31111 6 M59 96000 000132 0000R 00001*")-SUMIFS(E8738:E9015,K8738:K9015,"0",B8738:B9015,"5 1 3 9 8 12 31111 6 M59 96000 000132 0000R 00001*")</f>
        <v>0</v>
      </c>
      <c r="E8737"/>
      <c r="F8737" s="35">
        <f>SUMIFS(F8738:F9015,K8738:K9015,"0",B8738:B9015,"5 1 3 9 8 12 31111 6 M59 96000 000132 0000R 00001*")</f>
        <v>5794.19</v>
      </c>
      <c r="G8737" s="35">
        <f>SUMIFS(G8738:G9015,K8738:K9015,"0",B8738:B9015,"5 1 3 9 8 12 31111 6 M59 96000 000132 0000R 00001*")</f>
        <v>0</v>
      </c>
      <c r="H8737" s="35">
        <f t="shared" si="137"/>
        <v>5794.19</v>
      </c>
      <c r="I8737" s="35"/>
      <c r="K8737" t="s">
        <v>15</v>
      </c>
    </row>
    <row r="8738" spans="2:11" ht="24.75" x14ac:dyDescent="0.2">
      <c r="B8738" s="33" t="s">
        <v>9865</v>
      </c>
      <c r="C8738" s="33" t="s">
        <v>9247</v>
      </c>
      <c r="D8738" s="35">
        <f>SUMIFS(D8739:D9015,K8739:K9015,"0",B8739:B9015,"5 1 3 9 8 12 31111 6 M59 96000 000132 0000R 00001 00398*")-SUMIFS(E8739:E9015,K8739:K9015,"0",B8739:B9015,"5 1 3 9 8 12 31111 6 M59 96000 000132 0000R 00001 00398*")</f>
        <v>0</v>
      </c>
      <c r="E8738"/>
      <c r="F8738" s="35">
        <f>SUMIFS(F8739:F9015,K8739:K9015,"0",B8739:B9015,"5 1 3 9 8 12 31111 6 M59 96000 000132 0000R 00001 00398*")</f>
        <v>5794.19</v>
      </c>
      <c r="G8738" s="35">
        <f>SUMIFS(G8739:G9015,K8739:K9015,"0",B8739:B9015,"5 1 3 9 8 12 31111 6 M59 96000 000132 0000R 00001 00398*")</f>
        <v>0</v>
      </c>
      <c r="H8738" s="35">
        <f t="shared" si="137"/>
        <v>5794.19</v>
      </c>
      <c r="I8738" s="35"/>
      <c r="K8738" t="s">
        <v>15</v>
      </c>
    </row>
    <row r="8739" spans="2:11" ht="33" x14ac:dyDescent="0.2">
      <c r="B8739" s="33" t="s">
        <v>9866</v>
      </c>
      <c r="C8739" s="33" t="s">
        <v>1051</v>
      </c>
      <c r="D8739" s="35">
        <f>SUMIFS(D8740:D9015,K8740:K9015,"0",B8740:B9015,"5 1 3 9 8 12 31111 6 M59 96000 000132 0000R 00001 00398 015*")-SUMIFS(E8740:E9015,K8740:K9015,"0",B8740:B9015,"5 1 3 9 8 12 31111 6 M59 96000 000132 0000R 00001 00398 015*")</f>
        <v>0</v>
      </c>
      <c r="E8739"/>
      <c r="F8739" s="35">
        <f>SUMIFS(F8740:F9015,K8740:K9015,"0",B8740:B9015,"5 1 3 9 8 12 31111 6 M59 96000 000132 0000R 00001 00398 015*")</f>
        <v>5794.19</v>
      </c>
      <c r="G8739" s="35">
        <f>SUMIFS(G8740:G9015,K8740:K9015,"0",B8740:B9015,"5 1 3 9 8 12 31111 6 M59 96000 000132 0000R 00001 00398 015*")</f>
        <v>0</v>
      </c>
      <c r="H8739" s="35">
        <f t="shared" si="137"/>
        <v>5794.19</v>
      </c>
      <c r="I8739" s="35"/>
      <c r="K8739" t="s">
        <v>15</v>
      </c>
    </row>
    <row r="8740" spans="2:11" ht="33" x14ac:dyDescent="0.2">
      <c r="B8740" s="33" t="s">
        <v>9867</v>
      </c>
      <c r="C8740" s="33" t="s">
        <v>8550</v>
      </c>
      <c r="D8740" s="35">
        <f>SUMIFS(D8741:D9015,K8741:K9015,"0",B8741:B9015,"5 1 3 9 8 12 31111 6 M59 96000 000132 0000R 00001 00398 015 2111300*")-SUMIFS(E8741:E9015,K8741:K9015,"0",B8741:B9015,"5 1 3 9 8 12 31111 6 M59 96000 000132 0000R 00001 00398 015 2111300*")</f>
        <v>0</v>
      </c>
      <c r="E8740"/>
      <c r="F8740" s="35">
        <f>SUMIFS(F8741:F9015,K8741:K9015,"0",B8741:B9015,"5 1 3 9 8 12 31111 6 M59 96000 000132 0000R 00001 00398 015 2111300*")</f>
        <v>5794.19</v>
      </c>
      <c r="G8740" s="35">
        <f>SUMIFS(G8741:G9015,K8741:K9015,"0",B8741:B9015,"5 1 3 9 8 12 31111 6 M59 96000 000132 0000R 00001 00398 015 2111300*")</f>
        <v>0</v>
      </c>
      <c r="H8740" s="35">
        <f t="shared" si="137"/>
        <v>5794.19</v>
      </c>
      <c r="I8740" s="35"/>
      <c r="K8740" t="s">
        <v>15</v>
      </c>
    </row>
    <row r="8741" spans="2:11" ht="33" x14ac:dyDescent="0.2">
      <c r="B8741" s="33" t="s">
        <v>9868</v>
      </c>
      <c r="C8741" s="33" t="s">
        <v>660</v>
      </c>
      <c r="D8741" s="35">
        <f>SUMIFS(D8742:D9015,K8742:K9015,"0",B8742:B9015,"5 1 3 9 8 12 31111 6 M59 96000 000132 0000R 00001 00398 015 2111300 2024*")-SUMIFS(E8742:E9015,K8742:K9015,"0",B8742:B9015,"5 1 3 9 8 12 31111 6 M59 96000 000132 0000R 00001 00398 015 2111300 2024*")</f>
        <v>0</v>
      </c>
      <c r="E8741"/>
      <c r="F8741" s="35">
        <f>SUMIFS(F8742:F9015,K8742:K9015,"0",B8742:B9015,"5 1 3 9 8 12 31111 6 M59 96000 000132 0000R 00001 00398 015 2111300 2024*")</f>
        <v>5794.19</v>
      </c>
      <c r="G8741" s="35">
        <f>SUMIFS(G8742:G9015,K8742:K9015,"0",B8742:B9015,"5 1 3 9 8 12 31111 6 M59 96000 000132 0000R 00001 00398 015 2111300 2024*")</f>
        <v>0</v>
      </c>
      <c r="H8741" s="35">
        <f t="shared" si="137"/>
        <v>5794.19</v>
      </c>
      <c r="I8741" s="35"/>
      <c r="K8741" t="s">
        <v>15</v>
      </c>
    </row>
    <row r="8742" spans="2:11" ht="41.25" x14ac:dyDescent="0.2">
      <c r="B8742" s="33" t="s">
        <v>9869</v>
      </c>
      <c r="C8742" s="33" t="s">
        <v>662</v>
      </c>
      <c r="D8742" s="35">
        <f>SUMIFS(D8743:D9015,K8743:K9015,"0",B8743:B9015,"5 1 3 9 8 12 31111 6 M59 96000 000132 0000R 00001 00398 015 2111300 2024 CP1PA379*")-SUMIFS(E8743:E9015,K8743:K9015,"0",B8743:B9015,"5 1 3 9 8 12 31111 6 M59 96000 000132 0000R 00001 00398 015 2111300 2024 CP1PA379*")</f>
        <v>0</v>
      </c>
      <c r="E8742"/>
      <c r="F8742" s="35">
        <f>SUMIFS(F8743:F9015,K8743:K9015,"0",B8743:B9015,"5 1 3 9 8 12 31111 6 M59 96000 000132 0000R 00001 00398 015 2111300 2024 CP1PA379*")</f>
        <v>5794.19</v>
      </c>
      <c r="G8742" s="35">
        <f>SUMIFS(G8743:G9015,K8743:K9015,"0",B8743:B9015,"5 1 3 9 8 12 31111 6 M59 96000 000132 0000R 00001 00398 015 2111300 2024 CP1PA379*")</f>
        <v>0</v>
      </c>
      <c r="H8742" s="35">
        <f t="shared" si="137"/>
        <v>5794.19</v>
      </c>
      <c r="I8742" s="35"/>
      <c r="K8742" t="s">
        <v>15</v>
      </c>
    </row>
    <row r="8743" spans="2:11" ht="41.25" x14ac:dyDescent="0.2">
      <c r="B8743" s="33" t="s">
        <v>9870</v>
      </c>
      <c r="C8743" s="33" t="s">
        <v>282</v>
      </c>
      <c r="D8743" s="35">
        <f>SUMIFS(D8744:D9015,K8744:K9015,"0",B8744:B9015,"5 1 3 9 8 12 31111 6 M59 96000 000132 0000R 00001 00398 015 2111300 2024 CP1PA379 001*")-SUMIFS(E8744:E9015,K8744:K9015,"0",B8744:B9015,"5 1 3 9 8 12 31111 6 M59 96000 000132 0000R 00001 00398 015 2111300 2024 CP1PA379 001*")</f>
        <v>0</v>
      </c>
      <c r="E8743"/>
      <c r="F8743" s="35">
        <f>SUMIFS(F8744:F9015,K8744:K9015,"0",B8744:B9015,"5 1 3 9 8 12 31111 6 M59 96000 000132 0000R 00001 00398 015 2111300 2024 CP1PA379 001*")</f>
        <v>5794.19</v>
      </c>
      <c r="G8743" s="35">
        <f>SUMIFS(G8744:G9015,K8744:K9015,"0",B8744:B9015,"5 1 3 9 8 12 31111 6 M59 96000 000132 0000R 00001 00398 015 2111300 2024 CP1PA379 001*")</f>
        <v>0</v>
      </c>
      <c r="H8743" s="35">
        <f t="shared" si="137"/>
        <v>5794.19</v>
      </c>
      <c r="I8743" s="35"/>
      <c r="K8743" t="s">
        <v>15</v>
      </c>
    </row>
    <row r="8744" spans="2:11" ht="41.25" x14ac:dyDescent="0.2">
      <c r="B8744" s="31" t="s">
        <v>9871</v>
      </c>
      <c r="C8744" s="31" t="s">
        <v>9254</v>
      </c>
      <c r="D8744" s="34">
        <v>0</v>
      </c>
      <c r="E8744" s="34"/>
      <c r="F8744" s="34">
        <v>5794.19</v>
      </c>
      <c r="G8744" s="34">
        <v>0</v>
      </c>
      <c r="H8744" s="34">
        <f t="shared" si="137"/>
        <v>5794.19</v>
      </c>
      <c r="I8744" s="34"/>
      <c r="K8744" t="s">
        <v>38</v>
      </c>
    </row>
    <row r="8745" spans="2:11" ht="16.5" x14ac:dyDescent="0.2">
      <c r="B8745" s="33" t="s">
        <v>9872</v>
      </c>
      <c r="C8745" s="33" t="s">
        <v>3693</v>
      </c>
      <c r="D8745" s="35">
        <f>SUMIFS(D8746:D9015,K8746:K9015,"0",B8746:B9015,"5 1 3 9 8 12 31111 6 M59 96100*")-SUMIFS(E8746:E9015,K8746:K9015,"0",B8746:B9015,"5 1 3 9 8 12 31111 6 M59 96100*")</f>
        <v>0</v>
      </c>
      <c r="E8745"/>
      <c r="F8745" s="35">
        <f>SUMIFS(F8746:F9015,K8746:K9015,"0",B8746:B9015,"5 1 3 9 8 12 31111 6 M59 96100*")</f>
        <v>38984.129999999997</v>
      </c>
      <c r="G8745" s="35">
        <f>SUMIFS(G8746:G9015,K8746:K9015,"0",B8746:B9015,"5 1 3 9 8 12 31111 6 M59 96100*")</f>
        <v>0</v>
      </c>
      <c r="H8745" s="35">
        <f t="shared" si="137"/>
        <v>38984.129999999997</v>
      </c>
      <c r="I8745" s="35"/>
      <c r="K8745" t="s">
        <v>15</v>
      </c>
    </row>
    <row r="8746" spans="2:11" ht="16.5" x14ac:dyDescent="0.2">
      <c r="B8746" s="33" t="s">
        <v>9873</v>
      </c>
      <c r="C8746" s="33" t="s">
        <v>1310</v>
      </c>
      <c r="D8746" s="35">
        <f>SUMIFS(D8747:D9015,K8747:K9015,"0",B8747:B9015,"5 1 3 9 8 12 31111 6 M59 96100 000211*")-SUMIFS(E8747:E9015,K8747:K9015,"0",B8747:B9015,"5 1 3 9 8 12 31111 6 M59 96100 000211*")</f>
        <v>0</v>
      </c>
      <c r="E8746"/>
      <c r="F8746" s="35">
        <f>SUMIFS(F8747:F9015,K8747:K9015,"0",B8747:B9015,"5 1 3 9 8 12 31111 6 M59 96100 000211*")</f>
        <v>38984.129999999997</v>
      </c>
      <c r="G8746" s="35">
        <f>SUMIFS(G8747:G9015,K8747:K9015,"0",B8747:B9015,"5 1 3 9 8 12 31111 6 M59 96100 000211*")</f>
        <v>0</v>
      </c>
      <c r="H8746" s="35">
        <f t="shared" si="137"/>
        <v>38984.129999999997</v>
      </c>
      <c r="I8746" s="35"/>
      <c r="K8746" t="s">
        <v>15</v>
      </c>
    </row>
    <row r="8747" spans="2:11" ht="24.75" x14ac:dyDescent="0.2">
      <c r="B8747" s="33" t="s">
        <v>9874</v>
      </c>
      <c r="C8747" s="33" t="s">
        <v>3696</v>
      </c>
      <c r="D8747" s="35">
        <f>SUMIFS(D8748:D9015,K8748:K9015,"0",B8748:B9015,"5 1 3 9 8 12 31111 6 M59 96100 000211 0000U*")-SUMIFS(E8748:E9015,K8748:K9015,"0",B8748:B9015,"5 1 3 9 8 12 31111 6 M59 96100 000211 0000U*")</f>
        <v>0</v>
      </c>
      <c r="E8747"/>
      <c r="F8747" s="35">
        <f>SUMIFS(F8748:F9015,K8748:K9015,"0",B8748:B9015,"5 1 3 9 8 12 31111 6 M59 96100 000211 0000U*")</f>
        <v>38984.129999999997</v>
      </c>
      <c r="G8747" s="35">
        <f>SUMIFS(G8748:G9015,K8748:K9015,"0",B8748:B9015,"5 1 3 9 8 12 31111 6 M59 96100 000211 0000U*")</f>
        <v>0</v>
      </c>
      <c r="H8747" s="35">
        <f t="shared" si="137"/>
        <v>38984.129999999997</v>
      </c>
      <c r="I8747" s="35"/>
      <c r="K8747" t="s">
        <v>15</v>
      </c>
    </row>
    <row r="8748" spans="2:11" ht="24.75" x14ac:dyDescent="0.2">
      <c r="B8748" s="33" t="s">
        <v>9875</v>
      </c>
      <c r="C8748" s="33" t="s">
        <v>282</v>
      </c>
      <c r="D8748" s="35">
        <f>SUMIFS(D8749:D9015,K8749:K9015,"0",B8749:B9015,"5 1 3 9 8 12 31111 6 M59 96100 000211 0000U 00001*")-SUMIFS(E8749:E9015,K8749:K9015,"0",B8749:B9015,"5 1 3 9 8 12 31111 6 M59 96100 000211 0000U 00001*")</f>
        <v>0</v>
      </c>
      <c r="E8748"/>
      <c r="F8748" s="35">
        <f>SUMIFS(F8749:F9015,K8749:K9015,"0",B8749:B9015,"5 1 3 9 8 12 31111 6 M59 96100 000211 0000U 00001*")</f>
        <v>38984.129999999997</v>
      </c>
      <c r="G8748" s="35">
        <f>SUMIFS(G8749:G9015,K8749:K9015,"0",B8749:B9015,"5 1 3 9 8 12 31111 6 M59 96100 000211 0000U 00001*")</f>
        <v>0</v>
      </c>
      <c r="H8748" s="35">
        <f t="shared" si="137"/>
        <v>38984.129999999997</v>
      </c>
      <c r="I8748" s="35"/>
      <c r="K8748" t="s">
        <v>15</v>
      </c>
    </row>
    <row r="8749" spans="2:11" ht="24.75" x14ac:dyDescent="0.2">
      <c r="B8749" s="33" t="s">
        <v>9876</v>
      </c>
      <c r="C8749" s="33" t="s">
        <v>9247</v>
      </c>
      <c r="D8749" s="35">
        <f>SUMIFS(D8750:D9015,K8750:K9015,"0",B8750:B9015,"5 1 3 9 8 12 31111 6 M59 96100 000211 0000U 00001 00398*")-SUMIFS(E8750:E9015,K8750:K9015,"0",B8750:B9015,"5 1 3 9 8 12 31111 6 M59 96100 000211 0000U 00001 00398*")</f>
        <v>0</v>
      </c>
      <c r="E8749"/>
      <c r="F8749" s="35">
        <f>SUMIFS(F8750:F9015,K8750:K9015,"0",B8750:B9015,"5 1 3 9 8 12 31111 6 M59 96100 000211 0000U 00001 00398*")</f>
        <v>38984.129999999997</v>
      </c>
      <c r="G8749" s="35">
        <f>SUMIFS(G8750:G9015,K8750:K9015,"0",B8750:B9015,"5 1 3 9 8 12 31111 6 M59 96100 000211 0000U 00001 00398*")</f>
        <v>0</v>
      </c>
      <c r="H8749" s="35">
        <f t="shared" si="137"/>
        <v>38984.129999999997</v>
      </c>
      <c r="I8749" s="35"/>
      <c r="K8749" t="s">
        <v>15</v>
      </c>
    </row>
    <row r="8750" spans="2:11" ht="33" x14ac:dyDescent="0.2">
      <c r="B8750" s="33" t="s">
        <v>9877</v>
      </c>
      <c r="C8750" s="33" t="s">
        <v>1051</v>
      </c>
      <c r="D8750" s="35">
        <f>SUMIFS(D8751:D9015,K8751:K9015,"0",B8751:B9015,"5 1 3 9 8 12 31111 6 M59 96100 000211 0000U 00001 00398 015*")-SUMIFS(E8751:E9015,K8751:K9015,"0",B8751:B9015,"5 1 3 9 8 12 31111 6 M59 96100 000211 0000U 00001 00398 015*")</f>
        <v>0</v>
      </c>
      <c r="E8750"/>
      <c r="F8750" s="35">
        <f>SUMIFS(F8751:F9015,K8751:K9015,"0",B8751:B9015,"5 1 3 9 8 12 31111 6 M59 96100 000211 0000U 00001 00398 015*")</f>
        <v>38984.129999999997</v>
      </c>
      <c r="G8750" s="35">
        <f>SUMIFS(G8751:G9015,K8751:K9015,"0",B8751:B9015,"5 1 3 9 8 12 31111 6 M59 96100 000211 0000U 00001 00398 015*")</f>
        <v>0</v>
      </c>
      <c r="H8750" s="35">
        <f t="shared" si="137"/>
        <v>38984.129999999997</v>
      </c>
      <c r="I8750" s="35"/>
      <c r="K8750" t="s">
        <v>15</v>
      </c>
    </row>
    <row r="8751" spans="2:11" ht="33" x14ac:dyDescent="0.2">
      <c r="B8751" s="33" t="s">
        <v>9878</v>
      </c>
      <c r="C8751" s="33" t="s">
        <v>8550</v>
      </c>
      <c r="D8751" s="35">
        <f>SUMIFS(D8752:D9015,K8752:K9015,"0",B8752:B9015,"5 1 3 9 8 12 31111 6 M59 96100 000211 0000U 00001 00398 015 2111300*")-SUMIFS(E8752:E9015,K8752:K9015,"0",B8752:B9015,"5 1 3 9 8 12 31111 6 M59 96100 000211 0000U 00001 00398 015 2111300*")</f>
        <v>0</v>
      </c>
      <c r="E8751"/>
      <c r="F8751" s="35">
        <f>SUMIFS(F8752:F9015,K8752:K9015,"0",B8752:B9015,"5 1 3 9 8 12 31111 6 M59 96100 000211 0000U 00001 00398 015 2111300*")</f>
        <v>38984.129999999997</v>
      </c>
      <c r="G8751" s="35">
        <f>SUMIFS(G8752:G9015,K8752:K9015,"0",B8752:B9015,"5 1 3 9 8 12 31111 6 M59 96100 000211 0000U 00001 00398 015 2111300*")</f>
        <v>0</v>
      </c>
      <c r="H8751" s="35">
        <f t="shared" si="137"/>
        <v>38984.129999999997</v>
      </c>
      <c r="I8751" s="35"/>
      <c r="K8751" t="s">
        <v>15</v>
      </c>
    </row>
    <row r="8752" spans="2:11" ht="33" x14ac:dyDescent="0.2">
      <c r="B8752" s="33" t="s">
        <v>9879</v>
      </c>
      <c r="C8752" s="33" t="s">
        <v>660</v>
      </c>
      <c r="D8752" s="35">
        <f>SUMIFS(D8753:D9015,K8753:K9015,"0",B8753:B9015,"5 1 3 9 8 12 31111 6 M59 96100 000211 0000U 00001 00398 015 2111300 2024*")-SUMIFS(E8753:E9015,K8753:K9015,"0",B8753:B9015,"5 1 3 9 8 12 31111 6 M59 96100 000211 0000U 00001 00398 015 2111300 2024*")</f>
        <v>0</v>
      </c>
      <c r="E8752"/>
      <c r="F8752" s="35">
        <f>SUMIFS(F8753:F9015,K8753:K9015,"0",B8753:B9015,"5 1 3 9 8 12 31111 6 M59 96100 000211 0000U 00001 00398 015 2111300 2024*")</f>
        <v>38984.129999999997</v>
      </c>
      <c r="G8752" s="35">
        <f>SUMIFS(G8753:G9015,K8753:K9015,"0",B8753:B9015,"5 1 3 9 8 12 31111 6 M59 96100 000211 0000U 00001 00398 015 2111300 2024*")</f>
        <v>0</v>
      </c>
      <c r="H8752" s="35">
        <f t="shared" si="137"/>
        <v>38984.129999999997</v>
      </c>
      <c r="I8752" s="35"/>
      <c r="K8752" t="s">
        <v>15</v>
      </c>
    </row>
    <row r="8753" spans="2:11" ht="41.25" x14ac:dyDescent="0.2">
      <c r="B8753" s="33" t="s">
        <v>9880</v>
      </c>
      <c r="C8753" s="33" t="s">
        <v>1056</v>
      </c>
      <c r="D8753" s="35">
        <f>SUMIFS(D8754:D9015,K8754:K9015,"0",B8754:B9015,"5 1 3 9 8 12 31111 6 M59 96100 000211 0000U 00001 00398 015 2111300 2024 CP1IU412*")-SUMIFS(E8754:E9015,K8754:K9015,"0",B8754:B9015,"5 1 3 9 8 12 31111 6 M59 96100 000211 0000U 00001 00398 015 2111300 2024 CP1IU412*")</f>
        <v>0</v>
      </c>
      <c r="E8753"/>
      <c r="F8753" s="35">
        <f>SUMIFS(F8754:F9015,K8754:K9015,"0",B8754:B9015,"5 1 3 9 8 12 31111 6 M59 96100 000211 0000U 00001 00398 015 2111300 2024 CP1IU412*")</f>
        <v>38984.129999999997</v>
      </c>
      <c r="G8753" s="35">
        <f>SUMIFS(G8754:G9015,K8754:K9015,"0",B8754:B9015,"5 1 3 9 8 12 31111 6 M59 96100 000211 0000U 00001 00398 015 2111300 2024 CP1IU412*")</f>
        <v>0</v>
      </c>
      <c r="H8753" s="35">
        <f t="shared" si="137"/>
        <v>38984.129999999997</v>
      </c>
      <c r="I8753" s="35"/>
      <c r="K8753" t="s">
        <v>15</v>
      </c>
    </row>
    <row r="8754" spans="2:11" ht="41.25" x14ac:dyDescent="0.2">
      <c r="B8754" s="33" t="s">
        <v>9881</v>
      </c>
      <c r="C8754" s="33" t="s">
        <v>282</v>
      </c>
      <c r="D8754" s="35">
        <f>SUMIFS(D8755:D9015,K8755:K9015,"0",B8755:B9015,"5 1 3 9 8 12 31111 6 M59 96100 000211 0000U 00001 00398 015 2111300 2024 CP1IU412 001*")-SUMIFS(E8755:E9015,K8755:K9015,"0",B8755:B9015,"5 1 3 9 8 12 31111 6 M59 96100 000211 0000U 00001 00398 015 2111300 2024 CP1IU412 001*")</f>
        <v>0</v>
      </c>
      <c r="E8754"/>
      <c r="F8754" s="35">
        <f>SUMIFS(F8755:F9015,K8755:K9015,"0",B8755:B9015,"5 1 3 9 8 12 31111 6 M59 96100 000211 0000U 00001 00398 015 2111300 2024 CP1IU412 001*")</f>
        <v>38984.129999999997</v>
      </c>
      <c r="G8754" s="35">
        <f>SUMIFS(G8755:G9015,K8755:K9015,"0",B8755:B9015,"5 1 3 9 8 12 31111 6 M59 96100 000211 0000U 00001 00398 015 2111300 2024 CP1IU412 001*")</f>
        <v>0</v>
      </c>
      <c r="H8754" s="35">
        <f t="shared" si="137"/>
        <v>38984.129999999997</v>
      </c>
      <c r="I8754" s="35"/>
      <c r="K8754" t="s">
        <v>15</v>
      </c>
    </row>
    <row r="8755" spans="2:11" ht="33" x14ac:dyDescent="0.2">
      <c r="B8755" s="31" t="s">
        <v>9882</v>
      </c>
      <c r="C8755" s="31" t="s">
        <v>9254</v>
      </c>
      <c r="D8755" s="34">
        <v>0</v>
      </c>
      <c r="E8755" s="34"/>
      <c r="F8755" s="34">
        <v>38984.129999999997</v>
      </c>
      <c r="G8755" s="34">
        <v>0</v>
      </c>
      <c r="H8755" s="34">
        <f t="shared" si="137"/>
        <v>38984.129999999997</v>
      </c>
      <c r="I8755" s="34"/>
      <c r="K8755" t="s">
        <v>38</v>
      </c>
    </row>
    <row r="8756" spans="2:11" ht="16.5" x14ac:dyDescent="0.2">
      <c r="B8756" s="33" t="s">
        <v>9883</v>
      </c>
      <c r="C8756" s="33" t="s">
        <v>3706</v>
      </c>
      <c r="D8756" s="35">
        <f>SUMIFS(D8757:D9015,K8757:K9015,"0",B8757:B9015,"5 1 3 9 8 12 31111 6 M59 96200*")-SUMIFS(E8757:E9015,K8757:K9015,"0",B8757:B9015,"5 1 3 9 8 12 31111 6 M59 96200*")</f>
        <v>0</v>
      </c>
      <c r="E8756"/>
      <c r="F8756" s="35">
        <f>SUMIFS(F8757:F9015,K8757:K9015,"0",B8757:B9015,"5 1 3 9 8 12 31111 6 M59 96200*")</f>
        <v>19784.62</v>
      </c>
      <c r="G8756" s="35">
        <f>SUMIFS(G8757:G9015,K8757:K9015,"0",B8757:B9015,"5 1 3 9 8 12 31111 6 M59 96200*")</f>
        <v>0</v>
      </c>
      <c r="H8756" s="35">
        <f t="shared" si="137"/>
        <v>19784.62</v>
      </c>
      <c r="I8756" s="35"/>
      <c r="K8756" t="s">
        <v>15</v>
      </c>
    </row>
    <row r="8757" spans="2:11" ht="16.5" x14ac:dyDescent="0.2">
      <c r="B8757" s="33" t="s">
        <v>9884</v>
      </c>
      <c r="C8757" s="33" t="s">
        <v>648</v>
      </c>
      <c r="D8757" s="35">
        <f>SUMIFS(D8758:D9015,K8758:K9015,"0",B8758:B9015,"5 1 3 9 8 12 31111 6 M59 96200 000132*")-SUMIFS(E8758:E9015,K8758:K9015,"0",B8758:B9015,"5 1 3 9 8 12 31111 6 M59 96200 000132*")</f>
        <v>0</v>
      </c>
      <c r="E8757"/>
      <c r="F8757" s="35">
        <f>SUMIFS(F8758:F9015,K8758:K9015,"0",B8758:B9015,"5 1 3 9 8 12 31111 6 M59 96200 000132*")</f>
        <v>19784.62</v>
      </c>
      <c r="G8757" s="35">
        <f>SUMIFS(G8758:G9015,K8758:K9015,"0",B8758:B9015,"5 1 3 9 8 12 31111 6 M59 96200 000132*")</f>
        <v>0</v>
      </c>
      <c r="H8757" s="35">
        <f t="shared" si="137"/>
        <v>19784.62</v>
      </c>
      <c r="I8757" s="35"/>
      <c r="K8757" t="s">
        <v>15</v>
      </c>
    </row>
    <row r="8758" spans="2:11" ht="24.75" x14ac:dyDescent="0.2">
      <c r="B8758" s="33" t="s">
        <v>9885</v>
      </c>
      <c r="C8758" s="33" t="s">
        <v>650</v>
      </c>
      <c r="D8758" s="35">
        <f>SUMIFS(D8759:D9015,K8759:K9015,"0",B8759:B9015,"5 1 3 9 8 12 31111 6 M59 96200 000132 0000R*")-SUMIFS(E8759:E9015,K8759:K9015,"0",B8759:B9015,"5 1 3 9 8 12 31111 6 M59 96200 000132 0000R*")</f>
        <v>0</v>
      </c>
      <c r="E8758"/>
      <c r="F8758" s="35">
        <f>SUMIFS(F8759:F9015,K8759:K9015,"0",B8759:B9015,"5 1 3 9 8 12 31111 6 M59 96200 000132 0000R*")</f>
        <v>19784.62</v>
      </c>
      <c r="G8758" s="35">
        <f>SUMIFS(G8759:G9015,K8759:K9015,"0",B8759:B9015,"5 1 3 9 8 12 31111 6 M59 96200 000132 0000R*")</f>
        <v>0</v>
      </c>
      <c r="H8758" s="35">
        <f t="shared" si="137"/>
        <v>19784.62</v>
      </c>
      <c r="I8758" s="35"/>
      <c r="K8758" t="s">
        <v>15</v>
      </c>
    </row>
    <row r="8759" spans="2:11" ht="24.75" x14ac:dyDescent="0.2">
      <c r="B8759" s="33" t="s">
        <v>9886</v>
      </c>
      <c r="C8759" s="33" t="s">
        <v>282</v>
      </c>
      <c r="D8759" s="35">
        <f>SUMIFS(D8760:D9015,K8760:K9015,"0",B8760:B9015,"5 1 3 9 8 12 31111 6 M59 96200 000132 0000R 00001*")-SUMIFS(E8760:E9015,K8760:K9015,"0",B8760:B9015,"5 1 3 9 8 12 31111 6 M59 96200 000132 0000R 00001*")</f>
        <v>0</v>
      </c>
      <c r="E8759"/>
      <c r="F8759" s="35">
        <f>SUMIFS(F8760:F9015,K8760:K9015,"0",B8760:B9015,"5 1 3 9 8 12 31111 6 M59 96200 000132 0000R 00001*")</f>
        <v>19784.62</v>
      </c>
      <c r="G8759" s="35">
        <f>SUMIFS(G8760:G9015,K8760:K9015,"0",B8760:B9015,"5 1 3 9 8 12 31111 6 M59 96200 000132 0000R 00001*")</f>
        <v>0</v>
      </c>
      <c r="H8759" s="35">
        <f t="shared" si="137"/>
        <v>19784.62</v>
      </c>
      <c r="I8759" s="35"/>
      <c r="K8759" t="s">
        <v>15</v>
      </c>
    </row>
    <row r="8760" spans="2:11" ht="24.75" x14ac:dyDescent="0.2">
      <c r="B8760" s="33" t="s">
        <v>9887</v>
      </c>
      <c r="C8760" s="33" t="s">
        <v>9247</v>
      </c>
      <c r="D8760" s="35">
        <f>SUMIFS(D8761:D9015,K8761:K9015,"0",B8761:B9015,"5 1 3 9 8 12 31111 6 M59 96200 000132 0000R 00001 00398*")-SUMIFS(E8761:E9015,K8761:K9015,"0",B8761:B9015,"5 1 3 9 8 12 31111 6 M59 96200 000132 0000R 00001 00398*")</f>
        <v>0</v>
      </c>
      <c r="E8760"/>
      <c r="F8760" s="35">
        <f>SUMIFS(F8761:F9015,K8761:K9015,"0",B8761:B9015,"5 1 3 9 8 12 31111 6 M59 96200 000132 0000R 00001 00398*")</f>
        <v>19784.62</v>
      </c>
      <c r="G8760" s="35">
        <f>SUMIFS(G8761:G9015,K8761:K9015,"0",B8761:B9015,"5 1 3 9 8 12 31111 6 M59 96200 000132 0000R 00001 00398*")</f>
        <v>0</v>
      </c>
      <c r="H8760" s="35">
        <f t="shared" si="137"/>
        <v>19784.62</v>
      </c>
      <c r="I8760" s="35"/>
      <c r="K8760" t="s">
        <v>15</v>
      </c>
    </row>
    <row r="8761" spans="2:11" ht="33" x14ac:dyDescent="0.2">
      <c r="B8761" s="33" t="s">
        <v>9888</v>
      </c>
      <c r="C8761" s="33" t="s">
        <v>1051</v>
      </c>
      <c r="D8761" s="35">
        <f>SUMIFS(D8762:D9015,K8762:K9015,"0",B8762:B9015,"5 1 3 9 8 12 31111 6 M59 96200 000132 0000R 00001 00398 015*")-SUMIFS(E8762:E9015,K8762:K9015,"0",B8762:B9015,"5 1 3 9 8 12 31111 6 M59 96200 000132 0000R 00001 00398 015*")</f>
        <v>0</v>
      </c>
      <c r="E8761"/>
      <c r="F8761" s="35">
        <f>SUMIFS(F8762:F9015,K8762:K9015,"0",B8762:B9015,"5 1 3 9 8 12 31111 6 M59 96200 000132 0000R 00001 00398 015*")</f>
        <v>19784.62</v>
      </c>
      <c r="G8761" s="35">
        <f>SUMIFS(G8762:G9015,K8762:K9015,"0",B8762:B9015,"5 1 3 9 8 12 31111 6 M59 96200 000132 0000R 00001 00398 015*")</f>
        <v>0</v>
      </c>
      <c r="H8761" s="35">
        <f t="shared" si="137"/>
        <v>19784.62</v>
      </c>
      <c r="I8761" s="35"/>
      <c r="K8761" t="s">
        <v>15</v>
      </c>
    </row>
    <row r="8762" spans="2:11" ht="33" x14ac:dyDescent="0.2">
      <c r="B8762" s="33" t="s">
        <v>9889</v>
      </c>
      <c r="C8762" s="33" t="s">
        <v>8550</v>
      </c>
      <c r="D8762" s="35">
        <f>SUMIFS(D8763:D9015,K8763:K9015,"0",B8763:B9015,"5 1 3 9 8 12 31111 6 M59 96200 000132 0000R 00001 00398 015 2111300*")-SUMIFS(E8763:E9015,K8763:K9015,"0",B8763:B9015,"5 1 3 9 8 12 31111 6 M59 96200 000132 0000R 00001 00398 015 2111300*")</f>
        <v>0</v>
      </c>
      <c r="E8762"/>
      <c r="F8762" s="35">
        <f>SUMIFS(F8763:F9015,K8763:K9015,"0",B8763:B9015,"5 1 3 9 8 12 31111 6 M59 96200 000132 0000R 00001 00398 015 2111300*")</f>
        <v>19784.62</v>
      </c>
      <c r="G8762" s="35">
        <f>SUMIFS(G8763:G9015,K8763:K9015,"0",B8763:B9015,"5 1 3 9 8 12 31111 6 M59 96200 000132 0000R 00001 00398 015 2111300*")</f>
        <v>0</v>
      </c>
      <c r="H8762" s="35">
        <f t="shared" si="137"/>
        <v>19784.62</v>
      </c>
      <c r="I8762" s="35"/>
      <c r="K8762" t="s">
        <v>15</v>
      </c>
    </row>
    <row r="8763" spans="2:11" ht="33" x14ac:dyDescent="0.2">
      <c r="B8763" s="33" t="s">
        <v>9890</v>
      </c>
      <c r="C8763" s="33" t="s">
        <v>660</v>
      </c>
      <c r="D8763" s="35">
        <f>SUMIFS(D8764:D9015,K8764:K9015,"0",B8764:B9015,"5 1 3 9 8 12 31111 6 M59 96200 000132 0000R 00001 00398 015 2111300 2024*")-SUMIFS(E8764:E9015,K8764:K9015,"0",B8764:B9015,"5 1 3 9 8 12 31111 6 M59 96200 000132 0000R 00001 00398 015 2111300 2024*")</f>
        <v>0</v>
      </c>
      <c r="E8763"/>
      <c r="F8763" s="35">
        <f>SUMIFS(F8764:F9015,K8764:K9015,"0",B8764:B9015,"5 1 3 9 8 12 31111 6 M59 96200 000132 0000R 00001 00398 015 2111300 2024*")</f>
        <v>19784.62</v>
      </c>
      <c r="G8763" s="35">
        <f>SUMIFS(G8764:G9015,K8764:K9015,"0",B8764:B9015,"5 1 3 9 8 12 31111 6 M59 96200 000132 0000R 00001 00398 015 2111300 2024*")</f>
        <v>0</v>
      </c>
      <c r="H8763" s="35">
        <f t="shared" si="137"/>
        <v>19784.62</v>
      </c>
      <c r="I8763" s="35"/>
      <c r="K8763" t="s">
        <v>15</v>
      </c>
    </row>
    <row r="8764" spans="2:11" ht="41.25" x14ac:dyDescent="0.2">
      <c r="B8764" s="33" t="s">
        <v>9891</v>
      </c>
      <c r="C8764" s="33" t="s">
        <v>662</v>
      </c>
      <c r="D8764" s="35">
        <f>SUMIFS(D8765:D9015,K8765:K9015,"0",B8765:B9015,"5 1 3 9 8 12 31111 6 M59 96200 000132 0000R 00001 00398 015 2111300 2024 CP1AL423*")-SUMIFS(E8765:E9015,K8765:K9015,"0",B8765:B9015,"5 1 3 9 8 12 31111 6 M59 96200 000132 0000R 00001 00398 015 2111300 2024 CP1AL423*")</f>
        <v>0</v>
      </c>
      <c r="E8764"/>
      <c r="F8764" s="35">
        <f>SUMIFS(F8765:F9015,K8765:K9015,"0",B8765:B9015,"5 1 3 9 8 12 31111 6 M59 96200 000132 0000R 00001 00398 015 2111300 2024 CP1AL423*")</f>
        <v>19784.62</v>
      </c>
      <c r="G8764" s="35">
        <f>SUMIFS(G8765:G9015,K8765:K9015,"0",B8765:B9015,"5 1 3 9 8 12 31111 6 M59 96200 000132 0000R 00001 00398 015 2111300 2024 CP1AL423*")</f>
        <v>0</v>
      </c>
      <c r="H8764" s="35">
        <f t="shared" si="137"/>
        <v>19784.62</v>
      </c>
      <c r="I8764" s="35"/>
      <c r="K8764" t="s">
        <v>15</v>
      </c>
    </row>
    <row r="8765" spans="2:11" ht="41.25" x14ac:dyDescent="0.2">
      <c r="B8765" s="33" t="s">
        <v>9892</v>
      </c>
      <c r="C8765" s="33" t="s">
        <v>282</v>
      </c>
      <c r="D8765" s="35">
        <f>SUMIFS(D8766:D9015,K8766:K9015,"0",B8766:B9015,"5 1 3 9 8 12 31111 6 M59 96200 000132 0000R 00001 00398 015 2111300 2024 CP1AL423 001*")-SUMIFS(E8766:E9015,K8766:K9015,"0",B8766:B9015,"5 1 3 9 8 12 31111 6 M59 96200 000132 0000R 00001 00398 015 2111300 2024 CP1AL423 001*")</f>
        <v>0</v>
      </c>
      <c r="E8765"/>
      <c r="F8765" s="35">
        <f>SUMIFS(F8766:F9015,K8766:K9015,"0",B8766:B9015,"5 1 3 9 8 12 31111 6 M59 96200 000132 0000R 00001 00398 015 2111300 2024 CP1AL423 001*")</f>
        <v>19784.62</v>
      </c>
      <c r="G8765" s="35">
        <f>SUMIFS(G8766:G9015,K8766:K9015,"0",B8766:B9015,"5 1 3 9 8 12 31111 6 M59 96200 000132 0000R 00001 00398 015 2111300 2024 CP1AL423 001*")</f>
        <v>0</v>
      </c>
      <c r="H8765" s="35">
        <f t="shared" si="137"/>
        <v>19784.62</v>
      </c>
      <c r="I8765" s="35"/>
      <c r="K8765" t="s">
        <v>15</v>
      </c>
    </row>
    <row r="8766" spans="2:11" ht="41.25" x14ac:dyDescent="0.2">
      <c r="B8766" s="31" t="s">
        <v>9893</v>
      </c>
      <c r="C8766" s="31" t="s">
        <v>9254</v>
      </c>
      <c r="D8766" s="34">
        <v>0</v>
      </c>
      <c r="E8766" s="34"/>
      <c r="F8766" s="34">
        <v>19784.62</v>
      </c>
      <c r="G8766" s="34">
        <v>0</v>
      </c>
      <c r="H8766" s="34">
        <f t="shared" si="137"/>
        <v>19784.62</v>
      </c>
      <c r="I8766" s="34"/>
      <c r="K8766" t="s">
        <v>38</v>
      </c>
    </row>
    <row r="8767" spans="2:11" ht="16.5" x14ac:dyDescent="0.2">
      <c r="B8767" s="33" t="s">
        <v>9894</v>
      </c>
      <c r="C8767" s="33" t="s">
        <v>1308</v>
      </c>
      <c r="D8767" s="35">
        <f>SUMIFS(D8768:D9015,K8768:K9015,"0",B8768:B9015,"5 1 3 9 8 12 31111 6 M59 96300*")-SUMIFS(E8768:E9015,K8768:K9015,"0",B8768:B9015,"5 1 3 9 8 12 31111 6 M59 96300*")</f>
        <v>0</v>
      </c>
      <c r="E8767"/>
      <c r="F8767" s="35">
        <f>SUMIFS(F8768:F9015,K8768:K9015,"0",B8768:B9015,"5 1 3 9 8 12 31111 6 M59 96300*")</f>
        <v>213320.14</v>
      </c>
      <c r="G8767" s="35">
        <f>SUMIFS(G8768:G9015,K8768:K9015,"0",B8768:B9015,"5 1 3 9 8 12 31111 6 M59 96300*")</f>
        <v>0</v>
      </c>
      <c r="H8767" s="35">
        <f t="shared" si="137"/>
        <v>213320.14</v>
      </c>
      <c r="I8767" s="35"/>
      <c r="K8767" t="s">
        <v>15</v>
      </c>
    </row>
    <row r="8768" spans="2:11" ht="16.5" x14ac:dyDescent="0.2">
      <c r="B8768" s="33" t="s">
        <v>9895</v>
      </c>
      <c r="C8768" s="33" t="s">
        <v>1310</v>
      </c>
      <c r="D8768" s="35">
        <f>SUMIFS(D8769:D9015,K8769:K9015,"0",B8769:B9015,"5 1 3 9 8 12 31111 6 M59 96300 000211*")-SUMIFS(E8769:E9015,K8769:K9015,"0",B8769:B9015,"5 1 3 9 8 12 31111 6 M59 96300 000211*")</f>
        <v>0</v>
      </c>
      <c r="E8768"/>
      <c r="F8768" s="35">
        <f>SUMIFS(F8769:F9015,K8769:K9015,"0",B8769:B9015,"5 1 3 9 8 12 31111 6 M59 96300 000211*")</f>
        <v>213320.14</v>
      </c>
      <c r="G8768" s="35">
        <f>SUMIFS(G8769:G9015,K8769:K9015,"0",B8769:B9015,"5 1 3 9 8 12 31111 6 M59 96300 000211*")</f>
        <v>0</v>
      </c>
      <c r="H8768" s="35">
        <f t="shared" si="137"/>
        <v>213320.14</v>
      </c>
      <c r="I8768" s="35"/>
      <c r="K8768" t="s">
        <v>15</v>
      </c>
    </row>
    <row r="8769" spans="2:11" ht="24.75" x14ac:dyDescent="0.2">
      <c r="B8769" s="33" t="s">
        <v>9896</v>
      </c>
      <c r="C8769" s="33" t="s">
        <v>1065</v>
      </c>
      <c r="D8769" s="35">
        <f>SUMIFS(D8770:D9015,K8770:K9015,"0",B8770:B9015,"5 1 3 9 8 12 31111 6 M59 96300 000211 0000E*")-SUMIFS(E8770:E9015,K8770:K9015,"0",B8770:B9015,"5 1 3 9 8 12 31111 6 M59 96300 000211 0000E*")</f>
        <v>0</v>
      </c>
      <c r="E8769"/>
      <c r="F8769" s="35">
        <f>SUMIFS(F8770:F9015,K8770:K9015,"0",B8770:B9015,"5 1 3 9 8 12 31111 6 M59 96300 000211 0000E*")</f>
        <v>213320.14</v>
      </c>
      <c r="G8769" s="35">
        <f>SUMIFS(G8770:G9015,K8770:K9015,"0",B8770:B9015,"5 1 3 9 8 12 31111 6 M59 96300 000211 0000E*")</f>
        <v>0</v>
      </c>
      <c r="H8769" s="35">
        <f t="shared" si="137"/>
        <v>213320.14</v>
      </c>
      <c r="I8769" s="35"/>
      <c r="K8769" t="s">
        <v>15</v>
      </c>
    </row>
    <row r="8770" spans="2:11" ht="24.75" x14ac:dyDescent="0.2">
      <c r="B8770" s="33" t="s">
        <v>9897</v>
      </c>
      <c r="C8770" s="33" t="s">
        <v>282</v>
      </c>
      <c r="D8770" s="35">
        <f>SUMIFS(D8771:D9015,K8771:K9015,"0",B8771:B9015,"5 1 3 9 8 12 31111 6 M59 96300 000211 0000E 00001*")-SUMIFS(E8771:E9015,K8771:K9015,"0",B8771:B9015,"5 1 3 9 8 12 31111 6 M59 96300 000211 0000E 00001*")</f>
        <v>0</v>
      </c>
      <c r="E8770"/>
      <c r="F8770" s="35">
        <f>SUMIFS(F8771:F9015,K8771:K9015,"0",B8771:B9015,"5 1 3 9 8 12 31111 6 M59 96300 000211 0000E 00001*")</f>
        <v>213320.14</v>
      </c>
      <c r="G8770" s="35">
        <f>SUMIFS(G8771:G9015,K8771:K9015,"0",B8771:B9015,"5 1 3 9 8 12 31111 6 M59 96300 000211 0000E 00001*")</f>
        <v>0</v>
      </c>
      <c r="H8770" s="35">
        <f t="shared" si="137"/>
        <v>213320.14</v>
      </c>
      <c r="I8770" s="35"/>
      <c r="K8770" t="s">
        <v>15</v>
      </c>
    </row>
    <row r="8771" spans="2:11" ht="24.75" x14ac:dyDescent="0.2">
      <c r="B8771" s="33" t="s">
        <v>9898</v>
      </c>
      <c r="C8771" s="33" t="s">
        <v>9247</v>
      </c>
      <c r="D8771" s="35">
        <f>SUMIFS(D8772:D9015,K8772:K9015,"0",B8772:B9015,"5 1 3 9 8 12 31111 6 M59 96300 000211 0000E 00001 00398*")-SUMIFS(E8772:E9015,K8772:K9015,"0",B8772:B9015,"5 1 3 9 8 12 31111 6 M59 96300 000211 0000E 00001 00398*")</f>
        <v>0</v>
      </c>
      <c r="E8771"/>
      <c r="F8771" s="35">
        <f>SUMIFS(F8772:F9015,K8772:K9015,"0",B8772:B9015,"5 1 3 9 8 12 31111 6 M59 96300 000211 0000E 00001 00398*")</f>
        <v>213320.14</v>
      </c>
      <c r="G8771" s="35">
        <f>SUMIFS(G8772:G9015,K8772:K9015,"0",B8772:B9015,"5 1 3 9 8 12 31111 6 M59 96300 000211 0000E 00001 00398*")</f>
        <v>0</v>
      </c>
      <c r="H8771" s="35">
        <f t="shared" si="137"/>
        <v>213320.14</v>
      </c>
      <c r="I8771" s="35"/>
      <c r="K8771" t="s">
        <v>15</v>
      </c>
    </row>
    <row r="8772" spans="2:11" ht="33" x14ac:dyDescent="0.2">
      <c r="B8772" s="33" t="s">
        <v>9899</v>
      </c>
      <c r="C8772" s="33" t="s">
        <v>1051</v>
      </c>
      <c r="D8772" s="35">
        <f>SUMIFS(D8773:D9015,K8773:K9015,"0",B8773:B9015,"5 1 3 9 8 12 31111 6 M59 96300 000211 0000E 00001 00398 015*")-SUMIFS(E8773:E9015,K8773:K9015,"0",B8773:B9015,"5 1 3 9 8 12 31111 6 M59 96300 000211 0000E 00001 00398 015*")</f>
        <v>0</v>
      </c>
      <c r="E8772"/>
      <c r="F8772" s="35">
        <f>SUMIFS(F8773:F9015,K8773:K9015,"0",B8773:B9015,"5 1 3 9 8 12 31111 6 M59 96300 000211 0000E 00001 00398 015*")</f>
        <v>213320.14</v>
      </c>
      <c r="G8772" s="35">
        <f>SUMIFS(G8773:G9015,K8773:K9015,"0",B8773:B9015,"5 1 3 9 8 12 31111 6 M59 96300 000211 0000E 00001 00398 015*")</f>
        <v>0</v>
      </c>
      <c r="H8772" s="35">
        <f t="shared" ref="H8772:H8835" si="138">D8772 + F8772 - G8772</f>
        <v>213320.14</v>
      </c>
      <c r="I8772" s="35"/>
      <c r="K8772" t="s">
        <v>15</v>
      </c>
    </row>
    <row r="8773" spans="2:11" ht="33" x14ac:dyDescent="0.2">
      <c r="B8773" s="33" t="s">
        <v>9900</v>
      </c>
      <c r="C8773" s="33" t="s">
        <v>8550</v>
      </c>
      <c r="D8773" s="35">
        <f>SUMIFS(D8774:D9015,K8774:K9015,"0",B8774:B9015,"5 1 3 9 8 12 31111 6 M59 96300 000211 0000E 00001 00398 015 2111300*")-SUMIFS(E8774:E9015,K8774:K9015,"0",B8774:B9015,"5 1 3 9 8 12 31111 6 M59 96300 000211 0000E 00001 00398 015 2111300*")</f>
        <v>0</v>
      </c>
      <c r="E8773"/>
      <c r="F8773" s="35">
        <f>SUMIFS(F8774:F9015,K8774:K9015,"0",B8774:B9015,"5 1 3 9 8 12 31111 6 M59 96300 000211 0000E 00001 00398 015 2111300*")</f>
        <v>213320.14</v>
      </c>
      <c r="G8773" s="35">
        <f>SUMIFS(G8774:G9015,K8774:K9015,"0",B8774:B9015,"5 1 3 9 8 12 31111 6 M59 96300 000211 0000E 00001 00398 015 2111300*")</f>
        <v>0</v>
      </c>
      <c r="H8773" s="35">
        <f t="shared" si="138"/>
        <v>213320.14</v>
      </c>
      <c r="I8773" s="35"/>
      <c r="K8773" t="s">
        <v>15</v>
      </c>
    </row>
    <row r="8774" spans="2:11" ht="33" x14ac:dyDescent="0.2">
      <c r="B8774" s="33" t="s">
        <v>9901</v>
      </c>
      <c r="C8774" s="33" t="s">
        <v>660</v>
      </c>
      <c r="D8774" s="35">
        <f>SUMIFS(D8775:D9015,K8775:K9015,"0",B8775:B9015,"5 1 3 9 8 12 31111 6 M59 96300 000211 0000E 00001 00398 015 2111300 2024*")-SUMIFS(E8775:E9015,K8775:K9015,"0",B8775:B9015,"5 1 3 9 8 12 31111 6 M59 96300 000211 0000E 00001 00398 015 2111300 2024*")</f>
        <v>0</v>
      </c>
      <c r="E8774"/>
      <c r="F8774" s="35">
        <f>SUMIFS(F8775:F9015,K8775:K9015,"0",B8775:B9015,"5 1 3 9 8 12 31111 6 M59 96300 000211 0000E 00001 00398 015 2111300 2024*")</f>
        <v>213320.14</v>
      </c>
      <c r="G8774" s="35">
        <f>SUMIFS(G8775:G9015,K8775:K9015,"0",B8775:B9015,"5 1 3 9 8 12 31111 6 M59 96300 000211 0000E 00001 00398 015 2111300 2024*")</f>
        <v>0</v>
      </c>
      <c r="H8774" s="35">
        <f t="shared" si="138"/>
        <v>213320.14</v>
      </c>
      <c r="I8774" s="35"/>
      <c r="K8774" t="s">
        <v>15</v>
      </c>
    </row>
    <row r="8775" spans="2:11" ht="41.25" x14ac:dyDescent="0.2">
      <c r="B8775" s="33" t="s">
        <v>9902</v>
      </c>
      <c r="C8775" s="33" t="s">
        <v>1056</v>
      </c>
      <c r="D8775" s="35">
        <f>SUMIFS(D8776:D9015,K8776:K9015,"0",B8776:B9015,"5 1 3 9 8 12 31111 6 M59 96300 000211 0000E 00001 00398 015 2111300 2024 CP1SB396*")-SUMIFS(E8776:E9015,K8776:K9015,"0",B8776:B9015,"5 1 3 9 8 12 31111 6 M59 96300 000211 0000E 00001 00398 015 2111300 2024 CP1SB396*")</f>
        <v>0</v>
      </c>
      <c r="E8775"/>
      <c r="F8775" s="35">
        <f>SUMIFS(F8776:F9015,K8776:K9015,"0",B8776:B9015,"5 1 3 9 8 12 31111 6 M59 96300 000211 0000E 00001 00398 015 2111300 2024 CP1SB396*")</f>
        <v>213320.14</v>
      </c>
      <c r="G8775" s="35">
        <f>SUMIFS(G8776:G9015,K8776:K9015,"0",B8776:B9015,"5 1 3 9 8 12 31111 6 M59 96300 000211 0000E 00001 00398 015 2111300 2024 CP1SB396*")</f>
        <v>0</v>
      </c>
      <c r="H8775" s="35">
        <f t="shared" si="138"/>
        <v>213320.14</v>
      </c>
      <c r="I8775" s="35"/>
      <c r="K8775" t="s">
        <v>15</v>
      </c>
    </row>
    <row r="8776" spans="2:11" ht="41.25" x14ac:dyDescent="0.2">
      <c r="B8776" s="33" t="s">
        <v>9903</v>
      </c>
      <c r="C8776" s="33" t="s">
        <v>282</v>
      </c>
      <c r="D8776" s="35">
        <f>SUMIFS(D8777:D9015,K8777:K9015,"0",B8777:B9015,"5 1 3 9 8 12 31111 6 M59 96300 000211 0000E 00001 00398 015 2111300 2024 CP1SB396 001*")-SUMIFS(E8777:E9015,K8777:K9015,"0",B8777:B9015,"5 1 3 9 8 12 31111 6 M59 96300 000211 0000E 00001 00398 015 2111300 2024 CP1SB396 001*")</f>
        <v>0</v>
      </c>
      <c r="E8776"/>
      <c r="F8776" s="35">
        <f>SUMIFS(F8777:F9015,K8777:K9015,"0",B8777:B9015,"5 1 3 9 8 12 31111 6 M59 96300 000211 0000E 00001 00398 015 2111300 2024 CP1SB396 001*")</f>
        <v>213320.14</v>
      </c>
      <c r="G8776" s="35">
        <f>SUMIFS(G8777:G9015,K8777:K9015,"0",B8777:B9015,"5 1 3 9 8 12 31111 6 M59 96300 000211 0000E 00001 00398 015 2111300 2024 CP1SB396 001*")</f>
        <v>0</v>
      </c>
      <c r="H8776" s="35">
        <f t="shared" si="138"/>
        <v>213320.14</v>
      </c>
      <c r="I8776" s="35"/>
      <c r="K8776" t="s">
        <v>15</v>
      </c>
    </row>
    <row r="8777" spans="2:11" ht="33" x14ac:dyDescent="0.2">
      <c r="B8777" s="31" t="s">
        <v>9904</v>
      </c>
      <c r="C8777" s="31" t="s">
        <v>9254</v>
      </c>
      <c r="D8777" s="34">
        <v>0</v>
      </c>
      <c r="E8777" s="34"/>
      <c r="F8777" s="34">
        <v>213320.14</v>
      </c>
      <c r="G8777" s="34">
        <v>0</v>
      </c>
      <c r="H8777" s="34">
        <f t="shared" si="138"/>
        <v>213320.14</v>
      </c>
      <c r="I8777" s="34"/>
      <c r="K8777" t="s">
        <v>38</v>
      </c>
    </row>
    <row r="8778" spans="2:11" ht="16.5" x14ac:dyDescent="0.2">
      <c r="B8778" s="33" t="s">
        <v>9905</v>
      </c>
      <c r="C8778" s="33" t="s">
        <v>3729</v>
      </c>
      <c r="D8778" s="35">
        <f>SUMIFS(D8779:D9015,K8779:K9015,"0",B8779:B9015,"5 1 3 9 8 12 31111 6 M59 97000*")-SUMIFS(E8779:E9015,K8779:K9015,"0",B8779:B9015,"5 1 3 9 8 12 31111 6 M59 97000*")</f>
        <v>0</v>
      </c>
      <c r="E8778"/>
      <c r="F8778" s="35">
        <f>SUMIFS(F8779:F9015,K8779:K9015,"0",B8779:B9015,"5 1 3 9 8 12 31111 6 M59 97000*")</f>
        <v>4460</v>
      </c>
      <c r="G8778" s="35">
        <f>SUMIFS(G8779:G9015,K8779:K9015,"0",B8779:B9015,"5 1 3 9 8 12 31111 6 M59 97000*")</f>
        <v>0</v>
      </c>
      <c r="H8778" s="35">
        <f t="shared" si="138"/>
        <v>4460</v>
      </c>
      <c r="I8778" s="35"/>
      <c r="K8778" t="s">
        <v>15</v>
      </c>
    </row>
    <row r="8779" spans="2:11" ht="16.5" x14ac:dyDescent="0.2">
      <c r="B8779" s="33" t="s">
        <v>9906</v>
      </c>
      <c r="C8779" s="33" t="s">
        <v>648</v>
      </c>
      <c r="D8779" s="35">
        <f>SUMIFS(D8780:D9015,K8780:K9015,"0",B8780:B9015,"5 1 3 9 8 12 31111 6 M59 97000 000132*")-SUMIFS(E8780:E9015,K8780:K9015,"0",B8780:B9015,"5 1 3 9 8 12 31111 6 M59 97000 000132*")</f>
        <v>0</v>
      </c>
      <c r="E8779"/>
      <c r="F8779" s="35">
        <f>SUMIFS(F8780:F9015,K8780:K9015,"0",B8780:B9015,"5 1 3 9 8 12 31111 6 M59 97000 000132*")</f>
        <v>4460</v>
      </c>
      <c r="G8779" s="35">
        <f>SUMIFS(G8780:G9015,K8780:K9015,"0",B8780:B9015,"5 1 3 9 8 12 31111 6 M59 97000 000132*")</f>
        <v>0</v>
      </c>
      <c r="H8779" s="35">
        <f t="shared" si="138"/>
        <v>4460</v>
      </c>
      <c r="I8779" s="35"/>
      <c r="K8779" t="s">
        <v>15</v>
      </c>
    </row>
    <row r="8780" spans="2:11" ht="24.75" x14ac:dyDescent="0.2">
      <c r="B8780" s="33" t="s">
        <v>9907</v>
      </c>
      <c r="C8780" s="33" t="s">
        <v>650</v>
      </c>
      <c r="D8780" s="35">
        <f>SUMIFS(D8781:D9015,K8781:K9015,"0",B8781:B9015,"5 1 3 9 8 12 31111 6 M59 97000 000132 0000R*")-SUMIFS(E8781:E9015,K8781:K9015,"0",B8781:B9015,"5 1 3 9 8 12 31111 6 M59 97000 000132 0000R*")</f>
        <v>0</v>
      </c>
      <c r="E8780"/>
      <c r="F8780" s="35">
        <f>SUMIFS(F8781:F9015,K8781:K9015,"0",B8781:B9015,"5 1 3 9 8 12 31111 6 M59 97000 000132 0000R*")</f>
        <v>4460</v>
      </c>
      <c r="G8780" s="35">
        <f>SUMIFS(G8781:G9015,K8781:K9015,"0",B8781:B9015,"5 1 3 9 8 12 31111 6 M59 97000 000132 0000R*")</f>
        <v>0</v>
      </c>
      <c r="H8780" s="35">
        <f t="shared" si="138"/>
        <v>4460</v>
      </c>
      <c r="I8780" s="35"/>
      <c r="K8780" t="s">
        <v>15</v>
      </c>
    </row>
    <row r="8781" spans="2:11" ht="24.75" x14ac:dyDescent="0.2">
      <c r="B8781" s="33" t="s">
        <v>9908</v>
      </c>
      <c r="C8781" s="33" t="s">
        <v>282</v>
      </c>
      <c r="D8781" s="35">
        <f>SUMIFS(D8782:D9015,K8782:K9015,"0",B8782:B9015,"5 1 3 9 8 12 31111 6 M59 97000 000132 0000R 00001*")-SUMIFS(E8782:E9015,K8782:K9015,"0",B8782:B9015,"5 1 3 9 8 12 31111 6 M59 97000 000132 0000R 00001*")</f>
        <v>0</v>
      </c>
      <c r="E8781"/>
      <c r="F8781" s="35">
        <f>SUMIFS(F8782:F9015,K8782:K9015,"0",B8782:B9015,"5 1 3 9 8 12 31111 6 M59 97000 000132 0000R 00001*")</f>
        <v>4460</v>
      </c>
      <c r="G8781" s="35">
        <f>SUMIFS(G8782:G9015,K8782:K9015,"0",B8782:B9015,"5 1 3 9 8 12 31111 6 M59 97000 000132 0000R 00001*")</f>
        <v>0</v>
      </c>
      <c r="H8781" s="35">
        <f t="shared" si="138"/>
        <v>4460</v>
      </c>
      <c r="I8781" s="35"/>
      <c r="K8781" t="s">
        <v>15</v>
      </c>
    </row>
    <row r="8782" spans="2:11" ht="24.75" x14ac:dyDescent="0.2">
      <c r="B8782" s="33" t="s">
        <v>9909</v>
      </c>
      <c r="C8782" s="33" t="s">
        <v>9247</v>
      </c>
      <c r="D8782" s="35">
        <f>SUMIFS(D8783:D9015,K8783:K9015,"0",B8783:B9015,"5 1 3 9 8 12 31111 6 M59 97000 000132 0000R 00001 00398*")-SUMIFS(E8783:E9015,K8783:K9015,"0",B8783:B9015,"5 1 3 9 8 12 31111 6 M59 97000 000132 0000R 00001 00398*")</f>
        <v>0</v>
      </c>
      <c r="E8782"/>
      <c r="F8782" s="35">
        <f>SUMIFS(F8783:F9015,K8783:K9015,"0",B8783:B9015,"5 1 3 9 8 12 31111 6 M59 97000 000132 0000R 00001 00398*")</f>
        <v>4460</v>
      </c>
      <c r="G8782" s="35">
        <f>SUMIFS(G8783:G9015,K8783:K9015,"0",B8783:B9015,"5 1 3 9 8 12 31111 6 M59 97000 000132 0000R 00001 00398*")</f>
        <v>0</v>
      </c>
      <c r="H8782" s="35">
        <f t="shared" si="138"/>
        <v>4460</v>
      </c>
      <c r="I8782" s="35"/>
      <c r="K8782" t="s">
        <v>15</v>
      </c>
    </row>
    <row r="8783" spans="2:11" ht="33" x14ac:dyDescent="0.2">
      <c r="B8783" s="33" t="s">
        <v>9910</v>
      </c>
      <c r="C8783" s="33" t="s">
        <v>1051</v>
      </c>
      <c r="D8783" s="35">
        <f>SUMIFS(D8784:D9015,K8784:K9015,"0",B8784:B9015,"5 1 3 9 8 12 31111 6 M59 97000 000132 0000R 00001 00398 015*")-SUMIFS(E8784:E9015,K8784:K9015,"0",B8784:B9015,"5 1 3 9 8 12 31111 6 M59 97000 000132 0000R 00001 00398 015*")</f>
        <v>0</v>
      </c>
      <c r="E8783"/>
      <c r="F8783" s="35">
        <f>SUMIFS(F8784:F9015,K8784:K9015,"0",B8784:B9015,"5 1 3 9 8 12 31111 6 M59 97000 000132 0000R 00001 00398 015*")</f>
        <v>4460</v>
      </c>
      <c r="G8783" s="35">
        <f>SUMIFS(G8784:G9015,K8784:K9015,"0",B8784:B9015,"5 1 3 9 8 12 31111 6 M59 97000 000132 0000R 00001 00398 015*")</f>
        <v>0</v>
      </c>
      <c r="H8783" s="35">
        <f t="shared" si="138"/>
        <v>4460</v>
      </c>
      <c r="I8783" s="35"/>
      <c r="K8783" t="s">
        <v>15</v>
      </c>
    </row>
    <row r="8784" spans="2:11" ht="33" x14ac:dyDescent="0.2">
      <c r="B8784" s="33" t="s">
        <v>9911</v>
      </c>
      <c r="C8784" s="33" t="s">
        <v>8550</v>
      </c>
      <c r="D8784" s="35">
        <f>SUMIFS(D8785:D9015,K8785:K9015,"0",B8785:B9015,"5 1 3 9 8 12 31111 6 M59 97000 000132 0000R 00001 00398 015 2111300*")-SUMIFS(E8785:E9015,K8785:K9015,"0",B8785:B9015,"5 1 3 9 8 12 31111 6 M59 97000 000132 0000R 00001 00398 015 2111300*")</f>
        <v>0</v>
      </c>
      <c r="E8784"/>
      <c r="F8784" s="35">
        <f>SUMIFS(F8785:F9015,K8785:K9015,"0",B8785:B9015,"5 1 3 9 8 12 31111 6 M59 97000 000132 0000R 00001 00398 015 2111300*")</f>
        <v>4460</v>
      </c>
      <c r="G8784" s="35">
        <f>SUMIFS(G8785:G9015,K8785:K9015,"0",B8785:B9015,"5 1 3 9 8 12 31111 6 M59 97000 000132 0000R 00001 00398 015 2111300*")</f>
        <v>0</v>
      </c>
      <c r="H8784" s="35">
        <f t="shared" si="138"/>
        <v>4460</v>
      </c>
      <c r="I8784" s="35"/>
      <c r="K8784" t="s">
        <v>15</v>
      </c>
    </row>
    <row r="8785" spans="2:11" ht="33" x14ac:dyDescent="0.2">
      <c r="B8785" s="33" t="s">
        <v>9912</v>
      </c>
      <c r="C8785" s="33" t="s">
        <v>660</v>
      </c>
      <c r="D8785" s="35">
        <f>SUMIFS(D8786:D9015,K8786:K9015,"0",B8786:B9015,"5 1 3 9 8 12 31111 6 M59 97000 000132 0000R 00001 00398 015 2111300 2024*")-SUMIFS(E8786:E9015,K8786:K9015,"0",B8786:B9015,"5 1 3 9 8 12 31111 6 M59 97000 000132 0000R 00001 00398 015 2111300 2024*")</f>
        <v>0</v>
      </c>
      <c r="E8785"/>
      <c r="F8785" s="35">
        <f>SUMIFS(F8786:F9015,K8786:K9015,"0",B8786:B9015,"5 1 3 9 8 12 31111 6 M59 97000 000132 0000R 00001 00398 015 2111300 2024*")</f>
        <v>4460</v>
      </c>
      <c r="G8785" s="35">
        <f>SUMIFS(G8786:G9015,K8786:K9015,"0",B8786:B9015,"5 1 3 9 8 12 31111 6 M59 97000 000132 0000R 00001 00398 015 2111300 2024*")</f>
        <v>0</v>
      </c>
      <c r="H8785" s="35">
        <f t="shared" si="138"/>
        <v>4460</v>
      </c>
      <c r="I8785" s="35"/>
      <c r="K8785" t="s">
        <v>15</v>
      </c>
    </row>
    <row r="8786" spans="2:11" ht="41.25" x14ac:dyDescent="0.2">
      <c r="B8786" s="33" t="s">
        <v>9913</v>
      </c>
      <c r="C8786" s="33" t="s">
        <v>1056</v>
      </c>
      <c r="D8786" s="35">
        <f>SUMIFS(D8787:D9015,K8787:K9015,"0",B8787:B9015,"5 1 3 9 8 12 31111 6 M59 97000 000132 0000R 00001 00398 015 2111300 2024 CP1SP428*")-SUMIFS(E8787:E9015,K8787:K9015,"0",B8787:B9015,"5 1 3 9 8 12 31111 6 M59 97000 000132 0000R 00001 00398 015 2111300 2024 CP1SP428*")</f>
        <v>0</v>
      </c>
      <c r="E8786"/>
      <c r="F8786" s="35">
        <f>SUMIFS(F8787:F9015,K8787:K9015,"0",B8787:B9015,"5 1 3 9 8 12 31111 6 M59 97000 000132 0000R 00001 00398 015 2111300 2024 CP1SP428*")</f>
        <v>4460</v>
      </c>
      <c r="G8786" s="35">
        <f>SUMIFS(G8787:G9015,K8787:K9015,"0",B8787:B9015,"5 1 3 9 8 12 31111 6 M59 97000 000132 0000R 00001 00398 015 2111300 2024 CP1SP428*")</f>
        <v>0</v>
      </c>
      <c r="H8786" s="35">
        <f t="shared" si="138"/>
        <v>4460</v>
      </c>
      <c r="I8786" s="35"/>
      <c r="K8786" t="s">
        <v>15</v>
      </c>
    </row>
    <row r="8787" spans="2:11" ht="41.25" x14ac:dyDescent="0.2">
      <c r="B8787" s="33" t="s">
        <v>9914</v>
      </c>
      <c r="C8787" s="33" t="s">
        <v>282</v>
      </c>
      <c r="D8787" s="35">
        <f>SUMIFS(D8788:D9015,K8788:K9015,"0",B8788:B9015,"5 1 3 9 8 12 31111 6 M59 97000 000132 0000R 00001 00398 015 2111300 2024 CP1SP428 001*")-SUMIFS(E8788:E9015,K8788:K9015,"0",B8788:B9015,"5 1 3 9 8 12 31111 6 M59 97000 000132 0000R 00001 00398 015 2111300 2024 CP1SP428 001*")</f>
        <v>0</v>
      </c>
      <c r="E8787"/>
      <c r="F8787" s="35">
        <f>SUMIFS(F8788:F9015,K8788:K9015,"0",B8788:B9015,"5 1 3 9 8 12 31111 6 M59 97000 000132 0000R 00001 00398 015 2111300 2024 CP1SP428 001*")</f>
        <v>4460</v>
      </c>
      <c r="G8787" s="35">
        <f>SUMIFS(G8788:G9015,K8788:K9015,"0",B8788:B9015,"5 1 3 9 8 12 31111 6 M59 97000 000132 0000R 00001 00398 015 2111300 2024 CP1SP428 001*")</f>
        <v>0</v>
      </c>
      <c r="H8787" s="35">
        <f t="shared" si="138"/>
        <v>4460</v>
      </c>
      <c r="I8787" s="35"/>
      <c r="K8787" t="s">
        <v>15</v>
      </c>
    </row>
    <row r="8788" spans="2:11" ht="33" x14ac:dyDescent="0.2">
      <c r="B8788" s="31" t="s">
        <v>9915</v>
      </c>
      <c r="C8788" s="31" t="s">
        <v>9254</v>
      </c>
      <c r="D8788" s="34">
        <v>0</v>
      </c>
      <c r="E8788" s="34"/>
      <c r="F8788" s="34">
        <v>4460</v>
      </c>
      <c r="G8788" s="34">
        <v>0</v>
      </c>
      <c r="H8788" s="34">
        <f t="shared" si="138"/>
        <v>4460</v>
      </c>
      <c r="I8788" s="34"/>
      <c r="K8788" t="s">
        <v>38</v>
      </c>
    </row>
    <row r="8789" spans="2:11" ht="16.5" x14ac:dyDescent="0.2">
      <c r="B8789" s="33" t="s">
        <v>9916</v>
      </c>
      <c r="C8789" s="33" t="s">
        <v>3754</v>
      </c>
      <c r="D8789" s="35">
        <f>SUMIFS(D8790:D9015,K8790:K9015,"0",B8790:B9015,"5 1 3 9 8 12 31111 6 M59 99000*")-SUMIFS(E8790:E9015,K8790:K9015,"0",B8790:B9015,"5 1 3 9 8 12 31111 6 M59 99000*")</f>
        <v>0</v>
      </c>
      <c r="E8789"/>
      <c r="F8789" s="35">
        <f>SUMIFS(F8790:F9015,K8790:K9015,"0",B8790:B9015,"5 1 3 9 8 12 31111 6 M59 99000*")</f>
        <v>4760.88</v>
      </c>
      <c r="G8789" s="35">
        <f>SUMIFS(G8790:G9015,K8790:K9015,"0",B8790:B9015,"5 1 3 9 8 12 31111 6 M59 99000*")</f>
        <v>0</v>
      </c>
      <c r="H8789" s="35">
        <f t="shared" si="138"/>
        <v>4760.88</v>
      </c>
      <c r="I8789" s="35"/>
      <c r="K8789" t="s">
        <v>15</v>
      </c>
    </row>
    <row r="8790" spans="2:11" ht="16.5" x14ac:dyDescent="0.2">
      <c r="B8790" s="33" t="s">
        <v>9917</v>
      </c>
      <c r="C8790" s="33" t="s">
        <v>648</v>
      </c>
      <c r="D8790" s="35">
        <f>SUMIFS(D8791:D9015,K8791:K9015,"0",B8791:B9015,"5 1 3 9 8 12 31111 6 M59 99000 000132*")-SUMIFS(E8791:E9015,K8791:K9015,"0",B8791:B9015,"5 1 3 9 8 12 31111 6 M59 99000 000132*")</f>
        <v>0</v>
      </c>
      <c r="E8790"/>
      <c r="F8790" s="35">
        <f>SUMIFS(F8791:F9015,K8791:K9015,"0",B8791:B9015,"5 1 3 9 8 12 31111 6 M59 99000 000132*")</f>
        <v>4760.88</v>
      </c>
      <c r="G8790" s="35">
        <f>SUMIFS(G8791:G9015,K8791:K9015,"0",B8791:B9015,"5 1 3 9 8 12 31111 6 M59 99000 000132*")</f>
        <v>0</v>
      </c>
      <c r="H8790" s="35">
        <f t="shared" si="138"/>
        <v>4760.88</v>
      </c>
      <c r="I8790" s="35"/>
      <c r="K8790" t="s">
        <v>15</v>
      </c>
    </row>
    <row r="8791" spans="2:11" ht="24.75" x14ac:dyDescent="0.2">
      <c r="B8791" s="33" t="s">
        <v>9918</v>
      </c>
      <c r="C8791" s="33" t="s">
        <v>650</v>
      </c>
      <c r="D8791" s="35">
        <f>SUMIFS(D8792:D9015,K8792:K9015,"0",B8792:B9015,"5 1 3 9 8 12 31111 6 M59 99000 000132 0000R*")-SUMIFS(E8792:E9015,K8792:K9015,"0",B8792:B9015,"5 1 3 9 8 12 31111 6 M59 99000 000132 0000R*")</f>
        <v>0</v>
      </c>
      <c r="E8791"/>
      <c r="F8791" s="35">
        <f>SUMIFS(F8792:F9015,K8792:K9015,"0",B8792:B9015,"5 1 3 9 8 12 31111 6 M59 99000 000132 0000R*")</f>
        <v>4760.88</v>
      </c>
      <c r="G8791" s="35">
        <f>SUMIFS(G8792:G9015,K8792:K9015,"0",B8792:B9015,"5 1 3 9 8 12 31111 6 M59 99000 000132 0000R*")</f>
        <v>0</v>
      </c>
      <c r="H8791" s="35">
        <f t="shared" si="138"/>
        <v>4760.88</v>
      </c>
      <c r="I8791" s="35"/>
      <c r="K8791" t="s">
        <v>15</v>
      </c>
    </row>
    <row r="8792" spans="2:11" ht="24.75" x14ac:dyDescent="0.2">
      <c r="B8792" s="33" t="s">
        <v>9919</v>
      </c>
      <c r="C8792" s="33" t="s">
        <v>282</v>
      </c>
      <c r="D8792" s="35">
        <f>SUMIFS(D8793:D9015,K8793:K9015,"0",B8793:B9015,"5 1 3 9 8 12 31111 6 M59 99000 000132 0000R 00001*")-SUMIFS(E8793:E9015,K8793:K9015,"0",B8793:B9015,"5 1 3 9 8 12 31111 6 M59 99000 000132 0000R 00001*")</f>
        <v>0</v>
      </c>
      <c r="E8792"/>
      <c r="F8792" s="35">
        <f>SUMIFS(F8793:F9015,K8793:K9015,"0",B8793:B9015,"5 1 3 9 8 12 31111 6 M59 99000 000132 0000R 00001*")</f>
        <v>4760.88</v>
      </c>
      <c r="G8792" s="35">
        <f>SUMIFS(G8793:G9015,K8793:K9015,"0",B8793:B9015,"5 1 3 9 8 12 31111 6 M59 99000 000132 0000R 00001*")</f>
        <v>0</v>
      </c>
      <c r="H8792" s="35">
        <f t="shared" si="138"/>
        <v>4760.88</v>
      </c>
      <c r="I8792" s="35"/>
      <c r="K8792" t="s">
        <v>15</v>
      </c>
    </row>
    <row r="8793" spans="2:11" ht="24.75" x14ac:dyDescent="0.2">
      <c r="B8793" s="33" t="s">
        <v>9920</v>
      </c>
      <c r="C8793" s="33" t="s">
        <v>9247</v>
      </c>
      <c r="D8793" s="35">
        <f>SUMIFS(D8794:D9015,K8794:K9015,"0",B8794:B9015,"5 1 3 9 8 12 31111 6 M59 99000 000132 0000R 00001 00398*")-SUMIFS(E8794:E9015,K8794:K9015,"0",B8794:B9015,"5 1 3 9 8 12 31111 6 M59 99000 000132 0000R 00001 00398*")</f>
        <v>0</v>
      </c>
      <c r="E8793"/>
      <c r="F8793" s="35">
        <f>SUMIFS(F8794:F9015,K8794:K9015,"0",B8794:B9015,"5 1 3 9 8 12 31111 6 M59 99000 000132 0000R 00001 00398*")</f>
        <v>4760.88</v>
      </c>
      <c r="G8793" s="35">
        <f>SUMIFS(G8794:G9015,K8794:K9015,"0",B8794:B9015,"5 1 3 9 8 12 31111 6 M59 99000 000132 0000R 00001 00398*")</f>
        <v>0</v>
      </c>
      <c r="H8793" s="35">
        <f t="shared" si="138"/>
        <v>4760.88</v>
      </c>
      <c r="I8793" s="35"/>
      <c r="K8793" t="s">
        <v>15</v>
      </c>
    </row>
    <row r="8794" spans="2:11" ht="33" x14ac:dyDescent="0.2">
      <c r="B8794" s="33" t="s">
        <v>9921</v>
      </c>
      <c r="C8794" s="33" t="s">
        <v>1051</v>
      </c>
      <c r="D8794" s="35">
        <f>SUMIFS(D8795:D9015,K8795:K9015,"0",B8795:B9015,"5 1 3 9 8 12 31111 6 M59 99000 000132 0000R 00001 00398 015*")-SUMIFS(E8795:E9015,K8795:K9015,"0",B8795:B9015,"5 1 3 9 8 12 31111 6 M59 99000 000132 0000R 00001 00398 015*")</f>
        <v>0</v>
      </c>
      <c r="E8794"/>
      <c r="F8794" s="35">
        <f>SUMIFS(F8795:F9015,K8795:K9015,"0",B8795:B9015,"5 1 3 9 8 12 31111 6 M59 99000 000132 0000R 00001 00398 015*")</f>
        <v>4760.88</v>
      </c>
      <c r="G8794" s="35">
        <f>SUMIFS(G8795:G9015,K8795:K9015,"0",B8795:B9015,"5 1 3 9 8 12 31111 6 M59 99000 000132 0000R 00001 00398 015*")</f>
        <v>0</v>
      </c>
      <c r="H8794" s="35">
        <f t="shared" si="138"/>
        <v>4760.88</v>
      </c>
      <c r="I8794" s="35"/>
      <c r="K8794" t="s">
        <v>15</v>
      </c>
    </row>
    <row r="8795" spans="2:11" ht="33" x14ac:dyDescent="0.2">
      <c r="B8795" s="33" t="s">
        <v>9922</v>
      </c>
      <c r="C8795" s="33" t="s">
        <v>2927</v>
      </c>
      <c r="D8795" s="35">
        <f>SUMIFS(D8796:D9015,K8796:K9015,"0",B8796:B9015,"5 1 3 9 8 12 31111 6 M59 99000 000132 0000R 00001 00398 015 2111100*")-SUMIFS(E8796:E9015,K8796:K9015,"0",B8796:B9015,"5 1 3 9 8 12 31111 6 M59 99000 000132 0000R 00001 00398 015 2111100*")</f>
        <v>0</v>
      </c>
      <c r="E8795"/>
      <c r="F8795" s="35">
        <f>SUMIFS(F8796:F9015,K8796:K9015,"0",B8796:B9015,"5 1 3 9 8 12 31111 6 M59 99000 000132 0000R 00001 00398 015 2111100*")</f>
        <v>4760.88</v>
      </c>
      <c r="G8795" s="35">
        <f>SUMIFS(G8796:G9015,K8796:K9015,"0",B8796:B9015,"5 1 3 9 8 12 31111 6 M59 99000 000132 0000R 00001 00398 015 2111100*")</f>
        <v>0</v>
      </c>
      <c r="H8795" s="35">
        <f t="shared" si="138"/>
        <v>4760.88</v>
      </c>
      <c r="I8795" s="35"/>
      <c r="K8795" t="s">
        <v>15</v>
      </c>
    </row>
    <row r="8796" spans="2:11" ht="33" x14ac:dyDescent="0.2">
      <c r="B8796" s="33" t="s">
        <v>9923</v>
      </c>
      <c r="C8796" s="33" t="s">
        <v>660</v>
      </c>
      <c r="D8796" s="35">
        <f>SUMIFS(D8797:D9015,K8797:K9015,"0",B8797:B9015,"5 1 3 9 8 12 31111 6 M59 99000 000132 0000R 00001 00398 015 2111100 2024*")-SUMIFS(E8797:E9015,K8797:K9015,"0",B8797:B9015,"5 1 3 9 8 12 31111 6 M59 99000 000132 0000R 00001 00398 015 2111100 2024*")</f>
        <v>0</v>
      </c>
      <c r="E8796"/>
      <c r="F8796" s="35">
        <f>SUMIFS(F8797:F9015,K8797:K9015,"0",B8797:B9015,"5 1 3 9 8 12 31111 6 M59 99000 000132 0000R 00001 00398 015 2111100 2024*")</f>
        <v>4760.88</v>
      </c>
      <c r="G8796" s="35">
        <f>SUMIFS(G8797:G9015,K8797:K9015,"0",B8797:B9015,"5 1 3 9 8 12 31111 6 M59 99000 000132 0000R 00001 00398 015 2111100 2024*")</f>
        <v>0</v>
      </c>
      <c r="H8796" s="35">
        <f t="shared" si="138"/>
        <v>4760.88</v>
      </c>
      <c r="I8796" s="35"/>
      <c r="K8796" t="s">
        <v>15</v>
      </c>
    </row>
    <row r="8797" spans="2:11" ht="41.25" x14ac:dyDescent="0.2">
      <c r="B8797" s="33" t="s">
        <v>9924</v>
      </c>
      <c r="C8797" s="33" t="s">
        <v>1056</v>
      </c>
      <c r="D8797" s="35">
        <f>SUMIFS(D8798:D9015,K8798:K9015,"0",B8798:B9015,"5 1 3 9 8 12 31111 6 M59 99000 000132 0000R 00001 00398 015 2111100 2024 CP1MG408*")-SUMIFS(E8798:E9015,K8798:K9015,"0",B8798:B9015,"5 1 3 9 8 12 31111 6 M59 99000 000132 0000R 00001 00398 015 2111100 2024 CP1MG408*")</f>
        <v>0</v>
      </c>
      <c r="E8797"/>
      <c r="F8797" s="35">
        <f>SUMIFS(F8798:F9015,K8798:K9015,"0",B8798:B9015,"5 1 3 9 8 12 31111 6 M59 99000 000132 0000R 00001 00398 015 2111100 2024 CP1MG408*")</f>
        <v>4760.88</v>
      </c>
      <c r="G8797" s="35">
        <f>SUMIFS(G8798:G9015,K8798:K9015,"0",B8798:B9015,"5 1 3 9 8 12 31111 6 M59 99000 000132 0000R 00001 00398 015 2111100 2024 CP1MG408*")</f>
        <v>0</v>
      </c>
      <c r="H8797" s="35">
        <f t="shared" si="138"/>
        <v>4760.88</v>
      </c>
      <c r="I8797" s="35"/>
      <c r="K8797" t="s">
        <v>15</v>
      </c>
    </row>
    <row r="8798" spans="2:11" ht="41.25" x14ac:dyDescent="0.2">
      <c r="B8798" s="33" t="s">
        <v>9925</v>
      </c>
      <c r="C8798" s="33" t="s">
        <v>282</v>
      </c>
      <c r="D8798" s="35">
        <f>SUMIFS(D8799:D9015,K8799:K9015,"0",B8799:B9015,"5 1 3 9 8 12 31111 6 M59 99000 000132 0000R 00001 00398 015 2111100 2024 CP1MG408 001*")-SUMIFS(E8799:E9015,K8799:K9015,"0",B8799:B9015,"5 1 3 9 8 12 31111 6 M59 99000 000132 0000R 00001 00398 015 2111100 2024 CP1MG408 001*")</f>
        <v>0</v>
      </c>
      <c r="E8798"/>
      <c r="F8798" s="35">
        <f>SUMIFS(F8799:F9015,K8799:K9015,"0",B8799:B9015,"5 1 3 9 8 12 31111 6 M59 99000 000132 0000R 00001 00398 015 2111100 2024 CP1MG408 001*")</f>
        <v>4760.88</v>
      </c>
      <c r="G8798" s="35">
        <f>SUMIFS(G8799:G9015,K8799:K9015,"0",B8799:B9015,"5 1 3 9 8 12 31111 6 M59 99000 000132 0000R 00001 00398 015 2111100 2024 CP1MG408 001*")</f>
        <v>0</v>
      </c>
      <c r="H8798" s="35">
        <f t="shared" si="138"/>
        <v>4760.88</v>
      </c>
      <c r="I8798" s="35"/>
      <c r="K8798" t="s">
        <v>15</v>
      </c>
    </row>
    <row r="8799" spans="2:11" ht="41.25" x14ac:dyDescent="0.2">
      <c r="B8799" s="31" t="s">
        <v>9926</v>
      </c>
      <c r="C8799" s="31" t="s">
        <v>9254</v>
      </c>
      <c r="D8799" s="34">
        <v>0</v>
      </c>
      <c r="E8799" s="34"/>
      <c r="F8799" s="34">
        <v>4760.88</v>
      </c>
      <c r="G8799" s="34">
        <v>0</v>
      </c>
      <c r="H8799" s="34">
        <f t="shared" si="138"/>
        <v>4760.88</v>
      </c>
      <c r="I8799" s="34"/>
      <c r="K8799" t="s">
        <v>38</v>
      </c>
    </row>
    <row r="8800" spans="2:11" ht="12.75" x14ac:dyDescent="0.2">
      <c r="B8800" s="33" t="s">
        <v>9927</v>
      </c>
      <c r="C8800" s="33" t="s">
        <v>9153</v>
      </c>
      <c r="D8800" s="35">
        <f>SUMIFS(D8801:D9015,K8801:K9015,"0",B8801:B9015,"5 1 3 9 9*")-SUMIFS(E8801:E9015,K8801:K9015,"0",B8801:B9015,"5 1 3 9 9*")</f>
        <v>0</v>
      </c>
      <c r="E8800"/>
      <c r="F8800" s="35">
        <f>SUMIFS(F8801:F9015,K8801:K9015,"0",B8801:B9015,"5 1 3 9 9*")</f>
        <v>973014.64</v>
      </c>
      <c r="G8800" s="35">
        <f>SUMIFS(G8801:G9015,K8801:K9015,"0",B8801:B9015,"5 1 3 9 9*")</f>
        <v>0</v>
      </c>
      <c r="H8800" s="35">
        <f t="shared" si="138"/>
        <v>973014.64</v>
      </c>
      <c r="I8800" s="35"/>
      <c r="K8800" t="s">
        <v>15</v>
      </c>
    </row>
    <row r="8801" spans="2:11" ht="12.75" x14ac:dyDescent="0.2">
      <c r="B8801" s="33" t="s">
        <v>9928</v>
      </c>
      <c r="C8801" s="33" t="s">
        <v>26</v>
      </c>
      <c r="D8801" s="35">
        <f>SUMIFS(D8802:D9015,K8802:K9015,"0",B8802:B9015,"5 1 3 9 9 12*")-SUMIFS(E8802:E9015,K8802:K9015,"0",B8802:B9015,"5 1 3 9 9 12*")</f>
        <v>0</v>
      </c>
      <c r="E8801"/>
      <c r="F8801" s="35">
        <f>SUMIFS(F8802:F9015,K8802:K9015,"0",B8802:B9015,"5 1 3 9 9 12*")</f>
        <v>973014.64</v>
      </c>
      <c r="G8801" s="35">
        <f>SUMIFS(G8802:G9015,K8802:K9015,"0",B8802:B9015,"5 1 3 9 9 12*")</f>
        <v>0</v>
      </c>
      <c r="H8801" s="35">
        <f t="shared" si="138"/>
        <v>973014.64</v>
      </c>
      <c r="I8801" s="35"/>
      <c r="K8801" t="s">
        <v>15</v>
      </c>
    </row>
    <row r="8802" spans="2:11" ht="16.5" x14ac:dyDescent="0.2">
      <c r="B8802" s="33" t="s">
        <v>9929</v>
      </c>
      <c r="C8802" s="33" t="s">
        <v>28</v>
      </c>
      <c r="D8802" s="35">
        <f>SUMIFS(D8803:D9015,K8803:K9015,"0",B8803:B9015,"5 1 3 9 9 12 31111*")-SUMIFS(E8803:E9015,K8803:K9015,"0",B8803:B9015,"5 1 3 9 9 12 31111*")</f>
        <v>0</v>
      </c>
      <c r="E8802"/>
      <c r="F8802" s="35">
        <f>SUMIFS(F8803:F9015,K8803:K9015,"0",B8803:B9015,"5 1 3 9 9 12 31111*")</f>
        <v>973014.64</v>
      </c>
      <c r="G8802" s="35">
        <f>SUMIFS(G8803:G9015,K8803:K9015,"0",B8803:B9015,"5 1 3 9 9 12 31111*")</f>
        <v>0</v>
      </c>
      <c r="H8802" s="35">
        <f t="shared" si="138"/>
        <v>973014.64</v>
      </c>
      <c r="I8802" s="35"/>
      <c r="K8802" t="s">
        <v>15</v>
      </c>
    </row>
    <row r="8803" spans="2:11" ht="12.75" x14ac:dyDescent="0.2">
      <c r="B8803" s="33" t="s">
        <v>9930</v>
      </c>
      <c r="C8803" s="33" t="s">
        <v>30</v>
      </c>
      <c r="D8803" s="35">
        <f>SUMIFS(D8804:D9015,K8804:K9015,"0",B8804:B9015,"5 1 3 9 9 12 31111 6*")-SUMIFS(E8804:E9015,K8804:K9015,"0",B8804:B9015,"5 1 3 9 9 12 31111 6*")</f>
        <v>0</v>
      </c>
      <c r="E8803"/>
      <c r="F8803" s="35">
        <f>SUMIFS(F8804:F9015,K8804:K9015,"0",B8804:B9015,"5 1 3 9 9 12 31111 6*")</f>
        <v>973014.64</v>
      </c>
      <c r="G8803" s="35">
        <f>SUMIFS(G8804:G9015,K8804:K9015,"0",B8804:B9015,"5 1 3 9 9 12 31111 6*")</f>
        <v>0</v>
      </c>
      <c r="H8803" s="35">
        <f t="shared" si="138"/>
        <v>973014.64</v>
      </c>
      <c r="I8803" s="35"/>
      <c r="K8803" t="s">
        <v>15</v>
      </c>
    </row>
    <row r="8804" spans="2:11" ht="16.5" x14ac:dyDescent="0.2">
      <c r="B8804" s="33" t="s">
        <v>9931</v>
      </c>
      <c r="C8804" s="33" t="s">
        <v>2284</v>
      </c>
      <c r="D8804" s="35">
        <f>SUMIFS(D8805:D9015,K8805:K9015,"0",B8805:B9015,"5 1 3 9 9 12 31111 6 M59*")-SUMIFS(E8805:E9015,K8805:K9015,"0",B8805:B9015,"5 1 3 9 9 12 31111 6 M59*")</f>
        <v>0</v>
      </c>
      <c r="E8804"/>
      <c r="F8804" s="35">
        <f>SUMIFS(F8805:F9015,K8805:K9015,"0",B8805:B9015,"5 1 3 9 9 12 31111 6 M59*")</f>
        <v>973014.64</v>
      </c>
      <c r="G8804" s="35">
        <f>SUMIFS(G8805:G9015,K8805:K9015,"0",B8805:B9015,"5 1 3 9 9 12 31111 6 M59*")</f>
        <v>0</v>
      </c>
      <c r="H8804" s="35">
        <f t="shared" si="138"/>
        <v>973014.64</v>
      </c>
      <c r="I8804" s="35"/>
      <c r="K8804" t="s">
        <v>15</v>
      </c>
    </row>
    <row r="8805" spans="2:11" ht="16.5" x14ac:dyDescent="0.2">
      <c r="B8805" s="33" t="s">
        <v>9932</v>
      </c>
      <c r="C8805" s="33" t="s">
        <v>1243</v>
      </c>
      <c r="D8805" s="35">
        <f>SUMIFS(D8806:D9015,K8806:K9015,"0",B8806:B9015,"5 1 3 9 9 12 31111 6 M59 10000*")-SUMIFS(E8806:E9015,K8806:K9015,"0",B8806:B9015,"5 1 3 9 9 12 31111 6 M59 10000*")</f>
        <v>0</v>
      </c>
      <c r="E8805"/>
      <c r="F8805" s="35">
        <f>SUMIFS(F8806:F9015,K8806:K9015,"0",B8806:B9015,"5 1 3 9 9 12 31111 6 M59 10000*")</f>
        <v>4479.6499999999996</v>
      </c>
      <c r="G8805" s="35">
        <f>SUMIFS(G8806:G9015,K8806:K9015,"0",B8806:B9015,"5 1 3 9 9 12 31111 6 M59 10000*")</f>
        <v>0</v>
      </c>
      <c r="H8805" s="35">
        <f t="shared" si="138"/>
        <v>4479.6499999999996</v>
      </c>
      <c r="I8805" s="35"/>
      <c r="K8805" t="s">
        <v>15</v>
      </c>
    </row>
    <row r="8806" spans="2:11" ht="16.5" x14ac:dyDescent="0.2">
      <c r="B8806" s="33" t="s">
        <v>9933</v>
      </c>
      <c r="C8806" s="33" t="s">
        <v>648</v>
      </c>
      <c r="D8806" s="35">
        <f>SUMIFS(D8807:D9015,K8807:K9015,"0",B8807:B9015,"5 1 3 9 9 12 31111 6 M59 10000 000132*")-SUMIFS(E8807:E9015,K8807:K9015,"0",B8807:B9015,"5 1 3 9 9 12 31111 6 M59 10000 000132*")</f>
        <v>0</v>
      </c>
      <c r="E8806"/>
      <c r="F8806" s="35">
        <f>SUMIFS(F8807:F9015,K8807:K9015,"0",B8807:B9015,"5 1 3 9 9 12 31111 6 M59 10000 000132*")</f>
        <v>4479.6499999999996</v>
      </c>
      <c r="G8806" s="35">
        <f>SUMIFS(G8807:G9015,K8807:K9015,"0",B8807:B9015,"5 1 3 9 9 12 31111 6 M59 10000 000132*")</f>
        <v>0</v>
      </c>
      <c r="H8806" s="35">
        <f t="shared" si="138"/>
        <v>4479.6499999999996</v>
      </c>
      <c r="I8806" s="35"/>
      <c r="K8806" t="s">
        <v>15</v>
      </c>
    </row>
    <row r="8807" spans="2:11" ht="24.75" x14ac:dyDescent="0.2">
      <c r="B8807" s="33" t="s">
        <v>9934</v>
      </c>
      <c r="C8807" s="33" t="s">
        <v>650</v>
      </c>
      <c r="D8807" s="35">
        <f>SUMIFS(D8808:D9015,K8808:K9015,"0",B8808:B9015,"5 1 3 9 9 12 31111 6 M59 10000 000132 0000R*")-SUMIFS(E8808:E9015,K8808:K9015,"0",B8808:B9015,"5 1 3 9 9 12 31111 6 M59 10000 000132 0000R*")</f>
        <v>0</v>
      </c>
      <c r="E8807"/>
      <c r="F8807" s="35">
        <f>SUMIFS(F8808:F9015,K8808:K9015,"0",B8808:B9015,"5 1 3 9 9 12 31111 6 M59 10000 000132 0000R*")</f>
        <v>4479.6499999999996</v>
      </c>
      <c r="G8807" s="35">
        <f>SUMIFS(G8808:G9015,K8808:K9015,"0",B8808:B9015,"5 1 3 9 9 12 31111 6 M59 10000 000132 0000R*")</f>
        <v>0</v>
      </c>
      <c r="H8807" s="35">
        <f t="shared" si="138"/>
        <v>4479.6499999999996</v>
      </c>
      <c r="I8807" s="35"/>
      <c r="K8807" t="s">
        <v>15</v>
      </c>
    </row>
    <row r="8808" spans="2:11" ht="24.75" x14ac:dyDescent="0.2">
      <c r="B8808" s="33" t="s">
        <v>9935</v>
      </c>
      <c r="C8808" s="33" t="s">
        <v>282</v>
      </c>
      <c r="D8808" s="35">
        <f>SUMIFS(D8809:D9015,K8809:K9015,"0",B8809:B9015,"5 1 3 9 9 12 31111 6 M59 10000 000132 0000R 00001*")-SUMIFS(E8809:E9015,K8809:K9015,"0",B8809:B9015,"5 1 3 9 9 12 31111 6 M59 10000 000132 0000R 00001*")</f>
        <v>0</v>
      </c>
      <c r="E8808"/>
      <c r="F8808" s="35">
        <f>SUMIFS(F8809:F9015,K8809:K9015,"0",B8809:B9015,"5 1 3 9 9 12 31111 6 M59 10000 000132 0000R 00001*")</f>
        <v>4479.6499999999996</v>
      </c>
      <c r="G8808" s="35">
        <f>SUMIFS(G8809:G9015,K8809:K9015,"0",B8809:B9015,"5 1 3 9 9 12 31111 6 M59 10000 000132 0000R 00001*")</f>
        <v>0</v>
      </c>
      <c r="H8808" s="35">
        <f t="shared" si="138"/>
        <v>4479.6499999999996</v>
      </c>
      <c r="I8808" s="35"/>
      <c r="K8808" t="s">
        <v>15</v>
      </c>
    </row>
    <row r="8809" spans="2:11" ht="24.75" x14ac:dyDescent="0.2">
      <c r="B8809" s="33" t="s">
        <v>9936</v>
      </c>
      <c r="C8809" s="33" t="s">
        <v>9937</v>
      </c>
      <c r="D8809" s="35">
        <f>SUMIFS(D8810:D9015,K8810:K9015,"0",B8810:B9015,"5 1 3 9 9 12 31111 6 M59 10000 000132 0000R 00001 00399*")-SUMIFS(E8810:E9015,K8810:K9015,"0",B8810:B9015,"5 1 3 9 9 12 31111 6 M59 10000 000132 0000R 00001 00399*")</f>
        <v>0</v>
      </c>
      <c r="E8809"/>
      <c r="F8809" s="35">
        <f>SUMIFS(F8810:F9015,K8810:K9015,"0",B8810:B9015,"5 1 3 9 9 12 31111 6 M59 10000 000132 0000R 00001 00399*")</f>
        <v>4479.6499999999996</v>
      </c>
      <c r="G8809" s="35">
        <f>SUMIFS(G8810:G9015,K8810:K9015,"0",B8810:B9015,"5 1 3 9 9 12 31111 6 M59 10000 000132 0000R 00001 00399*")</f>
        <v>0</v>
      </c>
      <c r="H8809" s="35">
        <f t="shared" si="138"/>
        <v>4479.6499999999996</v>
      </c>
      <c r="I8809" s="35"/>
      <c r="K8809" t="s">
        <v>15</v>
      </c>
    </row>
    <row r="8810" spans="2:11" ht="33" x14ac:dyDescent="0.2">
      <c r="B8810" s="33" t="s">
        <v>9938</v>
      </c>
      <c r="C8810" s="33" t="s">
        <v>1051</v>
      </c>
      <c r="D8810" s="35">
        <f>SUMIFS(D8811:D9015,K8811:K9015,"0",B8811:B9015,"5 1 3 9 9 12 31111 6 M59 10000 000132 0000R 00001 00399 015*")-SUMIFS(E8811:E9015,K8811:K9015,"0",B8811:B9015,"5 1 3 9 9 12 31111 6 M59 10000 000132 0000R 00001 00399 015*")</f>
        <v>0</v>
      </c>
      <c r="E8810"/>
      <c r="F8810" s="35">
        <f>SUMIFS(F8811:F9015,K8811:K9015,"0",B8811:B9015,"5 1 3 9 9 12 31111 6 M59 10000 000132 0000R 00001 00399 015*")</f>
        <v>4479.6499999999996</v>
      </c>
      <c r="G8810" s="35">
        <f>SUMIFS(G8811:G9015,K8811:K9015,"0",B8811:B9015,"5 1 3 9 9 12 31111 6 M59 10000 000132 0000R 00001 00399 015*")</f>
        <v>0</v>
      </c>
      <c r="H8810" s="35">
        <f t="shared" si="138"/>
        <v>4479.6499999999996</v>
      </c>
      <c r="I8810" s="35"/>
      <c r="K8810" t="s">
        <v>15</v>
      </c>
    </row>
    <row r="8811" spans="2:11" ht="33" x14ac:dyDescent="0.2">
      <c r="B8811" s="33" t="s">
        <v>9939</v>
      </c>
      <c r="C8811" s="33" t="s">
        <v>5830</v>
      </c>
      <c r="D8811" s="35">
        <f>SUMIFS(D8812:D9015,K8812:K9015,"0",B8812:B9015,"5 1 3 9 9 12 31111 6 M59 10000 000132 0000R 00001 00399 015 2112000*")-SUMIFS(E8812:E9015,K8812:K9015,"0",B8812:B9015,"5 1 3 9 9 12 31111 6 M59 10000 000132 0000R 00001 00399 015 2112000*")</f>
        <v>0</v>
      </c>
      <c r="E8811"/>
      <c r="F8811" s="35">
        <f>SUMIFS(F8812:F9015,K8812:K9015,"0",B8812:B9015,"5 1 3 9 9 12 31111 6 M59 10000 000132 0000R 00001 00399 015 2112000*")</f>
        <v>4479.6499999999996</v>
      </c>
      <c r="G8811" s="35">
        <f>SUMIFS(G8812:G9015,K8812:K9015,"0",B8812:B9015,"5 1 3 9 9 12 31111 6 M59 10000 000132 0000R 00001 00399 015 2112000*")</f>
        <v>0</v>
      </c>
      <c r="H8811" s="35">
        <f t="shared" si="138"/>
        <v>4479.6499999999996</v>
      </c>
      <c r="I8811" s="35"/>
      <c r="K8811" t="s">
        <v>15</v>
      </c>
    </row>
    <row r="8812" spans="2:11" ht="33" x14ac:dyDescent="0.2">
      <c r="B8812" s="33" t="s">
        <v>9940</v>
      </c>
      <c r="C8812" s="33" t="s">
        <v>660</v>
      </c>
      <c r="D8812" s="35">
        <f>SUMIFS(D8813:D9015,K8813:K9015,"0",B8813:B9015,"5 1 3 9 9 12 31111 6 M59 10000 000132 0000R 00001 00399 015 2112000 2024*")-SUMIFS(E8813:E9015,K8813:K9015,"0",B8813:B9015,"5 1 3 9 9 12 31111 6 M59 10000 000132 0000R 00001 00399 015 2112000 2024*")</f>
        <v>0</v>
      </c>
      <c r="E8812"/>
      <c r="F8812" s="35">
        <f>SUMIFS(F8813:F9015,K8813:K9015,"0",B8813:B9015,"5 1 3 9 9 12 31111 6 M59 10000 000132 0000R 00001 00399 015 2112000 2024*")</f>
        <v>4479.6499999999996</v>
      </c>
      <c r="G8812" s="35">
        <f>SUMIFS(G8813:G9015,K8813:K9015,"0",B8813:B9015,"5 1 3 9 9 12 31111 6 M59 10000 000132 0000R 00001 00399 015 2112000 2024*")</f>
        <v>0</v>
      </c>
      <c r="H8812" s="35">
        <f t="shared" si="138"/>
        <v>4479.6499999999996</v>
      </c>
      <c r="I8812" s="35"/>
      <c r="K8812" t="s">
        <v>15</v>
      </c>
    </row>
    <row r="8813" spans="2:11" ht="41.25" x14ac:dyDescent="0.2">
      <c r="B8813" s="33" t="s">
        <v>9941</v>
      </c>
      <c r="C8813" s="33" t="s">
        <v>662</v>
      </c>
      <c r="D8813" s="35">
        <f>SUMIFS(D8814:D9015,K8814:K9015,"0",B8814:B9015,"5 1 3 9 9 12 31111 6 M59 10000 000132 0000R 00001 00399 015 2112000 2024 CP1PM439*")-SUMIFS(E8814:E9015,K8814:K9015,"0",B8814:B9015,"5 1 3 9 9 12 31111 6 M59 10000 000132 0000R 00001 00399 015 2112000 2024 CP1PM439*")</f>
        <v>0</v>
      </c>
      <c r="E8813"/>
      <c r="F8813" s="35">
        <f>SUMIFS(F8814:F9015,K8814:K9015,"0",B8814:B9015,"5 1 3 9 9 12 31111 6 M59 10000 000132 0000R 00001 00399 015 2112000 2024 CP1PM439*")</f>
        <v>4479.6499999999996</v>
      </c>
      <c r="G8813" s="35">
        <f>SUMIFS(G8814:G9015,K8814:K9015,"0",B8814:B9015,"5 1 3 9 9 12 31111 6 M59 10000 000132 0000R 00001 00399 015 2112000 2024 CP1PM439*")</f>
        <v>0</v>
      </c>
      <c r="H8813" s="35">
        <f t="shared" si="138"/>
        <v>4479.6499999999996</v>
      </c>
      <c r="I8813" s="35"/>
      <c r="K8813" t="s">
        <v>15</v>
      </c>
    </row>
    <row r="8814" spans="2:11" ht="41.25" x14ac:dyDescent="0.2">
      <c r="B8814" s="33" t="s">
        <v>9942</v>
      </c>
      <c r="C8814" s="33" t="s">
        <v>282</v>
      </c>
      <c r="D8814" s="35">
        <f>SUMIFS(D8815:D9015,K8815:K9015,"0",B8815:B9015,"5 1 3 9 9 12 31111 6 M59 10000 000132 0000R 00001 00399 015 2112000 2024 CP1PM439 001*")-SUMIFS(E8815:E9015,K8815:K9015,"0",B8815:B9015,"5 1 3 9 9 12 31111 6 M59 10000 000132 0000R 00001 00399 015 2112000 2024 CP1PM439 001*")</f>
        <v>0</v>
      </c>
      <c r="E8814"/>
      <c r="F8814" s="35">
        <f>SUMIFS(F8815:F9015,K8815:K9015,"0",B8815:B9015,"5 1 3 9 9 12 31111 6 M59 10000 000132 0000R 00001 00399 015 2112000 2024 CP1PM439 001*")</f>
        <v>4479.6499999999996</v>
      </c>
      <c r="G8814" s="35">
        <f>SUMIFS(G8815:G9015,K8815:K9015,"0",B8815:B9015,"5 1 3 9 9 12 31111 6 M59 10000 000132 0000R 00001 00399 015 2112000 2024 CP1PM439 001*")</f>
        <v>0</v>
      </c>
      <c r="H8814" s="35">
        <f t="shared" si="138"/>
        <v>4479.6499999999996</v>
      </c>
      <c r="I8814" s="35"/>
      <c r="K8814" t="s">
        <v>15</v>
      </c>
    </row>
    <row r="8815" spans="2:11" ht="33" x14ac:dyDescent="0.2">
      <c r="B8815" s="31" t="s">
        <v>9943</v>
      </c>
      <c r="C8815" s="31" t="s">
        <v>9153</v>
      </c>
      <c r="D8815" s="34">
        <v>0</v>
      </c>
      <c r="E8815" s="34"/>
      <c r="F8815" s="34">
        <v>4479.6499999999996</v>
      </c>
      <c r="G8815" s="34">
        <v>0</v>
      </c>
      <c r="H8815" s="34">
        <f t="shared" si="138"/>
        <v>4479.6499999999996</v>
      </c>
      <c r="I8815" s="34"/>
      <c r="K8815" t="s">
        <v>38</v>
      </c>
    </row>
    <row r="8816" spans="2:11" ht="16.5" x14ac:dyDescent="0.2">
      <c r="B8816" s="33" t="s">
        <v>9944</v>
      </c>
      <c r="C8816" s="33" t="s">
        <v>2946</v>
      </c>
      <c r="D8816" s="35">
        <f>SUMIFS(D8817:D9015,K8817:K9015,"0",B8817:B9015,"5 1 3 9 9 12 31111 6 M59 10300*")-SUMIFS(E8817:E9015,K8817:K9015,"0",B8817:B9015,"5 1 3 9 9 12 31111 6 M59 10300*")</f>
        <v>0</v>
      </c>
      <c r="E8816"/>
      <c r="F8816" s="35">
        <f>SUMIFS(F8817:F9015,K8817:K9015,"0",B8817:B9015,"5 1 3 9 9 12 31111 6 M59 10300*")</f>
        <v>1234.97</v>
      </c>
      <c r="G8816" s="35">
        <f>SUMIFS(G8817:G9015,K8817:K9015,"0",B8817:B9015,"5 1 3 9 9 12 31111 6 M59 10300*")</f>
        <v>0</v>
      </c>
      <c r="H8816" s="35">
        <f t="shared" si="138"/>
        <v>1234.97</v>
      </c>
      <c r="I8816" s="35"/>
      <c r="K8816" t="s">
        <v>15</v>
      </c>
    </row>
    <row r="8817" spans="2:11" ht="16.5" x14ac:dyDescent="0.2">
      <c r="B8817" s="33" t="s">
        <v>9945</v>
      </c>
      <c r="C8817" s="33" t="s">
        <v>1063</v>
      </c>
      <c r="D8817" s="35">
        <f>SUMIFS(D8818:D9015,K8818:K9015,"0",B8818:B9015,"5 1 3 9 9 12 31111 6 M59 10300 000139*")-SUMIFS(E8818:E9015,K8818:K9015,"0",B8818:B9015,"5 1 3 9 9 12 31111 6 M59 10300 000139*")</f>
        <v>0</v>
      </c>
      <c r="E8817"/>
      <c r="F8817" s="35">
        <f>SUMIFS(F8818:F9015,K8818:K9015,"0",B8818:B9015,"5 1 3 9 9 12 31111 6 M59 10300 000139*")</f>
        <v>1234.97</v>
      </c>
      <c r="G8817" s="35">
        <f>SUMIFS(G8818:G9015,K8818:K9015,"0",B8818:B9015,"5 1 3 9 9 12 31111 6 M59 10300 000139*")</f>
        <v>0</v>
      </c>
      <c r="H8817" s="35">
        <f t="shared" si="138"/>
        <v>1234.97</v>
      </c>
      <c r="I8817" s="35"/>
      <c r="K8817" t="s">
        <v>15</v>
      </c>
    </row>
    <row r="8818" spans="2:11" ht="24.75" x14ac:dyDescent="0.2">
      <c r="B8818" s="33" t="s">
        <v>9946</v>
      </c>
      <c r="C8818" s="33" t="s">
        <v>1065</v>
      </c>
      <c r="D8818" s="35">
        <f>SUMIFS(D8819:D9015,K8819:K9015,"0",B8819:B9015,"5 1 3 9 9 12 31111 6 M59 10300 000139 0000E*")-SUMIFS(E8819:E9015,K8819:K9015,"0",B8819:B9015,"5 1 3 9 9 12 31111 6 M59 10300 000139 0000E*")</f>
        <v>0</v>
      </c>
      <c r="E8818"/>
      <c r="F8818" s="35">
        <f>SUMIFS(F8819:F9015,K8819:K9015,"0",B8819:B9015,"5 1 3 9 9 12 31111 6 M59 10300 000139 0000E*")</f>
        <v>1234.97</v>
      </c>
      <c r="G8818" s="35">
        <f>SUMIFS(G8819:G9015,K8819:K9015,"0",B8819:B9015,"5 1 3 9 9 12 31111 6 M59 10300 000139 0000E*")</f>
        <v>0</v>
      </c>
      <c r="H8818" s="35">
        <f t="shared" si="138"/>
        <v>1234.97</v>
      </c>
      <c r="I8818" s="35"/>
      <c r="K8818" t="s">
        <v>15</v>
      </c>
    </row>
    <row r="8819" spans="2:11" ht="24.75" x14ac:dyDescent="0.2">
      <c r="B8819" s="33" t="s">
        <v>9947</v>
      </c>
      <c r="C8819" s="33" t="s">
        <v>282</v>
      </c>
      <c r="D8819" s="35">
        <f>SUMIFS(D8820:D9015,K8820:K9015,"0",B8820:B9015,"5 1 3 9 9 12 31111 6 M59 10300 000139 0000E 00001*")-SUMIFS(E8820:E9015,K8820:K9015,"0",B8820:B9015,"5 1 3 9 9 12 31111 6 M59 10300 000139 0000E 00001*")</f>
        <v>0</v>
      </c>
      <c r="E8819"/>
      <c r="F8819" s="35">
        <f>SUMIFS(F8820:F9015,K8820:K9015,"0",B8820:B9015,"5 1 3 9 9 12 31111 6 M59 10300 000139 0000E 00001*")</f>
        <v>1234.97</v>
      </c>
      <c r="G8819" s="35">
        <f>SUMIFS(G8820:G9015,K8820:K9015,"0",B8820:B9015,"5 1 3 9 9 12 31111 6 M59 10300 000139 0000E 00001*")</f>
        <v>0</v>
      </c>
      <c r="H8819" s="35">
        <f t="shared" si="138"/>
        <v>1234.97</v>
      </c>
      <c r="I8819" s="35"/>
      <c r="K8819" t="s">
        <v>15</v>
      </c>
    </row>
    <row r="8820" spans="2:11" ht="24.75" x14ac:dyDescent="0.2">
      <c r="B8820" s="33" t="s">
        <v>9948</v>
      </c>
      <c r="C8820" s="33" t="s">
        <v>9937</v>
      </c>
      <c r="D8820" s="35">
        <f>SUMIFS(D8821:D9015,K8821:K9015,"0",B8821:B9015,"5 1 3 9 9 12 31111 6 M59 10300 000139 0000E 00001 00399*")-SUMIFS(E8821:E9015,K8821:K9015,"0",B8821:B9015,"5 1 3 9 9 12 31111 6 M59 10300 000139 0000E 00001 00399*")</f>
        <v>0</v>
      </c>
      <c r="E8820"/>
      <c r="F8820" s="35">
        <f>SUMIFS(F8821:F9015,K8821:K9015,"0",B8821:B9015,"5 1 3 9 9 12 31111 6 M59 10300 000139 0000E 00001 00399*")</f>
        <v>1234.97</v>
      </c>
      <c r="G8820" s="35">
        <f>SUMIFS(G8821:G9015,K8821:K9015,"0",B8821:B9015,"5 1 3 9 9 12 31111 6 M59 10300 000139 0000E 00001 00399*")</f>
        <v>0</v>
      </c>
      <c r="H8820" s="35">
        <f t="shared" si="138"/>
        <v>1234.97</v>
      </c>
      <c r="I8820" s="35"/>
      <c r="K8820" t="s">
        <v>15</v>
      </c>
    </row>
    <row r="8821" spans="2:11" ht="33" x14ac:dyDescent="0.2">
      <c r="B8821" s="33" t="s">
        <v>9949</v>
      </c>
      <c r="C8821" s="33" t="s">
        <v>699</v>
      </c>
      <c r="D8821" s="35">
        <f>SUMIFS(D8822:D9015,K8822:K9015,"0",B8822:B9015,"5 1 3 9 9 12 31111 6 M59 10300 000139 0000E 00001 00399 011*")-SUMIFS(E8822:E9015,K8822:K9015,"0",B8822:B9015,"5 1 3 9 9 12 31111 6 M59 10300 000139 0000E 00001 00399 011*")</f>
        <v>0</v>
      </c>
      <c r="E8821"/>
      <c r="F8821" s="35">
        <f>SUMIFS(F8822:F9015,K8822:K9015,"0",B8822:B9015,"5 1 3 9 9 12 31111 6 M59 10300 000139 0000E 00001 00399 011*")</f>
        <v>1234.97</v>
      </c>
      <c r="G8821" s="35">
        <f>SUMIFS(G8822:G9015,K8822:K9015,"0",B8822:B9015,"5 1 3 9 9 12 31111 6 M59 10300 000139 0000E 00001 00399 011*")</f>
        <v>0</v>
      </c>
      <c r="H8821" s="35">
        <f t="shared" si="138"/>
        <v>1234.97</v>
      </c>
      <c r="I8821" s="35"/>
      <c r="K8821" t="s">
        <v>15</v>
      </c>
    </row>
    <row r="8822" spans="2:11" ht="33" x14ac:dyDescent="0.2">
      <c r="B8822" s="33" t="s">
        <v>9950</v>
      </c>
      <c r="C8822" s="33" t="s">
        <v>5830</v>
      </c>
      <c r="D8822" s="35">
        <f>SUMIFS(D8823:D9015,K8823:K9015,"0",B8823:B9015,"5 1 3 9 9 12 31111 6 M59 10300 000139 0000E 00001 00399 011 2112000*")-SUMIFS(E8823:E9015,K8823:K9015,"0",B8823:B9015,"5 1 3 9 9 12 31111 6 M59 10300 000139 0000E 00001 00399 011 2112000*")</f>
        <v>0</v>
      </c>
      <c r="E8822"/>
      <c r="F8822" s="35">
        <f>SUMIFS(F8823:F9015,K8823:K9015,"0",B8823:B9015,"5 1 3 9 9 12 31111 6 M59 10300 000139 0000E 00001 00399 011 2112000*")</f>
        <v>1234.97</v>
      </c>
      <c r="G8822" s="35">
        <f>SUMIFS(G8823:G9015,K8823:K9015,"0",B8823:B9015,"5 1 3 9 9 12 31111 6 M59 10300 000139 0000E 00001 00399 011 2112000*")</f>
        <v>0</v>
      </c>
      <c r="H8822" s="35">
        <f t="shared" si="138"/>
        <v>1234.97</v>
      </c>
      <c r="I8822" s="35"/>
      <c r="K8822" t="s">
        <v>15</v>
      </c>
    </row>
    <row r="8823" spans="2:11" ht="33" x14ac:dyDescent="0.2">
      <c r="B8823" s="33" t="s">
        <v>9951</v>
      </c>
      <c r="C8823" s="33" t="s">
        <v>660</v>
      </c>
      <c r="D8823" s="35">
        <f>SUMIFS(D8824:D9015,K8824:K9015,"0",B8824:B9015,"5 1 3 9 9 12 31111 6 M59 10300 000139 0000E 00001 00399 011 2112000 2024*")-SUMIFS(E8824:E9015,K8824:K9015,"0",B8824:B9015,"5 1 3 9 9 12 31111 6 M59 10300 000139 0000E 00001 00399 011 2112000 2024*")</f>
        <v>0</v>
      </c>
      <c r="E8823"/>
      <c r="F8823" s="35">
        <f>SUMIFS(F8824:F9015,K8824:K9015,"0",B8824:B9015,"5 1 3 9 9 12 31111 6 M59 10300 000139 0000E 00001 00399 011 2112000 2024*")</f>
        <v>1234.97</v>
      </c>
      <c r="G8823" s="35">
        <f>SUMIFS(G8824:G9015,K8824:K9015,"0",B8824:B9015,"5 1 3 9 9 12 31111 6 M59 10300 000139 0000E 00001 00399 011 2112000 2024*")</f>
        <v>0</v>
      </c>
      <c r="H8823" s="35">
        <f t="shared" si="138"/>
        <v>1234.97</v>
      </c>
      <c r="I8823" s="35"/>
      <c r="K8823" t="s">
        <v>15</v>
      </c>
    </row>
    <row r="8824" spans="2:11" ht="41.25" x14ac:dyDescent="0.2">
      <c r="B8824" s="33" t="s">
        <v>9952</v>
      </c>
      <c r="C8824" s="33" t="s">
        <v>8510</v>
      </c>
      <c r="D8824" s="35">
        <f>SUMIFS(D8825:D9015,K8825:K9015,"0",B8825:B9015,"5 1 3 9 9 12 31111 6 M59 10300 000139 0000E 00001 00399 011 2112000 2024 CP3GE486*")-SUMIFS(E8825:E9015,K8825:K9015,"0",B8825:B9015,"5 1 3 9 9 12 31111 6 M59 10300 000139 0000E 00001 00399 011 2112000 2024 CP3GE486*")</f>
        <v>0</v>
      </c>
      <c r="E8824"/>
      <c r="F8824" s="35">
        <f>SUMIFS(F8825:F9015,K8825:K9015,"0",B8825:B9015,"5 1 3 9 9 12 31111 6 M59 10300 000139 0000E 00001 00399 011 2112000 2024 CP3GE486*")</f>
        <v>1234.97</v>
      </c>
      <c r="G8824" s="35">
        <f>SUMIFS(G8825:G9015,K8825:K9015,"0",B8825:B9015,"5 1 3 9 9 12 31111 6 M59 10300 000139 0000E 00001 00399 011 2112000 2024 CP3GE486*")</f>
        <v>0</v>
      </c>
      <c r="H8824" s="35">
        <f t="shared" si="138"/>
        <v>1234.97</v>
      </c>
      <c r="I8824" s="35"/>
      <c r="K8824" t="s">
        <v>15</v>
      </c>
    </row>
    <row r="8825" spans="2:11" ht="41.25" x14ac:dyDescent="0.2">
      <c r="B8825" s="33" t="s">
        <v>9953</v>
      </c>
      <c r="C8825" s="33" t="s">
        <v>1364</v>
      </c>
      <c r="D8825" s="35">
        <f>SUMIFS(D8826:D9015,K8826:K9015,"0",B8826:B9015,"5 1 3 9 9 12 31111 6 M59 10300 000139 0000E 00001 00399 011 2112000 2024 CP3GE486 004*")-SUMIFS(E8826:E9015,K8826:K9015,"0",B8826:B9015,"5 1 3 9 9 12 31111 6 M59 10300 000139 0000E 00001 00399 011 2112000 2024 CP3GE486 004*")</f>
        <v>0</v>
      </c>
      <c r="E8825"/>
      <c r="F8825" s="35">
        <f>SUMIFS(F8826:F9015,K8826:K9015,"0",B8826:B9015,"5 1 3 9 9 12 31111 6 M59 10300 000139 0000E 00001 00399 011 2112000 2024 CP3GE486 004*")</f>
        <v>1234.97</v>
      </c>
      <c r="G8825" s="35">
        <f>SUMIFS(G8826:G9015,K8826:K9015,"0",B8826:B9015,"5 1 3 9 9 12 31111 6 M59 10300 000139 0000E 00001 00399 011 2112000 2024 CP3GE486 004*")</f>
        <v>0</v>
      </c>
      <c r="H8825" s="35">
        <f t="shared" si="138"/>
        <v>1234.97</v>
      </c>
      <c r="I8825" s="35"/>
      <c r="K8825" t="s">
        <v>15</v>
      </c>
    </row>
    <row r="8826" spans="2:11" ht="33" x14ac:dyDescent="0.2">
      <c r="B8826" s="31" t="s">
        <v>9954</v>
      </c>
      <c r="C8826" s="31" t="s">
        <v>9153</v>
      </c>
      <c r="D8826" s="34">
        <v>0</v>
      </c>
      <c r="E8826" s="34"/>
      <c r="F8826" s="34">
        <v>1234.97</v>
      </c>
      <c r="G8826" s="34">
        <v>0</v>
      </c>
      <c r="H8826" s="34">
        <f t="shared" si="138"/>
        <v>1234.97</v>
      </c>
      <c r="I8826" s="34"/>
      <c r="K8826" t="s">
        <v>38</v>
      </c>
    </row>
    <row r="8827" spans="2:11" ht="16.5" x14ac:dyDescent="0.2">
      <c r="B8827" s="33" t="s">
        <v>9955</v>
      </c>
      <c r="C8827" s="33" t="s">
        <v>3103</v>
      </c>
      <c r="D8827" s="35">
        <f>SUMIFS(D8828:D9015,K8828:K9015,"0",B8828:B9015,"5 1 3 9 9 12 31111 6 M59 20400*")-SUMIFS(E8828:E9015,K8828:K9015,"0",B8828:B9015,"5 1 3 9 9 12 31111 6 M59 20400*")</f>
        <v>0</v>
      </c>
      <c r="E8827"/>
      <c r="F8827" s="35">
        <f>SUMIFS(F8828:F9015,K8828:K9015,"0",B8828:B9015,"5 1 3 9 9 12 31111 6 M59 20400*")</f>
        <v>2850.02</v>
      </c>
      <c r="G8827" s="35">
        <f>SUMIFS(G8828:G9015,K8828:K9015,"0",B8828:B9015,"5 1 3 9 9 12 31111 6 M59 20400*")</f>
        <v>0</v>
      </c>
      <c r="H8827" s="35">
        <f t="shared" si="138"/>
        <v>2850.02</v>
      </c>
      <c r="I8827" s="35"/>
      <c r="K8827" t="s">
        <v>15</v>
      </c>
    </row>
    <row r="8828" spans="2:11" ht="16.5" x14ac:dyDescent="0.2">
      <c r="B8828" s="33" t="s">
        <v>9956</v>
      </c>
      <c r="C8828" s="33" t="s">
        <v>648</v>
      </c>
      <c r="D8828" s="35">
        <f>SUMIFS(D8829:D9015,K8829:K9015,"0",B8829:B9015,"5 1 3 9 9 12 31111 6 M59 20400 000132*")-SUMIFS(E8829:E9015,K8829:K9015,"0",B8829:B9015,"5 1 3 9 9 12 31111 6 M59 20400 000132*")</f>
        <v>0</v>
      </c>
      <c r="E8828"/>
      <c r="F8828" s="35">
        <f>SUMIFS(F8829:F9015,K8829:K9015,"0",B8829:B9015,"5 1 3 9 9 12 31111 6 M59 20400 000132*")</f>
        <v>2850.02</v>
      </c>
      <c r="G8828" s="35">
        <f>SUMIFS(G8829:G9015,K8829:K9015,"0",B8829:B9015,"5 1 3 9 9 12 31111 6 M59 20400 000132*")</f>
        <v>0</v>
      </c>
      <c r="H8828" s="35">
        <f t="shared" si="138"/>
        <v>2850.02</v>
      </c>
      <c r="I8828" s="35"/>
      <c r="K8828" t="s">
        <v>15</v>
      </c>
    </row>
    <row r="8829" spans="2:11" ht="24.75" x14ac:dyDescent="0.2">
      <c r="B8829" s="33" t="s">
        <v>9957</v>
      </c>
      <c r="C8829" s="33" t="s">
        <v>650</v>
      </c>
      <c r="D8829" s="35">
        <f>SUMIFS(D8830:D9015,K8830:K9015,"0",B8830:B9015,"5 1 3 9 9 12 31111 6 M59 20400 000132 0000R*")-SUMIFS(E8830:E9015,K8830:K9015,"0",B8830:B9015,"5 1 3 9 9 12 31111 6 M59 20400 000132 0000R*")</f>
        <v>0</v>
      </c>
      <c r="E8829"/>
      <c r="F8829" s="35">
        <f>SUMIFS(F8830:F9015,K8830:K9015,"0",B8830:B9015,"5 1 3 9 9 12 31111 6 M59 20400 000132 0000R*")</f>
        <v>2850.02</v>
      </c>
      <c r="G8829" s="35">
        <f>SUMIFS(G8830:G9015,K8830:K9015,"0",B8830:B9015,"5 1 3 9 9 12 31111 6 M59 20400 000132 0000R*")</f>
        <v>0</v>
      </c>
      <c r="H8829" s="35">
        <f t="shared" si="138"/>
        <v>2850.02</v>
      </c>
      <c r="I8829" s="35"/>
      <c r="K8829" t="s">
        <v>15</v>
      </c>
    </row>
    <row r="8830" spans="2:11" ht="24.75" x14ac:dyDescent="0.2">
      <c r="B8830" s="33" t="s">
        <v>9958</v>
      </c>
      <c r="C8830" s="33" t="s">
        <v>282</v>
      </c>
      <c r="D8830" s="35">
        <f>SUMIFS(D8831:D9015,K8831:K9015,"0",B8831:B9015,"5 1 3 9 9 12 31111 6 M59 20400 000132 0000R 00001*")-SUMIFS(E8831:E9015,K8831:K9015,"0",B8831:B9015,"5 1 3 9 9 12 31111 6 M59 20400 000132 0000R 00001*")</f>
        <v>0</v>
      </c>
      <c r="E8830"/>
      <c r="F8830" s="35">
        <f>SUMIFS(F8831:F9015,K8831:K9015,"0",B8831:B9015,"5 1 3 9 9 12 31111 6 M59 20400 000132 0000R 00001*")</f>
        <v>2850.02</v>
      </c>
      <c r="G8830" s="35">
        <f>SUMIFS(G8831:G9015,K8831:K9015,"0",B8831:B9015,"5 1 3 9 9 12 31111 6 M59 20400 000132 0000R 00001*")</f>
        <v>0</v>
      </c>
      <c r="H8830" s="35">
        <f t="shared" si="138"/>
        <v>2850.02</v>
      </c>
      <c r="I8830" s="35"/>
      <c r="K8830" t="s">
        <v>15</v>
      </c>
    </row>
    <row r="8831" spans="2:11" ht="24.75" x14ac:dyDescent="0.2">
      <c r="B8831" s="33" t="s">
        <v>9959</v>
      </c>
      <c r="C8831" s="33" t="s">
        <v>9937</v>
      </c>
      <c r="D8831" s="35">
        <f>SUMIFS(D8832:D9015,K8832:K9015,"0",B8832:B9015,"5 1 3 9 9 12 31111 6 M59 20400 000132 0000R 00001 00399*")-SUMIFS(E8832:E9015,K8832:K9015,"0",B8832:B9015,"5 1 3 9 9 12 31111 6 M59 20400 000132 0000R 00001 00399*")</f>
        <v>0</v>
      </c>
      <c r="E8831"/>
      <c r="F8831" s="35">
        <f>SUMIFS(F8832:F9015,K8832:K9015,"0",B8832:B9015,"5 1 3 9 9 12 31111 6 M59 20400 000132 0000R 00001 00399*")</f>
        <v>2850.02</v>
      </c>
      <c r="G8831" s="35">
        <f>SUMIFS(G8832:G9015,K8832:K9015,"0",B8832:B9015,"5 1 3 9 9 12 31111 6 M59 20400 000132 0000R 00001 00399*")</f>
        <v>0</v>
      </c>
      <c r="H8831" s="35">
        <f t="shared" si="138"/>
        <v>2850.02</v>
      </c>
      <c r="I8831" s="35"/>
      <c r="K8831" t="s">
        <v>15</v>
      </c>
    </row>
    <row r="8832" spans="2:11" ht="33" x14ac:dyDescent="0.2">
      <c r="B8832" s="33" t="s">
        <v>9960</v>
      </c>
      <c r="C8832" s="33" t="s">
        <v>1051</v>
      </c>
      <c r="D8832" s="35">
        <f>SUMIFS(D8833:D9015,K8833:K9015,"0",B8833:B9015,"5 1 3 9 9 12 31111 6 M59 20400 000132 0000R 00001 00399 015*")-SUMIFS(E8833:E9015,K8833:K9015,"0",B8833:B9015,"5 1 3 9 9 12 31111 6 M59 20400 000132 0000R 00001 00399 015*")</f>
        <v>0</v>
      </c>
      <c r="E8832"/>
      <c r="F8832" s="35">
        <f>SUMIFS(F8833:F9015,K8833:K9015,"0",B8833:B9015,"5 1 3 9 9 12 31111 6 M59 20400 000132 0000R 00001 00399 015*")</f>
        <v>2850.02</v>
      </c>
      <c r="G8832" s="35">
        <f>SUMIFS(G8833:G9015,K8833:K9015,"0",B8833:B9015,"5 1 3 9 9 12 31111 6 M59 20400 000132 0000R 00001 00399 015*")</f>
        <v>0</v>
      </c>
      <c r="H8832" s="35">
        <f t="shared" si="138"/>
        <v>2850.02</v>
      </c>
      <c r="I8832" s="35"/>
      <c r="K8832" t="s">
        <v>15</v>
      </c>
    </row>
    <row r="8833" spans="2:11" ht="33" x14ac:dyDescent="0.2">
      <c r="B8833" s="33" t="s">
        <v>9961</v>
      </c>
      <c r="C8833" s="33" t="s">
        <v>5830</v>
      </c>
      <c r="D8833" s="35">
        <f>SUMIFS(D8834:D9015,K8834:K9015,"0",B8834:B9015,"5 1 3 9 9 12 31111 6 M59 20400 000132 0000R 00001 00399 015 2112000*")-SUMIFS(E8834:E9015,K8834:K9015,"0",B8834:B9015,"5 1 3 9 9 12 31111 6 M59 20400 000132 0000R 00001 00399 015 2112000*")</f>
        <v>0</v>
      </c>
      <c r="E8833"/>
      <c r="F8833" s="35">
        <f>SUMIFS(F8834:F9015,K8834:K9015,"0",B8834:B9015,"5 1 3 9 9 12 31111 6 M59 20400 000132 0000R 00001 00399 015 2112000*")</f>
        <v>2850.02</v>
      </c>
      <c r="G8833" s="35">
        <f>SUMIFS(G8834:G9015,K8834:K9015,"0",B8834:B9015,"5 1 3 9 9 12 31111 6 M59 20400 000132 0000R 00001 00399 015 2112000*")</f>
        <v>0</v>
      </c>
      <c r="H8833" s="35">
        <f t="shared" si="138"/>
        <v>2850.02</v>
      </c>
      <c r="I8833" s="35"/>
      <c r="K8833" t="s">
        <v>15</v>
      </c>
    </row>
    <row r="8834" spans="2:11" ht="33" x14ac:dyDescent="0.2">
      <c r="B8834" s="33" t="s">
        <v>9962</v>
      </c>
      <c r="C8834" s="33" t="s">
        <v>660</v>
      </c>
      <c r="D8834" s="35">
        <f>SUMIFS(D8835:D9015,K8835:K9015,"0",B8835:B9015,"5 1 3 9 9 12 31111 6 M59 20400 000132 0000R 00001 00399 015 2112000 2024*")-SUMIFS(E8835:E9015,K8835:K9015,"0",B8835:B9015,"5 1 3 9 9 12 31111 6 M59 20400 000132 0000R 00001 00399 015 2112000 2024*")</f>
        <v>0</v>
      </c>
      <c r="E8834"/>
      <c r="F8834" s="35">
        <f>SUMIFS(F8835:F9015,K8835:K9015,"0",B8835:B9015,"5 1 3 9 9 12 31111 6 M59 20400 000132 0000R 00001 00399 015 2112000 2024*")</f>
        <v>2850.02</v>
      </c>
      <c r="G8834" s="35">
        <f>SUMIFS(G8835:G9015,K8835:K9015,"0",B8835:B9015,"5 1 3 9 9 12 31111 6 M59 20400 000132 0000R 00001 00399 015 2112000 2024*")</f>
        <v>0</v>
      </c>
      <c r="H8834" s="35">
        <f t="shared" si="138"/>
        <v>2850.02</v>
      </c>
      <c r="I8834" s="35"/>
      <c r="K8834" t="s">
        <v>15</v>
      </c>
    </row>
    <row r="8835" spans="2:11" ht="41.25" x14ac:dyDescent="0.2">
      <c r="B8835" s="33" t="s">
        <v>9963</v>
      </c>
      <c r="C8835" s="33" t="s">
        <v>1056</v>
      </c>
      <c r="D8835" s="35">
        <f>SUMIFS(D8836:D9015,K8836:K9015,"0",B8836:B9015,"5 1 3 9 9 12 31111 6 M59 20400 000132 0000R 00001 00399 015 2112000 2024 CP1PV404*")-SUMIFS(E8836:E9015,K8836:K9015,"0",B8836:B9015,"5 1 3 9 9 12 31111 6 M59 20400 000132 0000R 00001 00399 015 2112000 2024 CP1PV404*")</f>
        <v>0</v>
      </c>
      <c r="E8835"/>
      <c r="F8835" s="35">
        <f>SUMIFS(F8836:F9015,K8836:K9015,"0",B8836:B9015,"5 1 3 9 9 12 31111 6 M59 20400 000132 0000R 00001 00399 015 2112000 2024 CP1PV404*")</f>
        <v>2850.02</v>
      </c>
      <c r="G8835" s="35">
        <f>SUMIFS(G8836:G9015,K8836:K9015,"0",B8836:B9015,"5 1 3 9 9 12 31111 6 M59 20400 000132 0000R 00001 00399 015 2112000 2024 CP1PV404*")</f>
        <v>0</v>
      </c>
      <c r="H8835" s="35">
        <f t="shared" si="138"/>
        <v>2850.02</v>
      </c>
      <c r="I8835" s="35"/>
      <c r="K8835" t="s">
        <v>15</v>
      </c>
    </row>
    <row r="8836" spans="2:11" ht="41.25" x14ac:dyDescent="0.2">
      <c r="B8836" s="33" t="s">
        <v>9964</v>
      </c>
      <c r="C8836" s="33" t="s">
        <v>282</v>
      </c>
      <c r="D8836" s="35">
        <f>SUMIFS(D8837:D9015,K8837:K9015,"0",B8837:B9015,"5 1 3 9 9 12 31111 6 M59 20400 000132 0000R 00001 00399 015 2112000 2024 CP1PV404 001*")-SUMIFS(E8837:E9015,K8837:K9015,"0",B8837:B9015,"5 1 3 9 9 12 31111 6 M59 20400 000132 0000R 00001 00399 015 2112000 2024 CP1PV404 001*")</f>
        <v>0</v>
      </c>
      <c r="E8836"/>
      <c r="F8836" s="35">
        <f>SUMIFS(F8837:F9015,K8837:K9015,"0",B8837:B9015,"5 1 3 9 9 12 31111 6 M59 20400 000132 0000R 00001 00399 015 2112000 2024 CP1PV404 001*")</f>
        <v>2850.02</v>
      </c>
      <c r="G8836" s="35">
        <f>SUMIFS(G8837:G9015,K8837:K9015,"0",B8837:B9015,"5 1 3 9 9 12 31111 6 M59 20400 000132 0000R 00001 00399 015 2112000 2024 CP1PV404 001*")</f>
        <v>0</v>
      </c>
      <c r="H8836" s="35">
        <f t="shared" ref="H8836:H8899" si="139">D8836 + F8836 - G8836</f>
        <v>2850.02</v>
      </c>
      <c r="I8836" s="35"/>
      <c r="K8836" t="s">
        <v>15</v>
      </c>
    </row>
    <row r="8837" spans="2:11" ht="41.25" x14ac:dyDescent="0.2">
      <c r="B8837" s="31" t="s">
        <v>9965</v>
      </c>
      <c r="C8837" s="31" t="s">
        <v>9153</v>
      </c>
      <c r="D8837" s="34">
        <v>0</v>
      </c>
      <c r="E8837" s="34"/>
      <c r="F8837" s="34">
        <v>2850.02</v>
      </c>
      <c r="G8837" s="34">
        <v>0</v>
      </c>
      <c r="H8837" s="34">
        <f t="shared" si="139"/>
        <v>2850.02</v>
      </c>
      <c r="I8837" s="34"/>
      <c r="K8837" t="s">
        <v>38</v>
      </c>
    </row>
    <row r="8838" spans="2:11" ht="16.5" x14ac:dyDescent="0.2">
      <c r="B8838" s="33" t="s">
        <v>9966</v>
      </c>
      <c r="C8838" s="33" t="s">
        <v>1079</v>
      </c>
      <c r="D8838" s="35">
        <f>SUMIFS(D8839:D9015,K8839:K9015,"0",B8839:B9015,"5 1 3 9 9 12 31111 6 M59 20500*")-SUMIFS(E8839:E9015,K8839:K9015,"0",B8839:B9015,"5 1 3 9 9 12 31111 6 M59 20500*")</f>
        <v>0</v>
      </c>
      <c r="E8838"/>
      <c r="F8838" s="35">
        <f>SUMIFS(F8839:F9015,K8839:K9015,"0",B8839:B9015,"5 1 3 9 9 12 31111 6 M59 20500*")</f>
        <v>114450</v>
      </c>
      <c r="G8838" s="35">
        <f>SUMIFS(G8839:G9015,K8839:K9015,"0",B8839:B9015,"5 1 3 9 9 12 31111 6 M59 20500*")</f>
        <v>0</v>
      </c>
      <c r="H8838" s="35">
        <f t="shared" si="139"/>
        <v>114450</v>
      </c>
      <c r="I8838" s="35"/>
      <c r="K8838" t="s">
        <v>15</v>
      </c>
    </row>
    <row r="8839" spans="2:11" ht="24.75" x14ac:dyDescent="0.2">
      <c r="B8839" s="33" t="s">
        <v>9967</v>
      </c>
      <c r="C8839" s="33" t="s">
        <v>3152</v>
      </c>
      <c r="D8839" s="35">
        <f>SUMIFS(D8840:D9015,K8840:K9015,"0",B8840:B9015,"5 1 3 9 9 12 31111 6 M59 20500 000181*")-SUMIFS(E8840:E9015,K8840:K9015,"0",B8840:B9015,"5 1 3 9 9 12 31111 6 M59 20500 000181*")</f>
        <v>0</v>
      </c>
      <c r="E8839"/>
      <c r="F8839" s="35">
        <f>SUMIFS(F8840:F9015,K8840:K9015,"0",B8840:B9015,"5 1 3 9 9 12 31111 6 M59 20500 000181*")</f>
        <v>114450</v>
      </c>
      <c r="G8839" s="35">
        <f>SUMIFS(G8840:G9015,K8840:K9015,"0",B8840:B9015,"5 1 3 9 9 12 31111 6 M59 20500 000181*")</f>
        <v>0</v>
      </c>
      <c r="H8839" s="35">
        <f t="shared" si="139"/>
        <v>114450</v>
      </c>
      <c r="I8839" s="35"/>
      <c r="K8839" t="s">
        <v>15</v>
      </c>
    </row>
    <row r="8840" spans="2:11" ht="24.75" x14ac:dyDescent="0.2">
      <c r="B8840" s="33" t="s">
        <v>9968</v>
      </c>
      <c r="C8840" s="33" t="s">
        <v>1065</v>
      </c>
      <c r="D8840" s="35">
        <f>SUMIFS(D8841:D9015,K8841:K9015,"0",B8841:B9015,"5 1 3 9 9 12 31111 6 M59 20500 000181 0000E*")-SUMIFS(E8841:E9015,K8841:K9015,"0",B8841:B9015,"5 1 3 9 9 12 31111 6 M59 20500 000181 0000E*")</f>
        <v>0</v>
      </c>
      <c r="E8840"/>
      <c r="F8840" s="35">
        <f>SUMIFS(F8841:F9015,K8841:K9015,"0",B8841:B9015,"5 1 3 9 9 12 31111 6 M59 20500 000181 0000E*")</f>
        <v>114450</v>
      </c>
      <c r="G8840" s="35">
        <f>SUMIFS(G8841:G9015,K8841:K9015,"0",B8841:B9015,"5 1 3 9 9 12 31111 6 M59 20500 000181 0000E*")</f>
        <v>0</v>
      </c>
      <c r="H8840" s="35">
        <f t="shared" si="139"/>
        <v>114450</v>
      </c>
      <c r="I8840" s="35"/>
      <c r="K8840" t="s">
        <v>15</v>
      </c>
    </row>
    <row r="8841" spans="2:11" ht="24.75" x14ac:dyDescent="0.2">
      <c r="B8841" s="33" t="s">
        <v>9969</v>
      </c>
      <c r="C8841" s="33" t="s">
        <v>282</v>
      </c>
      <c r="D8841" s="35">
        <f>SUMIFS(D8842:D9015,K8842:K9015,"0",B8842:B9015,"5 1 3 9 9 12 31111 6 M59 20500 000181 0000E 00001*")-SUMIFS(E8842:E9015,K8842:K9015,"0",B8842:B9015,"5 1 3 9 9 12 31111 6 M59 20500 000181 0000E 00001*")</f>
        <v>0</v>
      </c>
      <c r="E8841"/>
      <c r="F8841" s="35">
        <f>SUMIFS(F8842:F9015,K8842:K9015,"0",B8842:B9015,"5 1 3 9 9 12 31111 6 M59 20500 000181 0000E 00001*")</f>
        <v>114450</v>
      </c>
      <c r="G8841" s="35">
        <f>SUMIFS(G8842:G9015,K8842:K9015,"0",B8842:B9015,"5 1 3 9 9 12 31111 6 M59 20500 000181 0000E 00001*")</f>
        <v>0</v>
      </c>
      <c r="H8841" s="35">
        <f t="shared" si="139"/>
        <v>114450</v>
      </c>
      <c r="I8841" s="35"/>
      <c r="K8841" t="s">
        <v>15</v>
      </c>
    </row>
    <row r="8842" spans="2:11" ht="24.75" x14ac:dyDescent="0.2">
      <c r="B8842" s="33" t="s">
        <v>9970</v>
      </c>
      <c r="C8842" s="33" t="s">
        <v>9937</v>
      </c>
      <c r="D8842" s="35">
        <f>SUMIFS(D8843:D9015,K8843:K9015,"0",B8843:B9015,"5 1 3 9 9 12 31111 6 M59 20500 000181 0000E 00001 00399*")-SUMIFS(E8843:E9015,K8843:K9015,"0",B8843:B9015,"5 1 3 9 9 12 31111 6 M59 20500 000181 0000E 00001 00399*")</f>
        <v>0</v>
      </c>
      <c r="E8842"/>
      <c r="F8842" s="35">
        <f>SUMIFS(F8843:F9015,K8843:K9015,"0",B8843:B9015,"5 1 3 9 9 12 31111 6 M59 20500 000181 0000E 00001 00399*")</f>
        <v>114450</v>
      </c>
      <c r="G8842" s="35">
        <f>SUMIFS(G8843:G9015,K8843:K9015,"0",B8843:B9015,"5 1 3 9 9 12 31111 6 M59 20500 000181 0000E 00001 00399*")</f>
        <v>0</v>
      </c>
      <c r="H8842" s="35">
        <f t="shared" si="139"/>
        <v>114450</v>
      </c>
      <c r="I8842" s="35"/>
      <c r="K8842" t="s">
        <v>15</v>
      </c>
    </row>
    <row r="8843" spans="2:11" ht="33" x14ac:dyDescent="0.2">
      <c r="B8843" s="33" t="s">
        <v>9971</v>
      </c>
      <c r="C8843" s="33" t="s">
        <v>699</v>
      </c>
      <c r="D8843" s="35">
        <f>SUMIFS(D8844:D9015,K8844:K9015,"0",B8844:B9015,"5 1 3 9 9 12 31111 6 M59 20500 000181 0000E 00001 00399 011*")-SUMIFS(E8844:E9015,K8844:K9015,"0",B8844:B9015,"5 1 3 9 9 12 31111 6 M59 20500 000181 0000E 00001 00399 011*")</f>
        <v>0</v>
      </c>
      <c r="E8843"/>
      <c r="F8843" s="35">
        <f>SUMIFS(F8844:F9015,K8844:K9015,"0",B8844:B9015,"5 1 3 9 9 12 31111 6 M59 20500 000181 0000E 00001 00399 011*")</f>
        <v>114450</v>
      </c>
      <c r="G8843" s="35">
        <f>SUMIFS(G8844:G9015,K8844:K9015,"0",B8844:B9015,"5 1 3 9 9 12 31111 6 M59 20500 000181 0000E 00001 00399 011*")</f>
        <v>0</v>
      </c>
      <c r="H8843" s="35">
        <f t="shared" si="139"/>
        <v>114450</v>
      </c>
      <c r="I8843" s="35"/>
      <c r="K8843" t="s">
        <v>15</v>
      </c>
    </row>
    <row r="8844" spans="2:11" ht="33" x14ac:dyDescent="0.2">
      <c r="B8844" s="33" t="s">
        <v>9972</v>
      </c>
      <c r="C8844" s="33" t="s">
        <v>5830</v>
      </c>
      <c r="D8844" s="35">
        <f>SUMIFS(D8845:D9015,K8845:K9015,"0",B8845:B9015,"5 1 3 9 9 12 31111 6 M59 20500 000181 0000E 00001 00399 011 2112000*")-SUMIFS(E8845:E9015,K8845:K9015,"0",B8845:B9015,"5 1 3 9 9 12 31111 6 M59 20500 000181 0000E 00001 00399 011 2112000*")</f>
        <v>0</v>
      </c>
      <c r="E8844"/>
      <c r="F8844" s="35">
        <f>SUMIFS(F8845:F9015,K8845:K9015,"0",B8845:B9015,"5 1 3 9 9 12 31111 6 M59 20500 000181 0000E 00001 00399 011 2112000*")</f>
        <v>114450</v>
      </c>
      <c r="G8844" s="35">
        <f>SUMIFS(G8845:G9015,K8845:K9015,"0",B8845:B9015,"5 1 3 9 9 12 31111 6 M59 20500 000181 0000E 00001 00399 011 2112000*")</f>
        <v>0</v>
      </c>
      <c r="H8844" s="35">
        <f t="shared" si="139"/>
        <v>114450</v>
      </c>
      <c r="I8844" s="35"/>
      <c r="K8844" t="s">
        <v>15</v>
      </c>
    </row>
    <row r="8845" spans="2:11" ht="33" x14ac:dyDescent="0.2">
      <c r="B8845" s="33" t="s">
        <v>9973</v>
      </c>
      <c r="C8845" s="33" t="s">
        <v>660</v>
      </c>
      <c r="D8845" s="35">
        <f>SUMIFS(D8846:D9015,K8846:K9015,"0",B8846:B9015,"5 1 3 9 9 12 31111 6 M59 20500 000181 0000E 00001 00399 011 2112000 2024*")-SUMIFS(E8846:E9015,K8846:K9015,"0",B8846:B9015,"5 1 3 9 9 12 31111 6 M59 20500 000181 0000E 00001 00399 011 2112000 2024*")</f>
        <v>0</v>
      </c>
      <c r="E8845"/>
      <c r="F8845" s="35">
        <f>SUMIFS(F8846:F9015,K8846:K9015,"0",B8846:B9015,"5 1 3 9 9 12 31111 6 M59 20500 000181 0000E 00001 00399 011 2112000 2024*")</f>
        <v>114450</v>
      </c>
      <c r="G8845" s="35">
        <f>SUMIFS(G8846:G9015,K8846:K9015,"0",B8846:B9015,"5 1 3 9 9 12 31111 6 M59 20500 000181 0000E 00001 00399 011 2112000 2024*")</f>
        <v>0</v>
      </c>
      <c r="H8845" s="35">
        <f t="shared" si="139"/>
        <v>114450</v>
      </c>
      <c r="I8845" s="35"/>
      <c r="K8845" t="s">
        <v>15</v>
      </c>
    </row>
    <row r="8846" spans="2:11" ht="49.5" x14ac:dyDescent="0.2">
      <c r="B8846" s="33" t="s">
        <v>9974</v>
      </c>
      <c r="C8846" s="33" t="s">
        <v>5982</v>
      </c>
      <c r="D8846" s="35">
        <f>SUMIFS(D8847:D9015,K8847:K9015,"0",B8847:B9015,"5 1 3 9 9 12 31111 6 M59 20500 000181 0000E 00001 00399 011 2112000 2024 CP3CP471*")-SUMIFS(E8847:E9015,K8847:K9015,"0",B8847:B9015,"5 1 3 9 9 12 31111 6 M59 20500 000181 0000E 00001 00399 011 2112000 2024 CP3CP471*")</f>
        <v>0</v>
      </c>
      <c r="E8846"/>
      <c r="F8846" s="35">
        <f>SUMIFS(F8847:F9015,K8847:K9015,"0",B8847:B9015,"5 1 3 9 9 12 31111 6 M59 20500 000181 0000E 00001 00399 011 2112000 2024 CP3CP471*")</f>
        <v>114450</v>
      </c>
      <c r="G8846" s="35">
        <f>SUMIFS(G8847:G9015,K8847:K9015,"0",B8847:B9015,"5 1 3 9 9 12 31111 6 M59 20500 000181 0000E 00001 00399 011 2112000 2024 CP3CP471*")</f>
        <v>0</v>
      </c>
      <c r="H8846" s="35">
        <f t="shared" si="139"/>
        <v>114450</v>
      </c>
      <c r="I8846" s="35"/>
      <c r="K8846" t="s">
        <v>15</v>
      </c>
    </row>
    <row r="8847" spans="2:11" ht="41.25" x14ac:dyDescent="0.2">
      <c r="B8847" s="33" t="s">
        <v>9975</v>
      </c>
      <c r="C8847" s="33" t="s">
        <v>46</v>
      </c>
      <c r="D8847" s="35">
        <f>SUMIFS(D8848:D9015,K8848:K9015,"0",B8848:B9015,"5 1 3 9 9 12 31111 6 M59 20500 000181 0000E 00001 00399 011 2112000 2024 CP3CP471 004*")-SUMIFS(E8848:E9015,K8848:K9015,"0",B8848:B9015,"5 1 3 9 9 12 31111 6 M59 20500 000181 0000E 00001 00399 011 2112000 2024 CP3CP471 004*")</f>
        <v>0</v>
      </c>
      <c r="E8847"/>
      <c r="F8847" s="35">
        <f>SUMIFS(F8848:F9015,K8848:K9015,"0",B8848:B9015,"5 1 3 9 9 12 31111 6 M59 20500 000181 0000E 00001 00399 011 2112000 2024 CP3CP471 004*")</f>
        <v>114450</v>
      </c>
      <c r="G8847" s="35">
        <f>SUMIFS(G8848:G9015,K8848:K9015,"0",B8848:B9015,"5 1 3 9 9 12 31111 6 M59 20500 000181 0000E 00001 00399 011 2112000 2024 CP3CP471 004*")</f>
        <v>0</v>
      </c>
      <c r="H8847" s="35">
        <f t="shared" si="139"/>
        <v>114450</v>
      </c>
      <c r="I8847" s="35"/>
      <c r="K8847" t="s">
        <v>15</v>
      </c>
    </row>
    <row r="8848" spans="2:11" ht="33" x14ac:dyDescent="0.2">
      <c r="B8848" s="31" t="s">
        <v>9976</v>
      </c>
      <c r="C8848" s="31" t="s">
        <v>9153</v>
      </c>
      <c r="D8848" s="34">
        <v>0</v>
      </c>
      <c r="E8848" s="34"/>
      <c r="F8848" s="34">
        <v>114450</v>
      </c>
      <c r="G8848" s="34">
        <v>0</v>
      </c>
      <c r="H8848" s="34">
        <f t="shared" si="139"/>
        <v>114450</v>
      </c>
      <c r="I8848" s="34"/>
      <c r="K8848" t="s">
        <v>38</v>
      </c>
    </row>
    <row r="8849" spans="2:11" ht="16.5" x14ac:dyDescent="0.2">
      <c r="B8849" s="33" t="s">
        <v>9977</v>
      </c>
      <c r="C8849" s="33" t="s">
        <v>3644</v>
      </c>
      <c r="D8849" s="35">
        <f>SUMIFS(D8850:D9015,K8850:K9015,"0",B8850:B9015,"5 1 3 9 9 12 31111 6 M59 94000*")-SUMIFS(E8850:E9015,K8850:K9015,"0",B8850:B9015,"5 1 3 9 9 12 31111 6 M59 94000*")</f>
        <v>0</v>
      </c>
      <c r="E8849"/>
      <c r="F8849" s="35">
        <f>SUMIFS(F8850:F9015,K8850:K9015,"0",B8850:B9015,"5 1 3 9 9 12 31111 6 M59 94000*")</f>
        <v>850000</v>
      </c>
      <c r="G8849" s="35">
        <f>SUMIFS(G8850:G9015,K8850:K9015,"0",B8850:B9015,"5 1 3 9 9 12 31111 6 M59 94000*")</f>
        <v>0</v>
      </c>
      <c r="H8849" s="35">
        <f t="shared" si="139"/>
        <v>850000</v>
      </c>
      <c r="I8849" s="35"/>
      <c r="K8849" t="s">
        <v>15</v>
      </c>
    </row>
    <row r="8850" spans="2:11" ht="24.75" x14ac:dyDescent="0.2">
      <c r="B8850" s="33" t="s">
        <v>9978</v>
      </c>
      <c r="C8850" s="33" t="s">
        <v>3152</v>
      </c>
      <c r="D8850" s="35">
        <f>SUMIFS(D8851:D9015,K8851:K9015,"0",B8851:B9015,"5 1 3 9 9 12 31111 6 M59 94000 000181*")-SUMIFS(E8851:E9015,K8851:K9015,"0",B8851:B9015,"5 1 3 9 9 12 31111 6 M59 94000 000181*")</f>
        <v>0</v>
      </c>
      <c r="E8850"/>
      <c r="F8850" s="35">
        <f>SUMIFS(F8851:F9015,K8851:K9015,"0",B8851:B9015,"5 1 3 9 9 12 31111 6 M59 94000 000181*")</f>
        <v>850000</v>
      </c>
      <c r="G8850" s="35">
        <f>SUMIFS(G8851:G9015,K8851:K9015,"0",B8851:B9015,"5 1 3 9 9 12 31111 6 M59 94000 000181*")</f>
        <v>0</v>
      </c>
      <c r="H8850" s="35">
        <f t="shared" si="139"/>
        <v>850000</v>
      </c>
      <c r="I8850" s="35"/>
      <c r="K8850" t="s">
        <v>15</v>
      </c>
    </row>
    <row r="8851" spans="2:11" ht="24.75" x14ac:dyDescent="0.2">
      <c r="B8851" s="33" t="s">
        <v>9979</v>
      </c>
      <c r="C8851" s="33" t="s">
        <v>650</v>
      </c>
      <c r="D8851" s="35">
        <f>SUMIFS(D8852:D9015,K8852:K9015,"0",B8852:B9015,"5 1 3 9 9 12 31111 6 M59 94000 000181 0000R*")-SUMIFS(E8852:E9015,K8852:K9015,"0",B8852:B9015,"5 1 3 9 9 12 31111 6 M59 94000 000181 0000R*")</f>
        <v>0</v>
      </c>
      <c r="E8851"/>
      <c r="F8851" s="35">
        <f>SUMIFS(F8852:F9015,K8852:K9015,"0",B8852:B9015,"5 1 3 9 9 12 31111 6 M59 94000 000181 0000R*")</f>
        <v>850000</v>
      </c>
      <c r="G8851" s="35">
        <f>SUMIFS(G8852:G9015,K8852:K9015,"0",B8852:B9015,"5 1 3 9 9 12 31111 6 M59 94000 000181 0000R*")</f>
        <v>0</v>
      </c>
      <c r="H8851" s="35">
        <f t="shared" si="139"/>
        <v>850000</v>
      </c>
      <c r="I8851" s="35"/>
      <c r="K8851" t="s">
        <v>15</v>
      </c>
    </row>
    <row r="8852" spans="2:11" ht="24.75" x14ac:dyDescent="0.2">
      <c r="B8852" s="33" t="s">
        <v>9980</v>
      </c>
      <c r="C8852" s="33" t="s">
        <v>282</v>
      </c>
      <c r="D8852" s="35">
        <f>SUMIFS(D8853:D9015,K8853:K9015,"0",B8853:B9015,"5 1 3 9 9 12 31111 6 M59 94000 000181 0000R 00001*")-SUMIFS(E8853:E9015,K8853:K9015,"0",B8853:B9015,"5 1 3 9 9 12 31111 6 M59 94000 000181 0000R 00001*")</f>
        <v>0</v>
      </c>
      <c r="E8852"/>
      <c r="F8852" s="35">
        <f>SUMIFS(F8853:F9015,K8853:K9015,"0",B8853:B9015,"5 1 3 9 9 12 31111 6 M59 94000 000181 0000R 00001*")</f>
        <v>850000</v>
      </c>
      <c r="G8852" s="35">
        <f>SUMIFS(G8853:G9015,K8853:K9015,"0",B8853:B9015,"5 1 3 9 9 12 31111 6 M59 94000 000181 0000R 00001*")</f>
        <v>0</v>
      </c>
      <c r="H8852" s="35">
        <f t="shared" si="139"/>
        <v>850000</v>
      </c>
      <c r="I8852" s="35"/>
      <c r="K8852" t="s">
        <v>15</v>
      </c>
    </row>
    <row r="8853" spans="2:11" ht="24.75" x14ac:dyDescent="0.2">
      <c r="B8853" s="33" t="s">
        <v>9981</v>
      </c>
      <c r="C8853" s="33" t="s">
        <v>9937</v>
      </c>
      <c r="D8853" s="35">
        <f>SUMIFS(D8854:D9015,K8854:K9015,"0",B8854:B9015,"5 1 3 9 9 12 31111 6 M59 94000 000181 0000R 00001 00399*")-SUMIFS(E8854:E9015,K8854:K9015,"0",B8854:B9015,"5 1 3 9 9 12 31111 6 M59 94000 000181 0000R 00001 00399*")</f>
        <v>0</v>
      </c>
      <c r="E8853"/>
      <c r="F8853" s="35">
        <f>SUMIFS(F8854:F9015,K8854:K9015,"0",B8854:B9015,"5 1 3 9 9 12 31111 6 M59 94000 000181 0000R 00001 00399*")</f>
        <v>850000</v>
      </c>
      <c r="G8853" s="35">
        <f>SUMIFS(G8854:G9015,K8854:K9015,"0",B8854:B9015,"5 1 3 9 9 12 31111 6 M59 94000 000181 0000R 00001 00399*")</f>
        <v>0</v>
      </c>
      <c r="H8853" s="35">
        <f t="shared" si="139"/>
        <v>850000</v>
      </c>
      <c r="I8853" s="35"/>
      <c r="K8853" t="s">
        <v>15</v>
      </c>
    </row>
    <row r="8854" spans="2:11" ht="33" x14ac:dyDescent="0.2">
      <c r="B8854" s="33" t="s">
        <v>9982</v>
      </c>
      <c r="C8854" s="33" t="s">
        <v>1051</v>
      </c>
      <c r="D8854" s="35">
        <f>SUMIFS(D8855:D9015,K8855:K9015,"0",B8855:B9015,"5 1 3 9 9 12 31111 6 M59 94000 000181 0000R 00001 00399 015*")-SUMIFS(E8855:E9015,K8855:K9015,"0",B8855:B9015,"5 1 3 9 9 12 31111 6 M59 94000 000181 0000R 00001 00399 015*")</f>
        <v>0</v>
      </c>
      <c r="E8854"/>
      <c r="F8854" s="35">
        <f>SUMIFS(F8855:F9015,K8855:K9015,"0",B8855:B9015,"5 1 3 9 9 12 31111 6 M59 94000 000181 0000R 00001 00399 015*")</f>
        <v>850000</v>
      </c>
      <c r="G8854" s="35">
        <f>SUMIFS(G8855:G9015,K8855:K9015,"0",B8855:B9015,"5 1 3 9 9 12 31111 6 M59 94000 000181 0000R 00001 00399 015*")</f>
        <v>0</v>
      </c>
      <c r="H8854" s="35">
        <f t="shared" si="139"/>
        <v>850000</v>
      </c>
      <c r="I8854" s="35"/>
      <c r="K8854" t="s">
        <v>15</v>
      </c>
    </row>
    <row r="8855" spans="2:11" ht="33" x14ac:dyDescent="0.2">
      <c r="B8855" s="33" t="s">
        <v>9983</v>
      </c>
      <c r="C8855" s="33" t="s">
        <v>5830</v>
      </c>
      <c r="D8855" s="35">
        <f>SUMIFS(D8856:D9015,K8856:K9015,"0",B8856:B9015,"5 1 3 9 9 12 31111 6 M59 94000 000181 0000R 00001 00399 015 2112000*")-SUMIFS(E8856:E9015,K8856:K9015,"0",B8856:B9015,"5 1 3 9 9 12 31111 6 M59 94000 000181 0000R 00001 00399 015 2112000*")</f>
        <v>0</v>
      </c>
      <c r="E8855"/>
      <c r="F8855" s="35">
        <f>SUMIFS(F8856:F9015,K8856:K9015,"0",B8856:B9015,"5 1 3 9 9 12 31111 6 M59 94000 000181 0000R 00001 00399 015 2112000*")</f>
        <v>850000</v>
      </c>
      <c r="G8855" s="35">
        <f>SUMIFS(G8856:G9015,K8856:K9015,"0",B8856:B9015,"5 1 3 9 9 12 31111 6 M59 94000 000181 0000R 00001 00399 015 2112000*")</f>
        <v>0</v>
      </c>
      <c r="H8855" s="35">
        <f t="shared" si="139"/>
        <v>850000</v>
      </c>
      <c r="I8855" s="35"/>
      <c r="K8855" t="s">
        <v>15</v>
      </c>
    </row>
    <row r="8856" spans="2:11" ht="33" x14ac:dyDescent="0.2">
      <c r="B8856" s="33" t="s">
        <v>9984</v>
      </c>
      <c r="C8856" s="33" t="s">
        <v>660</v>
      </c>
      <c r="D8856" s="35">
        <f>SUMIFS(D8857:D9015,K8857:K9015,"0",B8857:B9015,"5 1 3 9 9 12 31111 6 M59 94000 000181 0000R 00001 00399 015 2112000 2024*")-SUMIFS(E8857:E9015,K8857:K9015,"0",B8857:B9015,"5 1 3 9 9 12 31111 6 M59 94000 000181 0000R 00001 00399 015 2112000 2024*")</f>
        <v>0</v>
      </c>
      <c r="E8856"/>
      <c r="F8856" s="35">
        <f>SUMIFS(F8857:F9015,K8857:K9015,"0",B8857:B9015,"5 1 3 9 9 12 31111 6 M59 94000 000181 0000R 00001 00399 015 2112000 2024*")</f>
        <v>850000</v>
      </c>
      <c r="G8856" s="35">
        <f>SUMIFS(G8857:G9015,K8857:K9015,"0",B8857:B9015,"5 1 3 9 9 12 31111 6 M59 94000 000181 0000R 00001 00399 015 2112000 2024*")</f>
        <v>0</v>
      </c>
      <c r="H8856" s="35">
        <f t="shared" si="139"/>
        <v>850000</v>
      </c>
      <c r="I8856" s="35"/>
      <c r="K8856" t="s">
        <v>15</v>
      </c>
    </row>
    <row r="8857" spans="2:11" ht="41.25" x14ac:dyDescent="0.2">
      <c r="B8857" s="33" t="s">
        <v>9985</v>
      </c>
      <c r="C8857" s="33" t="s">
        <v>1056</v>
      </c>
      <c r="D8857" s="35">
        <f>SUMIFS(D8858:D9015,K8858:K9015,"0",B8858:B9015,"5 1 3 9 9 12 31111 6 M59 94000 000181 0000R 00001 00399 015 2112000 2024 CP1OM392*")-SUMIFS(E8858:E9015,K8858:K9015,"0",B8858:B9015,"5 1 3 9 9 12 31111 6 M59 94000 000181 0000R 00001 00399 015 2112000 2024 CP1OM392*")</f>
        <v>0</v>
      </c>
      <c r="E8857"/>
      <c r="F8857" s="35">
        <f>SUMIFS(F8858:F9015,K8858:K9015,"0",B8858:B9015,"5 1 3 9 9 12 31111 6 M59 94000 000181 0000R 00001 00399 015 2112000 2024 CP1OM392*")</f>
        <v>850000</v>
      </c>
      <c r="G8857" s="35">
        <f>SUMIFS(G8858:G9015,K8858:K9015,"0",B8858:B9015,"5 1 3 9 9 12 31111 6 M59 94000 000181 0000R 00001 00399 015 2112000 2024 CP1OM392*")</f>
        <v>0</v>
      </c>
      <c r="H8857" s="35">
        <f t="shared" si="139"/>
        <v>850000</v>
      </c>
      <c r="I8857" s="35"/>
      <c r="K8857" t="s">
        <v>15</v>
      </c>
    </row>
    <row r="8858" spans="2:11" ht="41.25" x14ac:dyDescent="0.2">
      <c r="B8858" s="33" t="s">
        <v>9986</v>
      </c>
      <c r="C8858" s="33" t="s">
        <v>282</v>
      </c>
      <c r="D8858" s="35">
        <f>SUMIFS(D8859:D9015,K8859:K9015,"0",B8859:B9015,"5 1 3 9 9 12 31111 6 M59 94000 000181 0000R 00001 00399 015 2112000 2024 CP1OM392 001*")-SUMIFS(E8859:E9015,K8859:K9015,"0",B8859:B9015,"5 1 3 9 9 12 31111 6 M59 94000 000181 0000R 00001 00399 015 2112000 2024 CP1OM392 001*")</f>
        <v>0</v>
      </c>
      <c r="E8858"/>
      <c r="F8858" s="35">
        <f>SUMIFS(F8859:F9015,K8859:K9015,"0",B8859:B9015,"5 1 3 9 9 12 31111 6 M59 94000 000181 0000R 00001 00399 015 2112000 2024 CP1OM392 001*")</f>
        <v>850000</v>
      </c>
      <c r="G8858" s="35">
        <f>SUMIFS(G8859:G9015,K8859:K9015,"0",B8859:B9015,"5 1 3 9 9 12 31111 6 M59 94000 000181 0000R 00001 00399 015 2112000 2024 CP1OM392 001*")</f>
        <v>0</v>
      </c>
      <c r="H8858" s="35">
        <f t="shared" si="139"/>
        <v>850000</v>
      </c>
      <c r="I8858" s="35"/>
      <c r="K8858" t="s">
        <v>15</v>
      </c>
    </row>
    <row r="8859" spans="2:11" ht="33" x14ac:dyDescent="0.2">
      <c r="B8859" s="31" t="s">
        <v>9987</v>
      </c>
      <c r="C8859" s="31" t="s">
        <v>9153</v>
      </c>
      <c r="D8859" s="34">
        <v>0</v>
      </c>
      <c r="E8859" s="34"/>
      <c r="F8859" s="34">
        <v>850000</v>
      </c>
      <c r="G8859" s="34">
        <v>0</v>
      </c>
      <c r="H8859" s="34">
        <f t="shared" si="139"/>
        <v>850000</v>
      </c>
      <c r="I8859" s="34"/>
      <c r="K8859" t="s">
        <v>38</v>
      </c>
    </row>
    <row r="8860" spans="2:11" ht="24.75" x14ac:dyDescent="0.2">
      <c r="B8860" s="33" t="s">
        <v>9988</v>
      </c>
      <c r="C8860" s="33" t="s">
        <v>9989</v>
      </c>
      <c r="D8860" s="35">
        <f>SUMIFS(D8861:D9015,K8861:K9015,"0",B8861:B9015,"5 2*")-SUMIFS(E8861:E9015,K8861:K9015,"0",B8861:B9015,"5 2*")</f>
        <v>0</v>
      </c>
      <c r="E8860"/>
      <c r="F8860" s="35">
        <f>SUMIFS(F8861:F9015,K8861:K9015,"0",B8861:B9015,"5 2*")</f>
        <v>4049494.89</v>
      </c>
      <c r="G8860" s="35">
        <f>SUMIFS(G8861:G9015,K8861:K9015,"0",B8861:B9015,"5 2*")</f>
        <v>0</v>
      </c>
      <c r="H8860" s="35">
        <f t="shared" si="139"/>
        <v>4049494.89</v>
      </c>
      <c r="I8860" s="35"/>
      <c r="K8860" t="s">
        <v>15</v>
      </c>
    </row>
    <row r="8861" spans="2:11" ht="16.5" x14ac:dyDescent="0.2">
      <c r="B8861" s="33" t="s">
        <v>9990</v>
      </c>
      <c r="C8861" s="33" t="s">
        <v>9991</v>
      </c>
      <c r="D8861" s="35">
        <f>SUMIFS(D8862:D9015,K8862:K9015,"0",B8862:B9015,"5 2 2*")-SUMIFS(E8862:E9015,K8862:K9015,"0",B8862:B9015,"5 2 2*")</f>
        <v>0</v>
      </c>
      <c r="E8861"/>
      <c r="F8861" s="35">
        <f>SUMIFS(F8862:F9015,K8862:K9015,"0",B8862:B9015,"5 2 2*")</f>
        <v>480000</v>
      </c>
      <c r="G8861" s="35">
        <f>SUMIFS(G8862:G9015,K8862:K9015,"0",B8862:B9015,"5 2 2*")</f>
        <v>0</v>
      </c>
      <c r="H8861" s="35">
        <f t="shared" si="139"/>
        <v>480000</v>
      </c>
      <c r="I8861" s="35"/>
      <c r="K8861" t="s">
        <v>15</v>
      </c>
    </row>
    <row r="8862" spans="2:11" ht="24.75" x14ac:dyDescent="0.2">
      <c r="B8862" s="33" t="s">
        <v>9992</v>
      </c>
      <c r="C8862" s="33" t="s">
        <v>9993</v>
      </c>
      <c r="D8862" s="35">
        <f>SUMIFS(D8863:D9015,K8863:K9015,"0",B8863:B9015,"5 2 2 2*")-SUMIFS(E8863:E9015,K8863:K9015,"0",B8863:B9015,"5 2 2 2*")</f>
        <v>0</v>
      </c>
      <c r="E8862"/>
      <c r="F8862" s="35">
        <f>SUMIFS(F8863:F9015,K8863:K9015,"0",B8863:B9015,"5 2 2 2*")</f>
        <v>480000</v>
      </c>
      <c r="G8862" s="35">
        <f>SUMIFS(G8863:G9015,K8863:K9015,"0",B8863:B9015,"5 2 2 2*")</f>
        <v>0</v>
      </c>
      <c r="H8862" s="35">
        <f t="shared" si="139"/>
        <v>480000</v>
      </c>
      <c r="I8862" s="35"/>
      <c r="K8862" t="s">
        <v>15</v>
      </c>
    </row>
    <row r="8863" spans="2:11" ht="24.75" x14ac:dyDescent="0.2">
      <c r="B8863" s="33" t="s">
        <v>9994</v>
      </c>
      <c r="C8863" s="33" t="s">
        <v>9995</v>
      </c>
      <c r="D8863" s="35">
        <f>SUMIFS(D8864:D9015,K8864:K9015,"0",B8864:B9015,"5 2 2 2 4*")-SUMIFS(E8864:E9015,K8864:K9015,"0",B8864:B9015,"5 2 2 2 4*")</f>
        <v>0</v>
      </c>
      <c r="E8863"/>
      <c r="F8863" s="35">
        <f>SUMIFS(F8864:F9015,K8864:K9015,"0",B8864:B9015,"5 2 2 2 4*")</f>
        <v>480000</v>
      </c>
      <c r="G8863" s="35">
        <f>SUMIFS(G8864:G9015,K8864:K9015,"0",B8864:B9015,"5 2 2 2 4*")</f>
        <v>0</v>
      </c>
      <c r="H8863" s="35">
        <f t="shared" si="139"/>
        <v>480000</v>
      </c>
      <c r="I8863" s="35"/>
      <c r="K8863" t="s">
        <v>15</v>
      </c>
    </row>
    <row r="8864" spans="2:11" ht="12.75" x14ac:dyDescent="0.2">
      <c r="B8864" s="33" t="s">
        <v>9996</v>
      </c>
      <c r="C8864" s="33" t="s">
        <v>26</v>
      </c>
      <c r="D8864" s="35">
        <f>SUMIFS(D8865:D9015,K8865:K9015,"0",B8865:B9015,"5 2 2 2 4 12*")-SUMIFS(E8865:E9015,K8865:K9015,"0",B8865:B9015,"5 2 2 2 4 12*")</f>
        <v>0</v>
      </c>
      <c r="E8864"/>
      <c r="F8864" s="35">
        <f>SUMIFS(F8865:F9015,K8865:K9015,"0",B8865:B9015,"5 2 2 2 4 12*")</f>
        <v>480000</v>
      </c>
      <c r="G8864" s="35">
        <f>SUMIFS(G8865:G9015,K8865:K9015,"0",B8865:B9015,"5 2 2 2 4 12*")</f>
        <v>0</v>
      </c>
      <c r="H8864" s="35">
        <f t="shared" si="139"/>
        <v>480000</v>
      </c>
      <c r="I8864" s="35"/>
      <c r="K8864" t="s">
        <v>15</v>
      </c>
    </row>
    <row r="8865" spans="2:11" ht="16.5" x14ac:dyDescent="0.2">
      <c r="B8865" s="33" t="s">
        <v>9997</v>
      </c>
      <c r="C8865" s="33" t="s">
        <v>28</v>
      </c>
      <c r="D8865" s="35">
        <f>SUMIFS(D8866:D9015,K8866:K9015,"0",B8866:B9015,"5 2 2 2 4 12 31111*")-SUMIFS(E8866:E9015,K8866:K9015,"0",B8866:B9015,"5 2 2 2 4 12 31111*")</f>
        <v>0</v>
      </c>
      <c r="E8865"/>
      <c r="F8865" s="35">
        <f>SUMIFS(F8866:F9015,K8866:K9015,"0",B8866:B9015,"5 2 2 2 4 12 31111*")</f>
        <v>480000</v>
      </c>
      <c r="G8865" s="35">
        <f>SUMIFS(G8866:G9015,K8866:K9015,"0",B8866:B9015,"5 2 2 2 4 12 31111*")</f>
        <v>0</v>
      </c>
      <c r="H8865" s="35">
        <f t="shared" si="139"/>
        <v>480000</v>
      </c>
      <c r="I8865" s="35"/>
      <c r="K8865" t="s">
        <v>15</v>
      </c>
    </row>
    <row r="8866" spans="2:11" ht="12.75" x14ac:dyDescent="0.2">
      <c r="B8866" s="33" t="s">
        <v>9998</v>
      </c>
      <c r="C8866" s="33" t="s">
        <v>30</v>
      </c>
      <c r="D8866" s="35">
        <f>SUMIFS(D8867:D9015,K8867:K9015,"0",B8867:B9015,"5 2 2 2 4 12 31111 6*")-SUMIFS(E8867:E9015,K8867:K9015,"0",B8867:B9015,"5 2 2 2 4 12 31111 6*")</f>
        <v>0</v>
      </c>
      <c r="E8866"/>
      <c r="F8866" s="35">
        <f>SUMIFS(F8867:F9015,K8867:K9015,"0",B8867:B9015,"5 2 2 2 4 12 31111 6*")</f>
        <v>480000</v>
      </c>
      <c r="G8866" s="35">
        <f>SUMIFS(G8867:G9015,K8867:K9015,"0",B8867:B9015,"5 2 2 2 4 12 31111 6*")</f>
        <v>0</v>
      </c>
      <c r="H8866" s="35">
        <f t="shared" si="139"/>
        <v>480000</v>
      </c>
      <c r="I8866" s="35"/>
      <c r="K8866" t="s">
        <v>15</v>
      </c>
    </row>
    <row r="8867" spans="2:11" ht="16.5" x14ac:dyDescent="0.2">
      <c r="B8867" s="33" t="s">
        <v>9999</v>
      </c>
      <c r="C8867" s="33" t="s">
        <v>2284</v>
      </c>
      <c r="D8867" s="35">
        <f>SUMIFS(D8868:D9015,K8868:K9015,"0",B8868:B9015,"5 2 2 2 4 12 31111 6 M59*")-SUMIFS(E8868:E9015,K8868:K9015,"0",B8868:B9015,"5 2 2 2 4 12 31111 6 M59*")</f>
        <v>0</v>
      </c>
      <c r="E8867"/>
      <c r="F8867" s="35">
        <f>SUMIFS(F8868:F9015,K8868:K9015,"0",B8868:B9015,"5 2 2 2 4 12 31111 6 M59*")</f>
        <v>480000</v>
      </c>
      <c r="G8867" s="35">
        <f>SUMIFS(G8868:G9015,K8868:K9015,"0",B8868:B9015,"5 2 2 2 4 12 31111 6 M59*")</f>
        <v>0</v>
      </c>
      <c r="H8867" s="35">
        <f t="shared" si="139"/>
        <v>480000</v>
      </c>
      <c r="I8867" s="35"/>
      <c r="K8867" t="s">
        <v>15</v>
      </c>
    </row>
    <row r="8868" spans="2:11" ht="16.5" x14ac:dyDescent="0.2">
      <c r="B8868" s="33" t="s">
        <v>10000</v>
      </c>
      <c r="C8868" s="33" t="s">
        <v>1044</v>
      </c>
      <c r="D8868" s="35">
        <f>SUMIFS(D8869:D9015,K8869:K9015,"0",B8869:B9015,"5 2 2 2 4 12 31111 6 M59 19000*")-SUMIFS(E8869:E9015,K8869:K9015,"0",B8869:B9015,"5 2 2 2 4 12 31111 6 M59 19000*")</f>
        <v>0</v>
      </c>
      <c r="E8868"/>
      <c r="F8868" s="35">
        <f>SUMIFS(F8869:F9015,K8869:K9015,"0",B8869:B9015,"5 2 2 2 4 12 31111 6 M59 19000*")</f>
        <v>480000</v>
      </c>
      <c r="G8868" s="35">
        <f>SUMIFS(G8869:G9015,K8869:K9015,"0",B8869:B9015,"5 2 2 2 4 12 31111 6 M59 19000*")</f>
        <v>0</v>
      </c>
      <c r="H8868" s="35">
        <f t="shared" si="139"/>
        <v>480000</v>
      </c>
      <c r="I8868" s="35"/>
      <c r="K8868" t="s">
        <v>15</v>
      </c>
    </row>
    <row r="8869" spans="2:11" ht="16.5" x14ac:dyDescent="0.2">
      <c r="B8869" s="33" t="s">
        <v>10001</v>
      </c>
      <c r="C8869" s="33" t="s">
        <v>8599</v>
      </c>
      <c r="D8869" s="35">
        <f>SUMIFS(D8870:D9015,K8870:K9015,"0",B8870:B9015,"5 2 2 2 4 12 31111 6 M59 19000 000271*")-SUMIFS(E8870:E9015,K8870:K9015,"0",B8870:B9015,"5 2 2 2 4 12 31111 6 M59 19000 000271*")</f>
        <v>0</v>
      </c>
      <c r="E8869"/>
      <c r="F8869" s="35">
        <f>SUMIFS(F8870:F9015,K8870:K9015,"0",B8870:B9015,"5 2 2 2 4 12 31111 6 M59 19000 000271*")</f>
        <v>480000</v>
      </c>
      <c r="G8869" s="35">
        <f>SUMIFS(G8870:G9015,K8870:K9015,"0",B8870:B9015,"5 2 2 2 4 12 31111 6 M59 19000 000271*")</f>
        <v>0</v>
      </c>
      <c r="H8869" s="35">
        <f t="shared" si="139"/>
        <v>480000</v>
      </c>
      <c r="I8869" s="35"/>
      <c r="K8869" t="s">
        <v>15</v>
      </c>
    </row>
    <row r="8870" spans="2:11" ht="24.75" x14ac:dyDescent="0.2">
      <c r="B8870" s="33" t="s">
        <v>10002</v>
      </c>
      <c r="C8870" s="33" t="s">
        <v>8601</v>
      </c>
      <c r="D8870" s="35">
        <f>SUMIFS(D8871:D9015,K8871:K9015,"0",B8871:B9015,"5 2 2 2 4 12 31111 6 M59 19000 000271 0000F*")-SUMIFS(E8871:E9015,K8871:K9015,"0",B8871:B9015,"5 2 2 2 4 12 31111 6 M59 19000 000271 0000F*")</f>
        <v>0</v>
      </c>
      <c r="E8870"/>
      <c r="F8870" s="35">
        <f>SUMIFS(F8871:F9015,K8871:K9015,"0",B8871:B9015,"5 2 2 2 4 12 31111 6 M59 19000 000271 0000F*")</f>
        <v>480000</v>
      </c>
      <c r="G8870" s="35">
        <f>SUMIFS(G8871:G9015,K8871:K9015,"0",B8871:B9015,"5 2 2 2 4 12 31111 6 M59 19000 000271 0000F*")</f>
        <v>0</v>
      </c>
      <c r="H8870" s="35">
        <f t="shared" si="139"/>
        <v>480000</v>
      </c>
      <c r="I8870" s="35"/>
      <c r="K8870" t="s">
        <v>15</v>
      </c>
    </row>
    <row r="8871" spans="2:11" ht="24.75" x14ac:dyDescent="0.2">
      <c r="B8871" s="33" t="s">
        <v>10003</v>
      </c>
      <c r="C8871" s="33" t="s">
        <v>282</v>
      </c>
      <c r="D8871" s="35">
        <f>SUMIFS(D8872:D9015,K8872:K9015,"0",B8872:B9015,"5 2 2 2 4 12 31111 6 M59 19000 000271 0000F 00001*")-SUMIFS(E8872:E9015,K8872:K9015,"0",B8872:B9015,"5 2 2 2 4 12 31111 6 M59 19000 000271 0000F 00001*")</f>
        <v>0</v>
      </c>
      <c r="E8871"/>
      <c r="F8871" s="35">
        <f>SUMIFS(F8872:F9015,K8872:K9015,"0",B8872:B9015,"5 2 2 2 4 12 31111 6 M59 19000 000271 0000F 00001*")</f>
        <v>480000</v>
      </c>
      <c r="G8871" s="35">
        <f>SUMIFS(G8872:G9015,K8872:K9015,"0",B8872:B9015,"5 2 2 2 4 12 31111 6 M59 19000 000271 0000F 00001*")</f>
        <v>0</v>
      </c>
      <c r="H8871" s="35">
        <f t="shared" si="139"/>
        <v>480000</v>
      </c>
      <c r="I8871" s="35"/>
      <c r="K8871" t="s">
        <v>15</v>
      </c>
    </row>
    <row r="8872" spans="2:11" ht="24.75" x14ac:dyDescent="0.2">
      <c r="B8872" s="33" t="s">
        <v>10004</v>
      </c>
      <c r="C8872" s="33" t="s">
        <v>10005</v>
      </c>
      <c r="D8872" s="35">
        <f>SUMIFS(D8873:D9015,K8873:K9015,"0",B8873:B9015,"5 2 2 2 4 12 31111 6 M59 19000 000271 0000F 00001 00424*")-SUMIFS(E8873:E9015,K8873:K9015,"0",B8873:B9015,"5 2 2 2 4 12 31111 6 M59 19000 000271 0000F 00001 00424*")</f>
        <v>0</v>
      </c>
      <c r="E8872"/>
      <c r="F8872" s="35">
        <f>SUMIFS(F8873:F9015,K8873:K9015,"0",B8873:B9015,"5 2 2 2 4 12 31111 6 M59 19000 000271 0000F 00001 00424*")</f>
        <v>480000</v>
      </c>
      <c r="G8872" s="35">
        <f>SUMIFS(G8873:G9015,K8873:K9015,"0",B8873:B9015,"5 2 2 2 4 12 31111 6 M59 19000 000271 0000F 00001 00424*")</f>
        <v>0</v>
      </c>
      <c r="H8872" s="35">
        <f t="shared" si="139"/>
        <v>480000</v>
      </c>
      <c r="I8872" s="35"/>
      <c r="K8872" t="s">
        <v>15</v>
      </c>
    </row>
    <row r="8873" spans="2:11" ht="33" x14ac:dyDescent="0.2">
      <c r="B8873" s="33" t="s">
        <v>10006</v>
      </c>
      <c r="C8873" s="33" t="s">
        <v>656</v>
      </c>
      <c r="D8873" s="35">
        <f>SUMIFS(D8874:D9015,K8874:K9015,"0",B8874:B9015,"5 2 2 2 4 12 31111 6 M59 19000 000271 0000F 00001 00424 025*")-SUMIFS(E8874:E9015,K8874:K9015,"0",B8874:B9015,"5 2 2 2 4 12 31111 6 M59 19000 000271 0000F 00001 00424 025*")</f>
        <v>0</v>
      </c>
      <c r="E8873"/>
      <c r="F8873" s="35">
        <f>SUMIFS(F8874:F9015,K8874:K9015,"0",B8874:B9015,"5 2 2 2 4 12 31111 6 M59 19000 000271 0000F 00001 00424 025*")</f>
        <v>480000</v>
      </c>
      <c r="G8873" s="35">
        <f>SUMIFS(G8874:G9015,K8874:K9015,"0",B8874:B9015,"5 2 2 2 4 12 31111 6 M59 19000 000271 0000F 00001 00424 025*")</f>
        <v>0</v>
      </c>
      <c r="H8873" s="35">
        <f t="shared" si="139"/>
        <v>480000</v>
      </c>
      <c r="I8873" s="35"/>
      <c r="K8873" t="s">
        <v>15</v>
      </c>
    </row>
    <row r="8874" spans="2:11" ht="33" x14ac:dyDescent="0.2">
      <c r="B8874" s="33" t="s">
        <v>10007</v>
      </c>
      <c r="C8874" s="33" t="s">
        <v>10008</v>
      </c>
      <c r="D8874" s="35">
        <f>SUMIFS(D8875:D9015,K8875:K9015,"0",B8875:B9015,"5 2 2 2 4 12 31111 6 M59 19000 000271 0000F 00001 00424 025 2152120*")-SUMIFS(E8875:E9015,K8875:K9015,"0",B8875:B9015,"5 2 2 2 4 12 31111 6 M59 19000 000271 0000F 00001 00424 025 2152120*")</f>
        <v>0</v>
      </c>
      <c r="E8874"/>
      <c r="F8874" s="35">
        <f>SUMIFS(F8875:F9015,K8875:K9015,"0",B8875:B9015,"5 2 2 2 4 12 31111 6 M59 19000 000271 0000F 00001 00424 025 2152120*")</f>
        <v>480000</v>
      </c>
      <c r="G8874" s="35">
        <f>SUMIFS(G8875:G9015,K8875:K9015,"0",B8875:B9015,"5 2 2 2 4 12 31111 6 M59 19000 000271 0000F 00001 00424 025 2152120*")</f>
        <v>0</v>
      </c>
      <c r="H8874" s="35">
        <f t="shared" si="139"/>
        <v>480000</v>
      </c>
      <c r="I8874" s="35"/>
      <c r="K8874" t="s">
        <v>15</v>
      </c>
    </row>
    <row r="8875" spans="2:11" ht="33" x14ac:dyDescent="0.2">
      <c r="B8875" s="33" t="s">
        <v>10009</v>
      </c>
      <c r="C8875" s="33" t="s">
        <v>660</v>
      </c>
      <c r="D8875" s="35">
        <f>SUMIFS(D8876:D9015,K8876:K9015,"0",B8876:B9015,"5 2 2 2 4 12 31111 6 M59 19000 000271 0000F 00001 00424 025 2152120 2024*")-SUMIFS(E8876:E9015,K8876:K9015,"0",B8876:B9015,"5 2 2 2 4 12 31111 6 M59 19000 000271 0000F 00001 00424 025 2152120 2024*")</f>
        <v>0</v>
      </c>
      <c r="E8875"/>
      <c r="F8875" s="35">
        <f>SUMIFS(F8876:F9015,K8876:K9015,"0",B8876:B9015,"5 2 2 2 4 12 31111 6 M59 19000 000271 0000F 00001 00424 025 2152120 2024*")</f>
        <v>480000</v>
      </c>
      <c r="G8875" s="35">
        <f>SUMIFS(G8876:G9015,K8876:K9015,"0",B8876:B9015,"5 2 2 2 4 12 31111 6 M59 19000 000271 0000F 00001 00424 025 2152120 2024*")</f>
        <v>0</v>
      </c>
      <c r="H8875" s="35">
        <f t="shared" si="139"/>
        <v>480000</v>
      </c>
      <c r="I8875" s="35"/>
      <c r="K8875" t="s">
        <v>15</v>
      </c>
    </row>
    <row r="8876" spans="2:11" ht="41.25" x14ac:dyDescent="0.2">
      <c r="B8876" s="33" t="s">
        <v>10010</v>
      </c>
      <c r="C8876" s="33" t="s">
        <v>8608</v>
      </c>
      <c r="D8876" s="35">
        <f>SUMIFS(D8877:D9015,K8877:K9015,"0",B8877:B9015,"5 2 2 2 4 12 31111 6 M59 19000 000271 0000F 00001 00424 025 2152120 2024 CP4TM511*")-SUMIFS(E8877:E9015,K8877:K9015,"0",B8877:B9015,"5 2 2 2 4 12 31111 6 M59 19000 000271 0000F 00001 00424 025 2152120 2024 CP4TM511*")</f>
        <v>0</v>
      </c>
      <c r="E8876"/>
      <c r="F8876" s="35">
        <f>SUMIFS(F8877:F9015,K8877:K9015,"0",B8877:B9015,"5 2 2 2 4 12 31111 6 M59 19000 000271 0000F 00001 00424 025 2152120 2024 CP4TM511*")</f>
        <v>480000</v>
      </c>
      <c r="G8876" s="35">
        <f>SUMIFS(G8877:G9015,K8877:K9015,"0",B8877:B9015,"5 2 2 2 4 12 31111 6 M59 19000 000271 0000F 00001 00424 025 2152120 2024 CP4TM511*")</f>
        <v>0</v>
      </c>
      <c r="H8876" s="35">
        <f t="shared" si="139"/>
        <v>480000</v>
      </c>
      <c r="I8876" s="35"/>
      <c r="K8876" t="s">
        <v>15</v>
      </c>
    </row>
    <row r="8877" spans="2:11" ht="41.25" x14ac:dyDescent="0.2">
      <c r="B8877" s="33" t="s">
        <v>10011</v>
      </c>
      <c r="C8877" s="33" t="s">
        <v>664</v>
      </c>
      <c r="D8877" s="35">
        <f>SUMIFS(D8878:D9015,K8878:K9015,"0",B8878:B9015,"5 2 2 2 4 12 31111 6 M59 19000 000271 0000F 00001 00424 025 2152120 2024 CP4TM511 003*")-SUMIFS(E8878:E9015,K8878:K9015,"0",B8878:B9015,"5 2 2 2 4 12 31111 6 M59 19000 000271 0000F 00001 00424 025 2152120 2024 CP4TM511 003*")</f>
        <v>0</v>
      </c>
      <c r="E8877"/>
      <c r="F8877" s="35">
        <f>SUMIFS(F8878:F9015,K8878:K9015,"0",B8878:B9015,"5 2 2 2 4 12 31111 6 M59 19000 000271 0000F 00001 00424 025 2152120 2024 CP4TM511 003*")</f>
        <v>480000</v>
      </c>
      <c r="G8877" s="35">
        <f>SUMIFS(G8878:G9015,K8878:K9015,"0",B8878:B9015,"5 2 2 2 4 12 31111 6 M59 19000 000271 0000F 00001 00424 025 2152120 2024 CP4TM511 003*")</f>
        <v>0</v>
      </c>
      <c r="H8877" s="35">
        <f t="shared" si="139"/>
        <v>480000</v>
      </c>
      <c r="I8877" s="35"/>
      <c r="K8877" t="s">
        <v>15</v>
      </c>
    </row>
    <row r="8878" spans="2:11" ht="33" x14ac:dyDescent="0.2">
      <c r="B8878" s="31" t="s">
        <v>10012</v>
      </c>
      <c r="C8878" s="31" t="s">
        <v>9995</v>
      </c>
      <c r="D8878" s="34">
        <v>0</v>
      </c>
      <c r="E8878" s="34"/>
      <c r="F8878" s="34">
        <v>480000</v>
      </c>
      <c r="G8878" s="34">
        <v>0</v>
      </c>
      <c r="H8878" s="34">
        <f t="shared" si="139"/>
        <v>480000</v>
      </c>
      <c r="I8878" s="34"/>
      <c r="K8878" t="s">
        <v>38</v>
      </c>
    </row>
    <row r="8879" spans="2:11" ht="12.75" x14ac:dyDescent="0.2">
      <c r="B8879" s="33" t="s">
        <v>10013</v>
      </c>
      <c r="C8879" s="33" t="s">
        <v>10014</v>
      </c>
      <c r="D8879" s="35">
        <f>SUMIFS(D8880:D9015,K8880:K9015,"0",B8880:B9015,"5 2 3*")-SUMIFS(E8880:E9015,K8880:K9015,"0",B8880:B9015,"5 2 3*")</f>
        <v>0</v>
      </c>
      <c r="E8879"/>
      <c r="F8879" s="35">
        <f>SUMIFS(F8880:F9015,K8880:K9015,"0",B8880:B9015,"5 2 3*")</f>
        <v>1800000</v>
      </c>
      <c r="G8879" s="35">
        <f>SUMIFS(G8880:G9015,K8880:K9015,"0",B8880:B9015,"5 2 3*")</f>
        <v>0</v>
      </c>
      <c r="H8879" s="35">
        <f t="shared" si="139"/>
        <v>1800000</v>
      </c>
      <c r="I8879" s="35"/>
      <c r="K8879" t="s">
        <v>15</v>
      </c>
    </row>
    <row r="8880" spans="2:11" ht="12.75" x14ac:dyDescent="0.2">
      <c r="B8880" s="33" t="s">
        <v>10015</v>
      </c>
      <c r="C8880" s="33" t="s">
        <v>10016</v>
      </c>
      <c r="D8880" s="35">
        <f>SUMIFS(D8881:D9015,K8881:K9015,"0",B8881:B9015,"5 2 3 1*")-SUMIFS(E8881:E9015,K8881:K9015,"0",B8881:B9015,"5 2 3 1*")</f>
        <v>0</v>
      </c>
      <c r="E8880"/>
      <c r="F8880" s="35">
        <f>SUMIFS(F8881:F9015,K8881:K9015,"0",B8881:B9015,"5 2 3 1*")</f>
        <v>1800000</v>
      </c>
      <c r="G8880" s="35">
        <f>SUMIFS(G8881:G9015,K8881:K9015,"0",B8881:B9015,"5 2 3 1*")</f>
        <v>0</v>
      </c>
      <c r="H8880" s="35">
        <f t="shared" si="139"/>
        <v>1800000</v>
      </c>
      <c r="I8880" s="35"/>
      <c r="K8880" t="s">
        <v>15</v>
      </c>
    </row>
    <row r="8881" spans="2:11" ht="16.5" x14ac:dyDescent="0.2">
      <c r="B8881" s="33" t="s">
        <v>10017</v>
      </c>
      <c r="C8881" s="33" t="s">
        <v>10018</v>
      </c>
      <c r="D8881" s="35">
        <f>SUMIFS(D8882:D9015,K8882:K9015,"0",B8882:B9015,"5 2 3 1 8*")-SUMIFS(E8882:E9015,K8882:K9015,"0",B8882:B9015,"5 2 3 1 8*")</f>
        <v>0</v>
      </c>
      <c r="E8881"/>
      <c r="F8881" s="35">
        <f>SUMIFS(F8882:F9015,K8882:K9015,"0",B8882:B9015,"5 2 3 1 8*")</f>
        <v>1800000</v>
      </c>
      <c r="G8881" s="35">
        <f>SUMIFS(G8882:G9015,K8882:K9015,"0",B8882:B9015,"5 2 3 1 8*")</f>
        <v>0</v>
      </c>
      <c r="H8881" s="35">
        <f t="shared" si="139"/>
        <v>1800000</v>
      </c>
      <c r="I8881" s="35"/>
      <c r="K8881" t="s">
        <v>15</v>
      </c>
    </row>
    <row r="8882" spans="2:11" ht="12.75" x14ac:dyDescent="0.2">
      <c r="B8882" s="33" t="s">
        <v>10019</v>
      </c>
      <c r="C8882" s="33" t="s">
        <v>26</v>
      </c>
      <c r="D8882" s="35">
        <f>SUMIFS(D8883:D9015,K8883:K9015,"0",B8883:B9015,"5 2 3 1 8 12*")-SUMIFS(E8883:E9015,K8883:K9015,"0",B8883:B9015,"5 2 3 1 8 12*")</f>
        <v>0</v>
      </c>
      <c r="E8882"/>
      <c r="F8882" s="35">
        <f>SUMIFS(F8883:F9015,K8883:K9015,"0",B8883:B9015,"5 2 3 1 8 12*")</f>
        <v>1800000</v>
      </c>
      <c r="G8882" s="35">
        <f>SUMIFS(G8883:G9015,K8883:K9015,"0",B8883:B9015,"5 2 3 1 8 12*")</f>
        <v>0</v>
      </c>
      <c r="H8882" s="35">
        <f t="shared" si="139"/>
        <v>1800000</v>
      </c>
      <c r="I8882" s="35"/>
      <c r="K8882" t="s">
        <v>15</v>
      </c>
    </row>
    <row r="8883" spans="2:11" ht="16.5" x14ac:dyDescent="0.2">
      <c r="B8883" s="33" t="s">
        <v>10020</v>
      </c>
      <c r="C8883" s="33" t="s">
        <v>28</v>
      </c>
      <c r="D8883" s="35">
        <f>SUMIFS(D8884:D9015,K8884:K9015,"0",B8884:B9015,"5 2 3 1 8 12 31111*")-SUMIFS(E8884:E9015,K8884:K9015,"0",B8884:B9015,"5 2 3 1 8 12 31111*")</f>
        <v>0</v>
      </c>
      <c r="E8883"/>
      <c r="F8883" s="35">
        <f>SUMIFS(F8884:F9015,K8884:K9015,"0",B8884:B9015,"5 2 3 1 8 12 31111*")</f>
        <v>1800000</v>
      </c>
      <c r="G8883" s="35">
        <f>SUMIFS(G8884:G9015,K8884:K9015,"0",B8884:B9015,"5 2 3 1 8 12 31111*")</f>
        <v>0</v>
      </c>
      <c r="H8883" s="35">
        <f t="shared" si="139"/>
        <v>1800000</v>
      </c>
      <c r="I8883" s="35"/>
      <c r="K8883" t="s">
        <v>15</v>
      </c>
    </row>
    <row r="8884" spans="2:11" ht="12.75" x14ac:dyDescent="0.2">
      <c r="B8884" s="33" t="s">
        <v>10021</v>
      </c>
      <c r="C8884" s="33" t="s">
        <v>30</v>
      </c>
      <c r="D8884" s="35">
        <f>SUMIFS(D8885:D9015,K8885:K9015,"0",B8885:B9015,"5 2 3 1 8 12 31111 6*")-SUMIFS(E8885:E9015,K8885:K9015,"0",B8885:B9015,"5 2 3 1 8 12 31111 6*")</f>
        <v>0</v>
      </c>
      <c r="E8884"/>
      <c r="F8884" s="35">
        <f>SUMIFS(F8885:F9015,K8885:K9015,"0",B8885:B9015,"5 2 3 1 8 12 31111 6*")</f>
        <v>1800000</v>
      </c>
      <c r="G8884" s="35">
        <f>SUMIFS(G8885:G9015,K8885:K9015,"0",B8885:B9015,"5 2 3 1 8 12 31111 6*")</f>
        <v>0</v>
      </c>
      <c r="H8884" s="35">
        <f t="shared" si="139"/>
        <v>1800000</v>
      </c>
      <c r="I8884" s="35"/>
      <c r="K8884" t="s">
        <v>15</v>
      </c>
    </row>
    <row r="8885" spans="2:11" ht="16.5" x14ac:dyDescent="0.2">
      <c r="B8885" s="33" t="s">
        <v>10022</v>
      </c>
      <c r="C8885" s="33" t="s">
        <v>2284</v>
      </c>
      <c r="D8885" s="35">
        <f>SUMIFS(D8886:D9015,K8886:K9015,"0",B8886:B9015,"5 2 3 1 8 12 31111 6 M59*")-SUMIFS(E8886:E9015,K8886:K9015,"0",B8886:B9015,"5 2 3 1 8 12 31111 6 M59*")</f>
        <v>0</v>
      </c>
      <c r="E8885"/>
      <c r="F8885" s="35">
        <f>SUMIFS(F8886:F9015,K8886:K9015,"0",B8886:B9015,"5 2 3 1 8 12 31111 6 M59*")</f>
        <v>1800000</v>
      </c>
      <c r="G8885" s="35">
        <f>SUMIFS(G8886:G9015,K8886:K9015,"0",B8886:B9015,"5 2 3 1 8 12 31111 6 M59*")</f>
        <v>0</v>
      </c>
      <c r="H8885" s="35">
        <f t="shared" si="139"/>
        <v>1800000</v>
      </c>
      <c r="I8885" s="35"/>
      <c r="K8885" t="s">
        <v>15</v>
      </c>
    </row>
    <row r="8886" spans="2:11" ht="24.75" x14ac:dyDescent="0.2">
      <c r="B8886" s="33" t="s">
        <v>10023</v>
      </c>
      <c r="C8886" s="33" t="s">
        <v>3571</v>
      </c>
      <c r="D8886" s="35">
        <f>SUMIFS(D8887:D9015,K8887:K9015,"0",B8887:B9015,"5 2 3 1 8 12 31111 6 M59 80500*")-SUMIFS(E8887:E9015,K8887:K9015,"0",B8887:B9015,"5 2 3 1 8 12 31111 6 M59 80500*")</f>
        <v>0</v>
      </c>
      <c r="E8886"/>
      <c r="F8886" s="35">
        <f>SUMIFS(F8887:F9015,K8887:K9015,"0",B8887:B9015,"5 2 3 1 8 12 31111 6 M59 80500*")</f>
        <v>1800000</v>
      </c>
      <c r="G8886" s="35">
        <f>SUMIFS(G8887:G9015,K8887:K9015,"0",B8887:B9015,"5 2 3 1 8 12 31111 6 M59 80500*")</f>
        <v>0</v>
      </c>
      <c r="H8886" s="35">
        <f t="shared" si="139"/>
        <v>1800000</v>
      </c>
      <c r="I8886" s="35"/>
      <c r="K8886" t="s">
        <v>15</v>
      </c>
    </row>
    <row r="8887" spans="2:11" ht="16.5" x14ac:dyDescent="0.2">
      <c r="B8887" s="33" t="s">
        <v>10024</v>
      </c>
      <c r="C8887" s="33" t="s">
        <v>3573</v>
      </c>
      <c r="D8887" s="35">
        <f>SUMIFS(D8888:D9015,K8888:K9015,"0",B8888:B9015,"5 2 3 1 8 12 31111 6 M59 80500 000216*")-SUMIFS(E8888:E9015,K8888:K9015,"0",B8888:B9015,"5 2 3 1 8 12 31111 6 M59 80500 000216*")</f>
        <v>0</v>
      </c>
      <c r="E8887"/>
      <c r="F8887" s="35">
        <f>SUMIFS(F8888:F9015,K8888:K9015,"0",B8888:B9015,"5 2 3 1 8 12 31111 6 M59 80500 000216*")</f>
        <v>1800000</v>
      </c>
      <c r="G8887" s="35">
        <f>SUMIFS(G8888:G9015,K8888:K9015,"0",B8888:B9015,"5 2 3 1 8 12 31111 6 M59 80500 000216*")</f>
        <v>0</v>
      </c>
      <c r="H8887" s="35">
        <f t="shared" si="139"/>
        <v>1800000</v>
      </c>
      <c r="I8887" s="35"/>
      <c r="K8887" t="s">
        <v>15</v>
      </c>
    </row>
    <row r="8888" spans="2:11" ht="24.75" x14ac:dyDescent="0.2">
      <c r="B8888" s="33" t="s">
        <v>10025</v>
      </c>
      <c r="C8888" s="33" t="s">
        <v>650</v>
      </c>
      <c r="D8888" s="35">
        <f>SUMIFS(D8889:D9015,K8889:K9015,"0",B8889:B9015,"5 2 3 1 8 12 31111 6 M59 80500 000216 0000R*")-SUMIFS(E8889:E9015,K8889:K9015,"0",B8889:B9015,"5 2 3 1 8 12 31111 6 M59 80500 000216 0000R*")</f>
        <v>0</v>
      </c>
      <c r="E8888"/>
      <c r="F8888" s="35">
        <f>SUMIFS(F8889:F9015,K8889:K9015,"0",B8889:B9015,"5 2 3 1 8 12 31111 6 M59 80500 000216 0000R*")</f>
        <v>1800000</v>
      </c>
      <c r="G8888" s="35">
        <f>SUMIFS(G8889:G9015,K8889:K9015,"0",B8889:B9015,"5 2 3 1 8 12 31111 6 M59 80500 000216 0000R*")</f>
        <v>0</v>
      </c>
      <c r="H8888" s="35">
        <f t="shared" si="139"/>
        <v>1800000</v>
      </c>
      <c r="I8888" s="35"/>
      <c r="K8888" t="s">
        <v>15</v>
      </c>
    </row>
    <row r="8889" spans="2:11" ht="24.75" x14ac:dyDescent="0.2">
      <c r="B8889" s="33" t="s">
        <v>10026</v>
      </c>
      <c r="C8889" s="33" t="s">
        <v>282</v>
      </c>
      <c r="D8889" s="35">
        <f>SUMIFS(D8890:D9015,K8890:K9015,"0",B8890:B9015,"5 2 3 1 8 12 31111 6 M59 80500 000216 0000R 00001*")-SUMIFS(E8890:E9015,K8890:K9015,"0",B8890:B9015,"5 2 3 1 8 12 31111 6 M59 80500 000216 0000R 00001*")</f>
        <v>0</v>
      </c>
      <c r="E8889"/>
      <c r="F8889" s="35">
        <f>SUMIFS(F8890:F9015,K8890:K9015,"0",B8890:B9015,"5 2 3 1 8 12 31111 6 M59 80500 000216 0000R 00001*")</f>
        <v>1800000</v>
      </c>
      <c r="G8889" s="35">
        <f>SUMIFS(G8890:G9015,K8890:K9015,"0",B8890:B9015,"5 2 3 1 8 12 31111 6 M59 80500 000216 0000R 00001*")</f>
        <v>0</v>
      </c>
      <c r="H8889" s="35">
        <f t="shared" si="139"/>
        <v>1800000</v>
      </c>
      <c r="I8889" s="35"/>
      <c r="K8889" t="s">
        <v>15</v>
      </c>
    </row>
    <row r="8890" spans="2:11" ht="24.75" x14ac:dyDescent="0.2">
      <c r="B8890" s="33" t="s">
        <v>10027</v>
      </c>
      <c r="C8890" s="33" t="s">
        <v>10028</v>
      </c>
      <c r="D8890" s="35">
        <f>SUMIFS(D8891:D9015,K8891:K9015,"0",B8891:B9015,"5 2 3 1 8 12 31111 6 M59 80500 000216 0000R 00001 00438*")-SUMIFS(E8891:E9015,K8891:K9015,"0",B8891:B9015,"5 2 3 1 8 12 31111 6 M59 80500 000216 0000R 00001 00438*")</f>
        <v>0</v>
      </c>
      <c r="E8890"/>
      <c r="F8890" s="35">
        <f>SUMIFS(F8891:F9015,K8891:K9015,"0",B8891:B9015,"5 2 3 1 8 12 31111 6 M59 80500 000216 0000R 00001 00438*")</f>
        <v>1800000</v>
      </c>
      <c r="G8890" s="35">
        <f>SUMIFS(G8891:G9015,K8891:K9015,"0",B8891:B9015,"5 2 3 1 8 12 31111 6 M59 80500 000216 0000R 00001 00438*")</f>
        <v>0</v>
      </c>
      <c r="H8890" s="35">
        <f t="shared" si="139"/>
        <v>1800000</v>
      </c>
      <c r="I8890" s="35"/>
      <c r="K8890" t="s">
        <v>15</v>
      </c>
    </row>
    <row r="8891" spans="2:11" ht="33" x14ac:dyDescent="0.2">
      <c r="B8891" s="33" t="s">
        <v>10029</v>
      </c>
      <c r="C8891" s="33" t="s">
        <v>699</v>
      </c>
      <c r="D8891" s="35">
        <f>SUMIFS(D8892:D9015,K8892:K9015,"0",B8892:B9015,"5 2 3 1 8 12 31111 6 M59 80500 000216 0000R 00001 00438 011*")-SUMIFS(E8892:E9015,K8892:K9015,"0",B8892:B9015,"5 2 3 1 8 12 31111 6 M59 80500 000216 0000R 00001 00438 011*")</f>
        <v>0</v>
      </c>
      <c r="E8891"/>
      <c r="F8891" s="35">
        <f>SUMIFS(F8892:F9015,K8892:K9015,"0",B8892:B9015,"5 2 3 1 8 12 31111 6 M59 80500 000216 0000R 00001 00438 011*")</f>
        <v>631664.14</v>
      </c>
      <c r="G8891" s="35">
        <f>SUMIFS(G8892:G9015,K8892:K9015,"0",B8892:B9015,"5 2 3 1 8 12 31111 6 M59 80500 000216 0000R 00001 00438 011*")</f>
        <v>0</v>
      </c>
      <c r="H8891" s="35">
        <f t="shared" si="139"/>
        <v>631664.14</v>
      </c>
      <c r="I8891" s="35"/>
      <c r="K8891" t="s">
        <v>15</v>
      </c>
    </row>
    <row r="8892" spans="2:11" ht="33" x14ac:dyDescent="0.2">
      <c r="B8892" s="33" t="s">
        <v>10030</v>
      </c>
      <c r="C8892" s="33" t="s">
        <v>10031</v>
      </c>
      <c r="D8892" s="35">
        <f>SUMIFS(D8893:D9015,K8893:K9015,"0",B8893:B9015,"5 2 3 1 8 12 31111 6 M59 80500 000216 0000R 00001 00438 011 2152200*")-SUMIFS(E8893:E9015,K8893:K9015,"0",B8893:B9015,"5 2 3 1 8 12 31111 6 M59 80500 000216 0000R 00001 00438 011 2152200*")</f>
        <v>0</v>
      </c>
      <c r="E8892"/>
      <c r="F8892" s="35">
        <f>SUMIFS(F8893:F9015,K8893:K9015,"0",B8893:B9015,"5 2 3 1 8 12 31111 6 M59 80500 000216 0000R 00001 00438 011 2152200*")</f>
        <v>631664.14</v>
      </c>
      <c r="G8892" s="35">
        <f>SUMIFS(G8893:G9015,K8893:K9015,"0",B8893:B9015,"5 2 3 1 8 12 31111 6 M59 80500 000216 0000R 00001 00438 011 2152200*")</f>
        <v>0</v>
      </c>
      <c r="H8892" s="35">
        <f t="shared" si="139"/>
        <v>631664.14</v>
      </c>
      <c r="I8892" s="35"/>
      <c r="K8892" t="s">
        <v>15</v>
      </c>
    </row>
    <row r="8893" spans="2:11" ht="33" x14ac:dyDescent="0.2">
      <c r="B8893" s="33" t="s">
        <v>10032</v>
      </c>
      <c r="C8893" s="33" t="s">
        <v>660</v>
      </c>
      <c r="D8893" s="35">
        <f>SUMIFS(D8894:D9015,K8894:K9015,"0",B8894:B9015,"5 2 3 1 8 12 31111 6 M59 80500 000216 0000R 00001 00438 011 2152200 2024*")-SUMIFS(E8894:E9015,K8894:K9015,"0",B8894:B9015,"5 2 3 1 8 12 31111 6 M59 80500 000216 0000R 00001 00438 011 2152200 2024*")</f>
        <v>0</v>
      </c>
      <c r="E8893"/>
      <c r="F8893" s="35">
        <f>SUMIFS(F8894:F9015,K8894:K9015,"0",B8894:B9015,"5 2 3 1 8 12 31111 6 M59 80500 000216 0000R 00001 00438 011 2152200 2024*")</f>
        <v>631664.14</v>
      </c>
      <c r="G8893" s="35">
        <f>SUMIFS(G8894:G9015,K8894:K9015,"0",B8894:B9015,"5 2 3 1 8 12 31111 6 M59 80500 000216 0000R 00001 00438 011 2152200 2024*")</f>
        <v>0</v>
      </c>
      <c r="H8893" s="35">
        <f t="shared" si="139"/>
        <v>631664.14</v>
      </c>
      <c r="I8893" s="35"/>
      <c r="K8893" t="s">
        <v>15</v>
      </c>
    </row>
    <row r="8894" spans="2:11" ht="41.25" x14ac:dyDescent="0.2">
      <c r="B8894" s="33" t="s">
        <v>10033</v>
      </c>
      <c r="C8894" s="33" t="s">
        <v>10034</v>
      </c>
      <c r="D8894" s="35">
        <f>SUMIFS(D8895:D9015,K8895:K9015,"0",B8895:B9015,"5 2 3 1 8 12 31111 6 M59 80500 000216 0000R 00001 00438 011 2152200 2024 CP3MA482*")-SUMIFS(E8895:E9015,K8895:K9015,"0",B8895:B9015,"5 2 3 1 8 12 31111 6 M59 80500 000216 0000R 00001 00438 011 2152200 2024 CP3MA482*")</f>
        <v>0</v>
      </c>
      <c r="E8894"/>
      <c r="F8894" s="35">
        <f>SUMIFS(F8895:F9015,K8895:K9015,"0",B8895:B9015,"5 2 3 1 8 12 31111 6 M59 80500 000216 0000R 00001 00438 011 2152200 2024 CP3MA482*")</f>
        <v>631664.14</v>
      </c>
      <c r="G8894" s="35">
        <f>SUMIFS(G8895:G9015,K8895:K9015,"0",B8895:B9015,"5 2 3 1 8 12 31111 6 M59 80500 000216 0000R 00001 00438 011 2152200 2024 CP3MA482*")</f>
        <v>0</v>
      </c>
      <c r="H8894" s="35">
        <f t="shared" si="139"/>
        <v>631664.14</v>
      </c>
      <c r="I8894" s="35"/>
      <c r="K8894" t="s">
        <v>15</v>
      </c>
    </row>
    <row r="8895" spans="2:11" ht="41.25" x14ac:dyDescent="0.2">
      <c r="B8895" s="33" t="s">
        <v>10035</v>
      </c>
      <c r="C8895" s="33" t="s">
        <v>46</v>
      </c>
      <c r="D8895" s="35">
        <f>SUMIFS(D8896:D9015,K8896:K9015,"0",B8896:B9015,"5 2 3 1 8 12 31111 6 M59 80500 000216 0000R 00001 00438 011 2152200 2024 CP3MA482 004*")-SUMIFS(E8896:E9015,K8896:K9015,"0",B8896:B9015,"5 2 3 1 8 12 31111 6 M59 80500 000216 0000R 00001 00438 011 2152200 2024 CP3MA482 004*")</f>
        <v>0</v>
      </c>
      <c r="E8895"/>
      <c r="F8895" s="35">
        <f>SUMIFS(F8896:F9015,K8896:K9015,"0",B8896:B9015,"5 2 3 1 8 12 31111 6 M59 80500 000216 0000R 00001 00438 011 2152200 2024 CP3MA482 004*")</f>
        <v>631664.14</v>
      </c>
      <c r="G8895" s="35">
        <f>SUMIFS(G8896:G9015,K8896:K9015,"0",B8896:B9015,"5 2 3 1 8 12 31111 6 M59 80500 000216 0000R 00001 00438 011 2152200 2024 CP3MA482 004*")</f>
        <v>0</v>
      </c>
      <c r="H8895" s="35">
        <f t="shared" si="139"/>
        <v>631664.14</v>
      </c>
      <c r="I8895" s="35"/>
      <c r="K8895" t="s">
        <v>15</v>
      </c>
    </row>
    <row r="8896" spans="2:11" ht="33" x14ac:dyDescent="0.2">
      <c r="B8896" s="31" t="s">
        <v>10036</v>
      </c>
      <c r="C8896" s="31" t="s">
        <v>10018</v>
      </c>
      <c r="D8896" s="34">
        <v>0</v>
      </c>
      <c r="E8896" s="34"/>
      <c r="F8896" s="34">
        <v>631664.14</v>
      </c>
      <c r="G8896" s="34">
        <v>0</v>
      </c>
      <c r="H8896" s="34">
        <f t="shared" si="139"/>
        <v>631664.14</v>
      </c>
      <c r="I8896" s="34"/>
      <c r="K8896" t="s">
        <v>38</v>
      </c>
    </row>
    <row r="8897" spans="2:11" ht="33" x14ac:dyDescent="0.2">
      <c r="B8897" s="33" t="s">
        <v>10037</v>
      </c>
      <c r="C8897" s="33" t="s">
        <v>1051</v>
      </c>
      <c r="D8897" s="35">
        <f>SUMIFS(D8898:D9015,K8898:K9015,"0",B8898:B9015,"5 2 3 1 8 12 31111 6 M59 80500 000216 0000R 00001 00438 015*")-SUMIFS(E8898:E9015,K8898:K9015,"0",B8898:B9015,"5 2 3 1 8 12 31111 6 M59 80500 000216 0000R 00001 00438 015*")</f>
        <v>0</v>
      </c>
      <c r="E8897"/>
      <c r="F8897" s="35">
        <f>SUMIFS(F8898:F9015,K8898:K9015,"0",B8898:B9015,"5 2 3 1 8 12 31111 6 M59 80500 000216 0000R 00001 00438 015*")</f>
        <v>1168335.8600000001</v>
      </c>
      <c r="G8897" s="35">
        <f>SUMIFS(G8898:G9015,K8898:K9015,"0",B8898:B9015,"5 2 3 1 8 12 31111 6 M59 80500 000216 0000R 00001 00438 015*")</f>
        <v>0</v>
      </c>
      <c r="H8897" s="35">
        <f t="shared" si="139"/>
        <v>1168335.8600000001</v>
      </c>
      <c r="I8897" s="35"/>
      <c r="K8897" t="s">
        <v>15</v>
      </c>
    </row>
    <row r="8898" spans="2:11" ht="33" x14ac:dyDescent="0.2">
      <c r="B8898" s="33" t="s">
        <v>10038</v>
      </c>
      <c r="C8898" s="33" t="s">
        <v>10031</v>
      </c>
      <c r="D8898" s="35">
        <f>SUMIFS(D8899:D9015,K8899:K9015,"0",B8899:B9015,"5 2 3 1 8 12 31111 6 M59 80500 000216 0000R 00001 00438 015 2152200*")-SUMIFS(E8899:E9015,K8899:K9015,"0",B8899:B9015,"5 2 3 1 8 12 31111 6 M59 80500 000216 0000R 00001 00438 015 2152200*")</f>
        <v>0</v>
      </c>
      <c r="E8898"/>
      <c r="F8898" s="35">
        <f>SUMIFS(F8899:F9015,K8899:K9015,"0",B8899:B9015,"5 2 3 1 8 12 31111 6 M59 80500 000216 0000R 00001 00438 015 2152200*")</f>
        <v>1168335.8600000001</v>
      </c>
      <c r="G8898" s="35">
        <f>SUMIFS(G8899:G9015,K8899:K9015,"0",B8899:B9015,"5 2 3 1 8 12 31111 6 M59 80500 000216 0000R 00001 00438 015 2152200*")</f>
        <v>0</v>
      </c>
      <c r="H8898" s="35">
        <f t="shared" si="139"/>
        <v>1168335.8600000001</v>
      </c>
      <c r="I8898" s="35"/>
      <c r="K8898" t="s">
        <v>15</v>
      </c>
    </row>
    <row r="8899" spans="2:11" ht="33" x14ac:dyDescent="0.2">
      <c r="B8899" s="33" t="s">
        <v>10039</v>
      </c>
      <c r="C8899" s="33" t="s">
        <v>660</v>
      </c>
      <c r="D8899" s="35">
        <f>SUMIFS(D8900:D9015,K8900:K9015,"0",B8900:B9015,"5 2 3 1 8 12 31111 6 M59 80500 000216 0000R 00001 00438 015 2152200 2024*")-SUMIFS(E8900:E9015,K8900:K9015,"0",B8900:B9015,"5 2 3 1 8 12 31111 6 M59 80500 000216 0000R 00001 00438 015 2152200 2024*")</f>
        <v>0</v>
      </c>
      <c r="E8899"/>
      <c r="F8899" s="35">
        <f>SUMIFS(F8900:F9015,K8900:K9015,"0",B8900:B9015,"5 2 3 1 8 12 31111 6 M59 80500 000216 0000R 00001 00438 015 2152200 2024*")</f>
        <v>1168335.8600000001</v>
      </c>
      <c r="G8899" s="35">
        <f>SUMIFS(G8900:G9015,K8900:K9015,"0",B8900:B9015,"5 2 3 1 8 12 31111 6 M59 80500 000216 0000R 00001 00438 015 2152200 2024*")</f>
        <v>0</v>
      </c>
      <c r="H8899" s="35">
        <f t="shared" si="139"/>
        <v>1168335.8600000001</v>
      </c>
      <c r="I8899" s="35"/>
      <c r="K8899" t="s">
        <v>15</v>
      </c>
    </row>
    <row r="8900" spans="2:11" ht="41.25" x14ac:dyDescent="0.2">
      <c r="B8900" s="33" t="s">
        <v>10040</v>
      </c>
      <c r="C8900" s="33" t="s">
        <v>1056</v>
      </c>
      <c r="D8900" s="35">
        <f>SUMIFS(D8901:D9015,K8901:K9015,"0",B8901:B9015,"5 2 3 1 8 12 31111 6 M59 80500 000216 0000R 00001 00438 015 2152200 2024 CP1MA417*")-SUMIFS(E8901:E9015,K8901:K9015,"0",B8901:B9015,"5 2 3 1 8 12 31111 6 M59 80500 000216 0000R 00001 00438 015 2152200 2024 CP1MA417*")</f>
        <v>0</v>
      </c>
      <c r="E8900"/>
      <c r="F8900" s="35">
        <f>SUMIFS(F8901:F9015,K8901:K9015,"0",B8901:B9015,"5 2 3 1 8 12 31111 6 M59 80500 000216 0000R 00001 00438 015 2152200 2024 CP1MA417*")</f>
        <v>1168335.8600000001</v>
      </c>
      <c r="G8900" s="35">
        <f>SUMIFS(G8901:G9015,K8901:K9015,"0",B8901:B9015,"5 2 3 1 8 12 31111 6 M59 80500 000216 0000R 00001 00438 015 2152200 2024 CP1MA417*")</f>
        <v>0</v>
      </c>
      <c r="H8900" s="35">
        <f t="shared" ref="H8900:H8963" si="140">D8900 + F8900 - G8900</f>
        <v>1168335.8600000001</v>
      </c>
      <c r="I8900" s="35"/>
      <c r="K8900" t="s">
        <v>15</v>
      </c>
    </row>
    <row r="8901" spans="2:11" ht="41.25" x14ac:dyDescent="0.2">
      <c r="B8901" s="33" t="s">
        <v>10041</v>
      </c>
      <c r="C8901" s="33" t="s">
        <v>282</v>
      </c>
      <c r="D8901" s="35">
        <f>SUMIFS(D8902:D9015,K8902:K9015,"0",B8902:B9015,"5 2 3 1 8 12 31111 6 M59 80500 000216 0000R 00001 00438 015 2152200 2024 CP1MA417 001*")-SUMIFS(E8902:E9015,K8902:K9015,"0",B8902:B9015,"5 2 3 1 8 12 31111 6 M59 80500 000216 0000R 00001 00438 015 2152200 2024 CP1MA417 001*")</f>
        <v>0</v>
      </c>
      <c r="E8901"/>
      <c r="F8901" s="35">
        <f>SUMIFS(F8902:F9015,K8902:K9015,"0",B8902:B9015,"5 2 3 1 8 12 31111 6 M59 80500 000216 0000R 00001 00438 015 2152200 2024 CP1MA417 001*")</f>
        <v>1168335.8600000001</v>
      </c>
      <c r="G8901" s="35">
        <f>SUMIFS(G8902:G9015,K8902:K9015,"0",B8902:B9015,"5 2 3 1 8 12 31111 6 M59 80500 000216 0000R 00001 00438 015 2152200 2024 CP1MA417 001*")</f>
        <v>0</v>
      </c>
      <c r="H8901" s="35">
        <f t="shared" si="140"/>
        <v>1168335.8600000001</v>
      </c>
      <c r="I8901" s="35"/>
      <c r="K8901" t="s">
        <v>15</v>
      </c>
    </row>
    <row r="8902" spans="2:11" ht="33" x14ac:dyDescent="0.2">
      <c r="B8902" s="31" t="s">
        <v>10042</v>
      </c>
      <c r="C8902" s="31" t="s">
        <v>10018</v>
      </c>
      <c r="D8902" s="34">
        <v>0</v>
      </c>
      <c r="E8902" s="34"/>
      <c r="F8902" s="34">
        <v>1168335.8600000001</v>
      </c>
      <c r="G8902" s="34">
        <v>0</v>
      </c>
      <c r="H8902" s="34">
        <f t="shared" si="140"/>
        <v>1168335.8600000001</v>
      </c>
      <c r="I8902" s="34"/>
      <c r="K8902" t="s">
        <v>38</v>
      </c>
    </row>
    <row r="8903" spans="2:11" ht="12.75" x14ac:dyDescent="0.2">
      <c r="B8903" s="33" t="s">
        <v>10043</v>
      </c>
      <c r="C8903" s="33" t="s">
        <v>1804</v>
      </c>
      <c r="D8903" s="35">
        <f>SUMIFS(D8904:D9015,K8904:K9015,"0",B8904:B9015,"5 2 4*")-SUMIFS(E8904:E9015,K8904:K9015,"0",B8904:B9015,"5 2 4*")</f>
        <v>0</v>
      </c>
      <c r="E8903"/>
      <c r="F8903" s="35">
        <f>SUMIFS(F8904:F9015,K8904:K9015,"0",B8904:B9015,"5 2 4*")</f>
        <v>1769494.8900000001</v>
      </c>
      <c r="G8903" s="35">
        <f>SUMIFS(G8904:G9015,K8904:K9015,"0",B8904:B9015,"5 2 4*")</f>
        <v>0</v>
      </c>
      <c r="H8903" s="35">
        <f t="shared" si="140"/>
        <v>1769494.8900000001</v>
      </c>
      <c r="I8903" s="35"/>
      <c r="K8903" t="s">
        <v>15</v>
      </c>
    </row>
    <row r="8904" spans="2:11" ht="16.5" x14ac:dyDescent="0.2">
      <c r="B8904" s="33" t="s">
        <v>10044</v>
      </c>
      <c r="C8904" s="33" t="s">
        <v>10045</v>
      </c>
      <c r="D8904" s="35">
        <f>SUMIFS(D8905:D9015,K8905:K9015,"0",B8905:B9015,"5 2 4 1*")-SUMIFS(E8905:E9015,K8905:K9015,"0",B8905:B9015,"5 2 4 1*")</f>
        <v>0</v>
      </c>
      <c r="E8904"/>
      <c r="F8904" s="35">
        <f>SUMIFS(F8905:F9015,K8905:K9015,"0",B8905:B9015,"5 2 4 1*")</f>
        <v>1769494.8900000001</v>
      </c>
      <c r="G8904" s="35">
        <f>SUMIFS(G8905:G9015,K8905:K9015,"0",B8905:B9015,"5 2 4 1*")</f>
        <v>0</v>
      </c>
      <c r="H8904" s="35">
        <f t="shared" si="140"/>
        <v>1769494.8900000001</v>
      </c>
      <c r="I8904" s="35"/>
      <c r="K8904" t="s">
        <v>15</v>
      </c>
    </row>
    <row r="8905" spans="2:11" ht="16.5" x14ac:dyDescent="0.2">
      <c r="B8905" s="33" t="s">
        <v>10046</v>
      </c>
      <c r="C8905" s="33" t="s">
        <v>10045</v>
      </c>
      <c r="D8905" s="35">
        <f>SUMIFS(D8906:D9015,K8906:K9015,"0",B8906:B9015,"5 2 4 1 1*")-SUMIFS(E8906:E9015,K8906:K9015,"0",B8906:B9015,"5 2 4 1 1*")</f>
        <v>0</v>
      </c>
      <c r="E8905"/>
      <c r="F8905" s="35">
        <f>SUMIFS(F8906:F9015,K8906:K9015,"0",B8906:B9015,"5 2 4 1 1*")</f>
        <v>1769494.8900000001</v>
      </c>
      <c r="G8905" s="35">
        <f>SUMIFS(G8906:G9015,K8906:K9015,"0",B8906:B9015,"5 2 4 1 1*")</f>
        <v>0</v>
      </c>
      <c r="H8905" s="35">
        <f t="shared" si="140"/>
        <v>1769494.8900000001</v>
      </c>
      <c r="I8905" s="35"/>
      <c r="K8905" t="s">
        <v>15</v>
      </c>
    </row>
    <row r="8906" spans="2:11" ht="12.75" x14ac:dyDescent="0.2">
      <c r="B8906" s="33" t="s">
        <v>10047</v>
      </c>
      <c r="C8906" s="33" t="s">
        <v>26</v>
      </c>
      <c r="D8906" s="35">
        <f>SUMIFS(D8907:D9015,K8907:K9015,"0",B8907:B9015,"5 2 4 1 1 12*")-SUMIFS(E8907:E9015,K8907:K9015,"0",B8907:B9015,"5 2 4 1 1 12*")</f>
        <v>0</v>
      </c>
      <c r="E8906"/>
      <c r="F8906" s="35">
        <f>SUMIFS(F8907:F9015,K8907:K9015,"0",B8907:B9015,"5 2 4 1 1 12*")</f>
        <v>1769494.8900000001</v>
      </c>
      <c r="G8906" s="35">
        <f>SUMIFS(G8907:G9015,K8907:K9015,"0",B8907:B9015,"5 2 4 1 1 12*")</f>
        <v>0</v>
      </c>
      <c r="H8906" s="35">
        <f t="shared" si="140"/>
        <v>1769494.8900000001</v>
      </c>
      <c r="I8906" s="35"/>
      <c r="K8906" t="s">
        <v>15</v>
      </c>
    </row>
    <row r="8907" spans="2:11" ht="16.5" x14ac:dyDescent="0.2">
      <c r="B8907" s="33" t="s">
        <v>10048</v>
      </c>
      <c r="C8907" s="33" t="s">
        <v>28</v>
      </c>
      <c r="D8907" s="35">
        <f>SUMIFS(D8908:D9015,K8908:K9015,"0",B8908:B9015,"5 2 4 1 1 12 31111*")-SUMIFS(E8908:E9015,K8908:K9015,"0",B8908:B9015,"5 2 4 1 1 12 31111*")</f>
        <v>0</v>
      </c>
      <c r="E8907"/>
      <c r="F8907" s="35">
        <f>SUMIFS(F8908:F9015,K8908:K9015,"0",B8908:B9015,"5 2 4 1 1 12 31111*")</f>
        <v>1769494.8900000001</v>
      </c>
      <c r="G8907" s="35">
        <f>SUMIFS(G8908:G9015,K8908:K9015,"0",B8908:B9015,"5 2 4 1 1 12 31111*")</f>
        <v>0</v>
      </c>
      <c r="H8907" s="35">
        <f t="shared" si="140"/>
        <v>1769494.8900000001</v>
      </c>
      <c r="I8907" s="35"/>
      <c r="K8907" t="s">
        <v>15</v>
      </c>
    </row>
    <row r="8908" spans="2:11" ht="12.75" x14ac:dyDescent="0.2">
      <c r="B8908" s="33" t="s">
        <v>10049</v>
      </c>
      <c r="C8908" s="33" t="s">
        <v>30</v>
      </c>
      <c r="D8908" s="35">
        <f>SUMIFS(D8909:D9015,K8909:K9015,"0",B8909:B9015,"5 2 4 1 1 12 31111 6*")-SUMIFS(E8909:E9015,K8909:K9015,"0",B8909:B9015,"5 2 4 1 1 12 31111 6*")</f>
        <v>0</v>
      </c>
      <c r="E8908"/>
      <c r="F8908" s="35">
        <f>SUMIFS(F8909:F9015,K8909:K9015,"0",B8909:B9015,"5 2 4 1 1 12 31111 6*")</f>
        <v>1769494.8900000001</v>
      </c>
      <c r="G8908" s="35">
        <f>SUMIFS(G8909:G9015,K8909:K9015,"0",B8909:B9015,"5 2 4 1 1 12 31111 6*")</f>
        <v>0</v>
      </c>
      <c r="H8908" s="35">
        <f t="shared" si="140"/>
        <v>1769494.8900000001</v>
      </c>
      <c r="I8908" s="35"/>
      <c r="K8908" t="s">
        <v>15</v>
      </c>
    </row>
    <row r="8909" spans="2:11" ht="16.5" x14ac:dyDescent="0.2">
      <c r="B8909" s="33" t="s">
        <v>10050</v>
      </c>
      <c r="C8909" s="33" t="s">
        <v>2284</v>
      </c>
      <c r="D8909" s="35">
        <f>SUMIFS(D8910:D9015,K8910:K9015,"0",B8910:B9015,"5 2 4 1 1 12 31111 6 M59*")-SUMIFS(E8910:E9015,K8910:K9015,"0",B8910:B9015,"5 2 4 1 1 12 31111 6 M59*")</f>
        <v>0</v>
      </c>
      <c r="E8909"/>
      <c r="F8909" s="35">
        <f>SUMIFS(F8910:F9015,K8910:K9015,"0",B8910:B9015,"5 2 4 1 1 12 31111 6 M59*")</f>
        <v>1769494.8900000001</v>
      </c>
      <c r="G8909" s="35">
        <f>SUMIFS(G8910:G9015,K8910:K9015,"0",B8910:B9015,"5 2 4 1 1 12 31111 6 M59*")</f>
        <v>0</v>
      </c>
      <c r="H8909" s="35">
        <f t="shared" si="140"/>
        <v>1769494.8900000001</v>
      </c>
      <c r="I8909" s="35"/>
      <c r="K8909" t="s">
        <v>15</v>
      </c>
    </row>
    <row r="8910" spans="2:11" ht="16.5" x14ac:dyDescent="0.2">
      <c r="B8910" s="33" t="s">
        <v>10051</v>
      </c>
      <c r="C8910" s="33" t="s">
        <v>1243</v>
      </c>
      <c r="D8910" s="35">
        <f>SUMIFS(D8911:D9015,K8911:K9015,"0",B8911:B9015,"5 2 4 1 1 12 31111 6 M59 10000*")-SUMIFS(E8911:E9015,K8911:K9015,"0",B8911:B9015,"5 2 4 1 1 12 31111 6 M59 10000*")</f>
        <v>0</v>
      </c>
      <c r="E8910"/>
      <c r="F8910" s="35">
        <f>SUMIFS(F8911:F9015,K8911:K9015,"0",B8911:B9015,"5 2 4 1 1 12 31111 6 M59 10000*")</f>
        <v>109059.98</v>
      </c>
      <c r="G8910" s="35">
        <f>SUMIFS(G8911:G9015,K8911:K9015,"0",B8911:B9015,"5 2 4 1 1 12 31111 6 M59 10000*")</f>
        <v>0</v>
      </c>
      <c r="H8910" s="35">
        <f t="shared" si="140"/>
        <v>109059.98</v>
      </c>
      <c r="I8910" s="35"/>
      <c r="K8910" t="s">
        <v>15</v>
      </c>
    </row>
    <row r="8911" spans="2:11" ht="16.5" x14ac:dyDescent="0.2">
      <c r="B8911" s="33" t="s">
        <v>10052</v>
      </c>
      <c r="C8911" s="33" t="s">
        <v>648</v>
      </c>
      <c r="D8911" s="35">
        <f>SUMIFS(D8912:D9015,K8912:K9015,"0",B8912:B9015,"5 2 4 1 1 12 31111 6 M59 10000 000132*")-SUMIFS(E8912:E9015,K8912:K9015,"0",B8912:B9015,"5 2 4 1 1 12 31111 6 M59 10000 000132*")</f>
        <v>0</v>
      </c>
      <c r="E8911"/>
      <c r="F8911" s="35">
        <f>SUMIFS(F8912:F9015,K8912:K9015,"0",B8912:B9015,"5 2 4 1 1 12 31111 6 M59 10000 000132*")</f>
        <v>109059.98</v>
      </c>
      <c r="G8911" s="35">
        <f>SUMIFS(G8912:G9015,K8912:K9015,"0",B8912:B9015,"5 2 4 1 1 12 31111 6 M59 10000 000132*")</f>
        <v>0</v>
      </c>
      <c r="H8911" s="35">
        <f t="shared" si="140"/>
        <v>109059.98</v>
      </c>
      <c r="I8911" s="35"/>
      <c r="K8911" t="s">
        <v>15</v>
      </c>
    </row>
    <row r="8912" spans="2:11" ht="24.75" x14ac:dyDescent="0.2">
      <c r="B8912" s="33" t="s">
        <v>10053</v>
      </c>
      <c r="C8912" s="33" t="s">
        <v>650</v>
      </c>
      <c r="D8912" s="35">
        <f>SUMIFS(D8913:D9015,K8913:K9015,"0",B8913:B9015,"5 2 4 1 1 12 31111 6 M59 10000 000132 0000R*")-SUMIFS(E8913:E9015,K8913:K9015,"0",B8913:B9015,"5 2 4 1 1 12 31111 6 M59 10000 000132 0000R*")</f>
        <v>0</v>
      </c>
      <c r="E8912"/>
      <c r="F8912" s="35">
        <f>SUMIFS(F8913:F9015,K8913:K9015,"0",B8913:B9015,"5 2 4 1 1 12 31111 6 M59 10000 000132 0000R*")</f>
        <v>109059.98</v>
      </c>
      <c r="G8912" s="35">
        <f>SUMIFS(G8913:G9015,K8913:K9015,"0",B8913:B9015,"5 2 4 1 1 12 31111 6 M59 10000 000132 0000R*")</f>
        <v>0</v>
      </c>
      <c r="H8912" s="35">
        <f t="shared" si="140"/>
        <v>109059.98</v>
      </c>
      <c r="I8912" s="35"/>
      <c r="K8912" t="s">
        <v>15</v>
      </c>
    </row>
    <row r="8913" spans="2:11" ht="24.75" x14ac:dyDescent="0.2">
      <c r="B8913" s="33" t="s">
        <v>10054</v>
      </c>
      <c r="C8913" s="33" t="s">
        <v>282</v>
      </c>
      <c r="D8913" s="35">
        <f>SUMIFS(D8914:D9015,K8914:K9015,"0",B8914:B9015,"5 2 4 1 1 12 31111 6 M59 10000 000132 0000R 00001*")-SUMIFS(E8914:E9015,K8914:K9015,"0",B8914:B9015,"5 2 4 1 1 12 31111 6 M59 10000 000132 0000R 00001*")</f>
        <v>0</v>
      </c>
      <c r="E8913"/>
      <c r="F8913" s="35">
        <f>SUMIFS(F8914:F9015,K8914:K9015,"0",B8914:B9015,"5 2 4 1 1 12 31111 6 M59 10000 000132 0000R 00001*")</f>
        <v>109059.98</v>
      </c>
      <c r="G8913" s="35">
        <f>SUMIFS(G8914:G9015,K8914:K9015,"0",B8914:B9015,"5 2 4 1 1 12 31111 6 M59 10000 000132 0000R 00001*")</f>
        <v>0</v>
      </c>
      <c r="H8913" s="35">
        <f t="shared" si="140"/>
        <v>109059.98</v>
      </c>
      <c r="I8913" s="35"/>
      <c r="K8913" t="s">
        <v>15</v>
      </c>
    </row>
    <row r="8914" spans="2:11" ht="24.75" x14ac:dyDescent="0.2">
      <c r="B8914" s="33" t="s">
        <v>10055</v>
      </c>
      <c r="C8914" s="33" t="s">
        <v>10056</v>
      </c>
      <c r="D8914" s="35">
        <f>SUMIFS(D8915:D9015,K8915:K9015,"0",B8915:B9015,"5 2 4 1 1 12 31111 6 M59 10000 000132 0000R 00001 00441*")-SUMIFS(E8915:E9015,K8915:K9015,"0",B8915:B9015,"5 2 4 1 1 12 31111 6 M59 10000 000132 0000R 00001 00441*")</f>
        <v>0</v>
      </c>
      <c r="E8914"/>
      <c r="F8914" s="35">
        <f>SUMIFS(F8915:F9015,K8915:K9015,"0",B8915:B9015,"5 2 4 1 1 12 31111 6 M59 10000 000132 0000R 00001 00441*")</f>
        <v>109059.98</v>
      </c>
      <c r="G8914" s="35">
        <f>SUMIFS(G8915:G9015,K8915:K9015,"0",B8915:B9015,"5 2 4 1 1 12 31111 6 M59 10000 000132 0000R 00001 00441*")</f>
        <v>0</v>
      </c>
      <c r="H8914" s="35">
        <f t="shared" si="140"/>
        <v>109059.98</v>
      </c>
      <c r="I8914" s="35"/>
      <c r="K8914" t="s">
        <v>15</v>
      </c>
    </row>
    <row r="8915" spans="2:11" ht="33" x14ac:dyDescent="0.2">
      <c r="B8915" s="33" t="s">
        <v>10057</v>
      </c>
      <c r="C8915" s="33" t="s">
        <v>656</v>
      </c>
      <c r="D8915" s="35">
        <f>SUMIFS(D8916:D9015,K8916:K9015,"0",B8916:B9015,"5 2 4 1 1 12 31111 6 M59 10000 000132 0000R 00001 00441 025*")-SUMIFS(E8916:E9015,K8916:K9015,"0",B8916:B9015,"5 2 4 1 1 12 31111 6 M59 10000 000132 0000R 00001 00441 025*")</f>
        <v>0</v>
      </c>
      <c r="E8915"/>
      <c r="F8915" s="35">
        <f>SUMIFS(F8916:F9015,K8916:K9015,"0",B8916:B9015,"5 2 4 1 1 12 31111 6 M59 10000 000132 0000R 00001 00441 025*")</f>
        <v>109059.98</v>
      </c>
      <c r="G8915" s="35">
        <f>SUMIFS(G8916:G9015,K8916:K9015,"0",B8916:B9015,"5 2 4 1 1 12 31111 6 M59 10000 000132 0000R 00001 00441 025*")</f>
        <v>0</v>
      </c>
      <c r="H8915" s="35">
        <f t="shared" si="140"/>
        <v>109059.98</v>
      </c>
      <c r="I8915" s="35"/>
      <c r="K8915" t="s">
        <v>15</v>
      </c>
    </row>
    <row r="8916" spans="2:11" ht="33" x14ac:dyDescent="0.2">
      <c r="B8916" s="33" t="s">
        <v>10058</v>
      </c>
      <c r="C8916" s="33" t="s">
        <v>10059</v>
      </c>
      <c r="D8916" s="35">
        <f>SUMIFS(D8917:D9015,K8917:K9015,"0",B8917:B9015,"5 2 4 1 1 12 31111 6 M59 10000 000132 0000R 00001 00441 025 2151100*")-SUMIFS(E8917:E9015,K8917:K9015,"0",B8917:B9015,"5 2 4 1 1 12 31111 6 M59 10000 000132 0000R 00001 00441 025 2151100*")</f>
        <v>0</v>
      </c>
      <c r="E8916"/>
      <c r="F8916" s="35">
        <f>SUMIFS(F8917:F9015,K8917:K9015,"0",B8917:B9015,"5 2 4 1 1 12 31111 6 M59 10000 000132 0000R 00001 00441 025 2151100*")</f>
        <v>109059.98</v>
      </c>
      <c r="G8916" s="35">
        <f>SUMIFS(G8917:G9015,K8917:K9015,"0",B8917:B9015,"5 2 4 1 1 12 31111 6 M59 10000 000132 0000R 00001 00441 025 2151100*")</f>
        <v>0</v>
      </c>
      <c r="H8916" s="35">
        <f t="shared" si="140"/>
        <v>109059.98</v>
      </c>
      <c r="I8916" s="35"/>
      <c r="K8916" t="s">
        <v>15</v>
      </c>
    </row>
    <row r="8917" spans="2:11" ht="33" x14ac:dyDescent="0.2">
      <c r="B8917" s="33" t="s">
        <v>10060</v>
      </c>
      <c r="C8917" s="33" t="s">
        <v>660</v>
      </c>
      <c r="D8917" s="35">
        <f>SUMIFS(D8918:D9015,K8918:K9015,"0",B8918:B9015,"5 2 4 1 1 12 31111 6 M59 10000 000132 0000R 00001 00441 025 2151100 2024*")-SUMIFS(E8918:E9015,K8918:K9015,"0",B8918:B9015,"5 2 4 1 1 12 31111 6 M59 10000 000132 0000R 00001 00441 025 2151100 2024*")</f>
        <v>0</v>
      </c>
      <c r="E8917"/>
      <c r="F8917" s="35">
        <f>SUMIFS(F8918:F9015,K8918:K9015,"0",B8918:B9015,"5 2 4 1 1 12 31111 6 M59 10000 000132 0000R 00001 00441 025 2151100 2024*")</f>
        <v>109059.98</v>
      </c>
      <c r="G8917" s="35">
        <f>SUMIFS(G8918:G9015,K8918:K9015,"0",B8918:B9015,"5 2 4 1 1 12 31111 6 M59 10000 000132 0000R 00001 00441 025 2151100 2024*")</f>
        <v>0</v>
      </c>
      <c r="H8917" s="35">
        <f t="shared" si="140"/>
        <v>109059.98</v>
      </c>
      <c r="I8917" s="35"/>
      <c r="K8917" t="s">
        <v>15</v>
      </c>
    </row>
    <row r="8918" spans="2:11" ht="41.25" x14ac:dyDescent="0.2">
      <c r="B8918" s="33" t="s">
        <v>10061</v>
      </c>
      <c r="C8918" s="33" t="s">
        <v>662</v>
      </c>
      <c r="D8918" s="35">
        <f>SUMIFS(D8919:D9015,K8919:K9015,"0",B8919:B9015,"5 2 4 1 1 12 31111 6 M59 10000 000132 0000R 00001 00441 025 2151100 2024 CP1PM439*")-SUMIFS(E8919:E9015,K8919:K9015,"0",B8919:B9015,"5 2 4 1 1 12 31111 6 M59 10000 000132 0000R 00001 00441 025 2151100 2024 CP1PM439*")</f>
        <v>0</v>
      </c>
      <c r="E8918"/>
      <c r="F8918" s="35">
        <f>SUMIFS(F8919:F9015,K8919:K9015,"0",B8919:B9015,"5 2 4 1 1 12 31111 6 M59 10000 000132 0000R 00001 00441 025 2151100 2024 CP1PM439*")</f>
        <v>109059.98</v>
      </c>
      <c r="G8918" s="35">
        <f>SUMIFS(G8919:G9015,K8919:K9015,"0",B8919:B9015,"5 2 4 1 1 12 31111 6 M59 10000 000132 0000R 00001 00441 025 2151100 2024 CP1PM439*")</f>
        <v>0</v>
      </c>
      <c r="H8918" s="35">
        <f t="shared" si="140"/>
        <v>109059.98</v>
      </c>
      <c r="I8918" s="35"/>
      <c r="K8918" t="s">
        <v>15</v>
      </c>
    </row>
    <row r="8919" spans="2:11" ht="41.25" x14ac:dyDescent="0.2">
      <c r="B8919" s="33" t="s">
        <v>10062</v>
      </c>
      <c r="C8919" s="33" t="s">
        <v>664</v>
      </c>
      <c r="D8919" s="35">
        <f>SUMIFS(D8920:D9015,K8920:K9015,"0",B8920:B9015,"5 2 4 1 1 12 31111 6 M59 10000 000132 0000R 00001 00441 025 2151100 2024 CP1PM439 003*")-SUMIFS(E8920:E9015,K8920:K9015,"0",B8920:B9015,"5 2 4 1 1 12 31111 6 M59 10000 000132 0000R 00001 00441 025 2151100 2024 CP1PM439 003*")</f>
        <v>0</v>
      </c>
      <c r="E8919"/>
      <c r="F8919" s="35">
        <f>SUMIFS(F8920:F9015,K8920:K9015,"0",B8920:B9015,"5 2 4 1 1 12 31111 6 M59 10000 000132 0000R 00001 00441 025 2151100 2024 CP1PM439 003*")</f>
        <v>109059.98</v>
      </c>
      <c r="G8919" s="35">
        <f>SUMIFS(G8920:G9015,K8920:K9015,"0",B8920:B9015,"5 2 4 1 1 12 31111 6 M59 10000 000132 0000R 00001 00441 025 2151100 2024 CP1PM439 003*")</f>
        <v>0</v>
      </c>
      <c r="H8919" s="35">
        <f t="shared" si="140"/>
        <v>109059.98</v>
      </c>
      <c r="I8919" s="35"/>
      <c r="K8919" t="s">
        <v>15</v>
      </c>
    </row>
    <row r="8920" spans="2:11" ht="33" x14ac:dyDescent="0.2">
      <c r="B8920" s="31" t="s">
        <v>10063</v>
      </c>
      <c r="C8920" s="31" t="s">
        <v>10064</v>
      </c>
      <c r="D8920" s="34">
        <v>0</v>
      </c>
      <c r="E8920" s="34"/>
      <c r="F8920" s="34">
        <v>94425</v>
      </c>
      <c r="G8920" s="34">
        <v>0</v>
      </c>
      <c r="H8920" s="34">
        <f t="shared" si="140"/>
        <v>94425</v>
      </c>
      <c r="I8920" s="34"/>
      <c r="K8920" t="s">
        <v>38</v>
      </c>
    </row>
    <row r="8921" spans="2:11" ht="33" x14ac:dyDescent="0.2">
      <c r="B8921" s="31" t="s">
        <v>10065</v>
      </c>
      <c r="C8921" s="31" t="s">
        <v>10066</v>
      </c>
      <c r="D8921" s="34">
        <v>0</v>
      </c>
      <c r="E8921" s="34"/>
      <c r="F8921" s="34">
        <v>14634.98</v>
      </c>
      <c r="G8921" s="34">
        <v>0</v>
      </c>
      <c r="H8921" s="34">
        <f t="shared" si="140"/>
        <v>14634.98</v>
      </c>
      <c r="I8921" s="34"/>
      <c r="K8921" t="s">
        <v>38</v>
      </c>
    </row>
    <row r="8922" spans="2:11" ht="16.5" x14ac:dyDescent="0.2">
      <c r="B8922" s="33" t="s">
        <v>10067</v>
      </c>
      <c r="C8922" s="33" t="s">
        <v>1044</v>
      </c>
      <c r="D8922" s="35">
        <f>SUMIFS(D8923:D9015,K8923:K9015,"0",B8923:B9015,"5 2 4 1 1 12 31111 6 M59 19000*")-SUMIFS(E8923:E9015,K8923:K9015,"0",B8923:B9015,"5 2 4 1 1 12 31111 6 M59 19000*")</f>
        <v>0</v>
      </c>
      <c r="E8922"/>
      <c r="F8922" s="35">
        <f>SUMIFS(F8923:F9015,K8923:K9015,"0",B8923:B9015,"5 2 4 1 1 12 31111 6 M59 19000*")</f>
        <v>515289.33</v>
      </c>
      <c r="G8922" s="35">
        <f>SUMIFS(G8923:G9015,K8923:K9015,"0",B8923:B9015,"5 2 4 1 1 12 31111 6 M59 19000*")</f>
        <v>0</v>
      </c>
      <c r="H8922" s="35">
        <f t="shared" si="140"/>
        <v>515289.33</v>
      </c>
      <c r="I8922" s="35"/>
      <c r="K8922" t="s">
        <v>15</v>
      </c>
    </row>
    <row r="8923" spans="2:11" ht="16.5" x14ac:dyDescent="0.2">
      <c r="B8923" s="33" t="s">
        <v>10068</v>
      </c>
      <c r="C8923" s="33" t="s">
        <v>648</v>
      </c>
      <c r="D8923" s="35">
        <f>SUMIFS(D8924:D9015,K8924:K9015,"0",B8924:B9015,"5 2 4 1 1 12 31111 6 M59 19000 000132*")-SUMIFS(E8924:E9015,K8924:K9015,"0",B8924:B9015,"5 2 4 1 1 12 31111 6 M59 19000 000132*")</f>
        <v>0</v>
      </c>
      <c r="E8923"/>
      <c r="F8923" s="35">
        <f>SUMIFS(F8924:F9015,K8924:K9015,"0",B8924:B9015,"5 2 4 1 1 12 31111 6 M59 19000 000132*")</f>
        <v>515289.33</v>
      </c>
      <c r="G8923" s="35">
        <f>SUMIFS(G8924:G9015,K8924:K9015,"0",B8924:B9015,"5 2 4 1 1 12 31111 6 M59 19000 000132*")</f>
        <v>0</v>
      </c>
      <c r="H8923" s="35">
        <f t="shared" si="140"/>
        <v>515289.33</v>
      </c>
      <c r="I8923" s="35"/>
      <c r="K8923" t="s">
        <v>15</v>
      </c>
    </row>
    <row r="8924" spans="2:11" ht="24.75" x14ac:dyDescent="0.2">
      <c r="B8924" s="33" t="s">
        <v>10069</v>
      </c>
      <c r="C8924" s="33" t="s">
        <v>650</v>
      </c>
      <c r="D8924" s="35">
        <f>SUMIFS(D8925:D9015,K8925:K9015,"0",B8925:B9015,"5 2 4 1 1 12 31111 6 M59 19000 000132 0000R*")-SUMIFS(E8925:E9015,K8925:K9015,"0",B8925:B9015,"5 2 4 1 1 12 31111 6 M59 19000 000132 0000R*")</f>
        <v>0</v>
      </c>
      <c r="E8924"/>
      <c r="F8924" s="35">
        <f>SUMIFS(F8925:F9015,K8925:K9015,"0",B8925:B9015,"5 2 4 1 1 12 31111 6 M59 19000 000132 0000R*")</f>
        <v>515289.33</v>
      </c>
      <c r="G8924" s="35">
        <f>SUMIFS(G8925:G9015,K8925:K9015,"0",B8925:B9015,"5 2 4 1 1 12 31111 6 M59 19000 000132 0000R*")</f>
        <v>0</v>
      </c>
      <c r="H8924" s="35">
        <f t="shared" si="140"/>
        <v>515289.33</v>
      </c>
      <c r="I8924" s="35"/>
      <c r="K8924" t="s">
        <v>15</v>
      </c>
    </row>
    <row r="8925" spans="2:11" ht="24.75" x14ac:dyDescent="0.2">
      <c r="B8925" s="33" t="s">
        <v>10070</v>
      </c>
      <c r="C8925" s="33" t="s">
        <v>282</v>
      </c>
      <c r="D8925" s="35">
        <f>SUMIFS(D8926:D9015,K8926:K9015,"0",B8926:B9015,"5 2 4 1 1 12 31111 6 M59 19000 000132 0000R 00001*")-SUMIFS(E8926:E9015,K8926:K9015,"0",B8926:B9015,"5 2 4 1 1 12 31111 6 M59 19000 000132 0000R 00001*")</f>
        <v>0</v>
      </c>
      <c r="E8925"/>
      <c r="F8925" s="35">
        <f>SUMIFS(F8926:F9015,K8926:K9015,"0",B8926:B9015,"5 2 4 1 1 12 31111 6 M59 19000 000132 0000R 00001*")</f>
        <v>515289.33</v>
      </c>
      <c r="G8925" s="35">
        <f>SUMIFS(G8926:G9015,K8926:K9015,"0",B8926:B9015,"5 2 4 1 1 12 31111 6 M59 19000 000132 0000R 00001*")</f>
        <v>0</v>
      </c>
      <c r="H8925" s="35">
        <f t="shared" si="140"/>
        <v>515289.33</v>
      </c>
      <c r="I8925" s="35"/>
      <c r="K8925" t="s">
        <v>15</v>
      </c>
    </row>
    <row r="8926" spans="2:11" ht="24.75" x14ac:dyDescent="0.2">
      <c r="B8926" s="33" t="s">
        <v>10071</v>
      </c>
      <c r="C8926" s="33" t="s">
        <v>10056</v>
      </c>
      <c r="D8926" s="35">
        <f>SUMIFS(D8927:D9015,K8927:K9015,"0",B8927:B9015,"5 2 4 1 1 12 31111 6 M59 19000 000132 0000R 00001 00441*")-SUMIFS(E8927:E9015,K8927:K9015,"0",B8927:B9015,"5 2 4 1 1 12 31111 6 M59 19000 000132 0000R 00001 00441*")</f>
        <v>0</v>
      </c>
      <c r="E8926"/>
      <c r="F8926" s="35">
        <f>SUMIFS(F8927:F9015,K8927:K9015,"0",B8927:B9015,"5 2 4 1 1 12 31111 6 M59 19000 000132 0000R 00001 00441*")</f>
        <v>515289.33</v>
      </c>
      <c r="G8926" s="35">
        <f>SUMIFS(G8927:G9015,K8927:K9015,"0",B8927:B9015,"5 2 4 1 1 12 31111 6 M59 19000 000132 0000R 00001 00441*")</f>
        <v>0</v>
      </c>
      <c r="H8926" s="35">
        <f t="shared" si="140"/>
        <v>515289.33</v>
      </c>
      <c r="I8926" s="35"/>
      <c r="K8926" t="s">
        <v>15</v>
      </c>
    </row>
    <row r="8927" spans="2:11" ht="33" x14ac:dyDescent="0.2">
      <c r="B8927" s="33" t="s">
        <v>10072</v>
      </c>
      <c r="C8927" s="33" t="s">
        <v>699</v>
      </c>
      <c r="D8927" s="35">
        <f>SUMIFS(D8928:D9015,K8928:K9015,"0",B8928:B9015,"5 2 4 1 1 12 31111 6 M59 19000 000132 0000R 00001 00441 011*")-SUMIFS(E8928:E9015,K8928:K9015,"0",B8928:B9015,"5 2 4 1 1 12 31111 6 M59 19000 000132 0000R 00001 00441 011*")</f>
        <v>0</v>
      </c>
      <c r="E8927"/>
      <c r="F8927" s="35">
        <f>SUMIFS(F8928:F9015,K8928:K9015,"0",B8928:B9015,"5 2 4 1 1 12 31111 6 M59 19000 000132 0000R 00001 00441 011*")</f>
        <v>15000</v>
      </c>
      <c r="G8927" s="35">
        <f>SUMIFS(G8928:G9015,K8928:K9015,"0",B8928:B9015,"5 2 4 1 1 12 31111 6 M59 19000 000132 0000R 00001 00441 011*")</f>
        <v>0</v>
      </c>
      <c r="H8927" s="35">
        <f t="shared" si="140"/>
        <v>15000</v>
      </c>
      <c r="I8927" s="35"/>
      <c r="K8927" t="s">
        <v>15</v>
      </c>
    </row>
    <row r="8928" spans="2:11" ht="33" x14ac:dyDescent="0.2">
      <c r="B8928" s="33" t="s">
        <v>10073</v>
      </c>
      <c r="C8928" s="33" t="s">
        <v>5830</v>
      </c>
      <c r="D8928" s="35">
        <f>SUMIFS(D8929:D9015,K8929:K9015,"0",B8929:B9015,"5 2 4 1 1 12 31111 6 M59 19000 000132 0000R 00001 00441 011 2112000*")-SUMIFS(E8929:E9015,K8929:K9015,"0",B8929:B9015,"5 2 4 1 1 12 31111 6 M59 19000 000132 0000R 00001 00441 011 2112000*")</f>
        <v>0</v>
      </c>
      <c r="E8928"/>
      <c r="F8928" s="35">
        <f>SUMIFS(F8929:F9015,K8929:K9015,"0",B8929:B9015,"5 2 4 1 1 12 31111 6 M59 19000 000132 0000R 00001 00441 011 2112000*")</f>
        <v>15000</v>
      </c>
      <c r="G8928" s="35">
        <f>SUMIFS(G8929:G9015,K8929:K9015,"0",B8929:B9015,"5 2 4 1 1 12 31111 6 M59 19000 000132 0000R 00001 00441 011 2112000*")</f>
        <v>0</v>
      </c>
      <c r="H8928" s="35">
        <f t="shared" si="140"/>
        <v>15000</v>
      </c>
      <c r="I8928" s="35"/>
      <c r="K8928" t="s">
        <v>15</v>
      </c>
    </row>
    <row r="8929" spans="2:11" ht="33" x14ac:dyDescent="0.2">
      <c r="B8929" s="33" t="s">
        <v>10074</v>
      </c>
      <c r="C8929" s="33" t="s">
        <v>660</v>
      </c>
      <c r="D8929" s="35">
        <f>SUMIFS(D8930:D9015,K8930:K9015,"0",B8930:B9015,"5 2 4 1 1 12 31111 6 M59 19000 000132 0000R 00001 00441 011 2112000 2024*")-SUMIFS(E8930:E9015,K8930:K9015,"0",B8930:B9015,"5 2 4 1 1 12 31111 6 M59 19000 000132 0000R 00001 00441 011 2112000 2024*")</f>
        <v>0</v>
      </c>
      <c r="E8929"/>
      <c r="F8929" s="35">
        <f>SUMIFS(F8930:F9015,K8930:K9015,"0",B8930:B9015,"5 2 4 1 1 12 31111 6 M59 19000 000132 0000R 00001 00441 011 2112000 2024*")</f>
        <v>15000</v>
      </c>
      <c r="G8929" s="35">
        <f>SUMIFS(G8930:G9015,K8930:K9015,"0",B8930:B9015,"5 2 4 1 1 12 31111 6 M59 19000 000132 0000R 00001 00441 011 2112000 2024*")</f>
        <v>0</v>
      </c>
      <c r="H8929" s="35">
        <f t="shared" si="140"/>
        <v>15000</v>
      </c>
      <c r="I8929" s="35"/>
      <c r="K8929" t="s">
        <v>15</v>
      </c>
    </row>
    <row r="8930" spans="2:11" ht="41.25" x14ac:dyDescent="0.2">
      <c r="B8930" s="33" t="s">
        <v>10075</v>
      </c>
      <c r="C8930" s="33" t="s">
        <v>662</v>
      </c>
      <c r="D8930" s="35">
        <f>SUMIFS(D8931:D9015,K8931:K9015,"0",B8931:B9015,"5 2 4 1 1 12 31111 6 M59 19000 000132 0000R 00001 00441 011 2112000 2024 CP1TM440*")-SUMIFS(E8931:E9015,K8931:K9015,"0",B8931:B9015,"5 2 4 1 1 12 31111 6 M59 19000 000132 0000R 00001 00441 011 2112000 2024 CP1TM440*")</f>
        <v>0</v>
      </c>
      <c r="E8930"/>
      <c r="F8930" s="35">
        <f>SUMIFS(F8931:F9015,K8931:K9015,"0",B8931:B9015,"5 2 4 1 1 12 31111 6 M59 19000 000132 0000R 00001 00441 011 2112000 2024 CP1TM440*")</f>
        <v>15000</v>
      </c>
      <c r="G8930" s="35">
        <f>SUMIFS(G8931:G9015,K8931:K9015,"0",B8931:B9015,"5 2 4 1 1 12 31111 6 M59 19000 000132 0000R 00001 00441 011 2112000 2024 CP1TM440*")</f>
        <v>0</v>
      </c>
      <c r="H8930" s="35">
        <f t="shared" si="140"/>
        <v>15000</v>
      </c>
      <c r="I8930" s="35"/>
      <c r="K8930" t="s">
        <v>15</v>
      </c>
    </row>
    <row r="8931" spans="2:11" ht="41.25" x14ac:dyDescent="0.2">
      <c r="B8931" s="33" t="s">
        <v>10076</v>
      </c>
      <c r="C8931" s="33" t="s">
        <v>46</v>
      </c>
      <c r="D8931" s="35">
        <f>SUMIFS(D8932:D9015,K8932:K9015,"0",B8932:B9015,"5 2 4 1 1 12 31111 6 M59 19000 000132 0000R 00001 00441 011 2112000 2024 CP1TM440 004*")-SUMIFS(E8932:E9015,K8932:K9015,"0",B8932:B9015,"5 2 4 1 1 12 31111 6 M59 19000 000132 0000R 00001 00441 011 2112000 2024 CP1TM440 004*")</f>
        <v>0</v>
      </c>
      <c r="E8931"/>
      <c r="F8931" s="35">
        <f>SUMIFS(F8932:F9015,K8932:K9015,"0",B8932:B9015,"5 2 4 1 1 12 31111 6 M59 19000 000132 0000R 00001 00441 011 2112000 2024 CP1TM440 004*")</f>
        <v>15000</v>
      </c>
      <c r="G8931" s="35">
        <f>SUMIFS(G8932:G9015,K8932:K9015,"0",B8932:B9015,"5 2 4 1 1 12 31111 6 M59 19000 000132 0000R 00001 00441 011 2112000 2024 CP1TM440 004*")</f>
        <v>0</v>
      </c>
      <c r="H8931" s="35">
        <f t="shared" si="140"/>
        <v>15000</v>
      </c>
      <c r="I8931" s="35"/>
      <c r="K8931" t="s">
        <v>15</v>
      </c>
    </row>
    <row r="8932" spans="2:11" ht="33" x14ac:dyDescent="0.2">
      <c r="B8932" s="31" t="s">
        <v>10077</v>
      </c>
      <c r="C8932" s="31" t="s">
        <v>1804</v>
      </c>
      <c r="D8932" s="34">
        <v>0</v>
      </c>
      <c r="E8932" s="34"/>
      <c r="F8932" s="34">
        <v>15000</v>
      </c>
      <c r="G8932" s="34">
        <v>0</v>
      </c>
      <c r="H8932" s="34">
        <f t="shared" si="140"/>
        <v>15000</v>
      </c>
      <c r="I8932" s="34"/>
      <c r="K8932" t="s">
        <v>38</v>
      </c>
    </row>
    <row r="8933" spans="2:11" ht="33" x14ac:dyDescent="0.2">
      <c r="B8933" s="33" t="s">
        <v>10078</v>
      </c>
      <c r="C8933" s="33" t="s">
        <v>1051</v>
      </c>
      <c r="D8933" s="35">
        <f>SUMIFS(D8934:D9015,K8934:K9015,"0",B8934:B9015,"5 2 4 1 1 12 31111 6 M59 19000 000132 0000R 00001 00441 015*")-SUMIFS(E8934:E9015,K8934:K9015,"0",B8934:B9015,"5 2 4 1 1 12 31111 6 M59 19000 000132 0000R 00001 00441 015*")</f>
        <v>0</v>
      </c>
      <c r="E8933"/>
      <c r="F8933" s="35">
        <f>SUMIFS(F8934:F9015,K8934:K9015,"0",B8934:B9015,"5 2 4 1 1 12 31111 6 M59 19000 000132 0000R 00001 00441 015*")</f>
        <v>500289.33</v>
      </c>
      <c r="G8933" s="35">
        <f>SUMIFS(G8934:G9015,K8934:K9015,"0",B8934:B9015,"5 2 4 1 1 12 31111 6 M59 19000 000132 0000R 00001 00441 015*")</f>
        <v>0</v>
      </c>
      <c r="H8933" s="35">
        <f t="shared" si="140"/>
        <v>500289.33</v>
      </c>
      <c r="I8933" s="35"/>
      <c r="K8933" t="s">
        <v>15</v>
      </c>
    </row>
    <row r="8934" spans="2:11" ht="33" x14ac:dyDescent="0.2">
      <c r="B8934" s="33" t="s">
        <v>10079</v>
      </c>
      <c r="C8934" s="33" t="s">
        <v>10059</v>
      </c>
      <c r="D8934" s="35">
        <f>SUMIFS(D8935:D9015,K8935:K9015,"0",B8935:B9015,"5 2 4 1 1 12 31111 6 M59 19000 000132 0000R 00001 00441 015 2151100*")-SUMIFS(E8935:E9015,K8935:K9015,"0",B8935:B9015,"5 2 4 1 1 12 31111 6 M59 19000 000132 0000R 00001 00441 015 2151100*")</f>
        <v>0</v>
      </c>
      <c r="E8934"/>
      <c r="F8934" s="35">
        <f>SUMIFS(F8935:F9015,K8935:K9015,"0",B8935:B9015,"5 2 4 1 1 12 31111 6 M59 19000 000132 0000R 00001 00441 015 2151100*")</f>
        <v>500289.33</v>
      </c>
      <c r="G8934" s="35">
        <f>SUMIFS(G8935:G9015,K8935:K9015,"0",B8935:B9015,"5 2 4 1 1 12 31111 6 M59 19000 000132 0000R 00001 00441 015 2151100*")</f>
        <v>0</v>
      </c>
      <c r="H8934" s="35">
        <f t="shared" si="140"/>
        <v>500289.33</v>
      </c>
      <c r="I8934" s="35"/>
      <c r="K8934" t="s">
        <v>15</v>
      </c>
    </row>
    <row r="8935" spans="2:11" ht="33" x14ac:dyDescent="0.2">
      <c r="B8935" s="33" t="s">
        <v>10080</v>
      </c>
      <c r="C8935" s="33" t="s">
        <v>660</v>
      </c>
      <c r="D8935" s="35">
        <f>SUMIFS(D8936:D9015,K8936:K9015,"0",B8936:B9015,"5 2 4 1 1 12 31111 6 M59 19000 000132 0000R 00001 00441 015 2151100 2024*")-SUMIFS(E8936:E9015,K8936:K9015,"0",B8936:B9015,"5 2 4 1 1 12 31111 6 M59 19000 000132 0000R 00001 00441 015 2151100 2024*")</f>
        <v>0</v>
      </c>
      <c r="E8935"/>
      <c r="F8935" s="35">
        <f>SUMIFS(F8936:F9015,K8936:K9015,"0",B8936:B9015,"5 2 4 1 1 12 31111 6 M59 19000 000132 0000R 00001 00441 015 2151100 2024*")</f>
        <v>500289.33</v>
      </c>
      <c r="G8935" s="35">
        <f>SUMIFS(G8936:G9015,K8936:K9015,"0",B8936:B9015,"5 2 4 1 1 12 31111 6 M59 19000 000132 0000R 00001 00441 015 2151100 2024*")</f>
        <v>0</v>
      </c>
      <c r="H8935" s="35">
        <f t="shared" si="140"/>
        <v>500289.33</v>
      </c>
      <c r="I8935" s="35"/>
      <c r="K8935" t="s">
        <v>15</v>
      </c>
    </row>
    <row r="8936" spans="2:11" ht="41.25" x14ac:dyDescent="0.2">
      <c r="B8936" s="33" t="s">
        <v>10081</v>
      </c>
      <c r="C8936" s="33" t="s">
        <v>662</v>
      </c>
      <c r="D8936" s="35">
        <f>SUMIFS(D8937:D9015,K8937:K9015,"0",B8937:B9015,"5 2 4 1 1 12 31111 6 M59 19000 000132 0000R 00001 00441 015 2151100 2024 CP1TM440*")-SUMIFS(E8937:E9015,K8937:K9015,"0",B8937:B9015,"5 2 4 1 1 12 31111 6 M59 19000 000132 0000R 00001 00441 015 2151100 2024 CP1TM440*")</f>
        <v>0</v>
      </c>
      <c r="E8936"/>
      <c r="F8936" s="35">
        <f>SUMIFS(F8937:F9015,K8937:K9015,"0",B8937:B9015,"5 2 4 1 1 12 31111 6 M59 19000 000132 0000R 00001 00441 015 2151100 2024 CP1TM440*")</f>
        <v>500289.33</v>
      </c>
      <c r="G8936" s="35">
        <f>SUMIFS(G8937:G9015,K8937:K9015,"0",B8937:B9015,"5 2 4 1 1 12 31111 6 M59 19000 000132 0000R 00001 00441 015 2151100 2024 CP1TM440*")</f>
        <v>0</v>
      </c>
      <c r="H8936" s="35">
        <f t="shared" si="140"/>
        <v>500289.33</v>
      </c>
      <c r="I8936" s="35"/>
      <c r="K8936" t="s">
        <v>15</v>
      </c>
    </row>
    <row r="8937" spans="2:11" ht="41.25" x14ac:dyDescent="0.2">
      <c r="B8937" s="33" t="s">
        <v>10082</v>
      </c>
      <c r="C8937" s="33" t="s">
        <v>282</v>
      </c>
      <c r="D8937" s="35">
        <f>SUMIFS(D8938:D9015,K8938:K9015,"0",B8938:B9015,"5 2 4 1 1 12 31111 6 M59 19000 000132 0000R 00001 00441 015 2151100 2024 CP1TM440 001*")-SUMIFS(E8938:E9015,K8938:K9015,"0",B8938:B9015,"5 2 4 1 1 12 31111 6 M59 19000 000132 0000R 00001 00441 015 2151100 2024 CP1TM440 001*")</f>
        <v>0</v>
      </c>
      <c r="E8937"/>
      <c r="F8937" s="35">
        <f>SUMIFS(F8938:F9015,K8938:K9015,"0",B8938:B9015,"5 2 4 1 1 12 31111 6 M59 19000 000132 0000R 00001 00441 015 2151100 2024 CP1TM440 001*")</f>
        <v>500289.33</v>
      </c>
      <c r="G8937" s="35">
        <f>SUMIFS(G8938:G9015,K8938:K9015,"0",B8938:B9015,"5 2 4 1 1 12 31111 6 M59 19000 000132 0000R 00001 00441 015 2151100 2024 CP1TM440 001*")</f>
        <v>0</v>
      </c>
      <c r="H8937" s="35">
        <f t="shared" si="140"/>
        <v>500289.33</v>
      </c>
      <c r="I8937" s="35"/>
      <c r="K8937" t="s">
        <v>15</v>
      </c>
    </row>
    <row r="8938" spans="2:11" ht="33" x14ac:dyDescent="0.2">
      <c r="B8938" s="31" t="s">
        <v>10083</v>
      </c>
      <c r="C8938" s="31" t="s">
        <v>10084</v>
      </c>
      <c r="D8938" s="34">
        <v>0</v>
      </c>
      <c r="E8938" s="34"/>
      <c r="F8938" s="34">
        <v>85000</v>
      </c>
      <c r="G8938" s="34">
        <v>0</v>
      </c>
      <c r="H8938" s="34">
        <f t="shared" si="140"/>
        <v>85000</v>
      </c>
      <c r="I8938" s="34"/>
      <c r="K8938" t="s">
        <v>38</v>
      </c>
    </row>
    <row r="8939" spans="2:11" ht="33" x14ac:dyDescent="0.2">
      <c r="B8939" s="31" t="s">
        <v>10085</v>
      </c>
      <c r="C8939" s="31" t="s">
        <v>10086</v>
      </c>
      <c r="D8939" s="34">
        <v>0</v>
      </c>
      <c r="E8939" s="34"/>
      <c r="F8939" s="34">
        <v>289634.2</v>
      </c>
      <c r="G8939" s="34">
        <v>0</v>
      </c>
      <c r="H8939" s="34">
        <f t="shared" si="140"/>
        <v>289634.2</v>
      </c>
      <c r="I8939" s="34"/>
      <c r="K8939" t="s">
        <v>38</v>
      </c>
    </row>
    <row r="8940" spans="2:11" ht="33" x14ac:dyDescent="0.2">
      <c r="B8940" s="31" t="s">
        <v>10087</v>
      </c>
      <c r="C8940" s="31" t="s">
        <v>10088</v>
      </c>
      <c r="D8940" s="34">
        <v>0</v>
      </c>
      <c r="E8940" s="34"/>
      <c r="F8940" s="34">
        <v>125655.13</v>
      </c>
      <c r="G8940" s="34">
        <v>0</v>
      </c>
      <c r="H8940" s="34">
        <f t="shared" si="140"/>
        <v>125655.13</v>
      </c>
      <c r="I8940" s="34"/>
      <c r="K8940" t="s">
        <v>38</v>
      </c>
    </row>
    <row r="8941" spans="2:11" ht="16.5" x14ac:dyDescent="0.2">
      <c r="B8941" s="33" t="s">
        <v>10089</v>
      </c>
      <c r="C8941" s="33" t="s">
        <v>10090</v>
      </c>
      <c r="D8941" s="35">
        <f>SUMIFS(D8942:D9015,K8942:K9015,"0",B8942:B9015,"5 2 4 1 1 12 31111 6 M59 80600*")-SUMIFS(E8942:E9015,K8942:K9015,"0",B8942:B9015,"5 2 4 1 1 12 31111 6 M59 80600*")</f>
        <v>0</v>
      </c>
      <c r="E8941"/>
      <c r="F8941" s="35">
        <f>SUMIFS(F8942:F9015,K8942:K9015,"0",B8942:B9015,"5 2 4 1 1 12 31111 6 M59 80600*")</f>
        <v>1145145.58</v>
      </c>
      <c r="G8941" s="35">
        <f>SUMIFS(G8942:G9015,K8942:K9015,"0",B8942:B9015,"5 2 4 1 1 12 31111 6 M59 80600*")</f>
        <v>0</v>
      </c>
      <c r="H8941" s="35">
        <f t="shared" si="140"/>
        <v>1145145.58</v>
      </c>
      <c r="I8941" s="35"/>
      <c r="K8941" t="s">
        <v>15</v>
      </c>
    </row>
    <row r="8942" spans="2:11" ht="16.5" x14ac:dyDescent="0.2">
      <c r="B8942" s="33" t="s">
        <v>10091</v>
      </c>
      <c r="C8942" s="33" t="s">
        <v>10092</v>
      </c>
      <c r="D8942" s="35">
        <f>SUMIFS(D8943:D9015,K8943:K9015,"0",B8943:B9015,"5 2 4 1 1 12 31111 6 M59 80600 000322*")-SUMIFS(E8943:E9015,K8943:K9015,"0",B8943:B9015,"5 2 4 1 1 12 31111 6 M59 80600 000322*")</f>
        <v>0</v>
      </c>
      <c r="E8942"/>
      <c r="F8942" s="35">
        <f>SUMIFS(F8943:F9015,K8943:K9015,"0",B8943:B9015,"5 2 4 1 1 12 31111 6 M59 80600 000322*")</f>
        <v>1145145.58</v>
      </c>
      <c r="G8942" s="35">
        <f>SUMIFS(G8943:G9015,K8943:K9015,"0",B8943:B9015,"5 2 4 1 1 12 31111 6 M59 80600 000322*")</f>
        <v>0</v>
      </c>
      <c r="H8942" s="35">
        <f t="shared" si="140"/>
        <v>1145145.58</v>
      </c>
      <c r="I8942" s="35"/>
      <c r="K8942" t="s">
        <v>15</v>
      </c>
    </row>
    <row r="8943" spans="2:11" ht="24.75" x14ac:dyDescent="0.2">
      <c r="B8943" s="33" t="s">
        <v>10093</v>
      </c>
      <c r="C8943" s="33" t="s">
        <v>650</v>
      </c>
      <c r="D8943" s="35">
        <f>SUMIFS(D8944:D9015,K8944:K9015,"0",B8944:B9015,"5 2 4 1 1 12 31111 6 M59 80600 000322 0000R*")-SUMIFS(E8944:E9015,K8944:K9015,"0",B8944:B9015,"5 2 4 1 1 12 31111 6 M59 80600 000322 0000R*")</f>
        <v>0</v>
      </c>
      <c r="E8943"/>
      <c r="F8943" s="35">
        <f>SUMIFS(F8944:F9015,K8944:K9015,"0",B8944:B9015,"5 2 4 1 1 12 31111 6 M59 80600 000322 0000R*")</f>
        <v>1145145.58</v>
      </c>
      <c r="G8943" s="35">
        <f>SUMIFS(G8944:G9015,K8944:K9015,"0",B8944:B9015,"5 2 4 1 1 12 31111 6 M59 80600 000322 0000R*")</f>
        <v>0</v>
      </c>
      <c r="H8943" s="35">
        <f t="shared" si="140"/>
        <v>1145145.58</v>
      </c>
      <c r="I8943" s="35"/>
      <c r="K8943" t="s">
        <v>15</v>
      </c>
    </row>
    <row r="8944" spans="2:11" ht="24.75" x14ac:dyDescent="0.2">
      <c r="B8944" s="33" t="s">
        <v>10094</v>
      </c>
      <c r="C8944" s="33" t="s">
        <v>282</v>
      </c>
      <c r="D8944" s="35">
        <f>SUMIFS(D8945:D9015,K8945:K9015,"0",B8945:B9015,"5 2 4 1 1 12 31111 6 M59 80600 000322 0000R 00001*")-SUMIFS(E8945:E9015,K8945:K9015,"0",B8945:B9015,"5 2 4 1 1 12 31111 6 M59 80600 000322 0000R 00001*")</f>
        <v>0</v>
      </c>
      <c r="E8944"/>
      <c r="F8944" s="35">
        <f>SUMIFS(F8945:F9015,K8945:K9015,"0",B8945:B9015,"5 2 4 1 1 12 31111 6 M59 80600 000322 0000R 00001*")</f>
        <v>1145145.58</v>
      </c>
      <c r="G8944" s="35">
        <f>SUMIFS(G8945:G9015,K8945:K9015,"0",B8945:B9015,"5 2 4 1 1 12 31111 6 M59 80600 000322 0000R 00001*")</f>
        <v>0</v>
      </c>
      <c r="H8944" s="35">
        <f t="shared" si="140"/>
        <v>1145145.58</v>
      </c>
      <c r="I8944" s="35"/>
      <c r="K8944" t="s">
        <v>15</v>
      </c>
    </row>
    <row r="8945" spans="2:11" ht="24.75" x14ac:dyDescent="0.2">
      <c r="B8945" s="33" t="s">
        <v>10095</v>
      </c>
      <c r="C8945" s="33" t="s">
        <v>10056</v>
      </c>
      <c r="D8945" s="35">
        <f>SUMIFS(D8946:D9015,K8946:K9015,"0",B8946:B9015,"5 2 4 1 1 12 31111 6 M59 80600 000322 0000R 00001 00441*")-SUMIFS(E8946:E9015,K8946:K9015,"0",B8946:B9015,"5 2 4 1 1 12 31111 6 M59 80600 000322 0000R 00001 00441*")</f>
        <v>0</v>
      </c>
      <c r="E8945"/>
      <c r="F8945" s="35">
        <f>SUMIFS(F8946:F9015,K8946:K9015,"0",B8946:B9015,"5 2 4 1 1 12 31111 6 M59 80600 000322 0000R 00001 00441*")</f>
        <v>1145145.58</v>
      </c>
      <c r="G8945" s="35">
        <f>SUMIFS(G8946:G9015,K8946:K9015,"0",B8946:B9015,"5 2 4 1 1 12 31111 6 M59 80600 000322 0000R 00001 00441*")</f>
        <v>0</v>
      </c>
      <c r="H8945" s="35">
        <f t="shared" si="140"/>
        <v>1145145.58</v>
      </c>
      <c r="I8945" s="35"/>
      <c r="K8945" t="s">
        <v>15</v>
      </c>
    </row>
    <row r="8946" spans="2:11" ht="33" x14ac:dyDescent="0.2">
      <c r="B8946" s="33" t="s">
        <v>10096</v>
      </c>
      <c r="C8946" s="33" t="s">
        <v>699</v>
      </c>
      <c r="D8946" s="35">
        <f>SUMIFS(D8947:D9015,K8947:K9015,"0",B8947:B9015,"5 2 4 1 1 12 31111 6 M59 80600 000322 0000R 00001 00441 011*")-SUMIFS(E8947:E9015,K8947:K9015,"0",B8947:B9015,"5 2 4 1 1 12 31111 6 M59 80600 000322 0000R 00001 00441 011*")</f>
        <v>0</v>
      </c>
      <c r="E8946"/>
      <c r="F8946" s="35">
        <f>SUMIFS(F8947:F9015,K8947:K9015,"0",B8947:B9015,"5 2 4 1 1 12 31111 6 M59 80600 000322 0000R 00001 00441 011*")</f>
        <v>1145145.58</v>
      </c>
      <c r="G8946" s="35">
        <f>SUMIFS(G8947:G9015,K8947:K9015,"0",B8947:B9015,"5 2 4 1 1 12 31111 6 M59 80600 000322 0000R 00001 00441 011*")</f>
        <v>0</v>
      </c>
      <c r="H8946" s="35">
        <f t="shared" si="140"/>
        <v>1145145.58</v>
      </c>
      <c r="I8946" s="35"/>
      <c r="K8946" t="s">
        <v>15</v>
      </c>
    </row>
    <row r="8947" spans="2:11" ht="33" x14ac:dyDescent="0.2">
      <c r="B8947" s="33" t="s">
        <v>10097</v>
      </c>
      <c r="C8947" s="33" t="s">
        <v>10059</v>
      </c>
      <c r="D8947" s="35">
        <f>SUMIFS(D8948:D9015,K8948:K9015,"0",B8948:B9015,"5 2 4 1 1 12 31111 6 M59 80600 000322 0000R 00001 00441 011 2151100*")-SUMIFS(E8948:E9015,K8948:K9015,"0",B8948:B9015,"5 2 4 1 1 12 31111 6 M59 80600 000322 0000R 00001 00441 011 2151100*")</f>
        <v>0</v>
      </c>
      <c r="E8947"/>
      <c r="F8947" s="35">
        <f>SUMIFS(F8948:F9015,K8948:K9015,"0",B8948:B9015,"5 2 4 1 1 12 31111 6 M59 80600 000322 0000R 00001 00441 011 2151100*")</f>
        <v>1145145.58</v>
      </c>
      <c r="G8947" s="35">
        <f>SUMIFS(G8948:G9015,K8948:K9015,"0",B8948:B9015,"5 2 4 1 1 12 31111 6 M59 80600 000322 0000R 00001 00441 011 2151100*")</f>
        <v>0</v>
      </c>
      <c r="H8947" s="35">
        <f t="shared" si="140"/>
        <v>1145145.58</v>
      </c>
      <c r="I8947" s="35"/>
      <c r="K8947" t="s">
        <v>15</v>
      </c>
    </row>
    <row r="8948" spans="2:11" ht="33" x14ac:dyDescent="0.2">
      <c r="B8948" s="33" t="s">
        <v>10098</v>
      </c>
      <c r="C8948" s="33" t="s">
        <v>660</v>
      </c>
      <c r="D8948" s="35">
        <f>SUMIFS(D8949:D9015,K8949:K9015,"0",B8949:B9015,"5 2 4 1 1 12 31111 6 M59 80600 000322 0000R 00001 00441 011 2151100 2024*")-SUMIFS(E8949:E9015,K8949:K9015,"0",B8949:B9015,"5 2 4 1 1 12 31111 6 M59 80600 000322 0000R 00001 00441 011 2151100 2024*")</f>
        <v>0</v>
      </c>
      <c r="E8948"/>
      <c r="F8948" s="35">
        <f>SUMIFS(F8949:F9015,K8949:K9015,"0",B8949:B9015,"5 2 4 1 1 12 31111 6 M59 80600 000322 0000R 00001 00441 011 2151100 2024*")</f>
        <v>1145145.58</v>
      </c>
      <c r="G8948" s="35">
        <f>SUMIFS(G8949:G9015,K8949:K9015,"0",B8949:B9015,"5 2 4 1 1 12 31111 6 M59 80600 000322 0000R 00001 00441 011 2151100 2024*")</f>
        <v>0</v>
      </c>
      <c r="H8948" s="35">
        <f t="shared" si="140"/>
        <v>1145145.58</v>
      </c>
      <c r="I8948" s="35"/>
      <c r="K8948" t="s">
        <v>15</v>
      </c>
    </row>
    <row r="8949" spans="2:11" ht="41.25" x14ac:dyDescent="0.2">
      <c r="B8949" s="33" t="s">
        <v>10099</v>
      </c>
      <c r="C8949" s="33" t="s">
        <v>10100</v>
      </c>
      <c r="D8949" s="35">
        <f>SUMIFS(D8950:D9015,K8950:K9015,"0",B8950:B9015,"5 2 4 1 1 12 31111 6 M59 80600 000322 0000R 00001 00441 011 2151100 2024 CP3AC496*")-SUMIFS(E8950:E9015,K8950:K9015,"0",B8950:B9015,"5 2 4 1 1 12 31111 6 M59 80600 000322 0000R 00001 00441 011 2151100 2024 CP3AC496*")</f>
        <v>0</v>
      </c>
      <c r="E8949"/>
      <c r="F8949" s="35">
        <f>SUMIFS(F8950:F9015,K8950:K9015,"0",B8950:B9015,"5 2 4 1 1 12 31111 6 M59 80600 000322 0000R 00001 00441 011 2151100 2024 CP3AC496*")</f>
        <v>1145145.58</v>
      </c>
      <c r="G8949" s="35">
        <f>SUMIFS(G8950:G9015,K8950:K9015,"0",B8950:B9015,"5 2 4 1 1 12 31111 6 M59 80600 000322 0000R 00001 00441 011 2151100 2024 CP3AC496*")</f>
        <v>0</v>
      </c>
      <c r="H8949" s="35">
        <f t="shared" si="140"/>
        <v>1145145.58</v>
      </c>
      <c r="I8949" s="35"/>
      <c r="K8949" t="s">
        <v>15</v>
      </c>
    </row>
    <row r="8950" spans="2:11" ht="41.25" x14ac:dyDescent="0.2">
      <c r="B8950" s="33" t="s">
        <v>10101</v>
      </c>
      <c r="C8950" s="33" t="s">
        <v>46</v>
      </c>
      <c r="D8950" s="35">
        <f>SUMIFS(D8951:D9015,K8951:K9015,"0",B8951:B9015,"5 2 4 1 1 12 31111 6 M59 80600 000322 0000R 00001 00441 011 2151100 2024 CP3AC496 004*")-SUMIFS(E8951:E9015,K8951:K9015,"0",B8951:B9015,"5 2 4 1 1 12 31111 6 M59 80600 000322 0000R 00001 00441 011 2151100 2024 CP3AC496 004*")</f>
        <v>0</v>
      </c>
      <c r="E8950"/>
      <c r="F8950" s="35">
        <f>SUMIFS(F8951:F9015,K8951:K9015,"0",B8951:B9015,"5 2 4 1 1 12 31111 6 M59 80600 000322 0000R 00001 00441 011 2151100 2024 CP3AC496 004*")</f>
        <v>1145145.58</v>
      </c>
      <c r="G8950" s="35">
        <f>SUMIFS(G8951:G9015,K8951:K9015,"0",B8951:B9015,"5 2 4 1 1 12 31111 6 M59 80600 000322 0000R 00001 00441 011 2151100 2024 CP3AC496 004*")</f>
        <v>0</v>
      </c>
      <c r="H8950" s="35">
        <f t="shared" si="140"/>
        <v>1145145.58</v>
      </c>
      <c r="I8950" s="35"/>
      <c r="K8950" t="s">
        <v>15</v>
      </c>
    </row>
    <row r="8951" spans="2:11" ht="41.25" x14ac:dyDescent="0.2">
      <c r="B8951" s="31" t="s">
        <v>10102</v>
      </c>
      <c r="C8951" s="31" t="s">
        <v>10088</v>
      </c>
      <c r="D8951" s="34">
        <v>0</v>
      </c>
      <c r="E8951" s="34"/>
      <c r="F8951" s="34">
        <v>1145145.58</v>
      </c>
      <c r="G8951" s="34">
        <v>0</v>
      </c>
      <c r="H8951" s="34">
        <f t="shared" si="140"/>
        <v>1145145.58</v>
      </c>
      <c r="I8951" s="34"/>
      <c r="K8951" t="s">
        <v>38</v>
      </c>
    </row>
    <row r="8952" spans="2:11" ht="12.75" x14ac:dyDescent="0.2">
      <c r="B8952" s="33" t="s">
        <v>10103</v>
      </c>
      <c r="C8952" s="33" t="s">
        <v>10104</v>
      </c>
      <c r="D8952" s="35">
        <f>SUMIFS(D8953:D9015,K8953:K9015,"0",B8953:B9015,"5 6*")-SUMIFS(E8953:E9015,K8953:K9015,"0",B8953:B9015,"5 6*")</f>
        <v>0</v>
      </c>
      <c r="E8952"/>
      <c r="F8952" s="35">
        <f>SUMIFS(F8953:F9015,K8953:K9015,"0",B8953:B9015,"5 6*")</f>
        <v>23022717.199999996</v>
      </c>
      <c r="G8952" s="35">
        <f>SUMIFS(G8953:G9015,K8953:K9015,"0",B8953:B9015,"5 6*")</f>
        <v>0</v>
      </c>
      <c r="H8952" s="35">
        <f t="shared" si="140"/>
        <v>23022717.199999996</v>
      </c>
      <c r="I8952" s="35"/>
      <c r="K8952" t="s">
        <v>15</v>
      </c>
    </row>
    <row r="8953" spans="2:11" ht="16.5" x14ac:dyDescent="0.2">
      <c r="B8953" s="33" t="s">
        <v>10105</v>
      </c>
      <c r="C8953" s="33" t="s">
        <v>10106</v>
      </c>
      <c r="D8953" s="35">
        <f>SUMIFS(D8954:D9015,K8954:K9015,"0",B8954:B9015,"5 6 1*")-SUMIFS(E8954:E9015,K8954:K9015,"0",B8954:B9015,"5 6 1*")</f>
        <v>0</v>
      </c>
      <c r="E8953"/>
      <c r="F8953" s="35">
        <f>SUMIFS(F8954:F9015,K8954:K9015,"0",B8954:B9015,"5 6 1*")</f>
        <v>23022717.199999996</v>
      </c>
      <c r="G8953" s="35">
        <f>SUMIFS(G8954:G9015,K8954:K9015,"0",B8954:B9015,"5 6 1*")</f>
        <v>0</v>
      </c>
      <c r="H8953" s="35">
        <f t="shared" si="140"/>
        <v>23022717.199999996</v>
      </c>
      <c r="I8953" s="35"/>
      <c r="K8953" t="s">
        <v>15</v>
      </c>
    </row>
    <row r="8954" spans="2:11" ht="16.5" x14ac:dyDescent="0.2">
      <c r="B8954" s="33" t="s">
        <v>10107</v>
      </c>
      <c r="C8954" s="33" t="s">
        <v>10108</v>
      </c>
      <c r="D8954" s="35">
        <f>SUMIFS(D8955:D9015,K8955:K9015,"0",B8955:B9015,"5 6 1 1*")-SUMIFS(E8955:E9015,K8955:K9015,"0",B8955:B9015,"5 6 1 1*")</f>
        <v>0</v>
      </c>
      <c r="E8954"/>
      <c r="F8954" s="35">
        <f>SUMIFS(F8955:F9015,K8955:K9015,"0",B8955:B9015,"5 6 1 1*")</f>
        <v>23022717.199999996</v>
      </c>
      <c r="G8954" s="35">
        <f>SUMIFS(G8955:G9015,K8955:K9015,"0",B8955:B9015,"5 6 1 1*")</f>
        <v>0</v>
      </c>
      <c r="H8954" s="35">
        <f t="shared" si="140"/>
        <v>23022717.199999996</v>
      </c>
      <c r="I8954" s="35"/>
      <c r="K8954" t="s">
        <v>15</v>
      </c>
    </row>
    <row r="8955" spans="2:11" ht="16.5" x14ac:dyDescent="0.2">
      <c r="B8955" s="33" t="s">
        <v>10109</v>
      </c>
      <c r="C8955" s="33" t="s">
        <v>10110</v>
      </c>
      <c r="D8955" s="35">
        <f>SUMIFS(D8956:D9015,K8956:K9015,"0",B8956:B9015,"5 6 1 1 2*")-SUMIFS(E8956:E9015,K8956:K9015,"0",B8956:B9015,"5 6 1 1 2*")</f>
        <v>0</v>
      </c>
      <c r="E8955"/>
      <c r="F8955" s="35">
        <f>SUMIFS(F8956:F9015,K8956:K9015,"0",B8956:B9015,"5 6 1 1 2*")</f>
        <v>380000</v>
      </c>
      <c r="G8955" s="35">
        <f>SUMIFS(G8956:G9015,K8956:K9015,"0",B8956:B9015,"5 6 1 1 2*")</f>
        <v>0</v>
      </c>
      <c r="H8955" s="35">
        <f t="shared" si="140"/>
        <v>380000</v>
      </c>
      <c r="I8955" s="35"/>
      <c r="K8955" t="s">
        <v>15</v>
      </c>
    </row>
    <row r="8956" spans="2:11" ht="12.75" x14ac:dyDescent="0.2">
      <c r="B8956" s="33" t="s">
        <v>10111</v>
      </c>
      <c r="C8956" s="33" t="s">
        <v>26</v>
      </c>
      <c r="D8956" s="35">
        <f>SUMIFS(D8957:D9015,K8957:K9015,"0",B8957:B9015,"5 6 1 1 2 12*")-SUMIFS(E8957:E9015,K8957:K9015,"0",B8957:B9015,"5 6 1 1 2 12*")</f>
        <v>0</v>
      </c>
      <c r="E8956"/>
      <c r="F8956" s="35">
        <f>SUMIFS(F8957:F9015,K8957:K9015,"0",B8957:B9015,"5 6 1 1 2 12*")</f>
        <v>380000</v>
      </c>
      <c r="G8956" s="35">
        <f>SUMIFS(G8957:G9015,K8957:K9015,"0",B8957:B9015,"5 6 1 1 2 12*")</f>
        <v>0</v>
      </c>
      <c r="H8956" s="35">
        <f t="shared" si="140"/>
        <v>380000</v>
      </c>
      <c r="I8956" s="35"/>
      <c r="K8956" t="s">
        <v>15</v>
      </c>
    </row>
    <row r="8957" spans="2:11" ht="16.5" x14ac:dyDescent="0.2">
      <c r="B8957" s="33" t="s">
        <v>10112</v>
      </c>
      <c r="C8957" s="33" t="s">
        <v>28</v>
      </c>
      <c r="D8957" s="35">
        <f>SUMIFS(D8958:D9015,K8958:K9015,"0",B8958:B9015,"5 6 1 1 2 12 31111*")-SUMIFS(E8958:E9015,K8958:K9015,"0",B8958:B9015,"5 6 1 1 2 12 31111*")</f>
        <v>0</v>
      </c>
      <c r="E8957"/>
      <c r="F8957" s="35">
        <f>SUMIFS(F8958:F9015,K8958:K9015,"0",B8958:B9015,"5 6 1 1 2 12 31111*")</f>
        <v>380000</v>
      </c>
      <c r="G8957" s="35">
        <f>SUMIFS(G8958:G9015,K8958:K9015,"0",B8958:B9015,"5 6 1 1 2 12 31111*")</f>
        <v>0</v>
      </c>
      <c r="H8957" s="35">
        <f t="shared" si="140"/>
        <v>380000</v>
      </c>
      <c r="I8957" s="35"/>
      <c r="K8957" t="s">
        <v>15</v>
      </c>
    </row>
    <row r="8958" spans="2:11" ht="12.75" x14ac:dyDescent="0.2">
      <c r="B8958" s="33" t="s">
        <v>10113</v>
      </c>
      <c r="C8958" s="33" t="s">
        <v>30</v>
      </c>
      <c r="D8958" s="35">
        <f>SUMIFS(D8959:D9015,K8959:K9015,"0",B8959:B9015,"5 6 1 1 2 12 31111 6*")-SUMIFS(E8959:E9015,K8959:K9015,"0",B8959:B9015,"5 6 1 1 2 12 31111 6*")</f>
        <v>0</v>
      </c>
      <c r="E8958"/>
      <c r="F8958" s="35">
        <f>SUMIFS(F8959:F9015,K8959:K9015,"0",B8959:B9015,"5 6 1 1 2 12 31111 6*")</f>
        <v>380000</v>
      </c>
      <c r="G8958" s="35">
        <f>SUMIFS(G8959:G9015,K8959:K9015,"0",B8959:B9015,"5 6 1 1 2 12 31111 6*")</f>
        <v>0</v>
      </c>
      <c r="H8958" s="35">
        <f t="shared" si="140"/>
        <v>380000</v>
      </c>
      <c r="I8958" s="35"/>
      <c r="K8958" t="s">
        <v>15</v>
      </c>
    </row>
    <row r="8959" spans="2:11" ht="16.5" x14ac:dyDescent="0.2">
      <c r="B8959" s="33" t="s">
        <v>10114</v>
      </c>
      <c r="C8959" s="33" t="s">
        <v>32</v>
      </c>
      <c r="D8959" s="35">
        <f>SUMIFS(D8960:D9015,K8960:K9015,"0",B8960:B9015,"5 6 1 1 2 12 31111 6 M59*")-SUMIFS(E8960:E9015,K8960:K9015,"0",B8960:B9015,"5 6 1 1 2 12 31111 6 M59*")</f>
        <v>0</v>
      </c>
      <c r="E8959"/>
      <c r="F8959" s="35">
        <f>SUMIFS(F8960:F9015,K8960:K9015,"0",B8960:B9015,"5 6 1 1 2 12 31111 6 M59*")</f>
        <v>380000</v>
      </c>
      <c r="G8959" s="35">
        <f>SUMIFS(G8960:G9015,K8960:K9015,"0",B8960:B9015,"5 6 1 1 2 12 31111 6 M59*")</f>
        <v>0</v>
      </c>
      <c r="H8959" s="35">
        <f t="shared" si="140"/>
        <v>380000</v>
      </c>
      <c r="I8959" s="35"/>
      <c r="K8959" t="s">
        <v>15</v>
      </c>
    </row>
    <row r="8960" spans="2:11" ht="16.5" x14ac:dyDescent="0.2">
      <c r="B8960" s="33" t="s">
        <v>10115</v>
      </c>
      <c r="C8960" s="33" t="s">
        <v>42</v>
      </c>
      <c r="D8960" s="35">
        <f>SUMIFS(D8961:D9015,K8961:K9015,"0",B8961:B9015,"5 6 1 1 2 12 31111 6 M59 00003*")-SUMIFS(E8961:E9015,K8961:K9015,"0",B8961:B9015,"5 6 1 1 2 12 31111 6 M59 00003*")</f>
        <v>0</v>
      </c>
      <c r="E8960"/>
      <c r="F8960" s="35">
        <f>SUMIFS(F8961:F9015,K8961:K9015,"0",B8961:B9015,"5 6 1 1 2 12 31111 6 M59 00003*")</f>
        <v>380000</v>
      </c>
      <c r="G8960" s="35">
        <f>SUMIFS(G8961:G9015,K8961:K9015,"0",B8961:B9015,"5 6 1 1 2 12 31111 6 M59 00003*")</f>
        <v>0</v>
      </c>
      <c r="H8960" s="35">
        <f t="shared" si="140"/>
        <v>380000</v>
      </c>
      <c r="I8960" s="35"/>
      <c r="K8960" t="s">
        <v>15</v>
      </c>
    </row>
    <row r="8961" spans="2:11" ht="16.5" x14ac:dyDescent="0.2">
      <c r="B8961" s="33" t="s">
        <v>10116</v>
      </c>
      <c r="C8961" s="33" t="s">
        <v>10117</v>
      </c>
      <c r="D8961" s="35">
        <f>SUMIFS(D8962:D9015,K8962:K9015,"0",B8962:B9015,"5 6 1 1 2 12 31111 6 M59 00003 000001*")-SUMIFS(E8962:E9015,K8962:K9015,"0",B8962:B9015,"5 6 1 1 2 12 31111 6 M59 00003 000001*")</f>
        <v>0</v>
      </c>
      <c r="E8961"/>
      <c r="F8961" s="35">
        <f>SUMIFS(F8962:F9015,K8962:K9015,"0",B8962:B9015,"5 6 1 1 2 12 31111 6 M59 00003 000001*")</f>
        <v>380000</v>
      </c>
      <c r="G8961" s="35">
        <f>SUMIFS(G8962:G9015,K8962:K9015,"0",B8962:B9015,"5 6 1 1 2 12 31111 6 M59 00003 000001*")</f>
        <v>0</v>
      </c>
      <c r="H8961" s="35">
        <f t="shared" si="140"/>
        <v>380000</v>
      </c>
      <c r="I8961" s="35"/>
      <c r="K8961" t="s">
        <v>15</v>
      </c>
    </row>
    <row r="8962" spans="2:11" ht="24.75" x14ac:dyDescent="0.2">
      <c r="B8962" s="33" t="s">
        <v>10118</v>
      </c>
      <c r="C8962" s="33" t="s">
        <v>666</v>
      </c>
      <c r="D8962" s="35">
        <f>SUMIFS(D8963:D9015,K8963:K9015,"0",B8963:B9015,"5 6 1 1 2 12 31111 6 M59 00003 000001 00001*")-SUMIFS(E8963:E9015,K8963:K9015,"0",B8963:B9015,"5 6 1 1 2 12 31111 6 M59 00003 000001 00001*")</f>
        <v>0</v>
      </c>
      <c r="E8962"/>
      <c r="F8962" s="35">
        <f>SUMIFS(F8963:F9015,K8963:K9015,"0",B8963:B9015,"5 6 1 1 2 12 31111 6 M59 00003 000001 00001*")</f>
        <v>380000</v>
      </c>
      <c r="G8962" s="35">
        <f>SUMIFS(G8963:G9015,K8963:K9015,"0",B8963:B9015,"5 6 1 1 2 12 31111 6 M59 00003 000001 00001*")</f>
        <v>0</v>
      </c>
      <c r="H8962" s="35">
        <f t="shared" si="140"/>
        <v>380000</v>
      </c>
      <c r="I8962" s="35"/>
      <c r="K8962" t="s">
        <v>15</v>
      </c>
    </row>
    <row r="8963" spans="2:11" ht="33" x14ac:dyDescent="0.2">
      <c r="B8963" s="31" t="s">
        <v>10119</v>
      </c>
      <c r="C8963" s="31" t="s">
        <v>668</v>
      </c>
      <c r="D8963" s="34">
        <v>0</v>
      </c>
      <c r="E8963" s="34"/>
      <c r="F8963" s="34">
        <v>380000</v>
      </c>
      <c r="G8963" s="34">
        <v>0</v>
      </c>
      <c r="H8963" s="34">
        <f t="shared" si="140"/>
        <v>380000</v>
      </c>
      <c r="I8963" s="34"/>
      <c r="K8963" t="s">
        <v>38</v>
      </c>
    </row>
    <row r="8964" spans="2:11" ht="41.25" x14ac:dyDescent="0.2">
      <c r="B8964" s="33" t="s">
        <v>10120</v>
      </c>
      <c r="C8964" s="33" t="s">
        <v>10121</v>
      </c>
      <c r="D8964" s="35">
        <f>SUMIFS(D8965:D9015,K8965:K9015,"0",B8965:B9015,"5 6 1 1 3*")-SUMIFS(E8965:E9015,K8965:K9015,"0",B8965:B9015,"5 6 1 1 3*")</f>
        <v>0</v>
      </c>
      <c r="E8964"/>
      <c r="F8964" s="35">
        <f>SUMIFS(F8965:F9015,K8965:K9015,"0",B8965:B9015,"5 6 1 1 3*")</f>
        <v>1380563</v>
      </c>
      <c r="G8964" s="35">
        <f>SUMIFS(G8965:G9015,K8965:K9015,"0",B8965:B9015,"5 6 1 1 3*")</f>
        <v>0</v>
      </c>
      <c r="H8964" s="35">
        <f t="shared" ref="H8964:H9027" si="141">D8964 + F8964 - G8964</f>
        <v>1380563</v>
      </c>
      <c r="I8964" s="35"/>
      <c r="K8964" t="s">
        <v>15</v>
      </c>
    </row>
    <row r="8965" spans="2:11" ht="12.75" x14ac:dyDescent="0.2">
      <c r="B8965" s="33" t="s">
        <v>10122</v>
      </c>
      <c r="C8965" s="33" t="s">
        <v>26</v>
      </c>
      <c r="D8965" s="35">
        <f>SUMIFS(D8966:D9015,K8966:K9015,"0",B8966:B9015,"5 6 1 1 3 12*")-SUMIFS(E8966:E9015,K8966:K9015,"0",B8966:B9015,"5 6 1 1 3 12*")</f>
        <v>0</v>
      </c>
      <c r="E8965"/>
      <c r="F8965" s="35">
        <f>SUMIFS(F8966:F9015,K8966:K9015,"0",B8966:B9015,"5 6 1 1 3 12*")</f>
        <v>1380563</v>
      </c>
      <c r="G8965" s="35">
        <f>SUMIFS(G8966:G9015,K8966:K9015,"0",B8966:B9015,"5 6 1 1 3 12*")</f>
        <v>0</v>
      </c>
      <c r="H8965" s="35">
        <f t="shared" si="141"/>
        <v>1380563</v>
      </c>
      <c r="I8965" s="35"/>
      <c r="K8965" t="s">
        <v>15</v>
      </c>
    </row>
    <row r="8966" spans="2:11" ht="16.5" x14ac:dyDescent="0.2">
      <c r="B8966" s="33" t="s">
        <v>10123</v>
      </c>
      <c r="C8966" s="33" t="s">
        <v>28</v>
      </c>
      <c r="D8966" s="35">
        <f>SUMIFS(D8967:D9015,K8967:K9015,"0",B8967:B9015,"5 6 1 1 3 12 31111*")-SUMIFS(E8967:E9015,K8967:K9015,"0",B8967:B9015,"5 6 1 1 3 12 31111*")</f>
        <v>0</v>
      </c>
      <c r="E8966"/>
      <c r="F8966" s="35">
        <f>SUMIFS(F8967:F9015,K8967:K9015,"0",B8967:B9015,"5 6 1 1 3 12 31111*")</f>
        <v>1380563</v>
      </c>
      <c r="G8966" s="35">
        <f>SUMIFS(G8967:G9015,K8967:K9015,"0",B8967:B9015,"5 6 1 1 3 12 31111*")</f>
        <v>0</v>
      </c>
      <c r="H8966" s="35">
        <f t="shared" si="141"/>
        <v>1380563</v>
      </c>
      <c r="I8966" s="35"/>
      <c r="K8966" t="s">
        <v>15</v>
      </c>
    </row>
    <row r="8967" spans="2:11" ht="12.75" x14ac:dyDescent="0.2">
      <c r="B8967" s="33" t="s">
        <v>10124</v>
      </c>
      <c r="C8967" s="33" t="s">
        <v>30</v>
      </c>
      <c r="D8967" s="35">
        <f>SUMIFS(D8968:D9015,K8968:K9015,"0",B8968:B9015,"5 6 1 1 3 12 31111 6*")-SUMIFS(E8968:E9015,K8968:K9015,"0",B8968:B9015,"5 6 1 1 3 12 31111 6*")</f>
        <v>0</v>
      </c>
      <c r="E8967"/>
      <c r="F8967" s="35">
        <f>SUMIFS(F8968:F9015,K8968:K9015,"0",B8968:B9015,"5 6 1 1 3 12 31111 6*")</f>
        <v>1380563</v>
      </c>
      <c r="G8967" s="35">
        <f>SUMIFS(G8968:G9015,K8968:K9015,"0",B8968:B9015,"5 6 1 1 3 12 31111 6*")</f>
        <v>0</v>
      </c>
      <c r="H8967" s="35">
        <f t="shared" si="141"/>
        <v>1380563</v>
      </c>
      <c r="I8967" s="35"/>
      <c r="K8967" t="s">
        <v>15</v>
      </c>
    </row>
    <row r="8968" spans="2:11" ht="16.5" x14ac:dyDescent="0.2">
      <c r="B8968" s="33" t="s">
        <v>10125</v>
      </c>
      <c r="C8968" s="33" t="s">
        <v>32</v>
      </c>
      <c r="D8968" s="35">
        <f>SUMIFS(D8969:D9015,K8969:K9015,"0",B8969:B9015,"5 6 1 1 3 12 31111 6 M59*")-SUMIFS(E8969:E9015,K8969:K9015,"0",B8969:B9015,"5 6 1 1 3 12 31111 6 M59*")</f>
        <v>0</v>
      </c>
      <c r="E8968"/>
      <c r="F8968" s="35">
        <f>SUMIFS(F8969:F9015,K8969:K9015,"0",B8969:B9015,"5 6 1 1 3 12 31111 6 M59*")</f>
        <v>1380563</v>
      </c>
      <c r="G8968" s="35">
        <f>SUMIFS(G8969:G9015,K8969:K9015,"0",B8969:B9015,"5 6 1 1 3 12 31111 6 M59*")</f>
        <v>0</v>
      </c>
      <c r="H8968" s="35">
        <f t="shared" si="141"/>
        <v>1380563</v>
      </c>
      <c r="I8968" s="35"/>
      <c r="K8968" t="s">
        <v>15</v>
      </c>
    </row>
    <row r="8969" spans="2:11" ht="16.5" x14ac:dyDescent="0.2">
      <c r="B8969" s="33" t="s">
        <v>10126</v>
      </c>
      <c r="C8969" s="33" t="s">
        <v>646</v>
      </c>
      <c r="D8969" s="35">
        <f>SUMIFS(D8970:D9015,K8970:K9015,"0",B8970:B9015,"5 6 1 1 3 12 31111 6 M59 30100*")-SUMIFS(E8970:E9015,K8970:K9015,"0",B8970:B9015,"5 6 1 1 3 12 31111 6 M59 30100*")</f>
        <v>0</v>
      </c>
      <c r="E8969"/>
      <c r="F8969" s="35">
        <f>SUMIFS(F8970:F9015,K8970:K9015,"0",B8970:B9015,"5 6 1 1 3 12 31111 6 M59 30100*")</f>
        <v>1380563</v>
      </c>
      <c r="G8969" s="35">
        <f>SUMIFS(G8970:G9015,K8970:K9015,"0",B8970:B9015,"5 6 1 1 3 12 31111 6 M59 30100*")</f>
        <v>0</v>
      </c>
      <c r="H8969" s="35">
        <f t="shared" si="141"/>
        <v>1380563</v>
      </c>
      <c r="I8969" s="35"/>
      <c r="K8969" t="s">
        <v>15</v>
      </c>
    </row>
    <row r="8970" spans="2:11" ht="16.5" x14ac:dyDescent="0.2">
      <c r="B8970" s="33" t="s">
        <v>10127</v>
      </c>
      <c r="C8970" s="33" t="s">
        <v>648</v>
      </c>
      <c r="D8970" s="35">
        <f>SUMIFS(D8971:D9015,K8971:K9015,"0",B8971:B9015,"5 6 1 1 3 12 31111 6 M59 30100 000132*")-SUMIFS(E8971:E9015,K8971:K9015,"0",B8971:B9015,"5 6 1 1 3 12 31111 6 M59 30100 000132*")</f>
        <v>0</v>
      </c>
      <c r="E8970"/>
      <c r="F8970" s="35">
        <f>SUMIFS(F8971:F9015,K8971:K9015,"0",B8971:B9015,"5 6 1 1 3 12 31111 6 M59 30100 000132*")</f>
        <v>1380563</v>
      </c>
      <c r="G8970" s="35">
        <f>SUMIFS(G8971:G9015,K8971:K9015,"0",B8971:B9015,"5 6 1 1 3 12 31111 6 M59 30100 000132*")</f>
        <v>0</v>
      </c>
      <c r="H8970" s="35">
        <f t="shared" si="141"/>
        <v>1380563</v>
      </c>
      <c r="I8970" s="35"/>
      <c r="K8970" t="s">
        <v>15</v>
      </c>
    </row>
    <row r="8971" spans="2:11" ht="24.75" x14ac:dyDescent="0.2">
      <c r="B8971" s="33" t="s">
        <v>10128</v>
      </c>
      <c r="C8971" s="33" t="s">
        <v>650</v>
      </c>
      <c r="D8971" s="35">
        <f>SUMIFS(D8972:D9015,K8972:K9015,"0",B8972:B9015,"5 6 1 1 3 12 31111 6 M59 30100 000132 0000R*")-SUMIFS(E8972:E9015,K8972:K9015,"0",B8972:B9015,"5 6 1 1 3 12 31111 6 M59 30100 000132 0000R*")</f>
        <v>0</v>
      </c>
      <c r="E8971"/>
      <c r="F8971" s="35">
        <f>SUMIFS(F8972:F9015,K8972:K9015,"0",B8972:B9015,"5 6 1 1 3 12 31111 6 M59 30100 000132 0000R*")</f>
        <v>1380563</v>
      </c>
      <c r="G8971" s="35">
        <f>SUMIFS(G8972:G9015,K8972:K9015,"0",B8972:B9015,"5 6 1 1 3 12 31111 6 M59 30100 000132 0000R*")</f>
        <v>0</v>
      </c>
      <c r="H8971" s="35">
        <f t="shared" si="141"/>
        <v>1380563</v>
      </c>
      <c r="I8971" s="35"/>
      <c r="K8971" t="s">
        <v>15</v>
      </c>
    </row>
    <row r="8972" spans="2:11" ht="24.75" x14ac:dyDescent="0.2">
      <c r="B8972" s="33" t="s">
        <v>10129</v>
      </c>
      <c r="C8972" s="33" t="s">
        <v>652</v>
      </c>
      <c r="D8972" s="35">
        <f>SUMIFS(D8973:D9015,K8973:K9015,"0",B8973:B9015,"5 6 1 1 3 12 31111 6 M59 30100 000132 0000R 00002*")-SUMIFS(E8973:E9015,K8973:K9015,"0",B8973:B9015,"5 6 1 1 3 12 31111 6 M59 30100 000132 0000R 00002*")</f>
        <v>0</v>
      </c>
      <c r="E8972"/>
      <c r="F8972" s="35">
        <f>SUMIFS(F8973:F9015,K8973:K9015,"0",B8973:B9015,"5 6 1 1 3 12 31111 6 M59 30100 000132 0000R 00002*")</f>
        <v>1380563</v>
      </c>
      <c r="G8972" s="35">
        <f>SUMIFS(G8973:G9015,K8973:K9015,"0",B8973:B9015,"5 6 1 1 3 12 31111 6 M59 30100 000132 0000R 00002*")</f>
        <v>0</v>
      </c>
      <c r="H8972" s="35">
        <f t="shared" si="141"/>
        <v>1380563</v>
      </c>
      <c r="I8972" s="35"/>
      <c r="K8972" t="s">
        <v>15</v>
      </c>
    </row>
    <row r="8973" spans="2:11" ht="41.25" x14ac:dyDescent="0.2">
      <c r="B8973" s="33" t="s">
        <v>10130</v>
      </c>
      <c r="C8973" s="33" t="s">
        <v>697</v>
      </c>
      <c r="D8973" s="35">
        <f>SUMIFS(D8974:D9015,K8974:K9015,"0",B8974:B9015,"5 6 1 1 3 12 31111 6 M59 30100 000132 0000R 00002 00613*")-SUMIFS(E8974:E9015,K8974:K9015,"0",B8974:B9015,"5 6 1 1 3 12 31111 6 M59 30100 000132 0000R 00002 00613*")</f>
        <v>0</v>
      </c>
      <c r="E8973"/>
      <c r="F8973" s="35">
        <f>SUMIFS(F8974:F9015,K8974:K9015,"0",B8974:B9015,"5 6 1 1 3 12 31111 6 M59 30100 000132 0000R 00002 00613*")</f>
        <v>1380563</v>
      </c>
      <c r="G8973" s="35">
        <f>SUMIFS(G8974:G9015,K8974:K9015,"0",B8974:B9015,"5 6 1 1 3 12 31111 6 M59 30100 000132 0000R 00002 00613*")</f>
        <v>0</v>
      </c>
      <c r="H8973" s="35">
        <f t="shared" si="141"/>
        <v>1380563</v>
      </c>
      <c r="I8973" s="35"/>
      <c r="K8973" t="s">
        <v>15</v>
      </c>
    </row>
    <row r="8974" spans="2:11" ht="33" x14ac:dyDescent="0.2">
      <c r="B8974" s="33" t="s">
        <v>10131</v>
      </c>
      <c r="C8974" s="33" t="s">
        <v>699</v>
      </c>
      <c r="D8974" s="35">
        <f>SUMIFS(D8975:D9015,K8975:K9015,"0",B8975:B9015,"5 6 1 1 3 12 31111 6 M59 30100 000132 0000R 00002 00613 011*")-SUMIFS(E8975:E9015,K8975:K9015,"0",B8975:B9015,"5 6 1 1 3 12 31111 6 M59 30100 000132 0000R 00002 00613 011*")</f>
        <v>0</v>
      </c>
      <c r="E8974"/>
      <c r="F8974" s="35">
        <f>SUMIFS(F8975:F9015,K8975:K9015,"0",B8975:B9015,"5 6 1 1 3 12 31111 6 M59 30100 000132 0000R 00002 00613 011*")</f>
        <v>1380563</v>
      </c>
      <c r="G8974" s="35">
        <f>SUMIFS(G8975:G9015,K8975:K9015,"0",B8975:B9015,"5 6 1 1 3 12 31111 6 M59 30100 000132 0000R 00002 00613 011*")</f>
        <v>0</v>
      </c>
      <c r="H8974" s="35">
        <f t="shared" si="141"/>
        <v>1380563</v>
      </c>
      <c r="I8974" s="35"/>
      <c r="K8974" t="s">
        <v>15</v>
      </c>
    </row>
    <row r="8975" spans="2:11" ht="33" x14ac:dyDescent="0.2">
      <c r="B8975" s="33" t="s">
        <v>10132</v>
      </c>
      <c r="C8975" s="33" t="s">
        <v>658</v>
      </c>
      <c r="D8975" s="35">
        <f>SUMIFS(D8976:D9015,K8976:K9015,"0",B8976:B9015,"5 6 1 1 3 12 31111 6 M59 30100 000132 0000R 00002 00613 011 2210000*")-SUMIFS(E8976:E9015,K8976:K9015,"0",B8976:B9015,"5 6 1 1 3 12 31111 6 M59 30100 000132 0000R 00002 00613 011 2210000*")</f>
        <v>0</v>
      </c>
      <c r="E8975"/>
      <c r="F8975" s="35">
        <f>SUMIFS(F8976:F9015,K8976:K9015,"0",B8976:B9015,"5 6 1 1 3 12 31111 6 M59 30100 000132 0000R 00002 00613 011 2210000*")</f>
        <v>1380563</v>
      </c>
      <c r="G8975" s="35">
        <f>SUMIFS(G8976:G9015,K8976:K9015,"0",B8976:B9015,"5 6 1 1 3 12 31111 6 M59 30100 000132 0000R 00002 00613 011 2210000*")</f>
        <v>0</v>
      </c>
      <c r="H8975" s="35">
        <f t="shared" si="141"/>
        <v>1380563</v>
      </c>
      <c r="I8975" s="35"/>
      <c r="K8975" t="s">
        <v>15</v>
      </c>
    </row>
    <row r="8976" spans="2:11" ht="33" x14ac:dyDescent="0.2">
      <c r="B8976" s="33" t="s">
        <v>10133</v>
      </c>
      <c r="C8976" s="33" t="s">
        <v>660</v>
      </c>
      <c r="D8976" s="35">
        <f>SUMIFS(D8977:D9015,K8977:K9015,"0",B8977:B9015,"5 6 1 1 3 12 31111 6 M59 30100 000132 0000R 00002 00613 011 2210000 2024*")-SUMIFS(E8977:E9015,K8977:K9015,"0",B8977:B9015,"5 6 1 1 3 12 31111 6 M59 30100 000132 0000R 00002 00613 011 2210000 2024*")</f>
        <v>0</v>
      </c>
      <c r="E8976"/>
      <c r="F8976" s="35">
        <f>SUMIFS(F8977:F9015,K8977:K9015,"0",B8977:B9015,"5 6 1 1 3 12 31111 6 M59 30100 000132 0000R 00002 00613 011 2210000 2024*")</f>
        <v>1380563</v>
      </c>
      <c r="G8976" s="35">
        <f>SUMIFS(G8977:G9015,K8977:K9015,"0",B8977:B9015,"5 6 1 1 3 12 31111 6 M59 30100 000132 0000R 00002 00613 011 2210000 2024*")</f>
        <v>0</v>
      </c>
      <c r="H8976" s="35">
        <f t="shared" si="141"/>
        <v>1380563</v>
      </c>
      <c r="I8976" s="35"/>
      <c r="K8976" t="s">
        <v>15</v>
      </c>
    </row>
    <row r="8977" spans="2:11" ht="41.25" x14ac:dyDescent="0.2">
      <c r="B8977" s="33" t="s">
        <v>10134</v>
      </c>
      <c r="C8977" s="33" t="s">
        <v>42</v>
      </c>
      <c r="D8977" s="35">
        <f>SUMIFS(D8978:D9015,K8978:K9015,"0",B8978:B9015,"5 6 1 1 3 12 31111 6 M59 30100 000132 0000R 00002 00613 011 2210000 2024 CP1TM440*")-SUMIFS(E8978:E9015,K8978:K9015,"0",B8978:B9015,"5 6 1 1 3 12 31111 6 M59 30100 000132 0000R 00002 00613 011 2210000 2024 CP1TM440*")</f>
        <v>0</v>
      </c>
      <c r="E8977"/>
      <c r="F8977" s="35">
        <f>SUMIFS(F8978:F9015,K8978:K9015,"0",B8978:B9015,"5 6 1 1 3 12 31111 6 M59 30100 000132 0000R 00002 00613 011 2210000 2024 CP1TM440*")</f>
        <v>1380563</v>
      </c>
      <c r="G8977" s="35">
        <f>SUMIFS(G8978:G9015,K8978:K9015,"0",B8978:B9015,"5 6 1 1 3 12 31111 6 M59 30100 000132 0000R 00002 00613 011 2210000 2024 CP1TM440*")</f>
        <v>0</v>
      </c>
      <c r="H8977" s="35">
        <f t="shared" si="141"/>
        <v>1380563</v>
      </c>
      <c r="I8977" s="35"/>
      <c r="K8977" t="s">
        <v>15</v>
      </c>
    </row>
    <row r="8978" spans="2:11" ht="41.25" x14ac:dyDescent="0.2">
      <c r="B8978" s="33" t="s">
        <v>10135</v>
      </c>
      <c r="C8978" s="33" t="s">
        <v>42</v>
      </c>
      <c r="D8978" s="35">
        <f>SUMIFS(D8979:D9015,K8979:K9015,"0",B8979:B9015,"5 6 1 1 3 12 31111 6 M59 30100 000132 0000R 00002 00613 011 2210000 2024 CP1TM440 006*")-SUMIFS(E8979:E9015,K8979:K9015,"0",B8979:B9015,"5 6 1 1 3 12 31111 6 M59 30100 000132 0000R 00002 00613 011 2210000 2024 CP1TM440 006*")</f>
        <v>0</v>
      </c>
      <c r="E8978"/>
      <c r="F8978" s="35">
        <f>SUMIFS(F8979:F9015,K8979:K9015,"0",B8979:B9015,"5 6 1 1 3 12 31111 6 M59 30100 000132 0000R 00002 00613 011 2210000 2024 CP1TM440 006*")</f>
        <v>1380563</v>
      </c>
      <c r="G8978" s="35">
        <f>SUMIFS(G8979:G9015,K8979:K9015,"0",B8979:B9015,"5 6 1 1 3 12 31111 6 M59 30100 000132 0000R 00002 00613 011 2210000 2024 CP1TM440 006*")</f>
        <v>0</v>
      </c>
      <c r="H8978" s="35">
        <f t="shared" si="141"/>
        <v>1380563</v>
      </c>
      <c r="I8978" s="35"/>
      <c r="K8978" t="s">
        <v>15</v>
      </c>
    </row>
    <row r="8979" spans="2:11" ht="41.25" x14ac:dyDescent="0.2">
      <c r="B8979" s="31" t="s">
        <v>10136</v>
      </c>
      <c r="C8979" s="31" t="s">
        <v>706</v>
      </c>
      <c r="D8979" s="34">
        <v>0</v>
      </c>
      <c r="E8979" s="34"/>
      <c r="F8979" s="34">
        <v>780000</v>
      </c>
      <c r="G8979" s="34">
        <v>0</v>
      </c>
      <c r="H8979" s="34">
        <f t="shared" si="141"/>
        <v>780000</v>
      </c>
      <c r="I8979" s="34"/>
      <c r="K8979" t="s">
        <v>38</v>
      </c>
    </row>
    <row r="8980" spans="2:11" ht="41.25" x14ac:dyDescent="0.2">
      <c r="B8980" s="31" t="s">
        <v>10137</v>
      </c>
      <c r="C8980" s="31" t="s">
        <v>708</v>
      </c>
      <c r="D8980" s="34">
        <v>0</v>
      </c>
      <c r="E8980" s="34"/>
      <c r="F8980" s="34">
        <v>600563</v>
      </c>
      <c r="G8980" s="34">
        <v>0</v>
      </c>
      <c r="H8980" s="34">
        <f t="shared" si="141"/>
        <v>600563</v>
      </c>
      <c r="I8980" s="34"/>
      <c r="K8980" t="s">
        <v>38</v>
      </c>
    </row>
    <row r="8981" spans="2:11" ht="24.75" x14ac:dyDescent="0.2">
      <c r="B8981" s="33" t="s">
        <v>10138</v>
      </c>
      <c r="C8981" s="33" t="s">
        <v>10139</v>
      </c>
      <c r="D8981" s="35">
        <f>SUMIFS(D8982:D9015,K8982:K9015,"0",B8982:B9015,"5 6 1 1 4*")-SUMIFS(E8982:E9015,K8982:K9015,"0",B8982:B9015,"5 6 1 1 4*")</f>
        <v>0</v>
      </c>
      <c r="E8981"/>
      <c r="F8981" s="35">
        <f>SUMIFS(F8982:F9015,K8982:K9015,"0",B8982:B9015,"5 6 1 1 4*")</f>
        <v>21262154.199999996</v>
      </c>
      <c r="G8981" s="35">
        <f>SUMIFS(G8982:G9015,K8982:K9015,"0",B8982:B9015,"5 6 1 1 4*")</f>
        <v>0</v>
      </c>
      <c r="H8981" s="35">
        <f t="shared" si="141"/>
        <v>21262154.199999996</v>
      </c>
      <c r="I8981" s="35"/>
      <c r="K8981" t="s">
        <v>15</v>
      </c>
    </row>
    <row r="8982" spans="2:11" ht="12.75" x14ac:dyDescent="0.2">
      <c r="B8982" s="33" t="s">
        <v>10140</v>
      </c>
      <c r="C8982" s="33" t="s">
        <v>26</v>
      </c>
      <c r="D8982" s="35">
        <f>SUMIFS(D8983:D9015,K8983:K9015,"0",B8983:B9015,"5 6 1 1 4 12*")-SUMIFS(E8983:E9015,K8983:K9015,"0",B8983:B9015,"5 6 1 1 4 12*")</f>
        <v>0</v>
      </c>
      <c r="E8982"/>
      <c r="F8982" s="35">
        <f>SUMIFS(F8983:F9015,K8983:K9015,"0",B8983:B9015,"5 6 1 1 4 12*")</f>
        <v>21262154.199999996</v>
      </c>
      <c r="G8982" s="35">
        <f>SUMIFS(G8983:G9015,K8983:K9015,"0",B8983:B9015,"5 6 1 1 4 12*")</f>
        <v>0</v>
      </c>
      <c r="H8982" s="35">
        <f t="shared" si="141"/>
        <v>21262154.199999996</v>
      </c>
      <c r="I8982" s="35"/>
      <c r="K8982" t="s">
        <v>15</v>
      </c>
    </row>
    <row r="8983" spans="2:11" ht="16.5" x14ac:dyDescent="0.2">
      <c r="B8983" s="33" t="s">
        <v>10141</v>
      </c>
      <c r="C8983" s="33" t="s">
        <v>28</v>
      </c>
      <c r="D8983" s="35">
        <f>SUMIFS(D8984:D9015,K8984:K9015,"0",B8984:B9015,"5 6 1 1 4 12 31111*")-SUMIFS(E8984:E9015,K8984:K9015,"0",B8984:B9015,"5 6 1 1 4 12 31111*")</f>
        <v>0</v>
      </c>
      <c r="E8983"/>
      <c r="F8983" s="35">
        <f>SUMIFS(F8984:F9015,K8984:K9015,"0",B8984:B9015,"5 6 1 1 4 12 31111*")</f>
        <v>21262154.199999996</v>
      </c>
      <c r="G8983" s="35">
        <f>SUMIFS(G8984:G9015,K8984:K9015,"0",B8984:B9015,"5 6 1 1 4 12 31111*")</f>
        <v>0</v>
      </c>
      <c r="H8983" s="35">
        <f t="shared" si="141"/>
        <v>21262154.199999996</v>
      </c>
      <c r="I8983" s="35"/>
      <c r="K8983" t="s">
        <v>15</v>
      </c>
    </row>
    <row r="8984" spans="2:11" ht="12.75" x14ac:dyDescent="0.2">
      <c r="B8984" s="33" t="s">
        <v>10142</v>
      </c>
      <c r="C8984" s="33" t="s">
        <v>30</v>
      </c>
      <c r="D8984" s="35">
        <f>SUMIFS(D8985:D9015,K8985:K9015,"0",B8985:B9015,"5 6 1 1 4 12 31111 6*")-SUMIFS(E8985:E9015,K8985:K9015,"0",B8985:B9015,"5 6 1 1 4 12 31111 6*")</f>
        <v>0</v>
      </c>
      <c r="E8984"/>
      <c r="F8984" s="35">
        <f>SUMIFS(F8985:F9015,K8985:K9015,"0",B8985:B9015,"5 6 1 1 4 12 31111 6*")</f>
        <v>21262154.199999996</v>
      </c>
      <c r="G8984" s="35">
        <f>SUMIFS(G8985:G9015,K8985:K9015,"0",B8985:B9015,"5 6 1 1 4 12 31111 6*")</f>
        <v>0</v>
      </c>
      <c r="H8984" s="35">
        <f t="shared" si="141"/>
        <v>21262154.199999996</v>
      </c>
      <c r="I8984" s="35"/>
      <c r="K8984" t="s">
        <v>15</v>
      </c>
    </row>
    <row r="8985" spans="2:11" ht="16.5" x14ac:dyDescent="0.2">
      <c r="B8985" s="33" t="s">
        <v>10143</v>
      </c>
      <c r="C8985" s="33" t="s">
        <v>32</v>
      </c>
      <c r="D8985" s="35">
        <f>SUMIFS(D8986:D9015,K8986:K9015,"0",B8986:B9015,"5 6 1 1 4 12 31111 6 M59*")-SUMIFS(E8986:E9015,K8986:K9015,"0",B8986:B9015,"5 6 1 1 4 12 31111 6 M59*")</f>
        <v>0</v>
      </c>
      <c r="E8985"/>
      <c r="F8985" s="35">
        <f>SUMIFS(F8986:F9015,K8986:K9015,"0",B8986:B9015,"5 6 1 1 4 12 31111 6 M59*")</f>
        <v>21262154.199999996</v>
      </c>
      <c r="G8985" s="35">
        <f>SUMIFS(G8986:G9015,K8986:K9015,"0",B8986:B9015,"5 6 1 1 4 12 31111 6 M59*")</f>
        <v>0</v>
      </c>
      <c r="H8985" s="35">
        <f t="shared" si="141"/>
        <v>21262154.199999996</v>
      </c>
      <c r="I8985" s="35"/>
      <c r="K8985" t="s">
        <v>15</v>
      </c>
    </row>
    <row r="8986" spans="2:11" ht="24.75" x14ac:dyDescent="0.2">
      <c r="B8986" s="33" t="s">
        <v>10144</v>
      </c>
      <c r="C8986" s="33" t="s">
        <v>2079</v>
      </c>
      <c r="D8986" s="35">
        <f>SUMIFS(D8987:D9015,K8987:K9015,"0",B8987:B9015,"5 6 1 1 4 12 31111 6 M59 00002*")-SUMIFS(E8987:E9015,K8987:K9015,"0",B8987:B9015,"5 6 1 1 4 12 31111 6 M59 00002*")</f>
        <v>0</v>
      </c>
      <c r="E8986"/>
      <c r="F8986" s="35">
        <f>SUMIFS(F8987:F9015,K8987:K9015,"0",B8987:B9015,"5 6 1 1 4 12 31111 6 M59 00002*")</f>
        <v>21262154.199999996</v>
      </c>
      <c r="G8986" s="35">
        <f>SUMIFS(G8987:G9015,K8987:K9015,"0",B8987:B9015,"5 6 1 1 4 12 31111 6 M59 00002*")</f>
        <v>0</v>
      </c>
      <c r="H8986" s="35">
        <f t="shared" si="141"/>
        <v>21262154.199999996</v>
      </c>
      <c r="I8986" s="35"/>
      <c r="K8986" t="s">
        <v>15</v>
      </c>
    </row>
    <row r="8987" spans="2:11" ht="16.5" x14ac:dyDescent="0.2">
      <c r="B8987" s="33" t="s">
        <v>10145</v>
      </c>
      <c r="C8987" s="33" t="s">
        <v>660</v>
      </c>
      <c r="D8987" s="35">
        <f>SUMIFS(D8988:D9015,K8988:K9015,"0",B8988:B9015,"5 6 1 1 4 12 31111 6 M59 00002 000001*")-SUMIFS(E8988:E9015,K8988:K9015,"0",B8988:B9015,"5 6 1 1 4 12 31111 6 M59 00002 000001*")</f>
        <v>0</v>
      </c>
      <c r="E8987"/>
      <c r="F8987" s="35">
        <f>SUMIFS(F8988:F9015,K8988:K9015,"0",B8988:B9015,"5 6 1 1 4 12 31111 6 M59 00002 000001*")</f>
        <v>21262154.199999996</v>
      </c>
      <c r="G8987" s="35">
        <f>SUMIFS(G8988:G9015,K8988:K9015,"0",B8988:B9015,"5 6 1 1 4 12 31111 6 M59 00002 000001*")</f>
        <v>0</v>
      </c>
      <c r="H8987" s="35">
        <f t="shared" si="141"/>
        <v>21262154.199999996</v>
      </c>
      <c r="I8987" s="35"/>
      <c r="K8987" t="s">
        <v>15</v>
      </c>
    </row>
    <row r="8988" spans="2:11" ht="24.75" x14ac:dyDescent="0.2">
      <c r="B8988" s="33" t="s">
        <v>10146</v>
      </c>
      <c r="C8988" s="33" t="s">
        <v>10147</v>
      </c>
      <c r="D8988" s="35">
        <f>SUMIFS(D8989:D9015,K8989:K9015,"0",B8989:B9015,"5 6 1 1 4 12 31111 6 M59 00002 000001 00001*")-SUMIFS(E8989:E9015,K8989:K9015,"0",B8989:B9015,"5 6 1 1 4 12 31111 6 M59 00002 000001 00001*")</f>
        <v>0</v>
      </c>
      <c r="E8988"/>
      <c r="F8988" s="35">
        <f>SUMIFS(F8989:F9015,K8989:K9015,"0",B8989:B9015,"5 6 1 1 4 12 31111 6 M59 00002 000001 00001*")</f>
        <v>21262154.199999996</v>
      </c>
      <c r="G8988" s="35">
        <f>SUMIFS(G8989:G9015,K8989:K9015,"0",B8989:B9015,"5 6 1 1 4 12 31111 6 M59 00002 000001 00001*")</f>
        <v>0</v>
      </c>
      <c r="H8988" s="35">
        <f t="shared" si="141"/>
        <v>21262154.199999996</v>
      </c>
      <c r="I8988" s="35"/>
      <c r="K8988" t="s">
        <v>15</v>
      </c>
    </row>
    <row r="8989" spans="2:11" ht="33" x14ac:dyDescent="0.2">
      <c r="B8989" s="31" t="s">
        <v>10148</v>
      </c>
      <c r="C8989" s="31" t="s">
        <v>930</v>
      </c>
      <c r="D8989" s="34">
        <v>0</v>
      </c>
      <c r="E8989" s="34"/>
      <c r="F8989" s="34">
        <v>1995495.64</v>
      </c>
      <c r="G8989" s="34">
        <v>0</v>
      </c>
      <c r="H8989" s="34">
        <f t="shared" si="141"/>
        <v>1995495.64</v>
      </c>
      <c r="I8989" s="34"/>
      <c r="K8989" t="s">
        <v>38</v>
      </c>
    </row>
    <row r="8990" spans="2:11" ht="33" x14ac:dyDescent="0.2">
      <c r="B8990" s="31" t="s">
        <v>10149</v>
      </c>
      <c r="C8990" s="31" t="s">
        <v>932</v>
      </c>
      <c r="D8990" s="34">
        <v>0</v>
      </c>
      <c r="E8990" s="34"/>
      <c r="F8990" s="34">
        <v>2132453.29</v>
      </c>
      <c r="G8990" s="34">
        <v>0</v>
      </c>
      <c r="H8990" s="34">
        <f t="shared" si="141"/>
        <v>2132453.29</v>
      </c>
      <c r="I8990" s="34"/>
      <c r="K8990" t="s">
        <v>38</v>
      </c>
    </row>
    <row r="8991" spans="2:11" ht="41.25" x14ac:dyDescent="0.2">
      <c r="B8991" s="31" t="s">
        <v>10150</v>
      </c>
      <c r="C8991" s="31" t="s">
        <v>934</v>
      </c>
      <c r="D8991" s="34">
        <v>0</v>
      </c>
      <c r="E8991" s="34"/>
      <c r="F8991" s="34">
        <v>1780176.78</v>
      </c>
      <c r="G8991" s="34">
        <v>0</v>
      </c>
      <c r="H8991" s="34">
        <f t="shared" si="141"/>
        <v>1780176.78</v>
      </c>
      <c r="I8991" s="34"/>
      <c r="K8991" t="s">
        <v>38</v>
      </c>
    </row>
    <row r="8992" spans="2:11" ht="24.75" x14ac:dyDescent="0.2">
      <c r="B8992" s="31" t="s">
        <v>10151</v>
      </c>
      <c r="C8992" s="31" t="s">
        <v>874</v>
      </c>
      <c r="D8992" s="34">
        <v>0</v>
      </c>
      <c r="E8992" s="34"/>
      <c r="F8992" s="34">
        <v>1829425.95</v>
      </c>
      <c r="G8992" s="34">
        <v>0</v>
      </c>
      <c r="H8992" s="34">
        <f t="shared" si="141"/>
        <v>1829425.95</v>
      </c>
      <c r="I8992" s="34"/>
      <c r="K8992" t="s">
        <v>38</v>
      </c>
    </row>
    <row r="8993" spans="2:11" ht="33" x14ac:dyDescent="0.2">
      <c r="B8993" s="31" t="s">
        <v>10152</v>
      </c>
      <c r="C8993" s="31" t="s">
        <v>936</v>
      </c>
      <c r="D8993" s="34">
        <v>0</v>
      </c>
      <c r="E8993" s="34"/>
      <c r="F8993" s="34">
        <v>1564863.74</v>
      </c>
      <c r="G8993" s="34">
        <v>0</v>
      </c>
      <c r="H8993" s="34">
        <f t="shared" si="141"/>
        <v>1564863.74</v>
      </c>
      <c r="I8993" s="34"/>
      <c r="K8993" t="s">
        <v>38</v>
      </c>
    </row>
    <row r="8994" spans="2:11" ht="41.25" x14ac:dyDescent="0.2">
      <c r="B8994" s="31" t="s">
        <v>10153</v>
      </c>
      <c r="C8994" s="31" t="s">
        <v>938</v>
      </c>
      <c r="D8994" s="34">
        <v>0</v>
      </c>
      <c r="E8994" s="34"/>
      <c r="F8994" s="34">
        <v>1905697.5</v>
      </c>
      <c r="G8994" s="34">
        <v>0</v>
      </c>
      <c r="H8994" s="34">
        <f t="shared" si="141"/>
        <v>1905697.5</v>
      </c>
      <c r="I8994" s="34"/>
      <c r="K8994" t="s">
        <v>38</v>
      </c>
    </row>
    <row r="8995" spans="2:11" ht="33" x14ac:dyDescent="0.2">
      <c r="B8995" s="31" t="s">
        <v>10154</v>
      </c>
      <c r="C8995" s="31" t="s">
        <v>940</v>
      </c>
      <c r="D8995" s="34">
        <v>0</v>
      </c>
      <c r="E8995" s="34"/>
      <c r="F8995" s="34">
        <v>1074203.3600000001</v>
      </c>
      <c r="G8995" s="34">
        <v>0</v>
      </c>
      <c r="H8995" s="34">
        <f t="shared" si="141"/>
        <v>1074203.3600000001</v>
      </c>
      <c r="I8995" s="34"/>
      <c r="K8995" t="s">
        <v>38</v>
      </c>
    </row>
    <row r="8996" spans="2:11" ht="33" x14ac:dyDescent="0.2">
      <c r="B8996" s="31" t="s">
        <v>10155</v>
      </c>
      <c r="C8996" s="31" t="s">
        <v>942</v>
      </c>
      <c r="D8996" s="34">
        <v>0</v>
      </c>
      <c r="E8996" s="34"/>
      <c r="F8996" s="34">
        <v>1935808</v>
      </c>
      <c r="G8996" s="34">
        <v>0</v>
      </c>
      <c r="H8996" s="34">
        <f t="shared" si="141"/>
        <v>1935808</v>
      </c>
      <c r="I8996" s="34"/>
      <c r="K8996" t="s">
        <v>38</v>
      </c>
    </row>
    <row r="8997" spans="2:11" ht="41.25" x14ac:dyDescent="0.2">
      <c r="B8997" s="31" t="s">
        <v>10156</v>
      </c>
      <c r="C8997" s="31" t="s">
        <v>944</v>
      </c>
      <c r="D8997" s="34">
        <v>0</v>
      </c>
      <c r="E8997" s="34"/>
      <c r="F8997" s="34">
        <v>1965697.5</v>
      </c>
      <c r="G8997" s="34">
        <v>0</v>
      </c>
      <c r="H8997" s="34">
        <f t="shared" si="141"/>
        <v>1965697.5</v>
      </c>
      <c r="I8997" s="34"/>
      <c r="K8997" t="s">
        <v>38</v>
      </c>
    </row>
    <row r="8998" spans="2:11" ht="41.25" x14ac:dyDescent="0.2">
      <c r="B8998" s="31" t="s">
        <v>10157</v>
      </c>
      <c r="C8998" s="31" t="s">
        <v>946</v>
      </c>
      <c r="D8998" s="34">
        <v>0</v>
      </c>
      <c r="E8998" s="34"/>
      <c r="F8998" s="34">
        <v>1804827.5</v>
      </c>
      <c r="G8998" s="34">
        <v>0</v>
      </c>
      <c r="H8998" s="34">
        <f t="shared" si="141"/>
        <v>1804827.5</v>
      </c>
      <c r="I8998" s="34"/>
      <c r="K8998" t="s">
        <v>38</v>
      </c>
    </row>
    <row r="8999" spans="2:11" ht="33" x14ac:dyDescent="0.2">
      <c r="B8999" s="31" t="s">
        <v>10158</v>
      </c>
      <c r="C8999" s="31" t="s">
        <v>948</v>
      </c>
      <c r="D8999" s="34">
        <v>0</v>
      </c>
      <c r="E8999" s="34"/>
      <c r="F8999" s="34">
        <v>1586752.47</v>
      </c>
      <c r="G8999" s="34">
        <v>0</v>
      </c>
      <c r="H8999" s="34">
        <f t="shared" si="141"/>
        <v>1586752.47</v>
      </c>
      <c r="I8999" s="34"/>
      <c r="K8999" t="s">
        <v>38</v>
      </c>
    </row>
    <row r="9000" spans="2:11" ht="24.75" x14ac:dyDescent="0.2">
      <c r="B9000" s="31" t="s">
        <v>10159</v>
      </c>
      <c r="C9000" s="31" t="s">
        <v>950</v>
      </c>
      <c r="D9000" s="34">
        <v>0</v>
      </c>
      <c r="E9000" s="34"/>
      <c r="F9000" s="34">
        <v>1686752.47</v>
      </c>
      <c r="G9000" s="34">
        <v>0</v>
      </c>
      <c r="H9000" s="34">
        <f t="shared" si="141"/>
        <v>1686752.47</v>
      </c>
      <c r="I9000" s="34"/>
      <c r="K9000" t="s">
        <v>38</v>
      </c>
    </row>
    <row r="9001" spans="2:11" ht="16.5" x14ac:dyDescent="0.2">
      <c r="B9001" s="33" t="s">
        <v>10160</v>
      </c>
      <c r="C9001" s="33" t="s">
        <v>10161</v>
      </c>
      <c r="D9001" s="35">
        <f>SUMIFS(D9002:D9015,K9002:K9015,"0",B9002:B9015,"8*")-SUMIFS(E9002:E9015,K9002:K9015,"0",B9002:B9015,"8*")</f>
        <v>0</v>
      </c>
      <c r="E9001"/>
      <c r="F9001" s="35">
        <f>SUMIFS(F9002:F9015,K9002:K9015,"0",B9002:B9015,"8*")</f>
        <v>2414944499.4499998</v>
      </c>
      <c r="G9001" s="35">
        <f>SUMIFS(G9002:G9015,K9002:K9015,"0",B9002:B9015,"8*")</f>
        <v>2414944499.4499998</v>
      </c>
      <c r="H9001" s="35">
        <f t="shared" si="141"/>
        <v>0</v>
      </c>
      <c r="I9001" s="35"/>
      <c r="K9001" t="s">
        <v>15</v>
      </c>
    </row>
    <row r="9002" spans="2:11" ht="12.75" x14ac:dyDescent="0.2">
      <c r="B9002" s="33" t="s">
        <v>10162</v>
      </c>
      <c r="C9002" s="33" t="s">
        <v>10163</v>
      </c>
      <c r="D9002" s="35">
        <f>SUMIFS(D9003:D9015,K9003:K9015,"0",B9003:B9015,"8 1*")-SUMIFS(E9003:E9015,K9003:K9015,"0",B9003:B9015,"8 1*")</f>
        <v>0</v>
      </c>
      <c r="E9002"/>
      <c r="F9002" s="35">
        <f>SUMIFS(F9003:F9015,K9003:K9015,"0",B9003:B9015,"8 1*")</f>
        <v>907222924.05000007</v>
      </c>
      <c r="G9002" s="35">
        <f>SUMIFS(G9003:G9015,K9003:K9015,"0",B9003:B9015,"8 1*")</f>
        <v>907222924.05000007</v>
      </c>
      <c r="H9002" s="35">
        <f t="shared" si="141"/>
        <v>0</v>
      </c>
      <c r="I9002" s="35"/>
      <c r="K9002" t="s">
        <v>15</v>
      </c>
    </row>
    <row r="9003" spans="2:11" ht="12.75" x14ac:dyDescent="0.2">
      <c r="B9003" s="31" t="s">
        <v>10164</v>
      </c>
      <c r="C9003" s="31" t="s">
        <v>10165</v>
      </c>
      <c r="D9003" s="34">
        <v>0</v>
      </c>
      <c r="E9003" s="34"/>
      <c r="F9003" s="34">
        <v>291193201.37</v>
      </c>
      <c r="G9003" s="34">
        <v>0</v>
      </c>
      <c r="H9003" s="34">
        <f t="shared" si="141"/>
        <v>291193201.37</v>
      </c>
      <c r="I9003" s="34"/>
      <c r="K9003" t="s">
        <v>38</v>
      </c>
    </row>
    <row r="9004" spans="2:11" ht="12.75" x14ac:dyDescent="0.2">
      <c r="B9004" s="31" t="s">
        <v>10166</v>
      </c>
      <c r="C9004" s="31" t="s">
        <v>10167</v>
      </c>
      <c r="D9004" s="34"/>
      <c r="E9004" s="34">
        <v>0</v>
      </c>
      <c r="F9004" s="34">
        <v>302407641.35000002</v>
      </c>
      <c r="G9004" s="34">
        <v>302407641.35000002</v>
      </c>
      <c r="H9004" s="34"/>
      <c r="I9004" s="34">
        <f>E9004 - F9004 + G9004</f>
        <v>0</v>
      </c>
      <c r="K9004" t="s">
        <v>38</v>
      </c>
    </row>
    <row r="9005" spans="2:11" ht="16.5" x14ac:dyDescent="0.2">
      <c r="B9005" s="31" t="s">
        <v>10168</v>
      </c>
      <c r="C9005" s="31" t="s">
        <v>10169</v>
      </c>
      <c r="D9005" s="34">
        <v>0</v>
      </c>
      <c r="E9005" s="34"/>
      <c r="F9005" s="34">
        <v>11214439.98</v>
      </c>
      <c r="G9005" s="34">
        <v>0</v>
      </c>
      <c r="H9005" s="34">
        <f>D9005 + F9005 - G9005</f>
        <v>11214439.98</v>
      </c>
      <c r="I9005" s="34"/>
      <c r="K9005" t="s">
        <v>38</v>
      </c>
    </row>
    <row r="9006" spans="2:11" ht="12.75" x14ac:dyDescent="0.2">
      <c r="B9006" s="31" t="s">
        <v>10170</v>
      </c>
      <c r="C9006" s="31" t="s">
        <v>10171</v>
      </c>
      <c r="D9006" s="34"/>
      <c r="E9006" s="34">
        <v>0</v>
      </c>
      <c r="F9006" s="34">
        <v>302407641.35000002</v>
      </c>
      <c r="G9006" s="34">
        <v>302407641.35000002</v>
      </c>
      <c r="H9006" s="34"/>
      <c r="I9006" s="34">
        <f>E9006 - F9006 + G9006</f>
        <v>0</v>
      </c>
      <c r="K9006" t="s">
        <v>38</v>
      </c>
    </row>
    <row r="9007" spans="2:11" ht="12.75" x14ac:dyDescent="0.2">
      <c r="B9007" s="31" t="s">
        <v>10172</v>
      </c>
      <c r="C9007" s="31" t="s">
        <v>10173</v>
      </c>
      <c r="D9007" s="34"/>
      <c r="E9007" s="34">
        <v>0</v>
      </c>
      <c r="F9007" s="34">
        <v>0</v>
      </c>
      <c r="G9007" s="34">
        <v>302407641.35000002</v>
      </c>
      <c r="H9007" s="34"/>
      <c r="I9007" s="34">
        <f>E9007 - F9007 + G9007</f>
        <v>302407641.35000002</v>
      </c>
      <c r="K9007" t="s">
        <v>38</v>
      </c>
    </row>
    <row r="9008" spans="2:11" ht="12.75" x14ac:dyDescent="0.2">
      <c r="B9008" s="33" t="s">
        <v>10174</v>
      </c>
      <c r="C9008" s="33" t="s">
        <v>10175</v>
      </c>
      <c r="D9008"/>
      <c r="E9008" s="35">
        <f>SUMIFS(E9009:E9015,K9009:K9015,"0",B9009:B9015,"8 2*")-SUMIFS(D9009:D9015,K9009:K9015,"0",B9009:B9015,"8 2*")</f>
        <v>0</v>
      </c>
      <c r="F9008" s="35">
        <f>SUMIFS(F9009:F9015,K9009:K9015,"0",B9009:B9015,"8 2*")</f>
        <v>1507721575.3999999</v>
      </c>
      <c r="G9008" s="35">
        <f>SUMIFS(G9009:G9015,K9009:K9015,"0",B9009:B9015,"8 2*")</f>
        <v>1507721575.3999999</v>
      </c>
      <c r="H9008" s="35"/>
      <c r="I9008" s="35">
        <f>E9008 - F9008 + G9008</f>
        <v>0</v>
      </c>
      <c r="K9008" t="s">
        <v>15</v>
      </c>
    </row>
    <row r="9009" spans="2:11" ht="16.5" x14ac:dyDescent="0.2">
      <c r="B9009" s="31" t="s">
        <v>10176</v>
      </c>
      <c r="C9009" s="31" t="s">
        <v>10177</v>
      </c>
      <c r="D9009" s="34"/>
      <c r="E9009" s="34">
        <v>0</v>
      </c>
      <c r="F9009" s="34">
        <v>0</v>
      </c>
      <c r="G9009" s="34">
        <v>291193201.37</v>
      </c>
      <c r="H9009" s="34"/>
      <c r="I9009" s="34">
        <f>E9009 - F9009 + G9009</f>
        <v>291193201.37</v>
      </c>
      <c r="K9009" t="s">
        <v>38</v>
      </c>
    </row>
    <row r="9010" spans="2:11" ht="16.5" x14ac:dyDescent="0.2">
      <c r="B9010" s="31" t="s">
        <v>10178</v>
      </c>
      <c r="C9010" s="31" t="s">
        <v>10179</v>
      </c>
      <c r="D9010" s="34">
        <v>0</v>
      </c>
      <c r="E9010" s="34"/>
      <c r="F9010" s="34">
        <v>301544315.07999998</v>
      </c>
      <c r="G9010" s="34">
        <v>301544315.07999998</v>
      </c>
      <c r="H9010" s="34">
        <f>D9010 + F9010 - G9010</f>
        <v>0</v>
      </c>
      <c r="I9010" s="34"/>
      <c r="K9010" t="s">
        <v>38</v>
      </c>
    </row>
    <row r="9011" spans="2:11" ht="16.5" x14ac:dyDescent="0.2">
      <c r="B9011" s="31" t="s">
        <v>10180</v>
      </c>
      <c r="C9011" s="31" t="s">
        <v>10181</v>
      </c>
      <c r="D9011" s="34"/>
      <c r="E9011" s="34">
        <v>0</v>
      </c>
      <c r="F9011" s="34">
        <v>0</v>
      </c>
      <c r="G9011" s="34">
        <v>10351113.710000001</v>
      </c>
      <c r="H9011" s="34"/>
      <c r="I9011" s="34">
        <f>E9011 - F9011 + G9011</f>
        <v>10351113.710000001</v>
      </c>
      <c r="K9011" t="s">
        <v>38</v>
      </c>
    </row>
    <row r="9012" spans="2:11" ht="16.5" x14ac:dyDescent="0.2">
      <c r="B9012" s="31" t="s">
        <v>10182</v>
      </c>
      <c r="C9012" s="31" t="s">
        <v>10183</v>
      </c>
      <c r="D9012" s="34">
        <v>0</v>
      </c>
      <c r="E9012" s="34"/>
      <c r="F9012" s="34">
        <v>301544315.07999998</v>
      </c>
      <c r="G9012" s="34">
        <v>301544315.07999998</v>
      </c>
      <c r="H9012" s="34">
        <f>D9012 + F9012 - G9012</f>
        <v>0</v>
      </c>
      <c r="I9012" s="34"/>
      <c r="K9012" t="s">
        <v>38</v>
      </c>
    </row>
    <row r="9013" spans="2:11" ht="16.5" x14ac:dyDescent="0.2">
      <c r="B9013" s="31" t="s">
        <v>10184</v>
      </c>
      <c r="C9013" s="31" t="s">
        <v>10185</v>
      </c>
      <c r="D9013" s="34">
        <v>0</v>
      </c>
      <c r="E9013" s="34"/>
      <c r="F9013" s="34">
        <v>301544315.07999998</v>
      </c>
      <c r="G9013" s="34">
        <v>301544315.07999998</v>
      </c>
      <c r="H9013" s="34">
        <f>D9013 + F9013 - G9013</f>
        <v>0</v>
      </c>
      <c r="I9013" s="34"/>
      <c r="K9013" t="s">
        <v>38</v>
      </c>
    </row>
    <row r="9014" spans="2:11" ht="16.5" x14ac:dyDescent="0.2">
      <c r="B9014" s="31" t="s">
        <v>10186</v>
      </c>
      <c r="C9014" s="31" t="s">
        <v>10187</v>
      </c>
      <c r="D9014" s="34">
        <v>0</v>
      </c>
      <c r="E9014" s="34"/>
      <c r="F9014" s="34">
        <v>301544315.07999998</v>
      </c>
      <c r="G9014" s="34">
        <v>301544315.07999998</v>
      </c>
      <c r="H9014" s="34">
        <f>D9014 + F9014 - G9014</f>
        <v>0</v>
      </c>
      <c r="I9014" s="34"/>
      <c r="K9014" t="s">
        <v>38</v>
      </c>
    </row>
    <row r="9015" spans="2:11" ht="12.75" x14ac:dyDescent="0.2">
      <c r="B9015" s="31" t="s">
        <v>10188</v>
      </c>
      <c r="C9015" s="31" t="s">
        <v>10189</v>
      </c>
      <c r="D9015" s="34">
        <v>0</v>
      </c>
      <c r="E9015" s="34"/>
      <c r="F9015" s="34">
        <v>301544315.07999998</v>
      </c>
      <c r="G9015" s="34">
        <v>0</v>
      </c>
      <c r="H9015" s="34">
        <f>D9015 + F9015 - G9015</f>
        <v>301544315.07999998</v>
      </c>
      <c r="I9015" s="34"/>
      <c r="K9015" t="s">
        <v>38</v>
      </c>
    </row>
    <row r="9017" spans="2:11" x14ac:dyDescent="0.2">
      <c r="D9017" s="36">
        <f>SUMIF(K12:K9015,"=0",D12:D9015)</f>
        <v>88824567.560000002</v>
      </c>
      <c r="E9017" s="36">
        <f>SUMIF(K12:K9015,"=0",E12:E9015)</f>
        <v>88824567.559999987</v>
      </c>
      <c r="F9017" s="36">
        <f>SUMIF(K12:K9015,"=0",F12:F9015)</f>
        <v>3796199268.4900012</v>
      </c>
      <c r="G9017" s="36">
        <f>SUMIF(K12:K9015,"=0",G12:G9015)</f>
        <v>3796199268.4899998</v>
      </c>
      <c r="H9017" s="36">
        <f>SUMIF(K12:K9015,"=0",H12:H9015)</f>
        <v>996684309.76000047</v>
      </c>
      <c r="I9017" s="36">
        <f>SUMIF(K12:K9015,"=0",I12:I9015)</f>
        <v>996684309.76000011</v>
      </c>
    </row>
    <row r="9021" spans="2:11" x14ac:dyDescent="0.2">
      <c r="B9021" s="32" t="str">
        <f>IF(AND(ROUND(D9017, 2)=ROUND(E9017, 2), ROUND(F9017, 2)=ROUND(G9017, 2), ROUND(H9017,2)=ROUND(I9017,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10:E10"/>
    <mergeCell ref="F10:G10"/>
    <mergeCell ref="H10:I10"/>
    <mergeCell ref="D9:E9"/>
    <mergeCell ref="F9:G9"/>
    <mergeCell ref="H9:I9"/>
    <mergeCell ref="B7:I7"/>
    <mergeCell ref="B2:I2"/>
    <mergeCell ref="B3:I3"/>
    <mergeCell ref="B4:I4"/>
    <mergeCell ref="B5:I5"/>
    <mergeCell ref="B6:I6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DE903-BFA1-4625-A959-18F180CA9E13}">
  <dimension ref="A1:K6468"/>
  <sheetViews>
    <sheetView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81" customWidth="1" collapsed="1"/>
    <col min="2" max="2" width="16.42578125" style="81" customWidth="1" collapsed="1"/>
    <col min="3" max="3" width="23" style="86" customWidth="1" collapsed="1"/>
    <col min="4" max="6" width="13.28515625" style="89" customWidth="1" collapsed="1"/>
    <col min="7" max="7" width="13.28515625" style="81" customWidth="1" collapsed="1"/>
    <col min="8" max="8" width="13.28515625" style="86" customWidth="1" collapsed="1"/>
    <col min="9" max="9" width="13.28515625" style="89" customWidth="1" collapsed="1"/>
    <col min="10" max="10" width="0.7109375" style="81" customWidth="1" collapsed="1"/>
    <col min="11" max="11" width="13.7109375" style="81" hidden="1" customWidth="1" collapsed="1"/>
    <col min="12" max="13" width="0" style="81" hidden="1" customWidth="1" collapsed="1"/>
    <col min="14" max="16384" width="9.140625" style="81" collapsed="1"/>
  </cols>
  <sheetData>
    <row r="1" spans="1:11" s="51" customFormat="1" ht="5.25" customHeight="1" x14ac:dyDescent="0.2">
      <c r="A1" s="47"/>
      <c r="B1" s="48"/>
      <c r="C1" s="49"/>
      <c r="D1" s="50"/>
      <c r="E1" s="50"/>
      <c r="F1" s="50"/>
      <c r="G1" s="48"/>
      <c r="H1" s="49"/>
      <c r="I1" s="50"/>
      <c r="J1" s="47"/>
    </row>
    <row r="2" spans="1:11" s="54" customFormat="1" ht="13.5" customHeight="1" x14ac:dyDescent="0.2">
      <c r="A2" s="52"/>
      <c r="B2" s="53" t="s">
        <v>7</v>
      </c>
      <c r="C2" s="53"/>
      <c r="D2" s="53"/>
      <c r="E2" s="53"/>
      <c r="F2" s="53"/>
      <c r="G2" s="53"/>
      <c r="H2" s="53"/>
      <c r="I2" s="53"/>
      <c r="J2" s="52"/>
    </row>
    <row r="3" spans="1:11" s="57" customFormat="1" ht="13.5" customHeight="1" x14ac:dyDescent="0.2">
      <c r="A3" s="55"/>
      <c r="B3" s="56" t="s">
        <v>8</v>
      </c>
      <c r="C3" s="56"/>
      <c r="D3" s="56"/>
      <c r="E3" s="56"/>
      <c r="F3" s="56"/>
      <c r="G3" s="56"/>
      <c r="H3" s="56"/>
      <c r="I3" s="56"/>
      <c r="J3" s="55"/>
    </row>
    <row r="4" spans="1:11" s="57" customFormat="1" ht="13.5" customHeight="1" x14ac:dyDescent="0.2">
      <c r="A4" s="55"/>
      <c r="B4" s="58" t="s">
        <v>282</v>
      </c>
      <c r="C4" s="58"/>
      <c r="D4" s="58"/>
      <c r="E4" s="58"/>
      <c r="F4" s="58"/>
      <c r="G4" s="58"/>
      <c r="H4" s="58"/>
      <c r="I4" s="58"/>
      <c r="J4" s="55"/>
    </row>
    <row r="5" spans="1:11" s="57" customFormat="1" ht="13.5" customHeight="1" x14ac:dyDescent="0.2">
      <c r="A5" s="55"/>
      <c r="B5" s="58" t="s">
        <v>10</v>
      </c>
      <c r="C5" s="58"/>
      <c r="D5" s="58"/>
      <c r="E5" s="58"/>
      <c r="F5" s="58"/>
      <c r="G5" s="58"/>
      <c r="H5" s="58"/>
      <c r="I5" s="58"/>
      <c r="J5" s="55"/>
    </row>
    <row r="6" spans="1:11" s="54" customFormat="1" ht="13.5" customHeight="1" x14ac:dyDescent="0.2">
      <c r="A6" s="52"/>
      <c r="B6" s="59" t="s">
        <v>11</v>
      </c>
      <c r="C6" s="59"/>
      <c r="D6" s="59"/>
      <c r="E6" s="59"/>
      <c r="F6" s="59"/>
      <c r="G6" s="59"/>
      <c r="H6" s="59"/>
      <c r="I6" s="59"/>
      <c r="J6" s="52"/>
    </row>
    <row r="7" spans="1:11" s="54" customFormat="1" ht="13.5" customHeight="1" x14ac:dyDescent="0.2">
      <c r="A7" s="52"/>
      <c r="B7" s="58"/>
      <c r="C7" s="58"/>
      <c r="D7" s="58"/>
      <c r="E7" s="58"/>
      <c r="F7" s="58"/>
      <c r="G7" s="58"/>
      <c r="H7" s="58"/>
      <c r="I7" s="58"/>
      <c r="J7" s="52"/>
    </row>
    <row r="8" spans="1:11" s="54" customFormat="1" ht="8.25" customHeight="1" x14ac:dyDescent="0.2">
      <c r="B8" s="60"/>
      <c r="C8" s="60"/>
      <c r="D8" s="60"/>
      <c r="E8" s="60"/>
      <c r="F8" s="60"/>
      <c r="G8" s="60"/>
      <c r="H8" s="60"/>
      <c r="I8" s="60"/>
    </row>
    <row r="9" spans="1:11" s="54" customFormat="1" ht="12.75" x14ac:dyDescent="0.2">
      <c r="A9" s="61"/>
      <c r="B9" s="62"/>
      <c r="C9" s="62"/>
      <c r="D9" s="63" t="s">
        <v>6</v>
      </c>
      <c r="E9" s="64"/>
      <c r="F9" s="63" t="s">
        <v>5</v>
      </c>
      <c r="G9" s="64"/>
      <c r="H9" s="65" t="s">
        <v>4</v>
      </c>
      <c r="I9" s="65"/>
      <c r="J9" s="66"/>
    </row>
    <row r="10" spans="1:11" s="54" customFormat="1" ht="12.75" x14ac:dyDescent="0.2">
      <c r="A10" s="67"/>
      <c r="B10" s="68" t="s">
        <v>2</v>
      </c>
      <c r="C10" s="69" t="s">
        <v>3</v>
      </c>
      <c r="D10" s="70" t="s">
        <v>12</v>
      </c>
      <c r="E10" s="71"/>
      <c r="F10" s="70" t="s">
        <v>13</v>
      </c>
      <c r="G10" s="71"/>
      <c r="H10" s="72" t="s">
        <v>14</v>
      </c>
      <c r="I10" s="72"/>
      <c r="J10" s="73"/>
    </row>
    <row r="11" spans="1:11" x14ac:dyDescent="0.15">
      <c r="A11" s="74"/>
      <c r="B11" s="75"/>
      <c r="C11" s="76"/>
      <c r="D11" s="77" t="s">
        <v>0</v>
      </c>
      <c r="E11" s="78" t="s">
        <v>1</v>
      </c>
      <c r="F11" s="77" t="s">
        <v>0</v>
      </c>
      <c r="G11" s="78" t="s">
        <v>1</v>
      </c>
      <c r="H11" s="79" t="s">
        <v>0</v>
      </c>
      <c r="I11" s="79" t="s">
        <v>1</v>
      </c>
      <c r="J11" s="80"/>
    </row>
    <row r="12" spans="1:11" ht="12.75" x14ac:dyDescent="0.2">
      <c r="B12" s="82" t="s">
        <v>15</v>
      </c>
      <c r="C12" s="82" t="s">
        <v>16</v>
      </c>
      <c r="D12" s="83">
        <f>SUMIFS(D13:D6462,K13:K6462,"0",B13:B6462,"1*")-SUMIFS(E13:E6462,K13:K6462,"0",B13:B6462,"1*")</f>
        <v>8473202.4799999986</v>
      </c>
      <c r="E12" s="54"/>
      <c r="F12" s="83">
        <f>SUMIFS(F13:F6462,K13:K6462,"0",B13:B6462,"1*")</f>
        <v>312079666.42000002</v>
      </c>
      <c r="G12" s="83">
        <f>SUMIFS(G13:G6462,K13:K6462,"0",B13:B6462,"1*")</f>
        <v>316647773.61999995</v>
      </c>
      <c r="H12" s="83">
        <f t="shared" ref="H12:H75" si="0">D12 + F12 - G12</f>
        <v>3905095.2800000906</v>
      </c>
      <c r="I12" s="83"/>
      <c r="K12" s="54" t="s">
        <v>15</v>
      </c>
    </row>
    <row r="13" spans="1:11" ht="12.75" x14ac:dyDescent="0.2">
      <c r="B13" s="82" t="s">
        <v>17</v>
      </c>
      <c r="C13" s="82" t="s">
        <v>18</v>
      </c>
      <c r="D13" s="83">
        <f>SUMIFS(D14:D6462,K14:K6462,"0",B14:B6462,"1 1*")-SUMIFS(E14:E6462,K14:K6462,"0",B14:B6462,"1 1*")</f>
        <v>4225021.63</v>
      </c>
      <c r="E13" s="54"/>
      <c r="F13" s="83">
        <f>SUMIFS(F14:F6462,K14:K6462,"0",B14:B6462,"1 1*")</f>
        <v>309885266.71999997</v>
      </c>
      <c r="G13" s="83">
        <f>SUMIFS(G14:G6462,K14:K6462,"0",B14:B6462,"1 1*")</f>
        <v>309734449.29999995</v>
      </c>
      <c r="H13" s="83">
        <f t="shared" si="0"/>
        <v>4375839.0500000119</v>
      </c>
      <c r="I13" s="83"/>
      <c r="K13" s="54" t="s">
        <v>15</v>
      </c>
    </row>
    <row r="14" spans="1:11" ht="12.75" x14ac:dyDescent="0.2">
      <c r="B14" s="82" t="s">
        <v>19</v>
      </c>
      <c r="C14" s="82" t="s">
        <v>20</v>
      </c>
      <c r="D14" s="83">
        <f>SUMIFS(D15:D6462,K15:K6462,"0",B15:B6462,"1 1 1*")-SUMIFS(E15:E6462,K15:K6462,"0",B15:B6462,"1 1 1*")</f>
        <v>45055.67</v>
      </c>
      <c r="E14" s="54"/>
      <c r="F14" s="83">
        <f>SUMIFS(F15:F6462,K15:K6462,"0",B15:B6462,"1 1 1*")</f>
        <v>112895744.41000001</v>
      </c>
      <c r="G14" s="83">
        <f>SUMIFS(G15:G6462,K15:K6462,"0",B15:B6462,"1 1 1*")</f>
        <v>112949546.18000001</v>
      </c>
      <c r="H14" s="83">
        <f t="shared" si="0"/>
        <v>-8746.0999999940395</v>
      </c>
      <c r="I14" s="83"/>
      <c r="K14" s="54" t="s">
        <v>15</v>
      </c>
    </row>
    <row r="15" spans="1:11" ht="12.75" x14ac:dyDescent="0.2">
      <c r="B15" s="82" t="s">
        <v>21</v>
      </c>
      <c r="C15" s="82" t="s">
        <v>22</v>
      </c>
      <c r="D15" s="83">
        <f>SUMIFS(D16:D6462,K16:K6462,"0",B16:B6462,"1 1 1 1*")-SUMIFS(E16:E6462,K16:K6462,"0",B16:B6462,"1 1 1 1*")</f>
        <v>-34784</v>
      </c>
      <c r="E15" s="54"/>
      <c r="F15" s="83">
        <f>SUMIFS(F16:F6462,K16:K6462,"0",B16:B6462,"1 1 1 1*")</f>
        <v>0</v>
      </c>
      <c r="G15" s="83">
        <f>SUMIFS(G16:G6462,K16:K6462,"0",B16:B6462,"1 1 1 1*")</f>
        <v>0</v>
      </c>
      <c r="H15" s="83">
        <f t="shared" si="0"/>
        <v>-34784</v>
      </c>
      <c r="I15" s="83"/>
      <c r="K15" s="54" t="s">
        <v>15</v>
      </c>
    </row>
    <row r="16" spans="1:11" ht="12.75" x14ac:dyDescent="0.2">
      <c r="B16" s="82" t="s">
        <v>23</v>
      </c>
      <c r="C16" s="82" t="s">
        <v>24</v>
      </c>
      <c r="D16" s="83">
        <f>SUMIFS(D17:D6462,K17:K6462,"0",B17:B6462,"1 1 1 1 1*")-SUMIFS(E17:E6462,K17:K6462,"0",B17:B6462,"1 1 1 1 1*")</f>
        <v>-34784</v>
      </c>
      <c r="E16" s="54"/>
      <c r="F16" s="83">
        <f>SUMIFS(F17:F6462,K17:K6462,"0",B17:B6462,"1 1 1 1 1*")</f>
        <v>0</v>
      </c>
      <c r="G16" s="83">
        <f>SUMIFS(G17:G6462,K17:K6462,"0",B17:B6462,"1 1 1 1 1*")</f>
        <v>0</v>
      </c>
      <c r="H16" s="83">
        <f t="shared" si="0"/>
        <v>-34784</v>
      </c>
      <c r="I16" s="83"/>
      <c r="K16" s="54" t="s">
        <v>15</v>
      </c>
    </row>
    <row r="17" spans="2:11" ht="12.75" x14ac:dyDescent="0.2">
      <c r="B17" s="82" t="s">
        <v>25</v>
      </c>
      <c r="C17" s="82" t="s">
        <v>26</v>
      </c>
      <c r="D17" s="83">
        <f>SUMIFS(D18:D6462,K18:K6462,"0",B18:B6462,"1 1 1 1 1 12*")-SUMIFS(E18:E6462,K18:K6462,"0",B18:B6462,"1 1 1 1 1 12*")</f>
        <v>-34784</v>
      </c>
      <c r="E17" s="54"/>
      <c r="F17" s="83">
        <f>SUMIFS(F18:F6462,K18:K6462,"0",B18:B6462,"1 1 1 1 1 12*")</f>
        <v>0</v>
      </c>
      <c r="G17" s="83">
        <f>SUMIFS(G18:G6462,K18:K6462,"0",B18:B6462,"1 1 1 1 1 12*")</f>
        <v>0</v>
      </c>
      <c r="H17" s="83">
        <f t="shared" si="0"/>
        <v>-34784</v>
      </c>
      <c r="I17" s="83"/>
      <c r="K17" s="54" t="s">
        <v>15</v>
      </c>
    </row>
    <row r="18" spans="2:11" ht="16.5" x14ac:dyDescent="0.2">
      <c r="B18" s="82" t="s">
        <v>27</v>
      </c>
      <c r="C18" s="82" t="s">
        <v>28</v>
      </c>
      <c r="D18" s="83">
        <f>SUMIFS(D19:D6462,K19:K6462,"0",B19:B6462,"1 1 1 1 1 12 31111*")-SUMIFS(E19:E6462,K19:K6462,"0",B19:B6462,"1 1 1 1 1 12 31111*")</f>
        <v>-34784</v>
      </c>
      <c r="E18" s="54"/>
      <c r="F18" s="83">
        <f>SUMIFS(F19:F6462,K19:K6462,"0",B19:B6462,"1 1 1 1 1 12 31111*")</f>
        <v>0</v>
      </c>
      <c r="G18" s="83">
        <f>SUMIFS(G19:G6462,K19:K6462,"0",B19:B6462,"1 1 1 1 1 12 31111*")</f>
        <v>0</v>
      </c>
      <c r="H18" s="83">
        <f t="shared" si="0"/>
        <v>-34784</v>
      </c>
      <c r="I18" s="83"/>
      <c r="K18" s="54" t="s">
        <v>15</v>
      </c>
    </row>
    <row r="19" spans="2:11" ht="12.75" x14ac:dyDescent="0.2">
      <c r="B19" s="82" t="s">
        <v>29</v>
      </c>
      <c r="C19" s="82" t="s">
        <v>30</v>
      </c>
      <c r="D19" s="83">
        <f>SUMIFS(D20:D6462,K20:K6462,"0",B20:B6462,"1 1 1 1 1 12 31111 6*")-SUMIFS(E20:E6462,K20:K6462,"0",B20:B6462,"1 1 1 1 1 12 31111 6*")</f>
        <v>-34784</v>
      </c>
      <c r="E19" s="54"/>
      <c r="F19" s="83">
        <f>SUMIFS(F20:F6462,K20:K6462,"0",B20:B6462,"1 1 1 1 1 12 31111 6*")</f>
        <v>0</v>
      </c>
      <c r="G19" s="83">
        <f>SUMIFS(G20:G6462,K20:K6462,"0",B20:B6462,"1 1 1 1 1 12 31111 6*")</f>
        <v>0</v>
      </c>
      <c r="H19" s="83">
        <f t="shared" si="0"/>
        <v>-34784</v>
      </c>
      <c r="I19" s="83"/>
      <c r="K19" s="54" t="s">
        <v>15</v>
      </c>
    </row>
    <row r="20" spans="2:11" ht="12.75" x14ac:dyDescent="0.2">
      <c r="B20" s="82" t="s">
        <v>31</v>
      </c>
      <c r="C20" s="82" t="s">
        <v>32</v>
      </c>
      <c r="D20" s="83">
        <f>SUMIFS(D21:D6462,K21:K6462,"0",B21:B6462,"1 1 1 1 1 12 31111 6 M59*")-SUMIFS(E21:E6462,K21:K6462,"0",B21:B6462,"1 1 1 1 1 12 31111 6 M59*")</f>
        <v>-34784</v>
      </c>
      <c r="E20" s="54"/>
      <c r="F20" s="83">
        <f>SUMIFS(F21:F6462,K21:K6462,"0",B21:B6462,"1 1 1 1 1 12 31111 6 M59*")</f>
        <v>0</v>
      </c>
      <c r="G20" s="83">
        <f>SUMIFS(G21:G6462,K21:K6462,"0",B21:B6462,"1 1 1 1 1 12 31111 6 M59*")</f>
        <v>0</v>
      </c>
      <c r="H20" s="83">
        <f t="shared" si="0"/>
        <v>-34784</v>
      </c>
      <c r="I20" s="83"/>
      <c r="K20" s="54" t="s">
        <v>15</v>
      </c>
    </row>
    <row r="21" spans="2:11" ht="16.5" x14ac:dyDescent="0.2">
      <c r="B21" s="82" t="s">
        <v>33</v>
      </c>
      <c r="C21" s="82" t="s">
        <v>34</v>
      </c>
      <c r="D21" s="83">
        <f>SUMIFS(D22:D6462,K22:K6462,"0",B22:B6462,"1 1 1 1 1 12 31111 6 M59 00001*")-SUMIFS(E22:E6462,K22:K6462,"0",B22:B6462,"1 1 1 1 1 12 31111 6 M59 00001*")</f>
        <v>-34784</v>
      </c>
      <c r="E21" s="54"/>
      <c r="F21" s="83">
        <f>SUMIFS(F22:F6462,K22:K6462,"0",B22:B6462,"1 1 1 1 1 12 31111 6 M59 00001*")</f>
        <v>0</v>
      </c>
      <c r="G21" s="83">
        <f>SUMIFS(G22:G6462,K22:K6462,"0",B22:B6462,"1 1 1 1 1 12 31111 6 M59 00001*")</f>
        <v>0</v>
      </c>
      <c r="H21" s="83">
        <f t="shared" si="0"/>
        <v>-34784</v>
      </c>
      <c r="I21" s="83"/>
      <c r="K21" s="54" t="s">
        <v>15</v>
      </c>
    </row>
    <row r="22" spans="2:11" ht="16.5" x14ac:dyDescent="0.2">
      <c r="B22" s="82" t="s">
        <v>35</v>
      </c>
      <c r="C22" s="82" t="s">
        <v>36</v>
      </c>
      <c r="D22" s="83">
        <f>SUMIFS(D23:D6462,K23:K6462,"0",B23:B6462,"1 1 1 1 1 12 31111 6 M59 00001 000045*")-SUMIFS(E23:E6462,K23:K6462,"0",B23:B6462,"1 1 1 1 1 12 31111 6 M59 00001 000045*")</f>
        <v>-34784</v>
      </c>
      <c r="E22" s="54"/>
      <c r="F22" s="83">
        <f>SUMIFS(F23:F6462,K23:K6462,"0",B23:B6462,"1 1 1 1 1 12 31111 6 M59 00001 000045*")</f>
        <v>0</v>
      </c>
      <c r="G22" s="83">
        <f>SUMIFS(G23:G6462,K23:K6462,"0",B23:B6462,"1 1 1 1 1 12 31111 6 M59 00001 000045*")</f>
        <v>0</v>
      </c>
      <c r="H22" s="83">
        <f t="shared" si="0"/>
        <v>-34784</v>
      </c>
      <c r="I22" s="83"/>
      <c r="K22" s="54" t="s">
        <v>15</v>
      </c>
    </row>
    <row r="23" spans="2:11" ht="16.5" x14ac:dyDescent="0.2">
      <c r="B23" s="84" t="s">
        <v>37</v>
      </c>
      <c r="C23" s="84" t="s">
        <v>24</v>
      </c>
      <c r="D23" s="85">
        <v>-34784</v>
      </c>
      <c r="E23" s="85"/>
      <c r="F23" s="85">
        <v>0</v>
      </c>
      <c r="G23" s="85">
        <v>0</v>
      </c>
      <c r="H23" s="85">
        <f t="shared" si="0"/>
        <v>-34784</v>
      </c>
      <c r="I23" s="85"/>
      <c r="K23" s="54" t="s">
        <v>38</v>
      </c>
    </row>
    <row r="24" spans="2:11" ht="12.75" x14ac:dyDescent="0.2">
      <c r="B24" s="82" t="s">
        <v>50</v>
      </c>
      <c r="C24" s="82" t="s">
        <v>51</v>
      </c>
      <c r="D24" s="83">
        <f>SUMIFS(D25:D6462,K25:K6462,"0",B25:B6462,"1 1 1 2*")-SUMIFS(E25:E6462,K25:K6462,"0",B25:B6462,"1 1 1 2*")</f>
        <v>79839.67</v>
      </c>
      <c r="E24" s="54"/>
      <c r="F24" s="83">
        <f>SUMIFS(F25:F6462,K25:K6462,"0",B25:B6462,"1 1 1 2*")</f>
        <v>112895744.41000001</v>
      </c>
      <c r="G24" s="83">
        <f>SUMIFS(G25:G6462,K25:K6462,"0",B25:B6462,"1 1 1 2*")</f>
        <v>112949546.18000001</v>
      </c>
      <c r="H24" s="83">
        <f t="shared" si="0"/>
        <v>26037.90000000596</v>
      </c>
      <c r="I24" s="83"/>
      <c r="K24" s="54" t="s">
        <v>15</v>
      </c>
    </row>
    <row r="25" spans="2:11" ht="12.75" x14ac:dyDescent="0.2">
      <c r="B25" s="82" t="s">
        <v>52</v>
      </c>
      <c r="C25" s="82" t="s">
        <v>53</v>
      </c>
      <c r="D25" s="83">
        <f>SUMIFS(D26:D6462,K26:K6462,"0",B26:B6462,"1 1 1 2 1*")-SUMIFS(E26:E6462,K26:K6462,"0",B26:B6462,"1 1 1 2 1*")</f>
        <v>79839.67</v>
      </c>
      <c r="E25" s="54"/>
      <c r="F25" s="83">
        <f>SUMIFS(F26:F6462,K26:K6462,"0",B26:B6462,"1 1 1 2 1*")</f>
        <v>112895744.41000001</v>
      </c>
      <c r="G25" s="83">
        <f>SUMIFS(G26:G6462,K26:K6462,"0",B26:B6462,"1 1 1 2 1*")</f>
        <v>112949546.18000001</v>
      </c>
      <c r="H25" s="83">
        <f t="shared" si="0"/>
        <v>26037.90000000596</v>
      </c>
      <c r="I25" s="83"/>
      <c r="K25" s="54" t="s">
        <v>15</v>
      </c>
    </row>
    <row r="26" spans="2:11" ht="12.75" x14ac:dyDescent="0.2">
      <c r="B26" s="82" t="s">
        <v>54</v>
      </c>
      <c r="C26" s="82" t="s">
        <v>26</v>
      </c>
      <c r="D26" s="83">
        <f>SUMIFS(D27:D6462,K27:K6462,"0",B27:B6462,"1 1 1 2 1 12*")-SUMIFS(E27:E6462,K27:K6462,"0",B27:B6462,"1 1 1 2 1 12*")</f>
        <v>79839.67</v>
      </c>
      <c r="E26" s="54"/>
      <c r="F26" s="83">
        <f>SUMIFS(F27:F6462,K27:K6462,"0",B27:B6462,"1 1 1 2 1 12*")</f>
        <v>112895744.41000001</v>
      </c>
      <c r="G26" s="83">
        <f>SUMIFS(G27:G6462,K27:K6462,"0",B27:B6462,"1 1 1 2 1 12*")</f>
        <v>112949546.18000001</v>
      </c>
      <c r="H26" s="83">
        <f t="shared" si="0"/>
        <v>26037.90000000596</v>
      </c>
      <c r="I26" s="83"/>
      <c r="K26" s="54" t="s">
        <v>15</v>
      </c>
    </row>
    <row r="27" spans="2:11" ht="16.5" x14ac:dyDescent="0.2">
      <c r="B27" s="82" t="s">
        <v>55</v>
      </c>
      <c r="C27" s="82" t="s">
        <v>28</v>
      </c>
      <c r="D27" s="83">
        <f>SUMIFS(D28:D6462,K28:K6462,"0",B28:B6462,"1 1 1 2 1 12 31111*")-SUMIFS(E28:E6462,K28:K6462,"0",B28:B6462,"1 1 1 2 1 12 31111*")</f>
        <v>79839.67</v>
      </c>
      <c r="E27" s="54"/>
      <c r="F27" s="83">
        <f>SUMIFS(F28:F6462,K28:K6462,"0",B28:B6462,"1 1 1 2 1 12 31111*")</f>
        <v>112895744.41000001</v>
      </c>
      <c r="G27" s="83">
        <f>SUMIFS(G28:G6462,K28:K6462,"0",B28:B6462,"1 1 1 2 1 12 31111*")</f>
        <v>112949546.18000001</v>
      </c>
      <c r="H27" s="83">
        <f t="shared" si="0"/>
        <v>26037.90000000596</v>
      </c>
      <c r="I27" s="83"/>
      <c r="K27" s="54" t="s">
        <v>15</v>
      </c>
    </row>
    <row r="28" spans="2:11" ht="12.75" x14ac:dyDescent="0.2">
      <c r="B28" s="82" t="s">
        <v>56</v>
      </c>
      <c r="C28" s="82" t="s">
        <v>30</v>
      </c>
      <c r="D28" s="83">
        <f>SUMIFS(D29:D6462,K29:K6462,"0",B29:B6462,"1 1 1 2 1 12 31111 6*")-SUMIFS(E29:E6462,K29:K6462,"0",B29:B6462,"1 1 1 2 1 12 31111 6*")</f>
        <v>79839.67</v>
      </c>
      <c r="E28" s="54"/>
      <c r="F28" s="83">
        <f>SUMIFS(F29:F6462,K29:K6462,"0",B29:B6462,"1 1 1 2 1 12 31111 6*")</f>
        <v>112895744.41000001</v>
      </c>
      <c r="G28" s="83">
        <f>SUMIFS(G29:G6462,K29:K6462,"0",B29:B6462,"1 1 1 2 1 12 31111 6*")</f>
        <v>112949546.18000001</v>
      </c>
      <c r="H28" s="83">
        <f t="shared" si="0"/>
        <v>26037.90000000596</v>
      </c>
      <c r="I28" s="83"/>
      <c r="K28" s="54" t="s">
        <v>15</v>
      </c>
    </row>
    <row r="29" spans="2:11" ht="12.75" x14ac:dyDescent="0.2">
      <c r="B29" s="82" t="s">
        <v>57</v>
      </c>
      <c r="C29" s="82" t="s">
        <v>32</v>
      </c>
      <c r="D29" s="83">
        <f>SUMIFS(D30:D6462,K30:K6462,"0",B30:B6462,"1 1 1 2 1 12 31111 6 M59*")-SUMIFS(E30:E6462,K30:K6462,"0",B30:B6462,"1 1 1 2 1 12 31111 6 M59*")</f>
        <v>79839.67</v>
      </c>
      <c r="E29" s="54"/>
      <c r="F29" s="83">
        <f>SUMIFS(F30:F6462,K30:K6462,"0",B30:B6462,"1 1 1 2 1 12 31111 6 M59*")</f>
        <v>112895744.41000001</v>
      </c>
      <c r="G29" s="83">
        <f>SUMIFS(G30:G6462,K30:K6462,"0",B30:B6462,"1 1 1 2 1 12 31111 6 M59*")</f>
        <v>112949546.18000001</v>
      </c>
      <c r="H29" s="83">
        <f t="shared" si="0"/>
        <v>26037.90000000596</v>
      </c>
      <c r="I29" s="83"/>
      <c r="K29" s="54" t="s">
        <v>15</v>
      </c>
    </row>
    <row r="30" spans="2:11" ht="16.5" x14ac:dyDescent="0.2">
      <c r="B30" s="82" t="s">
        <v>58</v>
      </c>
      <c r="C30" s="82" t="s">
        <v>34</v>
      </c>
      <c r="D30" s="83">
        <f>SUMIFS(D31:D6462,K31:K6462,"0",B31:B6462,"1 1 1 2 1 12 31111 6 M59 00001*")-SUMIFS(E31:E6462,K31:K6462,"0",B31:B6462,"1 1 1 2 1 12 31111 6 M59 00001*")</f>
        <v>79839.67</v>
      </c>
      <c r="E30" s="54"/>
      <c r="F30" s="83">
        <f>SUMIFS(F31:F6462,K31:K6462,"0",B31:B6462,"1 1 1 2 1 12 31111 6 M59 00001*")</f>
        <v>112895744.41000001</v>
      </c>
      <c r="G30" s="83">
        <f>SUMIFS(G31:G6462,K31:K6462,"0",B31:B6462,"1 1 1 2 1 12 31111 6 M59 00001*")</f>
        <v>112949546.18000001</v>
      </c>
      <c r="H30" s="83">
        <f t="shared" si="0"/>
        <v>26037.90000000596</v>
      </c>
      <c r="I30" s="83"/>
      <c r="K30" s="54" t="s">
        <v>15</v>
      </c>
    </row>
    <row r="31" spans="2:11" ht="16.5" x14ac:dyDescent="0.2">
      <c r="B31" s="84" t="s">
        <v>59</v>
      </c>
      <c r="C31" s="84" t="s">
        <v>60</v>
      </c>
      <c r="D31" s="85">
        <v>884.3</v>
      </c>
      <c r="E31" s="85"/>
      <c r="F31" s="85">
        <v>0</v>
      </c>
      <c r="G31" s="85">
        <v>0</v>
      </c>
      <c r="H31" s="85">
        <f t="shared" si="0"/>
        <v>884.3</v>
      </c>
      <c r="I31" s="85"/>
      <c r="K31" s="54" t="s">
        <v>38</v>
      </c>
    </row>
    <row r="32" spans="2:11" ht="16.5" x14ac:dyDescent="0.2">
      <c r="B32" s="84" t="s">
        <v>61</v>
      </c>
      <c r="C32" s="84" t="s">
        <v>62</v>
      </c>
      <c r="D32" s="85">
        <v>562.66999999999996</v>
      </c>
      <c r="E32" s="85"/>
      <c r="F32" s="85">
        <v>0</v>
      </c>
      <c r="G32" s="85">
        <v>0</v>
      </c>
      <c r="H32" s="85">
        <f t="shared" si="0"/>
        <v>562.66999999999996</v>
      </c>
      <c r="I32" s="85"/>
      <c r="K32" s="54" t="s">
        <v>38</v>
      </c>
    </row>
    <row r="33" spans="2:11" ht="16.5" x14ac:dyDescent="0.2">
      <c r="B33" s="84" t="s">
        <v>63</v>
      </c>
      <c r="C33" s="84" t="s">
        <v>64</v>
      </c>
      <c r="D33" s="85">
        <v>0</v>
      </c>
      <c r="E33" s="85"/>
      <c r="F33" s="85">
        <v>112768450.68000001</v>
      </c>
      <c r="G33" s="85">
        <v>112768450.68000001</v>
      </c>
      <c r="H33" s="85">
        <f t="shared" si="0"/>
        <v>0</v>
      </c>
      <c r="I33" s="85"/>
      <c r="K33" s="54" t="s">
        <v>38</v>
      </c>
    </row>
    <row r="34" spans="2:11" ht="16.5" x14ac:dyDescent="0.2">
      <c r="B34" s="82" t="s">
        <v>65</v>
      </c>
      <c r="C34" s="82" t="s">
        <v>36</v>
      </c>
      <c r="D34" s="83">
        <f>SUMIFS(D35:D6462,K35:K6462,"0",B35:B6462,"1 1 1 2 1 12 31111 6 M59 00001 000045*")-SUMIFS(E35:E6462,K35:K6462,"0",B35:B6462,"1 1 1 2 1 12 31111 6 M59 00001 000045*")</f>
        <v>78267.7</v>
      </c>
      <c r="E34" s="54"/>
      <c r="F34" s="83">
        <f>SUMIFS(F35:F6462,K35:K6462,"0",B35:B6462,"1 1 1 2 1 12 31111 6 M59 00001 000045*")</f>
        <v>127293.73</v>
      </c>
      <c r="G34" s="83">
        <f>SUMIFS(G35:G6462,K35:K6462,"0",B35:B6462,"1 1 1 2 1 12 31111 6 M59 00001 000045*")</f>
        <v>181095.5</v>
      </c>
      <c r="H34" s="83">
        <f t="shared" si="0"/>
        <v>24465.929999999993</v>
      </c>
      <c r="I34" s="83"/>
      <c r="K34" s="54" t="s">
        <v>15</v>
      </c>
    </row>
    <row r="35" spans="2:11" ht="16.5" x14ac:dyDescent="0.2">
      <c r="B35" s="84" t="s">
        <v>66</v>
      </c>
      <c r="C35" s="84" t="s">
        <v>67</v>
      </c>
      <c r="D35" s="85">
        <v>78267.7</v>
      </c>
      <c r="E35" s="85"/>
      <c r="F35" s="85">
        <v>127293.73</v>
      </c>
      <c r="G35" s="85">
        <v>181095.5</v>
      </c>
      <c r="H35" s="85">
        <f t="shared" si="0"/>
        <v>24465.929999999993</v>
      </c>
      <c r="I35" s="85"/>
      <c r="K35" s="54" t="s">
        <v>38</v>
      </c>
    </row>
    <row r="36" spans="2:11" ht="33" x14ac:dyDescent="0.2">
      <c r="B36" s="82" t="s">
        <v>68</v>
      </c>
      <c r="C36" s="82" t="s">
        <v>69</v>
      </c>
      <c r="D36" s="83">
        <f>SUMIFS(D37:D6462,K37:K6462,"0",B37:B6462,"1 1 1 2 1 12 31111 6 M59 00001 000107*")-SUMIFS(E37:E6462,K37:K6462,"0",B37:B6462,"1 1 1 2 1 12 31111 6 M59 00001 000107*")</f>
        <v>125</v>
      </c>
      <c r="E36" s="54"/>
      <c r="F36" s="83">
        <f>SUMIFS(F37:F6462,K37:K6462,"0",B37:B6462,"1 1 1 2 1 12 31111 6 M59 00001 000107*")</f>
        <v>0</v>
      </c>
      <c r="G36" s="83">
        <f>SUMIFS(G37:G6462,K37:K6462,"0",B37:B6462,"1 1 1 2 1 12 31111 6 M59 00001 000107*")</f>
        <v>0</v>
      </c>
      <c r="H36" s="83">
        <f t="shared" si="0"/>
        <v>125</v>
      </c>
      <c r="I36" s="83"/>
      <c r="K36" s="54" t="s">
        <v>15</v>
      </c>
    </row>
    <row r="37" spans="2:11" ht="16.5" x14ac:dyDescent="0.2">
      <c r="B37" s="84" t="s">
        <v>70</v>
      </c>
      <c r="C37" s="84" t="s">
        <v>71</v>
      </c>
      <c r="D37" s="85">
        <v>125</v>
      </c>
      <c r="E37" s="85"/>
      <c r="F37" s="85">
        <v>0</v>
      </c>
      <c r="G37" s="85">
        <v>0</v>
      </c>
      <c r="H37" s="85">
        <f t="shared" si="0"/>
        <v>125</v>
      </c>
      <c r="I37" s="85"/>
      <c r="K37" s="54" t="s">
        <v>38</v>
      </c>
    </row>
    <row r="38" spans="2:11" ht="16.5" x14ac:dyDescent="0.2">
      <c r="B38" s="82" t="s">
        <v>118</v>
      </c>
      <c r="C38" s="82" t="s">
        <v>119</v>
      </c>
      <c r="D38" s="83">
        <f>SUMIFS(D39:D6462,K39:K6462,"0",B39:B6462,"1 1 2*")-SUMIFS(E39:E6462,K39:K6462,"0",B39:B6462,"1 1 2*")</f>
        <v>428299.04000000004</v>
      </c>
      <c r="E38" s="54"/>
      <c r="F38" s="83">
        <f>SUMIFS(F39:F6462,K39:K6462,"0",B39:B6462,"1 1 2*")</f>
        <v>115576353.81999998</v>
      </c>
      <c r="G38" s="83">
        <f>SUMIFS(G39:G6462,K39:K6462,"0",B39:B6462,"1 1 2*")</f>
        <v>115929176.10999998</v>
      </c>
      <c r="H38" s="83">
        <f t="shared" si="0"/>
        <v>75476.75</v>
      </c>
      <c r="I38" s="83"/>
      <c r="K38" s="54" t="s">
        <v>15</v>
      </c>
    </row>
    <row r="39" spans="2:11" ht="16.5" x14ac:dyDescent="0.2">
      <c r="B39" s="82" t="s">
        <v>120</v>
      </c>
      <c r="C39" s="82" t="s">
        <v>121</v>
      </c>
      <c r="D39" s="83">
        <f>SUMIFS(D40:D6462,K40:K6462,"0",B40:B6462,"1 1 2 2*")-SUMIFS(E40:E6462,K40:K6462,"0",B40:B6462,"1 1 2 2*")</f>
        <v>0</v>
      </c>
      <c r="E39" s="54"/>
      <c r="F39" s="83">
        <f>SUMIFS(F40:F6462,K40:K6462,"0",B40:B6462,"1 1 2 2*")</f>
        <v>109170118.16</v>
      </c>
      <c r="G39" s="83">
        <f>SUMIFS(G40:G6462,K40:K6462,"0",B40:B6462,"1 1 2 2*")</f>
        <v>109170118.16</v>
      </c>
      <c r="H39" s="83">
        <f t="shared" si="0"/>
        <v>0</v>
      </c>
      <c r="I39" s="83"/>
      <c r="K39" s="54" t="s">
        <v>15</v>
      </c>
    </row>
    <row r="40" spans="2:11" ht="24.75" x14ac:dyDescent="0.2">
      <c r="B40" s="82" t="s">
        <v>122</v>
      </c>
      <c r="C40" s="82" t="s">
        <v>123</v>
      </c>
      <c r="D40" s="83">
        <f>SUMIFS(D41:D6462,K41:K6462,"0",B41:B6462,"1 1 2 2 1*")-SUMIFS(E41:E6462,K41:K6462,"0",B41:B6462,"1 1 2 2 1*")</f>
        <v>0</v>
      </c>
      <c r="E40" s="54"/>
      <c r="F40" s="83">
        <f>SUMIFS(F41:F6462,K41:K6462,"0",B41:B6462,"1 1 2 2 1*")</f>
        <v>109025128.16</v>
      </c>
      <c r="G40" s="83">
        <f>SUMIFS(G41:G6462,K41:K6462,"0",B41:B6462,"1 1 2 2 1*")</f>
        <v>109025128.16</v>
      </c>
      <c r="H40" s="83">
        <f t="shared" si="0"/>
        <v>0</v>
      </c>
      <c r="I40" s="83"/>
      <c r="K40" s="54" t="s">
        <v>15</v>
      </c>
    </row>
    <row r="41" spans="2:11" ht="12.75" x14ac:dyDescent="0.2">
      <c r="B41" s="82" t="s">
        <v>124</v>
      </c>
      <c r="C41" s="82" t="s">
        <v>26</v>
      </c>
      <c r="D41" s="83">
        <f>SUMIFS(D42:D6462,K42:K6462,"0",B42:B6462,"1 1 2 2 1 12*")-SUMIFS(E42:E6462,K42:K6462,"0",B42:B6462,"1 1 2 2 1 12*")</f>
        <v>0</v>
      </c>
      <c r="E41" s="54"/>
      <c r="F41" s="83">
        <f>SUMIFS(F42:F6462,K42:K6462,"0",B42:B6462,"1 1 2 2 1 12*")</f>
        <v>109025128.16</v>
      </c>
      <c r="G41" s="83">
        <f>SUMIFS(G42:G6462,K42:K6462,"0",B42:B6462,"1 1 2 2 1 12*")</f>
        <v>109025128.16</v>
      </c>
      <c r="H41" s="83">
        <f t="shared" si="0"/>
        <v>0</v>
      </c>
      <c r="I41" s="83"/>
      <c r="K41" s="54" t="s">
        <v>15</v>
      </c>
    </row>
    <row r="42" spans="2:11" ht="16.5" x14ac:dyDescent="0.2">
      <c r="B42" s="82" t="s">
        <v>125</v>
      </c>
      <c r="C42" s="82" t="s">
        <v>28</v>
      </c>
      <c r="D42" s="83">
        <f>SUMIFS(D43:D6462,K43:K6462,"0",B43:B6462,"1 1 2 2 1 12 31111*")-SUMIFS(E43:E6462,K43:K6462,"0",B43:B6462,"1 1 2 2 1 12 31111*")</f>
        <v>0</v>
      </c>
      <c r="E42" s="54"/>
      <c r="F42" s="83">
        <f>SUMIFS(F43:F6462,K43:K6462,"0",B43:B6462,"1 1 2 2 1 12 31111*")</f>
        <v>109025128.16</v>
      </c>
      <c r="G42" s="83">
        <f>SUMIFS(G43:G6462,K43:K6462,"0",B43:B6462,"1 1 2 2 1 12 31111*")</f>
        <v>109025128.16</v>
      </c>
      <c r="H42" s="83">
        <f t="shared" si="0"/>
        <v>0</v>
      </c>
      <c r="I42" s="83"/>
      <c r="K42" s="54" t="s">
        <v>15</v>
      </c>
    </row>
    <row r="43" spans="2:11" ht="12.75" x14ac:dyDescent="0.2">
      <c r="B43" s="82" t="s">
        <v>126</v>
      </c>
      <c r="C43" s="82" t="s">
        <v>30</v>
      </c>
      <c r="D43" s="83">
        <f>SUMIFS(D44:D6462,K44:K6462,"0",B44:B6462,"1 1 2 2 1 12 31111 6*")-SUMIFS(E44:E6462,K44:K6462,"0",B44:B6462,"1 1 2 2 1 12 31111 6*")</f>
        <v>0</v>
      </c>
      <c r="E43" s="54"/>
      <c r="F43" s="83">
        <f>SUMIFS(F44:F6462,K44:K6462,"0",B44:B6462,"1 1 2 2 1 12 31111 6*")</f>
        <v>109025128.16</v>
      </c>
      <c r="G43" s="83">
        <f>SUMIFS(G44:G6462,K44:K6462,"0",B44:B6462,"1 1 2 2 1 12 31111 6*")</f>
        <v>109025128.16</v>
      </c>
      <c r="H43" s="83">
        <f t="shared" si="0"/>
        <v>0</v>
      </c>
      <c r="I43" s="83"/>
      <c r="K43" s="54" t="s">
        <v>15</v>
      </c>
    </row>
    <row r="44" spans="2:11" ht="24.75" x14ac:dyDescent="0.2">
      <c r="B44" s="82" t="s">
        <v>127</v>
      </c>
      <c r="C44" s="82" t="s">
        <v>128</v>
      </c>
      <c r="D44" s="83">
        <f>SUMIFS(D45:D6462,K45:K6462,"0",B45:B6462,"1 1 2 2 1 12 31111 6 M59*")-SUMIFS(E45:E6462,K45:K6462,"0",B45:B6462,"1 1 2 2 1 12 31111 6 M59*")</f>
        <v>0</v>
      </c>
      <c r="E44" s="54"/>
      <c r="F44" s="83">
        <f>SUMIFS(F45:F6462,K45:K6462,"0",B45:B6462,"1 1 2 2 1 12 31111 6 M59*")</f>
        <v>109025128.16</v>
      </c>
      <c r="G44" s="83">
        <f>SUMIFS(G45:G6462,K45:K6462,"0",B45:B6462,"1 1 2 2 1 12 31111 6 M59*")</f>
        <v>109025128.16</v>
      </c>
      <c r="H44" s="83">
        <f t="shared" si="0"/>
        <v>0</v>
      </c>
      <c r="I44" s="83"/>
      <c r="K44" s="54" t="s">
        <v>15</v>
      </c>
    </row>
    <row r="45" spans="2:11" ht="16.5" x14ac:dyDescent="0.2">
      <c r="B45" s="82" t="s">
        <v>129</v>
      </c>
      <c r="C45" s="82" t="s">
        <v>34</v>
      </c>
      <c r="D45" s="83">
        <f>SUMIFS(D46:D6462,K46:K6462,"0",B46:B6462,"1 1 2 2 1 12 31111 6 M59 00001*")-SUMIFS(E46:E6462,K46:K6462,"0",B46:B6462,"1 1 2 2 1 12 31111 6 M59 00001*")</f>
        <v>0</v>
      </c>
      <c r="E45" s="54"/>
      <c r="F45" s="83">
        <f>SUMIFS(F46:F6462,K46:K6462,"0",B46:B6462,"1 1 2 2 1 12 31111 6 M59 00001*")</f>
        <v>109025128.16</v>
      </c>
      <c r="G45" s="83">
        <f>SUMIFS(G46:G6462,K46:K6462,"0",B46:B6462,"1 1 2 2 1 12 31111 6 M59 00001*")</f>
        <v>109025128.16</v>
      </c>
      <c r="H45" s="83">
        <f t="shared" si="0"/>
        <v>0</v>
      </c>
      <c r="I45" s="83"/>
      <c r="K45" s="54" t="s">
        <v>15</v>
      </c>
    </row>
    <row r="46" spans="2:11" ht="24.75" x14ac:dyDescent="0.2">
      <c r="B46" s="84" t="s">
        <v>130</v>
      </c>
      <c r="C46" s="84" t="s">
        <v>131</v>
      </c>
      <c r="D46" s="85">
        <v>0</v>
      </c>
      <c r="E46" s="85"/>
      <c r="F46" s="85">
        <v>109025128.16</v>
      </c>
      <c r="G46" s="85">
        <v>109025128.16</v>
      </c>
      <c r="H46" s="85">
        <f t="shared" si="0"/>
        <v>0</v>
      </c>
      <c r="I46" s="85"/>
      <c r="K46" s="54" t="s">
        <v>38</v>
      </c>
    </row>
    <row r="47" spans="2:11" ht="24.75" x14ac:dyDescent="0.2">
      <c r="B47" s="82" t="s">
        <v>159</v>
      </c>
      <c r="C47" s="82" t="s">
        <v>160</v>
      </c>
      <c r="D47" s="83">
        <f>SUMIFS(D48:D6462,K48:K6462,"0",B48:B6462,"1 1 2 2 6*")-SUMIFS(E48:E6462,K48:K6462,"0",B48:B6462,"1 1 2 2 6*")</f>
        <v>0</v>
      </c>
      <c r="E47" s="54"/>
      <c r="F47" s="83">
        <f>SUMIFS(F48:F6462,K48:K6462,"0",B48:B6462,"1 1 2 2 6*")</f>
        <v>144990</v>
      </c>
      <c r="G47" s="83">
        <f>SUMIFS(G48:G6462,K48:K6462,"0",B48:B6462,"1 1 2 2 6*")</f>
        <v>144990</v>
      </c>
      <c r="H47" s="83">
        <f t="shared" si="0"/>
        <v>0</v>
      </c>
      <c r="I47" s="83"/>
      <c r="K47" s="54" t="s">
        <v>15</v>
      </c>
    </row>
    <row r="48" spans="2:11" ht="12.75" x14ac:dyDescent="0.2">
      <c r="B48" s="82" t="s">
        <v>161</v>
      </c>
      <c r="C48" s="82" t="s">
        <v>26</v>
      </c>
      <c r="D48" s="83">
        <f>SUMIFS(D49:D6462,K49:K6462,"0",B49:B6462,"1 1 2 2 6 12*")-SUMIFS(E49:E6462,K49:K6462,"0",B49:B6462,"1 1 2 2 6 12*")</f>
        <v>0</v>
      </c>
      <c r="E48" s="54"/>
      <c r="F48" s="83">
        <f>SUMIFS(F49:F6462,K49:K6462,"0",B49:B6462,"1 1 2 2 6 12*")</f>
        <v>144990</v>
      </c>
      <c r="G48" s="83">
        <f>SUMIFS(G49:G6462,K49:K6462,"0",B49:B6462,"1 1 2 2 6 12*")</f>
        <v>144990</v>
      </c>
      <c r="H48" s="83">
        <f t="shared" si="0"/>
        <v>0</v>
      </c>
      <c r="I48" s="83"/>
      <c r="K48" s="54" t="s">
        <v>15</v>
      </c>
    </row>
    <row r="49" spans="2:11" ht="16.5" x14ac:dyDescent="0.2">
      <c r="B49" s="82" t="s">
        <v>162</v>
      </c>
      <c r="C49" s="82" t="s">
        <v>28</v>
      </c>
      <c r="D49" s="83">
        <f>SUMIFS(D50:D6462,K50:K6462,"0",B50:B6462,"1 1 2 2 6 12 31111*")-SUMIFS(E50:E6462,K50:K6462,"0",B50:B6462,"1 1 2 2 6 12 31111*")</f>
        <v>0</v>
      </c>
      <c r="E49" s="54"/>
      <c r="F49" s="83">
        <f>SUMIFS(F50:F6462,K50:K6462,"0",B50:B6462,"1 1 2 2 6 12 31111*")</f>
        <v>144990</v>
      </c>
      <c r="G49" s="83">
        <f>SUMIFS(G50:G6462,K50:K6462,"0",B50:B6462,"1 1 2 2 6 12 31111*")</f>
        <v>144990</v>
      </c>
      <c r="H49" s="83">
        <f t="shared" si="0"/>
        <v>0</v>
      </c>
      <c r="I49" s="83"/>
      <c r="K49" s="54" t="s">
        <v>15</v>
      </c>
    </row>
    <row r="50" spans="2:11" ht="12.75" x14ac:dyDescent="0.2">
      <c r="B50" s="82" t="s">
        <v>163</v>
      </c>
      <c r="C50" s="82" t="s">
        <v>30</v>
      </c>
      <c r="D50" s="83">
        <f>SUMIFS(D51:D6462,K51:K6462,"0",B51:B6462,"1 1 2 2 6 12 31111 6*")-SUMIFS(E51:E6462,K51:K6462,"0",B51:B6462,"1 1 2 2 6 12 31111 6*")</f>
        <v>0</v>
      </c>
      <c r="E50" s="54"/>
      <c r="F50" s="83">
        <f>SUMIFS(F51:F6462,K51:K6462,"0",B51:B6462,"1 1 2 2 6 12 31111 6*")</f>
        <v>144990</v>
      </c>
      <c r="G50" s="83">
        <f>SUMIFS(G51:G6462,K51:K6462,"0",B51:B6462,"1 1 2 2 6 12 31111 6*")</f>
        <v>144990</v>
      </c>
      <c r="H50" s="83">
        <f t="shared" si="0"/>
        <v>0</v>
      </c>
      <c r="I50" s="83"/>
      <c r="K50" s="54" t="s">
        <v>15</v>
      </c>
    </row>
    <row r="51" spans="2:11" ht="16.5" x14ac:dyDescent="0.2">
      <c r="B51" s="82" t="s">
        <v>164</v>
      </c>
      <c r="C51" s="82" t="s">
        <v>165</v>
      </c>
      <c r="D51" s="83">
        <f>SUMIFS(D52:D6462,K52:K6462,"0",B52:B6462,"1 1 2 2 6 12 31111 6 M59*")-SUMIFS(E52:E6462,K52:K6462,"0",B52:B6462,"1 1 2 2 6 12 31111 6 M59*")</f>
        <v>0</v>
      </c>
      <c r="E51" s="54"/>
      <c r="F51" s="83">
        <f>SUMIFS(F52:F6462,K52:K6462,"0",B52:B6462,"1 1 2 2 6 12 31111 6 M59*")</f>
        <v>144990</v>
      </c>
      <c r="G51" s="83">
        <f>SUMIFS(G52:G6462,K52:K6462,"0",B52:B6462,"1 1 2 2 6 12 31111 6 M59*")</f>
        <v>144990</v>
      </c>
      <c r="H51" s="83">
        <f t="shared" si="0"/>
        <v>0</v>
      </c>
      <c r="I51" s="83"/>
      <c r="K51" s="54" t="s">
        <v>15</v>
      </c>
    </row>
    <row r="52" spans="2:11" ht="16.5" x14ac:dyDescent="0.2">
      <c r="B52" s="82" t="s">
        <v>166</v>
      </c>
      <c r="C52" s="82" t="s">
        <v>34</v>
      </c>
      <c r="D52" s="83">
        <f>SUMIFS(D53:D6462,K53:K6462,"0",B53:B6462,"1 1 2 2 6 12 31111 6 M59 00001*")-SUMIFS(E53:E6462,K53:K6462,"0",B53:B6462,"1 1 2 2 6 12 31111 6 M59 00001*")</f>
        <v>0</v>
      </c>
      <c r="E52" s="54"/>
      <c r="F52" s="83">
        <f>SUMIFS(F53:F6462,K53:K6462,"0",B53:B6462,"1 1 2 2 6 12 31111 6 M59 00001*")</f>
        <v>144990</v>
      </c>
      <c r="G52" s="83">
        <f>SUMIFS(G53:G6462,K53:K6462,"0",B53:B6462,"1 1 2 2 6 12 31111 6 M59 00001*")</f>
        <v>144990</v>
      </c>
      <c r="H52" s="83">
        <f t="shared" si="0"/>
        <v>0</v>
      </c>
      <c r="I52" s="83"/>
      <c r="K52" s="54" t="s">
        <v>15</v>
      </c>
    </row>
    <row r="53" spans="2:11" ht="16.5" x14ac:dyDescent="0.2">
      <c r="B53" s="84" t="s">
        <v>167</v>
      </c>
      <c r="C53" s="84" t="s">
        <v>168</v>
      </c>
      <c r="D53" s="85">
        <v>0</v>
      </c>
      <c r="E53" s="85"/>
      <c r="F53" s="85">
        <v>144990</v>
      </c>
      <c r="G53" s="85">
        <v>144990</v>
      </c>
      <c r="H53" s="85">
        <f t="shared" si="0"/>
        <v>0</v>
      </c>
      <c r="I53" s="85"/>
      <c r="K53" s="54" t="s">
        <v>38</v>
      </c>
    </row>
    <row r="54" spans="2:11" ht="16.5" x14ac:dyDescent="0.2">
      <c r="B54" s="82" t="s">
        <v>169</v>
      </c>
      <c r="C54" s="82" t="s">
        <v>170</v>
      </c>
      <c r="D54" s="83">
        <f>SUMIFS(D55:D6462,K55:K6462,"0",B55:B6462,"1 1 2 3*")-SUMIFS(E55:E6462,K55:K6462,"0",B55:B6462,"1 1 2 3*")</f>
        <v>36006.89</v>
      </c>
      <c r="E54" s="54"/>
      <c r="F54" s="83">
        <f>SUMIFS(F55:F6462,K55:K6462,"0",B55:B6462,"1 1 2 3*")</f>
        <v>400657</v>
      </c>
      <c r="G54" s="83">
        <f>SUMIFS(G55:G6462,K55:K6462,"0",B55:B6462,"1 1 2 3*")</f>
        <v>850979.29</v>
      </c>
      <c r="H54" s="83">
        <f t="shared" si="0"/>
        <v>-414315.4</v>
      </c>
      <c r="I54" s="83"/>
      <c r="K54" s="54" t="s">
        <v>15</v>
      </c>
    </row>
    <row r="55" spans="2:11" ht="16.5" x14ac:dyDescent="0.2">
      <c r="B55" s="82" t="s">
        <v>171</v>
      </c>
      <c r="C55" s="82" t="s">
        <v>172</v>
      </c>
      <c r="D55" s="83">
        <f>SUMIFS(D56:D6462,K56:K6462,"0",B56:B6462,"1 1 2 3 1*")-SUMIFS(E56:E6462,K56:K6462,"0",B56:B6462,"1 1 2 3 1*")</f>
        <v>36006.89</v>
      </c>
      <c r="E55" s="54"/>
      <c r="F55" s="83">
        <f>SUMIFS(F56:F6462,K56:K6462,"0",B56:B6462,"1 1 2 3 1*")</f>
        <v>400657</v>
      </c>
      <c r="G55" s="83">
        <f>SUMIFS(G56:G6462,K56:K6462,"0",B56:B6462,"1 1 2 3 1*")</f>
        <v>850979.29</v>
      </c>
      <c r="H55" s="83">
        <f t="shared" si="0"/>
        <v>-414315.4</v>
      </c>
      <c r="I55" s="83"/>
      <c r="K55" s="54" t="s">
        <v>15</v>
      </c>
    </row>
    <row r="56" spans="2:11" ht="12.75" x14ac:dyDescent="0.2">
      <c r="B56" s="82" t="s">
        <v>173</v>
      </c>
      <c r="C56" s="82" t="s">
        <v>26</v>
      </c>
      <c r="D56" s="83">
        <f>SUMIFS(D57:D6462,K57:K6462,"0",B57:B6462,"1 1 2 3 1 12*")-SUMIFS(E57:E6462,K57:K6462,"0",B57:B6462,"1 1 2 3 1 12*")</f>
        <v>36006.89</v>
      </c>
      <c r="E56" s="54"/>
      <c r="F56" s="83">
        <f>SUMIFS(F57:F6462,K57:K6462,"0",B57:B6462,"1 1 2 3 1 12*")</f>
        <v>400657</v>
      </c>
      <c r="G56" s="83">
        <f>SUMIFS(G57:G6462,K57:K6462,"0",B57:B6462,"1 1 2 3 1 12*")</f>
        <v>850979.29</v>
      </c>
      <c r="H56" s="83">
        <f t="shared" si="0"/>
        <v>-414315.4</v>
      </c>
      <c r="I56" s="83"/>
      <c r="K56" s="54" t="s">
        <v>15</v>
      </c>
    </row>
    <row r="57" spans="2:11" ht="16.5" x14ac:dyDescent="0.2">
      <c r="B57" s="82" t="s">
        <v>174</v>
      </c>
      <c r="C57" s="82" t="s">
        <v>28</v>
      </c>
      <c r="D57" s="83">
        <f>SUMIFS(D58:D6462,K58:K6462,"0",B58:B6462,"1 1 2 3 1 12 31111*")-SUMIFS(E58:E6462,K58:K6462,"0",B58:B6462,"1 1 2 3 1 12 31111*")</f>
        <v>36006.89</v>
      </c>
      <c r="E57" s="54"/>
      <c r="F57" s="83">
        <f>SUMIFS(F58:F6462,K58:K6462,"0",B58:B6462,"1 1 2 3 1 12 31111*")</f>
        <v>400657</v>
      </c>
      <c r="G57" s="83">
        <f>SUMIFS(G58:G6462,K58:K6462,"0",B58:B6462,"1 1 2 3 1 12 31111*")</f>
        <v>850979.29</v>
      </c>
      <c r="H57" s="83">
        <f t="shared" si="0"/>
        <v>-414315.4</v>
      </c>
      <c r="I57" s="83"/>
      <c r="K57" s="54" t="s">
        <v>15</v>
      </c>
    </row>
    <row r="58" spans="2:11" ht="12.75" x14ac:dyDescent="0.2">
      <c r="B58" s="82" t="s">
        <v>175</v>
      </c>
      <c r="C58" s="82" t="s">
        <v>30</v>
      </c>
      <c r="D58" s="83">
        <f>SUMIFS(D59:D6462,K59:K6462,"0",B59:B6462,"1 1 2 3 1 12 31111 6*")-SUMIFS(E59:E6462,K59:K6462,"0",B59:B6462,"1 1 2 3 1 12 31111 6*")</f>
        <v>36006.89</v>
      </c>
      <c r="E58" s="54"/>
      <c r="F58" s="83">
        <f>SUMIFS(F59:F6462,K59:K6462,"0",B59:B6462,"1 1 2 3 1 12 31111 6*")</f>
        <v>400657</v>
      </c>
      <c r="G58" s="83">
        <f>SUMIFS(G59:G6462,K59:K6462,"0",B59:B6462,"1 1 2 3 1 12 31111 6*")</f>
        <v>850979.29</v>
      </c>
      <c r="H58" s="83">
        <f t="shared" si="0"/>
        <v>-414315.4</v>
      </c>
      <c r="I58" s="83"/>
      <c r="K58" s="54" t="s">
        <v>15</v>
      </c>
    </row>
    <row r="59" spans="2:11" ht="12.75" x14ac:dyDescent="0.2">
      <c r="B59" s="82" t="s">
        <v>176</v>
      </c>
      <c r="C59" s="82" t="s">
        <v>32</v>
      </c>
      <c r="D59" s="83">
        <f>SUMIFS(D60:D6462,K60:K6462,"0",B60:B6462,"1 1 2 3 1 12 31111 6 M59*")-SUMIFS(E60:E6462,K60:K6462,"0",B60:B6462,"1 1 2 3 1 12 31111 6 M59*")</f>
        <v>36006.89</v>
      </c>
      <c r="E59" s="54"/>
      <c r="F59" s="83">
        <f>SUMIFS(F60:F6462,K60:K6462,"0",B60:B6462,"1 1 2 3 1 12 31111 6 M59*")</f>
        <v>400657</v>
      </c>
      <c r="G59" s="83">
        <f>SUMIFS(G60:G6462,K60:K6462,"0",B60:B6462,"1 1 2 3 1 12 31111 6 M59*")</f>
        <v>850979.29</v>
      </c>
      <c r="H59" s="83">
        <f t="shared" si="0"/>
        <v>-414315.4</v>
      </c>
      <c r="I59" s="83"/>
      <c r="K59" s="54" t="s">
        <v>15</v>
      </c>
    </row>
    <row r="60" spans="2:11" ht="16.5" x14ac:dyDescent="0.2">
      <c r="B60" s="82" t="s">
        <v>177</v>
      </c>
      <c r="C60" s="82" t="s">
        <v>34</v>
      </c>
      <c r="D60" s="83">
        <f>SUMIFS(D61:D6462,K61:K6462,"0",B61:B6462,"1 1 2 3 1 12 31111 6 M59 00001*")-SUMIFS(E61:E6462,K61:K6462,"0",B61:B6462,"1 1 2 3 1 12 31111 6 M59 00001*")</f>
        <v>36006.89</v>
      </c>
      <c r="E60" s="54"/>
      <c r="F60" s="83">
        <f>SUMIFS(F61:F6462,K61:K6462,"0",B61:B6462,"1 1 2 3 1 12 31111 6 M59 00001*")</f>
        <v>400657</v>
      </c>
      <c r="G60" s="83">
        <f>SUMIFS(G61:G6462,K61:K6462,"0",B61:B6462,"1 1 2 3 1 12 31111 6 M59 00001*")</f>
        <v>850979.29</v>
      </c>
      <c r="H60" s="83">
        <f t="shared" si="0"/>
        <v>-414315.4</v>
      </c>
      <c r="I60" s="83"/>
      <c r="K60" s="54" t="s">
        <v>15</v>
      </c>
    </row>
    <row r="61" spans="2:11" ht="16.5" x14ac:dyDescent="0.2">
      <c r="B61" s="84" t="s">
        <v>178</v>
      </c>
      <c r="C61" s="84" t="s">
        <v>179</v>
      </c>
      <c r="D61" s="85">
        <v>36006.89</v>
      </c>
      <c r="E61" s="85"/>
      <c r="F61" s="85">
        <v>241278</v>
      </c>
      <c r="G61" s="85">
        <v>241256</v>
      </c>
      <c r="H61" s="85">
        <f t="shared" si="0"/>
        <v>36028.890000000014</v>
      </c>
      <c r="I61" s="85"/>
      <c r="K61" s="54" t="s">
        <v>38</v>
      </c>
    </row>
    <row r="62" spans="2:11" ht="16.5" x14ac:dyDescent="0.2">
      <c r="B62" s="84" t="s">
        <v>180</v>
      </c>
      <c r="C62" s="84" t="s">
        <v>181</v>
      </c>
      <c r="D62" s="85">
        <v>0</v>
      </c>
      <c r="E62" s="85"/>
      <c r="F62" s="85">
        <v>0</v>
      </c>
      <c r="G62" s="85">
        <v>208854.34</v>
      </c>
      <c r="H62" s="85">
        <f t="shared" si="0"/>
        <v>-208854.34</v>
      </c>
      <c r="I62" s="85"/>
      <c r="K62" s="54" t="s">
        <v>38</v>
      </c>
    </row>
    <row r="63" spans="2:11" ht="16.5" x14ac:dyDescent="0.2">
      <c r="B63" s="84" t="s">
        <v>182</v>
      </c>
      <c r="C63" s="84" t="s">
        <v>183</v>
      </c>
      <c r="D63" s="85">
        <v>0</v>
      </c>
      <c r="E63" s="85"/>
      <c r="F63" s="85">
        <v>95000</v>
      </c>
      <c r="G63" s="85">
        <v>95000</v>
      </c>
      <c r="H63" s="85">
        <f t="shared" si="0"/>
        <v>0</v>
      </c>
      <c r="I63" s="85"/>
      <c r="K63" s="54" t="s">
        <v>38</v>
      </c>
    </row>
    <row r="64" spans="2:11" ht="16.5" x14ac:dyDescent="0.2">
      <c r="B64" s="84" t="s">
        <v>184</v>
      </c>
      <c r="C64" s="84" t="s">
        <v>185</v>
      </c>
      <c r="D64" s="85">
        <v>0</v>
      </c>
      <c r="E64" s="85"/>
      <c r="F64" s="85">
        <v>64379</v>
      </c>
      <c r="G64" s="85">
        <v>305868.95</v>
      </c>
      <c r="H64" s="85">
        <f t="shared" si="0"/>
        <v>-241489.95</v>
      </c>
      <c r="I64" s="85"/>
      <c r="K64" s="54" t="s">
        <v>38</v>
      </c>
    </row>
    <row r="65" spans="2:11" ht="16.5" x14ac:dyDescent="0.2">
      <c r="B65" s="82" t="s">
        <v>207</v>
      </c>
      <c r="C65" s="82" t="s">
        <v>208</v>
      </c>
      <c r="D65" s="83">
        <f>SUMIFS(D66:D6462,K66:K6462,"0",B66:B6462,"1 1 2 4*")-SUMIFS(E66:E6462,K66:K6462,"0",B66:B6462,"1 1 2 4*")</f>
        <v>277741.5</v>
      </c>
      <c r="E65" s="54"/>
      <c r="F65" s="83">
        <f>SUMIFS(F66:F6462,K66:K6462,"0",B66:B6462,"1 1 2 4*")</f>
        <v>117.46</v>
      </c>
      <c r="G65" s="83">
        <f>SUMIFS(G66:G6462,K66:K6462,"0",B66:B6462,"1 1 2 4*")</f>
        <v>117.46</v>
      </c>
      <c r="H65" s="83">
        <f t="shared" si="0"/>
        <v>277741.5</v>
      </c>
      <c r="I65" s="83"/>
      <c r="K65" s="54" t="s">
        <v>15</v>
      </c>
    </row>
    <row r="66" spans="2:11" ht="16.5" x14ac:dyDescent="0.2">
      <c r="B66" s="82" t="s">
        <v>209</v>
      </c>
      <c r="C66" s="82" t="s">
        <v>210</v>
      </c>
      <c r="D66" s="83">
        <f>SUMIFS(D67:D6462,K67:K6462,"0",B67:B6462,"1 1 2 4 1*")-SUMIFS(E67:E6462,K67:K6462,"0",B67:B6462,"1 1 2 4 1*")</f>
        <v>277741.5</v>
      </c>
      <c r="E66" s="54"/>
      <c r="F66" s="83">
        <f>SUMIFS(F67:F6462,K67:K6462,"0",B67:B6462,"1 1 2 4 1*")</f>
        <v>0</v>
      </c>
      <c r="G66" s="83">
        <f>SUMIFS(G67:G6462,K67:K6462,"0",B67:B6462,"1 1 2 4 1*")</f>
        <v>0</v>
      </c>
      <c r="H66" s="83">
        <f t="shared" si="0"/>
        <v>277741.5</v>
      </c>
      <c r="I66" s="83"/>
      <c r="K66" s="54" t="s">
        <v>15</v>
      </c>
    </row>
    <row r="67" spans="2:11" ht="12.75" x14ac:dyDescent="0.2">
      <c r="B67" s="82" t="s">
        <v>211</v>
      </c>
      <c r="C67" s="82" t="s">
        <v>26</v>
      </c>
      <c r="D67" s="83">
        <f>SUMIFS(D68:D6462,K68:K6462,"0",B68:B6462,"1 1 2 4 1 12*")-SUMIFS(E68:E6462,K68:K6462,"0",B68:B6462,"1 1 2 4 1 12*")</f>
        <v>277741.5</v>
      </c>
      <c r="E67" s="54"/>
      <c r="F67" s="83">
        <f>SUMIFS(F68:F6462,K68:K6462,"0",B68:B6462,"1 1 2 4 1 12*")</f>
        <v>0</v>
      </c>
      <c r="G67" s="83">
        <f>SUMIFS(G68:G6462,K68:K6462,"0",B68:B6462,"1 1 2 4 1 12*")</f>
        <v>0</v>
      </c>
      <c r="H67" s="83">
        <f t="shared" si="0"/>
        <v>277741.5</v>
      </c>
      <c r="I67" s="83"/>
      <c r="K67" s="54" t="s">
        <v>15</v>
      </c>
    </row>
    <row r="68" spans="2:11" ht="16.5" x14ac:dyDescent="0.2">
      <c r="B68" s="82" t="s">
        <v>212</v>
      </c>
      <c r="C68" s="82" t="s">
        <v>28</v>
      </c>
      <c r="D68" s="83">
        <f>SUMIFS(D69:D6462,K69:K6462,"0",B69:B6462,"1 1 2 4 1 12 31111*")-SUMIFS(E69:E6462,K69:K6462,"0",B69:B6462,"1 1 2 4 1 12 31111*")</f>
        <v>277741.5</v>
      </c>
      <c r="E68" s="54"/>
      <c r="F68" s="83">
        <f>SUMIFS(F69:F6462,K69:K6462,"0",B69:B6462,"1 1 2 4 1 12 31111*")</f>
        <v>0</v>
      </c>
      <c r="G68" s="83">
        <f>SUMIFS(G69:G6462,K69:K6462,"0",B69:B6462,"1 1 2 4 1 12 31111*")</f>
        <v>0</v>
      </c>
      <c r="H68" s="83">
        <f t="shared" si="0"/>
        <v>277741.5</v>
      </c>
      <c r="I68" s="83"/>
      <c r="K68" s="54" t="s">
        <v>15</v>
      </c>
    </row>
    <row r="69" spans="2:11" ht="12.75" x14ac:dyDescent="0.2">
      <c r="B69" s="82" t="s">
        <v>213</v>
      </c>
      <c r="C69" s="82" t="s">
        <v>30</v>
      </c>
      <c r="D69" s="83">
        <f>SUMIFS(D70:D6462,K70:K6462,"0",B70:B6462,"1 1 2 4 1 12 31111 6*")-SUMIFS(E70:E6462,K70:K6462,"0",B70:B6462,"1 1 2 4 1 12 31111 6*")</f>
        <v>277741.5</v>
      </c>
      <c r="E69" s="54"/>
      <c r="F69" s="83">
        <f>SUMIFS(F70:F6462,K70:K6462,"0",B70:B6462,"1 1 2 4 1 12 31111 6*")</f>
        <v>0</v>
      </c>
      <c r="G69" s="83">
        <f>SUMIFS(G70:G6462,K70:K6462,"0",B70:B6462,"1 1 2 4 1 12 31111 6*")</f>
        <v>0</v>
      </c>
      <c r="H69" s="83">
        <f t="shared" si="0"/>
        <v>277741.5</v>
      </c>
      <c r="I69" s="83"/>
      <c r="K69" s="54" t="s">
        <v>15</v>
      </c>
    </row>
    <row r="70" spans="2:11" ht="12.75" x14ac:dyDescent="0.2">
      <c r="B70" s="82" t="s">
        <v>214</v>
      </c>
      <c r="C70" s="82" t="s">
        <v>32</v>
      </c>
      <c r="D70" s="83">
        <f>SUMIFS(D71:D6462,K71:K6462,"0",B71:B6462,"1 1 2 4 1 12 31111 6 M59*")-SUMIFS(E71:E6462,K71:K6462,"0",B71:B6462,"1 1 2 4 1 12 31111 6 M59*")</f>
        <v>277741.5</v>
      </c>
      <c r="E70" s="54"/>
      <c r="F70" s="83">
        <f>SUMIFS(F71:F6462,K71:K6462,"0",B71:B6462,"1 1 2 4 1 12 31111 6 M59*")</f>
        <v>0</v>
      </c>
      <c r="G70" s="83">
        <f>SUMIFS(G71:G6462,K71:K6462,"0",B71:B6462,"1 1 2 4 1 12 31111 6 M59*")</f>
        <v>0</v>
      </c>
      <c r="H70" s="83">
        <f t="shared" si="0"/>
        <v>277741.5</v>
      </c>
      <c r="I70" s="83"/>
      <c r="K70" s="54" t="s">
        <v>15</v>
      </c>
    </row>
    <row r="71" spans="2:11" ht="16.5" x14ac:dyDescent="0.2">
      <c r="B71" s="82" t="s">
        <v>215</v>
      </c>
      <c r="C71" s="82" t="s">
        <v>34</v>
      </c>
      <c r="D71" s="83">
        <f>SUMIFS(D72:D6462,K72:K6462,"0",B72:B6462,"1 1 2 4 1 12 31111 6 M59 00001*")-SUMIFS(E72:E6462,K72:K6462,"0",B72:B6462,"1 1 2 4 1 12 31111 6 M59 00001*")</f>
        <v>277741.5</v>
      </c>
      <c r="E71" s="54"/>
      <c r="F71" s="83">
        <f>SUMIFS(F72:F6462,K72:K6462,"0",B72:B6462,"1 1 2 4 1 12 31111 6 M59 00001*")</f>
        <v>0</v>
      </c>
      <c r="G71" s="83">
        <f>SUMIFS(G72:G6462,K72:K6462,"0",B72:B6462,"1 1 2 4 1 12 31111 6 M59 00001*")</f>
        <v>0</v>
      </c>
      <c r="H71" s="83">
        <f t="shared" si="0"/>
        <v>277741.5</v>
      </c>
      <c r="I71" s="83"/>
      <c r="K71" s="54" t="s">
        <v>15</v>
      </c>
    </row>
    <row r="72" spans="2:11" ht="16.5" x14ac:dyDescent="0.2">
      <c r="B72" s="82" t="s">
        <v>216</v>
      </c>
      <c r="C72" s="82" t="s">
        <v>217</v>
      </c>
      <c r="D72" s="83">
        <f>SUMIFS(D73:D6462,K73:K6462,"0",B73:B6462,"1 1 2 4 1 12 31111 6 M59 00001 000006*")-SUMIFS(E73:E6462,K73:K6462,"0",B73:B6462,"1 1 2 4 1 12 31111 6 M59 00001 000006*")</f>
        <v>277741.5</v>
      </c>
      <c r="E72" s="54"/>
      <c r="F72" s="83">
        <f>SUMIFS(F73:F6462,K73:K6462,"0",B73:B6462,"1 1 2 4 1 12 31111 6 M59 00001 000006*")</f>
        <v>0</v>
      </c>
      <c r="G72" s="83">
        <f>SUMIFS(G73:G6462,K73:K6462,"0",B73:B6462,"1 1 2 4 1 12 31111 6 M59 00001 000006*")</f>
        <v>0</v>
      </c>
      <c r="H72" s="83">
        <f t="shared" si="0"/>
        <v>277741.5</v>
      </c>
      <c r="I72" s="83"/>
      <c r="K72" s="54" t="s">
        <v>15</v>
      </c>
    </row>
    <row r="73" spans="2:11" ht="24.75" x14ac:dyDescent="0.2">
      <c r="B73" s="84" t="s">
        <v>218</v>
      </c>
      <c r="C73" s="84" t="s">
        <v>219</v>
      </c>
      <c r="D73" s="85">
        <v>277741.5</v>
      </c>
      <c r="E73" s="85"/>
      <c r="F73" s="85">
        <v>0</v>
      </c>
      <c r="G73" s="85">
        <v>0</v>
      </c>
      <c r="H73" s="85">
        <f t="shared" si="0"/>
        <v>277741.5</v>
      </c>
      <c r="I73" s="85"/>
      <c r="K73" s="54" t="s">
        <v>38</v>
      </c>
    </row>
    <row r="74" spans="2:11" ht="12.75" x14ac:dyDescent="0.2">
      <c r="B74" s="82" t="s">
        <v>235</v>
      </c>
      <c r="C74" s="82" t="s">
        <v>236</v>
      </c>
      <c r="D74" s="83">
        <f>SUMIFS(D75:D6462,K75:K6462,"0",B75:B6462,"1 1 2 4 4*")-SUMIFS(E75:E6462,K75:K6462,"0",B75:B6462,"1 1 2 4 4*")</f>
        <v>0</v>
      </c>
      <c r="E74" s="54"/>
      <c r="F74" s="83">
        <f>SUMIFS(F75:F6462,K75:K6462,"0",B75:B6462,"1 1 2 4 4*")</f>
        <v>117.46</v>
      </c>
      <c r="G74" s="83">
        <f>SUMIFS(G75:G6462,K75:K6462,"0",B75:B6462,"1 1 2 4 4*")</f>
        <v>117.46</v>
      </c>
      <c r="H74" s="83">
        <f t="shared" si="0"/>
        <v>0</v>
      </c>
      <c r="I74" s="83"/>
      <c r="K74" s="54" t="s">
        <v>15</v>
      </c>
    </row>
    <row r="75" spans="2:11" ht="12.75" x14ac:dyDescent="0.2">
      <c r="B75" s="82" t="s">
        <v>237</v>
      </c>
      <c r="C75" s="82" t="s">
        <v>26</v>
      </c>
      <c r="D75" s="83">
        <f>SUMIFS(D76:D6462,K76:K6462,"0",B76:B6462,"1 1 2 4 4 12*")-SUMIFS(E76:E6462,K76:K6462,"0",B76:B6462,"1 1 2 4 4 12*")</f>
        <v>0</v>
      </c>
      <c r="E75" s="54"/>
      <c r="F75" s="83">
        <f>SUMIFS(F76:F6462,K76:K6462,"0",B76:B6462,"1 1 2 4 4 12*")</f>
        <v>117.46</v>
      </c>
      <c r="G75" s="83">
        <f>SUMIFS(G76:G6462,K76:K6462,"0",B76:B6462,"1 1 2 4 4 12*")</f>
        <v>117.46</v>
      </c>
      <c r="H75" s="83">
        <f t="shared" si="0"/>
        <v>0</v>
      </c>
      <c r="I75" s="83"/>
      <c r="K75" s="54" t="s">
        <v>15</v>
      </c>
    </row>
    <row r="76" spans="2:11" ht="16.5" x14ac:dyDescent="0.2">
      <c r="B76" s="82" t="s">
        <v>238</v>
      </c>
      <c r="C76" s="82" t="s">
        <v>28</v>
      </c>
      <c r="D76" s="83">
        <f>SUMIFS(D77:D6462,K77:K6462,"0",B77:B6462,"1 1 2 4 4 12 31111*")-SUMIFS(E77:E6462,K77:K6462,"0",B77:B6462,"1 1 2 4 4 12 31111*")</f>
        <v>0</v>
      </c>
      <c r="E76" s="54"/>
      <c r="F76" s="83">
        <f>SUMIFS(F77:F6462,K77:K6462,"0",B77:B6462,"1 1 2 4 4 12 31111*")</f>
        <v>117.46</v>
      </c>
      <c r="G76" s="83">
        <f>SUMIFS(G77:G6462,K77:K6462,"0",B77:B6462,"1 1 2 4 4 12 31111*")</f>
        <v>117.46</v>
      </c>
      <c r="H76" s="83">
        <f t="shared" ref="H76:H139" si="1">D76 + F76 - G76</f>
        <v>0</v>
      </c>
      <c r="I76" s="83"/>
      <c r="K76" s="54" t="s">
        <v>15</v>
      </c>
    </row>
    <row r="77" spans="2:11" ht="12.75" x14ac:dyDescent="0.2">
      <c r="B77" s="82" t="s">
        <v>239</v>
      </c>
      <c r="C77" s="82" t="s">
        <v>30</v>
      </c>
      <c r="D77" s="83">
        <f>SUMIFS(D78:D6462,K78:K6462,"0",B78:B6462,"1 1 2 4 4 12 31111 6*")-SUMIFS(E78:E6462,K78:K6462,"0",B78:B6462,"1 1 2 4 4 12 31111 6*")</f>
        <v>0</v>
      </c>
      <c r="E77" s="54"/>
      <c r="F77" s="83">
        <f>SUMIFS(F78:F6462,K78:K6462,"0",B78:B6462,"1 1 2 4 4 12 31111 6*")</f>
        <v>117.46</v>
      </c>
      <c r="G77" s="83">
        <f>SUMIFS(G78:G6462,K78:K6462,"0",B78:B6462,"1 1 2 4 4 12 31111 6*")</f>
        <v>117.46</v>
      </c>
      <c r="H77" s="83">
        <f t="shared" si="1"/>
        <v>0</v>
      </c>
      <c r="I77" s="83"/>
      <c r="K77" s="54" t="s">
        <v>15</v>
      </c>
    </row>
    <row r="78" spans="2:11" ht="16.5" x14ac:dyDescent="0.2">
      <c r="B78" s="82" t="s">
        <v>240</v>
      </c>
      <c r="C78" s="82" t="s">
        <v>32</v>
      </c>
      <c r="D78" s="83">
        <f>SUMIFS(D79:D6462,K79:K6462,"0",B79:B6462,"1 1 2 4 4 12 31111 6 M59*")-SUMIFS(E79:E6462,K79:K6462,"0",B79:B6462,"1 1 2 4 4 12 31111 6 M59*")</f>
        <v>0</v>
      </c>
      <c r="E78" s="54"/>
      <c r="F78" s="83">
        <f>SUMIFS(F79:F6462,K79:K6462,"0",B79:B6462,"1 1 2 4 4 12 31111 6 M59*")</f>
        <v>117.46</v>
      </c>
      <c r="G78" s="83">
        <f>SUMIFS(G79:G6462,K79:K6462,"0",B79:B6462,"1 1 2 4 4 12 31111 6 M59*")</f>
        <v>117.46</v>
      </c>
      <c r="H78" s="83">
        <f t="shared" si="1"/>
        <v>0</v>
      </c>
      <c r="I78" s="83"/>
      <c r="K78" s="54" t="s">
        <v>15</v>
      </c>
    </row>
    <row r="79" spans="2:11" ht="16.5" x14ac:dyDescent="0.2">
      <c r="B79" s="82" t="s">
        <v>241</v>
      </c>
      <c r="C79" s="82" t="s">
        <v>34</v>
      </c>
      <c r="D79" s="83">
        <f>SUMIFS(D80:D6462,K80:K6462,"0",B80:B6462,"1 1 2 4 4 12 31111 6 M59 00001*")-SUMIFS(E80:E6462,K80:K6462,"0",B80:B6462,"1 1 2 4 4 12 31111 6 M59 00001*")</f>
        <v>0</v>
      </c>
      <c r="E79" s="54"/>
      <c r="F79" s="83">
        <f>SUMIFS(F80:F6462,K80:K6462,"0",B80:B6462,"1 1 2 4 4 12 31111 6 M59 00001*")</f>
        <v>117.46</v>
      </c>
      <c r="G79" s="83">
        <f>SUMIFS(G80:G6462,K80:K6462,"0",B80:B6462,"1 1 2 4 4 12 31111 6 M59 00001*")</f>
        <v>117.46</v>
      </c>
      <c r="H79" s="83">
        <f t="shared" si="1"/>
        <v>0</v>
      </c>
      <c r="I79" s="83"/>
      <c r="K79" s="54" t="s">
        <v>15</v>
      </c>
    </row>
    <row r="80" spans="2:11" ht="16.5" x14ac:dyDescent="0.2">
      <c r="B80" s="84" t="s">
        <v>242</v>
      </c>
      <c r="C80" s="84" t="s">
        <v>243</v>
      </c>
      <c r="D80" s="85">
        <v>0</v>
      </c>
      <c r="E80" s="85"/>
      <c r="F80" s="85">
        <v>117.46</v>
      </c>
      <c r="G80" s="85">
        <v>117.46</v>
      </c>
      <c r="H80" s="85">
        <f t="shared" si="1"/>
        <v>0</v>
      </c>
      <c r="I80" s="85"/>
      <c r="K80" s="54" t="s">
        <v>38</v>
      </c>
    </row>
    <row r="81" spans="2:11" ht="16.5" x14ac:dyDescent="0.2">
      <c r="B81" s="82" t="s">
        <v>263</v>
      </c>
      <c r="C81" s="82" t="s">
        <v>264</v>
      </c>
      <c r="D81" s="83">
        <f>SUMIFS(D82:D6462,K82:K6462,"0",B82:B6462,"1 1 2 6*")-SUMIFS(E82:E6462,K82:K6462,"0",B82:B6462,"1 1 2 6*")</f>
        <v>114550</v>
      </c>
      <c r="E81" s="54"/>
      <c r="F81" s="83">
        <f>SUMIFS(F82:F6462,K82:K6462,"0",B82:B6462,"1 1 2 6*")</f>
        <v>5900700</v>
      </c>
      <c r="G81" s="83">
        <f>SUMIFS(G82:G6462,K82:K6462,"0",B82:B6462,"1 1 2 6*")</f>
        <v>5803200</v>
      </c>
      <c r="H81" s="83">
        <f t="shared" si="1"/>
        <v>212050</v>
      </c>
      <c r="I81" s="83"/>
      <c r="K81" s="54" t="s">
        <v>15</v>
      </c>
    </row>
    <row r="82" spans="2:11" ht="16.5" x14ac:dyDescent="0.2">
      <c r="B82" s="82" t="s">
        <v>265</v>
      </c>
      <c r="C82" s="82" t="s">
        <v>266</v>
      </c>
      <c r="D82" s="83">
        <f>SUMIFS(D83:D6462,K83:K6462,"0",B83:B6462,"1 1 2 6 1*")-SUMIFS(E83:E6462,K83:K6462,"0",B83:B6462,"1 1 2 6 1*")</f>
        <v>2100</v>
      </c>
      <c r="E82" s="54"/>
      <c r="F82" s="83">
        <f>SUMIFS(F83:F6462,K83:K6462,"0",B83:B6462,"1 1 2 6 1*")</f>
        <v>5895700</v>
      </c>
      <c r="G82" s="83">
        <f>SUMIFS(G83:G6462,K83:K6462,"0",B83:B6462,"1 1 2 6 1*")</f>
        <v>5767700</v>
      </c>
      <c r="H82" s="83">
        <f t="shared" si="1"/>
        <v>130100</v>
      </c>
      <c r="I82" s="83"/>
      <c r="K82" s="54" t="s">
        <v>15</v>
      </c>
    </row>
    <row r="83" spans="2:11" ht="12.75" x14ac:dyDescent="0.2">
      <c r="B83" s="82" t="s">
        <v>267</v>
      </c>
      <c r="C83" s="82" t="s">
        <v>26</v>
      </c>
      <c r="D83" s="83">
        <f>SUMIFS(D84:D6462,K84:K6462,"0",B84:B6462,"1 1 2 6 1 12*")-SUMIFS(E84:E6462,K84:K6462,"0",B84:B6462,"1 1 2 6 1 12*")</f>
        <v>2100</v>
      </c>
      <c r="E83" s="54"/>
      <c r="F83" s="83">
        <f>SUMIFS(F84:F6462,K84:K6462,"0",B84:B6462,"1 1 2 6 1 12*")</f>
        <v>5895700</v>
      </c>
      <c r="G83" s="83">
        <f>SUMIFS(G84:G6462,K84:K6462,"0",B84:B6462,"1 1 2 6 1 12*")</f>
        <v>5767700</v>
      </c>
      <c r="H83" s="83">
        <f t="shared" si="1"/>
        <v>130100</v>
      </c>
      <c r="I83" s="83"/>
      <c r="K83" s="54" t="s">
        <v>15</v>
      </c>
    </row>
    <row r="84" spans="2:11" ht="16.5" x14ac:dyDescent="0.2">
      <c r="B84" s="82" t="s">
        <v>268</v>
      </c>
      <c r="C84" s="82" t="s">
        <v>28</v>
      </c>
      <c r="D84" s="83">
        <f>SUMIFS(D85:D6462,K85:K6462,"0",B85:B6462,"1 1 2 6 1 12 31111*")-SUMIFS(E85:E6462,K85:K6462,"0",B85:B6462,"1 1 2 6 1 12 31111*")</f>
        <v>2100</v>
      </c>
      <c r="E84" s="54"/>
      <c r="F84" s="83">
        <f>SUMIFS(F85:F6462,K85:K6462,"0",B85:B6462,"1 1 2 6 1 12 31111*")</f>
        <v>5895700</v>
      </c>
      <c r="G84" s="83">
        <f>SUMIFS(G85:G6462,K85:K6462,"0",B85:B6462,"1 1 2 6 1 12 31111*")</f>
        <v>5767700</v>
      </c>
      <c r="H84" s="83">
        <f t="shared" si="1"/>
        <v>130100</v>
      </c>
      <c r="I84" s="83"/>
      <c r="K84" s="54" t="s">
        <v>15</v>
      </c>
    </row>
    <row r="85" spans="2:11" ht="12.75" x14ac:dyDescent="0.2">
      <c r="B85" s="82" t="s">
        <v>269</v>
      </c>
      <c r="C85" s="82" t="s">
        <v>30</v>
      </c>
      <c r="D85" s="83">
        <f>SUMIFS(D86:D6462,K86:K6462,"0",B86:B6462,"1 1 2 6 1 12 31111 6*")-SUMIFS(E86:E6462,K86:K6462,"0",B86:B6462,"1 1 2 6 1 12 31111 6*")</f>
        <v>2100</v>
      </c>
      <c r="E85" s="54"/>
      <c r="F85" s="83">
        <f>SUMIFS(F86:F6462,K86:K6462,"0",B86:B6462,"1 1 2 6 1 12 31111 6*")</f>
        <v>5895700</v>
      </c>
      <c r="G85" s="83">
        <f>SUMIFS(G86:G6462,K86:K6462,"0",B86:B6462,"1 1 2 6 1 12 31111 6*")</f>
        <v>5767700</v>
      </c>
      <c r="H85" s="83">
        <f t="shared" si="1"/>
        <v>130100</v>
      </c>
      <c r="I85" s="83"/>
      <c r="K85" s="54" t="s">
        <v>15</v>
      </c>
    </row>
    <row r="86" spans="2:11" ht="16.5" x14ac:dyDescent="0.2">
      <c r="B86" s="82" t="s">
        <v>270</v>
      </c>
      <c r="C86" s="82" t="s">
        <v>271</v>
      </c>
      <c r="D86" s="83">
        <f>SUMIFS(D87:D6462,K87:K6462,"0",B87:B6462,"1 1 2 6 1 12 31111 6 M59*")-SUMIFS(E87:E6462,K87:K6462,"0",B87:B6462,"1 1 2 6 1 12 31111 6 M59*")</f>
        <v>2100</v>
      </c>
      <c r="E86" s="54"/>
      <c r="F86" s="83">
        <f>SUMIFS(F87:F6462,K87:K6462,"0",B87:B6462,"1 1 2 6 1 12 31111 6 M59*")</f>
        <v>5895700</v>
      </c>
      <c r="G86" s="83">
        <f>SUMIFS(G87:G6462,K87:K6462,"0",B87:B6462,"1 1 2 6 1 12 31111 6 M59*")</f>
        <v>5767700</v>
      </c>
      <c r="H86" s="83">
        <f t="shared" si="1"/>
        <v>130100</v>
      </c>
      <c r="I86" s="83"/>
      <c r="K86" s="54" t="s">
        <v>15</v>
      </c>
    </row>
    <row r="87" spans="2:11" ht="16.5" x14ac:dyDescent="0.2">
      <c r="B87" s="82" t="s">
        <v>272</v>
      </c>
      <c r="C87" s="82" t="s">
        <v>34</v>
      </c>
      <c r="D87" s="83">
        <f>SUMIFS(D88:D6462,K88:K6462,"0",B88:B6462,"1 1 2 6 1 12 31111 6 M59 00001*")-SUMIFS(E88:E6462,K88:K6462,"0",B88:B6462,"1 1 2 6 1 12 31111 6 M59 00001*")</f>
        <v>2100</v>
      </c>
      <c r="E87" s="54"/>
      <c r="F87" s="83">
        <f>SUMIFS(F88:F6462,K88:K6462,"0",B88:B6462,"1 1 2 6 1 12 31111 6 M59 00001*")</f>
        <v>5895700</v>
      </c>
      <c r="G87" s="83">
        <f>SUMIFS(G88:G6462,K88:K6462,"0",B88:B6462,"1 1 2 6 1 12 31111 6 M59 00001*")</f>
        <v>5767700</v>
      </c>
      <c r="H87" s="83">
        <f t="shared" si="1"/>
        <v>130100</v>
      </c>
      <c r="I87" s="83"/>
      <c r="K87" s="54" t="s">
        <v>15</v>
      </c>
    </row>
    <row r="88" spans="2:11" ht="16.5" x14ac:dyDescent="0.2">
      <c r="B88" s="84" t="s">
        <v>273</v>
      </c>
      <c r="C88" s="84" t="s">
        <v>274</v>
      </c>
      <c r="D88" s="85">
        <v>2100</v>
      </c>
      <c r="E88" s="85"/>
      <c r="F88" s="85">
        <v>5895700</v>
      </c>
      <c r="G88" s="85">
        <v>5767700</v>
      </c>
      <c r="H88" s="85">
        <f t="shared" si="1"/>
        <v>130100</v>
      </c>
      <c r="I88" s="85"/>
      <c r="K88" s="54" t="s">
        <v>38</v>
      </c>
    </row>
    <row r="89" spans="2:11" ht="16.5" x14ac:dyDescent="0.2">
      <c r="B89" s="82" t="s">
        <v>275</v>
      </c>
      <c r="C89" s="82" t="s">
        <v>276</v>
      </c>
      <c r="D89" s="83">
        <f>SUMIFS(D90:D6462,K90:K6462,"0",B90:B6462,"1 1 2 6 4*")-SUMIFS(E90:E6462,K90:K6462,"0",B90:B6462,"1 1 2 6 4*")</f>
        <v>112450</v>
      </c>
      <c r="E89" s="54"/>
      <c r="F89" s="83">
        <f>SUMIFS(F90:F6462,K90:K6462,"0",B90:B6462,"1 1 2 6 4*")</f>
        <v>5000</v>
      </c>
      <c r="G89" s="83">
        <f>SUMIFS(G90:G6462,K90:K6462,"0",B90:B6462,"1 1 2 6 4*")</f>
        <v>35500</v>
      </c>
      <c r="H89" s="83">
        <f t="shared" si="1"/>
        <v>81950</v>
      </c>
      <c r="I89" s="83"/>
      <c r="K89" s="54" t="s">
        <v>15</v>
      </c>
    </row>
    <row r="90" spans="2:11" ht="12.75" x14ac:dyDescent="0.2">
      <c r="B90" s="82" t="s">
        <v>277</v>
      </c>
      <c r="C90" s="82" t="s">
        <v>26</v>
      </c>
      <c r="D90" s="83">
        <f>SUMIFS(D91:D6462,K91:K6462,"0",B91:B6462,"1 1 2 6 4 12*")-SUMIFS(E91:E6462,K91:K6462,"0",B91:B6462,"1 1 2 6 4 12*")</f>
        <v>112450</v>
      </c>
      <c r="E90" s="54"/>
      <c r="F90" s="83">
        <f>SUMIFS(F91:F6462,K91:K6462,"0",B91:B6462,"1 1 2 6 4 12*")</f>
        <v>5000</v>
      </c>
      <c r="G90" s="83">
        <f>SUMIFS(G91:G6462,K91:K6462,"0",B91:B6462,"1 1 2 6 4 12*")</f>
        <v>35500</v>
      </c>
      <c r="H90" s="83">
        <f t="shared" si="1"/>
        <v>81950</v>
      </c>
      <c r="I90" s="83"/>
      <c r="K90" s="54" t="s">
        <v>15</v>
      </c>
    </row>
    <row r="91" spans="2:11" ht="16.5" x14ac:dyDescent="0.2">
      <c r="B91" s="82" t="s">
        <v>278</v>
      </c>
      <c r="C91" s="82" t="s">
        <v>28</v>
      </c>
      <c r="D91" s="83">
        <f>SUMIFS(D92:D6462,K92:K6462,"0",B92:B6462,"1 1 2 6 4 12 31111*")-SUMIFS(E92:E6462,K92:K6462,"0",B92:B6462,"1 1 2 6 4 12 31111*")</f>
        <v>112450</v>
      </c>
      <c r="E91" s="54"/>
      <c r="F91" s="83">
        <f>SUMIFS(F92:F6462,K92:K6462,"0",B92:B6462,"1 1 2 6 4 12 31111*")</f>
        <v>5000</v>
      </c>
      <c r="G91" s="83">
        <f>SUMIFS(G92:G6462,K92:K6462,"0",B92:B6462,"1 1 2 6 4 12 31111*")</f>
        <v>35500</v>
      </c>
      <c r="H91" s="83">
        <f t="shared" si="1"/>
        <v>81950</v>
      </c>
      <c r="I91" s="83"/>
      <c r="K91" s="54" t="s">
        <v>15</v>
      </c>
    </row>
    <row r="92" spans="2:11" ht="12.75" x14ac:dyDescent="0.2">
      <c r="B92" s="82" t="s">
        <v>279</v>
      </c>
      <c r="C92" s="82" t="s">
        <v>30</v>
      </c>
      <c r="D92" s="83">
        <f>SUMIFS(D93:D6462,K93:K6462,"0",B93:B6462,"1 1 2 6 4 12 31111 6*")-SUMIFS(E93:E6462,K93:K6462,"0",B93:B6462,"1 1 2 6 4 12 31111 6*")</f>
        <v>112450</v>
      </c>
      <c r="E92" s="54"/>
      <c r="F92" s="83">
        <f>SUMIFS(F93:F6462,K93:K6462,"0",B93:B6462,"1 1 2 6 4 12 31111 6*")</f>
        <v>5000</v>
      </c>
      <c r="G92" s="83">
        <f>SUMIFS(G93:G6462,K93:K6462,"0",B93:B6462,"1 1 2 6 4 12 31111 6*")</f>
        <v>35500</v>
      </c>
      <c r="H92" s="83">
        <f t="shared" si="1"/>
        <v>81950</v>
      </c>
      <c r="I92" s="83"/>
      <c r="K92" s="54" t="s">
        <v>15</v>
      </c>
    </row>
    <row r="93" spans="2:11" ht="16.5" x14ac:dyDescent="0.2">
      <c r="B93" s="82" t="s">
        <v>280</v>
      </c>
      <c r="C93" s="82" t="s">
        <v>140</v>
      </c>
      <c r="D93" s="83">
        <f>SUMIFS(D94:D6462,K94:K6462,"0",B94:B6462,"1 1 2 6 4 12 31111 6 M59*")-SUMIFS(E94:E6462,K94:K6462,"0",B94:B6462,"1 1 2 6 4 12 31111 6 M59*")</f>
        <v>112450</v>
      </c>
      <c r="E93" s="54"/>
      <c r="F93" s="83">
        <f>SUMIFS(F94:F6462,K94:K6462,"0",B94:B6462,"1 1 2 6 4 12 31111 6 M59*")</f>
        <v>5000</v>
      </c>
      <c r="G93" s="83">
        <f>SUMIFS(G94:G6462,K94:K6462,"0",B94:B6462,"1 1 2 6 4 12 31111 6 M59*")</f>
        <v>35500</v>
      </c>
      <c r="H93" s="83">
        <f t="shared" si="1"/>
        <v>81950</v>
      </c>
      <c r="I93" s="83"/>
      <c r="K93" s="54" t="s">
        <v>15</v>
      </c>
    </row>
    <row r="94" spans="2:11" ht="16.5" x14ac:dyDescent="0.2">
      <c r="B94" s="82" t="s">
        <v>281</v>
      </c>
      <c r="C94" s="82" t="s">
        <v>282</v>
      </c>
      <c r="D94" s="83">
        <f>SUMIFS(D95:D6462,K95:K6462,"0",B95:B6462,"1 1 2 6 4 12 31111 6 M59 00001*")-SUMIFS(E95:E6462,K95:K6462,"0",B95:B6462,"1 1 2 6 4 12 31111 6 M59 00001*")</f>
        <v>112450</v>
      </c>
      <c r="E94" s="54"/>
      <c r="F94" s="83">
        <f>SUMIFS(F95:F6462,K95:K6462,"0",B95:B6462,"1 1 2 6 4 12 31111 6 M59 00001*")</f>
        <v>5000</v>
      </c>
      <c r="G94" s="83">
        <f>SUMIFS(G95:G6462,K95:K6462,"0",B95:B6462,"1 1 2 6 4 12 31111 6 M59 00001*")</f>
        <v>35500</v>
      </c>
      <c r="H94" s="83">
        <f t="shared" si="1"/>
        <v>81950</v>
      </c>
      <c r="I94" s="83"/>
      <c r="K94" s="54" t="s">
        <v>15</v>
      </c>
    </row>
    <row r="95" spans="2:11" ht="16.5" x14ac:dyDescent="0.2">
      <c r="B95" s="84" t="s">
        <v>283</v>
      </c>
      <c r="C95" s="84" t="s">
        <v>284</v>
      </c>
      <c r="D95" s="85">
        <v>4700</v>
      </c>
      <c r="E95" s="85"/>
      <c r="F95" s="85">
        <v>0</v>
      </c>
      <c r="G95" s="85">
        <v>2000</v>
      </c>
      <c r="H95" s="85">
        <f t="shared" si="1"/>
        <v>2700</v>
      </c>
      <c r="I95" s="85"/>
      <c r="K95" s="54" t="s">
        <v>38</v>
      </c>
    </row>
    <row r="96" spans="2:11" ht="16.5" x14ac:dyDescent="0.2">
      <c r="B96" s="84" t="s">
        <v>285</v>
      </c>
      <c r="C96" s="84" t="s">
        <v>286</v>
      </c>
      <c r="D96" s="85">
        <v>2700</v>
      </c>
      <c r="E96" s="85"/>
      <c r="F96" s="85">
        <v>0</v>
      </c>
      <c r="G96" s="85">
        <v>0</v>
      </c>
      <c r="H96" s="85">
        <f t="shared" si="1"/>
        <v>2700</v>
      </c>
      <c r="I96" s="85"/>
      <c r="K96" s="54" t="s">
        <v>38</v>
      </c>
    </row>
    <row r="97" spans="2:11" ht="16.5" x14ac:dyDescent="0.2">
      <c r="B97" s="84" t="s">
        <v>287</v>
      </c>
      <c r="C97" s="84" t="s">
        <v>288</v>
      </c>
      <c r="D97" s="85">
        <v>2700</v>
      </c>
      <c r="E97" s="85"/>
      <c r="F97" s="85">
        <v>0</v>
      </c>
      <c r="G97" s="85">
        <v>0</v>
      </c>
      <c r="H97" s="85">
        <f t="shared" si="1"/>
        <v>2700</v>
      </c>
      <c r="I97" s="85"/>
      <c r="K97" s="54" t="s">
        <v>38</v>
      </c>
    </row>
    <row r="98" spans="2:11" ht="16.5" x14ac:dyDescent="0.2">
      <c r="B98" s="84" t="s">
        <v>289</v>
      </c>
      <c r="C98" s="84" t="s">
        <v>290</v>
      </c>
      <c r="D98" s="85">
        <v>2750</v>
      </c>
      <c r="E98" s="85"/>
      <c r="F98" s="85">
        <v>0</v>
      </c>
      <c r="G98" s="85">
        <v>0</v>
      </c>
      <c r="H98" s="85">
        <f t="shared" si="1"/>
        <v>2750</v>
      </c>
      <c r="I98" s="85"/>
      <c r="K98" s="54" t="s">
        <v>38</v>
      </c>
    </row>
    <row r="99" spans="2:11" ht="16.5" x14ac:dyDescent="0.2">
      <c r="B99" s="84" t="s">
        <v>291</v>
      </c>
      <c r="C99" s="84" t="s">
        <v>292</v>
      </c>
      <c r="D99" s="85">
        <v>2700</v>
      </c>
      <c r="E99" s="85"/>
      <c r="F99" s="85">
        <v>0</v>
      </c>
      <c r="G99" s="85">
        <v>0</v>
      </c>
      <c r="H99" s="85">
        <f t="shared" si="1"/>
        <v>2700</v>
      </c>
      <c r="I99" s="85"/>
      <c r="K99" s="54" t="s">
        <v>38</v>
      </c>
    </row>
    <row r="100" spans="2:11" ht="16.5" x14ac:dyDescent="0.2">
      <c r="B100" s="84" t="s">
        <v>293</v>
      </c>
      <c r="C100" s="84" t="s">
        <v>294</v>
      </c>
      <c r="D100" s="85">
        <v>2700</v>
      </c>
      <c r="E100" s="85"/>
      <c r="F100" s="85">
        <v>0</v>
      </c>
      <c r="G100" s="85">
        <v>0</v>
      </c>
      <c r="H100" s="85">
        <f t="shared" si="1"/>
        <v>2700</v>
      </c>
      <c r="I100" s="85"/>
      <c r="K100" s="54" t="s">
        <v>38</v>
      </c>
    </row>
    <row r="101" spans="2:11" ht="16.5" x14ac:dyDescent="0.2">
      <c r="B101" s="84" t="s">
        <v>295</v>
      </c>
      <c r="C101" s="84" t="s">
        <v>296</v>
      </c>
      <c r="D101" s="85">
        <v>0</v>
      </c>
      <c r="E101" s="85"/>
      <c r="F101" s="85">
        <v>5000</v>
      </c>
      <c r="G101" s="85">
        <v>5000</v>
      </c>
      <c r="H101" s="85">
        <f t="shared" si="1"/>
        <v>0</v>
      </c>
      <c r="I101" s="85"/>
      <c r="K101" s="54" t="s">
        <v>38</v>
      </c>
    </row>
    <row r="102" spans="2:11" ht="16.5" x14ac:dyDescent="0.2">
      <c r="B102" s="84" t="s">
        <v>297</v>
      </c>
      <c r="C102" s="84" t="s">
        <v>298</v>
      </c>
      <c r="D102" s="85">
        <v>3500</v>
      </c>
      <c r="E102" s="85"/>
      <c r="F102" s="85">
        <v>0</v>
      </c>
      <c r="G102" s="85">
        <v>0</v>
      </c>
      <c r="H102" s="85">
        <f t="shared" si="1"/>
        <v>3500</v>
      </c>
      <c r="I102" s="85"/>
      <c r="K102" s="54" t="s">
        <v>38</v>
      </c>
    </row>
    <row r="103" spans="2:11" ht="16.5" x14ac:dyDescent="0.2">
      <c r="B103" s="84" t="s">
        <v>299</v>
      </c>
      <c r="C103" s="84" t="s">
        <v>300</v>
      </c>
      <c r="D103" s="85">
        <v>5500</v>
      </c>
      <c r="E103" s="85"/>
      <c r="F103" s="85">
        <v>0</v>
      </c>
      <c r="G103" s="85">
        <v>0</v>
      </c>
      <c r="H103" s="85">
        <f t="shared" si="1"/>
        <v>5500</v>
      </c>
      <c r="I103" s="85"/>
      <c r="K103" s="54" t="s">
        <v>38</v>
      </c>
    </row>
    <row r="104" spans="2:11" ht="16.5" x14ac:dyDescent="0.2">
      <c r="B104" s="84" t="s">
        <v>301</v>
      </c>
      <c r="C104" s="84" t="s">
        <v>302</v>
      </c>
      <c r="D104" s="85">
        <v>2700</v>
      </c>
      <c r="E104" s="85"/>
      <c r="F104" s="85">
        <v>0</v>
      </c>
      <c r="G104" s="85">
        <v>0</v>
      </c>
      <c r="H104" s="85">
        <f t="shared" si="1"/>
        <v>2700</v>
      </c>
      <c r="I104" s="85"/>
      <c r="K104" s="54" t="s">
        <v>38</v>
      </c>
    </row>
    <row r="105" spans="2:11" ht="16.5" x14ac:dyDescent="0.2">
      <c r="B105" s="84" t="s">
        <v>303</v>
      </c>
      <c r="C105" s="84" t="s">
        <v>304</v>
      </c>
      <c r="D105" s="85">
        <v>3000</v>
      </c>
      <c r="E105" s="85"/>
      <c r="F105" s="85">
        <v>0</v>
      </c>
      <c r="G105" s="85">
        <v>2500</v>
      </c>
      <c r="H105" s="85">
        <f t="shared" si="1"/>
        <v>500</v>
      </c>
      <c r="I105" s="85"/>
      <c r="K105" s="54" t="s">
        <v>38</v>
      </c>
    </row>
    <row r="106" spans="2:11" ht="16.5" x14ac:dyDescent="0.2">
      <c r="B106" s="84" t="s">
        <v>305</v>
      </c>
      <c r="C106" s="84" t="s">
        <v>306</v>
      </c>
      <c r="D106" s="85">
        <v>5500</v>
      </c>
      <c r="E106" s="85"/>
      <c r="F106" s="85">
        <v>0</v>
      </c>
      <c r="G106" s="85">
        <v>0</v>
      </c>
      <c r="H106" s="85">
        <f t="shared" si="1"/>
        <v>5500</v>
      </c>
      <c r="I106" s="85"/>
      <c r="K106" s="54" t="s">
        <v>38</v>
      </c>
    </row>
    <row r="107" spans="2:11" ht="16.5" x14ac:dyDescent="0.2">
      <c r="B107" s="84" t="s">
        <v>307</v>
      </c>
      <c r="C107" s="84" t="s">
        <v>308</v>
      </c>
      <c r="D107" s="85">
        <v>5500</v>
      </c>
      <c r="E107" s="85"/>
      <c r="F107" s="85">
        <v>0</v>
      </c>
      <c r="G107" s="85">
        <v>0</v>
      </c>
      <c r="H107" s="85">
        <f t="shared" si="1"/>
        <v>5500</v>
      </c>
      <c r="I107" s="85"/>
      <c r="K107" s="54" t="s">
        <v>38</v>
      </c>
    </row>
    <row r="108" spans="2:11" ht="16.5" x14ac:dyDescent="0.2">
      <c r="B108" s="84" t="s">
        <v>309</v>
      </c>
      <c r="C108" s="84" t="s">
        <v>310</v>
      </c>
      <c r="D108" s="85">
        <v>2800</v>
      </c>
      <c r="E108" s="85"/>
      <c r="F108" s="85">
        <v>0</v>
      </c>
      <c r="G108" s="85">
        <v>0</v>
      </c>
      <c r="H108" s="85">
        <f t="shared" si="1"/>
        <v>2800</v>
      </c>
      <c r="I108" s="85"/>
      <c r="K108" s="54" t="s">
        <v>38</v>
      </c>
    </row>
    <row r="109" spans="2:11" ht="16.5" x14ac:dyDescent="0.2">
      <c r="B109" s="84" t="s">
        <v>311</v>
      </c>
      <c r="C109" s="84" t="s">
        <v>312</v>
      </c>
      <c r="D109" s="85">
        <v>2700</v>
      </c>
      <c r="E109" s="85"/>
      <c r="F109" s="85">
        <v>0</v>
      </c>
      <c r="G109" s="85">
        <v>0</v>
      </c>
      <c r="H109" s="85">
        <f t="shared" si="1"/>
        <v>2700</v>
      </c>
      <c r="I109" s="85"/>
      <c r="K109" s="54" t="s">
        <v>38</v>
      </c>
    </row>
    <row r="110" spans="2:11" ht="16.5" x14ac:dyDescent="0.2">
      <c r="B110" s="84" t="s">
        <v>313</v>
      </c>
      <c r="C110" s="84" t="s">
        <v>314</v>
      </c>
      <c r="D110" s="85">
        <v>2700</v>
      </c>
      <c r="E110" s="85"/>
      <c r="F110" s="85">
        <v>0</v>
      </c>
      <c r="G110" s="85">
        <v>0</v>
      </c>
      <c r="H110" s="85">
        <f t="shared" si="1"/>
        <v>2700</v>
      </c>
      <c r="I110" s="85"/>
      <c r="K110" s="54" t="s">
        <v>38</v>
      </c>
    </row>
    <row r="111" spans="2:11" ht="16.5" x14ac:dyDescent="0.2">
      <c r="B111" s="84" t="s">
        <v>315</v>
      </c>
      <c r="C111" s="84" t="s">
        <v>316</v>
      </c>
      <c r="D111" s="85">
        <v>5400</v>
      </c>
      <c r="E111" s="85"/>
      <c r="F111" s="85">
        <v>0</v>
      </c>
      <c r="G111" s="85">
        <v>0</v>
      </c>
      <c r="H111" s="85">
        <f t="shared" si="1"/>
        <v>5400</v>
      </c>
      <c r="I111" s="85"/>
      <c r="K111" s="54" t="s">
        <v>38</v>
      </c>
    </row>
    <row r="112" spans="2:11" ht="16.5" x14ac:dyDescent="0.2">
      <c r="B112" s="84" t="s">
        <v>317</v>
      </c>
      <c r="C112" s="84" t="s">
        <v>318</v>
      </c>
      <c r="D112" s="85">
        <v>2700</v>
      </c>
      <c r="E112" s="85"/>
      <c r="F112" s="85">
        <v>0</v>
      </c>
      <c r="G112" s="85">
        <v>0</v>
      </c>
      <c r="H112" s="85">
        <f t="shared" si="1"/>
        <v>2700</v>
      </c>
      <c r="I112" s="85"/>
      <c r="K112" s="54" t="s">
        <v>38</v>
      </c>
    </row>
    <row r="113" spans="2:11" ht="16.5" x14ac:dyDescent="0.2">
      <c r="B113" s="84" t="s">
        <v>319</v>
      </c>
      <c r="C113" s="84" t="s">
        <v>320</v>
      </c>
      <c r="D113" s="85">
        <v>3000</v>
      </c>
      <c r="E113" s="85"/>
      <c r="F113" s="85">
        <v>0</v>
      </c>
      <c r="G113" s="85">
        <v>0</v>
      </c>
      <c r="H113" s="85">
        <f t="shared" si="1"/>
        <v>3000</v>
      </c>
      <c r="I113" s="85"/>
      <c r="K113" s="54" t="s">
        <v>38</v>
      </c>
    </row>
    <row r="114" spans="2:11" ht="16.5" x14ac:dyDescent="0.2">
      <c r="B114" s="84" t="s">
        <v>321</v>
      </c>
      <c r="C114" s="84" t="s">
        <v>322</v>
      </c>
      <c r="D114" s="85">
        <v>4000</v>
      </c>
      <c r="E114" s="85"/>
      <c r="F114" s="85">
        <v>0</v>
      </c>
      <c r="G114" s="85">
        <v>0</v>
      </c>
      <c r="H114" s="85">
        <f t="shared" si="1"/>
        <v>4000</v>
      </c>
      <c r="I114" s="85"/>
      <c r="K114" s="54" t="s">
        <v>38</v>
      </c>
    </row>
    <row r="115" spans="2:11" ht="16.5" x14ac:dyDescent="0.2">
      <c r="B115" s="84" t="s">
        <v>323</v>
      </c>
      <c r="C115" s="84" t="s">
        <v>324</v>
      </c>
      <c r="D115" s="85">
        <v>2800</v>
      </c>
      <c r="E115" s="85"/>
      <c r="F115" s="85">
        <v>0</v>
      </c>
      <c r="G115" s="85">
        <v>0</v>
      </c>
      <c r="H115" s="85">
        <f t="shared" si="1"/>
        <v>2800</v>
      </c>
      <c r="I115" s="85"/>
      <c r="K115" s="54" t="s">
        <v>38</v>
      </c>
    </row>
    <row r="116" spans="2:11" ht="16.5" x14ac:dyDescent="0.2">
      <c r="B116" s="84" t="s">
        <v>325</v>
      </c>
      <c r="C116" s="84" t="s">
        <v>326</v>
      </c>
      <c r="D116" s="85">
        <v>5000</v>
      </c>
      <c r="E116" s="85"/>
      <c r="F116" s="85">
        <v>0</v>
      </c>
      <c r="G116" s="85">
        <v>4000</v>
      </c>
      <c r="H116" s="85">
        <f t="shared" si="1"/>
        <v>1000</v>
      </c>
      <c r="I116" s="85"/>
      <c r="K116" s="54" t="s">
        <v>38</v>
      </c>
    </row>
    <row r="117" spans="2:11" ht="16.5" x14ac:dyDescent="0.2">
      <c r="B117" s="84" t="s">
        <v>327</v>
      </c>
      <c r="C117" s="84" t="s">
        <v>328</v>
      </c>
      <c r="D117" s="85">
        <v>2000</v>
      </c>
      <c r="E117" s="85"/>
      <c r="F117" s="85">
        <v>0</v>
      </c>
      <c r="G117" s="85">
        <v>2000</v>
      </c>
      <c r="H117" s="85">
        <f t="shared" si="1"/>
        <v>0</v>
      </c>
      <c r="I117" s="85"/>
      <c r="K117" s="54" t="s">
        <v>38</v>
      </c>
    </row>
    <row r="118" spans="2:11" ht="16.5" x14ac:dyDescent="0.2">
      <c r="B118" s="84" t="s">
        <v>329</v>
      </c>
      <c r="C118" s="84" t="s">
        <v>330</v>
      </c>
      <c r="D118" s="85">
        <v>2800</v>
      </c>
      <c r="E118" s="85"/>
      <c r="F118" s="85">
        <v>0</v>
      </c>
      <c r="G118" s="85">
        <v>0</v>
      </c>
      <c r="H118" s="85">
        <f t="shared" si="1"/>
        <v>2800</v>
      </c>
      <c r="I118" s="85"/>
      <c r="K118" s="54" t="s">
        <v>38</v>
      </c>
    </row>
    <row r="119" spans="2:11" ht="16.5" x14ac:dyDescent="0.2">
      <c r="B119" s="84" t="s">
        <v>331</v>
      </c>
      <c r="C119" s="84" t="s">
        <v>332</v>
      </c>
      <c r="D119" s="85">
        <v>4500</v>
      </c>
      <c r="E119" s="85"/>
      <c r="F119" s="85">
        <v>0</v>
      </c>
      <c r="G119" s="85">
        <v>4500</v>
      </c>
      <c r="H119" s="85">
        <f t="shared" si="1"/>
        <v>0</v>
      </c>
      <c r="I119" s="85"/>
      <c r="K119" s="54" t="s">
        <v>38</v>
      </c>
    </row>
    <row r="120" spans="2:11" ht="16.5" x14ac:dyDescent="0.2">
      <c r="B120" s="84" t="s">
        <v>333</v>
      </c>
      <c r="C120" s="84" t="s">
        <v>334</v>
      </c>
      <c r="D120" s="85">
        <v>2800</v>
      </c>
      <c r="E120" s="85"/>
      <c r="F120" s="85">
        <v>0</v>
      </c>
      <c r="G120" s="85">
        <v>0</v>
      </c>
      <c r="H120" s="85">
        <f t="shared" si="1"/>
        <v>2800</v>
      </c>
      <c r="I120" s="85"/>
      <c r="K120" s="54" t="s">
        <v>38</v>
      </c>
    </row>
    <row r="121" spans="2:11" ht="16.5" x14ac:dyDescent="0.2">
      <c r="B121" s="84" t="s">
        <v>335</v>
      </c>
      <c r="C121" s="84" t="s">
        <v>336</v>
      </c>
      <c r="D121" s="85">
        <v>1000</v>
      </c>
      <c r="E121" s="85"/>
      <c r="F121" s="85">
        <v>0</v>
      </c>
      <c r="G121" s="85">
        <v>0</v>
      </c>
      <c r="H121" s="85">
        <f t="shared" si="1"/>
        <v>1000</v>
      </c>
      <c r="I121" s="85"/>
      <c r="K121" s="54" t="s">
        <v>38</v>
      </c>
    </row>
    <row r="122" spans="2:11" ht="16.5" x14ac:dyDescent="0.2">
      <c r="B122" s="84" t="s">
        <v>337</v>
      </c>
      <c r="C122" s="84" t="s">
        <v>338</v>
      </c>
      <c r="D122" s="85">
        <v>5000</v>
      </c>
      <c r="E122" s="85"/>
      <c r="F122" s="85">
        <v>0</v>
      </c>
      <c r="G122" s="85">
        <v>0</v>
      </c>
      <c r="H122" s="85">
        <f t="shared" si="1"/>
        <v>5000</v>
      </c>
      <c r="I122" s="85"/>
      <c r="K122" s="54" t="s">
        <v>38</v>
      </c>
    </row>
    <row r="123" spans="2:11" ht="16.5" x14ac:dyDescent="0.2">
      <c r="B123" s="84" t="s">
        <v>339</v>
      </c>
      <c r="C123" s="84" t="s">
        <v>340</v>
      </c>
      <c r="D123" s="85">
        <v>1800</v>
      </c>
      <c r="E123" s="85"/>
      <c r="F123" s="85">
        <v>0</v>
      </c>
      <c r="G123" s="85">
        <v>0</v>
      </c>
      <c r="H123" s="85">
        <f t="shared" si="1"/>
        <v>1800</v>
      </c>
      <c r="I123" s="85"/>
      <c r="K123" s="54" t="s">
        <v>38</v>
      </c>
    </row>
    <row r="124" spans="2:11" ht="16.5" x14ac:dyDescent="0.2">
      <c r="B124" s="84" t="s">
        <v>341</v>
      </c>
      <c r="C124" s="84" t="s">
        <v>342</v>
      </c>
      <c r="D124" s="85">
        <v>8500</v>
      </c>
      <c r="E124" s="85"/>
      <c r="F124" s="85">
        <v>0</v>
      </c>
      <c r="G124" s="85">
        <v>8000</v>
      </c>
      <c r="H124" s="85">
        <f t="shared" si="1"/>
        <v>500</v>
      </c>
      <c r="I124" s="85"/>
      <c r="K124" s="54" t="s">
        <v>38</v>
      </c>
    </row>
    <row r="125" spans="2:11" ht="16.5" x14ac:dyDescent="0.2">
      <c r="B125" s="84" t="s">
        <v>343</v>
      </c>
      <c r="C125" s="84" t="s">
        <v>344</v>
      </c>
      <c r="D125" s="85">
        <v>9000</v>
      </c>
      <c r="E125" s="85"/>
      <c r="F125" s="85">
        <v>0</v>
      </c>
      <c r="G125" s="85">
        <v>7500</v>
      </c>
      <c r="H125" s="85">
        <f t="shared" si="1"/>
        <v>1500</v>
      </c>
      <c r="I125" s="85"/>
      <c r="K125" s="54" t="s">
        <v>38</v>
      </c>
    </row>
    <row r="126" spans="2:11" ht="24.75" x14ac:dyDescent="0.2">
      <c r="B126" s="82" t="s">
        <v>355</v>
      </c>
      <c r="C126" s="82" t="s">
        <v>356</v>
      </c>
      <c r="D126" s="83">
        <f>SUMIFS(D127:D6462,K127:K6462,"0",B127:B6462,"1 1 2 9*")-SUMIFS(E127:E6462,K127:K6462,"0",B127:B6462,"1 1 2 9*")</f>
        <v>0.65</v>
      </c>
      <c r="E126" s="54"/>
      <c r="F126" s="83">
        <f>SUMIFS(F127:F6462,K127:K6462,"0",B127:B6462,"1 1 2 9*")</f>
        <v>104761.20000000001</v>
      </c>
      <c r="G126" s="83">
        <f>SUMIFS(G127:G6462,K127:K6462,"0",B127:B6462,"1 1 2 9*")</f>
        <v>104761.20000000001</v>
      </c>
      <c r="H126" s="83">
        <f t="shared" si="1"/>
        <v>0.64999999999417923</v>
      </c>
      <c r="I126" s="83"/>
      <c r="K126" s="54" t="s">
        <v>15</v>
      </c>
    </row>
    <row r="127" spans="2:11" ht="24.75" x14ac:dyDescent="0.2">
      <c r="B127" s="82" t="s">
        <v>357</v>
      </c>
      <c r="C127" s="82" t="s">
        <v>356</v>
      </c>
      <c r="D127" s="83">
        <f>SUMIFS(D128:D6462,K128:K6462,"0",B128:B6462,"1 1 2 9 1*")-SUMIFS(E128:E6462,K128:K6462,"0",B128:B6462,"1 1 2 9 1*")</f>
        <v>0.65</v>
      </c>
      <c r="E127" s="54"/>
      <c r="F127" s="83">
        <f>SUMIFS(F128:F6462,K128:K6462,"0",B128:B6462,"1 1 2 9 1*")</f>
        <v>104761.20000000001</v>
      </c>
      <c r="G127" s="83">
        <f>SUMIFS(G128:G6462,K128:K6462,"0",B128:B6462,"1 1 2 9 1*")</f>
        <v>104761.20000000001</v>
      </c>
      <c r="H127" s="83">
        <f t="shared" si="1"/>
        <v>0.64999999999417923</v>
      </c>
      <c r="I127" s="83"/>
      <c r="K127" s="54" t="s">
        <v>15</v>
      </c>
    </row>
    <row r="128" spans="2:11" ht="12.75" x14ac:dyDescent="0.2">
      <c r="B128" s="82" t="s">
        <v>358</v>
      </c>
      <c r="C128" s="82" t="s">
        <v>26</v>
      </c>
      <c r="D128" s="83">
        <f>SUMIFS(D129:D6462,K129:K6462,"0",B129:B6462,"1 1 2 9 1 12*")-SUMIFS(E129:E6462,K129:K6462,"0",B129:B6462,"1 1 2 9 1 12*")</f>
        <v>0.65</v>
      </c>
      <c r="E128" s="54"/>
      <c r="F128" s="83">
        <f>SUMIFS(F129:F6462,K129:K6462,"0",B129:B6462,"1 1 2 9 1 12*")</f>
        <v>104761.20000000001</v>
      </c>
      <c r="G128" s="83">
        <f>SUMIFS(G129:G6462,K129:K6462,"0",B129:B6462,"1 1 2 9 1 12*")</f>
        <v>104761.20000000001</v>
      </c>
      <c r="H128" s="83">
        <f t="shared" si="1"/>
        <v>0.64999999999417923</v>
      </c>
      <c r="I128" s="83"/>
      <c r="K128" s="54" t="s">
        <v>15</v>
      </c>
    </row>
    <row r="129" spans="2:11" ht="16.5" x14ac:dyDescent="0.2">
      <c r="B129" s="82" t="s">
        <v>359</v>
      </c>
      <c r="C129" s="82" t="s">
        <v>28</v>
      </c>
      <c r="D129" s="83">
        <f>SUMIFS(D130:D6462,K130:K6462,"0",B130:B6462,"1 1 2 9 1 12 31111*")-SUMIFS(E130:E6462,K130:K6462,"0",B130:B6462,"1 1 2 9 1 12 31111*")</f>
        <v>0.65</v>
      </c>
      <c r="E129" s="54"/>
      <c r="F129" s="83">
        <f>SUMIFS(F130:F6462,K130:K6462,"0",B130:B6462,"1 1 2 9 1 12 31111*")</f>
        <v>104761.20000000001</v>
      </c>
      <c r="G129" s="83">
        <f>SUMIFS(G130:G6462,K130:K6462,"0",B130:B6462,"1 1 2 9 1 12 31111*")</f>
        <v>104761.20000000001</v>
      </c>
      <c r="H129" s="83">
        <f t="shared" si="1"/>
        <v>0.64999999999417923</v>
      </c>
      <c r="I129" s="83"/>
      <c r="K129" s="54" t="s">
        <v>15</v>
      </c>
    </row>
    <row r="130" spans="2:11" ht="12.75" x14ac:dyDescent="0.2">
      <c r="B130" s="82" t="s">
        <v>360</v>
      </c>
      <c r="C130" s="82" t="s">
        <v>30</v>
      </c>
      <c r="D130" s="83">
        <f>SUMIFS(D131:D6462,K131:K6462,"0",B131:B6462,"1 1 2 9 1 12 31111 6*")-SUMIFS(E131:E6462,K131:K6462,"0",B131:B6462,"1 1 2 9 1 12 31111 6*")</f>
        <v>0.65</v>
      </c>
      <c r="E130" s="54"/>
      <c r="F130" s="83">
        <f>SUMIFS(F131:F6462,K131:K6462,"0",B131:B6462,"1 1 2 9 1 12 31111 6*")</f>
        <v>104761.20000000001</v>
      </c>
      <c r="G130" s="83">
        <f>SUMIFS(G131:G6462,K131:K6462,"0",B131:B6462,"1 1 2 9 1 12 31111 6*")</f>
        <v>104761.20000000001</v>
      </c>
      <c r="H130" s="83">
        <f t="shared" si="1"/>
        <v>0.64999999999417923</v>
      </c>
      <c r="I130" s="83"/>
      <c r="K130" s="54" t="s">
        <v>15</v>
      </c>
    </row>
    <row r="131" spans="2:11" ht="12.75" x14ac:dyDescent="0.2">
      <c r="B131" s="82" t="s">
        <v>361</v>
      </c>
      <c r="C131" s="82" t="s">
        <v>42</v>
      </c>
      <c r="D131" s="83">
        <f>SUMIFS(D132:D6462,K132:K6462,"0",B132:B6462,"1 1 2 9 1 12 31111 6 M59*")-SUMIFS(E132:E6462,K132:K6462,"0",B132:B6462,"1 1 2 9 1 12 31111 6 M59*")</f>
        <v>0.65</v>
      </c>
      <c r="E131" s="54"/>
      <c r="F131" s="83">
        <f>SUMIFS(F132:F6462,K132:K6462,"0",B132:B6462,"1 1 2 9 1 12 31111 6 M59*")</f>
        <v>104761.20000000001</v>
      </c>
      <c r="G131" s="83">
        <f>SUMIFS(G132:G6462,K132:K6462,"0",B132:B6462,"1 1 2 9 1 12 31111 6 M59*")</f>
        <v>104761.20000000001</v>
      </c>
      <c r="H131" s="83">
        <f t="shared" si="1"/>
        <v>0.64999999999417923</v>
      </c>
      <c r="I131" s="83"/>
      <c r="K131" s="54" t="s">
        <v>15</v>
      </c>
    </row>
    <row r="132" spans="2:11" ht="16.5" x14ac:dyDescent="0.2">
      <c r="B132" s="82" t="s">
        <v>362</v>
      </c>
      <c r="C132" s="82" t="s">
        <v>34</v>
      </c>
      <c r="D132" s="83">
        <f>SUMIFS(D133:D6462,K133:K6462,"0",B133:B6462,"1 1 2 9 1 12 31111 6 M59 00001*")-SUMIFS(E133:E6462,K133:K6462,"0",B133:B6462,"1 1 2 9 1 12 31111 6 M59 00001*")</f>
        <v>0.65</v>
      </c>
      <c r="E132" s="54"/>
      <c r="F132" s="83">
        <f>SUMIFS(F133:F6462,K133:K6462,"0",B133:B6462,"1 1 2 9 1 12 31111 6 M59 00001*")</f>
        <v>104761.20000000001</v>
      </c>
      <c r="G132" s="83">
        <f>SUMIFS(G133:G6462,K133:K6462,"0",B133:B6462,"1 1 2 9 1 12 31111 6 M59 00001*")</f>
        <v>104761.20000000001</v>
      </c>
      <c r="H132" s="83">
        <f t="shared" si="1"/>
        <v>0.64999999999417923</v>
      </c>
      <c r="I132" s="83"/>
      <c r="K132" s="54" t="s">
        <v>15</v>
      </c>
    </row>
    <row r="133" spans="2:11" ht="16.5" x14ac:dyDescent="0.2">
      <c r="B133" s="82" t="s">
        <v>363</v>
      </c>
      <c r="C133" s="82" t="s">
        <v>364</v>
      </c>
      <c r="D133" s="83">
        <f>SUMIFS(D134:D6462,K134:K6462,"0",B134:B6462,"1 1 2 9 1 12 31111 6 M59 00001 000001*")-SUMIFS(E134:E6462,K134:K6462,"0",B134:B6462,"1 1 2 9 1 12 31111 6 M59 00001 000001*")</f>
        <v>0.65</v>
      </c>
      <c r="E133" s="54"/>
      <c r="F133" s="83">
        <f>SUMIFS(F134:F6462,K134:K6462,"0",B134:B6462,"1 1 2 9 1 12 31111 6 M59 00001 000001*")</f>
        <v>104761.20000000001</v>
      </c>
      <c r="G133" s="83">
        <f>SUMIFS(G134:G6462,K134:K6462,"0",B134:B6462,"1 1 2 9 1 12 31111 6 M59 00001 000001*")</f>
        <v>104761.20000000001</v>
      </c>
      <c r="H133" s="83">
        <f t="shared" si="1"/>
        <v>0.64999999999417923</v>
      </c>
      <c r="I133" s="83"/>
      <c r="K133" s="54" t="s">
        <v>15</v>
      </c>
    </row>
    <row r="134" spans="2:11" ht="16.5" x14ac:dyDescent="0.2">
      <c r="B134" s="82" t="s">
        <v>365</v>
      </c>
      <c r="C134" s="82" t="s">
        <v>36</v>
      </c>
      <c r="D134" s="83">
        <f>SUMIFS(D135:D6462,K135:K6462,"0",B135:B6462,"1 1 2 9 1 12 31111 6 M59 00001 000001 00045*")-SUMIFS(E135:E6462,K135:K6462,"0",B135:B6462,"1 1 2 9 1 12 31111 6 M59 00001 000001 00045*")</f>
        <v>0.65</v>
      </c>
      <c r="E134" s="54"/>
      <c r="F134" s="83">
        <f>SUMIFS(F135:F6462,K135:K6462,"0",B135:B6462,"1 1 2 9 1 12 31111 6 M59 00001 000001 00045*")</f>
        <v>112.88</v>
      </c>
      <c r="G134" s="83">
        <f>SUMIFS(G135:G6462,K135:K6462,"0",B135:B6462,"1 1 2 9 1 12 31111 6 M59 00001 000001 00045*")</f>
        <v>112.88</v>
      </c>
      <c r="H134" s="83">
        <f t="shared" si="1"/>
        <v>0.65000000000000568</v>
      </c>
      <c r="I134" s="83"/>
      <c r="K134" s="54" t="s">
        <v>15</v>
      </c>
    </row>
    <row r="135" spans="2:11" ht="24.75" x14ac:dyDescent="0.2">
      <c r="B135" s="84" t="s">
        <v>366</v>
      </c>
      <c r="C135" s="84" t="s">
        <v>367</v>
      </c>
      <c r="D135" s="85">
        <v>0.65</v>
      </c>
      <c r="E135" s="85"/>
      <c r="F135" s="85">
        <v>112.88</v>
      </c>
      <c r="G135" s="85">
        <v>112.88</v>
      </c>
      <c r="H135" s="85">
        <f t="shared" si="1"/>
        <v>0.65000000000000568</v>
      </c>
      <c r="I135" s="85"/>
      <c r="K135" s="54" t="s">
        <v>38</v>
      </c>
    </row>
    <row r="136" spans="2:11" ht="33" x14ac:dyDescent="0.2">
      <c r="B136" s="84" t="s">
        <v>368</v>
      </c>
      <c r="C136" s="84" t="s">
        <v>369</v>
      </c>
      <c r="D136" s="85">
        <v>0</v>
      </c>
      <c r="E136" s="85"/>
      <c r="F136" s="85">
        <v>91183.19</v>
      </c>
      <c r="G136" s="85">
        <v>91183.19</v>
      </c>
      <c r="H136" s="85">
        <f t="shared" si="1"/>
        <v>0</v>
      </c>
      <c r="I136" s="85"/>
      <c r="K136" s="54" t="s">
        <v>38</v>
      </c>
    </row>
    <row r="137" spans="2:11" ht="16.5" x14ac:dyDescent="0.2">
      <c r="B137" s="84" t="s">
        <v>370</v>
      </c>
      <c r="C137" s="84" t="s">
        <v>371</v>
      </c>
      <c r="D137" s="85">
        <v>0</v>
      </c>
      <c r="E137" s="85"/>
      <c r="F137" s="85">
        <v>13465.13</v>
      </c>
      <c r="G137" s="85">
        <v>13465.13</v>
      </c>
      <c r="H137" s="85">
        <f t="shared" si="1"/>
        <v>0</v>
      </c>
      <c r="I137" s="85"/>
      <c r="K137" s="54" t="s">
        <v>38</v>
      </c>
    </row>
    <row r="138" spans="2:11" ht="16.5" x14ac:dyDescent="0.2">
      <c r="B138" s="82" t="s">
        <v>376</v>
      </c>
      <c r="C138" s="82" t="s">
        <v>377</v>
      </c>
      <c r="D138" s="83">
        <f>SUMIFS(D139:D6462,K139:K6462,"0",B139:B6462,"1 1 3*")-SUMIFS(E139:E6462,K139:K6462,"0",B139:B6462,"1 1 3*")</f>
        <v>3751666.92</v>
      </c>
      <c r="E138" s="54"/>
      <c r="F138" s="83">
        <f>SUMIFS(F139:F6462,K139:K6462,"0",B139:B6462,"1 1 3*")</f>
        <v>8455567.3900000006</v>
      </c>
      <c r="G138" s="83">
        <f>SUMIFS(G139:G6462,K139:K6462,"0",B139:B6462,"1 1 3*")</f>
        <v>7843388.9099999992</v>
      </c>
      <c r="H138" s="83">
        <f t="shared" si="1"/>
        <v>4363845.4000000013</v>
      </c>
      <c r="I138" s="83"/>
      <c r="K138" s="54" t="s">
        <v>15</v>
      </c>
    </row>
    <row r="139" spans="2:11" ht="33" x14ac:dyDescent="0.2">
      <c r="B139" s="82" t="s">
        <v>378</v>
      </c>
      <c r="C139" s="82" t="s">
        <v>379</v>
      </c>
      <c r="D139" s="83">
        <f>SUMIFS(D140:D6462,K140:K6462,"0",B140:B6462,"1 1 3 1*")-SUMIFS(E140:E6462,K140:K6462,"0",B140:B6462,"1 1 3 1*")</f>
        <v>215905.02</v>
      </c>
      <c r="E139" s="54"/>
      <c r="F139" s="83">
        <f>SUMIFS(F140:F6462,K140:K6462,"0",B140:B6462,"1 1 3 1*")</f>
        <v>1094154.42</v>
      </c>
      <c r="G139" s="83">
        <f>SUMIFS(G140:G6462,K140:K6462,"0",B140:B6462,"1 1 3 1*")</f>
        <v>1094058.3399999999</v>
      </c>
      <c r="H139" s="83">
        <f t="shared" si="1"/>
        <v>216001.10000000009</v>
      </c>
      <c r="I139" s="83"/>
      <c r="K139" s="54" t="s">
        <v>15</v>
      </c>
    </row>
    <row r="140" spans="2:11" ht="33" x14ac:dyDescent="0.2">
      <c r="B140" s="82" t="s">
        <v>380</v>
      </c>
      <c r="C140" s="82" t="s">
        <v>379</v>
      </c>
      <c r="D140" s="83">
        <f>SUMIFS(D141:D6462,K141:K6462,"0",B141:B6462,"1 1 3 1 1*")-SUMIFS(E141:E6462,K141:K6462,"0",B141:B6462,"1 1 3 1 1*")</f>
        <v>215905.02</v>
      </c>
      <c r="E140" s="54"/>
      <c r="F140" s="83">
        <f>SUMIFS(F141:F6462,K141:K6462,"0",B141:B6462,"1 1 3 1 1*")</f>
        <v>1094154.42</v>
      </c>
      <c r="G140" s="83">
        <f>SUMIFS(G141:G6462,K141:K6462,"0",B141:B6462,"1 1 3 1 1*")</f>
        <v>1094058.3399999999</v>
      </c>
      <c r="H140" s="83">
        <f t="shared" ref="H140:H203" si="2">D140 + F140 - G140</f>
        <v>216001.10000000009</v>
      </c>
      <c r="I140" s="83"/>
      <c r="K140" s="54" t="s">
        <v>15</v>
      </c>
    </row>
    <row r="141" spans="2:11" ht="12.75" x14ac:dyDescent="0.2">
      <c r="B141" s="82" t="s">
        <v>381</v>
      </c>
      <c r="C141" s="82" t="s">
        <v>26</v>
      </c>
      <c r="D141" s="83">
        <f>SUMIFS(D142:D6462,K142:K6462,"0",B142:B6462,"1 1 3 1 1 12*")-SUMIFS(E142:E6462,K142:K6462,"0",B142:B6462,"1 1 3 1 1 12*")</f>
        <v>215905.02</v>
      </c>
      <c r="E141" s="54"/>
      <c r="F141" s="83">
        <f>SUMIFS(F142:F6462,K142:K6462,"0",B142:B6462,"1 1 3 1 1 12*")</f>
        <v>1094154.42</v>
      </c>
      <c r="G141" s="83">
        <f>SUMIFS(G142:G6462,K142:K6462,"0",B142:B6462,"1 1 3 1 1 12*")</f>
        <v>1094058.3399999999</v>
      </c>
      <c r="H141" s="83">
        <f t="shared" si="2"/>
        <v>216001.10000000009</v>
      </c>
      <c r="I141" s="83"/>
      <c r="K141" s="54" t="s">
        <v>15</v>
      </c>
    </row>
    <row r="142" spans="2:11" ht="16.5" x14ac:dyDescent="0.2">
      <c r="B142" s="82" t="s">
        <v>382</v>
      </c>
      <c r="C142" s="82" t="s">
        <v>28</v>
      </c>
      <c r="D142" s="83">
        <f>SUMIFS(D143:D6462,K143:K6462,"0",B143:B6462,"1 1 3 1 1 12 31111*")-SUMIFS(E143:E6462,K143:K6462,"0",B143:B6462,"1 1 3 1 1 12 31111*")</f>
        <v>215905.02</v>
      </c>
      <c r="E142" s="54"/>
      <c r="F142" s="83">
        <f>SUMIFS(F143:F6462,K143:K6462,"0",B143:B6462,"1 1 3 1 1 12 31111*")</f>
        <v>1094154.42</v>
      </c>
      <c r="G142" s="83">
        <f>SUMIFS(G143:G6462,K143:K6462,"0",B143:B6462,"1 1 3 1 1 12 31111*")</f>
        <v>1094058.3399999999</v>
      </c>
      <c r="H142" s="83">
        <f t="shared" si="2"/>
        <v>216001.10000000009</v>
      </c>
      <c r="I142" s="83"/>
      <c r="K142" s="54" t="s">
        <v>15</v>
      </c>
    </row>
    <row r="143" spans="2:11" ht="12.75" x14ac:dyDescent="0.2">
      <c r="B143" s="82" t="s">
        <v>383</v>
      </c>
      <c r="C143" s="82" t="s">
        <v>30</v>
      </c>
      <c r="D143" s="83">
        <f>SUMIFS(D144:D6462,K144:K6462,"0",B144:B6462,"1 1 3 1 1 12 31111 6*")-SUMIFS(E144:E6462,K144:K6462,"0",B144:B6462,"1 1 3 1 1 12 31111 6*")</f>
        <v>215905.02</v>
      </c>
      <c r="E143" s="54"/>
      <c r="F143" s="83">
        <f>SUMIFS(F144:F6462,K144:K6462,"0",B144:B6462,"1 1 3 1 1 12 31111 6*")</f>
        <v>1094154.42</v>
      </c>
      <c r="G143" s="83">
        <f>SUMIFS(G144:G6462,K144:K6462,"0",B144:B6462,"1 1 3 1 1 12 31111 6*")</f>
        <v>1094058.3399999999</v>
      </c>
      <c r="H143" s="83">
        <f t="shared" si="2"/>
        <v>216001.10000000009</v>
      </c>
      <c r="I143" s="83"/>
      <c r="K143" s="54" t="s">
        <v>15</v>
      </c>
    </row>
    <row r="144" spans="2:11" ht="12.75" x14ac:dyDescent="0.2">
      <c r="B144" s="82" t="s">
        <v>384</v>
      </c>
      <c r="C144" s="82" t="s">
        <v>32</v>
      </c>
      <c r="D144" s="83">
        <f>SUMIFS(D145:D6462,K145:K6462,"0",B145:B6462,"1 1 3 1 1 12 31111 6 M59*")-SUMIFS(E145:E6462,K145:K6462,"0",B145:B6462,"1 1 3 1 1 12 31111 6 M59*")</f>
        <v>215905.02</v>
      </c>
      <c r="E144" s="54"/>
      <c r="F144" s="83">
        <f>SUMIFS(F145:F6462,K145:K6462,"0",B145:B6462,"1 1 3 1 1 12 31111 6 M59*")</f>
        <v>1094154.42</v>
      </c>
      <c r="G144" s="83">
        <f>SUMIFS(G145:G6462,K145:K6462,"0",B145:B6462,"1 1 3 1 1 12 31111 6 M59*")</f>
        <v>1094058.3399999999</v>
      </c>
      <c r="H144" s="83">
        <f t="shared" si="2"/>
        <v>216001.10000000009</v>
      </c>
      <c r="I144" s="83"/>
      <c r="K144" s="54" t="s">
        <v>15</v>
      </c>
    </row>
    <row r="145" spans="2:11" ht="16.5" x14ac:dyDescent="0.2">
      <c r="B145" s="82" t="s">
        <v>385</v>
      </c>
      <c r="C145" s="82" t="s">
        <v>34</v>
      </c>
      <c r="D145" s="83">
        <f>SUMIFS(D146:D6462,K146:K6462,"0",B146:B6462,"1 1 3 1 1 12 31111 6 M59 00001*")-SUMIFS(E146:E6462,K146:K6462,"0",B146:B6462,"1 1 3 1 1 12 31111 6 M59 00001*")</f>
        <v>215903.37</v>
      </c>
      <c r="E145" s="54"/>
      <c r="F145" s="83">
        <f>SUMIFS(F146:F6462,K146:K6462,"0",B146:B6462,"1 1 3 1 1 12 31111 6 M59 00001*")</f>
        <v>1072454.42</v>
      </c>
      <c r="G145" s="83">
        <f>SUMIFS(G146:G6462,K146:K6462,"0",B146:B6462,"1 1 3 1 1 12 31111 6 M59 00001*")</f>
        <v>1072358.3399999999</v>
      </c>
      <c r="H145" s="83">
        <f t="shared" si="2"/>
        <v>215999.45000000019</v>
      </c>
      <c r="I145" s="83"/>
      <c r="K145" s="54" t="s">
        <v>15</v>
      </c>
    </row>
    <row r="146" spans="2:11" ht="16.5" x14ac:dyDescent="0.2">
      <c r="B146" s="84" t="s">
        <v>386</v>
      </c>
      <c r="C146" s="84" t="s">
        <v>387</v>
      </c>
      <c r="D146" s="85">
        <v>0</v>
      </c>
      <c r="E146" s="85"/>
      <c r="F146" s="85">
        <v>281474.90000000002</v>
      </c>
      <c r="G146" s="85">
        <v>281474.90000000002</v>
      </c>
      <c r="H146" s="85">
        <f t="shared" si="2"/>
        <v>0</v>
      </c>
      <c r="I146" s="85"/>
      <c r="K146" s="54" t="s">
        <v>38</v>
      </c>
    </row>
    <row r="147" spans="2:11" ht="24.75" x14ac:dyDescent="0.2">
      <c r="B147" s="84" t="s">
        <v>388</v>
      </c>
      <c r="C147" s="84" t="s">
        <v>375</v>
      </c>
      <c r="D147" s="85">
        <v>96837.84</v>
      </c>
      <c r="E147" s="85"/>
      <c r="F147" s="85">
        <v>0</v>
      </c>
      <c r="G147" s="85">
        <v>0</v>
      </c>
      <c r="H147" s="85">
        <f t="shared" si="2"/>
        <v>96837.84</v>
      </c>
      <c r="I147" s="85"/>
      <c r="K147" s="54" t="s">
        <v>38</v>
      </c>
    </row>
    <row r="148" spans="2:11" ht="16.5" x14ac:dyDescent="0.2">
      <c r="B148" s="84" t="s">
        <v>389</v>
      </c>
      <c r="C148" s="84" t="s">
        <v>390</v>
      </c>
      <c r="D148" s="85">
        <v>10</v>
      </c>
      <c r="E148" s="85"/>
      <c r="F148" s="85">
        <v>24053</v>
      </c>
      <c r="G148" s="85">
        <v>24053</v>
      </c>
      <c r="H148" s="85">
        <f t="shared" si="2"/>
        <v>10</v>
      </c>
      <c r="I148" s="85"/>
      <c r="K148" s="54" t="s">
        <v>38</v>
      </c>
    </row>
    <row r="149" spans="2:11" ht="16.5" x14ac:dyDescent="0.2">
      <c r="B149" s="84" t="s">
        <v>391</v>
      </c>
      <c r="C149" s="84" t="s">
        <v>392</v>
      </c>
      <c r="D149" s="85">
        <v>1.1000000000000001</v>
      </c>
      <c r="E149" s="85"/>
      <c r="F149" s="85">
        <v>348955.04</v>
      </c>
      <c r="G149" s="85">
        <v>348955.04</v>
      </c>
      <c r="H149" s="85">
        <f t="shared" si="2"/>
        <v>1.0999999999767169</v>
      </c>
      <c r="I149" s="85"/>
      <c r="K149" s="54" t="s">
        <v>38</v>
      </c>
    </row>
    <row r="150" spans="2:11" ht="24.75" x14ac:dyDescent="0.2">
      <c r="B150" s="84" t="s">
        <v>393</v>
      </c>
      <c r="C150" s="84" t="s">
        <v>394</v>
      </c>
      <c r="D150" s="85">
        <v>11313.69</v>
      </c>
      <c r="E150" s="85"/>
      <c r="F150" s="85">
        <v>0</v>
      </c>
      <c r="G150" s="85">
        <v>0</v>
      </c>
      <c r="H150" s="85">
        <f t="shared" si="2"/>
        <v>11313.69</v>
      </c>
      <c r="I150" s="85"/>
      <c r="K150" s="54" t="s">
        <v>38</v>
      </c>
    </row>
    <row r="151" spans="2:11" ht="16.5" x14ac:dyDescent="0.2">
      <c r="B151" s="84" t="s">
        <v>395</v>
      </c>
      <c r="C151" s="84" t="s">
        <v>396</v>
      </c>
      <c r="D151" s="85">
        <v>20200</v>
      </c>
      <c r="E151" s="85"/>
      <c r="F151" s="85">
        <v>0</v>
      </c>
      <c r="G151" s="85">
        <v>0</v>
      </c>
      <c r="H151" s="85">
        <f t="shared" si="2"/>
        <v>20200</v>
      </c>
      <c r="I151" s="85"/>
      <c r="K151" s="54" t="s">
        <v>38</v>
      </c>
    </row>
    <row r="152" spans="2:11" ht="16.5" x14ac:dyDescent="0.2">
      <c r="B152" s="84" t="s">
        <v>397</v>
      </c>
      <c r="C152" s="84" t="s">
        <v>398</v>
      </c>
      <c r="D152" s="85">
        <v>0</v>
      </c>
      <c r="E152" s="85"/>
      <c r="F152" s="85">
        <v>21700</v>
      </c>
      <c r="G152" s="85">
        <v>21700</v>
      </c>
      <c r="H152" s="85">
        <f t="shared" si="2"/>
        <v>0</v>
      </c>
      <c r="I152" s="85"/>
      <c r="K152" s="54" t="s">
        <v>38</v>
      </c>
    </row>
    <row r="153" spans="2:11" ht="16.5" x14ac:dyDescent="0.2">
      <c r="B153" s="84" t="s">
        <v>399</v>
      </c>
      <c r="C153" s="84" t="s">
        <v>400</v>
      </c>
      <c r="D153" s="85">
        <v>0</v>
      </c>
      <c r="E153" s="85"/>
      <c r="F153" s="85">
        <v>150000</v>
      </c>
      <c r="G153" s="85">
        <v>150000</v>
      </c>
      <c r="H153" s="85">
        <f t="shared" si="2"/>
        <v>0</v>
      </c>
      <c r="I153" s="85"/>
      <c r="K153" s="54" t="s">
        <v>38</v>
      </c>
    </row>
    <row r="154" spans="2:11" ht="16.5" x14ac:dyDescent="0.2">
      <c r="B154" s="84" t="s">
        <v>401</v>
      </c>
      <c r="C154" s="84" t="s">
        <v>402</v>
      </c>
      <c r="D154" s="85">
        <v>0</v>
      </c>
      <c r="E154" s="85"/>
      <c r="F154" s="85">
        <v>90929.600000000006</v>
      </c>
      <c r="G154" s="85">
        <v>90929.600000000006</v>
      </c>
      <c r="H154" s="85">
        <f t="shared" si="2"/>
        <v>0</v>
      </c>
      <c r="I154" s="85"/>
      <c r="K154" s="54" t="s">
        <v>38</v>
      </c>
    </row>
    <row r="155" spans="2:11" ht="16.5" x14ac:dyDescent="0.2">
      <c r="B155" s="84" t="s">
        <v>403</v>
      </c>
      <c r="C155" s="84" t="s">
        <v>404</v>
      </c>
      <c r="D155" s="85">
        <v>61775</v>
      </c>
      <c r="E155" s="85"/>
      <c r="F155" s="85">
        <v>0</v>
      </c>
      <c r="G155" s="85">
        <v>0</v>
      </c>
      <c r="H155" s="85">
        <f t="shared" si="2"/>
        <v>61775</v>
      </c>
      <c r="I155" s="85"/>
      <c r="K155" s="54" t="s">
        <v>38</v>
      </c>
    </row>
    <row r="156" spans="2:11" ht="16.5" x14ac:dyDescent="0.2">
      <c r="B156" s="84" t="s">
        <v>405</v>
      </c>
      <c r="C156" s="84" t="s">
        <v>406</v>
      </c>
      <c r="D156" s="85">
        <v>25765.74</v>
      </c>
      <c r="E156" s="85"/>
      <c r="F156" s="85">
        <v>149802.88</v>
      </c>
      <c r="G156" s="85">
        <v>149706.79999999999</v>
      </c>
      <c r="H156" s="85">
        <f t="shared" si="2"/>
        <v>25861.820000000007</v>
      </c>
      <c r="I156" s="85"/>
      <c r="K156" s="54" t="s">
        <v>38</v>
      </c>
    </row>
    <row r="157" spans="2:11" ht="16.5" x14ac:dyDescent="0.2">
      <c r="B157" s="84" t="s">
        <v>407</v>
      </c>
      <c r="C157" s="84" t="s">
        <v>408</v>
      </c>
      <c r="D157" s="85">
        <v>0</v>
      </c>
      <c r="E157" s="85"/>
      <c r="F157" s="85">
        <v>5539</v>
      </c>
      <c r="G157" s="85">
        <v>5539</v>
      </c>
      <c r="H157" s="85">
        <f t="shared" si="2"/>
        <v>0</v>
      </c>
      <c r="I157" s="85"/>
      <c r="K157" s="54" t="s">
        <v>38</v>
      </c>
    </row>
    <row r="158" spans="2:11" ht="16.5" x14ac:dyDescent="0.2">
      <c r="B158" s="82" t="s">
        <v>469</v>
      </c>
      <c r="C158" s="82" t="s">
        <v>470</v>
      </c>
      <c r="D158" s="83">
        <f>SUMIFS(D159:D6462,K159:K6462,"0",B159:B6462,"1 1 3 1 1 12 31111 6 M59 00006*")-SUMIFS(E159:E6462,K159:K6462,"0",B159:B6462,"1 1 3 1 1 12 31111 6 M59 00006*")</f>
        <v>0</v>
      </c>
      <c r="E158" s="54"/>
      <c r="F158" s="83">
        <f>SUMIFS(F159:F6462,K159:K6462,"0",B159:B6462,"1 1 3 1 1 12 31111 6 M59 00006*")</f>
        <v>21700</v>
      </c>
      <c r="G158" s="83">
        <f>SUMIFS(G159:G6462,K159:K6462,"0",B159:B6462,"1 1 3 1 1 12 31111 6 M59 00006*")</f>
        <v>21700</v>
      </c>
      <c r="H158" s="83">
        <f t="shared" si="2"/>
        <v>0</v>
      </c>
      <c r="I158" s="83"/>
      <c r="K158" s="54" t="s">
        <v>15</v>
      </c>
    </row>
    <row r="159" spans="2:11" ht="16.5" x14ac:dyDescent="0.2">
      <c r="B159" s="84" t="s">
        <v>471</v>
      </c>
      <c r="C159" s="84" t="s">
        <v>413</v>
      </c>
      <c r="D159" s="85">
        <v>0</v>
      </c>
      <c r="E159" s="85"/>
      <c r="F159" s="85">
        <v>21700</v>
      </c>
      <c r="G159" s="85">
        <v>21700</v>
      </c>
      <c r="H159" s="85">
        <f t="shared" si="2"/>
        <v>0</v>
      </c>
      <c r="I159" s="85"/>
      <c r="K159" s="54" t="s">
        <v>38</v>
      </c>
    </row>
    <row r="160" spans="2:11" ht="16.5" x14ac:dyDescent="0.2">
      <c r="B160" s="82" t="s">
        <v>472</v>
      </c>
      <c r="C160" s="82" t="s">
        <v>473</v>
      </c>
      <c r="D160" s="83">
        <f>SUMIFS(D161:D6462,K161:K6462,"0",B161:B6462,"1 1 3 1 1 12 31111 6 M59 00091*")-SUMIFS(E161:E6462,K161:K6462,"0",B161:B6462,"1 1 3 1 1 12 31111 6 M59 00091*")</f>
        <v>1.65</v>
      </c>
      <c r="E160" s="54"/>
      <c r="F160" s="83">
        <f>SUMIFS(F161:F6462,K161:K6462,"0",B161:B6462,"1 1 3 1 1 12 31111 6 M59 00091*")</f>
        <v>0</v>
      </c>
      <c r="G160" s="83">
        <f>SUMIFS(G161:G6462,K161:K6462,"0",B161:B6462,"1 1 3 1 1 12 31111 6 M59 00091*")</f>
        <v>0</v>
      </c>
      <c r="H160" s="83">
        <f t="shared" si="2"/>
        <v>1.65</v>
      </c>
      <c r="I160" s="83"/>
      <c r="K160" s="54" t="s">
        <v>15</v>
      </c>
    </row>
    <row r="161" spans="2:11" ht="16.5" x14ac:dyDescent="0.2">
      <c r="B161" s="84" t="s">
        <v>474</v>
      </c>
      <c r="C161" s="84" t="s">
        <v>274</v>
      </c>
      <c r="D161" s="85">
        <v>1.65</v>
      </c>
      <c r="E161" s="85"/>
      <c r="F161" s="85">
        <v>0</v>
      </c>
      <c r="G161" s="85">
        <v>0</v>
      </c>
      <c r="H161" s="85">
        <f t="shared" si="2"/>
        <v>1.65</v>
      </c>
      <c r="I161" s="85"/>
      <c r="K161" s="54" t="s">
        <v>38</v>
      </c>
    </row>
    <row r="162" spans="2:11" ht="24.75" x14ac:dyDescent="0.2">
      <c r="B162" s="82" t="s">
        <v>475</v>
      </c>
      <c r="C162" s="82" t="s">
        <v>476</v>
      </c>
      <c r="D162" s="83">
        <f>SUMIFS(D163:D6462,K163:K6462,"0",B163:B6462,"1 1 3 9*")-SUMIFS(E163:E6462,K163:K6462,"0",B163:B6462,"1 1 3 9*")</f>
        <v>3535761.9</v>
      </c>
      <c r="E162" s="54"/>
      <c r="F162" s="83">
        <f>SUMIFS(F163:F6462,K163:K6462,"0",B163:B6462,"1 1 3 9*")</f>
        <v>7361412.9699999997</v>
      </c>
      <c r="G162" s="83">
        <f>SUMIFS(G163:G6462,K163:K6462,"0",B163:B6462,"1 1 3 9*")</f>
        <v>6749330.5699999994</v>
      </c>
      <c r="H162" s="83">
        <f t="shared" si="2"/>
        <v>4147844.3</v>
      </c>
      <c r="I162" s="83"/>
      <c r="K162" s="54" t="s">
        <v>15</v>
      </c>
    </row>
    <row r="163" spans="2:11" ht="24.75" x14ac:dyDescent="0.2">
      <c r="B163" s="82" t="s">
        <v>477</v>
      </c>
      <c r="C163" s="82" t="s">
        <v>476</v>
      </c>
      <c r="D163" s="83">
        <f>SUMIFS(D164:D6462,K164:K6462,"0",B164:B6462,"1 1 3 9 1*")-SUMIFS(E164:E6462,K164:K6462,"0",B164:B6462,"1 1 3 9 1*")</f>
        <v>3535761.9</v>
      </c>
      <c r="E163" s="54"/>
      <c r="F163" s="83">
        <f>SUMIFS(F164:F6462,K164:K6462,"0",B164:B6462,"1 1 3 9 1*")</f>
        <v>7361412.9699999997</v>
      </c>
      <c r="G163" s="83">
        <f>SUMIFS(G164:G6462,K164:K6462,"0",B164:B6462,"1 1 3 9 1*")</f>
        <v>6749330.5699999994</v>
      </c>
      <c r="H163" s="83">
        <f t="shared" si="2"/>
        <v>4147844.3</v>
      </c>
      <c r="I163" s="83"/>
      <c r="K163" s="54" t="s">
        <v>15</v>
      </c>
    </row>
    <row r="164" spans="2:11" ht="12.75" x14ac:dyDescent="0.2">
      <c r="B164" s="82" t="s">
        <v>478</v>
      </c>
      <c r="C164" s="82" t="s">
        <v>26</v>
      </c>
      <c r="D164" s="83">
        <f>SUMIFS(D165:D6462,K165:K6462,"0",B165:B6462,"1 1 3 9 1 12*")-SUMIFS(E165:E6462,K165:K6462,"0",B165:B6462,"1 1 3 9 1 12*")</f>
        <v>3535761.9</v>
      </c>
      <c r="E164" s="54"/>
      <c r="F164" s="83">
        <f>SUMIFS(F165:F6462,K165:K6462,"0",B165:B6462,"1 1 3 9 1 12*")</f>
        <v>7361412.9699999997</v>
      </c>
      <c r="G164" s="83">
        <f>SUMIFS(G165:G6462,K165:K6462,"0",B165:B6462,"1 1 3 9 1 12*")</f>
        <v>6749330.5699999994</v>
      </c>
      <c r="H164" s="83">
        <f t="shared" si="2"/>
        <v>4147844.3</v>
      </c>
      <c r="I164" s="83"/>
      <c r="K164" s="54" t="s">
        <v>15</v>
      </c>
    </row>
    <row r="165" spans="2:11" ht="16.5" x14ac:dyDescent="0.2">
      <c r="B165" s="82" t="s">
        <v>479</v>
      </c>
      <c r="C165" s="82" t="s">
        <v>28</v>
      </c>
      <c r="D165" s="83">
        <f>SUMIFS(D166:D6462,K166:K6462,"0",B166:B6462,"1 1 3 9 1 12 31111*")-SUMIFS(E166:E6462,K166:K6462,"0",B166:B6462,"1 1 3 9 1 12 31111*")</f>
        <v>3535761.9</v>
      </c>
      <c r="E165" s="54"/>
      <c r="F165" s="83">
        <f>SUMIFS(F166:F6462,K166:K6462,"0",B166:B6462,"1 1 3 9 1 12 31111*")</f>
        <v>7361412.9699999997</v>
      </c>
      <c r="G165" s="83">
        <f>SUMIFS(G166:G6462,K166:K6462,"0",B166:B6462,"1 1 3 9 1 12 31111*")</f>
        <v>6749330.5699999994</v>
      </c>
      <c r="H165" s="83">
        <f t="shared" si="2"/>
        <v>4147844.3</v>
      </c>
      <c r="I165" s="83"/>
      <c r="K165" s="54" t="s">
        <v>15</v>
      </c>
    </row>
    <row r="166" spans="2:11" ht="12.75" x14ac:dyDescent="0.2">
      <c r="B166" s="82" t="s">
        <v>480</v>
      </c>
      <c r="C166" s="82" t="s">
        <v>30</v>
      </c>
      <c r="D166" s="83">
        <f>SUMIFS(D167:D6462,K167:K6462,"0",B167:B6462,"1 1 3 9 1 12 31111 6*")-SUMIFS(E167:E6462,K167:K6462,"0",B167:B6462,"1 1 3 9 1 12 31111 6*")</f>
        <v>3535761.9</v>
      </c>
      <c r="E166" s="54"/>
      <c r="F166" s="83">
        <f>SUMIFS(F167:F6462,K167:K6462,"0",B167:B6462,"1 1 3 9 1 12 31111 6*")</f>
        <v>7361412.9699999997</v>
      </c>
      <c r="G166" s="83">
        <f>SUMIFS(G167:G6462,K167:K6462,"0",B167:B6462,"1 1 3 9 1 12 31111 6*")</f>
        <v>6749330.5699999994</v>
      </c>
      <c r="H166" s="83">
        <f t="shared" si="2"/>
        <v>4147844.3</v>
      </c>
      <c r="I166" s="83"/>
      <c r="K166" s="54" t="s">
        <v>15</v>
      </c>
    </row>
    <row r="167" spans="2:11" ht="33" x14ac:dyDescent="0.2">
      <c r="B167" s="82" t="s">
        <v>481</v>
      </c>
      <c r="C167" s="82" t="s">
        <v>482</v>
      </c>
      <c r="D167" s="83">
        <f>SUMIFS(D168:D6462,K168:K6462,"0",B168:B6462,"1 1 3 9 1 12 31111 6 M59*")-SUMIFS(E168:E6462,K168:K6462,"0",B168:B6462,"1 1 3 9 1 12 31111 6 M59*")</f>
        <v>3535761.9</v>
      </c>
      <c r="E167" s="54"/>
      <c r="F167" s="83">
        <f>SUMIFS(F168:F6462,K168:K6462,"0",B168:B6462,"1 1 3 9 1 12 31111 6 M59*")</f>
        <v>7361412.9699999997</v>
      </c>
      <c r="G167" s="83">
        <f>SUMIFS(G168:G6462,K168:K6462,"0",B168:B6462,"1 1 3 9 1 12 31111 6 M59*")</f>
        <v>6749330.5699999994</v>
      </c>
      <c r="H167" s="83">
        <f t="shared" si="2"/>
        <v>4147844.3</v>
      </c>
      <c r="I167" s="83"/>
      <c r="K167" s="54" t="s">
        <v>15</v>
      </c>
    </row>
    <row r="168" spans="2:11" ht="16.5" x14ac:dyDescent="0.2">
      <c r="B168" s="82" t="s">
        <v>483</v>
      </c>
      <c r="C168" s="82" t="s">
        <v>34</v>
      </c>
      <c r="D168" s="83">
        <f>SUMIFS(D169:D6462,K169:K6462,"0",B169:B6462,"1 1 3 9 1 12 31111 6 M59 00001*")-SUMIFS(E169:E6462,K169:K6462,"0",B169:B6462,"1 1 3 9 1 12 31111 6 M59 00001*")</f>
        <v>3535761.9</v>
      </c>
      <c r="E168" s="54"/>
      <c r="F168" s="83">
        <f>SUMIFS(F169:F6462,K169:K6462,"0",B169:B6462,"1 1 3 9 1 12 31111 6 M59 00001*")</f>
        <v>7361412.9699999997</v>
      </c>
      <c r="G168" s="83">
        <f>SUMIFS(G169:G6462,K169:K6462,"0",B169:B6462,"1 1 3 9 1 12 31111 6 M59 00001*")</f>
        <v>6749330.5699999994</v>
      </c>
      <c r="H168" s="83">
        <f t="shared" si="2"/>
        <v>4147844.3</v>
      </c>
      <c r="I168" s="83"/>
      <c r="K168" s="54" t="s">
        <v>15</v>
      </c>
    </row>
    <row r="169" spans="2:11" ht="33" x14ac:dyDescent="0.2">
      <c r="B169" s="82" t="s">
        <v>484</v>
      </c>
      <c r="C169" s="82" t="s">
        <v>482</v>
      </c>
      <c r="D169" s="83">
        <f>SUMIFS(D170:D6462,K170:K6462,"0",B170:B6462,"1 1 3 9 1 12 31111 6 M59 00001 000001*")-SUMIFS(E170:E6462,K170:K6462,"0",B170:B6462,"1 1 3 9 1 12 31111 6 M59 00001 000001*")</f>
        <v>3535761.9</v>
      </c>
      <c r="E169" s="54"/>
      <c r="F169" s="83">
        <f>SUMIFS(F170:F6462,K170:K6462,"0",B170:B6462,"1 1 3 9 1 12 31111 6 M59 00001 000001*")</f>
        <v>7099879</v>
      </c>
      <c r="G169" s="83">
        <f>SUMIFS(G170:G6462,K170:K6462,"0",B170:B6462,"1 1 3 9 1 12 31111 6 M59 00001 000001*")</f>
        <v>6487796.5999999996</v>
      </c>
      <c r="H169" s="83">
        <f t="shared" si="2"/>
        <v>4147844.3000000007</v>
      </c>
      <c r="I169" s="83"/>
      <c r="K169" s="54" t="s">
        <v>15</v>
      </c>
    </row>
    <row r="170" spans="2:11" ht="24.75" x14ac:dyDescent="0.2">
      <c r="B170" s="84" t="s">
        <v>485</v>
      </c>
      <c r="C170" s="84" t="s">
        <v>219</v>
      </c>
      <c r="D170" s="85">
        <v>3535761.9</v>
      </c>
      <c r="E170" s="85"/>
      <c r="F170" s="85">
        <v>7099879</v>
      </c>
      <c r="G170" s="85">
        <v>6487796.5999999996</v>
      </c>
      <c r="H170" s="85">
        <f t="shared" si="2"/>
        <v>4147844.3000000007</v>
      </c>
      <c r="I170" s="85"/>
      <c r="K170" s="54" t="s">
        <v>38</v>
      </c>
    </row>
    <row r="171" spans="2:11" ht="24.75" x14ac:dyDescent="0.2">
      <c r="B171" s="84" t="s">
        <v>486</v>
      </c>
      <c r="C171" s="84" t="s">
        <v>487</v>
      </c>
      <c r="D171" s="85">
        <v>0</v>
      </c>
      <c r="E171" s="85"/>
      <c r="F171" s="85">
        <v>261533.97</v>
      </c>
      <c r="G171" s="85">
        <v>261533.97</v>
      </c>
      <c r="H171" s="85">
        <f t="shared" si="2"/>
        <v>0</v>
      </c>
      <c r="I171" s="85"/>
      <c r="K171" s="54" t="s">
        <v>38</v>
      </c>
    </row>
    <row r="172" spans="2:11" ht="12.75" x14ac:dyDescent="0.2">
      <c r="B172" s="82" t="s">
        <v>492</v>
      </c>
      <c r="C172" s="82" t="s">
        <v>493</v>
      </c>
      <c r="D172" s="83">
        <f>SUMIFS(D173:D6462,K173:K6462,"0",B173:B6462,"1 1 5*")-SUMIFS(E173:E6462,K173:K6462,"0",B173:B6462,"1 1 5*")</f>
        <v>0</v>
      </c>
      <c r="E172" s="54"/>
      <c r="F172" s="83">
        <f>SUMIFS(F173:F6462,K173:K6462,"0",B173:B6462,"1 1 5*")</f>
        <v>72957601.100000009</v>
      </c>
      <c r="G172" s="83">
        <f>SUMIFS(G173:G6462,K173:K6462,"0",B173:B6462,"1 1 5*")</f>
        <v>72957601.100000009</v>
      </c>
      <c r="H172" s="83">
        <f t="shared" si="2"/>
        <v>0</v>
      </c>
      <c r="I172" s="83"/>
      <c r="K172" s="54" t="s">
        <v>15</v>
      </c>
    </row>
    <row r="173" spans="2:11" ht="16.5" x14ac:dyDescent="0.2">
      <c r="B173" s="82" t="s">
        <v>494</v>
      </c>
      <c r="C173" s="82" t="s">
        <v>495</v>
      </c>
      <c r="D173" s="83">
        <f>SUMIFS(D174:D6462,K174:K6462,"0",B174:B6462,"1 1 5 1*")-SUMIFS(E174:E6462,K174:K6462,"0",B174:B6462,"1 1 5 1*")</f>
        <v>0</v>
      </c>
      <c r="E173" s="54"/>
      <c r="F173" s="83">
        <f>SUMIFS(F174:F6462,K174:K6462,"0",B174:B6462,"1 1 5 1*")</f>
        <v>72957601.100000009</v>
      </c>
      <c r="G173" s="83">
        <f>SUMIFS(G174:G6462,K174:K6462,"0",B174:B6462,"1 1 5 1*")</f>
        <v>72957601.100000009</v>
      </c>
      <c r="H173" s="83">
        <f t="shared" si="2"/>
        <v>0</v>
      </c>
      <c r="I173" s="83"/>
      <c r="K173" s="54" t="s">
        <v>15</v>
      </c>
    </row>
    <row r="174" spans="2:11" ht="33" x14ac:dyDescent="0.2">
      <c r="B174" s="82" t="s">
        <v>496</v>
      </c>
      <c r="C174" s="82" t="s">
        <v>497</v>
      </c>
      <c r="D174" s="83">
        <f>SUMIFS(D175:D6462,K175:K6462,"0",B175:B6462,"1 1 5 1 1*")-SUMIFS(E175:E6462,K175:K6462,"0",B175:B6462,"1 1 5 1 1*")</f>
        <v>0</v>
      </c>
      <c r="E174" s="54"/>
      <c r="F174" s="83">
        <f>SUMIFS(F175:F6462,K175:K6462,"0",B175:B6462,"1 1 5 1 1*")</f>
        <v>52015632.340000004</v>
      </c>
      <c r="G174" s="83">
        <f>SUMIFS(G175:G6462,K175:K6462,"0",B175:B6462,"1 1 5 1 1*")</f>
        <v>52015632.340000004</v>
      </c>
      <c r="H174" s="83">
        <f t="shared" si="2"/>
        <v>0</v>
      </c>
      <c r="I174" s="83"/>
      <c r="K174" s="54" t="s">
        <v>15</v>
      </c>
    </row>
    <row r="175" spans="2:11" ht="12.75" x14ac:dyDescent="0.2">
      <c r="B175" s="82" t="s">
        <v>498</v>
      </c>
      <c r="C175" s="82" t="s">
        <v>26</v>
      </c>
      <c r="D175" s="83">
        <f>SUMIFS(D176:D6462,K176:K6462,"0",B176:B6462,"1 1 5 1 1 12*")-SUMIFS(E176:E6462,K176:K6462,"0",B176:B6462,"1 1 5 1 1 12*")</f>
        <v>0</v>
      </c>
      <c r="E175" s="54"/>
      <c r="F175" s="83">
        <f>SUMIFS(F176:F6462,K176:K6462,"0",B176:B6462,"1 1 5 1 1 12*")</f>
        <v>52015632.340000004</v>
      </c>
      <c r="G175" s="83">
        <f>SUMIFS(G176:G6462,K176:K6462,"0",B176:B6462,"1 1 5 1 1 12*")</f>
        <v>52015632.340000004</v>
      </c>
      <c r="H175" s="83">
        <f t="shared" si="2"/>
        <v>0</v>
      </c>
      <c r="I175" s="83"/>
      <c r="K175" s="54" t="s">
        <v>15</v>
      </c>
    </row>
    <row r="176" spans="2:11" ht="16.5" x14ac:dyDescent="0.2">
      <c r="B176" s="82" t="s">
        <v>499</v>
      </c>
      <c r="C176" s="82" t="s">
        <v>28</v>
      </c>
      <c r="D176" s="83">
        <f>SUMIFS(D177:D6462,K177:K6462,"0",B177:B6462,"1 1 5 1 1 12 31111*")-SUMIFS(E177:E6462,K177:K6462,"0",B177:B6462,"1 1 5 1 1 12 31111*")</f>
        <v>0</v>
      </c>
      <c r="E176" s="54"/>
      <c r="F176" s="83">
        <f>SUMIFS(F177:F6462,K177:K6462,"0",B177:B6462,"1 1 5 1 1 12 31111*")</f>
        <v>52015632.340000004</v>
      </c>
      <c r="G176" s="83">
        <f>SUMIFS(G177:G6462,K177:K6462,"0",B177:B6462,"1 1 5 1 1 12 31111*")</f>
        <v>52015632.340000004</v>
      </c>
      <c r="H176" s="83">
        <f t="shared" si="2"/>
        <v>0</v>
      </c>
      <c r="I176" s="83"/>
      <c r="K176" s="54" t="s">
        <v>15</v>
      </c>
    </row>
    <row r="177" spans="2:11" ht="12.75" x14ac:dyDescent="0.2">
      <c r="B177" s="82" t="s">
        <v>500</v>
      </c>
      <c r="C177" s="82" t="s">
        <v>30</v>
      </c>
      <c r="D177" s="83">
        <f>SUMIFS(D178:D6462,K178:K6462,"0",B178:B6462,"1 1 5 1 1 12 31111 6*")-SUMIFS(E178:E6462,K178:K6462,"0",B178:B6462,"1 1 5 1 1 12 31111 6*")</f>
        <v>0</v>
      </c>
      <c r="E177" s="54"/>
      <c r="F177" s="83">
        <f>SUMIFS(F178:F6462,K178:K6462,"0",B178:B6462,"1 1 5 1 1 12 31111 6*")</f>
        <v>52015632.340000004</v>
      </c>
      <c r="G177" s="83">
        <f>SUMIFS(G178:G6462,K178:K6462,"0",B178:B6462,"1 1 5 1 1 12 31111 6*")</f>
        <v>52015632.340000004</v>
      </c>
      <c r="H177" s="83">
        <f t="shared" si="2"/>
        <v>0</v>
      </c>
      <c r="I177" s="83"/>
      <c r="K177" s="54" t="s">
        <v>15</v>
      </c>
    </row>
    <row r="178" spans="2:11" ht="12.75" x14ac:dyDescent="0.2">
      <c r="B178" s="82" t="s">
        <v>501</v>
      </c>
      <c r="C178" s="82" t="s">
        <v>140</v>
      </c>
      <c r="D178" s="83">
        <f>SUMIFS(D179:D6462,K179:K6462,"0",B179:B6462,"1 1 5 1 1 12 31111 6 M59*")-SUMIFS(E179:E6462,K179:K6462,"0",B179:B6462,"1 1 5 1 1 12 31111 6 M59*")</f>
        <v>0</v>
      </c>
      <c r="E178" s="54"/>
      <c r="F178" s="83">
        <f>SUMIFS(F179:F6462,K179:K6462,"0",B179:B6462,"1 1 5 1 1 12 31111 6 M59*")</f>
        <v>52015632.340000004</v>
      </c>
      <c r="G178" s="83">
        <f>SUMIFS(G179:G6462,K179:K6462,"0",B179:B6462,"1 1 5 1 1 12 31111 6 M59*")</f>
        <v>52015632.340000004</v>
      </c>
      <c r="H178" s="83">
        <f t="shared" si="2"/>
        <v>0</v>
      </c>
      <c r="I178" s="83"/>
      <c r="K178" s="54" t="s">
        <v>15</v>
      </c>
    </row>
    <row r="179" spans="2:11" ht="16.5" x14ac:dyDescent="0.2">
      <c r="B179" s="82" t="s">
        <v>502</v>
      </c>
      <c r="C179" s="82" t="s">
        <v>282</v>
      </c>
      <c r="D179" s="83">
        <f>SUMIFS(D180:D6462,K180:K6462,"0",B180:B6462,"1 1 5 1 1 12 31111 6 M59 00001*")-SUMIFS(E180:E6462,K180:K6462,"0",B180:B6462,"1 1 5 1 1 12 31111 6 M59 00001*")</f>
        <v>0</v>
      </c>
      <c r="E179" s="54"/>
      <c r="F179" s="83">
        <f>SUMIFS(F180:F6462,K180:K6462,"0",B180:B6462,"1 1 5 1 1 12 31111 6 M59 00001*")</f>
        <v>52015632.340000004</v>
      </c>
      <c r="G179" s="83">
        <f>SUMIFS(G180:G6462,K180:K6462,"0",B180:B6462,"1 1 5 1 1 12 31111 6 M59 00001*")</f>
        <v>52015632.340000004</v>
      </c>
      <c r="H179" s="83">
        <f t="shared" si="2"/>
        <v>0</v>
      </c>
      <c r="I179" s="83"/>
      <c r="K179" s="54" t="s">
        <v>15</v>
      </c>
    </row>
    <row r="180" spans="2:11" ht="33" x14ac:dyDescent="0.2">
      <c r="B180" s="82" t="s">
        <v>503</v>
      </c>
      <c r="C180" s="82" t="s">
        <v>497</v>
      </c>
      <c r="D180" s="83">
        <f>SUMIFS(D181:D6462,K181:K6462,"0",B181:B6462,"1 1 5 1 1 12 31111 6 M59 00001 000001*")-SUMIFS(E181:E6462,K181:K6462,"0",B181:B6462,"1 1 5 1 1 12 31111 6 M59 00001 000001*")</f>
        <v>0</v>
      </c>
      <c r="E180" s="54"/>
      <c r="F180" s="83">
        <f>SUMIFS(F181:F6462,K181:K6462,"0",B181:B6462,"1 1 5 1 1 12 31111 6 M59 00001 000001*")</f>
        <v>52015632.340000004</v>
      </c>
      <c r="G180" s="83">
        <f>SUMIFS(G181:G6462,K181:K6462,"0",B181:B6462,"1 1 5 1 1 12 31111 6 M59 00001 000001*")</f>
        <v>52015632.340000004</v>
      </c>
      <c r="H180" s="83">
        <f t="shared" si="2"/>
        <v>0</v>
      </c>
      <c r="I180" s="83"/>
      <c r="K180" s="54" t="s">
        <v>15</v>
      </c>
    </row>
    <row r="181" spans="2:11" ht="24.75" x14ac:dyDescent="0.2">
      <c r="B181" s="84" t="s">
        <v>504</v>
      </c>
      <c r="C181" s="84" t="s">
        <v>505</v>
      </c>
      <c r="D181" s="85">
        <v>0</v>
      </c>
      <c r="E181" s="85"/>
      <c r="F181" s="85">
        <v>52015632.340000004</v>
      </c>
      <c r="G181" s="85">
        <v>52015632.340000004</v>
      </c>
      <c r="H181" s="85">
        <f t="shared" si="2"/>
        <v>0</v>
      </c>
      <c r="I181" s="85"/>
      <c r="K181" s="54" t="s">
        <v>38</v>
      </c>
    </row>
    <row r="182" spans="2:11" ht="12.75" x14ac:dyDescent="0.2">
      <c r="B182" s="82" t="s">
        <v>506</v>
      </c>
      <c r="C182" s="82" t="s">
        <v>507</v>
      </c>
      <c r="D182" s="83">
        <f>SUMIFS(D183:D6462,K183:K6462,"0",B183:B6462,"1 1 5 1 2*")-SUMIFS(E183:E6462,K183:K6462,"0",B183:B6462,"1 1 5 1 2*")</f>
        <v>0</v>
      </c>
      <c r="E182" s="54"/>
      <c r="F182" s="83">
        <f>SUMIFS(F183:F6462,K183:K6462,"0",B183:B6462,"1 1 5 1 2*")</f>
        <v>40738.39</v>
      </c>
      <c r="G182" s="83">
        <f>SUMIFS(G183:G6462,K183:K6462,"0",B183:B6462,"1 1 5 1 2*")</f>
        <v>40738.39</v>
      </c>
      <c r="H182" s="83">
        <f t="shared" si="2"/>
        <v>0</v>
      </c>
      <c r="I182" s="83"/>
      <c r="K182" s="54" t="s">
        <v>15</v>
      </c>
    </row>
    <row r="183" spans="2:11" ht="12.75" x14ac:dyDescent="0.2">
      <c r="B183" s="82" t="s">
        <v>508</v>
      </c>
      <c r="C183" s="82" t="s">
        <v>26</v>
      </c>
      <c r="D183" s="83">
        <f>SUMIFS(D184:D6462,K184:K6462,"0",B184:B6462,"1 1 5 1 2 12*")-SUMIFS(E184:E6462,K184:K6462,"0",B184:B6462,"1 1 5 1 2 12*")</f>
        <v>0</v>
      </c>
      <c r="E183" s="54"/>
      <c r="F183" s="83">
        <f>SUMIFS(F184:F6462,K184:K6462,"0",B184:B6462,"1 1 5 1 2 12*")</f>
        <v>40738.39</v>
      </c>
      <c r="G183" s="83">
        <f>SUMIFS(G184:G6462,K184:K6462,"0",B184:B6462,"1 1 5 1 2 12*")</f>
        <v>40738.39</v>
      </c>
      <c r="H183" s="83">
        <f t="shared" si="2"/>
        <v>0</v>
      </c>
      <c r="I183" s="83"/>
      <c r="K183" s="54" t="s">
        <v>15</v>
      </c>
    </row>
    <row r="184" spans="2:11" ht="16.5" x14ac:dyDescent="0.2">
      <c r="B184" s="82" t="s">
        <v>509</v>
      </c>
      <c r="C184" s="82" t="s">
        <v>28</v>
      </c>
      <c r="D184" s="83">
        <f>SUMIFS(D185:D6462,K185:K6462,"0",B185:B6462,"1 1 5 1 2 12 31111*")-SUMIFS(E185:E6462,K185:K6462,"0",B185:B6462,"1 1 5 1 2 12 31111*")</f>
        <v>0</v>
      </c>
      <c r="E184" s="54"/>
      <c r="F184" s="83">
        <f>SUMIFS(F185:F6462,K185:K6462,"0",B185:B6462,"1 1 5 1 2 12 31111*")</f>
        <v>40738.39</v>
      </c>
      <c r="G184" s="83">
        <f>SUMIFS(G185:G6462,K185:K6462,"0",B185:B6462,"1 1 5 1 2 12 31111*")</f>
        <v>40738.39</v>
      </c>
      <c r="H184" s="83">
        <f t="shared" si="2"/>
        <v>0</v>
      </c>
      <c r="I184" s="83"/>
      <c r="K184" s="54" t="s">
        <v>15</v>
      </c>
    </row>
    <row r="185" spans="2:11" ht="12.75" x14ac:dyDescent="0.2">
      <c r="B185" s="82" t="s">
        <v>510</v>
      </c>
      <c r="C185" s="82" t="s">
        <v>30</v>
      </c>
      <c r="D185" s="83">
        <f>SUMIFS(D186:D6462,K186:K6462,"0",B186:B6462,"1 1 5 1 2 12 31111 6*")-SUMIFS(E186:E6462,K186:K6462,"0",B186:B6462,"1 1 5 1 2 12 31111 6*")</f>
        <v>0</v>
      </c>
      <c r="E185" s="54"/>
      <c r="F185" s="83">
        <f>SUMIFS(F186:F6462,K186:K6462,"0",B186:B6462,"1 1 5 1 2 12 31111 6*")</f>
        <v>40738.39</v>
      </c>
      <c r="G185" s="83">
        <f>SUMIFS(G186:G6462,K186:K6462,"0",B186:B6462,"1 1 5 1 2 12 31111 6*")</f>
        <v>40738.39</v>
      </c>
      <c r="H185" s="83">
        <f t="shared" si="2"/>
        <v>0</v>
      </c>
      <c r="I185" s="83"/>
      <c r="K185" s="54" t="s">
        <v>15</v>
      </c>
    </row>
    <row r="186" spans="2:11" ht="12.75" x14ac:dyDescent="0.2">
      <c r="B186" s="82" t="s">
        <v>511</v>
      </c>
      <c r="C186" s="82" t="s">
        <v>140</v>
      </c>
      <c r="D186" s="83">
        <f>SUMIFS(D187:D6462,K187:K6462,"0",B187:B6462,"1 1 5 1 2 12 31111 6 M59*")-SUMIFS(E187:E6462,K187:K6462,"0",B187:B6462,"1 1 5 1 2 12 31111 6 M59*")</f>
        <v>0</v>
      </c>
      <c r="E186" s="54"/>
      <c r="F186" s="83">
        <f>SUMIFS(F187:F6462,K187:K6462,"0",B187:B6462,"1 1 5 1 2 12 31111 6 M59*")</f>
        <v>40738.39</v>
      </c>
      <c r="G186" s="83">
        <f>SUMIFS(G187:G6462,K187:K6462,"0",B187:B6462,"1 1 5 1 2 12 31111 6 M59*")</f>
        <v>40738.39</v>
      </c>
      <c r="H186" s="83">
        <f t="shared" si="2"/>
        <v>0</v>
      </c>
      <c r="I186" s="83"/>
      <c r="K186" s="54" t="s">
        <v>15</v>
      </c>
    </row>
    <row r="187" spans="2:11" ht="16.5" x14ac:dyDescent="0.2">
      <c r="B187" s="82" t="s">
        <v>512</v>
      </c>
      <c r="C187" s="82" t="s">
        <v>34</v>
      </c>
      <c r="D187" s="83">
        <f>SUMIFS(D188:D6462,K188:K6462,"0",B188:B6462,"1 1 5 1 2 12 31111 6 M59 00001*")-SUMIFS(E188:E6462,K188:K6462,"0",B188:B6462,"1 1 5 1 2 12 31111 6 M59 00001*")</f>
        <v>0</v>
      </c>
      <c r="E187" s="54"/>
      <c r="F187" s="83">
        <f>SUMIFS(F188:F6462,K188:K6462,"0",B188:B6462,"1 1 5 1 2 12 31111 6 M59 00001*")</f>
        <v>40738.39</v>
      </c>
      <c r="G187" s="83">
        <f>SUMIFS(G188:G6462,K188:K6462,"0",B188:B6462,"1 1 5 1 2 12 31111 6 M59 00001*")</f>
        <v>40738.39</v>
      </c>
      <c r="H187" s="83">
        <f t="shared" si="2"/>
        <v>0</v>
      </c>
      <c r="I187" s="83"/>
      <c r="K187" s="54" t="s">
        <v>15</v>
      </c>
    </row>
    <row r="188" spans="2:11" ht="16.5" x14ac:dyDescent="0.2">
      <c r="B188" s="82" t="s">
        <v>513</v>
      </c>
      <c r="C188" s="82" t="s">
        <v>514</v>
      </c>
      <c r="D188" s="83">
        <f>SUMIFS(D189:D6462,K189:K6462,"0",B189:B6462,"1 1 5 1 2 12 31111 6 M59 00001 000001*")-SUMIFS(E189:E6462,K189:K6462,"0",B189:B6462,"1 1 5 1 2 12 31111 6 M59 00001 000001*")</f>
        <v>0</v>
      </c>
      <c r="E188" s="54"/>
      <c r="F188" s="83">
        <f>SUMIFS(F189:F6462,K189:K6462,"0",B189:B6462,"1 1 5 1 2 12 31111 6 M59 00001 000001*")</f>
        <v>40738.39</v>
      </c>
      <c r="G188" s="83">
        <f>SUMIFS(G189:G6462,K189:K6462,"0",B189:B6462,"1 1 5 1 2 12 31111 6 M59 00001 000001*")</f>
        <v>40738.39</v>
      </c>
      <c r="H188" s="83">
        <f t="shared" si="2"/>
        <v>0</v>
      </c>
      <c r="I188" s="83"/>
      <c r="K188" s="54" t="s">
        <v>15</v>
      </c>
    </row>
    <row r="189" spans="2:11" ht="16.5" x14ac:dyDescent="0.2">
      <c r="B189" s="84" t="s">
        <v>515</v>
      </c>
      <c r="C189" s="84" t="s">
        <v>516</v>
      </c>
      <c r="D189" s="85">
        <v>0</v>
      </c>
      <c r="E189" s="85"/>
      <c r="F189" s="85">
        <v>40738.39</v>
      </c>
      <c r="G189" s="85">
        <v>40738.39</v>
      </c>
      <c r="H189" s="85">
        <f t="shared" si="2"/>
        <v>0</v>
      </c>
      <c r="I189" s="85"/>
      <c r="K189" s="54" t="s">
        <v>38</v>
      </c>
    </row>
    <row r="190" spans="2:11" ht="24.75" x14ac:dyDescent="0.2">
      <c r="B190" s="82" t="s">
        <v>517</v>
      </c>
      <c r="C190" s="82" t="s">
        <v>518</v>
      </c>
      <c r="D190" s="83">
        <f>SUMIFS(D191:D6462,K191:K6462,"0",B191:B6462,"1 1 5 1 3*")-SUMIFS(E191:E6462,K191:K6462,"0",B191:B6462,"1 1 5 1 3*")</f>
        <v>0</v>
      </c>
      <c r="E190" s="54"/>
      <c r="F190" s="83">
        <f>SUMIFS(F191:F6462,K191:K6462,"0",B191:B6462,"1 1 5 1 3*")</f>
        <v>485524.81</v>
      </c>
      <c r="G190" s="83">
        <f>SUMIFS(G191:G6462,K191:K6462,"0",B191:B6462,"1 1 5 1 3*")</f>
        <v>485524.81</v>
      </c>
      <c r="H190" s="83">
        <f t="shared" si="2"/>
        <v>0</v>
      </c>
      <c r="I190" s="83"/>
      <c r="K190" s="54" t="s">
        <v>15</v>
      </c>
    </row>
    <row r="191" spans="2:11" ht="12.75" x14ac:dyDescent="0.2">
      <c r="B191" s="82" t="s">
        <v>519</v>
      </c>
      <c r="C191" s="82" t="s">
        <v>26</v>
      </c>
      <c r="D191" s="83">
        <f>SUMIFS(D192:D6462,K192:K6462,"0",B192:B6462,"1 1 5 1 3 12*")-SUMIFS(E192:E6462,K192:K6462,"0",B192:B6462,"1 1 5 1 3 12*")</f>
        <v>0</v>
      </c>
      <c r="E191" s="54"/>
      <c r="F191" s="83">
        <f>SUMIFS(F192:F6462,K192:K6462,"0",B192:B6462,"1 1 5 1 3 12*")</f>
        <v>485524.81</v>
      </c>
      <c r="G191" s="83">
        <f>SUMIFS(G192:G6462,K192:K6462,"0",B192:B6462,"1 1 5 1 3 12*")</f>
        <v>485524.81</v>
      </c>
      <c r="H191" s="83">
        <f t="shared" si="2"/>
        <v>0</v>
      </c>
      <c r="I191" s="83"/>
      <c r="K191" s="54" t="s">
        <v>15</v>
      </c>
    </row>
    <row r="192" spans="2:11" ht="16.5" x14ac:dyDescent="0.2">
      <c r="B192" s="82" t="s">
        <v>520</v>
      </c>
      <c r="C192" s="82" t="s">
        <v>28</v>
      </c>
      <c r="D192" s="83">
        <f>SUMIFS(D193:D6462,K193:K6462,"0",B193:B6462,"1 1 5 1 3 12 31111*")-SUMIFS(E193:E6462,K193:K6462,"0",B193:B6462,"1 1 5 1 3 12 31111*")</f>
        <v>0</v>
      </c>
      <c r="E192" s="54"/>
      <c r="F192" s="83">
        <f>SUMIFS(F193:F6462,K193:K6462,"0",B193:B6462,"1 1 5 1 3 12 31111*")</f>
        <v>485524.81</v>
      </c>
      <c r="G192" s="83">
        <f>SUMIFS(G193:G6462,K193:K6462,"0",B193:B6462,"1 1 5 1 3 12 31111*")</f>
        <v>485524.81</v>
      </c>
      <c r="H192" s="83">
        <f t="shared" si="2"/>
        <v>0</v>
      </c>
      <c r="I192" s="83"/>
      <c r="K192" s="54" t="s">
        <v>15</v>
      </c>
    </row>
    <row r="193" spans="2:11" ht="12.75" x14ac:dyDescent="0.2">
      <c r="B193" s="82" t="s">
        <v>521</v>
      </c>
      <c r="C193" s="82" t="s">
        <v>30</v>
      </c>
      <c r="D193" s="83">
        <f>SUMIFS(D194:D6462,K194:K6462,"0",B194:B6462,"1 1 5 1 3 12 31111 6*")-SUMIFS(E194:E6462,K194:K6462,"0",B194:B6462,"1 1 5 1 3 12 31111 6*")</f>
        <v>0</v>
      </c>
      <c r="E193" s="54"/>
      <c r="F193" s="83">
        <f>SUMIFS(F194:F6462,K194:K6462,"0",B194:B6462,"1 1 5 1 3 12 31111 6*")</f>
        <v>485524.81</v>
      </c>
      <c r="G193" s="83">
        <f>SUMIFS(G194:G6462,K194:K6462,"0",B194:B6462,"1 1 5 1 3 12 31111 6*")</f>
        <v>485524.81</v>
      </c>
      <c r="H193" s="83">
        <f t="shared" si="2"/>
        <v>0</v>
      </c>
      <c r="I193" s="83"/>
      <c r="K193" s="54" t="s">
        <v>15</v>
      </c>
    </row>
    <row r="194" spans="2:11" ht="12.75" x14ac:dyDescent="0.2">
      <c r="B194" s="82" t="s">
        <v>522</v>
      </c>
      <c r="C194" s="82" t="s">
        <v>140</v>
      </c>
      <c r="D194" s="83">
        <f>SUMIFS(D195:D6462,K195:K6462,"0",B195:B6462,"1 1 5 1 3 12 31111 6 M59*")-SUMIFS(E195:E6462,K195:K6462,"0",B195:B6462,"1 1 5 1 3 12 31111 6 M59*")</f>
        <v>0</v>
      </c>
      <c r="E194" s="54"/>
      <c r="F194" s="83">
        <f>SUMIFS(F195:F6462,K195:K6462,"0",B195:B6462,"1 1 5 1 3 12 31111 6 M59*")</f>
        <v>485524.81</v>
      </c>
      <c r="G194" s="83">
        <f>SUMIFS(G195:G6462,K195:K6462,"0",B195:B6462,"1 1 5 1 3 12 31111 6 M59*")</f>
        <v>485524.81</v>
      </c>
      <c r="H194" s="83">
        <f t="shared" si="2"/>
        <v>0</v>
      </c>
      <c r="I194" s="83"/>
      <c r="K194" s="54" t="s">
        <v>15</v>
      </c>
    </row>
    <row r="195" spans="2:11" ht="16.5" x14ac:dyDescent="0.2">
      <c r="B195" s="82" t="s">
        <v>523</v>
      </c>
      <c r="C195" s="82" t="s">
        <v>34</v>
      </c>
      <c r="D195" s="83">
        <f>SUMIFS(D196:D6462,K196:K6462,"0",B196:B6462,"1 1 5 1 3 12 31111 6 M59 00001*")-SUMIFS(E196:E6462,K196:K6462,"0",B196:B6462,"1 1 5 1 3 12 31111 6 M59 00001*")</f>
        <v>0</v>
      </c>
      <c r="E195" s="54"/>
      <c r="F195" s="83">
        <f>SUMIFS(F196:F6462,K196:K6462,"0",B196:B6462,"1 1 5 1 3 12 31111 6 M59 00001*")</f>
        <v>485524.81</v>
      </c>
      <c r="G195" s="83">
        <f>SUMIFS(G196:G6462,K196:K6462,"0",B196:B6462,"1 1 5 1 3 12 31111 6 M59 00001*")</f>
        <v>485524.81</v>
      </c>
      <c r="H195" s="83">
        <f t="shared" si="2"/>
        <v>0</v>
      </c>
      <c r="I195" s="83"/>
      <c r="K195" s="54" t="s">
        <v>15</v>
      </c>
    </row>
    <row r="196" spans="2:11" ht="16.5" x14ac:dyDescent="0.2">
      <c r="B196" s="82" t="s">
        <v>524</v>
      </c>
      <c r="C196" s="82" t="s">
        <v>525</v>
      </c>
      <c r="D196" s="83">
        <f>SUMIFS(D197:D6462,K197:K6462,"0",B197:B6462,"1 1 5 1 3 12 31111 6 M59 00001 000001*")-SUMIFS(E197:E6462,K197:K6462,"0",B197:B6462,"1 1 5 1 3 12 31111 6 M59 00001 000001*")</f>
        <v>0</v>
      </c>
      <c r="E196" s="54"/>
      <c r="F196" s="83">
        <f>SUMIFS(F197:F6462,K197:K6462,"0",B197:B6462,"1 1 5 1 3 12 31111 6 M59 00001 000001*")</f>
        <v>485524.81</v>
      </c>
      <c r="G196" s="83">
        <f>SUMIFS(G197:G6462,K197:K6462,"0",B197:B6462,"1 1 5 1 3 12 31111 6 M59 00001 000001*")</f>
        <v>485524.81</v>
      </c>
      <c r="H196" s="83">
        <f t="shared" si="2"/>
        <v>0</v>
      </c>
      <c r="I196" s="83"/>
      <c r="K196" s="54" t="s">
        <v>15</v>
      </c>
    </row>
    <row r="197" spans="2:11" ht="16.5" x14ac:dyDescent="0.2">
      <c r="B197" s="84" t="s">
        <v>526</v>
      </c>
      <c r="C197" s="84" t="s">
        <v>527</v>
      </c>
      <c r="D197" s="85">
        <v>0</v>
      </c>
      <c r="E197" s="85"/>
      <c r="F197" s="85">
        <v>485524.81</v>
      </c>
      <c r="G197" s="85">
        <v>485524.81</v>
      </c>
      <c r="H197" s="85">
        <f t="shared" si="2"/>
        <v>0</v>
      </c>
      <c r="I197" s="85"/>
      <c r="K197" s="54" t="s">
        <v>38</v>
      </c>
    </row>
    <row r="198" spans="2:11" ht="24.75" x14ac:dyDescent="0.2">
      <c r="B198" s="82" t="s">
        <v>528</v>
      </c>
      <c r="C198" s="82" t="s">
        <v>529</v>
      </c>
      <c r="D198" s="83">
        <f>SUMIFS(D199:D6462,K199:K6462,"0",B199:B6462,"1 1 5 1 4*")-SUMIFS(E199:E6462,K199:K6462,"0",B199:B6462,"1 1 5 1 4*")</f>
        <v>0</v>
      </c>
      <c r="E198" s="54"/>
      <c r="F198" s="83">
        <f>SUMIFS(F199:F6462,K199:K6462,"0",B199:B6462,"1 1 5 1 4*")</f>
        <v>1314.16</v>
      </c>
      <c r="G198" s="83">
        <f>SUMIFS(G199:G6462,K199:K6462,"0",B199:B6462,"1 1 5 1 4*")</f>
        <v>1314.16</v>
      </c>
      <c r="H198" s="83">
        <f t="shared" si="2"/>
        <v>0</v>
      </c>
      <c r="I198" s="83"/>
      <c r="K198" s="54" t="s">
        <v>15</v>
      </c>
    </row>
    <row r="199" spans="2:11" ht="12.75" x14ac:dyDescent="0.2">
      <c r="B199" s="82" t="s">
        <v>530</v>
      </c>
      <c r="C199" s="82" t="s">
        <v>26</v>
      </c>
      <c r="D199" s="83">
        <f>SUMIFS(D200:D6462,K200:K6462,"0",B200:B6462,"1 1 5 1 4 12*")-SUMIFS(E200:E6462,K200:K6462,"0",B200:B6462,"1 1 5 1 4 12*")</f>
        <v>0</v>
      </c>
      <c r="E199" s="54"/>
      <c r="F199" s="83">
        <f>SUMIFS(F200:F6462,K200:K6462,"0",B200:B6462,"1 1 5 1 4 12*")</f>
        <v>1314.16</v>
      </c>
      <c r="G199" s="83">
        <f>SUMIFS(G200:G6462,K200:K6462,"0",B200:B6462,"1 1 5 1 4 12*")</f>
        <v>1314.16</v>
      </c>
      <c r="H199" s="83">
        <f t="shared" si="2"/>
        <v>0</v>
      </c>
      <c r="I199" s="83"/>
      <c r="K199" s="54" t="s">
        <v>15</v>
      </c>
    </row>
    <row r="200" spans="2:11" ht="16.5" x14ac:dyDescent="0.2">
      <c r="B200" s="82" t="s">
        <v>531</v>
      </c>
      <c r="C200" s="82" t="s">
        <v>28</v>
      </c>
      <c r="D200" s="83">
        <f>SUMIFS(D201:D6462,K201:K6462,"0",B201:B6462,"1 1 5 1 4 12 31111*")-SUMIFS(E201:E6462,K201:K6462,"0",B201:B6462,"1 1 5 1 4 12 31111*")</f>
        <v>0</v>
      </c>
      <c r="E200" s="54"/>
      <c r="F200" s="83">
        <f>SUMIFS(F201:F6462,K201:K6462,"0",B201:B6462,"1 1 5 1 4 12 31111*")</f>
        <v>1314.16</v>
      </c>
      <c r="G200" s="83">
        <f>SUMIFS(G201:G6462,K201:K6462,"0",B201:B6462,"1 1 5 1 4 12 31111*")</f>
        <v>1314.16</v>
      </c>
      <c r="H200" s="83">
        <f t="shared" si="2"/>
        <v>0</v>
      </c>
      <c r="I200" s="83"/>
      <c r="K200" s="54" t="s">
        <v>15</v>
      </c>
    </row>
    <row r="201" spans="2:11" ht="12.75" x14ac:dyDescent="0.2">
      <c r="B201" s="82" t="s">
        <v>532</v>
      </c>
      <c r="C201" s="82" t="s">
        <v>30</v>
      </c>
      <c r="D201" s="83">
        <f>SUMIFS(D202:D6462,K202:K6462,"0",B202:B6462,"1 1 5 1 4 12 31111 6*")-SUMIFS(E202:E6462,K202:K6462,"0",B202:B6462,"1 1 5 1 4 12 31111 6*")</f>
        <v>0</v>
      </c>
      <c r="E201" s="54"/>
      <c r="F201" s="83">
        <f>SUMIFS(F202:F6462,K202:K6462,"0",B202:B6462,"1 1 5 1 4 12 31111 6*")</f>
        <v>1314.16</v>
      </c>
      <c r="G201" s="83">
        <f>SUMIFS(G202:G6462,K202:K6462,"0",B202:B6462,"1 1 5 1 4 12 31111 6*")</f>
        <v>1314.16</v>
      </c>
      <c r="H201" s="83">
        <f t="shared" si="2"/>
        <v>0</v>
      </c>
      <c r="I201" s="83"/>
      <c r="K201" s="54" t="s">
        <v>15</v>
      </c>
    </row>
    <row r="202" spans="2:11" ht="12.75" x14ac:dyDescent="0.2">
      <c r="B202" s="82" t="s">
        <v>533</v>
      </c>
      <c r="C202" s="82" t="s">
        <v>140</v>
      </c>
      <c r="D202" s="83">
        <f>SUMIFS(D203:D6462,K203:K6462,"0",B203:B6462,"1 1 5 1 4 12 31111 6 M59*")-SUMIFS(E203:E6462,K203:K6462,"0",B203:B6462,"1 1 5 1 4 12 31111 6 M59*")</f>
        <v>0</v>
      </c>
      <c r="E202" s="54"/>
      <c r="F202" s="83">
        <f>SUMIFS(F203:F6462,K203:K6462,"0",B203:B6462,"1 1 5 1 4 12 31111 6 M59*")</f>
        <v>1314.16</v>
      </c>
      <c r="G202" s="83">
        <f>SUMIFS(G203:G6462,K203:K6462,"0",B203:B6462,"1 1 5 1 4 12 31111 6 M59*")</f>
        <v>1314.16</v>
      </c>
      <c r="H202" s="83">
        <f t="shared" si="2"/>
        <v>0</v>
      </c>
      <c r="I202" s="83"/>
      <c r="K202" s="54" t="s">
        <v>15</v>
      </c>
    </row>
    <row r="203" spans="2:11" ht="16.5" x14ac:dyDescent="0.2">
      <c r="B203" s="82" t="s">
        <v>534</v>
      </c>
      <c r="C203" s="82" t="s">
        <v>34</v>
      </c>
      <c r="D203" s="83">
        <f>SUMIFS(D204:D6462,K204:K6462,"0",B204:B6462,"1 1 5 1 4 12 31111 6 M59 00001*")-SUMIFS(E204:E6462,K204:K6462,"0",B204:B6462,"1 1 5 1 4 12 31111 6 M59 00001*")</f>
        <v>0</v>
      </c>
      <c r="E203" s="54"/>
      <c r="F203" s="83">
        <f>SUMIFS(F204:F6462,K204:K6462,"0",B204:B6462,"1 1 5 1 4 12 31111 6 M59 00001*")</f>
        <v>1314.16</v>
      </c>
      <c r="G203" s="83">
        <f>SUMIFS(G204:G6462,K204:K6462,"0",B204:B6462,"1 1 5 1 4 12 31111 6 M59 00001*")</f>
        <v>1314.16</v>
      </c>
      <c r="H203" s="83">
        <f t="shared" si="2"/>
        <v>0</v>
      </c>
      <c r="I203" s="83"/>
      <c r="K203" s="54" t="s">
        <v>15</v>
      </c>
    </row>
    <row r="204" spans="2:11" ht="16.5" x14ac:dyDescent="0.2">
      <c r="B204" s="82" t="s">
        <v>535</v>
      </c>
      <c r="C204" s="82" t="s">
        <v>536</v>
      </c>
      <c r="D204" s="83">
        <f>SUMIFS(D205:D6462,K205:K6462,"0",B205:B6462,"1 1 5 1 4 12 31111 6 M59 00001 000001*")-SUMIFS(E205:E6462,K205:K6462,"0",B205:B6462,"1 1 5 1 4 12 31111 6 M59 00001 000001*")</f>
        <v>0</v>
      </c>
      <c r="E204" s="54"/>
      <c r="F204" s="83">
        <f>SUMIFS(F205:F6462,K205:K6462,"0",B205:B6462,"1 1 5 1 4 12 31111 6 M59 00001 000001*")</f>
        <v>1314.16</v>
      </c>
      <c r="G204" s="83">
        <f>SUMIFS(G205:G6462,K205:K6462,"0",B205:B6462,"1 1 5 1 4 12 31111 6 M59 00001 000001*")</f>
        <v>1314.16</v>
      </c>
      <c r="H204" s="83">
        <f t="shared" ref="H204:H267" si="3">D204 + F204 - G204</f>
        <v>0</v>
      </c>
      <c r="I204" s="83"/>
      <c r="K204" s="54" t="s">
        <v>15</v>
      </c>
    </row>
    <row r="205" spans="2:11" ht="16.5" x14ac:dyDescent="0.2">
      <c r="B205" s="84" t="s">
        <v>537</v>
      </c>
      <c r="C205" s="84" t="s">
        <v>538</v>
      </c>
      <c r="D205" s="85">
        <v>0</v>
      </c>
      <c r="E205" s="85"/>
      <c r="F205" s="85">
        <v>1314.16</v>
      </c>
      <c r="G205" s="85">
        <v>1314.16</v>
      </c>
      <c r="H205" s="85">
        <f t="shared" si="3"/>
        <v>0</v>
      </c>
      <c r="I205" s="85"/>
      <c r="K205" s="54" t="s">
        <v>38</v>
      </c>
    </row>
    <row r="206" spans="2:11" ht="16.5" x14ac:dyDescent="0.2">
      <c r="B206" s="82" t="s">
        <v>539</v>
      </c>
      <c r="C206" s="82" t="s">
        <v>540</v>
      </c>
      <c r="D206" s="83">
        <f>SUMIFS(D207:D6462,K207:K6462,"0",B207:B6462,"1 1 5 1 5*")-SUMIFS(E207:E6462,K207:K6462,"0",B207:B6462,"1 1 5 1 5*")</f>
        <v>0</v>
      </c>
      <c r="E206" s="54"/>
      <c r="F206" s="83">
        <f>SUMIFS(F207:F6462,K207:K6462,"0",B207:B6462,"1 1 5 1 5*")</f>
        <v>9927631.4900000002</v>
      </c>
      <c r="G206" s="83">
        <f>SUMIFS(G207:G6462,K207:K6462,"0",B207:B6462,"1 1 5 1 5*")</f>
        <v>9927631.4900000002</v>
      </c>
      <c r="H206" s="83">
        <f t="shared" si="3"/>
        <v>0</v>
      </c>
      <c r="I206" s="83"/>
      <c r="K206" s="54" t="s">
        <v>15</v>
      </c>
    </row>
    <row r="207" spans="2:11" ht="12.75" x14ac:dyDescent="0.2">
      <c r="B207" s="82" t="s">
        <v>541</v>
      </c>
      <c r="C207" s="82" t="s">
        <v>26</v>
      </c>
      <c r="D207" s="83">
        <f>SUMIFS(D208:D6462,K208:K6462,"0",B208:B6462,"1 1 5 1 5 12*")-SUMIFS(E208:E6462,K208:K6462,"0",B208:B6462,"1 1 5 1 5 12*")</f>
        <v>0</v>
      </c>
      <c r="E207" s="54"/>
      <c r="F207" s="83">
        <f>SUMIFS(F208:F6462,K208:K6462,"0",B208:B6462,"1 1 5 1 5 12*")</f>
        <v>9927631.4900000002</v>
      </c>
      <c r="G207" s="83">
        <f>SUMIFS(G208:G6462,K208:K6462,"0",B208:B6462,"1 1 5 1 5 12*")</f>
        <v>9927631.4900000002</v>
      </c>
      <c r="H207" s="83">
        <f t="shared" si="3"/>
        <v>0</v>
      </c>
      <c r="I207" s="83"/>
      <c r="K207" s="54" t="s">
        <v>15</v>
      </c>
    </row>
    <row r="208" spans="2:11" ht="16.5" x14ac:dyDescent="0.2">
      <c r="B208" s="82" t="s">
        <v>542</v>
      </c>
      <c r="C208" s="82" t="s">
        <v>28</v>
      </c>
      <c r="D208" s="83">
        <f>SUMIFS(D209:D6462,K209:K6462,"0",B209:B6462,"1 1 5 1 5 12 31111*")-SUMIFS(E209:E6462,K209:K6462,"0",B209:B6462,"1 1 5 1 5 12 31111*")</f>
        <v>0</v>
      </c>
      <c r="E208" s="54"/>
      <c r="F208" s="83">
        <f>SUMIFS(F209:F6462,K209:K6462,"0",B209:B6462,"1 1 5 1 5 12 31111*")</f>
        <v>9927631.4900000002</v>
      </c>
      <c r="G208" s="83">
        <f>SUMIFS(G209:G6462,K209:K6462,"0",B209:B6462,"1 1 5 1 5 12 31111*")</f>
        <v>9927631.4900000002</v>
      </c>
      <c r="H208" s="83">
        <f t="shared" si="3"/>
        <v>0</v>
      </c>
      <c r="I208" s="83"/>
      <c r="K208" s="54" t="s">
        <v>15</v>
      </c>
    </row>
    <row r="209" spans="2:11" ht="12.75" x14ac:dyDescent="0.2">
      <c r="B209" s="82" t="s">
        <v>543</v>
      </c>
      <c r="C209" s="82" t="s">
        <v>30</v>
      </c>
      <c r="D209" s="83">
        <f>SUMIFS(D210:D6462,K210:K6462,"0",B210:B6462,"1 1 5 1 5 12 31111 6*")-SUMIFS(E210:E6462,K210:K6462,"0",B210:B6462,"1 1 5 1 5 12 31111 6*")</f>
        <v>0</v>
      </c>
      <c r="E209" s="54"/>
      <c r="F209" s="83">
        <f>SUMIFS(F210:F6462,K210:K6462,"0",B210:B6462,"1 1 5 1 5 12 31111 6*")</f>
        <v>9927631.4900000002</v>
      </c>
      <c r="G209" s="83">
        <f>SUMIFS(G210:G6462,K210:K6462,"0",B210:B6462,"1 1 5 1 5 12 31111 6*")</f>
        <v>9927631.4900000002</v>
      </c>
      <c r="H209" s="83">
        <f t="shared" si="3"/>
        <v>0</v>
      </c>
      <c r="I209" s="83"/>
      <c r="K209" s="54" t="s">
        <v>15</v>
      </c>
    </row>
    <row r="210" spans="2:11" ht="12.75" x14ac:dyDescent="0.2">
      <c r="B210" s="82" t="s">
        <v>544</v>
      </c>
      <c r="C210" s="82" t="s">
        <v>140</v>
      </c>
      <c r="D210" s="83">
        <f>SUMIFS(D211:D6462,K211:K6462,"0",B211:B6462,"1 1 5 1 5 12 31111 6 M59*")-SUMIFS(E211:E6462,K211:K6462,"0",B211:B6462,"1 1 5 1 5 12 31111 6 M59*")</f>
        <v>0</v>
      </c>
      <c r="E210" s="54"/>
      <c r="F210" s="83">
        <f>SUMIFS(F211:F6462,K211:K6462,"0",B211:B6462,"1 1 5 1 5 12 31111 6 M59*")</f>
        <v>9927631.4900000002</v>
      </c>
      <c r="G210" s="83">
        <f>SUMIFS(G211:G6462,K211:K6462,"0",B211:B6462,"1 1 5 1 5 12 31111 6 M59*")</f>
        <v>9927631.4900000002</v>
      </c>
      <c r="H210" s="83">
        <f t="shared" si="3"/>
        <v>0</v>
      </c>
      <c r="I210" s="83"/>
      <c r="K210" s="54" t="s">
        <v>15</v>
      </c>
    </row>
    <row r="211" spans="2:11" ht="16.5" x14ac:dyDescent="0.2">
      <c r="B211" s="82" t="s">
        <v>545</v>
      </c>
      <c r="C211" s="82" t="s">
        <v>34</v>
      </c>
      <c r="D211" s="83">
        <f>SUMIFS(D212:D6462,K212:K6462,"0",B212:B6462,"1 1 5 1 5 12 31111 6 M59 00001*")-SUMIFS(E212:E6462,K212:K6462,"0",B212:B6462,"1 1 5 1 5 12 31111 6 M59 00001*")</f>
        <v>0</v>
      </c>
      <c r="E211" s="54"/>
      <c r="F211" s="83">
        <f>SUMIFS(F212:F6462,K212:K6462,"0",B212:B6462,"1 1 5 1 5 12 31111 6 M59 00001*")</f>
        <v>9927631.4900000002</v>
      </c>
      <c r="G211" s="83">
        <f>SUMIFS(G212:G6462,K212:K6462,"0",B212:B6462,"1 1 5 1 5 12 31111 6 M59 00001*")</f>
        <v>9927631.4900000002</v>
      </c>
      <c r="H211" s="83">
        <f t="shared" si="3"/>
        <v>0</v>
      </c>
      <c r="I211" s="83"/>
      <c r="K211" s="54" t="s">
        <v>15</v>
      </c>
    </row>
    <row r="212" spans="2:11" ht="16.5" x14ac:dyDescent="0.2">
      <c r="B212" s="82" t="s">
        <v>546</v>
      </c>
      <c r="C212" s="82" t="s">
        <v>547</v>
      </c>
      <c r="D212" s="83">
        <f>SUMIFS(D213:D6462,K213:K6462,"0",B213:B6462,"1 1 5 1 5 12 31111 6 M59 00001 000001*")-SUMIFS(E213:E6462,K213:K6462,"0",B213:B6462,"1 1 5 1 5 12 31111 6 M59 00001 000001*")</f>
        <v>0</v>
      </c>
      <c r="E212" s="54"/>
      <c r="F212" s="83">
        <f>SUMIFS(F213:F6462,K213:K6462,"0",B213:B6462,"1 1 5 1 5 12 31111 6 M59 00001 000001*")</f>
        <v>9927631.4900000002</v>
      </c>
      <c r="G212" s="83">
        <f>SUMIFS(G213:G6462,K213:K6462,"0",B213:B6462,"1 1 5 1 5 12 31111 6 M59 00001 000001*")</f>
        <v>9927631.4900000002</v>
      </c>
      <c r="H212" s="83">
        <f t="shared" si="3"/>
        <v>0</v>
      </c>
      <c r="I212" s="83"/>
      <c r="K212" s="54" t="s">
        <v>15</v>
      </c>
    </row>
    <row r="213" spans="2:11" ht="16.5" x14ac:dyDescent="0.2">
      <c r="B213" s="84" t="s">
        <v>548</v>
      </c>
      <c r="C213" s="84" t="s">
        <v>549</v>
      </c>
      <c r="D213" s="85">
        <v>0</v>
      </c>
      <c r="E213" s="85"/>
      <c r="F213" s="85">
        <v>9927631.4900000002</v>
      </c>
      <c r="G213" s="85">
        <v>9927631.4900000002</v>
      </c>
      <c r="H213" s="85">
        <f t="shared" si="3"/>
        <v>0</v>
      </c>
      <c r="I213" s="85"/>
      <c r="K213" s="54" t="s">
        <v>38</v>
      </c>
    </row>
    <row r="214" spans="2:11" ht="24.75" x14ac:dyDescent="0.2">
      <c r="B214" s="82" t="s">
        <v>550</v>
      </c>
      <c r="C214" s="82" t="s">
        <v>551</v>
      </c>
      <c r="D214" s="83">
        <f>SUMIFS(D215:D6462,K215:K6462,"0",B215:B6462,"1 1 5 1 6*")-SUMIFS(E215:E6462,K215:K6462,"0",B215:B6462,"1 1 5 1 6*")</f>
        <v>0</v>
      </c>
      <c r="E214" s="54"/>
      <c r="F214" s="83">
        <f>SUMIFS(F215:F6462,K215:K6462,"0",B215:B6462,"1 1 5 1 6*")</f>
        <v>65315.63</v>
      </c>
      <c r="G214" s="83">
        <f>SUMIFS(G215:G6462,K215:K6462,"0",B215:B6462,"1 1 5 1 6*")</f>
        <v>65315.63</v>
      </c>
      <c r="H214" s="83">
        <f t="shared" si="3"/>
        <v>0</v>
      </c>
      <c r="I214" s="83"/>
      <c r="K214" s="54" t="s">
        <v>15</v>
      </c>
    </row>
    <row r="215" spans="2:11" ht="12.75" x14ac:dyDescent="0.2">
      <c r="B215" s="82" t="s">
        <v>552</v>
      </c>
      <c r="C215" s="82" t="s">
        <v>26</v>
      </c>
      <c r="D215" s="83">
        <f>SUMIFS(D216:D6462,K216:K6462,"0",B216:B6462,"1 1 5 1 6 12*")-SUMIFS(E216:E6462,K216:K6462,"0",B216:B6462,"1 1 5 1 6 12*")</f>
        <v>0</v>
      </c>
      <c r="E215" s="54"/>
      <c r="F215" s="83">
        <f>SUMIFS(F216:F6462,K216:K6462,"0",B216:B6462,"1 1 5 1 6 12*")</f>
        <v>65315.63</v>
      </c>
      <c r="G215" s="83">
        <f>SUMIFS(G216:G6462,K216:K6462,"0",B216:B6462,"1 1 5 1 6 12*")</f>
        <v>65315.63</v>
      </c>
      <c r="H215" s="83">
        <f t="shared" si="3"/>
        <v>0</v>
      </c>
      <c r="I215" s="83"/>
      <c r="K215" s="54" t="s">
        <v>15</v>
      </c>
    </row>
    <row r="216" spans="2:11" ht="16.5" x14ac:dyDescent="0.2">
      <c r="B216" s="82" t="s">
        <v>553</v>
      </c>
      <c r="C216" s="82" t="s">
        <v>28</v>
      </c>
      <c r="D216" s="83">
        <f>SUMIFS(D217:D6462,K217:K6462,"0",B217:B6462,"1 1 5 1 6 12 31111*")-SUMIFS(E217:E6462,K217:K6462,"0",B217:B6462,"1 1 5 1 6 12 31111*")</f>
        <v>0</v>
      </c>
      <c r="E216" s="54"/>
      <c r="F216" s="83">
        <f>SUMIFS(F217:F6462,K217:K6462,"0",B217:B6462,"1 1 5 1 6 12 31111*")</f>
        <v>65315.63</v>
      </c>
      <c r="G216" s="83">
        <f>SUMIFS(G217:G6462,K217:K6462,"0",B217:B6462,"1 1 5 1 6 12 31111*")</f>
        <v>65315.63</v>
      </c>
      <c r="H216" s="83">
        <f t="shared" si="3"/>
        <v>0</v>
      </c>
      <c r="I216" s="83"/>
      <c r="K216" s="54" t="s">
        <v>15</v>
      </c>
    </row>
    <row r="217" spans="2:11" ht="12.75" x14ac:dyDescent="0.2">
      <c r="B217" s="82" t="s">
        <v>554</v>
      </c>
      <c r="C217" s="82" t="s">
        <v>30</v>
      </c>
      <c r="D217" s="83">
        <f>SUMIFS(D218:D6462,K218:K6462,"0",B218:B6462,"1 1 5 1 6 12 31111 6*")-SUMIFS(E218:E6462,K218:K6462,"0",B218:B6462,"1 1 5 1 6 12 31111 6*")</f>
        <v>0</v>
      </c>
      <c r="E217" s="54"/>
      <c r="F217" s="83">
        <f>SUMIFS(F218:F6462,K218:K6462,"0",B218:B6462,"1 1 5 1 6 12 31111 6*")</f>
        <v>65315.63</v>
      </c>
      <c r="G217" s="83">
        <f>SUMIFS(G218:G6462,K218:K6462,"0",B218:B6462,"1 1 5 1 6 12 31111 6*")</f>
        <v>65315.63</v>
      </c>
      <c r="H217" s="83">
        <f t="shared" si="3"/>
        <v>0</v>
      </c>
      <c r="I217" s="83"/>
      <c r="K217" s="54" t="s">
        <v>15</v>
      </c>
    </row>
    <row r="218" spans="2:11" ht="12.75" x14ac:dyDescent="0.2">
      <c r="B218" s="82" t="s">
        <v>555</v>
      </c>
      <c r="C218" s="82" t="s">
        <v>140</v>
      </c>
      <c r="D218" s="83">
        <f>SUMIFS(D219:D6462,K219:K6462,"0",B219:B6462,"1 1 5 1 6 12 31111 6 M59*")-SUMIFS(E219:E6462,K219:K6462,"0",B219:B6462,"1 1 5 1 6 12 31111 6 M59*")</f>
        <v>0</v>
      </c>
      <c r="E218" s="54"/>
      <c r="F218" s="83">
        <f>SUMIFS(F219:F6462,K219:K6462,"0",B219:B6462,"1 1 5 1 6 12 31111 6 M59*")</f>
        <v>65315.63</v>
      </c>
      <c r="G218" s="83">
        <f>SUMIFS(G219:G6462,K219:K6462,"0",B219:B6462,"1 1 5 1 6 12 31111 6 M59*")</f>
        <v>65315.63</v>
      </c>
      <c r="H218" s="83">
        <f t="shared" si="3"/>
        <v>0</v>
      </c>
      <c r="I218" s="83"/>
      <c r="K218" s="54" t="s">
        <v>15</v>
      </c>
    </row>
    <row r="219" spans="2:11" ht="16.5" x14ac:dyDescent="0.2">
      <c r="B219" s="82" t="s">
        <v>556</v>
      </c>
      <c r="C219" s="82" t="s">
        <v>34</v>
      </c>
      <c r="D219" s="83">
        <f>SUMIFS(D220:D6462,K220:K6462,"0",B220:B6462,"1 1 5 1 6 12 31111 6 M59 00001*")-SUMIFS(E220:E6462,K220:K6462,"0",B220:B6462,"1 1 5 1 6 12 31111 6 M59 00001*")</f>
        <v>0</v>
      </c>
      <c r="E219" s="54"/>
      <c r="F219" s="83">
        <f>SUMIFS(F220:F6462,K220:K6462,"0",B220:B6462,"1 1 5 1 6 12 31111 6 M59 00001*")</f>
        <v>65315.63</v>
      </c>
      <c r="G219" s="83">
        <f>SUMIFS(G220:G6462,K220:K6462,"0",B220:B6462,"1 1 5 1 6 12 31111 6 M59 00001*")</f>
        <v>65315.63</v>
      </c>
      <c r="H219" s="83">
        <f t="shared" si="3"/>
        <v>0</v>
      </c>
      <c r="I219" s="83"/>
      <c r="K219" s="54" t="s">
        <v>15</v>
      </c>
    </row>
    <row r="220" spans="2:11" ht="24.75" x14ac:dyDescent="0.2">
      <c r="B220" s="82" t="s">
        <v>557</v>
      </c>
      <c r="C220" s="82" t="s">
        <v>558</v>
      </c>
      <c r="D220" s="83">
        <f>SUMIFS(D221:D6462,K221:K6462,"0",B221:B6462,"1 1 5 1 6 12 31111 6 M59 00001 000001*")-SUMIFS(E221:E6462,K221:K6462,"0",B221:B6462,"1 1 5 1 6 12 31111 6 M59 00001 000001*")</f>
        <v>0</v>
      </c>
      <c r="E220" s="54"/>
      <c r="F220" s="83">
        <f>SUMIFS(F221:F6462,K221:K6462,"0",B221:B6462,"1 1 5 1 6 12 31111 6 M59 00001 000001*")</f>
        <v>65315.63</v>
      </c>
      <c r="G220" s="83">
        <f>SUMIFS(G221:G6462,K221:K6462,"0",B221:B6462,"1 1 5 1 6 12 31111 6 M59 00001 000001*")</f>
        <v>65315.63</v>
      </c>
      <c r="H220" s="83">
        <f t="shared" si="3"/>
        <v>0</v>
      </c>
      <c r="I220" s="83"/>
      <c r="K220" s="54" t="s">
        <v>15</v>
      </c>
    </row>
    <row r="221" spans="2:11" ht="16.5" x14ac:dyDescent="0.2">
      <c r="B221" s="84" t="s">
        <v>559</v>
      </c>
      <c r="C221" s="84" t="s">
        <v>560</v>
      </c>
      <c r="D221" s="85">
        <v>0</v>
      </c>
      <c r="E221" s="85"/>
      <c r="F221" s="85">
        <v>65315.63</v>
      </c>
      <c r="G221" s="85">
        <v>65315.63</v>
      </c>
      <c r="H221" s="85">
        <f t="shared" si="3"/>
        <v>0</v>
      </c>
      <c r="I221" s="85"/>
      <c r="K221" s="54" t="s">
        <v>38</v>
      </c>
    </row>
    <row r="222" spans="2:11" ht="24.75" x14ac:dyDescent="0.2">
      <c r="B222" s="82" t="s">
        <v>561</v>
      </c>
      <c r="C222" s="82" t="s">
        <v>562</v>
      </c>
      <c r="D222" s="83">
        <f>SUMIFS(D223:D6462,K223:K6462,"0",B223:B6462,"1 1 5 1 8*")-SUMIFS(E223:E6462,K223:K6462,"0",B223:B6462,"1 1 5 1 8*")</f>
        <v>0</v>
      </c>
      <c r="E222" s="54"/>
      <c r="F222" s="83">
        <f>SUMIFS(F223:F6462,K223:K6462,"0",B223:B6462,"1 1 5 1 8*")</f>
        <v>10421444.279999999</v>
      </c>
      <c r="G222" s="83">
        <f>SUMIFS(G223:G6462,K223:K6462,"0",B223:B6462,"1 1 5 1 8*")</f>
        <v>10421444.279999999</v>
      </c>
      <c r="H222" s="83">
        <f t="shared" si="3"/>
        <v>0</v>
      </c>
      <c r="I222" s="83"/>
      <c r="K222" s="54" t="s">
        <v>15</v>
      </c>
    </row>
    <row r="223" spans="2:11" ht="12.75" x14ac:dyDescent="0.2">
      <c r="B223" s="82" t="s">
        <v>563</v>
      </c>
      <c r="C223" s="82" t="s">
        <v>26</v>
      </c>
      <c r="D223" s="83">
        <f>SUMIFS(D224:D6462,K224:K6462,"0",B224:B6462,"1 1 5 1 8 12*")-SUMIFS(E224:E6462,K224:K6462,"0",B224:B6462,"1 1 5 1 8 12*")</f>
        <v>0</v>
      </c>
      <c r="E223" s="54"/>
      <c r="F223" s="83">
        <f>SUMIFS(F224:F6462,K224:K6462,"0",B224:B6462,"1 1 5 1 8 12*")</f>
        <v>10421444.279999999</v>
      </c>
      <c r="G223" s="83">
        <f>SUMIFS(G224:G6462,K224:K6462,"0",B224:B6462,"1 1 5 1 8 12*")</f>
        <v>10421444.279999999</v>
      </c>
      <c r="H223" s="83">
        <f t="shared" si="3"/>
        <v>0</v>
      </c>
      <c r="I223" s="83"/>
      <c r="K223" s="54" t="s">
        <v>15</v>
      </c>
    </row>
    <row r="224" spans="2:11" ht="16.5" x14ac:dyDescent="0.2">
      <c r="B224" s="82" t="s">
        <v>564</v>
      </c>
      <c r="C224" s="82" t="s">
        <v>28</v>
      </c>
      <c r="D224" s="83">
        <f>SUMIFS(D225:D6462,K225:K6462,"0",B225:B6462,"1 1 5 1 8 12 31111*")-SUMIFS(E225:E6462,K225:K6462,"0",B225:B6462,"1 1 5 1 8 12 31111*")</f>
        <v>0</v>
      </c>
      <c r="E224" s="54"/>
      <c r="F224" s="83">
        <f>SUMIFS(F225:F6462,K225:K6462,"0",B225:B6462,"1 1 5 1 8 12 31111*")</f>
        <v>10421444.279999999</v>
      </c>
      <c r="G224" s="83">
        <f>SUMIFS(G225:G6462,K225:K6462,"0",B225:B6462,"1 1 5 1 8 12 31111*")</f>
        <v>10421444.279999999</v>
      </c>
      <c r="H224" s="83">
        <f t="shared" si="3"/>
        <v>0</v>
      </c>
      <c r="I224" s="83"/>
      <c r="K224" s="54" t="s">
        <v>15</v>
      </c>
    </row>
    <row r="225" spans="2:11" ht="12.75" x14ac:dyDescent="0.2">
      <c r="B225" s="82" t="s">
        <v>565</v>
      </c>
      <c r="C225" s="82" t="s">
        <v>30</v>
      </c>
      <c r="D225" s="83">
        <f>SUMIFS(D226:D6462,K226:K6462,"0",B226:B6462,"1 1 5 1 8 12 31111 6*")-SUMIFS(E226:E6462,K226:K6462,"0",B226:B6462,"1 1 5 1 8 12 31111 6*")</f>
        <v>0</v>
      </c>
      <c r="E225" s="54"/>
      <c r="F225" s="83">
        <f>SUMIFS(F226:F6462,K226:K6462,"0",B226:B6462,"1 1 5 1 8 12 31111 6*")</f>
        <v>10421444.279999999</v>
      </c>
      <c r="G225" s="83">
        <f>SUMIFS(G226:G6462,K226:K6462,"0",B226:B6462,"1 1 5 1 8 12 31111 6*")</f>
        <v>10421444.279999999</v>
      </c>
      <c r="H225" s="83">
        <f t="shared" si="3"/>
        <v>0</v>
      </c>
      <c r="I225" s="83"/>
      <c r="K225" s="54" t="s">
        <v>15</v>
      </c>
    </row>
    <row r="226" spans="2:11" ht="12.75" x14ac:dyDescent="0.2">
      <c r="B226" s="82" t="s">
        <v>566</v>
      </c>
      <c r="C226" s="82" t="s">
        <v>140</v>
      </c>
      <c r="D226" s="83">
        <f>SUMIFS(D227:D6462,K227:K6462,"0",B227:B6462,"1 1 5 1 8 12 31111 6 M59*")-SUMIFS(E227:E6462,K227:K6462,"0",B227:B6462,"1 1 5 1 8 12 31111 6 M59*")</f>
        <v>0</v>
      </c>
      <c r="E226" s="54"/>
      <c r="F226" s="83">
        <f>SUMIFS(F227:F6462,K227:K6462,"0",B227:B6462,"1 1 5 1 8 12 31111 6 M59*")</f>
        <v>10421444.279999999</v>
      </c>
      <c r="G226" s="83">
        <f>SUMIFS(G227:G6462,K227:K6462,"0",B227:B6462,"1 1 5 1 8 12 31111 6 M59*")</f>
        <v>10421444.279999999</v>
      </c>
      <c r="H226" s="83">
        <f t="shared" si="3"/>
        <v>0</v>
      </c>
      <c r="I226" s="83"/>
      <c r="K226" s="54" t="s">
        <v>15</v>
      </c>
    </row>
    <row r="227" spans="2:11" ht="16.5" x14ac:dyDescent="0.2">
      <c r="B227" s="82" t="s">
        <v>567</v>
      </c>
      <c r="C227" s="82" t="s">
        <v>34</v>
      </c>
      <c r="D227" s="83">
        <f>SUMIFS(D228:D6462,K228:K6462,"0",B228:B6462,"1 1 5 1 8 12 31111 6 M59 00001*")-SUMIFS(E228:E6462,K228:K6462,"0",B228:B6462,"1 1 5 1 8 12 31111 6 M59 00001*")</f>
        <v>0</v>
      </c>
      <c r="E227" s="54"/>
      <c r="F227" s="83">
        <f>SUMIFS(F228:F6462,K228:K6462,"0",B228:B6462,"1 1 5 1 8 12 31111 6 M59 00001*")</f>
        <v>10421444.279999999</v>
      </c>
      <c r="G227" s="83">
        <f>SUMIFS(G228:G6462,K228:K6462,"0",B228:B6462,"1 1 5 1 8 12 31111 6 M59 00001*")</f>
        <v>10421444.279999999</v>
      </c>
      <c r="H227" s="83">
        <f t="shared" si="3"/>
        <v>0</v>
      </c>
      <c r="I227" s="83"/>
      <c r="K227" s="54" t="s">
        <v>15</v>
      </c>
    </row>
    <row r="228" spans="2:11" ht="16.5" x14ac:dyDescent="0.2">
      <c r="B228" s="82" t="s">
        <v>568</v>
      </c>
      <c r="C228" s="82" t="s">
        <v>569</v>
      </c>
      <c r="D228" s="83">
        <f>SUMIFS(D229:D6462,K229:K6462,"0",B229:B6462,"1 1 5 1 8 12 31111 6 M59 00001 000001*")-SUMIFS(E229:E6462,K229:K6462,"0",B229:B6462,"1 1 5 1 8 12 31111 6 M59 00001 000001*")</f>
        <v>0</v>
      </c>
      <c r="E228" s="54"/>
      <c r="F228" s="83">
        <f>SUMIFS(F229:F6462,K229:K6462,"0",B229:B6462,"1 1 5 1 8 12 31111 6 M59 00001 000001*")</f>
        <v>10421444.279999999</v>
      </c>
      <c r="G228" s="83">
        <f>SUMIFS(G229:G6462,K229:K6462,"0",B229:B6462,"1 1 5 1 8 12 31111 6 M59 00001 000001*")</f>
        <v>10421444.279999999</v>
      </c>
      <c r="H228" s="83">
        <f t="shared" si="3"/>
        <v>0</v>
      </c>
      <c r="I228" s="83"/>
      <c r="K228" s="54" t="s">
        <v>15</v>
      </c>
    </row>
    <row r="229" spans="2:11" ht="16.5" x14ac:dyDescent="0.2">
      <c r="B229" s="84" t="s">
        <v>570</v>
      </c>
      <c r="C229" s="84" t="s">
        <v>571</v>
      </c>
      <c r="D229" s="85">
        <v>0</v>
      </c>
      <c r="E229" s="85"/>
      <c r="F229" s="85">
        <v>10421444.279999999</v>
      </c>
      <c r="G229" s="85">
        <v>10421444.279999999</v>
      </c>
      <c r="H229" s="85">
        <f t="shared" si="3"/>
        <v>0</v>
      </c>
      <c r="I229" s="85"/>
      <c r="K229" s="54" t="s">
        <v>38</v>
      </c>
    </row>
    <row r="230" spans="2:11" ht="12.75" x14ac:dyDescent="0.2">
      <c r="B230" s="82" t="s">
        <v>572</v>
      </c>
      <c r="C230" s="82" t="s">
        <v>573</v>
      </c>
      <c r="D230" s="83">
        <f>SUMIFS(D231:D6462,K231:K6462,"0",B231:B6462,"1 1 9*")-SUMIFS(E231:E6462,K231:K6462,"0",B231:B6462,"1 1 9*")</f>
        <v>0</v>
      </c>
      <c r="E230" s="54"/>
      <c r="F230" s="83">
        <f>SUMIFS(F231:F6462,K231:K6462,"0",B231:B6462,"1 1 9*")</f>
        <v>0</v>
      </c>
      <c r="G230" s="83">
        <f>SUMIFS(G231:G6462,K231:K6462,"0",B231:B6462,"1 1 9*")</f>
        <v>54737</v>
      </c>
      <c r="H230" s="83">
        <f t="shared" si="3"/>
        <v>-54737</v>
      </c>
      <c r="I230" s="83"/>
      <c r="K230" s="54" t="s">
        <v>15</v>
      </c>
    </row>
    <row r="231" spans="2:11" ht="24.75" x14ac:dyDescent="0.2">
      <c r="B231" s="82" t="s">
        <v>574</v>
      </c>
      <c r="C231" s="82" t="s">
        <v>575</v>
      </c>
      <c r="D231" s="83">
        <f>SUMIFS(D232:D6462,K232:K6462,"0",B232:B6462,"1 1 9 4*")-SUMIFS(E232:E6462,K232:K6462,"0",B232:B6462,"1 1 9 4*")</f>
        <v>0</v>
      </c>
      <c r="E231" s="54"/>
      <c r="F231" s="83">
        <f>SUMIFS(F232:F6462,K232:K6462,"0",B232:B6462,"1 1 9 4*")</f>
        <v>0</v>
      </c>
      <c r="G231" s="83">
        <f>SUMIFS(G232:G6462,K232:K6462,"0",B232:B6462,"1 1 9 4*")</f>
        <v>54737</v>
      </c>
      <c r="H231" s="83">
        <f t="shared" si="3"/>
        <v>-54737</v>
      </c>
      <c r="I231" s="83"/>
      <c r="K231" s="54" t="s">
        <v>15</v>
      </c>
    </row>
    <row r="232" spans="2:11" ht="24.75" x14ac:dyDescent="0.2">
      <c r="B232" s="82" t="s">
        <v>576</v>
      </c>
      <c r="C232" s="82" t="s">
        <v>575</v>
      </c>
      <c r="D232" s="83">
        <f>SUMIFS(D233:D6462,K233:K6462,"0",B233:B6462,"1 1 9 4 1*")-SUMIFS(E233:E6462,K233:K6462,"0",B233:B6462,"1 1 9 4 1*")</f>
        <v>0</v>
      </c>
      <c r="E232" s="54"/>
      <c r="F232" s="83">
        <f>SUMIFS(F233:F6462,K233:K6462,"0",B233:B6462,"1 1 9 4 1*")</f>
        <v>0</v>
      </c>
      <c r="G232" s="83">
        <f>SUMIFS(G233:G6462,K233:K6462,"0",B233:B6462,"1 1 9 4 1*")</f>
        <v>54737</v>
      </c>
      <c r="H232" s="83">
        <f t="shared" si="3"/>
        <v>-54737</v>
      </c>
      <c r="I232" s="83"/>
      <c r="K232" s="54" t="s">
        <v>15</v>
      </c>
    </row>
    <row r="233" spans="2:11" ht="12.75" x14ac:dyDescent="0.2">
      <c r="B233" s="82" t="s">
        <v>577</v>
      </c>
      <c r="C233" s="82" t="s">
        <v>26</v>
      </c>
      <c r="D233" s="83">
        <f>SUMIFS(D234:D6462,K234:K6462,"0",B234:B6462,"1 1 9 4 1 12*")-SUMIFS(E234:E6462,K234:K6462,"0",B234:B6462,"1 1 9 4 1 12*")</f>
        <v>0</v>
      </c>
      <c r="E233" s="54"/>
      <c r="F233" s="83">
        <f>SUMIFS(F234:F6462,K234:K6462,"0",B234:B6462,"1 1 9 4 1 12*")</f>
        <v>0</v>
      </c>
      <c r="G233" s="83">
        <f>SUMIFS(G234:G6462,K234:K6462,"0",B234:B6462,"1 1 9 4 1 12*")</f>
        <v>54737</v>
      </c>
      <c r="H233" s="83">
        <f t="shared" si="3"/>
        <v>-54737</v>
      </c>
      <c r="I233" s="83"/>
      <c r="K233" s="54" t="s">
        <v>15</v>
      </c>
    </row>
    <row r="234" spans="2:11" ht="16.5" x14ac:dyDescent="0.2">
      <c r="B234" s="82" t="s">
        <v>578</v>
      </c>
      <c r="C234" s="82" t="s">
        <v>28</v>
      </c>
      <c r="D234" s="83">
        <f>SUMIFS(D235:D6462,K235:K6462,"0",B235:B6462,"1 1 9 4 1 12 31111*")-SUMIFS(E235:E6462,K235:K6462,"0",B235:B6462,"1 1 9 4 1 12 31111*")</f>
        <v>0</v>
      </c>
      <c r="E234" s="54"/>
      <c r="F234" s="83">
        <f>SUMIFS(F235:F6462,K235:K6462,"0",B235:B6462,"1 1 9 4 1 12 31111*")</f>
        <v>0</v>
      </c>
      <c r="G234" s="83">
        <f>SUMIFS(G235:G6462,K235:K6462,"0",B235:B6462,"1 1 9 4 1 12 31111*")</f>
        <v>54737</v>
      </c>
      <c r="H234" s="83">
        <f t="shared" si="3"/>
        <v>-54737</v>
      </c>
      <c r="I234" s="83"/>
      <c r="K234" s="54" t="s">
        <v>15</v>
      </c>
    </row>
    <row r="235" spans="2:11" ht="12.75" x14ac:dyDescent="0.2">
      <c r="B235" s="82" t="s">
        <v>579</v>
      </c>
      <c r="C235" s="82" t="s">
        <v>30</v>
      </c>
      <c r="D235" s="83">
        <f>SUMIFS(D236:D6462,K236:K6462,"0",B236:B6462,"1 1 9 4 1 12 31111 6*")-SUMIFS(E236:E6462,K236:K6462,"0",B236:B6462,"1 1 9 4 1 12 31111 6*")</f>
        <v>0</v>
      </c>
      <c r="E235" s="54"/>
      <c r="F235" s="83">
        <f>SUMIFS(F236:F6462,K236:K6462,"0",B236:B6462,"1 1 9 4 1 12 31111 6*")</f>
        <v>0</v>
      </c>
      <c r="G235" s="83">
        <f>SUMIFS(G236:G6462,K236:K6462,"0",B236:B6462,"1 1 9 4 1 12 31111 6*")</f>
        <v>54737</v>
      </c>
      <c r="H235" s="83">
        <f t="shared" si="3"/>
        <v>-54737</v>
      </c>
      <c r="I235" s="83"/>
      <c r="K235" s="54" t="s">
        <v>15</v>
      </c>
    </row>
    <row r="236" spans="2:11" ht="16.5" x14ac:dyDescent="0.2">
      <c r="B236" s="82" t="s">
        <v>580</v>
      </c>
      <c r="C236" s="82" t="s">
        <v>581</v>
      </c>
      <c r="D236" s="83">
        <f>SUMIFS(D237:D6462,K237:K6462,"0",B237:B6462,"1 1 9 4 1 12 31111 6 M59*")-SUMIFS(E237:E6462,K237:K6462,"0",B237:B6462,"1 1 9 4 1 12 31111 6 M59*")</f>
        <v>0</v>
      </c>
      <c r="E236" s="54"/>
      <c r="F236" s="83">
        <f>SUMIFS(F237:F6462,K237:K6462,"0",B237:B6462,"1 1 9 4 1 12 31111 6 M59*")</f>
        <v>0</v>
      </c>
      <c r="G236" s="83">
        <f>SUMIFS(G237:G6462,K237:K6462,"0",B237:B6462,"1 1 9 4 1 12 31111 6 M59*")</f>
        <v>54737</v>
      </c>
      <c r="H236" s="83">
        <f t="shared" si="3"/>
        <v>-54737</v>
      </c>
      <c r="I236" s="83"/>
      <c r="K236" s="54" t="s">
        <v>15</v>
      </c>
    </row>
    <row r="237" spans="2:11" ht="16.5" x14ac:dyDescent="0.2">
      <c r="B237" s="82" t="s">
        <v>582</v>
      </c>
      <c r="C237" s="82" t="s">
        <v>34</v>
      </c>
      <c r="D237" s="83">
        <f>SUMIFS(D238:D6462,K238:K6462,"0",B238:B6462,"1 1 9 4 1 12 31111 6 M59 00001*")-SUMIFS(E238:E6462,K238:K6462,"0",B238:B6462,"1 1 9 4 1 12 31111 6 M59 00001*")</f>
        <v>0</v>
      </c>
      <c r="E237" s="54"/>
      <c r="F237" s="83">
        <f>SUMIFS(F238:F6462,K238:K6462,"0",B238:B6462,"1 1 9 4 1 12 31111 6 M59 00001*")</f>
        <v>0</v>
      </c>
      <c r="G237" s="83">
        <f>SUMIFS(G238:G6462,K238:K6462,"0",B238:B6462,"1 1 9 4 1 12 31111 6 M59 00001*")</f>
        <v>54737</v>
      </c>
      <c r="H237" s="83">
        <f t="shared" si="3"/>
        <v>-54737</v>
      </c>
      <c r="I237" s="83"/>
      <c r="K237" s="54" t="s">
        <v>15</v>
      </c>
    </row>
    <row r="238" spans="2:11" ht="16.5" x14ac:dyDescent="0.2">
      <c r="B238" s="84" t="s">
        <v>583</v>
      </c>
      <c r="C238" s="84" t="s">
        <v>584</v>
      </c>
      <c r="D238" s="85">
        <v>0</v>
      </c>
      <c r="E238" s="85"/>
      <c r="F238" s="85">
        <v>0</v>
      </c>
      <c r="G238" s="85">
        <v>54737</v>
      </c>
      <c r="H238" s="85">
        <f t="shared" si="3"/>
        <v>-54737</v>
      </c>
      <c r="I238" s="85"/>
      <c r="K238" s="54" t="s">
        <v>38</v>
      </c>
    </row>
    <row r="239" spans="2:11" ht="12.75" x14ac:dyDescent="0.2">
      <c r="B239" s="82" t="s">
        <v>585</v>
      </c>
      <c r="C239" s="82" t="s">
        <v>586</v>
      </c>
      <c r="D239" s="83">
        <f>SUMIFS(D240:D6462,K240:K6462,"0",B240:B6462,"1 2*")-SUMIFS(E240:E6462,K240:K6462,"0",B240:B6462,"1 2*")</f>
        <v>4248180.8500000034</v>
      </c>
      <c r="E239" s="54"/>
      <c r="F239" s="83">
        <f>SUMIFS(F240:F6462,K240:K6462,"0",B240:B6462,"1 2*")</f>
        <v>2194399.7000000002</v>
      </c>
      <c r="G239" s="83">
        <f>SUMIFS(G240:G6462,K240:K6462,"0",B240:B6462,"1 2*")</f>
        <v>6913324.3200000003</v>
      </c>
      <c r="H239" s="83">
        <f t="shared" si="3"/>
        <v>-470743.76999999676</v>
      </c>
      <c r="I239" s="83"/>
      <c r="K239" s="54" t="s">
        <v>15</v>
      </c>
    </row>
    <row r="240" spans="2:11" ht="33" x14ac:dyDescent="0.2">
      <c r="B240" s="82" t="s">
        <v>587</v>
      </c>
      <c r="C240" s="82" t="s">
        <v>588</v>
      </c>
      <c r="D240" s="83">
        <f>SUMIFS(D241:D6462,K241:K6462,"0",B241:B6462,"1 2 3*")-SUMIFS(E241:E6462,K241:K6462,"0",B241:B6462,"1 2 3*")</f>
        <v>6165000</v>
      </c>
      <c r="E240" s="54"/>
      <c r="F240" s="83">
        <f>SUMIFS(F241:F6462,K241:K6462,"0",B241:B6462,"1 2 3*")</f>
        <v>0</v>
      </c>
      <c r="G240" s="83">
        <f>SUMIFS(G241:G6462,K241:K6462,"0",B241:B6462,"1 2 3*")</f>
        <v>0</v>
      </c>
      <c r="H240" s="83">
        <f t="shared" si="3"/>
        <v>6165000</v>
      </c>
      <c r="I240" s="83"/>
      <c r="K240" s="54" t="s">
        <v>15</v>
      </c>
    </row>
    <row r="241" spans="2:11" ht="12.75" x14ac:dyDescent="0.2">
      <c r="B241" s="82" t="s">
        <v>589</v>
      </c>
      <c r="C241" s="82" t="s">
        <v>590</v>
      </c>
      <c r="D241" s="83">
        <f>SUMIFS(D242:D6462,K242:K6462,"0",B242:B6462,"1 2 3 1*")-SUMIFS(E242:E6462,K242:K6462,"0",B242:B6462,"1 2 3 1*")</f>
        <v>3465000</v>
      </c>
      <c r="E241" s="54"/>
      <c r="F241" s="83">
        <f>SUMIFS(F242:F6462,K242:K6462,"0",B242:B6462,"1 2 3 1*")</f>
        <v>0</v>
      </c>
      <c r="G241" s="83">
        <f>SUMIFS(G242:G6462,K242:K6462,"0",B242:B6462,"1 2 3 1*")</f>
        <v>0</v>
      </c>
      <c r="H241" s="83">
        <f t="shared" si="3"/>
        <v>3465000</v>
      </c>
      <c r="I241" s="83"/>
      <c r="K241" s="54" t="s">
        <v>15</v>
      </c>
    </row>
    <row r="242" spans="2:11" ht="12.75" x14ac:dyDescent="0.2">
      <c r="B242" s="82" t="s">
        <v>591</v>
      </c>
      <c r="C242" s="82" t="s">
        <v>592</v>
      </c>
      <c r="D242" s="83">
        <f>SUMIFS(D243:D6462,K243:K6462,"0",B243:B6462,"1 2 3 1 1*")-SUMIFS(E243:E6462,K243:K6462,"0",B243:B6462,"1 2 3 1 1*")</f>
        <v>3465000</v>
      </c>
      <c r="E242" s="54"/>
      <c r="F242" s="83">
        <f>SUMIFS(F243:F6462,K243:K6462,"0",B243:B6462,"1 2 3 1 1*")</f>
        <v>0</v>
      </c>
      <c r="G242" s="83">
        <f>SUMIFS(G243:G6462,K243:K6462,"0",B243:B6462,"1 2 3 1 1*")</f>
        <v>0</v>
      </c>
      <c r="H242" s="83">
        <f t="shared" si="3"/>
        <v>3465000</v>
      </c>
      <c r="I242" s="83"/>
      <c r="K242" s="54" t="s">
        <v>15</v>
      </c>
    </row>
    <row r="243" spans="2:11" ht="12.75" x14ac:dyDescent="0.2">
      <c r="B243" s="82" t="s">
        <v>593</v>
      </c>
      <c r="C243" s="82" t="s">
        <v>26</v>
      </c>
      <c r="D243" s="83">
        <f>SUMIFS(D244:D6462,K244:K6462,"0",B244:B6462,"1 2 3 1 1 12*")-SUMIFS(E244:E6462,K244:K6462,"0",B244:B6462,"1 2 3 1 1 12*")</f>
        <v>3465000</v>
      </c>
      <c r="E243" s="54"/>
      <c r="F243" s="83">
        <f>SUMIFS(F244:F6462,K244:K6462,"0",B244:B6462,"1 2 3 1 1 12*")</f>
        <v>0</v>
      </c>
      <c r="G243" s="83">
        <f>SUMIFS(G244:G6462,K244:K6462,"0",B244:B6462,"1 2 3 1 1 12*")</f>
        <v>0</v>
      </c>
      <c r="H243" s="83">
        <f t="shared" si="3"/>
        <v>3465000</v>
      </c>
      <c r="I243" s="83"/>
      <c r="K243" s="54" t="s">
        <v>15</v>
      </c>
    </row>
    <row r="244" spans="2:11" ht="16.5" x14ac:dyDescent="0.2">
      <c r="B244" s="82" t="s">
        <v>594</v>
      </c>
      <c r="C244" s="82" t="s">
        <v>28</v>
      </c>
      <c r="D244" s="83">
        <f>SUMIFS(D245:D6462,K245:K6462,"0",B245:B6462,"1 2 3 1 1 12 31111*")-SUMIFS(E245:E6462,K245:K6462,"0",B245:B6462,"1 2 3 1 1 12 31111*")</f>
        <v>3465000</v>
      </c>
      <c r="E244" s="54"/>
      <c r="F244" s="83">
        <f>SUMIFS(F245:F6462,K245:K6462,"0",B245:B6462,"1 2 3 1 1 12 31111*")</f>
        <v>0</v>
      </c>
      <c r="G244" s="83">
        <f>SUMIFS(G245:G6462,K245:K6462,"0",B245:B6462,"1 2 3 1 1 12 31111*")</f>
        <v>0</v>
      </c>
      <c r="H244" s="83">
        <f t="shared" si="3"/>
        <v>3465000</v>
      </c>
      <c r="I244" s="83"/>
      <c r="K244" s="54" t="s">
        <v>15</v>
      </c>
    </row>
    <row r="245" spans="2:11" ht="12.75" x14ac:dyDescent="0.2">
      <c r="B245" s="82" t="s">
        <v>595</v>
      </c>
      <c r="C245" s="82" t="s">
        <v>30</v>
      </c>
      <c r="D245" s="83">
        <f>SUMIFS(D246:D6462,K246:K6462,"0",B246:B6462,"1 2 3 1 1 12 31111 6*")-SUMIFS(E246:E6462,K246:K6462,"0",B246:B6462,"1 2 3 1 1 12 31111 6*")</f>
        <v>3465000</v>
      </c>
      <c r="E245" s="54"/>
      <c r="F245" s="83">
        <f>SUMIFS(F246:F6462,K246:K6462,"0",B246:B6462,"1 2 3 1 1 12 31111 6*")</f>
        <v>0</v>
      </c>
      <c r="G245" s="83">
        <f>SUMIFS(G246:G6462,K246:K6462,"0",B246:B6462,"1 2 3 1 1 12 31111 6*")</f>
        <v>0</v>
      </c>
      <c r="H245" s="83">
        <f t="shared" si="3"/>
        <v>3465000</v>
      </c>
      <c r="I245" s="83"/>
      <c r="K245" s="54" t="s">
        <v>15</v>
      </c>
    </row>
    <row r="246" spans="2:11" ht="12.75" x14ac:dyDescent="0.2">
      <c r="B246" s="82" t="s">
        <v>596</v>
      </c>
      <c r="C246" s="82" t="s">
        <v>597</v>
      </c>
      <c r="D246" s="83">
        <f>SUMIFS(D247:D6462,K247:K6462,"0",B247:B6462,"1 2 3 1 1 12 31111 6 M59*")-SUMIFS(E247:E6462,K247:K6462,"0",B247:B6462,"1 2 3 1 1 12 31111 6 M59*")</f>
        <v>3465000</v>
      </c>
      <c r="E246" s="54"/>
      <c r="F246" s="83">
        <f>SUMIFS(F247:F6462,K247:K6462,"0",B247:B6462,"1 2 3 1 1 12 31111 6 M59*")</f>
        <v>0</v>
      </c>
      <c r="G246" s="83">
        <f>SUMIFS(G247:G6462,K247:K6462,"0",B247:B6462,"1 2 3 1 1 12 31111 6 M59*")</f>
        <v>0</v>
      </c>
      <c r="H246" s="83">
        <f t="shared" si="3"/>
        <v>3465000</v>
      </c>
      <c r="I246" s="83"/>
      <c r="K246" s="54" t="s">
        <v>15</v>
      </c>
    </row>
    <row r="247" spans="2:11" ht="16.5" x14ac:dyDescent="0.2">
      <c r="B247" s="82" t="s">
        <v>598</v>
      </c>
      <c r="C247" s="82" t="s">
        <v>34</v>
      </c>
      <c r="D247" s="83">
        <f>SUMIFS(D248:D6462,K248:K6462,"0",B248:B6462,"1 2 3 1 1 12 31111 6 M59 00001*")-SUMIFS(E248:E6462,K248:K6462,"0",B248:B6462,"1 2 3 1 1 12 31111 6 M59 00001*")</f>
        <v>3465000</v>
      </c>
      <c r="E247" s="54"/>
      <c r="F247" s="83">
        <f>SUMIFS(F248:F6462,K248:K6462,"0",B248:B6462,"1 2 3 1 1 12 31111 6 M59 00001*")</f>
        <v>0</v>
      </c>
      <c r="G247" s="83">
        <f>SUMIFS(G248:G6462,K248:K6462,"0",B248:B6462,"1 2 3 1 1 12 31111 6 M59 00001*")</f>
        <v>0</v>
      </c>
      <c r="H247" s="83">
        <f t="shared" si="3"/>
        <v>3465000</v>
      </c>
      <c r="I247" s="83"/>
      <c r="K247" s="54" t="s">
        <v>15</v>
      </c>
    </row>
    <row r="248" spans="2:11" ht="16.5" x14ac:dyDescent="0.2">
      <c r="B248" s="82" t="s">
        <v>599</v>
      </c>
      <c r="C248" s="82" t="s">
        <v>203</v>
      </c>
      <c r="D248" s="83">
        <f>SUMIFS(D249:D6462,K249:K6462,"0",B249:B6462,"1 2 3 1 1 12 31111 6 M59 00001 000001*")-SUMIFS(E249:E6462,K249:K6462,"0",B249:B6462,"1 2 3 1 1 12 31111 6 M59 00001 000001*")</f>
        <v>3465000</v>
      </c>
      <c r="E248" s="54"/>
      <c r="F248" s="83">
        <f>SUMIFS(F249:F6462,K249:K6462,"0",B249:B6462,"1 2 3 1 1 12 31111 6 M59 00001 000001*")</f>
        <v>0</v>
      </c>
      <c r="G248" s="83">
        <f>SUMIFS(G249:G6462,K249:K6462,"0",B249:B6462,"1 2 3 1 1 12 31111 6 M59 00001 000001*")</f>
        <v>0</v>
      </c>
      <c r="H248" s="83">
        <f t="shared" si="3"/>
        <v>3465000</v>
      </c>
      <c r="I248" s="83"/>
      <c r="K248" s="54" t="s">
        <v>15</v>
      </c>
    </row>
    <row r="249" spans="2:11" ht="16.5" x14ac:dyDescent="0.2">
      <c r="B249" s="84" t="s">
        <v>600</v>
      </c>
      <c r="C249" s="84" t="s">
        <v>274</v>
      </c>
      <c r="D249" s="85">
        <v>3465000</v>
      </c>
      <c r="E249" s="85"/>
      <c r="F249" s="85">
        <v>0</v>
      </c>
      <c r="G249" s="85">
        <v>0</v>
      </c>
      <c r="H249" s="85">
        <f t="shared" si="3"/>
        <v>3465000</v>
      </c>
      <c r="I249" s="85"/>
      <c r="K249" s="54" t="s">
        <v>38</v>
      </c>
    </row>
    <row r="250" spans="2:11" ht="16.5" x14ac:dyDescent="0.2">
      <c r="B250" s="82" t="s">
        <v>601</v>
      </c>
      <c r="C250" s="82" t="s">
        <v>602</v>
      </c>
      <c r="D250" s="83">
        <f>SUMIFS(D251:D6462,K251:K6462,"0",B251:B6462,"1 2 3 3*")-SUMIFS(E251:E6462,K251:K6462,"0",B251:B6462,"1 2 3 3*")</f>
        <v>2700000</v>
      </c>
      <c r="E250" s="54"/>
      <c r="F250" s="83">
        <f>SUMIFS(F251:F6462,K251:K6462,"0",B251:B6462,"1 2 3 3*")</f>
        <v>0</v>
      </c>
      <c r="G250" s="83">
        <f>SUMIFS(G251:G6462,K251:K6462,"0",B251:B6462,"1 2 3 3*")</f>
        <v>0</v>
      </c>
      <c r="H250" s="83">
        <f t="shared" si="3"/>
        <v>2700000</v>
      </c>
      <c r="I250" s="83"/>
      <c r="K250" s="54" t="s">
        <v>15</v>
      </c>
    </row>
    <row r="251" spans="2:11" ht="12.75" x14ac:dyDescent="0.2">
      <c r="B251" s="82" t="s">
        <v>603</v>
      </c>
      <c r="C251" s="82" t="s">
        <v>592</v>
      </c>
      <c r="D251" s="83">
        <f>SUMIFS(D252:D6462,K252:K6462,"0",B252:B6462,"1 2 3 3 1*")-SUMIFS(E252:E6462,K252:K6462,"0",B252:B6462,"1 2 3 3 1*")</f>
        <v>2700000</v>
      </c>
      <c r="E251" s="54"/>
      <c r="F251" s="83">
        <f>SUMIFS(F252:F6462,K252:K6462,"0",B252:B6462,"1 2 3 3 1*")</f>
        <v>0</v>
      </c>
      <c r="G251" s="83">
        <f>SUMIFS(G252:G6462,K252:K6462,"0",B252:B6462,"1 2 3 3 1*")</f>
        <v>0</v>
      </c>
      <c r="H251" s="83">
        <f t="shared" si="3"/>
        <v>2700000</v>
      </c>
      <c r="I251" s="83"/>
      <c r="K251" s="54" t="s">
        <v>15</v>
      </c>
    </row>
    <row r="252" spans="2:11" ht="12.75" x14ac:dyDescent="0.2">
      <c r="B252" s="82" t="s">
        <v>604</v>
      </c>
      <c r="C252" s="82" t="s">
        <v>26</v>
      </c>
      <c r="D252" s="83">
        <f>SUMIFS(D253:D6462,K253:K6462,"0",B253:B6462,"1 2 3 3 1 12*")-SUMIFS(E253:E6462,K253:K6462,"0",B253:B6462,"1 2 3 3 1 12*")</f>
        <v>2700000</v>
      </c>
      <c r="E252" s="54"/>
      <c r="F252" s="83">
        <f>SUMIFS(F253:F6462,K253:K6462,"0",B253:B6462,"1 2 3 3 1 12*")</f>
        <v>0</v>
      </c>
      <c r="G252" s="83">
        <f>SUMIFS(G253:G6462,K253:K6462,"0",B253:B6462,"1 2 3 3 1 12*")</f>
        <v>0</v>
      </c>
      <c r="H252" s="83">
        <f t="shared" si="3"/>
        <v>2700000</v>
      </c>
      <c r="I252" s="83"/>
      <c r="K252" s="54" t="s">
        <v>15</v>
      </c>
    </row>
    <row r="253" spans="2:11" ht="16.5" x14ac:dyDescent="0.2">
      <c r="B253" s="82" t="s">
        <v>605</v>
      </c>
      <c r="C253" s="82" t="s">
        <v>28</v>
      </c>
      <c r="D253" s="83">
        <f>SUMIFS(D254:D6462,K254:K6462,"0",B254:B6462,"1 2 3 3 1 12 31111*")-SUMIFS(E254:E6462,K254:K6462,"0",B254:B6462,"1 2 3 3 1 12 31111*")</f>
        <v>2700000</v>
      </c>
      <c r="E253" s="54"/>
      <c r="F253" s="83">
        <f>SUMIFS(F254:F6462,K254:K6462,"0",B254:B6462,"1 2 3 3 1 12 31111*")</f>
        <v>0</v>
      </c>
      <c r="G253" s="83">
        <f>SUMIFS(G254:G6462,K254:K6462,"0",B254:B6462,"1 2 3 3 1 12 31111*")</f>
        <v>0</v>
      </c>
      <c r="H253" s="83">
        <f t="shared" si="3"/>
        <v>2700000</v>
      </c>
      <c r="I253" s="83"/>
      <c r="K253" s="54" t="s">
        <v>15</v>
      </c>
    </row>
    <row r="254" spans="2:11" ht="12.75" x14ac:dyDescent="0.2">
      <c r="B254" s="82" t="s">
        <v>606</v>
      </c>
      <c r="C254" s="82" t="s">
        <v>30</v>
      </c>
      <c r="D254" s="83">
        <f>SUMIFS(D255:D6462,K255:K6462,"0",B255:B6462,"1 2 3 3 1 12 31111 6*")-SUMIFS(E255:E6462,K255:K6462,"0",B255:B6462,"1 2 3 3 1 12 31111 6*")</f>
        <v>2700000</v>
      </c>
      <c r="E254" s="54"/>
      <c r="F254" s="83">
        <f>SUMIFS(F255:F6462,K255:K6462,"0",B255:B6462,"1 2 3 3 1 12 31111 6*")</f>
        <v>0</v>
      </c>
      <c r="G254" s="83">
        <f>SUMIFS(G255:G6462,K255:K6462,"0",B255:B6462,"1 2 3 3 1 12 31111 6*")</f>
        <v>0</v>
      </c>
      <c r="H254" s="83">
        <f t="shared" si="3"/>
        <v>2700000</v>
      </c>
      <c r="I254" s="83"/>
      <c r="K254" s="54" t="s">
        <v>15</v>
      </c>
    </row>
    <row r="255" spans="2:11" ht="16.5" x14ac:dyDescent="0.2">
      <c r="B255" s="82" t="s">
        <v>607</v>
      </c>
      <c r="C255" s="82" t="s">
        <v>608</v>
      </c>
      <c r="D255" s="83">
        <f>SUMIFS(D256:D6462,K256:K6462,"0",B256:B6462,"1 2 3 3 1 12 31111 6 M59*")-SUMIFS(E256:E6462,K256:K6462,"0",B256:B6462,"1 2 3 3 1 12 31111 6 M59*")</f>
        <v>2700000</v>
      </c>
      <c r="E255" s="54"/>
      <c r="F255" s="83">
        <f>SUMIFS(F256:F6462,K256:K6462,"0",B256:B6462,"1 2 3 3 1 12 31111 6 M59*")</f>
        <v>0</v>
      </c>
      <c r="G255" s="83">
        <f>SUMIFS(G256:G6462,K256:K6462,"0",B256:B6462,"1 2 3 3 1 12 31111 6 M59*")</f>
        <v>0</v>
      </c>
      <c r="H255" s="83">
        <f t="shared" si="3"/>
        <v>2700000</v>
      </c>
      <c r="I255" s="83"/>
      <c r="K255" s="54" t="s">
        <v>15</v>
      </c>
    </row>
    <row r="256" spans="2:11" ht="16.5" x14ac:dyDescent="0.2">
      <c r="B256" s="82" t="s">
        <v>609</v>
      </c>
      <c r="C256" s="82" t="s">
        <v>34</v>
      </c>
      <c r="D256" s="83">
        <f>SUMIFS(D257:D6462,K257:K6462,"0",B257:B6462,"1 2 3 3 1 12 31111 6 M59 00001*")-SUMIFS(E257:E6462,K257:K6462,"0",B257:B6462,"1 2 3 3 1 12 31111 6 M59 00001*")</f>
        <v>2700000</v>
      </c>
      <c r="E256" s="54"/>
      <c r="F256" s="83">
        <f>SUMIFS(F257:F6462,K257:K6462,"0",B257:B6462,"1 2 3 3 1 12 31111 6 M59 00001*")</f>
        <v>0</v>
      </c>
      <c r="G256" s="83">
        <f>SUMIFS(G257:G6462,K257:K6462,"0",B257:B6462,"1 2 3 3 1 12 31111 6 M59 00001*")</f>
        <v>0</v>
      </c>
      <c r="H256" s="83">
        <f t="shared" si="3"/>
        <v>2700000</v>
      </c>
      <c r="I256" s="83"/>
      <c r="K256" s="54" t="s">
        <v>15</v>
      </c>
    </row>
    <row r="257" spans="2:11" ht="16.5" x14ac:dyDescent="0.2">
      <c r="B257" s="82" t="s">
        <v>610</v>
      </c>
      <c r="C257" s="82" t="s">
        <v>203</v>
      </c>
      <c r="D257" s="83">
        <f>SUMIFS(D258:D6462,K258:K6462,"0",B258:B6462,"1 2 3 3 1 12 31111 6 M59 00001 000001*")-SUMIFS(E258:E6462,K258:K6462,"0",B258:B6462,"1 2 3 3 1 12 31111 6 M59 00001 000001*")</f>
        <v>2700000</v>
      </c>
      <c r="E257" s="54"/>
      <c r="F257" s="83">
        <f>SUMIFS(F258:F6462,K258:K6462,"0",B258:B6462,"1 2 3 3 1 12 31111 6 M59 00001 000001*")</f>
        <v>0</v>
      </c>
      <c r="G257" s="83">
        <f>SUMIFS(G258:G6462,K258:K6462,"0",B258:B6462,"1 2 3 3 1 12 31111 6 M59 00001 000001*")</f>
        <v>0</v>
      </c>
      <c r="H257" s="83">
        <f t="shared" si="3"/>
        <v>2700000</v>
      </c>
      <c r="I257" s="83"/>
      <c r="K257" s="54" t="s">
        <v>15</v>
      </c>
    </row>
    <row r="258" spans="2:11" ht="16.5" x14ac:dyDescent="0.2">
      <c r="B258" s="84" t="s">
        <v>611</v>
      </c>
      <c r="C258" s="84" t="s">
        <v>274</v>
      </c>
      <c r="D258" s="85">
        <v>2700000</v>
      </c>
      <c r="E258" s="85"/>
      <c r="F258" s="85">
        <v>0</v>
      </c>
      <c r="G258" s="85">
        <v>0</v>
      </c>
      <c r="H258" s="85">
        <f t="shared" si="3"/>
        <v>2700000</v>
      </c>
      <c r="I258" s="85"/>
      <c r="K258" s="54" t="s">
        <v>38</v>
      </c>
    </row>
    <row r="259" spans="2:11" ht="12.75" x14ac:dyDescent="0.2">
      <c r="B259" s="82" t="s">
        <v>971</v>
      </c>
      <c r="C259" s="82" t="s">
        <v>972</v>
      </c>
      <c r="D259" s="83">
        <f>SUMIFS(D260:D6462,K260:K6462,"0",B260:B6462,"1 2 4*")-SUMIFS(E260:E6462,K260:K6462,"0",B260:B6462,"1 2 4*")</f>
        <v>11677356.870000001</v>
      </c>
      <c r="E259" s="54"/>
      <c r="F259" s="83">
        <f>SUMIFS(F260:F6462,K260:K6462,"0",B260:B6462,"1 2 4*")</f>
        <v>2194399.7000000002</v>
      </c>
      <c r="G259" s="83">
        <f>SUMIFS(G260:G6462,K260:K6462,"0",B260:B6462,"1 2 4*")</f>
        <v>6616312.3500000006</v>
      </c>
      <c r="H259" s="83">
        <f t="shared" si="3"/>
        <v>7255444.2199999997</v>
      </c>
      <c r="I259" s="83"/>
      <c r="K259" s="54" t="s">
        <v>15</v>
      </c>
    </row>
    <row r="260" spans="2:11" ht="16.5" x14ac:dyDescent="0.2">
      <c r="B260" s="82" t="s">
        <v>973</v>
      </c>
      <c r="C260" s="82" t="s">
        <v>974</v>
      </c>
      <c r="D260" s="83">
        <f>SUMIFS(D261:D6462,K261:K6462,"0",B261:B6462,"1 2 4 1*")-SUMIFS(E261:E6462,K261:K6462,"0",B261:B6462,"1 2 4 1*")</f>
        <v>1721645.9000000001</v>
      </c>
      <c r="E260" s="54"/>
      <c r="F260" s="83">
        <f>SUMIFS(F261:F6462,K261:K6462,"0",B261:B6462,"1 2 4 1*")</f>
        <v>372322.98</v>
      </c>
      <c r="G260" s="83">
        <f>SUMIFS(G261:G6462,K261:K6462,"0",B261:B6462,"1 2 4 1*")</f>
        <v>1068372.96</v>
      </c>
      <c r="H260" s="83">
        <f t="shared" si="3"/>
        <v>1025595.9200000002</v>
      </c>
      <c r="I260" s="83"/>
      <c r="K260" s="54" t="s">
        <v>15</v>
      </c>
    </row>
    <row r="261" spans="2:11" ht="16.5" x14ac:dyDescent="0.2">
      <c r="B261" s="82" t="s">
        <v>975</v>
      </c>
      <c r="C261" s="82" t="s">
        <v>976</v>
      </c>
      <c r="D261" s="83">
        <f>SUMIFS(D262:D6462,K262:K6462,"0",B262:B6462,"1 2 4 1 1*")-SUMIFS(E262:E6462,K262:K6462,"0",B262:B6462,"1 2 4 1 1*")</f>
        <v>839802.69</v>
      </c>
      <c r="E261" s="54"/>
      <c r="F261" s="83">
        <f>SUMIFS(F262:F6462,K262:K6462,"0",B262:B6462,"1 2 4 1 1*")</f>
        <v>1000</v>
      </c>
      <c r="G261" s="83">
        <f>SUMIFS(G262:G6462,K262:K6462,"0",B262:B6462,"1 2 4 1 1*")</f>
        <v>303079.44</v>
      </c>
      <c r="H261" s="83">
        <f t="shared" si="3"/>
        <v>537723.25</v>
      </c>
      <c r="I261" s="83"/>
      <c r="K261" s="54" t="s">
        <v>15</v>
      </c>
    </row>
    <row r="262" spans="2:11" ht="12.75" x14ac:dyDescent="0.2">
      <c r="B262" s="82" t="s">
        <v>977</v>
      </c>
      <c r="C262" s="82" t="s">
        <v>26</v>
      </c>
      <c r="D262" s="83">
        <f>SUMIFS(D263:D6462,K263:K6462,"0",B263:B6462,"1 2 4 1 1 12*")-SUMIFS(E263:E6462,K263:K6462,"0",B263:B6462,"1 2 4 1 1 12*")</f>
        <v>839802.69</v>
      </c>
      <c r="E262" s="54"/>
      <c r="F262" s="83">
        <f>SUMIFS(F263:F6462,K263:K6462,"0",B263:B6462,"1 2 4 1 1 12*")</f>
        <v>1000</v>
      </c>
      <c r="G262" s="83">
        <f>SUMIFS(G263:G6462,K263:K6462,"0",B263:B6462,"1 2 4 1 1 12*")</f>
        <v>303079.44</v>
      </c>
      <c r="H262" s="83">
        <f t="shared" si="3"/>
        <v>537723.25</v>
      </c>
      <c r="I262" s="83"/>
      <c r="K262" s="54" t="s">
        <v>15</v>
      </c>
    </row>
    <row r="263" spans="2:11" ht="16.5" x14ac:dyDescent="0.2">
      <c r="B263" s="82" t="s">
        <v>978</v>
      </c>
      <c r="C263" s="82" t="s">
        <v>28</v>
      </c>
      <c r="D263" s="83">
        <f>SUMIFS(D264:D6462,K264:K6462,"0",B264:B6462,"1 2 4 1 1 12 31111*")-SUMIFS(E264:E6462,K264:K6462,"0",B264:B6462,"1 2 4 1 1 12 31111*")</f>
        <v>839802.69</v>
      </c>
      <c r="E263" s="54"/>
      <c r="F263" s="83">
        <f>SUMIFS(F264:F6462,K264:K6462,"0",B264:B6462,"1 2 4 1 1 12 31111*")</f>
        <v>1000</v>
      </c>
      <c r="G263" s="83">
        <f>SUMIFS(G264:G6462,K264:K6462,"0",B264:B6462,"1 2 4 1 1 12 31111*")</f>
        <v>303079.44</v>
      </c>
      <c r="H263" s="83">
        <f t="shared" si="3"/>
        <v>537723.25</v>
      </c>
      <c r="I263" s="83"/>
      <c r="K263" s="54" t="s">
        <v>15</v>
      </c>
    </row>
    <row r="264" spans="2:11" ht="12.75" x14ac:dyDescent="0.2">
      <c r="B264" s="82" t="s">
        <v>979</v>
      </c>
      <c r="C264" s="82" t="s">
        <v>30</v>
      </c>
      <c r="D264" s="83">
        <f>SUMIFS(D265:D6462,K265:K6462,"0",B265:B6462,"1 2 4 1 1 12 31111 6*")-SUMIFS(E265:E6462,K265:K6462,"0",B265:B6462,"1 2 4 1 1 12 31111 6*")</f>
        <v>839802.69</v>
      </c>
      <c r="E264" s="54"/>
      <c r="F264" s="83">
        <f>SUMIFS(F265:F6462,K265:K6462,"0",B265:B6462,"1 2 4 1 1 12 31111 6*")</f>
        <v>1000</v>
      </c>
      <c r="G264" s="83">
        <f>SUMIFS(G265:G6462,K265:K6462,"0",B265:B6462,"1 2 4 1 1 12 31111 6*")</f>
        <v>303079.44</v>
      </c>
      <c r="H264" s="83">
        <f t="shared" si="3"/>
        <v>537723.25</v>
      </c>
      <c r="I264" s="83"/>
      <c r="K264" s="54" t="s">
        <v>15</v>
      </c>
    </row>
    <row r="265" spans="2:11" ht="12.75" x14ac:dyDescent="0.2">
      <c r="B265" s="82" t="s">
        <v>980</v>
      </c>
      <c r="C265" s="82" t="s">
        <v>32</v>
      </c>
      <c r="D265" s="83">
        <f>SUMIFS(D266:D6462,K266:K6462,"0",B266:B6462,"1 2 4 1 1 12 31111 6 M59*")-SUMIFS(E266:E6462,K266:K6462,"0",B266:B6462,"1 2 4 1 1 12 31111 6 M59*")</f>
        <v>839802.69</v>
      </c>
      <c r="E265" s="54"/>
      <c r="F265" s="83">
        <f>SUMIFS(F266:F6462,K266:K6462,"0",B266:B6462,"1 2 4 1 1 12 31111 6 M59*")</f>
        <v>1000</v>
      </c>
      <c r="G265" s="83">
        <f>SUMIFS(G266:G6462,K266:K6462,"0",B266:B6462,"1 2 4 1 1 12 31111 6 M59*")</f>
        <v>303079.44</v>
      </c>
      <c r="H265" s="83">
        <f t="shared" si="3"/>
        <v>537723.25</v>
      </c>
      <c r="I265" s="83"/>
      <c r="K265" s="54" t="s">
        <v>15</v>
      </c>
    </row>
    <row r="266" spans="2:11" ht="16.5" x14ac:dyDescent="0.2">
      <c r="B266" s="82" t="s">
        <v>981</v>
      </c>
      <c r="C266" s="82" t="s">
        <v>34</v>
      </c>
      <c r="D266" s="83">
        <f>SUMIFS(D267:D6462,K267:K6462,"0",B267:B6462,"1 2 4 1 1 12 31111 6 M59 00001*")-SUMIFS(E267:E6462,K267:K6462,"0",B267:B6462,"1 2 4 1 1 12 31111 6 M59 00001*")</f>
        <v>839802.69</v>
      </c>
      <c r="E266" s="54"/>
      <c r="F266" s="83">
        <f>SUMIFS(F267:F6462,K267:K6462,"0",B267:B6462,"1 2 4 1 1 12 31111 6 M59 00001*")</f>
        <v>1000</v>
      </c>
      <c r="G266" s="83">
        <f>SUMIFS(G267:G6462,K267:K6462,"0",B267:B6462,"1 2 4 1 1 12 31111 6 M59 00001*")</f>
        <v>303079.44</v>
      </c>
      <c r="H266" s="83">
        <f t="shared" si="3"/>
        <v>537723.25</v>
      </c>
      <c r="I266" s="83"/>
      <c r="K266" s="54" t="s">
        <v>15</v>
      </c>
    </row>
    <row r="267" spans="2:11" ht="16.5" x14ac:dyDescent="0.2">
      <c r="B267" s="84" t="s">
        <v>982</v>
      </c>
      <c r="C267" s="84" t="s">
        <v>203</v>
      </c>
      <c r="D267" s="85">
        <v>833244.69</v>
      </c>
      <c r="E267" s="85"/>
      <c r="F267" s="85">
        <v>1000</v>
      </c>
      <c r="G267" s="85">
        <v>303079.44</v>
      </c>
      <c r="H267" s="85">
        <f t="shared" si="3"/>
        <v>531165.25</v>
      </c>
      <c r="I267" s="85"/>
      <c r="K267" s="54" t="s">
        <v>38</v>
      </c>
    </row>
    <row r="268" spans="2:11" ht="33" x14ac:dyDescent="0.2">
      <c r="B268" s="84" t="s">
        <v>983</v>
      </c>
      <c r="C268" s="84" t="s">
        <v>984</v>
      </c>
      <c r="D268" s="85">
        <v>6558</v>
      </c>
      <c r="E268" s="85"/>
      <c r="F268" s="85">
        <v>0</v>
      </c>
      <c r="G268" s="85">
        <v>0</v>
      </c>
      <c r="H268" s="85">
        <f t="shared" ref="H268:H331" si="4">D268 + F268 - G268</f>
        <v>6558</v>
      </c>
      <c r="I268" s="85"/>
      <c r="K268" s="54" t="s">
        <v>38</v>
      </c>
    </row>
    <row r="269" spans="2:11" ht="16.5" x14ac:dyDescent="0.2">
      <c r="B269" s="82" t="s">
        <v>995</v>
      </c>
      <c r="C269" s="82" t="s">
        <v>996</v>
      </c>
      <c r="D269" s="83">
        <f>SUMIFS(D270:D6462,K270:K6462,"0",B270:B6462,"1 2 4 1 2*")-SUMIFS(E270:E6462,K270:K6462,"0",B270:B6462,"1 2 4 1 2*")</f>
        <v>11117.66</v>
      </c>
      <c r="E269" s="54"/>
      <c r="F269" s="83">
        <f>SUMIFS(F270:F6462,K270:K6462,"0",B270:B6462,"1 2 4 1 2*")</f>
        <v>0</v>
      </c>
      <c r="G269" s="83">
        <f>SUMIFS(G270:G6462,K270:K6462,"0",B270:B6462,"1 2 4 1 2*")</f>
        <v>15934.21</v>
      </c>
      <c r="H269" s="83">
        <f t="shared" si="4"/>
        <v>-4816.5499999999993</v>
      </c>
      <c r="I269" s="83"/>
      <c r="K269" s="54" t="s">
        <v>15</v>
      </c>
    </row>
    <row r="270" spans="2:11" ht="12.75" x14ac:dyDescent="0.2">
      <c r="B270" s="82" t="s">
        <v>997</v>
      </c>
      <c r="C270" s="82" t="s">
        <v>26</v>
      </c>
      <c r="D270" s="83">
        <f>SUMIFS(D271:D6462,K271:K6462,"0",B271:B6462,"1 2 4 1 2 12*")-SUMIFS(E271:E6462,K271:K6462,"0",B271:B6462,"1 2 4 1 2 12*")</f>
        <v>11117.66</v>
      </c>
      <c r="E270" s="54"/>
      <c r="F270" s="83">
        <f>SUMIFS(F271:F6462,K271:K6462,"0",B271:B6462,"1 2 4 1 2 12*")</f>
        <v>0</v>
      </c>
      <c r="G270" s="83">
        <f>SUMIFS(G271:G6462,K271:K6462,"0",B271:B6462,"1 2 4 1 2 12*")</f>
        <v>15934.21</v>
      </c>
      <c r="H270" s="83">
        <f t="shared" si="4"/>
        <v>-4816.5499999999993</v>
      </c>
      <c r="I270" s="83"/>
      <c r="K270" s="54" t="s">
        <v>15</v>
      </c>
    </row>
    <row r="271" spans="2:11" ht="16.5" x14ac:dyDescent="0.2">
      <c r="B271" s="82" t="s">
        <v>998</v>
      </c>
      <c r="C271" s="82" t="s">
        <v>28</v>
      </c>
      <c r="D271" s="83">
        <f>SUMIFS(D272:D6462,K272:K6462,"0",B272:B6462,"1 2 4 1 2 12 31111*")-SUMIFS(E272:E6462,K272:K6462,"0",B272:B6462,"1 2 4 1 2 12 31111*")</f>
        <v>11117.66</v>
      </c>
      <c r="E271" s="54"/>
      <c r="F271" s="83">
        <f>SUMIFS(F272:F6462,K272:K6462,"0",B272:B6462,"1 2 4 1 2 12 31111*")</f>
        <v>0</v>
      </c>
      <c r="G271" s="83">
        <f>SUMIFS(G272:G6462,K272:K6462,"0",B272:B6462,"1 2 4 1 2 12 31111*")</f>
        <v>15934.21</v>
      </c>
      <c r="H271" s="83">
        <f t="shared" si="4"/>
        <v>-4816.5499999999993</v>
      </c>
      <c r="I271" s="83"/>
      <c r="K271" s="54" t="s">
        <v>15</v>
      </c>
    </row>
    <row r="272" spans="2:11" ht="12.75" x14ac:dyDescent="0.2">
      <c r="B272" s="82" t="s">
        <v>999</v>
      </c>
      <c r="C272" s="82" t="s">
        <v>30</v>
      </c>
      <c r="D272" s="83">
        <f>SUMIFS(D273:D6462,K273:K6462,"0",B273:B6462,"1 2 4 1 2 12 31111 6*")-SUMIFS(E273:E6462,K273:K6462,"0",B273:B6462,"1 2 4 1 2 12 31111 6*")</f>
        <v>11117.66</v>
      </c>
      <c r="E272" s="54"/>
      <c r="F272" s="83">
        <f>SUMIFS(F273:F6462,K273:K6462,"0",B273:B6462,"1 2 4 1 2 12 31111 6*")</f>
        <v>0</v>
      </c>
      <c r="G272" s="83">
        <f>SUMIFS(G273:G6462,K273:K6462,"0",B273:B6462,"1 2 4 1 2 12 31111 6*")</f>
        <v>15934.21</v>
      </c>
      <c r="H272" s="83">
        <f t="shared" si="4"/>
        <v>-4816.5499999999993</v>
      </c>
      <c r="I272" s="83"/>
      <c r="K272" s="54" t="s">
        <v>15</v>
      </c>
    </row>
    <row r="273" spans="2:11" ht="16.5" x14ac:dyDescent="0.2">
      <c r="B273" s="82" t="s">
        <v>1000</v>
      </c>
      <c r="C273" s="82" t="s">
        <v>32</v>
      </c>
      <c r="D273" s="83">
        <f>SUMIFS(D274:D6462,K274:K6462,"0",B274:B6462,"1 2 4 1 2 12 31111 6 M59*")-SUMIFS(E274:E6462,K274:K6462,"0",B274:B6462,"1 2 4 1 2 12 31111 6 M59*")</f>
        <v>11117.66</v>
      </c>
      <c r="E273" s="54"/>
      <c r="F273" s="83">
        <f>SUMIFS(F274:F6462,K274:K6462,"0",B274:B6462,"1 2 4 1 2 12 31111 6 M59*")</f>
        <v>0</v>
      </c>
      <c r="G273" s="83">
        <f>SUMIFS(G274:G6462,K274:K6462,"0",B274:B6462,"1 2 4 1 2 12 31111 6 M59*")</f>
        <v>15934.21</v>
      </c>
      <c r="H273" s="83">
        <f t="shared" si="4"/>
        <v>-4816.5499999999993</v>
      </c>
      <c r="I273" s="83"/>
      <c r="K273" s="54" t="s">
        <v>15</v>
      </c>
    </row>
    <row r="274" spans="2:11" ht="16.5" x14ac:dyDescent="0.2">
      <c r="B274" s="82" t="s">
        <v>1001</v>
      </c>
      <c r="C274" s="82" t="s">
        <v>34</v>
      </c>
      <c r="D274" s="83">
        <f>SUMIFS(D275:D6462,K275:K6462,"0",B275:B6462,"1 2 4 1 2 12 31111 6 M59 00001*")-SUMIFS(E275:E6462,K275:K6462,"0",B275:B6462,"1 2 4 1 2 12 31111 6 M59 00001*")</f>
        <v>11117.66</v>
      </c>
      <c r="E274" s="54"/>
      <c r="F274" s="83">
        <f>SUMIFS(F275:F6462,K275:K6462,"0",B275:B6462,"1 2 4 1 2 12 31111 6 M59 00001*")</f>
        <v>0</v>
      </c>
      <c r="G274" s="83">
        <f>SUMIFS(G275:G6462,K275:K6462,"0",B275:B6462,"1 2 4 1 2 12 31111 6 M59 00001*")</f>
        <v>15934.21</v>
      </c>
      <c r="H274" s="83">
        <f t="shared" si="4"/>
        <v>-4816.5499999999993</v>
      </c>
      <c r="I274" s="83"/>
      <c r="K274" s="54" t="s">
        <v>15</v>
      </c>
    </row>
    <row r="275" spans="2:11" ht="16.5" x14ac:dyDescent="0.2">
      <c r="B275" s="84" t="s">
        <v>1002</v>
      </c>
      <c r="C275" s="84" t="s">
        <v>203</v>
      </c>
      <c r="D275" s="85">
        <v>6675.38</v>
      </c>
      <c r="E275" s="85"/>
      <c r="F275" s="85">
        <v>0</v>
      </c>
      <c r="G275" s="85">
        <v>15934.21</v>
      </c>
      <c r="H275" s="85">
        <f t="shared" si="4"/>
        <v>-9258.8299999999981</v>
      </c>
      <c r="I275" s="85"/>
      <c r="K275" s="54" t="s">
        <v>38</v>
      </c>
    </row>
    <row r="276" spans="2:11" ht="16.5" x14ac:dyDescent="0.2">
      <c r="B276" s="84" t="s">
        <v>1003</v>
      </c>
      <c r="C276" s="84" t="s">
        <v>1004</v>
      </c>
      <c r="D276" s="85">
        <v>4442.28</v>
      </c>
      <c r="E276" s="85"/>
      <c r="F276" s="85">
        <v>0</v>
      </c>
      <c r="G276" s="85">
        <v>0</v>
      </c>
      <c r="H276" s="85">
        <f t="shared" si="4"/>
        <v>4442.28</v>
      </c>
      <c r="I276" s="85"/>
      <c r="K276" s="54" t="s">
        <v>38</v>
      </c>
    </row>
    <row r="277" spans="2:11" ht="24.75" x14ac:dyDescent="0.2">
      <c r="B277" s="82" t="s">
        <v>1013</v>
      </c>
      <c r="C277" s="82" t="s">
        <v>1014</v>
      </c>
      <c r="D277" s="83">
        <f>SUMIFS(D278:D6462,K278:K6462,"0",B278:B6462,"1 2 4 1 3*")-SUMIFS(E278:E6462,K278:K6462,"0",B278:B6462,"1 2 4 1 3*")</f>
        <v>793306.78</v>
      </c>
      <c r="E277" s="54"/>
      <c r="F277" s="83">
        <f>SUMIFS(F278:F6462,K278:K6462,"0",B278:B6462,"1 2 4 1 3*")</f>
        <v>370822.98</v>
      </c>
      <c r="G277" s="83">
        <f>SUMIFS(G278:G6462,K278:K6462,"0",B278:B6462,"1 2 4 1 3*")</f>
        <v>728431.88</v>
      </c>
      <c r="H277" s="83">
        <f t="shared" si="4"/>
        <v>435697.88</v>
      </c>
      <c r="I277" s="83"/>
      <c r="K277" s="54" t="s">
        <v>15</v>
      </c>
    </row>
    <row r="278" spans="2:11" ht="12.75" x14ac:dyDescent="0.2">
      <c r="B278" s="82" t="s">
        <v>1015</v>
      </c>
      <c r="C278" s="82" t="s">
        <v>26</v>
      </c>
      <c r="D278" s="83">
        <f>SUMIFS(D279:D6462,K279:K6462,"0",B279:B6462,"1 2 4 1 3 12*")-SUMIFS(E279:E6462,K279:K6462,"0",B279:B6462,"1 2 4 1 3 12*")</f>
        <v>793306.78</v>
      </c>
      <c r="E278" s="54"/>
      <c r="F278" s="83">
        <f>SUMIFS(F279:F6462,K279:K6462,"0",B279:B6462,"1 2 4 1 3 12*")</f>
        <v>370822.98</v>
      </c>
      <c r="G278" s="83">
        <f>SUMIFS(G279:G6462,K279:K6462,"0",B279:B6462,"1 2 4 1 3 12*")</f>
        <v>728431.88</v>
      </c>
      <c r="H278" s="83">
        <f t="shared" si="4"/>
        <v>435697.88</v>
      </c>
      <c r="I278" s="83"/>
      <c r="K278" s="54" t="s">
        <v>15</v>
      </c>
    </row>
    <row r="279" spans="2:11" ht="16.5" x14ac:dyDescent="0.2">
      <c r="B279" s="82" t="s">
        <v>1016</v>
      </c>
      <c r="C279" s="82" t="s">
        <v>28</v>
      </c>
      <c r="D279" s="83">
        <f>SUMIFS(D280:D6462,K280:K6462,"0",B280:B6462,"1 2 4 1 3 12 31111*")-SUMIFS(E280:E6462,K280:K6462,"0",B280:B6462,"1 2 4 1 3 12 31111*")</f>
        <v>793306.78</v>
      </c>
      <c r="E279" s="54"/>
      <c r="F279" s="83">
        <f>SUMIFS(F280:F6462,K280:K6462,"0",B280:B6462,"1 2 4 1 3 12 31111*")</f>
        <v>370822.98</v>
      </c>
      <c r="G279" s="83">
        <f>SUMIFS(G280:G6462,K280:K6462,"0",B280:B6462,"1 2 4 1 3 12 31111*")</f>
        <v>728431.88</v>
      </c>
      <c r="H279" s="83">
        <f t="shared" si="4"/>
        <v>435697.88</v>
      </c>
      <c r="I279" s="83"/>
      <c r="K279" s="54" t="s">
        <v>15</v>
      </c>
    </row>
    <row r="280" spans="2:11" ht="12.75" x14ac:dyDescent="0.2">
      <c r="B280" s="82" t="s">
        <v>1017</v>
      </c>
      <c r="C280" s="82" t="s">
        <v>30</v>
      </c>
      <c r="D280" s="83">
        <f>SUMIFS(D281:D6462,K281:K6462,"0",B281:B6462,"1 2 4 1 3 12 31111 6*")-SUMIFS(E281:E6462,K281:K6462,"0",B281:B6462,"1 2 4 1 3 12 31111 6*")</f>
        <v>793306.78</v>
      </c>
      <c r="E280" s="54"/>
      <c r="F280" s="83">
        <f>SUMIFS(F281:F6462,K281:K6462,"0",B281:B6462,"1 2 4 1 3 12 31111 6*")</f>
        <v>370822.98</v>
      </c>
      <c r="G280" s="83">
        <f>SUMIFS(G281:G6462,K281:K6462,"0",B281:B6462,"1 2 4 1 3 12 31111 6*")</f>
        <v>728431.88</v>
      </c>
      <c r="H280" s="83">
        <f t="shared" si="4"/>
        <v>435697.88</v>
      </c>
      <c r="I280" s="83"/>
      <c r="K280" s="54" t="s">
        <v>15</v>
      </c>
    </row>
    <row r="281" spans="2:11" ht="16.5" x14ac:dyDescent="0.2">
      <c r="B281" s="82" t="s">
        <v>1018</v>
      </c>
      <c r="C281" s="82" t="s">
        <v>32</v>
      </c>
      <c r="D281" s="83">
        <f>SUMIFS(D282:D6462,K282:K6462,"0",B282:B6462,"1 2 4 1 3 12 31111 6 M59*")-SUMIFS(E282:E6462,K282:K6462,"0",B282:B6462,"1 2 4 1 3 12 31111 6 M59*")</f>
        <v>793306.78</v>
      </c>
      <c r="E281" s="54"/>
      <c r="F281" s="83">
        <f>SUMIFS(F282:F6462,K282:K6462,"0",B282:B6462,"1 2 4 1 3 12 31111 6 M59*")</f>
        <v>370822.98</v>
      </c>
      <c r="G281" s="83">
        <f>SUMIFS(G282:G6462,K282:K6462,"0",B282:B6462,"1 2 4 1 3 12 31111 6 M59*")</f>
        <v>728431.88</v>
      </c>
      <c r="H281" s="83">
        <f t="shared" si="4"/>
        <v>435697.88</v>
      </c>
      <c r="I281" s="83"/>
      <c r="K281" s="54" t="s">
        <v>15</v>
      </c>
    </row>
    <row r="282" spans="2:11" ht="16.5" x14ac:dyDescent="0.2">
      <c r="B282" s="82" t="s">
        <v>1019</v>
      </c>
      <c r="C282" s="82" t="s">
        <v>282</v>
      </c>
      <c r="D282" s="83">
        <f>SUMIFS(D283:D6462,K283:K6462,"0",B283:B6462,"1 2 4 1 3 12 31111 6 M59 00001*")-SUMIFS(E283:E6462,K283:K6462,"0",B283:B6462,"1 2 4 1 3 12 31111 6 M59 00001*")</f>
        <v>793306.78</v>
      </c>
      <c r="E282" s="54"/>
      <c r="F282" s="83">
        <f>SUMIFS(F283:F6462,K283:K6462,"0",B283:B6462,"1 2 4 1 3 12 31111 6 M59 00001*")</f>
        <v>33000</v>
      </c>
      <c r="G282" s="83">
        <f>SUMIFS(G283:G6462,K283:K6462,"0",B283:B6462,"1 2 4 1 3 12 31111 6 M59 00001*")</f>
        <v>728431.88</v>
      </c>
      <c r="H282" s="83">
        <f t="shared" si="4"/>
        <v>97874.900000000023</v>
      </c>
      <c r="I282" s="83"/>
      <c r="K282" s="54" t="s">
        <v>15</v>
      </c>
    </row>
    <row r="283" spans="2:11" ht="16.5" x14ac:dyDescent="0.2">
      <c r="B283" s="84" t="s">
        <v>1020</v>
      </c>
      <c r="C283" s="84" t="s">
        <v>203</v>
      </c>
      <c r="D283" s="85">
        <v>577694.62</v>
      </c>
      <c r="E283" s="85"/>
      <c r="F283" s="85">
        <v>33000</v>
      </c>
      <c r="G283" s="85">
        <v>728431.88</v>
      </c>
      <c r="H283" s="85">
        <f t="shared" si="4"/>
        <v>-117737.26000000001</v>
      </c>
      <c r="I283" s="85"/>
      <c r="K283" s="54" t="s">
        <v>38</v>
      </c>
    </row>
    <row r="284" spans="2:11" ht="16.5" x14ac:dyDescent="0.2">
      <c r="B284" s="84" t="s">
        <v>1021</v>
      </c>
      <c r="C284" s="84" t="s">
        <v>1022</v>
      </c>
      <c r="D284" s="85">
        <v>113700.04</v>
      </c>
      <c r="E284" s="85"/>
      <c r="F284" s="85">
        <v>0</v>
      </c>
      <c r="G284" s="85">
        <v>0</v>
      </c>
      <c r="H284" s="85">
        <f t="shared" si="4"/>
        <v>113700.04</v>
      </c>
      <c r="I284" s="85"/>
      <c r="K284" s="54" t="s">
        <v>38</v>
      </c>
    </row>
    <row r="285" spans="2:11" ht="16.5" x14ac:dyDescent="0.2">
      <c r="B285" s="84" t="s">
        <v>1023</v>
      </c>
      <c r="C285" s="84" t="s">
        <v>457</v>
      </c>
      <c r="D285" s="85">
        <v>31494.78</v>
      </c>
      <c r="E285" s="85"/>
      <c r="F285" s="85">
        <v>0</v>
      </c>
      <c r="G285" s="85">
        <v>0</v>
      </c>
      <c r="H285" s="85">
        <f t="shared" si="4"/>
        <v>31494.78</v>
      </c>
      <c r="I285" s="85"/>
      <c r="K285" s="54" t="s">
        <v>38</v>
      </c>
    </row>
    <row r="286" spans="2:11" ht="16.5" x14ac:dyDescent="0.2">
      <c r="B286" s="84" t="s">
        <v>1024</v>
      </c>
      <c r="C286" s="84" t="s">
        <v>1025</v>
      </c>
      <c r="D286" s="85">
        <v>18999</v>
      </c>
      <c r="E286" s="85"/>
      <c r="F286" s="85">
        <v>0</v>
      </c>
      <c r="G286" s="85">
        <v>0</v>
      </c>
      <c r="H286" s="85">
        <f t="shared" si="4"/>
        <v>18999</v>
      </c>
      <c r="I286" s="85"/>
      <c r="K286" s="54" t="s">
        <v>38</v>
      </c>
    </row>
    <row r="287" spans="2:11" ht="33" x14ac:dyDescent="0.2">
      <c r="B287" s="84" t="s">
        <v>1026</v>
      </c>
      <c r="C287" s="84" t="s">
        <v>984</v>
      </c>
      <c r="D287" s="85">
        <v>36932</v>
      </c>
      <c r="E287" s="85"/>
      <c r="F287" s="85">
        <v>0</v>
      </c>
      <c r="G287" s="85">
        <v>0</v>
      </c>
      <c r="H287" s="85">
        <f t="shared" si="4"/>
        <v>36932</v>
      </c>
      <c r="I287" s="85"/>
      <c r="K287" s="54" t="s">
        <v>38</v>
      </c>
    </row>
    <row r="288" spans="2:11" ht="16.5" x14ac:dyDescent="0.2">
      <c r="B288" s="84" t="s">
        <v>1027</v>
      </c>
      <c r="C288" s="84" t="s">
        <v>1028</v>
      </c>
      <c r="D288" s="85">
        <v>14486.34</v>
      </c>
      <c r="E288" s="85"/>
      <c r="F288" s="85">
        <v>0</v>
      </c>
      <c r="G288" s="85">
        <v>0</v>
      </c>
      <c r="H288" s="85">
        <f t="shared" si="4"/>
        <v>14486.34</v>
      </c>
      <c r="I288" s="85"/>
      <c r="K288" s="54" t="s">
        <v>38</v>
      </c>
    </row>
    <row r="289" spans="2:11" ht="16.5" x14ac:dyDescent="0.2">
      <c r="B289" s="82" t="s">
        <v>1043</v>
      </c>
      <c r="C289" s="82" t="s">
        <v>1044</v>
      </c>
      <c r="D289" s="83">
        <f>SUMIFS(D290:D6462,K290:K6462,"0",B290:B6462,"1 2 4 1 3 12 31111 6 M59 20000*")-SUMIFS(E290:E6462,K290:K6462,"0",B290:B6462,"1 2 4 1 3 12 31111 6 M59 20000*")</f>
        <v>0</v>
      </c>
      <c r="E289" s="54"/>
      <c r="F289" s="83">
        <f>SUMIFS(F290:F6462,K290:K6462,"0",B290:B6462,"1 2 4 1 3 12 31111 6 M59 20000*")</f>
        <v>322800.06</v>
      </c>
      <c r="G289" s="83">
        <f>SUMIFS(G290:G6462,K290:K6462,"0",B290:B6462,"1 2 4 1 3 12 31111 6 M59 20000*")</f>
        <v>0</v>
      </c>
      <c r="H289" s="83">
        <f t="shared" si="4"/>
        <v>322800.06</v>
      </c>
      <c r="I289" s="83"/>
      <c r="K289" s="54" t="s">
        <v>15</v>
      </c>
    </row>
    <row r="290" spans="2:11" ht="16.5" x14ac:dyDescent="0.2">
      <c r="B290" s="82" t="s">
        <v>1045</v>
      </c>
      <c r="C290" s="82" t="s">
        <v>648</v>
      </c>
      <c r="D290" s="83">
        <f>SUMIFS(D291:D6462,K291:K6462,"0",B291:B6462,"1 2 4 1 3 12 31111 6 M59 20000 000132*")-SUMIFS(E291:E6462,K291:K6462,"0",B291:B6462,"1 2 4 1 3 12 31111 6 M59 20000 000132*")</f>
        <v>0</v>
      </c>
      <c r="E290" s="54"/>
      <c r="F290" s="83">
        <f>SUMIFS(F291:F6462,K291:K6462,"0",B291:B6462,"1 2 4 1 3 12 31111 6 M59 20000 000132*")</f>
        <v>322800.06</v>
      </c>
      <c r="G290" s="83">
        <f>SUMIFS(G291:G6462,K291:K6462,"0",B291:B6462,"1 2 4 1 3 12 31111 6 M59 20000 000132*")</f>
        <v>0</v>
      </c>
      <c r="H290" s="83">
        <f t="shared" si="4"/>
        <v>322800.06</v>
      </c>
      <c r="I290" s="83"/>
      <c r="K290" s="54" t="s">
        <v>15</v>
      </c>
    </row>
    <row r="291" spans="2:11" ht="24.75" x14ac:dyDescent="0.2">
      <c r="B291" s="82" t="s">
        <v>1046</v>
      </c>
      <c r="C291" s="82" t="s">
        <v>650</v>
      </c>
      <c r="D291" s="83">
        <f>SUMIFS(D292:D6462,K292:K6462,"0",B292:B6462,"1 2 4 1 3 12 31111 6 M59 20000 000132 0000R*")-SUMIFS(E292:E6462,K292:K6462,"0",B292:B6462,"1 2 4 1 3 12 31111 6 M59 20000 000132 0000R*")</f>
        <v>0</v>
      </c>
      <c r="E291" s="54"/>
      <c r="F291" s="83">
        <f>SUMIFS(F292:F6462,K292:K6462,"0",B292:B6462,"1 2 4 1 3 12 31111 6 M59 20000 000132 0000R*")</f>
        <v>322800.06</v>
      </c>
      <c r="G291" s="83">
        <f>SUMIFS(G292:G6462,K292:K6462,"0",B292:B6462,"1 2 4 1 3 12 31111 6 M59 20000 000132 0000R*")</f>
        <v>0</v>
      </c>
      <c r="H291" s="83">
        <f t="shared" si="4"/>
        <v>322800.06</v>
      </c>
      <c r="I291" s="83"/>
      <c r="K291" s="54" t="s">
        <v>15</v>
      </c>
    </row>
    <row r="292" spans="2:11" ht="24.75" x14ac:dyDescent="0.2">
      <c r="B292" s="82" t="s">
        <v>1047</v>
      </c>
      <c r="C292" s="82" t="s">
        <v>652</v>
      </c>
      <c r="D292" s="83">
        <f>SUMIFS(D293:D6462,K293:K6462,"0",B293:B6462,"1 2 4 1 3 12 31111 6 M59 20000 000132 0000R 00002*")-SUMIFS(E293:E6462,K293:K6462,"0",B293:B6462,"1 2 4 1 3 12 31111 6 M59 20000 000132 0000R 00002*")</f>
        <v>0</v>
      </c>
      <c r="E292" s="54"/>
      <c r="F292" s="83">
        <f>SUMIFS(F293:F6462,K293:K6462,"0",B293:B6462,"1 2 4 1 3 12 31111 6 M59 20000 000132 0000R 00002*")</f>
        <v>322800.06</v>
      </c>
      <c r="G292" s="83">
        <f>SUMIFS(G293:G6462,K293:K6462,"0",B293:B6462,"1 2 4 1 3 12 31111 6 M59 20000 000132 0000R 00002*")</f>
        <v>0</v>
      </c>
      <c r="H292" s="83">
        <f t="shared" si="4"/>
        <v>322800.06</v>
      </c>
      <c r="I292" s="83"/>
      <c r="K292" s="54" t="s">
        <v>15</v>
      </c>
    </row>
    <row r="293" spans="2:11" ht="24.75" x14ac:dyDescent="0.2">
      <c r="B293" s="82" t="s">
        <v>1048</v>
      </c>
      <c r="C293" s="82" t="s">
        <v>1049</v>
      </c>
      <c r="D293" s="83">
        <f>SUMIFS(D294:D6462,K294:K6462,"0",B294:B6462,"1 2 4 1 3 12 31111 6 M59 20000 000132 0000R 00002 00515*")-SUMIFS(E294:E6462,K294:K6462,"0",B294:B6462,"1 2 4 1 3 12 31111 6 M59 20000 000132 0000R 00002 00515*")</f>
        <v>0</v>
      </c>
      <c r="E293" s="54"/>
      <c r="F293" s="83">
        <f>SUMIFS(F294:F6462,K294:K6462,"0",B294:B6462,"1 2 4 1 3 12 31111 6 M59 20000 000132 0000R 00002 00515*")</f>
        <v>322800.06</v>
      </c>
      <c r="G293" s="83">
        <f>SUMIFS(G294:G6462,K294:K6462,"0",B294:B6462,"1 2 4 1 3 12 31111 6 M59 20000 000132 0000R 00002 00515*")</f>
        <v>0</v>
      </c>
      <c r="H293" s="83">
        <f t="shared" si="4"/>
        <v>322800.06</v>
      </c>
      <c r="I293" s="83"/>
      <c r="K293" s="54" t="s">
        <v>15</v>
      </c>
    </row>
    <row r="294" spans="2:11" ht="33" x14ac:dyDescent="0.2">
      <c r="B294" s="82" t="s">
        <v>1050</v>
      </c>
      <c r="C294" s="82" t="s">
        <v>1051</v>
      </c>
      <c r="D294" s="83">
        <f>SUMIFS(D295:D6462,K295:K6462,"0",B295:B6462,"1 2 4 1 3 12 31111 6 M59 20000 000132 0000R 00002 00515 015*")-SUMIFS(E295:E6462,K295:K6462,"0",B295:B6462,"1 2 4 1 3 12 31111 6 M59 20000 000132 0000R 00002 00515 015*")</f>
        <v>0</v>
      </c>
      <c r="E294" s="54"/>
      <c r="F294" s="83">
        <f>SUMIFS(F295:F6462,K295:K6462,"0",B295:B6462,"1 2 4 1 3 12 31111 6 M59 20000 000132 0000R 00002 00515 015*")</f>
        <v>322800.06</v>
      </c>
      <c r="G294" s="83">
        <f>SUMIFS(G295:G6462,K295:K6462,"0",B295:B6462,"1 2 4 1 3 12 31111 6 M59 20000 000132 0000R 00002 00515 015*")</f>
        <v>0</v>
      </c>
      <c r="H294" s="83">
        <f t="shared" si="4"/>
        <v>322800.06</v>
      </c>
      <c r="I294" s="83"/>
      <c r="K294" s="54" t="s">
        <v>15</v>
      </c>
    </row>
    <row r="295" spans="2:11" ht="33" x14ac:dyDescent="0.2">
      <c r="B295" s="82" t="s">
        <v>1052</v>
      </c>
      <c r="C295" s="82" t="s">
        <v>1053</v>
      </c>
      <c r="D295" s="83">
        <f>SUMIFS(D296:D6462,K296:K6462,"0",B296:B6462,"1 2 4 1 3 12 31111 6 M59 20000 000132 0000R 00002 00515 015 2222200*")-SUMIFS(E296:E6462,K296:K6462,"0",B296:B6462,"1 2 4 1 3 12 31111 6 M59 20000 000132 0000R 00002 00515 015 2222200*")</f>
        <v>0</v>
      </c>
      <c r="E295" s="54"/>
      <c r="F295" s="83">
        <f>SUMIFS(F296:F6462,K296:K6462,"0",B296:B6462,"1 2 4 1 3 12 31111 6 M59 20000 000132 0000R 00002 00515 015 2222200*")</f>
        <v>322800.06</v>
      </c>
      <c r="G295" s="83">
        <f>SUMIFS(G296:G6462,K296:K6462,"0",B296:B6462,"1 2 4 1 3 12 31111 6 M59 20000 000132 0000R 00002 00515 015 2222200*")</f>
        <v>0</v>
      </c>
      <c r="H295" s="83">
        <f t="shared" si="4"/>
        <v>322800.06</v>
      </c>
      <c r="I295" s="83"/>
      <c r="K295" s="54" t="s">
        <v>15</v>
      </c>
    </row>
    <row r="296" spans="2:11" ht="33" x14ac:dyDescent="0.2">
      <c r="B296" s="82" t="s">
        <v>1054</v>
      </c>
      <c r="C296" s="82" t="s">
        <v>660</v>
      </c>
      <c r="D296" s="83">
        <f>SUMIFS(D297:D6462,K297:K6462,"0",B297:B6462,"1 2 4 1 3 12 31111 6 M59 20000 000132 0000R 00002 00515 015 2222200 2024*")-SUMIFS(E297:E6462,K297:K6462,"0",B297:B6462,"1 2 4 1 3 12 31111 6 M59 20000 000132 0000R 00002 00515 015 2222200 2024*")</f>
        <v>0</v>
      </c>
      <c r="E296" s="54"/>
      <c r="F296" s="83">
        <f>SUMIFS(F297:F6462,K297:K6462,"0",B297:B6462,"1 2 4 1 3 12 31111 6 M59 20000 000132 0000R 00002 00515 015 2222200 2024*")</f>
        <v>322800.06</v>
      </c>
      <c r="G296" s="83">
        <f>SUMIFS(G297:G6462,K297:K6462,"0",B297:B6462,"1 2 4 1 3 12 31111 6 M59 20000 000132 0000R 00002 00515 015 2222200 2024*")</f>
        <v>0</v>
      </c>
      <c r="H296" s="83">
        <f t="shared" si="4"/>
        <v>322800.06</v>
      </c>
      <c r="I296" s="83"/>
      <c r="K296" s="54" t="s">
        <v>15</v>
      </c>
    </row>
    <row r="297" spans="2:11" ht="41.25" x14ac:dyDescent="0.2">
      <c r="B297" s="82" t="s">
        <v>1055</v>
      </c>
      <c r="C297" s="82" t="s">
        <v>1056</v>
      </c>
      <c r="D297" s="83">
        <f>SUMIFS(D298:D6462,K298:K6462,"0",B298:B6462,"1 2 4 1 3 12 31111 6 M59 20000 000132 0000R 00002 00515 015 2222200 2024 CP1AF389*")-SUMIFS(E298:E6462,K298:K6462,"0",B298:B6462,"1 2 4 1 3 12 31111 6 M59 20000 000132 0000R 00002 00515 015 2222200 2024 CP1AF389*")</f>
        <v>0</v>
      </c>
      <c r="E297" s="54"/>
      <c r="F297" s="83">
        <f>SUMIFS(F298:F6462,K298:K6462,"0",B298:B6462,"1 2 4 1 3 12 31111 6 M59 20000 000132 0000R 00002 00515 015 2222200 2024 CP1AF389*")</f>
        <v>322800.06</v>
      </c>
      <c r="G297" s="83">
        <f>SUMIFS(G298:G6462,K298:K6462,"0",B298:B6462,"1 2 4 1 3 12 31111 6 M59 20000 000132 0000R 00002 00515 015 2222200 2024 CP1AF389*")</f>
        <v>0</v>
      </c>
      <c r="H297" s="83">
        <f t="shared" si="4"/>
        <v>322800.06</v>
      </c>
      <c r="I297" s="83"/>
      <c r="K297" s="54" t="s">
        <v>15</v>
      </c>
    </row>
    <row r="298" spans="2:11" ht="41.25" x14ac:dyDescent="0.2">
      <c r="B298" s="82" t="s">
        <v>1057</v>
      </c>
      <c r="C298" s="82" t="s">
        <v>282</v>
      </c>
      <c r="D298" s="83">
        <f>SUMIFS(D299:D6462,K299:K6462,"0",B299:B6462,"1 2 4 1 3 12 31111 6 M59 20000 000132 0000R 00002 00515 015 2222200 2024 CP1AF389 001*")-SUMIFS(E299:E6462,K299:K6462,"0",B299:B6462,"1 2 4 1 3 12 31111 6 M59 20000 000132 0000R 00002 00515 015 2222200 2024 CP1AF389 001*")</f>
        <v>0</v>
      </c>
      <c r="E298" s="54"/>
      <c r="F298" s="83">
        <f>SUMIFS(F299:F6462,K299:K6462,"0",B299:B6462,"1 2 4 1 3 12 31111 6 M59 20000 000132 0000R 00002 00515 015 2222200 2024 CP1AF389 001*")</f>
        <v>322800.06</v>
      </c>
      <c r="G298" s="83">
        <f>SUMIFS(G299:G6462,K299:K6462,"0",B299:B6462,"1 2 4 1 3 12 31111 6 M59 20000 000132 0000R 00002 00515 015 2222200 2024 CP1AF389 001*")</f>
        <v>0</v>
      </c>
      <c r="H298" s="83">
        <f t="shared" si="4"/>
        <v>322800.06</v>
      </c>
      <c r="I298" s="83"/>
      <c r="K298" s="54" t="s">
        <v>15</v>
      </c>
    </row>
    <row r="299" spans="2:11" ht="41.25" x14ac:dyDescent="0.2">
      <c r="B299" s="84" t="s">
        <v>1058</v>
      </c>
      <c r="C299" s="84" t="s">
        <v>1059</v>
      </c>
      <c r="D299" s="85">
        <v>0</v>
      </c>
      <c r="E299" s="85"/>
      <c r="F299" s="85">
        <v>322800.06</v>
      </c>
      <c r="G299" s="85">
        <v>0</v>
      </c>
      <c r="H299" s="85">
        <f t="shared" si="4"/>
        <v>322800.06</v>
      </c>
      <c r="I299" s="85"/>
      <c r="K299" s="54" t="s">
        <v>38</v>
      </c>
    </row>
    <row r="300" spans="2:11" ht="16.5" x14ac:dyDescent="0.2">
      <c r="B300" s="82" t="s">
        <v>1078</v>
      </c>
      <c r="C300" s="82" t="s">
        <v>1079</v>
      </c>
      <c r="D300" s="83">
        <f>SUMIFS(D301:D6462,K301:K6462,"0",B301:B6462,"1 2 4 1 3 12 31111 6 M59 20500*")-SUMIFS(E301:E6462,K301:K6462,"0",B301:B6462,"1 2 4 1 3 12 31111 6 M59 20500*")</f>
        <v>0</v>
      </c>
      <c r="E300" s="54"/>
      <c r="F300" s="83">
        <f>SUMIFS(F301:F6462,K301:K6462,"0",B301:B6462,"1 2 4 1 3 12 31111 6 M59 20500*")</f>
        <v>15022.92</v>
      </c>
      <c r="G300" s="83">
        <f>SUMIFS(G301:G6462,K301:K6462,"0",B301:B6462,"1 2 4 1 3 12 31111 6 M59 20500*")</f>
        <v>0</v>
      </c>
      <c r="H300" s="83">
        <f t="shared" si="4"/>
        <v>15022.92</v>
      </c>
      <c r="I300" s="83"/>
      <c r="K300" s="54" t="s">
        <v>15</v>
      </c>
    </row>
    <row r="301" spans="2:11" ht="16.5" x14ac:dyDescent="0.2">
      <c r="B301" s="82" t="s">
        <v>1080</v>
      </c>
      <c r="C301" s="82" t="s">
        <v>648</v>
      </c>
      <c r="D301" s="83">
        <f>SUMIFS(D302:D6462,K302:K6462,"0",B302:B6462,"1 2 4 1 3 12 31111 6 M59 20500 000132*")-SUMIFS(E302:E6462,K302:K6462,"0",B302:B6462,"1 2 4 1 3 12 31111 6 M59 20500 000132*")</f>
        <v>0</v>
      </c>
      <c r="E301" s="54"/>
      <c r="F301" s="83">
        <f>SUMIFS(F302:F6462,K302:K6462,"0",B302:B6462,"1 2 4 1 3 12 31111 6 M59 20500 000132*")</f>
        <v>15022.92</v>
      </c>
      <c r="G301" s="83">
        <f>SUMIFS(G302:G6462,K302:K6462,"0",B302:B6462,"1 2 4 1 3 12 31111 6 M59 20500 000132*")</f>
        <v>0</v>
      </c>
      <c r="H301" s="83">
        <f t="shared" si="4"/>
        <v>15022.92</v>
      </c>
      <c r="I301" s="83"/>
      <c r="K301" s="54" t="s">
        <v>15</v>
      </c>
    </row>
    <row r="302" spans="2:11" ht="24.75" x14ac:dyDescent="0.2">
      <c r="B302" s="82" t="s">
        <v>1081</v>
      </c>
      <c r="C302" s="82" t="s">
        <v>650</v>
      </c>
      <c r="D302" s="83">
        <f>SUMIFS(D303:D6462,K303:K6462,"0",B303:B6462,"1 2 4 1 3 12 31111 6 M59 20500 000132 0000R*")-SUMIFS(E303:E6462,K303:K6462,"0",B303:B6462,"1 2 4 1 3 12 31111 6 M59 20500 000132 0000R*")</f>
        <v>0</v>
      </c>
      <c r="E302" s="54"/>
      <c r="F302" s="83">
        <f>SUMIFS(F303:F6462,K303:K6462,"0",B303:B6462,"1 2 4 1 3 12 31111 6 M59 20500 000132 0000R*")</f>
        <v>15022.92</v>
      </c>
      <c r="G302" s="83">
        <f>SUMIFS(G303:G6462,K303:K6462,"0",B303:B6462,"1 2 4 1 3 12 31111 6 M59 20500 000132 0000R*")</f>
        <v>0</v>
      </c>
      <c r="H302" s="83">
        <f t="shared" si="4"/>
        <v>15022.92</v>
      </c>
      <c r="I302" s="83"/>
      <c r="K302" s="54" t="s">
        <v>15</v>
      </c>
    </row>
    <row r="303" spans="2:11" ht="24.75" x14ac:dyDescent="0.2">
      <c r="B303" s="82" t="s">
        <v>1082</v>
      </c>
      <c r="C303" s="82" t="s">
        <v>652</v>
      </c>
      <c r="D303" s="83">
        <f>SUMIFS(D304:D6462,K304:K6462,"0",B304:B6462,"1 2 4 1 3 12 31111 6 M59 20500 000132 0000R 00002*")-SUMIFS(E304:E6462,K304:K6462,"0",B304:B6462,"1 2 4 1 3 12 31111 6 M59 20500 000132 0000R 00002*")</f>
        <v>0</v>
      </c>
      <c r="E303" s="54"/>
      <c r="F303" s="83">
        <f>SUMIFS(F304:F6462,K304:K6462,"0",B304:B6462,"1 2 4 1 3 12 31111 6 M59 20500 000132 0000R 00002*")</f>
        <v>15022.92</v>
      </c>
      <c r="G303" s="83">
        <f>SUMIFS(G304:G6462,K304:K6462,"0",B304:B6462,"1 2 4 1 3 12 31111 6 M59 20500 000132 0000R 00002*")</f>
        <v>0</v>
      </c>
      <c r="H303" s="83">
        <f t="shared" si="4"/>
        <v>15022.92</v>
      </c>
      <c r="I303" s="83"/>
      <c r="K303" s="54" t="s">
        <v>15</v>
      </c>
    </row>
    <row r="304" spans="2:11" ht="24.75" x14ac:dyDescent="0.2">
      <c r="B304" s="82" t="s">
        <v>1083</v>
      </c>
      <c r="C304" s="82" t="s">
        <v>1049</v>
      </c>
      <c r="D304" s="83">
        <f>SUMIFS(D305:D6462,K305:K6462,"0",B305:B6462,"1 2 4 1 3 12 31111 6 M59 20500 000132 0000R 00002 00515*")-SUMIFS(E305:E6462,K305:K6462,"0",B305:B6462,"1 2 4 1 3 12 31111 6 M59 20500 000132 0000R 00002 00515*")</f>
        <v>0</v>
      </c>
      <c r="E304" s="54"/>
      <c r="F304" s="83">
        <f>SUMIFS(F305:F6462,K305:K6462,"0",B305:B6462,"1 2 4 1 3 12 31111 6 M59 20500 000132 0000R 00002 00515*")</f>
        <v>15022.92</v>
      </c>
      <c r="G304" s="83">
        <f>SUMIFS(G305:G6462,K305:K6462,"0",B305:B6462,"1 2 4 1 3 12 31111 6 M59 20500 000132 0000R 00002 00515*")</f>
        <v>0</v>
      </c>
      <c r="H304" s="83">
        <f t="shared" si="4"/>
        <v>15022.92</v>
      </c>
      <c r="I304" s="83"/>
      <c r="K304" s="54" t="s">
        <v>15</v>
      </c>
    </row>
    <row r="305" spans="2:11" ht="33" x14ac:dyDescent="0.2">
      <c r="B305" s="82" t="s">
        <v>1084</v>
      </c>
      <c r="C305" s="82" t="s">
        <v>1051</v>
      </c>
      <c r="D305" s="83">
        <f>SUMIFS(D306:D6462,K306:K6462,"0",B306:B6462,"1 2 4 1 3 12 31111 6 M59 20500 000132 0000R 00002 00515 015*")-SUMIFS(E306:E6462,K306:K6462,"0",B306:B6462,"1 2 4 1 3 12 31111 6 M59 20500 000132 0000R 00002 00515 015*")</f>
        <v>0</v>
      </c>
      <c r="E305" s="54"/>
      <c r="F305" s="83">
        <f>SUMIFS(F306:F6462,K306:K6462,"0",B306:B6462,"1 2 4 1 3 12 31111 6 M59 20500 000132 0000R 00002 00515 015*")</f>
        <v>15022.92</v>
      </c>
      <c r="G305" s="83">
        <f>SUMIFS(G306:G6462,K306:K6462,"0",B306:B6462,"1 2 4 1 3 12 31111 6 M59 20500 000132 0000R 00002 00515 015*")</f>
        <v>0</v>
      </c>
      <c r="H305" s="83">
        <f t="shared" si="4"/>
        <v>15022.92</v>
      </c>
      <c r="I305" s="83"/>
      <c r="K305" s="54" t="s">
        <v>15</v>
      </c>
    </row>
    <row r="306" spans="2:11" ht="33" x14ac:dyDescent="0.2">
      <c r="B306" s="82" t="s">
        <v>1085</v>
      </c>
      <c r="C306" s="82" t="s">
        <v>1053</v>
      </c>
      <c r="D306" s="83">
        <f>SUMIFS(D307:D6462,K307:K6462,"0",B307:B6462,"1 2 4 1 3 12 31111 6 M59 20500 000132 0000R 00002 00515 015 2222200*")-SUMIFS(E307:E6462,K307:K6462,"0",B307:B6462,"1 2 4 1 3 12 31111 6 M59 20500 000132 0000R 00002 00515 015 2222200*")</f>
        <v>0</v>
      </c>
      <c r="E306" s="54"/>
      <c r="F306" s="83">
        <f>SUMIFS(F307:F6462,K307:K6462,"0",B307:B6462,"1 2 4 1 3 12 31111 6 M59 20500 000132 0000R 00002 00515 015 2222200*")</f>
        <v>15022.92</v>
      </c>
      <c r="G306" s="83">
        <f>SUMIFS(G307:G6462,K307:K6462,"0",B307:B6462,"1 2 4 1 3 12 31111 6 M59 20500 000132 0000R 00002 00515 015 2222200*")</f>
        <v>0</v>
      </c>
      <c r="H306" s="83">
        <f t="shared" si="4"/>
        <v>15022.92</v>
      </c>
      <c r="I306" s="83"/>
      <c r="K306" s="54" t="s">
        <v>15</v>
      </c>
    </row>
    <row r="307" spans="2:11" ht="33" x14ac:dyDescent="0.2">
      <c r="B307" s="82" t="s">
        <v>1086</v>
      </c>
      <c r="C307" s="82" t="s">
        <v>660</v>
      </c>
      <c r="D307" s="83">
        <f>SUMIFS(D308:D6462,K308:K6462,"0",B308:B6462,"1 2 4 1 3 12 31111 6 M59 20500 000132 0000R 00002 00515 015 2222200 2024*")-SUMIFS(E308:E6462,K308:K6462,"0",B308:B6462,"1 2 4 1 3 12 31111 6 M59 20500 000132 0000R 00002 00515 015 2222200 2024*")</f>
        <v>0</v>
      </c>
      <c r="E307" s="54"/>
      <c r="F307" s="83">
        <f>SUMIFS(F308:F6462,K308:K6462,"0",B308:B6462,"1 2 4 1 3 12 31111 6 M59 20500 000132 0000R 00002 00515 015 2222200 2024*")</f>
        <v>15022.92</v>
      </c>
      <c r="G307" s="83">
        <f>SUMIFS(G308:G6462,K308:K6462,"0",B308:B6462,"1 2 4 1 3 12 31111 6 M59 20500 000132 0000R 00002 00515 015 2222200 2024*")</f>
        <v>0</v>
      </c>
      <c r="H307" s="83">
        <f t="shared" si="4"/>
        <v>15022.92</v>
      </c>
      <c r="I307" s="83"/>
      <c r="K307" s="54" t="s">
        <v>15</v>
      </c>
    </row>
    <row r="308" spans="2:11" ht="41.25" x14ac:dyDescent="0.2">
      <c r="B308" s="82" t="s">
        <v>1087</v>
      </c>
      <c r="C308" s="82" t="s">
        <v>1056</v>
      </c>
      <c r="D308" s="83">
        <f>SUMIFS(D309:D6462,K309:K6462,"0",B309:B6462,"1 2 4 1 3 12 31111 6 M59 20500 000132 0000R 00002 00515 015 2222200 2024 CP1CP420*")-SUMIFS(E309:E6462,K309:K6462,"0",B309:B6462,"1 2 4 1 3 12 31111 6 M59 20500 000132 0000R 00002 00515 015 2222200 2024 CP1CP420*")</f>
        <v>0</v>
      </c>
      <c r="E308" s="54"/>
      <c r="F308" s="83">
        <f>SUMIFS(F309:F6462,K309:K6462,"0",B309:B6462,"1 2 4 1 3 12 31111 6 M59 20500 000132 0000R 00002 00515 015 2222200 2024 CP1CP420*")</f>
        <v>15022.92</v>
      </c>
      <c r="G308" s="83">
        <f>SUMIFS(G309:G6462,K309:K6462,"0",B309:B6462,"1 2 4 1 3 12 31111 6 M59 20500 000132 0000R 00002 00515 015 2222200 2024 CP1CP420*")</f>
        <v>0</v>
      </c>
      <c r="H308" s="83">
        <f t="shared" si="4"/>
        <v>15022.92</v>
      </c>
      <c r="I308" s="83"/>
      <c r="K308" s="54" t="s">
        <v>15</v>
      </c>
    </row>
    <row r="309" spans="2:11" ht="41.25" x14ac:dyDescent="0.2">
      <c r="B309" s="82" t="s">
        <v>1088</v>
      </c>
      <c r="C309" s="82" t="s">
        <v>282</v>
      </c>
      <c r="D309" s="83">
        <f>SUMIFS(D310:D6462,K310:K6462,"0",B310:B6462,"1 2 4 1 3 12 31111 6 M59 20500 000132 0000R 00002 00515 015 2222200 2024 CP1CP420 001*")-SUMIFS(E310:E6462,K310:K6462,"0",B310:B6462,"1 2 4 1 3 12 31111 6 M59 20500 000132 0000R 00002 00515 015 2222200 2024 CP1CP420 001*")</f>
        <v>0</v>
      </c>
      <c r="E309" s="54"/>
      <c r="F309" s="83">
        <f>SUMIFS(F310:F6462,K310:K6462,"0",B310:B6462,"1 2 4 1 3 12 31111 6 M59 20500 000132 0000R 00002 00515 015 2222200 2024 CP1CP420 001*")</f>
        <v>15022.92</v>
      </c>
      <c r="G309" s="83">
        <f>SUMIFS(G310:G6462,K310:K6462,"0",B310:B6462,"1 2 4 1 3 12 31111 6 M59 20500 000132 0000R 00002 00515 015 2222200 2024 CP1CP420 001*")</f>
        <v>0</v>
      </c>
      <c r="H309" s="83">
        <f t="shared" si="4"/>
        <v>15022.92</v>
      </c>
      <c r="I309" s="83"/>
      <c r="K309" s="54" t="s">
        <v>15</v>
      </c>
    </row>
    <row r="310" spans="2:11" ht="41.25" x14ac:dyDescent="0.2">
      <c r="B310" s="84" t="s">
        <v>1089</v>
      </c>
      <c r="C310" s="84" t="s">
        <v>1090</v>
      </c>
      <c r="D310" s="85">
        <v>0</v>
      </c>
      <c r="E310" s="85"/>
      <c r="F310" s="85">
        <v>15022.92</v>
      </c>
      <c r="G310" s="85">
        <v>0</v>
      </c>
      <c r="H310" s="85">
        <f t="shared" si="4"/>
        <v>15022.92</v>
      </c>
      <c r="I310" s="85"/>
      <c r="K310" s="54" t="s">
        <v>38</v>
      </c>
    </row>
    <row r="311" spans="2:11" ht="16.5" x14ac:dyDescent="0.2">
      <c r="B311" s="82" t="s">
        <v>1117</v>
      </c>
      <c r="C311" s="82" t="s">
        <v>1118</v>
      </c>
      <c r="D311" s="83">
        <f>SUMIFS(D312:D6462,K312:K6462,"0",B312:B6462,"1 2 4 1 9*")-SUMIFS(E312:E6462,K312:K6462,"0",B312:B6462,"1 2 4 1 9*")</f>
        <v>77418.77</v>
      </c>
      <c r="E311" s="54"/>
      <c r="F311" s="83">
        <f>SUMIFS(F312:F6462,K312:K6462,"0",B312:B6462,"1 2 4 1 9*")</f>
        <v>500</v>
      </c>
      <c r="G311" s="83">
        <f>SUMIFS(G312:G6462,K312:K6462,"0",B312:B6462,"1 2 4 1 9*")</f>
        <v>20927.43</v>
      </c>
      <c r="H311" s="83">
        <f t="shared" si="4"/>
        <v>56991.340000000004</v>
      </c>
      <c r="I311" s="83"/>
      <c r="K311" s="54" t="s">
        <v>15</v>
      </c>
    </row>
    <row r="312" spans="2:11" ht="12.75" x14ac:dyDescent="0.2">
      <c r="B312" s="82" t="s">
        <v>1119</v>
      </c>
      <c r="C312" s="82" t="s">
        <v>26</v>
      </c>
      <c r="D312" s="83">
        <f>SUMIFS(D313:D6462,K313:K6462,"0",B313:B6462,"1 2 4 1 9 12*")-SUMIFS(E313:E6462,K313:K6462,"0",B313:B6462,"1 2 4 1 9 12*")</f>
        <v>77418.77</v>
      </c>
      <c r="E312" s="54"/>
      <c r="F312" s="83">
        <f>SUMIFS(F313:F6462,K313:K6462,"0",B313:B6462,"1 2 4 1 9 12*")</f>
        <v>500</v>
      </c>
      <c r="G312" s="83">
        <f>SUMIFS(G313:G6462,K313:K6462,"0",B313:B6462,"1 2 4 1 9 12*")</f>
        <v>20927.43</v>
      </c>
      <c r="H312" s="83">
        <f t="shared" si="4"/>
        <v>56991.340000000004</v>
      </c>
      <c r="I312" s="83"/>
      <c r="K312" s="54" t="s">
        <v>15</v>
      </c>
    </row>
    <row r="313" spans="2:11" ht="16.5" x14ac:dyDescent="0.2">
      <c r="B313" s="82" t="s">
        <v>1120</v>
      </c>
      <c r="C313" s="82" t="s">
        <v>28</v>
      </c>
      <c r="D313" s="83">
        <f>SUMIFS(D314:D6462,K314:K6462,"0",B314:B6462,"1 2 4 1 9 12 31111*")-SUMIFS(E314:E6462,K314:K6462,"0",B314:B6462,"1 2 4 1 9 12 31111*")</f>
        <v>77418.77</v>
      </c>
      <c r="E313" s="54"/>
      <c r="F313" s="83">
        <f>SUMIFS(F314:F6462,K314:K6462,"0",B314:B6462,"1 2 4 1 9 12 31111*")</f>
        <v>500</v>
      </c>
      <c r="G313" s="83">
        <f>SUMIFS(G314:G6462,K314:K6462,"0",B314:B6462,"1 2 4 1 9 12 31111*")</f>
        <v>20927.43</v>
      </c>
      <c r="H313" s="83">
        <f t="shared" si="4"/>
        <v>56991.340000000004</v>
      </c>
      <c r="I313" s="83"/>
      <c r="K313" s="54" t="s">
        <v>15</v>
      </c>
    </row>
    <row r="314" spans="2:11" ht="12.75" x14ac:dyDescent="0.2">
      <c r="B314" s="82" t="s">
        <v>1121</v>
      </c>
      <c r="C314" s="82" t="s">
        <v>30</v>
      </c>
      <c r="D314" s="83">
        <f>SUMIFS(D315:D6462,K315:K6462,"0",B315:B6462,"1 2 4 1 9 12 31111 6*")-SUMIFS(E315:E6462,K315:K6462,"0",B315:B6462,"1 2 4 1 9 12 31111 6*")</f>
        <v>77418.77</v>
      </c>
      <c r="E314" s="54"/>
      <c r="F314" s="83">
        <f>SUMIFS(F315:F6462,K315:K6462,"0",B315:B6462,"1 2 4 1 9 12 31111 6*")</f>
        <v>500</v>
      </c>
      <c r="G314" s="83">
        <f>SUMIFS(G315:G6462,K315:K6462,"0",B315:B6462,"1 2 4 1 9 12 31111 6*")</f>
        <v>20927.43</v>
      </c>
      <c r="H314" s="83">
        <f t="shared" si="4"/>
        <v>56991.340000000004</v>
      </c>
      <c r="I314" s="83"/>
      <c r="K314" s="54" t="s">
        <v>15</v>
      </c>
    </row>
    <row r="315" spans="2:11" ht="16.5" x14ac:dyDescent="0.2">
      <c r="B315" s="82" t="s">
        <v>1122</v>
      </c>
      <c r="C315" s="82" t="s">
        <v>32</v>
      </c>
      <c r="D315" s="83">
        <f>SUMIFS(D316:D6462,K316:K6462,"0",B316:B6462,"1 2 4 1 9 12 31111 6 M59*")-SUMIFS(E316:E6462,K316:K6462,"0",B316:B6462,"1 2 4 1 9 12 31111 6 M59*")</f>
        <v>77418.77</v>
      </c>
      <c r="E315" s="54"/>
      <c r="F315" s="83">
        <f>SUMIFS(F316:F6462,K316:K6462,"0",B316:B6462,"1 2 4 1 9 12 31111 6 M59*")</f>
        <v>500</v>
      </c>
      <c r="G315" s="83">
        <f>SUMIFS(G316:G6462,K316:K6462,"0",B316:B6462,"1 2 4 1 9 12 31111 6 M59*")</f>
        <v>20927.43</v>
      </c>
      <c r="H315" s="83">
        <f t="shared" si="4"/>
        <v>56991.340000000004</v>
      </c>
      <c r="I315" s="83"/>
      <c r="K315" s="54" t="s">
        <v>15</v>
      </c>
    </row>
    <row r="316" spans="2:11" ht="16.5" x14ac:dyDescent="0.2">
      <c r="B316" s="82" t="s">
        <v>1123</v>
      </c>
      <c r="C316" s="82" t="s">
        <v>34</v>
      </c>
      <c r="D316" s="83">
        <f>SUMIFS(D317:D6462,K317:K6462,"0",B317:B6462,"1 2 4 1 9 12 31111 6 M59 00001*")-SUMIFS(E317:E6462,K317:K6462,"0",B317:B6462,"1 2 4 1 9 12 31111 6 M59 00001*")</f>
        <v>77418.77</v>
      </c>
      <c r="E316" s="54"/>
      <c r="F316" s="83">
        <f>SUMIFS(F317:F6462,K317:K6462,"0",B317:B6462,"1 2 4 1 9 12 31111 6 M59 00001*")</f>
        <v>500</v>
      </c>
      <c r="G316" s="83">
        <f>SUMIFS(G317:G6462,K317:K6462,"0",B317:B6462,"1 2 4 1 9 12 31111 6 M59 00001*")</f>
        <v>20927.43</v>
      </c>
      <c r="H316" s="83">
        <f t="shared" si="4"/>
        <v>56991.340000000004</v>
      </c>
      <c r="I316" s="83"/>
      <c r="K316" s="54" t="s">
        <v>15</v>
      </c>
    </row>
    <row r="317" spans="2:11" ht="16.5" x14ac:dyDescent="0.2">
      <c r="B317" s="84" t="s">
        <v>1124</v>
      </c>
      <c r="C317" s="84" t="s">
        <v>203</v>
      </c>
      <c r="D317" s="85">
        <v>68204.11</v>
      </c>
      <c r="E317" s="85"/>
      <c r="F317" s="85">
        <v>500</v>
      </c>
      <c r="G317" s="85">
        <v>20927.43</v>
      </c>
      <c r="H317" s="85">
        <f t="shared" si="4"/>
        <v>47776.68</v>
      </c>
      <c r="I317" s="85"/>
      <c r="K317" s="54" t="s">
        <v>38</v>
      </c>
    </row>
    <row r="318" spans="2:11" ht="16.5" x14ac:dyDescent="0.2">
      <c r="B318" s="84" t="s">
        <v>1125</v>
      </c>
      <c r="C318" s="84" t="s">
        <v>1126</v>
      </c>
      <c r="D318" s="85">
        <v>947.41</v>
      </c>
      <c r="E318" s="85"/>
      <c r="F318" s="85">
        <v>0</v>
      </c>
      <c r="G318" s="85">
        <v>0</v>
      </c>
      <c r="H318" s="85">
        <f t="shared" si="4"/>
        <v>947.41</v>
      </c>
      <c r="I318" s="85"/>
      <c r="K318" s="54" t="s">
        <v>38</v>
      </c>
    </row>
    <row r="319" spans="2:11" ht="16.5" x14ac:dyDescent="0.2">
      <c r="B319" s="84" t="s">
        <v>1127</v>
      </c>
      <c r="C319" s="84" t="s">
        <v>1128</v>
      </c>
      <c r="D319" s="85">
        <v>5000</v>
      </c>
      <c r="E319" s="85"/>
      <c r="F319" s="85">
        <v>0</v>
      </c>
      <c r="G319" s="85">
        <v>0</v>
      </c>
      <c r="H319" s="85">
        <f t="shared" si="4"/>
        <v>5000</v>
      </c>
      <c r="I319" s="85"/>
      <c r="K319" s="54" t="s">
        <v>38</v>
      </c>
    </row>
    <row r="320" spans="2:11" ht="24.75" x14ac:dyDescent="0.2">
      <c r="B320" s="84" t="s">
        <v>1129</v>
      </c>
      <c r="C320" s="84" t="s">
        <v>1130</v>
      </c>
      <c r="D320" s="85">
        <v>3267.25</v>
      </c>
      <c r="E320" s="85"/>
      <c r="F320" s="85">
        <v>0</v>
      </c>
      <c r="G320" s="85">
        <v>0</v>
      </c>
      <c r="H320" s="85">
        <f t="shared" si="4"/>
        <v>3267.25</v>
      </c>
      <c r="I320" s="85"/>
      <c r="K320" s="54" t="s">
        <v>38</v>
      </c>
    </row>
    <row r="321" spans="2:11" ht="16.5" x14ac:dyDescent="0.2">
      <c r="B321" s="82" t="s">
        <v>1140</v>
      </c>
      <c r="C321" s="82" t="s">
        <v>1141</v>
      </c>
      <c r="D321" s="83">
        <f>SUMIFS(D322:D6462,K322:K6462,"0",B322:B6462,"1 2 4 2*")-SUMIFS(E322:E6462,K322:K6462,"0",B322:B6462,"1 2 4 2*")</f>
        <v>203196.39</v>
      </c>
      <c r="E321" s="54"/>
      <c r="F321" s="83">
        <f>SUMIFS(F322:F6462,K322:K6462,"0",B322:B6462,"1 2 4 2*")</f>
        <v>0</v>
      </c>
      <c r="G321" s="83">
        <f>SUMIFS(G322:G6462,K322:K6462,"0",B322:B6462,"1 2 4 2*")</f>
        <v>50223.100000000006</v>
      </c>
      <c r="H321" s="83">
        <f t="shared" si="4"/>
        <v>152973.29</v>
      </c>
      <c r="I321" s="83"/>
      <c r="K321" s="54" t="s">
        <v>15</v>
      </c>
    </row>
    <row r="322" spans="2:11" ht="16.5" x14ac:dyDescent="0.2">
      <c r="B322" s="82" t="s">
        <v>1142</v>
      </c>
      <c r="C322" s="82" t="s">
        <v>1143</v>
      </c>
      <c r="D322" s="83">
        <f>SUMIFS(D323:D6462,K323:K6462,"0",B323:B6462,"1 2 4 2 1*")-SUMIFS(E323:E6462,K323:K6462,"0",B323:B6462,"1 2 4 2 1*")</f>
        <v>11718.06</v>
      </c>
      <c r="E322" s="54"/>
      <c r="F322" s="83">
        <f>SUMIFS(F323:F6462,K323:K6462,"0",B323:B6462,"1 2 4 2 1*")</f>
        <v>0</v>
      </c>
      <c r="G322" s="83">
        <f>SUMIFS(G323:G6462,K323:K6462,"0",B323:B6462,"1 2 4 2 1*")</f>
        <v>26205.06</v>
      </c>
      <c r="H322" s="83">
        <f t="shared" si="4"/>
        <v>-14487.000000000002</v>
      </c>
      <c r="I322" s="83"/>
      <c r="K322" s="54" t="s">
        <v>15</v>
      </c>
    </row>
    <row r="323" spans="2:11" ht="12.75" x14ac:dyDescent="0.2">
      <c r="B323" s="82" t="s">
        <v>1144</v>
      </c>
      <c r="C323" s="82" t="s">
        <v>26</v>
      </c>
      <c r="D323" s="83">
        <f>SUMIFS(D324:D6462,K324:K6462,"0",B324:B6462,"1 2 4 2 1 12*")-SUMIFS(E324:E6462,K324:K6462,"0",B324:B6462,"1 2 4 2 1 12*")</f>
        <v>11718.06</v>
      </c>
      <c r="E323" s="54"/>
      <c r="F323" s="83">
        <f>SUMIFS(F324:F6462,K324:K6462,"0",B324:B6462,"1 2 4 2 1 12*")</f>
        <v>0</v>
      </c>
      <c r="G323" s="83">
        <f>SUMIFS(G324:G6462,K324:K6462,"0",B324:B6462,"1 2 4 2 1 12*")</f>
        <v>26205.06</v>
      </c>
      <c r="H323" s="83">
        <f t="shared" si="4"/>
        <v>-14487.000000000002</v>
      </c>
      <c r="I323" s="83"/>
      <c r="K323" s="54" t="s">
        <v>15</v>
      </c>
    </row>
    <row r="324" spans="2:11" ht="16.5" x14ac:dyDescent="0.2">
      <c r="B324" s="82" t="s">
        <v>1145</v>
      </c>
      <c r="C324" s="82" t="s">
        <v>28</v>
      </c>
      <c r="D324" s="83">
        <f>SUMIFS(D325:D6462,K325:K6462,"0",B325:B6462,"1 2 4 2 1 12 31111*")-SUMIFS(E325:E6462,K325:K6462,"0",B325:B6462,"1 2 4 2 1 12 31111*")</f>
        <v>11718.06</v>
      </c>
      <c r="E324" s="54"/>
      <c r="F324" s="83">
        <f>SUMIFS(F325:F6462,K325:K6462,"0",B325:B6462,"1 2 4 2 1 12 31111*")</f>
        <v>0</v>
      </c>
      <c r="G324" s="83">
        <f>SUMIFS(G325:G6462,K325:K6462,"0",B325:B6462,"1 2 4 2 1 12 31111*")</f>
        <v>26205.06</v>
      </c>
      <c r="H324" s="83">
        <f t="shared" si="4"/>
        <v>-14487.000000000002</v>
      </c>
      <c r="I324" s="83"/>
      <c r="K324" s="54" t="s">
        <v>15</v>
      </c>
    </row>
    <row r="325" spans="2:11" ht="12.75" x14ac:dyDescent="0.2">
      <c r="B325" s="82" t="s">
        <v>1146</v>
      </c>
      <c r="C325" s="82" t="s">
        <v>30</v>
      </c>
      <c r="D325" s="83">
        <f>SUMIFS(D326:D6462,K326:K6462,"0",B326:B6462,"1 2 4 2 1 12 31111 6*")-SUMIFS(E326:E6462,K326:K6462,"0",B326:B6462,"1 2 4 2 1 12 31111 6*")</f>
        <v>11718.06</v>
      </c>
      <c r="E325" s="54"/>
      <c r="F325" s="83">
        <f>SUMIFS(F326:F6462,K326:K6462,"0",B326:B6462,"1 2 4 2 1 12 31111 6*")</f>
        <v>0</v>
      </c>
      <c r="G325" s="83">
        <f>SUMIFS(G326:G6462,K326:K6462,"0",B326:B6462,"1 2 4 2 1 12 31111 6*")</f>
        <v>26205.06</v>
      </c>
      <c r="H325" s="83">
        <f t="shared" si="4"/>
        <v>-14487.000000000002</v>
      </c>
      <c r="I325" s="83"/>
      <c r="K325" s="54" t="s">
        <v>15</v>
      </c>
    </row>
    <row r="326" spans="2:11" ht="16.5" x14ac:dyDescent="0.2">
      <c r="B326" s="82" t="s">
        <v>1147</v>
      </c>
      <c r="C326" s="82" t="s">
        <v>32</v>
      </c>
      <c r="D326" s="83">
        <f>SUMIFS(D327:D6462,K327:K6462,"0",B327:B6462,"1 2 4 2 1 12 31111 6 M59*")-SUMIFS(E327:E6462,K327:K6462,"0",B327:B6462,"1 2 4 2 1 12 31111 6 M59*")</f>
        <v>11718.06</v>
      </c>
      <c r="E326" s="54"/>
      <c r="F326" s="83">
        <f>SUMIFS(F327:F6462,K327:K6462,"0",B327:B6462,"1 2 4 2 1 12 31111 6 M59*")</f>
        <v>0</v>
      </c>
      <c r="G326" s="83">
        <f>SUMIFS(G327:G6462,K327:K6462,"0",B327:B6462,"1 2 4 2 1 12 31111 6 M59*")</f>
        <v>26205.06</v>
      </c>
      <c r="H326" s="83">
        <f t="shared" si="4"/>
        <v>-14487.000000000002</v>
      </c>
      <c r="I326" s="83"/>
      <c r="K326" s="54" t="s">
        <v>15</v>
      </c>
    </row>
    <row r="327" spans="2:11" ht="16.5" x14ac:dyDescent="0.2">
      <c r="B327" s="82" t="s">
        <v>1148</v>
      </c>
      <c r="C327" s="82" t="s">
        <v>34</v>
      </c>
      <c r="D327" s="83">
        <f>SUMIFS(D328:D6462,K328:K6462,"0",B328:B6462,"1 2 4 2 1 12 31111 6 M59 00001*")-SUMIFS(E328:E6462,K328:K6462,"0",B328:B6462,"1 2 4 2 1 12 31111 6 M59 00001*")</f>
        <v>11718.06</v>
      </c>
      <c r="E327" s="54"/>
      <c r="F327" s="83">
        <f>SUMIFS(F328:F6462,K328:K6462,"0",B328:B6462,"1 2 4 2 1 12 31111 6 M59 00001*")</f>
        <v>0</v>
      </c>
      <c r="G327" s="83">
        <f>SUMIFS(G328:G6462,K328:K6462,"0",B328:B6462,"1 2 4 2 1 12 31111 6 M59 00001*")</f>
        <v>26205.06</v>
      </c>
      <c r="H327" s="83">
        <f t="shared" si="4"/>
        <v>-14487.000000000002</v>
      </c>
      <c r="I327" s="83"/>
      <c r="K327" s="54" t="s">
        <v>15</v>
      </c>
    </row>
    <row r="328" spans="2:11" ht="16.5" x14ac:dyDescent="0.2">
      <c r="B328" s="84" t="s">
        <v>1149</v>
      </c>
      <c r="C328" s="84" t="s">
        <v>203</v>
      </c>
      <c r="D328" s="85">
        <v>7857</v>
      </c>
      <c r="E328" s="85"/>
      <c r="F328" s="85">
        <v>0</v>
      </c>
      <c r="G328" s="85">
        <v>26205.06</v>
      </c>
      <c r="H328" s="85">
        <f t="shared" si="4"/>
        <v>-18348.060000000001</v>
      </c>
      <c r="I328" s="85"/>
      <c r="K328" s="54" t="s">
        <v>38</v>
      </c>
    </row>
    <row r="329" spans="2:11" ht="16.5" x14ac:dyDescent="0.2">
      <c r="B329" s="84" t="s">
        <v>1150</v>
      </c>
      <c r="C329" s="84" t="s">
        <v>1151</v>
      </c>
      <c r="D329" s="85">
        <v>3861.06</v>
      </c>
      <c r="E329" s="85"/>
      <c r="F329" s="85">
        <v>0</v>
      </c>
      <c r="G329" s="85">
        <v>0</v>
      </c>
      <c r="H329" s="85">
        <f t="shared" si="4"/>
        <v>3861.06</v>
      </c>
      <c r="I329" s="85"/>
      <c r="K329" s="54" t="s">
        <v>38</v>
      </c>
    </row>
    <row r="330" spans="2:11" ht="16.5" x14ac:dyDescent="0.2">
      <c r="B330" s="82" t="s">
        <v>1158</v>
      </c>
      <c r="C330" s="82" t="s">
        <v>1159</v>
      </c>
      <c r="D330" s="83">
        <f>SUMIFS(D331:D6462,K331:K6462,"0",B331:B6462,"1 2 4 2 3*")-SUMIFS(E331:E6462,K331:K6462,"0",B331:B6462,"1 2 4 2 3*")</f>
        <v>43036.73</v>
      </c>
      <c r="E330" s="54"/>
      <c r="F330" s="83">
        <f>SUMIFS(F331:F6462,K331:K6462,"0",B331:B6462,"1 2 4 2 3*")</f>
        <v>0</v>
      </c>
      <c r="G330" s="83">
        <f>SUMIFS(G331:G6462,K331:K6462,"0",B331:B6462,"1 2 4 2 3*")</f>
        <v>0</v>
      </c>
      <c r="H330" s="83">
        <f t="shared" si="4"/>
        <v>43036.73</v>
      </c>
      <c r="I330" s="83"/>
      <c r="K330" s="54" t="s">
        <v>15</v>
      </c>
    </row>
    <row r="331" spans="2:11" ht="12.75" x14ac:dyDescent="0.2">
      <c r="B331" s="82" t="s">
        <v>1160</v>
      </c>
      <c r="C331" s="82" t="s">
        <v>26</v>
      </c>
      <c r="D331" s="83">
        <f>SUMIFS(D332:D6462,K332:K6462,"0",B332:B6462,"1 2 4 2 3 12*")-SUMIFS(E332:E6462,K332:K6462,"0",B332:B6462,"1 2 4 2 3 12*")</f>
        <v>43036.73</v>
      </c>
      <c r="E331" s="54"/>
      <c r="F331" s="83">
        <f>SUMIFS(F332:F6462,K332:K6462,"0",B332:B6462,"1 2 4 2 3 12*")</f>
        <v>0</v>
      </c>
      <c r="G331" s="83">
        <f>SUMIFS(G332:G6462,K332:K6462,"0",B332:B6462,"1 2 4 2 3 12*")</f>
        <v>0</v>
      </c>
      <c r="H331" s="83">
        <f t="shared" si="4"/>
        <v>43036.73</v>
      </c>
      <c r="I331" s="83"/>
      <c r="K331" s="54" t="s">
        <v>15</v>
      </c>
    </row>
    <row r="332" spans="2:11" ht="16.5" x14ac:dyDescent="0.2">
      <c r="B332" s="82" t="s">
        <v>1161</v>
      </c>
      <c r="C332" s="82" t="s">
        <v>28</v>
      </c>
      <c r="D332" s="83">
        <f>SUMIFS(D333:D6462,K333:K6462,"0",B333:B6462,"1 2 4 2 3 12 31111*")-SUMIFS(E333:E6462,K333:K6462,"0",B333:B6462,"1 2 4 2 3 12 31111*")</f>
        <v>43036.73</v>
      </c>
      <c r="E332" s="54"/>
      <c r="F332" s="83">
        <f>SUMIFS(F333:F6462,K333:K6462,"0",B333:B6462,"1 2 4 2 3 12 31111*")</f>
        <v>0</v>
      </c>
      <c r="G332" s="83">
        <f>SUMIFS(G333:G6462,K333:K6462,"0",B333:B6462,"1 2 4 2 3 12 31111*")</f>
        <v>0</v>
      </c>
      <c r="H332" s="83">
        <f t="shared" ref="H332:H395" si="5">D332 + F332 - G332</f>
        <v>43036.73</v>
      </c>
      <c r="I332" s="83"/>
      <c r="K332" s="54" t="s">
        <v>15</v>
      </c>
    </row>
    <row r="333" spans="2:11" ht="12.75" x14ac:dyDescent="0.2">
      <c r="B333" s="82" t="s">
        <v>1162</v>
      </c>
      <c r="C333" s="82" t="s">
        <v>30</v>
      </c>
      <c r="D333" s="83">
        <f>SUMIFS(D334:D6462,K334:K6462,"0",B334:B6462,"1 2 4 2 3 12 31111 6*")-SUMIFS(E334:E6462,K334:K6462,"0",B334:B6462,"1 2 4 2 3 12 31111 6*")</f>
        <v>43036.73</v>
      </c>
      <c r="E333" s="54"/>
      <c r="F333" s="83">
        <f>SUMIFS(F334:F6462,K334:K6462,"0",B334:B6462,"1 2 4 2 3 12 31111 6*")</f>
        <v>0</v>
      </c>
      <c r="G333" s="83">
        <f>SUMIFS(G334:G6462,K334:K6462,"0",B334:B6462,"1 2 4 2 3 12 31111 6*")</f>
        <v>0</v>
      </c>
      <c r="H333" s="83">
        <f t="shared" si="5"/>
        <v>43036.73</v>
      </c>
      <c r="I333" s="83"/>
      <c r="K333" s="54" t="s">
        <v>15</v>
      </c>
    </row>
    <row r="334" spans="2:11" ht="16.5" x14ac:dyDescent="0.2">
      <c r="B334" s="82" t="s">
        <v>1163</v>
      </c>
      <c r="C334" s="82" t="s">
        <v>32</v>
      </c>
      <c r="D334" s="83">
        <f>SUMIFS(D335:D6462,K335:K6462,"0",B335:B6462,"1 2 4 2 3 12 31111 6 M59*")-SUMIFS(E335:E6462,K335:K6462,"0",B335:B6462,"1 2 4 2 3 12 31111 6 M59*")</f>
        <v>43036.73</v>
      </c>
      <c r="E334" s="54"/>
      <c r="F334" s="83">
        <f>SUMIFS(F335:F6462,K335:K6462,"0",B335:B6462,"1 2 4 2 3 12 31111 6 M59*")</f>
        <v>0</v>
      </c>
      <c r="G334" s="83">
        <f>SUMIFS(G335:G6462,K335:K6462,"0",B335:B6462,"1 2 4 2 3 12 31111 6 M59*")</f>
        <v>0</v>
      </c>
      <c r="H334" s="83">
        <f t="shared" si="5"/>
        <v>43036.73</v>
      </c>
      <c r="I334" s="83"/>
      <c r="K334" s="54" t="s">
        <v>15</v>
      </c>
    </row>
    <row r="335" spans="2:11" ht="16.5" x14ac:dyDescent="0.2">
      <c r="B335" s="82" t="s">
        <v>1164</v>
      </c>
      <c r="C335" s="82" t="s">
        <v>34</v>
      </c>
      <c r="D335" s="83">
        <f>SUMIFS(D336:D6462,K336:K6462,"0",B336:B6462,"1 2 4 2 3 12 31111 6 M59 00001*")-SUMIFS(E336:E6462,K336:K6462,"0",B336:B6462,"1 2 4 2 3 12 31111 6 M59 00001*")</f>
        <v>43036.73</v>
      </c>
      <c r="E335" s="54"/>
      <c r="F335" s="83">
        <f>SUMIFS(F336:F6462,K336:K6462,"0",B336:B6462,"1 2 4 2 3 12 31111 6 M59 00001*")</f>
        <v>0</v>
      </c>
      <c r="G335" s="83">
        <f>SUMIFS(G336:G6462,K336:K6462,"0",B336:B6462,"1 2 4 2 3 12 31111 6 M59 00001*")</f>
        <v>0</v>
      </c>
      <c r="H335" s="83">
        <f t="shared" si="5"/>
        <v>43036.73</v>
      </c>
      <c r="I335" s="83"/>
      <c r="K335" s="54" t="s">
        <v>15</v>
      </c>
    </row>
    <row r="336" spans="2:11" ht="16.5" x14ac:dyDescent="0.2">
      <c r="B336" s="84" t="s">
        <v>1165</v>
      </c>
      <c r="C336" s="84" t="s">
        <v>203</v>
      </c>
      <c r="D336" s="85">
        <v>43036.73</v>
      </c>
      <c r="E336" s="85"/>
      <c r="F336" s="85">
        <v>0</v>
      </c>
      <c r="G336" s="85">
        <v>0</v>
      </c>
      <c r="H336" s="85">
        <f t="shared" si="5"/>
        <v>43036.73</v>
      </c>
      <c r="I336" s="85"/>
      <c r="K336" s="54" t="s">
        <v>38</v>
      </c>
    </row>
    <row r="337" spans="2:11" ht="16.5" x14ac:dyDescent="0.2">
      <c r="B337" s="82" t="s">
        <v>1173</v>
      </c>
      <c r="C337" s="82" t="s">
        <v>1174</v>
      </c>
      <c r="D337" s="83">
        <f>SUMIFS(D338:D6462,K338:K6462,"0",B338:B6462,"1 2 4 2 9*")-SUMIFS(E338:E6462,K338:K6462,"0",B338:B6462,"1 2 4 2 9*")</f>
        <v>148441.60000000001</v>
      </c>
      <c r="E337" s="54"/>
      <c r="F337" s="83">
        <f>SUMIFS(F338:F6462,K338:K6462,"0",B338:B6462,"1 2 4 2 9*")</f>
        <v>0</v>
      </c>
      <c r="G337" s="83">
        <f>SUMIFS(G338:G6462,K338:K6462,"0",B338:B6462,"1 2 4 2 9*")</f>
        <v>24018.04</v>
      </c>
      <c r="H337" s="83">
        <f t="shared" si="5"/>
        <v>124423.56</v>
      </c>
      <c r="I337" s="83"/>
      <c r="K337" s="54" t="s">
        <v>15</v>
      </c>
    </row>
    <row r="338" spans="2:11" ht="12.75" x14ac:dyDescent="0.2">
      <c r="B338" s="82" t="s">
        <v>1175</v>
      </c>
      <c r="C338" s="82" t="s">
        <v>26</v>
      </c>
      <c r="D338" s="83">
        <f>SUMIFS(D339:D6462,K339:K6462,"0",B339:B6462,"1 2 4 2 9 12*")-SUMIFS(E339:E6462,K339:K6462,"0",B339:B6462,"1 2 4 2 9 12*")</f>
        <v>148441.60000000001</v>
      </c>
      <c r="E338" s="54"/>
      <c r="F338" s="83">
        <f>SUMIFS(F339:F6462,K339:K6462,"0",B339:B6462,"1 2 4 2 9 12*")</f>
        <v>0</v>
      </c>
      <c r="G338" s="83">
        <f>SUMIFS(G339:G6462,K339:K6462,"0",B339:B6462,"1 2 4 2 9 12*")</f>
        <v>24018.04</v>
      </c>
      <c r="H338" s="83">
        <f t="shared" si="5"/>
        <v>124423.56</v>
      </c>
      <c r="I338" s="83"/>
      <c r="K338" s="54" t="s">
        <v>15</v>
      </c>
    </row>
    <row r="339" spans="2:11" ht="16.5" x14ac:dyDescent="0.2">
      <c r="B339" s="82" t="s">
        <v>1176</v>
      </c>
      <c r="C339" s="82" t="s">
        <v>28</v>
      </c>
      <c r="D339" s="83">
        <f>SUMIFS(D340:D6462,K340:K6462,"0",B340:B6462,"1 2 4 2 9 12 31111*")-SUMIFS(E340:E6462,K340:K6462,"0",B340:B6462,"1 2 4 2 9 12 31111*")</f>
        <v>148441.60000000001</v>
      </c>
      <c r="E339" s="54"/>
      <c r="F339" s="83">
        <f>SUMIFS(F340:F6462,K340:K6462,"0",B340:B6462,"1 2 4 2 9 12 31111*")</f>
        <v>0</v>
      </c>
      <c r="G339" s="83">
        <f>SUMIFS(G340:G6462,K340:K6462,"0",B340:B6462,"1 2 4 2 9 12 31111*")</f>
        <v>24018.04</v>
      </c>
      <c r="H339" s="83">
        <f t="shared" si="5"/>
        <v>124423.56</v>
      </c>
      <c r="I339" s="83"/>
      <c r="K339" s="54" t="s">
        <v>15</v>
      </c>
    </row>
    <row r="340" spans="2:11" ht="12.75" x14ac:dyDescent="0.2">
      <c r="B340" s="82" t="s">
        <v>1177</v>
      </c>
      <c r="C340" s="82" t="s">
        <v>30</v>
      </c>
      <c r="D340" s="83">
        <f>SUMIFS(D341:D6462,K341:K6462,"0",B341:B6462,"1 2 4 2 9 12 31111 6*")-SUMIFS(E341:E6462,K341:K6462,"0",B341:B6462,"1 2 4 2 9 12 31111 6*")</f>
        <v>148441.60000000001</v>
      </c>
      <c r="E340" s="54"/>
      <c r="F340" s="83">
        <f>SUMIFS(F341:F6462,K341:K6462,"0",B341:B6462,"1 2 4 2 9 12 31111 6*")</f>
        <v>0</v>
      </c>
      <c r="G340" s="83">
        <f>SUMIFS(G341:G6462,K341:K6462,"0",B341:B6462,"1 2 4 2 9 12 31111 6*")</f>
        <v>24018.04</v>
      </c>
      <c r="H340" s="83">
        <f t="shared" si="5"/>
        <v>124423.56</v>
      </c>
      <c r="I340" s="83"/>
      <c r="K340" s="54" t="s">
        <v>15</v>
      </c>
    </row>
    <row r="341" spans="2:11" ht="16.5" x14ac:dyDescent="0.2">
      <c r="B341" s="82" t="s">
        <v>1178</v>
      </c>
      <c r="C341" s="82" t="s">
        <v>32</v>
      </c>
      <c r="D341" s="83">
        <f>SUMIFS(D342:D6462,K342:K6462,"0",B342:B6462,"1 2 4 2 9 12 31111 6 M59*")-SUMIFS(E342:E6462,K342:K6462,"0",B342:B6462,"1 2 4 2 9 12 31111 6 M59*")</f>
        <v>148441.60000000001</v>
      </c>
      <c r="E341" s="54"/>
      <c r="F341" s="83">
        <f>SUMIFS(F342:F6462,K342:K6462,"0",B342:B6462,"1 2 4 2 9 12 31111 6 M59*")</f>
        <v>0</v>
      </c>
      <c r="G341" s="83">
        <f>SUMIFS(G342:G6462,K342:K6462,"0",B342:B6462,"1 2 4 2 9 12 31111 6 M59*")</f>
        <v>24018.04</v>
      </c>
      <c r="H341" s="83">
        <f t="shared" si="5"/>
        <v>124423.56</v>
      </c>
      <c r="I341" s="83"/>
      <c r="K341" s="54" t="s">
        <v>15</v>
      </c>
    </row>
    <row r="342" spans="2:11" ht="16.5" x14ac:dyDescent="0.2">
      <c r="B342" s="82" t="s">
        <v>1179</v>
      </c>
      <c r="C342" s="82" t="s">
        <v>34</v>
      </c>
      <c r="D342" s="83">
        <f>SUMIFS(D343:D6462,K343:K6462,"0",B343:B6462,"1 2 4 2 9 12 31111 6 M59 00001*")-SUMIFS(E343:E6462,K343:K6462,"0",B343:B6462,"1 2 4 2 9 12 31111 6 M59 00001*")</f>
        <v>148441.60000000001</v>
      </c>
      <c r="E342" s="54"/>
      <c r="F342" s="83">
        <f>SUMIFS(F343:F6462,K343:K6462,"0",B343:B6462,"1 2 4 2 9 12 31111 6 M59 00001*")</f>
        <v>0</v>
      </c>
      <c r="G342" s="83">
        <f>SUMIFS(G343:G6462,K343:K6462,"0",B343:B6462,"1 2 4 2 9 12 31111 6 M59 00001*")</f>
        <v>24018.04</v>
      </c>
      <c r="H342" s="83">
        <f t="shared" si="5"/>
        <v>124423.56</v>
      </c>
      <c r="I342" s="83"/>
      <c r="K342" s="54" t="s">
        <v>15</v>
      </c>
    </row>
    <row r="343" spans="2:11" ht="16.5" x14ac:dyDescent="0.2">
      <c r="B343" s="84" t="s">
        <v>1180</v>
      </c>
      <c r="C343" s="84" t="s">
        <v>203</v>
      </c>
      <c r="D343" s="85">
        <v>148441.60000000001</v>
      </c>
      <c r="E343" s="85"/>
      <c r="F343" s="85">
        <v>0</v>
      </c>
      <c r="G343" s="85">
        <v>24018.04</v>
      </c>
      <c r="H343" s="85">
        <f t="shared" si="5"/>
        <v>124423.56</v>
      </c>
      <c r="I343" s="85"/>
      <c r="K343" s="54" t="s">
        <v>38</v>
      </c>
    </row>
    <row r="344" spans="2:11" ht="16.5" x14ac:dyDescent="0.2">
      <c r="B344" s="82" t="s">
        <v>1187</v>
      </c>
      <c r="C344" s="82" t="s">
        <v>1188</v>
      </c>
      <c r="D344" s="83">
        <f>SUMIFS(D345:D6462,K345:K6462,"0",B345:B6462,"1 2 4 3*")-SUMIFS(E345:E6462,K345:K6462,"0",B345:B6462,"1 2 4 3*")</f>
        <v>245488.06</v>
      </c>
      <c r="E344" s="54"/>
      <c r="F344" s="83">
        <f>SUMIFS(F345:F6462,K345:K6462,"0",B345:B6462,"1 2 4 3*")</f>
        <v>0</v>
      </c>
      <c r="G344" s="83">
        <f>SUMIFS(G345:G6462,K345:K6462,"0",B345:B6462,"1 2 4 3*")</f>
        <v>177252.59</v>
      </c>
      <c r="H344" s="83">
        <f t="shared" si="5"/>
        <v>68235.47</v>
      </c>
      <c r="I344" s="83"/>
      <c r="K344" s="54" t="s">
        <v>15</v>
      </c>
    </row>
    <row r="345" spans="2:11" ht="16.5" x14ac:dyDescent="0.2">
      <c r="B345" s="82" t="s">
        <v>1189</v>
      </c>
      <c r="C345" s="82" t="s">
        <v>1190</v>
      </c>
      <c r="D345" s="83">
        <f>SUMIFS(D346:D6462,K346:K6462,"0",B346:B6462,"1 2 4 3 1*")-SUMIFS(E346:E6462,K346:K6462,"0",B346:B6462,"1 2 4 3 1*")</f>
        <v>238919.06</v>
      </c>
      <c r="E345" s="54"/>
      <c r="F345" s="83">
        <f>SUMIFS(F346:F6462,K346:K6462,"0",B346:B6462,"1 2 4 3 1*")</f>
        <v>0</v>
      </c>
      <c r="G345" s="83">
        <f>SUMIFS(G346:G6462,K346:K6462,"0",B346:B6462,"1 2 4 3 1*")</f>
        <v>124593.59</v>
      </c>
      <c r="H345" s="83">
        <f t="shared" si="5"/>
        <v>114325.47</v>
      </c>
      <c r="I345" s="83"/>
      <c r="K345" s="54" t="s">
        <v>15</v>
      </c>
    </row>
    <row r="346" spans="2:11" ht="12.75" x14ac:dyDescent="0.2">
      <c r="B346" s="82" t="s">
        <v>1191</v>
      </c>
      <c r="C346" s="82" t="s">
        <v>26</v>
      </c>
      <c r="D346" s="83">
        <f>SUMIFS(D347:D6462,K347:K6462,"0",B347:B6462,"1 2 4 3 1 12*")-SUMIFS(E347:E6462,K347:K6462,"0",B347:B6462,"1 2 4 3 1 12*")</f>
        <v>238919.06</v>
      </c>
      <c r="E346" s="54"/>
      <c r="F346" s="83">
        <f>SUMIFS(F347:F6462,K347:K6462,"0",B347:B6462,"1 2 4 3 1 12*")</f>
        <v>0</v>
      </c>
      <c r="G346" s="83">
        <f>SUMIFS(G347:G6462,K347:K6462,"0",B347:B6462,"1 2 4 3 1 12*")</f>
        <v>124593.59</v>
      </c>
      <c r="H346" s="83">
        <f t="shared" si="5"/>
        <v>114325.47</v>
      </c>
      <c r="I346" s="83"/>
      <c r="K346" s="54" t="s">
        <v>15</v>
      </c>
    </row>
    <row r="347" spans="2:11" ht="16.5" x14ac:dyDescent="0.2">
      <c r="B347" s="82" t="s">
        <v>1192</v>
      </c>
      <c r="C347" s="82" t="s">
        <v>28</v>
      </c>
      <c r="D347" s="83">
        <f>SUMIFS(D348:D6462,K348:K6462,"0",B348:B6462,"1 2 4 3 1 12 31111*")-SUMIFS(E348:E6462,K348:K6462,"0",B348:B6462,"1 2 4 3 1 12 31111*")</f>
        <v>238919.06</v>
      </c>
      <c r="E347" s="54"/>
      <c r="F347" s="83">
        <f>SUMIFS(F348:F6462,K348:K6462,"0",B348:B6462,"1 2 4 3 1 12 31111*")</f>
        <v>0</v>
      </c>
      <c r="G347" s="83">
        <f>SUMIFS(G348:G6462,K348:K6462,"0",B348:B6462,"1 2 4 3 1 12 31111*")</f>
        <v>124593.59</v>
      </c>
      <c r="H347" s="83">
        <f t="shared" si="5"/>
        <v>114325.47</v>
      </c>
      <c r="I347" s="83"/>
      <c r="K347" s="54" t="s">
        <v>15</v>
      </c>
    </row>
    <row r="348" spans="2:11" ht="12.75" x14ac:dyDescent="0.2">
      <c r="B348" s="82" t="s">
        <v>1193</v>
      </c>
      <c r="C348" s="82" t="s">
        <v>30</v>
      </c>
      <c r="D348" s="83">
        <f>SUMIFS(D349:D6462,K349:K6462,"0",B349:B6462,"1 2 4 3 1 12 31111 6*")-SUMIFS(E349:E6462,K349:K6462,"0",B349:B6462,"1 2 4 3 1 12 31111 6*")</f>
        <v>238919.06</v>
      </c>
      <c r="E348" s="54"/>
      <c r="F348" s="83">
        <f>SUMIFS(F349:F6462,K349:K6462,"0",B349:B6462,"1 2 4 3 1 12 31111 6*")</f>
        <v>0</v>
      </c>
      <c r="G348" s="83">
        <f>SUMIFS(G349:G6462,K349:K6462,"0",B349:B6462,"1 2 4 3 1 12 31111 6*")</f>
        <v>124593.59</v>
      </c>
      <c r="H348" s="83">
        <f t="shared" si="5"/>
        <v>114325.47</v>
      </c>
      <c r="I348" s="83"/>
      <c r="K348" s="54" t="s">
        <v>15</v>
      </c>
    </row>
    <row r="349" spans="2:11" ht="16.5" x14ac:dyDescent="0.2">
      <c r="B349" s="82" t="s">
        <v>1194</v>
      </c>
      <c r="C349" s="82" t="s">
        <v>1195</v>
      </c>
      <c r="D349" s="83">
        <f>SUMIFS(D350:D6462,K350:K6462,"0",B350:B6462,"1 2 4 3 1 12 31111 6 M59*")-SUMIFS(E350:E6462,K350:K6462,"0",B350:B6462,"1 2 4 3 1 12 31111 6 M59*")</f>
        <v>238919.06</v>
      </c>
      <c r="E349" s="54"/>
      <c r="F349" s="83">
        <f>SUMIFS(F350:F6462,K350:K6462,"0",B350:B6462,"1 2 4 3 1 12 31111 6 M59*")</f>
        <v>0</v>
      </c>
      <c r="G349" s="83">
        <f>SUMIFS(G350:G6462,K350:K6462,"0",B350:B6462,"1 2 4 3 1 12 31111 6 M59*")</f>
        <v>124593.59</v>
      </c>
      <c r="H349" s="83">
        <f t="shared" si="5"/>
        <v>114325.47</v>
      </c>
      <c r="I349" s="83"/>
      <c r="K349" s="54" t="s">
        <v>15</v>
      </c>
    </row>
    <row r="350" spans="2:11" ht="16.5" x14ac:dyDescent="0.2">
      <c r="B350" s="82" t="s">
        <v>1196</v>
      </c>
      <c r="C350" s="82" t="s">
        <v>34</v>
      </c>
      <c r="D350" s="83">
        <f>SUMIFS(D351:D6462,K351:K6462,"0",B351:B6462,"1 2 4 3 1 12 31111 6 M59 00001*")-SUMIFS(E351:E6462,K351:K6462,"0",B351:B6462,"1 2 4 3 1 12 31111 6 M59 00001*")</f>
        <v>238919.06</v>
      </c>
      <c r="E350" s="54"/>
      <c r="F350" s="83">
        <f>SUMIFS(F351:F6462,K351:K6462,"0",B351:B6462,"1 2 4 3 1 12 31111 6 M59 00001*")</f>
        <v>0</v>
      </c>
      <c r="G350" s="83">
        <f>SUMIFS(G351:G6462,K351:K6462,"0",B351:B6462,"1 2 4 3 1 12 31111 6 M59 00001*")</f>
        <v>124593.59</v>
      </c>
      <c r="H350" s="83">
        <f t="shared" si="5"/>
        <v>114325.47</v>
      </c>
      <c r="I350" s="83"/>
      <c r="K350" s="54" t="s">
        <v>15</v>
      </c>
    </row>
    <row r="351" spans="2:11" ht="16.5" x14ac:dyDescent="0.2">
      <c r="B351" s="84" t="s">
        <v>1197</v>
      </c>
      <c r="C351" s="84" t="s">
        <v>203</v>
      </c>
      <c r="D351" s="85">
        <v>238919.06</v>
      </c>
      <c r="E351" s="85"/>
      <c r="F351" s="85">
        <v>0</v>
      </c>
      <c r="G351" s="85">
        <v>124593.59</v>
      </c>
      <c r="H351" s="85">
        <f t="shared" si="5"/>
        <v>114325.47</v>
      </c>
      <c r="I351" s="85"/>
      <c r="K351" s="54" t="s">
        <v>38</v>
      </c>
    </row>
    <row r="352" spans="2:11" ht="16.5" x14ac:dyDescent="0.2">
      <c r="B352" s="82" t="s">
        <v>1201</v>
      </c>
      <c r="C352" s="82" t="s">
        <v>1202</v>
      </c>
      <c r="D352" s="83">
        <f>SUMIFS(D353:D6462,K353:K6462,"0",B353:B6462,"1 2 4 3 2*")-SUMIFS(E353:E6462,K353:K6462,"0",B353:B6462,"1 2 4 3 2*")</f>
        <v>6569</v>
      </c>
      <c r="E352" s="54"/>
      <c r="F352" s="83">
        <f>SUMIFS(F353:F6462,K353:K6462,"0",B353:B6462,"1 2 4 3 2*")</f>
        <v>0</v>
      </c>
      <c r="G352" s="83">
        <f>SUMIFS(G353:G6462,K353:K6462,"0",B353:B6462,"1 2 4 3 2*")</f>
        <v>52659</v>
      </c>
      <c r="H352" s="83">
        <f t="shared" si="5"/>
        <v>-46090</v>
      </c>
      <c r="I352" s="83"/>
      <c r="K352" s="54" t="s">
        <v>15</v>
      </c>
    </row>
    <row r="353" spans="2:11" ht="12.75" x14ac:dyDescent="0.2">
      <c r="B353" s="82" t="s">
        <v>1203</v>
      </c>
      <c r="C353" s="82" t="s">
        <v>26</v>
      </c>
      <c r="D353" s="83">
        <f>SUMIFS(D354:D6462,K354:K6462,"0",B354:B6462,"1 2 4 3 2 12*")-SUMIFS(E354:E6462,K354:K6462,"0",B354:B6462,"1 2 4 3 2 12*")</f>
        <v>6569</v>
      </c>
      <c r="E353" s="54"/>
      <c r="F353" s="83">
        <f>SUMIFS(F354:F6462,K354:K6462,"0",B354:B6462,"1 2 4 3 2 12*")</f>
        <v>0</v>
      </c>
      <c r="G353" s="83">
        <f>SUMIFS(G354:G6462,K354:K6462,"0",B354:B6462,"1 2 4 3 2 12*")</f>
        <v>52659</v>
      </c>
      <c r="H353" s="83">
        <f t="shared" si="5"/>
        <v>-46090</v>
      </c>
      <c r="I353" s="83"/>
      <c r="K353" s="54" t="s">
        <v>15</v>
      </c>
    </row>
    <row r="354" spans="2:11" ht="16.5" x14ac:dyDescent="0.2">
      <c r="B354" s="82" t="s">
        <v>1204</v>
      </c>
      <c r="C354" s="82" t="s">
        <v>28</v>
      </c>
      <c r="D354" s="83">
        <f>SUMIFS(D355:D6462,K355:K6462,"0",B355:B6462,"1 2 4 3 2 12 31111*")-SUMIFS(E355:E6462,K355:K6462,"0",B355:B6462,"1 2 4 3 2 12 31111*")</f>
        <v>6569</v>
      </c>
      <c r="E354" s="54"/>
      <c r="F354" s="83">
        <f>SUMIFS(F355:F6462,K355:K6462,"0",B355:B6462,"1 2 4 3 2 12 31111*")</f>
        <v>0</v>
      </c>
      <c r="G354" s="83">
        <f>SUMIFS(G355:G6462,K355:K6462,"0",B355:B6462,"1 2 4 3 2 12 31111*")</f>
        <v>52659</v>
      </c>
      <c r="H354" s="83">
        <f t="shared" si="5"/>
        <v>-46090</v>
      </c>
      <c r="I354" s="83"/>
      <c r="K354" s="54" t="s">
        <v>15</v>
      </c>
    </row>
    <row r="355" spans="2:11" ht="12.75" x14ac:dyDescent="0.2">
      <c r="B355" s="82" t="s">
        <v>1205</v>
      </c>
      <c r="C355" s="82" t="s">
        <v>30</v>
      </c>
      <c r="D355" s="83">
        <f>SUMIFS(D356:D6462,K356:K6462,"0",B356:B6462,"1 2 4 3 2 12 31111 6*")-SUMIFS(E356:E6462,K356:K6462,"0",B356:B6462,"1 2 4 3 2 12 31111 6*")</f>
        <v>6569</v>
      </c>
      <c r="E355" s="54"/>
      <c r="F355" s="83">
        <f>SUMIFS(F356:F6462,K356:K6462,"0",B356:B6462,"1 2 4 3 2 12 31111 6*")</f>
        <v>0</v>
      </c>
      <c r="G355" s="83">
        <f>SUMIFS(G356:G6462,K356:K6462,"0",B356:B6462,"1 2 4 3 2 12 31111 6*")</f>
        <v>52659</v>
      </c>
      <c r="H355" s="83">
        <f t="shared" si="5"/>
        <v>-46090</v>
      </c>
      <c r="I355" s="83"/>
      <c r="K355" s="54" t="s">
        <v>15</v>
      </c>
    </row>
    <row r="356" spans="2:11" ht="16.5" x14ac:dyDescent="0.2">
      <c r="B356" s="82" t="s">
        <v>1206</v>
      </c>
      <c r="C356" s="82" t="s">
        <v>1207</v>
      </c>
      <c r="D356" s="83">
        <f>SUMIFS(D357:D6462,K357:K6462,"0",B357:B6462,"1 2 4 3 2 12 31111 6 M59*")-SUMIFS(E357:E6462,K357:K6462,"0",B357:B6462,"1 2 4 3 2 12 31111 6 M59*")</f>
        <v>6569</v>
      </c>
      <c r="E356" s="54"/>
      <c r="F356" s="83">
        <f>SUMIFS(F357:F6462,K357:K6462,"0",B357:B6462,"1 2 4 3 2 12 31111 6 M59*")</f>
        <v>0</v>
      </c>
      <c r="G356" s="83">
        <f>SUMIFS(G357:G6462,K357:K6462,"0",B357:B6462,"1 2 4 3 2 12 31111 6 M59*")</f>
        <v>52659</v>
      </c>
      <c r="H356" s="83">
        <f t="shared" si="5"/>
        <v>-46090</v>
      </c>
      <c r="I356" s="83"/>
      <c r="K356" s="54" t="s">
        <v>15</v>
      </c>
    </row>
    <row r="357" spans="2:11" ht="16.5" x14ac:dyDescent="0.2">
      <c r="B357" s="82" t="s">
        <v>1208</v>
      </c>
      <c r="C357" s="82" t="s">
        <v>34</v>
      </c>
      <c r="D357" s="83">
        <f>SUMIFS(D358:D6462,K358:K6462,"0",B358:B6462,"1 2 4 3 2 12 31111 6 M59 00001*")-SUMIFS(E358:E6462,K358:K6462,"0",B358:B6462,"1 2 4 3 2 12 31111 6 M59 00001*")</f>
        <v>6569</v>
      </c>
      <c r="E357" s="54"/>
      <c r="F357" s="83">
        <f>SUMIFS(F358:F6462,K358:K6462,"0",B358:B6462,"1 2 4 3 2 12 31111 6 M59 00001*")</f>
        <v>0</v>
      </c>
      <c r="G357" s="83">
        <f>SUMIFS(G358:G6462,K358:K6462,"0",B358:B6462,"1 2 4 3 2 12 31111 6 M59 00001*")</f>
        <v>52659</v>
      </c>
      <c r="H357" s="83">
        <f t="shared" si="5"/>
        <v>-46090</v>
      </c>
      <c r="I357" s="83"/>
      <c r="K357" s="54" t="s">
        <v>15</v>
      </c>
    </row>
    <row r="358" spans="2:11" ht="16.5" x14ac:dyDescent="0.2">
      <c r="B358" s="84" t="s">
        <v>1209</v>
      </c>
      <c r="C358" s="84" t="s">
        <v>203</v>
      </c>
      <c r="D358" s="85">
        <v>6569</v>
      </c>
      <c r="E358" s="85"/>
      <c r="F358" s="85">
        <v>0</v>
      </c>
      <c r="G358" s="85">
        <v>52659</v>
      </c>
      <c r="H358" s="85">
        <f t="shared" si="5"/>
        <v>-46090</v>
      </c>
      <c r="I358" s="85"/>
      <c r="K358" s="54" t="s">
        <v>38</v>
      </c>
    </row>
    <row r="359" spans="2:11" ht="16.5" x14ac:dyDescent="0.2">
      <c r="B359" s="82" t="s">
        <v>1213</v>
      </c>
      <c r="C359" s="82" t="s">
        <v>1214</v>
      </c>
      <c r="D359" s="83">
        <f>SUMIFS(D360:D6462,K360:K6462,"0",B360:B6462,"1 2 4 4*")-SUMIFS(E360:E6462,K360:K6462,"0",B360:B6462,"1 2 4 4*")</f>
        <v>8178012.29</v>
      </c>
      <c r="E359" s="54"/>
      <c r="F359" s="83">
        <f>SUMIFS(F360:F6462,K360:K6462,"0",B360:B6462,"1 2 4 4*")</f>
        <v>1812576.72</v>
      </c>
      <c r="G359" s="83">
        <f>SUMIFS(G360:G6462,K360:K6462,"0",B360:B6462,"1 2 4 4*")</f>
        <v>4437292.1900000004</v>
      </c>
      <c r="H359" s="83">
        <f t="shared" si="5"/>
        <v>5553296.8199999994</v>
      </c>
      <c r="I359" s="83"/>
      <c r="K359" s="54" t="s">
        <v>15</v>
      </c>
    </row>
    <row r="360" spans="2:11" ht="16.5" x14ac:dyDescent="0.2">
      <c r="B360" s="82" t="s">
        <v>1215</v>
      </c>
      <c r="C360" s="82" t="s">
        <v>1216</v>
      </c>
      <c r="D360" s="83">
        <f>SUMIFS(D361:D6462,K361:K6462,"0",B361:B6462,"1 2 4 4 1*")-SUMIFS(E361:E6462,K361:K6462,"0",B361:B6462,"1 2 4 4 1*")</f>
        <v>8178012.29</v>
      </c>
      <c r="E360" s="54"/>
      <c r="F360" s="83">
        <f>SUMIFS(F361:F6462,K361:K6462,"0",B361:B6462,"1 2 4 4 1*")</f>
        <v>1812576.72</v>
      </c>
      <c r="G360" s="83">
        <f>SUMIFS(G361:G6462,K361:K6462,"0",B361:B6462,"1 2 4 4 1*")</f>
        <v>4437292.1900000004</v>
      </c>
      <c r="H360" s="83">
        <f t="shared" si="5"/>
        <v>5553296.8199999994</v>
      </c>
      <c r="I360" s="83"/>
      <c r="K360" s="54" t="s">
        <v>15</v>
      </c>
    </row>
    <row r="361" spans="2:11" ht="12.75" x14ac:dyDescent="0.2">
      <c r="B361" s="82" t="s">
        <v>1217</v>
      </c>
      <c r="C361" s="82" t="s">
        <v>26</v>
      </c>
      <c r="D361" s="83">
        <f>SUMIFS(D362:D6462,K362:K6462,"0",B362:B6462,"1 2 4 4 1 12*")-SUMIFS(E362:E6462,K362:K6462,"0",B362:B6462,"1 2 4 4 1 12*")</f>
        <v>8178012.29</v>
      </c>
      <c r="E361" s="54"/>
      <c r="F361" s="83">
        <f>SUMIFS(F362:F6462,K362:K6462,"0",B362:B6462,"1 2 4 4 1 12*")</f>
        <v>1812576.72</v>
      </c>
      <c r="G361" s="83">
        <f>SUMIFS(G362:G6462,K362:K6462,"0",B362:B6462,"1 2 4 4 1 12*")</f>
        <v>4437292.1900000004</v>
      </c>
      <c r="H361" s="83">
        <f t="shared" si="5"/>
        <v>5553296.8199999994</v>
      </c>
      <c r="I361" s="83"/>
      <c r="K361" s="54" t="s">
        <v>15</v>
      </c>
    </row>
    <row r="362" spans="2:11" ht="16.5" x14ac:dyDescent="0.2">
      <c r="B362" s="82" t="s">
        <v>1218</v>
      </c>
      <c r="C362" s="82" t="s">
        <v>28</v>
      </c>
      <c r="D362" s="83">
        <f>SUMIFS(D363:D6462,K363:K6462,"0",B363:B6462,"1 2 4 4 1 12 31111*")-SUMIFS(E363:E6462,K363:K6462,"0",B363:B6462,"1 2 4 4 1 12 31111*")</f>
        <v>8178012.29</v>
      </c>
      <c r="E362" s="54"/>
      <c r="F362" s="83">
        <f>SUMIFS(F363:F6462,K363:K6462,"0",B363:B6462,"1 2 4 4 1 12 31111*")</f>
        <v>1812576.72</v>
      </c>
      <c r="G362" s="83">
        <f>SUMIFS(G363:G6462,K363:K6462,"0",B363:B6462,"1 2 4 4 1 12 31111*")</f>
        <v>4437292.1900000004</v>
      </c>
      <c r="H362" s="83">
        <f t="shared" si="5"/>
        <v>5553296.8199999994</v>
      </c>
      <c r="I362" s="83"/>
      <c r="K362" s="54" t="s">
        <v>15</v>
      </c>
    </row>
    <row r="363" spans="2:11" ht="12.75" x14ac:dyDescent="0.2">
      <c r="B363" s="82" t="s">
        <v>1219</v>
      </c>
      <c r="C363" s="82" t="s">
        <v>30</v>
      </c>
      <c r="D363" s="83">
        <f>SUMIFS(D364:D6462,K364:K6462,"0",B364:B6462,"1 2 4 4 1 12 31111 6*")-SUMIFS(E364:E6462,K364:K6462,"0",B364:B6462,"1 2 4 4 1 12 31111 6*")</f>
        <v>8178012.29</v>
      </c>
      <c r="E363" s="54"/>
      <c r="F363" s="83">
        <f>SUMIFS(F364:F6462,K364:K6462,"0",B364:B6462,"1 2 4 4 1 12 31111 6*")</f>
        <v>1812576.72</v>
      </c>
      <c r="G363" s="83">
        <f>SUMIFS(G364:G6462,K364:K6462,"0",B364:B6462,"1 2 4 4 1 12 31111 6*")</f>
        <v>4437292.1900000004</v>
      </c>
      <c r="H363" s="83">
        <f t="shared" si="5"/>
        <v>5553296.8199999994</v>
      </c>
      <c r="I363" s="83"/>
      <c r="K363" s="54" t="s">
        <v>15</v>
      </c>
    </row>
    <row r="364" spans="2:11" ht="16.5" x14ac:dyDescent="0.2">
      <c r="B364" s="82" t="s">
        <v>1220</v>
      </c>
      <c r="C364" s="82" t="s">
        <v>32</v>
      </c>
      <c r="D364" s="83">
        <f>SUMIFS(D365:D6462,K365:K6462,"0",B365:B6462,"1 2 4 4 1 12 31111 6 M59*")-SUMIFS(E365:E6462,K365:K6462,"0",B365:B6462,"1 2 4 4 1 12 31111 6 M59*")</f>
        <v>8178012.29</v>
      </c>
      <c r="E364" s="54"/>
      <c r="F364" s="83">
        <f>SUMIFS(F365:F6462,K365:K6462,"0",B365:B6462,"1 2 4 4 1 12 31111 6 M59*")</f>
        <v>1812576.72</v>
      </c>
      <c r="G364" s="83">
        <f>SUMIFS(G365:G6462,K365:K6462,"0",B365:B6462,"1 2 4 4 1 12 31111 6 M59*")</f>
        <v>4437292.1900000004</v>
      </c>
      <c r="H364" s="83">
        <f t="shared" si="5"/>
        <v>5553296.8199999994</v>
      </c>
      <c r="I364" s="83"/>
      <c r="K364" s="54" t="s">
        <v>15</v>
      </c>
    </row>
    <row r="365" spans="2:11" ht="16.5" x14ac:dyDescent="0.2">
      <c r="B365" s="82" t="s">
        <v>1221</v>
      </c>
      <c r="C365" s="82" t="s">
        <v>34</v>
      </c>
      <c r="D365" s="83">
        <f>SUMIFS(D366:D6462,K366:K6462,"0",B366:B6462,"1 2 4 4 1 12 31111 6 M59 00001*")-SUMIFS(E366:E6462,K366:K6462,"0",B366:B6462,"1 2 4 4 1 12 31111 6 M59 00001*")</f>
        <v>8178012.29</v>
      </c>
      <c r="E365" s="54"/>
      <c r="F365" s="83">
        <f>SUMIFS(F366:F6462,K366:K6462,"0",B366:B6462,"1 2 4 4 1 12 31111 6 M59 00001*")</f>
        <v>139076.72</v>
      </c>
      <c r="G365" s="83">
        <f>SUMIFS(G366:G6462,K366:K6462,"0",B366:B6462,"1 2 4 4 1 12 31111 6 M59 00001*")</f>
        <v>4437292.1900000004</v>
      </c>
      <c r="H365" s="83">
        <f t="shared" si="5"/>
        <v>3879796.8199999994</v>
      </c>
      <c r="I365" s="83"/>
      <c r="K365" s="54" t="s">
        <v>15</v>
      </c>
    </row>
    <row r="366" spans="2:11" ht="16.5" x14ac:dyDescent="0.2">
      <c r="B366" s="84" t="s">
        <v>1222</v>
      </c>
      <c r="C366" s="84" t="s">
        <v>203</v>
      </c>
      <c r="D366" s="85">
        <v>7503012.29</v>
      </c>
      <c r="E366" s="85"/>
      <c r="F366" s="85">
        <v>139076.72</v>
      </c>
      <c r="G366" s="85">
        <v>4437292.1900000004</v>
      </c>
      <c r="H366" s="85">
        <f t="shared" si="5"/>
        <v>3204796.8199999994</v>
      </c>
      <c r="I366" s="85"/>
      <c r="K366" s="54" t="s">
        <v>38</v>
      </c>
    </row>
    <row r="367" spans="2:11" ht="16.5" x14ac:dyDescent="0.2">
      <c r="B367" s="84" t="s">
        <v>1223</v>
      </c>
      <c r="C367" s="84" t="s">
        <v>1224</v>
      </c>
      <c r="D367" s="85">
        <v>555000</v>
      </c>
      <c r="E367" s="85"/>
      <c r="F367" s="85">
        <v>0</v>
      </c>
      <c r="G367" s="85">
        <v>0</v>
      </c>
      <c r="H367" s="85">
        <f t="shared" si="5"/>
        <v>555000</v>
      </c>
      <c r="I367" s="85"/>
      <c r="K367" s="54" t="s">
        <v>38</v>
      </c>
    </row>
    <row r="368" spans="2:11" ht="16.5" x14ac:dyDescent="0.2">
      <c r="B368" s="84" t="s">
        <v>1225</v>
      </c>
      <c r="C368" s="84" t="s">
        <v>1226</v>
      </c>
      <c r="D368" s="85">
        <v>120000</v>
      </c>
      <c r="E368" s="85"/>
      <c r="F368" s="85">
        <v>0</v>
      </c>
      <c r="G368" s="85">
        <v>0</v>
      </c>
      <c r="H368" s="85">
        <f t="shared" si="5"/>
        <v>120000</v>
      </c>
      <c r="I368" s="85"/>
      <c r="K368" s="54" t="s">
        <v>38</v>
      </c>
    </row>
    <row r="369" spans="2:11" ht="16.5" x14ac:dyDescent="0.2">
      <c r="B369" s="82" t="s">
        <v>1242</v>
      </c>
      <c r="C369" s="82" t="s">
        <v>1243</v>
      </c>
      <c r="D369" s="83">
        <f>SUMIFS(D370:D6462,K370:K6462,"0",B370:B6462,"1 2 4 4 1 12 31111 6 M59 10000*")-SUMIFS(E370:E6462,K370:K6462,"0",B370:B6462,"1 2 4 4 1 12 31111 6 M59 10000*")</f>
        <v>0</v>
      </c>
      <c r="E369" s="54"/>
      <c r="F369" s="83">
        <f>SUMIFS(F370:F6462,K370:K6462,"0",B370:B6462,"1 2 4 4 1 12 31111 6 M59 10000*")</f>
        <v>960000</v>
      </c>
      <c r="G369" s="83">
        <f>SUMIFS(G370:G6462,K370:K6462,"0",B370:B6462,"1 2 4 4 1 12 31111 6 M59 10000*")</f>
        <v>0</v>
      </c>
      <c r="H369" s="83">
        <f t="shared" si="5"/>
        <v>960000</v>
      </c>
      <c r="I369" s="83"/>
      <c r="K369" s="54" t="s">
        <v>15</v>
      </c>
    </row>
    <row r="370" spans="2:11" ht="16.5" x14ac:dyDescent="0.2">
      <c r="B370" s="82" t="s">
        <v>1244</v>
      </c>
      <c r="C370" s="82" t="s">
        <v>648</v>
      </c>
      <c r="D370" s="83">
        <f>SUMIFS(D371:D6462,K371:K6462,"0",B371:B6462,"1 2 4 4 1 12 31111 6 M59 10000 000132*")-SUMIFS(E371:E6462,K371:K6462,"0",B371:B6462,"1 2 4 4 1 12 31111 6 M59 10000 000132*")</f>
        <v>0</v>
      </c>
      <c r="E370" s="54"/>
      <c r="F370" s="83">
        <f>SUMIFS(F371:F6462,K371:K6462,"0",B371:B6462,"1 2 4 4 1 12 31111 6 M59 10000 000132*")</f>
        <v>960000</v>
      </c>
      <c r="G370" s="83">
        <f>SUMIFS(G371:G6462,K371:K6462,"0",B371:B6462,"1 2 4 4 1 12 31111 6 M59 10000 000132*")</f>
        <v>0</v>
      </c>
      <c r="H370" s="83">
        <f t="shared" si="5"/>
        <v>960000</v>
      </c>
      <c r="I370" s="83"/>
      <c r="K370" s="54" t="s">
        <v>15</v>
      </c>
    </row>
    <row r="371" spans="2:11" ht="24.75" x14ac:dyDescent="0.2">
      <c r="B371" s="82" t="s">
        <v>1245</v>
      </c>
      <c r="C371" s="82" t="s">
        <v>650</v>
      </c>
      <c r="D371" s="83">
        <f>SUMIFS(D372:D6462,K372:K6462,"0",B372:B6462,"1 2 4 4 1 12 31111 6 M59 10000 000132 0000R*")-SUMIFS(E372:E6462,K372:K6462,"0",B372:B6462,"1 2 4 4 1 12 31111 6 M59 10000 000132 0000R*")</f>
        <v>0</v>
      </c>
      <c r="E371" s="54"/>
      <c r="F371" s="83">
        <f>SUMIFS(F372:F6462,K372:K6462,"0",B372:B6462,"1 2 4 4 1 12 31111 6 M59 10000 000132 0000R*")</f>
        <v>960000</v>
      </c>
      <c r="G371" s="83">
        <f>SUMIFS(G372:G6462,K372:K6462,"0",B372:B6462,"1 2 4 4 1 12 31111 6 M59 10000 000132 0000R*")</f>
        <v>0</v>
      </c>
      <c r="H371" s="83">
        <f t="shared" si="5"/>
        <v>960000</v>
      </c>
      <c r="I371" s="83"/>
      <c r="K371" s="54" t="s">
        <v>15</v>
      </c>
    </row>
    <row r="372" spans="2:11" ht="24.75" x14ac:dyDescent="0.2">
      <c r="B372" s="82" t="s">
        <v>1246</v>
      </c>
      <c r="C372" s="82" t="s">
        <v>652</v>
      </c>
      <c r="D372" s="83">
        <f>SUMIFS(D373:D6462,K373:K6462,"0",B373:B6462,"1 2 4 4 1 12 31111 6 M59 10000 000132 0000R 00002*")-SUMIFS(E373:E6462,K373:K6462,"0",B373:B6462,"1 2 4 4 1 12 31111 6 M59 10000 000132 0000R 00002*")</f>
        <v>0</v>
      </c>
      <c r="E372" s="54"/>
      <c r="F372" s="83">
        <f>SUMIFS(F373:F6462,K373:K6462,"0",B373:B6462,"1 2 4 4 1 12 31111 6 M59 10000 000132 0000R 00002*")</f>
        <v>960000</v>
      </c>
      <c r="G372" s="83">
        <f>SUMIFS(G373:G6462,K373:K6462,"0",B373:B6462,"1 2 4 4 1 12 31111 6 M59 10000 000132 0000R 00002*")</f>
        <v>0</v>
      </c>
      <c r="H372" s="83">
        <f t="shared" si="5"/>
        <v>960000</v>
      </c>
      <c r="I372" s="83"/>
      <c r="K372" s="54" t="s">
        <v>15</v>
      </c>
    </row>
    <row r="373" spans="2:11" ht="24.75" x14ac:dyDescent="0.2">
      <c r="B373" s="82" t="s">
        <v>1247</v>
      </c>
      <c r="C373" s="82" t="s">
        <v>1248</v>
      </c>
      <c r="D373" s="83">
        <f>SUMIFS(D374:D6462,K374:K6462,"0",B374:B6462,"1 2 4 4 1 12 31111 6 M59 10000 000132 0000R 00002 00541*")-SUMIFS(E374:E6462,K374:K6462,"0",B374:B6462,"1 2 4 4 1 12 31111 6 M59 10000 000132 0000R 00002 00541*")</f>
        <v>0</v>
      </c>
      <c r="E373" s="54"/>
      <c r="F373" s="83">
        <f>SUMIFS(F374:F6462,K374:K6462,"0",B374:B6462,"1 2 4 4 1 12 31111 6 M59 10000 000132 0000R 00002 00541*")</f>
        <v>960000</v>
      </c>
      <c r="G373" s="83">
        <f>SUMIFS(G374:G6462,K374:K6462,"0",B374:B6462,"1 2 4 4 1 12 31111 6 M59 10000 000132 0000R 00002 00541*")</f>
        <v>0</v>
      </c>
      <c r="H373" s="83">
        <f t="shared" si="5"/>
        <v>960000</v>
      </c>
      <c r="I373" s="83"/>
      <c r="K373" s="54" t="s">
        <v>15</v>
      </c>
    </row>
    <row r="374" spans="2:11" ht="33" x14ac:dyDescent="0.2">
      <c r="B374" s="82" t="s">
        <v>1249</v>
      </c>
      <c r="C374" s="82" t="s">
        <v>1051</v>
      </c>
      <c r="D374" s="83">
        <f>SUMIFS(D375:D6462,K375:K6462,"0",B375:B6462,"1 2 4 4 1 12 31111 6 M59 10000 000132 0000R 00002 00541 015*")-SUMIFS(E375:E6462,K375:K6462,"0",B375:B6462,"1 2 4 4 1 12 31111 6 M59 10000 000132 0000R 00002 00541 015*")</f>
        <v>0</v>
      </c>
      <c r="E374" s="54"/>
      <c r="F374" s="83">
        <f>SUMIFS(F375:F6462,K375:K6462,"0",B375:B6462,"1 2 4 4 1 12 31111 6 M59 10000 000132 0000R 00002 00541 015*")</f>
        <v>960000</v>
      </c>
      <c r="G374" s="83">
        <f>SUMIFS(G375:G6462,K375:K6462,"0",B375:B6462,"1 2 4 4 1 12 31111 6 M59 10000 000132 0000R 00002 00541 015*")</f>
        <v>0</v>
      </c>
      <c r="H374" s="83">
        <f t="shared" si="5"/>
        <v>960000</v>
      </c>
      <c r="I374" s="83"/>
      <c r="K374" s="54" t="s">
        <v>15</v>
      </c>
    </row>
    <row r="375" spans="2:11" ht="33" x14ac:dyDescent="0.2">
      <c r="B375" s="82" t="s">
        <v>1250</v>
      </c>
      <c r="C375" s="82" t="s">
        <v>1251</v>
      </c>
      <c r="D375" s="83">
        <f>SUMIFS(D376:D6462,K376:K6462,"0",B376:B6462,"1 2 4 4 1 12 31111 6 M59 10000 000132 0000R 00002 00541 015 2222100*")-SUMIFS(E376:E6462,K376:K6462,"0",B376:B6462,"1 2 4 4 1 12 31111 6 M59 10000 000132 0000R 00002 00541 015 2222100*")</f>
        <v>0</v>
      </c>
      <c r="E375" s="54"/>
      <c r="F375" s="83">
        <f>SUMIFS(F376:F6462,K376:K6462,"0",B376:B6462,"1 2 4 4 1 12 31111 6 M59 10000 000132 0000R 00002 00541 015 2222100*")</f>
        <v>960000</v>
      </c>
      <c r="G375" s="83">
        <f>SUMIFS(G376:G6462,K376:K6462,"0",B376:B6462,"1 2 4 4 1 12 31111 6 M59 10000 000132 0000R 00002 00541 015 2222100*")</f>
        <v>0</v>
      </c>
      <c r="H375" s="83">
        <f t="shared" si="5"/>
        <v>960000</v>
      </c>
      <c r="I375" s="83"/>
      <c r="K375" s="54" t="s">
        <v>15</v>
      </c>
    </row>
    <row r="376" spans="2:11" ht="33" x14ac:dyDescent="0.2">
      <c r="B376" s="82" t="s">
        <v>1252</v>
      </c>
      <c r="C376" s="82" t="s">
        <v>660</v>
      </c>
      <c r="D376" s="83">
        <f>SUMIFS(D377:D6462,K377:K6462,"0",B377:B6462,"1 2 4 4 1 12 31111 6 M59 10000 000132 0000R 00002 00541 015 2222100 2024*")-SUMIFS(E377:E6462,K377:K6462,"0",B377:B6462,"1 2 4 4 1 12 31111 6 M59 10000 000132 0000R 00002 00541 015 2222100 2024*")</f>
        <v>0</v>
      </c>
      <c r="E376" s="54"/>
      <c r="F376" s="83">
        <f>SUMIFS(F377:F6462,K377:K6462,"0",B377:B6462,"1 2 4 4 1 12 31111 6 M59 10000 000132 0000R 00002 00541 015 2222100 2024*")</f>
        <v>960000</v>
      </c>
      <c r="G376" s="83">
        <f>SUMIFS(G377:G6462,K377:K6462,"0",B377:B6462,"1 2 4 4 1 12 31111 6 M59 10000 000132 0000R 00002 00541 015 2222100 2024*")</f>
        <v>0</v>
      </c>
      <c r="H376" s="83">
        <f t="shared" si="5"/>
        <v>960000</v>
      </c>
      <c r="I376" s="83"/>
      <c r="K376" s="54" t="s">
        <v>15</v>
      </c>
    </row>
    <row r="377" spans="2:11" ht="41.25" x14ac:dyDescent="0.2">
      <c r="B377" s="82" t="s">
        <v>1253</v>
      </c>
      <c r="C377" s="82" t="s">
        <v>662</v>
      </c>
      <c r="D377" s="83">
        <f>SUMIFS(D378:D6462,K378:K6462,"0",B378:B6462,"1 2 4 4 1 12 31111 6 M59 10000 000132 0000R 00002 00541 015 2222100 2024 CP1PM439*")-SUMIFS(E378:E6462,K378:K6462,"0",B378:B6462,"1 2 4 4 1 12 31111 6 M59 10000 000132 0000R 00002 00541 015 2222100 2024 CP1PM439*")</f>
        <v>0</v>
      </c>
      <c r="E377" s="54"/>
      <c r="F377" s="83">
        <f>SUMIFS(F378:F6462,K378:K6462,"0",B378:B6462,"1 2 4 4 1 12 31111 6 M59 10000 000132 0000R 00002 00541 015 2222100 2024 CP1PM439*")</f>
        <v>960000</v>
      </c>
      <c r="G377" s="83">
        <f>SUMIFS(G378:G6462,K378:K6462,"0",B378:B6462,"1 2 4 4 1 12 31111 6 M59 10000 000132 0000R 00002 00541 015 2222100 2024 CP1PM439*")</f>
        <v>0</v>
      </c>
      <c r="H377" s="83">
        <f t="shared" si="5"/>
        <v>960000</v>
      </c>
      <c r="I377" s="83"/>
      <c r="K377" s="54" t="s">
        <v>15</v>
      </c>
    </row>
    <row r="378" spans="2:11" ht="41.25" x14ac:dyDescent="0.2">
      <c r="B378" s="82" t="s">
        <v>1254</v>
      </c>
      <c r="C378" s="82" t="s">
        <v>282</v>
      </c>
      <c r="D378" s="83">
        <f>SUMIFS(D379:D6462,K379:K6462,"0",B379:B6462,"1 2 4 4 1 12 31111 6 M59 10000 000132 0000R 00002 00541 015 2222100 2024 CP1PM439 001*")-SUMIFS(E379:E6462,K379:K6462,"0",B379:B6462,"1 2 4 4 1 12 31111 6 M59 10000 000132 0000R 00002 00541 015 2222100 2024 CP1PM439 001*")</f>
        <v>0</v>
      </c>
      <c r="E378" s="54"/>
      <c r="F378" s="83">
        <f>SUMIFS(F379:F6462,K379:K6462,"0",B379:B6462,"1 2 4 4 1 12 31111 6 M59 10000 000132 0000R 00002 00541 015 2222100 2024 CP1PM439 001*")</f>
        <v>960000</v>
      </c>
      <c r="G378" s="83">
        <f>SUMIFS(G379:G6462,K379:K6462,"0",B379:B6462,"1 2 4 4 1 12 31111 6 M59 10000 000132 0000R 00002 00541 015 2222100 2024 CP1PM439 001*")</f>
        <v>0</v>
      </c>
      <c r="H378" s="83">
        <f t="shared" si="5"/>
        <v>960000</v>
      </c>
      <c r="I378" s="83"/>
      <c r="K378" s="54" t="s">
        <v>15</v>
      </c>
    </row>
    <row r="379" spans="2:11" ht="41.25" x14ac:dyDescent="0.2">
      <c r="B379" s="84" t="s">
        <v>1255</v>
      </c>
      <c r="C379" s="84" t="s">
        <v>1248</v>
      </c>
      <c r="D379" s="85">
        <v>0</v>
      </c>
      <c r="E379" s="85"/>
      <c r="F379" s="85">
        <v>960000</v>
      </c>
      <c r="G379" s="85">
        <v>0</v>
      </c>
      <c r="H379" s="85">
        <f t="shared" si="5"/>
        <v>960000</v>
      </c>
      <c r="I379" s="85"/>
      <c r="K379" s="54" t="s">
        <v>38</v>
      </c>
    </row>
    <row r="380" spans="2:11" ht="16.5" x14ac:dyDescent="0.2">
      <c r="B380" s="82" t="s">
        <v>1268</v>
      </c>
      <c r="C380" s="82" t="s">
        <v>1269</v>
      </c>
      <c r="D380" s="83">
        <f>SUMIFS(D381:D6462,K381:K6462,"0",B381:B6462,"1 2 4 4 1 12 31111 6 M59 60100*")-SUMIFS(E381:E6462,K381:K6462,"0",B381:B6462,"1 2 4 4 1 12 31111 6 M59 60100*")</f>
        <v>0</v>
      </c>
      <c r="E380" s="54"/>
      <c r="F380" s="83">
        <f>SUMIFS(F381:F6462,K381:K6462,"0",B381:B6462,"1 2 4 4 1 12 31111 6 M59 60100*")</f>
        <v>713500</v>
      </c>
      <c r="G380" s="83">
        <f>SUMIFS(G381:G6462,K381:K6462,"0",B381:B6462,"1 2 4 4 1 12 31111 6 M59 60100*")</f>
        <v>0</v>
      </c>
      <c r="H380" s="83">
        <f t="shared" si="5"/>
        <v>713500</v>
      </c>
      <c r="I380" s="83"/>
      <c r="K380" s="54" t="s">
        <v>15</v>
      </c>
    </row>
    <row r="381" spans="2:11" ht="16.5" x14ac:dyDescent="0.2">
      <c r="B381" s="82" t="s">
        <v>1270</v>
      </c>
      <c r="C381" s="82" t="s">
        <v>648</v>
      </c>
      <c r="D381" s="83">
        <f>SUMIFS(D382:D6462,K382:K6462,"0",B382:B6462,"1 2 4 4 1 12 31111 6 M59 60100 000132*")-SUMIFS(E382:E6462,K382:K6462,"0",B382:B6462,"1 2 4 4 1 12 31111 6 M59 60100 000132*")</f>
        <v>0</v>
      </c>
      <c r="E381" s="54"/>
      <c r="F381" s="83">
        <f>SUMIFS(F382:F6462,K382:K6462,"0",B382:B6462,"1 2 4 4 1 12 31111 6 M59 60100 000132*")</f>
        <v>713500</v>
      </c>
      <c r="G381" s="83">
        <f>SUMIFS(G382:G6462,K382:K6462,"0",B382:B6462,"1 2 4 4 1 12 31111 6 M59 60100 000132*")</f>
        <v>0</v>
      </c>
      <c r="H381" s="83">
        <f t="shared" si="5"/>
        <v>713500</v>
      </c>
      <c r="I381" s="83"/>
      <c r="K381" s="54" t="s">
        <v>15</v>
      </c>
    </row>
    <row r="382" spans="2:11" ht="24.75" x14ac:dyDescent="0.2">
      <c r="B382" s="82" t="s">
        <v>1271</v>
      </c>
      <c r="C382" s="82" t="s">
        <v>650</v>
      </c>
      <c r="D382" s="83">
        <f>SUMIFS(D383:D6462,K383:K6462,"0",B383:B6462,"1 2 4 4 1 12 31111 6 M59 60100 000132 0000R*")-SUMIFS(E383:E6462,K383:K6462,"0",B383:B6462,"1 2 4 4 1 12 31111 6 M59 60100 000132 0000R*")</f>
        <v>0</v>
      </c>
      <c r="E382" s="54"/>
      <c r="F382" s="83">
        <f>SUMIFS(F383:F6462,K383:K6462,"0",B383:B6462,"1 2 4 4 1 12 31111 6 M59 60100 000132 0000R*")</f>
        <v>713500</v>
      </c>
      <c r="G382" s="83">
        <f>SUMIFS(G383:G6462,K383:K6462,"0",B383:B6462,"1 2 4 4 1 12 31111 6 M59 60100 000132 0000R*")</f>
        <v>0</v>
      </c>
      <c r="H382" s="83">
        <f t="shared" si="5"/>
        <v>713500</v>
      </c>
      <c r="I382" s="83"/>
      <c r="K382" s="54" t="s">
        <v>15</v>
      </c>
    </row>
    <row r="383" spans="2:11" ht="24.75" x14ac:dyDescent="0.2">
      <c r="B383" s="82" t="s">
        <v>1272</v>
      </c>
      <c r="C383" s="82" t="s">
        <v>652</v>
      </c>
      <c r="D383" s="83">
        <f>SUMIFS(D384:D6462,K384:K6462,"0",B384:B6462,"1 2 4 4 1 12 31111 6 M59 60100 000132 0000R 00002*")-SUMIFS(E384:E6462,K384:K6462,"0",B384:B6462,"1 2 4 4 1 12 31111 6 M59 60100 000132 0000R 00002*")</f>
        <v>0</v>
      </c>
      <c r="E383" s="54"/>
      <c r="F383" s="83">
        <f>SUMIFS(F384:F6462,K384:K6462,"0",B384:B6462,"1 2 4 4 1 12 31111 6 M59 60100 000132 0000R 00002*")</f>
        <v>713500</v>
      </c>
      <c r="G383" s="83">
        <f>SUMIFS(G384:G6462,K384:K6462,"0",B384:B6462,"1 2 4 4 1 12 31111 6 M59 60100 000132 0000R 00002*")</f>
        <v>0</v>
      </c>
      <c r="H383" s="83">
        <f t="shared" si="5"/>
        <v>713500</v>
      </c>
      <c r="I383" s="83"/>
      <c r="K383" s="54" t="s">
        <v>15</v>
      </c>
    </row>
    <row r="384" spans="2:11" ht="24.75" x14ac:dyDescent="0.2">
      <c r="B384" s="82" t="s">
        <v>1273</v>
      </c>
      <c r="C384" s="82" t="s">
        <v>1248</v>
      </c>
      <c r="D384" s="83">
        <f>SUMIFS(D385:D6462,K385:K6462,"0",B385:B6462,"1 2 4 4 1 12 31111 6 M59 60100 000132 0000R 00002 00541*")-SUMIFS(E385:E6462,K385:K6462,"0",B385:B6462,"1 2 4 4 1 12 31111 6 M59 60100 000132 0000R 00002 00541*")</f>
        <v>0</v>
      </c>
      <c r="E384" s="54"/>
      <c r="F384" s="83">
        <f>SUMIFS(F385:F6462,K385:K6462,"0",B385:B6462,"1 2 4 4 1 12 31111 6 M59 60100 000132 0000R 00002 00541*")</f>
        <v>713500</v>
      </c>
      <c r="G384" s="83">
        <f>SUMIFS(G385:G6462,K385:K6462,"0",B385:B6462,"1 2 4 4 1 12 31111 6 M59 60100 000132 0000R 00002 00541*")</f>
        <v>0</v>
      </c>
      <c r="H384" s="83">
        <f t="shared" si="5"/>
        <v>713500</v>
      </c>
      <c r="I384" s="83"/>
      <c r="K384" s="54" t="s">
        <v>15</v>
      </c>
    </row>
    <row r="385" spans="2:11" ht="33" x14ac:dyDescent="0.2">
      <c r="B385" s="82" t="s">
        <v>1274</v>
      </c>
      <c r="C385" s="82" t="s">
        <v>1051</v>
      </c>
      <c r="D385" s="83">
        <f>SUMIFS(D386:D6462,K386:K6462,"0",B386:B6462,"1 2 4 4 1 12 31111 6 M59 60100 000132 0000R 00002 00541 015*")-SUMIFS(E386:E6462,K386:K6462,"0",B386:B6462,"1 2 4 4 1 12 31111 6 M59 60100 000132 0000R 00002 00541 015*")</f>
        <v>0</v>
      </c>
      <c r="E385" s="54"/>
      <c r="F385" s="83">
        <f>SUMIFS(F386:F6462,K386:K6462,"0",B386:B6462,"1 2 4 4 1 12 31111 6 M59 60100 000132 0000R 00002 00541 015*")</f>
        <v>713500</v>
      </c>
      <c r="G385" s="83">
        <f>SUMIFS(G386:G6462,K386:K6462,"0",B386:B6462,"1 2 4 4 1 12 31111 6 M59 60100 000132 0000R 00002 00541 015*")</f>
        <v>0</v>
      </c>
      <c r="H385" s="83">
        <f t="shared" si="5"/>
        <v>713500</v>
      </c>
      <c r="I385" s="83"/>
      <c r="K385" s="54" t="s">
        <v>15</v>
      </c>
    </row>
    <row r="386" spans="2:11" ht="33" x14ac:dyDescent="0.2">
      <c r="B386" s="82" t="s">
        <v>1275</v>
      </c>
      <c r="C386" s="82" t="s">
        <v>1251</v>
      </c>
      <c r="D386" s="83">
        <f>SUMIFS(D387:D6462,K387:K6462,"0",B387:B6462,"1 2 4 4 1 12 31111 6 M59 60100 000132 0000R 00002 00541 015 2222100*")-SUMIFS(E387:E6462,K387:K6462,"0",B387:B6462,"1 2 4 4 1 12 31111 6 M59 60100 000132 0000R 00002 00541 015 2222100*")</f>
        <v>0</v>
      </c>
      <c r="E386" s="54"/>
      <c r="F386" s="83">
        <f>SUMIFS(F387:F6462,K387:K6462,"0",B387:B6462,"1 2 4 4 1 12 31111 6 M59 60100 000132 0000R 00002 00541 015 2222100*")</f>
        <v>713500</v>
      </c>
      <c r="G386" s="83">
        <f>SUMIFS(G387:G6462,K387:K6462,"0",B387:B6462,"1 2 4 4 1 12 31111 6 M59 60100 000132 0000R 00002 00541 015 2222100*")</f>
        <v>0</v>
      </c>
      <c r="H386" s="83">
        <f t="shared" si="5"/>
        <v>713500</v>
      </c>
      <c r="I386" s="83"/>
      <c r="K386" s="54" t="s">
        <v>15</v>
      </c>
    </row>
    <row r="387" spans="2:11" ht="33" x14ac:dyDescent="0.2">
      <c r="B387" s="82" t="s">
        <v>1276</v>
      </c>
      <c r="C387" s="82" t="s">
        <v>660</v>
      </c>
      <c r="D387" s="83">
        <f>SUMIFS(D388:D6462,K388:K6462,"0",B388:B6462,"1 2 4 4 1 12 31111 6 M59 60100 000132 0000R 00002 00541 015 2222100 2024*")-SUMIFS(E388:E6462,K388:K6462,"0",B388:B6462,"1 2 4 4 1 12 31111 6 M59 60100 000132 0000R 00002 00541 015 2222100 2024*")</f>
        <v>0</v>
      </c>
      <c r="E387" s="54"/>
      <c r="F387" s="83">
        <f>SUMIFS(F388:F6462,K388:K6462,"0",B388:B6462,"1 2 4 4 1 12 31111 6 M59 60100 000132 0000R 00002 00541 015 2222100 2024*")</f>
        <v>713500</v>
      </c>
      <c r="G387" s="83">
        <f>SUMIFS(G388:G6462,K388:K6462,"0",B388:B6462,"1 2 4 4 1 12 31111 6 M59 60100 000132 0000R 00002 00541 015 2222100 2024*")</f>
        <v>0</v>
      </c>
      <c r="H387" s="83">
        <f t="shared" si="5"/>
        <v>713500</v>
      </c>
      <c r="I387" s="83"/>
      <c r="K387" s="54" t="s">
        <v>15</v>
      </c>
    </row>
    <row r="388" spans="2:11" ht="41.25" x14ac:dyDescent="0.2">
      <c r="B388" s="82" t="s">
        <v>1277</v>
      </c>
      <c r="C388" s="82" t="s">
        <v>1056</v>
      </c>
      <c r="D388" s="83">
        <f>SUMIFS(D389:D6462,K389:K6462,"0",B389:B6462,"1 2 4 4 1 12 31111 6 M59 60100 000132 0000R 00002 00541 015 2222100 2024 CP1DM394*")-SUMIFS(E389:E6462,K389:K6462,"0",B389:B6462,"1 2 4 4 1 12 31111 6 M59 60100 000132 0000R 00002 00541 015 2222100 2024 CP1DM394*")</f>
        <v>0</v>
      </c>
      <c r="E388" s="54"/>
      <c r="F388" s="83">
        <f>SUMIFS(F389:F6462,K389:K6462,"0",B389:B6462,"1 2 4 4 1 12 31111 6 M59 60100 000132 0000R 00002 00541 015 2222100 2024 CP1DM394*")</f>
        <v>713500</v>
      </c>
      <c r="G388" s="83">
        <f>SUMIFS(G389:G6462,K389:K6462,"0",B389:B6462,"1 2 4 4 1 12 31111 6 M59 60100 000132 0000R 00002 00541 015 2222100 2024 CP1DM394*")</f>
        <v>0</v>
      </c>
      <c r="H388" s="83">
        <f t="shared" si="5"/>
        <v>713500</v>
      </c>
      <c r="I388" s="83"/>
      <c r="K388" s="54" t="s">
        <v>15</v>
      </c>
    </row>
    <row r="389" spans="2:11" ht="41.25" x14ac:dyDescent="0.2">
      <c r="B389" s="82" t="s">
        <v>1278</v>
      </c>
      <c r="C389" s="82" t="s">
        <v>282</v>
      </c>
      <c r="D389" s="83">
        <f>SUMIFS(D390:D6462,K390:K6462,"0",B390:B6462,"1 2 4 4 1 12 31111 6 M59 60100 000132 0000R 00002 00541 015 2222100 2024 CP1DM394 001*")-SUMIFS(E390:E6462,K390:K6462,"0",B390:B6462,"1 2 4 4 1 12 31111 6 M59 60100 000132 0000R 00002 00541 015 2222100 2024 CP1DM394 001*")</f>
        <v>0</v>
      </c>
      <c r="E389" s="54"/>
      <c r="F389" s="83">
        <f>SUMIFS(F390:F6462,K390:K6462,"0",B390:B6462,"1 2 4 4 1 12 31111 6 M59 60100 000132 0000R 00002 00541 015 2222100 2024 CP1DM394 001*")</f>
        <v>713500</v>
      </c>
      <c r="G389" s="83">
        <f>SUMIFS(G390:G6462,K390:K6462,"0",B390:B6462,"1 2 4 4 1 12 31111 6 M59 60100 000132 0000R 00002 00541 015 2222100 2024 CP1DM394 001*")</f>
        <v>0</v>
      </c>
      <c r="H389" s="83">
        <f t="shared" si="5"/>
        <v>713500</v>
      </c>
      <c r="I389" s="83"/>
      <c r="K389" s="54" t="s">
        <v>15</v>
      </c>
    </row>
    <row r="390" spans="2:11" ht="41.25" x14ac:dyDescent="0.2">
      <c r="B390" s="84" t="s">
        <v>1279</v>
      </c>
      <c r="C390" s="84" t="s">
        <v>1251</v>
      </c>
      <c r="D390" s="85">
        <v>0</v>
      </c>
      <c r="E390" s="85"/>
      <c r="F390" s="85">
        <v>713500</v>
      </c>
      <c r="G390" s="85">
        <v>0</v>
      </c>
      <c r="H390" s="85">
        <f t="shared" si="5"/>
        <v>713500</v>
      </c>
      <c r="I390" s="85"/>
      <c r="K390" s="54" t="s">
        <v>38</v>
      </c>
    </row>
    <row r="391" spans="2:11" ht="16.5" x14ac:dyDescent="0.2">
      <c r="B391" s="82" t="s">
        <v>1280</v>
      </c>
      <c r="C391" s="82" t="s">
        <v>1281</v>
      </c>
      <c r="D391" s="83">
        <f>SUMIFS(D392:D6462,K392:K6462,"0",B392:B6462,"1 2 4 5*")-SUMIFS(E392:E6462,K392:K6462,"0",B392:B6462,"1 2 4 5*")</f>
        <v>18778.96</v>
      </c>
      <c r="E391" s="54"/>
      <c r="F391" s="83">
        <f>SUMIFS(F392:F6462,K392:K6462,"0",B392:B6462,"1 2 4 5*")</f>
        <v>0</v>
      </c>
      <c r="G391" s="83">
        <f>SUMIFS(G392:G6462,K392:K6462,"0",B392:B6462,"1 2 4 5*")</f>
        <v>42624.959999999999</v>
      </c>
      <c r="H391" s="83">
        <f t="shared" si="5"/>
        <v>-23846</v>
      </c>
      <c r="I391" s="83"/>
      <c r="K391" s="54" t="s">
        <v>15</v>
      </c>
    </row>
    <row r="392" spans="2:11" ht="16.5" x14ac:dyDescent="0.2">
      <c r="B392" s="82" t="s">
        <v>1282</v>
      </c>
      <c r="C392" s="82" t="s">
        <v>1281</v>
      </c>
      <c r="D392" s="83">
        <f>SUMIFS(D393:D6462,K393:K6462,"0",B393:B6462,"1 2 4 5 1*")-SUMIFS(E393:E6462,K393:K6462,"0",B393:B6462,"1 2 4 5 1*")</f>
        <v>18778.96</v>
      </c>
      <c r="E392" s="54"/>
      <c r="F392" s="83">
        <f>SUMIFS(F393:F6462,K393:K6462,"0",B393:B6462,"1 2 4 5 1*")</f>
        <v>0</v>
      </c>
      <c r="G392" s="83">
        <f>SUMIFS(G393:G6462,K393:K6462,"0",B393:B6462,"1 2 4 5 1*")</f>
        <v>42624.959999999999</v>
      </c>
      <c r="H392" s="83">
        <f t="shared" si="5"/>
        <v>-23846</v>
      </c>
      <c r="I392" s="83"/>
      <c r="K392" s="54" t="s">
        <v>15</v>
      </c>
    </row>
    <row r="393" spans="2:11" ht="12.75" x14ac:dyDescent="0.2">
      <c r="B393" s="82" t="s">
        <v>1283</v>
      </c>
      <c r="C393" s="82" t="s">
        <v>26</v>
      </c>
      <c r="D393" s="83">
        <f>SUMIFS(D394:D6462,K394:K6462,"0",B394:B6462,"1 2 4 5 1 12*")-SUMIFS(E394:E6462,K394:K6462,"0",B394:B6462,"1 2 4 5 1 12*")</f>
        <v>18778.96</v>
      </c>
      <c r="E393" s="54"/>
      <c r="F393" s="83">
        <f>SUMIFS(F394:F6462,K394:K6462,"0",B394:B6462,"1 2 4 5 1 12*")</f>
        <v>0</v>
      </c>
      <c r="G393" s="83">
        <f>SUMIFS(G394:G6462,K394:K6462,"0",B394:B6462,"1 2 4 5 1 12*")</f>
        <v>42624.959999999999</v>
      </c>
      <c r="H393" s="83">
        <f t="shared" si="5"/>
        <v>-23846</v>
      </c>
      <c r="I393" s="83"/>
      <c r="K393" s="54" t="s">
        <v>15</v>
      </c>
    </row>
    <row r="394" spans="2:11" ht="16.5" x14ac:dyDescent="0.2">
      <c r="B394" s="82" t="s">
        <v>1284</v>
      </c>
      <c r="C394" s="82" t="s">
        <v>28</v>
      </c>
      <c r="D394" s="83">
        <f>SUMIFS(D395:D6462,K395:K6462,"0",B395:B6462,"1 2 4 5 1 12 31111*")-SUMIFS(E395:E6462,K395:K6462,"0",B395:B6462,"1 2 4 5 1 12 31111*")</f>
        <v>18778.96</v>
      </c>
      <c r="E394" s="54"/>
      <c r="F394" s="83">
        <f>SUMIFS(F395:F6462,K395:K6462,"0",B395:B6462,"1 2 4 5 1 12 31111*")</f>
        <v>0</v>
      </c>
      <c r="G394" s="83">
        <f>SUMIFS(G395:G6462,K395:K6462,"0",B395:B6462,"1 2 4 5 1 12 31111*")</f>
        <v>42624.959999999999</v>
      </c>
      <c r="H394" s="83">
        <f t="shared" si="5"/>
        <v>-23846</v>
      </c>
      <c r="I394" s="83"/>
      <c r="K394" s="54" t="s">
        <v>15</v>
      </c>
    </row>
    <row r="395" spans="2:11" ht="12.75" x14ac:dyDescent="0.2">
      <c r="B395" s="82" t="s">
        <v>1285</v>
      </c>
      <c r="C395" s="82" t="s">
        <v>30</v>
      </c>
      <c r="D395" s="83">
        <f>SUMIFS(D396:D6462,K396:K6462,"0",B396:B6462,"1 2 4 5 1 12 31111 6*")-SUMIFS(E396:E6462,K396:K6462,"0",B396:B6462,"1 2 4 5 1 12 31111 6*")</f>
        <v>18778.96</v>
      </c>
      <c r="E395" s="54"/>
      <c r="F395" s="83">
        <f>SUMIFS(F396:F6462,K396:K6462,"0",B396:B6462,"1 2 4 5 1 12 31111 6*")</f>
        <v>0</v>
      </c>
      <c r="G395" s="83">
        <f>SUMIFS(G396:G6462,K396:K6462,"0",B396:B6462,"1 2 4 5 1 12 31111 6*")</f>
        <v>42624.959999999999</v>
      </c>
      <c r="H395" s="83">
        <f t="shared" si="5"/>
        <v>-23846</v>
      </c>
      <c r="I395" s="83"/>
      <c r="K395" s="54" t="s">
        <v>15</v>
      </c>
    </row>
    <row r="396" spans="2:11" ht="16.5" x14ac:dyDescent="0.2">
      <c r="B396" s="82" t="s">
        <v>1286</v>
      </c>
      <c r="C396" s="82" t="s">
        <v>32</v>
      </c>
      <c r="D396" s="83">
        <f>SUMIFS(D397:D6462,K397:K6462,"0",B397:B6462,"1 2 4 5 1 12 31111 6 M59*")-SUMIFS(E397:E6462,K397:K6462,"0",B397:B6462,"1 2 4 5 1 12 31111 6 M59*")</f>
        <v>18778.96</v>
      </c>
      <c r="E396" s="54"/>
      <c r="F396" s="83">
        <f>SUMIFS(F397:F6462,K397:K6462,"0",B397:B6462,"1 2 4 5 1 12 31111 6 M59*")</f>
        <v>0</v>
      </c>
      <c r="G396" s="83">
        <f>SUMIFS(G397:G6462,K397:K6462,"0",B397:B6462,"1 2 4 5 1 12 31111 6 M59*")</f>
        <v>42624.959999999999</v>
      </c>
      <c r="H396" s="83">
        <f t="shared" ref="H396:H459" si="6">D396 + F396 - G396</f>
        <v>-23846</v>
      </c>
      <c r="I396" s="83"/>
      <c r="K396" s="54" t="s">
        <v>15</v>
      </c>
    </row>
    <row r="397" spans="2:11" ht="16.5" x14ac:dyDescent="0.2">
      <c r="B397" s="82" t="s">
        <v>1287</v>
      </c>
      <c r="C397" s="82" t="s">
        <v>34</v>
      </c>
      <c r="D397" s="83">
        <f>SUMIFS(D398:D6462,K398:K6462,"0",B398:B6462,"1 2 4 5 1 12 31111 6 M59 00001*")-SUMIFS(E398:E6462,K398:K6462,"0",B398:B6462,"1 2 4 5 1 12 31111 6 M59 00001*")</f>
        <v>18778.96</v>
      </c>
      <c r="E397" s="54"/>
      <c r="F397" s="83">
        <f>SUMIFS(F398:F6462,K398:K6462,"0",B398:B6462,"1 2 4 5 1 12 31111 6 M59 00001*")</f>
        <v>0</v>
      </c>
      <c r="G397" s="83">
        <f>SUMIFS(G398:G6462,K398:K6462,"0",B398:B6462,"1 2 4 5 1 12 31111 6 M59 00001*")</f>
        <v>42624.959999999999</v>
      </c>
      <c r="H397" s="83">
        <f t="shared" si="6"/>
        <v>-23846</v>
      </c>
      <c r="I397" s="83"/>
      <c r="K397" s="54" t="s">
        <v>15</v>
      </c>
    </row>
    <row r="398" spans="2:11" ht="16.5" x14ac:dyDescent="0.2">
      <c r="B398" s="84" t="s">
        <v>1288</v>
      </c>
      <c r="C398" s="84" t="s">
        <v>203</v>
      </c>
      <c r="D398" s="85">
        <v>18778.96</v>
      </c>
      <c r="E398" s="85"/>
      <c r="F398" s="85">
        <v>0</v>
      </c>
      <c r="G398" s="85">
        <v>42624.959999999999</v>
      </c>
      <c r="H398" s="85">
        <f t="shared" si="6"/>
        <v>-23846</v>
      </c>
      <c r="I398" s="85"/>
      <c r="K398" s="54" t="s">
        <v>38</v>
      </c>
    </row>
    <row r="399" spans="2:11" ht="16.5" x14ac:dyDescent="0.2">
      <c r="B399" s="82" t="s">
        <v>1292</v>
      </c>
      <c r="C399" s="82" t="s">
        <v>1293</v>
      </c>
      <c r="D399" s="83">
        <f>SUMIFS(D400:D6462,K400:K6462,"0",B400:B6462,"1 2 4 6*")-SUMIFS(E400:E6462,K400:K6462,"0",B400:B6462,"1 2 4 6*")</f>
        <v>1250235.27</v>
      </c>
      <c r="E399" s="54"/>
      <c r="F399" s="83">
        <f>SUMIFS(F400:F6462,K400:K6462,"0",B400:B6462,"1 2 4 6*")</f>
        <v>9500</v>
      </c>
      <c r="G399" s="83">
        <f>SUMIFS(G400:G6462,K400:K6462,"0",B400:B6462,"1 2 4 6*")</f>
        <v>840546.55</v>
      </c>
      <c r="H399" s="83">
        <f t="shared" si="6"/>
        <v>419188.72</v>
      </c>
      <c r="I399" s="83"/>
      <c r="K399" s="54" t="s">
        <v>15</v>
      </c>
    </row>
    <row r="400" spans="2:11" ht="16.5" x14ac:dyDescent="0.2">
      <c r="B400" s="82" t="s">
        <v>1294</v>
      </c>
      <c r="C400" s="82" t="s">
        <v>1295</v>
      </c>
      <c r="D400" s="83">
        <f>SUMIFS(D401:D6462,K401:K6462,"0",B401:B6462,"1 2 4 6 1*")-SUMIFS(E401:E6462,K401:K6462,"0",B401:B6462,"1 2 4 6 1*")</f>
        <v>165253.79999999999</v>
      </c>
      <c r="E400" s="54"/>
      <c r="F400" s="83">
        <f>SUMIFS(F401:F6462,K401:K6462,"0",B401:B6462,"1 2 4 6 1*")</f>
        <v>9500</v>
      </c>
      <c r="G400" s="83">
        <f>SUMIFS(G401:G6462,K401:K6462,"0",B401:B6462,"1 2 4 6 1*")</f>
        <v>0</v>
      </c>
      <c r="H400" s="83">
        <f t="shared" si="6"/>
        <v>174753.8</v>
      </c>
      <c r="I400" s="83"/>
      <c r="K400" s="54" t="s">
        <v>15</v>
      </c>
    </row>
    <row r="401" spans="2:11" ht="12.75" x14ac:dyDescent="0.2">
      <c r="B401" s="82" t="s">
        <v>1296</v>
      </c>
      <c r="C401" s="82" t="s">
        <v>26</v>
      </c>
      <c r="D401" s="83">
        <f>SUMIFS(D402:D6462,K402:K6462,"0",B402:B6462,"1 2 4 6 1 12*")-SUMIFS(E402:E6462,K402:K6462,"0",B402:B6462,"1 2 4 6 1 12*")</f>
        <v>165253.79999999999</v>
      </c>
      <c r="E401" s="54"/>
      <c r="F401" s="83">
        <f>SUMIFS(F402:F6462,K402:K6462,"0",B402:B6462,"1 2 4 6 1 12*")</f>
        <v>9500</v>
      </c>
      <c r="G401" s="83">
        <f>SUMIFS(G402:G6462,K402:K6462,"0",B402:B6462,"1 2 4 6 1 12*")</f>
        <v>0</v>
      </c>
      <c r="H401" s="83">
        <f t="shared" si="6"/>
        <v>174753.8</v>
      </c>
      <c r="I401" s="83"/>
      <c r="K401" s="54" t="s">
        <v>15</v>
      </c>
    </row>
    <row r="402" spans="2:11" ht="16.5" x14ac:dyDescent="0.2">
      <c r="B402" s="82" t="s">
        <v>1297</v>
      </c>
      <c r="C402" s="82" t="s">
        <v>28</v>
      </c>
      <c r="D402" s="83">
        <f>SUMIFS(D403:D6462,K403:K6462,"0",B403:B6462,"1 2 4 6 1 12 31111*")-SUMIFS(E403:E6462,K403:K6462,"0",B403:B6462,"1 2 4 6 1 12 31111*")</f>
        <v>165253.79999999999</v>
      </c>
      <c r="E402" s="54"/>
      <c r="F402" s="83">
        <f>SUMIFS(F403:F6462,K403:K6462,"0",B403:B6462,"1 2 4 6 1 12 31111*")</f>
        <v>9500</v>
      </c>
      <c r="G402" s="83">
        <f>SUMIFS(G403:G6462,K403:K6462,"0",B403:B6462,"1 2 4 6 1 12 31111*")</f>
        <v>0</v>
      </c>
      <c r="H402" s="83">
        <f t="shared" si="6"/>
        <v>174753.8</v>
      </c>
      <c r="I402" s="83"/>
      <c r="K402" s="54" t="s">
        <v>15</v>
      </c>
    </row>
    <row r="403" spans="2:11" ht="12.75" x14ac:dyDescent="0.2">
      <c r="B403" s="82" t="s">
        <v>1298</v>
      </c>
      <c r="C403" s="82" t="s">
        <v>30</v>
      </c>
      <c r="D403" s="83">
        <f>SUMIFS(D404:D6462,K404:K6462,"0",B404:B6462,"1 2 4 6 1 12 31111 6*")-SUMIFS(E404:E6462,K404:K6462,"0",B404:B6462,"1 2 4 6 1 12 31111 6*")</f>
        <v>165253.79999999999</v>
      </c>
      <c r="E403" s="54"/>
      <c r="F403" s="83">
        <f>SUMIFS(F404:F6462,K404:K6462,"0",B404:B6462,"1 2 4 6 1 12 31111 6*")</f>
        <v>9500</v>
      </c>
      <c r="G403" s="83">
        <f>SUMIFS(G404:G6462,K404:K6462,"0",B404:B6462,"1 2 4 6 1 12 31111 6*")</f>
        <v>0</v>
      </c>
      <c r="H403" s="83">
        <f t="shared" si="6"/>
        <v>174753.8</v>
      </c>
      <c r="I403" s="83"/>
      <c r="K403" s="54" t="s">
        <v>15</v>
      </c>
    </row>
    <row r="404" spans="2:11" ht="16.5" x14ac:dyDescent="0.2">
      <c r="B404" s="82" t="s">
        <v>1299</v>
      </c>
      <c r="C404" s="82" t="s">
        <v>32</v>
      </c>
      <c r="D404" s="83">
        <f>SUMIFS(D405:D6462,K405:K6462,"0",B405:B6462,"1 2 4 6 1 12 31111 6 M59*")-SUMIFS(E405:E6462,K405:K6462,"0",B405:B6462,"1 2 4 6 1 12 31111 6 M59*")</f>
        <v>165253.79999999999</v>
      </c>
      <c r="E404" s="54"/>
      <c r="F404" s="83">
        <f>SUMIFS(F405:F6462,K405:K6462,"0",B405:B6462,"1 2 4 6 1 12 31111 6 M59*")</f>
        <v>9500</v>
      </c>
      <c r="G404" s="83">
        <f>SUMIFS(G405:G6462,K405:K6462,"0",B405:B6462,"1 2 4 6 1 12 31111 6 M59*")</f>
        <v>0</v>
      </c>
      <c r="H404" s="83">
        <f t="shared" si="6"/>
        <v>174753.8</v>
      </c>
      <c r="I404" s="83"/>
      <c r="K404" s="54" t="s">
        <v>15</v>
      </c>
    </row>
    <row r="405" spans="2:11" ht="16.5" x14ac:dyDescent="0.2">
      <c r="B405" s="82" t="s">
        <v>1300</v>
      </c>
      <c r="C405" s="82" t="s">
        <v>282</v>
      </c>
      <c r="D405" s="83">
        <f>SUMIFS(D406:D6462,K406:K6462,"0",B406:B6462,"1 2 4 6 1 12 31111 6 M59 00001*")-SUMIFS(E406:E6462,K406:K6462,"0",B406:B6462,"1 2 4 6 1 12 31111 6 M59 00001*")</f>
        <v>165253.79999999999</v>
      </c>
      <c r="E405" s="54"/>
      <c r="F405" s="83">
        <f>SUMIFS(F406:F6462,K406:K6462,"0",B406:B6462,"1 2 4 6 1 12 31111 6 M59 00001*")</f>
        <v>0</v>
      </c>
      <c r="G405" s="83">
        <f>SUMIFS(G406:G6462,K406:K6462,"0",B406:B6462,"1 2 4 6 1 12 31111 6 M59 00001*")</f>
        <v>0</v>
      </c>
      <c r="H405" s="83">
        <f t="shared" si="6"/>
        <v>165253.79999999999</v>
      </c>
      <c r="I405" s="83"/>
      <c r="K405" s="54" t="s">
        <v>15</v>
      </c>
    </row>
    <row r="406" spans="2:11" ht="16.5" x14ac:dyDescent="0.2">
      <c r="B406" s="84" t="s">
        <v>1301</v>
      </c>
      <c r="C406" s="84" t="s">
        <v>203</v>
      </c>
      <c r="D406" s="85">
        <v>10243</v>
      </c>
      <c r="E406" s="85"/>
      <c r="F406" s="85">
        <v>0</v>
      </c>
      <c r="G406" s="85">
        <v>0</v>
      </c>
      <c r="H406" s="85">
        <f t="shared" si="6"/>
        <v>10243</v>
      </c>
      <c r="I406" s="85"/>
      <c r="K406" s="54" t="s">
        <v>38</v>
      </c>
    </row>
    <row r="407" spans="2:11" ht="16.5" x14ac:dyDescent="0.2">
      <c r="B407" s="84" t="s">
        <v>1302</v>
      </c>
      <c r="C407" s="84" t="s">
        <v>1303</v>
      </c>
      <c r="D407" s="85">
        <v>155010.79999999999</v>
      </c>
      <c r="E407" s="85"/>
      <c r="F407" s="85">
        <v>0</v>
      </c>
      <c r="G407" s="85">
        <v>0</v>
      </c>
      <c r="H407" s="85">
        <f t="shared" si="6"/>
        <v>155010.79999999999</v>
      </c>
      <c r="I407" s="85"/>
      <c r="K407" s="54" t="s">
        <v>38</v>
      </c>
    </row>
    <row r="408" spans="2:11" ht="16.5" x14ac:dyDescent="0.2">
      <c r="B408" s="82" t="s">
        <v>1307</v>
      </c>
      <c r="C408" s="82" t="s">
        <v>1308</v>
      </c>
      <c r="D408" s="83">
        <f>SUMIFS(D409:D6462,K409:K6462,"0",B409:B6462,"1 2 4 6 1 12 31111 6 M59 96300*")-SUMIFS(E409:E6462,K409:K6462,"0",B409:B6462,"1 2 4 6 1 12 31111 6 M59 96300*")</f>
        <v>0</v>
      </c>
      <c r="E408" s="54"/>
      <c r="F408" s="83">
        <f>SUMIFS(F409:F6462,K409:K6462,"0",B409:B6462,"1 2 4 6 1 12 31111 6 M59 96300*")</f>
        <v>9500</v>
      </c>
      <c r="G408" s="83">
        <f>SUMIFS(G409:G6462,K409:K6462,"0",B409:B6462,"1 2 4 6 1 12 31111 6 M59 96300*")</f>
        <v>0</v>
      </c>
      <c r="H408" s="83">
        <f t="shared" si="6"/>
        <v>9500</v>
      </c>
      <c r="I408" s="83"/>
      <c r="K408" s="54" t="s">
        <v>15</v>
      </c>
    </row>
    <row r="409" spans="2:11" ht="16.5" x14ac:dyDescent="0.2">
      <c r="B409" s="82" t="s">
        <v>1309</v>
      </c>
      <c r="C409" s="82" t="s">
        <v>1310</v>
      </c>
      <c r="D409" s="83">
        <f>SUMIFS(D410:D6462,K410:K6462,"0",B410:B6462,"1 2 4 6 1 12 31111 6 M59 96300 000211*")-SUMIFS(E410:E6462,K410:K6462,"0",B410:B6462,"1 2 4 6 1 12 31111 6 M59 96300 000211*")</f>
        <v>0</v>
      </c>
      <c r="E409" s="54"/>
      <c r="F409" s="83">
        <f>SUMIFS(F410:F6462,K410:K6462,"0",B410:B6462,"1 2 4 6 1 12 31111 6 M59 96300 000211*")</f>
        <v>9500</v>
      </c>
      <c r="G409" s="83">
        <f>SUMIFS(G410:G6462,K410:K6462,"0",B410:B6462,"1 2 4 6 1 12 31111 6 M59 96300 000211*")</f>
        <v>0</v>
      </c>
      <c r="H409" s="83">
        <f t="shared" si="6"/>
        <v>9500</v>
      </c>
      <c r="I409" s="83"/>
      <c r="K409" s="54" t="s">
        <v>15</v>
      </c>
    </row>
    <row r="410" spans="2:11" ht="24.75" x14ac:dyDescent="0.2">
      <c r="B410" s="82" t="s">
        <v>1311</v>
      </c>
      <c r="C410" s="82" t="s">
        <v>1065</v>
      </c>
      <c r="D410" s="83">
        <f>SUMIFS(D411:D6462,K411:K6462,"0",B411:B6462,"1 2 4 6 1 12 31111 6 M59 96300 000211 0000E*")-SUMIFS(E411:E6462,K411:K6462,"0",B411:B6462,"1 2 4 6 1 12 31111 6 M59 96300 000211 0000E*")</f>
        <v>0</v>
      </c>
      <c r="E410" s="54"/>
      <c r="F410" s="83">
        <f>SUMIFS(F411:F6462,K411:K6462,"0",B411:B6462,"1 2 4 6 1 12 31111 6 M59 96300 000211 0000E*")</f>
        <v>9500</v>
      </c>
      <c r="G410" s="83">
        <f>SUMIFS(G411:G6462,K411:K6462,"0",B411:B6462,"1 2 4 6 1 12 31111 6 M59 96300 000211 0000E*")</f>
        <v>0</v>
      </c>
      <c r="H410" s="83">
        <f t="shared" si="6"/>
        <v>9500</v>
      </c>
      <c r="I410" s="83"/>
      <c r="K410" s="54" t="s">
        <v>15</v>
      </c>
    </row>
    <row r="411" spans="2:11" ht="24.75" x14ac:dyDescent="0.2">
      <c r="B411" s="82" t="s">
        <v>1312</v>
      </c>
      <c r="C411" s="82" t="s">
        <v>652</v>
      </c>
      <c r="D411" s="83">
        <f>SUMIFS(D412:D6462,K412:K6462,"0",B412:B6462,"1 2 4 6 1 12 31111 6 M59 96300 000211 0000E 00002*")-SUMIFS(E412:E6462,K412:K6462,"0",B412:B6462,"1 2 4 6 1 12 31111 6 M59 96300 000211 0000E 00002*")</f>
        <v>0</v>
      </c>
      <c r="E411" s="54"/>
      <c r="F411" s="83">
        <f>SUMIFS(F412:F6462,K412:K6462,"0",B412:B6462,"1 2 4 6 1 12 31111 6 M59 96300 000211 0000E 00002*")</f>
        <v>9500</v>
      </c>
      <c r="G411" s="83">
        <f>SUMIFS(G412:G6462,K412:K6462,"0",B412:B6462,"1 2 4 6 1 12 31111 6 M59 96300 000211 0000E 00002*")</f>
        <v>0</v>
      </c>
      <c r="H411" s="83">
        <f t="shared" si="6"/>
        <v>9500</v>
      </c>
      <c r="I411" s="83"/>
      <c r="K411" s="54" t="s">
        <v>15</v>
      </c>
    </row>
    <row r="412" spans="2:11" ht="24.75" x14ac:dyDescent="0.2">
      <c r="B412" s="82" t="s">
        <v>1313</v>
      </c>
      <c r="C412" s="82" t="s">
        <v>1314</v>
      </c>
      <c r="D412" s="83">
        <f>SUMIFS(D413:D6462,K413:K6462,"0",B413:B6462,"1 2 4 6 1 12 31111 6 M59 96300 000211 0000E 00002 00561*")-SUMIFS(E413:E6462,K413:K6462,"0",B413:B6462,"1 2 4 6 1 12 31111 6 M59 96300 000211 0000E 00002 00561*")</f>
        <v>0</v>
      </c>
      <c r="E412" s="54"/>
      <c r="F412" s="83">
        <f>SUMIFS(F413:F6462,K413:K6462,"0",B413:B6462,"1 2 4 6 1 12 31111 6 M59 96300 000211 0000E 00002 00561*")</f>
        <v>9500</v>
      </c>
      <c r="G412" s="83">
        <f>SUMIFS(G413:G6462,K413:K6462,"0",B413:B6462,"1 2 4 6 1 12 31111 6 M59 96300 000211 0000E 00002 00561*")</f>
        <v>0</v>
      </c>
      <c r="H412" s="83">
        <f t="shared" si="6"/>
        <v>9500</v>
      </c>
      <c r="I412" s="83"/>
      <c r="K412" s="54" t="s">
        <v>15</v>
      </c>
    </row>
    <row r="413" spans="2:11" ht="33" x14ac:dyDescent="0.2">
      <c r="B413" s="82" t="s">
        <v>1315</v>
      </c>
      <c r="C413" s="82" t="s">
        <v>1051</v>
      </c>
      <c r="D413" s="83">
        <f>SUMIFS(D414:D6462,K414:K6462,"0",B414:B6462,"1 2 4 6 1 12 31111 6 M59 96300 000211 0000E 00002 00561 015*")-SUMIFS(E414:E6462,K414:K6462,"0",B414:B6462,"1 2 4 6 1 12 31111 6 M59 96300 000211 0000E 00002 00561 015*")</f>
        <v>0</v>
      </c>
      <c r="E413" s="54"/>
      <c r="F413" s="83">
        <f>SUMIFS(F414:F6462,K414:K6462,"0",B414:B6462,"1 2 4 6 1 12 31111 6 M59 96300 000211 0000E 00002 00561 015*")</f>
        <v>9500</v>
      </c>
      <c r="G413" s="83">
        <f>SUMIFS(G414:G6462,K414:K6462,"0",B414:B6462,"1 2 4 6 1 12 31111 6 M59 96300 000211 0000E 00002 00561 015*")</f>
        <v>0</v>
      </c>
      <c r="H413" s="83">
        <f t="shared" si="6"/>
        <v>9500</v>
      </c>
      <c r="I413" s="83"/>
      <c r="K413" s="54" t="s">
        <v>15</v>
      </c>
    </row>
    <row r="414" spans="2:11" ht="33" x14ac:dyDescent="0.2">
      <c r="B414" s="82" t="s">
        <v>1316</v>
      </c>
      <c r="C414" s="82" t="s">
        <v>1317</v>
      </c>
      <c r="D414" s="83">
        <f>SUMIFS(D415:D6462,K415:K6462,"0",B415:B6462,"1 2 4 6 1 12 31111 6 M59 96300 000211 0000E 00002 00561 015 2222300*")-SUMIFS(E415:E6462,K415:K6462,"0",B415:B6462,"1 2 4 6 1 12 31111 6 M59 96300 000211 0000E 00002 00561 015 2222300*")</f>
        <v>0</v>
      </c>
      <c r="E414" s="54"/>
      <c r="F414" s="83">
        <f>SUMIFS(F415:F6462,K415:K6462,"0",B415:B6462,"1 2 4 6 1 12 31111 6 M59 96300 000211 0000E 00002 00561 015 2222300*")</f>
        <v>9500</v>
      </c>
      <c r="G414" s="83">
        <f>SUMIFS(G415:G6462,K415:K6462,"0",B415:B6462,"1 2 4 6 1 12 31111 6 M59 96300 000211 0000E 00002 00561 015 2222300*")</f>
        <v>0</v>
      </c>
      <c r="H414" s="83">
        <f t="shared" si="6"/>
        <v>9500</v>
      </c>
      <c r="I414" s="83"/>
      <c r="K414" s="54" t="s">
        <v>15</v>
      </c>
    </row>
    <row r="415" spans="2:11" ht="33" x14ac:dyDescent="0.2">
      <c r="B415" s="82" t="s">
        <v>1318</v>
      </c>
      <c r="C415" s="82" t="s">
        <v>660</v>
      </c>
      <c r="D415" s="83">
        <f>SUMIFS(D416:D6462,K416:K6462,"0",B416:B6462,"1 2 4 6 1 12 31111 6 M59 96300 000211 0000E 00002 00561 015 2222300 2024*")-SUMIFS(E416:E6462,K416:K6462,"0",B416:B6462,"1 2 4 6 1 12 31111 6 M59 96300 000211 0000E 00002 00561 015 2222300 2024*")</f>
        <v>0</v>
      </c>
      <c r="E415" s="54"/>
      <c r="F415" s="83">
        <f>SUMIFS(F416:F6462,K416:K6462,"0",B416:B6462,"1 2 4 6 1 12 31111 6 M59 96300 000211 0000E 00002 00561 015 2222300 2024*")</f>
        <v>9500</v>
      </c>
      <c r="G415" s="83">
        <f>SUMIFS(G416:G6462,K416:K6462,"0",B416:B6462,"1 2 4 6 1 12 31111 6 M59 96300 000211 0000E 00002 00561 015 2222300 2024*")</f>
        <v>0</v>
      </c>
      <c r="H415" s="83">
        <f t="shared" si="6"/>
        <v>9500</v>
      </c>
      <c r="I415" s="83"/>
      <c r="K415" s="54" t="s">
        <v>15</v>
      </c>
    </row>
    <row r="416" spans="2:11" ht="41.25" x14ac:dyDescent="0.2">
      <c r="B416" s="82" t="s">
        <v>1319</v>
      </c>
      <c r="C416" s="82" t="s">
        <v>1056</v>
      </c>
      <c r="D416" s="83">
        <f>SUMIFS(D417:D6462,K417:K6462,"0",B417:B6462,"1 2 4 6 1 12 31111 6 M59 96300 000211 0000E 00002 00561 015 2222300 2024 CP1SB396*")-SUMIFS(E417:E6462,K417:K6462,"0",B417:B6462,"1 2 4 6 1 12 31111 6 M59 96300 000211 0000E 00002 00561 015 2222300 2024 CP1SB396*")</f>
        <v>0</v>
      </c>
      <c r="E416" s="54"/>
      <c r="F416" s="83">
        <f>SUMIFS(F417:F6462,K417:K6462,"0",B417:B6462,"1 2 4 6 1 12 31111 6 M59 96300 000211 0000E 00002 00561 015 2222300 2024 CP1SB396*")</f>
        <v>9500</v>
      </c>
      <c r="G416" s="83">
        <f>SUMIFS(G417:G6462,K417:K6462,"0",B417:B6462,"1 2 4 6 1 12 31111 6 M59 96300 000211 0000E 00002 00561 015 2222300 2024 CP1SB396*")</f>
        <v>0</v>
      </c>
      <c r="H416" s="83">
        <f t="shared" si="6"/>
        <v>9500</v>
      </c>
      <c r="I416" s="83"/>
      <c r="K416" s="54" t="s">
        <v>15</v>
      </c>
    </row>
    <row r="417" spans="2:11" ht="41.25" x14ac:dyDescent="0.2">
      <c r="B417" s="82" t="s">
        <v>1320</v>
      </c>
      <c r="C417" s="82" t="s">
        <v>282</v>
      </c>
      <c r="D417" s="83">
        <f>SUMIFS(D418:D6462,K418:K6462,"0",B418:B6462,"1 2 4 6 1 12 31111 6 M59 96300 000211 0000E 00002 00561 015 2222300 2024 CP1SB396 001*")-SUMIFS(E418:E6462,K418:K6462,"0",B418:B6462,"1 2 4 6 1 12 31111 6 M59 96300 000211 0000E 00002 00561 015 2222300 2024 CP1SB396 001*")</f>
        <v>0</v>
      </c>
      <c r="E417" s="54"/>
      <c r="F417" s="83">
        <f>SUMIFS(F418:F6462,K418:K6462,"0",B418:B6462,"1 2 4 6 1 12 31111 6 M59 96300 000211 0000E 00002 00561 015 2222300 2024 CP1SB396 001*")</f>
        <v>9500</v>
      </c>
      <c r="G417" s="83">
        <f>SUMIFS(G418:G6462,K418:K6462,"0",B418:B6462,"1 2 4 6 1 12 31111 6 M59 96300 000211 0000E 00002 00561 015 2222300 2024 CP1SB396 001*")</f>
        <v>0</v>
      </c>
      <c r="H417" s="83">
        <f t="shared" si="6"/>
        <v>9500</v>
      </c>
      <c r="I417" s="83"/>
      <c r="K417" s="54" t="s">
        <v>15</v>
      </c>
    </row>
    <row r="418" spans="2:11" ht="33" x14ac:dyDescent="0.2">
      <c r="B418" s="84" t="s">
        <v>1321</v>
      </c>
      <c r="C418" s="84" t="s">
        <v>1314</v>
      </c>
      <c r="D418" s="85">
        <v>0</v>
      </c>
      <c r="E418" s="85"/>
      <c r="F418" s="85">
        <v>9500</v>
      </c>
      <c r="G418" s="85">
        <v>0</v>
      </c>
      <c r="H418" s="85">
        <f t="shared" si="6"/>
        <v>9500</v>
      </c>
      <c r="I418" s="85"/>
      <c r="K418" s="54" t="s">
        <v>38</v>
      </c>
    </row>
    <row r="419" spans="2:11" ht="16.5" x14ac:dyDescent="0.2">
      <c r="B419" s="82" t="s">
        <v>1322</v>
      </c>
      <c r="C419" s="82" t="s">
        <v>1323</v>
      </c>
      <c r="D419" s="83">
        <f>SUMIFS(D420:D6462,K420:K6462,"0",B420:B6462,"1 2 4 6 2*")-SUMIFS(E420:E6462,K420:K6462,"0",B420:B6462,"1 2 4 6 2*")</f>
        <v>102792.41</v>
      </c>
      <c r="E419" s="54"/>
      <c r="F419" s="83">
        <f>SUMIFS(F420:F6462,K420:K6462,"0",B420:B6462,"1 2 4 6 2*")</f>
        <v>0</v>
      </c>
      <c r="G419" s="83">
        <f>SUMIFS(G420:G6462,K420:K6462,"0",B420:B6462,"1 2 4 6 2*")</f>
        <v>44792.41</v>
      </c>
      <c r="H419" s="83">
        <f t="shared" si="6"/>
        <v>58000</v>
      </c>
      <c r="I419" s="83"/>
      <c r="K419" s="54" t="s">
        <v>15</v>
      </c>
    </row>
    <row r="420" spans="2:11" ht="12.75" x14ac:dyDescent="0.2">
      <c r="B420" s="82" t="s">
        <v>1324</v>
      </c>
      <c r="C420" s="82" t="s">
        <v>26</v>
      </c>
      <c r="D420" s="83">
        <f>SUMIFS(D421:D6462,K421:K6462,"0",B421:B6462,"1 2 4 6 2 12*")-SUMIFS(E421:E6462,K421:K6462,"0",B421:B6462,"1 2 4 6 2 12*")</f>
        <v>102792.41</v>
      </c>
      <c r="E420" s="54"/>
      <c r="F420" s="83">
        <f>SUMIFS(F421:F6462,K421:K6462,"0",B421:B6462,"1 2 4 6 2 12*")</f>
        <v>0</v>
      </c>
      <c r="G420" s="83">
        <f>SUMIFS(G421:G6462,K421:K6462,"0",B421:B6462,"1 2 4 6 2 12*")</f>
        <v>44792.41</v>
      </c>
      <c r="H420" s="83">
        <f t="shared" si="6"/>
        <v>58000</v>
      </c>
      <c r="I420" s="83"/>
      <c r="K420" s="54" t="s">
        <v>15</v>
      </c>
    </row>
    <row r="421" spans="2:11" ht="16.5" x14ac:dyDescent="0.2">
      <c r="B421" s="82" t="s">
        <v>1325</v>
      </c>
      <c r="C421" s="82" t="s">
        <v>28</v>
      </c>
      <c r="D421" s="83">
        <f>SUMIFS(D422:D6462,K422:K6462,"0",B422:B6462,"1 2 4 6 2 12 31111*")-SUMIFS(E422:E6462,K422:K6462,"0",B422:B6462,"1 2 4 6 2 12 31111*")</f>
        <v>102792.41</v>
      </c>
      <c r="E421" s="54"/>
      <c r="F421" s="83">
        <f>SUMIFS(F422:F6462,K422:K6462,"0",B422:B6462,"1 2 4 6 2 12 31111*")</f>
        <v>0</v>
      </c>
      <c r="G421" s="83">
        <f>SUMIFS(G422:G6462,K422:K6462,"0",B422:B6462,"1 2 4 6 2 12 31111*")</f>
        <v>44792.41</v>
      </c>
      <c r="H421" s="83">
        <f t="shared" si="6"/>
        <v>58000</v>
      </c>
      <c r="I421" s="83"/>
      <c r="K421" s="54" t="s">
        <v>15</v>
      </c>
    </row>
    <row r="422" spans="2:11" ht="12.75" x14ac:dyDescent="0.2">
      <c r="B422" s="82" t="s">
        <v>1326</v>
      </c>
      <c r="C422" s="82" t="s">
        <v>30</v>
      </c>
      <c r="D422" s="83">
        <f>SUMIFS(D423:D6462,K423:K6462,"0",B423:B6462,"1 2 4 6 2 12 31111 6*")-SUMIFS(E423:E6462,K423:K6462,"0",B423:B6462,"1 2 4 6 2 12 31111 6*")</f>
        <v>102792.41</v>
      </c>
      <c r="E422" s="54"/>
      <c r="F422" s="83">
        <f>SUMIFS(F423:F6462,K423:K6462,"0",B423:B6462,"1 2 4 6 2 12 31111 6*")</f>
        <v>0</v>
      </c>
      <c r="G422" s="83">
        <f>SUMIFS(G423:G6462,K423:K6462,"0",B423:B6462,"1 2 4 6 2 12 31111 6*")</f>
        <v>44792.41</v>
      </c>
      <c r="H422" s="83">
        <f t="shared" si="6"/>
        <v>58000</v>
      </c>
      <c r="I422" s="83"/>
      <c r="K422" s="54" t="s">
        <v>15</v>
      </c>
    </row>
    <row r="423" spans="2:11" ht="16.5" x14ac:dyDescent="0.2">
      <c r="B423" s="82" t="s">
        <v>1327</v>
      </c>
      <c r="C423" s="82" t="s">
        <v>32</v>
      </c>
      <c r="D423" s="83">
        <f>SUMIFS(D424:D6462,K424:K6462,"0",B424:B6462,"1 2 4 6 2 12 31111 6 M59*")-SUMIFS(E424:E6462,K424:K6462,"0",B424:B6462,"1 2 4 6 2 12 31111 6 M59*")</f>
        <v>102792.41</v>
      </c>
      <c r="E423" s="54"/>
      <c r="F423" s="83">
        <f>SUMIFS(F424:F6462,K424:K6462,"0",B424:B6462,"1 2 4 6 2 12 31111 6 M59*")</f>
        <v>0</v>
      </c>
      <c r="G423" s="83">
        <f>SUMIFS(G424:G6462,K424:K6462,"0",B424:B6462,"1 2 4 6 2 12 31111 6 M59*")</f>
        <v>44792.41</v>
      </c>
      <c r="H423" s="83">
        <f t="shared" si="6"/>
        <v>58000</v>
      </c>
      <c r="I423" s="83"/>
      <c r="K423" s="54" t="s">
        <v>15</v>
      </c>
    </row>
    <row r="424" spans="2:11" ht="16.5" x14ac:dyDescent="0.2">
      <c r="B424" s="82" t="s">
        <v>1328</v>
      </c>
      <c r="C424" s="82" t="s">
        <v>282</v>
      </c>
      <c r="D424" s="83">
        <f>SUMIFS(D425:D6462,K425:K6462,"0",B425:B6462,"1 2 4 6 2 12 31111 6 M59 00001*")-SUMIFS(E425:E6462,K425:K6462,"0",B425:B6462,"1 2 4 6 2 12 31111 6 M59 00001*")</f>
        <v>102792.41</v>
      </c>
      <c r="E424" s="54"/>
      <c r="F424" s="83">
        <f>SUMIFS(F425:F6462,K425:K6462,"0",B425:B6462,"1 2 4 6 2 12 31111 6 M59 00001*")</f>
        <v>0</v>
      </c>
      <c r="G424" s="83">
        <f>SUMIFS(G425:G6462,K425:K6462,"0",B425:B6462,"1 2 4 6 2 12 31111 6 M59 00001*")</f>
        <v>44792.41</v>
      </c>
      <c r="H424" s="83">
        <f t="shared" si="6"/>
        <v>58000</v>
      </c>
      <c r="I424" s="83"/>
      <c r="K424" s="54" t="s">
        <v>15</v>
      </c>
    </row>
    <row r="425" spans="2:11" ht="16.5" x14ac:dyDescent="0.2">
      <c r="B425" s="84" t="s">
        <v>1329</v>
      </c>
      <c r="C425" s="84" t="s">
        <v>1128</v>
      </c>
      <c r="D425" s="85">
        <v>7672.41</v>
      </c>
      <c r="E425" s="85"/>
      <c r="F425" s="85">
        <v>0</v>
      </c>
      <c r="G425" s="85">
        <v>0</v>
      </c>
      <c r="H425" s="85">
        <f t="shared" si="6"/>
        <v>7672.41</v>
      </c>
      <c r="I425" s="85"/>
      <c r="K425" s="54" t="s">
        <v>38</v>
      </c>
    </row>
    <row r="426" spans="2:11" ht="16.5" x14ac:dyDescent="0.2">
      <c r="B426" s="84" t="s">
        <v>1330</v>
      </c>
      <c r="C426" s="84" t="s">
        <v>1331</v>
      </c>
      <c r="D426" s="85">
        <v>58000</v>
      </c>
      <c r="E426" s="85"/>
      <c r="F426" s="85">
        <v>0</v>
      </c>
      <c r="G426" s="85">
        <v>44792.41</v>
      </c>
      <c r="H426" s="85">
        <f t="shared" si="6"/>
        <v>13207.589999999997</v>
      </c>
      <c r="I426" s="85"/>
      <c r="K426" s="54" t="s">
        <v>38</v>
      </c>
    </row>
    <row r="427" spans="2:11" ht="16.5" x14ac:dyDescent="0.2">
      <c r="B427" s="84" t="s">
        <v>1332</v>
      </c>
      <c r="C427" s="84" t="s">
        <v>1333</v>
      </c>
      <c r="D427" s="85">
        <v>37120</v>
      </c>
      <c r="E427" s="85"/>
      <c r="F427" s="85">
        <v>0</v>
      </c>
      <c r="G427" s="85">
        <v>0</v>
      </c>
      <c r="H427" s="85">
        <f t="shared" si="6"/>
        <v>37120</v>
      </c>
      <c r="I427" s="85"/>
      <c r="K427" s="54" t="s">
        <v>38</v>
      </c>
    </row>
    <row r="428" spans="2:11" ht="16.5" x14ac:dyDescent="0.2">
      <c r="B428" s="82" t="s">
        <v>1337</v>
      </c>
      <c r="C428" s="82" t="s">
        <v>1338</v>
      </c>
      <c r="D428" s="83">
        <f>SUMIFS(D429:D6462,K429:K6462,"0",B429:B6462,"1 2 4 6 3*")-SUMIFS(E429:E6462,K429:K6462,"0",B429:B6462,"1 2 4 6 3*")</f>
        <v>625897.6</v>
      </c>
      <c r="E428" s="54"/>
      <c r="F428" s="83">
        <f>SUMIFS(F429:F6462,K429:K6462,"0",B429:B6462,"1 2 4 6 3*")</f>
        <v>0</v>
      </c>
      <c r="G428" s="83">
        <f>SUMIFS(G429:G6462,K429:K6462,"0",B429:B6462,"1 2 4 6 3*")</f>
        <v>625897.6</v>
      </c>
      <c r="H428" s="83">
        <f t="shared" si="6"/>
        <v>0</v>
      </c>
      <c r="I428" s="83"/>
      <c r="K428" s="54" t="s">
        <v>15</v>
      </c>
    </row>
    <row r="429" spans="2:11" ht="12.75" x14ac:dyDescent="0.2">
      <c r="B429" s="82" t="s">
        <v>1339</v>
      </c>
      <c r="C429" s="82" t="s">
        <v>26</v>
      </c>
      <c r="D429" s="83">
        <f>SUMIFS(D430:D6462,K430:K6462,"0",B430:B6462,"1 2 4 6 3 12*")-SUMIFS(E430:E6462,K430:K6462,"0",B430:B6462,"1 2 4 6 3 12*")</f>
        <v>625897.6</v>
      </c>
      <c r="E429" s="54"/>
      <c r="F429" s="83">
        <f>SUMIFS(F430:F6462,K430:K6462,"0",B430:B6462,"1 2 4 6 3 12*")</f>
        <v>0</v>
      </c>
      <c r="G429" s="83">
        <f>SUMIFS(G430:G6462,K430:K6462,"0",B430:B6462,"1 2 4 6 3 12*")</f>
        <v>625897.6</v>
      </c>
      <c r="H429" s="83">
        <f t="shared" si="6"/>
        <v>0</v>
      </c>
      <c r="I429" s="83"/>
      <c r="K429" s="54" t="s">
        <v>15</v>
      </c>
    </row>
    <row r="430" spans="2:11" ht="16.5" x14ac:dyDescent="0.2">
      <c r="B430" s="82" t="s">
        <v>1340</v>
      </c>
      <c r="C430" s="82" t="s">
        <v>28</v>
      </c>
      <c r="D430" s="83">
        <f>SUMIFS(D431:D6462,K431:K6462,"0",B431:B6462,"1 2 4 6 3 12 31111*")-SUMIFS(E431:E6462,K431:K6462,"0",B431:B6462,"1 2 4 6 3 12 31111*")</f>
        <v>625897.6</v>
      </c>
      <c r="E430" s="54"/>
      <c r="F430" s="83">
        <f>SUMIFS(F431:F6462,K431:K6462,"0",B431:B6462,"1 2 4 6 3 12 31111*")</f>
        <v>0</v>
      </c>
      <c r="G430" s="83">
        <f>SUMIFS(G431:G6462,K431:K6462,"0",B431:B6462,"1 2 4 6 3 12 31111*")</f>
        <v>625897.6</v>
      </c>
      <c r="H430" s="83">
        <f t="shared" si="6"/>
        <v>0</v>
      </c>
      <c r="I430" s="83"/>
      <c r="K430" s="54" t="s">
        <v>15</v>
      </c>
    </row>
    <row r="431" spans="2:11" ht="12.75" x14ac:dyDescent="0.2">
      <c r="B431" s="82" t="s">
        <v>1341</v>
      </c>
      <c r="C431" s="82" t="s">
        <v>30</v>
      </c>
      <c r="D431" s="83">
        <f>SUMIFS(D432:D6462,K432:K6462,"0",B432:B6462,"1 2 4 6 3 12 31111 6*")-SUMIFS(E432:E6462,K432:K6462,"0",B432:B6462,"1 2 4 6 3 12 31111 6*")</f>
        <v>625897.6</v>
      </c>
      <c r="E431" s="54"/>
      <c r="F431" s="83">
        <f>SUMIFS(F432:F6462,K432:K6462,"0",B432:B6462,"1 2 4 6 3 12 31111 6*")</f>
        <v>0</v>
      </c>
      <c r="G431" s="83">
        <f>SUMIFS(G432:G6462,K432:K6462,"0",B432:B6462,"1 2 4 6 3 12 31111 6*")</f>
        <v>625897.6</v>
      </c>
      <c r="H431" s="83">
        <f t="shared" si="6"/>
        <v>0</v>
      </c>
      <c r="I431" s="83"/>
      <c r="K431" s="54" t="s">
        <v>15</v>
      </c>
    </row>
    <row r="432" spans="2:11" ht="16.5" x14ac:dyDescent="0.2">
      <c r="B432" s="82" t="s">
        <v>1342</v>
      </c>
      <c r="C432" s="82" t="s">
        <v>140</v>
      </c>
      <c r="D432" s="83">
        <f>SUMIFS(D433:D6462,K433:K6462,"0",B433:B6462,"1 2 4 6 3 12 31111 6 M59*")-SUMIFS(E433:E6462,K433:K6462,"0",B433:B6462,"1 2 4 6 3 12 31111 6 M59*")</f>
        <v>625897.6</v>
      </c>
      <c r="E432" s="54"/>
      <c r="F432" s="83">
        <f>SUMIFS(F433:F6462,K433:K6462,"0",B433:B6462,"1 2 4 6 3 12 31111 6 M59*")</f>
        <v>0</v>
      </c>
      <c r="G432" s="83">
        <f>SUMIFS(G433:G6462,K433:K6462,"0",B433:B6462,"1 2 4 6 3 12 31111 6 M59*")</f>
        <v>625897.6</v>
      </c>
      <c r="H432" s="83">
        <f t="shared" si="6"/>
        <v>0</v>
      </c>
      <c r="I432" s="83"/>
      <c r="K432" s="54" t="s">
        <v>15</v>
      </c>
    </row>
    <row r="433" spans="2:11" ht="16.5" x14ac:dyDescent="0.2">
      <c r="B433" s="82" t="s">
        <v>1343</v>
      </c>
      <c r="C433" s="82" t="s">
        <v>34</v>
      </c>
      <c r="D433" s="83">
        <f>SUMIFS(D434:D6462,K434:K6462,"0",B434:B6462,"1 2 4 6 3 12 31111 6 M59 00001*")-SUMIFS(E434:E6462,K434:K6462,"0",B434:B6462,"1 2 4 6 3 12 31111 6 M59 00001*")</f>
        <v>625897.6</v>
      </c>
      <c r="E433" s="54"/>
      <c r="F433" s="83">
        <f>SUMIFS(F434:F6462,K434:K6462,"0",B434:B6462,"1 2 4 6 3 12 31111 6 M59 00001*")</f>
        <v>0</v>
      </c>
      <c r="G433" s="83">
        <f>SUMIFS(G434:G6462,K434:K6462,"0",B434:B6462,"1 2 4 6 3 12 31111 6 M59 00001*")</f>
        <v>625897.6</v>
      </c>
      <c r="H433" s="83">
        <f t="shared" si="6"/>
        <v>0</v>
      </c>
      <c r="I433" s="83"/>
      <c r="K433" s="54" t="s">
        <v>15</v>
      </c>
    </row>
    <row r="434" spans="2:11" ht="16.5" x14ac:dyDescent="0.2">
      <c r="B434" s="84" t="s">
        <v>1344</v>
      </c>
      <c r="C434" s="84" t="s">
        <v>203</v>
      </c>
      <c r="D434" s="85">
        <v>1659</v>
      </c>
      <c r="E434" s="85"/>
      <c r="F434" s="85">
        <v>0</v>
      </c>
      <c r="G434" s="85">
        <v>625897.6</v>
      </c>
      <c r="H434" s="85">
        <f t="shared" si="6"/>
        <v>-624238.6</v>
      </c>
      <c r="I434" s="85"/>
      <c r="K434" s="54" t="s">
        <v>38</v>
      </c>
    </row>
    <row r="435" spans="2:11" ht="16.5" x14ac:dyDescent="0.2">
      <c r="B435" s="84" t="s">
        <v>1345</v>
      </c>
      <c r="C435" s="84" t="s">
        <v>1346</v>
      </c>
      <c r="D435" s="85">
        <v>618000</v>
      </c>
      <c r="E435" s="85"/>
      <c r="F435" s="85">
        <v>0</v>
      </c>
      <c r="G435" s="85">
        <v>0</v>
      </c>
      <c r="H435" s="85">
        <f t="shared" si="6"/>
        <v>618000</v>
      </c>
      <c r="I435" s="85"/>
      <c r="K435" s="54" t="s">
        <v>38</v>
      </c>
    </row>
    <row r="436" spans="2:11" ht="16.5" x14ac:dyDescent="0.2">
      <c r="B436" s="84" t="s">
        <v>1347</v>
      </c>
      <c r="C436" s="84" t="s">
        <v>1348</v>
      </c>
      <c r="D436" s="85">
        <v>6238.6</v>
      </c>
      <c r="E436" s="85"/>
      <c r="F436" s="85">
        <v>0</v>
      </c>
      <c r="G436" s="85">
        <v>0</v>
      </c>
      <c r="H436" s="85">
        <f t="shared" si="6"/>
        <v>6238.6</v>
      </c>
      <c r="I436" s="85"/>
      <c r="K436" s="54" t="s">
        <v>38</v>
      </c>
    </row>
    <row r="437" spans="2:11" ht="41.25" x14ac:dyDescent="0.2">
      <c r="B437" s="82" t="s">
        <v>1349</v>
      </c>
      <c r="C437" s="82" t="s">
        <v>1350</v>
      </c>
      <c r="D437" s="83">
        <f>SUMIFS(D438:D6462,K438:K6462,"0",B438:B6462,"1 2 4 6 4*")-SUMIFS(E438:E6462,K438:K6462,"0",B438:B6462,"1 2 4 6 4*")</f>
        <v>268175.68</v>
      </c>
      <c r="E437" s="54"/>
      <c r="F437" s="83">
        <f>SUMIFS(F438:F6462,K438:K6462,"0",B438:B6462,"1 2 4 6 4*")</f>
        <v>0</v>
      </c>
      <c r="G437" s="83">
        <f>SUMIFS(G438:G6462,K438:K6462,"0",B438:B6462,"1 2 4 6 4*")</f>
        <v>69862.759999999995</v>
      </c>
      <c r="H437" s="83">
        <f t="shared" si="6"/>
        <v>198312.91999999998</v>
      </c>
      <c r="I437" s="83"/>
      <c r="K437" s="54" t="s">
        <v>15</v>
      </c>
    </row>
    <row r="438" spans="2:11" ht="12.75" x14ac:dyDescent="0.2">
      <c r="B438" s="82" t="s">
        <v>1351</v>
      </c>
      <c r="C438" s="82" t="s">
        <v>26</v>
      </c>
      <c r="D438" s="83">
        <f>SUMIFS(D439:D6462,K439:K6462,"0",B439:B6462,"1 2 4 6 4 12*")-SUMIFS(E439:E6462,K439:K6462,"0",B439:B6462,"1 2 4 6 4 12*")</f>
        <v>268175.68</v>
      </c>
      <c r="E438" s="54"/>
      <c r="F438" s="83">
        <f>SUMIFS(F439:F6462,K439:K6462,"0",B439:B6462,"1 2 4 6 4 12*")</f>
        <v>0</v>
      </c>
      <c r="G438" s="83">
        <f>SUMIFS(G439:G6462,K439:K6462,"0",B439:B6462,"1 2 4 6 4 12*")</f>
        <v>69862.759999999995</v>
      </c>
      <c r="H438" s="83">
        <f t="shared" si="6"/>
        <v>198312.91999999998</v>
      </c>
      <c r="I438" s="83"/>
      <c r="K438" s="54" t="s">
        <v>15</v>
      </c>
    </row>
    <row r="439" spans="2:11" ht="16.5" x14ac:dyDescent="0.2">
      <c r="B439" s="82" t="s">
        <v>1352</v>
      </c>
      <c r="C439" s="82" t="s">
        <v>28</v>
      </c>
      <c r="D439" s="83">
        <f>SUMIFS(D440:D6462,K440:K6462,"0",B440:B6462,"1 2 4 6 4 12 31111*")-SUMIFS(E440:E6462,K440:K6462,"0",B440:B6462,"1 2 4 6 4 12 31111*")</f>
        <v>268175.68</v>
      </c>
      <c r="E439" s="54"/>
      <c r="F439" s="83">
        <f>SUMIFS(F440:F6462,K440:K6462,"0",B440:B6462,"1 2 4 6 4 12 31111*")</f>
        <v>0</v>
      </c>
      <c r="G439" s="83">
        <f>SUMIFS(G440:G6462,K440:K6462,"0",B440:B6462,"1 2 4 6 4 12 31111*")</f>
        <v>69862.759999999995</v>
      </c>
      <c r="H439" s="83">
        <f t="shared" si="6"/>
        <v>198312.91999999998</v>
      </c>
      <c r="I439" s="83"/>
      <c r="K439" s="54" t="s">
        <v>15</v>
      </c>
    </row>
    <row r="440" spans="2:11" ht="12.75" x14ac:dyDescent="0.2">
      <c r="B440" s="82" t="s">
        <v>1353</v>
      </c>
      <c r="C440" s="82" t="s">
        <v>30</v>
      </c>
      <c r="D440" s="83">
        <f>SUMIFS(D441:D6462,K441:K6462,"0",B441:B6462,"1 2 4 6 4 12 31111 6*")-SUMIFS(E441:E6462,K441:K6462,"0",B441:B6462,"1 2 4 6 4 12 31111 6*")</f>
        <v>268175.68</v>
      </c>
      <c r="E440" s="54"/>
      <c r="F440" s="83">
        <f>SUMIFS(F441:F6462,K441:K6462,"0",B441:B6462,"1 2 4 6 4 12 31111 6*")</f>
        <v>0</v>
      </c>
      <c r="G440" s="83">
        <f>SUMIFS(G441:G6462,K441:K6462,"0",B441:B6462,"1 2 4 6 4 12 31111 6*")</f>
        <v>69862.759999999995</v>
      </c>
      <c r="H440" s="83">
        <f t="shared" si="6"/>
        <v>198312.91999999998</v>
      </c>
      <c r="I440" s="83"/>
      <c r="K440" s="54" t="s">
        <v>15</v>
      </c>
    </row>
    <row r="441" spans="2:11" ht="16.5" x14ac:dyDescent="0.2">
      <c r="B441" s="82" t="s">
        <v>1354</v>
      </c>
      <c r="C441" s="82" t="s">
        <v>32</v>
      </c>
      <c r="D441" s="83">
        <f>SUMIFS(D442:D6462,K442:K6462,"0",B442:B6462,"1 2 4 6 4 12 31111 6 M59*")-SUMIFS(E442:E6462,K442:K6462,"0",B442:B6462,"1 2 4 6 4 12 31111 6 M59*")</f>
        <v>268175.68</v>
      </c>
      <c r="E441" s="54"/>
      <c r="F441" s="83">
        <f>SUMIFS(F442:F6462,K442:K6462,"0",B442:B6462,"1 2 4 6 4 12 31111 6 M59*")</f>
        <v>0</v>
      </c>
      <c r="G441" s="83">
        <f>SUMIFS(G442:G6462,K442:K6462,"0",B442:B6462,"1 2 4 6 4 12 31111 6 M59*")</f>
        <v>69862.759999999995</v>
      </c>
      <c r="H441" s="83">
        <f t="shared" si="6"/>
        <v>198312.91999999998</v>
      </c>
      <c r="I441" s="83"/>
      <c r="K441" s="54" t="s">
        <v>15</v>
      </c>
    </row>
    <row r="442" spans="2:11" ht="16.5" x14ac:dyDescent="0.2">
      <c r="B442" s="82" t="s">
        <v>1355</v>
      </c>
      <c r="C442" s="82" t="s">
        <v>42</v>
      </c>
      <c r="D442" s="83">
        <f>SUMIFS(D443:D6462,K443:K6462,"0",B443:B6462,"1 2 4 6 4 12 31111 6 M59 00001*")-SUMIFS(E443:E6462,K443:K6462,"0",B443:B6462,"1 2 4 6 4 12 31111 6 M59 00001*")</f>
        <v>268175.68</v>
      </c>
      <c r="E442" s="54"/>
      <c r="F442" s="83">
        <f>SUMIFS(F443:F6462,K443:K6462,"0",B443:B6462,"1 2 4 6 4 12 31111 6 M59 00001*")</f>
        <v>0</v>
      </c>
      <c r="G442" s="83">
        <f>SUMIFS(G443:G6462,K443:K6462,"0",B443:B6462,"1 2 4 6 4 12 31111 6 M59 00001*")</f>
        <v>69862.759999999995</v>
      </c>
      <c r="H442" s="83">
        <f t="shared" si="6"/>
        <v>198312.91999999998</v>
      </c>
      <c r="I442" s="83"/>
      <c r="K442" s="54" t="s">
        <v>15</v>
      </c>
    </row>
    <row r="443" spans="2:11" ht="16.5" x14ac:dyDescent="0.2">
      <c r="B443" s="84" t="s">
        <v>1356</v>
      </c>
      <c r="C443" s="84" t="s">
        <v>203</v>
      </c>
      <c r="D443" s="85">
        <v>220667.68</v>
      </c>
      <c r="E443" s="85"/>
      <c r="F443" s="85">
        <v>0</v>
      </c>
      <c r="G443" s="85">
        <v>69862.759999999995</v>
      </c>
      <c r="H443" s="85">
        <f t="shared" si="6"/>
        <v>150804.91999999998</v>
      </c>
      <c r="I443" s="85"/>
      <c r="K443" s="54" t="s">
        <v>38</v>
      </c>
    </row>
    <row r="444" spans="2:11" ht="33" x14ac:dyDescent="0.2">
      <c r="B444" s="84" t="s">
        <v>1357</v>
      </c>
      <c r="C444" s="84" t="s">
        <v>984</v>
      </c>
      <c r="D444" s="85">
        <v>40790</v>
      </c>
      <c r="E444" s="85"/>
      <c r="F444" s="85">
        <v>0</v>
      </c>
      <c r="G444" s="85">
        <v>0</v>
      </c>
      <c r="H444" s="85">
        <f t="shared" si="6"/>
        <v>40790</v>
      </c>
      <c r="I444" s="85"/>
      <c r="K444" s="54" t="s">
        <v>38</v>
      </c>
    </row>
    <row r="445" spans="2:11" ht="16.5" x14ac:dyDescent="0.2">
      <c r="B445" s="84" t="s">
        <v>1358</v>
      </c>
      <c r="C445" s="84" t="s">
        <v>1359</v>
      </c>
      <c r="D445" s="85">
        <v>6718</v>
      </c>
      <c r="E445" s="85"/>
      <c r="F445" s="85">
        <v>0</v>
      </c>
      <c r="G445" s="85">
        <v>0</v>
      </c>
      <c r="H445" s="85">
        <f t="shared" si="6"/>
        <v>6718</v>
      </c>
      <c r="I445" s="85"/>
      <c r="K445" s="54" t="s">
        <v>38</v>
      </c>
    </row>
    <row r="446" spans="2:11" ht="16.5" x14ac:dyDescent="0.2">
      <c r="B446" s="82" t="s">
        <v>1368</v>
      </c>
      <c r="C446" s="82" t="s">
        <v>1369</v>
      </c>
      <c r="D446" s="83">
        <f>SUMIFS(D447:D6462,K447:K6462,"0",B447:B6462,"1 2 4 6 5*")-SUMIFS(E447:E6462,K447:K6462,"0",B447:B6462,"1 2 4 6 5*")</f>
        <v>59133</v>
      </c>
      <c r="E446" s="54"/>
      <c r="F446" s="83">
        <f>SUMIFS(F447:F6462,K447:K6462,"0",B447:B6462,"1 2 4 6 5*")</f>
        <v>0</v>
      </c>
      <c r="G446" s="83">
        <f>SUMIFS(G447:G6462,K447:K6462,"0",B447:B6462,"1 2 4 6 5*")</f>
        <v>68841</v>
      </c>
      <c r="H446" s="83">
        <f t="shared" si="6"/>
        <v>-9708</v>
      </c>
      <c r="I446" s="83"/>
      <c r="K446" s="54" t="s">
        <v>15</v>
      </c>
    </row>
    <row r="447" spans="2:11" ht="12.75" x14ac:dyDescent="0.2">
      <c r="B447" s="82" t="s">
        <v>1370</v>
      </c>
      <c r="C447" s="82" t="s">
        <v>26</v>
      </c>
      <c r="D447" s="83">
        <f>SUMIFS(D448:D6462,K448:K6462,"0",B448:B6462,"1 2 4 6 5 12*")-SUMIFS(E448:E6462,K448:K6462,"0",B448:B6462,"1 2 4 6 5 12*")</f>
        <v>59133</v>
      </c>
      <c r="E447" s="54"/>
      <c r="F447" s="83">
        <f>SUMIFS(F448:F6462,K448:K6462,"0",B448:B6462,"1 2 4 6 5 12*")</f>
        <v>0</v>
      </c>
      <c r="G447" s="83">
        <f>SUMIFS(G448:G6462,K448:K6462,"0",B448:B6462,"1 2 4 6 5 12*")</f>
        <v>68841</v>
      </c>
      <c r="H447" s="83">
        <f t="shared" si="6"/>
        <v>-9708</v>
      </c>
      <c r="I447" s="83"/>
      <c r="K447" s="54" t="s">
        <v>15</v>
      </c>
    </row>
    <row r="448" spans="2:11" ht="16.5" x14ac:dyDescent="0.2">
      <c r="B448" s="82" t="s">
        <v>1371</v>
      </c>
      <c r="C448" s="82" t="s">
        <v>28</v>
      </c>
      <c r="D448" s="83">
        <f>SUMIFS(D449:D6462,K449:K6462,"0",B449:B6462,"1 2 4 6 5 12 31111*")-SUMIFS(E449:E6462,K449:K6462,"0",B449:B6462,"1 2 4 6 5 12 31111*")</f>
        <v>59133</v>
      </c>
      <c r="E448" s="54"/>
      <c r="F448" s="83">
        <f>SUMIFS(F449:F6462,K449:K6462,"0",B449:B6462,"1 2 4 6 5 12 31111*")</f>
        <v>0</v>
      </c>
      <c r="G448" s="83">
        <f>SUMIFS(G449:G6462,K449:K6462,"0",B449:B6462,"1 2 4 6 5 12 31111*")</f>
        <v>68841</v>
      </c>
      <c r="H448" s="83">
        <f t="shared" si="6"/>
        <v>-9708</v>
      </c>
      <c r="I448" s="83"/>
      <c r="K448" s="54" t="s">
        <v>15</v>
      </c>
    </row>
    <row r="449" spans="2:11" ht="12.75" x14ac:dyDescent="0.2">
      <c r="B449" s="82" t="s">
        <v>1372</v>
      </c>
      <c r="C449" s="82" t="s">
        <v>30</v>
      </c>
      <c r="D449" s="83">
        <f>SUMIFS(D450:D6462,K450:K6462,"0",B450:B6462,"1 2 4 6 5 12 31111 6*")-SUMIFS(E450:E6462,K450:K6462,"0",B450:B6462,"1 2 4 6 5 12 31111 6*")</f>
        <v>59133</v>
      </c>
      <c r="E449" s="54"/>
      <c r="F449" s="83">
        <f>SUMIFS(F450:F6462,K450:K6462,"0",B450:B6462,"1 2 4 6 5 12 31111 6*")</f>
        <v>0</v>
      </c>
      <c r="G449" s="83">
        <f>SUMIFS(G450:G6462,K450:K6462,"0",B450:B6462,"1 2 4 6 5 12 31111 6*")</f>
        <v>68841</v>
      </c>
      <c r="H449" s="83">
        <f t="shared" si="6"/>
        <v>-9708</v>
      </c>
      <c r="I449" s="83"/>
      <c r="K449" s="54" t="s">
        <v>15</v>
      </c>
    </row>
    <row r="450" spans="2:11" ht="16.5" x14ac:dyDescent="0.2">
      <c r="B450" s="82" t="s">
        <v>1373</v>
      </c>
      <c r="C450" s="82" t="s">
        <v>32</v>
      </c>
      <c r="D450" s="83">
        <f>SUMIFS(D451:D6462,K451:K6462,"0",B451:B6462,"1 2 4 6 5 12 31111 6 M59*")-SUMIFS(E451:E6462,K451:K6462,"0",B451:B6462,"1 2 4 6 5 12 31111 6 M59*")</f>
        <v>59133</v>
      </c>
      <c r="E450" s="54"/>
      <c r="F450" s="83">
        <f>SUMIFS(F451:F6462,K451:K6462,"0",B451:B6462,"1 2 4 6 5 12 31111 6 M59*")</f>
        <v>0</v>
      </c>
      <c r="G450" s="83">
        <f>SUMIFS(G451:G6462,K451:K6462,"0",B451:B6462,"1 2 4 6 5 12 31111 6 M59*")</f>
        <v>68841</v>
      </c>
      <c r="H450" s="83">
        <f t="shared" si="6"/>
        <v>-9708</v>
      </c>
      <c r="I450" s="83"/>
      <c r="K450" s="54" t="s">
        <v>15</v>
      </c>
    </row>
    <row r="451" spans="2:11" ht="16.5" x14ac:dyDescent="0.2">
      <c r="B451" s="82" t="s">
        <v>1374</v>
      </c>
      <c r="C451" s="82" t="s">
        <v>34</v>
      </c>
      <c r="D451" s="83">
        <f>SUMIFS(D452:D6462,K452:K6462,"0",B452:B6462,"1 2 4 6 5 12 31111 6 M59 00001*")-SUMIFS(E452:E6462,K452:K6462,"0",B452:B6462,"1 2 4 6 5 12 31111 6 M59 00001*")</f>
        <v>59133</v>
      </c>
      <c r="E451" s="54"/>
      <c r="F451" s="83">
        <f>SUMIFS(F452:F6462,K452:K6462,"0",B452:B6462,"1 2 4 6 5 12 31111 6 M59 00001*")</f>
        <v>0</v>
      </c>
      <c r="G451" s="83">
        <f>SUMIFS(G452:G6462,K452:K6462,"0",B452:B6462,"1 2 4 6 5 12 31111 6 M59 00001*")</f>
        <v>68841</v>
      </c>
      <c r="H451" s="83">
        <f t="shared" si="6"/>
        <v>-9708</v>
      </c>
      <c r="I451" s="83"/>
      <c r="K451" s="54" t="s">
        <v>15</v>
      </c>
    </row>
    <row r="452" spans="2:11" ht="16.5" x14ac:dyDescent="0.2">
      <c r="B452" s="84" t="s">
        <v>1375</v>
      </c>
      <c r="C452" s="84" t="s">
        <v>203</v>
      </c>
      <c r="D452" s="85">
        <v>42603</v>
      </c>
      <c r="E452" s="85"/>
      <c r="F452" s="85">
        <v>0</v>
      </c>
      <c r="G452" s="85">
        <v>68841</v>
      </c>
      <c r="H452" s="85">
        <f t="shared" si="6"/>
        <v>-26238</v>
      </c>
      <c r="I452" s="85"/>
      <c r="K452" s="54" t="s">
        <v>38</v>
      </c>
    </row>
    <row r="453" spans="2:11" ht="16.5" x14ac:dyDescent="0.2">
      <c r="B453" s="84" t="s">
        <v>1376</v>
      </c>
      <c r="C453" s="84" t="s">
        <v>1377</v>
      </c>
      <c r="D453" s="85">
        <v>16530</v>
      </c>
      <c r="E453" s="85"/>
      <c r="F453" s="85">
        <v>0</v>
      </c>
      <c r="G453" s="85">
        <v>0</v>
      </c>
      <c r="H453" s="85">
        <f t="shared" si="6"/>
        <v>16530</v>
      </c>
      <c r="I453" s="85"/>
      <c r="K453" s="54" t="s">
        <v>38</v>
      </c>
    </row>
    <row r="454" spans="2:11" ht="24.75" x14ac:dyDescent="0.2">
      <c r="B454" s="82" t="s">
        <v>1388</v>
      </c>
      <c r="C454" s="82" t="s">
        <v>1389</v>
      </c>
      <c r="D454" s="83">
        <f>SUMIFS(D455:D6462,K455:K6462,"0",B455:B6462,"1 2 4 6 6*")-SUMIFS(E455:E6462,K455:K6462,"0",B455:B6462,"1 2 4 6 6*")</f>
        <v>0</v>
      </c>
      <c r="E454" s="54"/>
      <c r="F454" s="83">
        <f>SUMIFS(F455:F6462,K455:K6462,"0",B455:B6462,"1 2 4 6 6*")</f>
        <v>0</v>
      </c>
      <c r="G454" s="83">
        <f>SUMIFS(G455:G6462,K455:K6462,"0",B455:B6462,"1 2 4 6 6*")</f>
        <v>2000</v>
      </c>
      <c r="H454" s="83">
        <f t="shared" si="6"/>
        <v>-2000</v>
      </c>
      <c r="I454" s="83"/>
      <c r="K454" s="54" t="s">
        <v>15</v>
      </c>
    </row>
    <row r="455" spans="2:11" ht="12.75" x14ac:dyDescent="0.2">
      <c r="B455" s="82" t="s">
        <v>1390</v>
      </c>
      <c r="C455" s="82" t="s">
        <v>26</v>
      </c>
      <c r="D455" s="83">
        <f>SUMIFS(D456:D6462,K456:K6462,"0",B456:B6462,"1 2 4 6 6 12*")-SUMIFS(E456:E6462,K456:K6462,"0",B456:B6462,"1 2 4 6 6 12*")</f>
        <v>0</v>
      </c>
      <c r="E455" s="54"/>
      <c r="F455" s="83">
        <f>SUMIFS(F456:F6462,K456:K6462,"0",B456:B6462,"1 2 4 6 6 12*")</f>
        <v>0</v>
      </c>
      <c r="G455" s="83">
        <f>SUMIFS(G456:G6462,K456:K6462,"0",B456:B6462,"1 2 4 6 6 12*")</f>
        <v>2000</v>
      </c>
      <c r="H455" s="83">
        <f t="shared" si="6"/>
        <v>-2000</v>
      </c>
      <c r="I455" s="83"/>
      <c r="K455" s="54" t="s">
        <v>15</v>
      </c>
    </row>
    <row r="456" spans="2:11" ht="16.5" x14ac:dyDescent="0.2">
      <c r="B456" s="82" t="s">
        <v>1391</v>
      </c>
      <c r="C456" s="82" t="s">
        <v>28</v>
      </c>
      <c r="D456" s="83">
        <f>SUMIFS(D457:D6462,K457:K6462,"0",B457:B6462,"1 2 4 6 6 12 31111*")-SUMIFS(E457:E6462,K457:K6462,"0",B457:B6462,"1 2 4 6 6 12 31111*")</f>
        <v>0</v>
      </c>
      <c r="E456" s="54"/>
      <c r="F456" s="83">
        <f>SUMIFS(F457:F6462,K457:K6462,"0",B457:B6462,"1 2 4 6 6 12 31111*")</f>
        <v>0</v>
      </c>
      <c r="G456" s="83">
        <f>SUMIFS(G457:G6462,K457:K6462,"0",B457:B6462,"1 2 4 6 6 12 31111*")</f>
        <v>2000</v>
      </c>
      <c r="H456" s="83">
        <f t="shared" si="6"/>
        <v>-2000</v>
      </c>
      <c r="I456" s="83"/>
      <c r="K456" s="54" t="s">
        <v>15</v>
      </c>
    </row>
    <row r="457" spans="2:11" ht="12.75" x14ac:dyDescent="0.2">
      <c r="B457" s="82" t="s">
        <v>1392</v>
      </c>
      <c r="C457" s="82" t="s">
        <v>30</v>
      </c>
      <c r="D457" s="83">
        <f>SUMIFS(D458:D6462,K458:K6462,"0",B458:B6462,"1 2 4 6 6 12 31111 6*")-SUMIFS(E458:E6462,K458:K6462,"0",B458:B6462,"1 2 4 6 6 12 31111 6*")</f>
        <v>0</v>
      </c>
      <c r="E457" s="54"/>
      <c r="F457" s="83">
        <f>SUMIFS(F458:F6462,K458:K6462,"0",B458:B6462,"1 2 4 6 6 12 31111 6*")</f>
        <v>0</v>
      </c>
      <c r="G457" s="83">
        <f>SUMIFS(G458:G6462,K458:K6462,"0",B458:B6462,"1 2 4 6 6 12 31111 6*")</f>
        <v>2000</v>
      </c>
      <c r="H457" s="83">
        <f t="shared" si="6"/>
        <v>-2000</v>
      </c>
      <c r="I457" s="83"/>
      <c r="K457" s="54" t="s">
        <v>15</v>
      </c>
    </row>
    <row r="458" spans="2:11" ht="24.75" x14ac:dyDescent="0.2">
      <c r="B458" s="82" t="s">
        <v>1393</v>
      </c>
      <c r="C458" s="82" t="s">
        <v>1394</v>
      </c>
      <c r="D458" s="83">
        <f>SUMIFS(D459:D6462,K459:K6462,"0",B459:B6462,"1 2 4 6 6 12 31111 6 M59*")-SUMIFS(E459:E6462,K459:K6462,"0",B459:B6462,"1 2 4 6 6 12 31111 6 M59*")</f>
        <v>0</v>
      </c>
      <c r="E458" s="54"/>
      <c r="F458" s="83">
        <f>SUMIFS(F459:F6462,K459:K6462,"0",B459:B6462,"1 2 4 6 6 12 31111 6 M59*")</f>
        <v>0</v>
      </c>
      <c r="G458" s="83">
        <f>SUMIFS(G459:G6462,K459:K6462,"0",B459:B6462,"1 2 4 6 6 12 31111 6 M59*")</f>
        <v>2000</v>
      </c>
      <c r="H458" s="83">
        <f t="shared" si="6"/>
        <v>-2000</v>
      </c>
      <c r="I458" s="83"/>
      <c r="K458" s="54" t="s">
        <v>15</v>
      </c>
    </row>
    <row r="459" spans="2:11" ht="24.75" x14ac:dyDescent="0.2">
      <c r="B459" s="82" t="s">
        <v>1399</v>
      </c>
      <c r="C459" s="82" t="s">
        <v>91</v>
      </c>
      <c r="D459" s="83">
        <f>SUMIFS(D460:D6462,K460:K6462,"0",B460:B6462,"1 2 4 6 6 12 31111 6 M59 00004*")-SUMIFS(E460:E6462,K460:K6462,"0",B460:B6462,"1 2 4 6 6 12 31111 6 M59 00004*")</f>
        <v>0</v>
      </c>
      <c r="E459" s="54"/>
      <c r="F459" s="83">
        <f>SUMIFS(F460:F6462,K460:K6462,"0",B460:B6462,"1 2 4 6 6 12 31111 6 M59 00004*")</f>
        <v>0</v>
      </c>
      <c r="G459" s="83">
        <f>SUMIFS(G460:G6462,K460:K6462,"0",B460:B6462,"1 2 4 6 6 12 31111 6 M59 00004*")</f>
        <v>2000</v>
      </c>
      <c r="H459" s="83">
        <f t="shared" si="6"/>
        <v>-2000</v>
      </c>
      <c r="I459" s="83"/>
      <c r="K459" s="54" t="s">
        <v>15</v>
      </c>
    </row>
    <row r="460" spans="2:11" ht="16.5" x14ac:dyDescent="0.2">
      <c r="B460" s="84" t="s">
        <v>1400</v>
      </c>
      <c r="C460" s="84" t="s">
        <v>1022</v>
      </c>
      <c r="D460" s="85">
        <v>0</v>
      </c>
      <c r="E460" s="85"/>
      <c r="F460" s="85">
        <v>0</v>
      </c>
      <c r="G460" s="85">
        <v>2000</v>
      </c>
      <c r="H460" s="85">
        <f t="shared" ref="H460:H491" si="7">D460 + F460 - G460</f>
        <v>-2000</v>
      </c>
      <c r="I460" s="85"/>
      <c r="K460" s="54" t="s">
        <v>38</v>
      </c>
    </row>
    <row r="461" spans="2:11" ht="16.5" x14ac:dyDescent="0.2">
      <c r="B461" s="82" t="s">
        <v>1401</v>
      </c>
      <c r="C461" s="82" t="s">
        <v>1402</v>
      </c>
      <c r="D461" s="83">
        <f>SUMIFS(D462:D6462,K462:K6462,"0",B462:B6462,"1 2 4 6 7*")-SUMIFS(E462:E6462,K462:K6462,"0",B462:B6462,"1 2 4 6 7*")</f>
        <v>0</v>
      </c>
      <c r="E461" s="54"/>
      <c r="F461" s="83">
        <f>SUMIFS(F462:F6462,K462:K6462,"0",B462:B6462,"1 2 4 6 7*")</f>
        <v>0</v>
      </c>
      <c r="G461" s="83">
        <f>SUMIFS(G462:G6462,K462:K6462,"0",B462:B6462,"1 2 4 6 7*")</f>
        <v>23015</v>
      </c>
      <c r="H461" s="83">
        <f t="shared" si="7"/>
        <v>-23015</v>
      </c>
      <c r="I461" s="83"/>
      <c r="K461" s="54" t="s">
        <v>15</v>
      </c>
    </row>
    <row r="462" spans="2:11" ht="12.75" x14ac:dyDescent="0.2">
      <c r="B462" s="82" t="s">
        <v>1403</v>
      </c>
      <c r="C462" s="82" t="s">
        <v>26</v>
      </c>
      <c r="D462" s="83">
        <f>SUMIFS(D463:D6462,K463:K6462,"0",B463:B6462,"1 2 4 6 7 12*")-SUMIFS(E463:E6462,K463:K6462,"0",B463:B6462,"1 2 4 6 7 12*")</f>
        <v>0</v>
      </c>
      <c r="E462" s="54"/>
      <c r="F462" s="83">
        <f>SUMIFS(F463:F6462,K463:K6462,"0",B463:B6462,"1 2 4 6 7 12*")</f>
        <v>0</v>
      </c>
      <c r="G462" s="83">
        <f>SUMIFS(G463:G6462,K463:K6462,"0",B463:B6462,"1 2 4 6 7 12*")</f>
        <v>23015</v>
      </c>
      <c r="H462" s="83">
        <f t="shared" si="7"/>
        <v>-23015</v>
      </c>
      <c r="I462" s="83"/>
      <c r="K462" s="54" t="s">
        <v>15</v>
      </c>
    </row>
    <row r="463" spans="2:11" ht="16.5" x14ac:dyDescent="0.2">
      <c r="B463" s="82" t="s">
        <v>1404</v>
      </c>
      <c r="C463" s="82" t="s">
        <v>28</v>
      </c>
      <c r="D463" s="83">
        <f>SUMIFS(D464:D6462,K464:K6462,"0",B464:B6462,"1 2 4 6 7 12 31111*")-SUMIFS(E464:E6462,K464:K6462,"0",B464:B6462,"1 2 4 6 7 12 31111*")</f>
        <v>0</v>
      </c>
      <c r="E463" s="54"/>
      <c r="F463" s="83">
        <f>SUMIFS(F464:F6462,K464:K6462,"0",B464:B6462,"1 2 4 6 7 12 31111*")</f>
        <v>0</v>
      </c>
      <c r="G463" s="83">
        <f>SUMIFS(G464:G6462,K464:K6462,"0",B464:B6462,"1 2 4 6 7 12 31111*")</f>
        <v>23015</v>
      </c>
      <c r="H463" s="83">
        <f t="shared" si="7"/>
        <v>-23015</v>
      </c>
      <c r="I463" s="83"/>
      <c r="K463" s="54" t="s">
        <v>15</v>
      </c>
    </row>
    <row r="464" spans="2:11" ht="12.75" x14ac:dyDescent="0.2">
      <c r="B464" s="82" t="s">
        <v>1405</v>
      </c>
      <c r="C464" s="82" t="s">
        <v>30</v>
      </c>
      <c r="D464" s="83">
        <f>SUMIFS(D465:D6462,K465:K6462,"0",B465:B6462,"1 2 4 6 7 12 31111 6*")-SUMIFS(E465:E6462,K465:K6462,"0",B465:B6462,"1 2 4 6 7 12 31111 6*")</f>
        <v>0</v>
      </c>
      <c r="E464" s="54"/>
      <c r="F464" s="83">
        <f>SUMIFS(F465:F6462,K465:K6462,"0",B465:B6462,"1 2 4 6 7 12 31111 6*")</f>
        <v>0</v>
      </c>
      <c r="G464" s="83">
        <f>SUMIFS(G465:G6462,K465:K6462,"0",B465:B6462,"1 2 4 6 7 12 31111 6*")</f>
        <v>23015</v>
      </c>
      <c r="H464" s="83">
        <f t="shared" si="7"/>
        <v>-23015</v>
      </c>
      <c r="I464" s="83"/>
      <c r="K464" s="54" t="s">
        <v>15</v>
      </c>
    </row>
    <row r="465" spans="2:11" ht="16.5" x14ac:dyDescent="0.2">
      <c r="B465" s="82" t="s">
        <v>1406</v>
      </c>
      <c r="C465" s="82" t="s">
        <v>32</v>
      </c>
      <c r="D465" s="83">
        <f>SUMIFS(D466:D6462,K466:K6462,"0",B466:B6462,"1 2 4 6 7 12 31111 6 M59*")-SUMIFS(E466:E6462,K466:K6462,"0",B466:B6462,"1 2 4 6 7 12 31111 6 M59*")</f>
        <v>0</v>
      </c>
      <c r="E465" s="54"/>
      <c r="F465" s="83">
        <f>SUMIFS(F466:F6462,K466:K6462,"0",B466:B6462,"1 2 4 6 7 12 31111 6 M59*")</f>
        <v>0</v>
      </c>
      <c r="G465" s="83">
        <f>SUMIFS(G466:G6462,K466:K6462,"0",B466:B6462,"1 2 4 6 7 12 31111 6 M59*")</f>
        <v>23015</v>
      </c>
      <c r="H465" s="83">
        <f t="shared" si="7"/>
        <v>-23015</v>
      </c>
      <c r="I465" s="83"/>
      <c r="K465" s="54" t="s">
        <v>15</v>
      </c>
    </row>
    <row r="466" spans="2:11" ht="24.75" x14ac:dyDescent="0.2">
      <c r="B466" s="82" t="s">
        <v>1410</v>
      </c>
      <c r="C466" s="82" t="s">
        <v>91</v>
      </c>
      <c r="D466" s="83">
        <f>SUMIFS(D467:D6462,K467:K6462,"0",B467:B6462,"1 2 4 6 7 12 31111 6 M59 00004*")-SUMIFS(E467:E6462,K467:K6462,"0",B467:B6462,"1 2 4 6 7 12 31111 6 M59 00004*")</f>
        <v>0</v>
      </c>
      <c r="E466" s="54"/>
      <c r="F466" s="83">
        <f>SUMIFS(F467:F6462,K467:K6462,"0",B467:B6462,"1 2 4 6 7 12 31111 6 M59 00004*")</f>
        <v>0</v>
      </c>
      <c r="G466" s="83">
        <f>SUMIFS(G467:G6462,K467:K6462,"0",B467:B6462,"1 2 4 6 7 12 31111 6 M59 00004*")</f>
        <v>23015</v>
      </c>
      <c r="H466" s="83">
        <f t="shared" si="7"/>
        <v>-23015</v>
      </c>
      <c r="I466" s="83"/>
      <c r="K466" s="54" t="s">
        <v>15</v>
      </c>
    </row>
    <row r="467" spans="2:11" ht="16.5" x14ac:dyDescent="0.2">
      <c r="B467" s="84" t="s">
        <v>1411</v>
      </c>
      <c r="C467" s="84" t="s">
        <v>203</v>
      </c>
      <c r="D467" s="85">
        <v>0</v>
      </c>
      <c r="E467" s="85"/>
      <c r="F467" s="85">
        <v>0</v>
      </c>
      <c r="G467" s="85">
        <v>23015</v>
      </c>
      <c r="H467" s="85">
        <f t="shared" si="7"/>
        <v>-23015</v>
      </c>
      <c r="I467" s="85"/>
      <c r="K467" s="54" t="s">
        <v>38</v>
      </c>
    </row>
    <row r="468" spans="2:11" ht="12.75" x14ac:dyDescent="0.2">
      <c r="B468" s="82" t="s">
        <v>1412</v>
      </c>
      <c r="C468" s="82" t="s">
        <v>1413</v>
      </c>
      <c r="D468" s="83">
        <f>SUMIFS(D469:D6462,K469:K6462,"0",B469:B6462,"1 2 4 6 9*")-SUMIFS(E469:E6462,K469:K6462,"0",B469:B6462,"1 2 4 6 9*")</f>
        <v>28982.78</v>
      </c>
      <c r="E468" s="54"/>
      <c r="F468" s="83">
        <f>SUMIFS(F469:F6462,K469:K6462,"0",B469:B6462,"1 2 4 6 9*")</f>
        <v>0</v>
      </c>
      <c r="G468" s="83">
        <f>SUMIFS(G469:G6462,K469:K6462,"0",B469:B6462,"1 2 4 6 9*")</f>
        <v>6137.78</v>
      </c>
      <c r="H468" s="83">
        <f t="shared" si="7"/>
        <v>22845</v>
      </c>
      <c r="I468" s="83"/>
      <c r="K468" s="54" t="s">
        <v>15</v>
      </c>
    </row>
    <row r="469" spans="2:11" ht="12.75" x14ac:dyDescent="0.2">
      <c r="B469" s="82" t="s">
        <v>1414</v>
      </c>
      <c r="C469" s="82" t="s">
        <v>26</v>
      </c>
      <c r="D469" s="83">
        <f>SUMIFS(D470:D6462,K470:K6462,"0",B470:B6462,"1 2 4 6 9 12*")-SUMIFS(E470:E6462,K470:K6462,"0",B470:B6462,"1 2 4 6 9 12*")</f>
        <v>28982.78</v>
      </c>
      <c r="E469" s="54"/>
      <c r="F469" s="83">
        <f>SUMIFS(F470:F6462,K470:K6462,"0",B470:B6462,"1 2 4 6 9 12*")</f>
        <v>0</v>
      </c>
      <c r="G469" s="83">
        <f>SUMIFS(G470:G6462,K470:K6462,"0",B470:B6462,"1 2 4 6 9 12*")</f>
        <v>6137.78</v>
      </c>
      <c r="H469" s="83">
        <f t="shared" si="7"/>
        <v>22845</v>
      </c>
      <c r="I469" s="83"/>
      <c r="K469" s="54" t="s">
        <v>15</v>
      </c>
    </row>
    <row r="470" spans="2:11" ht="16.5" x14ac:dyDescent="0.2">
      <c r="B470" s="82" t="s">
        <v>1415</v>
      </c>
      <c r="C470" s="82" t="s">
        <v>28</v>
      </c>
      <c r="D470" s="83">
        <f>SUMIFS(D471:D6462,K471:K6462,"0",B471:B6462,"1 2 4 6 9 12 31111*")-SUMIFS(E471:E6462,K471:K6462,"0",B471:B6462,"1 2 4 6 9 12 31111*")</f>
        <v>28982.78</v>
      </c>
      <c r="E470" s="54"/>
      <c r="F470" s="83">
        <f>SUMIFS(F471:F6462,K471:K6462,"0",B471:B6462,"1 2 4 6 9 12 31111*")</f>
        <v>0</v>
      </c>
      <c r="G470" s="83">
        <f>SUMIFS(G471:G6462,K471:K6462,"0",B471:B6462,"1 2 4 6 9 12 31111*")</f>
        <v>6137.78</v>
      </c>
      <c r="H470" s="83">
        <f t="shared" si="7"/>
        <v>22845</v>
      </c>
      <c r="I470" s="83"/>
      <c r="K470" s="54" t="s">
        <v>15</v>
      </c>
    </row>
    <row r="471" spans="2:11" ht="12.75" x14ac:dyDescent="0.2">
      <c r="B471" s="82" t="s">
        <v>1416</v>
      </c>
      <c r="C471" s="82" t="s">
        <v>30</v>
      </c>
      <c r="D471" s="83">
        <f>SUMIFS(D472:D6462,K472:K6462,"0",B472:B6462,"1 2 4 6 9 12 31111 6*")-SUMIFS(E472:E6462,K472:K6462,"0",B472:B6462,"1 2 4 6 9 12 31111 6*")</f>
        <v>28982.78</v>
      </c>
      <c r="E471" s="54"/>
      <c r="F471" s="83">
        <f>SUMIFS(F472:F6462,K472:K6462,"0",B472:B6462,"1 2 4 6 9 12 31111 6*")</f>
        <v>0</v>
      </c>
      <c r="G471" s="83">
        <f>SUMIFS(G472:G6462,K472:K6462,"0",B472:B6462,"1 2 4 6 9 12 31111 6*")</f>
        <v>6137.78</v>
      </c>
      <c r="H471" s="83">
        <f t="shared" si="7"/>
        <v>22845</v>
      </c>
      <c r="I471" s="83"/>
      <c r="K471" s="54" t="s">
        <v>15</v>
      </c>
    </row>
    <row r="472" spans="2:11" ht="16.5" x14ac:dyDescent="0.2">
      <c r="B472" s="82" t="s">
        <v>1417</v>
      </c>
      <c r="C472" s="82" t="s">
        <v>32</v>
      </c>
      <c r="D472" s="83">
        <f>SUMIFS(D473:D6462,K473:K6462,"0",B473:B6462,"1 2 4 6 9 12 31111 6 M59*")-SUMIFS(E473:E6462,K473:K6462,"0",B473:B6462,"1 2 4 6 9 12 31111 6 M59*")</f>
        <v>28982.78</v>
      </c>
      <c r="E472" s="54"/>
      <c r="F472" s="83">
        <f>SUMIFS(F473:F6462,K473:K6462,"0",B473:B6462,"1 2 4 6 9 12 31111 6 M59*")</f>
        <v>0</v>
      </c>
      <c r="G472" s="83">
        <f>SUMIFS(G473:G6462,K473:K6462,"0",B473:B6462,"1 2 4 6 9 12 31111 6 M59*")</f>
        <v>6137.78</v>
      </c>
      <c r="H472" s="83">
        <f t="shared" si="7"/>
        <v>22845</v>
      </c>
      <c r="I472" s="83"/>
      <c r="K472" s="54" t="s">
        <v>15</v>
      </c>
    </row>
    <row r="473" spans="2:11" ht="16.5" x14ac:dyDescent="0.2">
      <c r="B473" s="82" t="s">
        <v>1418</v>
      </c>
      <c r="C473" s="82" t="s">
        <v>34</v>
      </c>
      <c r="D473" s="83">
        <f>SUMIFS(D474:D6462,K474:K6462,"0",B474:B6462,"1 2 4 6 9 12 31111 6 M59 00001*")-SUMIFS(E474:E6462,K474:K6462,"0",B474:B6462,"1 2 4 6 9 12 31111 6 M59 00001*")</f>
        <v>28982.78</v>
      </c>
      <c r="E473" s="54"/>
      <c r="F473" s="83">
        <f>SUMIFS(F474:F6462,K474:K6462,"0",B474:B6462,"1 2 4 6 9 12 31111 6 M59 00001*")</f>
        <v>0</v>
      </c>
      <c r="G473" s="83">
        <f>SUMIFS(G474:G6462,K474:K6462,"0",B474:B6462,"1 2 4 6 9 12 31111 6 M59 00001*")</f>
        <v>6137.78</v>
      </c>
      <c r="H473" s="83">
        <f t="shared" si="7"/>
        <v>22845</v>
      </c>
      <c r="I473" s="83"/>
      <c r="K473" s="54" t="s">
        <v>15</v>
      </c>
    </row>
    <row r="474" spans="2:11" ht="16.5" x14ac:dyDescent="0.2">
      <c r="B474" s="84" t="s">
        <v>1419</v>
      </c>
      <c r="C474" s="84" t="s">
        <v>203</v>
      </c>
      <c r="D474" s="85">
        <v>28982.78</v>
      </c>
      <c r="E474" s="85"/>
      <c r="F474" s="85">
        <v>0</v>
      </c>
      <c r="G474" s="85">
        <v>6137.78</v>
      </c>
      <c r="H474" s="85">
        <f t="shared" si="7"/>
        <v>22845</v>
      </c>
      <c r="I474" s="85"/>
      <c r="K474" s="54" t="s">
        <v>38</v>
      </c>
    </row>
    <row r="475" spans="2:11" ht="16.5" x14ac:dyDescent="0.2">
      <c r="B475" s="82" t="s">
        <v>1420</v>
      </c>
      <c r="C475" s="82" t="s">
        <v>1421</v>
      </c>
      <c r="D475" s="83">
        <f>SUMIFS(D476:D6462,K476:K6462,"0",B476:B6462,"1 2 4 7*")-SUMIFS(E476:E6462,K476:K6462,"0",B476:B6462,"1 2 4 7*")</f>
        <v>60000</v>
      </c>
      <c r="E475" s="54"/>
      <c r="F475" s="83">
        <f>SUMIFS(F476:F6462,K476:K6462,"0",B476:B6462,"1 2 4 7*")</f>
        <v>0</v>
      </c>
      <c r="G475" s="83">
        <f>SUMIFS(G476:G6462,K476:K6462,"0",B476:B6462,"1 2 4 7*")</f>
        <v>0</v>
      </c>
      <c r="H475" s="83">
        <f t="shared" si="7"/>
        <v>60000</v>
      </c>
      <c r="I475" s="83"/>
      <c r="K475" s="54" t="s">
        <v>15</v>
      </c>
    </row>
    <row r="476" spans="2:11" ht="16.5" x14ac:dyDescent="0.2">
      <c r="B476" s="82" t="s">
        <v>1422</v>
      </c>
      <c r="C476" s="82" t="s">
        <v>1423</v>
      </c>
      <c r="D476" s="83">
        <f>SUMIFS(D477:D6462,K477:K6462,"0",B477:B6462,"1 2 4 7 1*")-SUMIFS(E477:E6462,K477:K6462,"0",B477:B6462,"1 2 4 7 1*")</f>
        <v>60000</v>
      </c>
      <c r="E476" s="54"/>
      <c r="F476" s="83">
        <f>SUMIFS(F477:F6462,K477:K6462,"0",B477:B6462,"1 2 4 7 1*")</f>
        <v>0</v>
      </c>
      <c r="G476" s="83">
        <f>SUMIFS(G477:G6462,K477:K6462,"0",B477:B6462,"1 2 4 7 1*")</f>
        <v>0</v>
      </c>
      <c r="H476" s="83">
        <f t="shared" si="7"/>
        <v>60000</v>
      </c>
      <c r="I476" s="83"/>
      <c r="K476" s="54" t="s">
        <v>15</v>
      </c>
    </row>
    <row r="477" spans="2:11" ht="12.75" x14ac:dyDescent="0.2">
      <c r="B477" s="82" t="s">
        <v>1424</v>
      </c>
      <c r="C477" s="82" t="s">
        <v>26</v>
      </c>
      <c r="D477" s="83">
        <f>SUMIFS(D478:D6462,K478:K6462,"0",B478:B6462,"1 2 4 7 1 12*")-SUMIFS(E478:E6462,K478:K6462,"0",B478:B6462,"1 2 4 7 1 12*")</f>
        <v>60000</v>
      </c>
      <c r="E477" s="54"/>
      <c r="F477" s="83">
        <f>SUMIFS(F478:F6462,K478:K6462,"0",B478:B6462,"1 2 4 7 1 12*")</f>
        <v>0</v>
      </c>
      <c r="G477" s="83">
        <f>SUMIFS(G478:G6462,K478:K6462,"0",B478:B6462,"1 2 4 7 1 12*")</f>
        <v>0</v>
      </c>
      <c r="H477" s="83">
        <f t="shared" si="7"/>
        <v>60000</v>
      </c>
      <c r="I477" s="83"/>
      <c r="K477" s="54" t="s">
        <v>15</v>
      </c>
    </row>
    <row r="478" spans="2:11" ht="16.5" x14ac:dyDescent="0.2">
      <c r="B478" s="82" t="s">
        <v>1425</v>
      </c>
      <c r="C478" s="82" t="s">
        <v>28</v>
      </c>
      <c r="D478" s="83">
        <f>SUMIFS(D479:D6462,K479:K6462,"0",B479:B6462,"1 2 4 7 1 12 31111*")-SUMIFS(E479:E6462,K479:K6462,"0",B479:B6462,"1 2 4 7 1 12 31111*")</f>
        <v>60000</v>
      </c>
      <c r="E478" s="54"/>
      <c r="F478" s="83">
        <f>SUMIFS(F479:F6462,K479:K6462,"0",B479:B6462,"1 2 4 7 1 12 31111*")</f>
        <v>0</v>
      </c>
      <c r="G478" s="83">
        <f>SUMIFS(G479:G6462,K479:K6462,"0",B479:B6462,"1 2 4 7 1 12 31111*")</f>
        <v>0</v>
      </c>
      <c r="H478" s="83">
        <f t="shared" si="7"/>
        <v>60000</v>
      </c>
      <c r="I478" s="83"/>
      <c r="K478" s="54" t="s">
        <v>15</v>
      </c>
    </row>
    <row r="479" spans="2:11" ht="12.75" x14ac:dyDescent="0.2">
      <c r="B479" s="82" t="s">
        <v>1426</v>
      </c>
      <c r="C479" s="82" t="s">
        <v>30</v>
      </c>
      <c r="D479" s="83">
        <f>SUMIFS(D480:D6462,K480:K6462,"0",B480:B6462,"1 2 4 7 1 12 31111 6*")-SUMIFS(E480:E6462,K480:K6462,"0",B480:B6462,"1 2 4 7 1 12 31111 6*")</f>
        <v>60000</v>
      </c>
      <c r="E479" s="54"/>
      <c r="F479" s="83">
        <f>SUMIFS(F480:F6462,K480:K6462,"0",B480:B6462,"1 2 4 7 1 12 31111 6*")</f>
        <v>0</v>
      </c>
      <c r="G479" s="83">
        <f>SUMIFS(G480:G6462,K480:K6462,"0",B480:B6462,"1 2 4 7 1 12 31111 6*")</f>
        <v>0</v>
      </c>
      <c r="H479" s="83">
        <f t="shared" si="7"/>
        <v>60000</v>
      </c>
      <c r="I479" s="83"/>
      <c r="K479" s="54" t="s">
        <v>15</v>
      </c>
    </row>
    <row r="480" spans="2:11" ht="16.5" x14ac:dyDescent="0.2">
      <c r="B480" s="82" t="s">
        <v>1427</v>
      </c>
      <c r="C480" s="82" t="s">
        <v>1428</v>
      </c>
      <c r="D480" s="83">
        <f>SUMIFS(D481:D6462,K481:K6462,"0",B481:B6462,"1 2 4 7 1 12 31111 6 M59*")-SUMIFS(E481:E6462,K481:K6462,"0",B481:B6462,"1 2 4 7 1 12 31111 6 M59*")</f>
        <v>60000</v>
      </c>
      <c r="E480" s="54"/>
      <c r="F480" s="83">
        <f>SUMIFS(F481:F6462,K481:K6462,"0",B481:B6462,"1 2 4 7 1 12 31111 6 M59*")</f>
        <v>0</v>
      </c>
      <c r="G480" s="83">
        <f>SUMIFS(G481:G6462,K481:K6462,"0",B481:B6462,"1 2 4 7 1 12 31111 6 M59*")</f>
        <v>0</v>
      </c>
      <c r="H480" s="83">
        <f t="shared" si="7"/>
        <v>60000</v>
      </c>
      <c r="I480" s="83"/>
      <c r="K480" s="54" t="s">
        <v>15</v>
      </c>
    </row>
    <row r="481" spans="2:11" ht="16.5" x14ac:dyDescent="0.2">
      <c r="B481" s="82" t="s">
        <v>1429</v>
      </c>
      <c r="C481" s="82" t="s">
        <v>34</v>
      </c>
      <c r="D481" s="83">
        <f>SUMIFS(D482:D6462,K482:K6462,"0",B482:B6462,"1 2 4 7 1 12 31111 6 M59 00001*")-SUMIFS(E482:E6462,K482:K6462,"0",B482:B6462,"1 2 4 7 1 12 31111 6 M59 00001*")</f>
        <v>60000</v>
      </c>
      <c r="E481" s="54"/>
      <c r="F481" s="83">
        <f>SUMIFS(F482:F6462,K482:K6462,"0",B482:B6462,"1 2 4 7 1 12 31111 6 M59 00001*")</f>
        <v>0</v>
      </c>
      <c r="G481" s="83">
        <f>SUMIFS(G482:G6462,K482:K6462,"0",B482:B6462,"1 2 4 7 1 12 31111 6 M59 00001*")</f>
        <v>0</v>
      </c>
      <c r="H481" s="83">
        <f t="shared" si="7"/>
        <v>60000</v>
      </c>
      <c r="I481" s="83"/>
      <c r="K481" s="54" t="s">
        <v>15</v>
      </c>
    </row>
    <row r="482" spans="2:11" ht="16.5" x14ac:dyDescent="0.2">
      <c r="B482" s="84" t="s">
        <v>1430</v>
      </c>
      <c r="C482" s="84" t="s">
        <v>1431</v>
      </c>
      <c r="D482" s="85">
        <v>60000</v>
      </c>
      <c r="E482" s="85"/>
      <c r="F482" s="85">
        <v>0</v>
      </c>
      <c r="G482" s="85">
        <v>0</v>
      </c>
      <c r="H482" s="85">
        <f t="shared" si="7"/>
        <v>60000</v>
      </c>
      <c r="I482" s="85"/>
      <c r="K482" s="54" t="s">
        <v>38</v>
      </c>
    </row>
    <row r="483" spans="2:11" ht="12.75" x14ac:dyDescent="0.2">
      <c r="B483" s="82" t="s">
        <v>1432</v>
      </c>
      <c r="C483" s="82" t="s">
        <v>1433</v>
      </c>
      <c r="D483" s="83">
        <f>SUMIFS(D484:D6462,K484:K6462,"0",B484:B6462,"1 2 5*")-SUMIFS(E484:E6462,K484:K6462,"0",B484:B6462,"1 2 5*")</f>
        <v>4860.3999999999996</v>
      </c>
      <c r="E483" s="54"/>
      <c r="F483" s="83">
        <f>SUMIFS(F484:F6462,K484:K6462,"0",B484:B6462,"1 2 5*")</f>
        <v>0</v>
      </c>
      <c r="G483" s="83">
        <f>SUMIFS(G484:G6462,K484:K6462,"0",B484:B6462,"1 2 5*")</f>
        <v>0</v>
      </c>
      <c r="H483" s="83">
        <f t="shared" si="7"/>
        <v>4860.3999999999996</v>
      </c>
      <c r="I483" s="83"/>
      <c r="K483" s="54" t="s">
        <v>15</v>
      </c>
    </row>
    <row r="484" spans="2:11" ht="12.75" x14ac:dyDescent="0.2">
      <c r="B484" s="82" t="s">
        <v>1434</v>
      </c>
      <c r="C484" s="82" t="s">
        <v>1435</v>
      </c>
      <c r="D484" s="83">
        <f>SUMIFS(D485:D6462,K485:K6462,"0",B485:B6462,"1 2 5 1*")-SUMIFS(E485:E6462,K485:K6462,"0",B485:B6462,"1 2 5 1*")</f>
        <v>4860.3999999999996</v>
      </c>
      <c r="E484" s="54"/>
      <c r="F484" s="83">
        <f>SUMIFS(F485:F6462,K485:K6462,"0",B485:B6462,"1 2 5 1*")</f>
        <v>0</v>
      </c>
      <c r="G484" s="83">
        <f>SUMIFS(G485:G6462,K485:K6462,"0",B485:B6462,"1 2 5 1*")</f>
        <v>0</v>
      </c>
      <c r="H484" s="83">
        <f t="shared" si="7"/>
        <v>4860.3999999999996</v>
      </c>
      <c r="I484" s="83"/>
      <c r="K484" s="54" t="s">
        <v>15</v>
      </c>
    </row>
    <row r="485" spans="2:11" ht="12.75" x14ac:dyDescent="0.2">
      <c r="B485" s="82" t="s">
        <v>1436</v>
      </c>
      <c r="C485" s="82" t="s">
        <v>1435</v>
      </c>
      <c r="D485" s="83">
        <f>SUMIFS(D486:D6462,K486:K6462,"0",B486:B6462,"1 2 5 1 1*")-SUMIFS(E486:E6462,K486:K6462,"0",B486:B6462,"1 2 5 1 1*")</f>
        <v>4860.3999999999996</v>
      </c>
      <c r="E485" s="54"/>
      <c r="F485" s="83">
        <f>SUMIFS(F486:F6462,K486:K6462,"0",B486:B6462,"1 2 5 1 1*")</f>
        <v>0</v>
      </c>
      <c r="G485" s="83">
        <f>SUMIFS(G486:G6462,K486:K6462,"0",B486:B6462,"1 2 5 1 1*")</f>
        <v>0</v>
      </c>
      <c r="H485" s="83">
        <f t="shared" si="7"/>
        <v>4860.3999999999996</v>
      </c>
      <c r="I485" s="83"/>
      <c r="K485" s="54" t="s">
        <v>15</v>
      </c>
    </row>
    <row r="486" spans="2:11" ht="12.75" x14ac:dyDescent="0.2">
      <c r="B486" s="82" t="s">
        <v>1437</v>
      </c>
      <c r="C486" s="82" t="s">
        <v>26</v>
      </c>
      <c r="D486" s="83">
        <f>SUMIFS(D487:D6462,K487:K6462,"0",B487:B6462,"1 2 5 1 1 12*")-SUMIFS(E487:E6462,K487:K6462,"0",B487:B6462,"1 2 5 1 1 12*")</f>
        <v>4860.3999999999996</v>
      </c>
      <c r="E486" s="54"/>
      <c r="F486" s="83">
        <f>SUMIFS(F487:F6462,K487:K6462,"0",B487:B6462,"1 2 5 1 1 12*")</f>
        <v>0</v>
      </c>
      <c r="G486" s="83">
        <f>SUMIFS(G487:G6462,K487:K6462,"0",B487:B6462,"1 2 5 1 1 12*")</f>
        <v>0</v>
      </c>
      <c r="H486" s="83">
        <f t="shared" si="7"/>
        <v>4860.3999999999996</v>
      </c>
      <c r="I486" s="83"/>
      <c r="K486" s="54" t="s">
        <v>15</v>
      </c>
    </row>
    <row r="487" spans="2:11" ht="16.5" x14ac:dyDescent="0.2">
      <c r="B487" s="82" t="s">
        <v>1438</v>
      </c>
      <c r="C487" s="82" t="s">
        <v>28</v>
      </c>
      <c r="D487" s="83">
        <f>SUMIFS(D488:D6462,K488:K6462,"0",B488:B6462,"1 2 5 1 1 12 31111*")-SUMIFS(E488:E6462,K488:K6462,"0",B488:B6462,"1 2 5 1 1 12 31111*")</f>
        <v>4860.3999999999996</v>
      </c>
      <c r="E487" s="54"/>
      <c r="F487" s="83">
        <f>SUMIFS(F488:F6462,K488:K6462,"0",B488:B6462,"1 2 5 1 1 12 31111*")</f>
        <v>0</v>
      </c>
      <c r="G487" s="83">
        <f>SUMIFS(G488:G6462,K488:K6462,"0",B488:B6462,"1 2 5 1 1 12 31111*")</f>
        <v>0</v>
      </c>
      <c r="H487" s="83">
        <f t="shared" si="7"/>
        <v>4860.3999999999996</v>
      </c>
      <c r="I487" s="83"/>
      <c r="K487" s="54" t="s">
        <v>15</v>
      </c>
    </row>
    <row r="488" spans="2:11" ht="12.75" x14ac:dyDescent="0.2">
      <c r="B488" s="82" t="s">
        <v>1439</v>
      </c>
      <c r="C488" s="82" t="s">
        <v>30</v>
      </c>
      <c r="D488" s="83">
        <f>SUMIFS(D489:D6462,K489:K6462,"0",B489:B6462,"1 2 5 1 1 12 31111 6*")-SUMIFS(E489:E6462,K489:K6462,"0",B489:B6462,"1 2 5 1 1 12 31111 6*")</f>
        <v>4860.3999999999996</v>
      </c>
      <c r="E488" s="54"/>
      <c r="F488" s="83">
        <f>SUMIFS(F489:F6462,K489:K6462,"0",B489:B6462,"1 2 5 1 1 12 31111 6*")</f>
        <v>0</v>
      </c>
      <c r="G488" s="83">
        <f>SUMIFS(G489:G6462,K489:K6462,"0",B489:B6462,"1 2 5 1 1 12 31111 6*")</f>
        <v>0</v>
      </c>
      <c r="H488" s="83">
        <f t="shared" si="7"/>
        <v>4860.3999999999996</v>
      </c>
      <c r="I488" s="83"/>
      <c r="K488" s="54" t="s">
        <v>15</v>
      </c>
    </row>
    <row r="489" spans="2:11" ht="12.75" x14ac:dyDescent="0.2">
      <c r="B489" s="82" t="s">
        <v>1440</v>
      </c>
      <c r="C489" s="82" t="s">
        <v>32</v>
      </c>
      <c r="D489" s="83">
        <f>SUMIFS(D490:D6462,K490:K6462,"0",B490:B6462,"1 2 5 1 1 12 31111 6 M59*")-SUMIFS(E490:E6462,K490:K6462,"0",B490:B6462,"1 2 5 1 1 12 31111 6 M59*")</f>
        <v>4860.3999999999996</v>
      </c>
      <c r="E489" s="54"/>
      <c r="F489" s="83">
        <f>SUMIFS(F490:F6462,K490:K6462,"0",B490:B6462,"1 2 5 1 1 12 31111 6 M59*")</f>
        <v>0</v>
      </c>
      <c r="G489" s="83">
        <f>SUMIFS(G490:G6462,K490:K6462,"0",B490:B6462,"1 2 5 1 1 12 31111 6 M59*")</f>
        <v>0</v>
      </c>
      <c r="H489" s="83">
        <f t="shared" si="7"/>
        <v>4860.3999999999996</v>
      </c>
      <c r="I489" s="83"/>
      <c r="K489" s="54" t="s">
        <v>15</v>
      </c>
    </row>
    <row r="490" spans="2:11" ht="16.5" x14ac:dyDescent="0.2">
      <c r="B490" s="82" t="s">
        <v>1441</v>
      </c>
      <c r="C490" s="82" t="s">
        <v>34</v>
      </c>
      <c r="D490" s="83">
        <f>SUMIFS(D491:D6462,K491:K6462,"0",B491:B6462,"1 2 5 1 1 12 31111 6 M59 00001*")-SUMIFS(E491:E6462,K491:K6462,"0",B491:B6462,"1 2 5 1 1 12 31111 6 M59 00001*")</f>
        <v>4860.3999999999996</v>
      </c>
      <c r="E490" s="54"/>
      <c r="F490" s="83">
        <f>SUMIFS(F491:F6462,K491:K6462,"0",B491:B6462,"1 2 5 1 1 12 31111 6 M59 00001*")</f>
        <v>0</v>
      </c>
      <c r="G490" s="83">
        <f>SUMIFS(G491:G6462,K491:K6462,"0",B491:B6462,"1 2 5 1 1 12 31111 6 M59 00001*")</f>
        <v>0</v>
      </c>
      <c r="H490" s="83">
        <f t="shared" si="7"/>
        <v>4860.3999999999996</v>
      </c>
      <c r="I490" s="83"/>
      <c r="K490" s="54" t="s">
        <v>15</v>
      </c>
    </row>
    <row r="491" spans="2:11" ht="16.5" x14ac:dyDescent="0.2">
      <c r="B491" s="84" t="s">
        <v>1442</v>
      </c>
      <c r="C491" s="84" t="s">
        <v>203</v>
      </c>
      <c r="D491" s="85">
        <v>4860.3999999999996</v>
      </c>
      <c r="E491" s="85"/>
      <c r="F491" s="85">
        <v>0</v>
      </c>
      <c r="G491" s="85">
        <v>0</v>
      </c>
      <c r="H491" s="85">
        <f t="shared" si="7"/>
        <v>4860.3999999999996</v>
      </c>
      <c r="I491" s="85"/>
      <c r="K491" s="54" t="s">
        <v>38</v>
      </c>
    </row>
    <row r="492" spans="2:11" ht="24.75" x14ac:dyDescent="0.2">
      <c r="B492" s="82" t="s">
        <v>1446</v>
      </c>
      <c r="C492" s="82" t="s">
        <v>1447</v>
      </c>
      <c r="D492" s="54"/>
      <c r="E492" s="83">
        <f>SUMIFS(E493:E6462,K493:K6462,"0",B493:B6462,"1 2 6*")-SUMIFS(D493:D6462,K493:K6462,"0",B493:B6462,"1 2 6*")</f>
        <v>13599036.42</v>
      </c>
      <c r="F492" s="83">
        <f>SUMIFS(F493:F6462,K493:K6462,"0",B493:B6462,"1 2 6*")</f>
        <v>0</v>
      </c>
      <c r="G492" s="83">
        <f>SUMIFS(G493:G6462,K493:K6462,"0",B493:B6462,"1 2 6*")</f>
        <v>297011.96999999997</v>
      </c>
      <c r="H492" s="83"/>
      <c r="I492" s="83">
        <f t="shared" ref="I492:I555" si="8">E492 - F492 + G492</f>
        <v>13896048.390000001</v>
      </c>
      <c r="K492" s="54" t="s">
        <v>15</v>
      </c>
    </row>
    <row r="493" spans="2:11" ht="16.5" x14ac:dyDescent="0.2">
      <c r="B493" s="82" t="s">
        <v>1448</v>
      </c>
      <c r="C493" s="82" t="s">
        <v>1449</v>
      </c>
      <c r="D493" s="54"/>
      <c r="E493" s="83">
        <f>SUMIFS(E494:E6462,K494:K6462,"0",B494:B6462,"1 2 6 3*")-SUMIFS(D494:D6462,K494:K6462,"0",B494:B6462,"1 2 6 3*")</f>
        <v>13599036.42</v>
      </c>
      <c r="F493" s="83">
        <f>SUMIFS(F494:F6462,K494:K6462,"0",B494:B6462,"1 2 6 3*")</f>
        <v>0</v>
      </c>
      <c r="G493" s="83">
        <f>SUMIFS(G494:G6462,K494:K6462,"0",B494:B6462,"1 2 6 3*")</f>
        <v>297011.96999999997</v>
      </c>
      <c r="H493" s="83"/>
      <c r="I493" s="83">
        <f t="shared" si="8"/>
        <v>13896048.390000001</v>
      </c>
      <c r="K493" s="54" t="s">
        <v>15</v>
      </c>
    </row>
    <row r="494" spans="2:11" ht="24.75" x14ac:dyDescent="0.2">
      <c r="B494" s="82" t="s">
        <v>1450</v>
      </c>
      <c r="C494" s="82" t="s">
        <v>1451</v>
      </c>
      <c r="D494" s="54"/>
      <c r="E494" s="83">
        <f>SUMIFS(E495:E6462,K495:K6462,"0",B495:B6462,"1 2 6 3 1*")-SUMIFS(D495:D6462,K495:K6462,"0",B495:B6462,"1 2 6 3 1*")</f>
        <v>13599036.42</v>
      </c>
      <c r="F494" s="83">
        <f>SUMIFS(F495:F6462,K495:K6462,"0",B495:B6462,"1 2 6 3 1*")</f>
        <v>0</v>
      </c>
      <c r="G494" s="83">
        <f>SUMIFS(G495:G6462,K495:K6462,"0",B495:B6462,"1 2 6 3 1*")</f>
        <v>297011.96999999997</v>
      </c>
      <c r="H494" s="83"/>
      <c r="I494" s="83">
        <f t="shared" si="8"/>
        <v>13896048.390000001</v>
      </c>
      <c r="K494" s="54" t="s">
        <v>15</v>
      </c>
    </row>
    <row r="495" spans="2:11" ht="12.75" x14ac:dyDescent="0.2">
      <c r="B495" s="82" t="s">
        <v>1452</v>
      </c>
      <c r="C495" s="82" t="s">
        <v>26</v>
      </c>
      <c r="D495" s="54"/>
      <c r="E495" s="83">
        <f>SUMIFS(E496:E6462,K496:K6462,"0",B496:B6462,"1 2 6 3 1 12*")-SUMIFS(D496:D6462,K496:K6462,"0",B496:B6462,"1 2 6 3 1 12*")</f>
        <v>13599036.42</v>
      </c>
      <c r="F495" s="83">
        <f>SUMIFS(F496:F6462,K496:K6462,"0",B496:B6462,"1 2 6 3 1 12*")</f>
        <v>0</v>
      </c>
      <c r="G495" s="83">
        <f>SUMIFS(G496:G6462,K496:K6462,"0",B496:B6462,"1 2 6 3 1 12*")</f>
        <v>297011.96999999997</v>
      </c>
      <c r="H495" s="83"/>
      <c r="I495" s="83">
        <f t="shared" si="8"/>
        <v>13896048.390000001</v>
      </c>
      <c r="K495" s="54" t="s">
        <v>15</v>
      </c>
    </row>
    <row r="496" spans="2:11" ht="16.5" x14ac:dyDescent="0.2">
      <c r="B496" s="82" t="s">
        <v>1453</v>
      </c>
      <c r="C496" s="82" t="s">
        <v>28</v>
      </c>
      <c r="D496" s="54"/>
      <c r="E496" s="83">
        <f>SUMIFS(E497:E6462,K497:K6462,"0",B497:B6462,"1 2 6 3 1 12 31111*")-SUMIFS(D497:D6462,K497:K6462,"0",B497:B6462,"1 2 6 3 1 12 31111*")</f>
        <v>13599036.42</v>
      </c>
      <c r="F496" s="83">
        <f>SUMIFS(F497:F6462,K497:K6462,"0",B497:B6462,"1 2 6 3 1 12 31111*")</f>
        <v>0</v>
      </c>
      <c r="G496" s="83">
        <f>SUMIFS(G497:G6462,K497:K6462,"0",B497:B6462,"1 2 6 3 1 12 31111*")</f>
        <v>297011.96999999997</v>
      </c>
      <c r="H496" s="83"/>
      <c r="I496" s="83">
        <f t="shared" si="8"/>
        <v>13896048.390000001</v>
      </c>
      <c r="K496" s="54" t="s">
        <v>15</v>
      </c>
    </row>
    <row r="497" spans="2:11" ht="12.75" x14ac:dyDescent="0.2">
      <c r="B497" s="82" t="s">
        <v>1454</v>
      </c>
      <c r="C497" s="82" t="s">
        <v>30</v>
      </c>
      <c r="D497" s="54"/>
      <c r="E497" s="83">
        <f>SUMIFS(E498:E6462,K498:K6462,"0",B498:B6462,"1 2 6 3 1 12 31111 6*")-SUMIFS(D498:D6462,K498:K6462,"0",B498:B6462,"1 2 6 3 1 12 31111 6*")</f>
        <v>13599036.42</v>
      </c>
      <c r="F497" s="83">
        <f>SUMIFS(F498:F6462,K498:K6462,"0",B498:B6462,"1 2 6 3 1 12 31111 6*")</f>
        <v>0</v>
      </c>
      <c r="G497" s="83">
        <f>SUMIFS(G498:G6462,K498:K6462,"0",B498:B6462,"1 2 6 3 1 12 31111 6*")</f>
        <v>297011.96999999997</v>
      </c>
      <c r="H497" s="83"/>
      <c r="I497" s="83">
        <f t="shared" si="8"/>
        <v>13896048.390000001</v>
      </c>
      <c r="K497" s="54" t="s">
        <v>15</v>
      </c>
    </row>
    <row r="498" spans="2:11" ht="16.5" x14ac:dyDescent="0.2">
      <c r="B498" s="82" t="s">
        <v>1455</v>
      </c>
      <c r="C498" s="82" t="s">
        <v>32</v>
      </c>
      <c r="D498" s="54"/>
      <c r="E498" s="83">
        <f>SUMIFS(E499:E6462,K499:K6462,"0",B499:B6462,"1 2 6 3 1 12 31111 6 M59*")-SUMIFS(D499:D6462,K499:K6462,"0",B499:B6462,"1 2 6 3 1 12 31111 6 M59*")</f>
        <v>13599036.42</v>
      </c>
      <c r="F498" s="83">
        <f>SUMIFS(F499:F6462,K499:K6462,"0",B499:B6462,"1 2 6 3 1 12 31111 6 M59*")</f>
        <v>0</v>
      </c>
      <c r="G498" s="83">
        <f>SUMIFS(G499:G6462,K499:K6462,"0",B499:B6462,"1 2 6 3 1 12 31111 6 M59*")</f>
        <v>297011.96999999997</v>
      </c>
      <c r="H498" s="83"/>
      <c r="I498" s="83">
        <f t="shared" si="8"/>
        <v>13896048.390000001</v>
      </c>
      <c r="K498" s="54" t="s">
        <v>15</v>
      </c>
    </row>
    <row r="499" spans="2:11" ht="16.5" x14ac:dyDescent="0.2">
      <c r="B499" s="82" t="s">
        <v>1456</v>
      </c>
      <c r="C499" s="82" t="s">
        <v>34</v>
      </c>
      <c r="D499" s="54"/>
      <c r="E499" s="83">
        <f>SUMIFS(E500:E6462,K500:K6462,"0",B500:B6462,"1 2 6 3 1 12 31111 6 M59 00001*")-SUMIFS(D500:D6462,K500:K6462,"0",B500:B6462,"1 2 6 3 1 12 31111 6 M59 00001*")</f>
        <v>13599036.42</v>
      </c>
      <c r="F499" s="83">
        <f>SUMIFS(F500:F6462,K500:K6462,"0",B500:B6462,"1 2 6 3 1 12 31111 6 M59 00001*")</f>
        <v>0</v>
      </c>
      <c r="G499" s="83">
        <f>SUMIFS(G500:G6462,K500:K6462,"0",B500:B6462,"1 2 6 3 1 12 31111 6 M59 00001*")</f>
        <v>297011.96999999997</v>
      </c>
      <c r="H499" s="83"/>
      <c r="I499" s="83">
        <f t="shared" si="8"/>
        <v>13896048.390000001</v>
      </c>
      <c r="K499" s="54" t="s">
        <v>15</v>
      </c>
    </row>
    <row r="500" spans="2:11" ht="16.5" x14ac:dyDescent="0.2">
      <c r="B500" s="84" t="s">
        <v>1457</v>
      </c>
      <c r="C500" s="84" t="s">
        <v>203</v>
      </c>
      <c r="D500" s="85"/>
      <c r="E500" s="85">
        <v>13200022.23</v>
      </c>
      <c r="F500" s="85">
        <v>0</v>
      </c>
      <c r="G500" s="85">
        <v>297011.96999999997</v>
      </c>
      <c r="H500" s="85"/>
      <c r="I500" s="85">
        <f t="shared" si="8"/>
        <v>13497034.200000001</v>
      </c>
      <c r="K500" s="54" t="s">
        <v>38</v>
      </c>
    </row>
    <row r="501" spans="2:11" ht="16.5" x14ac:dyDescent="0.2">
      <c r="B501" s="84" t="s">
        <v>1458</v>
      </c>
      <c r="C501" s="84" t="s">
        <v>1004</v>
      </c>
      <c r="D501" s="85"/>
      <c r="E501" s="85">
        <v>1843.14</v>
      </c>
      <c r="F501" s="85">
        <v>0</v>
      </c>
      <c r="G501" s="85">
        <v>0</v>
      </c>
      <c r="H501" s="85"/>
      <c r="I501" s="85">
        <f t="shared" si="8"/>
        <v>1843.14</v>
      </c>
      <c r="K501" s="54" t="s">
        <v>38</v>
      </c>
    </row>
    <row r="502" spans="2:11" ht="16.5" x14ac:dyDescent="0.2">
      <c r="B502" s="84" t="s">
        <v>1459</v>
      </c>
      <c r="C502" s="84" t="s">
        <v>1022</v>
      </c>
      <c r="D502" s="85"/>
      <c r="E502" s="85">
        <v>48540</v>
      </c>
      <c r="F502" s="85">
        <v>0</v>
      </c>
      <c r="G502" s="85">
        <v>0</v>
      </c>
      <c r="H502" s="85"/>
      <c r="I502" s="85">
        <f t="shared" si="8"/>
        <v>48540</v>
      </c>
      <c r="K502" s="54" t="s">
        <v>38</v>
      </c>
    </row>
    <row r="503" spans="2:11" ht="16.5" x14ac:dyDescent="0.2">
      <c r="B503" s="84" t="s">
        <v>1460</v>
      </c>
      <c r="C503" s="84" t="s">
        <v>457</v>
      </c>
      <c r="D503" s="85"/>
      <c r="E503" s="85">
        <v>27734.5</v>
      </c>
      <c r="F503" s="85">
        <v>0</v>
      </c>
      <c r="G503" s="85">
        <v>0</v>
      </c>
      <c r="H503" s="85"/>
      <c r="I503" s="85">
        <f t="shared" si="8"/>
        <v>27734.5</v>
      </c>
      <c r="K503" s="54" t="s">
        <v>38</v>
      </c>
    </row>
    <row r="504" spans="2:11" ht="16.5" x14ac:dyDescent="0.2">
      <c r="B504" s="84" t="s">
        <v>1461</v>
      </c>
      <c r="C504" s="84" t="s">
        <v>1462</v>
      </c>
      <c r="D504" s="85"/>
      <c r="E504" s="85">
        <v>1660.86</v>
      </c>
      <c r="F504" s="85">
        <v>0</v>
      </c>
      <c r="G504" s="85">
        <v>0</v>
      </c>
      <c r="H504" s="85"/>
      <c r="I504" s="85">
        <f t="shared" si="8"/>
        <v>1660.86</v>
      </c>
      <c r="K504" s="54" t="s">
        <v>38</v>
      </c>
    </row>
    <row r="505" spans="2:11" ht="16.5" x14ac:dyDescent="0.2">
      <c r="B505" s="84" t="s">
        <v>1463</v>
      </c>
      <c r="C505" s="84" t="s">
        <v>1126</v>
      </c>
      <c r="D505" s="85"/>
      <c r="E505" s="85">
        <v>284.22000000000003</v>
      </c>
      <c r="F505" s="85">
        <v>0</v>
      </c>
      <c r="G505" s="85">
        <v>0</v>
      </c>
      <c r="H505" s="85"/>
      <c r="I505" s="85">
        <f t="shared" si="8"/>
        <v>284.22000000000003</v>
      </c>
      <c r="K505" s="54" t="s">
        <v>38</v>
      </c>
    </row>
    <row r="506" spans="2:11" ht="16.5" x14ac:dyDescent="0.2">
      <c r="B506" s="84" t="s">
        <v>1464</v>
      </c>
      <c r="C506" s="84" t="s">
        <v>1465</v>
      </c>
      <c r="D506" s="85"/>
      <c r="E506" s="85">
        <v>2099.6999999999998</v>
      </c>
      <c r="F506" s="85">
        <v>0</v>
      </c>
      <c r="G506" s="85">
        <v>0</v>
      </c>
      <c r="H506" s="85"/>
      <c r="I506" s="85">
        <f t="shared" si="8"/>
        <v>2099.6999999999998</v>
      </c>
      <c r="K506" s="54" t="s">
        <v>38</v>
      </c>
    </row>
    <row r="507" spans="2:11" ht="16.5" x14ac:dyDescent="0.2">
      <c r="B507" s="84" t="s">
        <v>1466</v>
      </c>
      <c r="C507" s="84" t="s">
        <v>1128</v>
      </c>
      <c r="D507" s="85"/>
      <c r="E507" s="85">
        <v>2801.72</v>
      </c>
      <c r="F507" s="85">
        <v>0</v>
      </c>
      <c r="G507" s="85">
        <v>0</v>
      </c>
      <c r="H507" s="85"/>
      <c r="I507" s="85">
        <f t="shared" si="8"/>
        <v>2801.72</v>
      </c>
      <c r="K507" s="54" t="s">
        <v>38</v>
      </c>
    </row>
    <row r="508" spans="2:11" ht="16.5" x14ac:dyDescent="0.2">
      <c r="B508" s="84" t="s">
        <v>1467</v>
      </c>
      <c r="C508" s="84" t="s">
        <v>1151</v>
      </c>
      <c r="D508" s="85"/>
      <c r="E508" s="85">
        <v>3474.96</v>
      </c>
      <c r="F508" s="85">
        <v>0</v>
      </c>
      <c r="G508" s="85">
        <v>0</v>
      </c>
      <c r="H508" s="85"/>
      <c r="I508" s="85">
        <f t="shared" si="8"/>
        <v>3474.96</v>
      </c>
      <c r="K508" s="54" t="s">
        <v>38</v>
      </c>
    </row>
    <row r="509" spans="2:11" ht="24.75" x14ac:dyDescent="0.2">
      <c r="B509" s="84" t="s">
        <v>1468</v>
      </c>
      <c r="C509" s="84" t="s">
        <v>1130</v>
      </c>
      <c r="D509" s="85"/>
      <c r="E509" s="85">
        <v>980.19</v>
      </c>
      <c r="F509" s="85">
        <v>0</v>
      </c>
      <c r="G509" s="85">
        <v>0</v>
      </c>
      <c r="H509" s="85"/>
      <c r="I509" s="85">
        <f t="shared" si="8"/>
        <v>980.19</v>
      </c>
      <c r="K509" s="54" t="s">
        <v>38</v>
      </c>
    </row>
    <row r="510" spans="2:11" ht="16.5" x14ac:dyDescent="0.2">
      <c r="B510" s="84" t="s">
        <v>1469</v>
      </c>
      <c r="C510" s="84" t="s">
        <v>1331</v>
      </c>
      <c r="D510" s="85"/>
      <c r="E510" s="85">
        <v>17400</v>
      </c>
      <c r="F510" s="85">
        <v>0</v>
      </c>
      <c r="G510" s="85">
        <v>0</v>
      </c>
      <c r="H510" s="85"/>
      <c r="I510" s="85">
        <f t="shared" si="8"/>
        <v>17400</v>
      </c>
      <c r="K510" s="54" t="s">
        <v>38</v>
      </c>
    </row>
    <row r="511" spans="2:11" ht="16.5" x14ac:dyDescent="0.2">
      <c r="B511" s="84" t="s">
        <v>1470</v>
      </c>
      <c r="C511" s="84" t="s">
        <v>1025</v>
      </c>
      <c r="D511" s="85"/>
      <c r="E511" s="85">
        <v>5699.7</v>
      </c>
      <c r="F511" s="85">
        <v>0</v>
      </c>
      <c r="G511" s="85">
        <v>0</v>
      </c>
      <c r="H511" s="85"/>
      <c r="I511" s="85">
        <f t="shared" si="8"/>
        <v>5699.7</v>
      </c>
      <c r="K511" s="54" t="s">
        <v>38</v>
      </c>
    </row>
    <row r="512" spans="2:11" ht="33" x14ac:dyDescent="0.2">
      <c r="B512" s="84" t="s">
        <v>1471</v>
      </c>
      <c r="C512" s="84" t="s">
        <v>984</v>
      </c>
      <c r="D512" s="85"/>
      <c r="E512" s="85">
        <v>20839.2</v>
      </c>
      <c r="F512" s="85">
        <v>0</v>
      </c>
      <c r="G512" s="85">
        <v>0</v>
      </c>
      <c r="H512" s="85"/>
      <c r="I512" s="85">
        <f t="shared" si="8"/>
        <v>20839.2</v>
      </c>
      <c r="K512" s="54" t="s">
        <v>38</v>
      </c>
    </row>
    <row r="513" spans="2:11" ht="16.5" x14ac:dyDescent="0.2">
      <c r="B513" s="84" t="s">
        <v>1472</v>
      </c>
      <c r="C513" s="84" t="s">
        <v>1377</v>
      </c>
      <c r="D513" s="85"/>
      <c r="E513" s="85">
        <v>3306</v>
      </c>
      <c r="F513" s="85">
        <v>0</v>
      </c>
      <c r="G513" s="85">
        <v>0</v>
      </c>
      <c r="H513" s="85"/>
      <c r="I513" s="85">
        <f t="shared" si="8"/>
        <v>3306</v>
      </c>
      <c r="K513" s="54" t="s">
        <v>38</v>
      </c>
    </row>
    <row r="514" spans="2:11" ht="16.5" x14ac:dyDescent="0.2">
      <c r="B514" s="84" t="s">
        <v>1473</v>
      </c>
      <c r="C514" s="84" t="s">
        <v>1346</v>
      </c>
      <c r="D514" s="85"/>
      <c r="E514" s="85">
        <v>123600</v>
      </c>
      <c r="F514" s="85">
        <v>0</v>
      </c>
      <c r="G514" s="85">
        <v>0</v>
      </c>
      <c r="H514" s="85"/>
      <c r="I514" s="85">
        <f t="shared" si="8"/>
        <v>123600</v>
      </c>
      <c r="K514" s="54" t="s">
        <v>38</v>
      </c>
    </row>
    <row r="515" spans="2:11" ht="16.5" x14ac:dyDescent="0.2">
      <c r="B515" s="84" t="s">
        <v>1474</v>
      </c>
      <c r="C515" s="84" t="s">
        <v>1224</v>
      </c>
      <c r="D515" s="85"/>
      <c r="E515" s="85">
        <v>138750</v>
      </c>
      <c r="F515" s="85">
        <v>0</v>
      </c>
      <c r="G515" s="85">
        <v>0</v>
      </c>
      <c r="H515" s="85"/>
      <c r="I515" s="85">
        <f t="shared" si="8"/>
        <v>138750</v>
      </c>
      <c r="K515" s="54" t="s">
        <v>38</v>
      </c>
    </row>
    <row r="516" spans="2:11" ht="12.75" x14ac:dyDescent="0.2">
      <c r="B516" s="82" t="s">
        <v>1496</v>
      </c>
      <c r="C516" s="82" t="s">
        <v>1497</v>
      </c>
      <c r="D516" s="54"/>
      <c r="E516" s="83">
        <f>SUMIFS(E517:E6462,K517:K6462,"0",B517:B6462,"2*")-SUMIFS(D517:D6462,K517:K6462,"0",B517:B6462,"2*")</f>
        <v>8313134.2799999993</v>
      </c>
      <c r="F516" s="83">
        <f>SUMIFS(F517:F6462,K517:K6462,"0",B517:B6462,"2*")</f>
        <v>125277180.06999999</v>
      </c>
      <c r="G516" s="83">
        <f>SUMIFS(G517:G6462,K517:K6462,"0",B517:B6462,"2*")</f>
        <v>127711340.75000001</v>
      </c>
      <c r="H516" s="83"/>
      <c r="I516" s="83">
        <f t="shared" si="8"/>
        <v>10747294.960000023</v>
      </c>
      <c r="K516" s="54" t="s">
        <v>15</v>
      </c>
    </row>
    <row r="517" spans="2:11" ht="12.75" x14ac:dyDescent="0.2">
      <c r="B517" s="82" t="s">
        <v>1498</v>
      </c>
      <c r="C517" s="82" t="s">
        <v>1499</v>
      </c>
      <c r="D517" s="54"/>
      <c r="E517" s="83">
        <f>SUMIFS(E518:E6462,K518:K6462,"0",B518:B6462,"2 1*")-SUMIFS(D518:D6462,K518:K6462,"0",B518:B6462,"2 1*")</f>
        <v>8313134.2799999993</v>
      </c>
      <c r="F517" s="83">
        <f>SUMIFS(F518:F6462,K518:K6462,"0",B518:B6462,"2 1*")</f>
        <v>125277180.06999999</v>
      </c>
      <c r="G517" s="83">
        <f>SUMIFS(G518:G6462,K518:K6462,"0",B518:B6462,"2 1*")</f>
        <v>127711340.75000001</v>
      </c>
      <c r="H517" s="83"/>
      <c r="I517" s="83">
        <f t="shared" si="8"/>
        <v>10747294.960000023</v>
      </c>
      <c r="K517" s="54" t="s">
        <v>15</v>
      </c>
    </row>
    <row r="518" spans="2:11" ht="16.5" x14ac:dyDescent="0.2">
      <c r="B518" s="82" t="s">
        <v>1500</v>
      </c>
      <c r="C518" s="82" t="s">
        <v>1501</v>
      </c>
      <c r="D518" s="54"/>
      <c r="E518" s="83">
        <f>SUMIFS(E519:E6462,K519:K6462,"0",B519:B6462,"2 1 1*")-SUMIFS(D519:D6462,K519:K6462,"0",B519:B6462,"2 1 1*")</f>
        <v>8311569.2799999993</v>
      </c>
      <c r="F518" s="83">
        <f>SUMIFS(F519:F6462,K519:K6462,"0",B519:B6462,"2 1 1*")</f>
        <v>125277180.06999999</v>
      </c>
      <c r="G518" s="83">
        <f>SUMIFS(G519:G6462,K519:K6462,"0",B519:B6462,"2 1 1*")</f>
        <v>127711340.75000001</v>
      </c>
      <c r="H518" s="83"/>
      <c r="I518" s="83">
        <f t="shared" si="8"/>
        <v>10745729.960000023</v>
      </c>
      <c r="K518" s="54" t="s">
        <v>15</v>
      </c>
    </row>
    <row r="519" spans="2:11" ht="16.5" x14ac:dyDescent="0.2">
      <c r="B519" s="82" t="s">
        <v>1502</v>
      </c>
      <c r="C519" s="82" t="s">
        <v>1503</v>
      </c>
      <c r="D519" s="54"/>
      <c r="E519" s="83">
        <f>SUMIFS(E520:E6462,K520:K6462,"0",B520:B6462,"2 1 1 1*")-SUMIFS(D520:D6462,K520:K6462,"0",B520:B6462,"2 1 1 1*")</f>
        <v>355954.79</v>
      </c>
      <c r="F519" s="83">
        <f>SUMIFS(F520:F6462,K520:K6462,"0",B520:B6462,"2 1 1 1*")</f>
        <v>48270371.609999999</v>
      </c>
      <c r="G519" s="83">
        <f>SUMIFS(G520:G6462,K520:K6462,"0",B520:B6462,"2 1 1 1*")</f>
        <v>47661387.770000003</v>
      </c>
      <c r="H519" s="83"/>
      <c r="I519" s="83">
        <f t="shared" si="8"/>
        <v>-253029.04999999702</v>
      </c>
      <c r="K519" s="54" t="s">
        <v>15</v>
      </c>
    </row>
    <row r="520" spans="2:11" ht="24.75" x14ac:dyDescent="0.2">
      <c r="B520" s="82" t="s">
        <v>1504</v>
      </c>
      <c r="C520" s="82" t="s">
        <v>1505</v>
      </c>
      <c r="D520" s="54"/>
      <c r="E520" s="83">
        <f>SUMIFS(E521:E6462,K521:K6462,"0",B521:B6462,"2 1 1 1 1*")-SUMIFS(D521:D6462,K521:K6462,"0",B521:B6462,"2 1 1 1 1*")</f>
        <v>355954.79</v>
      </c>
      <c r="F520" s="83">
        <f>SUMIFS(F521:F6462,K521:K6462,"0",B521:B6462,"2 1 1 1 1*")</f>
        <v>47177702.009999998</v>
      </c>
      <c r="G520" s="83">
        <f>SUMIFS(G521:G6462,K521:K6462,"0",B521:B6462,"2 1 1 1 1*")</f>
        <v>46568718.170000002</v>
      </c>
      <c r="H520" s="83"/>
      <c r="I520" s="83">
        <f t="shared" si="8"/>
        <v>-253029.04999999702</v>
      </c>
      <c r="K520" s="54" t="s">
        <v>15</v>
      </c>
    </row>
    <row r="521" spans="2:11" ht="12.75" x14ac:dyDescent="0.2">
      <c r="B521" s="82" t="s">
        <v>1506</v>
      </c>
      <c r="C521" s="82" t="s">
        <v>26</v>
      </c>
      <c r="D521" s="54"/>
      <c r="E521" s="83">
        <f>SUMIFS(E522:E6462,K522:K6462,"0",B522:B6462,"2 1 1 1 1 12*")-SUMIFS(D522:D6462,K522:K6462,"0",B522:B6462,"2 1 1 1 1 12*")</f>
        <v>355954.79</v>
      </c>
      <c r="F521" s="83">
        <f>SUMIFS(F522:F6462,K522:K6462,"0",B522:B6462,"2 1 1 1 1 12*")</f>
        <v>47177702.009999998</v>
      </c>
      <c r="G521" s="83">
        <f>SUMIFS(G522:G6462,K522:K6462,"0",B522:B6462,"2 1 1 1 1 12*")</f>
        <v>46568718.170000002</v>
      </c>
      <c r="H521" s="83"/>
      <c r="I521" s="83">
        <f t="shared" si="8"/>
        <v>-253029.04999999702</v>
      </c>
      <c r="K521" s="54" t="s">
        <v>15</v>
      </c>
    </row>
    <row r="522" spans="2:11" ht="16.5" x14ac:dyDescent="0.2">
      <c r="B522" s="82" t="s">
        <v>1507</v>
      </c>
      <c r="C522" s="82" t="s">
        <v>28</v>
      </c>
      <c r="D522" s="54"/>
      <c r="E522" s="83">
        <f>SUMIFS(E523:E6462,K523:K6462,"0",B523:B6462,"2 1 1 1 1 12 31111*")-SUMIFS(D523:D6462,K523:K6462,"0",B523:B6462,"2 1 1 1 1 12 31111*")</f>
        <v>355954.79</v>
      </c>
      <c r="F522" s="83">
        <f>SUMIFS(F523:F6462,K523:K6462,"0",B523:B6462,"2 1 1 1 1 12 31111*")</f>
        <v>47177702.009999998</v>
      </c>
      <c r="G522" s="83">
        <f>SUMIFS(G523:G6462,K523:K6462,"0",B523:B6462,"2 1 1 1 1 12 31111*")</f>
        <v>46568718.170000002</v>
      </c>
      <c r="H522" s="83"/>
      <c r="I522" s="83">
        <f t="shared" si="8"/>
        <v>-253029.04999999702</v>
      </c>
      <c r="K522" s="54" t="s">
        <v>15</v>
      </c>
    </row>
    <row r="523" spans="2:11" ht="12.75" x14ac:dyDescent="0.2">
      <c r="B523" s="82" t="s">
        <v>1508</v>
      </c>
      <c r="C523" s="82" t="s">
        <v>30</v>
      </c>
      <c r="D523" s="54"/>
      <c r="E523" s="83">
        <f>SUMIFS(E524:E6462,K524:K6462,"0",B524:B6462,"2 1 1 1 1 12 31111 6*")-SUMIFS(D524:D6462,K524:K6462,"0",B524:B6462,"2 1 1 1 1 12 31111 6*")</f>
        <v>355954.79</v>
      </c>
      <c r="F523" s="83">
        <f>SUMIFS(F524:F6462,K524:K6462,"0",B524:B6462,"2 1 1 1 1 12 31111 6*")</f>
        <v>47177702.009999998</v>
      </c>
      <c r="G523" s="83">
        <f>SUMIFS(G524:G6462,K524:K6462,"0",B524:B6462,"2 1 1 1 1 12 31111 6*")</f>
        <v>46568718.170000002</v>
      </c>
      <c r="H523" s="83"/>
      <c r="I523" s="83">
        <f t="shared" si="8"/>
        <v>-253029.04999999702</v>
      </c>
      <c r="K523" s="54" t="s">
        <v>15</v>
      </c>
    </row>
    <row r="524" spans="2:11" ht="12.75" x14ac:dyDescent="0.2">
      <c r="B524" s="82" t="s">
        <v>1509</v>
      </c>
      <c r="C524" s="82" t="s">
        <v>32</v>
      </c>
      <c r="D524" s="54"/>
      <c r="E524" s="83">
        <f>SUMIFS(E525:E6462,K525:K6462,"0",B525:B6462,"2 1 1 1 1 12 31111 6 M59*")-SUMIFS(D525:D6462,K525:K6462,"0",B525:B6462,"2 1 1 1 1 12 31111 6 M59*")</f>
        <v>355954.79</v>
      </c>
      <c r="F524" s="83">
        <f>SUMIFS(F525:F6462,K525:K6462,"0",B525:B6462,"2 1 1 1 1 12 31111 6 M59*")</f>
        <v>47177702.009999998</v>
      </c>
      <c r="G524" s="83">
        <f>SUMIFS(G525:G6462,K525:K6462,"0",B525:B6462,"2 1 1 1 1 12 31111 6 M59*")</f>
        <v>46568718.170000002</v>
      </c>
      <c r="H524" s="83"/>
      <c r="I524" s="83">
        <f t="shared" si="8"/>
        <v>-253029.04999999702</v>
      </c>
      <c r="K524" s="54" t="s">
        <v>15</v>
      </c>
    </row>
    <row r="525" spans="2:11" ht="16.5" x14ac:dyDescent="0.2">
      <c r="B525" s="82" t="s">
        <v>1510</v>
      </c>
      <c r="C525" s="82" t="s">
        <v>34</v>
      </c>
      <c r="D525" s="54"/>
      <c r="E525" s="83">
        <f>SUMIFS(E526:E6462,K526:K6462,"0",B526:B6462,"2 1 1 1 1 12 31111 6 M59 00001*")-SUMIFS(D526:D6462,K526:K6462,"0",B526:B6462,"2 1 1 1 1 12 31111 6 M59 00001*")</f>
        <v>355954.79</v>
      </c>
      <c r="F525" s="83">
        <f>SUMIFS(F526:F6462,K526:K6462,"0",B526:B6462,"2 1 1 1 1 12 31111 6 M59 00001*")</f>
        <v>47177702.009999998</v>
      </c>
      <c r="G525" s="83">
        <f>SUMIFS(G526:G6462,K526:K6462,"0",B526:B6462,"2 1 1 1 1 12 31111 6 M59 00001*")</f>
        <v>46568718.170000002</v>
      </c>
      <c r="H525" s="83"/>
      <c r="I525" s="83">
        <f t="shared" si="8"/>
        <v>-253029.04999999702</v>
      </c>
      <c r="K525" s="54" t="s">
        <v>15</v>
      </c>
    </row>
    <row r="526" spans="2:11" ht="16.5" x14ac:dyDescent="0.2">
      <c r="B526" s="84" t="s">
        <v>1511</v>
      </c>
      <c r="C526" s="84" t="s">
        <v>1512</v>
      </c>
      <c r="D526" s="85"/>
      <c r="E526" s="85">
        <v>355954.79</v>
      </c>
      <c r="F526" s="85">
        <v>47177702.009999998</v>
      </c>
      <c r="G526" s="85">
        <v>46568718.170000002</v>
      </c>
      <c r="H526" s="85"/>
      <c r="I526" s="85">
        <f t="shared" si="8"/>
        <v>-253029.04999999702</v>
      </c>
      <c r="K526" s="54" t="s">
        <v>38</v>
      </c>
    </row>
    <row r="527" spans="2:11" ht="16.5" x14ac:dyDescent="0.2">
      <c r="B527" s="84" t="s">
        <v>1520</v>
      </c>
      <c r="C527" s="84" t="s">
        <v>1521</v>
      </c>
      <c r="D527" s="85"/>
      <c r="E527" s="85">
        <v>0</v>
      </c>
      <c r="F527" s="85">
        <v>1092669.6000000001</v>
      </c>
      <c r="G527" s="85">
        <v>1092669.6000000001</v>
      </c>
      <c r="H527" s="85"/>
      <c r="I527" s="85">
        <f t="shared" si="8"/>
        <v>0</v>
      </c>
      <c r="K527" s="54" t="s">
        <v>38</v>
      </c>
    </row>
    <row r="528" spans="2:11" ht="16.5" x14ac:dyDescent="0.2">
      <c r="B528" s="82" t="s">
        <v>1522</v>
      </c>
      <c r="C528" s="82" t="s">
        <v>1523</v>
      </c>
      <c r="D528" s="54"/>
      <c r="E528" s="83">
        <f>SUMIFS(E529:E6462,K529:K6462,"0",B529:B6462,"2 1 1 2*")-SUMIFS(D529:D6462,K529:K6462,"0",B529:B6462,"2 1 1 2*")</f>
        <v>38459.53</v>
      </c>
      <c r="F528" s="83">
        <f>SUMIFS(F529:F6462,K529:K6462,"0",B529:B6462,"2 1 1 2*")</f>
        <v>46046073.930000007</v>
      </c>
      <c r="G528" s="83">
        <f>SUMIFS(G529:G6462,K529:K6462,"0",B529:B6462,"2 1 1 2*")</f>
        <v>46046073.750000007</v>
      </c>
      <c r="H528" s="83"/>
      <c r="I528" s="83">
        <f t="shared" si="8"/>
        <v>38459.35000000149</v>
      </c>
      <c r="K528" s="54" t="s">
        <v>15</v>
      </c>
    </row>
    <row r="529" spans="2:11" ht="24.75" x14ac:dyDescent="0.2">
      <c r="B529" s="82" t="s">
        <v>1524</v>
      </c>
      <c r="C529" s="82" t="s">
        <v>1525</v>
      </c>
      <c r="D529" s="54"/>
      <c r="E529" s="83">
        <f>SUMIFS(E530:E6462,K530:K6462,"0",B530:B6462,"2 1 1 2 1*")-SUMIFS(D530:D6462,K530:K6462,"0",B530:B6462,"2 1 1 2 1*")</f>
        <v>38459.53</v>
      </c>
      <c r="F529" s="83">
        <f>SUMIFS(F530:F6462,K530:K6462,"0",B530:B6462,"2 1 1 2 1*")</f>
        <v>44710642.88000001</v>
      </c>
      <c r="G529" s="83">
        <f>SUMIFS(G530:G6462,K530:K6462,"0",B530:B6462,"2 1 1 2 1*")</f>
        <v>44710642.70000001</v>
      </c>
      <c r="H529" s="83"/>
      <c r="I529" s="83">
        <f t="shared" si="8"/>
        <v>38459.35000000149</v>
      </c>
      <c r="K529" s="54" t="s">
        <v>15</v>
      </c>
    </row>
    <row r="530" spans="2:11" ht="12.75" x14ac:dyDescent="0.2">
      <c r="B530" s="82" t="s">
        <v>1526</v>
      </c>
      <c r="C530" s="82" t="s">
        <v>26</v>
      </c>
      <c r="D530" s="54"/>
      <c r="E530" s="83">
        <f>SUMIFS(E531:E6462,K531:K6462,"0",B531:B6462,"2 1 1 2 1 12*")-SUMIFS(D531:D6462,K531:K6462,"0",B531:B6462,"2 1 1 2 1 12*")</f>
        <v>38459.53</v>
      </c>
      <c r="F530" s="83">
        <f>SUMIFS(F531:F6462,K531:K6462,"0",B531:B6462,"2 1 1 2 1 12*")</f>
        <v>44710642.88000001</v>
      </c>
      <c r="G530" s="83">
        <f>SUMIFS(G531:G6462,K531:K6462,"0",B531:B6462,"2 1 1 2 1 12*")</f>
        <v>44710642.70000001</v>
      </c>
      <c r="H530" s="83"/>
      <c r="I530" s="83">
        <f t="shared" si="8"/>
        <v>38459.35000000149</v>
      </c>
      <c r="K530" s="54" t="s">
        <v>15</v>
      </c>
    </row>
    <row r="531" spans="2:11" ht="16.5" x14ac:dyDescent="0.2">
      <c r="B531" s="82" t="s">
        <v>1527</v>
      </c>
      <c r="C531" s="82" t="s">
        <v>28</v>
      </c>
      <c r="D531" s="54"/>
      <c r="E531" s="83">
        <f>SUMIFS(E532:E6462,K532:K6462,"0",B532:B6462,"2 1 1 2 1 12 31111*")-SUMIFS(D532:D6462,K532:K6462,"0",B532:B6462,"2 1 1 2 1 12 31111*")</f>
        <v>38459.53</v>
      </c>
      <c r="F531" s="83">
        <f>SUMIFS(F532:F6462,K532:K6462,"0",B532:B6462,"2 1 1 2 1 12 31111*")</f>
        <v>44710642.88000001</v>
      </c>
      <c r="G531" s="83">
        <f>SUMIFS(G532:G6462,K532:K6462,"0",B532:B6462,"2 1 1 2 1 12 31111*")</f>
        <v>44710642.70000001</v>
      </c>
      <c r="H531" s="83"/>
      <c r="I531" s="83">
        <f t="shared" si="8"/>
        <v>38459.35000000149</v>
      </c>
      <c r="K531" s="54" t="s">
        <v>15</v>
      </c>
    </row>
    <row r="532" spans="2:11" ht="12.75" x14ac:dyDescent="0.2">
      <c r="B532" s="82" t="s">
        <v>1528</v>
      </c>
      <c r="C532" s="82" t="s">
        <v>30</v>
      </c>
      <c r="D532" s="54"/>
      <c r="E532" s="83">
        <f>SUMIFS(E533:E6462,K533:K6462,"0",B533:B6462,"2 1 1 2 1 12 31111 6*")-SUMIFS(D533:D6462,K533:K6462,"0",B533:B6462,"2 1 1 2 1 12 31111 6*")</f>
        <v>38459.53</v>
      </c>
      <c r="F532" s="83">
        <f>SUMIFS(F533:F6462,K533:K6462,"0",B533:B6462,"2 1 1 2 1 12 31111 6*")</f>
        <v>44710642.88000001</v>
      </c>
      <c r="G532" s="83">
        <f>SUMIFS(G533:G6462,K533:K6462,"0",B533:B6462,"2 1 1 2 1 12 31111 6*")</f>
        <v>44710642.70000001</v>
      </c>
      <c r="H532" s="83"/>
      <c r="I532" s="83">
        <f t="shared" si="8"/>
        <v>38459.35000000149</v>
      </c>
      <c r="K532" s="54" t="s">
        <v>15</v>
      </c>
    </row>
    <row r="533" spans="2:11" ht="12.75" x14ac:dyDescent="0.2">
      <c r="B533" s="82" t="s">
        <v>1529</v>
      </c>
      <c r="C533" s="82" t="s">
        <v>32</v>
      </c>
      <c r="D533" s="54"/>
      <c r="E533" s="83">
        <f>SUMIFS(E534:E6462,K534:K6462,"0",B534:B6462,"2 1 1 2 1 12 31111 6 M59*")-SUMIFS(D534:D6462,K534:K6462,"0",B534:B6462,"2 1 1 2 1 12 31111 6 M59*")</f>
        <v>38459.53</v>
      </c>
      <c r="F533" s="83">
        <f>SUMIFS(F534:F6462,K534:K6462,"0",B534:B6462,"2 1 1 2 1 12 31111 6 M59*")</f>
        <v>44710642.88000001</v>
      </c>
      <c r="G533" s="83">
        <f>SUMIFS(G534:G6462,K534:K6462,"0",B534:B6462,"2 1 1 2 1 12 31111 6 M59*")</f>
        <v>44710642.70000001</v>
      </c>
      <c r="H533" s="83"/>
      <c r="I533" s="83">
        <f t="shared" si="8"/>
        <v>38459.35000000149</v>
      </c>
      <c r="K533" s="54" t="s">
        <v>15</v>
      </c>
    </row>
    <row r="534" spans="2:11" ht="16.5" x14ac:dyDescent="0.2">
      <c r="B534" s="82" t="s">
        <v>1530</v>
      </c>
      <c r="C534" s="82" t="s">
        <v>34</v>
      </c>
      <c r="D534" s="54"/>
      <c r="E534" s="83">
        <f>SUMIFS(E535:E6462,K535:K6462,"0",B535:B6462,"2 1 1 2 1 12 31111 6 M59 00001*")-SUMIFS(D535:D6462,K535:K6462,"0",B535:B6462,"2 1 1 2 1 12 31111 6 M59 00001*")</f>
        <v>38459.53</v>
      </c>
      <c r="F534" s="83">
        <f>SUMIFS(F535:F6462,K535:K6462,"0",B535:B6462,"2 1 1 2 1 12 31111 6 M59 00001*")</f>
        <v>44670576.600000009</v>
      </c>
      <c r="G534" s="83">
        <f>SUMIFS(G535:G6462,K535:K6462,"0",B535:B6462,"2 1 1 2 1 12 31111 6 M59 00001*")</f>
        <v>44670576.420000009</v>
      </c>
      <c r="H534" s="83"/>
      <c r="I534" s="83">
        <f t="shared" si="8"/>
        <v>38459.35000000149</v>
      </c>
      <c r="K534" s="54" t="s">
        <v>15</v>
      </c>
    </row>
    <row r="535" spans="2:11" ht="16.5" x14ac:dyDescent="0.2">
      <c r="B535" s="82" t="s">
        <v>1531</v>
      </c>
      <c r="C535" s="82" t="s">
        <v>1532</v>
      </c>
      <c r="D535" s="54"/>
      <c r="E535" s="83">
        <f>SUMIFS(E536:E6462,K536:K6462,"0",B536:B6462,"2 1 1 2 1 12 31111 6 M59 00001 000001*")-SUMIFS(D536:D6462,K536:K6462,"0",B536:B6462,"2 1 1 2 1 12 31111 6 M59 00001 000001*")</f>
        <v>0</v>
      </c>
      <c r="F535" s="83">
        <f>SUMIFS(F536:F6462,K536:K6462,"0",B536:B6462,"2 1 1 2 1 12 31111 6 M59 00001 000001*")</f>
        <v>43267346.180000007</v>
      </c>
      <c r="G535" s="83">
        <f>SUMIFS(G536:G6462,K536:K6462,"0",B536:B6462,"2 1 1 2 1 12 31111 6 M59 00001 000001*")</f>
        <v>43267346.000000007</v>
      </c>
      <c r="H535" s="83"/>
      <c r="I535" s="83">
        <f t="shared" si="8"/>
        <v>-0.17999999970197678</v>
      </c>
      <c r="K535" s="54" t="s">
        <v>15</v>
      </c>
    </row>
    <row r="536" spans="2:11" ht="16.5" x14ac:dyDescent="0.2">
      <c r="B536" s="84" t="s">
        <v>1533</v>
      </c>
      <c r="C536" s="84" t="s">
        <v>1532</v>
      </c>
      <c r="D536" s="85"/>
      <c r="E536" s="85">
        <v>0</v>
      </c>
      <c r="F536" s="85">
        <v>37434325.670000002</v>
      </c>
      <c r="G536" s="85">
        <v>37434325.670000002</v>
      </c>
      <c r="H536" s="85"/>
      <c r="I536" s="85">
        <f t="shared" si="8"/>
        <v>0</v>
      </c>
      <c r="K536" s="54" t="s">
        <v>38</v>
      </c>
    </row>
    <row r="537" spans="2:11" ht="16.5" x14ac:dyDescent="0.2">
      <c r="B537" s="84" t="s">
        <v>1534</v>
      </c>
      <c r="C537" s="84" t="s">
        <v>1535</v>
      </c>
      <c r="D537" s="85"/>
      <c r="E537" s="85">
        <v>0</v>
      </c>
      <c r="F537" s="85">
        <v>322800.06</v>
      </c>
      <c r="G537" s="85">
        <v>322800.06</v>
      </c>
      <c r="H537" s="85"/>
      <c r="I537" s="85">
        <f t="shared" si="8"/>
        <v>0</v>
      </c>
      <c r="K537" s="54" t="s">
        <v>38</v>
      </c>
    </row>
    <row r="538" spans="2:11" ht="16.5" x14ac:dyDescent="0.2">
      <c r="B538" s="84" t="s">
        <v>1536</v>
      </c>
      <c r="C538" s="84" t="s">
        <v>1537</v>
      </c>
      <c r="D538" s="85"/>
      <c r="E538" s="85">
        <v>0</v>
      </c>
      <c r="F538" s="85">
        <v>12150</v>
      </c>
      <c r="G538" s="85">
        <v>12150</v>
      </c>
      <c r="H538" s="85"/>
      <c r="I538" s="85">
        <f t="shared" si="8"/>
        <v>0</v>
      </c>
      <c r="K538" s="54" t="s">
        <v>38</v>
      </c>
    </row>
    <row r="539" spans="2:11" ht="16.5" x14ac:dyDescent="0.2">
      <c r="B539" s="84" t="s">
        <v>1538</v>
      </c>
      <c r="C539" s="84" t="s">
        <v>1539</v>
      </c>
      <c r="D539" s="85"/>
      <c r="E539" s="85">
        <v>0</v>
      </c>
      <c r="F539" s="85">
        <v>12200.8</v>
      </c>
      <c r="G539" s="85">
        <v>12200.8</v>
      </c>
      <c r="H539" s="85"/>
      <c r="I539" s="85">
        <f t="shared" si="8"/>
        <v>0</v>
      </c>
      <c r="K539" s="54" t="s">
        <v>38</v>
      </c>
    </row>
    <row r="540" spans="2:11" ht="16.5" x14ac:dyDescent="0.2">
      <c r="B540" s="84" t="s">
        <v>1540</v>
      </c>
      <c r="C540" s="84" t="s">
        <v>1541</v>
      </c>
      <c r="D540" s="85"/>
      <c r="E540" s="85">
        <v>0</v>
      </c>
      <c r="F540" s="85">
        <v>219616.59</v>
      </c>
      <c r="G540" s="85">
        <v>219616.59</v>
      </c>
      <c r="H540" s="85"/>
      <c r="I540" s="85">
        <f t="shared" si="8"/>
        <v>0</v>
      </c>
      <c r="K540" s="54" t="s">
        <v>38</v>
      </c>
    </row>
    <row r="541" spans="2:11" ht="16.5" x14ac:dyDescent="0.2">
      <c r="B541" s="84" t="s">
        <v>1542</v>
      </c>
      <c r="C541" s="84" t="s">
        <v>1543</v>
      </c>
      <c r="D541" s="85"/>
      <c r="E541" s="85">
        <v>0</v>
      </c>
      <c r="F541" s="85">
        <v>141109.57</v>
      </c>
      <c r="G541" s="85">
        <v>141109.39000000001</v>
      </c>
      <c r="H541" s="85"/>
      <c r="I541" s="85">
        <f t="shared" si="8"/>
        <v>-0.17999999999301508</v>
      </c>
      <c r="K541" s="54" t="s">
        <v>38</v>
      </c>
    </row>
    <row r="542" spans="2:11" ht="16.5" x14ac:dyDescent="0.2">
      <c r="B542" s="84" t="s">
        <v>1544</v>
      </c>
      <c r="C542" s="84" t="s">
        <v>1545</v>
      </c>
      <c r="D542" s="85"/>
      <c r="E542" s="85">
        <v>0</v>
      </c>
      <c r="F542" s="85">
        <v>4566</v>
      </c>
      <c r="G542" s="85">
        <v>4566</v>
      </c>
      <c r="H542" s="85"/>
      <c r="I542" s="85">
        <f t="shared" si="8"/>
        <v>0</v>
      </c>
      <c r="K542" s="54" t="s">
        <v>38</v>
      </c>
    </row>
    <row r="543" spans="2:11" ht="16.5" x14ac:dyDescent="0.2">
      <c r="B543" s="84" t="s">
        <v>1546</v>
      </c>
      <c r="C543" s="84" t="s">
        <v>1547</v>
      </c>
      <c r="D543" s="85"/>
      <c r="E543" s="85">
        <v>0</v>
      </c>
      <c r="F543" s="85">
        <v>5614.93</v>
      </c>
      <c r="G543" s="85">
        <v>5614.93</v>
      </c>
      <c r="H543" s="85"/>
      <c r="I543" s="85">
        <f t="shared" si="8"/>
        <v>0</v>
      </c>
      <c r="K543" s="54" t="s">
        <v>38</v>
      </c>
    </row>
    <row r="544" spans="2:11" ht="16.5" x14ac:dyDescent="0.2">
      <c r="B544" s="84" t="s">
        <v>1548</v>
      </c>
      <c r="C544" s="84" t="s">
        <v>1549</v>
      </c>
      <c r="D544" s="85"/>
      <c r="E544" s="85">
        <v>0</v>
      </c>
      <c r="F544" s="85">
        <v>367.01</v>
      </c>
      <c r="G544" s="85">
        <v>367.01</v>
      </c>
      <c r="H544" s="85"/>
      <c r="I544" s="85">
        <f t="shared" si="8"/>
        <v>0</v>
      </c>
      <c r="K544" s="54" t="s">
        <v>38</v>
      </c>
    </row>
    <row r="545" spans="2:11" ht="16.5" x14ac:dyDescent="0.2">
      <c r="B545" s="84" t="s">
        <v>1550</v>
      </c>
      <c r="C545" s="84" t="s">
        <v>1551</v>
      </c>
      <c r="D545" s="85"/>
      <c r="E545" s="85">
        <v>0</v>
      </c>
      <c r="F545" s="85">
        <v>270280</v>
      </c>
      <c r="G545" s="85">
        <v>270280</v>
      </c>
      <c r="H545" s="85"/>
      <c r="I545" s="85">
        <f t="shared" si="8"/>
        <v>0</v>
      </c>
      <c r="K545" s="54" t="s">
        <v>38</v>
      </c>
    </row>
    <row r="546" spans="2:11" ht="16.5" x14ac:dyDescent="0.2">
      <c r="B546" s="84" t="s">
        <v>1552</v>
      </c>
      <c r="C546" s="84" t="s">
        <v>1553</v>
      </c>
      <c r="D546" s="85"/>
      <c r="E546" s="85">
        <v>0</v>
      </c>
      <c r="F546" s="85">
        <v>945000</v>
      </c>
      <c r="G546" s="85">
        <v>945000</v>
      </c>
      <c r="H546" s="85"/>
      <c r="I546" s="85">
        <f t="shared" si="8"/>
        <v>0</v>
      </c>
      <c r="K546" s="54" t="s">
        <v>38</v>
      </c>
    </row>
    <row r="547" spans="2:11" ht="16.5" x14ac:dyDescent="0.2">
      <c r="B547" s="84" t="s">
        <v>1554</v>
      </c>
      <c r="C547" s="84" t="s">
        <v>1555</v>
      </c>
      <c r="D547" s="85"/>
      <c r="E547" s="85">
        <v>0</v>
      </c>
      <c r="F547" s="85">
        <v>900000</v>
      </c>
      <c r="G547" s="85">
        <v>900000</v>
      </c>
      <c r="H547" s="85"/>
      <c r="I547" s="85">
        <f t="shared" si="8"/>
        <v>0</v>
      </c>
      <c r="K547" s="54" t="s">
        <v>38</v>
      </c>
    </row>
    <row r="548" spans="2:11" ht="16.5" x14ac:dyDescent="0.2">
      <c r="B548" s="84" t="s">
        <v>1556</v>
      </c>
      <c r="C548" s="84" t="s">
        <v>188</v>
      </c>
      <c r="D548" s="85"/>
      <c r="E548" s="85">
        <v>0</v>
      </c>
      <c r="F548" s="85">
        <v>810000</v>
      </c>
      <c r="G548" s="85">
        <v>810000</v>
      </c>
      <c r="H548" s="85"/>
      <c r="I548" s="85">
        <f t="shared" si="8"/>
        <v>0</v>
      </c>
      <c r="K548" s="54" t="s">
        <v>38</v>
      </c>
    </row>
    <row r="549" spans="2:11" ht="16.5" x14ac:dyDescent="0.2">
      <c r="B549" s="84" t="s">
        <v>1557</v>
      </c>
      <c r="C549" s="84" t="s">
        <v>1558</v>
      </c>
      <c r="D549" s="85"/>
      <c r="E549" s="85">
        <v>0</v>
      </c>
      <c r="F549" s="85">
        <v>97240</v>
      </c>
      <c r="G549" s="85">
        <v>97240</v>
      </c>
      <c r="H549" s="85"/>
      <c r="I549" s="85">
        <f t="shared" si="8"/>
        <v>0</v>
      </c>
      <c r="K549" s="54" t="s">
        <v>38</v>
      </c>
    </row>
    <row r="550" spans="2:11" ht="16.5" x14ac:dyDescent="0.2">
      <c r="B550" s="84" t="s">
        <v>1559</v>
      </c>
      <c r="C550" s="84" t="s">
        <v>1560</v>
      </c>
      <c r="D550" s="85"/>
      <c r="E550" s="85">
        <v>0</v>
      </c>
      <c r="F550" s="85">
        <v>54360.99</v>
      </c>
      <c r="G550" s="85">
        <v>54360.99</v>
      </c>
      <c r="H550" s="85"/>
      <c r="I550" s="85">
        <f t="shared" si="8"/>
        <v>0</v>
      </c>
      <c r="K550" s="54" t="s">
        <v>38</v>
      </c>
    </row>
    <row r="551" spans="2:11" ht="16.5" x14ac:dyDescent="0.2">
      <c r="B551" s="84" t="s">
        <v>1561</v>
      </c>
      <c r="C551" s="84" t="s">
        <v>1562</v>
      </c>
      <c r="D551" s="85"/>
      <c r="E551" s="85">
        <v>0</v>
      </c>
      <c r="F551" s="85">
        <v>128864.4</v>
      </c>
      <c r="G551" s="85">
        <v>128864.4</v>
      </c>
      <c r="H551" s="85"/>
      <c r="I551" s="85">
        <f t="shared" si="8"/>
        <v>0</v>
      </c>
      <c r="K551" s="54" t="s">
        <v>38</v>
      </c>
    </row>
    <row r="552" spans="2:11" ht="16.5" x14ac:dyDescent="0.2">
      <c r="B552" s="84" t="s">
        <v>1563</v>
      </c>
      <c r="C552" s="84" t="s">
        <v>1564</v>
      </c>
      <c r="D552" s="85"/>
      <c r="E552" s="85">
        <v>0</v>
      </c>
      <c r="F552" s="85">
        <v>1673500</v>
      </c>
      <c r="G552" s="85">
        <v>1673500</v>
      </c>
      <c r="H552" s="85"/>
      <c r="I552" s="85">
        <f t="shared" si="8"/>
        <v>0</v>
      </c>
      <c r="K552" s="54" t="s">
        <v>38</v>
      </c>
    </row>
    <row r="553" spans="2:11" ht="16.5" x14ac:dyDescent="0.2">
      <c r="B553" s="84" t="s">
        <v>1565</v>
      </c>
      <c r="C553" s="84" t="s">
        <v>1566</v>
      </c>
      <c r="D553" s="85"/>
      <c r="E553" s="85">
        <v>0</v>
      </c>
      <c r="F553" s="85">
        <v>40550</v>
      </c>
      <c r="G553" s="85">
        <v>40550</v>
      </c>
      <c r="H553" s="85"/>
      <c r="I553" s="85">
        <f t="shared" si="8"/>
        <v>0</v>
      </c>
      <c r="K553" s="54" t="s">
        <v>38</v>
      </c>
    </row>
    <row r="554" spans="2:11" ht="16.5" x14ac:dyDescent="0.2">
      <c r="B554" s="84" t="s">
        <v>1567</v>
      </c>
      <c r="C554" s="84" t="s">
        <v>1568</v>
      </c>
      <c r="D554" s="85"/>
      <c r="E554" s="85">
        <v>0</v>
      </c>
      <c r="F554" s="85">
        <v>78185.95</v>
      </c>
      <c r="G554" s="85">
        <v>78185.95</v>
      </c>
      <c r="H554" s="85"/>
      <c r="I554" s="85">
        <f t="shared" si="8"/>
        <v>0</v>
      </c>
      <c r="K554" s="54" t="s">
        <v>38</v>
      </c>
    </row>
    <row r="555" spans="2:11" ht="16.5" x14ac:dyDescent="0.2">
      <c r="B555" s="84" t="s">
        <v>1569</v>
      </c>
      <c r="C555" s="84" t="s">
        <v>1570</v>
      </c>
      <c r="D555" s="85"/>
      <c r="E555" s="85">
        <v>0</v>
      </c>
      <c r="F555" s="85">
        <v>18380.72</v>
      </c>
      <c r="G555" s="85">
        <v>18380.72</v>
      </c>
      <c r="H555" s="85"/>
      <c r="I555" s="85">
        <f t="shared" si="8"/>
        <v>0</v>
      </c>
      <c r="K555" s="54" t="s">
        <v>38</v>
      </c>
    </row>
    <row r="556" spans="2:11" ht="16.5" x14ac:dyDescent="0.2">
      <c r="B556" s="84" t="s">
        <v>1571</v>
      </c>
      <c r="C556" s="84" t="s">
        <v>1572</v>
      </c>
      <c r="D556" s="85"/>
      <c r="E556" s="85">
        <v>0</v>
      </c>
      <c r="F556" s="85">
        <v>7772</v>
      </c>
      <c r="G556" s="85">
        <v>7772</v>
      </c>
      <c r="H556" s="85"/>
      <c r="I556" s="85">
        <f t="shared" ref="I556:I619" si="9">E556 - F556 + G556</f>
        <v>0</v>
      </c>
      <c r="K556" s="54" t="s">
        <v>38</v>
      </c>
    </row>
    <row r="557" spans="2:11" ht="16.5" x14ac:dyDescent="0.2">
      <c r="B557" s="84" t="s">
        <v>1573</v>
      </c>
      <c r="C557" s="84" t="s">
        <v>1574</v>
      </c>
      <c r="D557" s="85"/>
      <c r="E557" s="85">
        <v>0</v>
      </c>
      <c r="F557" s="85">
        <v>50000</v>
      </c>
      <c r="G557" s="85">
        <v>50000</v>
      </c>
      <c r="H557" s="85"/>
      <c r="I557" s="85">
        <f t="shared" si="9"/>
        <v>0</v>
      </c>
      <c r="K557" s="54" t="s">
        <v>38</v>
      </c>
    </row>
    <row r="558" spans="2:11" ht="16.5" x14ac:dyDescent="0.2">
      <c r="B558" s="84" t="s">
        <v>1575</v>
      </c>
      <c r="C558" s="84" t="s">
        <v>1576</v>
      </c>
      <c r="D558" s="85"/>
      <c r="E558" s="85">
        <v>0</v>
      </c>
      <c r="F558" s="85">
        <v>40461.49</v>
      </c>
      <c r="G558" s="85">
        <v>40461.49</v>
      </c>
      <c r="H558" s="85"/>
      <c r="I558" s="85">
        <f t="shared" si="9"/>
        <v>0</v>
      </c>
      <c r="K558" s="54" t="s">
        <v>38</v>
      </c>
    </row>
    <row r="559" spans="2:11" ht="24.75" x14ac:dyDescent="0.2">
      <c r="B559" s="84" t="s">
        <v>1577</v>
      </c>
      <c r="C559" s="84" t="s">
        <v>375</v>
      </c>
      <c r="D559" s="85"/>
      <c r="E559" s="85">
        <v>0</v>
      </c>
      <c r="F559" s="85">
        <v>144990</v>
      </c>
      <c r="G559" s="85">
        <v>144990</v>
      </c>
      <c r="H559" s="85"/>
      <c r="I559" s="85">
        <f t="shared" si="9"/>
        <v>0</v>
      </c>
      <c r="K559" s="54" t="s">
        <v>38</v>
      </c>
    </row>
    <row r="560" spans="2:11" ht="16.5" x14ac:dyDescent="0.2">
      <c r="B560" s="84" t="s">
        <v>1578</v>
      </c>
      <c r="C560" s="84" t="s">
        <v>390</v>
      </c>
      <c r="D560" s="85"/>
      <c r="E560" s="85">
        <v>0</v>
      </c>
      <c r="F560" s="85">
        <v>200432.35</v>
      </c>
      <c r="G560" s="85">
        <v>200432.35</v>
      </c>
      <c r="H560" s="85"/>
      <c r="I560" s="85">
        <f t="shared" si="9"/>
        <v>0</v>
      </c>
      <c r="K560" s="54" t="s">
        <v>38</v>
      </c>
    </row>
    <row r="561" spans="2:11" ht="16.5" x14ac:dyDescent="0.2">
      <c r="B561" s="84" t="s">
        <v>1579</v>
      </c>
      <c r="C561" s="84" t="s">
        <v>392</v>
      </c>
      <c r="D561" s="85"/>
      <c r="E561" s="85">
        <v>12716</v>
      </c>
      <c r="F561" s="85">
        <v>93281</v>
      </c>
      <c r="G561" s="85">
        <v>93281</v>
      </c>
      <c r="H561" s="85"/>
      <c r="I561" s="85">
        <f t="shared" si="9"/>
        <v>12716</v>
      </c>
      <c r="K561" s="54" t="s">
        <v>38</v>
      </c>
    </row>
    <row r="562" spans="2:11" ht="16.5" x14ac:dyDescent="0.2">
      <c r="B562" s="84" t="s">
        <v>1580</v>
      </c>
      <c r="C562" s="84" t="s">
        <v>1581</v>
      </c>
      <c r="D562" s="85"/>
      <c r="E562" s="85">
        <v>0</v>
      </c>
      <c r="F562" s="85">
        <v>169580.57</v>
      </c>
      <c r="G562" s="85">
        <v>169580.57</v>
      </c>
      <c r="H562" s="85"/>
      <c r="I562" s="85">
        <f t="shared" si="9"/>
        <v>0</v>
      </c>
      <c r="K562" s="54" t="s">
        <v>38</v>
      </c>
    </row>
    <row r="563" spans="2:11" ht="16.5" x14ac:dyDescent="0.2">
      <c r="B563" s="84" t="s">
        <v>1582</v>
      </c>
      <c r="C563" s="84" t="s">
        <v>1583</v>
      </c>
      <c r="D563" s="85"/>
      <c r="E563" s="85">
        <v>111.11</v>
      </c>
      <c r="F563" s="85">
        <v>0</v>
      </c>
      <c r="G563" s="85">
        <v>0</v>
      </c>
      <c r="H563" s="85"/>
      <c r="I563" s="85">
        <f t="shared" si="9"/>
        <v>111.11</v>
      </c>
      <c r="K563" s="54" t="s">
        <v>38</v>
      </c>
    </row>
    <row r="564" spans="2:11" ht="16.5" x14ac:dyDescent="0.2">
      <c r="B564" s="84" t="s">
        <v>1584</v>
      </c>
      <c r="C564" s="84" t="s">
        <v>1585</v>
      </c>
      <c r="D564" s="85"/>
      <c r="E564" s="85">
        <v>4214.8500000000004</v>
      </c>
      <c r="F564" s="85">
        <v>6137.72</v>
      </c>
      <c r="G564" s="85">
        <v>6137.72</v>
      </c>
      <c r="H564" s="85"/>
      <c r="I564" s="85">
        <f t="shared" si="9"/>
        <v>4214.8500000000004</v>
      </c>
      <c r="K564" s="54" t="s">
        <v>38</v>
      </c>
    </row>
    <row r="565" spans="2:11" ht="16.5" x14ac:dyDescent="0.2">
      <c r="B565" s="84" t="s">
        <v>1586</v>
      </c>
      <c r="C565" s="84" t="s">
        <v>1587</v>
      </c>
      <c r="D565" s="85"/>
      <c r="E565" s="85">
        <v>0</v>
      </c>
      <c r="F565" s="85">
        <v>584125.39</v>
      </c>
      <c r="G565" s="85">
        <v>584125.39</v>
      </c>
      <c r="H565" s="85"/>
      <c r="I565" s="85">
        <f t="shared" si="9"/>
        <v>0</v>
      </c>
      <c r="K565" s="54" t="s">
        <v>38</v>
      </c>
    </row>
    <row r="566" spans="2:11" ht="16.5" x14ac:dyDescent="0.2">
      <c r="B566" s="84" t="s">
        <v>1588</v>
      </c>
      <c r="C566" s="84" t="s">
        <v>468</v>
      </c>
      <c r="D566" s="85"/>
      <c r="E566" s="85">
        <v>19800</v>
      </c>
      <c r="F566" s="85">
        <v>0</v>
      </c>
      <c r="G566" s="85">
        <v>0</v>
      </c>
      <c r="H566" s="85"/>
      <c r="I566" s="85">
        <f t="shared" si="9"/>
        <v>19800</v>
      </c>
      <c r="K566" s="54" t="s">
        <v>38</v>
      </c>
    </row>
    <row r="567" spans="2:11" ht="24.75" x14ac:dyDescent="0.2">
      <c r="B567" s="84" t="s">
        <v>1589</v>
      </c>
      <c r="C567" s="84" t="s">
        <v>1590</v>
      </c>
      <c r="D567" s="85"/>
      <c r="E567" s="85">
        <v>0</v>
      </c>
      <c r="F567" s="85">
        <v>13500</v>
      </c>
      <c r="G567" s="85">
        <v>13500</v>
      </c>
      <c r="H567" s="85"/>
      <c r="I567" s="85">
        <f t="shared" si="9"/>
        <v>0</v>
      </c>
      <c r="K567" s="54" t="s">
        <v>38</v>
      </c>
    </row>
    <row r="568" spans="2:11" ht="16.5" x14ac:dyDescent="0.2">
      <c r="B568" s="84" t="s">
        <v>1591</v>
      </c>
      <c r="C568" s="84" t="s">
        <v>1592</v>
      </c>
      <c r="D568" s="85"/>
      <c r="E568" s="85">
        <v>0</v>
      </c>
      <c r="F568" s="85">
        <v>9500</v>
      </c>
      <c r="G568" s="85">
        <v>9500</v>
      </c>
      <c r="H568" s="85"/>
      <c r="I568" s="85">
        <f t="shared" si="9"/>
        <v>0</v>
      </c>
      <c r="K568" s="54" t="s">
        <v>38</v>
      </c>
    </row>
    <row r="569" spans="2:11" ht="16.5" x14ac:dyDescent="0.2">
      <c r="B569" s="84" t="s">
        <v>1593</v>
      </c>
      <c r="C569" s="84" t="s">
        <v>1594</v>
      </c>
      <c r="D569" s="85"/>
      <c r="E569" s="85">
        <v>0</v>
      </c>
      <c r="F569" s="85">
        <v>35850</v>
      </c>
      <c r="G569" s="85">
        <v>35850</v>
      </c>
      <c r="H569" s="85"/>
      <c r="I569" s="85">
        <f t="shared" si="9"/>
        <v>0</v>
      </c>
      <c r="K569" s="54" t="s">
        <v>38</v>
      </c>
    </row>
    <row r="570" spans="2:11" ht="16.5" x14ac:dyDescent="0.2">
      <c r="B570" s="84" t="s">
        <v>1595</v>
      </c>
      <c r="C570" s="84" t="s">
        <v>1596</v>
      </c>
      <c r="D570" s="85"/>
      <c r="E570" s="85">
        <v>1617.57</v>
      </c>
      <c r="F570" s="85">
        <v>0</v>
      </c>
      <c r="G570" s="85">
        <v>0</v>
      </c>
      <c r="H570" s="85"/>
      <c r="I570" s="85">
        <f t="shared" si="9"/>
        <v>1617.57</v>
      </c>
      <c r="K570" s="54" t="s">
        <v>38</v>
      </c>
    </row>
    <row r="571" spans="2:11" ht="16.5" x14ac:dyDescent="0.2">
      <c r="B571" s="84" t="s">
        <v>1597</v>
      </c>
      <c r="C571" s="84" t="s">
        <v>1598</v>
      </c>
      <c r="D571" s="85"/>
      <c r="E571" s="85">
        <v>0</v>
      </c>
      <c r="F571" s="85">
        <v>145833.39000000001</v>
      </c>
      <c r="G571" s="85">
        <v>145833.39000000001</v>
      </c>
      <c r="H571" s="85"/>
      <c r="I571" s="85">
        <f t="shared" si="9"/>
        <v>0</v>
      </c>
      <c r="K571" s="54" t="s">
        <v>38</v>
      </c>
    </row>
    <row r="572" spans="2:11" ht="16.5" x14ac:dyDescent="0.2">
      <c r="B572" s="82" t="s">
        <v>1600</v>
      </c>
      <c r="C572" s="82" t="s">
        <v>83</v>
      </c>
      <c r="D572" s="54"/>
      <c r="E572" s="83">
        <f>SUMIFS(E573:E6462,K573:K6462,"0",B573:B6462,"2 1 1 2 1 12 31111 6 M59 00003*")-SUMIFS(D573:D6462,K573:K6462,"0",B573:B6462,"2 1 1 2 1 12 31111 6 M59 00003*")</f>
        <v>0</v>
      </c>
      <c r="F572" s="83">
        <f>SUMIFS(F573:F6462,K573:K6462,"0",B573:B6462,"2 1 1 2 1 12 31111 6 M59 00003*")</f>
        <v>40066.28</v>
      </c>
      <c r="G572" s="83">
        <f>SUMIFS(G573:G6462,K573:K6462,"0",B573:B6462,"2 1 1 2 1 12 31111 6 M59 00003*")</f>
        <v>40066.28</v>
      </c>
      <c r="H572" s="83"/>
      <c r="I572" s="83">
        <f t="shared" si="9"/>
        <v>0</v>
      </c>
      <c r="K572" s="54" t="s">
        <v>15</v>
      </c>
    </row>
    <row r="573" spans="2:11" ht="16.5" x14ac:dyDescent="0.2">
      <c r="B573" s="84" t="s">
        <v>1668</v>
      </c>
      <c r="C573" s="84" t="s">
        <v>1594</v>
      </c>
      <c r="D573" s="85"/>
      <c r="E573" s="85">
        <v>0</v>
      </c>
      <c r="F573" s="85">
        <v>40066.28</v>
      </c>
      <c r="G573" s="85">
        <v>40066.28</v>
      </c>
      <c r="H573" s="85"/>
      <c r="I573" s="85">
        <f t="shared" si="9"/>
        <v>0</v>
      </c>
      <c r="K573" s="54" t="s">
        <v>38</v>
      </c>
    </row>
    <row r="574" spans="2:11" ht="33" x14ac:dyDescent="0.2">
      <c r="B574" s="82" t="s">
        <v>1728</v>
      </c>
      <c r="C574" s="82" t="s">
        <v>1729</v>
      </c>
      <c r="D574" s="54"/>
      <c r="E574" s="83">
        <f>SUMIFS(E575:E6462,K575:K6462,"0",B575:B6462,"2 1 1 2 2*")-SUMIFS(D575:D6462,K575:K6462,"0",B575:B6462,"2 1 1 2 2*")</f>
        <v>0</v>
      </c>
      <c r="F574" s="83">
        <f>SUMIFS(F575:F6462,K575:K6462,"0",B575:B6462,"2 1 1 2 2*")</f>
        <v>1335431.05</v>
      </c>
      <c r="G574" s="83">
        <f>SUMIFS(G575:G6462,K575:K6462,"0",B575:B6462,"2 1 1 2 2*")</f>
        <v>1335431.05</v>
      </c>
      <c r="H574" s="83"/>
      <c r="I574" s="83">
        <f t="shared" si="9"/>
        <v>0</v>
      </c>
      <c r="K574" s="54" t="s">
        <v>15</v>
      </c>
    </row>
    <row r="575" spans="2:11" ht="12.75" x14ac:dyDescent="0.2">
      <c r="B575" s="82" t="s">
        <v>1730</v>
      </c>
      <c r="C575" s="82" t="s">
        <v>26</v>
      </c>
      <c r="D575" s="54"/>
      <c r="E575" s="83">
        <f>SUMIFS(E576:E6462,K576:K6462,"0",B576:B6462,"2 1 1 2 2 12*")-SUMIFS(D576:D6462,K576:K6462,"0",B576:B6462,"2 1 1 2 2 12*")</f>
        <v>0</v>
      </c>
      <c r="F575" s="83">
        <f>SUMIFS(F576:F6462,K576:K6462,"0",B576:B6462,"2 1 1 2 2 12*")</f>
        <v>1335431.05</v>
      </c>
      <c r="G575" s="83">
        <f>SUMIFS(G576:G6462,K576:K6462,"0",B576:B6462,"2 1 1 2 2 12*")</f>
        <v>1335431.05</v>
      </c>
      <c r="H575" s="83"/>
      <c r="I575" s="83">
        <f t="shared" si="9"/>
        <v>0</v>
      </c>
      <c r="K575" s="54" t="s">
        <v>15</v>
      </c>
    </row>
    <row r="576" spans="2:11" ht="16.5" x14ac:dyDescent="0.2">
      <c r="B576" s="82" t="s">
        <v>1731</v>
      </c>
      <c r="C576" s="82" t="s">
        <v>28</v>
      </c>
      <c r="D576" s="54"/>
      <c r="E576" s="83">
        <f>SUMIFS(E577:E6462,K577:K6462,"0",B577:B6462,"2 1 1 2 2 12 31111*")-SUMIFS(D577:D6462,K577:K6462,"0",B577:B6462,"2 1 1 2 2 12 31111*")</f>
        <v>0</v>
      </c>
      <c r="F576" s="83">
        <f>SUMIFS(F577:F6462,K577:K6462,"0",B577:B6462,"2 1 1 2 2 12 31111*")</f>
        <v>1335431.05</v>
      </c>
      <c r="G576" s="83">
        <f>SUMIFS(G577:G6462,K577:K6462,"0",B577:B6462,"2 1 1 2 2 12 31111*")</f>
        <v>1335431.05</v>
      </c>
      <c r="H576" s="83"/>
      <c r="I576" s="83">
        <f t="shared" si="9"/>
        <v>0</v>
      </c>
      <c r="K576" s="54" t="s">
        <v>15</v>
      </c>
    </row>
    <row r="577" spans="2:11" ht="12.75" x14ac:dyDescent="0.2">
      <c r="B577" s="82" t="s">
        <v>1732</v>
      </c>
      <c r="C577" s="82" t="s">
        <v>30</v>
      </c>
      <c r="D577" s="54"/>
      <c r="E577" s="83">
        <f>SUMIFS(E578:E6462,K578:K6462,"0",B578:B6462,"2 1 1 2 2 12 31111 6*")-SUMIFS(D578:D6462,K578:K6462,"0",B578:B6462,"2 1 1 2 2 12 31111 6*")</f>
        <v>0</v>
      </c>
      <c r="F577" s="83">
        <f>SUMIFS(F578:F6462,K578:K6462,"0",B578:B6462,"2 1 1 2 2 12 31111 6*")</f>
        <v>1335431.05</v>
      </c>
      <c r="G577" s="83">
        <f>SUMIFS(G578:G6462,K578:K6462,"0",B578:B6462,"2 1 1 2 2 12 31111 6*")</f>
        <v>1335431.05</v>
      </c>
      <c r="H577" s="83"/>
      <c r="I577" s="83">
        <f t="shared" si="9"/>
        <v>0</v>
      </c>
      <c r="K577" s="54" t="s">
        <v>15</v>
      </c>
    </row>
    <row r="578" spans="2:11" ht="33" x14ac:dyDescent="0.2">
      <c r="B578" s="82" t="s">
        <v>1733</v>
      </c>
      <c r="C578" s="82" t="s">
        <v>1734</v>
      </c>
      <c r="D578" s="54"/>
      <c r="E578" s="83">
        <f>SUMIFS(E579:E6462,K579:K6462,"0",B579:B6462,"2 1 1 2 2 12 31111 6 M59*")-SUMIFS(D579:D6462,K579:K6462,"0",B579:B6462,"2 1 1 2 2 12 31111 6 M59*")</f>
        <v>0</v>
      </c>
      <c r="F578" s="83">
        <f>SUMIFS(F579:F6462,K579:K6462,"0",B579:B6462,"2 1 1 2 2 12 31111 6 M59*")</f>
        <v>1335431.05</v>
      </c>
      <c r="G578" s="83">
        <f>SUMIFS(G579:G6462,K579:K6462,"0",B579:B6462,"2 1 1 2 2 12 31111 6 M59*")</f>
        <v>1335431.05</v>
      </c>
      <c r="H578" s="83"/>
      <c r="I578" s="83">
        <f t="shared" si="9"/>
        <v>0</v>
      </c>
      <c r="K578" s="54" t="s">
        <v>15</v>
      </c>
    </row>
    <row r="579" spans="2:11" ht="16.5" x14ac:dyDescent="0.2">
      <c r="B579" s="82" t="s">
        <v>1735</v>
      </c>
      <c r="C579" s="82" t="s">
        <v>34</v>
      </c>
      <c r="D579" s="54"/>
      <c r="E579" s="83">
        <f>SUMIFS(E580:E6462,K580:K6462,"0",B580:B6462,"2 1 1 2 2 12 31111 6 M59 00001*")-SUMIFS(D580:D6462,K580:K6462,"0",B580:B6462,"2 1 1 2 2 12 31111 6 M59 00001*")</f>
        <v>0</v>
      </c>
      <c r="F579" s="83">
        <f>SUMIFS(F580:F6462,K580:K6462,"0",B580:B6462,"2 1 1 2 2 12 31111 6 M59 00001*")</f>
        <v>1335431.05</v>
      </c>
      <c r="G579" s="83">
        <f>SUMIFS(G580:G6462,K580:K6462,"0",B580:B6462,"2 1 1 2 2 12 31111 6 M59 00001*")</f>
        <v>1335431.05</v>
      </c>
      <c r="H579" s="83"/>
      <c r="I579" s="83">
        <f t="shared" si="9"/>
        <v>0</v>
      </c>
      <c r="K579" s="54" t="s">
        <v>15</v>
      </c>
    </row>
    <row r="580" spans="2:11" ht="16.5" x14ac:dyDescent="0.2">
      <c r="B580" s="84" t="s">
        <v>1736</v>
      </c>
      <c r="C580" s="84" t="s">
        <v>1737</v>
      </c>
      <c r="D580" s="85"/>
      <c r="E580" s="85">
        <v>0</v>
      </c>
      <c r="F580" s="85">
        <v>1335431.05</v>
      </c>
      <c r="G580" s="85">
        <v>1335431.05</v>
      </c>
      <c r="H580" s="85"/>
      <c r="I580" s="85">
        <f t="shared" si="9"/>
        <v>0</v>
      </c>
      <c r="K580" s="54" t="s">
        <v>38</v>
      </c>
    </row>
    <row r="581" spans="2:11" ht="24.75" x14ac:dyDescent="0.2">
      <c r="B581" s="82" t="s">
        <v>1781</v>
      </c>
      <c r="C581" s="82" t="s">
        <v>1782</v>
      </c>
      <c r="D581" s="54"/>
      <c r="E581" s="83">
        <f>SUMIFS(E582:E6462,K582:K6462,"0",B582:B6462,"2 1 1 5*")-SUMIFS(D582:D6462,K582:K6462,"0",B582:B6462,"2 1 1 5*")</f>
        <v>0</v>
      </c>
      <c r="F581" s="83">
        <f>SUMIFS(F582:F6462,K582:K6462,"0",B582:B6462,"2 1 1 5*")</f>
        <v>1225773.05</v>
      </c>
      <c r="G581" s="83">
        <f>SUMIFS(G582:G6462,K582:K6462,"0",B582:B6462,"2 1 1 5*")</f>
        <v>1225773.05</v>
      </c>
      <c r="H581" s="83"/>
      <c r="I581" s="83">
        <f t="shared" si="9"/>
        <v>0</v>
      </c>
      <c r="K581" s="54" t="s">
        <v>15</v>
      </c>
    </row>
    <row r="582" spans="2:11" ht="24.75" x14ac:dyDescent="0.2">
      <c r="B582" s="82" t="s">
        <v>1783</v>
      </c>
      <c r="C582" s="82" t="s">
        <v>1784</v>
      </c>
      <c r="D582" s="54"/>
      <c r="E582" s="83">
        <f>SUMIFS(E583:E6462,K583:K6462,"0",B583:B6462,"2 1 1 5 1*")-SUMIFS(D583:D6462,K583:K6462,"0",B583:B6462,"2 1 1 5 1*")</f>
        <v>0</v>
      </c>
      <c r="F582" s="83">
        <f>SUMIFS(F583:F6462,K583:K6462,"0",B583:B6462,"2 1 1 5 1*")</f>
        <v>1225773.05</v>
      </c>
      <c r="G582" s="83">
        <f>SUMIFS(G583:G6462,K583:K6462,"0",B583:B6462,"2 1 1 5 1*")</f>
        <v>1225773.05</v>
      </c>
      <c r="H582" s="83"/>
      <c r="I582" s="83">
        <f t="shared" si="9"/>
        <v>0</v>
      </c>
      <c r="K582" s="54" t="s">
        <v>15</v>
      </c>
    </row>
    <row r="583" spans="2:11" ht="12.75" x14ac:dyDescent="0.2">
      <c r="B583" s="82" t="s">
        <v>1785</v>
      </c>
      <c r="C583" s="82" t="s">
        <v>26</v>
      </c>
      <c r="D583" s="54"/>
      <c r="E583" s="83">
        <f>SUMIFS(E584:E6462,K584:K6462,"0",B584:B6462,"2 1 1 5 1 12*")-SUMIFS(D584:D6462,K584:K6462,"0",B584:B6462,"2 1 1 5 1 12*")</f>
        <v>0</v>
      </c>
      <c r="F583" s="83">
        <f>SUMIFS(F584:F6462,K584:K6462,"0",B584:B6462,"2 1 1 5 1 12*")</f>
        <v>1225773.05</v>
      </c>
      <c r="G583" s="83">
        <f>SUMIFS(G584:G6462,K584:K6462,"0",B584:B6462,"2 1 1 5 1 12*")</f>
        <v>1225773.05</v>
      </c>
      <c r="H583" s="83"/>
      <c r="I583" s="83">
        <f t="shared" si="9"/>
        <v>0</v>
      </c>
      <c r="K583" s="54" t="s">
        <v>15</v>
      </c>
    </row>
    <row r="584" spans="2:11" ht="16.5" x14ac:dyDescent="0.2">
      <c r="B584" s="82" t="s">
        <v>1786</v>
      </c>
      <c r="C584" s="82" t="s">
        <v>28</v>
      </c>
      <c r="D584" s="54"/>
      <c r="E584" s="83">
        <f>SUMIFS(E585:E6462,K585:K6462,"0",B585:B6462,"2 1 1 5 1 12 31111*")-SUMIFS(D585:D6462,K585:K6462,"0",B585:B6462,"2 1 1 5 1 12 31111*")</f>
        <v>0</v>
      </c>
      <c r="F584" s="83">
        <f>SUMIFS(F585:F6462,K585:K6462,"0",B585:B6462,"2 1 1 5 1 12 31111*")</f>
        <v>1225773.05</v>
      </c>
      <c r="G584" s="83">
        <f>SUMIFS(G585:G6462,K585:K6462,"0",B585:B6462,"2 1 1 5 1 12 31111*")</f>
        <v>1225773.05</v>
      </c>
      <c r="H584" s="83"/>
      <c r="I584" s="83">
        <f t="shared" si="9"/>
        <v>0</v>
      </c>
      <c r="K584" s="54" t="s">
        <v>15</v>
      </c>
    </row>
    <row r="585" spans="2:11" ht="12.75" x14ac:dyDescent="0.2">
      <c r="B585" s="82" t="s">
        <v>1787</v>
      </c>
      <c r="C585" s="82" t="s">
        <v>30</v>
      </c>
      <c r="D585" s="54"/>
      <c r="E585" s="83">
        <f>SUMIFS(E586:E6462,K586:K6462,"0",B586:B6462,"2 1 1 5 1 12 31111 6*")-SUMIFS(D586:D6462,K586:K6462,"0",B586:B6462,"2 1 1 5 1 12 31111 6*")</f>
        <v>0</v>
      </c>
      <c r="F585" s="83">
        <f>SUMIFS(F586:F6462,K586:K6462,"0",B586:B6462,"2 1 1 5 1 12 31111 6*")</f>
        <v>1225773.05</v>
      </c>
      <c r="G585" s="83">
        <f>SUMIFS(G586:G6462,K586:K6462,"0",B586:B6462,"2 1 1 5 1 12 31111 6*")</f>
        <v>1225773.05</v>
      </c>
      <c r="H585" s="83"/>
      <c r="I585" s="83">
        <f t="shared" si="9"/>
        <v>0</v>
      </c>
      <c r="K585" s="54" t="s">
        <v>15</v>
      </c>
    </row>
    <row r="586" spans="2:11" ht="12.75" x14ac:dyDescent="0.2">
      <c r="B586" s="82" t="s">
        <v>1788</v>
      </c>
      <c r="C586" s="82" t="s">
        <v>32</v>
      </c>
      <c r="D586" s="54"/>
      <c r="E586" s="83">
        <f>SUMIFS(E587:E6462,K587:K6462,"0",B587:B6462,"2 1 1 5 1 12 31111 6 M59*")-SUMIFS(D587:D6462,K587:K6462,"0",B587:B6462,"2 1 1 5 1 12 31111 6 M59*")</f>
        <v>0</v>
      </c>
      <c r="F586" s="83">
        <f>SUMIFS(F587:F6462,K587:K6462,"0",B587:B6462,"2 1 1 5 1 12 31111 6 M59*")</f>
        <v>1225773.05</v>
      </c>
      <c r="G586" s="83">
        <f>SUMIFS(G587:G6462,K587:K6462,"0",B587:B6462,"2 1 1 5 1 12 31111 6 M59*")</f>
        <v>1225773.05</v>
      </c>
      <c r="H586" s="83"/>
      <c r="I586" s="83">
        <f t="shared" si="9"/>
        <v>0</v>
      </c>
      <c r="K586" s="54" t="s">
        <v>15</v>
      </c>
    </row>
    <row r="587" spans="2:11" ht="16.5" x14ac:dyDescent="0.2">
      <c r="B587" s="84" t="s">
        <v>1789</v>
      </c>
      <c r="C587" s="84" t="s">
        <v>1790</v>
      </c>
      <c r="D587" s="85"/>
      <c r="E587" s="85">
        <v>0</v>
      </c>
      <c r="F587" s="85">
        <v>1225773.05</v>
      </c>
      <c r="G587" s="85">
        <v>1225773.05</v>
      </c>
      <c r="H587" s="85"/>
      <c r="I587" s="85">
        <f t="shared" si="9"/>
        <v>0</v>
      </c>
      <c r="K587" s="54" t="s">
        <v>38</v>
      </c>
    </row>
    <row r="588" spans="2:11" ht="24.75" x14ac:dyDescent="0.2">
      <c r="B588" s="82" t="s">
        <v>1814</v>
      </c>
      <c r="C588" s="82" t="s">
        <v>1815</v>
      </c>
      <c r="D588" s="54"/>
      <c r="E588" s="83">
        <f>SUMIFS(E589:E6462,K589:K6462,"0",B589:B6462,"2 1 1 7*")-SUMIFS(D589:D6462,K589:K6462,"0",B589:B6462,"2 1 1 7*")</f>
        <v>7917154.96</v>
      </c>
      <c r="F588" s="83">
        <f>SUMIFS(F589:F6462,K589:K6462,"0",B589:B6462,"2 1 1 7*")</f>
        <v>29706961.479999997</v>
      </c>
      <c r="G588" s="83">
        <f>SUMIFS(G589:G6462,K589:K6462,"0",B589:B6462,"2 1 1 7*")</f>
        <v>32307132.259999998</v>
      </c>
      <c r="H588" s="83"/>
      <c r="I588" s="83">
        <f t="shared" si="9"/>
        <v>10517325.740000002</v>
      </c>
      <c r="K588" s="54" t="s">
        <v>15</v>
      </c>
    </row>
    <row r="589" spans="2:11" ht="16.5" x14ac:dyDescent="0.2">
      <c r="B589" s="82" t="s">
        <v>1816</v>
      </c>
      <c r="C589" s="82" t="s">
        <v>1817</v>
      </c>
      <c r="D589" s="54"/>
      <c r="E589" s="83">
        <f>SUMIFS(E590:E6462,K590:K6462,"0",B590:B6462,"2 1 1 7 1*")-SUMIFS(D590:D6462,K590:K6462,"0",B590:B6462,"2 1 1 7 1*")</f>
        <v>498407.52</v>
      </c>
      <c r="F589" s="83">
        <f>SUMIFS(F590:F6462,K590:K6462,"0",B590:B6462,"2 1 1 7 1*")</f>
        <v>25683019.899999999</v>
      </c>
      <c r="G589" s="83">
        <f>SUMIFS(G590:G6462,K590:K6462,"0",B590:B6462,"2 1 1 7 1*")</f>
        <v>26640832.66</v>
      </c>
      <c r="H589" s="83"/>
      <c r="I589" s="83">
        <f t="shared" si="9"/>
        <v>1456220.2800000012</v>
      </c>
      <c r="K589" s="54" t="s">
        <v>15</v>
      </c>
    </row>
    <row r="590" spans="2:11" ht="12.75" x14ac:dyDescent="0.2">
      <c r="B590" s="82" t="s">
        <v>1818</v>
      </c>
      <c r="C590" s="82" t="s">
        <v>26</v>
      </c>
      <c r="D590" s="54"/>
      <c r="E590" s="83">
        <f>SUMIFS(E591:E6462,K591:K6462,"0",B591:B6462,"2 1 1 7 1 12*")-SUMIFS(D591:D6462,K591:K6462,"0",B591:B6462,"2 1 1 7 1 12*")</f>
        <v>498407.52</v>
      </c>
      <c r="F590" s="83">
        <f>SUMIFS(F591:F6462,K591:K6462,"0",B591:B6462,"2 1 1 7 1 12*")</f>
        <v>25683019.899999999</v>
      </c>
      <c r="G590" s="83">
        <f>SUMIFS(G591:G6462,K591:K6462,"0",B591:B6462,"2 1 1 7 1 12*")</f>
        <v>26640832.66</v>
      </c>
      <c r="H590" s="83"/>
      <c r="I590" s="83">
        <f t="shared" si="9"/>
        <v>1456220.2800000012</v>
      </c>
      <c r="K590" s="54" t="s">
        <v>15</v>
      </c>
    </row>
    <row r="591" spans="2:11" ht="16.5" x14ac:dyDescent="0.2">
      <c r="B591" s="82" t="s">
        <v>1819</v>
      </c>
      <c r="C591" s="82" t="s">
        <v>28</v>
      </c>
      <c r="D591" s="54"/>
      <c r="E591" s="83">
        <f>SUMIFS(E592:E6462,K592:K6462,"0",B592:B6462,"2 1 1 7 1 12 31111*")-SUMIFS(D592:D6462,K592:K6462,"0",B592:B6462,"2 1 1 7 1 12 31111*")</f>
        <v>498407.52</v>
      </c>
      <c r="F591" s="83">
        <f>SUMIFS(F592:F6462,K592:K6462,"0",B592:B6462,"2 1 1 7 1 12 31111*")</f>
        <v>25683019.899999999</v>
      </c>
      <c r="G591" s="83">
        <f>SUMIFS(G592:G6462,K592:K6462,"0",B592:B6462,"2 1 1 7 1 12 31111*")</f>
        <v>26640832.66</v>
      </c>
      <c r="H591" s="83"/>
      <c r="I591" s="83">
        <f t="shared" si="9"/>
        <v>1456220.2800000012</v>
      </c>
      <c r="K591" s="54" t="s">
        <v>15</v>
      </c>
    </row>
    <row r="592" spans="2:11" ht="12.75" x14ac:dyDescent="0.2">
      <c r="B592" s="82" t="s">
        <v>1820</v>
      </c>
      <c r="C592" s="82" t="s">
        <v>30</v>
      </c>
      <c r="D592" s="54"/>
      <c r="E592" s="83">
        <f>SUMIFS(E593:E6462,K593:K6462,"0",B593:B6462,"2 1 1 7 1 12 31111 6*")-SUMIFS(D593:D6462,K593:K6462,"0",B593:B6462,"2 1 1 7 1 12 31111 6*")</f>
        <v>498407.52</v>
      </c>
      <c r="F592" s="83">
        <f>SUMIFS(F593:F6462,K593:K6462,"0",B593:B6462,"2 1 1 7 1 12 31111 6*")</f>
        <v>25683019.899999999</v>
      </c>
      <c r="G592" s="83">
        <f>SUMIFS(G593:G6462,K593:K6462,"0",B593:B6462,"2 1 1 7 1 12 31111 6*")</f>
        <v>26640832.66</v>
      </c>
      <c r="H592" s="83"/>
      <c r="I592" s="83">
        <f t="shared" si="9"/>
        <v>1456220.2800000012</v>
      </c>
      <c r="K592" s="54" t="s">
        <v>15</v>
      </c>
    </row>
    <row r="593" spans="2:11" ht="12.75" x14ac:dyDescent="0.2">
      <c r="B593" s="82" t="s">
        <v>1821</v>
      </c>
      <c r="C593" s="82" t="s">
        <v>32</v>
      </c>
      <c r="D593" s="54"/>
      <c r="E593" s="83">
        <f>SUMIFS(E594:E6462,K594:K6462,"0",B594:B6462,"2 1 1 7 1 12 31111 6 M59*")-SUMIFS(D594:D6462,K594:K6462,"0",B594:B6462,"2 1 1 7 1 12 31111 6 M59*")</f>
        <v>498407.52</v>
      </c>
      <c r="F593" s="83">
        <f>SUMIFS(F594:F6462,K594:K6462,"0",B594:B6462,"2 1 1 7 1 12 31111 6 M59*")</f>
        <v>25683019.899999999</v>
      </c>
      <c r="G593" s="83">
        <f>SUMIFS(G594:G6462,K594:K6462,"0",B594:B6462,"2 1 1 7 1 12 31111 6 M59*")</f>
        <v>26640832.66</v>
      </c>
      <c r="H593" s="83"/>
      <c r="I593" s="83">
        <f t="shared" si="9"/>
        <v>1456220.2800000012</v>
      </c>
      <c r="K593" s="54" t="s">
        <v>15</v>
      </c>
    </row>
    <row r="594" spans="2:11" ht="16.5" x14ac:dyDescent="0.2">
      <c r="B594" s="82" t="s">
        <v>1822</v>
      </c>
      <c r="C594" s="82" t="s">
        <v>34</v>
      </c>
      <c r="D594" s="54"/>
      <c r="E594" s="83">
        <f>SUMIFS(E595:E6462,K595:K6462,"0",B595:B6462,"2 1 1 7 1 12 31111 6 M59 00001*")-SUMIFS(D595:D6462,K595:K6462,"0",B595:B6462,"2 1 1 7 1 12 31111 6 M59 00001*")</f>
        <v>498407.52</v>
      </c>
      <c r="F594" s="83">
        <f>SUMIFS(F595:F6462,K595:K6462,"0",B595:B6462,"2 1 1 7 1 12 31111 6 M59 00001*")</f>
        <v>25683019.899999999</v>
      </c>
      <c r="G594" s="83">
        <f>SUMIFS(G595:G6462,K595:K6462,"0",B595:B6462,"2 1 1 7 1 12 31111 6 M59 00001*")</f>
        <v>26640832.66</v>
      </c>
      <c r="H594" s="83"/>
      <c r="I594" s="83">
        <f t="shared" si="9"/>
        <v>1456220.2800000012</v>
      </c>
      <c r="K594" s="54" t="s">
        <v>15</v>
      </c>
    </row>
    <row r="595" spans="2:11" ht="16.5" x14ac:dyDescent="0.2">
      <c r="B595" s="82" t="s">
        <v>1823</v>
      </c>
      <c r="C595" s="82" t="s">
        <v>1824</v>
      </c>
      <c r="D595" s="54"/>
      <c r="E595" s="83">
        <f>SUMIFS(E596:E6462,K596:K6462,"0",B596:B6462,"2 1 1 7 1 12 31111 6 M59 00001 000002*")-SUMIFS(D596:D6462,K596:K6462,"0",B596:B6462,"2 1 1 7 1 12 31111 6 M59 00001 000002*")</f>
        <v>498407.52</v>
      </c>
      <c r="F595" s="83">
        <f>SUMIFS(F596:F6462,K596:K6462,"0",B596:B6462,"2 1 1 7 1 12 31111 6 M59 00001 000002*")</f>
        <v>25683019.899999999</v>
      </c>
      <c r="G595" s="83">
        <f>SUMIFS(G596:G6462,K596:K6462,"0",B596:B6462,"2 1 1 7 1 12 31111 6 M59 00001 000002*")</f>
        <v>26640832.66</v>
      </c>
      <c r="H595" s="83"/>
      <c r="I595" s="83">
        <f t="shared" si="9"/>
        <v>1456220.2800000012</v>
      </c>
      <c r="K595" s="54" t="s">
        <v>15</v>
      </c>
    </row>
    <row r="596" spans="2:11" ht="16.5" x14ac:dyDescent="0.2">
      <c r="B596" s="82" t="s">
        <v>1825</v>
      </c>
      <c r="C596" s="82" t="s">
        <v>1826</v>
      </c>
      <c r="D596" s="54"/>
      <c r="E596" s="83">
        <f>SUMIFS(E597:E6462,K597:K6462,"0",B597:B6462,"2 1 1 7 1 12 31111 6 M59 00001 000002 00001*")-SUMIFS(D597:D6462,K597:K6462,"0",B597:B6462,"2 1 1 7 1 12 31111 6 M59 00001 000002 00001*")</f>
        <v>479972.10000000003</v>
      </c>
      <c r="F596" s="83">
        <f>SUMIFS(F597:F6462,K597:K6462,"0",B597:B6462,"2 1 1 7 1 12 31111 6 M59 00001 000002 00001*")</f>
        <v>1771720.42</v>
      </c>
      <c r="G596" s="83">
        <f>SUMIFS(G597:G6462,K597:K6462,"0",B597:B6462,"2 1 1 7 1 12 31111 6 M59 00001 000002 00001*")</f>
        <v>2762245.7199999997</v>
      </c>
      <c r="H596" s="83"/>
      <c r="I596" s="83">
        <f t="shared" si="9"/>
        <v>1470497.4</v>
      </c>
      <c r="K596" s="54" t="s">
        <v>15</v>
      </c>
    </row>
    <row r="597" spans="2:11" ht="24.75" x14ac:dyDescent="0.2">
      <c r="B597" s="82" t="s">
        <v>1827</v>
      </c>
      <c r="C597" s="82" t="s">
        <v>1828</v>
      </c>
      <c r="D597" s="54"/>
      <c r="E597" s="83">
        <f>SUMIFS(E598:E6462,K598:K6462,"0",B598:B6462,"2 1 1 7 1 12 31111 6 M59 00001 000002 00001 00001*")-SUMIFS(D598:D6462,K598:K6462,"0",B598:B6462,"2 1 1 7 1 12 31111 6 M59 00001 000002 00001 00001*")</f>
        <v>467655.14</v>
      </c>
      <c r="F597" s="83">
        <f>SUMIFS(F598:F6462,K598:K6462,"0",B598:B6462,"2 1 1 7 1 12 31111 6 M59 00001 000002 00001 00001*")</f>
        <v>1771720.42</v>
      </c>
      <c r="G597" s="83">
        <f>SUMIFS(G598:G6462,K598:K6462,"0",B598:B6462,"2 1 1 7 1 12 31111 6 M59 00001 000002 00001 00001*")</f>
        <v>2752850.93</v>
      </c>
      <c r="H597" s="83"/>
      <c r="I597" s="83">
        <f t="shared" si="9"/>
        <v>1448785.6500000004</v>
      </c>
      <c r="K597" s="54" t="s">
        <v>15</v>
      </c>
    </row>
    <row r="598" spans="2:11" ht="16.5" x14ac:dyDescent="0.2">
      <c r="B598" s="84" t="s">
        <v>1829</v>
      </c>
      <c r="C598" s="84" t="s">
        <v>392</v>
      </c>
      <c r="D598" s="85"/>
      <c r="E598" s="85">
        <v>467655.14</v>
      </c>
      <c r="F598" s="85">
        <v>1771720.42</v>
      </c>
      <c r="G598" s="85">
        <v>2752850.93</v>
      </c>
      <c r="H598" s="85"/>
      <c r="I598" s="85">
        <f t="shared" si="9"/>
        <v>1448785.6500000004</v>
      </c>
      <c r="K598" s="54" t="s">
        <v>38</v>
      </c>
    </row>
    <row r="599" spans="2:11" ht="24.75" x14ac:dyDescent="0.2">
      <c r="B599" s="82" t="s">
        <v>1830</v>
      </c>
      <c r="C599" s="82" t="s">
        <v>1831</v>
      </c>
      <c r="D599" s="54"/>
      <c r="E599" s="83">
        <f>SUMIFS(E600:E6462,K600:K6462,"0",B600:B6462,"2 1 1 7 1 12 31111 6 M59 00001 000002 00001 00003*")-SUMIFS(D600:D6462,K600:K6462,"0",B600:B6462,"2 1 1 7 1 12 31111 6 M59 00001 000002 00001 00003*")</f>
        <v>3146.63</v>
      </c>
      <c r="F599" s="83">
        <f>SUMIFS(F600:F6462,K600:K6462,"0",B600:B6462,"2 1 1 7 1 12 31111 6 M59 00001 000002 00001 00003*")</f>
        <v>0</v>
      </c>
      <c r="G599" s="83">
        <f>SUMIFS(G600:G6462,K600:K6462,"0",B600:B6462,"2 1 1 7 1 12 31111 6 M59 00001 000002 00001 00003*")</f>
        <v>0</v>
      </c>
      <c r="H599" s="83"/>
      <c r="I599" s="83">
        <f t="shared" si="9"/>
        <v>3146.63</v>
      </c>
      <c r="K599" s="54" t="s">
        <v>15</v>
      </c>
    </row>
    <row r="600" spans="2:11" ht="16.5" x14ac:dyDescent="0.2">
      <c r="B600" s="84" t="s">
        <v>1832</v>
      </c>
      <c r="C600" s="84" t="s">
        <v>392</v>
      </c>
      <c r="D600" s="85"/>
      <c r="E600" s="85">
        <v>3146.63</v>
      </c>
      <c r="F600" s="85">
        <v>0</v>
      </c>
      <c r="G600" s="85">
        <v>0</v>
      </c>
      <c r="H600" s="85"/>
      <c r="I600" s="85">
        <f t="shared" si="9"/>
        <v>3146.63</v>
      </c>
      <c r="K600" s="54" t="s">
        <v>38</v>
      </c>
    </row>
    <row r="601" spans="2:11" ht="24.75" x14ac:dyDescent="0.2">
      <c r="B601" s="82" t="s">
        <v>1833</v>
      </c>
      <c r="C601" s="82" t="s">
        <v>1834</v>
      </c>
      <c r="D601" s="54"/>
      <c r="E601" s="83">
        <f>SUMIFS(E602:E6462,K602:K6462,"0",B602:B6462,"2 1 1 7 1 12 31111 6 M59 00001 000002 00001 00004*")-SUMIFS(D602:D6462,K602:K6462,"0",B602:B6462,"2 1 1 7 1 12 31111 6 M59 00001 000002 00001 00004*")</f>
        <v>6610.74</v>
      </c>
      <c r="F601" s="83">
        <f>SUMIFS(F602:F6462,K602:K6462,"0",B602:B6462,"2 1 1 7 1 12 31111 6 M59 00001 000002 00001 00004*")</f>
        <v>0</v>
      </c>
      <c r="G601" s="83">
        <f>SUMIFS(G602:G6462,K602:K6462,"0",B602:B6462,"2 1 1 7 1 12 31111 6 M59 00001 000002 00001 00004*")</f>
        <v>6037.76</v>
      </c>
      <c r="H601" s="83"/>
      <c r="I601" s="83">
        <f t="shared" si="9"/>
        <v>12648.5</v>
      </c>
      <c r="K601" s="54" t="s">
        <v>15</v>
      </c>
    </row>
    <row r="602" spans="2:11" ht="16.5" x14ac:dyDescent="0.2">
      <c r="B602" s="84" t="s">
        <v>1835</v>
      </c>
      <c r="C602" s="84" t="s">
        <v>274</v>
      </c>
      <c r="D602" s="85"/>
      <c r="E602" s="85">
        <v>31.99</v>
      </c>
      <c r="F602" s="85">
        <v>0</v>
      </c>
      <c r="G602" s="85">
        <v>6037.76</v>
      </c>
      <c r="H602" s="85"/>
      <c r="I602" s="85">
        <f t="shared" si="9"/>
        <v>6069.75</v>
      </c>
      <c r="K602" s="54" t="s">
        <v>38</v>
      </c>
    </row>
    <row r="603" spans="2:11" ht="24.75" x14ac:dyDescent="0.2">
      <c r="B603" s="84" t="s">
        <v>1836</v>
      </c>
      <c r="C603" s="84" t="s">
        <v>1837</v>
      </c>
      <c r="D603" s="85"/>
      <c r="E603" s="85">
        <v>754.72</v>
      </c>
      <c r="F603" s="85">
        <v>0</v>
      </c>
      <c r="G603" s="85">
        <v>0</v>
      </c>
      <c r="H603" s="85"/>
      <c r="I603" s="85">
        <f t="shared" si="9"/>
        <v>754.72</v>
      </c>
      <c r="K603" s="54" t="s">
        <v>38</v>
      </c>
    </row>
    <row r="604" spans="2:11" ht="16.5" x14ac:dyDescent="0.2">
      <c r="B604" s="84" t="s">
        <v>1838</v>
      </c>
      <c r="C604" s="84" t="s">
        <v>392</v>
      </c>
      <c r="D604" s="85"/>
      <c r="E604" s="85">
        <v>5824.03</v>
      </c>
      <c r="F604" s="85">
        <v>0</v>
      </c>
      <c r="G604" s="85">
        <v>0</v>
      </c>
      <c r="H604" s="85"/>
      <c r="I604" s="85">
        <f t="shared" si="9"/>
        <v>5824.03</v>
      </c>
      <c r="K604" s="54" t="s">
        <v>38</v>
      </c>
    </row>
    <row r="605" spans="2:11" ht="24.75" x14ac:dyDescent="0.2">
      <c r="B605" s="82" t="s">
        <v>1839</v>
      </c>
      <c r="C605" s="82" t="s">
        <v>1840</v>
      </c>
      <c r="D605" s="54"/>
      <c r="E605" s="83">
        <f>SUMIFS(E606:E6462,K606:K6462,"0",B606:B6462,"2 1 1 7 1 12 31111 6 M59 00001 000002 00001 00005*")-SUMIFS(D606:D6462,K606:K6462,"0",B606:B6462,"2 1 1 7 1 12 31111 6 M59 00001 000002 00001 00005*")</f>
        <v>2559.59</v>
      </c>
      <c r="F605" s="83">
        <f>SUMIFS(F606:F6462,K606:K6462,"0",B606:B6462,"2 1 1 7 1 12 31111 6 M59 00001 000002 00001 00005*")</f>
        <v>0</v>
      </c>
      <c r="G605" s="83">
        <f>SUMIFS(G606:G6462,K606:K6462,"0",B606:B6462,"2 1 1 7 1 12 31111 6 M59 00001 000002 00001 00005*")</f>
        <v>3357.03</v>
      </c>
      <c r="H605" s="83"/>
      <c r="I605" s="83">
        <f t="shared" si="9"/>
        <v>5916.6200000000008</v>
      </c>
      <c r="K605" s="54" t="s">
        <v>15</v>
      </c>
    </row>
    <row r="606" spans="2:11" ht="24.75" x14ac:dyDescent="0.2">
      <c r="B606" s="82" t="s">
        <v>1841</v>
      </c>
      <c r="C606" s="82" t="s">
        <v>1842</v>
      </c>
      <c r="D606" s="54"/>
      <c r="E606" s="83">
        <f>SUMIFS(E607:E6462,K607:K6462,"0",B607:B6462,"2 1 1 7 1 12 31111 6 M59 00001 000002 00001 00005 00107*")-SUMIFS(D607:D6462,K607:K6462,"0",B607:B6462,"2 1 1 7 1 12 31111 6 M59 00001 000002 00001 00005 00107*")</f>
        <v>125</v>
      </c>
      <c r="F606" s="83">
        <f>SUMIFS(F607:F6462,K607:K6462,"0",B607:B6462,"2 1 1 7 1 12 31111 6 M59 00001 000002 00001 00005 00107*")</f>
        <v>0</v>
      </c>
      <c r="G606" s="83">
        <f>SUMIFS(G607:G6462,K607:K6462,"0",B607:B6462,"2 1 1 7 1 12 31111 6 M59 00001 000002 00001 00005 00107*")</f>
        <v>0</v>
      </c>
      <c r="H606" s="83"/>
      <c r="I606" s="83">
        <f t="shared" si="9"/>
        <v>125</v>
      </c>
      <c r="K606" s="54" t="s">
        <v>15</v>
      </c>
    </row>
    <row r="607" spans="2:11" ht="24.75" x14ac:dyDescent="0.2">
      <c r="B607" s="84" t="s">
        <v>1843</v>
      </c>
      <c r="C607" s="84" t="s">
        <v>428</v>
      </c>
      <c r="D607" s="85"/>
      <c r="E607" s="85">
        <v>125</v>
      </c>
      <c r="F607" s="85">
        <v>0</v>
      </c>
      <c r="G607" s="85">
        <v>0</v>
      </c>
      <c r="H607" s="85"/>
      <c r="I607" s="85">
        <f t="shared" si="9"/>
        <v>125</v>
      </c>
      <c r="K607" s="54" t="s">
        <v>38</v>
      </c>
    </row>
    <row r="608" spans="2:11" ht="16.5" x14ac:dyDescent="0.2">
      <c r="B608" s="84" t="s">
        <v>1844</v>
      </c>
      <c r="C608" s="84" t="s">
        <v>392</v>
      </c>
      <c r="D608" s="85"/>
      <c r="E608" s="85">
        <v>2434.59</v>
      </c>
      <c r="F608" s="85">
        <v>0</v>
      </c>
      <c r="G608" s="85">
        <v>3357.03</v>
      </c>
      <c r="H608" s="85"/>
      <c r="I608" s="85">
        <f t="shared" si="9"/>
        <v>5791.6200000000008</v>
      </c>
      <c r="K608" s="54" t="s">
        <v>38</v>
      </c>
    </row>
    <row r="609" spans="2:11" ht="16.5" x14ac:dyDescent="0.2">
      <c r="B609" s="82" t="s">
        <v>1845</v>
      </c>
      <c r="C609" s="82" t="s">
        <v>1846</v>
      </c>
      <c r="D609" s="54"/>
      <c r="E609" s="83">
        <f>SUMIFS(E610:E6462,K610:K6462,"0",B610:B6462,"2 1 1 7 1 12 31111 6 M59 00001 000002 00002*")-SUMIFS(D610:D6462,K610:K6462,"0",B610:B6462,"2 1 1 7 1 12 31111 6 M59 00001 000002 00002*")</f>
        <v>7082.0400000000009</v>
      </c>
      <c r="F609" s="83">
        <f>SUMIFS(F610:F6462,K610:K6462,"0",B610:B6462,"2 1 1 7 1 12 31111 6 M59 00001 000002 00002*")</f>
        <v>23911299.48</v>
      </c>
      <c r="G609" s="83">
        <f>SUMIFS(G610:G6462,K610:K6462,"0",B610:B6462,"2 1 1 7 1 12 31111 6 M59 00001 000002 00002*")</f>
        <v>23873208.240000002</v>
      </c>
      <c r="H609" s="83"/>
      <c r="I609" s="83">
        <f t="shared" si="9"/>
        <v>-31009.199999999255</v>
      </c>
      <c r="K609" s="54" t="s">
        <v>15</v>
      </c>
    </row>
    <row r="610" spans="2:11" ht="16.5" x14ac:dyDescent="0.2">
      <c r="B610" s="84" t="s">
        <v>1847</v>
      </c>
      <c r="C610" s="84" t="s">
        <v>1848</v>
      </c>
      <c r="D610" s="85"/>
      <c r="E610" s="85">
        <v>674.37</v>
      </c>
      <c r="F610" s="85">
        <v>23911299.48</v>
      </c>
      <c r="G610" s="85">
        <v>23868887.170000002</v>
      </c>
      <c r="H610" s="85"/>
      <c r="I610" s="85">
        <f t="shared" si="9"/>
        <v>-41737.939999997616</v>
      </c>
      <c r="K610" s="54" t="s">
        <v>38</v>
      </c>
    </row>
    <row r="611" spans="2:11" ht="24.75" x14ac:dyDescent="0.2">
      <c r="B611" s="82" t="s">
        <v>1849</v>
      </c>
      <c r="C611" s="82" t="s">
        <v>1850</v>
      </c>
      <c r="D611" s="54"/>
      <c r="E611" s="83">
        <f>SUMIFS(E612:E6462,K612:K6462,"0",B612:B6462,"2 1 1 7 1 12 31111 6 M59 00001 000002 00002 00003*")-SUMIFS(D612:D6462,K612:K6462,"0",B612:B6462,"2 1 1 7 1 12 31111 6 M59 00001 000002 00002 00003*")</f>
        <v>3354.3100000000004</v>
      </c>
      <c r="F611" s="83">
        <f>SUMIFS(F612:F6462,K612:K6462,"0",B612:B6462,"2 1 1 7 1 12 31111 6 M59 00001 000002 00002 00003*")</f>
        <v>0</v>
      </c>
      <c r="G611" s="83">
        <f>SUMIFS(G612:G6462,K612:K6462,"0",B612:B6462,"2 1 1 7 1 12 31111 6 M59 00001 000002 00002 00003*")</f>
        <v>0</v>
      </c>
      <c r="H611" s="83"/>
      <c r="I611" s="83">
        <f t="shared" si="9"/>
        <v>3354.3100000000004</v>
      </c>
      <c r="K611" s="54" t="s">
        <v>15</v>
      </c>
    </row>
    <row r="612" spans="2:11" ht="24.75" x14ac:dyDescent="0.2">
      <c r="B612" s="84" t="s">
        <v>1851</v>
      </c>
      <c r="C612" s="84" t="s">
        <v>428</v>
      </c>
      <c r="D612" s="85"/>
      <c r="E612" s="85">
        <v>183.26</v>
      </c>
      <c r="F612" s="85">
        <v>0</v>
      </c>
      <c r="G612" s="85">
        <v>0</v>
      </c>
      <c r="H612" s="85"/>
      <c r="I612" s="85">
        <f t="shared" si="9"/>
        <v>183.26</v>
      </c>
      <c r="K612" s="54" t="s">
        <v>38</v>
      </c>
    </row>
    <row r="613" spans="2:11" ht="24.75" x14ac:dyDescent="0.2">
      <c r="B613" s="84" t="s">
        <v>1852</v>
      </c>
      <c r="C613" s="84" t="s">
        <v>392</v>
      </c>
      <c r="D613" s="85"/>
      <c r="E613" s="85">
        <v>3171.05</v>
      </c>
      <c r="F613" s="85">
        <v>0</v>
      </c>
      <c r="G613" s="85">
        <v>0</v>
      </c>
      <c r="H613" s="85"/>
      <c r="I613" s="85">
        <f t="shared" si="9"/>
        <v>3171.05</v>
      </c>
      <c r="K613" s="54" t="s">
        <v>38</v>
      </c>
    </row>
    <row r="614" spans="2:11" ht="24.75" x14ac:dyDescent="0.2">
      <c r="B614" s="82" t="s">
        <v>1853</v>
      </c>
      <c r="C614" s="82" t="s">
        <v>1854</v>
      </c>
      <c r="D614" s="54"/>
      <c r="E614" s="83">
        <f>SUMIFS(E615:E6462,K615:K6462,"0",B615:B6462,"2 1 1 7 1 12 31111 6 M59 00001 000002 00002 00004*")-SUMIFS(D615:D6462,K615:K6462,"0",B615:B6462,"2 1 1 7 1 12 31111 6 M59 00001 000002 00002 00004*")</f>
        <v>3053.36</v>
      </c>
      <c r="F614" s="83">
        <f>SUMIFS(F615:F6462,K615:K6462,"0",B615:B6462,"2 1 1 7 1 12 31111 6 M59 00001 000002 00002 00004*")</f>
        <v>0</v>
      </c>
      <c r="G614" s="83">
        <f>SUMIFS(G615:G6462,K615:K6462,"0",B615:B6462,"2 1 1 7 1 12 31111 6 M59 00001 000002 00002 00004*")</f>
        <v>4321.07</v>
      </c>
      <c r="H614" s="83"/>
      <c r="I614" s="83">
        <f t="shared" si="9"/>
        <v>7374.43</v>
      </c>
      <c r="K614" s="54" t="s">
        <v>15</v>
      </c>
    </row>
    <row r="615" spans="2:11" ht="24.75" x14ac:dyDescent="0.2">
      <c r="B615" s="84" t="s">
        <v>1855</v>
      </c>
      <c r="C615" s="84" t="s">
        <v>392</v>
      </c>
      <c r="D615" s="85"/>
      <c r="E615" s="85">
        <v>3053.36</v>
      </c>
      <c r="F615" s="85">
        <v>0</v>
      </c>
      <c r="G615" s="85">
        <v>4321.07</v>
      </c>
      <c r="H615" s="85"/>
      <c r="I615" s="85">
        <f t="shared" si="9"/>
        <v>7374.43</v>
      </c>
      <c r="K615" s="54" t="s">
        <v>38</v>
      </c>
    </row>
    <row r="616" spans="2:11" ht="33" x14ac:dyDescent="0.2">
      <c r="B616" s="82" t="s">
        <v>1856</v>
      </c>
      <c r="C616" s="82" t="s">
        <v>1857</v>
      </c>
      <c r="D616" s="54"/>
      <c r="E616" s="83">
        <f>SUMIFS(E617:E6462,K617:K6462,"0",B617:B6462,"2 1 1 7 1 12 31111 6 M59 00001 000002 00003*")-SUMIFS(D617:D6462,K617:K6462,"0",B617:B6462,"2 1 1 7 1 12 31111 6 M59 00001 000002 00003*")</f>
        <v>11353.38</v>
      </c>
      <c r="F616" s="83">
        <f>SUMIFS(F617:F6462,K617:K6462,"0",B617:B6462,"2 1 1 7 1 12 31111 6 M59 00001 000002 00003*")</f>
        <v>0</v>
      </c>
      <c r="G616" s="83">
        <f>SUMIFS(G617:G6462,K617:K6462,"0",B617:B6462,"2 1 1 7 1 12 31111 6 M59 00001 000002 00003*")</f>
        <v>5378.7</v>
      </c>
      <c r="H616" s="83"/>
      <c r="I616" s="83">
        <f t="shared" si="9"/>
        <v>16732.079999999998</v>
      </c>
      <c r="K616" s="54" t="s">
        <v>15</v>
      </c>
    </row>
    <row r="617" spans="2:11" ht="24.75" x14ac:dyDescent="0.2">
      <c r="B617" s="82" t="s">
        <v>1858</v>
      </c>
      <c r="C617" s="82" t="s">
        <v>36</v>
      </c>
      <c r="D617" s="54"/>
      <c r="E617" s="83">
        <f>SUMIFS(E618:E6462,K618:K6462,"0",B618:B6462,"2 1 1 7 1 12 31111 6 M59 00001 000002 00003 00045*")-SUMIFS(D618:D6462,K618:K6462,"0",B618:B6462,"2 1 1 7 1 12 31111 6 M59 00001 000002 00003 00045*")</f>
        <v>11353.38</v>
      </c>
      <c r="F617" s="83">
        <f>SUMIFS(F618:F6462,K618:K6462,"0",B618:B6462,"2 1 1 7 1 12 31111 6 M59 00001 000002 00003 00045*")</f>
        <v>0</v>
      </c>
      <c r="G617" s="83">
        <f>SUMIFS(G618:G6462,K618:K6462,"0",B618:B6462,"2 1 1 7 1 12 31111 6 M59 00001 000002 00003 00045*")</f>
        <v>5378.7</v>
      </c>
      <c r="H617" s="83"/>
      <c r="I617" s="83">
        <f t="shared" si="9"/>
        <v>16732.079999999998</v>
      </c>
      <c r="K617" s="54" t="s">
        <v>15</v>
      </c>
    </row>
    <row r="618" spans="2:11" ht="24.75" x14ac:dyDescent="0.2">
      <c r="B618" s="84" t="s">
        <v>1859</v>
      </c>
      <c r="C618" s="84" t="s">
        <v>274</v>
      </c>
      <c r="D618" s="85"/>
      <c r="E618" s="85">
        <v>11353.38</v>
      </c>
      <c r="F618" s="85">
        <v>0</v>
      </c>
      <c r="G618" s="85">
        <v>5378.7</v>
      </c>
      <c r="H618" s="85"/>
      <c r="I618" s="85">
        <f t="shared" si="9"/>
        <v>16732.079999999998</v>
      </c>
      <c r="K618" s="54" t="s">
        <v>38</v>
      </c>
    </row>
    <row r="619" spans="2:11" ht="24.75" x14ac:dyDescent="0.2">
      <c r="B619" s="82" t="s">
        <v>1920</v>
      </c>
      <c r="C619" s="82" t="s">
        <v>1921</v>
      </c>
      <c r="D619" s="54"/>
      <c r="E619" s="83">
        <f>SUMIFS(E620:E6462,K620:K6462,"0",B620:B6462,"2 1 1 7 2*")-SUMIFS(D620:D6462,K620:K6462,"0",B620:B6462,"2 1 1 7 2*")</f>
        <v>2353319.7399999998</v>
      </c>
      <c r="F619" s="83">
        <f>SUMIFS(F620:F6462,K620:K6462,"0",B620:B6462,"2 1 1 7 2*")</f>
        <v>0</v>
      </c>
      <c r="G619" s="83">
        <f>SUMIFS(G620:G6462,K620:K6462,"0",B620:B6462,"2 1 1 7 2*")</f>
        <v>816941.98</v>
      </c>
      <c r="H619" s="83"/>
      <c r="I619" s="83">
        <f t="shared" si="9"/>
        <v>3170261.7199999997</v>
      </c>
      <c r="K619" s="54" t="s">
        <v>15</v>
      </c>
    </row>
    <row r="620" spans="2:11" ht="12.75" x14ac:dyDescent="0.2">
      <c r="B620" s="82" t="s">
        <v>1922</v>
      </c>
      <c r="C620" s="82" t="s">
        <v>26</v>
      </c>
      <c r="D620" s="54"/>
      <c r="E620" s="83">
        <f>SUMIFS(E621:E6462,K621:K6462,"0",B621:B6462,"2 1 1 7 2 12*")-SUMIFS(D621:D6462,K621:K6462,"0",B621:B6462,"2 1 1 7 2 12*")</f>
        <v>2353319.7399999998</v>
      </c>
      <c r="F620" s="83">
        <f>SUMIFS(F621:F6462,K621:K6462,"0",B621:B6462,"2 1 1 7 2 12*")</f>
        <v>0</v>
      </c>
      <c r="G620" s="83">
        <f>SUMIFS(G621:G6462,K621:K6462,"0",B621:B6462,"2 1 1 7 2 12*")</f>
        <v>816941.98</v>
      </c>
      <c r="H620" s="83"/>
      <c r="I620" s="83">
        <f t="shared" ref="I620:I683" si="10">E620 - F620 + G620</f>
        <v>3170261.7199999997</v>
      </c>
      <c r="K620" s="54" t="s">
        <v>15</v>
      </c>
    </row>
    <row r="621" spans="2:11" ht="16.5" x14ac:dyDescent="0.2">
      <c r="B621" s="82" t="s">
        <v>1923</v>
      </c>
      <c r="C621" s="82" t="s">
        <v>28</v>
      </c>
      <c r="D621" s="54"/>
      <c r="E621" s="83">
        <f>SUMIFS(E622:E6462,K622:K6462,"0",B622:B6462,"2 1 1 7 2 12 31111*")-SUMIFS(D622:D6462,K622:K6462,"0",B622:B6462,"2 1 1 7 2 12 31111*")</f>
        <v>2353319.7399999998</v>
      </c>
      <c r="F621" s="83">
        <f>SUMIFS(F622:F6462,K622:K6462,"0",B622:B6462,"2 1 1 7 2 12 31111*")</f>
        <v>0</v>
      </c>
      <c r="G621" s="83">
        <f>SUMIFS(G622:G6462,K622:K6462,"0",B622:B6462,"2 1 1 7 2 12 31111*")</f>
        <v>816941.98</v>
      </c>
      <c r="H621" s="83"/>
      <c r="I621" s="83">
        <f t="shared" si="10"/>
        <v>3170261.7199999997</v>
      </c>
      <c r="K621" s="54" t="s">
        <v>15</v>
      </c>
    </row>
    <row r="622" spans="2:11" ht="12.75" x14ac:dyDescent="0.2">
      <c r="B622" s="82" t="s">
        <v>1924</v>
      </c>
      <c r="C622" s="82" t="s">
        <v>30</v>
      </c>
      <c r="D622" s="54"/>
      <c r="E622" s="83">
        <f>SUMIFS(E623:E6462,K623:K6462,"0",B623:B6462,"2 1 1 7 2 12 31111 6*")-SUMIFS(D623:D6462,K623:K6462,"0",B623:B6462,"2 1 1 7 2 12 31111 6*")</f>
        <v>2353319.7399999998</v>
      </c>
      <c r="F622" s="83">
        <f>SUMIFS(F623:F6462,K623:K6462,"0",B623:B6462,"2 1 1 7 2 12 31111 6*")</f>
        <v>0</v>
      </c>
      <c r="G622" s="83">
        <f>SUMIFS(G623:G6462,K623:K6462,"0",B623:B6462,"2 1 1 7 2 12 31111 6*")</f>
        <v>816941.98</v>
      </c>
      <c r="H622" s="83"/>
      <c r="I622" s="83">
        <f t="shared" si="10"/>
        <v>3170261.7199999997</v>
      </c>
      <c r="K622" s="54" t="s">
        <v>15</v>
      </c>
    </row>
    <row r="623" spans="2:11" ht="33" x14ac:dyDescent="0.2">
      <c r="B623" s="82" t="s">
        <v>1925</v>
      </c>
      <c r="C623" s="82" t="s">
        <v>1926</v>
      </c>
      <c r="D623" s="54"/>
      <c r="E623" s="83">
        <f>SUMIFS(E624:E6462,K624:K6462,"0",B624:B6462,"2 1 1 7 2 12 31111 6 M59*")-SUMIFS(D624:D6462,K624:K6462,"0",B624:B6462,"2 1 1 7 2 12 31111 6 M59*")</f>
        <v>2353319.7399999998</v>
      </c>
      <c r="F623" s="83">
        <f>SUMIFS(F624:F6462,K624:K6462,"0",B624:B6462,"2 1 1 7 2 12 31111 6 M59*")</f>
        <v>0</v>
      </c>
      <c r="G623" s="83">
        <f>SUMIFS(G624:G6462,K624:K6462,"0",B624:B6462,"2 1 1 7 2 12 31111 6 M59*")</f>
        <v>816941.98</v>
      </c>
      <c r="H623" s="83"/>
      <c r="I623" s="83">
        <f t="shared" si="10"/>
        <v>3170261.7199999997</v>
      </c>
      <c r="K623" s="54" t="s">
        <v>15</v>
      </c>
    </row>
    <row r="624" spans="2:11" ht="16.5" x14ac:dyDescent="0.2">
      <c r="B624" s="82" t="s">
        <v>1927</v>
      </c>
      <c r="C624" s="82" t="s">
        <v>34</v>
      </c>
      <c r="D624" s="54"/>
      <c r="E624" s="83">
        <f>SUMIFS(E625:E6462,K625:K6462,"0",B625:B6462,"2 1 1 7 2 12 31111 6 M59 00001*")-SUMIFS(D625:D6462,K625:K6462,"0",B625:B6462,"2 1 1 7 2 12 31111 6 M59 00001*")</f>
        <v>2353319.7399999998</v>
      </c>
      <c r="F624" s="83">
        <f>SUMIFS(F625:F6462,K625:K6462,"0",B625:B6462,"2 1 1 7 2 12 31111 6 M59 00001*")</f>
        <v>0</v>
      </c>
      <c r="G624" s="83">
        <f>SUMIFS(G625:G6462,K625:K6462,"0",B625:B6462,"2 1 1 7 2 12 31111 6 M59 00001*")</f>
        <v>490584.24</v>
      </c>
      <c r="H624" s="83"/>
      <c r="I624" s="83">
        <f t="shared" si="10"/>
        <v>2843903.9799999995</v>
      </c>
      <c r="K624" s="54" t="s">
        <v>15</v>
      </c>
    </row>
    <row r="625" spans="2:11" ht="16.5" x14ac:dyDescent="0.2">
      <c r="B625" s="82" t="s">
        <v>1928</v>
      </c>
      <c r="C625" s="82" t="s">
        <v>1929</v>
      </c>
      <c r="D625" s="54"/>
      <c r="E625" s="83">
        <f>SUMIFS(E626:E6462,K626:K6462,"0",B626:B6462,"2 1 1 7 2 12 31111 6 M59 00001 000003*")-SUMIFS(D626:D6462,K626:K6462,"0",B626:B6462,"2 1 1 7 2 12 31111 6 M59 00001 000003*")</f>
        <v>2353319.7399999998</v>
      </c>
      <c r="F625" s="83">
        <f>SUMIFS(F626:F6462,K626:K6462,"0",B626:B6462,"2 1 1 7 2 12 31111 6 M59 00001 000003*")</f>
        <v>0</v>
      </c>
      <c r="G625" s="83">
        <f>SUMIFS(G626:G6462,K626:K6462,"0",B626:B6462,"2 1 1 7 2 12 31111 6 M59 00001 000003*")</f>
        <v>490584.24</v>
      </c>
      <c r="H625" s="83"/>
      <c r="I625" s="83">
        <f t="shared" si="10"/>
        <v>2843903.9799999995</v>
      </c>
      <c r="K625" s="54" t="s">
        <v>15</v>
      </c>
    </row>
    <row r="626" spans="2:11" ht="24.75" x14ac:dyDescent="0.2">
      <c r="B626" s="82" t="s">
        <v>1930</v>
      </c>
      <c r="C626" s="82" t="s">
        <v>1931</v>
      </c>
      <c r="D626" s="54"/>
      <c r="E626" s="83">
        <f>SUMIFS(E627:E6462,K627:K6462,"0",B627:B6462,"2 1 1 7 2 12 31111 6 M59 00001 000003 00001*")-SUMIFS(D627:D6462,K627:K6462,"0",B627:B6462,"2 1 1 7 2 12 31111 6 M59 00001 000003 00001*")</f>
        <v>1379491.05</v>
      </c>
      <c r="F626" s="83">
        <f>SUMIFS(F627:F6462,K627:K6462,"0",B627:B6462,"2 1 1 7 2 12 31111 6 M59 00001 000003 00001*")</f>
        <v>0</v>
      </c>
      <c r="G626" s="83">
        <f>SUMIFS(G627:G6462,K627:K6462,"0",B627:B6462,"2 1 1 7 2 12 31111 6 M59 00001 000003 00001*")</f>
        <v>2757.43</v>
      </c>
      <c r="H626" s="83"/>
      <c r="I626" s="83">
        <f t="shared" si="10"/>
        <v>1382248.48</v>
      </c>
      <c r="K626" s="54" t="s">
        <v>15</v>
      </c>
    </row>
    <row r="627" spans="2:11" ht="24.75" x14ac:dyDescent="0.2">
      <c r="B627" s="84" t="s">
        <v>1932</v>
      </c>
      <c r="C627" s="84" t="s">
        <v>394</v>
      </c>
      <c r="D627" s="85"/>
      <c r="E627" s="85">
        <v>1379491.05</v>
      </c>
      <c r="F627" s="85">
        <v>0</v>
      </c>
      <c r="G627" s="85">
        <v>2757.43</v>
      </c>
      <c r="H627" s="85"/>
      <c r="I627" s="85">
        <f t="shared" si="10"/>
        <v>1382248.48</v>
      </c>
      <c r="K627" s="54" t="s">
        <v>38</v>
      </c>
    </row>
    <row r="628" spans="2:11" ht="24.75" x14ac:dyDescent="0.2">
      <c r="B628" s="82" t="s">
        <v>1933</v>
      </c>
      <c r="C628" s="82" t="s">
        <v>1934</v>
      </c>
      <c r="D628" s="54"/>
      <c r="E628" s="83">
        <f>SUMIFS(E629:E6462,K629:K6462,"0",B629:B6462,"2 1 1 7 2 12 31111 6 M59 00001 000003 00002*")-SUMIFS(D629:D6462,K629:K6462,"0",B629:B6462,"2 1 1 7 2 12 31111 6 M59 00001 000003 00002*")</f>
        <v>826710.25</v>
      </c>
      <c r="F628" s="83">
        <f>SUMIFS(F629:F6462,K629:K6462,"0",B629:B6462,"2 1 1 7 2 12 31111 6 M59 00001 000003 00002*")</f>
        <v>0</v>
      </c>
      <c r="G628" s="83">
        <f>SUMIFS(G629:G6462,K629:K6462,"0",B629:B6462,"2 1 1 7 2 12 31111 6 M59 00001 000003 00002*")</f>
        <v>487826.81</v>
      </c>
      <c r="H628" s="83"/>
      <c r="I628" s="83">
        <f t="shared" si="10"/>
        <v>1314537.06</v>
      </c>
      <c r="K628" s="54" t="s">
        <v>15</v>
      </c>
    </row>
    <row r="629" spans="2:11" ht="24.75" x14ac:dyDescent="0.2">
      <c r="B629" s="84" t="s">
        <v>1935</v>
      </c>
      <c r="C629" s="84" t="s">
        <v>394</v>
      </c>
      <c r="D629" s="85"/>
      <c r="E629" s="85">
        <v>826710.25</v>
      </c>
      <c r="F629" s="85">
        <v>0</v>
      </c>
      <c r="G629" s="85">
        <v>487826.81</v>
      </c>
      <c r="H629" s="85"/>
      <c r="I629" s="85">
        <f t="shared" si="10"/>
        <v>1314537.06</v>
      </c>
      <c r="K629" s="54" t="s">
        <v>38</v>
      </c>
    </row>
    <row r="630" spans="2:11" ht="24.75" x14ac:dyDescent="0.2">
      <c r="B630" s="82" t="s">
        <v>1936</v>
      </c>
      <c r="C630" s="82" t="s">
        <v>1937</v>
      </c>
      <c r="D630" s="54"/>
      <c r="E630" s="83">
        <f>SUMIFS(E631:E6462,K631:K6462,"0",B631:B6462,"2 1 1 7 2 12 31111 6 M59 00001 000003 00003*")-SUMIFS(D631:D6462,K631:K6462,"0",B631:B6462,"2 1 1 7 2 12 31111 6 M59 00001 000003 00003*")</f>
        <v>147118.44</v>
      </c>
      <c r="F630" s="83">
        <f>SUMIFS(F631:F6462,K631:K6462,"0",B631:B6462,"2 1 1 7 2 12 31111 6 M59 00001 000003 00003*")</f>
        <v>0</v>
      </c>
      <c r="G630" s="83">
        <f>SUMIFS(G631:G6462,K631:K6462,"0",B631:B6462,"2 1 1 7 2 12 31111 6 M59 00001 000003 00003*")</f>
        <v>0</v>
      </c>
      <c r="H630" s="83"/>
      <c r="I630" s="83">
        <f t="shared" si="10"/>
        <v>147118.44</v>
      </c>
      <c r="K630" s="54" t="s">
        <v>15</v>
      </c>
    </row>
    <row r="631" spans="2:11" ht="24.75" x14ac:dyDescent="0.2">
      <c r="B631" s="84" t="s">
        <v>1938</v>
      </c>
      <c r="C631" s="84" t="s">
        <v>394</v>
      </c>
      <c r="D631" s="85"/>
      <c r="E631" s="85">
        <v>147118.44</v>
      </c>
      <c r="F631" s="85">
        <v>0</v>
      </c>
      <c r="G631" s="85">
        <v>0</v>
      </c>
      <c r="H631" s="85"/>
      <c r="I631" s="85">
        <f t="shared" si="10"/>
        <v>147118.44</v>
      </c>
      <c r="K631" s="54" t="s">
        <v>38</v>
      </c>
    </row>
    <row r="632" spans="2:11" ht="24.75" x14ac:dyDescent="0.2">
      <c r="B632" s="82" t="s">
        <v>1945</v>
      </c>
      <c r="C632" s="82" t="s">
        <v>91</v>
      </c>
      <c r="D632" s="54"/>
      <c r="E632" s="83">
        <f>SUMIFS(E633:E6462,K633:K6462,"0",B633:B6462,"2 1 1 7 2 12 31111 6 M59 00004*")-SUMIFS(D633:D6462,K633:K6462,"0",B633:B6462,"2 1 1 7 2 12 31111 6 M59 00004*")</f>
        <v>0</v>
      </c>
      <c r="F632" s="83">
        <f>SUMIFS(F633:F6462,K633:K6462,"0",B633:B6462,"2 1 1 7 2 12 31111 6 M59 00004*")</f>
        <v>0</v>
      </c>
      <c r="G632" s="83">
        <f>SUMIFS(G633:G6462,K633:K6462,"0",B633:B6462,"2 1 1 7 2 12 31111 6 M59 00004*")</f>
        <v>326357.74</v>
      </c>
      <c r="H632" s="83"/>
      <c r="I632" s="83">
        <f t="shared" si="10"/>
        <v>326357.74</v>
      </c>
      <c r="K632" s="54" t="s">
        <v>15</v>
      </c>
    </row>
    <row r="633" spans="2:11" ht="16.5" x14ac:dyDescent="0.2">
      <c r="B633" s="82" t="s">
        <v>1946</v>
      </c>
      <c r="C633" s="82" t="s">
        <v>1929</v>
      </c>
      <c r="D633" s="54"/>
      <c r="E633" s="83">
        <f>SUMIFS(E634:E6462,K634:K6462,"0",B634:B6462,"2 1 1 7 2 12 31111 6 M59 00004 000003*")-SUMIFS(D634:D6462,K634:K6462,"0",B634:B6462,"2 1 1 7 2 12 31111 6 M59 00004 000003*")</f>
        <v>0</v>
      </c>
      <c r="F633" s="83">
        <f>SUMIFS(F634:F6462,K634:K6462,"0",B634:B6462,"2 1 1 7 2 12 31111 6 M59 00004 000003*")</f>
        <v>0</v>
      </c>
      <c r="G633" s="83">
        <f>SUMIFS(G634:G6462,K634:K6462,"0",B634:B6462,"2 1 1 7 2 12 31111 6 M59 00004 000003*")</f>
        <v>326357.74</v>
      </c>
      <c r="H633" s="83"/>
      <c r="I633" s="83">
        <f t="shared" si="10"/>
        <v>326357.74</v>
      </c>
      <c r="K633" s="54" t="s">
        <v>15</v>
      </c>
    </row>
    <row r="634" spans="2:11" ht="24.75" x14ac:dyDescent="0.2">
      <c r="B634" s="82" t="s">
        <v>1947</v>
      </c>
      <c r="C634" s="82" t="s">
        <v>1931</v>
      </c>
      <c r="D634" s="54"/>
      <c r="E634" s="83">
        <f>SUMIFS(E635:E6462,K635:K6462,"0",B635:B6462,"2 1 1 7 2 12 31111 6 M59 00004 000003 00001*")-SUMIFS(D635:D6462,K635:K6462,"0",B635:B6462,"2 1 1 7 2 12 31111 6 M59 00004 000003 00001*")</f>
        <v>0</v>
      </c>
      <c r="F634" s="83">
        <f>SUMIFS(F635:F6462,K635:K6462,"0",B635:B6462,"2 1 1 7 2 12 31111 6 M59 00004 000003 00001*")</f>
        <v>0</v>
      </c>
      <c r="G634" s="83">
        <f>SUMIFS(G635:G6462,K635:K6462,"0",B635:B6462,"2 1 1 7 2 12 31111 6 M59 00004 000003 00001*")</f>
        <v>326357.74</v>
      </c>
      <c r="H634" s="83"/>
      <c r="I634" s="83">
        <f t="shared" si="10"/>
        <v>326357.74</v>
      </c>
      <c r="K634" s="54" t="s">
        <v>15</v>
      </c>
    </row>
    <row r="635" spans="2:11" ht="24.75" x14ac:dyDescent="0.2">
      <c r="B635" s="84" t="s">
        <v>1948</v>
      </c>
      <c r="C635" s="84" t="s">
        <v>394</v>
      </c>
      <c r="D635" s="85"/>
      <c r="E635" s="85">
        <v>0</v>
      </c>
      <c r="F635" s="85">
        <v>0</v>
      </c>
      <c r="G635" s="85">
        <v>326357.74</v>
      </c>
      <c r="H635" s="85"/>
      <c r="I635" s="85">
        <f t="shared" si="10"/>
        <v>326357.74</v>
      </c>
      <c r="K635" s="54" t="s">
        <v>38</v>
      </c>
    </row>
    <row r="636" spans="2:11" ht="16.5" x14ac:dyDescent="0.2">
      <c r="B636" s="82" t="s">
        <v>1949</v>
      </c>
      <c r="C636" s="82" t="s">
        <v>1950</v>
      </c>
      <c r="D636" s="54"/>
      <c r="E636" s="83">
        <f>SUMIFS(E637:E6462,K637:K6462,"0",B637:B6462,"2 1 1 7 3*")-SUMIFS(D637:D6462,K637:K6462,"0",B637:B6462,"2 1 1 7 3*")</f>
        <v>0</v>
      </c>
      <c r="F636" s="83">
        <f>SUMIFS(F637:F6462,K637:K6462,"0",B637:B6462,"2 1 1 7 3*")</f>
        <v>2179890</v>
      </c>
      <c r="G636" s="83">
        <f>SUMIFS(G637:G6462,K637:K6462,"0",B637:B6462,"2 1 1 7 3*")</f>
        <v>2179890</v>
      </c>
      <c r="H636" s="83"/>
      <c r="I636" s="83">
        <f t="shared" si="10"/>
        <v>0</v>
      </c>
      <c r="K636" s="54" t="s">
        <v>15</v>
      </c>
    </row>
    <row r="637" spans="2:11" ht="12.75" x14ac:dyDescent="0.2">
      <c r="B637" s="82" t="s">
        <v>1951</v>
      </c>
      <c r="C637" s="82" t="s">
        <v>26</v>
      </c>
      <c r="D637" s="54"/>
      <c r="E637" s="83">
        <f>SUMIFS(E638:E6462,K638:K6462,"0",B638:B6462,"2 1 1 7 3 12*")-SUMIFS(D638:D6462,K638:K6462,"0",B638:B6462,"2 1 1 7 3 12*")</f>
        <v>0</v>
      </c>
      <c r="F637" s="83">
        <f>SUMIFS(F638:F6462,K638:K6462,"0",B638:B6462,"2 1 1 7 3 12*")</f>
        <v>2179890</v>
      </c>
      <c r="G637" s="83">
        <f>SUMIFS(G638:G6462,K638:K6462,"0",B638:B6462,"2 1 1 7 3 12*")</f>
        <v>2179890</v>
      </c>
      <c r="H637" s="83"/>
      <c r="I637" s="83">
        <f t="shared" si="10"/>
        <v>0</v>
      </c>
      <c r="K637" s="54" t="s">
        <v>15</v>
      </c>
    </row>
    <row r="638" spans="2:11" ht="16.5" x14ac:dyDescent="0.2">
      <c r="B638" s="82" t="s">
        <v>1952</v>
      </c>
      <c r="C638" s="82" t="s">
        <v>28</v>
      </c>
      <c r="D638" s="54"/>
      <c r="E638" s="83">
        <f>SUMIFS(E639:E6462,K639:K6462,"0",B639:B6462,"2 1 1 7 3 12 31111*")-SUMIFS(D639:D6462,K639:K6462,"0",B639:B6462,"2 1 1 7 3 12 31111*")</f>
        <v>0</v>
      </c>
      <c r="F638" s="83">
        <f>SUMIFS(F639:F6462,K639:K6462,"0",B639:B6462,"2 1 1 7 3 12 31111*")</f>
        <v>2179890</v>
      </c>
      <c r="G638" s="83">
        <f>SUMIFS(G639:G6462,K639:K6462,"0",B639:B6462,"2 1 1 7 3 12 31111*")</f>
        <v>2179890</v>
      </c>
      <c r="H638" s="83"/>
      <c r="I638" s="83">
        <f t="shared" si="10"/>
        <v>0</v>
      </c>
      <c r="K638" s="54" t="s">
        <v>15</v>
      </c>
    </row>
    <row r="639" spans="2:11" ht="12.75" x14ac:dyDescent="0.2">
      <c r="B639" s="82" t="s">
        <v>1953</v>
      </c>
      <c r="C639" s="82" t="s">
        <v>30</v>
      </c>
      <c r="D639" s="54"/>
      <c r="E639" s="83">
        <f>SUMIFS(E640:E6462,K640:K6462,"0",B640:B6462,"2 1 1 7 3 12 31111 6*")-SUMIFS(D640:D6462,K640:K6462,"0",B640:B6462,"2 1 1 7 3 12 31111 6*")</f>
        <v>0</v>
      </c>
      <c r="F639" s="83">
        <f>SUMIFS(F640:F6462,K640:K6462,"0",B640:B6462,"2 1 1 7 3 12 31111 6*")</f>
        <v>2179890</v>
      </c>
      <c r="G639" s="83">
        <f>SUMIFS(G640:G6462,K640:K6462,"0",B640:B6462,"2 1 1 7 3 12 31111 6*")</f>
        <v>2179890</v>
      </c>
      <c r="H639" s="83"/>
      <c r="I639" s="83">
        <f t="shared" si="10"/>
        <v>0</v>
      </c>
      <c r="K639" s="54" t="s">
        <v>15</v>
      </c>
    </row>
    <row r="640" spans="2:11" ht="16.5" x14ac:dyDescent="0.2">
      <c r="B640" s="82" t="s">
        <v>1954</v>
      </c>
      <c r="C640" s="82" t="s">
        <v>32</v>
      </c>
      <c r="D640" s="54"/>
      <c r="E640" s="83">
        <f>SUMIFS(E641:E6462,K641:K6462,"0",B641:B6462,"2 1 1 7 3 12 31111 6 M59*")-SUMIFS(D641:D6462,K641:K6462,"0",B641:B6462,"2 1 1 7 3 12 31111 6 M59*")</f>
        <v>0</v>
      </c>
      <c r="F640" s="83">
        <f>SUMIFS(F641:F6462,K641:K6462,"0",B641:B6462,"2 1 1 7 3 12 31111 6 M59*")</f>
        <v>2179890</v>
      </c>
      <c r="G640" s="83">
        <f>SUMIFS(G641:G6462,K641:K6462,"0",B641:B6462,"2 1 1 7 3 12 31111 6 M59*")</f>
        <v>2179890</v>
      </c>
      <c r="H640" s="83"/>
      <c r="I640" s="83">
        <f t="shared" si="10"/>
        <v>0</v>
      </c>
      <c r="K640" s="54" t="s">
        <v>15</v>
      </c>
    </row>
    <row r="641" spans="2:11" ht="24.75" x14ac:dyDescent="0.2">
      <c r="B641" s="82" t="s">
        <v>1955</v>
      </c>
      <c r="C641" s="82" t="s">
        <v>91</v>
      </c>
      <c r="D641" s="54"/>
      <c r="E641" s="83">
        <f>SUMIFS(E642:E6462,K642:K6462,"0",B642:B6462,"2 1 1 7 3 12 31111 6 M59 00004*")-SUMIFS(D642:D6462,K642:K6462,"0",B642:B6462,"2 1 1 7 3 12 31111 6 M59 00004*")</f>
        <v>0</v>
      </c>
      <c r="F641" s="83">
        <f>SUMIFS(F642:F6462,K642:K6462,"0",B642:B6462,"2 1 1 7 3 12 31111 6 M59 00004*")</f>
        <v>2179890</v>
      </c>
      <c r="G641" s="83">
        <f>SUMIFS(G642:G6462,K642:K6462,"0",B642:B6462,"2 1 1 7 3 12 31111 6 M59 00004*")</f>
        <v>2179890</v>
      </c>
      <c r="H641" s="83"/>
      <c r="I641" s="83">
        <f t="shared" si="10"/>
        <v>0</v>
      </c>
      <c r="K641" s="54" t="s">
        <v>15</v>
      </c>
    </row>
    <row r="642" spans="2:11" ht="16.5" x14ac:dyDescent="0.2">
      <c r="B642" s="82" t="s">
        <v>1956</v>
      </c>
      <c r="C642" s="82" t="s">
        <v>1957</v>
      </c>
      <c r="D642" s="54"/>
      <c r="E642" s="83">
        <f>SUMIFS(E643:E6462,K643:K6462,"0",B643:B6462,"2 1 1 7 3 12 31111 6 M59 00004 000001*")-SUMIFS(D643:D6462,K643:K6462,"0",B643:B6462,"2 1 1 7 3 12 31111 6 M59 00004 000001*")</f>
        <v>0</v>
      </c>
      <c r="F642" s="83">
        <f>SUMIFS(F643:F6462,K643:K6462,"0",B643:B6462,"2 1 1 7 3 12 31111 6 M59 00004 000001*")</f>
        <v>1118149</v>
      </c>
      <c r="G642" s="83">
        <f>SUMIFS(G643:G6462,K643:K6462,"0",B643:B6462,"2 1 1 7 3 12 31111 6 M59 00004 000001*")</f>
        <v>1118149</v>
      </c>
      <c r="H642" s="83"/>
      <c r="I642" s="83">
        <f t="shared" si="10"/>
        <v>0</v>
      </c>
      <c r="K642" s="54" t="s">
        <v>15</v>
      </c>
    </row>
    <row r="643" spans="2:11" ht="16.5" x14ac:dyDescent="0.2">
      <c r="B643" s="84" t="s">
        <v>1958</v>
      </c>
      <c r="C643" s="84" t="s">
        <v>1959</v>
      </c>
      <c r="D643" s="85"/>
      <c r="E643" s="85">
        <v>0</v>
      </c>
      <c r="F643" s="85">
        <v>1118149</v>
      </c>
      <c r="G643" s="85">
        <v>1118149</v>
      </c>
      <c r="H643" s="85"/>
      <c r="I643" s="85">
        <f t="shared" si="10"/>
        <v>0</v>
      </c>
      <c r="K643" s="54" t="s">
        <v>38</v>
      </c>
    </row>
    <row r="644" spans="2:11" ht="16.5" x14ac:dyDescent="0.2">
      <c r="B644" s="82" t="s">
        <v>1960</v>
      </c>
      <c r="C644" s="82" t="s">
        <v>1961</v>
      </c>
      <c r="D644" s="54"/>
      <c r="E644" s="83">
        <f>SUMIFS(E645:E6462,K645:K6462,"0",B645:B6462,"2 1 1 7 3 12 31111 6 M59 00004 000002*")-SUMIFS(D645:D6462,K645:K6462,"0",B645:B6462,"2 1 1 7 3 12 31111 6 M59 00004 000002*")</f>
        <v>0</v>
      </c>
      <c r="F644" s="83">
        <f>SUMIFS(F645:F6462,K645:K6462,"0",B645:B6462,"2 1 1 7 3 12 31111 6 M59 00004 000002*")</f>
        <v>1061741</v>
      </c>
      <c r="G644" s="83">
        <f>SUMIFS(G645:G6462,K645:K6462,"0",B645:B6462,"2 1 1 7 3 12 31111 6 M59 00004 000002*")</f>
        <v>1061741</v>
      </c>
      <c r="H644" s="83"/>
      <c r="I644" s="83">
        <f t="shared" si="10"/>
        <v>0</v>
      </c>
      <c r="K644" s="54" t="s">
        <v>15</v>
      </c>
    </row>
    <row r="645" spans="2:11" ht="16.5" x14ac:dyDescent="0.2">
      <c r="B645" s="84" t="s">
        <v>1962</v>
      </c>
      <c r="C645" s="84" t="s">
        <v>1959</v>
      </c>
      <c r="D645" s="85"/>
      <c r="E645" s="85">
        <v>0</v>
      </c>
      <c r="F645" s="85">
        <v>1061741</v>
      </c>
      <c r="G645" s="85">
        <v>1061741</v>
      </c>
      <c r="H645" s="85"/>
      <c r="I645" s="85">
        <f t="shared" si="10"/>
        <v>0</v>
      </c>
      <c r="K645" s="54" t="s">
        <v>38</v>
      </c>
    </row>
    <row r="646" spans="2:11" ht="33" x14ac:dyDescent="0.2">
      <c r="B646" s="82" t="s">
        <v>1963</v>
      </c>
      <c r="C646" s="82" t="s">
        <v>1964</v>
      </c>
      <c r="D646" s="54"/>
      <c r="E646" s="83">
        <f>SUMIFS(E647:E6462,K647:K6462,"0",B647:B6462,"2 1 1 7 5*")-SUMIFS(D647:D6462,K647:K6462,"0",B647:B6462,"2 1 1 7 5*")</f>
        <v>4447935.5599999996</v>
      </c>
      <c r="F646" s="83">
        <f>SUMIFS(F647:F6462,K647:K6462,"0",B647:B6462,"2 1 1 7 5*")</f>
        <v>1844051.58</v>
      </c>
      <c r="G646" s="83">
        <f>SUMIFS(G647:G6462,K647:K6462,"0",B647:B6462,"2 1 1 7 5*")</f>
        <v>2669467.62</v>
      </c>
      <c r="H646" s="83"/>
      <c r="I646" s="83">
        <f t="shared" si="10"/>
        <v>5273351.5999999996</v>
      </c>
      <c r="K646" s="54" t="s">
        <v>15</v>
      </c>
    </row>
    <row r="647" spans="2:11" ht="12.75" x14ac:dyDescent="0.2">
      <c r="B647" s="82" t="s">
        <v>1965</v>
      </c>
      <c r="C647" s="82" t="s">
        <v>26</v>
      </c>
      <c r="D647" s="54"/>
      <c r="E647" s="83">
        <f>SUMIFS(E648:E6462,K648:K6462,"0",B648:B6462,"2 1 1 7 5 12*")-SUMIFS(D648:D6462,K648:K6462,"0",B648:B6462,"2 1 1 7 5 12*")</f>
        <v>4447935.5599999996</v>
      </c>
      <c r="F647" s="83">
        <f>SUMIFS(F648:F6462,K648:K6462,"0",B648:B6462,"2 1 1 7 5 12*")</f>
        <v>1844051.58</v>
      </c>
      <c r="G647" s="83">
        <f>SUMIFS(G648:G6462,K648:K6462,"0",B648:B6462,"2 1 1 7 5 12*")</f>
        <v>2669467.62</v>
      </c>
      <c r="H647" s="83"/>
      <c r="I647" s="83">
        <f t="shared" si="10"/>
        <v>5273351.5999999996</v>
      </c>
      <c r="K647" s="54" t="s">
        <v>15</v>
      </c>
    </row>
    <row r="648" spans="2:11" ht="16.5" x14ac:dyDescent="0.2">
      <c r="B648" s="82" t="s">
        <v>1966</v>
      </c>
      <c r="C648" s="82" t="s">
        <v>28</v>
      </c>
      <c r="D648" s="54"/>
      <c r="E648" s="83">
        <f>SUMIFS(E649:E6462,K649:K6462,"0",B649:B6462,"2 1 1 7 5 12 31111*")-SUMIFS(D649:D6462,K649:K6462,"0",B649:B6462,"2 1 1 7 5 12 31111*")</f>
        <v>4447935.5599999996</v>
      </c>
      <c r="F648" s="83">
        <f>SUMIFS(F649:F6462,K649:K6462,"0",B649:B6462,"2 1 1 7 5 12 31111*")</f>
        <v>1844051.58</v>
      </c>
      <c r="G648" s="83">
        <f>SUMIFS(G649:G6462,K649:K6462,"0",B649:B6462,"2 1 1 7 5 12 31111*")</f>
        <v>2669467.62</v>
      </c>
      <c r="H648" s="83"/>
      <c r="I648" s="83">
        <f t="shared" si="10"/>
        <v>5273351.5999999996</v>
      </c>
      <c r="K648" s="54" t="s">
        <v>15</v>
      </c>
    </row>
    <row r="649" spans="2:11" ht="12.75" x14ac:dyDescent="0.2">
      <c r="B649" s="82" t="s">
        <v>1967</v>
      </c>
      <c r="C649" s="82" t="s">
        <v>30</v>
      </c>
      <c r="D649" s="54"/>
      <c r="E649" s="83">
        <f>SUMIFS(E650:E6462,K650:K6462,"0",B650:B6462,"2 1 1 7 5 12 31111 6*")-SUMIFS(D650:D6462,K650:K6462,"0",B650:B6462,"2 1 1 7 5 12 31111 6*")</f>
        <v>4447935.5599999996</v>
      </c>
      <c r="F649" s="83">
        <f>SUMIFS(F650:F6462,K650:K6462,"0",B650:B6462,"2 1 1 7 5 12 31111 6*")</f>
        <v>1844051.58</v>
      </c>
      <c r="G649" s="83">
        <f>SUMIFS(G650:G6462,K650:K6462,"0",B650:B6462,"2 1 1 7 5 12 31111 6*")</f>
        <v>2669467.62</v>
      </c>
      <c r="H649" s="83"/>
      <c r="I649" s="83">
        <f t="shared" si="10"/>
        <v>5273351.5999999996</v>
      </c>
      <c r="K649" s="54" t="s">
        <v>15</v>
      </c>
    </row>
    <row r="650" spans="2:11" ht="12.75" x14ac:dyDescent="0.2">
      <c r="B650" s="82" t="s">
        <v>1968</v>
      </c>
      <c r="C650" s="82" t="s">
        <v>32</v>
      </c>
      <c r="D650" s="54"/>
      <c r="E650" s="83">
        <f>SUMIFS(E651:E6462,K651:K6462,"0",B651:B6462,"2 1 1 7 5 12 31111 6 M59*")-SUMIFS(D651:D6462,K651:K6462,"0",B651:B6462,"2 1 1 7 5 12 31111 6 M59*")</f>
        <v>4447935.5599999996</v>
      </c>
      <c r="F650" s="83">
        <f>SUMIFS(F651:F6462,K651:K6462,"0",B651:B6462,"2 1 1 7 5 12 31111 6 M59*")</f>
        <v>1844051.58</v>
      </c>
      <c r="G650" s="83">
        <f>SUMIFS(G651:G6462,K651:K6462,"0",B651:B6462,"2 1 1 7 5 12 31111 6 M59*")</f>
        <v>2669467.62</v>
      </c>
      <c r="H650" s="83"/>
      <c r="I650" s="83">
        <f t="shared" si="10"/>
        <v>5273351.5999999996</v>
      </c>
      <c r="K650" s="54" t="s">
        <v>15</v>
      </c>
    </row>
    <row r="651" spans="2:11" ht="16.5" x14ac:dyDescent="0.2">
      <c r="B651" s="82" t="s">
        <v>1969</v>
      </c>
      <c r="C651" s="82" t="s">
        <v>34</v>
      </c>
      <c r="D651" s="54"/>
      <c r="E651" s="83">
        <f>SUMIFS(E652:E6462,K652:K6462,"0",B652:B6462,"2 1 1 7 5 12 31111 6 M59 00001*")-SUMIFS(D652:D6462,K652:K6462,"0",B652:B6462,"2 1 1 7 5 12 31111 6 M59 00001*")</f>
        <v>4447935.5599999996</v>
      </c>
      <c r="F651" s="83">
        <f>SUMIFS(F652:F6462,K652:K6462,"0",B652:B6462,"2 1 1 7 5 12 31111 6 M59 00001*")</f>
        <v>1844051.58</v>
      </c>
      <c r="G651" s="83">
        <f>SUMIFS(G652:G6462,K652:K6462,"0",B652:B6462,"2 1 1 7 5 12 31111 6 M59 00001*")</f>
        <v>2669467.62</v>
      </c>
      <c r="H651" s="83"/>
      <c r="I651" s="83">
        <f t="shared" si="10"/>
        <v>5273351.5999999996</v>
      </c>
      <c r="K651" s="54" t="s">
        <v>15</v>
      </c>
    </row>
    <row r="652" spans="2:11" ht="24.75" x14ac:dyDescent="0.2">
      <c r="B652" s="82" t="s">
        <v>1970</v>
      </c>
      <c r="C652" s="82" t="s">
        <v>1971</v>
      </c>
      <c r="D652" s="54"/>
      <c r="E652" s="83">
        <f>SUMIFS(E653:E6462,K653:K6462,"0",B653:B6462,"2 1 1 7 5 12 31111 6 M59 00001 000001*")-SUMIFS(D653:D6462,K653:K6462,"0",B653:B6462,"2 1 1 7 5 12 31111 6 M59 00001 000001*")</f>
        <v>4447935.5599999996</v>
      </c>
      <c r="F652" s="83">
        <f>SUMIFS(F653:F6462,K653:K6462,"0",B653:B6462,"2 1 1 7 5 12 31111 6 M59 00001 000001*")</f>
        <v>1844051.58</v>
      </c>
      <c r="G652" s="83">
        <f>SUMIFS(G653:G6462,K653:K6462,"0",B653:B6462,"2 1 1 7 5 12 31111 6 M59 00001 000001*")</f>
        <v>2669467.62</v>
      </c>
      <c r="H652" s="83"/>
      <c r="I652" s="83">
        <f t="shared" si="10"/>
        <v>5273351.5999999996</v>
      </c>
      <c r="K652" s="54" t="s">
        <v>15</v>
      </c>
    </row>
    <row r="653" spans="2:11" ht="16.5" x14ac:dyDescent="0.2">
      <c r="B653" s="84" t="s">
        <v>1972</v>
      </c>
      <c r="C653" s="84" t="s">
        <v>1973</v>
      </c>
      <c r="D653" s="85"/>
      <c r="E653" s="85">
        <v>0</v>
      </c>
      <c r="F653" s="85">
        <v>1835410</v>
      </c>
      <c r="G653" s="85">
        <v>965862.36</v>
      </c>
      <c r="H653" s="85"/>
      <c r="I653" s="85">
        <f t="shared" si="10"/>
        <v>-869547.64</v>
      </c>
      <c r="K653" s="54" t="s">
        <v>38</v>
      </c>
    </row>
    <row r="654" spans="2:11" ht="16.5" x14ac:dyDescent="0.2">
      <c r="B654" s="84" t="s">
        <v>1974</v>
      </c>
      <c r="C654" s="84" t="s">
        <v>1975</v>
      </c>
      <c r="D654" s="85"/>
      <c r="E654" s="85">
        <v>0</v>
      </c>
      <c r="F654" s="85">
        <v>0</v>
      </c>
      <c r="G654" s="85">
        <v>96725.68</v>
      </c>
      <c r="H654" s="85"/>
      <c r="I654" s="85">
        <f t="shared" si="10"/>
        <v>96725.68</v>
      </c>
      <c r="K654" s="54" t="s">
        <v>38</v>
      </c>
    </row>
    <row r="655" spans="2:11" ht="16.5" x14ac:dyDescent="0.2">
      <c r="B655" s="84" t="s">
        <v>1976</v>
      </c>
      <c r="C655" s="84" t="s">
        <v>1977</v>
      </c>
      <c r="D655" s="85"/>
      <c r="E655" s="85">
        <v>0</v>
      </c>
      <c r="F655" s="85">
        <v>8641.58</v>
      </c>
      <c r="G655" s="85">
        <v>17586.509999999998</v>
      </c>
      <c r="H655" s="85"/>
      <c r="I655" s="85">
        <f t="shared" si="10"/>
        <v>8944.9299999999985</v>
      </c>
      <c r="K655" s="54" t="s">
        <v>38</v>
      </c>
    </row>
    <row r="656" spans="2:11" ht="24.75" x14ac:dyDescent="0.2">
      <c r="B656" s="84" t="s">
        <v>1978</v>
      </c>
      <c r="C656" s="84" t="s">
        <v>375</v>
      </c>
      <c r="D656" s="85"/>
      <c r="E656" s="85">
        <v>4447935.5599999996</v>
      </c>
      <c r="F656" s="85">
        <v>0</v>
      </c>
      <c r="G656" s="85">
        <v>1589293.07</v>
      </c>
      <c r="H656" s="85"/>
      <c r="I656" s="85">
        <f t="shared" si="10"/>
        <v>6037228.6299999999</v>
      </c>
      <c r="K656" s="54" t="s">
        <v>38</v>
      </c>
    </row>
    <row r="657" spans="2:11" ht="24.75" x14ac:dyDescent="0.2">
      <c r="B657" s="82" t="s">
        <v>2015</v>
      </c>
      <c r="C657" s="82" t="s">
        <v>2016</v>
      </c>
      <c r="D657" s="54"/>
      <c r="E657" s="83">
        <f>SUMIFS(E658:E6462,K658:K6462,"0",B658:B6462,"2 1 1 7 9*")-SUMIFS(D658:D6462,K658:K6462,"0",B658:B6462,"2 1 1 7 9*")</f>
        <v>617492.1399999999</v>
      </c>
      <c r="F657" s="83">
        <f>SUMIFS(F658:F6462,K658:K6462,"0",B658:B6462,"2 1 1 7 9*")</f>
        <v>0</v>
      </c>
      <c r="G657" s="83">
        <f>SUMIFS(G658:G6462,K658:K6462,"0",B658:B6462,"2 1 1 7 9*")</f>
        <v>0</v>
      </c>
      <c r="H657" s="83"/>
      <c r="I657" s="83">
        <f t="shared" si="10"/>
        <v>617492.1399999999</v>
      </c>
      <c r="K657" s="54" t="s">
        <v>15</v>
      </c>
    </row>
    <row r="658" spans="2:11" ht="12.75" x14ac:dyDescent="0.2">
      <c r="B658" s="82" t="s">
        <v>2017</v>
      </c>
      <c r="C658" s="82" t="s">
        <v>26</v>
      </c>
      <c r="D658" s="54"/>
      <c r="E658" s="83">
        <f>SUMIFS(E659:E6462,K659:K6462,"0",B659:B6462,"2 1 1 7 9 12*")-SUMIFS(D659:D6462,K659:K6462,"0",B659:B6462,"2 1 1 7 9 12*")</f>
        <v>617492.1399999999</v>
      </c>
      <c r="F658" s="83">
        <f>SUMIFS(F659:F6462,K659:K6462,"0",B659:B6462,"2 1 1 7 9 12*")</f>
        <v>0</v>
      </c>
      <c r="G658" s="83">
        <f>SUMIFS(G659:G6462,K659:K6462,"0",B659:B6462,"2 1 1 7 9 12*")</f>
        <v>0</v>
      </c>
      <c r="H658" s="83"/>
      <c r="I658" s="83">
        <f t="shared" si="10"/>
        <v>617492.1399999999</v>
      </c>
      <c r="K658" s="54" t="s">
        <v>15</v>
      </c>
    </row>
    <row r="659" spans="2:11" ht="16.5" x14ac:dyDescent="0.2">
      <c r="B659" s="82" t="s">
        <v>2018</v>
      </c>
      <c r="C659" s="82" t="s">
        <v>28</v>
      </c>
      <c r="D659" s="54"/>
      <c r="E659" s="83">
        <f>SUMIFS(E660:E6462,K660:K6462,"0",B660:B6462,"2 1 1 7 9 12 31111*")-SUMIFS(D660:D6462,K660:K6462,"0",B660:B6462,"2 1 1 7 9 12 31111*")</f>
        <v>617492.1399999999</v>
      </c>
      <c r="F659" s="83">
        <f>SUMIFS(F660:F6462,K660:K6462,"0",B660:B6462,"2 1 1 7 9 12 31111*")</f>
        <v>0</v>
      </c>
      <c r="G659" s="83">
        <f>SUMIFS(G660:G6462,K660:K6462,"0",B660:B6462,"2 1 1 7 9 12 31111*")</f>
        <v>0</v>
      </c>
      <c r="H659" s="83"/>
      <c r="I659" s="83">
        <f t="shared" si="10"/>
        <v>617492.1399999999</v>
      </c>
      <c r="K659" s="54" t="s">
        <v>15</v>
      </c>
    </row>
    <row r="660" spans="2:11" ht="12.75" x14ac:dyDescent="0.2">
      <c r="B660" s="82" t="s">
        <v>2019</v>
      </c>
      <c r="C660" s="82" t="s">
        <v>30</v>
      </c>
      <c r="D660" s="54"/>
      <c r="E660" s="83">
        <f>SUMIFS(E661:E6462,K661:K6462,"0",B661:B6462,"2 1 1 7 9 12 31111 6*")-SUMIFS(D661:D6462,K661:K6462,"0",B661:B6462,"2 1 1 7 9 12 31111 6*")</f>
        <v>617492.1399999999</v>
      </c>
      <c r="F660" s="83">
        <f>SUMIFS(F661:F6462,K661:K6462,"0",B661:B6462,"2 1 1 7 9 12 31111 6*")</f>
        <v>0</v>
      </c>
      <c r="G660" s="83">
        <f>SUMIFS(G661:G6462,K661:K6462,"0",B661:B6462,"2 1 1 7 9 12 31111 6*")</f>
        <v>0</v>
      </c>
      <c r="H660" s="83"/>
      <c r="I660" s="83">
        <f t="shared" si="10"/>
        <v>617492.1399999999</v>
      </c>
      <c r="K660" s="54" t="s">
        <v>15</v>
      </c>
    </row>
    <row r="661" spans="2:11" ht="16.5" x14ac:dyDescent="0.2">
      <c r="B661" s="82" t="s">
        <v>2020</v>
      </c>
      <c r="C661" s="82" t="s">
        <v>32</v>
      </c>
      <c r="D661" s="54"/>
      <c r="E661" s="83">
        <f>SUMIFS(E662:E6462,K662:K6462,"0",B662:B6462,"2 1 1 7 9 12 31111 6 M59*")-SUMIFS(D662:D6462,K662:K6462,"0",B662:B6462,"2 1 1 7 9 12 31111 6 M59*")</f>
        <v>617492.1399999999</v>
      </c>
      <c r="F661" s="83">
        <f>SUMIFS(F662:F6462,K662:K6462,"0",B662:B6462,"2 1 1 7 9 12 31111 6 M59*")</f>
        <v>0</v>
      </c>
      <c r="G661" s="83">
        <f>SUMIFS(G662:G6462,K662:K6462,"0",B662:B6462,"2 1 1 7 9 12 31111 6 M59*")</f>
        <v>0</v>
      </c>
      <c r="H661" s="83"/>
      <c r="I661" s="83">
        <f t="shared" si="10"/>
        <v>617492.1399999999</v>
      </c>
      <c r="K661" s="54" t="s">
        <v>15</v>
      </c>
    </row>
    <row r="662" spans="2:11" ht="16.5" x14ac:dyDescent="0.2">
      <c r="B662" s="82" t="s">
        <v>2021</v>
      </c>
      <c r="C662" s="82" t="s">
        <v>282</v>
      </c>
      <c r="D662" s="54"/>
      <c r="E662" s="83">
        <f>SUMIFS(E663:E6462,K663:K6462,"0",B663:B6462,"2 1 1 7 9 12 31111 6 M59 00001*")-SUMIFS(D663:D6462,K663:K6462,"0",B663:B6462,"2 1 1 7 9 12 31111 6 M59 00001*")</f>
        <v>617492.1399999999</v>
      </c>
      <c r="F662" s="83">
        <f>SUMIFS(F663:F6462,K663:K6462,"0",B663:B6462,"2 1 1 7 9 12 31111 6 M59 00001*")</f>
        <v>0</v>
      </c>
      <c r="G662" s="83">
        <f>SUMIFS(G663:G6462,K663:K6462,"0",B663:B6462,"2 1 1 7 9 12 31111 6 M59 00001*")</f>
        <v>0</v>
      </c>
      <c r="H662" s="83"/>
      <c r="I662" s="83">
        <f t="shared" si="10"/>
        <v>617492.1399999999</v>
      </c>
      <c r="K662" s="54" t="s">
        <v>15</v>
      </c>
    </row>
    <row r="663" spans="2:11" ht="16.5" x14ac:dyDescent="0.2">
      <c r="B663" s="82" t="s">
        <v>2022</v>
      </c>
      <c r="C663" s="82" t="s">
        <v>2023</v>
      </c>
      <c r="D663" s="54"/>
      <c r="E663" s="83">
        <f>SUMIFS(E664:E6462,K664:K6462,"0",B664:B6462,"2 1 1 7 9 12 31111 6 M59 00001 000001*")-SUMIFS(D664:D6462,K664:K6462,"0",B664:B6462,"2 1 1 7 9 12 31111 6 M59 00001 000001*")</f>
        <v>5001.18</v>
      </c>
      <c r="F663" s="83">
        <f>SUMIFS(F664:F6462,K664:K6462,"0",B664:B6462,"2 1 1 7 9 12 31111 6 M59 00001 000001*")</f>
        <v>0</v>
      </c>
      <c r="G663" s="83">
        <f>SUMIFS(G664:G6462,K664:K6462,"0",B664:B6462,"2 1 1 7 9 12 31111 6 M59 00001 000001*")</f>
        <v>0</v>
      </c>
      <c r="H663" s="83"/>
      <c r="I663" s="83">
        <f t="shared" si="10"/>
        <v>5001.18</v>
      </c>
      <c r="K663" s="54" t="s">
        <v>15</v>
      </c>
    </row>
    <row r="664" spans="2:11" ht="16.5" x14ac:dyDescent="0.2">
      <c r="B664" s="84" t="s">
        <v>2024</v>
      </c>
      <c r="C664" s="84" t="s">
        <v>2025</v>
      </c>
      <c r="D664" s="85"/>
      <c r="E664" s="85">
        <v>3031.54</v>
      </c>
      <c r="F664" s="85">
        <v>0</v>
      </c>
      <c r="G664" s="85">
        <v>0</v>
      </c>
      <c r="H664" s="85"/>
      <c r="I664" s="85">
        <f t="shared" si="10"/>
        <v>3031.54</v>
      </c>
      <c r="K664" s="54" t="s">
        <v>38</v>
      </c>
    </row>
    <row r="665" spans="2:11" ht="16.5" x14ac:dyDescent="0.2">
      <c r="B665" s="84" t="s">
        <v>2026</v>
      </c>
      <c r="C665" s="84" t="s">
        <v>2027</v>
      </c>
      <c r="D665" s="85"/>
      <c r="E665" s="85">
        <v>2000</v>
      </c>
      <c r="F665" s="85">
        <v>0</v>
      </c>
      <c r="G665" s="85">
        <v>0</v>
      </c>
      <c r="H665" s="85"/>
      <c r="I665" s="85">
        <f t="shared" si="10"/>
        <v>2000</v>
      </c>
      <c r="K665" s="54" t="s">
        <v>38</v>
      </c>
    </row>
    <row r="666" spans="2:11" ht="16.5" x14ac:dyDescent="0.2">
      <c r="B666" s="84" t="s">
        <v>2028</v>
      </c>
      <c r="C666" s="84" t="s">
        <v>2029</v>
      </c>
      <c r="D666" s="85"/>
      <c r="E666" s="85">
        <v>1054.04</v>
      </c>
      <c r="F666" s="85">
        <v>0</v>
      </c>
      <c r="G666" s="85">
        <v>0</v>
      </c>
      <c r="H666" s="85"/>
      <c r="I666" s="85">
        <f t="shared" si="10"/>
        <v>1054.04</v>
      </c>
      <c r="K666" s="54" t="s">
        <v>38</v>
      </c>
    </row>
    <row r="667" spans="2:11" ht="16.5" x14ac:dyDescent="0.2">
      <c r="B667" s="84" t="s">
        <v>2030</v>
      </c>
      <c r="C667" s="84" t="s">
        <v>1596</v>
      </c>
      <c r="D667" s="85"/>
      <c r="E667" s="85">
        <v>-1084.4000000000001</v>
      </c>
      <c r="F667" s="85">
        <v>0</v>
      </c>
      <c r="G667" s="85">
        <v>0</v>
      </c>
      <c r="H667" s="85"/>
      <c r="I667" s="85">
        <f t="shared" si="10"/>
        <v>-1084.4000000000001</v>
      </c>
      <c r="K667" s="54" t="s">
        <v>38</v>
      </c>
    </row>
    <row r="668" spans="2:11" ht="24.75" x14ac:dyDescent="0.2">
      <c r="B668" s="82" t="s">
        <v>2031</v>
      </c>
      <c r="C668" s="82" t="s">
        <v>2032</v>
      </c>
      <c r="D668" s="54"/>
      <c r="E668" s="83">
        <f>SUMIFS(E669:E6462,K669:K6462,"0",B669:B6462,"2 1 1 7 9 12 31111 6 M59 00001 000002*")-SUMIFS(D669:D6462,K669:K6462,"0",B669:B6462,"2 1 1 7 9 12 31111 6 M59 00001 000002*")</f>
        <v>599719.63</v>
      </c>
      <c r="F668" s="83">
        <f>SUMIFS(F669:F6462,K669:K6462,"0",B669:B6462,"2 1 1 7 9 12 31111 6 M59 00001 000002*")</f>
        <v>0</v>
      </c>
      <c r="G668" s="83">
        <f>SUMIFS(G669:G6462,K669:K6462,"0",B669:B6462,"2 1 1 7 9 12 31111 6 M59 00001 000002*")</f>
        <v>0</v>
      </c>
      <c r="H668" s="83"/>
      <c r="I668" s="83">
        <f t="shared" si="10"/>
        <v>599719.63</v>
      </c>
      <c r="K668" s="54" t="s">
        <v>15</v>
      </c>
    </row>
    <row r="669" spans="2:11" ht="24.75" x14ac:dyDescent="0.2">
      <c r="B669" s="84" t="s">
        <v>2033</v>
      </c>
      <c r="C669" s="84" t="s">
        <v>394</v>
      </c>
      <c r="D669" s="85"/>
      <c r="E669" s="85">
        <v>13193.53</v>
      </c>
      <c r="F669" s="85">
        <v>0</v>
      </c>
      <c r="G669" s="85">
        <v>0</v>
      </c>
      <c r="H669" s="85"/>
      <c r="I669" s="85">
        <f t="shared" si="10"/>
        <v>13193.53</v>
      </c>
      <c r="K669" s="54" t="s">
        <v>38</v>
      </c>
    </row>
    <row r="670" spans="2:11" ht="16.5" x14ac:dyDescent="0.2">
      <c r="B670" s="84" t="s">
        <v>2034</v>
      </c>
      <c r="C670" s="84" t="s">
        <v>406</v>
      </c>
      <c r="D670" s="85"/>
      <c r="E670" s="85">
        <v>586526.1</v>
      </c>
      <c r="F670" s="85">
        <v>0</v>
      </c>
      <c r="G670" s="85">
        <v>0</v>
      </c>
      <c r="H670" s="85"/>
      <c r="I670" s="85">
        <f t="shared" si="10"/>
        <v>586526.1</v>
      </c>
      <c r="K670" s="54" t="s">
        <v>38</v>
      </c>
    </row>
    <row r="671" spans="2:11" ht="16.5" x14ac:dyDescent="0.2">
      <c r="B671" s="82" t="s">
        <v>2035</v>
      </c>
      <c r="C671" s="82" t="s">
        <v>2036</v>
      </c>
      <c r="D671" s="54"/>
      <c r="E671" s="83">
        <f>SUMIFS(E672:E6462,K672:K6462,"0",B672:B6462,"2 1 1 7 9 12 31111 6 M59 00001 000003*")-SUMIFS(D672:D6462,K672:K6462,"0",B672:B6462,"2 1 1 7 9 12 31111 6 M59 00001 000003*")</f>
        <v>10021.33</v>
      </c>
      <c r="F671" s="83">
        <f>SUMIFS(F672:F6462,K672:K6462,"0",B672:B6462,"2 1 1 7 9 12 31111 6 M59 00001 000003*")</f>
        <v>0</v>
      </c>
      <c r="G671" s="83">
        <f>SUMIFS(G672:G6462,K672:K6462,"0",B672:B6462,"2 1 1 7 9 12 31111 6 M59 00001 000003*")</f>
        <v>0</v>
      </c>
      <c r="H671" s="83"/>
      <c r="I671" s="83">
        <f t="shared" si="10"/>
        <v>10021.33</v>
      </c>
      <c r="K671" s="54" t="s">
        <v>15</v>
      </c>
    </row>
    <row r="672" spans="2:11" ht="24.75" x14ac:dyDescent="0.2">
      <c r="B672" s="84" t="s">
        <v>2037</v>
      </c>
      <c r="C672" s="84" t="s">
        <v>2038</v>
      </c>
      <c r="D672" s="85"/>
      <c r="E672" s="85">
        <v>10021.33</v>
      </c>
      <c r="F672" s="85">
        <v>0</v>
      </c>
      <c r="G672" s="85">
        <v>0</v>
      </c>
      <c r="H672" s="85"/>
      <c r="I672" s="85">
        <f t="shared" si="10"/>
        <v>10021.33</v>
      </c>
      <c r="K672" s="54" t="s">
        <v>38</v>
      </c>
    </row>
    <row r="673" spans="2:11" ht="24.75" x14ac:dyDescent="0.2">
      <c r="B673" s="82" t="s">
        <v>2039</v>
      </c>
      <c r="C673" s="82" t="s">
        <v>2040</v>
      </c>
      <c r="D673" s="54"/>
      <c r="E673" s="83">
        <f>SUMIFS(E674:E6462,K674:K6462,"0",B674:B6462,"2 1 1 7 9 12 31111 6 M59 00001 000004*")-SUMIFS(D674:D6462,K674:K6462,"0",B674:B6462,"2 1 1 7 9 12 31111 6 M59 00001 000004*")</f>
        <v>2750</v>
      </c>
      <c r="F673" s="83">
        <f>SUMIFS(F674:F6462,K674:K6462,"0",B674:B6462,"2 1 1 7 9 12 31111 6 M59 00001 000004*")</f>
        <v>0</v>
      </c>
      <c r="G673" s="83">
        <f>SUMIFS(G674:G6462,K674:K6462,"0",B674:B6462,"2 1 1 7 9 12 31111 6 M59 00001 000004*")</f>
        <v>0</v>
      </c>
      <c r="H673" s="83"/>
      <c r="I673" s="83">
        <f t="shared" si="10"/>
        <v>2750</v>
      </c>
      <c r="K673" s="54" t="s">
        <v>15</v>
      </c>
    </row>
    <row r="674" spans="2:11" ht="24.75" x14ac:dyDescent="0.2">
      <c r="B674" s="82" t="s">
        <v>2041</v>
      </c>
      <c r="C674" s="82" t="s">
        <v>2042</v>
      </c>
      <c r="D674" s="54"/>
      <c r="E674" s="83">
        <f>SUMIFS(E675:E6462,K675:K6462,"0",B675:B6462,"2 1 1 7 9 12 31111 6 M59 00001 000004 00009*")-SUMIFS(D675:D6462,K675:K6462,"0",B675:B6462,"2 1 1 7 9 12 31111 6 M59 00001 000004 00009*")</f>
        <v>2750</v>
      </c>
      <c r="F674" s="83">
        <f>SUMIFS(F675:F6462,K675:K6462,"0",B675:B6462,"2 1 1 7 9 12 31111 6 M59 00001 000004 00009*")</f>
        <v>0</v>
      </c>
      <c r="G674" s="83">
        <f>SUMIFS(G675:G6462,K675:K6462,"0",B675:B6462,"2 1 1 7 9 12 31111 6 M59 00001 000004 00009*")</f>
        <v>0</v>
      </c>
      <c r="H674" s="83"/>
      <c r="I674" s="83">
        <f t="shared" si="10"/>
        <v>2750</v>
      </c>
      <c r="K674" s="54" t="s">
        <v>15</v>
      </c>
    </row>
    <row r="675" spans="2:11" ht="24.75" x14ac:dyDescent="0.2">
      <c r="B675" s="84" t="s">
        <v>2043</v>
      </c>
      <c r="C675" s="84" t="s">
        <v>2044</v>
      </c>
      <c r="D675" s="85"/>
      <c r="E675" s="85">
        <v>2750</v>
      </c>
      <c r="F675" s="85">
        <v>0</v>
      </c>
      <c r="G675" s="85">
        <v>0</v>
      </c>
      <c r="H675" s="85"/>
      <c r="I675" s="85">
        <f t="shared" si="10"/>
        <v>2750</v>
      </c>
      <c r="K675" s="54" t="s">
        <v>38</v>
      </c>
    </row>
    <row r="676" spans="2:11" ht="16.5" x14ac:dyDescent="0.2">
      <c r="B676" s="82" t="s">
        <v>2054</v>
      </c>
      <c r="C676" s="82" t="s">
        <v>2055</v>
      </c>
      <c r="D676" s="54"/>
      <c r="E676" s="83">
        <f>SUMIFS(E677:E6462,K677:K6462,"0",B677:B6462,"2 1 1 9*")-SUMIFS(D677:D6462,K677:K6462,"0",B677:B6462,"2 1 1 9*")</f>
        <v>0</v>
      </c>
      <c r="F676" s="83">
        <f>SUMIFS(F677:F6462,K677:K6462,"0",B677:B6462,"2 1 1 9*")</f>
        <v>28000</v>
      </c>
      <c r="G676" s="83">
        <f>SUMIFS(G677:G6462,K677:K6462,"0",B677:B6462,"2 1 1 9*")</f>
        <v>470973.92</v>
      </c>
      <c r="H676" s="83"/>
      <c r="I676" s="83">
        <f t="shared" si="10"/>
        <v>442973.92</v>
      </c>
      <c r="K676" s="54" t="s">
        <v>15</v>
      </c>
    </row>
    <row r="677" spans="2:11" ht="12.75" x14ac:dyDescent="0.2">
      <c r="B677" s="82" t="s">
        <v>2056</v>
      </c>
      <c r="C677" s="82" t="s">
        <v>2057</v>
      </c>
      <c r="D677" s="54"/>
      <c r="E677" s="83">
        <f>SUMIFS(E678:E6462,K678:K6462,"0",B678:B6462,"2 1 1 9 5*")-SUMIFS(D678:D6462,K678:K6462,"0",B678:B6462,"2 1 1 9 5*")</f>
        <v>0</v>
      </c>
      <c r="F677" s="83">
        <f>SUMIFS(F678:F6462,K678:K6462,"0",B678:B6462,"2 1 1 9 5*")</f>
        <v>28000</v>
      </c>
      <c r="G677" s="83">
        <f>SUMIFS(G678:G6462,K678:K6462,"0",B678:B6462,"2 1 1 9 5*")</f>
        <v>470973.92</v>
      </c>
      <c r="H677" s="83"/>
      <c r="I677" s="83">
        <f t="shared" si="10"/>
        <v>442973.92</v>
      </c>
      <c r="K677" s="54" t="s">
        <v>15</v>
      </c>
    </row>
    <row r="678" spans="2:11" ht="12.75" x14ac:dyDescent="0.2">
      <c r="B678" s="82" t="s">
        <v>2058</v>
      </c>
      <c r="C678" s="82" t="s">
        <v>26</v>
      </c>
      <c r="D678" s="54"/>
      <c r="E678" s="83">
        <f>SUMIFS(E679:E6462,K679:K6462,"0",B679:B6462,"2 1 1 9 5 12*")-SUMIFS(D679:D6462,K679:K6462,"0",B679:B6462,"2 1 1 9 5 12*")</f>
        <v>0</v>
      </c>
      <c r="F678" s="83">
        <f>SUMIFS(F679:F6462,K679:K6462,"0",B679:B6462,"2 1 1 9 5 12*")</f>
        <v>28000</v>
      </c>
      <c r="G678" s="83">
        <f>SUMIFS(G679:G6462,K679:K6462,"0",B679:B6462,"2 1 1 9 5 12*")</f>
        <v>470973.92</v>
      </c>
      <c r="H678" s="83"/>
      <c r="I678" s="83">
        <f t="shared" si="10"/>
        <v>442973.92</v>
      </c>
      <c r="K678" s="54" t="s">
        <v>15</v>
      </c>
    </row>
    <row r="679" spans="2:11" ht="16.5" x14ac:dyDescent="0.2">
      <c r="B679" s="82" t="s">
        <v>2059</v>
      </c>
      <c r="C679" s="82" t="s">
        <v>28</v>
      </c>
      <c r="D679" s="54"/>
      <c r="E679" s="83">
        <f>SUMIFS(E680:E6462,K680:K6462,"0",B680:B6462,"2 1 1 9 5 12 31111*")-SUMIFS(D680:D6462,K680:K6462,"0",B680:B6462,"2 1 1 9 5 12 31111*")</f>
        <v>0</v>
      </c>
      <c r="F679" s="83">
        <f>SUMIFS(F680:F6462,K680:K6462,"0",B680:B6462,"2 1 1 9 5 12 31111*")</f>
        <v>28000</v>
      </c>
      <c r="G679" s="83">
        <f>SUMIFS(G680:G6462,K680:K6462,"0",B680:B6462,"2 1 1 9 5 12 31111*")</f>
        <v>470973.92</v>
      </c>
      <c r="H679" s="83"/>
      <c r="I679" s="83">
        <f t="shared" si="10"/>
        <v>442973.92</v>
      </c>
      <c r="K679" s="54" t="s">
        <v>15</v>
      </c>
    </row>
    <row r="680" spans="2:11" ht="12.75" x14ac:dyDescent="0.2">
      <c r="B680" s="82" t="s">
        <v>2060</v>
      </c>
      <c r="C680" s="82" t="s">
        <v>30</v>
      </c>
      <c r="D680" s="54"/>
      <c r="E680" s="83">
        <f>SUMIFS(E681:E6462,K681:K6462,"0",B681:B6462,"2 1 1 9 5 12 31111 6*")-SUMIFS(D681:D6462,K681:K6462,"0",B681:B6462,"2 1 1 9 5 12 31111 6*")</f>
        <v>0</v>
      </c>
      <c r="F680" s="83">
        <f>SUMIFS(F681:F6462,K681:K6462,"0",B681:B6462,"2 1 1 9 5 12 31111 6*")</f>
        <v>28000</v>
      </c>
      <c r="G680" s="83">
        <f>SUMIFS(G681:G6462,K681:K6462,"0",B681:B6462,"2 1 1 9 5 12 31111 6*")</f>
        <v>470973.92</v>
      </c>
      <c r="H680" s="83"/>
      <c r="I680" s="83">
        <f t="shared" si="10"/>
        <v>442973.92</v>
      </c>
      <c r="K680" s="54" t="s">
        <v>15</v>
      </c>
    </row>
    <row r="681" spans="2:11" ht="16.5" x14ac:dyDescent="0.2">
      <c r="B681" s="82" t="s">
        <v>2061</v>
      </c>
      <c r="C681" s="82" t="s">
        <v>32</v>
      </c>
      <c r="D681" s="54"/>
      <c r="E681" s="83">
        <f>SUMIFS(E682:E6462,K682:K6462,"0",B682:B6462,"2 1 1 9 5 12 31111 6 M59*")-SUMIFS(D682:D6462,K682:K6462,"0",B682:B6462,"2 1 1 9 5 12 31111 6 M59*")</f>
        <v>0</v>
      </c>
      <c r="F681" s="83">
        <f>SUMIFS(F682:F6462,K682:K6462,"0",B682:B6462,"2 1 1 9 5 12 31111 6 M59*")</f>
        <v>28000</v>
      </c>
      <c r="G681" s="83">
        <f>SUMIFS(G682:G6462,K682:K6462,"0",B682:B6462,"2 1 1 9 5 12 31111 6 M59*")</f>
        <v>470973.92</v>
      </c>
      <c r="H681" s="83"/>
      <c r="I681" s="83">
        <f t="shared" si="10"/>
        <v>442973.92</v>
      </c>
      <c r="K681" s="54" t="s">
        <v>15</v>
      </c>
    </row>
    <row r="682" spans="2:11" ht="16.5" x14ac:dyDescent="0.2">
      <c r="B682" s="82" t="s">
        <v>2062</v>
      </c>
      <c r="C682" s="82" t="s">
        <v>34</v>
      </c>
      <c r="D682" s="54"/>
      <c r="E682" s="83">
        <f>SUMIFS(E683:E6462,K683:K6462,"0",B683:B6462,"2 1 1 9 5 12 31111 6 M59 00001*")-SUMIFS(D683:D6462,K683:K6462,"0",B683:B6462,"2 1 1 9 5 12 31111 6 M59 00001*")</f>
        <v>0</v>
      </c>
      <c r="F682" s="83">
        <f>SUMIFS(F683:F6462,K683:K6462,"0",B683:B6462,"2 1 1 9 5 12 31111 6 M59 00001*")</f>
        <v>28000</v>
      </c>
      <c r="G682" s="83">
        <f>SUMIFS(G683:G6462,K683:K6462,"0",B683:B6462,"2 1 1 9 5 12 31111 6 M59 00001*")</f>
        <v>470973.92</v>
      </c>
      <c r="H682" s="83"/>
      <c r="I682" s="83">
        <f t="shared" si="10"/>
        <v>442973.92</v>
      </c>
      <c r="K682" s="54" t="s">
        <v>15</v>
      </c>
    </row>
    <row r="683" spans="2:11" ht="16.5" x14ac:dyDescent="0.2">
      <c r="B683" s="84" t="s">
        <v>2063</v>
      </c>
      <c r="C683" s="84" t="s">
        <v>142</v>
      </c>
      <c r="D683" s="85"/>
      <c r="E683" s="85">
        <v>0</v>
      </c>
      <c r="F683" s="85">
        <v>28000</v>
      </c>
      <c r="G683" s="85">
        <v>100637.2</v>
      </c>
      <c r="H683" s="85"/>
      <c r="I683" s="85">
        <f t="shared" si="10"/>
        <v>72637.2</v>
      </c>
      <c r="K683" s="54" t="s">
        <v>38</v>
      </c>
    </row>
    <row r="684" spans="2:11" ht="16.5" x14ac:dyDescent="0.2">
      <c r="B684" s="84" t="s">
        <v>2064</v>
      </c>
      <c r="C684" s="84" t="s">
        <v>2065</v>
      </c>
      <c r="D684" s="85"/>
      <c r="E684" s="85">
        <v>0</v>
      </c>
      <c r="F684" s="85">
        <v>0</v>
      </c>
      <c r="G684" s="85">
        <v>370336.72</v>
      </c>
      <c r="H684" s="85"/>
      <c r="I684" s="85">
        <f t="shared" ref="I684:I747" si="11">E684 - F684 + G684</f>
        <v>370336.72</v>
      </c>
      <c r="K684" s="54" t="s">
        <v>38</v>
      </c>
    </row>
    <row r="685" spans="2:11" ht="16.5" x14ac:dyDescent="0.2">
      <c r="B685" s="82" t="s">
        <v>2104</v>
      </c>
      <c r="C685" s="82" t="s">
        <v>2105</v>
      </c>
      <c r="D685" s="54"/>
      <c r="E685" s="83">
        <f>SUMIFS(E686:E6462,K686:K6462,"0",B686:B6462,"2 1 9*")-SUMIFS(D686:D6462,K686:K6462,"0",B686:B6462,"2 1 9*")</f>
        <v>1565</v>
      </c>
      <c r="F685" s="83">
        <f>SUMIFS(F686:F6462,K686:K6462,"0",B686:B6462,"2 1 9*")</f>
        <v>0</v>
      </c>
      <c r="G685" s="83">
        <f>SUMIFS(G686:G6462,K686:K6462,"0",B686:B6462,"2 1 9*")</f>
        <v>0</v>
      </c>
      <c r="H685" s="83"/>
      <c r="I685" s="83">
        <f t="shared" si="11"/>
        <v>1565</v>
      </c>
      <c r="K685" s="54" t="s">
        <v>15</v>
      </c>
    </row>
    <row r="686" spans="2:11" ht="12.75" x14ac:dyDescent="0.2">
      <c r="B686" s="82" t="s">
        <v>2106</v>
      </c>
      <c r="C686" s="82" t="s">
        <v>2107</v>
      </c>
      <c r="D686" s="54"/>
      <c r="E686" s="83">
        <f>SUMIFS(E687:E6462,K687:K6462,"0",B687:B6462,"2 1 9 1*")-SUMIFS(D687:D6462,K687:K6462,"0",B687:B6462,"2 1 9 1*")</f>
        <v>1565</v>
      </c>
      <c r="F686" s="83">
        <f>SUMIFS(F687:F6462,K687:K6462,"0",B687:B6462,"2 1 9 1*")</f>
        <v>0</v>
      </c>
      <c r="G686" s="83">
        <f>SUMIFS(G687:G6462,K687:K6462,"0",B687:B6462,"2 1 9 1*")</f>
        <v>0</v>
      </c>
      <c r="H686" s="83"/>
      <c r="I686" s="83">
        <f t="shared" si="11"/>
        <v>1565</v>
      </c>
      <c r="K686" s="54" t="s">
        <v>15</v>
      </c>
    </row>
    <row r="687" spans="2:11" ht="12.75" x14ac:dyDescent="0.2">
      <c r="B687" s="82" t="s">
        <v>2108</v>
      </c>
      <c r="C687" s="82" t="s">
        <v>2107</v>
      </c>
      <c r="D687" s="54"/>
      <c r="E687" s="83">
        <f>SUMIFS(E688:E6462,K688:K6462,"0",B688:B6462,"2 1 9 1 1*")-SUMIFS(D688:D6462,K688:K6462,"0",B688:B6462,"2 1 9 1 1*")</f>
        <v>1565</v>
      </c>
      <c r="F687" s="83">
        <f>SUMIFS(F688:F6462,K688:K6462,"0",B688:B6462,"2 1 9 1 1*")</f>
        <v>0</v>
      </c>
      <c r="G687" s="83">
        <f>SUMIFS(G688:G6462,K688:K6462,"0",B688:B6462,"2 1 9 1 1*")</f>
        <v>0</v>
      </c>
      <c r="H687" s="83"/>
      <c r="I687" s="83">
        <f t="shared" si="11"/>
        <v>1565</v>
      </c>
      <c r="K687" s="54" t="s">
        <v>15</v>
      </c>
    </row>
    <row r="688" spans="2:11" ht="12.75" x14ac:dyDescent="0.2">
      <c r="B688" s="82" t="s">
        <v>2109</v>
      </c>
      <c r="C688" s="82" t="s">
        <v>26</v>
      </c>
      <c r="D688" s="54"/>
      <c r="E688" s="83">
        <f>SUMIFS(E689:E6462,K689:K6462,"0",B689:B6462,"2 1 9 1 1 12*")-SUMIFS(D689:D6462,K689:K6462,"0",B689:B6462,"2 1 9 1 1 12*")</f>
        <v>1565</v>
      </c>
      <c r="F688" s="83">
        <f>SUMIFS(F689:F6462,K689:K6462,"0",B689:B6462,"2 1 9 1 1 12*")</f>
        <v>0</v>
      </c>
      <c r="G688" s="83">
        <f>SUMIFS(G689:G6462,K689:K6462,"0",B689:B6462,"2 1 9 1 1 12*")</f>
        <v>0</v>
      </c>
      <c r="H688" s="83"/>
      <c r="I688" s="83">
        <f t="shared" si="11"/>
        <v>1565</v>
      </c>
      <c r="K688" s="54" t="s">
        <v>15</v>
      </c>
    </row>
    <row r="689" spans="2:11" ht="16.5" x14ac:dyDescent="0.2">
      <c r="B689" s="82" t="s">
        <v>2110</v>
      </c>
      <c r="C689" s="82" t="s">
        <v>28</v>
      </c>
      <c r="D689" s="54"/>
      <c r="E689" s="83">
        <f>SUMIFS(E690:E6462,K690:K6462,"0",B690:B6462,"2 1 9 1 1 12 31111*")-SUMIFS(D690:D6462,K690:K6462,"0",B690:B6462,"2 1 9 1 1 12 31111*")</f>
        <v>1565</v>
      </c>
      <c r="F689" s="83">
        <f>SUMIFS(F690:F6462,K690:K6462,"0",B690:B6462,"2 1 9 1 1 12 31111*")</f>
        <v>0</v>
      </c>
      <c r="G689" s="83">
        <f>SUMIFS(G690:G6462,K690:K6462,"0",B690:B6462,"2 1 9 1 1 12 31111*")</f>
        <v>0</v>
      </c>
      <c r="H689" s="83"/>
      <c r="I689" s="83">
        <f t="shared" si="11"/>
        <v>1565</v>
      </c>
      <c r="K689" s="54" t="s">
        <v>15</v>
      </c>
    </row>
    <row r="690" spans="2:11" ht="12.75" x14ac:dyDescent="0.2">
      <c r="B690" s="82" t="s">
        <v>2111</v>
      </c>
      <c r="C690" s="82" t="s">
        <v>30</v>
      </c>
      <c r="D690" s="54"/>
      <c r="E690" s="83">
        <f>SUMIFS(E691:E6462,K691:K6462,"0",B691:B6462,"2 1 9 1 1 12 31111 6*")-SUMIFS(D691:D6462,K691:K6462,"0",B691:B6462,"2 1 9 1 1 12 31111 6*")</f>
        <v>1565</v>
      </c>
      <c r="F690" s="83">
        <f>SUMIFS(F691:F6462,K691:K6462,"0",B691:B6462,"2 1 9 1 1 12 31111 6*")</f>
        <v>0</v>
      </c>
      <c r="G690" s="83">
        <f>SUMIFS(G691:G6462,K691:K6462,"0",B691:B6462,"2 1 9 1 1 12 31111 6*")</f>
        <v>0</v>
      </c>
      <c r="H690" s="83"/>
      <c r="I690" s="83">
        <f t="shared" si="11"/>
        <v>1565</v>
      </c>
      <c r="K690" s="54" t="s">
        <v>15</v>
      </c>
    </row>
    <row r="691" spans="2:11" ht="12.75" x14ac:dyDescent="0.2">
      <c r="B691" s="82" t="s">
        <v>2112</v>
      </c>
      <c r="C691" s="82" t="s">
        <v>32</v>
      </c>
      <c r="D691" s="54"/>
      <c r="E691" s="83">
        <f>SUMIFS(E692:E6462,K692:K6462,"0",B692:B6462,"2 1 9 1 1 12 31111 6 M59*")-SUMIFS(D692:D6462,K692:K6462,"0",B692:B6462,"2 1 9 1 1 12 31111 6 M59*")</f>
        <v>1565</v>
      </c>
      <c r="F691" s="83">
        <f>SUMIFS(F692:F6462,K692:K6462,"0",B692:B6462,"2 1 9 1 1 12 31111 6 M59*")</f>
        <v>0</v>
      </c>
      <c r="G691" s="83">
        <f>SUMIFS(G692:G6462,K692:K6462,"0",B692:B6462,"2 1 9 1 1 12 31111 6 M59*")</f>
        <v>0</v>
      </c>
      <c r="H691" s="83"/>
      <c r="I691" s="83">
        <f t="shared" si="11"/>
        <v>1565</v>
      </c>
      <c r="K691" s="54" t="s">
        <v>15</v>
      </c>
    </row>
    <row r="692" spans="2:11" ht="16.5" x14ac:dyDescent="0.2">
      <c r="B692" s="82" t="s">
        <v>2123</v>
      </c>
      <c r="C692" s="82" t="s">
        <v>470</v>
      </c>
      <c r="D692" s="54"/>
      <c r="E692" s="83">
        <f>SUMIFS(E693:E6462,K693:K6462,"0",B693:B6462,"2 1 9 1 1 12 31111 6 M59 00045*")-SUMIFS(D693:D6462,K693:K6462,"0",B693:B6462,"2 1 9 1 1 12 31111 6 M59 00045*")</f>
        <v>1565</v>
      </c>
      <c r="F692" s="83">
        <f>SUMIFS(F693:F6462,K693:K6462,"0",B693:B6462,"2 1 9 1 1 12 31111 6 M59 00045*")</f>
        <v>0</v>
      </c>
      <c r="G692" s="83">
        <f>SUMIFS(G693:G6462,K693:K6462,"0",B693:B6462,"2 1 9 1 1 12 31111 6 M59 00045*")</f>
        <v>0</v>
      </c>
      <c r="H692" s="83"/>
      <c r="I692" s="83">
        <f t="shared" si="11"/>
        <v>1565</v>
      </c>
      <c r="K692" s="54" t="s">
        <v>15</v>
      </c>
    </row>
    <row r="693" spans="2:11" ht="16.5" x14ac:dyDescent="0.2">
      <c r="B693" s="82" t="s">
        <v>2124</v>
      </c>
      <c r="C693" s="82" t="s">
        <v>2107</v>
      </c>
      <c r="D693" s="54"/>
      <c r="E693" s="83">
        <f>SUMIFS(E694:E6462,K694:K6462,"0",B694:B6462,"2 1 9 1 1 12 31111 6 M59 00045 000001*")-SUMIFS(D694:D6462,K694:K6462,"0",B694:B6462,"2 1 9 1 1 12 31111 6 M59 00045 000001*")</f>
        <v>1565</v>
      </c>
      <c r="F693" s="83">
        <f>SUMIFS(F694:F6462,K694:K6462,"0",B694:B6462,"2 1 9 1 1 12 31111 6 M59 00045 000001*")</f>
        <v>0</v>
      </c>
      <c r="G693" s="83">
        <f>SUMIFS(G694:G6462,K694:K6462,"0",B694:B6462,"2 1 9 1 1 12 31111 6 M59 00045 000001*")</f>
        <v>0</v>
      </c>
      <c r="H693" s="83"/>
      <c r="I693" s="83">
        <f t="shared" si="11"/>
        <v>1565</v>
      </c>
      <c r="K693" s="54" t="s">
        <v>15</v>
      </c>
    </row>
    <row r="694" spans="2:11" ht="16.5" x14ac:dyDescent="0.2">
      <c r="B694" s="84" t="s">
        <v>2125</v>
      </c>
      <c r="C694" s="84" t="s">
        <v>274</v>
      </c>
      <c r="D694" s="85"/>
      <c r="E694" s="85">
        <v>1565</v>
      </c>
      <c r="F694" s="85">
        <v>0</v>
      </c>
      <c r="G694" s="85">
        <v>0</v>
      </c>
      <c r="H694" s="85"/>
      <c r="I694" s="85">
        <f t="shared" si="11"/>
        <v>1565</v>
      </c>
      <c r="K694" s="54" t="s">
        <v>38</v>
      </c>
    </row>
    <row r="695" spans="2:11" ht="16.5" x14ac:dyDescent="0.2">
      <c r="B695" s="82" t="s">
        <v>2126</v>
      </c>
      <c r="C695" s="82" t="s">
        <v>2127</v>
      </c>
      <c r="D695" s="54"/>
      <c r="E695" s="83">
        <f>SUMIFS(E696:E6462,K696:K6462,"0",B696:B6462,"3*")-SUMIFS(D696:D6462,K696:K6462,"0",B696:B6462,"3*")</f>
        <v>160068.20000000019</v>
      </c>
      <c r="F695" s="83">
        <f>SUMIFS(F696:F6462,K696:K6462,"0",B696:B6462,"3*")</f>
        <v>2610633.11</v>
      </c>
      <c r="G695" s="83">
        <f>SUMIFS(G696:G6462,K696:K6462,"0",B696:B6462,"3*")</f>
        <v>279665.15000000002</v>
      </c>
      <c r="H695" s="83"/>
      <c r="I695" s="83">
        <f t="shared" si="11"/>
        <v>-2170899.7599999998</v>
      </c>
      <c r="K695" s="54" t="s">
        <v>15</v>
      </c>
    </row>
    <row r="696" spans="2:11" ht="24.75" x14ac:dyDescent="0.2">
      <c r="B696" s="82" t="s">
        <v>2128</v>
      </c>
      <c r="C696" s="82" t="s">
        <v>2129</v>
      </c>
      <c r="D696" s="54"/>
      <c r="E696" s="83">
        <f>SUMIFS(E697:E6462,K697:K6462,"0",B697:B6462,"3 1*")-SUMIFS(D697:D6462,K697:K6462,"0",B697:B6462,"3 1*")</f>
        <v>6158000</v>
      </c>
      <c r="F696" s="83">
        <f>SUMIFS(F697:F6462,K697:K6462,"0",B697:B6462,"3 1*")</f>
        <v>0</v>
      </c>
      <c r="G696" s="83">
        <f>SUMIFS(G697:G6462,K697:K6462,"0",B697:B6462,"3 1*")</f>
        <v>0</v>
      </c>
      <c r="H696" s="83"/>
      <c r="I696" s="83">
        <f t="shared" si="11"/>
        <v>6158000</v>
      </c>
      <c r="K696" s="54" t="s">
        <v>15</v>
      </c>
    </row>
    <row r="697" spans="2:11" ht="12.75" x14ac:dyDescent="0.2">
      <c r="B697" s="82" t="s">
        <v>2130</v>
      </c>
      <c r="C697" s="82" t="s">
        <v>2131</v>
      </c>
      <c r="D697" s="54"/>
      <c r="E697" s="83">
        <f>SUMIFS(E698:E6462,K698:K6462,"0",B698:B6462,"3 1 1*")-SUMIFS(D698:D6462,K698:K6462,"0",B698:B6462,"3 1 1*")</f>
        <v>6158000</v>
      </c>
      <c r="F697" s="83">
        <f>SUMIFS(F698:F6462,K698:K6462,"0",B698:B6462,"3 1 1*")</f>
        <v>0</v>
      </c>
      <c r="G697" s="83">
        <f>SUMIFS(G698:G6462,K698:K6462,"0",B698:B6462,"3 1 1*")</f>
        <v>0</v>
      </c>
      <c r="H697" s="83"/>
      <c r="I697" s="83">
        <f t="shared" si="11"/>
        <v>6158000</v>
      </c>
      <c r="K697" s="54" t="s">
        <v>15</v>
      </c>
    </row>
    <row r="698" spans="2:11" ht="12.75" x14ac:dyDescent="0.2">
      <c r="B698" s="82" t="s">
        <v>2132</v>
      </c>
      <c r="C698" s="82" t="s">
        <v>2131</v>
      </c>
      <c r="D698" s="54"/>
      <c r="E698" s="83">
        <f>SUMIFS(E699:E6462,K699:K6462,"0",B699:B6462,"3 1 1 1*")-SUMIFS(D699:D6462,K699:K6462,"0",B699:B6462,"3 1 1 1*")</f>
        <v>6158000</v>
      </c>
      <c r="F698" s="83">
        <f>SUMIFS(F699:F6462,K699:K6462,"0",B699:B6462,"3 1 1 1*")</f>
        <v>0</v>
      </c>
      <c r="G698" s="83">
        <f>SUMIFS(G699:G6462,K699:K6462,"0",B699:B6462,"3 1 1 1*")</f>
        <v>0</v>
      </c>
      <c r="H698" s="83"/>
      <c r="I698" s="83">
        <f t="shared" si="11"/>
        <v>6158000</v>
      </c>
      <c r="K698" s="54" t="s">
        <v>15</v>
      </c>
    </row>
    <row r="699" spans="2:11" ht="12.75" x14ac:dyDescent="0.2">
      <c r="B699" s="82" t="s">
        <v>2133</v>
      </c>
      <c r="C699" s="82" t="s">
        <v>2131</v>
      </c>
      <c r="D699" s="54"/>
      <c r="E699" s="83">
        <f>SUMIFS(E700:E6462,K700:K6462,"0",B700:B6462,"3 1 1 1 1*")-SUMIFS(D700:D6462,K700:K6462,"0",B700:B6462,"3 1 1 1 1*")</f>
        <v>6158000</v>
      </c>
      <c r="F699" s="83">
        <f>SUMIFS(F700:F6462,K700:K6462,"0",B700:B6462,"3 1 1 1 1*")</f>
        <v>0</v>
      </c>
      <c r="G699" s="83">
        <f>SUMIFS(G700:G6462,K700:K6462,"0",B700:B6462,"3 1 1 1 1*")</f>
        <v>0</v>
      </c>
      <c r="H699" s="83"/>
      <c r="I699" s="83">
        <f t="shared" si="11"/>
        <v>6158000</v>
      </c>
      <c r="K699" s="54" t="s">
        <v>15</v>
      </c>
    </row>
    <row r="700" spans="2:11" ht="12.75" x14ac:dyDescent="0.2">
      <c r="B700" s="82" t="s">
        <v>2134</v>
      </c>
      <c r="C700" s="82" t="s">
        <v>26</v>
      </c>
      <c r="D700" s="54"/>
      <c r="E700" s="83">
        <f>SUMIFS(E701:E6462,K701:K6462,"0",B701:B6462,"3 1 1 1 1 12*")-SUMIFS(D701:D6462,K701:K6462,"0",B701:B6462,"3 1 1 1 1 12*")</f>
        <v>6158000</v>
      </c>
      <c r="F700" s="83">
        <f>SUMIFS(F701:F6462,K701:K6462,"0",B701:B6462,"3 1 1 1 1 12*")</f>
        <v>0</v>
      </c>
      <c r="G700" s="83">
        <f>SUMIFS(G701:G6462,K701:K6462,"0",B701:B6462,"3 1 1 1 1 12*")</f>
        <v>0</v>
      </c>
      <c r="H700" s="83"/>
      <c r="I700" s="83">
        <f t="shared" si="11"/>
        <v>6158000</v>
      </c>
      <c r="K700" s="54" t="s">
        <v>15</v>
      </c>
    </row>
    <row r="701" spans="2:11" ht="16.5" x14ac:dyDescent="0.2">
      <c r="B701" s="82" t="s">
        <v>2135</v>
      </c>
      <c r="C701" s="82" t="s">
        <v>28</v>
      </c>
      <c r="D701" s="54"/>
      <c r="E701" s="83">
        <f>SUMIFS(E702:E6462,K702:K6462,"0",B702:B6462,"3 1 1 1 1 12 31111*")-SUMIFS(D702:D6462,K702:K6462,"0",B702:B6462,"3 1 1 1 1 12 31111*")</f>
        <v>6158000</v>
      </c>
      <c r="F701" s="83">
        <f>SUMIFS(F702:F6462,K702:K6462,"0",B702:B6462,"3 1 1 1 1 12 31111*")</f>
        <v>0</v>
      </c>
      <c r="G701" s="83">
        <f>SUMIFS(G702:G6462,K702:K6462,"0",B702:B6462,"3 1 1 1 1 12 31111*")</f>
        <v>0</v>
      </c>
      <c r="H701" s="83"/>
      <c r="I701" s="83">
        <f t="shared" si="11"/>
        <v>6158000</v>
      </c>
      <c r="K701" s="54" t="s">
        <v>15</v>
      </c>
    </row>
    <row r="702" spans="2:11" ht="12.75" x14ac:dyDescent="0.2">
      <c r="B702" s="82" t="s">
        <v>2136</v>
      </c>
      <c r="C702" s="82" t="s">
        <v>30</v>
      </c>
      <c r="D702" s="54"/>
      <c r="E702" s="83">
        <f>SUMIFS(E703:E6462,K703:K6462,"0",B703:B6462,"3 1 1 1 1 12 31111 6*")-SUMIFS(D703:D6462,K703:K6462,"0",B703:B6462,"3 1 1 1 1 12 31111 6*")</f>
        <v>6158000</v>
      </c>
      <c r="F702" s="83">
        <f>SUMIFS(F703:F6462,K703:K6462,"0",B703:B6462,"3 1 1 1 1 12 31111 6*")</f>
        <v>0</v>
      </c>
      <c r="G702" s="83">
        <f>SUMIFS(G703:G6462,K703:K6462,"0",B703:B6462,"3 1 1 1 1 12 31111 6*")</f>
        <v>0</v>
      </c>
      <c r="H702" s="83"/>
      <c r="I702" s="83">
        <f t="shared" si="11"/>
        <v>6158000</v>
      </c>
      <c r="K702" s="54" t="s">
        <v>15</v>
      </c>
    </row>
    <row r="703" spans="2:11" ht="12.75" x14ac:dyDescent="0.2">
      <c r="B703" s="82" t="s">
        <v>2137</v>
      </c>
      <c r="C703" s="82" t="s">
        <v>32</v>
      </c>
      <c r="D703" s="54"/>
      <c r="E703" s="83">
        <f>SUMIFS(E704:E6462,K704:K6462,"0",B704:B6462,"3 1 1 1 1 12 31111 6 M59*")-SUMIFS(D704:D6462,K704:K6462,"0",B704:B6462,"3 1 1 1 1 12 31111 6 M59*")</f>
        <v>6158000</v>
      </c>
      <c r="F703" s="83">
        <f>SUMIFS(F704:F6462,K704:K6462,"0",B704:B6462,"3 1 1 1 1 12 31111 6 M59*")</f>
        <v>0</v>
      </c>
      <c r="G703" s="83">
        <f>SUMIFS(G704:G6462,K704:K6462,"0",B704:B6462,"3 1 1 1 1 12 31111 6 M59*")</f>
        <v>0</v>
      </c>
      <c r="H703" s="83"/>
      <c r="I703" s="83">
        <f t="shared" si="11"/>
        <v>6158000</v>
      </c>
      <c r="K703" s="54" t="s">
        <v>15</v>
      </c>
    </row>
    <row r="704" spans="2:11" ht="16.5" x14ac:dyDescent="0.2">
      <c r="B704" s="82" t="s">
        <v>2138</v>
      </c>
      <c r="C704" s="82" t="s">
        <v>34</v>
      </c>
      <c r="D704" s="54"/>
      <c r="E704" s="83">
        <f>SUMIFS(E705:E6462,K705:K6462,"0",B705:B6462,"3 1 1 1 1 12 31111 6 M59 00001*")-SUMIFS(D705:D6462,K705:K6462,"0",B705:B6462,"3 1 1 1 1 12 31111 6 M59 00001*")</f>
        <v>6158000</v>
      </c>
      <c r="F704" s="83">
        <f>SUMIFS(F705:F6462,K705:K6462,"0",B705:B6462,"3 1 1 1 1 12 31111 6 M59 00001*")</f>
        <v>0</v>
      </c>
      <c r="G704" s="83">
        <f>SUMIFS(G705:G6462,K705:K6462,"0",B705:B6462,"3 1 1 1 1 12 31111 6 M59 00001*")</f>
        <v>0</v>
      </c>
      <c r="H704" s="83"/>
      <c r="I704" s="83">
        <f t="shared" si="11"/>
        <v>6158000</v>
      </c>
      <c r="K704" s="54" t="s">
        <v>15</v>
      </c>
    </row>
    <row r="705" spans="2:11" ht="16.5" x14ac:dyDescent="0.2">
      <c r="B705" s="84" t="s">
        <v>2139</v>
      </c>
      <c r="C705" s="84" t="s">
        <v>203</v>
      </c>
      <c r="D705" s="85"/>
      <c r="E705" s="85">
        <v>6158000</v>
      </c>
      <c r="F705" s="85">
        <v>0</v>
      </c>
      <c r="G705" s="85">
        <v>0</v>
      </c>
      <c r="H705" s="85"/>
      <c r="I705" s="85">
        <f t="shared" si="11"/>
        <v>6158000</v>
      </c>
      <c r="K705" s="54" t="s">
        <v>38</v>
      </c>
    </row>
    <row r="706" spans="2:11" ht="16.5" x14ac:dyDescent="0.2">
      <c r="B706" s="82" t="s">
        <v>2146</v>
      </c>
      <c r="C706" s="82" t="s">
        <v>2147</v>
      </c>
      <c r="D706" s="54"/>
      <c r="E706" s="83">
        <f>SUMIFS(E707:E6462,K707:K6462,"0",B707:B6462,"3 2*")-SUMIFS(D707:D6462,K707:K6462,"0",B707:B6462,"3 2*")</f>
        <v>-5997931.7999999998</v>
      </c>
      <c r="F706" s="83">
        <f>SUMIFS(F707:F6462,K707:K6462,"0",B707:B6462,"3 2*")</f>
        <v>2610633.11</v>
      </c>
      <c r="G706" s="83">
        <f>SUMIFS(G707:G6462,K707:K6462,"0",B707:B6462,"3 2*")</f>
        <v>279665.15000000002</v>
      </c>
      <c r="H706" s="83"/>
      <c r="I706" s="83">
        <f t="shared" si="11"/>
        <v>-8328899.7599999998</v>
      </c>
      <c r="K706" s="54" t="s">
        <v>15</v>
      </c>
    </row>
    <row r="707" spans="2:11" ht="16.5" x14ac:dyDescent="0.2">
      <c r="B707" s="82" t="s">
        <v>2148</v>
      </c>
      <c r="C707" s="82" t="s">
        <v>2149</v>
      </c>
      <c r="D707" s="54"/>
      <c r="E707" s="83">
        <f>SUMIFS(E708:E6462,K708:K6462,"0",B708:B6462,"3 2 1*")-SUMIFS(D708:D6462,K708:K6462,"0",B708:B6462,"3 2 1*")</f>
        <v>-151872.10999999999</v>
      </c>
      <c r="F707" s="83">
        <f>SUMIFS(F708:F6462,K708:K6462,"0",B708:B6462,"3 2 1*")</f>
        <v>2610633.11</v>
      </c>
      <c r="G707" s="83">
        <f>SUMIFS(G708:G6462,K708:K6462,"0",B708:B6462,"3 2 1*")</f>
        <v>279665.15000000002</v>
      </c>
      <c r="H707" s="83"/>
      <c r="I707" s="83">
        <f t="shared" si="11"/>
        <v>-2482840.0699999998</v>
      </c>
      <c r="K707" s="54" t="s">
        <v>15</v>
      </c>
    </row>
    <row r="708" spans="2:11" ht="16.5" x14ac:dyDescent="0.2">
      <c r="B708" s="82" t="s">
        <v>2150</v>
      </c>
      <c r="C708" s="82" t="s">
        <v>2149</v>
      </c>
      <c r="D708" s="54"/>
      <c r="E708" s="83">
        <f>SUMIFS(E709:E6462,K709:K6462,"0",B709:B6462,"3 2 1 1*")-SUMIFS(D709:D6462,K709:K6462,"0",B709:B6462,"3 2 1 1*")</f>
        <v>-151872.10999999999</v>
      </c>
      <c r="F708" s="83">
        <f>SUMIFS(F709:F6462,K709:K6462,"0",B709:B6462,"3 2 1 1*")</f>
        <v>2610633.11</v>
      </c>
      <c r="G708" s="83">
        <f>SUMIFS(G709:G6462,K709:K6462,"0",B709:B6462,"3 2 1 1*")</f>
        <v>279665.15000000002</v>
      </c>
      <c r="H708" s="83"/>
      <c r="I708" s="83">
        <f t="shared" si="11"/>
        <v>-2482840.0699999998</v>
      </c>
      <c r="K708" s="54" t="s">
        <v>15</v>
      </c>
    </row>
    <row r="709" spans="2:11" ht="16.5" x14ac:dyDescent="0.2">
      <c r="B709" s="82" t="s">
        <v>2151</v>
      </c>
      <c r="C709" s="82" t="s">
        <v>2149</v>
      </c>
      <c r="D709" s="54"/>
      <c r="E709" s="83">
        <f>SUMIFS(E710:E6462,K710:K6462,"0",B710:B6462,"3 2 1 1 1*")-SUMIFS(D710:D6462,K710:K6462,"0",B710:B6462,"3 2 1 1 1*")</f>
        <v>-151872.10999999999</v>
      </c>
      <c r="F709" s="83">
        <f>SUMIFS(F710:F6462,K710:K6462,"0",B710:B6462,"3 2 1 1 1*")</f>
        <v>2610633.11</v>
      </c>
      <c r="G709" s="83">
        <f>SUMIFS(G710:G6462,K710:K6462,"0",B710:B6462,"3 2 1 1 1*")</f>
        <v>279665.15000000002</v>
      </c>
      <c r="H709" s="83"/>
      <c r="I709" s="83">
        <f t="shared" si="11"/>
        <v>-2482840.0699999998</v>
      </c>
      <c r="K709" s="54" t="s">
        <v>15</v>
      </c>
    </row>
    <row r="710" spans="2:11" ht="12.75" x14ac:dyDescent="0.2">
      <c r="B710" s="82" t="s">
        <v>2152</v>
      </c>
      <c r="C710" s="82" t="s">
        <v>26</v>
      </c>
      <c r="D710" s="54"/>
      <c r="E710" s="83">
        <f>SUMIFS(E711:E6462,K711:K6462,"0",B711:B6462,"3 2 1 1 1 12*")-SUMIFS(D711:D6462,K711:K6462,"0",B711:B6462,"3 2 1 1 1 12*")</f>
        <v>-151872.10999999999</v>
      </c>
      <c r="F710" s="83">
        <f>SUMIFS(F711:F6462,K711:K6462,"0",B711:B6462,"3 2 1 1 1 12*")</f>
        <v>2610633.11</v>
      </c>
      <c r="G710" s="83">
        <f>SUMIFS(G711:G6462,K711:K6462,"0",B711:B6462,"3 2 1 1 1 12*")</f>
        <v>279665.15000000002</v>
      </c>
      <c r="H710" s="83"/>
      <c r="I710" s="83">
        <f t="shared" si="11"/>
        <v>-2482840.0699999998</v>
      </c>
      <c r="K710" s="54" t="s">
        <v>15</v>
      </c>
    </row>
    <row r="711" spans="2:11" ht="16.5" x14ac:dyDescent="0.2">
      <c r="B711" s="82" t="s">
        <v>2153</v>
      </c>
      <c r="C711" s="82" t="s">
        <v>28</v>
      </c>
      <c r="D711" s="54"/>
      <c r="E711" s="83">
        <f>SUMIFS(E712:E6462,K712:K6462,"0",B712:B6462,"3 2 1 1 1 12 31111*")-SUMIFS(D712:D6462,K712:K6462,"0",B712:B6462,"3 2 1 1 1 12 31111*")</f>
        <v>-151872.10999999999</v>
      </c>
      <c r="F711" s="83">
        <f>SUMIFS(F712:F6462,K712:K6462,"0",B712:B6462,"3 2 1 1 1 12 31111*")</f>
        <v>2610633.11</v>
      </c>
      <c r="G711" s="83">
        <f>SUMIFS(G712:G6462,K712:K6462,"0",B712:B6462,"3 2 1 1 1 12 31111*")</f>
        <v>279665.15000000002</v>
      </c>
      <c r="H711" s="83"/>
      <c r="I711" s="83">
        <f t="shared" si="11"/>
        <v>-2482840.0699999998</v>
      </c>
      <c r="K711" s="54" t="s">
        <v>15</v>
      </c>
    </row>
    <row r="712" spans="2:11" ht="12.75" x14ac:dyDescent="0.2">
      <c r="B712" s="82" t="s">
        <v>2154</v>
      </c>
      <c r="C712" s="82" t="s">
        <v>30</v>
      </c>
      <c r="D712" s="54"/>
      <c r="E712" s="83">
        <f>SUMIFS(E713:E6462,K713:K6462,"0",B713:B6462,"3 2 1 1 1 12 31111 6*")-SUMIFS(D713:D6462,K713:K6462,"0",B713:B6462,"3 2 1 1 1 12 31111 6*")</f>
        <v>-151872.10999999999</v>
      </c>
      <c r="F712" s="83">
        <f>SUMIFS(F713:F6462,K713:K6462,"0",B713:B6462,"3 2 1 1 1 12 31111 6*")</f>
        <v>2610633.11</v>
      </c>
      <c r="G712" s="83">
        <f>SUMIFS(G713:G6462,K713:K6462,"0",B713:B6462,"3 2 1 1 1 12 31111 6*")</f>
        <v>279665.15000000002</v>
      </c>
      <c r="H712" s="83"/>
      <c r="I712" s="83">
        <f t="shared" si="11"/>
        <v>-2482840.0699999998</v>
      </c>
      <c r="K712" s="54" t="s">
        <v>15</v>
      </c>
    </row>
    <row r="713" spans="2:11" ht="12.75" x14ac:dyDescent="0.2">
      <c r="B713" s="82" t="s">
        <v>2155</v>
      </c>
      <c r="C713" s="82" t="s">
        <v>32</v>
      </c>
      <c r="D713" s="54"/>
      <c r="E713" s="83">
        <f>SUMIFS(E714:E6462,K714:K6462,"0",B714:B6462,"3 2 1 1 1 12 31111 6 M59*")-SUMIFS(D714:D6462,K714:K6462,"0",B714:B6462,"3 2 1 1 1 12 31111 6 M59*")</f>
        <v>-151872.10999999999</v>
      </c>
      <c r="F713" s="83">
        <f>SUMIFS(F714:F6462,K714:K6462,"0",B714:B6462,"3 2 1 1 1 12 31111 6 M59*")</f>
        <v>2610633.11</v>
      </c>
      <c r="G713" s="83">
        <f>SUMIFS(G714:G6462,K714:K6462,"0",B714:B6462,"3 2 1 1 1 12 31111 6 M59*")</f>
        <v>279665.15000000002</v>
      </c>
      <c r="H713" s="83"/>
      <c r="I713" s="83">
        <f t="shared" si="11"/>
        <v>-2482840.0699999998</v>
      </c>
      <c r="K713" s="54" t="s">
        <v>15</v>
      </c>
    </row>
    <row r="714" spans="2:11" ht="16.5" x14ac:dyDescent="0.2">
      <c r="B714" s="82" t="s">
        <v>2156</v>
      </c>
      <c r="C714" s="82" t="s">
        <v>34</v>
      </c>
      <c r="D714" s="54"/>
      <c r="E714" s="83">
        <f>SUMIFS(E715:E6462,K715:K6462,"0",B715:B6462,"3 2 1 1 1 12 31111 6 M59 00001*")-SUMIFS(D715:D6462,K715:K6462,"0",B715:B6462,"3 2 1 1 1 12 31111 6 M59 00001*")</f>
        <v>-151872.10999999999</v>
      </c>
      <c r="F714" s="83">
        <f>SUMIFS(F715:F6462,K715:K6462,"0",B715:B6462,"3 2 1 1 1 12 31111 6 M59 00001*")</f>
        <v>2610633.11</v>
      </c>
      <c r="G714" s="83">
        <f>SUMIFS(G715:G6462,K715:K6462,"0",B715:B6462,"3 2 1 1 1 12 31111 6 M59 00001*")</f>
        <v>279665.15000000002</v>
      </c>
      <c r="H714" s="83"/>
      <c r="I714" s="83">
        <f t="shared" si="11"/>
        <v>-2482840.0699999998</v>
      </c>
      <c r="K714" s="54" t="s">
        <v>15</v>
      </c>
    </row>
    <row r="715" spans="2:11" ht="16.5" x14ac:dyDescent="0.2">
      <c r="B715" s="82" t="s">
        <v>2157</v>
      </c>
      <c r="C715" s="82" t="s">
        <v>203</v>
      </c>
      <c r="D715" s="54"/>
      <c r="E715" s="83">
        <f>SUMIFS(E716:E6462,K716:K6462,"0",B716:B6462,"3 2 1 1 1 12 31111 6 M59 00001 000001*")-SUMIFS(D716:D6462,K716:K6462,"0",B716:B6462,"3 2 1 1 1 12 31111 6 M59 00001 000001*")</f>
        <v>-153493.10999999999</v>
      </c>
      <c r="F715" s="83">
        <f>SUMIFS(F716:F6462,K716:K6462,"0",B716:B6462,"3 2 1 1 1 12 31111 6 M59 00001 000001*")</f>
        <v>2610633.11</v>
      </c>
      <c r="G715" s="83">
        <f>SUMIFS(G716:G6462,K716:K6462,"0",B716:B6462,"3 2 1 1 1 12 31111 6 M59 00001 000001*")</f>
        <v>279665.15000000002</v>
      </c>
      <c r="H715" s="83"/>
      <c r="I715" s="83">
        <f t="shared" si="11"/>
        <v>-2484461.0699999998</v>
      </c>
      <c r="K715" s="54" t="s">
        <v>15</v>
      </c>
    </row>
    <row r="716" spans="2:11" ht="16.5" x14ac:dyDescent="0.2">
      <c r="B716" s="84" t="s">
        <v>2158</v>
      </c>
      <c r="C716" s="84" t="s">
        <v>274</v>
      </c>
      <c r="D716" s="85"/>
      <c r="E716" s="85">
        <v>-153493.10999999999</v>
      </c>
      <c r="F716" s="85">
        <v>2610633.11</v>
      </c>
      <c r="G716" s="85">
        <v>279665.15000000002</v>
      </c>
      <c r="H716" s="85"/>
      <c r="I716" s="85">
        <f t="shared" si="11"/>
        <v>-2484461.0699999998</v>
      </c>
      <c r="K716" s="54" t="s">
        <v>38</v>
      </c>
    </row>
    <row r="717" spans="2:11" ht="16.5" x14ac:dyDescent="0.2">
      <c r="B717" s="82" t="s">
        <v>2159</v>
      </c>
      <c r="C717" s="82" t="s">
        <v>2160</v>
      </c>
      <c r="D717" s="54"/>
      <c r="E717" s="83">
        <f>SUMIFS(E718:E6462,K718:K6462,"0",B718:B6462,"3 2 1 1 1 12 31111 6 M59 00001 000045*")-SUMIFS(D718:D6462,K718:K6462,"0",B718:B6462,"3 2 1 1 1 12 31111 6 M59 00001 000045*")</f>
        <v>1621</v>
      </c>
      <c r="F717" s="83">
        <f>SUMIFS(F718:F6462,K718:K6462,"0",B718:B6462,"3 2 1 1 1 12 31111 6 M59 00001 000045*")</f>
        <v>0</v>
      </c>
      <c r="G717" s="83">
        <f>SUMIFS(G718:G6462,K718:K6462,"0",B718:B6462,"3 2 1 1 1 12 31111 6 M59 00001 000045*")</f>
        <v>0</v>
      </c>
      <c r="H717" s="83"/>
      <c r="I717" s="83">
        <f t="shared" si="11"/>
        <v>1621</v>
      </c>
      <c r="K717" s="54" t="s">
        <v>15</v>
      </c>
    </row>
    <row r="718" spans="2:11" ht="16.5" x14ac:dyDescent="0.2">
      <c r="B718" s="84" t="s">
        <v>2161</v>
      </c>
      <c r="C718" s="84" t="s">
        <v>274</v>
      </c>
      <c r="D718" s="85"/>
      <c r="E718" s="85">
        <v>1621</v>
      </c>
      <c r="F718" s="85">
        <v>0</v>
      </c>
      <c r="G718" s="85">
        <v>0</v>
      </c>
      <c r="H718" s="85"/>
      <c r="I718" s="85">
        <f t="shared" si="11"/>
        <v>1621</v>
      </c>
      <c r="K718" s="54" t="s">
        <v>38</v>
      </c>
    </row>
    <row r="719" spans="2:11" ht="16.5" x14ac:dyDescent="0.2">
      <c r="B719" s="82" t="s">
        <v>2177</v>
      </c>
      <c r="C719" s="82" t="s">
        <v>2178</v>
      </c>
      <c r="D719" s="54"/>
      <c r="E719" s="83">
        <f>SUMIFS(E720:E6462,K720:K6462,"0",B720:B6462,"3 2 2*")-SUMIFS(D720:D6462,K720:K6462,"0",B720:B6462,"3 2 2*")</f>
        <v>-4047318.58</v>
      </c>
      <c r="F719" s="83">
        <f>SUMIFS(F720:F6462,K720:K6462,"0",B720:B6462,"3 2 2*")</f>
        <v>0</v>
      </c>
      <c r="G719" s="83">
        <f>SUMIFS(G720:G6462,K720:K6462,"0",B720:B6462,"3 2 2*")</f>
        <v>0</v>
      </c>
      <c r="H719" s="83"/>
      <c r="I719" s="83">
        <f t="shared" si="11"/>
        <v>-4047318.58</v>
      </c>
      <c r="K719" s="54" t="s">
        <v>15</v>
      </c>
    </row>
    <row r="720" spans="2:11" ht="16.5" x14ac:dyDescent="0.2">
      <c r="B720" s="82" t="s">
        <v>2179</v>
      </c>
      <c r="C720" s="82" t="s">
        <v>2178</v>
      </c>
      <c r="D720" s="54"/>
      <c r="E720" s="83">
        <f>SUMIFS(E721:E6462,K721:K6462,"0",B721:B6462,"3 2 2 1*")-SUMIFS(D721:D6462,K721:K6462,"0",B721:B6462,"3 2 2 1*")</f>
        <v>-4047318.58</v>
      </c>
      <c r="F720" s="83">
        <f>SUMIFS(F721:F6462,K721:K6462,"0",B721:B6462,"3 2 2 1*")</f>
        <v>0</v>
      </c>
      <c r="G720" s="83">
        <f>SUMIFS(G721:G6462,K721:K6462,"0",B721:B6462,"3 2 2 1*")</f>
        <v>0</v>
      </c>
      <c r="H720" s="83"/>
      <c r="I720" s="83">
        <f t="shared" si="11"/>
        <v>-4047318.58</v>
      </c>
      <c r="K720" s="54" t="s">
        <v>15</v>
      </c>
    </row>
    <row r="721" spans="2:11" ht="16.5" x14ac:dyDescent="0.2">
      <c r="B721" s="82" t="s">
        <v>2180</v>
      </c>
      <c r="C721" s="82" t="s">
        <v>2181</v>
      </c>
      <c r="D721" s="54"/>
      <c r="E721" s="83">
        <f>SUMIFS(E722:E6462,K722:K6462,"0",B722:B6462,"3 2 2 1 1*")-SUMIFS(D722:D6462,K722:K6462,"0",B722:B6462,"3 2 2 1 1*")</f>
        <v>-466568.14999999997</v>
      </c>
      <c r="F721" s="83">
        <f>SUMIFS(F722:F6462,K722:K6462,"0",B722:B6462,"3 2 2 1 1*")</f>
        <v>0</v>
      </c>
      <c r="G721" s="83">
        <f>SUMIFS(G722:G6462,K722:K6462,"0",B722:B6462,"3 2 2 1 1*")</f>
        <v>0</v>
      </c>
      <c r="H721" s="83"/>
      <c r="I721" s="83">
        <f t="shared" si="11"/>
        <v>-466568.14999999997</v>
      </c>
      <c r="K721" s="54" t="s">
        <v>15</v>
      </c>
    </row>
    <row r="722" spans="2:11" ht="12.75" x14ac:dyDescent="0.2">
      <c r="B722" s="82" t="s">
        <v>2182</v>
      </c>
      <c r="C722" s="82" t="s">
        <v>26</v>
      </c>
      <c r="D722" s="54"/>
      <c r="E722" s="83">
        <f>SUMIFS(E723:E6462,K723:K6462,"0",B723:B6462,"3 2 2 1 1 12*")-SUMIFS(D723:D6462,K723:K6462,"0",B723:B6462,"3 2 2 1 1 12*")</f>
        <v>-466568.14999999997</v>
      </c>
      <c r="F722" s="83">
        <f>SUMIFS(F723:F6462,K723:K6462,"0",B723:B6462,"3 2 2 1 1 12*")</f>
        <v>0</v>
      </c>
      <c r="G722" s="83">
        <f>SUMIFS(G723:G6462,K723:K6462,"0",B723:B6462,"3 2 2 1 1 12*")</f>
        <v>0</v>
      </c>
      <c r="H722" s="83"/>
      <c r="I722" s="83">
        <f t="shared" si="11"/>
        <v>-466568.14999999997</v>
      </c>
      <c r="K722" s="54" t="s">
        <v>15</v>
      </c>
    </row>
    <row r="723" spans="2:11" ht="16.5" x14ac:dyDescent="0.2">
      <c r="B723" s="82" t="s">
        <v>2183</v>
      </c>
      <c r="C723" s="82" t="s">
        <v>28</v>
      </c>
      <c r="D723" s="54"/>
      <c r="E723" s="83">
        <f>SUMIFS(E724:E6462,K724:K6462,"0",B724:B6462,"3 2 2 1 1 12 31111*")-SUMIFS(D724:D6462,K724:K6462,"0",B724:B6462,"3 2 2 1 1 12 31111*")</f>
        <v>-466568.14999999997</v>
      </c>
      <c r="F723" s="83">
        <f>SUMIFS(F724:F6462,K724:K6462,"0",B724:B6462,"3 2 2 1 1 12 31111*")</f>
        <v>0</v>
      </c>
      <c r="G723" s="83">
        <f>SUMIFS(G724:G6462,K724:K6462,"0",B724:B6462,"3 2 2 1 1 12 31111*")</f>
        <v>0</v>
      </c>
      <c r="H723" s="83"/>
      <c r="I723" s="83">
        <f t="shared" si="11"/>
        <v>-466568.14999999997</v>
      </c>
      <c r="K723" s="54" t="s">
        <v>15</v>
      </c>
    </row>
    <row r="724" spans="2:11" ht="12.75" x14ac:dyDescent="0.2">
      <c r="B724" s="82" t="s">
        <v>2184</v>
      </c>
      <c r="C724" s="82" t="s">
        <v>30</v>
      </c>
      <c r="D724" s="54"/>
      <c r="E724" s="83">
        <f>SUMIFS(E725:E6462,K725:K6462,"0",B725:B6462,"3 2 2 1 1 12 31111 6*")-SUMIFS(D725:D6462,K725:K6462,"0",B725:B6462,"3 2 2 1 1 12 31111 6*")</f>
        <v>-466568.14999999997</v>
      </c>
      <c r="F724" s="83">
        <f>SUMIFS(F725:F6462,K725:K6462,"0",B725:B6462,"3 2 2 1 1 12 31111 6*")</f>
        <v>0</v>
      </c>
      <c r="G724" s="83">
        <f>SUMIFS(G725:G6462,K725:K6462,"0",B725:B6462,"3 2 2 1 1 12 31111 6*")</f>
        <v>0</v>
      </c>
      <c r="H724" s="83"/>
      <c r="I724" s="83">
        <f t="shared" si="11"/>
        <v>-466568.14999999997</v>
      </c>
      <c r="K724" s="54" t="s">
        <v>15</v>
      </c>
    </row>
    <row r="725" spans="2:11" ht="16.5" x14ac:dyDescent="0.2">
      <c r="B725" s="82" t="s">
        <v>2185</v>
      </c>
      <c r="C725" s="82" t="s">
        <v>32</v>
      </c>
      <c r="D725" s="54"/>
      <c r="E725" s="83">
        <f>SUMIFS(E726:E6462,K726:K6462,"0",B726:B6462,"3 2 2 1 1 12 31111 6 M59*")-SUMIFS(D726:D6462,K726:K6462,"0",B726:B6462,"3 2 2 1 1 12 31111 6 M59*")</f>
        <v>-466568.14999999997</v>
      </c>
      <c r="F725" s="83">
        <f>SUMIFS(F726:F6462,K726:K6462,"0",B726:B6462,"3 2 2 1 1 12 31111 6 M59*")</f>
        <v>0</v>
      </c>
      <c r="G725" s="83">
        <f>SUMIFS(G726:G6462,K726:K6462,"0",B726:B6462,"3 2 2 1 1 12 31111 6 M59*")</f>
        <v>0</v>
      </c>
      <c r="H725" s="83"/>
      <c r="I725" s="83">
        <f t="shared" si="11"/>
        <v>-466568.14999999997</v>
      </c>
      <c r="K725" s="54" t="s">
        <v>15</v>
      </c>
    </row>
    <row r="726" spans="2:11" ht="16.5" x14ac:dyDescent="0.2">
      <c r="B726" s="82" t="s">
        <v>2186</v>
      </c>
      <c r="C726" s="82" t="s">
        <v>34</v>
      </c>
      <c r="D726" s="54"/>
      <c r="E726" s="83">
        <f>SUMIFS(E727:E6462,K727:K6462,"0",B727:B6462,"3 2 2 1 1 12 31111 6 M59 00001*")-SUMIFS(D727:D6462,K727:K6462,"0",B727:B6462,"3 2 2 1 1 12 31111 6 M59 00001*")</f>
        <v>-466568.14999999997</v>
      </c>
      <c r="F726" s="83">
        <f>SUMIFS(F727:F6462,K727:K6462,"0",B727:B6462,"3 2 2 1 1 12 31111 6 M59 00001*")</f>
        <v>0</v>
      </c>
      <c r="G726" s="83">
        <f>SUMIFS(G727:G6462,K727:K6462,"0",B727:B6462,"3 2 2 1 1 12 31111 6 M59 00001*")</f>
        <v>0</v>
      </c>
      <c r="H726" s="83"/>
      <c r="I726" s="83">
        <f t="shared" si="11"/>
        <v>-466568.14999999997</v>
      </c>
      <c r="K726" s="54" t="s">
        <v>15</v>
      </c>
    </row>
    <row r="727" spans="2:11" ht="16.5" x14ac:dyDescent="0.2">
      <c r="B727" s="82" t="s">
        <v>2187</v>
      </c>
      <c r="C727" s="82" t="s">
        <v>2188</v>
      </c>
      <c r="D727" s="54"/>
      <c r="E727" s="83">
        <f>SUMIFS(E728:E6462,K728:K6462,"0",B728:B6462,"3 2 2 1 1 12 31111 6 M59 00001 000001*")-SUMIFS(D728:D6462,K728:K6462,"0",B728:B6462,"3 2 2 1 1 12 31111 6 M59 00001 000001*")</f>
        <v>-482390.16</v>
      </c>
      <c r="F727" s="83">
        <f>SUMIFS(F728:F6462,K728:K6462,"0",B728:B6462,"3 2 2 1 1 12 31111 6 M59 00001 000001*")</f>
        <v>0</v>
      </c>
      <c r="G727" s="83">
        <f>SUMIFS(G728:G6462,K728:K6462,"0",B728:B6462,"3 2 2 1 1 12 31111 6 M59 00001 000001*")</f>
        <v>0</v>
      </c>
      <c r="H727" s="83"/>
      <c r="I727" s="83">
        <f t="shared" si="11"/>
        <v>-482390.16</v>
      </c>
      <c r="K727" s="54" t="s">
        <v>15</v>
      </c>
    </row>
    <row r="728" spans="2:11" ht="16.5" x14ac:dyDescent="0.2">
      <c r="B728" s="84" t="s">
        <v>2189</v>
      </c>
      <c r="C728" s="84" t="s">
        <v>274</v>
      </c>
      <c r="D728" s="85"/>
      <c r="E728" s="85">
        <v>-482390.16</v>
      </c>
      <c r="F728" s="85">
        <v>0</v>
      </c>
      <c r="G728" s="85">
        <v>0</v>
      </c>
      <c r="H728" s="85"/>
      <c r="I728" s="85">
        <f t="shared" si="11"/>
        <v>-482390.16</v>
      </c>
      <c r="K728" s="54" t="s">
        <v>38</v>
      </c>
    </row>
    <row r="729" spans="2:11" ht="24.75" x14ac:dyDescent="0.2">
      <c r="B729" s="82" t="s">
        <v>2190</v>
      </c>
      <c r="C729" s="82" t="s">
        <v>2191</v>
      </c>
      <c r="D729" s="54"/>
      <c r="E729" s="83">
        <f>SUMIFS(E730:E6462,K730:K6462,"0",B730:B6462,"3 2 2 1 1 12 31111 6 M59 00001 000045*")-SUMIFS(D730:D6462,K730:K6462,"0",B730:B6462,"3 2 2 1 1 12 31111 6 M59 00001 000045*")</f>
        <v>15820.36</v>
      </c>
      <c r="F729" s="83">
        <f>SUMIFS(F730:F6462,K730:K6462,"0",B730:B6462,"3 2 2 1 1 12 31111 6 M59 00001 000045*")</f>
        <v>0</v>
      </c>
      <c r="G729" s="83">
        <f>SUMIFS(G730:G6462,K730:K6462,"0",B730:B6462,"3 2 2 1 1 12 31111 6 M59 00001 000045*")</f>
        <v>0</v>
      </c>
      <c r="H729" s="83"/>
      <c r="I729" s="83">
        <f t="shared" si="11"/>
        <v>15820.36</v>
      </c>
      <c r="K729" s="54" t="s">
        <v>15</v>
      </c>
    </row>
    <row r="730" spans="2:11" ht="16.5" x14ac:dyDescent="0.2">
      <c r="B730" s="84" t="s">
        <v>2192</v>
      </c>
      <c r="C730" s="84" t="s">
        <v>2170</v>
      </c>
      <c r="D730" s="85"/>
      <c r="E730" s="85">
        <v>15820.36</v>
      </c>
      <c r="F730" s="85">
        <v>0</v>
      </c>
      <c r="G730" s="85">
        <v>0</v>
      </c>
      <c r="H730" s="85"/>
      <c r="I730" s="85">
        <f t="shared" si="11"/>
        <v>15820.36</v>
      </c>
      <c r="K730" s="54" t="s">
        <v>38</v>
      </c>
    </row>
    <row r="731" spans="2:11" ht="16.5" x14ac:dyDescent="0.2">
      <c r="B731" s="82" t="s">
        <v>2193</v>
      </c>
      <c r="C731" s="82" t="s">
        <v>1842</v>
      </c>
      <c r="D731" s="54"/>
      <c r="E731" s="83">
        <f>SUMIFS(E732:E6462,K732:K6462,"0",B732:B6462,"3 2 2 1 1 12 31111 6 M59 00001 000091*")-SUMIFS(D732:D6462,K732:K6462,"0",B732:B6462,"3 2 2 1 1 12 31111 6 M59 00001 000091*")</f>
        <v>1.65</v>
      </c>
      <c r="F731" s="83">
        <f>SUMIFS(F732:F6462,K732:K6462,"0",B732:B6462,"3 2 2 1 1 12 31111 6 M59 00001 000091*")</f>
        <v>0</v>
      </c>
      <c r="G731" s="83">
        <f>SUMIFS(G732:G6462,K732:K6462,"0",B732:B6462,"3 2 2 1 1 12 31111 6 M59 00001 000091*")</f>
        <v>0</v>
      </c>
      <c r="H731" s="83"/>
      <c r="I731" s="83">
        <f t="shared" si="11"/>
        <v>1.65</v>
      </c>
      <c r="K731" s="54" t="s">
        <v>15</v>
      </c>
    </row>
    <row r="732" spans="2:11" ht="16.5" x14ac:dyDescent="0.2">
      <c r="B732" s="84" t="s">
        <v>2194</v>
      </c>
      <c r="C732" s="84" t="s">
        <v>2170</v>
      </c>
      <c r="D732" s="85"/>
      <c r="E732" s="85">
        <v>1.65</v>
      </c>
      <c r="F732" s="85">
        <v>0</v>
      </c>
      <c r="G732" s="85">
        <v>0</v>
      </c>
      <c r="H732" s="85"/>
      <c r="I732" s="85">
        <f t="shared" si="11"/>
        <v>1.65</v>
      </c>
      <c r="K732" s="54" t="s">
        <v>38</v>
      </c>
    </row>
    <row r="733" spans="2:11" ht="16.5" x14ac:dyDescent="0.2">
      <c r="B733" s="82" t="s">
        <v>2208</v>
      </c>
      <c r="C733" s="82" t="s">
        <v>2209</v>
      </c>
      <c r="D733" s="54"/>
      <c r="E733" s="83">
        <f>SUMIFS(E734:E6462,K734:K6462,"0",B734:B6462,"3 2 2 1 2*")-SUMIFS(D734:D6462,K734:K6462,"0",B734:B6462,"3 2 2 1 2*")</f>
        <v>-3580750.43</v>
      </c>
      <c r="F733" s="83">
        <f>SUMIFS(F734:F6462,K734:K6462,"0",B734:B6462,"3 2 2 1 2*")</f>
        <v>0</v>
      </c>
      <c r="G733" s="83">
        <f>SUMIFS(G734:G6462,K734:K6462,"0",B734:B6462,"3 2 2 1 2*")</f>
        <v>0</v>
      </c>
      <c r="H733" s="83"/>
      <c r="I733" s="83">
        <f t="shared" si="11"/>
        <v>-3580750.43</v>
      </c>
      <c r="K733" s="54" t="s">
        <v>15</v>
      </c>
    </row>
    <row r="734" spans="2:11" ht="12.75" x14ac:dyDescent="0.2">
      <c r="B734" s="82" t="s">
        <v>2210</v>
      </c>
      <c r="C734" s="82" t="s">
        <v>26</v>
      </c>
      <c r="D734" s="54"/>
      <c r="E734" s="83">
        <f>SUMIFS(E735:E6462,K735:K6462,"0",B735:B6462,"3 2 2 1 2 12*")-SUMIFS(D735:D6462,K735:K6462,"0",B735:B6462,"3 2 2 1 2 12*")</f>
        <v>-3580750.43</v>
      </c>
      <c r="F734" s="83">
        <f>SUMIFS(F735:F6462,K735:K6462,"0",B735:B6462,"3 2 2 1 2 12*")</f>
        <v>0</v>
      </c>
      <c r="G734" s="83">
        <f>SUMIFS(G735:G6462,K735:K6462,"0",B735:B6462,"3 2 2 1 2 12*")</f>
        <v>0</v>
      </c>
      <c r="H734" s="83"/>
      <c r="I734" s="83">
        <f t="shared" si="11"/>
        <v>-3580750.43</v>
      </c>
      <c r="K734" s="54" t="s">
        <v>15</v>
      </c>
    </row>
    <row r="735" spans="2:11" ht="16.5" x14ac:dyDescent="0.2">
      <c r="B735" s="82" t="s">
        <v>2211</v>
      </c>
      <c r="C735" s="82" t="s">
        <v>28</v>
      </c>
      <c r="D735" s="54"/>
      <c r="E735" s="83">
        <f>SUMIFS(E736:E6462,K736:K6462,"0",B736:B6462,"3 2 2 1 2 12 31111*")-SUMIFS(D736:D6462,K736:K6462,"0",B736:B6462,"3 2 2 1 2 12 31111*")</f>
        <v>-3580750.43</v>
      </c>
      <c r="F735" s="83">
        <f>SUMIFS(F736:F6462,K736:K6462,"0",B736:B6462,"3 2 2 1 2 12 31111*")</f>
        <v>0</v>
      </c>
      <c r="G735" s="83">
        <f>SUMIFS(G736:G6462,K736:K6462,"0",B736:B6462,"3 2 2 1 2 12 31111*")</f>
        <v>0</v>
      </c>
      <c r="H735" s="83"/>
      <c r="I735" s="83">
        <f t="shared" si="11"/>
        <v>-3580750.43</v>
      </c>
      <c r="K735" s="54" t="s">
        <v>15</v>
      </c>
    </row>
    <row r="736" spans="2:11" ht="12.75" x14ac:dyDescent="0.2">
      <c r="B736" s="82" t="s">
        <v>2212</v>
      </c>
      <c r="C736" s="82" t="s">
        <v>30</v>
      </c>
      <c r="D736" s="54"/>
      <c r="E736" s="83">
        <f>SUMIFS(E737:E6462,K737:K6462,"0",B737:B6462,"3 2 2 1 2 12 31111 6*")-SUMIFS(D737:D6462,K737:K6462,"0",B737:B6462,"3 2 2 1 2 12 31111 6*")</f>
        <v>-3580750.43</v>
      </c>
      <c r="F736" s="83">
        <f>SUMIFS(F737:F6462,K737:K6462,"0",B737:B6462,"3 2 2 1 2 12 31111 6*")</f>
        <v>0</v>
      </c>
      <c r="G736" s="83">
        <f>SUMIFS(G737:G6462,K737:K6462,"0",B737:B6462,"3 2 2 1 2 12 31111 6*")</f>
        <v>0</v>
      </c>
      <c r="H736" s="83"/>
      <c r="I736" s="83">
        <f t="shared" si="11"/>
        <v>-3580750.43</v>
      </c>
      <c r="K736" s="54" t="s">
        <v>15</v>
      </c>
    </row>
    <row r="737" spans="2:11" ht="16.5" x14ac:dyDescent="0.2">
      <c r="B737" s="82" t="s">
        <v>2213</v>
      </c>
      <c r="C737" s="82" t="s">
        <v>140</v>
      </c>
      <c r="D737" s="54"/>
      <c r="E737" s="83">
        <f>SUMIFS(E738:E6462,K738:K6462,"0",B738:B6462,"3 2 2 1 2 12 31111 6 M59*")-SUMIFS(D738:D6462,K738:K6462,"0",B738:B6462,"3 2 2 1 2 12 31111 6 M59*")</f>
        <v>-3580750.43</v>
      </c>
      <c r="F737" s="83">
        <f>SUMIFS(F738:F6462,K738:K6462,"0",B738:B6462,"3 2 2 1 2 12 31111 6 M59*")</f>
        <v>0</v>
      </c>
      <c r="G737" s="83">
        <f>SUMIFS(G738:G6462,K738:K6462,"0",B738:B6462,"3 2 2 1 2 12 31111 6 M59*")</f>
        <v>0</v>
      </c>
      <c r="H737" s="83"/>
      <c r="I737" s="83">
        <f t="shared" si="11"/>
        <v>-3580750.43</v>
      </c>
      <c r="K737" s="54" t="s">
        <v>15</v>
      </c>
    </row>
    <row r="738" spans="2:11" ht="16.5" x14ac:dyDescent="0.2">
      <c r="B738" s="82" t="s">
        <v>2214</v>
      </c>
      <c r="C738" s="82" t="s">
        <v>282</v>
      </c>
      <c r="D738" s="54"/>
      <c r="E738" s="83">
        <f>SUMIFS(E739:E6462,K739:K6462,"0",B739:B6462,"3 2 2 1 2 12 31111 6 M59 00001*")-SUMIFS(D739:D6462,K739:K6462,"0",B739:B6462,"3 2 2 1 2 12 31111 6 M59 00001*")</f>
        <v>-3580750.43</v>
      </c>
      <c r="F738" s="83">
        <f>SUMIFS(F739:F6462,K739:K6462,"0",B739:B6462,"3 2 2 1 2 12 31111 6 M59 00001*")</f>
        <v>0</v>
      </c>
      <c r="G738" s="83">
        <f>SUMIFS(G739:G6462,K739:K6462,"0",B739:B6462,"3 2 2 1 2 12 31111 6 M59 00001*")</f>
        <v>0</v>
      </c>
      <c r="H738" s="83"/>
      <c r="I738" s="83">
        <f t="shared" si="11"/>
        <v>-3580750.43</v>
      </c>
      <c r="K738" s="54" t="s">
        <v>15</v>
      </c>
    </row>
    <row r="739" spans="2:11" ht="16.5" x14ac:dyDescent="0.2">
      <c r="B739" s="82" t="s">
        <v>2215</v>
      </c>
      <c r="C739" s="82" t="s">
        <v>203</v>
      </c>
      <c r="D739" s="54"/>
      <c r="E739" s="83">
        <f>SUMIFS(E740:E6462,K740:K6462,"0",B740:B6462,"3 2 2 1 2 12 31111 6 M59 00001 000001*")-SUMIFS(D740:D6462,K740:K6462,"0",B740:B6462,"3 2 2 1 2 12 31111 6 M59 00001 000001*")</f>
        <v>-3593875.04</v>
      </c>
      <c r="F739" s="83">
        <f>SUMIFS(F740:F6462,K740:K6462,"0",B740:B6462,"3 2 2 1 2 12 31111 6 M59 00001 000001*")</f>
        <v>0</v>
      </c>
      <c r="G739" s="83">
        <f>SUMIFS(G740:G6462,K740:K6462,"0",B740:B6462,"3 2 2 1 2 12 31111 6 M59 00001 000001*")</f>
        <v>0</v>
      </c>
      <c r="H739" s="83"/>
      <c r="I739" s="83">
        <f t="shared" si="11"/>
        <v>-3593875.04</v>
      </c>
      <c r="K739" s="54" t="s">
        <v>15</v>
      </c>
    </row>
    <row r="740" spans="2:11" ht="16.5" x14ac:dyDescent="0.2">
      <c r="B740" s="84" t="s">
        <v>2216</v>
      </c>
      <c r="C740" s="84" t="s">
        <v>274</v>
      </c>
      <c r="D740" s="85"/>
      <c r="E740" s="85">
        <v>-3593875.04</v>
      </c>
      <c r="F740" s="85">
        <v>0</v>
      </c>
      <c r="G740" s="85">
        <v>0</v>
      </c>
      <c r="H740" s="85"/>
      <c r="I740" s="85">
        <f t="shared" si="11"/>
        <v>-3593875.04</v>
      </c>
      <c r="K740" s="54" t="s">
        <v>38</v>
      </c>
    </row>
    <row r="741" spans="2:11" ht="16.5" x14ac:dyDescent="0.2">
      <c r="B741" s="82" t="s">
        <v>2217</v>
      </c>
      <c r="C741" s="82" t="s">
        <v>2218</v>
      </c>
      <c r="D741" s="54"/>
      <c r="E741" s="83">
        <f>SUMIFS(E742:E6462,K742:K6462,"0",B742:B6462,"3 2 2 1 2 12 31111 6 M59 00001 000045*")-SUMIFS(D742:D6462,K742:K6462,"0",B742:B6462,"3 2 2 1 2 12 31111 6 M59 00001 000045*")</f>
        <v>13124.61</v>
      </c>
      <c r="F741" s="83">
        <f>SUMIFS(F742:F6462,K742:K6462,"0",B742:B6462,"3 2 2 1 2 12 31111 6 M59 00001 000045*")</f>
        <v>0</v>
      </c>
      <c r="G741" s="83">
        <f>SUMIFS(G742:G6462,K742:K6462,"0",B742:B6462,"3 2 2 1 2 12 31111 6 M59 00001 000045*")</f>
        <v>0</v>
      </c>
      <c r="H741" s="83"/>
      <c r="I741" s="83">
        <f t="shared" si="11"/>
        <v>13124.61</v>
      </c>
      <c r="K741" s="54" t="s">
        <v>15</v>
      </c>
    </row>
    <row r="742" spans="2:11" ht="16.5" x14ac:dyDescent="0.2">
      <c r="B742" s="84" t="s">
        <v>2219</v>
      </c>
      <c r="C742" s="84" t="s">
        <v>2165</v>
      </c>
      <c r="D742" s="85"/>
      <c r="E742" s="85">
        <v>13124.61</v>
      </c>
      <c r="F742" s="85">
        <v>0</v>
      </c>
      <c r="G742" s="85">
        <v>0</v>
      </c>
      <c r="H742" s="85"/>
      <c r="I742" s="85">
        <f t="shared" si="11"/>
        <v>13124.61</v>
      </c>
      <c r="K742" s="54" t="s">
        <v>38</v>
      </c>
    </row>
    <row r="743" spans="2:11" ht="12.75" x14ac:dyDescent="0.2">
      <c r="B743" s="82" t="s">
        <v>2233</v>
      </c>
      <c r="C743" s="82" t="s">
        <v>2234</v>
      </c>
      <c r="D743" s="54"/>
      <c r="E743" s="83">
        <f>SUMIFS(E744:E6462,K744:K6462,"0",B744:B6462,"3 2 3*")-SUMIFS(D744:D6462,K744:K6462,"0",B744:B6462,"3 2 3*")</f>
        <v>-66635.28</v>
      </c>
      <c r="F743" s="83">
        <f>SUMIFS(F744:F6462,K744:K6462,"0",B744:B6462,"3 2 3*")</f>
        <v>0</v>
      </c>
      <c r="G743" s="83">
        <f>SUMIFS(G744:G6462,K744:K6462,"0",B744:B6462,"3 2 3*")</f>
        <v>0</v>
      </c>
      <c r="H743" s="83"/>
      <c r="I743" s="83">
        <f t="shared" si="11"/>
        <v>-66635.28</v>
      </c>
      <c r="K743" s="54" t="s">
        <v>15</v>
      </c>
    </row>
    <row r="744" spans="2:11" ht="12.75" x14ac:dyDescent="0.2">
      <c r="B744" s="82" t="s">
        <v>2235</v>
      </c>
      <c r="C744" s="82" t="s">
        <v>2236</v>
      </c>
      <c r="D744" s="54"/>
      <c r="E744" s="83">
        <f>SUMIFS(E745:E6462,K745:K6462,"0",B745:B6462,"3 2 3 2*")-SUMIFS(D745:D6462,K745:K6462,"0",B745:B6462,"3 2 3 2*")</f>
        <v>-66635.28</v>
      </c>
      <c r="F744" s="83">
        <f>SUMIFS(F745:F6462,K745:K6462,"0",B745:B6462,"3 2 3 2*")</f>
        <v>0</v>
      </c>
      <c r="G744" s="83">
        <f>SUMIFS(G745:G6462,K745:K6462,"0",B745:B6462,"3 2 3 2*")</f>
        <v>0</v>
      </c>
      <c r="H744" s="83"/>
      <c r="I744" s="83">
        <f t="shared" si="11"/>
        <v>-66635.28</v>
      </c>
      <c r="K744" s="54" t="s">
        <v>15</v>
      </c>
    </row>
    <row r="745" spans="2:11" ht="12.75" x14ac:dyDescent="0.2">
      <c r="B745" s="82" t="s">
        <v>2237</v>
      </c>
      <c r="C745" s="82" t="s">
        <v>2236</v>
      </c>
      <c r="D745" s="54"/>
      <c r="E745" s="83">
        <f>SUMIFS(E746:E6462,K746:K6462,"0",B746:B6462,"3 2 3 2 1*")-SUMIFS(D746:D6462,K746:K6462,"0",B746:B6462,"3 2 3 2 1*")</f>
        <v>-66635.28</v>
      </c>
      <c r="F745" s="83">
        <f>SUMIFS(F746:F6462,K746:K6462,"0",B746:B6462,"3 2 3 2 1*")</f>
        <v>0</v>
      </c>
      <c r="G745" s="83">
        <f>SUMIFS(G746:G6462,K746:K6462,"0",B746:B6462,"3 2 3 2 1*")</f>
        <v>0</v>
      </c>
      <c r="H745" s="83"/>
      <c r="I745" s="83">
        <f t="shared" si="11"/>
        <v>-66635.28</v>
      </c>
      <c r="K745" s="54" t="s">
        <v>15</v>
      </c>
    </row>
    <row r="746" spans="2:11" ht="12.75" x14ac:dyDescent="0.2">
      <c r="B746" s="82" t="s">
        <v>2238</v>
      </c>
      <c r="C746" s="82" t="s">
        <v>26</v>
      </c>
      <c r="D746" s="54"/>
      <c r="E746" s="83">
        <f>SUMIFS(E747:E6462,K747:K6462,"0",B747:B6462,"3 2 3 2 1 12*")-SUMIFS(D747:D6462,K747:K6462,"0",B747:B6462,"3 2 3 2 1 12*")</f>
        <v>-66635.28</v>
      </c>
      <c r="F746" s="83">
        <f>SUMIFS(F747:F6462,K747:K6462,"0",B747:B6462,"3 2 3 2 1 12*")</f>
        <v>0</v>
      </c>
      <c r="G746" s="83">
        <f>SUMIFS(G747:G6462,K747:K6462,"0",B747:B6462,"3 2 3 2 1 12*")</f>
        <v>0</v>
      </c>
      <c r="H746" s="83"/>
      <c r="I746" s="83">
        <f t="shared" si="11"/>
        <v>-66635.28</v>
      </c>
      <c r="K746" s="54" t="s">
        <v>15</v>
      </c>
    </row>
    <row r="747" spans="2:11" ht="16.5" x14ac:dyDescent="0.2">
      <c r="B747" s="82" t="s">
        <v>2239</v>
      </c>
      <c r="C747" s="82" t="s">
        <v>28</v>
      </c>
      <c r="D747" s="54"/>
      <c r="E747" s="83">
        <f>SUMIFS(E748:E6462,K748:K6462,"0",B748:B6462,"3 2 3 2 1 12 31111*")-SUMIFS(D748:D6462,K748:K6462,"0",B748:B6462,"3 2 3 2 1 12 31111*")</f>
        <v>-66635.28</v>
      </c>
      <c r="F747" s="83">
        <f>SUMIFS(F748:F6462,K748:K6462,"0",B748:B6462,"3 2 3 2 1 12 31111*")</f>
        <v>0</v>
      </c>
      <c r="G747" s="83">
        <f>SUMIFS(G748:G6462,K748:K6462,"0",B748:B6462,"3 2 3 2 1 12 31111*")</f>
        <v>0</v>
      </c>
      <c r="H747" s="83"/>
      <c r="I747" s="83">
        <f t="shared" si="11"/>
        <v>-66635.28</v>
      </c>
      <c r="K747" s="54" t="s">
        <v>15</v>
      </c>
    </row>
    <row r="748" spans="2:11" ht="12.75" x14ac:dyDescent="0.2">
      <c r="B748" s="82" t="s">
        <v>2240</v>
      </c>
      <c r="C748" s="82" t="s">
        <v>30</v>
      </c>
      <c r="D748" s="54"/>
      <c r="E748" s="83">
        <f>SUMIFS(E749:E6462,K749:K6462,"0",B749:B6462,"3 2 3 2 1 12 31111 6*")-SUMIFS(D749:D6462,K749:K6462,"0",B749:B6462,"3 2 3 2 1 12 31111 6*")</f>
        <v>-66635.28</v>
      </c>
      <c r="F748" s="83">
        <f>SUMIFS(F749:F6462,K749:K6462,"0",B749:B6462,"3 2 3 2 1 12 31111 6*")</f>
        <v>0</v>
      </c>
      <c r="G748" s="83">
        <f>SUMIFS(G749:G6462,K749:K6462,"0",B749:B6462,"3 2 3 2 1 12 31111 6*")</f>
        <v>0</v>
      </c>
      <c r="H748" s="83"/>
      <c r="I748" s="83">
        <f t="shared" ref="I748:I810" si="12">E748 - F748 + G748</f>
        <v>-66635.28</v>
      </c>
      <c r="K748" s="54" t="s">
        <v>15</v>
      </c>
    </row>
    <row r="749" spans="2:11" ht="16.5" x14ac:dyDescent="0.2">
      <c r="B749" s="82" t="s">
        <v>2241</v>
      </c>
      <c r="C749" s="82" t="s">
        <v>2242</v>
      </c>
      <c r="D749" s="54"/>
      <c r="E749" s="83">
        <f>SUMIFS(E750:E6462,K750:K6462,"0",B750:B6462,"3 2 3 2 1 12 31111 6 M59*")-SUMIFS(D750:D6462,K750:K6462,"0",B750:B6462,"3 2 3 2 1 12 31111 6 M59*")</f>
        <v>-66635.28</v>
      </c>
      <c r="F749" s="83">
        <f>SUMIFS(F750:F6462,K750:K6462,"0",B750:B6462,"3 2 3 2 1 12 31111 6 M59*")</f>
        <v>0</v>
      </c>
      <c r="G749" s="83">
        <f>SUMIFS(G750:G6462,K750:K6462,"0",B750:B6462,"3 2 3 2 1 12 31111 6 M59*")</f>
        <v>0</v>
      </c>
      <c r="H749" s="83"/>
      <c r="I749" s="83">
        <f t="shared" si="12"/>
        <v>-66635.28</v>
      </c>
      <c r="K749" s="54" t="s">
        <v>15</v>
      </c>
    </row>
    <row r="750" spans="2:11" ht="16.5" x14ac:dyDescent="0.2">
      <c r="B750" s="82" t="s">
        <v>2243</v>
      </c>
      <c r="C750" s="82" t="s">
        <v>34</v>
      </c>
      <c r="D750" s="54"/>
      <c r="E750" s="83">
        <f>SUMIFS(E751:E6462,K751:K6462,"0",B751:B6462,"3 2 3 2 1 12 31111 6 M59 00001*")-SUMIFS(D751:D6462,K751:K6462,"0",B751:B6462,"3 2 3 2 1 12 31111 6 M59 00001*")</f>
        <v>-66635.28</v>
      </c>
      <c r="F750" s="83">
        <f>SUMIFS(F751:F6462,K751:K6462,"0",B751:B6462,"3 2 3 2 1 12 31111 6 M59 00001*")</f>
        <v>0</v>
      </c>
      <c r="G750" s="83">
        <f>SUMIFS(G751:G6462,K751:K6462,"0",B751:B6462,"3 2 3 2 1 12 31111 6 M59 00001*")</f>
        <v>0</v>
      </c>
      <c r="H750" s="83"/>
      <c r="I750" s="83">
        <f t="shared" si="12"/>
        <v>-66635.28</v>
      </c>
      <c r="K750" s="54" t="s">
        <v>15</v>
      </c>
    </row>
    <row r="751" spans="2:11" ht="16.5" x14ac:dyDescent="0.2">
      <c r="B751" s="84" t="s">
        <v>2244</v>
      </c>
      <c r="C751" s="84" t="s">
        <v>203</v>
      </c>
      <c r="D751" s="85"/>
      <c r="E751" s="85">
        <v>-66635.28</v>
      </c>
      <c r="F751" s="85">
        <v>0</v>
      </c>
      <c r="G751" s="85">
        <v>0</v>
      </c>
      <c r="H751" s="85"/>
      <c r="I751" s="85">
        <f t="shared" si="12"/>
        <v>-66635.28</v>
      </c>
      <c r="K751" s="54" t="s">
        <v>38</v>
      </c>
    </row>
    <row r="752" spans="2:11" ht="24.75" x14ac:dyDescent="0.2">
      <c r="B752" s="82" t="s">
        <v>2250</v>
      </c>
      <c r="C752" s="82" t="s">
        <v>2251</v>
      </c>
      <c r="D752" s="54"/>
      <c r="E752" s="83">
        <f>SUMIFS(E753:E6462,K753:K6462,"0",B753:B6462,"3 2 5*")-SUMIFS(D753:D6462,K753:K6462,"0",B753:B6462,"3 2 5*")</f>
        <v>-1732105.83</v>
      </c>
      <c r="F752" s="83">
        <f>SUMIFS(F753:F6462,K753:K6462,"0",B753:B6462,"3 2 5*")</f>
        <v>0</v>
      </c>
      <c r="G752" s="83">
        <f>SUMIFS(G753:G6462,K753:K6462,"0",B753:B6462,"3 2 5*")</f>
        <v>0</v>
      </c>
      <c r="H752" s="83"/>
      <c r="I752" s="83">
        <f t="shared" si="12"/>
        <v>-1732105.83</v>
      </c>
      <c r="K752" s="54" t="s">
        <v>15</v>
      </c>
    </row>
    <row r="753" spans="2:11" ht="16.5" x14ac:dyDescent="0.2">
      <c r="B753" s="82" t="s">
        <v>2252</v>
      </c>
      <c r="C753" s="82" t="s">
        <v>2253</v>
      </c>
      <c r="D753" s="54"/>
      <c r="E753" s="83">
        <f>SUMIFS(E754:E6462,K754:K6462,"0",B754:B6462,"3 2 5 2*")-SUMIFS(D754:D6462,K754:K6462,"0",B754:B6462,"3 2 5 2*")</f>
        <v>-1732105.83</v>
      </c>
      <c r="F753" s="83">
        <f>SUMIFS(F754:F6462,K754:K6462,"0",B754:B6462,"3 2 5 2*")</f>
        <v>0</v>
      </c>
      <c r="G753" s="83">
        <f>SUMIFS(G754:G6462,K754:K6462,"0",B754:B6462,"3 2 5 2*")</f>
        <v>0</v>
      </c>
      <c r="H753" s="83"/>
      <c r="I753" s="83">
        <f t="shared" si="12"/>
        <v>-1732105.83</v>
      </c>
      <c r="K753" s="54" t="s">
        <v>15</v>
      </c>
    </row>
    <row r="754" spans="2:11" ht="16.5" x14ac:dyDescent="0.2">
      <c r="B754" s="82" t="s">
        <v>2254</v>
      </c>
      <c r="C754" s="82" t="s">
        <v>2253</v>
      </c>
      <c r="D754" s="54"/>
      <c r="E754" s="83">
        <f>SUMIFS(E755:E6462,K755:K6462,"0",B755:B6462,"3 2 5 2 1*")-SUMIFS(D755:D6462,K755:K6462,"0",B755:B6462,"3 2 5 2 1*")</f>
        <v>-1732105.83</v>
      </c>
      <c r="F754" s="83">
        <f>SUMIFS(F755:F6462,K755:K6462,"0",B755:B6462,"3 2 5 2 1*")</f>
        <v>0</v>
      </c>
      <c r="G754" s="83">
        <f>SUMIFS(G755:G6462,K755:K6462,"0",B755:B6462,"3 2 5 2 1*")</f>
        <v>0</v>
      </c>
      <c r="H754" s="83"/>
      <c r="I754" s="83">
        <f t="shared" si="12"/>
        <v>-1732105.83</v>
      </c>
      <c r="K754" s="54" t="s">
        <v>15</v>
      </c>
    </row>
    <row r="755" spans="2:11" ht="12.75" x14ac:dyDescent="0.2">
      <c r="B755" s="82" t="s">
        <v>2255</v>
      </c>
      <c r="C755" s="82" t="s">
        <v>26</v>
      </c>
      <c r="D755" s="54"/>
      <c r="E755" s="83">
        <f>SUMIFS(E756:E6462,K756:K6462,"0",B756:B6462,"3 2 5 2 1 12*")-SUMIFS(D756:D6462,K756:K6462,"0",B756:B6462,"3 2 5 2 1 12*")</f>
        <v>-1732105.83</v>
      </c>
      <c r="F755" s="83">
        <f>SUMIFS(F756:F6462,K756:K6462,"0",B756:B6462,"3 2 5 2 1 12*")</f>
        <v>0</v>
      </c>
      <c r="G755" s="83">
        <f>SUMIFS(G756:G6462,K756:K6462,"0",B756:B6462,"3 2 5 2 1 12*")</f>
        <v>0</v>
      </c>
      <c r="H755" s="83"/>
      <c r="I755" s="83">
        <f t="shared" si="12"/>
        <v>-1732105.83</v>
      </c>
      <c r="K755" s="54" t="s">
        <v>15</v>
      </c>
    </row>
    <row r="756" spans="2:11" ht="16.5" x14ac:dyDescent="0.2">
      <c r="B756" s="82" t="s">
        <v>2256</v>
      </c>
      <c r="C756" s="82" t="s">
        <v>28</v>
      </c>
      <c r="D756" s="54"/>
      <c r="E756" s="83">
        <f>SUMIFS(E757:E6462,K757:K6462,"0",B757:B6462,"3 2 5 2 1 12 31111*")-SUMIFS(D757:D6462,K757:K6462,"0",B757:B6462,"3 2 5 2 1 12 31111*")</f>
        <v>-1732105.83</v>
      </c>
      <c r="F756" s="83">
        <f>SUMIFS(F757:F6462,K757:K6462,"0",B757:B6462,"3 2 5 2 1 12 31111*")</f>
        <v>0</v>
      </c>
      <c r="G756" s="83">
        <f>SUMIFS(G757:G6462,K757:K6462,"0",B757:B6462,"3 2 5 2 1 12 31111*")</f>
        <v>0</v>
      </c>
      <c r="H756" s="83"/>
      <c r="I756" s="83">
        <f t="shared" si="12"/>
        <v>-1732105.83</v>
      </c>
      <c r="K756" s="54" t="s">
        <v>15</v>
      </c>
    </row>
    <row r="757" spans="2:11" ht="12.75" x14ac:dyDescent="0.2">
      <c r="B757" s="82" t="s">
        <v>2257</v>
      </c>
      <c r="C757" s="82" t="s">
        <v>30</v>
      </c>
      <c r="D757" s="54"/>
      <c r="E757" s="83">
        <f>SUMIFS(E758:E6462,K758:K6462,"0",B758:B6462,"3 2 5 2 1 12 31111 6*")-SUMIFS(D758:D6462,K758:K6462,"0",B758:B6462,"3 2 5 2 1 12 31111 6*")</f>
        <v>-1732105.83</v>
      </c>
      <c r="F757" s="83">
        <f>SUMIFS(F758:F6462,K758:K6462,"0",B758:B6462,"3 2 5 2 1 12 31111 6*")</f>
        <v>0</v>
      </c>
      <c r="G757" s="83">
        <f>SUMIFS(G758:G6462,K758:K6462,"0",B758:B6462,"3 2 5 2 1 12 31111 6*")</f>
        <v>0</v>
      </c>
      <c r="H757" s="83"/>
      <c r="I757" s="83">
        <f t="shared" si="12"/>
        <v>-1732105.83</v>
      </c>
      <c r="K757" s="54" t="s">
        <v>15</v>
      </c>
    </row>
    <row r="758" spans="2:11" ht="16.5" x14ac:dyDescent="0.2">
      <c r="B758" s="82" t="s">
        <v>2258</v>
      </c>
      <c r="C758" s="82" t="s">
        <v>32</v>
      </c>
      <c r="D758" s="54"/>
      <c r="E758" s="83">
        <f>SUMIFS(E759:E6462,K759:K6462,"0",B759:B6462,"3 2 5 2 1 12 31111 6 M59*")-SUMIFS(D759:D6462,K759:K6462,"0",B759:B6462,"3 2 5 2 1 12 31111 6 M59*")</f>
        <v>-1732105.83</v>
      </c>
      <c r="F758" s="83">
        <f>SUMIFS(F759:F6462,K759:K6462,"0",B759:B6462,"3 2 5 2 1 12 31111 6 M59*")</f>
        <v>0</v>
      </c>
      <c r="G758" s="83">
        <f>SUMIFS(G759:G6462,K759:K6462,"0",B759:B6462,"3 2 5 2 1 12 31111 6 M59*")</f>
        <v>0</v>
      </c>
      <c r="H758" s="83"/>
      <c r="I758" s="83">
        <f t="shared" si="12"/>
        <v>-1732105.83</v>
      </c>
      <c r="K758" s="54" t="s">
        <v>15</v>
      </c>
    </row>
    <row r="759" spans="2:11" ht="16.5" x14ac:dyDescent="0.2">
      <c r="B759" s="84" t="s">
        <v>2259</v>
      </c>
      <c r="C759" s="84" t="s">
        <v>34</v>
      </c>
      <c r="D759" s="85"/>
      <c r="E759" s="85">
        <v>-1732105.83</v>
      </c>
      <c r="F759" s="85">
        <v>0</v>
      </c>
      <c r="G759" s="85">
        <v>0</v>
      </c>
      <c r="H759" s="85"/>
      <c r="I759" s="85">
        <f t="shared" si="12"/>
        <v>-1732105.83</v>
      </c>
      <c r="K759" s="54" t="s">
        <v>38</v>
      </c>
    </row>
    <row r="760" spans="2:11" ht="16.5" x14ac:dyDescent="0.2">
      <c r="B760" s="82" t="s">
        <v>2271</v>
      </c>
      <c r="C760" s="82" t="s">
        <v>2272</v>
      </c>
      <c r="D760" s="54"/>
      <c r="E760" s="83">
        <f>SUMIFS(E761:E6462,K761:K6462,"0",B761:B6462,"4*")-SUMIFS(D761:D6462,K761:K6462,"0",B761:B6462,"4*")</f>
        <v>0</v>
      </c>
      <c r="F760" s="83">
        <f>SUMIFS(F761:F6462,K761:K6462,"0",B761:B6462,"4*")</f>
        <v>0</v>
      </c>
      <c r="G760" s="83">
        <f>SUMIFS(G761:G6462,K761:K6462,"0",B761:B6462,"4*")</f>
        <v>109025245.62000002</v>
      </c>
      <c r="H760" s="83"/>
      <c r="I760" s="83">
        <f t="shared" si="12"/>
        <v>109025245.62000002</v>
      </c>
      <c r="K760" s="54" t="s">
        <v>15</v>
      </c>
    </row>
    <row r="761" spans="2:11" ht="12.75" x14ac:dyDescent="0.2">
      <c r="B761" s="82" t="s">
        <v>2273</v>
      </c>
      <c r="C761" s="82" t="s">
        <v>2274</v>
      </c>
      <c r="D761" s="54"/>
      <c r="E761" s="83">
        <f>SUMIFS(E762:E6462,K762:K6462,"0",B762:B6462,"4 1*")-SUMIFS(D762:D6462,K762:K6462,"0",B762:B6462,"4 1*")</f>
        <v>0</v>
      </c>
      <c r="F761" s="83">
        <f>SUMIFS(F762:F6462,K762:K6462,"0",B762:B6462,"4 1*")</f>
        <v>0</v>
      </c>
      <c r="G761" s="83">
        <f>SUMIFS(G762:G6462,K762:K6462,"0",B762:B6462,"4 1*")</f>
        <v>117.46</v>
      </c>
      <c r="H761" s="83"/>
      <c r="I761" s="83">
        <f t="shared" si="12"/>
        <v>117.46</v>
      </c>
      <c r="K761" s="54" t="s">
        <v>15</v>
      </c>
    </row>
    <row r="762" spans="2:11" ht="12.75" x14ac:dyDescent="0.2">
      <c r="B762" s="82" t="s">
        <v>2651</v>
      </c>
      <c r="C762" s="82" t="s">
        <v>252</v>
      </c>
      <c r="D762" s="54"/>
      <c r="E762" s="83">
        <f>SUMIFS(E763:E6462,K763:K6462,"0",B763:B6462,"4 1 5*")-SUMIFS(D763:D6462,K763:K6462,"0",B763:B6462,"4 1 5*")</f>
        <v>0</v>
      </c>
      <c r="F762" s="83">
        <f>SUMIFS(F763:F6462,K763:K6462,"0",B763:B6462,"4 1 5*")</f>
        <v>0</v>
      </c>
      <c r="G762" s="83">
        <f>SUMIFS(G763:G6462,K763:K6462,"0",B763:B6462,"4 1 5*")</f>
        <v>117.46</v>
      </c>
      <c r="H762" s="83"/>
      <c r="I762" s="83">
        <f t="shared" si="12"/>
        <v>117.46</v>
      </c>
      <c r="K762" s="54" t="s">
        <v>15</v>
      </c>
    </row>
    <row r="763" spans="2:11" ht="12.75" x14ac:dyDescent="0.2">
      <c r="B763" s="82" t="s">
        <v>2652</v>
      </c>
      <c r="C763" s="82" t="s">
        <v>252</v>
      </c>
      <c r="D763" s="54"/>
      <c r="E763" s="83">
        <f>SUMIFS(E764:E6462,K764:K6462,"0",B764:B6462,"4 1 5 1*")-SUMIFS(D764:D6462,K764:K6462,"0",B764:B6462,"4 1 5 1*")</f>
        <v>0</v>
      </c>
      <c r="F763" s="83">
        <f>SUMIFS(F764:F6462,K764:K6462,"0",B764:B6462,"4 1 5 1*")</f>
        <v>0</v>
      </c>
      <c r="G763" s="83">
        <f>SUMIFS(G764:G6462,K764:K6462,"0",B764:B6462,"4 1 5 1*")</f>
        <v>117.46</v>
      </c>
      <c r="H763" s="83"/>
      <c r="I763" s="83">
        <f t="shared" si="12"/>
        <v>117.46</v>
      </c>
      <c r="K763" s="54" t="s">
        <v>15</v>
      </c>
    </row>
    <row r="764" spans="2:11" ht="41.25" x14ac:dyDescent="0.2">
      <c r="B764" s="82" t="s">
        <v>2653</v>
      </c>
      <c r="C764" s="82" t="s">
        <v>2654</v>
      </c>
      <c r="D764" s="54"/>
      <c r="E764" s="83">
        <f>SUMIFS(E765:E6462,K765:K6462,"0",B765:B6462,"4 1 5 1 1*")-SUMIFS(D765:D6462,K765:K6462,"0",B765:B6462,"4 1 5 1 1*")</f>
        <v>0</v>
      </c>
      <c r="F764" s="83">
        <f>SUMIFS(F765:F6462,K765:K6462,"0",B765:B6462,"4 1 5 1 1*")</f>
        <v>0</v>
      </c>
      <c r="G764" s="83">
        <f>SUMIFS(G765:G6462,K765:K6462,"0",B765:B6462,"4 1 5 1 1*")</f>
        <v>117.46</v>
      </c>
      <c r="H764" s="83"/>
      <c r="I764" s="83">
        <f t="shared" si="12"/>
        <v>117.46</v>
      </c>
      <c r="K764" s="54" t="s">
        <v>15</v>
      </c>
    </row>
    <row r="765" spans="2:11" ht="12.75" x14ac:dyDescent="0.2">
      <c r="B765" s="82" t="s">
        <v>2655</v>
      </c>
      <c r="C765" s="82" t="s">
        <v>26</v>
      </c>
      <c r="D765" s="54"/>
      <c r="E765" s="83">
        <f>SUMIFS(E766:E6462,K766:K6462,"0",B766:B6462,"4 1 5 1 1 12*")-SUMIFS(D766:D6462,K766:K6462,"0",B766:B6462,"4 1 5 1 1 12*")</f>
        <v>0</v>
      </c>
      <c r="F765" s="83">
        <f>SUMIFS(F766:F6462,K766:K6462,"0",B766:B6462,"4 1 5 1 1 12*")</f>
        <v>0</v>
      </c>
      <c r="G765" s="83">
        <f>SUMIFS(G766:G6462,K766:K6462,"0",B766:B6462,"4 1 5 1 1 12*")</f>
        <v>117.46</v>
      </c>
      <c r="H765" s="83"/>
      <c r="I765" s="83">
        <f t="shared" si="12"/>
        <v>117.46</v>
      </c>
      <c r="K765" s="54" t="s">
        <v>15</v>
      </c>
    </row>
    <row r="766" spans="2:11" ht="16.5" x14ac:dyDescent="0.2">
      <c r="B766" s="82" t="s">
        <v>2656</v>
      </c>
      <c r="C766" s="82" t="s">
        <v>28</v>
      </c>
      <c r="D766" s="54"/>
      <c r="E766" s="83">
        <f>SUMIFS(E767:E6462,K767:K6462,"0",B767:B6462,"4 1 5 1 1 12 31111*")-SUMIFS(D767:D6462,K767:K6462,"0",B767:B6462,"4 1 5 1 1 12 31111*")</f>
        <v>0</v>
      </c>
      <c r="F766" s="83">
        <f>SUMIFS(F767:F6462,K767:K6462,"0",B767:B6462,"4 1 5 1 1 12 31111*")</f>
        <v>0</v>
      </c>
      <c r="G766" s="83">
        <f>SUMIFS(G767:G6462,K767:K6462,"0",B767:B6462,"4 1 5 1 1 12 31111*")</f>
        <v>117.46</v>
      </c>
      <c r="H766" s="83"/>
      <c r="I766" s="83">
        <f t="shared" si="12"/>
        <v>117.46</v>
      </c>
      <c r="K766" s="54" t="s">
        <v>15</v>
      </c>
    </row>
    <row r="767" spans="2:11" ht="12.75" x14ac:dyDescent="0.2">
      <c r="B767" s="82" t="s">
        <v>2657</v>
      </c>
      <c r="C767" s="82" t="s">
        <v>30</v>
      </c>
      <c r="D767" s="54"/>
      <c r="E767" s="83">
        <f>SUMIFS(E768:E6462,K768:K6462,"0",B768:B6462,"4 1 5 1 1 12 31111 6*")-SUMIFS(D768:D6462,K768:K6462,"0",B768:B6462,"4 1 5 1 1 12 31111 6*")</f>
        <v>0</v>
      </c>
      <c r="F767" s="83">
        <f>SUMIFS(F768:F6462,K768:K6462,"0",B768:B6462,"4 1 5 1 1 12 31111 6*")</f>
        <v>0</v>
      </c>
      <c r="G767" s="83">
        <f>SUMIFS(G768:G6462,K768:K6462,"0",B768:B6462,"4 1 5 1 1 12 31111 6*")</f>
        <v>117.46</v>
      </c>
      <c r="H767" s="83"/>
      <c r="I767" s="83">
        <f t="shared" si="12"/>
        <v>117.46</v>
      </c>
      <c r="K767" s="54" t="s">
        <v>15</v>
      </c>
    </row>
    <row r="768" spans="2:11" ht="12.75" x14ac:dyDescent="0.2">
      <c r="B768" s="82" t="s">
        <v>2658</v>
      </c>
      <c r="C768" s="82" t="s">
        <v>282</v>
      </c>
      <c r="D768" s="54"/>
      <c r="E768" s="83">
        <f>SUMIFS(E769:E6462,K769:K6462,"0",B769:B6462,"4 1 5 1 1 12 31111 6 M59*")-SUMIFS(D769:D6462,K769:K6462,"0",B769:B6462,"4 1 5 1 1 12 31111 6 M59*")</f>
        <v>0</v>
      </c>
      <c r="F768" s="83">
        <f>SUMIFS(F769:F6462,K769:K6462,"0",B769:B6462,"4 1 5 1 1 12 31111 6 M59*")</f>
        <v>0</v>
      </c>
      <c r="G768" s="83">
        <f>SUMIFS(G769:G6462,K769:K6462,"0",B769:B6462,"4 1 5 1 1 12 31111 6 M59*")</f>
        <v>117.46</v>
      </c>
      <c r="H768" s="83"/>
      <c r="I768" s="83">
        <f t="shared" si="12"/>
        <v>117.46</v>
      </c>
      <c r="K768" s="54" t="s">
        <v>15</v>
      </c>
    </row>
    <row r="769" spans="2:11" ht="16.5" x14ac:dyDescent="0.2">
      <c r="B769" s="82" t="s">
        <v>2659</v>
      </c>
      <c r="C769" s="82" t="s">
        <v>1044</v>
      </c>
      <c r="D769" s="54"/>
      <c r="E769" s="83">
        <f>SUMIFS(E770:E6462,K770:K6462,"0",B770:B6462,"4 1 5 1 1 12 31111 6 M59 19000*")-SUMIFS(D770:D6462,K770:K6462,"0",B770:B6462,"4 1 5 1 1 12 31111 6 M59 19000*")</f>
        <v>0</v>
      </c>
      <c r="F769" s="83">
        <f>SUMIFS(F770:F6462,K770:K6462,"0",B770:B6462,"4 1 5 1 1 12 31111 6 M59 19000*")</f>
        <v>0</v>
      </c>
      <c r="G769" s="83">
        <f>SUMIFS(G770:G6462,K770:K6462,"0",B770:B6462,"4 1 5 1 1 12 31111 6 M59 19000*")</f>
        <v>117.46</v>
      </c>
      <c r="H769" s="83"/>
      <c r="I769" s="83">
        <f t="shared" si="12"/>
        <v>117.46</v>
      </c>
      <c r="K769" s="54" t="s">
        <v>15</v>
      </c>
    </row>
    <row r="770" spans="2:11" ht="16.5" x14ac:dyDescent="0.2">
      <c r="B770" s="82" t="s">
        <v>2660</v>
      </c>
      <c r="C770" s="82" t="s">
        <v>2287</v>
      </c>
      <c r="D770" s="54"/>
      <c r="E770" s="83">
        <f>SUMIFS(E771:E6462,K771:K6462,"0",B771:B6462,"4 1 5 1 1 12 31111 6 M59 19000 000000*")-SUMIFS(D771:D6462,K771:K6462,"0",B771:B6462,"4 1 5 1 1 12 31111 6 M59 19000 000000*")</f>
        <v>0</v>
      </c>
      <c r="F770" s="83">
        <f>SUMIFS(F771:F6462,K771:K6462,"0",B771:B6462,"4 1 5 1 1 12 31111 6 M59 19000 000000*")</f>
        <v>0</v>
      </c>
      <c r="G770" s="83">
        <f>SUMIFS(G771:G6462,K771:K6462,"0",B771:B6462,"4 1 5 1 1 12 31111 6 M59 19000 000000*")</f>
        <v>117.46</v>
      </c>
      <c r="H770" s="83"/>
      <c r="I770" s="83">
        <f t="shared" si="12"/>
        <v>117.46</v>
      </c>
      <c r="K770" s="54" t="s">
        <v>15</v>
      </c>
    </row>
    <row r="771" spans="2:11" ht="16.5" x14ac:dyDescent="0.2">
      <c r="B771" s="82" t="s">
        <v>2661</v>
      </c>
      <c r="C771" s="82" t="s">
        <v>2289</v>
      </c>
      <c r="D771" s="54"/>
      <c r="E771" s="83">
        <f>SUMIFS(E772:E6462,K772:K6462,"0",B772:B6462,"4 1 5 1 1 12 31111 6 M59 19000 000000 00000*")-SUMIFS(D772:D6462,K772:K6462,"0",B772:B6462,"4 1 5 1 1 12 31111 6 M59 19000 000000 00000*")</f>
        <v>0</v>
      </c>
      <c r="F771" s="83">
        <f>SUMIFS(F772:F6462,K772:K6462,"0",B772:B6462,"4 1 5 1 1 12 31111 6 M59 19000 000000 00000*")</f>
        <v>0</v>
      </c>
      <c r="G771" s="83">
        <f>SUMIFS(G772:G6462,K772:K6462,"0",B772:B6462,"4 1 5 1 1 12 31111 6 M59 19000 000000 00000*")</f>
        <v>117.46</v>
      </c>
      <c r="H771" s="83"/>
      <c r="I771" s="83">
        <f t="shared" si="12"/>
        <v>117.46</v>
      </c>
      <c r="K771" s="54" t="s">
        <v>15</v>
      </c>
    </row>
    <row r="772" spans="2:11" ht="24.75" x14ac:dyDescent="0.2">
      <c r="B772" s="82" t="s">
        <v>2662</v>
      </c>
      <c r="C772" s="82" t="s">
        <v>2291</v>
      </c>
      <c r="D772" s="54"/>
      <c r="E772" s="83">
        <f>SUMIFS(E773:E6462,K773:K6462,"0",B773:B6462,"4 1 5 1 1 12 31111 6 M59 19000 000000 00000 00000*")-SUMIFS(D773:D6462,K773:K6462,"0",B773:B6462,"4 1 5 1 1 12 31111 6 M59 19000 000000 00000 00000*")</f>
        <v>0</v>
      </c>
      <c r="F772" s="83">
        <f>SUMIFS(F773:F6462,K773:K6462,"0",B773:B6462,"4 1 5 1 1 12 31111 6 M59 19000 000000 00000 00000*")</f>
        <v>0</v>
      </c>
      <c r="G772" s="83">
        <f>SUMIFS(G773:G6462,K773:K6462,"0",B773:B6462,"4 1 5 1 1 12 31111 6 M59 19000 000000 00000 00000*")</f>
        <v>117.46</v>
      </c>
      <c r="H772" s="83"/>
      <c r="I772" s="83">
        <f t="shared" si="12"/>
        <v>117.46</v>
      </c>
      <c r="K772" s="54" t="s">
        <v>15</v>
      </c>
    </row>
    <row r="773" spans="2:11" ht="24.75" x14ac:dyDescent="0.2">
      <c r="B773" s="82" t="s">
        <v>2663</v>
      </c>
      <c r="C773" s="82" t="s">
        <v>252</v>
      </c>
      <c r="D773" s="54"/>
      <c r="E773" s="83">
        <f>SUMIFS(E774:E6462,K774:K6462,"0",B774:B6462,"4 1 5 1 1 12 31111 6 M59 19000 000000 00000 00000 00051*")-SUMIFS(D774:D6462,K774:K6462,"0",B774:B6462,"4 1 5 1 1 12 31111 6 M59 19000 000000 00000 00000 00051*")</f>
        <v>0</v>
      </c>
      <c r="F773" s="83">
        <f>SUMIFS(F774:F6462,K774:K6462,"0",B774:B6462,"4 1 5 1 1 12 31111 6 M59 19000 000000 00000 00000 00051*")</f>
        <v>0</v>
      </c>
      <c r="G773" s="83">
        <f>SUMIFS(G774:G6462,K774:K6462,"0",B774:B6462,"4 1 5 1 1 12 31111 6 M59 19000 000000 00000 00000 00051*")</f>
        <v>117.46</v>
      </c>
      <c r="H773" s="83"/>
      <c r="I773" s="83">
        <f t="shared" si="12"/>
        <v>117.46</v>
      </c>
      <c r="K773" s="54" t="s">
        <v>15</v>
      </c>
    </row>
    <row r="774" spans="2:11" ht="24.75" x14ac:dyDescent="0.2">
      <c r="B774" s="82" t="s">
        <v>2690</v>
      </c>
      <c r="C774" s="82" t="s">
        <v>1051</v>
      </c>
      <c r="D774" s="54"/>
      <c r="E774" s="83">
        <f>SUMIFS(E775:E6462,K775:K6462,"0",B775:B6462,"4 1 5 1 1 12 31111 6 M59 19000 000000 00000 00000 00051 015*")-SUMIFS(D775:D6462,K775:K6462,"0",B775:B6462,"4 1 5 1 1 12 31111 6 M59 19000 000000 00000 00000 00051 015*")</f>
        <v>0</v>
      </c>
      <c r="F774" s="83">
        <f>SUMIFS(F775:F6462,K775:K6462,"0",B775:B6462,"4 1 5 1 1 12 31111 6 M59 19000 000000 00000 00000 00051 015*")</f>
        <v>0</v>
      </c>
      <c r="G774" s="83">
        <f>SUMIFS(G775:G6462,K775:K6462,"0",B775:B6462,"4 1 5 1 1 12 31111 6 M59 19000 000000 00000 00000 00051 015*")</f>
        <v>117.46</v>
      </c>
      <c r="H774" s="83"/>
      <c r="I774" s="83">
        <f t="shared" si="12"/>
        <v>117.46</v>
      </c>
      <c r="K774" s="54" t="s">
        <v>15</v>
      </c>
    </row>
    <row r="775" spans="2:11" ht="33" x14ac:dyDescent="0.2">
      <c r="B775" s="82" t="s">
        <v>2691</v>
      </c>
      <c r="C775" s="82" t="s">
        <v>2692</v>
      </c>
      <c r="D775" s="54"/>
      <c r="E775" s="83">
        <f>SUMIFS(E776:E6462,K776:K6462,"0",B776:B6462,"4 1 5 1 1 12 31111 6 M59 19000 000000 00000 00000 00051 015 1142000*")-SUMIFS(D776:D6462,K776:K6462,"0",B776:B6462,"4 1 5 1 1 12 31111 6 M59 19000 000000 00000 00000 00051 015 1142000*")</f>
        <v>0</v>
      </c>
      <c r="F775" s="83">
        <f>SUMIFS(F776:F6462,K776:K6462,"0",B776:B6462,"4 1 5 1 1 12 31111 6 M59 19000 000000 00000 00000 00051 015 1142000*")</f>
        <v>0</v>
      </c>
      <c r="G775" s="83">
        <f>SUMIFS(G776:G6462,K776:K6462,"0",B776:B6462,"4 1 5 1 1 12 31111 6 M59 19000 000000 00000 00000 00051 015 1142000*")</f>
        <v>117.46</v>
      </c>
      <c r="H775" s="83"/>
      <c r="I775" s="83">
        <f t="shared" si="12"/>
        <v>117.46</v>
      </c>
      <c r="K775" s="54" t="s">
        <v>15</v>
      </c>
    </row>
    <row r="776" spans="2:11" ht="33" x14ac:dyDescent="0.2">
      <c r="B776" s="82" t="s">
        <v>2693</v>
      </c>
      <c r="C776" s="82" t="s">
        <v>660</v>
      </c>
      <c r="D776" s="54"/>
      <c r="E776" s="83">
        <f>SUMIFS(E777:E6462,K777:K6462,"0",B777:B6462,"4 1 5 1 1 12 31111 6 M59 19000 000000 00000 00000 00051 015 1142000 2024*")-SUMIFS(D777:D6462,K777:K6462,"0",B777:B6462,"4 1 5 1 1 12 31111 6 M59 19000 000000 00000 00000 00051 015 1142000 2024*")</f>
        <v>0</v>
      </c>
      <c r="F776" s="83">
        <f>SUMIFS(F777:F6462,K777:K6462,"0",B777:B6462,"4 1 5 1 1 12 31111 6 M59 19000 000000 00000 00000 00051 015 1142000 2024*")</f>
        <v>0</v>
      </c>
      <c r="G776" s="83">
        <f>SUMIFS(G777:G6462,K777:K6462,"0",B777:B6462,"4 1 5 1 1 12 31111 6 M59 19000 000000 00000 00000 00051 015 1142000 2024*")</f>
        <v>117.46</v>
      </c>
      <c r="H776" s="83"/>
      <c r="I776" s="83">
        <f t="shared" si="12"/>
        <v>117.46</v>
      </c>
      <c r="K776" s="54" t="s">
        <v>15</v>
      </c>
    </row>
    <row r="777" spans="2:11" ht="41.25" x14ac:dyDescent="0.2">
      <c r="B777" s="82" t="s">
        <v>2694</v>
      </c>
      <c r="C777" s="82" t="s">
        <v>2298</v>
      </c>
      <c r="D777" s="54"/>
      <c r="E777" s="83">
        <f>SUMIFS(E778:E6462,K778:K6462,"0",B778:B6462,"4 1 5 1 1 12 31111 6 M59 19000 000000 00000 00000 00051 015 1142000 2024 00000000*")-SUMIFS(D778:D6462,K778:K6462,"0",B778:B6462,"4 1 5 1 1 12 31111 6 M59 19000 000000 00000 00000 00051 015 1142000 2024 00000000*")</f>
        <v>0</v>
      </c>
      <c r="F777" s="83">
        <f>SUMIFS(F778:F6462,K778:K6462,"0",B778:B6462,"4 1 5 1 1 12 31111 6 M59 19000 000000 00000 00000 00051 015 1142000 2024 00000000*")</f>
        <v>0</v>
      </c>
      <c r="G777" s="83">
        <f>SUMIFS(G778:G6462,K778:K6462,"0",B778:B6462,"4 1 5 1 1 12 31111 6 M59 19000 000000 00000 00000 00051 015 1142000 2024 00000000*")</f>
        <v>117.46</v>
      </c>
      <c r="H777" s="83"/>
      <c r="I777" s="83">
        <f t="shared" si="12"/>
        <v>117.46</v>
      </c>
      <c r="K777" s="54" t="s">
        <v>15</v>
      </c>
    </row>
    <row r="778" spans="2:11" ht="41.25" x14ac:dyDescent="0.2">
      <c r="B778" s="82" t="s">
        <v>2695</v>
      </c>
      <c r="C778" s="82" t="s">
        <v>282</v>
      </c>
      <c r="D778" s="54"/>
      <c r="E778" s="83">
        <f>SUMIFS(E779:E6462,K779:K6462,"0",B779:B6462,"4 1 5 1 1 12 31111 6 M59 19000 000000 00000 00000 00051 015 1142000 2024 00000000 001*")-SUMIFS(D779:D6462,K779:K6462,"0",B779:B6462,"4 1 5 1 1 12 31111 6 M59 19000 000000 00000 00000 00051 015 1142000 2024 00000000 001*")</f>
        <v>0</v>
      </c>
      <c r="F778" s="83">
        <f>SUMIFS(F779:F6462,K779:K6462,"0",B779:B6462,"4 1 5 1 1 12 31111 6 M59 19000 000000 00000 00000 00051 015 1142000 2024 00000000 001*")</f>
        <v>0</v>
      </c>
      <c r="G778" s="83">
        <f>SUMIFS(G779:G6462,K779:K6462,"0",B779:B6462,"4 1 5 1 1 12 31111 6 M59 19000 000000 00000 00000 00051 015 1142000 2024 00000000 001*")</f>
        <v>117.46</v>
      </c>
      <c r="H778" s="83"/>
      <c r="I778" s="83">
        <f t="shared" si="12"/>
        <v>117.46</v>
      </c>
      <c r="K778" s="54" t="s">
        <v>15</v>
      </c>
    </row>
    <row r="779" spans="2:11" ht="49.5" x14ac:dyDescent="0.2">
      <c r="B779" s="82" t="s">
        <v>2696</v>
      </c>
      <c r="C779" s="82" t="s">
        <v>2697</v>
      </c>
      <c r="D779" s="54"/>
      <c r="E779" s="83">
        <f>SUMIFS(E780:E6462,K780:K6462,"0",B780:B6462,"4 1 5 1 1 12 31111 6 M59 19000 000000 00000 00000 00051 015 1142000 2024 00000000 001 0000001*")-SUMIFS(D780:D6462,K780:K6462,"0",B780:B6462,"4 1 5 1 1 12 31111 6 M59 19000 000000 00000 00000 00051 015 1142000 2024 00000000 001 0000001*")</f>
        <v>0</v>
      </c>
      <c r="F779" s="83">
        <f>SUMIFS(F780:F6462,K780:K6462,"0",B780:B6462,"4 1 5 1 1 12 31111 6 M59 19000 000000 00000 00000 00051 015 1142000 2024 00000000 001 0000001*")</f>
        <v>0</v>
      </c>
      <c r="G779" s="83">
        <f>SUMIFS(G780:G6462,K780:K6462,"0",B780:B6462,"4 1 5 1 1 12 31111 6 M59 19000 000000 00000 00000 00051 015 1142000 2024 00000000 001 0000001*")</f>
        <v>117.46</v>
      </c>
      <c r="H779" s="83"/>
      <c r="I779" s="83">
        <f t="shared" si="12"/>
        <v>117.46</v>
      </c>
      <c r="K779" s="54" t="s">
        <v>15</v>
      </c>
    </row>
    <row r="780" spans="2:11" ht="41.25" x14ac:dyDescent="0.2">
      <c r="B780" s="84" t="s">
        <v>2698</v>
      </c>
      <c r="C780" s="84" t="s">
        <v>2699</v>
      </c>
      <c r="D780" s="85"/>
      <c r="E780" s="85">
        <v>0</v>
      </c>
      <c r="F780" s="85">
        <v>0</v>
      </c>
      <c r="G780" s="85">
        <v>117.46</v>
      </c>
      <c r="H780" s="85"/>
      <c r="I780" s="85">
        <f t="shared" si="12"/>
        <v>117.46</v>
      </c>
      <c r="K780" s="54" t="s">
        <v>38</v>
      </c>
    </row>
    <row r="781" spans="2:11" ht="82.5" x14ac:dyDescent="0.2">
      <c r="B781" s="82" t="s">
        <v>2772</v>
      </c>
      <c r="C781" s="82" t="s">
        <v>2773</v>
      </c>
      <c r="D781" s="54"/>
      <c r="E781" s="83">
        <f>SUMIFS(E782:E6462,K782:K6462,"0",B782:B6462,"4 2*")-SUMIFS(D782:D6462,K782:K6462,"0",B782:B6462,"4 2*")</f>
        <v>0</v>
      </c>
      <c r="F781" s="83">
        <f>SUMIFS(F782:F6462,K782:K6462,"0",B782:B6462,"4 2*")</f>
        <v>0</v>
      </c>
      <c r="G781" s="83">
        <f>SUMIFS(G782:G6462,K782:K6462,"0",B782:B6462,"4 2*")</f>
        <v>109025128.16000001</v>
      </c>
      <c r="H781" s="83"/>
      <c r="I781" s="83">
        <f t="shared" si="12"/>
        <v>109025128.16000001</v>
      </c>
      <c r="K781" s="54" t="s">
        <v>15</v>
      </c>
    </row>
    <row r="782" spans="2:11" ht="49.5" x14ac:dyDescent="0.2">
      <c r="B782" s="82" t="s">
        <v>2774</v>
      </c>
      <c r="C782" s="82" t="s">
        <v>2775</v>
      </c>
      <c r="D782" s="54"/>
      <c r="E782" s="83">
        <f>SUMIFS(E783:E6462,K783:K6462,"0",B783:B6462,"4 2 1*")-SUMIFS(D783:D6462,K783:K6462,"0",B783:B6462,"4 2 1*")</f>
        <v>0</v>
      </c>
      <c r="F782" s="83">
        <f>SUMIFS(F783:F6462,K783:K6462,"0",B783:B6462,"4 2 1*")</f>
        <v>0</v>
      </c>
      <c r="G782" s="83">
        <f>SUMIFS(G783:G6462,K783:K6462,"0",B783:B6462,"4 2 1*")</f>
        <v>109025128.16000001</v>
      </c>
      <c r="H782" s="83"/>
      <c r="I782" s="83">
        <f t="shared" si="12"/>
        <v>109025128.16000001</v>
      </c>
      <c r="K782" s="54" t="s">
        <v>15</v>
      </c>
    </row>
    <row r="783" spans="2:11" ht="12.75" x14ac:dyDescent="0.2">
      <c r="B783" s="82" t="s">
        <v>2776</v>
      </c>
      <c r="C783" s="82" t="s">
        <v>2777</v>
      </c>
      <c r="D783" s="54"/>
      <c r="E783" s="83">
        <f>SUMIFS(E784:E6462,K784:K6462,"0",B784:B6462,"4 2 1 1*")-SUMIFS(D784:D6462,K784:K6462,"0",B784:B6462,"4 2 1 1*")</f>
        <v>0</v>
      </c>
      <c r="F783" s="83">
        <f>SUMIFS(F784:F6462,K784:K6462,"0",B784:B6462,"4 2 1 1*")</f>
        <v>0</v>
      </c>
      <c r="G783" s="83">
        <f>SUMIFS(G784:G6462,K784:K6462,"0",B784:B6462,"4 2 1 1*")</f>
        <v>109025128.16000001</v>
      </c>
      <c r="H783" s="83"/>
      <c r="I783" s="83">
        <f t="shared" si="12"/>
        <v>109025128.16000001</v>
      </c>
      <c r="K783" s="54" t="s">
        <v>15</v>
      </c>
    </row>
    <row r="784" spans="2:11" ht="12.75" x14ac:dyDescent="0.2">
      <c r="B784" s="82" t="s">
        <v>2778</v>
      </c>
      <c r="C784" s="82" t="s">
        <v>2777</v>
      </c>
      <c r="D784" s="54"/>
      <c r="E784" s="83">
        <f>SUMIFS(E785:E6462,K785:K6462,"0",B785:B6462,"4 2 1 1 1*")-SUMIFS(D785:D6462,K785:K6462,"0",B785:B6462,"4 2 1 1 1*")</f>
        <v>0</v>
      </c>
      <c r="F784" s="83">
        <f>SUMIFS(F785:F6462,K785:K6462,"0",B785:B6462,"4 2 1 1 1*")</f>
        <v>0</v>
      </c>
      <c r="G784" s="83">
        <f>SUMIFS(G785:G6462,K785:K6462,"0",B785:B6462,"4 2 1 1 1*")</f>
        <v>109025128.16000001</v>
      </c>
      <c r="H784" s="83"/>
      <c r="I784" s="83">
        <f t="shared" si="12"/>
        <v>109025128.16000001</v>
      </c>
      <c r="K784" s="54" t="s">
        <v>15</v>
      </c>
    </row>
    <row r="785" spans="2:11" ht="12.75" x14ac:dyDescent="0.2">
      <c r="B785" s="82" t="s">
        <v>2779</v>
      </c>
      <c r="C785" s="82" t="s">
        <v>26</v>
      </c>
      <c r="D785" s="54"/>
      <c r="E785" s="83">
        <f>SUMIFS(E786:E6462,K786:K6462,"0",B786:B6462,"4 2 1 1 1 12*")-SUMIFS(D786:D6462,K786:K6462,"0",B786:B6462,"4 2 1 1 1 12*")</f>
        <v>0</v>
      </c>
      <c r="F785" s="83">
        <f>SUMIFS(F786:F6462,K786:K6462,"0",B786:B6462,"4 2 1 1 1 12*")</f>
        <v>0</v>
      </c>
      <c r="G785" s="83">
        <f>SUMIFS(G786:G6462,K786:K6462,"0",B786:B6462,"4 2 1 1 1 12*")</f>
        <v>109025128.16000001</v>
      </c>
      <c r="H785" s="83"/>
      <c r="I785" s="83">
        <f t="shared" si="12"/>
        <v>109025128.16000001</v>
      </c>
      <c r="K785" s="54" t="s">
        <v>15</v>
      </c>
    </row>
    <row r="786" spans="2:11" ht="16.5" x14ac:dyDescent="0.2">
      <c r="B786" s="82" t="s">
        <v>2780</v>
      </c>
      <c r="C786" s="82" t="s">
        <v>28</v>
      </c>
      <c r="D786" s="54"/>
      <c r="E786" s="83">
        <f>SUMIFS(E787:E6462,K787:K6462,"0",B787:B6462,"4 2 1 1 1 12 31111*")-SUMIFS(D787:D6462,K787:K6462,"0",B787:B6462,"4 2 1 1 1 12 31111*")</f>
        <v>0</v>
      </c>
      <c r="F786" s="83">
        <f>SUMIFS(F787:F6462,K787:K6462,"0",B787:B6462,"4 2 1 1 1 12 31111*")</f>
        <v>0</v>
      </c>
      <c r="G786" s="83">
        <f>SUMIFS(G787:G6462,K787:K6462,"0",B787:B6462,"4 2 1 1 1 12 31111*")</f>
        <v>109025128.16000001</v>
      </c>
      <c r="H786" s="83"/>
      <c r="I786" s="83">
        <f t="shared" si="12"/>
        <v>109025128.16000001</v>
      </c>
      <c r="K786" s="54" t="s">
        <v>15</v>
      </c>
    </row>
    <row r="787" spans="2:11" ht="12.75" x14ac:dyDescent="0.2">
      <c r="B787" s="82" t="s">
        <v>2781</v>
      </c>
      <c r="C787" s="82" t="s">
        <v>30</v>
      </c>
      <c r="D787" s="54"/>
      <c r="E787" s="83">
        <f>SUMIFS(E788:E6462,K788:K6462,"0",B788:B6462,"4 2 1 1 1 12 31111 6*")-SUMIFS(D788:D6462,K788:K6462,"0",B788:B6462,"4 2 1 1 1 12 31111 6*")</f>
        <v>0</v>
      </c>
      <c r="F787" s="83">
        <f>SUMIFS(F788:F6462,K788:K6462,"0",B788:B6462,"4 2 1 1 1 12 31111 6*")</f>
        <v>0</v>
      </c>
      <c r="G787" s="83">
        <f>SUMIFS(G788:G6462,K788:K6462,"0",B788:B6462,"4 2 1 1 1 12 31111 6*")</f>
        <v>109025128.16000001</v>
      </c>
      <c r="H787" s="83"/>
      <c r="I787" s="83">
        <f t="shared" si="12"/>
        <v>109025128.16000001</v>
      </c>
      <c r="K787" s="54" t="s">
        <v>15</v>
      </c>
    </row>
    <row r="788" spans="2:11" ht="12.75" x14ac:dyDescent="0.2">
      <c r="B788" s="82" t="s">
        <v>2782</v>
      </c>
      <c r="C788" s="82" t="s">
        <v>140</v>
      </c>
      <c r="D788" s="54"/>
      <c r="E788" s="83">
        <f>SUMIFS(E789:E6462,K789:K6462,"0",B789:B6462,"4 2 1 1 1 12 31111 6 M59*")-SUMIFS(D789:D6462,K789:K6462,"0",B789:B6462,"4 2 1 1 1 12 31111 6 M59*")</f>
        <v>0</v>
      </c>
      <c r="F788" s="83">
        <f>SUMIFS(F789:F6462,K789:K6462,"0",B789:B6462,"4 2 1 1 1 12 31111 6 M59*")</f>
        <v>0</v>
      </c>
      <c r="G788" s="83">
        <f>SUMIFS(G789:G6462,K789:K6462,"0",B789:B6462,"4 2 1 1 1 12 31111 6 M59*")</f>
        <v>109025128.16000001</v>
      </c>
      <c r="H788" s="83"/>
      <c r="I788" s="83">
        <f t="shared" si="12"/>
        <v>109025128.16000001</v>
      </c>
      <c r="K788" s="54" t="s">
        <v>15</v>
      </c>
    </row>
    <row r="789" spans="2:11" ht="16.5" x14ac:dyDescent="0.2">
      <c r="B789" s="82" t="s">
        <v>2783</v>
      </c>
      <c r="C789" s="82" t="s">
        <v>1044</v>
      </c>
      <c r="D789" s="54"/>
      <c r="E789" s="83">
        <f>SUMIFS(E790:E6462,K790:K6462,"0",B790:B6462,"4 2 1 1 1 12 31111 6 M59 19000*")-SUMIFS(D790:D6462,K790:K6462,"0",B790:B6462,"4 2 1 1 1 12 31111 6 M59 19000*")</f>
        <v>0</v>
      </c>
      <c r="F789" s="83">
        <f>SUMIFS(F790:F6462,K790:K6462,"0",B790:B6462,"4 2 1 1 1 12 31111 6 M59 19000*")</f>
        <v>0</v>
      </c>
      <c r="G789" s="83">
        <f>SUMIFS(G790:G6462,K790:K6462,"0",B790:B6462,"4 2 1 1 1 12 31111 6 M59 19000*")</f>
        <v>109025128.16000001</v>
      </c>
      <c r="H789" s="83"/>
      <c r="I789" s="83">
        <f t="shared" si="12"/>
        <v>109025128.16000001</v>
      </c>
      <c r="K789" s="54" t="s">
        <v>15</v>
      </c>
    </row>
    <row r="790" spans="2:11" ht="16.5" x14ac:dyDescent="0.2">
      <c r="B790" s="82" t="s">
        <v>2784</v>
      </c>
      <c r="C790" s="82" t="s">
        <v>2287</v>
      </c>
      <c r="D790" s="54"/>
      <c r="E790" s="83">
        <f>SUMIFS(E791:E6462,K791:K6462,"0",B791:B6462,"4 2 1 1 1 12 31111 6 M59 19000 000000*")-SUMIFS(D791:D6462,K791:K6462,"0",B791:B6462,"4 2 1 1 1 12 31111 6 M59 19000 000000*")</f>
        <v>0</v>
      </c>
      <c r="F790" s="83">
        <f>SUMIFS(F791:F6462,K791:K6462,"0",B791:B6462,"4 2 1 1 1 12 31111 6 M59 19000 000000*")</f>
        <v>0</v>
      </c>
      <c r="G790" s="83">
        <f>SUMIFS(G791:G6462,K791:K6462,"0",B791:B6462,"4 2 1 1 1 12 31111 6 M59 19000 000000*")</f>
        <v>109025128.16000001</v>
      </c>
      <c r="H790" s="83"/>
      <c r="I790" s="83">
        <f t="shared" si="12"/>
        <v>109025128.16000001</v>
      </c>
      <c r="K790" s="54" t="s">
        <v>15</v>
      </c>
    </row>
    <row r="791" spans="2:11" ht="16.5" x14ac:dyDescent="0.2">
      <c r="B791" s="82" t="s">
        <v>2785</v>
      </c>
      <c r="C791" s="82" t="s">
        <v>2289</v>
      </c>
      <c r="D791" s="54"/>
      <c r="E791" s="83">
        <f>SUMIFS(E792:E6462,K792:K6462,"0",B792:B6462,"4 2 1 1 1 12 31111 6 M59 19000 000000 00000*")-SUMIFS(D792:D6462,K792:K6462,"0",B792:B6462,"4 2 1 1 1 12 31111 6 M59 19000 000000 00000*")</f>
        <v>0</v>
      </c>
      <c r="F791" s="83">
        <f>SUMIFS(F792:F6462,K792:K6462,"0",B792:B6462,"4 2 1 1 1 12 31111 6 M59 19000 000000 00000*")</f>
        <v>0</v>
      </c>
      <c r="G791" s="83">
        <f>SUMIFS(G792:G6462,K792:K6462,"0",B792:B6462,"4 2 1 1 1 12 31111 6 M59 19000 000000 00000*")</f>
        <v>109025128.16000001</v>
      </c>
      <c r="H791" s="83"/>
      <c r="I791" s="83">
        <f t="shared" si="12"/>
        <v>109025128.16000001</v>
      </c>
      <c r="K791" s="54" t="s">
        <v>15</v>
      </c>
    </row>
    <row r="792" spans="2:11" ht="24.75" x14ac:dyDescent="0.2">
      <c r="B792" s="82" t="s">
        <v>2786</v>
      </c>
      <c r="C792" s="82" t="s">
        <v>2291</v>
      </c>
      <c r="D792" s="54"/>
      <c r="E792" s="83">
        <f>SUMIFS(E793:E6462,K793:K6462,"0",B793:B6462,"4 2 1 1 1 12 31111 6 M59 19000 000000 00000 00000*")-SUMIFS(D793:D6462,K793:K6462,"0",B793:B6462,"4 2 1 1 1 12 31111 6 M59 19000 000000 00000 00000*")</f>
        <v>0</v>
      </c>
      <c r="F792" s="83">
        <f>SUMIFS(F793:F6462,K793:K6462,"0",B793:B6462,"4 2 1 1 1 12 31111 6 M59 19000 000000 00000 00000*")</f>
        <v>0</v>
      </c>
      <c r="G792" s="83">
        <f>SUMIFS(G793:G6462,K793:K6462,"0",B793:B6462,"4 2 1 1 1 12 31111 6 M59 19000 000000 00000 00000*")</f>
        <v>109025128.16000001</v>
      </c>
      <c r="H792" s="83"/>
      <c r="I792" s="83">
        <f t="shared" si="12"/>
        <v>109025128.16000001</v>
      </c>
      <c r="K792" s="54" t="s">
        <v>15</v>
      </c>
    </row>
    <row r="793" spans="2:11" ht="24.75" x14ac:dyDescent="0.2">
      <c r="B793" s="82" t="s">
        <v>2787</v>
      </c>
      <c r="C793" s="82" t="s">
        <v>2777</v>
      </c>
      <c r="D793" s="54"/>
      <c r="E793" s="83">
        <f>SUMIFS(E794:E6462,K794:K6462,"0",B794:B6462,"4 2 1 1 1 12 31111 6 M59 19000 000000 00000 00000 00081*")-SUMIFS(D794:D6462,K794:K6462,"0",B794:B6462,"4 2 1 1 1 12 31111 6 M59 19000 000000 00000 00000 00081*")</f>
        <v>0</v>
      </c>
      <c r="F793" s="83">
        <f>SUMIFS(F794:F6462,K794:K6462,"0",B794:B6462,"4 2 1 1 1 12 31111 6 M59 19000 000000 00000 00000 00081*")</f>
        <v>0</v>
      </c>
      <c r="G793" s="83">
        <f>SUMIFS(G794:G6462,K794:K6462,"0",B794:B6462,"4 2 1 1 1 12 31111 6 M59 19000 000000 00000 00000 00081*")</f>
        <v>109025128.16000001</v>
      </c>
      <c r="H793" s="83"/>
      <c r="I793" s="83">
        <f t="shared" si="12"/>
        <v>109025128.16000001</v>
      </c>
      <c r="K793" s="54" t="s">
        <v>15</v>
      </c>
    </row>
    <row r="794" spans="2:11" ht="24.75" x14ac:dyDescent="0.2">
      <c r="B794" s="82" t="s">
        <v>2788</v>
      </c>
      <c r="C794" s="82" t="s">
        <v>1051</v>
      </c>
      <c r="D794" s="54"/>
      <c r="E794" s="83">
        <f>SUMIFS(E795:E6462,K795:K6462,"0",B795:B6462,"4 2 1 1 1 12 31111 6 M59 19000 000000 00000 00000 00081 015*")-SUMIFS(D795:D6462,K795:K6462,"0",B795:B6462,"4 2 1 1 1 12 31111 6 M59 19000 000000 00000 00000 00081 015*")</f>
        <v>0</v>
      </c>
      <c r="F794" s="83">
        <f>SUMIFS(F795:F6462,K795:K6462,"0",B795:B6462,"4 2 1 1 1 12 31111 6 M59 19000 000000 00000 00000 00081 015*")</f>
        <v>0</v>
      </c>
      <c r="G794" s="83">
        <f>SUMIFS(G795:G6462,K795:K6462,"0",B795:B6462,"4 2 1 1 1 12 31111 6 M59 19000 000000 00000 00000 00081 015*")</f>
        <v>109025128.16000001</v>
      </c>
      <c r="H794" s="83"/>
      <c r="I794" s="83">
        <f t="shared" si="12"/>
        <v>109025128.16000001</v>
      </c>
      <c r="K794" s="54" t="s">
        <v>15</v>
      </c>
    </row>
    <row r="795" spans="2:11" ht="33" x14ac:dyDescent="0.2">
      <c r="B795" s="82" t="s">
        <v>2789</v>
      </c>
      <c r="C795" s="82" t="s">
        <v>2777</v>
      </c>
      <c r="D795" s="54"/>
      <c r="E795" s="83">
        <f>SUMIFS(E796:E6462,K796:K6462,"0",B796:B6462,"4 2 1 1 1 12 31111 6 M59 19000 000000 00000 00000 00081 015 1190000*")-SUMIFS(D796:D6462,K796:K6462,"0",B796:B6462,"4 2 1 1 1 12 31111 6 M59 19000 000000 00000 00000 00081 015 1190000*")</f>
        <v>0</v>
      </c>
      <c r="F795" s="83">
        <f>SUMIFS(F796:F6462,K796:K6462,"0",B796:B6462,"4 2 1 1 1 12 31111 6 M59 19000 000000 00000 00000 00081 015 1190000*")</f>
        <v>0</v>
      </c>
      <c r="G795" s="83">
        <f>SUMIFS(G796:G6462,K796:K6462,"0",B796:B6462,"4 2 1 1 1 12 31111 6 M59 19000 000000 00000 00000 00081 015 1190000*")</f>
        <v>109025128.16000001</v>
      </c>
      <c r="H795" s="83"/>
      <c r="I795" s="83">
        <f t="shared" si="12"/>
        <v>109025128.16000001</v>
      </c>
      <c r="K795" s="54" t="s">
        <v>15</v>
      </c>
    </row>
    <row r="796" spans="2:11" ht="33" x14ac:dyDescent="0.2">
      <c r="B796" s="82" t="s">
        <v>2790</v>
      </c>
      <c r="C796" s="82" t="s">
        <v>660</v>
      </c>
      <c r="D796" s="54"/>
      <c r="E796" s="83">
        <f>SUMIFS(E797:E6462,K797:K6462,"0",B797:B6462,"4 2 1 1 1 12 31111 6 M59 19000 000000 00000 00000 00081 015 1190000 2024*")-SUMIFS(D797:D6462,K797:K6462,"0",B797:B6462,"4 2 1 1 1 12 31111 6 M59 19000 000000 00000 00000 00081 015 1190000 2024*")</f>
        <v>0</v>
      </c>
      <c r="F796" s="83">
        <f>SUMIFS(F797:F6462,K797:K6462,"0",B797:B6462,"4 2 1 1 1 12 31111 6 M59 19000 000000 00000 00000 00081 015 1190000 2024*")</f>
        <v>0</v>
      </c>
      <c r="G796" s="83">
        <f>SUMIFS(G797:G6462,K797:K6462,"0",B797:B6462,"4 2 1 1 1 12 31111 6 M59 19000 000000 00000 00000 00081 015 1190000 2024*")</f>
        <v>109025128.16000001</v>
      </c>
      <c r="H796" s="83"/>
      <c r="I796" s="83">
        <f t="shared" si="12"/>
        <v>109025128.16000001</v>
      </c>
      <c r="K796" s="54" t="s">
        <v>15</v>
      </c>
    </row>
    <row r="797" spans="2:11" ht="41.25" x14ac:dyDescent="0.2">
      <c r="B797" s="82" t="s">
        <v>2791</v>
      </c>
      <c r="C797" s="82" t="s">
        <v>2298</v>
      </c>
      <c r="D797" s="54"/>
      <c r="E797" s="83">
        <f>SUMIFS(E798:E6462,K798:K6462,"0",B798:B6462,"4 2 1 1 1 12 31111 6 M59 19000 000000 00000 00000 00081 015 1190000 2024 00000000*")-SUMIFS(D798:D6462,K798:K6462,"0",B798:B6462,"4 2 1 1 1 12 31111 6 M59 19000 000000 00000 00000 00081 015 1190000 2024 00000000*")</f>
        <v>0</v>
      </c>
      <c r="F797" s="83">
        <f>SUMIFS(F798:F6462,K798:K6462,"0",B798:B6462,"4 2 1 1 1 12 31111 6 M59 19000 000000 00000 00000 00081 015 1190000 2024 00000000*")</f>
        <v>0</v>
      </c>
      <c r="G797" s="83">
        <f>SUMIFS(G798:G6462,K798:K6462,"0",B798:B6462,"4 2 1 1 1 12 31111 6 M59 19000 000000 00000 00000 00081 015 1190000 2024 00000000*")</f>
        <v>109025128.16000001</v>
      </c>
      <c r="H797" s="83"/>
      <c r="I797" s="83">
        <f t="shared" si="12"/>
        <v>109025128.16000001</v>
      </c>
      <c r="K797" s="54" t="s">
        <v>15</v>
      </c>
    </row>
    <row r="798" spans="2:11" ht="41.25" x14ac:dyDescent="0.2">
      <c r="B798" s="82" t="s">
        <v>2792</v>
      </c>
      <c r="C798" s="82" t="s">
        <v>282</v>
      </c>
      <c r="D798" s="54"/>
      <c r="E798" s="83">
        <f>SUMIFS(E799:E6462,K799:K6462,"0",B799:B6462,"4 2 1 1 1 12 31111 6 M59 19000 000000 00000 00000 00081 015 1190000 2024 00000000 001*")-SUMIFS(D799:D6462,K799:K6462,"0",B799:B6462,"4 2 1 1 1 12 31111 6 M59 19000 000000 00000 00000 00081 015 1190000 2024 00000000 001*")</f>
        <v>0</v>
      </c>
      <c r="F798" s="83">
        <f>SUMIFS(F799:F6462,K799:K6462,"0",B799:B6462,"4 2 1 1 1 12 31111 6 M59 19000 000000 00000 00000 00081 015 1190000 2024 00000000 001*")</f>
        <v>0</v>
      </c>
      <c r="G798" s="83">
        <f>SUMIFS(G799:G6462,K799:K6462,"0",B799:B6462,"4 2 1 1 1 12 31111 6 M59 19000 000000 00000 00000 00081 015 1190000 2024 00000000 001*")</f>
        <v>109025128.16000001</v>
      </c>
      <c r="H798" s="83"/>
      <c r="I798" s="83">
        <f t="shared" si="12"/>
        <v>109025128.16000001</v>
      </c>
      <c r="K798" s="54" t="s">
        <v>15</v>
      </c>
    </row>
    <row r="799" spans="2:11" ht="49.5" x14ac:dyDescent="0.2">
      <c r="B799" s="82" t="s">
        <v>2793</v>
      </c>
      <c r="C799" s="82" t="s">
        <v>2794</v>
      </c>
      <c r="D799" s="54"/>
      <c r="E799" s="83">
        <f>SUMIFS(E800:E6462,K800:K6462,"0",B800:B6462,"4 2 1 1 1 12 31111 6 M59 19000 000000 00000 00000 00081 015 1190000 2024 00000000 001 0000001*")-SUMIFS(D800:D6462,K800:K6462,"0",B800:B6462,"4 2 1 1 1 12 31111 6 M59 19000 000000 00000 00000 00081 015 1190000 2024 00000000 001 0000001*")</f>
        <v>0</v>
      </c>
      <c r="F799" s="83">
        <f>SUMIFS(F800:F6462,K800:K6462,"0",B800:B6462,"4 2 1 1 1 12 31111 6 M59 19000 000000 00000 00000 00081 015 1190000 2024 00000000 001 0000001*")</f>
        <v>0</v>
      </c>
      <c r="G799" s="83">
        <f>SUMIFS(G800:G6462,K800:K6462,"0",B800:B6462,"4 2 1 1 1 12 31111 6 M59 19000 000000 00000 00000 00081 015 1190000 2024 00000000 001 0000001*")</f>
        <v>109025128.16000001</v>
      </c>
      <c r="H799" s="83"/>
      <c r="I799" s="83">
        <f t="shared" si="12"/>
        <v>109025128.16000001</v>
      </c>
      <c r="K799" s="54" t="s">
        <v>15</v>
      </c>
    </row>
    <row r="800" spans="2:11" ht="41.25" x14ac:dyDescent="0.2">
      <c r="B800" s="84" t="s">
        <v>2795</v>
      </c>
      <c r="C800" s="84" t="s">
        <v>2796</v>
      </c>
      <c r="D800" s="85"/>
      <c r="E800" s="85">
        <v>0</v>
      </c>
      <c r="F800" s="85">
        <v>0</v>
      </c>
      <c r="G800" s="85">
        <v>86652089.480000004</v>
      </c>
      <c r="H800" s="85"/>
      <c r="I800" s="85">
        <f t="shared" si="12"/>
        <v>86652089.480000004</v>
      </c>
      <c r="K800" s="54" t="s">
        <v>38</v>
      </c>
    </row>
    <row r="801" spans="2:11" ht="41.25" x14ac:dyDescent="0.2">
      <c r="B801" s="84" t="s">
        <v>2797</v>
      </c>
      <c r="C801" s="84" t="s">
        <v>2798</v>
      </c>
      <c r="D801" s="85"/>
      <c r="E801" s="85">
        <v>0</v>
      </c>
      <c r="F801" s="85">
        <v>0</v>
      </c>
      <c r="G801" s="85">
        <v>15783791.93</v>
      </c>
      <c r="H801" s="85"/>
      <c r="I801" s="85">
        <f t="shared" si="12"/>
        <v>15783791.93</v>
      </c>
      <c r="K801" s="54" t="s">
        <v>38</v>
      </c>
    </row>
    <row r="802" spans="2:11" ht="41.25" x14ac:dyDescent="0.2">
      <c r="B802" s="84" t="s">
        <v>2799</v>
      </c>
      <c r="C802" s="84" t="s">
        <v>2800</v>
      </c>
      <c r="D802" s="85"/>
      <c r="E802" s="85">
        <v>0</v>
      </c>
      <c r="F802" s="85">
        <v>0</v>
      </c>
      <c r="G802" s="85">
        <v>3879070.59</v>
      </c>
      <c r="H802" s="85"/>
      <c r="I802" s="85">
        <f t="shared" si="12"/>
        <v>3879070.59</v>
      </c>
      <c r="K802" s="54" t="s">
        <v>38</v>
      </c>
    </row>
    <row r="803" spans="2:11" ht="41.25" x14ac:dyDescent="0.2">
      <c r="B803" s="84" t="s">
        <v>2801</v>
      </c>
      <c r="C803" s="84" t="s">
        <v>2802</v>
      </c>
      <c r="D803" s="85"/>
      <c r="E803" s="85">
        <v>0</v>
      </c>
      <c r="F803" s="85">
        <v>0</v>
      </c>
      <c r="G803" s="85">
        <v>246995.77</v>
      </c>
      <c r="H803" s="85"/>
      <c r="I803" s="85">
        <f t="shared" si="12"/>
        <v>246995.77</v>
      </c>
      <c r="K803" s="54" t="s">
        <v>38</v>
      </c>
    </row>
    <row r="804" spans="2:11" ht="41.25" x14ac:dyDescent="0.2">
      <c r="B804" s="84" t="s">
        <v>2803</v>
      </c>
      <c r="C804" s="84" t="s">
        <v>2804</v>
      </c>
      <c r="D804" s="85"/>
      <c r="E804" s="85">
        <v>0</v>
      </c>
      <c r="F804" s="85">
        <v>0</v>
      </c>
      <c r="G804" s="85">
        <v>1491800</v>
      </c>
      <c r="H804" s="85"/>
      <c r="I804" s="85">
        <f t="shared" si="12"/>
        <v>1491800</v>
      </c>
      <c r="K804" s="54" t="s">
        <v>38</v>
      </c>
    </row>
    <row r="805" spans="2:11" ht="41.25" x14ac:dyDescent="0.2">
      <c r="B805" s="84" t="s">
        <v>2805</v>
      </c>
      <c r="C805" s="84" t="s">
        <v>2806</v>
      </c>
      <c r="D805" s="85"/>
      <c r="E805" s="85">
        <v>0</v>
      </c>
      <c r="F805" s="85">
        <v>0</v>
      </c>
      <c r="G805" s="85">
        <v>604304.65</v>
      </c>
      <c r="H805" s="85"/>
      <c r="I805" s="85">
        <f t="shared" si="12"/>
        <v>604304.65</v>
      </c>
      <c r="K805" s="54" t="s">
        <v>38</v>
      </c>
    </row>
    <row r="806" spans="2:11" ht="41.25" x14ac:dyDescent="0.2">
      <c r="B806" s="84" t="s">
        <v>2807</v>
      </c>
      <c r="C806" s="84" t="s">
        <v>2808</v>
      </c>
      <c r="D806" s="85"/>
      <c r="E806" s="85">
        <v>0</v>
      </c>
      <c r="F806" s="85">
        <v>0</v>
      </c>
      <c r="G806" s="85">
        <v>124225.97</v>
      </c>
      <c r="H806" s="85"/>
      <c r="I806" s="85">
        <f t="shared" si="12"/>
        <v>124225.97</v>
      </c>
      <c r="K806" s="54" t="s">
        <v>38</v>
      </c>
    </row>
    <row r="807" spans="2:11" ht="41.25" x14ac:dyDescent="0.2">
      <c r="B807" s="84" t="s">
        <v>2809</v>
      </c>
      <c r="C807" s="84" t="s">
        <v>2810</v>
      </c>
      <c r="D807" s="85"/>
      <c r="E807" s="85">
        <v>0</v>
      </c>
      <c r="F807" s="85">
        <v>0</v>
      </c>
      <c r="G807" s="85">
        <v>114778.42</v>
      </c>
      <c r="H807" s="85"/>
      <c r="I807" s="85">
        <f t="shared" si="12"/>
        <v>114778.42</v>
      </c>
      <c r="K807" s="54" t="s">
        <v>38</v>
      </c>
    </row>
    <row r="808" spans="2:11" ht="41.25" x14ac:dyDescent="0.2">
      <c r="B808" s="84" t="s">
        <v>2811</v>
      </c>
      <c r="C808" s="84" t="s">
        <v>2812</v>
      </c>
      <c r="D808" s="85"/>
      <c r="E808" s="85">
        <v>0</v>
      </c>
      <c r="F808" s="85">
        <v>0</v>
      </c>
      <c r="G808" s="85">
        <v>77439.179999999993</v>
      </c>
      <c r="H808" s="85"/>
      <c r="I808" s="85">
        <f t="shared" si="12"/>
        <v>77439.179999999993</v>
      </c>
      <c r="K808" s="54" t="s">
        <v>38</v>
      </c>
    </row>
    <row r="809" spans="2:11" ht="41.25" x14ac:dyDescent="0.2">
      <c r="B809" s="84" t="s">
        <v>2813</v>
      </c>
      <c r="C809" s="84" t="s">
        <v>2814</v>
      </c>
      <c r="D809" s="85"/>
      <c r="E809" s="85">
        <v>0</v>
      </c>
      <c r="F809" s="85">
        <v>0</v>
      </c>
      <c r="G809" s="85">
        <v>24745.77</v>
      </c>
      <c r="H809" s="85"/>
      <c r="I809" s="85">
        <f t="shared" si="12"/>
        <v>24745.77</v>
      </c>
      <c r="K809" s="54" t="s">
        <v>38</v>
      </c>
    </row>
    <row r="810" spans="2:11" ht="41.25" x14ac:dyDescent="0.2">
      <c r="B810" s="84" t="s">
        <v>2815</v>
      </c>
      <c r="C810" s="84" t="s">
        <v>2816</v>
      </c>
      <c r="D810" s="85"/>
      <c r="E810" s="85">
        <v>0</v>
      </c>
      <c r="F810" s="85">
        <v>0</v>
      </c>
      <c r="G810" s="85">
        <v>25886.400000000001</v>
      </c>
      <c r="H810" s="85"/>
      <c r="I810" s="85">
        <f t="shared" si="12"/>
        <v>25886.400000000001</v>
      </c>
      <c r="K810" s="54" t="s">
        <v>38</v>
      </c>
    </row>
    <row r="811" spans="2:11" ht="12.75" x14ac:dyDescent="0.2">
      <c r="B811" s="82" t="s">
        <v>2896</v>
      </c>
      <c r="C811" s="82" t="s">
        <v>2897</v>
      </c>
      <c r="D811" s="83">
        <f>SUMIFS(D812:D6462,K812:K6462,"0",B812:B6462,"5*")-SUMIFS(E812:E6462,K812:K6462,"0",B812:B6462,"5*")</f>
        <v>0</v>
      </c>
      <c r="E811" s="54"/>
      <c r="F811" s="83">
        <f>SUMIFS(F812:F6462,K812:K6462,"0",B812:B6462,"5*")</f>
        <v>113696545.53999998</v>
      </c>
      <c r="G811" s="83">
        <f>SUMIFS(G812:G6462,K812:K6462,"0",B812:B6462,"5*")</f>
        <v>0</v>
      </c>
      <c r="H811" s="83">
        <f t="shared" ref="H811:H874" si="13">D811 + F811 - G811</f>
        <v>113696545.53999998</v>
      </c>
      <c r="I811" s="83"/>
      <c r="K811" s="54" t="s">
        <v>15</v>
      </c>
    </row>
    <row r="812" spans="2:11" ht="12.75" x14ac:dyDescent="0.2">
      <c r="B812" s="82" t="s">
        <v>2898</v>
      </c>
      <c r="C812" s="82" t="s">
        <v>2899</v>
      </c>
      <c r="D812" s="83">
        <f>SUMIFS(D813:D6462,K813:K6462,"0",B813:B6462,"5 1*")-SUMIFS(E813:E6462,K813:K6462,"0",B813:B6462,"5 1*")</f>
        <v>0</v>
      </c>
      <c r="E812" s="54"/>
      <c r="F812" s="83">
        <f>SUMIFS(F813:F6462,K813:K6462,"0",B813:B6462,"5 1*")</f>
        <v>112027920.34999998</v>
      </c>
      <c r="G812" s="83">
        <f>SUMIFS(G813:G6462,K813:K6462,"0",B813:B6462,"5 1*")</f>
        <v>0</v>
      </c>
      <c r="H812" s="83">
        <f t="shared" si="13"/>
        <v>112027920.34999998</v>
      </c>
      <c r="I812" s="83"/>
      <c r="K812" s="54" t="s">
        <v>15</v>
      </c>
    </row>
    <row r="813" spans="2:11" ht="12.75" x14ac:dyDescent="0.2">
      <c r="B813" s="82" t="s">
        <v>2900</v>
      </c>
      <c r="C813" s="82" t="s">
        <v>2901</v>
      </c>
      <c r="D813" s="83">
        <f>SUMIFS(D814:D6462,K814:K6462,"0",B814:B6462,"5 1 1*")-SUMIFS(E814:E6462,K814:K6462,"0",B814:B6462,"5 1 1*")</f>
        <v>0</v>
      </c>
      <c r="E813" s="54"/>
      <c r="F813" s="83">
        <f>SUMIFS(F814:F6462,K814:K6462,"0",B814:B6462,"5 1 1*")</f>
        <v>55497114.479999989</v>
      </c>
      <c r="G813" s="83">
        <f>SUMIFS(G814:G6462,K814:K6462,"0",B814:B6462,"5 1 1*")</f>
        <v>0</v>
      </c>
      <c r="H813" s="83">
        <f t="shared" si="13"/>
        <v>55497114.479999989</v>
      </c>
      <c r="I813" s="83"/>
      <c r="K813" s="54" t="s">
        <v>15</v>
      </c>
    </row>
    <row r="814" spans="2:11" ht="24.75" x14ac:dyDescent="0.2">
      <c r="B814" s="82" t="s">
        <v>2902</v>
      </c>
      <c r="C814" s="82" t="s">
        <v>2903</v>
      </c>
      <c r="D814" s="83">
        <f>SUMIFS(D815:D6462,K815:K6462,"0",B815:B6462,"5 1 1 1*")-SUMIFS(E815:E6462,K815:K6462,"0",B815:B6462,"5 1 1 1*")</f>
        <v>0</v>
      </c>
      <c r="E814" s="54"/>
      <c r="F814" s="83">
        <f>SUMIFS(F815:F6462,K815:K6462,"0",B815:B6462,"5 1 1 1*")</f>
        <v>48988898.730000019</v>
      </c>
      <c r="G814" s="83">
        <f>SUMIFS(G815:G6462,K815:K6462,"0",B815:B6462,"5 1 1 1*")</f>
        <v>0</v>
      </c>
      <c r="H814" s="83">
        <f t="shared" si="13"/>
        <v>48988898.730000019</v>
      </c>
      <c r="I814" s="83"/>
      <c r="K814" s="54" t="s">
        <v>15</v>
      </c>
    </row>
    <row r="815" spans="2:11" ht="12.75" x14ac:dyDescent="0.2">
      <c r="B815" s="82" t="s">
        <v>2904</v>
      </c>
      <c r="C815" s="82" t="s">
        <v>2905</v>
      </c>
      <c r="D815" s="83">
        <f>SUMIFS(D816:D6462,K816:K6462,"0",B816:B6462,"5 1 1 1 1*")-SUMIFS(E816:E6462,K816:K6462,"0",B816:B6462,"5 1 1 1 1*")</f>
        <v>0</v>
      </c>
      <c r="E815" s="54"/>
      <c r="F815" s="83">
        <f>SUMIFS(F816:F6462,K816:K6462,"0",B816:B6462,"5 1 1 1 1*")</f>
        <v>7885382.8499999996</v>
      </c>
      <c r="G815" s="83">
        <f>SUMIFS(G816:G6462,K816:K6462,"0",B816:B6462,"5 1 1 1 1*")</f>
        <v>0</v>
      </c>
      <c r="H815" s="83">
        <f t="shared" si="13"/>
        <v>7885382.8499999996</v>
      </c>
      <c r="I815" s="83"/>
      <c r="K815" s="54" t="s">
        <v>15</v>
      </c>
    </row>
    <row r="816" spans="2:11" ht="12.75" x14ac:dyDescent="0.2">
      <c r="B816" s="82" t="s">
        <v>2906</v>
      </c>
      <c r="C816" s="82" t="s">
        <v>26</v>
      </c>
      <c r="D816" s="83">
        <f>SUMIFS(D817:D6462,K817:K6462,"0",B817:B6462,"5 1 1 1 1 12*")-SUMIFS(E817:E6462,K817:K6462,"0",B817:B6462,"5 1 1 1 1 12*")</f>
        <v>0</v>
      </c>
      <c r="E816" s="54"/>
      <c r="F816" s="83">
        <f>SUMIFS(F817:F6462,K817:K6462,"0",B817:B6462,"5 1 1 1 1 12*")</f>
        <v>7885382.8499999996</v>
      </c>
      <c r="G816" s="83">
        <f>SUMIFS(G817:G6462,K817:K6462,"0",B817:B6462,"5 1 1 1 1 12*")</f>
        <v>0</v>
      </c>
      <c r="H816" s="83">
        <f t="shared" si="13"/>
        <v>7885382.8499999996</v>
      </c>
      <c r="I816" s="83"/>
      <c r="K816" s="54" t="s">
        <v>15</v>
      </c>
    </row>
    <row r="817" spans="2:11" ht="16.5" x14ac:dyDescent="0.2">
      <c r="B817" s="82" t="s">
        <v>2907</v>
      </c>
      <c r="C817" s="82" t="s">
        <v>28</v>
      </c>
      <c r="D817" s="83">
        <f>SUMIFS(D818:D6462,K818:K6462,"0",B818:B6462,"5 1 1 1 1 12 31111*")-SUMIFS(E818:E6462,K818:K6462,"0",B818:B6462,"5 1 1 1 1 12 31111*")</f>
        <v>0</v>
      </c>
      <c r="E817" s="54"/>
      <c r="F817" s="83">
        <f>SUMIFS(F818:F6462,K818:K6462,"0",B818:B6462,"5 1 1 1 1 12 31111*")</f>
        <v>7885382.8499999996</v>
      </c>
      <c r="G817" s="83">
        <f>SUMIFS(G818:G6462,K818:K6462,"0",B818:B6462,"5 1 1 1 1 12 31111*")</f>
        <v>0</v>
      </c>
      <c r="H817" s="83">
        <f t="shared" si="13"/>
        <v>7885382.8499999996</v>
      </c>
      <c r="I817" s="83"/>
      <c r="K817" s="54" t="s">
        <v>15</v>
      </c>
    </row>
    <row r="818" spans="2:11" ht="12.75" x14ac:dyDescent="0.2">
      <c r="B818" s="82" t="s">
        <v>2908</v>
      </c>
      <c r="C818" s="82" t="s">
        <v>30</v>
      </c>
      <c r="D818" s="83">
        <f>SUMIFS(D819:D6462,K819:K6462,"0",B819:B6462,"5 1 1 1 1 12 31111 6*")-SUMIFS(E819:E6462,K819:K6462,"0",B819:B6462,"5 1 1 1 1 12 31111 6*")</f>
        <v>0</v>
      </c>
      <c r="E818" s="54"/>
      <c r="F818" s="83">
        <f>SUMIFS(F819:F6462,K819:K6462,"0",B819:B6462,"5 1 1 1 1 12 31111 6*")</f>
        <v>7885382.8499999996</v>
      </c>
      <c r="G818" s="83">
        <f>SUMIFS(G819:G6462,K819:K6462,"0",B819:B6462,"5 1 1 1 1 12 31111 6*")</f>
        <v>0</v>
      </c>
      <c r="H818" s="83">
        <f t="shared" si="13"/>
        <v>7885382.8499999996</v>
      </c>
      <c r="I818" s="83"/>
      <c r="K818" s="54" t="s">
        <v>15</v>
      </c>
    </row>
    <row r="819" spans="2:11" ht="12.75" x14ac:dyDescent="0.2">
      <c r="B819" s="82" t="s">
        <v>2909</v>
      </c>
      <c r="C819" s="82" t="s">
        <v>32</v>
      </c>
      <c r="D819" s="83">
        <f>SUMIFS(D820:D6462,K820:K6462,"0",B820:B6462,"5 1 1 1 1 12 31111 6 M64*")-SUMIFS(E820:E6462,K820:K6462,"0",B820:B6462,"5 1 1 1 1 12 31111 6 M64*")</f>
        <v>0</v>
      </c>
      <c r="E819" s="54"/>
      <c r="F819" s="83">
        <f>SUMIFS(F820:F6462,K820:K6462,"0",B820:B6462,"5 1 1 1 1 12 31111 6 M64*")</f>
        <v>7885382.8499999996</v>
      </c>
      <c r="G819" s="83">
        <f>SUMIFS(G820:G6462,K820:K6462,"0",B820:B6462,"5 1 1 1 1 12 31111 6 M64*")</f>
        <v>0</v>
      </c>
      <c r="H819" s="83">
        <f t="shared" si="13"/>
        <v>7885382.8499999996</v>
      </c>
      <c r="I819" s="83"/>
      <c r="K819" s="54" t="s">
        <v>15</v>
      </c>
    </row>
    <row r="820" spans="2:11" ht="16.5" x14ac:dyDescent="0.2">
      <c r="B820" s="82" t="s">
        <v>2910</v>
      </c>
      <c r="C820" s="82" t="s">
        <v>282</v>
      </c>
      <c r="D820" s="83">
        <f>SUMIFS(D821:D6462,K821:K6462,"0",B821:B6462,"5 1 1 1 1 12 31111 6 M64 00001*")-SUMIFS(E821:E6462,K821:K6462,"0",B821:B6462,"5 1 1 1 1 12 31111 6 M64 00001*")</f>
        <v>0</v>
      </c>
      <c r="E820" s="54"/>
      <c r="F820" s="83">
        <f>SUMIFS(F821:F6462,K821:K6462,"0",B821:B6462,"5 1 1 1 1 12 31111 6 M64 00001*")</f>
        <v>7885382.8499999996</v>
      </c>
      <c r="G820" s="83">
        <f>SUMIFS(G821:G6462,K821:K6462,"0",B821:B6462,"5 1 1 1 1 12 31111 6 M64 00001*")</f>
        <v>0</v>
      </c>
      <c r="H820" s="83">
        <f t="shared" si="13"/>
        <v>7885382.8499999996</v>
      </c>
      <c r="I820" s="83"/>
      <c r="K820" s="54" t="s">
        <v>15</v>
      </c>
    </row>
    <row r="821" spans="2:11" ht="16.5" x14ac:dyDescent="0.2">
      <c r="B821" s="84" t="s">
        <v>2911</v>
      </c>
      <c r="C821" s="84" t="s">
        <v>2912</v>
      </c>
      <c r="D821" s="85">
        <v>0</v>
      </c>
      <c r="E821" s="85"/>
      <c r="F821" s="85">
        <v>7885382.8499999996</v>
      </c>
      <c r="G821" s="85">
        <v>0</v>
      </c>
      <c r="H821" s="85">
        <f t="shared" si="13"/>
        <v>7885382.8499999996</v>
      </c>
      <c r="I821" s="85"/>
      <c r="K821" s="54" t="s">
        <v>38</v>
      </c>
    </row>
    <row r="822" spans="2:11" ht="16.5" x14ac:dyDescent="0.2">
      <c r="B822" s="82" t="s">
        <v>2913</v>
      </c>
      <c r="C822" s="82" t="s">
        <v>2914</v>
      </c>
      <c r="D822" s="83">
        <f>SUMIFS(D823:D6462,K823:K6462,"0",B823:B6462,"5 1 1 1 3*")-SUMIFS(E823:E6462,K823:K6462,"0",B823:B6462,"5 1 1 1 3*")</f>
        <v>0</v>
      </c>
      <c r="E822" s="54"/>
      <c r="F822" s="83">
        <f>SUMIFS(F823:F6462,K823:K6462,"0",B823:B6462,"5 1 1 1 3*")</f>
        <v>41103515.87999998</v>
      </c>
      <c r="G822" s="83">
        <f>SUMIFS(G823:G6462,K823:K6462,"0",B823:B6462,"5 1 1 1 3*")</f>
        <v>0</v>
      </c>
      <c r="H822" s="83">
        <f t="shared" si="13"/>
        <v>41103515.87999998</v>
      </c>
      <c r="I822" s="83"/>
      <c r="K822" s="54" t="s">
        <v>15</v>
      </c>
    </row>
    <row r="823" spans="2:11" ht="12.75" x14ac:dyDescent="0.2">
      <c r="B823" s="82" t="s">
        <v>2915</v>
      </c>
      <c r="C823" s="82" t="s">
        <v>26</v>
      </c>
      <c r="D823" s="83">
        <f>SUMIFS(D824:D6462,K824:K6462,"0",B824:B6462,"5 1 1 1 3 12*")-SUMIFS(E824:E6462,K824:K6462,"0",B824:B6462,"5 1 1 1 3 12*")</f>
        <v>0</v>
      </c>
      <c r="E823" s="54"/>
      <c r="F823" s="83">
        <f>SUMIFS(F824:F6462,K824:K6462,"0",B824:B6462,"5 1 1 1 3 12*")</f>
        <v>41103515.87999998</v>
      </c>
      <c r="G823" s="83">
        <f>SUMIFS(G824:G6462,K824:K6462,"0",B824:B6462,"5 1 1 1 3 12*")</f>
        <v>0</v>
      </c>
      <c r="H823" s="83">
        <f t="shared" si="13"/>
        <v>41103515.87999998</v>
      </c>
      <c r="I823" s="83"/>
      <c r="K823" s="54" t="s">
        <v>15</v>
      </c>
    </row>
    <row r="824" spans="2:11" ht="16.5" x14ac:dyDescent="0.2">
      <c r="B824" s="82" t="s">
        <v>2916</v>
      </c>
      <c r="C824" s="82" t="s">
        <v>28</v>
      </c>
      <c r="D824" s="83">
        <f>SUMIFS(D825:D6462,K825:K6462,"0",B825:B6462,"5 1 1 1 3 12 31111*")-SUMIFS(E825:E6462,K825:K6462,"0",B825:B6462,"5 1 1 1 3 12 31111*")</f>
        <v>0</v>
      </c>
      <c r="E824" s="54"/>
      <c r="F824" s="83">
        <f>SUMIFS(F825:F6462,K825:K6462,"0",B825:B6462,"5 1 1 1 3 12 31111*")</f>
        <v>41103515.87999998</v>
      </c>
      <c r="G824" s="83">
        <f>SUMIFS(G825:G6462,K825:K6462,"0",B825:B6462,"5 1 1 1 3 12 31111*")</f>
        <v>0</v>
      </c>
      <c r="H824" s="83">
        <f t="shared" si="13"/>
        <v>41103515.87999998</v>
      </c>
      <c r="I824" s="83"/>
      <c r="K824" s="54" t="s">
        <v>15</v>
      </c>
    </row>
    <row r="825" spans="2:11" ht="12.75" x14ac:dyDescent="0.2">
      <c r="B825" s="82" t="s">
        <v>2917</v>
      </c>
      <c r="C825" s="82" t="s">
        <v>30</v>
      </c>
      <c r="D825" s="83">
        <f>SUMIFS(D826:D6462,K826:K6462,"0",B826:B6462,"5 1 1 1 3 12 31111 6*")-SUMIFS(E826:E6462,K826:K6462,"0",B826:B6462,"5 1 1 1 3 12 31111 6*")</f>
        <v>0</v>
      </c>
      <c r="E825" s="54"/>
      <c r="F825" s="83">
        <f>SUMIFS(F826:F6462,K826:K6462,"0",B826:B6462,"5 1 1 1 3 12 31111 6*")</f>
        <v>41103515.87999998</v>
      </c>
      <c r="G825" s="83">
        <f>SUMIFS(G826:G6462,K826:K6462,"0",B826:B6462,"5 1 1 1 3 12 31111 6*")</f>
        <v>0</v>
      </c>
      <c r="H825" s="83">
        <f t="shared" si="13"/>
        <v>41103515.87999998</v>
      </c>
      <c r="I825" s="83"/>
      <c r="K825" s="54" t="s">
        <v>15</v>
      </c>
    </row>
    <row r="826" spans="2:11" ht="16.5" x14ac:dyDescent="0.2">
      <c r="B826" s="82" t="s">
        <v>2918</v>
      </c>
      <c r="C826" s="82" t="s">
        <v>2284</v>
      </c>
      <c r="D826" s="83">
        <f>SUMIFS(D827:D6462,K827:K6462,"0",B827:B6462,"5 1 1 1 3 12 31111 6 M59*")-SUMIFS(E827:E6462,K827:K6462,"0",B827:B6462,"5 1 1 1 3 12 31111 6 M59*")</f>
        <v>0</v>
      </c>
      <c r="E826" s="54"/>
      <c r="F826" s="83">
        <f>SUMIFS(F827:F6462,K827:K6462,"0",B827:B6462,"5 1 1 1 3 12 31111 6 M59*")</f>
        <v>41103515.87999998</v>
      </c>
      <c r="G826" s="83">
        <f>SUMIFS(G827:G6462,K827:K6462,"0",B827:B6462,"5 1 1 1 3 12 31111 6 M59*")</f>
        <v>0</v>
      </c>
      <c r="H826" s="83">
        <f t="shared" si="13"/>
        <v>41103515.87999998</v>
      </c>
      <c r="I826" s="83"/>
      <c r="K826" s="54" t="s">
        <v>15</v>
      </c>
    </row>
    <row r="827" spans="2:11" ht="16.5" x14ac:dyDescent="0.2">
      <c r="B827" s="82" t="s">
        <v>2919</v>
      </c>
      <c r="C827" s="82" t="s">
        <v>1243</v>
      </c>
      <c r="D827" s="83">
        <f>SUMIFS(D828:D6462,K828:K6462,"0",B828:B6462,"5 1 1 1 3 12 31111 6 M59 10000*")-SUMIFS(E828:E6462,K828:K6462,"0",B828:B6462,"5 1 1 1 3 12 31111 6 M59 10000*")</f>
        <v>0</v>
      </c>
      <c r="E827" s="54"/>
      <c r="F827" s="83">
        <f>SUMIFS(F828:F6462,K828:K6462,"0",B828:B6462,"5 1 1 1 3 12 31111 6 M59 10000*")</f>
        <v>1398702.13</v>
      </c>
      <c r="G827" s="83">
        <f>SUMIFS(G828:G6462,K828:K6462,"0",B828:B6462,"5 1 1 1 3 12 31111 6 M59 10000*")</f>
        <v>0</v>
      </c>
      <c r="H827" s="83">
        <f t="shared" si="13"/>
        <v>1398702.13</v>
      </c>
      <c r="I827" s="83"/>
      <c r="K827" s="54" t="s">
        <v>15</v>
      </c>
    </row>
    <row r="828" spans="2:11" ht="16.5" x14ac:dyDescent="0.2">
      <c r="B828" s="82" t="s">
        <v>2920</v>
      </c>
      <c r="C828" s="82" t="s">
        <v>648</v>
      </c>
      <c r="D828" s="83">
        <f>SUMIFS(D829:D6462,K829:K6462,"0",B829:B6462,"5 1 1 1 3 12 31111 6 M59 10000 000132*")-SUMIFS(E829:E6462,K829:K6462,"0",B829:B6462,"5 1 1 1 3 12 31111 6 M59 10000 000132*")</f>
        <v>0</v>
      </c>
      <c r="E828" s="54"/>
      <c r="F828" s="83">
        <f>SUMIFS(F829:F6462,K829:K6462,"0",B829:B6462,"5 1 1 1 3 12 31111 6 M59 10000 000132*")</f>
        <v>1398702.13</v>
      </c>
      <c r="G828" s="83">
        <f>SUMIFS(G829:G6462,K829:K6462,"0",B829:B6462,"5 1 1 1 3 12 31111 6 M59 10000 000132*")</f>
        <v>0</v>
      </c>
      <c r="H828" s="83">
        <f t="shared" si="13"/>
        <v>1398702.13</v>
      </c>
      <c r="I828" s="83"/>
      <c r="K828" s="54" t="s">
        <v>15</v>
      </c>
    </row>
    <row r="829" spans="2:11" ht="16.5" x14ac:dyDescent="0.2">
      <c r="B829" s="82" t="s">
        <v>2921</v>
      </c>
      <c r="C829" s="82" t="s">
        <v>650</v>
      </c>
      <c r="D829" s="83">
        <f>SUMIFS(D830:D6462,K830:K6462,"0",B830:B6462,"5 1 1 1 3 12 31111 6 M59 10000 000132 0000R*")-SUMIFS(E830:E6462,K830:K6462,"0",B830:B6462,"5 1 1 1 3 12 31111 6 M59 10000 000132 0000R*")</f>
        <v>0</v>
      </c>
      <c r="E829" s="54"/>
      <c r="F829" s="83">
        <f>SUMIFS(F830:F6462,K830:K6462,"0",B830:B6462,"5 1 1 1 3 12 31111 6 M59 10000 000132 0000R*")</f>
        <v>1398702.13</v>
      </c>
      <c r="G829" s="83">
        <f>SUMIFS(G830:G6462,K830:K6462,"0",B830:B6462,"5 1 1 1 3 12 31111 6 M59 10000 000132 0000R*")</f>
        <v>0</v>
      </c>
      <c r="H829" s="83">
        <f t="shared" si="13"/>
        <v>1398702.13</v>
      </c>
      <c r="I829" s="83"/>
      <c r="K829" s="54" t="s">
        <v>15</v>
      </c>
    </row>
    <row r="830" spans="2:11" ht="24.75" x14ac:dyDescent="0.2">
      <c r="B830" s="82" t="s">
        <v>2922</v>
      </c>
      <c r="C830" s="82" t="s">
        <v>282</v>
      </c>
      <c r="D830" s="83">
        <f>SUMIFS(D831:D6462,K831:K6462,"0",B831:B6462,"5 1 1 1 3 12 31111 6 M59 10000 000132 0000R 00001*")-SUMIFS(E831:E6462,K831:K6462,"0",B831:B6462,"5 1 1 1 3 12 31111 6 M59 10000 000132 0000R 00001*")</f>
        <v>0</v>
      </c>
      <c r="E830" s="54"/>
      <c r="F830" s="83">
        <f>SUMIFS(F831:F6462,K831:K6462,"0",B831:B6462,"5 1 1 1 3 12 31111 6 M59 10000 000132 0000R 00001*")</f>
        <v>1398702.13</v>
      </c>
      <c r="G830" s="83">
        <f>SUMIFS(G831:G6462,K831:K6462,"0",B831:B6462,"5 1 1 1 3 12 31111 6 M59 10000 000132 0000R 00001*")</f>
        <v>0</v>
      </c>
      <c r="H830" s="83">
        <f t="shared" si="13"/>
        <v>1398702.13</v>
      </c>
      <c r="I830" s="83"/>
      <c r="K830" s="54" t="s">
        <v>15</v>
      </c>
    </row>
    <row r="831" spans="2:11" ht="24.75" x14ac:dyDescent="0.2">
      <c r="B831" s="82" t="s">
        <v>2923</v>
      </c>
      <c r="C831" s="82" t="s">
        <v>2924</v>
      </c>
      <c r="D831" s="83">
        <f>SUMIFS(D832:D6462,K832:K6462,"0",B832:B6462,"5 1 1 1 3 12 31111 6 M59 10000 000132 0000R 00001 00113*")-SUMIFS(E832:E6462,K832:K6462,"0",B832:B6462,"5 1 1 1 3 12 31111 6 M59 10000 000132 0000R 00001 00113*")</f>
        <v>0</v>
      </c>
      <c r="E831" s="54"/>
      <c r="F831" s="83">
        <f>SUMIFS(F832:F6462,K832:K6462,"0",B832:B6462,"5 1 1 1 3 12 31111 6 M59 10000 000132 0000R 00001 00113*")</f>
        <v>1398702.13</v>
      </c>
      <c r="G831" s="83">
        <f>SUMIFS(G832:G6462,K832:K6462,"0",B832:B6462,"5 1 1 1 3 12 31111 6 M59 10000 000132 0000R 00001 00113*")</f>
        <v>0</v>
      </c>
      <c r="H831" s="83">
        <f t="shared" si="13"/>
        <v>1398702.13</v>
      </c>
      <c r="I831" s="83"/>
      <c r="K831" s="54" t="s">
        <v>15</v>
      </c>
    </row>
    <row r="832" spans="2:11" ht="24.75" x14ac:dyDescent="0.2">
      <c r="B832" s="82" t="s">
        <v>2925</v>
      </c>
      <c r="C832" s="82" t="s">
        <v>1051</v>
      </c>
      <c r="D832" s="83">
        <f>SUMIFS(D833:D6462,K833:K6462,"0",B833:B6462,"5 1 1 1 3 12 31111 6 M59 10000 000132 0000R 00001 00113 015*")-SUMIFS(E833:E6462,K833:K6462,"0",B833:B6462,"5 1 1 1 3 12 31111 6 M59 10000 000132 0000R 00001 00113 015*")</f>
        <v>0</v>
      </c>
      <c r="E832" s="54"/>
      <c r="F832" s="83">
        <f>SUMIFS(F833:F6462,K833:K6462,"0",B833:B6462,"5 1 1 1 3 12 31111 6 M59 10000 000132 0000R 00001 00113 015*")</f>
        <v>1398702.13</v>
      </c>
      <c r="G832" s="83">
        <f>SUMIFS(G833:G6462,K833:K6462,"0",B833:B6462,"5 1 1 1 3 12 31111 6 M59 10000 000132 0000R 00001 00113 015*")</f>
        <v>0</v>
      </c>
      <c r="H832" s="83">
        <f t="shared" si="13"/>
        <v>1398702.13</v>
      </c>
      <c r="I832" s="83"/>
      <c r="K832" s="54" t="s">
        <v>15</v>
      </c>
    </row>
    <row r="833" spans="2:11" ht="33" x14ac:dyDescent="0.2">
      <c r="B833" s="82" t="s">
        <v>2926</v>
      </c>
      <c r="C833" s="82" t="s">
        <v>2927</v>
      </c>
      <c r="D833" s="83">
        <f>SUMIFS(D834:D6462,K834:K6462,"0",B834:B6462,"5 1 1 1 3 12 31111 6 M59 10000 000132 0000R 00001 00113 015 2111100*")-SUMIFS(E834:E6462,K834:K6462,"0",B834:B6462,"5 1 1 1 3 12 31111 6 M59 10000 000132 0000R 00001 00113 015 2111100*")</f>
        <v>0</v>
      </c>
      <c r="E833" s="54"/>
      <c r="F833" s="83">
        <f>SUMIFS(F834:F6462,K834:K6462,"0",B834:B6462,"5 1 1 1 3 12 31111 6 M59 10000 000132 0000R 00001 00113 015 2111100*")</f>
        <v>1398702.13</v>
      </c>
      <c r="G833" s="83">
        <f>SUMIFS(G834:G6462,K834:K6462,"0",B834:B6462,"5 1 1 1 3 12 31111 6 M59 10000 000132 0000R 00001 00113 015 2111100*")</f>
        <v>0</v>
      </c>
      <c r="H833" s="83">
        <f t="shared" si="13"/>
        <v>1398702.13</v>
      </c>
      <c r="I833" s="83"/>
      <c r="K833" s="54" t="s">
        <v>15</v>
      </c>
    </row>
    <row r="834" spans="2:11" ht="33" x14ac:dyDescent="0.2">
      <c r="B834" s="82" t="s">
        <v>2928</v>
      </c>
      <c r="C834" s="82" t="s">
        <v>660</v>
      </c>
      <c r="D834" s="83">
        <f>SUMIFS(D835:D6462,K835:K6462,"0",B835:B6462,"5 1 1 1 3 12 31111 6 M59 10000 000132 0000R 00001 00113 015 2111100 2024*")-SUMIFS(E835:E6462,K835:K6462,"0",B835:B6462,"5 1 1 1 3 12 31111 6 M59 10000 000132 0000R 00001 00113 015 2111100 2024*")</f>
        <v>0</v>
      </c>
      <c r="E834" s="54"/>
      <c r="F834" s="83">
        <f>SUMIFS(F835:F6462,K835:K6462,"0",B835:B6462,"5 1 1 1 3 12 31111 6 M59 10000 000132 0000R 00001 00113 015 2111100 2024*")</f>
        <v>1398702.13</v>
      </c>
      <c r="G834" s="83">
        <f>SUMIFS(G835:G6462,K835:K6462,"0",B835:B6462,"5 1 1 1 3 12 31111 6 M59 10000 000132 0000R 00001 00113 015 2111100 2024*")</f>
        <v>0</v>
      </c>
      <c r="H834" s="83">
        <f t="shared" si="13"/>
        <v>1398702.13</v>
      </c>
      <c r="I834" s="83"/>
      <c r="K834" s="54" t="s">
        <v>15</v>
      </c>
    </row>
    <row r="835" spans="2:11" ht="41.25" x14ac:dyDescent="0.2">
      <c r="B835" s="82" t="s">
        <v>2929</v>
      </c>
      <c r="C835" s="82" t="s">
        <v>662</v>
      </c>
      <c r="D835" s="83">
        <f>SUMIFS(D836:D6462,K836:K6462,"0",B836:B6462,"5 1 1 1 3 12 31111 6 M59 10000 000132 0000R 00001 00113 015 2111100 2024 CP1PM439*")-SUMIFS(E836:E6462,K836:K6462,"0",B836:B6462,"5 1 1 1 3 12 31111 6 M59 10000 000132 0000R 00001 00113 015 2111100 2024 CP1PM439*")</f>
        <v>0</v>
      </c>
      <c r="E835" s="54"/>
      <c r="F835" s="83">
        <f>SUMIFS(F836:F6462,K836:K6462,"0",B836:B6462,"5 1 1 1 3 12 31111 6 M59 10000 000132 0000R 00001 00113 015 2111100 2024 CP1PM439*")</f>
        <v>1398702.13</v>
      </c>
      <c r="G835" s="83">
        <f>SUMIFS(G836:G6462,K836:K6462,"0",B836:B6462,"5 1 1 1 3 12 31111 6 M59 10000 000132 0000R 00001 00113 015 2111100 2024 CP1PM439*")</f>
        <v>0</v>
      </c>
      <c r="H835" s="83">
        <f t="shared" si="13"/>
        <v>1398702.13</v>
      </c>
      <c r="I835" s="83"/>
      <c r="K835" s="54" t="s">
        <v>15</v>
      </c>
    </row>
    <row r="836" spans="2:11" ht="41.25" x14ac:dyDescent="0.2">
      <c r="B836" s="82" t="s">
        <v>2930</v>
      </c>
      <c r="C836" s="82" t="s">
        <v>282</v>
      </c>
      <c r="D836" s="83">
        <f>SUMIFS(D837:D6462,K837:K6462,"0",B837:B6462,"5 1 1 1 3 12 31111 6 M59 10000 000132 0000R 00001 00113 015 2111100 2024 CP1PM439 001*")-SUMIFS(E837:E6462,K837:K6462,"0",B837:B6462,"5 1 1 1 3 12 31111 6 M59 10000 000132 0000R 00001 00113 015 2111100 2024 CP1PM439 001*")</f>
        <v>0</v>
      </c>
      <c r="E836" s="54"/>
      <c r="F836" s="83">
        <f>SUMIFS(F837:F6462,K837:K6462,"0",B837:B6462,"5 1 1 1 3 12 31111 6 M59 10000 000132 0000R 00001 00113 015 2111100 2024 CP1PM439 001*")</f>
        <v>1398702.13</v>
      </c>
      <c r="G836" s="83">
        <f>SUMIFS(G837:G6462,K837:K6462,"0",B837:B6462,"5 1 1 1 3 12 31111 6 M59 10000 000132 0000R 00001 00113 015 2111100 2024 CP1PM439 001*")</f>
        <v>0</v>
      </c>
      <c r="H836" s="83">
        <f t="shared" si="13"/>
        <v>1398702.13</v>
      </c>
      <c r="I836" s="83"/>
      <c r="K836" s="54" t="s">
        <v>15</v>
      </c>
    </row>
    <row r="837" spans="2:11" ht="33" x14ac:dyDescent="0.2">
      <c r="B837" s="84" t="s">
        <v>2931</v>
      </c>
      <c r="C837" s="84" t="s">
        <v>2932</v>
      </c>
      <c r="D837" s="85">
        <v>0</v>
      </c>
      <c r="E837" s="85"/>
      <c r="F837" s="85">
        <v>1398702.13</v>
      </c>
      <c r="G837" s="85">
        <v>0</v>
      </c>
      <c r="H837" s="85">
        <f t="shared" si="13"/>
        <v>1398702.13</v>
      </c>
      <c r="I837" s="85"/>
      <c r="K837" s="54" t="s">
        <v>38</v>
      </c>
    </row>
    <row r="838" spans="2:11" ht="16.5" x14ac:dyDescent="0.2">
      <c r="B838" s="82" t="s">
        <v>2933</v>
      </c>
      <c r="C838" s="82" t="s">
        <v>2934</v>
      </c>
      <c r="D838" s="83">
        <f>SUMIFS(D839:D6462,K839:K6462,"0",B839:B6462,"5 1 1 1 3 12 31111 6 M59 10100*")-SUMIFS(E839:E6462,K839:K6462,"0",B839:B6462,"5 1 1 1 3 12 31111 6 M59 10100*")</f>
        <v>0</v>
      </c>
      <c r="E838" s="54"/>
      <c r="F838" s="83">
        <f>SUMIFS(F839:F6462,K839:K6462,"0",B839:B6462,"5 1 1 1 3 12 31111 6 M59 10100*")</f>
        <v>367227.22</v>
      </c>
      <c r="G838" s="83">
        <f>SUMIFS(G839:G6462,K839:K6462,"0",B839:B6462,"5 1 1 1 3 12 31111 6 M59 10100*")</f>
        <v>0</v>
      </c>
      <c r="H838" s="83">
        <f t="shared" si="13"/>
        <v>367227.22</v>
      </c>
      <c r="I838" s="83"/>
      <c r="K838" s="54" t="s">
        <v>15</v>
      </c>
    </row>
    <row r="839" spans="2:11" ht="16.5" x14ac:dyDescent="0.2">
      <c r="B839" s="82" t="s">
        <v>2935</v>
      </c>
      <c r="C839" s="82" t="s">
        <v>648</v>
      </c>
      <c r="D839" s="83">
        <f>SUMIFS(D840:D6462,K840:K6462,"0",B840:B6462,"5 1 1 1 3 12 31111 6 M59 10100 000132*")-SUMIFS(E840:E6462,K840:K6462,"0",B840:B6462,"5 1 1 1 3 12 31111 6 M59 10100 000132*")</f>
        <v>0</v>
      </c>
      <c r="E839" s="54"/>
      <c r="F839" s="83">
        <f>SUMIFS(F840:F6462,K840:K6462,"0",B840:B6462,"5 1 1 1 3 12 31111 6 M59 10100 000132*")</f>
        <v>367227.22</v>
      </c>
      <c r="G839" s="83">
        <f>SUMIFS(G840:G6462,K840:K6462,"0",B840:B6462,"5 1 1 1 3 12 31111 6 M59 10100 000132*")</f>
        <v>0</v>
      </c>
      <c r="H839" s="83">
        <f t="shared" si="13"/>
        <v>367227.22</v>
      </c>
      <c r="I839" s="83"/>
      <c r="K839" s="54" t="s">
        <v>15</v>
      </c>
    </row>
    <row r="840" spans="2:11" ht="16.5" x14ac:dyDescent="0.2">
      <c r="B840" s="82" t="s">
        <v>2936</v>
      </c>
      <c r="C840" s="82" t="s">
        <v>650</v>
      </c>
      <c r="D840" s="83">
        <f>SUMIFS(D841:D6462,K841:K6462,"0",B841:B6462,"5 1 1 1 3 12 31111 6 M59 10100 000132 0000R*")-SUMIFS(E841:E6462,K841:K6462,"0",B841:B6462,"5 1 1 1 3 12 31111 6 M59 10100 000132 0000R*")</f>
        <v>0</v>
      </c>
      <c r="E840" s="54"/>
      <c r="F840" s="83">
        <f>SUMIFS(F841:F6462,K841:K6462,"0",B841:B6462,"5 1 1 1 3 12 31111 6 M59 10100 000132 0000R*")</f>
        <v>367227.22</v>
      </c>
      <c r="G840" s="83">
        <f>SUMIFS(G841:G6462,K841:K6462,"0",B841:B6462,"5 1 1 1 3 12 31111 6 M59 10100 000132 0000R*")</f>
        <v>0</v>
      </c>
      <c r="H840" s="83">
        <f t="shared" si="13"/>
        <v>367227.22</v>
      </c>
      <c r="I840" s="83"/>
      <c r="K840" s="54" t="s">
        <v>15</v>
      </c>
    </row>
    <row r="841" spans="2:11" ht="24.75" x14ac:dyDescent="0.2">
      <c r="B841" s="82" t="s">
        <v>2937</v>
      </c>
      <c r="C841" s="82" t="s">
        <v>282</v>
      </c>
      <c r="D841" s="83">
        <f>SUMIFS(D842:D6462,K842:K6462,"0",B842:B6462,"5 1 1 1 3 12 31111 6 M59 10100 000132 0000R 00001*")-SUMIFS(E842:E6462,K842:K6462,"0",B842:B6462,"5 1 1 1 3 12 31111 6 M59 10100 000132 0000R 00001*")</f>
        <v>0</v>
      </c>
      <c r="E841" s="54"/>
      <c r="F841" s="83">
        <f>SUMIFS(F842:F6462,K842:K6462,"0",B842:B6462,"5 1 1 1 3 12 31111 6 M59 10100 000132 0000R 00001*")</f>
        <v>367227.22</v>
      </c>
      <c r="G841" s="83">
        <f>SUMIFS(G842:G6462,K842:K6462,"0",B842:B6462,"5 1 1 1 3 12 31111 6 M59 10100 000132 0000R 00001*")</f>
        <v>0</v>
      </c>
      <c r="H841" s="83">
        <f t="shared" si="13"/>
        <v>367227.22</v>
      </c>
      <c r="I841" s="83"/>
      <c r="K841" s="54" t="s">
        <v>15</v>
      </c>
    </row>
    <row r="842" spans="2:11" ht="24.75" x14ac:dyDescent="0.2">
      <c r="B842" s="82" t="s">
        <v>2938</v>
      </c>
      <c r="C842" s="82" t="s">
        <v>2924</v>
      </c>
      <c r="D842" s="83">
        <f>SUMIFS(D843:D6462,K843:K6462,"0",B843:B6462,"5 1 1 1 3 12 31111 6 M59 10100 000132 0000R 00001 00113*")-SUMIFS(E843:E6462,K843:K6462,"0",B843:B6462,"5 1 1 1 3 12 31111 6 M59 10100 000132 0000R 00001 00113*")</f>
        <v>0</v>
      </c>
      <c r="E842" s="54"/>
      <c r="F842" s="83">
        <f>SUMIFS(F843:F6462,K843:K6462,"0",B843:B6462,"5 1 1 1 3 12 31111 6 M59 10100 000132 0000R 00001 00113*")</f>
        <v>367227.22</v>
      </c>
      <c r="G842" s="83">
        <f>SUMIFS(G843:G6462,K843:K6462,"0",B843:B6462,"5 1 1 1 3 12 31111 6 M59 10100 000132 0000R 00001 00113*")</f>
        <v>0</v>
      </c>
      <c r="H842" s="83">
        <f t="shared" si="13"/>
        <v>367227.22</v>
      </c>
      <c r="I842" s="83"/>
      <c r="K842" s="54" t="s">
        <v>15</v>
      </c>
    </row>
    <row r="843" spans="2:11" ht="24.75" x14ac:dyDescent="0.2">
      <c r="B843" s="82" t="s">
        <v>2939</v>
      </c>
      <c r="C843" s="82" t="s">
        <v>1051</v>
      </c>
      <c r="D843" s="83">
        <f>SUMIFS(D844:D6462,K844:K6462,"0",B844:B6462,"5 1 1 1 3 12 31111 6 M59 10100 000132 0000R 00001 00113 015*")-SUMIFS(E844:E6462,K844:K6462,"0",B844:B6462,"5 1 1 1 3 12 31111 6 M59 10100 000132 0000R 00001 00113 015*")</f>
        <v>0</v>
      </c>
      <c r="E843" s="54"/>
      <c r="F843" s="83">
        <f>SUMIFS(F844:F6462,K844:K6462,"0",B844:B6462,"5 1 1 1 3 12 31111 6 M59 10100 000132 0000R 00001 00113 015*")</f>
        <v>367227.22</v>
      </c>
      <c r="G843" s="83">
        <f>SUMIFS(G844:G6462,K844:K6462,"0",B844:B6462,"5 1 1 1 3 12 31111 6 M59 10100 000132 0000R 00001 00113 015*")</f>
        <v>0</v>
      </c>
      <c r="H843" s="83">
        <f t="shared" si="13"/>
        <v>367227.22</v>
      </c>
      <c r="I843" s="83"/>
      <c r="K843" s="54" t="s">
        <v>15</v>
      </c>
    </row>
    <row r="844" spans="2:11" ht="33" x14ac:dyDescent="0.2">
      <c r="B844" s="82" t="s">
        <v>2940</v>
      </c>
      <c r="C844" s="82" t="s">
        <v>2927</v>
      </c>
      <c r="D844" s="83">
        <f>SUMIFS(D845:D6462,K845:K6462,"0",B845:B6462,"5 1 1 1 3 12 31111 6 M59 10100 000132 0000R 00001 00113 015 2111100*")-SUMIFS(E845:E6462,K845:K6462,"0",B845:B6462,"5 1 1 1 3 12 31111 6 M59 10100 000132 0000R 00001 00113 015 2111100*")</f>
        <v>0</v>
      </c>
      <c r="E844" s="54"/>
      <c r="F844" s="83">
        <f>SUMIFS(F845:F6462,K845:K6462,"0",B845:B6462,"5 1 1 1 3 12 31111 6 M59 10100 000132 0000R 00001 00113 015 2111100*")</f>
        <v>367227.22</v>
      </c>
      <c r="G844" s="83">
        <f>SUMIFS(G845:G6462,K845:K6462,"0",B845:B6462,"5 1 1 1 3 12 31111 6 M59 10100 000132 0000R 00001 00113 015 2111100*")</f>
        <v>0</v>
      </c>
      <c r="H844" s="83">
        <f t="shared" si="13"/>
        <v>367227.22</v>
      </c>
      <c r="I844" s="83"/>
      <c r="K844" s="54" t="s">
        <v>15</v>
      </c>
    </row>
    <row r="845" spans="2:11" ht="33" x14ac:dyDescent="0.2">
      <c r="B845" s="82" t="s">
        <v>2941</v>
      </c>
      <c r="C845" s="82" t="s">
        <v>660</v>
      </c>
      <c r="D845" s="83">
        <f>SUMIFS(D846:D6462,K846:K6462,"0",B846:B6462,"5 1 1 1 3 12 31111 6 M59 10100 000132 0000R 00001 00113 015 2111100 2024*")-SUMIFS(E846:E6462,K846:K6462,"0",B846:B6462,"5 1 1 1 3 12 31111 6 M59 10100 000132 0000R 00001 00113 015 2111100 2024*")</f>
        <v>0</v>
      </c>
      <c r="E845" s="54"/>
      <c r="F845" s="83">
        <f>SUMIFS(F846:F6462,K846:K6462,"0",B846:B6462,"5 1 1 1 3 12 31111 6 M59 10100 000132 0000R 00001 00113 015 2111100 2024*")</f>
        <v>367227.22</v>
      </c>
      <c r="G845" s="83">
        <f>SUMIFS(G846:G6462,K846:K6462,"0",B846:B6462,"5 1 1 1 3 12 31111 6 M59 10100 000132 0000R 00001 00113 015 2111100 2024*")</f>
        <v>0</v>
      </c>
      <c r="H845" s="83">
        <f t="shared" si="13"/>
        <v>367227.22</v>
      </c>
      <c r="I845" s="83"/>
      <c r="K845" s="54" t="s">
        <v>15</v>
      </c>
    </row>
    <row r="846" spans="2:11" ht="41.25" x14ac:dyDescent="0.2">
      <c r="B846" s="82" t="s">
        <v>2942</v>
      </c>
      <c r="C846" s="82" t="s">
        <v>1056</v>
      </c>
      <c r="D846" s="83">
        <f>SUMIFS(D847:D6462,K847:K6462,"0",B847:B6462,"5 1 1 1 3 12 31111 6 M59 10100 000132 0000R 00001 00113 015 2111100 2024 CP1CO438*")-SUMIFS(E847:E6462,K847:K6462,"0",B847:B6462,"5 1 1 1 3 12 31111 6 M59 10100 000132 0000R 00001 00113 015 2111100 2024 CP1CO438*")</f>
        <v>0</v>
      </c>
      <c r="E846" s="54"/>
      <c r="F846" s="83">
        <f>SUMIFS(F847:F6462,K847:K6462,"0",B847:B6462,"5 1 1 1 3 12 31111 6 M59 10100 000132 0000R 00001 00113 015 2111100 2024 CP1CO438*")</f>
        <v>367227.22</v>
      </c>
      <c r="G846" s="83">
        <f>SUMIFS(G847:G6462,K847:K6462,"0",B847:B6462,"5 1 1 1 3 12 31111 6 M59 10100 000132 0000R 00001 00113 015 2111100 2024 CP1CO438*")</f>
        <v>0</v>
      </c>
      <c r="H846" s="83">
        <f t="shared" si="13"/>
        <v>367227.22</v>
      </c>
      <c r="I846" s="83"/>
      <c r="K846" s="54" t="s">
        <v>15</v>
      </c>
    </row>
    <row r="847" spans="2:11" ht="41.25" x14ac:dyDescent="0.2">
      <c r="B847" s="82" t="s">
        <v>2943</v>
      </c>
      <c r="C847" s="82" t="s">
        <v>282</v>
      </c>
      <c r="D847" s="83">
        <f>SUMIFS(D848:D6462,K848:K6462,"0",B848:B6462,"5 1 1 1 3 12 31111 6 M59 10100 000132 0000R 00001 00113 015 2111100 2024 CP1CO438 001*")-SUMIFS(E848:E6462,K848:K6462,"0",B848:B6462,"5 1 1 1 3 12 31111 6 M59 10100 000132 0000R 00001 00113 015 2111100 2024 CP1CO438 001*")</f>
        <v>0</v>
      </c>
      <c r="E847" s="54"/>
      <c r="F847" s="83">
        <f>SUMIFS(F848:F6462,K848:K6462,"0",B848:B6462,"5 1 1 1 3 12 31111 6 M59 10100 000132 0000R 00001 00113 015 2111100 2024 CP1CO438 001*")</f>
        <v>367227.22</v>
      </c>
      <c r="G847" s="83">
        <f>SUMIFS(G848:G6462,K848:K6462,"0",B848:B6462,"5 1 1 1 3 12 31111 6 M59 10100 000132 0000R 00001 00113 015 2111100 2024 CP1CO438 001*")</f>
        <v>0</v>
      </c>
      <c r="H847" s="83">
        <f t="shared" si="13"/>
        <v>367227.22</v>
      </c>
      <c r="I847" s="83"/>
      <c r="K847" s="54" t="s">
        <v>15</v>
      </c>
    </row>
    <row r="848" spans="2:11" ht="33" x14ac:dyDescent="0.2">
      <c r="B848" s="84" t="s">
        <v>2944</v>
      </c>
      <c r="C848" s="84" t="s">
        <v>2932</v>
      </c>
      <c r="D848" s="85">
        <v>0</v>
      </c>
      <c r="E848" s="85"/>
      <c r="F848" s="85">
        <v>367227.22</v>
      </c>
      <c r="G848" s="85">
        <v>0</v>
      </c>
      <c r="H848" s="85">
        <f t="shared" si="13"/>
        <v>367227.22</v>
      </c>
      <c r="I848" s="85"/>
      <c r="K848" s="54" t="s">
        <v>38</v>
      </c>
    </row>
    <row r="849" spans="2:11" ht="16.5" x14ac:dyDescent="0.2">
      <c r="B849" s="82" t="s">
        <v>2945</v>
      </c>
      <c r="C849" s="82" t="s">
        <v>2946</v>
      </c>
      <c r="D849" s="83">
        <f>SUMIFS(D850:D6462,K850:K6462,"0",B850:B6462,"5 1 1 1 3 12 31111 6 M59 10300*")-SUMIFS(E850:E6462,K850:K6462,"0",B850:B6462,"5 1 1 1 3 12 31111 6 M59 10300*")</f>
        <v>0</v>
      </c>
      <c r="E849" s="54"/>
      <c r="F849" s="83">
        <f>SUMIFS(F850:F6462,K850:K6462,"0",B850:B6462,"5 1 1 1 3 12 31111 6 M59 10300*")</f>
        <v>526068.99</v>
      </c>
      <c r="G849" s="83">
        <f>SUMIFS(G850:G6462,K850:K6462,"0",B850:B6462,"5 1 1 1 3 12 31111 6 M59 10300*")</f>
        <v>0</v>
      </c>
      <c r="H849" s="83">
        <f t="shared" si="13"/>
        <v>526068.99</v>
      </c>
      <c r="I849" s="83"/>
      <c r="K849" s="54" t="s">
        <v>15</v>
      </c>
    </row>
    <row r="850" spans="2:11" ht="16.5" x14ac:dyDescent="0.2">
      <c r="B850" s="82" t="s">
        <v>2947</v>
      </c>
      <c r="C850" s="82" t="s">
        <v>648</v>
      </c>
      <c r="D850" s="83">
        <f>SUMIFS(D851:D6462,K851:K6462,"0",B851:B6462,"5 1 1 1 3 12 31111 6 M59 10300 000132*")-SUMIFS(E851:E6462,K851:K6462,"0",B851:B6462,"5 1 1 1 3 12 31111 6 M59 10300 000132*")</f>
        <v>0</v>
      </c>
      <c r="E850" s="54"/>
      <c r="F850" s="83">
        <f>SUMIFS(F851:F6462,K851:K6462,"0",B851:B6462,"5 1 1 1 3 12 31111 6 M59 10300 000132*")</f>
        <v>526068.99</v>
      </c>
      <c r="G850" s="83">
        <f>SUMIFS(G851:G6462,K851:K6462,"0",B851:B6462,"5 1 1 1 3 12 31111 6 M59 10300 000132*")</f>
        <v>0</v>
      </c>
      <c r="H850" s="83">
        <f t="shared" si="13"/>
        <v>526068.99</v>
      </c>
      <c r="I850" s="83"/>
      <c r="K850" s="54" t="s">
        <v>15</v>
      </c>
    </row>
    <row r="851" spans="2:11" ht="16.5" x14ac:dyDescent="0.2">
      <c r="B851" s="82" t="s">
        <v>2948</v>
      </c>
      <c r="C851" s="82" t="s">
        <v>650</v>
      </c>
      <c r="D851" s="83">
        <f>SUMIFS(D852:D6462,K852:K6462,"0",B852:B6462,"5 1 1 1 3 12 31111 6 M59 10300 000132 0000R*")-SUMIFS(E852:E6462,K852:K6462,"0",B852:B6462,"5 1 1 1 3 12 31111 6 M59 10300 000132 0000R*")</f>
        <v>0</v>
      </c>
      <c r="E851" s="54"/>
      <c r="F851" s="83">
        <f>SUMIFS(F852:F6462,K852:K6462,"0",B852:B6462,"5 1 1 1 3 12 31111 6 M59 10300 000132 0000R*")</f>
        <v>526068.99</v>
      </c>
      <c r="G851" s="83">
        <f>SUMIFS(G852:G6462,K852:K6462,"0",B852:B6462,"5 1 1 1 3 12 31111 6 M59 10300 000132 0000R*")</f>
        <v>0</v>
      </c>
      <c r="H851" s="83">
        <f t="shared" si="13"/>
        <v>526068.99</v>
      </c>
      <c r="I851" s="83"/>
      <c r="K851" s="54" t="s">
        <v>15</v>
      </c>
    </row>
    <row r="852" spans="2:11" ht="24.75" x14ac:dyDescent="0.2">
      <c r="B852" s="82" t="s">
        <v>2949</v>
      </c>
      <c r="C852" s="82" t="s">
        <v>282</v>
      </c>
      <c r="D852" s="83">
        <f>SUMIFS(D853:D6462,K853:K6462,"0",B853:B6462,"5 1 1 1 3 12 31111 6 M59 10300 000132 0000R 00001*")-SUMIFS(E853:E6462,K853:K6462,"0",B853:B6462,"5 1 1 1 3 12 31111 6 M59 10300 000132 0000R 00001*")</f>
        <v>0</v>
      </c>
      <c r="E852" s="54"/>
      <c r="F852" s="83">
        <f>SUMIFS(F853:F6462,K853:K6462,"0",B853:B6462,"5 1 1 1 3 12 31111 6 M59 10300 000132 0000R 00001*")</f>
        <v>526068.99</v>
      </c>
      <c r="G852" s="83">
        <f>SUMIFS(G853:G6462,K853:K6462,"0",B853:B6462,"5 1 1 1 3 12 31111 6 M59 10300 000132 0000R 00001*")</f>
        <v>0</v>
      </c>
      <c r="H852" s="83">
        <f t="shared" si="13"/>
        <v>526068.99</v>
      </c>
      <c r="I852" s="83"/>
      <c r="K852" s="54" t="s">
        <v>15</v>
      </c>
    </row>
    <row r="853" spans="2:11" ht="24.75" x14ac:dyDescent="0.2">
      <c r="B853" s="82" t="s">
        <v>2950</v>
      </c>
      <c r="C853" s="82" t="s">
        <v>2924</v>
      </c>
      <c r="D853" s="83">
        <f>SUMIFS(D854:D6462,K854:K6462,"0",B854:B6462,"5 1 1 1 3 12 31111 6 M59 10300 000132 0000R 00001 00113*")-SUMIFS(E854:E6462,K854:K6462,"0",B854:B6462,"5 1 1 1 3 12 31111 6 M59 10300 000132 0000R 00001 00113*")</f>
        <v>0</v>
      </c>
      <c r="E853" s="54"/>
      <c r="F853" s="83">
        <f>SUMIFS(F854:F6462,K854:K6462,"0",B854:B6462,"5 1 1 1 3 12 31111 6 M59 10300 000132 0000R 00001 00113*")</f>
        <v>526068.99</v>
      </c>
      <c r="G853" s="83">
        <f>SUMIFS(G854:G6462,K854:K6462,"0",B854:B6462,"5 1 1 1 3 12 31111 6 M59 10300 000132 0000R 00001 00113*")</f>
        <v>0</v>
      </c>
      <c r="H853" s="83">
        <f t="shared" si="13"/>
        <v>526068.99</v>
      </c>
      <c r="I853" s="83"/>
      <c r="K853" s="54" t="s">
        <v>15</v>
      </c>
    </row>
    <row r="854" spans="2:11" ht="24.75" x14ac:dyDescent="0.2">
      <c r="B854" s="82" t="s">
        <v>2951</v>
      </c>
      <c r="C854" s="82" t="s">
        <v>1051</v>
      </c>
      <c r="D854" s="83">
        <f>SUMIFS(D855:D6462,K855:K6462,"0",B855:B6462,"5 1 1 1 3 12 31111 6 M59 10300 000132 0000R 00001 00113 015*")-SUMIFS(E855:E6462,K855:K6462,"0",B855:B6462,"5 1 1 1 3 12 31111 6 M59 10300 000132 0000R 00001 00113 015*")</f>
        <v>0</v>
      </c>
      <c r="E854" s="54"/>
      <c r="F854" s="83">
        <f>SUMIFS(F855:F6462,K855:K6462,"0",B855:B6462,"5 1 1 1 3 12 31111 6 M59 10300 000132 0000R 00001 00113 015*")</f>
        <v>526068.99</v>
      </c>
      <c r="G854" s="83">
        <f>SUMIFS(G855:G6462,K855:K6462,"0",B855:B6462,"5 1 1 1 3 12 31111 6 M59 10300 000132 0000R 00001 00113 015*")</f>
        <v>0</v>
      </c>
      <c r="H854" s="83">
        <f t="shared" si="13"/>
        <v>526068.99</v>
      </c>
      <c r="I854" s="83"/>
      <c r="K854" s="54" t="s">
        <v>15</v>
      </c>
    </row>
    <row r="855" spans="2:11" ht="33" x14ac:dyDescent="0.2">
      <c r="B855" s="82" t="s">
        <v>2952</v>
      </c>
      <c r="C855" s="82" t="s">
        <v>2927</v>
      </c>
      <c r="D855" s="83">
        <f>SUMIFS(D856:D6462,K856:K6462,"0",B856:B6462,"5 1 1 1 3 12 31111 6 M59 10300 000132 0000R 00001 00113 015 2111100*")-SUMIFS(E856:E6462,K856:K6462,"0",B856:B6462,"5 1 1 1 3 12 31111 6 M59 10300 000132 0000R 00001 00113 015 2111100*")</f>
        <v>0</v>
      </c>
      <c r="E855" s="54"/>
      <c r="F855" s="83">
        <f>SUMIFS(F856:F6462,K856:K6462,"0",B856:B6462,"5 1 1 1 3 12 31111 6 M59 10300 000132 0000R 00001 00113 015 2111100*")</f>
        <v>526068.99</v>
      </c>
      <c r="G855" s="83">
        <f>SUMIFS(G856:G6462,K856:K6462,"0",B856:B6462,"5 1 1 1 3 12 31111 6 M59 10300 000132 0000R 00001 00113 015 2111100*")</f>
        <v>0</v>
      </c>
      <c r="H855" s="83">
        <f t="shared" si="13"/>
        <v>526068.99</v>
      </c>
      <c r="I855" s="83"/>
      <c r="K855" s="54" t="s">
        <v>15</v>
      </c>
    </row>
    <row r="856" spans="2:11" ht="33" x14ac:dyDescent="0.2">
      <c r="B856" s="82" t="s">
        <v>2953</v>
      </c>
      <c r="C856" s="82" t="s">
        <v>660</v>
      </c>
      <c r="D856" s="83">
        <f>SUMIFS(D857:D6462,K857:K6462,"0",B857:B6462,"5 1 1 1 3 12 31111 6 M59 10300 000132 0000R 00001 00113 015 2111100 2024*")-SUMIFS(E857:E6462,K857:K6462,"0",B857:B6462,"5 1 1 1 3 12 31111 6 M59 10300 000132 0000R 00001 00113 015 2111100 2024*")</f>
        <v>0</v>
      </c>
      <c r="E856" s="54"/>
      <c r="F856" s="83">
        <f>SUMIFS(F857:F6462,K857:K6462,"0",B857:B6462,"5 1 1 1 3 12 31111 6 M59 10300 000132 0000R 00001 00113 015 2111100 2024*")</f>
        <v>526068.99</v>
      </c>
      <c r="G856" s="83">
        <f>SUMIFS(G857:G6462,K857:K6462,"0",B857:B6462,"5 1 1 1 3 12 31111 6 M59 10300 000132 0000R 00001 00113 015 2111100 2024*")</f>
        <v>0</v>
      </c>
      <c r="H856" s="83">
        <f t="shared" si="13"/>
        <v>526068.99</v>
      </c>
      <c r="I856" s="83"/>
      <c r="K856" s="54" t="s">
        <v>15</v>
      </c>
    </row>
    <row r="857" spans="2:11" ht="41.25" x14ac:dyDescent="0.2">
      <c r="B857" s="82" t="s">
        <v>2954</v>
      </c>
      <c r="C857" s="82" t="s">
        <v>2955</v>
      </c>
      <c r="D857" s="83">
        <f>SUMIFS(D858:D6462,K858:K6462,"0",B858:B6462,"5 1 1 1 3 12 31111 6 M59 10300 000132 0000R 00001 00113 015 2111100 2024 CP1GE413*")-SUMIFS(E858:E6462,K858:K6462,"0",B858:B6462,"5 1 1 1 3 12 31111 6 M59 10300 000132 0000R 00001 00113 015 2111100 2024 CP1GE413*")</f>
        <v>0</v>
      </c>
      <c r="E857" s="54"/>
      <c r="F857" s="83">
        <f>SUMIFS(F858:F6462,K858:K6462,"0",B858:B6462,"5 1 1 1 3 12 31111 6 M59 10300 000132 0000R 00001 00113 015 2111100 2024 CP1GE413*")</f>
        <v>526068.99</v>
      </c>
      <c r="G857" s="83">
        <f>SUMIFS(G858:G6462,K858:K6462,"0",B858:B6462,"5 1 1 1 3 12 31111 6 M59 10300 000132 0000R 00001 00113 015 2111100 2024 CP1GE413*")</f>
        <v>0</v>
      </c>
      <c r="H857" s="83">
        <f t="shared" si="13"/>
        <v>526068.99</v>
      </c>
      <c r="I857" s="83"/>
      <c r="K857" s="54" t="s">
        <v>15</v>
      </c>
    </row>
    <row r="858" spans="2:11" ht="41.25" x14ac:dyDescent="0.2">
      <c r="B858" s="82" t="s">
        <v>2956</v>
      </c>
      <c r="C858" s="82" t="s">
        <v>282</v>
      </c>
      <c r="D858" s="83">
        <f>SUMIFS(D859:D6462,K859:K6462,"0",B859:B6462,"5 1 1 1 3 12 31111 6 M59 10300 000132 0000R 00001 00113 015 2111100 2024 CP1GE413 001*")-SUMIFS(E859:E6462,K859:K6462,"0",B859:B6462,"5 1 1 1 3 12 31111 6 M59 10300 000132 0000R 00001 00113 015 2111100 2024 CP1GE413 001*")</f>
        <v>0</v>
      </c>
      <c r="E858" s="54"/>
      <c r="F858" s="83">
        <f>SUMIFS(F859:F6462,K859:K6462,"0",B859:B6462,"5 1 1 1 3 12 31111 6 M59 10300 000132 0000R 00001 00113 015 2111100 2024 CP1GE413 001*")</f>
        <v>526068.99</v>
      </c>
      <c r="G858" s="83">
        <f>SUMIFS(G859:G6462,K859:K6462,"0",B859:B6462,"5 1 1 1 3 12 31111 6 M59 10300 000132 0000R 00001 00113 015 2111100 2024 CP1GE413 001*")</f>
        <v>0</v>
      </c>
      <c r="H858" s="83">
        <f t="shared" si="13"/>
        <v>526068.99</v>
      </c>
      <c r="I858" s="83"/>
      <c r="K858" s="54" t="s">
        <v>15</v>
      </c>
    </row>
    <row r="859" spans="2:11" ht="33" x14ac:dyDescent="0.2">
      <c r="B859" s="84" t="s">
        <v>2957</v>
      </c>
      <c r="C859" s="84" t="s">
        <v>2932</v>
      </c>
      <c r="D859" s="85">
        <v>0</v>
      </c>
      <c r="E859" s="85"/>
      <c r="F859" s="85">
        <v>526068.99</v>
      </c>
      <c r="G859" s="85">
        <v>0</v>
      </c>
      <c r="H859" s="85">
        <f t="shared" si="13"/>
        <v>526068.99</v>
      </c>
      <c r="I859" s="85"/>
      <c r="K859" s="54" t="s">
        <v>38</v>
      </c>
    </row>
    <row r="860" spans="2:11" ht="24.75" x14ac:dyDescent="0.2">
      <c r="B860" s="82" t="s">
        <v>2958</v>
      </c>
      <c r="C860" s="82" t="s">
        <v>2959</v>
      </c>
      <c r="D860" s="83">
        <f>SUMIFS(D861:D6462,K861:K6462,"0",B861:B6462,"5 1 1 1 3 12 31111 6 M59 10400*")-SUMIFS(E861:E6462,K861:K6462,"0",B861:B6462,"5 1 1 1 3 12 31111 6 M59 10400*")</f>
        <v>0</v>
      </c>
      <c r="E860" s="54"/>
      <c r="F860" s="83">
        <f>SUMIFS(F861:F6462,K861:K6462,"0",B861:B6462,"5 1 1 1 3 12 31111 6 M59 10400*")</f>
        <v>216902.31</v>
      </c>
      <c r="G860" s="83">
        <f>SUMIFS(G861:G6462,K861:K6462,"0",B861:B6462,"5 1 1 1 3 12 31111 6 M59 10400*")</f>
        <v>0</v>
      </c>
      <c r="H860" s="83">
        <f t="shared" si="13"/>
        <v>216902.31</v>
      </c>
      <c r="I860" s="83"/>
      <c r="K860" s="54" t="s">
        <v>15</v>
      </c>
    </row>
    <row r="861" spans="2:11" ht="16.5" x14ac:dyDescent="0.2">
      <c r="B861" s="82" t="s">
        <v>2960</v>
      </c>
      <c r="C861" s="82" t="s">
        <v>648</v>
      </c>
      <c r="D861" s="83">
        <f>SUMIFS(D862:D6462,K862:K6462,"0",B862:B6462,"5 1 1 1 3 12 31111 6 M59 10400 000132*")-SUMIFS(E862:E6462,K862:K6462,"0",B862:B6462,"5 1 1 1 3 12 31111 6 M59 10400 000132*")</f>
        <v>0</v>
      </c>
      <c r="E861" s="54"/>
      <c r="F861" s="83">
        <f>SUMIFS(F862:F6462,K862:K6462,"0",B862:B6462,"5 1 1 1 3 12 31111 6 M59 10400 000132*")</f>
        <v>216902.31</v>
      </c>
      <c r="G861" s="83">
        <f>SUMIFS(G862:G6462,K862:K6462,"0",B862:B6462,"5 1 1 1 3 12 31111 6 M59 10400 000132*")</f>
        <v>0</v>
      </c>
      <c r="H861" s="83">
        <f t="shared" si="13"/>
        <v>216902.31</v>
      </c>
      <c r="I861" s="83"/>
      <c r="K861" s="54" t="s">
        <v>15</v>
      </c>
    </row>
    <row r="862" spans="2:11" ht="16.5" x14ac:dyDescent="0.2">
      <c r="B862" s="82" t="s">
        <v>2961</v>
      </c>
      <c r="C862" s="82" t="s">
        <v>650</v>
      </c>
      <c r="D862" s="83">
        <f>SUMIFS(D863:D6462,K863:K6462,"0",B863:B6462,"5 1 1 1 3 12 31111 6 M59 10400 000132 0000R*")-SUMIFS(E863:E6462,K863:K6462,"0",B863:B6462,"5 1 1 1 3 12 31111 6 M59 10400 000132 0000R*")</f>
        <v>0</v>
      </c>
      <c r="E862" s="54"/>
      <c r="F862" s="83">
        <f>SUMIFS(F863:F6462,K863:K6462,"0",B863:B6462,"5 1 1 1 3 12 31111 6 M59 10400 000132 0000R*")</f>
        <v>216902.31</v>
      </c>
      <c r="G862" s="83">
        <f>SUMIFS(G863:G6462,K863:K6462,"0",B863:B6462,"5 1 1 1 3 12 31111 6 M59 10400 000132 0000R*")</f>
        <v>0</v>
      </c>
      <c r="H862" s="83">
        <f t="shared" si="13"/>
        <v>216902.31</v>
      </c>
      <c r="I862" s="83"/>
      <c r="K862" s="54" t="s">
        <v>15</v>
      </c>
    </row>
    <row r="863" spans="2:11" ht="24.75" x14ac:dyDescent="0.2">
      <c r="B863" s="82" t="s">
        <v>2962</v>
      </c>
      <c r="C863" s="82" t="s">
        <v>282</v>
      </c>
      <c r="D863" s="83">
        <f>SUMIFS(D864:D6462,K864:K6462,"0",B864:B6462,"5 1 1 1 3 12 31111 6 M59 10400 000132 0000R 00001*")-SUMIFS(E864:E6462,K864:K6462,"0",B864:B6462,"5 1 1 1 3 12 31111 6 M59 10400 000132 0000R 00001*")</f>
        <v>0</v>
      </c>
      <c r="E863" s="54"/>
      <c r="F863" s="83">
        <f>SUMIFS(F864:F6462,K864:K6462,"0",B864:B6462,"5 1 1 1 3 12 31111 6 M59 10400 000132 0000R 00001*")</f>
        <v>216902.31</v>
      </c>
      <c r="G863" s="83">
        <f>SUMIFS(G864:G6462,K864:K6462,"0",B864:B6462,"5 1 1 1 3 12 31111 6 M59 10400 000132 0000R 00001*")</f>
        <v>0</v>
      </c>
      <c r="H863" s="83">
        <f t="shared" si="13"/>
        <v>216902.31</v>
      </c>
      <c r="I863" s="83"/>
      <c r="K863" s="54" t="s">
        <v>15</v>
      </c>
    </row>
    <row r="864" spans="2:11" ht="24.75" x14ac:dyDescent="0.2">
      <c r="B864" s="82" t="s">
        <v>2963</v>
      </c>
      <c r="C864" s="82" t="s">
        <v>2924</v>
      </c>
      <c r="D864" s="83">
        <f>SUMIFS(D865:D6462,K865:K6462,"0",B865:B6462,"5 1 1 1 3 12 31111 6 M59 10400 000132 0000R 00001 00113*")-SUMIFS(E865:E6462,K865:K6462,"0",B865:B6462,"5 1 1 1 3 12 31111 6 M59 10400 000132 0000R 00001 00113*")</f>
        <v>0</v>
      </c>
      <c r="E864" s="54"/>
      <c r="F864" s="83">
        <f>SUMIFS(F865:F6462,K865:K6462,"0",B865:B6462,"5 1 1 1 3 12 31111 6 M59 10400 000132 0000R 00001 00113*")</f>
        <v>216902.31</v>
      </c>
      <c r="G864" s="83">
        <f>SUMIFS(G865:G6462,K865:K6462,"0",B865:B6462,"5 1 1 1 3 12 31111 6 M59 10400 000132 0000R 00001 00113*")</f>
        <v>0</v>
      </c>
      <c r="H864" s="83">
        <f t="shared" si="13"/>
        <v>216902.31</v>
      </c>
      <c r="I864" s="83"/>
      <c r="K864" s="54" t="s">
        <v>15</v>
      </c>
    </row>
    <row r="865" spans="2:11" ht="24.75" x14ac:dyDescent="0.2">
      <c r="B865" s="82" t="s">
        <v>2964</v>
      </c>
      <c r="C865" s="82" t="s">
        <v>1051</v>
      </c>
      <c r="D865" s="83">
        <f>SUMIFS(D866:D6462,K866:K6462,"0",B866:B6462,"5 1 1 1 3 12 31111 6 M59 10400 000132 0000R 00001 00113 015*")-SUMIFS(E866:E6462,K866:K6462,"0",B866:B6462,"5 1 1 1 3 12 31111 6 M59 10400 000132 0000R 00001 00113 015*")</f>
        <v>0</v>
      </c>
      <c r="E865" s="54"/>
      <c r="F865" s="83">
        <f>SUMIFS(F866:F6462,K866:K6462,"0",B866:B6462,"5 1 1 1 3 12 31111 6 M59 10400 000132 0000R 00001 00113 015*")</f>
        <v>216902.31</v>
      </c>
      <c r="G865" s="83">
        <f>SUMIFS(G866:G6462,K866:K6462,"0",B866:B6462,"5 1 1 1 3 12 31111 6 M59 10400 000132 0000R 00001 00113 015*")</f>
        <v>0</v>
      </c>
      <c r="H865" s="83">
        <f t="shared" si="13"/>
        <v>216902.31</v>
      </c>
      <c r="I865" s="83"/>
      <c r="K865" s="54" t="s">
        <v>15</v>
      </c>
    </row>
    <row r="866" spans="2:11" ht="33" x14ac:dyDescent="0.2">
      <c r="B866" s="82" t="s">
        <v>2965</v>
      </c>
      <c r="C866" s="82" t="s">
        <v>2927</v>
      </c>
      <c r="D866" s="83">
        <f>SUMIFS(D867:D6462,K867:K6462,"0",B867:B6462,"5 1 1 1 3 12 31111 6 M59 10400 000132 0000R 00001 00113 015 2111100*")-SUMIFS(E867:E6462,K867:K6462,"0",B867:B6462,"5 1 1 1 3 12 31111 6 M59 10400 000132 0000R 00001 00113 015 2111100*")</f>
        <v>0</v>
      </c>
      <c r="E866" s="54"/>
      <c r="F866" s="83">
        <f>SUMIFS(F867:F6462,K867:K6462,"0",B867:B6462,"5 1 1 1 3 12 31111 6 M59 10400 000132 0000R 00001 00113 015 2111100*")</f>
        <v>216902.31</v>
      </c>
      <c r="G866" s="83">
        <f>SUMIFS(G867:G6462,K867:K6462,"0",B867:B6462,"5 1 1 1 3 12 31111 6 M59 10400 000132 0000R 00001 00113 015 2111100*")</f>
        <v>0</v>
      </c>
      <c r="H866" s="83">
        <f t="shared" si="13"/>
        <v>216902.31</v>
      </c>
      <c r="I866" s="83"/>
      <c r="K866" s="54" t="s">
        <v>15</v>
      </c>
    </row>
    <row r="867" spans="2:11" ht="33" x14ac:dyDescent="0.2">
      <c r="B867" s="82" t="s">
        <v>2966</v>
      </c>
      <c r="C867" s="82" t="s">
        <v>660</v>
      </c>
      <c r="D867" s="83">
        <f>SUMIFS(D868:D6462,K868:K6462,"0",B868:B6462,"5 1 1 1 3 12 31111 6 M59 10400 000132 0000R 00001 00113 015 2111100 2024*")-SUMIFS(E868:E6462,K868:K6462,"0",B868:B6462,"5 1 1 1 3 12 31111 6 M59 10400 000132 0000R 00001 00113 015 2111100 2024*")</f>
        <v>0</v>
      </c>
      <c r="E867" s="54"/>
      <c r="F867" s="83">
        <f>SUMIFS(F868:F6462,K868:K6462,"0",B868:B6462,"5 1 1 1 3 12 31111 6 M59 10400 000132 0000R 00001 00113 015 2111100 2024*")</f>
        <v>216902.31</v>
      </c>
      <c r="G867" s="83">
        <f>SUMIFS(G868:G6462,K868:K6462,"0",B868:B6462,"5 1 1 1 3 12 31111 6 M59 10400 000132 0000R 00001 00113 015 2111100 2024*")</f>
        <v>0</v>
      </c>
      <c r="H867" s="83">
        <f t="shared" si="13"/>
        <v>216902.31</v>
      </c>
      <c r="I867" s="83"/>
      <c r="K867" s="54" t="s">
        <v>15</v>
      </c>
    </row>
    <row r="868" spans="2:11" ht="41.25" x14ac:dyDescent="0.2">
      <c r="B868" s="82" t="s">
        <v>2967</v>
      </c>
      <c r="C868" s="82" t="s">
        <v>1056</v>
      </c>
      <c r="D868" s="83">
        <f>SUMIFS(D869:D6462,K869:K6462,"0",B869:B6462,"5 1 1 1 3 12 31111 6 M59 10400 000132 0000R 00001 00113 015 2111100 2024 CP1CG432*")-SUMIFS(E869:E6462,K869:K6462,"0",B869:B6462,"5 1 1 1 3 12 31111 6 M59 10400 000132 0000R 00001 00113 015 2111100 2024 CP1CG432*")</f>
        <v>0</v>
      </c>
      <c r="E868" s="54"/>
      <c r="F868" s="83">
        <f>SUMIFS(F869:F6462,K869:K6462,"0",B869:B6462,"5 1 1 1 3 12 31111 6 M59 10400 000132 0000R 00001 00113 015 2111100 2024 CP1CG432*")</f>
        <v>216902.31</v>
      </c>
      <c r="G868" s="83">
        <f>SUMIFS(G869:G6462,K869:K6462,"0",B869:B6462,"5 1 1 1 3 12 31111 6 M59 10400 000132 0000R 00001 00113 015 2111100 2024 CP1CG432*")</f>
        <v>0</v>
      </c>
      <c r="H868" s="83">
        <f t="shared" si="13"/>
        <v>216902.31</v>
      </c>
      <c r="I868" s="83"/>
      <c r="K868" s="54" t="s">
        <v>15</v>
      </c>
    </row>
    <row r="869" spans="2:11" ht="41.25" x14ac:dyDescent="0.2">
      <c r="B869" s="82" t="s">
        <v>2968</v>
      </c>
      <c r="C869" s="82" t="s">
        <v>282</v>
      </c>
      <c r="D869" s="83">
        <f>SUMIFS(D870:D6462,K870:K6462,"0",B870:B6462,"5 1 1 1 3 12 31111 6 M59 10400 000132 0000R 00001 00113 015 2111100 2024 CP1CG432 001*")-SUMIFS(E870:E6462,K870:K6462,"0",B870:B6462,"5 1 1 1 3 12 31111 6 M59 10400 000132 0000R 00001 00113 015 2111100 2024 CP1CG432 001*")</f>
        <v>0</v>
      </c>
      <c r="E869" s="54"/>
      <c r="F869" s="83">
        <f>SUMIFS(F870:F6462,K870:K6462,"0",B870:B6462,"5 1 1 1 3 12 31111 6 M59 10400 000132 0000R 00001 00113 015 2111100 2024 CP1CG432 001*")</f>
        <v>216902.31</v>
      </c>
      <c r="G869" s="83">
        <f>SUMIFS(G870:G6462,K870:K6462,"0",B870:B6462,"5 1 1 1 3 12 31111 6 M59 10400 000132 0000R 00001 00113 015 2111100 2024 CP1CG432 001*")</f>
        <v>0</v>
      </c>
      <c r="H869" s="83">
        <f t="shared" si="13"/>
        <v>216902.31</v>
      </c>
      <c r="I869" s="83"/>
      <c r="K869" s="54" t="s">
        <v>15</v>
      </c>
    </row>
    <row r="870" spans="2:11" ht="33" x14ac:dyDescent="0.2">
      <c r="B870" s="84" t="s">
        <v>2969</v>
      </c>
      <c r="C870" s="84" t="s">
        <v>2932</v>
      </c>
      <c r="D870" s="85">
        <v>0</v>
      </c>
      <c r="E870" s="85"/>
      <c r="F870" s="85">
        <v>216902.31</v>
      </c>
      <c r="G870" s="85">
        <v>0</v>
      </c>
      <c r="H870" s="85">
        <f t="shared" si="13"/>
        <v>216902.31</v>
      </c>
      <c r="I870" s="85"/>
      <c r="K870" s="54" t="s">
        <v>38</v>
      </c>
    </row>
    <row r="871" spans="2:11" ht="16.5" x14ac:dyDescent="0.2">
      <c r="B871" s="82" t="s">
        <v>2970</v>
      </c>
      <c r="C871" s="82" t="s">
        <v>2971</v>
      </c>
      <c r="D871" s="83">
        <f>SUMIFS(D872:D6462,K872:K6462,"0",B872:B6462,"5 1 1 1 3 12 31111 6 M59 10500*")-SUMIFS(E872:E6462,K872:K6462,"0",B872:B6462,"5 1 1 1 3 12 31111 6 M59 10500*")</f>
        <v>0</v>
      </c>
      <c r="E871" s="54"/>
      <c r="F871" s="83">
        <f>SUMIFS(F872:F6462,K872:K6462,"0",B872:B6462,"5 1 1 1 3 12 31111 6 M59 10500*")</f>
        <v>757333.46</v>
      </c>
      <c r="G871" s="83">
        <f>SUMIFS(G872:G6462,K872:K6462,"0",B872:B6462,"5 1 1 1 3 12 31111 6 M59 10500*")</f>
        <v>0</v>
      </c>
      <c r="H871" s="83">
        <f t="shared" si="13"/>
        <v>757333.46</v>
      </c>
      <c r="I871" s="83"/>
      <c r="K871" s="54" t="s">
        <v>15</v>
      </c>
    </row>
    <row r="872" spans="2:11" ht="16.5" x14ac:dyDescent="0.2">
      <c r="B872" s="82" t="s">
        <v>2972</v>
      </c>
      <c r="C872" s="82" t="s">
        <v>648</v>
      </c>
      <c r="D872" s="83">
        <f>SUMIFS(D873:D6462,K873:K6462,"0",B873:B6462,"5 1 1 1 3 12 31111 6 M59 10500 000132*")-SUMIFS(E873:E6462,K873:K6462,"0",B873:B6462,"5 1 1 1 3 12 31111 6 M59 10500 000132*")</f>
        <v>0</v>
      </c>
      <c r="E872" s="54"/>
      <c r="F872" s="83">
        <f>SUMIFS(F873:F6462,K873:K6462,"0",B873:B6462,"5 1 1 1 3 12 31111 6 M59 10500 000132*")</f>
        <v>757333.46</v>
      </c>
      <c r="G872" s="83">
        <f>SUMIFS(G873:G6462,K873:K6462,"0",B873:B6462,"5 1 1 1 3 12 31111 6 M59 10500 000132*")</f>
        <v>0</v>
      </c>
      <c r="H872" s="83">
        <f t="shared" si="13"/>
        <v>757333.46</v>
      </c>
      <c r="I872" s="83"/>
      <c r="K872" s="54" t="s">
        <v>15</v>
      </c>
    </row>
    <row r="873" spans="2:11" ht="16.5" x14ac:dyDescent="0.2">
      <c r="B873" s="82" t="s">
        <v>2973</v>
      </c>
      <c r="C873" s="82" t="s">
        <v>650</v>
      </c>
      <c r="D873" s="83">
        <f>SUMIFS(D874:D6462,K874:K6462,"0",B874:B6462,"5 1 1 1 3 12 31111 6 M59 10500 000132 0000R*")-SUMIFS(E874:E6462,K874:K6462,"0",B874:B6462,"5 1 1 1 3 12 31111 6 M59 10500 000132 0000R*")</f>
        <v>0</v>
      </c>
      <c r="E873" s="54"/>
      <c r="F873" s="83">
        <f>SUMIFS(F874:F6462,K874:K6462,"0",B874:B6462,"5 1 1 1 3 12 31111 6 M59 10500 000132 0000R*")</f>
        <v>757333.46</v>
      </c>
      <c r="G873" s="83">
        <f>SUMIFS(G874:G6462,K874:K6462,"0",B874:B6462,"5 1 1 1 3 12 31111 6 M59 10500 000132 0000R*")</f>
        <v>0</v>
      </c>
      <c r="H873" s="83">
        <f t="shared" si="13"/>
        <v>757333.46</v>
      </c>
      <c r="I873" s="83"/>
      <c r="K873" s="54" t="s">
        <v>15</v>
      </c>
    </row>
    <row r="874" spans="2:11" ht="24.75" x14ac:dyDescent="0.2">
      <c r="B874" s="82" t="s">
        <v>2974</v>
      </c>
      <c r="C874" s="82" t="s">
        <v>282</v>
      </c>
      <c r="D874" s="83">
        <f>SUMIFS(D875:D6462,K875:K6462,"0",B875:B6462,"5 1 1 1 3 12 31111 6 M59 10500 000132 0000R 00001*")-SUMIFS(E875:E6462,K875:K6462,"0",B875:B6462,"5 1 1 1 3 12 31111 6 M59 10500 000132 0000R 00001*")</f>
        <v>0</v>
      </c>
      <c r="E874" s="54"/>
      <c r="F874" s="83">
        <f>SUMIFS(F875:F6462,K875:K6462,"0",B875:B6462,"5 1 1 1 3 12 31111 6 M59 10500 000132 0000R 00001*")</f>
        <v>757333.46</v>
      </c>
      <c r="G874" s="83">
        <f>SUMIFS(G875:G6462,K875:K6462,"0",B875:B6462,"5 1 1 1 3 12 31111 6 M59 10500 000132 0000R 00001*")</f>
        <v>0</v>
      </c>
      <c r="H874" s="83">
        <f t="shared" si="13"/>
        <v>757333.46</v>
      </c>
      <c r="I874" s="83"/>
      <c r="K874" s="54" t="s">
        <v>15</v>
      </c>
    </row>
    <row r="875" spans="2:11" ht="24.75" x14ac:dyDescent="0.2">
      <c r="B875" s="82" t="s">
        <v>2975</v>
      </c>
      <c r="C875" s="82" t="s">
        <v>2924</v>
      </c>
      <c r="D875" s="83">
        <f>SUMIFS(D876:D6462,K876:K6462,"0",B876:B6462,"5 1 1 1 3 12 31111 6 M59 10500 000132 0000R 00001 00113*")-SUMIFS(E876:E6462,K876:K6462,"0",B876:B6462,"5 1 1 1 3 12 31111 6 M59 10500 000132 0000R 00001 00113*")</f>
        <v>0</v>
      </c>
      <c r="E875" s="54"/>
      <c r="F875" s="83">
        <f>SUMIFS(F876:F6462,K876:K6462,"0",B876:B6462,"5 1 1 1 3 12 31111 6 M59 10500 000132 0000R 00001 00113*")</f>
        <v>757333.46</v>
      </c>
      <c r="G875" s="83">
        <f>SUMIFS(G876:G6462,K876:K6462,"0",B876:B6462,"5 1 1 1 3 12 31111 6 M59 10500 000132 0000R 00001 00113*")</f>
        <v>0</v>
      </c>
      <c r="H875" s="83">
        <f t="shared" ref="H875:H938" si="14">D875 + F875 - G875</f>
        <v>757333.46</v>
      </c>
      <c r="I875" s="83"/>
      <c r="K875" s="54" t="s">
        <v>15</v>
      </c>
    </row>
    <row r="876" spans="2:11" ht="24.75" x14ac:dyDescent="0.2">
      <c r="B876" s="82" t="s">
        <v>2976</v>
      </c>
      <c r="C876" s="82" t="s">
        <v>1051</v>
      </c>
      <c r="D876" s="83">
        <f>SUMIFS(D877:D6462,K877:K6462,"0",B877:B6462,"5 1 1 1 3 12 31111 6 M59 10500 000132 0000R 00001 00113 015*")-SUMIFS(E877:E6462,K877:K6462,"0",B877:B6462,"5 1 1 1 3 12 31111 6 M59 10500 000132 0000R 00001 00113 015*")</f>
        <v>0</v>
      </c>
      <c r="E876" s="54"/>
      <c r="F876" s="83">
        <f>SUMIFS(F877:F6462,K877:K6462,"0",B877:B6462,"5 1 1 1 3 12 31111 6 M59 10500 000132 0000R 00001 00113 015*")</f>
        <v>757333.46</v>
      </c>
      <c r="G876" s="83">
        <f>SUMIFS(G877:G6462,K877:K6462,"0",B877:B6462,"5 1 1 1 3 12 31111 6 M59 10500 000132 0000R 00001 00113 015*")</f>
        <v>0</v>
      </c>
      <c r="H876" s="83">
        <f t="shared" si="14"/>
        <v>757333.46</v>
      </c>
      <c r="I876" s="83"/>
      <c r="K876" s="54" t="s">
        <v>15</v>
      </c>
    </row>
    <row r="877" spans="2:11" ht="33" x14ac:dyDescent="0.2">
      <c r="B877" s="82" t="s">
        <v>2977</v>
      </c>
      <c r="C877" s="82" t="s">
        <v>2927</v>
      </c>
      <c r="D877" s="83">
        <f>SUMIFS(D878:D6462,K878:K6462,"0",B878:B6462,"5 1 1 1 3 12 31111 6 M59 10500 000132 0000R 00001 00113 015 2111100*")-SUMIFS(E878:E6462,K878:K6462,"0",B878:B6462,"5 1 1 1 3 12 31111 6 M59 10500 000132 0000R 00001 00113 015 2111100*")</f>
        <v>0</v>
      </c>
      <c r="E877" s="54"/>
      <c r="F877" s="83">
        <f>SUMIFS(F878:F6462,K878:K6462,"0",B878:B6462,"5 1 1 1 3 12 31111 6 M59 10500 000132 0000R 00001 00113 015 2111100*")</f>
        <v>757333.46</v>
      </c>
      <c r="G877" s="83">
        <f>SUMIFS(G878:G6462,K878:K6462,"0",B878:B6462,"5 1 1 1 3 12 31111 6 M59 10500 000132 0000R 00001 00113 015 2111100*")</f>
        <v>0</v>
      </c>
      <c r="H877" s="83">
        <f t="shared" si="14"/>
        <v>757333.46</v>
      </c>
      <c r="I877" s="83"/>
      <c r="K877" s="54" t="s">
        <v>15</v>
      </c>
    </row>
    <row r="878" spans="2:11" ht="33" x14ac:dyDescent="0.2">
      <c r="B878" s="82" t="s">
        <v>2978</v>
      </c>
      <c r="C878" s="82" t="s">
        <v>660</v>
      </c>
      <c r="D878" s="83">
        <f>SUMIFS(D879:D6462,K879:K6462,"0",B879:B6462,"5 1 1 1 3 12 31111 6 M59 10500 000132 0000R 00001 00113 015 2111100 2024*")-SUMIFS(E879:E6462,K879:K6462,"0",B879:B6462,"5 1 1 1 3 12 31111 6 M59 10500 000132 0000R 00001 00113 015 2111100 2024*")</f>
        <v>0</v>
      </c>
      <c r="E878" s="54"/>
      <c r="F878" s="83">
        <f>SUMIFS(F879:F6462,K879:K6462,"0",B879:B6462,"5 1 1 1 3 12 31111 6 M59 10500 000132 0000R 00001 00113 015 2111100 2024*")</f>
        <v>757333.46</v>
      </c>
      <c r="G878" s="83">
        <f>SUMIFS(G879:G6462,K879:K6462,"0",B879:B6462,"5 1 1 1 3 12 31111 6 M59 10500 000132 0000R 00001 00113 015 2111100 2024*")</f>
        <v>0</v>
      </c>
      <c r="H878" s="83">
        <f t="shared" si="14"/>
        <v>757333.46</v>
      </c>
      <c r="I878" s="83"/>
      <c r="K878" s="54" t="s">
        <v>15</v>
      </c>
    </row>
    <row r="879" spans="2:11" ht="41.25" x14ac:dyDescent="0.2">
      <c r="B879" s="82" t="s">
        <v>2979</v>
      </c>
      <c r="C879" s="82" t="s">
        <v>1056</v>
      </c>
      <c r="D879" s="83">
        <f>SUMIFS(D880:D6462,K880:K6462,"0",B880:B6462,"5 1 1 1 3 12 31111 6 M59 10500 000132 0000R 00001 00113 015 2111100 2024 CP1CS421*")-SUMIFS(E880:E6462,K880:K6462,"0",B880:B6462,"5 1 1 1 3 12 31111 6 M59 10500 000132 0000R 00001 00113 015 2111100 2024 CP1CS421*")</f>
        <v>0</v>
      </c>
      <c r="E879" s="54"/>
      <c r="F879" s="83">
        <f>SUMIFS(F880:F6462,K880:K6462,"0",B880:B6462,"5 1 1 1 3 12 31111 6 M59 10500 000132 0000R 00001 00113 015 2111100 2024 CP1CS421*")</f>
        <v>757333.46</v>
      </c>
      <c r="G879" s="83">
        <f>SUMIFS(G880:G6462,K880:K6462,"0",B880:B6462,"5 1 1 1 3 12 31111 6 M59 10500 000132 0000R 00001 00113 015 2111100 2024 CP1CS421*")</f>
        <v>0</v>
      </c>
      <c r="H879" s="83">
        <f t="shared" si="14"/>
        <v>757333.46</v>
      </c>
      <c r="I879" s="83"/>
      <c r="K879" s="54" t="s">
        <v>15</v>
      </c>
    </row>
    <row r="880" spans="2:11" ht="41.25" x14ac:dyDescent="0.2">
      <c r="B880" s="82" t="s">
        <v>2980</v>
      </c>
      <c r="C880" s="82" t="s">
        <v>282</v>
      </c>
      <c r="D880" s="83">
        <f>SUMIFS(D881:D6462,K881:K6462,"0",B881:B6462,"5 1 1 1 3 12 31111 6 M59 10500 000132 0000R 00001 00113 015 2111100 2024 CP1CS421 001*")-SUMIFS(E881:E6462,K881:K6462,"0",B881:B6462,"5 1 1 1 3 12 31111 6 M59 10500 000132 0000R 00001 00113 015 2111100 2024 CP1CS421 001*")</f>
        <v>0</v>
      </c>
      <c r="E880" s="54"/>
      <c r="F880" s="83">
        <f>SUMIFS(F881:F6462,K881:K6462,"0",B881:B6462,"5 1 1 1 3 12 31111 6 M59 10500 000132 0000R 00001 00113 015 2111100 2024 CP1CS421 001*")</f>
        <v>757333.46</v>
      </c>
      <c r="G880" s="83">
        <f>SUMIFS(G881:G6462,K881:K6462,"0",B881:B6462,"5 1 1 1 3 12 31111 6 M59 10500 000132 0000R 00001 00113 015 2111100 2024 CP1CS421 001*")</f>
        <v>0</v>
      </c>
      <c r="H880" s="83">
        <f t="shared" si="14"/>
        <v>757333.46</v>
      </c>
      <c r="I880" s="83"/>
      <c r="K880" s="54" t="s">
        <v>15</v>
      </c>
    </row>
    <row r="881" spans="2:11" ht="33" x14ac:dyDescent="0.2">
      <c r="B881" s="84" t="s">
        <v>2981</v>
      </c>
      <c r="C881" s="84" t="s">
        <v>2932</v>
      </c>
      <c r="D881" s="85">
        <v>0</v>
      </c>
      <c r="E881" s="85"/>
      <c r="F881" s="85">
        <v>757333.46</v>
      </c>
      <c r="G881" s="85">
        <v>0</v>
      </c>
      <c r="H881" s="85">
        <f t="shared" si="14"/>
        <v>757333.46</v>
      </c>
      <c r="I881" s="85"/>
      <c r="K881" s="54" t="s">
        <v>38</v>
      </c>
    </row>
    <row r="882" spans="2:11" ht="16.5" x14ac:dyDescent="0.2">
      <c r="B882" s="82" t="s">
        <v>2982</v>
      </c>
      <c r="C882" s="82" t="s">
        <v>2983</v>
      </c>
      <c r="D882" s="83">
        <f>SUMIFS(D883:D6462,K883:K6462,"0",B883:B6462,"5 1 1 1 3 12 31111 6 M59 10600*")-SUMIFS(E883:E6462,K883:K6462,"0",B883:B6462,"5 1 1 1 3 12 31111 6 M59 10600*")</f>
        <v>0</v>
      </c>
      <c r="E882" s="54"/>
      <c r="F882" s="83">
        <f>SUMIFS(F883:F6462,K883:K6462,"0",B883:B6462,"5 1 1 1 3 12 31111 6 M59 10600*")</f>
        <v>4124300</v>
      </c>
      <c r="G882" s="83">
        <f>SUMIFS(G883:G6462,K883:K6462,"0",B883:B6462,"5 1 1 1 3 12 31111 6 M59 10600*")</f>
        <v>0</v>
      </c>
      <c r="H882" s="83">
        <f t="shared" si="14"/>
        <v>4124300</v>
      </c>
      <c r="I882" s="83"/>
      <c r="K882" s="54" t="s">
        <v>15</v>
      </c>
    </row>
    <row r="883" spans="2:11" ht="16.5" x14ac:dyDescent="0.2">
      <c r="B883" s="82" t="s">
        <v>2984</v>
      </c>
      <c r="C883" s="82" t="s">
        <v>648</v>
      </c>
      <c r="D883" s="83">
        <f>SUMIFS(D884:D6462,K884:K6462,"0",B884:B6462,"5 1 1 1 3 12 31111 6 M59 10600 000132*")-SUMIFS(E884:E6462,K884:K6462,"0",B884:B6462,"5 1 1 1 3 12 31111 6 M59 10600 000132*")</f>
        <v>0</v>
      </c>
      <c r="E883" s="54"/>
      <c r="F883" s="83">
        <f>SUMIFS(F884:F6462,K884:K6462,"0",B884:B6462,"5 1 1 1 3 12 31111 6 M59 10600 000132*")</f>
        <v>4124300</v>
      </c>
      <c r="G883" s="83">
        <f>SUMIFS(G884:G6462,K884:K6462,"0",B884:B6462,"5 1 1 1 3 12 31111 6 M59 10600 000132*")</f>
        <v>0</v>
      </c>
      <c r="H883" s="83">
        <f t="shared" si="14"/>
        <v>4124300</v>
      </c>
      <c r="I883" s="83"/>
      <c r="K883" s="54" t="s">
        <v>15</v>
      </c>
    </row>
    <row r="884" spans="2:11" ht="16.5" x14ac:dyDescent="0.2">
      <c r="B884" s="82" t="s">
        <v>2985</v>
      </c>
      <c r="C884" s="82" t="s">
        <v>650</v>
      </c>
      <c r="D884" s="83">
        <f>SUMIFS(D885:D6462,K885:K6462,"0",B885:B6462,"5 1 1 1 3 12 31111 6 M59 10600 000132 0000R*")-SUMIFS(E885:E6462,K885:K6462,"0",B885:B6462,"5 1 1 1 3 12 31111 6 M59 10600 000132 0000R*")</f>
        <v>0</v>
      </c>
      <c r="E884" s="54"/>
      <c r="F884" s="83">
        <f>SUMIFS(F885:F6462,K885:K6462,"0",B885:B6462,"5 1 1 1 3 12 31111 6 M59 10600 000132 0000R*")</f>
        <v>4124300</v>
      </c>
      <c r="G884" s="83">
        <f>SUMIFS(G885:G6462,K885:K6462,"0",B885:B6462,"5 1 1 1 3 12 31111 6 M59 10600 000132 0000R*")</f>
        <v>0</v>
      </c>
      <c r="H884" s="83">
        <f t="shared" si="14"/>
        <v>4124300</v>
      </c>
      <c r="I884" s="83"/>
      <c r="K884" s="54" t="s">
        <v>15</v>
      </c>
    </row>
    <row r="885" spans="2:11" ht="24.75" x14ac:dyDescent="0.2">
      <c r="B885" s="82" t="s">
        <v>2986</v>
      </c>
      <c r="C885" s="82" t="s">
        <v>282</v>
      </c>
      <c r="D885" s="83">
        <f>SUMIFS(D886:D6462,K886:K6462,"0",B886:B6462,"5 1 1 1 3 12 31111 6 M59 10600 000132 0000R 00001*")-SUMIFS(E886:E6462,K886:K6462,"0",B886:B6462,"5 1 1 1 3 12 31111 6 M59 10600 000132 0000R 00001*")</f>
        <v>0</v>
      </c>
      <c r="E885" s="54"/>
      <c r="F885" s="83">
        <f>SUMIFS(F886:F6462,K886:K6462,"0",B886:B6462,"5 1 1 1 3 12 31111 6 M59 10600 000132 0000R 00001*")</f>
        <v>4124300</v>
      </c>
      <c r="G885" s="83">
        <f>SUMIFS(G886:G6462,K886:K6462,"0",B886:B6462,"5 1 1 1 3 12 31111 6 M59 10600 000132 0000R 00001*")</f>
        <v>0</v>
      </c>
      <c r="H885" s="83">
        <f t="shared" si="14"/>
        <v>4124300</v>
      </c>
      <c r="I885" s="83"/>
      <c r="K885" s="54" t="s">
        <v>15</v>
      </c>
    </row>
    <row r="886" spans="2:11" ht="24.75" x14ac:dyDescent="0.2">
      <c r="B886" s="82" t="s">
        <v>2987</v>
      </c>
      <c r="C886" s="82" t="s">
        <v>2924</v>
      </c>
      <c r="D886" s="83">
        <f>SUMIFS(D887:D6462,K887:K6462,"0",B887:B6462,"5 1 1 1 3 12 31111 6 M59 10600 000132 0000R 00001 00113*")-SUMIFS(E887:E6462,K887:K6462,"0",B887:B6462,"5 1 1 1 3 12 31111 6 M59 10600 000132 0000R 00001 00113*")</f>
        <v>0</v>
      </c>
      <c r="E886" s="54"/>
      <c r="F886" s="83">
        <f>SUMIFS(F887:F6462,K887:K6462,"0",B887:B6462,"5 1 1 1 3 12 31111 6 M59 10600 000132 0000R 00001 00113*")</f>
        <v>4124300</v>
      </c>
      <c r="G886" s="83">
        <f>SUMIFS(G887:G6462,K887:K6462,"0",B887:B6462,"5 1 1 1 3 12 31111 6 M59 10600 000132 0000R 00001 00113*")</f>
        <v>0</v>
      </c>
      <c r="H886" s="83">
        <f t="shared" si="14"/>
        <v>4124300</v>
      </c>
      <c r="I886" s="83"/>
      <c r="K886" s="54" t="s">
        <v>15</v>
      </c>
    </row>
    <row r="887" spans="2:11" ht="24.75" x14ac:dyDescent="0.2">
      <c r="B887" s="82" t="s">
        <v>2988</v>
      </c>
      <c r="C887" s="82" t="s">
        <v>1051</v>
      </c>
      <c r="D887" s="83">
        <f>SUMIFS(D888:D6462,K888:K6462,"0",B888:B6462,"5 1 1 1 3 12 31111 6 M59 10600 000132 0000R 00001 00113 015*")-SUMIFS(E888:E6462,K888:K6462,"0",B888:B6462,"5 1 1 1 3 12 31111 6 M59 10600 000132 0000R 00001 00113 015*")</f>
        <v>0</v>
      </c>
      <c r="E887" s="54"/>
      <c r="F887" s="83">
        <f>SUMIFS(F888:F6462,K888:K6462,"0",B888:B6462,"5 1 1 1 3 12 31111 6 M59 10600 000132 0000R 00001 00113 015*")</f>
        <v>4124300</v>
      </c>
      <c r="G887" s="83">
        <f>SUMIFS(G888:G6462,K888:K6462,"0",B888:B6462,"5 1 1 1 3 12 31111 6 M59 10600 000132 0000R 00001 00113 015*")</f>
        <v>0</v>
      </c>
      <c r="H887" s="83">
        <f t="shared" si="14"/>
        <v>4124300</v>
      </c>
      <c r="I887" s="83"/>
      <c r="K887" s="54" t="s">
        <v>15</v>
      </c>
    </row>
    <row r="888" spans="2:11" ht="33" x14ac:dyDescent="0.2">
      <c r="B888" s="82" t="s">
        <v>2989</v>
      </c>
      <c r="C888" s="82" t="s">
        <v>2927</v>
      </c>
      <c r="D888" s="83">
        <f>SUMIFS(D889:D6462,K889:K6462,"0",B889:B6462,"5 1 1 1 3 12 31111 6 M59 10600 000132 0000R 00001 00113 015 2111100*")-SUMIFS(E889:E6462,K889:K6462,"0",B889:B6462,"5 1 1 1 3 12 31111 6 M59 10600 000132 0000R 00001 00113 015 2111100*")</f>
        <v>0</v>
      </c>
      <c r="E888" s="54"/>
      <c r="F888" s="83">
        <f>SUMIFS(F889:F6462,K889:K6462,"0",B889:B6462,"5 1 1 1 3 12 31111 6 M59 10600 000132 0000R 00001 00113 015 2111100*")</f>
        <v>4124300</v>
      </c>
      <c r="G888" s="83">
        <f>SUMIFS(G889:G6462,K889:K6462,"0",B889:B6462,"5 1 1 1 3 12 31111 6 M59 10600 000132 0000R 00001 00113 015 2111100*")</f>
        <v>0</v>
      </c>
      <c r="H888" s="83">
        <f t="shared" si="14"/>
        <v>4124300</v>
      </c>
      <c r="I888" s="83"/>
      <c r="K888" s="54" t="s">
        <v>15</v>
      </c>
    </row>
    <row r="889" spans="2:11" ht="33" x14ac:dyDescent="0.2">
      <c r="B889" s="82" t="s">
        <v>2990</v>
      </c>
      <c r="C889" s="82" t="s">
        <v>660</v>
      </c>
      <c r="D889" s="83">
        <f>SUMIFS(D890:D6462,K890:K6462,"0",B890:B6462,"5 1 1 1 3 12 31111 6 M59 10600 000132 0000R 00001 00113 015 2111100 2024*")-SUMIFS(E890:E6462,K890:K6462,"0",B890:B6462,"5 1 1 1 3 12 31111 6 M59 10600 000132 0000R 00001 00113 015 2111100 2024*")</f>
        <v>0</v>
      </c>
      <c r="E889" s="54"/>
      <c r="F889" s="83">
        <f>SUMIFS(F890:F6462,K890:K6462,"0",B890:B6462,"5 1 1 1 3 12 31111 6 M59 10600 000132 0000R 00001 00113 015 2111100 2024*")</f>
        <v>4124300</v>
      </c>
      <c r="G889" s="83">
        <f>SUMIFS(G890:G6462,K890:K6462,"0",B890:B6462,"5 1 1 1 3 12 31111 6 M59 10600 000132 0000R 00001 00113 015 2111100 2024*")</f>
        <v>0</v>
      </c>
      <c r="H889" s="83">
        <f t="shared" si="14"/>
        <v>4124300</v>
      </c>
      <c r="I889" s="83"/>
      <c r="K889" s="54" t="s">
        <v>15</v>
      </c>
    </row>
    <row r="890" spans="2:11" ht="41.25" x14ac:dyDescent="0.2">
      <c r="B890" s="82" t="s">
        <v>2991</v>
      </c>
      <c r="C890" s="82" t="s">
        <v>2992</v>
      </c>
      <c r="D890" s="83">
        <f>SUMIFS(D891:D6462,K891:K6462,"0",B891:B6462,"5 1 1 1 3 12 31111 6 M59 10600 000132 0000R 00001 00113 015 2111100 2024 CP1CM436*")-SUMIFS(E891:E6462,K891:K6462,"0",B891:B6462,"5 1 1 1 3 12 31111 6 M59 10600 000132 0000R 00001 00113 015 2111100 2024 CP1CM436*")</f>
        <v>0</v>
      </c>
      <c r="E890" s="54"/>
      <c r="F890" s="83">
        <f>SUMIFS(F891:F6462,K891:K6462,"0",B891:B6462,"5 1 1 1 3 12 31111 6 M59 10600 000132 0000R 00001 00113 015 2111100 2024 CP1CM436*")</f>
        <v>4124300</v>
      </c>
      <c r="G890" s="83">
        <f>SUMIFS(G891:G6462,K891:K6462,"0",B891:B6462,"5 1 1 1 3 12 31111 6 M59 10600 000132 0000R 00001 00113 015 2111100 2024 CP1CM436*")</f>
        <v>0</v>
      </c>
      <c r="H890" s="83">
        <f t="shared" si="14"/>
        <v>4124300</v>
      </c>
      <c r="I890" s="83"/>
      <c r="K890" s="54" t="s">
        <v>15</v>
      </c>
    </row>
    <row r="891" spans="2:11" ht="41.25" x14ac:dyDescent="0.2">
      <c r="B891" s="82" t="s">
        <v>2993</v>
      </c>
      <c r="C891" s="82" t="s">
        <v>282</v>
      </c>
      <c r="D891" s="83">
        <f>SUMIFS(D892:D6462,K892:K6462,"0",B892:B6462,"5 1 1 1 3 12 31111 6 M59 10600 000132 0000R 00001 00113 015 2111100 2024 CP1CM436 001*")-SUMIFS(E892:E6462,K892:K6462,"0",B892:B6462,"5 1 1 1 3 12 31111 6 M59 10600 000132 0000R 00001 00113 015 2111100 2024 CP1CM436 001*")</f>
        <v>0</v>
      </c>
      <c r="E891" s="54"/>
      <c r="F891" s="83">
        <f>SUMIFS(F892:F6462,K892:K6462,"0",B892:B6462,"5 1 1 1 3 12 31111 6 M59 10600 000132 0000R 00001 00113 015 2111100 2024 CP1CM436 001*")</f>
        <v>4124300</v>
      </c>
      <c r="G891" s="83">
        <f>SUMIFS(G892:G6462,K892:K6462,"0",B892:B6462,"5 1 1 1 3 12 31111 6 M59 10600 000132 0000R 00001 00113 015 2111100 2024 CP1CM436 001*")</f>
        <v>0</v>
      </c>
      <c r="H891" s="83">
        <f t="shared" si="14"/>
        <v>4124300</v>
      </c>
      <c r="I891" s="83"/>
      <c r="K891" s="54" t="s">
        <v>15</v>
      </c>
    </row>
    <row r="892" spans="2:11" ht="33" x14ac:dyDescent="0.2">
      <c r="B892" s="84" t="s">
        <v>2994</v>
      </c>
      <c r="C892" s="84" t="s">
        <v>2932</v>
      </c>
      <c r="D892" s="85">
        <v>0</v>
      </c>
      <c r="E892" s="85"/>
      <c r="F892" s="85">
        <v>4124300</v>
      </c>
      <c r="G892" s="85">
        <v>0</v>
      </c>
      <c r="H892" s="85">
        <f t="shared" si="14"/>
        <v>4124300</v>
      </c>
      <c r="I892" s="85"/>
      <c r="K892" s="54" t="s">
        <v>38</v>
      </c>
    </row>
    <row r="893" spans="2:11" ht="16.5" x14ac:dyDescent="0.2">
      <c r="B893" s="82" t="s">
        <v>2995</v>
      </c>
      <c r="C893" s="82" t="s">
        <v>2996</v>
      </c>
      <c r="D893" s="83">
        <f>SUMIFS(D894:D6462,K894:K6462,"0",B894:B6462,"5 1 1 1 3 12 31111 6 M59 10700*")-SUMIFS(E894:E6462,K894:K6462,"0",B894:B6462,"5 1 1 1 3 12 31111 6 M59 10700*")</f>
        <v>0</v>
      </c>
      <c r="E893" s="54"/>
      <c r="F893" s="83">
        <f>SUMIFS(F894:F6462,K894:K6462,"0",B894:B6462,"5 1 1 1 3 12 31111 6 M59 10700*")</f>
        <v>314834.81</v>
      </c>
      <c r="G893" s="83">
        <f>SUMIFS(G894:G6462,K894:K6462,"0",B894:B6462,"5 1 1 1 3 12 31111 6 M59 10700*")</f>
        <v>0</v>
      </c>
      <c r="H893" s="83">
        <f t="shared" si="14"/>
        <v>314834.81</v>
      </c>
      <c r="I893" s="83"/>
      <c r="K893" s="54" t="s">
        <v>15</v>
      </c>
    </row>
    <row r="894" spans="2:11" ht="16.5" x14ac:dyDescent="0.2">
      <c r="B894" s="82" t="s">
        <v>2997</v>
      </c>
      <c r="C894" s="82" t="s">
        <v>648</v>
      </c>
      <c r="D894" s="83">
        <f>SUMIFS(D895:D6462,K895:K6462,"0",B895:B6462,"5 1 1 1 3 12 31111 6 M59 10700 000132*")-SUMIFS(E895:E6462,K895:K6462,"0",B895:B6462,"5 1 1 1 3 12 31111 6 M59 10700 000132*")</f>
        <v>0</v>
      </c>
      <c r="E894" s="54"/>
      <c r="F894" s="83">
        <f>SUMIFS(F895:F6462,K895:K6462,"0",B895:B6462,"5 1 1 1 3 12 31111 6 M59 10700 000132*")</f>
        <v>314834.81</v>
      </c>
      <c r="G894" s="83">
        <f>SUMIFS(G895:G6462,K895:K6462,"0",B895:B6462,"5 1 1 1 3 12 31111 6 M59 10700 000132*")</f>
        <v>0</v>
      </c>
      <c r="H894" s="83">
        <f t="shared" si="14"/>
        <v>314834.81</v>
      </c>
      <c r="I894" s="83"/>
      <c r="K894" s="54" t="s">
        <v>15</v>
      </c>
    </row>
    <row r="895" spans="2:11" ht="16.5" x14ac:dyDescent="0.2">
      <c r="B895" s="82" t="s">
        <v>2998</v>
      </c>
      <c r="C895" s="82" t="s">
        <v>650</v>
      </c>
      <c r="D895" s="83">
        <f>SUMIFS(D896:D6462,K896:K6462,"0",B896:B6462,"5 1 1 1 3 12 31111 6 M59 10700 000132 0000R*")-SUMIFS(E896:E6462,K896:K6462,"0",B896:B6462,"5 1 1 1 3 12 31111 6 M59 10700 000132 0000R*")</f>
        <v>0</v>
      </c>
      <c r="E895" s="54"/>
      <c r="F895" s="83">
        <f>SUMIFS(F896:F6462,K896:K6462,"0",B896:B6462,"5 1 1 1 3 12 31111 6 M59 10700 000132 0000R*")</f>
        <v>314834.81</v>
      </c>
      <c r="G895" s="83">
        <f>SUMIFS(G896:G6462,K896:K6462,"0",B896:B6462,"5 1 1 1 3 12 31111 6 M59 10700 000132 0000R*")</f>
        <v>0</v>
      </c>
      <c r="H895" s="83">
        <f t="shared" si="14"/>
        <v>314834.81</v>
      </c>
      <c r="I895" s="83"/>
      <c r="K895" s="54" t="s">
        <v>15</v>
      </c>
    </row>
    <row r="896" spans="2:11" ht="24.75" x14ac:dyDescent="0.2">
      <c r="B896" s="82" t="s">
        <v>2999</v>
      </c>
      <c r="C896" s="82" t="s">
        <v>282</v>
      </c>
      <c r="D896" s="83">
        <f>SUMIFS(D897:D6462,K897:K6462,"0",B897:B6462,"5 1 1 1 3 12 31111 6 M59 10700 000132 0000R 00001*")-SUMIFS(E897:E6462,K897:K6462,"0",B897:B6462,"5 1 1 1 3 12 31111 6 M59 10700 000132 0000R 00001*")</f>
        <v>0</v>
      </c>
      <c r="E896" s="54"/>
      <c r="F896" s="83">
        <f>SUMIFS(F897:F6462,K897:K6462,"0",B897:B6462,"5 1 1 1 3 12 31111 6 M59 10700 000132 0000R 00001*")</f>
        <v>314834.81</v>
      </c>
      <c r="G896" s="83">
        <f>SUMIFS(G897:G6462,K897:K6462,"0",B897:B6462,"5 1 1 1 3 12 31111 6 M59 10700 000132 0000R 00001*")</f>
        <v>0</v>
      </c>
      <c r="H896" s="83">
        <f t="shared" si="14"/>
        <v>314834.81</v>
      </c>
      <c r="I896" s="83"/>
      <c r="K896" s="54" t="s">
        <v>15</v>
      </c>
    </row>
    <row r="897" spans="2:11" ht="24.75" x14ac:dyDescent="0.2">
      <c r="B897" s="82" t="s">
        <v>3000</v>
      </c>
      <c r="C897" s="82" t="s">
        <v>2924</v>
      </c>
      <c r="D897" s="83">
        <f>SUMIFS(D898:D6462,K898:K6462,"0",B898:B6462,"5 1 1 1 3 12 31111 6 M59 10700 000132 0000R 00001 00113*")-SUMIFS(E898:E6462,K898:K6462,"0",B898:B6462,"5 1 1 1 3 12 31111 6 M59 10700 000132 0000R 00001 00113*")</f>
        <v>0</v>
      </c>
      <c r="E897" s="54"/>
      <c r="F897" s="83">
        <f>SUMIFS(F898:F6462,K898:K6462,"0",B898:B6462,"5 1 1 1 3 12 31111 6 M59 10700 000132 0000R 00001 00113*")</f>
        <v>314834.81</v>
      </c>
      <c r="G897" s="83">
        <f>SUMIFS(G898:G6462,K898:K6462,"0",B898:B6462,"5 1 1 1 3 12 31111 6 M59 10700 000132 0000R 00001 00113*")</f>
        <v>0</v>
      </c>
      <c r="H897" s="83">
        <f t="shared" si="14"/>
        <v>314834.81</v>
      </c>
      <c r="I897" s="83"/>
      <c r="K897" s="54" t="s">
        <v>15</v>
      </c>
    </row>
    <row r="898" spans="2:11" ht="24.75" x14ac:dyDescent="0.2">
      <c r="B898" s="82" t="s">
        <v>3001</v>
      </c>
      <c r="C898" s="82" t="s">
        <v>1051</v>
      </c>
      <c r="D898" s="83">
        <f>SUMIFS(D899:D6462,K899:K6462,"0",B899:B6462,"5 1 1 1 3 12 31111 6 M59 10700 000132 0000R 00001 00113 015*")-SUMIFS(E899:E6462,K899:K6462,"0",B899:B6462,"5 1 1 1 3 12 31111 6 M59 10700 000132 0000R 00001 00113 015*")</f>
        <v>0</v>
      </c>
      <c r="E898" s="54"/>
      <c r="F898" s="83">
        <f>SUMIFS(F899:F6462,K899:K6462,"0",B899:B6462,"5 1 1 1 3 12 31111 6 M59 10700 000132 0000R 00001 00113 015*")</f>
        <v>314834.81</v>
      </c>
      <c r="G898" s="83">
        <f>SUMIFS(G899:G6462,K899:K6462,"0",B899:B6462,"5 1 1 1 3 12 31111 6 M59 10700 000132 0000R 00001 00113 015*")</f>
        <v>0</v>
      </c>
      <c r="H898" s="83">
        <f t="shared" si="14"/>
        <v>314834.81</v>
      </c>
      <c r="I898" s="83"/>
      <c r="K898" s="54" t="s">
        <v>15</v>
      </c>
    </row>
    <row r="899" spans="2:11" ht="33" x14ac:dyDescent="0.2">
      <c r="B899" s="82" t="s">
        <v>3002</v>
      </c>
      <c r="C899" s="82" t="s">
        <v>2927</v>
      </c>
      <c r="D899" s="83">
        <f>SUMIFS(D900:D6462,K900:K6462,"0",B900:B6462,"5 1 1 1 3 12 31111 6 M59 10700 000132 0000R 00001 00113 015 2111100*")-SUMIFS(E900:E6462,K900:K6462,"0",B900:B6462,"5 1 1 1 3 12 31111 6 M59 10700 000132 0000R 00001 00113 015 2111100*")</f>
        <v>0</v>
      </c>
      <c r="E899" s="54"/>
      <c r="F899" s="83">
        <f>SUMIFS(F900:F6462,K900:K6462,"0",B900:B6462,"5 1 1 1 3 12 31111 6 M59 10700 000132 0000R 00001 00113 015 2111100*")</f>
        <v>314834.81</v>
      </c>
      <c r="G899" s="83">
        <f>SUMIFS(G900:G6462,K900:K6462,"0",B900:B6462,"5 1 1 1 3 12 31111 6 M59 10700 000132 0000R 00001 00113 015 2111100*")</f>
        <v>0</v>
      </c>
      <c r="H899" s="83">
        <f t="shared" si="14"/>
        <v>314834.81</v>
      </c>
      <c r="I899" s="83"/>
      <c r="K899" s="54" t="s">
        <v>15</v>
      </c>
    </row>
    <row r="900" spans="2:11" ht="33" x14ac:dyDescent="0.2">
      <c r="B900" s="82" t="s">
        <v>3003</v>
      </c>
      <c r="C900" s="82" t="s">
        <v>660</v>
      </c>
      <c r="D900" s="83">
        <f>SUMIFS(D901:D6462,K901:K6462,"0",B901:B6462,"5 1 1 1 3 12 31111 6 M59 10700 000132 0000R 00001 00113 015 2111100 2024*")-SUMIFS(E901:E6462,K901:K6462,"0",B901:B6462,"5 1 1 1 3 12 31111 6 M59 10700 000132 0000R 00001 00113 015 2111100 2024*")</f>
        <v>0</v>
      </c>
      <c r="E900" s="54"/>
      <c r="F900" s="83">
        <f>SUMIFS(F901:F6462,K901:K6462,"0",B901:B6462,"5 1 1 1 3 12 31111 6 M59 10700 000132 0000R 00001 00113 015 2111100 2024*")</f>
        <v>314834.81</v>
      </c>
      <c r="G900" s="83">
        <f>SUMIFS(G901:G6462,K901:K6462,"0",B901:B6462,"5 1 1 1 3 12 31111 6 M59 10700 000132 0000R 00001 00113 015 2111100 2024*")</f>
        <v>0</v>
      </c>
      <c r="H900" s="83">
        <f t="shared" si="14"/>
        <v>314834.81</v>
      </c>
      <c r="I900" s="83"/>
      <c r="K900" s="54" t="s">
        <v>15</v>
      </c>
    </row>
    <row r="901" spans="2:11" ht="41.25" x14ac:dyDescent="0.2">
      <c r="B901" s="82" t="s">
        <v>3004</v>
      </c>
      <c r="C901" s="82" t="s">
        <v>1056</v>
      </c>
      <c r="D901" s="83">
        <f>SUMIFS(D902:D6462,K902:K6462,"0",B902:B6462,"5 1 1 1 3 12 31111 6 M59 10700 000132 0000R 00001 00113 015 2111100 2024 CP1GB435*")-SUMIFS(E902:E6462,K902:K6462,"0",B902:B6462,"5 1 1 1 3 12 31111 6 M59 10700 000132 0000R 00001 00113 015 2111100 2024 CP1GB435*")</f>
        <v>0</v>
      </c>
      <c r="E901" s="54"/>
      <c r="F901" s="83">
        <f>SUMIFS(F902:F6462,K902:K6462,"0",B902:B6462,"5 1 1 1 3 12 31111 6 M59 10700 000132 0000R 00001 00113 015 2111100 2024 CP1GB435*")</f>
        <v>314834.81</v>
      </c>
      <c r="G901" s="83">
        <f>SUMIFS(G902:G6462,K902:K6462,"0",B902:B6462,"5 1 1 1 3 12 31111 6 M59 10700 000132 0000R 00001 00113 015 2111100 2024 CP1GB435*")</f>
        <v>0</v>
      </c>
      <c r="H901" s="83">
        <f t="shared" si="14"/>
        <v>314834.81</v>
      </c>
      <c r="I901" s="83"/>
      <c r="K901" s="54" t="s">
        <v>15</v>
      </c>
    </row>
    <row r="902" spans="2:11" ht="41.25" x14ac:dyDescent="0.2">
      <c r="B902" s="82" t="s">
        <v>3005</v>
      </c>
      <c r="C902" s="82" t="s">
        <v>282</v>
      </c>
      <c r="D902" s="83">
        <f>SUMIFS(D903:D6462,K903:K6462,"0",B903:B6462,"5 1 1 1 3 12 31111 6 M59 10700 000132 0000R 00001 00113 015 2111100 2024 CP1GB435 001*")-SUMIFS(E903:E6462,K903:K6462,"0",B903:B6462,"5 1 1 1 3 12 31111 6 M59 10700 000132 0000R 00001 00113 015 2111100 2024 CP1GB435 001*")</f>
        <v>0</v>
      </c>
      <c r="E902" s="54"/>
      <c r="F902" s="83">
        <f>SUMIFS(F903:F6462,K903:K6462,"0",B903:B6462,"5 1 1 1 3 12 31111 6 M59 10700 000132 0000R 00001 00113 015 2111100 2024 CP1GB435 001*")</f>
        <v>314834.81</v>
      </c>
      <c r="G902" s="83">
        <f>SUMIFS(G903:G6462,K903:K6462,"0",B903:B6462,"5 1 1 1 3 12 31111 6 M59 10700 000132 0000R 00001 00113 015 2111100 2024 CP1GB435 001*")</f>
        <v>0</v>
      </c>
      <c r="H902" s="83">
        <f t="shared" si="14"/>
        <v>314834.81</v>
      </c>
      <c r="I902" s="83"/>
      <c r="K902" s="54" t="s">
        <v>15</v>
      </c>
    </row>
    <row r="903" spans="2:11" ht="33" x14ac:dyDescent="0.2">
      <c r="B903" s="84" t="s">
        <v>3006</v>
      </c>
      <c r="C903" s="84" t="s">
        <v>2932</v>
      </c>
      <c r="D903" s="85">
        <v>0</v>
      </c>
      <c r="E903" s="85"/>
      <c r="F903" s="85">
        <v>314834.81</v>
      </c>
      <c r="G903" s="85">
        <v>0</v>
      </c>
      <c r="H903" s="85">
        <f t="shared" si="14"/>
        <v>314834.81</v>
      </c>
      <c r="I903" s="85"/>
      <c r="K903" s="54" t="s">
        <v>38</v>
      </c>
    </row>
    <row r="904" spans="2:11" ht="16.5" x14ac:dyDescent="0.2">
      <c r="B904" s="82" t="s">
        <v>3007</v>
      </c>
      <c r="C904" s="82" t="s">
        <v>3008</v>
      </c>
      <c r="D904" s="83">
        <f>SUMIFS(D905:D6462,K905:K6462,"0",B905:B6462,"5 1 1 1 3 12 31111 6 M59 10800*")-SUMIFS(E905:E6462,K905:K6462,"0",B905:B6462,"5 1 1 1 3 12 31111 6 M59 10800*")</f>
        <v>0</v>
      </c>
      <c r="E904" s="54"/>
      <c r="F904" s="83">
        <f>SUMIFS(F905:F6462,K905:K6462,"0",B905:B6462,"5 1 1 1 3 12 31111 6 M59 10800*")</f>
        <v>3104286.46</v>
      </c>
      <c r="G904" s="83">
        <f>SUMIFS(G905:G6462,K905:K6462,"0",B905:B6462,"5 1 1 1 3 12 31111 6 M59 10800*")</f>
        <v>0</v>
      </c>
      <c r="H904" s="83">
        <f t="shared" si="14"/>
        <v>3104286.46</v>
      </c>
      <c r="I904" s="83"/>
      <c r="K904" s="54" t="s">
        <v>15</v>
      </c>
    </row>
    <row r="905" spans="2:11" ht="16.5" x14ac:dyDescent="0.2">
      <c r="B905" s="82" t="s">
        <v>3009</v>
      </c>
      <c r="C905" s="82" t="s">
        <v>648</v>
      </c>
      <c r="D905" s="83">
        <f>SUMIFS(D906:D6462,K906:K6462,"0",B906:B6462,"5 1 1 1 3 12 31111 6 M59 10800 000132*")-SUMIFS(E906:E6462,K906:K6462,"0",B906:B6462,"5 1 1 1 3 12 31111 6 M59 10800 000132*")</f>
        <v>0</v>
      </c>
      <c r="E905" s="54"/>
      <c r="F905" s="83">
        <f>SUMIFS(F906:F6462,K906:K6462,"0",B906:B6462,"5 1 1 1 3 12 31111 6 M59 10800 000132*")</f>
        <v>3104286.46</v>
      </c>
      <c r="G905" s="83">
        <f>SUMIFS(G906:G6462,K906:K6462,"0",B906:B6462,"5 1 1 1 3 12 31111 6 M59 10800 000132*")</f>
        <v>0</v>
      </c>
      <c r="H905" s="83">
        <f t="shared" si="14"/>
        <v>3104286.46</v>
      </c>
      <c r="I905" s="83"/>
      <c r="K905" s="54" t="s">
        <v>15</v>
      </c>
    </row>
    <row r="906" spans="2:11" ht="16.5" x14ac:dyDescent="0.2">
      <c r="B906" s="82" t="s">
        <v>3010</v>
      </c>
      <c r="C906" s="82" t="s">
        <v>650</v>
      </c>
      <c r="D906" s="83">
        <f>SUMIFS(D907:D6462,K907:K6462,"0",B907:B6462,"5 1 1 1 3 12 31111 6 M59 10800 000132 0000R*")-SUMIFS(E907:E6462,K907:K6462,"0",B907:B6462,"5 1 1 1 3 12 31111 6 M59 10800 000132 0000R*")</f>
        <v>0</v>
      </c>
      <c r="E906" s="54"/>
      <c r="F906" s="83">
        <f>SUMIFS(F907:F6462,K907:K6462,"0",B907:B6462,"5 1 1 1 3 12 31111 6 M59 10800 000132 0000R*")</f>
        <v>3104286.46</v>
      </c>
      <c r="G906" s="83">
        <f>SUMIFS(G907:G6462,K907:K6462,"0",B907:B6462,"5 1 1 1 3 12 31111 6 M59 10800 000132 0000R*")</f>
        <v>0</v>
      </c>
      <c r="H906" s="83">
        <f t="shared" si="14"/>
        <v>3104286.46</v>
      </c>
      <c r="I906" s="83"/>
      <c r="K906" s="54" t="s">
        <v>15</v>
      </c>
    </row>
    <row r="907" spans="2:11" ht="24.75" x14ac:dyDescent="0.2">
      <c r="B907" s="82" t="s">
        <v>3011</v>
      </c>
      <c r="C907" s="82" t="s">
        <v>282</v>
      </c>
      <c r="D907" s="83">
        <f>SUMIFS(D908:D6462,K908:K6462,"0",B908:B6462,"5 1 1 1 3 12 31111 6 M59 10800 000132 0000R 00001*")-SUMIFS(E908:E6462,K908:K6462,"0",B908:B6462,"5 1 1 1 3 12 31111 6 M59 10800 000132 0000R 00001*")</f>
        <v>0</v>
      </c>
      <c r="E907" s="54"/>
      <c r="F907" s="83">
        <f>SUMIFS(F908:F6462,K908:K6462,"0",B908:B6462,"5 1 1 1 3 12 31111 6 M59 10800 000132 0000R 00001*")</f>
        <v>3104286.46</v>
      </c>
      <c r="G907" s="83">
        <f>SUMIFS(G908:G6462,K908:K6462,"0",B908:B6462,"5 1 1 1 3 12 31111 6 M59 10800 000132 0000R 00001*")</f>
        <v>0</v>
      </c>
      <c r="H907" s="83">
        <f t="shared" si="14"/>
        <v>3104286.46</v>
      </c>
      <c r="I907" s="83"/>
      <c r="K907" s="54" t="s">
        <v>15</v>
      </c>
    </row>
    <row r="908" spans="2:11" ht="24.75" x14ac:dyDescent="0.2">
      <c r="B908" s="82" t="s">
        <v>3012</v>
      </c>
      <c r="C908" s="82" t="s">
        <v>2924</v>
      </c>
      <c r="D908" s="83">
        <f>SUMIFS(D909:D6462,K909:K6462,"0",B909:B6462,"5 1 1 1 3 12 31111 6 M59 10800 000132 0000R 00001 00113*")-SUMIFS(E909:E6462,K909:K6462,"0",B909:B6462,"5 1 1 1 3 12 31111 6 M59 10800 000132 0000R 00001 00113*")</f>
        <v>0</v>
      </c>
      <c r="E908" s="54"/>
      <c r="F908" s="83">
        <f>SUMIFS(F909:F6462,K909:K6462,"0",B909:B6462,"5 1 1 1 3 12 31111 6 M59 10800 000132 0000R 00001 00113*")</f>
        <v>3104286.46</v>
      </c>
      <c r="G908" s="83">
        <f>SUMIFS(G909:G6462,K909:K6462,"0",B909:B6462,"5 1 1 1 3 12 31111 6 M59 10800 000132 0000R 00001 00113*")</f>
        <v>0</v>
      </c>
      <c r="H908" s="83">
        <f t="shared" si="14"/>
        <v>3104286.46</v>
      </c>
      <c r="I908" s="83"/>
      <c r="K908" s="54" t="s">
        <v>15</v>
      </c>
    </row>
    <row r="909" spans="2:11" ht="24.75" x14ac:dyDescent="0.2">
      <c r="B909" s="82" t="s">
        <v>3013</v>
      </c>
      <c r="C909" s="82" t="s">
        <v>1051</v>
      </c>
      <c r="D909" s="83">
        <f>SUMIFS(D910:D6462,K910:K6462,"0",B910:B6462,"5 1 1 1 3 12 31111 6 M59 10800 000132 0000R 00001 00113 015*")-SUMIFS(E910:E6462,K910:K6462,"0",B910:B6462,"5 1 1 1 3 12 31111 6 M59 10800 000132 0000R 00001 00113 015*")</f>
        <v>0</v>
      </c>
      <c r="E909" s="54"/>
      <c r="F909" s="83">
        <f>SUMIFS(F910:F6462,K910:K6462,"0",B910:B6462,"5 1 1 1 3 12 31111 6 M59 10800 000132 0000R 00001 00113 015*")</f>
        <v>3104286.46</v>
      </c>
      <c r="G909" s="83">
        <f>SUMIFS(G910:G6462,K910:K6462,"0",B910:B6462,"5 1 1 1 3 12 31111 6 M59 10800 000132 0000R 00001 00113 015*")</f>
        <v>0</v>
      </c>
      <c r="H909" s="83">
        <f t="shared" si="14"/>
        <v>3104286.46</v>
      </c>
      <c r="I909" s="83"/>
      <c r="K909" s="54" t="s">
        <v>15</v>
      </c>
    </row>
    <row r="910" spans="2:11" ht="33" x14ac:dyDescent="0.2">
      <c r="B910" s="82" t="s">
        <v>3014</v>
      </c>
      <c r="C910" s="82" t="s">
        <v>2927</v>
      </c>
      <c r="D910" s="83">
        <f>SUMIFS(D911:D6462,K911:K6462,"0",B911:B6462,"5 1 1 1 3 12 31111 6 M59 10800 000132 0000R 00001 00113 015 2111100*")-SUMIFS(E911:E6462,K911:K6462,"0",B911:B6462,"5 1 1 1 3 12 31111 6 M59 10800 000132 0000R 00001 00113 015 2111100*")</f>
        <v>0</v>
      </c>
      <c r="E910" s="54"/>
      <c r="F910" s="83">
        <f>SUMIFS(F911:F6462,K911:K6462,"0",B911:B6462,"5 1 1 1 3 12 31111 6 M59 10800 000132 0000R 00001 00113 015 2111100*")</f>
        <v>3104286.46</v>
      </c>
      <c r="G910" s="83">
        <f>SUMIFS(G911:G6462,K911:K6462,"0",B911:B6462,"5 1 1 1 3 12 31111 6 M59 10800 000132 0000R 00001 00113 015 2111100*")</f>
        <v>0</v>
      </c>
      <c r="H910" s="83">
        <f t="shared" si="14"/>
        <v>3104286.46</v>
      </c>
      <c r="I910" s="83"/>
      <c r="K910" s="54" t="s">
        <v>15</v>
      </c>
    </row>
    <row r="911" spans="2:11" ht="33" x14ac:dyDescent="0.2">
      <c r="B911" s="82" t="s">
        <v>3015</v>
      </c>
      <c r="C911" s="82" t="s">
        <v>660</v>
      </c>
      <c r="D911" s="83">
        <f>SUMIFS(D912:D6462,K912:K6462,"0",B912:B6462,"5 1 1 1 3 12 31111 6 M59 10800 000132 0000R 00001 00113 015 2111100 2024*")-SUMIFS(E912:E6462,K912:K6462,"0",B912:B6462,"5 1 1 1 3 12 31111 6 M59 10800 000132 0000R 00001 00113 015 2111100 2024*")</f>
        <v>0</v>
      </c>
      <c r="E911" s="54"/>
      <c r="F911" s="83">
        <f>SUMIFS(F912:F6462,K912:K6462,"0",B912:B6462,"5 1 1 1 3 12 31111 6 M59 10800 000132 0000R 00001 00113 015 2111100 2024*")</f>
        <v>3104286.46</v>
      </c>
      <c r="G911" s="83">
        <f>SUMIFS(G912:G6462,K912:K6462,"0",B912:B6462,"5 1 1 1 3 12 31111 6 M59 10800 000132 0000R 00001 00113 015 2111100 2024*")</f>
        <v>0</v>
      </c>
      <c r="H911" s="83">
        <f t="shared" si="14"/>
        <v>3104286.46</v>
      </c>
      <c r="I911" s="83"/>
      <c r="K911" s="54" t="s">
        <v>15</v>
      </c>
    </row>
    <row r="912" spans="2:11" ht="41.25" x14ac:dyDescent="0.2">
      <c r="B912" s="82" t="s">
        <v>3016</v>
      </c>
      <c r="C912" s="82" t="s">
        <v>662</v>
      </c>
      <c r="D912" s="83">
        <f>SUMIFS(D913:D6462,K913:K6462,"0",B913:B6462,"5 1 1 1 3 12 31111 6 M59 10800 000132 0000R 00001 00113 015 2111100 2024 CP1SR390*")-SUMIFS(E913:E6462,K913:K6462,"0",B913:B6462,"5 1 1 1 3 12 31111 6 M59 10800 000132 0000R 00001 00113 015 2111100 2024 CP1SR390*")</f>
        <v>0</v>
      </c>
      <c r="E912" s="54"/>
      <c r="F912" s="83">
        <f>SUMIFS(F913:F6462,K913:K6462,"0",B913:B6462,"5 1 1 1 3 12 31111 6 M59 10800 000132 0000R 00001 00113 015 2111100 2024 CP1SR390*")</f>
        <v>3104286.46</v>
      </c>
      <c r="G912" s="83">
        <f>SUMIFS(G913:G6462,K913:K6462,"0",B913:B6462,"5 1 1 1 3 12 31111 6 M59 10800 000132 0000R 00001 00113 015 2111100 2024 CP1SR390*")</f>
        <v>0</v>
      </c>
      <c r="H912" s="83">
        <f t="shared" si="14"/>
        <v>3104286.46</v>
      </c>
      <c r="I912" s="83"/>
      <c r="K912" s="54" t="s">
        <v>15</v>
      </c>
    </row>
    <row r="913" spans="2:11" ht="41.25" x14ac:dyDescent="0.2">
      <c r="B913" s="82" t="s">
        <v>3017</v>
      </c>
      <c r="C913" s="82" t="s">
        <v>282</v>
      </c>
      <c r="D913" s="83">
        <f>SUMIFS(D914:D6462,K914:K6462,"0",B914:B6462,"5 1 1 1 3 12 31111 6 M59 10800 000132 0000R 00001 00113 015 2111100 2024 CP1SR390 001*")-SUMIFS(E914:E6462,K914:K6462,"0",B914:B6462,"5 1 1 1 3 12 31111 6 M59 10800 000132 0000R 00001 00113 015 2111100 2024 CP1SR390 001*")</f>
        <v>0</v>
      </c>
      <c r="E913" s="54"/>
      <c r="F913" s="83">
        <f>SUMIFS(F914:F6462,K914:K6462,"0",B914:B6462,"5 1 1 1 3 12 31111 6 M59 10800 000132 0000R 00001 00113 015 2111100 2024 CP1SR390 001*")</f>
        <v>3104286.46</v>
      </c>
      <c r="G913" s="83">
        <f>SUMIFS(G914:G6462,K914:K6462,"0",B914:B6462,"5 1 1 1 3 12 31111 6 M59 10800 000132 0000R 00001 00113 015 2111100 2024 CP1SR390 001*")</f>
        <v>0</v>
      </c>
      <c r="H913" s="83">
        <f t="shared" si="14"/>
        <v>3104286.46</v>
      </c>
      <c r="I913" s="83"/>
      <c r="K913" s="54" t="s">
        <v>15</v>
      </c>
    </row>
    <row r="914" spans="2:11" ht="33" x14ac:dyDescent="0.2">
      <c r="B914" s="84" t="s">
        <v>3018</v>
      </c>
      <c r="C914" s="84" t="s">
        <v>2932</v>
      </c>
      <c r="D914" s="85">
        <v>0</v>
      </c>
      <c r="E914" s="85"/>
      <c r="F914" s="85">
        <v>3104286.46</v>
      </c>
      <c r="G914" s="85">
        <v>0</v>
      </c>
      <c r="H914" s="85">
        <f t="shared" si="14"/>
        <v>3104286.46</v>
      </c>
      <c r="I914" s="85"/>
      <c r="K914" s="54" t="s">
        <v>38</v>
      </c>
    </row>
    <row r="915" spans="2:11" ht="16.5" x14ac:dyDescent="0.2">
      <c r="B915" s="82" t="s">
        <v>3019</v>
      </c>
      <c r="C915" s="82" t="s">
        <v>3020</v>
      </c>
      <c r="D915" s="83">
        <f>SUMIFS(D916:D6462,K916:K6462,"0",B916:B6462,"5 1 1 1 3 12 31111 6 M59 11000*")-SUMIFS(E916:E6462,K916:K6462,"0",B916:B6462,"5 1 1 1 3 12 31111 6 M59 11000*")</f>
        <v>0</v>
      </c>
      <c r="E915" s="54"/>
      <c r="F915" s="83">
        <f>SUMIFS(F916:F6462,K916:K6462,"0",B916:B6462,"5 1 1 1 3 12 31111 6 M59 11000*")</f>
        <v>663931.80000000005</v>
      </c>
      <c r="G915" s="83">
        <f>SUMIFS(G916:G6462,K916:K6462,"0",B916:B6462,"5 1 1 1 3 12 31111 6 M59 11000*")</f>
        <v>0</v>
      </c>
      <c r="H915" s="83">
        <f t="shared" si="14"/>
        <v>663931.80000000005</v>
      </c>
      <c r="I915" s="83"/>
      <c r="K915" s="54" t="s">
        <v>15</v>
      </c>
    </row>
    <row r="916" spans="2:11" ht="16.5" x14ac:dyDescent="0.2">
      <c r="B916" s="82" t="s">
        <v>3021</v>
      </c>
      <c r="C916" s="82" t="s">
        <v>648</v>
      </c>
      <c r="D916" s="83">
        <f>SUMIFS(D917:D6462,K917:K6462,"0",B917:B6462,"5 1 1 1 3 12 31111 6 M59 11000 000132*")-SUMIFS(E917:E6462,K917:K6462,"0",B917:B6462,"5 1 1 1 3 12 31111 6 M59 11000 000132*")</f>
        <v>0</v>
      </c>
      <c r="E916" s="54"/>
      <c r="F916" s="83">
        <f>SUMIFS(F917:F6462,K917:K6462,"0",B917:B6462,"5 1 1 1 3 12 31111 6 M59 11000 000132*")</f>
        <v>663931.80000000005</v>
      </c>
      <c r="G916" s="83">
        <f>SUMIFS(G917:G6462,K917:K6462,"0",B917:B6462,"5 1 1 1 3 12 31111 6 M59 11000 000132*")</f>
        <v>0</v>
      </c>
      <c r="H916" s="83">
        <f t="shared" si="14"/>
        <v>663931.80000000005</v>
      </c>
      <c r="I916" s="83"/>
      <c r="K916" s="54" t="s">
        <v>15</v>
      </c>
    </row>
    <row r="917" spans="2:11" ht="16.5" x14ac:dyDescent="0.2">
      <c r="B917" s="82" t="s">
        <v>3022</v>
      </c>
      <c r="C917" s="82" t="s">
        <v>650</v>
      </c>
      <c r="D917" s="83">
        <f>SUMIFS(D918:D6462,K918:K6462,"0",B918:B6462,"5 1 1 1 3 12 31111 6 M59 11000 000132 0000R*")-SUMIFS(E918:E6462,K918:K6462,"0",B918:B6462,"5 1 1 1 3 12 31111 6 M59 11000 000132 0000R*")</f>
        <v>0</v>
      </c>
      <c r="E917" s="54"/>
      <c r="F917" s="83">
        <f>SUMIFS(F918:F6462,K918:K6462,"0",B918:B6462,"5 1 1 1 3 12 31111 6 M59 11000 000132 0000R*")</f>
        <v>663931.80000000005</v>
      </c>
      <c r="G917" s="83">
        <f>SUMIFS(G918:G6462,K918:K6462,"0",B918:B6462,"5 1 1 1 3 12 31111 6 M59 11000 000132 0000R*")</f>
        <v>0</v>
      </c>
      <c r="H917" s="83">
        <f t="shared" si="14"/>
        <v>663931.80000000005</v>
      </c>
      <c r="I917" s="83"/>
      <c r="K917" s="54" t="s">
        <v>15</v>
      </c>
    </row>
    <row r="918" spans="2:11" ht="24.75" x14ac:dyDescent="0.2">
      <c r="B918" s="82" t="s">
        <v>3023</v>
      </c>
      <c r="C918" s="82" t="s">
        <v>282</v>
      </c>
      <c r="D918" s="83">
        <f>SUMIFS(D919:D6462,K919:K6462,"0",B919:B6462,"5 1 1 1 3 12 31111 6 M59 11000 000132 0000R 00001*")-SUMIFS(E919:E6462,K919:K6462,"0",B919:B6462,"5 1 1 1 3 12 31111 6 M59 11000 000132 0000R 00001*")</f>
        <v>0</v>
      </c>
      <c r="E918" s="54"/>
      <c r="F918" s="83">
        <f>SUMIFS(F919:F6462,K919:K6462,"0",B919:B6462,"5 1 1 1 3 12 31111 6 M59 11000 000132 0000R 00001*")</f>
        <v>663931.80000000005</v>
      </c>
      <c r="G918" s="83">
        <f>SUMIFS(G919:G6462,K919:K6462,"0",B919:B6462,"5 1 1 1 3 12 31111 6 M59 11000 000132 0000R 00001*")</f>
        <v>0</v>
      </c>
      <c r="H918" s="83">
        <f t="shared" si="14"/>
        <v>663931.80000000005</v>
      </c>
      <c r="I918" s="83"/>
      <c r="K918" s="54" t="s">
        <v>15</v>
      </c>
    </row>
    <row r="919" spans="2:11" ht="24.75" x14ac:dyDescent="0.2">
      <c r="B919" s="82" t="s">
        <v>3024</v>
      </c>
      <c r="C919" s="82" t="s">
        <v>2924</v>
      </c>
      <c r="D919" s="83">
        <f>SUMIFS(D920:D6462,K920:K6462,"0",B920:B6462,"5 1 1 1 3 12 31111 6 M59 11000 000132 0000R 00001 00113*")-SUMIFS(E920:E6462,K920:K6462,"0",B920:B6462,"5 1 1 1 3 12 31111 6 M59 11000 000132 0000R 00001 00113*")</f>
        <v>0</v>
      </c>
      <c r="E919" s="54"/>
      <c r="F919" s="83">
        <f>SUMIFS(F920:F6462,K920:K6462,"0",B920:B6462,"5 1 1 1 3 12 31111 6 M59 11000 000132 0000R 00001 00113*")</f>
        <v>663931.80000000005</v>
      </c>
      <c r="G919" s="83">
        <f>SUMIFS(G920:G6462,K920:K6462,"0",B920:B6462,"5 1 1 1 3 12 31111 6 M59 11000 000132 0000R 00001 00113*")</f>
        <v>0</v>
      </c>
      <c r="H919" s="83">
        <f t="shared" si="14"/>
        <v>663931.80000000005</v>
      </c>
      <c r="I919" s="83"/>
      <c r="K919" s="54" t="s">
        <v>15</v>
      </c>
    </row>
    <row r="920" spans="2:11" ht="24.75" x14ac:dyDescent="0.2">
      <c r="B920" s="82" t="s">
        <v>3025</v>
      </c>
      <c r="C920" s="82" t="s">
        <v>1051</v>
      </c>
      <c r="D920" s="83">
        <f>SUMIFS(D921:D6462,K921:K6462,"0",B921:B6462,"5 1 1 1 3 12 31111 6 M59 11000 000132 0000R 00001 00113 015*")-SUMIFS(E921:E6462,K921:K6462,"0",B921:B6462,"5 1 1 1 3 12 31111 6 M59 11000 000132 0000R 00001 00113 015*")</f>
        <v>0</v>
      </c>
      <c r="E920" s="54"/>
      <c r="F920" s="83">
        <f>SUMIFS(F921:F6462,K921:K6462,"0",B921:B6462,"5 1 1 1 3 12 31111 6 M59 11000 000132 0000R 00001 00113 015*")</f>
        <v>663931.80000000005</v>
      </c>
      <c r="G920" s="83">
        <f>SUMIFS(G921:G6462,K921:K6462,"0",B921:B6462,"5 1 1 1 3 12 31111 6 M59 11000 000132 0000R 00001 00113 015*")</f>
        <v>0</v>
      </c>
      <c r="H920" s="83">
        <f t="shared" si="14"/>
        <v>663931.80000000005</v>
      </c>
      <c r="I920" s="83"/>
      <c r="K920" s="54" t="s">
        <v>15</v>
      </c>
    </row>
    <row r="921" spans="2:11" ht="33" x14ac:dyDescent="0.2">
      <c r="B921" s="82" t="s">
        <v>3026</v>
      </c>
      <c r="C921" s="82" t="s">
        <v>2927</v>
      </c>
      <c r="D921" s="83">
        <f>SUMIFS(D922:D6462,K922:K6462,"0",B922:B6462,"5 1 1 1 3 12 31111 6 M59 11000 000132 0000R 00001 00113 015 2111100*")-SUMIFS(E922:E6462,K922:K6462,"0",B922:B6462,"5 1 1 1 3 12 31111 6 M59 11000 000132 0000R 00001 00113 015 2111100*")</f>
        <v>0</v>
      </c>
      <c r="E921" s="54"/>
      <c r="F921" s="83">
        <f>SUMIFS(F922:F6462,K922:K6462,"0",B922:B6462,"5 1 1 1 3 12 31111 6 M59 11000 000132 0000R 00001 00113 015 2111100*")</f>
        <v>663931.80000000005</v>
      </c>
      <c r="G921" s="83">
        <f>SUMIFS(G922:G6462,K922:K6462,"0",B922:B6462,"5 1 1 1 3 12 31111 6 M59 11000 000132 0000R 00001 00113 015 2111100*")</f>
        <v>0</v>
      </c>
      <c r="H921" s="83">
        <f t="shared" si="14"/>
        <v>663931.80000000005</v>
      </c>
      <c r="I921" s="83"/>
      <c r="K921" s="54" t="s">
        <v>15</v>
      </c>
    </row>
    <row r="922" spans="2:11" ht="33" x14ac:dyDescent="0.2">
      <c r="B922" s="82" t="s">
        <v>3027</v>
      </c>
      <c r="C922" s="82" t="s">
        <v>660</v>
      </c>
      <c r="D922" s="83">
        <f>SUMIFS(D923:D6462,K923:K6462,"0",B923:B6462,"5 1 1 1 3 12 31111 6 M59 11000 000132 0000R 00001 00113 015 2111100 2024*")-SUMIFS(E923:E6462,K923:K6462,"0",B923:B6462,"5 1 1 1 3 12 31111 6 M59 11000 000132 0000R 00001 00113 015 2111100 2024*")</f>
        <v>0</v>
      </c>
      <c r="E922" s="54"/>
      <c r="F922" s="83">
        <f>SUMIFS(F923:F6462,K923:K6462,"0",B923:B6462,"5 1 1 1 3 12 31111 6 M59 11000 000132 0000R 00001 00113 015 2111100 2024*")</f>
        <v>663931.80000000005</v>
      </c>
      <c r="G922" s="83">
        <f>SUMIFS(G923:G6462,K923:K6462,"0",B923:B6462,"5 1 1 1 3 12 31111 6 M59 11000 000132 0000R 00001 00113 015 2111100 2024*")</f>
        <v>0</v>
      </c>
      <c r="H922" s="83">
        <f t="shared" si="14"/>
        <v>663931.80000000005</v>
      </c>
      <c r="I922" s="83"/>
      <c r="K922" s="54" t="s">
        <v>15</v>
      </c>
    </row>
    <row r="923" spans="2:11" ht="41.25" x14ac:dyDescent="0.2">
      <c r="B923" s="82" t="s">
        <v>3028</v>
      </c>
      <c r="C923" s="82" t="s">
        <v>1056</v>
      </c>
      <c r="D923" s="83">
        <f>SUMIFS(D924:D6462,K924:K6462,"0",B924:B6462,"5 1 1 1 3 12 31111 6 M59 11000 000132 0000R 00001 00113 015 2111100 2024 CP1SM382*")-SUMIFS(E924:E6462,K924:K6462,"0",B924:B6462,"5 1 1 1 3 12 31111 6 M59 11000 000132 0000R 00001 00113 015 2111100 2024 CP1SM382*")</f>
        <v>0</v>
      </c>
      <c r="E923" s="54"/>
      <c r="F923" s="83">
        <f>SUMIFS(F924:F6462,K924:K6462,"0",B924:B6462,"5 1 1 1 3 12 31111 6 M59 11000 000132 0000R 00001 00113 015 2111100 2024 CP1SM382*")</f>
        <v>663931.80000000005</v>
      </c>
      <c r="G923" s="83">
        <f>SUMIFS(G924:G6462,K924:K6462,"0",B924:B6462,"5 1 1 1 3 12 31111 6 M59 11000 000132 0000R 00001 00113 015 2111100 2024 CP1SM382*")</f>
        <v>0</v>
      </c>
      <c r="H923" s="83">
        <f t="shared" si="14"/>
        <v>663931.80000000005</v>
      </c>
      <c r="I923" s="83"/>
      <c r="K923" s="54" t="s">
        <v>15</v>
      </c>
    </row>
    <row r="924" spans="2:11" ht="41.25" x14ac:dyDescent="0.2">
      <c r="B924" s="82" t="s">
        <v>3029</v>
      </c>
      <c r="C924" s="82" t="s">
        <v>282</v>
      </c>
      <c r="D924" s="83">
        <f>SUMIFS(D925:D6462,K925:K6462,"0",B925:B6462,"5 1 1 1 3 12 31111 6 M59 11000 000132 0000R 00001 00113 015 2111100 2024 CP1SM382 001*")-SUMIFS(E925:E6462,K925:K6462,"0",B925:B6462,"5 1 1 1 3 12 31111 6 M59 11000 000132 0000R 00001 00113 015 2111100 2024 CP1SM382 001*")</f>
        <v>0</v>
      </c>
      <c r="E924" s="54"/>
      <c r="F924" s="83">
        <f>SUMIFS(F925:F6462,K925:K6462,"0",B925:B6462,"5 1 1 1 3 12 31111 6 M59 11000 000132 0000R 00001 00113 015 2111100 2024 CP1SM382 001*")</f>
        <v>663931.80000000005</v>
      </c>
      <c r="G924" s="83">
        <f>SUMIFS(G925:G6462,K925:K6462,"0",B925:B6462,"5 1 1 1 3 12 31111 6 M59 11000 000132 0000R 00001 00113 015 2111100 2024 CP1SM382 001*")</f>
        <v>0</v>
      </c>
      <c r="H924" s="83">
        <f t="shared" si="14"/>
        <v>663931.80000000005</v>
      </c>
      <c r="I924" s="83"/>
      <c r="K924" s="54" t="s">
        <v>15</v>
      </c>
    </row>
    <row r="925" spans="2:11" ht="33" x14ac:dyDescent="0.2">
      <c r="B925" s="84" t="s">
        <v>3030</v>
      </c>
      <c r="C925" s="84" t="s">
        <v>2932</v>
      </c>
      <c r="D925" s="85">
        <v>0</v>
      </c>
      <c r="E925" s="85"/>
      <c r="F925" s="85">
        <v>663931.80000000005</v>
      </c>
      <c r="G925" s="85">
        <v>0</v>
      </c>
      <c r="H925" s="85">
        <f t="shared" si="14"/>
        <v>663931.80000000005</v>
      </c>
      <c r="I925" s="85"/>
      <c r="K925" s="54" t="s">
        <v>38</v>
      </c>
    </row>
    <row r="926" spans="2:11" ht="16.5" x14ac:dyDescent="0.2">
      <c r="B926" s="82" t="s">
        <v>3031</v>
      </c>
      <c r="C926" s="82" t="s">
        <v>3032</v>
      </c>
      <c r="D926" s="83">
        <f>SUMIFS(D927:D6462,K927:K6462,"0",B927:B6462,"5 1 1 1 3 12 31111 6 M59 12000*")-SUMIFS(E927:E6462,K927:K6462,"0",B927:B6462,"5 1 1 1 3 12 31111 6 M59 12000*")</f>
        <v>0</v>
      </c>
      <c r="E926" s="54"/>
      <c r="F926" s="83">
        <f>SUMIFS(F927:F6462,K927:K6462,"0",B927:B6462,"5 1 1 1 3 12 31111 6 M59 12000*")</f>
        <v>385464.47</v>
      </c>
      <c r="G926" s="83">
        <f>SUMIFS(G927:G6462,K927:K6462,"0",B927:B6462,"5 1 1 1 3 12 31111 6 M59 12000*")</f>
        <v>0</v>
      </c>
      <c r="H926" s="83">
        <f t="shared" si="14"/>
        <v>385464.47</v>
      </c>
      <c r="I926" s="83"/>
      <c r="K926" s="54" t="s">
        <v>15</v>
      </c>
    </row>
    <row r="927" spans="2:11" ht="16.5" x14ac:dyDescent="0.2">
      <c r="B927" s="82" t="s">
        <v>3033</v>
      </c>
      <c r="C927" s="82" t="s">
        <v>3034</v>
      </c>
      <c r="D927" s="83">
        <f>SUMIFS(D928:D6462,K928:K6462,"0",B928:B6462,"5 1 1 1 3 12 31111 6 M59 12000 000121*")-SUMIFS(E928:E6462,K928:K6462,"0",B928:B6462,"5 1 1 1 3 12 31111 6 M59 12000 000121*")</f>
        <v>0</v>
      </c>
      <c r="E927" s="54"/>
      <c r="F927" s="83">
        <f>SUMIFS(F928:F6462,K928:K6462,"0",B928:B6462,"5 1 1 1 3 12 31111 6 M59 12000 000121*")</f>
        <v>385464.47</v>
      </c>
      <c r="G927" s="83">
        <f>SUMIFS(G928:G6462,K928:K6462,"0",B928:B6462,"5 1 1 1 3 12 31111 6 M59 12000 000121*")</f>
        <v>0</v>
      </c>
      <c r="H927" s="83">
        <f t="shared" si="14"/>
        <v>385464.47</v>
      </c>
      <c r="I927" s="83"/>
      <c r="K927" s="54" t="s">
        <v>15</v>
      </c>
    </row>
    <row r="928" spans="2:11" ht="16.5" x14ac:dyDescent="0.2">
      <c r="B928" s="82" t="s">
        <v>3035</v>
      </c>
      <c r="C928" s="82" t="s">
        <v>1065</v>
      </c>
      <c r="D928" s="83">
        <f>SUMIFS(D929:D6462,K929:K6462,"0",B929:B6462,"5 1 1 1 3 12 31111 6 M59 12000 000121 0000E*")-SUMIFS(E929:E6462,K929:K6462,"0",B929:B6462,"5 1 1 1 3 12 31111 6 M59 12000 000121 0000E*")</f>
        <v>0</v>
      </c>
      <c r="E928" s="54"/>
      <c r="F928" s="83">
        <f>SUMIFS(F929:F6462,K929:K6462,"0",B929:B6462,"5 1 1 1 3 12 31111 6 M59 12000 000121 0000E*")</f>
        <v>385464.47</v>
      </c>
      <c r="G928" s="83">
        <f>SUMIFS(G929:G6462,K929:K6462,"0",B929:B6462,"5 1 1 1 3 12 31111 6 M59 12000 000121 0000E*")</f>
        <v>0</v>
      </c>
      <c r="H928" s="83">
        <f t="shared" si="14"/>
        <v>385464.47</v>
      </c>
      <c r="I928" s="83"/>
      <c r="K928" s="54" t="s">
        <v>15</v>
      </c>
    </row>
    <row r="929" spans="2:11" ht="24.75" x14ac:dyDescent="0.2">
      <c r="B929" s="82" t="s">
        <v>3036</v>
      </c>
      <c r="C929" s="82" t="s">
        <v>282</v>
      </c>
      <c r="D929" s="83">
        <f>SUMIFS(D930:D6462,K930:K6462,"0",B930:B6462,"5 1 1 1 3 12 31111 6 M59 12000 000121 0000E 00001*")-SUMIFS(E930:E6462,K930:K6462,"0",B930:B6462,"5 1 1 1 3 12 31111 6 M59 12000 000121 0000E 00001*")</f>
        <v>0</v>
      </c>
      <c r="E929" s="54"/>
      <c r="F929" s="83">
        <f>SUMIFS(F930:F6462,K930:K6462,"0",B930:B6462,"5 1 1 1 3 12 31111 6 M59 12000 000121 0000E 00001*")</f>
        <v>385464.47</v>
      </c>
      <c r="G929" s="83">
        <f>SUMIFS(G930:G6462,K930:K6462,"0",B930:B6462,"5 1 1 1 3 12 31111 6 M59 12000 000121 0000E 00001*")</f>
        <v>0</v>
      </c>
      <c r="H929" s="83">
        <f t="shared" si="14"/>
        <v>385464.47</v>
      </c>
      <c r="I929" s="83"/>
      <c r="K929" s="54" t="s">
        <v>15</v>
      </c>
    </row>
    <row r="930" spans="2:11" ht="24.75" x14ac:dyDescent="0.2">
      <c r="B930" s="82" t="s">
        <v>3037</v>
      </c>
      <c r="C930" s="82" t="s">
        <v>2924</v>
      </c>
      <c r="D930" s="83">
        <f>SUMIFS(D931:D6462,K931:K6462,"0",B931:B6462,"5 1 1 1 3 12 31111 6 M59 12000 000121 0000E 00001 00113*")-SUMIFS(E931:E6462,K931:K6462,"0",B931:B6462,"5 1 1 1 3 12 31111 6 M59 12000 000121 0000E 00001 00113*")</f>
        <v>0</v>
      </c>
      <c r="E930" s="54"/>
      <c r="F930" s="83">
        <f>SUMIFS(F931:F6462,K931:K6462,"0",B931:B6462,"5 1 1 1 3 12 31111 6 M59 12000 000121 0000E 00001 00113*")</f>
        <v>385464.47</v>
      </c>
      <c r="G930" s="83">
        <f>SUMIFS(G931:G6462,K931:K6462,"0",B931:B6462,"5 1 1 1 3 12 31111 6 M59 12000 000121 0000E 00001 00113*")</f>
        <v>0</v>
      </c>
      <c r="H930" s="83">
        <f t="shared" si="14"/>
        <v>385464.47</v>
      </c>
      <c r="I930" s="83"/>
      <c r="K930" s="54" t="s">
        <v>15</v>
      </c>
    </row>
    <row r="931" spans="2:11" ht="24.75" x14ac:dyDescent="0.2">
      <c r="B931" s="82" t="s">
        <v>3038</v>
      </c>
      <c r="C931" s="82" t="s">
        <v>1051</v>
      </c>
      <c r="D931" s="83">
        <f>SUMIFS(D932:D6462,K932:K6462,"0",B932:B6462,"5 1 1 1 3 12 31111 6 M59 12000 000121 0000E 00001 00113 015*")-SUMIFS(E932:E6462,K932:K6462,"0",B932:B6462,"5 1 1 1 3 12 31111 6 M59 12000 000121 0000E 00001 00113 015*")</f>
        <v>0</v>
      </c>
      <c r="E931" s="54"/>
      <c r="F931" s="83">
        <f>SUMIFS(F932:F6462,K932:K6462,"0",B932:B6462,"5 1 1 1 3 12 31111 6 M59 12000 000121 0000E 00001 00113 015*")</f>
        <v>385464.47</v>
      </c>
      <c r="G931" s="83">
        <f>SUMIFS(G932:G6462,K932:K6462,"0",B932:B6462,"5 1 1 1 3 12 31111 6 M59 12000 000121 0000E 00001 00113 015*")</f>
        <v>0</v>
      </c>
      <c r="H931" s="83">
        <f t="shared" si="14"/>
        <v>385464.47</v>
      </c>
      <c r="I931" s="83"/>
      <c r="K931" s="54" t="s">
        <v>15</v>
      </c>
    </row>
    <row r="932" spans="2:11" ht="33" x14ac:dyDescent="0.2">
      <c r="B932" s="82" t="s">
        <v>3039</v>
      </c>
      <c r="C932" s="82" t="s">
        <v>2927</v>
      </c>
      <c r="D932" s="83">
        <f>SUMIFS(D933:D6462,K933:K6462,"0",B933:B6462,"5 1 1 1 3 12 31111 6 M59 12000 000121 0000E 00001 00113 015 2111100*")-SUMIFS(E933:E6462,K933:K6462,"0",B933:B6462,"5 1 1 1 3 12 31111 6 M59 12000 000121 0000E 00001 00113 015 2111100*")</f>
        <v>0</v>
      </c>
      <c r="E932" s="54"/>
      <c r="F932" s="83">
        <f>SUMIFS(F933:F6462,K933:K6462,"0",B933:B6462,"5 1 1 1 3 12 31111 6 M59 12000 000121 0000E 00001 00113 015 2111100*")</f>
        <v>385464.47</v>
      </c>
      <c r="G932" s="83">
        <f>SUMIFS(G933:G6462,K933:K6462,"0",B933:B6462,"5 1 1 1 3 12 31111 6 M59 12000 000121 0000E 00001 00113 015 2111100*")</f>
        <v>0</v>
      </c>
      <c r="H932" s="83">
        <f t="shared" si="14"/>
        <v>385464.47</v>
      </c>
      <c r="I932" s="83"/>
      <c r="K932" s="54" t="s">
        <v>15</v>
      </c>
    </row>
    <row r="933" spans="2:11" ht="33" x14ac:dyDescent="0.2">
      <c r="B933" s="82" t="s">
        <v>3040</v>
      </c>
      <c r="C933" s="82" t="s">
        <v>660</v>
      </c>
      <c r="D933" s="83">
        <f>SUMIFS(D934:D6462,K934:K6462,"0",B934:B6462,"5 1 1 1 3 12 31111 6 M59 12000 000121 0000E 00001 00113 015 2111100 2024*")-SUMIFS(E934:E6462,K934:K6462,"0",B934:B6462,"5 1 1 1 3 12 31111 6 M59 12000 000121 0000E 00001 00113 015 2111100 2024*")</f>
        <v>0</v>
      </c>
      <c r="E933" s="54"/>
      <c r="F933" s="83">
        <f>SUMIFS(F934:F6462,K934:K6462,"0",B934:B6462,"5 1 1 1 3 12 31111 6 M59 12000 000121 0000E 00001 00113 015 2111100 2024*")</f>
        <v>385464.47</v>
      </c>
      <c r="G933" s="83">
        <f>SUMIFS(G934:G6462,K934:K6462,"0",B934:B6462,"5 1 1 1 3 12 31111 6 M59 12000 000121 0000E 00001 00113 015 2111100 2024*")</f>
        <v>0</v>
      </c>
      <c r="H933" s="83">
        <f t="shared" si="14"/>
        <v>385464.47</v>
      </c>
      <c r="I933" s="83"/>
      <c r="K933" s="54" t="s">
        <v>15</v>
      </c>
    </row>
    <row r="934" spans="2:11" ht="33" x14ac:dyDescent="0.2">
      <c r="B934" s="82" t="s">
        <v>3041</v>
      </c>
      <c r="C934" s="82" t="s">
        <v>662</v>
      </c>
      <c r="D934" s="83">
        <f>SUMIFS(D935:D6462,K935:K6462,"0",B935:B6462,"5 1 1 1 3 12 31111 6 M59 12000 000121 0000E 00001 00113 015 2111100 2024 CP1CI591*")-SUMIFS(E935:E6462,K935:K6462,"0",B935:B6462,"5 1 1 1 3 12 31111 6 M59 12000 000121 0000E 00001 00113 015 2111100 2024 CP1CI591*")</f>
        <v>0</v>
      </c>
      <c r="E934" s="54"/>
      <c r="F934" s="83">
        <f>SUMIFS(F935:F6462,K935:K6462,"0",B935:B6462,"5 1 1 1 3 12 31111 6 M59 12000 000121 0000E 00001 00113 015 2111100 2024 CP1CI591*")</f>
        <v>385464.47</v>
      </c>
      <c r="G934" s="83">
        <f>SUMIFS(G935:G6462,K935:K6462,"0",B935:B6462,"5 1 1 1 3 12 31111 6 M59 12000 000121 0000E 00001 00113 015 2111100 2024 CP1CI591*")</f>
        <v>0</v>
      </c>
      <c r="H934" s="83">
        <f t="shared" si="14"/>
        <v>385464.47</v>
      </c>
      <c r="I934" s="83"/>
      <c r="K934" s="54" t="s">
        <v>15</v>
      </c>
    </row>
    <row r="935" spans="2:11" ht="41.25" x14ac:dyDescent="0.2">
      <c r="B935" s="82" t="s">
        <v>3042</v>
      </c>
      <c r="C935" s="82" t="s">
        <v>282</v>
      </c>
      <c r="D935" s="83">
        <f>SUMIFS(D936:D6462,K936:K6462,"0",B936:B6462,"5 1 1 1 3 12 31111 6 M59 12000 000121 0000E 00001 00113 015 2111100 2024 CP1CI591 001*")-SUMIFS(E936:E6462,K936:K6462,"0",B936:B6462,"5 1 1 1 3 12 31111 6 M59 12000 000121 0000E 00001 00113 015 2111100 2024 CP1CI591 001*")</f>
        <v>0</v>
      </c>
      <c r="E935" s="54"/>
      <c r="F935" s="83">
        <f>SUMIFS(F936:F6462,K936:K6462,"0",B936:B6462,"5 1 1 1 3 12 31111 6 M59 12000 000121 0000E 00001 00113 015 2111100 2024 CP1CI591 001*")</f>
        <v>385464.47</v>
      </c>
      <c r="G935" s="83">
        <f>SUMIFS(G936:G6462,K936:K6462,"0",B936:B6462,"5 1 1 1 3 12 31111 6 M59 12000 000121 0000E 00001 00113 015 2111100 2024 CP1CI591 001*")</f>
        <v>0</v>
      </c>
      <c r="H935" s="83">
        <f t="shared" si="14"/>
        <v>385464.47</v>
      </c>
      <c r="I935" s="83"/>
      <c r="K935" s="54" t="s">
        <v>15</v>
      </c>
    </row>
    <row r="936" spans="2:11" ht="33" x14ac:dyDescent="0.2">
      <c r="B936" s="84" t="s">
        <v>3043</v>
      </c>
      <c r="C936" s="84" t="s">
        <v>2932</v>
      </c>
      <c r="D936" s="85">
        <v>0</v>
      </c>
      <c r="E936" s="85"/>
      <c r="F936" s="85">
        <v>385464.47</v>
      </c>
      <c r="G936" s="85">
        <v>0</v>
      </c>
      <c r="H936" s="85">
        <f t="shared" si="14"/>
        <v>385464.47</v>
      </c>
      <c r="I936" s="85"/>
      <c r="K936" s="54" t="s">
        <v>38</v>
      </c>
    </row>
    <row r="937" spans="2:11" ht="24.75" x14ac:dyDescent="0.2">
      <c r="B937" s="82" t="s">
        <v>3044</v>
      </c>
      <c r="C937" s="82" t="s">
        <v>3045</v>
      </c>
      <c r="D937" s="83">
        <f>SUMIFS(D938:D6462,K938:K6462,"0",B938:B6462,"5 1 1 1 3 12 31111 6 M59 12100*")-SUMIFS(E938:E6462,K938:K6462,"0",B938:B6462,"5 1 1 1 3 12 31111 6 M59 12100*")</f>
        <v>0</v>
      </c>
      <c r="E937" s="54"/>
      <c r="F937" s="83">
        <f>SUMIFS(F938:F6462,K938:K6462,"0",B938:B6462,"5 1 1 1 3 12 31111 6 M59 12100*")</f>
        <v>68001.06</v>
      </c>
      <c r="G937" s="83">
        <f>SUMIFS(G938:G6462,K938:K6462,"0",B938:B6462,"5 1 1 1 3 12 31111 6 M59 12100*")</f>
        <v>0</v>
      </c>
      <c r="H937" s="83">
        <f t="shared" si="14"/>
        <v>68001.06</v>
      </c>
      <c r="I937" s="83"/>
      <c r="K937" s="54" t="s">
        <v>15</v>
      </c>
    </row>
    <row r="938" spans="2:11" ht="16.5" x14ac:dyDescent="0.2">
      <c r="B938" s="82" t="s">
        <v>3046</v>
      </c>
      <c r="C938" s="82" t="s">
        <v>648</v>
      </c>
      <c r="D938" s="83">
        <f>SUMIFS(D939:D6462,K939:K6462,"0",B939:B6462,"5 1 1 1 3 12 31111 6 M59 12100 000132*")-SUMIFS(E939:E6462,K939:K6462,"0",B939:B6462,"5 1 1 1 3 12 31111 6 M59 12100 000132*")</f>
        <v>0</v>
      </c>
      <c r="E938" s="54"/>
      <c r="F938" s="83">
        <f>SUMIFS(F939:F6462,K939:K6462,"0",B939:B6462,"5 1 1 1 3 12 31111 6 M59 12100 000132*")</f>
        <v>68001.06</v>
      </c>
      <c r="G938" s="83">
        <f>SUMIFS(G939:G6462,K939:K6462,"0",B939:B6462,"5 1 1 1 3 12 31111 6 M59 12100 000132*")</f>
        <v>0</v>
      </c>
      <c r="H938" s="83">
        <f t="shared" si="14"/>
        <v>68001.06</v>
      </c>
      <c r="I938" s="83"/>
      <c r="K938" s="54" t="s">
        <v>15</v>
      </c>
    </row>
    <row r="939" spans="2:11" ht="16.5" x14ac:dyDescent="0.2">
      <c r="B939" s="82" t="s">
        <v>3047</v>
      </c>
      <c r="C939" s="82" t="s">
        <v>650</v>
      </c>
      <c r="D939" s="83">
        <f>SUMIFS(D940:D6462,K940:K6462,"0",B940:B6462,"5 1 1 1 3 12 31111 6 M59 12100 000132 0000R*")-SUMIFS(E940:E6462,K940:K6462,"0",B940:B6462,"5 1 1 1 3 12 31111 6 M59 12100 000132 0000R*")</f>
        <v>0</v>
      </c>
      <c r="E939" s="54"/>
      <c r="F939" s="83">
        <f>SUMIFS(F940:F6462,K940:K6462,"0",B940:B6462,"5 1 1 1 3 12 31111 6 M59 12100 000132 0000R*")</f>
        <v>68001.06</v>
      </c>
      <c r="G939" s="83">
        <f>SUMIFS(G940:G6462,K940:K6462,"0",B940:B6462,"5 1 1 1 3 12 31111 6 M59 12100 000132 0000R*")</f>
        <v>0</v>
      </c>
      <c r="H939" s="83">
        <f t="shared" ref="H939:H1002" si="15">D939 + F939 - G939</f>
        <v>68001.06</v>
      </c>
      <c r="I939" s="83"/>
      <c r="K939" s="54" t="s">
        <v>15</v>
      </c>
    </row>
    <row r="940" spans="2:11" ht="24.75" x14ac:dyDescent="0.2">
      <c r="B940" s="82" t="s">
        <v>3048</v>
      </c>
      <c r="C940" s="82" t="s">
        <v>282</v>
      </c>
      <c r="D940" s="83">
        <f>SUMIFS(D941:D6462,K941:K6462,"0",B941:B6462,"5 1 1 1 3 12 31111 6 M59 12100 000132 0000R 00001*")-SUMIFS(E941:E6462,K941:K6462,"0",B941:B6462,"5 1 1 1 3 12 31111 6 M59 12100 000132 0000R 00001*")</f>
        <v>0</v>
      </c>
      <c r="E940" s="54"/>
      <c r="F940" s="83">
        <f>SUMIFS(F941:F6462,K941:K6462,"0",B941:B6462,"5 1 1 1 3 12 31111 6 M59 12100 000132 0000R 00001*")</f>
        <v>68001.06</v>
      </c>
      <c r="G940" s="83">
        <f>SUMIFS(G941:G6462,K941:K6462,"0",B941:B6462,"5 1 1 1 3 12 31111 6 M59 12100 000132 0000R 00001*")</f>
        <v>0</v>
      </c>
      <c r="H940" s="83">
        <f t="shared" si="15"/>
        <v>68001.06</v>
      </c>
      <c r="I940" s="83"/>
      <c r="K940" s="54" t="s">
        <v>15</v>
      </c>
    </row>
    <row r="941" spans="2:11" ht="24.75" x14ac:dyDescent="0.2">
      <c r="B941" s="82" t="s">
        <v>3049</v>
      </c>
      <c r="C941" s="82" t="s">
        <v>2924</v>
      </c>
      <c r="D941" s="83">
        <f>SUMIFS(D942:D6462,K942:K6462,"0",B942:B6462,"5 1 1 1 3 12 31111 6 M59 12100 000132 0000R 00001 00113*")-SUMIFS(E942:E6462,K942:K6462,"0",B942:B6462,"5 1 1 1 3 12 31111 6 M59 12100 000132 0000R 00001 00113*")</f>
        <v>0</v>
      </c>
      <c r="E941" s="54"/>
      <c r="F941" s="83">
        <f>SUMIFS(F942:F6462,K942:K6462,"0",B942:B6462,"5 1 1 1 3 12 31111 6 M59 12100 000132 0000R 00001 00113*")</f>
        <v>68001.06</v>
      </c>
      <c r="G941" s="83">
        <f>SUMIFS(G942:G6462,K942:K6462,"0",B942:B6462,"5 1 1 1 3 12 31111 6 M59 12100 000132 0000R 00001 00113*")</f>
        <v>0</v>
      </c>
      <c r="H941" s="83">
        <f t="shared" si="15"/>
        <v>68001.06</v>
      </c>
      <c r="I941" s="83"/>
      <c r="K941" s="54" t="s">
        <v>15</v>
      </c>
    </row>
    <row r="942" spans="2:11" ht="24.75" x14ac:dyDescent="0.2">
      <c r="B942" s="82" t="s">
        <v>3050</v>
      </c>
      <c r="C942" s="82" t="s">
        <v>1051</v>
      </c>
      <c r="D942" s="83">
        <f>SUMIFS(D943:D6462,K943:K6462,"0",B943:B6462,"5 1 1 1 3 12 31111 6 M59 12100 000132 0000R 00001 00113 015*")-SUMIFS(E943:E6462,K943:K6462,"0",B943:B6462,"5 1 1 1 3 12 31111 6 M59 12100 000132 0000R 00001 00113 015*")</f>
        <v>0</v>
      </c>
      <c r="E942" s="54"/>
      <c r="F942" s="83">
        <f>SUMIFS(F943:F6462,K943:K6462,"0",B943:B6462,"5 1 1 1 3 12 31111 6 M59 12100 000132 0000R 00001 00113 015*")</f>
        <v>68001.06</v>
      </c>
      <c r="G942" s="83">
        <f>SUMIFS(G943:G6462,K943:K6462,"0",B943:B6462,"5 1 1 1 3 12 31111 6 M59 12100 000132 0000R 00001 00113 015*")</f>
        <v>0</v>
      </c>
      <c r="H942" s="83">
        <f t="shared" si="15"/>
        <v>68001.06</v>
      </c>
      <c r="I942" s="83"/>
      <c r="K942" s="54" t="s">
        <v>15</v>
      </c>
    </row>
    <row r="943" spans="2:11" ht="33" x14ac:dyDescent="0.2">
      <c r="B943" s="82" t="s">
        <v>3051</v>
      </c>
      <c r="C943" s="82" t="s">
        <v>2927</v>
      </c>
      <c r="D943" s="83">
        <f>SUMIFS(D944:D6462,K944:K6462,"0",B944:B6462,"5 1 1 1 3 12 31111 6 M59 12100 000132 0000R 00001 00113 015 2111100*")-SUMIFS(E944:E6462,K944:K6462,"0",B944:B6462,"5 1 1 1 3 12 31111 6 M59 12100 000132 0000R 00001 00113 015 2111100*")</f>
        <v>0</v>
      </c>
      <c r="E943" s="54"/>
      <c r="F943" s="83">
        <f>SUMIFS(F944:F6462,K944:K6462,"0",B944:B6462,"5 1 1 1 3 12 31111 6 M59 12100 000132 0000R 00001 00113 015 2111100*")</f>
        <v>68001.06</v>
      </c>
      <c r="G943" s="83">
        <f>SUMIFS(G944:G6462,K944:K6462,"0",B944:B6462,"5 1 1 1 3 12 31111 6 M59 12100 000132 0000R 00001 00113 015 2111100*")</f>
        <v>0</v>
      </c>
      <c r="H943" s="83">
        <f t="shared" si="15"/>
        <v>68001.06</v>
      </c>
      <c r="I943" s="83"/>
      <c r="K943" s="54" t="s">
        <v>15</v>
      </c>
    </row>
    <row r="944" spans="2:11" ht="33" x14ac:dyDescent="0.2">
      <c r="B944" s="82" t="s">
        <v>3052</v>
      </c>
      <c r="C944" s="82" t="s">
        <v>660</v>
      </c>
      <c r="D944" s="83">
        <f>SUMIFS(D945:D6462,K945:K6462,"0",B945:B6462,"5 1 1 1 3 12 31111 6 M59 12100 000132 0000R 00001 00113 015 2111100 2024*")-SUMIFS(E945:E6462,K945:K6462,"0",B945:B6462,"5 1 1 1 3 12 31111 6 M59 12100 000132 0000R 00001 00113 015 2111100 2024*")</f>
        <v>0</v>
      </c>
      <c r="E944" s="54"/>
      <c r="F944" s="83">
        <f>SUMIFS(F945:F6462,K945:K6462,"0",B945:B6462,"5 1 1 1 3 12 31111 6 M59 12100 000132 0000R 00001 00113 015 2111100 2024*")</f>
        <v>68001.06</v>
      </c>
      <c r="G944" s="83">
        <f>SUMIFS(G945:G6462,K945:K6462,"0",B945:B6462,"5 1 1 1 3 12 31111 6 M59 12100 000132 0000R 00001 00113 015 2111100 2024*")</f>
        <v>0</v>
      </c>
      <c r="H944" s="83">
        <f t="shared" si="15"/>
        <v>68001.06</v>
      </c>
      <c r="I944" s="83"/>
      <c r="K944" s="54" t="s">
        <v>15</v>
      </c>
    </row>
    <row r="945" spans="2:11" ht="41.25" x14ac:dyDescent="0.2">
      <c r="B945" s="82" t="s">
        <v>3053</v>
      </c>
      <c r="C945" s="82" t="s">
        <v>1056</v>
      </c>
      <c r="D945" s="83">
        <f>SUMIFS(D946:D6462,K946:K6462,"0",B946:B6462,"5 1 1 1 3 12 31111 6 M59 12100 000132 0000R 00001 00113 015 2111100 2024 CP1TR430*")-SUMIFS(E946:E6462,K946:K6462,"0",B946:B6462,"5 1 1 1 3 12 31111 6 M59 12100 000132 0000R 00001 00113 015 2111100 2024 CP1TR430*")</f>
        <v>0</v>
      </c>
      <c r="E945" s="54"/>
      <c r="F945" s="83">
        <f>SUMIFS(F946:F6462,K946:K6462,"0",B946:B6462,"5 1 1 1 3 12 31111 6 M59 12100 000132 0000R 00001 00113 015 2111100 2024 CP1TR430*")</f>
        <v>68001.06</v>
      </c>
      <c r="G945" s="83">
        <f>SUMIFS(G946:G6462,K946:K6462,"0",B946:B6462,"5 1 1 1 3 12 31111 6 M59 12100 000132 0000R 00001 00113 015 2111100 2024 CP1TR430*")</f>
        <v>0</v>
      </c>
      <c r="H945" s="83">
        <f t="shared" si="15"/>
        <v>68001.06</v>
      </c>
      <c r="I945" s="83"/>
      <c r="K945" s="54" t="s">
        <v>15</v>
      </c>
    </row>
    <row r="946" spans="2:11" ht="41.25" x14ac:dyDescent="0.2">
      <c r="B946" s="82" t="s">
        <v>3054</v>
      </c>
      <c r="C946" s="82" t="s">
        <v>282</v>
      </c>
      <c r="D946" s="83">
        <f>SUMIFS(D947:D6462,K947:K6462,"0",B947:B6462,"5 1 1 1 3 12 31111 6 M59 12100 000132 0000R 00001 00113 015 2111100 2024 CP1TR430 001*")-SUMIFS(E947:E6462,K947:K6462,"0",B947:B6462,"5 1 1 1 3 12 31111 6 M59 12100 000132 0000R 00001 00113 015 2111100 2024 CP1TR430 001*")</f>
        <v>0</v>
      </c>
      <c r="E946" s="54"/>
      <c r="F946" s="83">
        <f>SUMIFS(F947:F6462,K947:K6462,"0",B947:B6462,"5 1 1 1 3 12 31111 6 M59 12100 000132 0000R 00001 00113 015 2111100 2024 CP1TR430 001*")</f>
        <v>68001.06</v>
      </c>
      <c r="G946" s="83">
        <f>SUMIFS(G947:G6462,K947:K6462,"0",B947:B6462,"5 1 1 1 3 12 31111 6 M59 12100 000132 0000R 00001 00113 015 2111100 2024 CP1TR430 001*")</f>
        <v>0</v>
      </c>
      <c r="H946" s="83">
        <f t="shared" si="15"/>
        <v>68001.06</v>
      </c>
      <c r="I946" s="83"/>
      <c r="K946" s="54" t="s">
        <v>15</v>
      </c>
    </row>
    <row r="947" spans="2:11" ht="33" x14ac:dyDescent="0.2">
      <c r="B947" s="84" t="s">
        <v>3055</v>
      </c>
      <c r="C947" s="84" t="s">
        <v>2932</v>
      </c>
      <c r="D947" s="85">
        <v>0</v>
      </c>
      <c r="E947" s="85"/>
      <c r="F947" s="85">
        <v>68001.06</v>
      </c>
      <c r="G947" s="85">
        <v>0</v>
      </c>
      <c r="H947" s="85">
        <f t="shared" si="15"/>
        <v>68001.06</v>
      </c>
      <c r="I947" s="85"/>
      <c r="K947" s="54" t="s">
        <v>38</v>
      </c>
    </row>
    <row r="948" spans="2:11" ht="16.5" x14ac:dyDescent="0.2">
      <c r="B948" s="82" t="s">
        <v>3056</v>
      </c>
      <c r="C948" s="82" t="s">
        <v>1044</v>
      </c>
      <c r="D948" s="83">
        <f>SUMIFS(D949:D6462,K949:K6462,"0",B949:B6462,"5 1 1 1 3 12 31111 6 M59 19000*")-SUMIFS(E949:E6462,K949:K6462,"0",B949:B6462,"5 1 1 1 3 12 31111 6 M59 19000*")</f>
        <v>0</v>
      </c>
      <c r="E948" s="54"/>
      <c r="F948" s="83">
        <f>SUMIFS(F949:F6462,K949:K6462,"0",B949:B6462,"5 1 1 1 3 12 31111 6 M59 19000*")</f>
        <v>534659.69999999995</v>
      </c>
      <c r="G948" s="83">
        <f>SUMIFS(G949:G6462,K949:K6462,"0",B949:B6462,"5 1 1 1 3 12 31111 6 M59 19000*")</f>
        <v>0</v>
      </c>
      <c r="H948" s="83">
        <f t="shared" si="15"/>
        <v>534659.69999999995</v>
      </c>
      <c r="I948" s="83"/>
      <c r="K948" s="54" t="s">
        <v>15</v>
      </c>
    </row>
    <row r="949" spans="2:11" ht="16.5" x14ac:dyDescent="0.2">
      <c r="B949" s="82" t="s">
        <v>3057</v>
      </c>
      <c r="C949" s="82" t="s">
        <v>648</v>
      </c>
      <c r="D949" s="83">
        <f>SUMIFS(D950:D6462,K950:K6462,"0",B950:B6462,"5 1 1 1 3 12 31111 6 M59 19000 000132*")-SUMIFS(E950:E6462,K950:K6462,"0",B950:B6462,"5 1 1 1 3 12 31111 6 M59 19000 000132*")</f>
        <v>0</v>
      </c>
      <c r="E949" s="54"/>
      <c r="F949" s="83">
        <f>SUMIFS(F950:F6462,K950:K6462,"0",B950:B6462,"5 1 1 1 3 12 31111 6 M59 19000 000132*")</f>
        <v>534659.69999999995</v>
      </c>
      <c r="G949" s="83">
        <f>SUMIFS(G950:G6462,K950:K6462,"0",B950:B6462,"5 1 1 1 3 12 31111 6 M59 19000 000132*")</f>
        <v>0</v>
      </c>
      <c r="H949" s="83">
        <f t="shared" si="15"/>
        <v>534659.69999999995</v>
      </c>
      <c r="I949" s="83"/>
      <c r="K949" s="54" t="s">
        <v>15</v>
      </c>
    </row>
    <row r="950" spans="2:11" ht="16.5" x14ac:dyDescent="0.2">
      <c r="B950" s="82" t="s">
        <v>3058</v>
      </c>
      <c r="C950" s="82" t="s">
        <v>650</v>
      </c>
      <c r="D950" s="83">
        <f>SUMIFS(D951:D6462,K951:K6462,"0",B951:B6462,"5 1 1 1 3 12 31111 6 M59 19000 000132 0000R*")-SUMIFS(E951:E6462,K951:K6462,"0",B951:B6462,"5 1 1 1 3 12 31111 6 M59 19000 000132 0000R*")</f>
        <v>0</v>
      </c>
      <c r="E950" s="54"/>
      <c r="F950" s="83">
        <f>SUMIFS(F951:F6462,K951:K6462,"0",B951:B6462,"5 1 1 1 3 12 31111 6 M59 19000 000132 0000R*")</f>
        <v>534659.69999999995</v>
      </c>
      <c r="G950" s="83">
        <f>SUMIFS(G951:G6462,K951:K6462,"0",B951:B6462,"5 1 1 1 3 12 31111 6 M59 19000 000132 0000R*")</f>
        <v>0</v>
      </c>
      <c r="H950" s="83">
        <f t="shared" si="15"/>
        <v>534659.69999999995</v>
      </c>
      <c r="I950" s="83"/>
      <c r="K950" s="54" t="s">
        <v>15</v>
      </c>
    </row>
    <row r="951" spans="2:11" ht="24.75" x14ac:dyDescent="0.2">
      <c r="B951" s="82" t="s">
        <v>3059</v>
      </c>
      <c r="C951" s="82" t="s">
        <v>282</v>
      </c>
      <c r="D951" s="83">
        <f>SUMIFS(D952:D6462,K952:K6462,"0",B952:B6462,"5 1 1 1 3 12 31111 6 M59 19000 000132 0000R 00001*")-SUMIFS(E952:E6462,K952:K6462,"0",B952:B6462,"5 1 1 1 3 12 31111 6 M59 19000 000132 0000R 00001*")</f>
        <v>0</v>
      </c>
      <c r="E951" s="54"/>
      <c r="F951" s="83">
        <f>SUMIFS(F952:F6462,K952:K6462,"0",B952:B6462,"5 1 1 1 3 12 31111 6 M59 19000 000132 0000R 00001*")</f>
        <v>534659.69999999995</v>
      </c>
      <c r="G951" s="83">
        <f>SUMIFS(G952:G6462,K952:K6462,"0",B952:B6462,"5 1 1 1 3 12 31111 6 M59 19000 000132 0000R 00001*")</f>
        <v>0</v>
      </c>
      <c r="H951" s="83">
        <f t="shared" si="15"/>
        <v>534659.69999999995</v>
      </c>
      <c r="I951" s="83"/>
      <c r="K951" s="54" t="s">
        <v>15</v>
      </c>
    </row>
    <row r="952" spans="2:11" ht="24.75" x14ac:dyDescent="0.2">
      <c r="B952" s="82" t="s">
        <v>3060</v>
      </c>
      <c r="C952" s="82" t="s">
        <v>2924</v>
      </c>
      <c r="D952" s="83">
        <f>SUMIFS(D953:D6462,K953:K6462,"0",B953:B6462,"5 1 1 1 3 12 31111 6 M59 19000 000132 0000R 00001 00113*")-SUMIFS(E953:E6462,K953:K6462,"0",B953:B6462,"5 1 1 1 3 12 31111 6 M59 19000 000132 0000R 00001 00113*")</f>
        <v>0</v>
      </c>
      <c r="E952" s="54"/>
      <c r="F952" s="83">
        <f>SUMIFS(F953:F6462,K953:K6462,"0",B953:B6462,"5 1 1 1 3 12 31111 6 M59 19000 000132 0000R 00001 00113*")</f>
        <v>534659.69999999995</v>
      </c>
      <c r="G952" s="83">
        <f>SUMIFS(G953:G6462,K953:K6462,"0",B953:B6462,"5 1 1 1 3 12 31111 6 M59 19000 000132 0000R 00001 00113*")</f>
        <v>0</v>
      </c>
      <c r="H952" s="83">
        <f t="shared" si="15"/>
        <v>534659.69999999995</v>
      </c>
      <c r="I952" s="83"/>
      <c r="K952" s="54" t="s">
        <v>15</v>
      </c>
    </row>
    <row r="953" spans="2:11" ht="24.75" x14ac:dyDescent="0.2">
      <c r="B953" s="82" t="s">
        <v>3061</v>
      </c>
      <c r="C953" s="82" t="s">
        <v>1051</v>
      </c>
      <c r="D953" s="83">
        <f>SUMIFS(D954:D6462,K954:K6462,"0",B954:B6462,"5 1 1 1 3 12 31111 6 M59 19000 000132 0000R 00001 00113 015*")-SUMIFS(E954:E6462,K954:K6462,"0",B954:B6462,"5 1 1 1 3 12 31111 6 M59 19000 000132 0000R 00001 00113 015*")</f>
        <v>0</v>
      </c>
      <c r="E953" s="54"/>
      <c r="F953" s="83">
        <f>SUMIFS(F954:F6462,K954:K6462,"0",B954:B6462,"5 1 1 1 3 12 31111 6 M59 19000 000132 0000R 00001 00113 015*")</f>
        <v>534659.69999999995</v>
      </c>
      <c r="G953" s="83">
        <f>SUMIFS(G954:G6462,K954:K6462,"0",B954:B6462,"5 1 1 1 3 12 31111 6 M59 19000 000132 0000R 00001 00113 015*")</f>
        <v>0</v>
      </c>
      <c r="H953" s="83">
        <f t="shared" si="15"/>
        <v>534659.69999999995</v>
      </c>
      <c r="I953" s="83"/>
      <c r="K953" s="54" t="s">
        <v>15</v>
      </c>
    </row>
    <row r="954" spans="2:11" ht="33" x14ac:dyDescent="0.2">
      <c r="B954" s="82" t="s">
        <v>3062</v>
      </c>
      <c r="C954" s="82" t="s">
        <v>2927</v>
      </c>
      <c r="D954" s="83">
        <f>SUMIFS(D955:D6462,K955:K6462,"0",B955:B6462,"5 1 1 1 3 12 31111 6 M59 19000 000132 0000R 00001 00113 015 2111100*")-SUMIFS(E955:E6462,K955:K6462,"0",B955:B6462,"5 1 1 1 3 12 31111 6 M59 19000 000132 0000R 00001 00113 015 2111100*")</f>
        <v>0</v>
      </c>
      <c r="E954" s="54"/>
      <c r="F954" s="83">
        <f>SUMIFS(F955:F6462,K955:K6462,"0",B955:B6462,"5 1 1 1 3 12 31111 6 M59 19000 000132 0000R 00001 00113 015 2111100*")</f>
        <v>534659.69999999995</v>
      </c>
      <c r="G954" s="83">
        <f>SUMIFS(G955:G6462,K955:K6462,"0",B955:B6462,"5 1 1 1 3 12 31111 6 M59 19000 000132 0000R 00001 00113 015 2111100*")</f>
        <v>0</v>
      </c>
      <c r="H954" s="83">
        <f t="shared" si="15"/>
        <v>534659.69999999995</v>
      </c>
      <c r="I954" s="83"/>
      <c r="K954" s="54" t="s">
        <v>15</v>
      </c>
    </row>
    <row r="955" spans="2:11" ht="33" x14ac:dyDescent="0.2">
      <c r="B955" s="82" t="s">
        <v>3063</v>
      </c>
      <c r="C955" s="82" t="s">
        <v>660</v>
      </c>
      <c r="D955" s="83">
        <f>SUMIFS(D956:D6462,K956:K6462,"0",B956:B6462,"5 1 1 1 3 12 31111 6 M59 19000 000132 0000R 00001 00113 015 2111100 2024*")-SUMIFS(E956:E6462,K956:K6462,"0",B956:B6462,"5 1 1 1 3 12 31111 6 M59 19000 000132 0000R 00001 00113 015 2111100 2024*")</f>
        <v>0</v>
      </c>
      <c r="E955" s="54"/>
      <c r="F955" s="83">
        <f>SUMIFS(F956:F6462,K956:K6462,"0",B956:B6462,"5 1 1 1 3 12 31111 6 M59 19000 000132 0000R 00001 00113 015 2111100 2024*")</f>
        <v>534659.69999999995</v>
      </c>
      <c r="G955" s="83">
        <f>SUMIFS(G956:G6462,K956:K6462,"0",B956:B6462,"5 1 1 1 3 12 31111 6 M59 19000 000132 0000R 00001 00113 015 2111100 2024*")</f>
        <v>0</v>
      </c>
      <c r="H955" s="83">
        <f t="shared" si="15"/>
        <v>534659.69999999995</v>
      </c>
      <c r="I955" s="83"/>
      <c r="K955" s="54" t="s">
        <v>15</v>
      </c>
    </row>
    <row r="956" spans="2:11" ht="41.25" x14ac:dyDescent="0.2">
      <c r="B956" s="82" t="s">
        <v>3064</v>
      </c>
      <c r="C956" s="82" t="s">
        <v>662</v>
      </c>
      <c r="D956" s="83">
        <f>SUMIFS(D957:D6462,K957:K6462,"0",B957:B6462,"5 1 1 1 3 12 31111 6 M59 19000 000132 0000R 00001 00113 015 2111100 2024 CP1TM440*")-SUMIFS(E957:E6462,K957:K6462,"0",B957:B6462,"5 1 1 1 3 12 31111 6 M59 19000 000132 0000R 00001 00113 015 2111100 2024 CP1TM440*")</f>
        <v>0</v>
      </c>
      <c r="E956" s="54"/>
      <c r="F956" s="83">
        <f>SUMIFS(F957:F6462,K957:K6462,"0",B957:B6462,"5 1 1 1 3 12 31111 6 M59 19000 000132 0000R 00001 00113 015 2111100 2024 CP1TM440*")</f>
        <v>534659.69999999995</v>
      </c>
      <c r="G956" s="83">
        <f>SUMIFS(G957:G6462,K957:K6462,"0",B957:B6462,"5 1 1 1 3 12 31111 6 M59 19000 000132 0000R 00001 00113 015 2111100 2024 CP1TM440*")</f>
        <v>0</v>
      </c>
      <c r="H956" s="83">
        <f t="shared" si="15"/>
        <v>534659.69999999995</v>
      </c>
      <c r="I956" s="83"/>
      <c r="K956" s="54" t="s">
        <v>15</v>
      </c>
    </row>
    <row r="957" spans="2:11" ht="41.25" x14ac:dyDescent="0.2">
      <c r="B957" s="82" t="s">
        <v>3065</v>
      </c>
      <c r="C957" s="82" t="s">
        <v>282</v>
      </c>
      <c r="D957" s="83">
        <f>SUMIFS(D958:D6462,K958:K6462,"0",B958:B6462,"5 1 1 1 3 12 31111 6 M59 19000 000132 0000R 00001 00113 015 2111100 2024 CP1TM440 001*")-SUMIFS(E958:E6462,K958:K6462,"0",B958:B6462,"5 1 1 1 3 12 31111 6 M59 19000 000132 0000R 00001 00113 015 2111100 2024 CP1TM440 001*")</f>
        <v>0</v>
      </c>
      <c r="E957" s="54"/>
      <c r="F957" s="83">
        <f>SUMIFS(F958:F6462,K958:K6462,"0",B958:B6462,"5 1 1 1 3 12 31111 6 M59 19000 000132 0000R 00001 00113 015 2111100 2024 CP1TM440 001*")</f>
        <v>534659.69999999995</v>
      </c>
      <c r="G957" s="83">
        <f>SUMIFS(G958:G6462,K958:K6462,"0",B958:B6462,"5 1 1 1 3 12 31111 6 M59 19000 000132 0000R 00001 00113 015 2111100 2024 CP1TM440 001*")</f>
        <v>0</v>
      </c>
      <c r="H957" s="83">
        <f t="shared" si="15"/>
        <v>534659.69999999995</v>
      </c>
      <c r="I957" s="83"/>
      <c r="K957" s="54" t="s">
        <v>15</v>
      </c>
    </row>
    <row r="958" spans="2:11" ht="33" x14ac:dyDescent="0.2">
      <c r="B958" s="84" t="s">
        <v>3066</v>
      </c>
      <c r="C958" s="84" t="s">
        <v>2932</v>
      </c>
      <c r="D958" s="85">
        <v>0</v>
      </c>
      <c r="E958" s="85"/>
      <c r="F958" s="85">
        <v>534659.69999999995</v>
      </c>
      <c r="G958" s="85">
        <v>0</v>
      </c>
      <c r="H958" s="85">
        <f t="shared" si="15"/>
        <v>534659.69999999995</v>
      </c>
      <c r="I958" s="85"/>
      <c r="K958" s="54" t="s">
        <v>38</v>
      </c>
    </row>
    <row r="959" spans="2:11" ht="16.5" x14ac:dyDescent="0.2">
      <c r="B959" s="82" t="s">
        <v>3067</v>
      </c>
      <c r="C959" s="82" t="s">
        <v>1044</v>
      </c>
      <c r="D959" s="83">
        <f>SUMIFS(D960:D6462,K960:K6462,"0",B960:B6462,"5 1 1 1 3 12 31111 6 M59 20000*")-SUMIFS(E960:E6462,K960:K6462,"0",B960:B6462,"5 1 1 1 3 12 31111 6 M59 20000*")</f>
        <v>0</v>
      </c>
      <c r="E959" s="54"/>
      <c r="F959" s="83">
        <f>SUMIFS(F960:F6462,K960:K6462,"0",B960:B6462,"5 1 1 1 3 12 31111 6 M59 20000*")</f>
        <v>68581.320000000007</v>
      </c>
      <c r="G959" s="83">
        <f>SUMIFS(G960:G6462,K960:K6462,"0",B960:B6462,"5 1 1 1 3 12 31111 6 M59 20000*")</f>
        <v>0</v>
      </c>
      <c r="H959" s="83">
        <f t="shared" si="15"/>
        <v>68581.320000000007</v>
      </c>
      <c r="I959" s="83"/>
      <c r="K959" s="54" t="s">
        <v>15</v>
      </c>
    </row>
    <row r="960" spans="2:11" ht="16.5" x14ac:dyDescent="0.2">
      <c r="B960" s="82" t="s">
        <v>3068</v>
      </c>
      <c r="C960" s="82" t="s">
        <v>648</v>
      </c>
      <c r="D960" s="83">
        <f>SUMIFS(D961:D6462,K961:K6462,"0",B961:B6462,"5 1 1 1 3 12 31111 6 M59 20000 000132*")-SUMIFS(E961:E6462,K961:K6462,"0",B961:B6462,"5 1 1 1 3 12 31111 6 M59 20000 000132*")</f>
        <v>0</v>
      </c>
      <c r="E960" s="54"/>
      <c r="F960" s="83">
        <f>SUMIFS(F961:F6462,K961:K6462,"0",B961:B6462,"5 1 1 1 3 12 31111 6 M59 20000 000132*")</f>
        <v>68581.320000000007</v>
      </c>
      <c r="G960" s="83">
        <f>SUMIFS(G961:G6462,K961:K6462,"0",B961:B6462,"5 1 1 1 3 12 31111 6 M59 20000 000132*")</f>
        <v>0</v>
      </c>
      <c r="H960" s="83">
        <f t="shared" si="15"/>
        <v>68581.320000000007</v>
      </c>
      <c r="I960" s="83"/>
      <c r="K960" s="54" t="s">
        <v>15</v>
      </c>
    </row>
    <row r="961" spans="2:11" ht="16.5" x14ac:dyDescent="0.2">
      <c r="B961" s="82" t="s">
        <v>3069</v>
      </c>
      <c r="C961" s="82" t="s">
        <v>650</v>
      </c>
      <c r="D961" s="83">
        <f>SUMIFS(D962:D6462,K962:K6462,"0",B962:B6462,"5 1 1 1 3 12 31111 6 M59 20000 000132 0000R*")-SUMIFS(E962:E6462,K962:K6462,"0",B962:B6462,"5 1 1 1 3 12 31111 6 M59 20000 000132 0000R*")</f>
        <v>0</v>
      </c>
      <c r="E961" s="54"/>
      <c r="F961" s="83">
        <f>SUMIFS(F962:F6462,K962:K6462,"0",B962:B6462,"5 1 1 1 3 12 31111 6 M59 20000 000132 0000R*")</f>
        <v>68581.320000000007</v>
      </c>
      <c r="G961" s="83">
        <f>SUMIFS(G962:G6462,K962:K6462,"0",B962:B6462,"5 1 1 1 3 12 31111 6 M59 20000 000132 0000R*")</f>
        <v>0</v>
      </c>
      <c r="H961" s="83">
        <f t="shared" si="15"/>
        <v>68581.320000000007</v>
      </c>
      <c r="I961" s="83"/>
      <c r="K961" s="54" t="s">
        <v>15</v>
      </c>
    </row>
    <row r="962" spans="2:11" ht="24.75" x14ac:dyDescent="0.2">
      <c r="B962" s="82" t="s">
        <v>3070</v>
      </c>
      <c r="C962" s="82" t="s">
        <v>282</v>
      </c>
      <c r="D962" s="83">
        <f>SUMIFS(D963:D6462,K963:K6462,"0",B963:B6462,"5 1 1 1 3 12 31111 6 M59 20000 000132 0000R 00001*")-SUMIFS(E963:E6462,K963:K6462,"0",B963:B6462,"5 1 1 1 3 12 31111 6 M59 20000 000132 0000R 00001*")</f>
        <v>0</v>
      </c>
      <c r="E962" s="54"/>
      <c r="F962" s="83">
        <f>SUMIFS(F963:F6462,K963:K6462,"0",B963:B6462,"5 1 1 1 3 12 31111 6 M59 20000 000132 0000R 00001*")</f>
        <v>68581.320000000007</v>
      </c>
      <c r="G962" s="83">
        <f>SUMIFS(G963:G6462,K963:K6462,"0",B963:B6462,"5 1 1 1 3 12 31111 6 M59 20000 000132 0000R 00001*")</f>
        <v>0</v>
      </c>
      <c r="H962" s="83">
        <f t="shared" si="15"/>
        <v>68581.320000000007</v>
      </c>
      <c r="I962" s="83"/>
      <c r="K962" s="54" t="s">
        <v>15</v>
      </c>
    </row>
    <row r="963" spans="2:11" ht="24.75" x14ac:dyDescent="0.2">
      <c r="B963" s="82" t="s">
        <v>3071</v>
      </c>
      <c r="C963" s="82" t="s">
        <v>2924</v>
      </c>
      <c r="D963" s="83">
        <f>SUMIFS(D964:D6462,K964:K6462,"0",B964:B6462,"5 1 1 1 3 12 31111 6 M59 20000 000132 0000R 00001 00113*")-SUMIFS(E964:E6462,K964:K6462,"0",B964:B6462,"5 1 1 1 3 12 31111 6 M59 20000 000132 0000R 00001 00113*")</f>
        <v>0</v>
      </c>
      <c r="E963" s="54"/>
      <c r="F963" s="83">
        <f>SUMIFS(F964:F6462,K964:K6462,"0",B964:B6462,"5 1 1 1 3 12 31111 6 M59 20000 000132 0000R 00001 00113*")</f>
        <v>68581.320000000007</v>
      </c>
      <c r="G963" s="83">
        <f>SUMIFS(G964:G6462,K964:K6462,"0",B964:B6462,"5 1 1 1 3 12 31111 6 M59 20000 000132 0000R 00001 00113*")</f>
        <v>0</v>
      </c>
      <c r="H963" s="83">
        <f t="shared" si="15"/>
        <v>68581.320000000007</v>
      </c>
      <c r="I963" s="83"/>
      <c r="K963" s="54" t="s">
        <v>15</v>
      </c>
    </row>
    <row r="964" spans="2:11" ht="24.75" x14ac:dyDescent="0.2">
      <c r="B964" s="82" t="s">
        <v>3072</v>
      </c>
      <c r="C964" s="82" t="s">
        <v>1051</v>
      </c>
      <c r="D964" s="83">
        <f>SUMIFS(D965:D6462,K965:K6462,"0",B965:B6462,"5 1 1 1 3 12 31111 6 M59 20000 000132 0000R 00001 00113 015*")-SUMIFS(E965:E6462,K965:K6462,"0",B965:B6462,"5 1 1 1 3 12 31111 6 M59 20000 000132 0000R 00001 00113 015*")</f>
        <v>0</v>
      </c>
      <c r="E964" s="54"/>
      <c r="F964" s="83">
        <f>SUMIFS(F965:F6462,K965:K6462,"0",B965:B6462,"5 1 1 1 3 12 31111 6 M59 20000 000132 0000R 00001 00113 015*")</f>
        <v>68581.320000000007</v>
      </c>
      <c r="G964" s="83">
        <f>SUMIFS(G965:G6462,K965:K6462,"0",B965:B6462,"5 1 1 1 3 12 31111 6 M59 20000 000132 0000R 00001 00113 015*")</f>
        <v>0</v>
      </c>
      <c r="H964" s="83">
        <f t="shared" si="15"/>
        <v>68581.320000000007</v>
      </c>
      <c r="I964" s="83"/>
      <c r="K964" s="54" t="s">
        <v>15</v>
      </c>
    </row>
    <row r="965" spans="2:11" ht="33" x14ac:dyDescent="0.2">
      <c r="B965" s="82" t="s">
        <v>3073</v>
      </c>
      <c r="C965" s="82" t="s">
        <v>2927</v>
      </c>
      <c r="D965" s="83">
        <f>SUMIFS(D966:D6462,K966:K6462,"0",B966:B6462,"5 1 1 1 3 12 31111 6 M59 20000 000132 0000R 00001 00113 015 2111100*")-SUMIFS(E966:E6462,K966:K6462,"0",B966:B6462,"5 1 1 1 3 12 31111 6 M59 20000 000132 0000R 00001 00113 015 2111100*")</f>
        <v>0</v>
      </c>
      <c r="E965" s="54"/>
      <c r="F965" s="83">
        <f>SUMIFS(F966:F6462,K966:K6462,"0",B966:B6462,"5 1 1 1 3 12 31111 6 M59 20000 000132 0000R 00001 00113 015 2111100*")</f>
        <v>68581.320000000007</v>
      </c>
      <c r="G965" s="83">
        <f>SUMIFS(G966:G6462,K966:K6462,"0",B966:B6462,"5 1 1 1 3 12 31111 6 M59 20000 000132 0000R 00001 00113 015 2111100*")</f>
        <v>0</v>
      </c>
      <c r="H965" s="83">
        <f t="shared" si="15"/>
        <v>68581.320000000007</v>
      </c>
      <c r="I965" s="83"/>
      <c r="K965" s="54" t="s">
        <v>15</v>
      </c>
    </row>
    <row r="966" spans="2:11" ht="33" x14ac:dyDescent="0.2">
      <c r="B966" s="82" t="s">
        <v>3074</v>
      </c>
      <c r="C966" s="82" t="s">
        <v>660</v>
      </c>
      <c r="D966" s="83">
        <f>SUMIFS(D967:D6462,K967:K6462,"0",B967:B6462,"5 1 1 1 3 12 31111 6 M59 20000 000132 0000R 00001 00113 015 2111100 2024*")-SUMIFS(E967:E6462,K967:K6462,"0",B967:B6462,"5 1 1 1 3 12 31111 6 M59 20000 000132 0000R 00001 00113 015 2111100 2024*")</f>
        <v>0</v>
      </c>
      <c r="E966" s="54"/>
      <c r="F966" s="83">
        <f>SUMIFS(F967:F6462,K967:K6462,"0",B967:B6462,"5 1 1 1 3 12 31111 6 M59 20000 000132 0000R 00001 00113 015 2111100 2024*")</f>
        <v>68581.320000000007</v>
      </c>
      <c r="G966" s="83">
        <f>SUMIFS(G967:G6462,K967:K6462,"0",B967:B6462,"5 1 1 1 3 12 31111 6 M59 20000 000132 0000R 00001 00113 015 2111100 2024*")</f>
        <v>0</v>
      </c>
      <c r="H966" s="83">
        <f t="shared" si="15"/>
        <v>68581.320000000007</v>
      </c>
      <c r="I966" s="83"/>
      <c r="K966" s="54" t="s">
        <v>15</v>
      </c>
    </row>
    <row r="967" spans="2:11" ht="41.25" x14ac:dyDescent="0.2">
      <c r="B967" s="82" t="s">
        <v>3075</v>
      </c>
      <c r="C967" s="82" t="s">
        <v>1056</v>
      </c>
      <c r="D967" s="83">
        <f>SUMIFS(D968:D6462,K968:K6462,"0",B968:B6462,"5 1 1 1 3 12 31111 6 M59 20000 000132 0000R 00001 00113 015 2111100 2024 CP1AF389*")-SUMIFS(E968:E6462,K968:K6462,"0",B968:B6462,"5 1 1 1 3 12 31111 6 M59 20000 000132 0000R 00001 00113 015 2111100 2024 CP1AF389*")</f>
        <v>0</v>
      </c>
      <c r="E967" s="54"/>
      <c r="F967" s="83">
        <f>SUMIFS(F968:F6462,K968:K6462,"0",B968:B6462,"5 1 1 1 3 12 31111 6 M59 20000 000132 0000R 00001 00113 015 2111100 2024 CP1AF389*")</f>
        <v>68581.320000000007</v>
      </c>
      <c r="G967" s="83">
        <f>SUMIFS(G968:G6462,K968:K6462,"0",B968:B6462,"5 1 1 1 3 12 31111 6 M59 20000 000132 0000R 00001 00113 015 2111100 2024 CP1AF389*")</f>
        <v>0</v>
      </c>
      <c r="H967" s="83">
        <f t="shared" si="15"/>
        <v>68581.320000000007</v>
      </c>
      <c r="I967" s="83"/>
      <c r="K967" s="54" t="s">
        <v>15</v>
      </c>
    </row>
    <row r="968" spans="2:11" ht="41.25" x14ac:dyDescent="0.2">
      <c r="B968" s="82" t="s">
        <v>3076</v>
      </c>
      <c r="C968" s="82" t="s">
        <v>282</v>
      </c>
      <c r="D968" s="83">
        <f>SUMIFS(D969:D6462,K969:K6462,"0",B969:B6462,"5 1 1 1 3 12 31111 6 M59 20000 000132 0000R 00001 00113 015 2111100 2024 CP1AF389 001*")-SUMIFS(E969:E6462,K969:K6462,"0",B969:B6462,"5 1 1 1 3 12 31111 6 M59 20000 000132 0000R 00001 00113 015 2111100 2024 CP1AF389 001*")</f>
        <v>0</v>
      </c>
      <c r="E968" s="54"/>
      <c r="F968" s="83">
        <f>SUMIFS(F969:F6462,K969:K6462,"0",B969:B6462,"5 1 1 1 3 12 31111 6 M59 20000 000132 0000R 00001 00113 015 2111100 2024 CP1AF389 001*")</f>
        <v>68581.320000000007</v>
      </c>
      <c r="G968" s="83">
        <f>SUMIFS(G969:G6462,K969:K6462,"0",B969:B6462,"5 1 1 1 3 12 31111 6 M59 20000 000132 0000R 00001 00113 015 2111100 2024 CP1AF389 001*")</f>
        <v>0</v>
      </c>
      <c r="H968" s="83">
        <f t="shared" si="15"/>
        <v>68581.320000000007</v>
      </c>
      <c r="I968" s="83"/>
      <c r="K968" s="54" t="s">
        <v>15</v>
      </c>
    </row>
    <row r="969" spans="2:11" ht="49.5" x14ac:dyDescent="0.2">
      <c r="B969" s="82" t="s">
        <v>3077</v>
      </c>
      <c r="C969" s="82" t="s">
        <v>2932</v>
      </c>
      <c r="D969" s="83">
        <f>SUMIFS(D970:D6462,K970:K6462,"0",B970:B6462,"5 1 1 1 3 12 31111 6 M59 20000 000132 0000R 00001 00113 015 2111100 2024 CP1AF389 001 0000001*")-SUMIFS(E970:E6462,K970:K6462,"0",B970:B6462,"5 1 1 1 3 12 31111 6 M59 20000 000132 0000R 00001 00113 015 2111100 2024 CP1AF389 001 0000001*")</f>
        <v>0</v>
      </c>
      <c r="E969" s="54"/>
      <c r="F969" s="83">
        <f>SUMIFS(F970:F6462,K970:K6462,"0",B970:B6462,"5 1 1 1 3 12 31111 6 M59 20000 000132 0000R 00001 00113 015 2111100 2024 CP1AF389 001 0000001*")</f>
        <v>68581.320000000007</v>
      </c>
      <c r="G969" s="83">
        <f>SUMIFS(G970:G6462,K970:K6462,"0",B970:B6462,"5 1 1 1 3 12 31111 6 M59 20000 000132 0000R 00001 00113 015 2111100 2024 CP1AF389 001 0000001*")</f>
        <v>0</v>
      </c>
      <c r="H969" s="83">
        <f t="shared" si="15"/>
        <v>68581.320000000007</v>
      </c>
      <c r="I969" s="83"/>
      <c r="K969" s="54" t="s">
        <v>15</v>
      </c>
    </row>
    <row r="970" spans="2:11" ht="41.25" x14ac:dyDescent="0.2">
      <c r="B970" s="84" t="s">
        <v>3078</v>
      </c>
      <c r="C970" s="84" t="s">
        <v>2284</v>
      </c>
      <c r="D970" s="85">
        <v>0</v>
      </c>
      <c r="E970" s="85"/>
      <c r="F970" s="85">
        <v>68581.320000000007</v>
      </c>
      <c r="G970" s="85">
        <v>0</v>
      </c>
      <c r="H970" s="85">
        <f t="shared" si="15"/>
        <v>68581.320000000007</v>
      </c>
      <c r="I970" s="85"/>
      <c r="K970" s="54" t="s">
        <v>38</v>
      </c>
    </row>
    <row r="971" spans="2:11" ht="16.5" x14ac:dyDescent="0.2">
      <c r="B971" s="82" t="s">
        <v>3079</v>
      </c>
      <c r="C971" s="82" t="s">
        <v>3080</v>
      </c>
      <c r="D971" s="83">
        <f>SUMIFS(D972:D6462,K972:K6462,"0",B972:B6462,"5 1 1 1 3 12 31111 6 M59 20200*")-SUMIFS(E972:E6462,K972:K6462,"0",B972:B6462,"5 1 1 1 3 12 31111 6 M59 20200*")</f>
        <v>0</v>
      </c>
      <c r="E971" s="54"/>
      <c r="F971" s="83">
        <f>SUMIFS(F972:F6462,K972:K6462,"0",B972:B6462,"5 1 1 1 3 12 31111 6 M59 20200*")</f>
        <v>695003.23</v>
      </c>
      <c r="G971" s="83">
        <f>SUMIFS(G972:G6462,K972:K6462,"0",B972:B6462,"5 1 1 1 3 12 31111 6 M59 20200*")</f>
        <v>0</v>
      </c>
      <c r="H971" s="83">
        <f t="shared" si="15"/>
        <v>695003.23</v>
      </c>
      <c r="I971" s="83"/>
      <c r="K971" s="54" t="s">
        <v>15</v>
      </c>
    </row>
    <row r="972" spans="2:11" ht="16.5" x14ac:dyDescent="0.2">
      <c r="B972" s="82" t="s">
        <v>3081</v>
      </c>
      <c r="C972" s="82" t="s">
        <v>648</v>
      </c>
      <c r="D972" s="83">
        <f>SUMIFS(D973:D6462,K973:K6462,"0",B973:B6462,"5 1 1 1 3 12 31111 6 M59 20200 000132*")-SUMIFS(E973:E6462,K973:K6462,"0",B973:B6462,"5 1 1 1 3 12 31111 6 M59 20200 000132*")</f>
        <v>0</v>
      </c>
      <c r="E972" s="54"/>
      <c r="F972" s="83">
        <f>SUMIFS(F973:F6462,K973:K6462,"0",B973:B6462,"5 1 1 1 3 12 31111 6 M59 20200 000132*")</f>
        <v>695003.23</v>
      </c>
      <c r="G972" s="83">
        <f>SUMIFS(G973:G6462,K973:K6462,"0",B973:B6462,"5 1 1 1 3 12 31111 6 M59 20200 000132*")</f>
        <v>0</v>
      </c>
      <c r="H972" s="83">
        <f t="shared" si="15"/>
        <v>695003.23</v>
      </c>
      <c r="I972" s="83"/>
      <c r="K972" s="54" t="s">
        <v>15</v>
      </c>
    </row>
    <row r="973" spans="2:11" ht="16.5" x14ac:dyDescent="0.2">
      <c r="B973" s="82" t="s">
        <v>3082</v>
      </c>
      <c r="C973" s="82" t="s">
        <v>650</v>
      </c>
      <c r="D973" s="83">
        <f>SUMIFS(D974:D6462,K974:K6462,"0",B974:B6462,"5 1 1 1 3 12 31111 6 M59 20200 000132 0000R*")-SUMIFS(E974:E6462,K974:K6462,"0",B974:B6462,"5 1 1 1 3 12 31111 6 M59 20200 000132 0000R*")</f>
        <v>0</v>
      </c>
      <c r="E973" s="54"/>
      <c r="F973" s="83">
        <f>SUMIFS(F974:F6462,K974:K6462,"0",B974:B6462,"5 1 1 1 3 12 31111 6 M59 20200 000132 0000R*")</f>
        <v>695003.23</v>
      </c>
      <c r="G973" s="83">
        <f>SUMIFS(G974:G6462,K974:K6462,"0",B974:B6462,"5 1 1 1 3 12 31111 6 M59 20200 000132 0000R*")</f>
        <v>0</v>
      </c>
      <c r="H973" s="83">
        <f t="shared" si="15"/>
        <v>695003.23</v>
      </c>
      <c r="I973" s="83"/>
      <c r="K973" s="54" t="s">
        <v>15</v>
      </c>
    </row>
    <row r="974" spans="2:11" ht="24.75" x14ac:dyDescent="0.2">
      <c r="B974" s="82" t="s">
        <v>3083</v>
      </c>
      <c r="C974" s="82" t="s">
        <v>282</v>
      </c>
      <c r="D974" s="83">
        <f>SUMIFS(D975:D6462,K975:K6462,"0",B975:B6462,"5 1 1 1 3 12 31111 6 M59 20200 000132 0000R 00001*")-SUMIFS(E975:E6462,K975:K6462,"0",B975:B6462,"5 1 1 1 3 12 31111 6 M59 20200 000132 0000R 00001*")</f>
        <v>0</v>
      </c>
      <c r="E974" s="54"/>
      <c r="F974" s="83">
        <f>SUMIFS(F975:F6462,K975:K6462,"0",B975:B6462,"5 1 1 1 3 12 31111 6 M59 20200 000132 0000R 00001*")</f>
        <v>695003.23</v>
      </c>
      <c r="G974" s="83">
        <f>SUMIFS(G975:G6462,K975:K6462,"0",B975:B6462,"5 1 1 1 3 12 31111 6 M59 20200 000132 0000R 00001*")</f>
        <v>0</v>
      </c>
      <c r="H974" s="83">
        <f t="shared" si="15"/>
        <v>695003.23</v>
      </c>
      <c r="I974" s="83"/>
      <c r="K974" s="54" t="s">
        <v>15</v>
      </c>
    </row>
    <row r="975" spans="2:11" ht="24.75" x14ac:dyDescent="0.2">
      <c r="B975" s="82" t="s">
        <v>3084</v>
      </c>
      <c r="C975" s="82" t="s">
        <v>2924</v>
      </c>
      <c r="D975" s="83">
        <f>SUMIFS(D976:D6462,K976:K6462,"0",B976:B6462,"5 1 1 1 3 12 31111 6 M59 20200 000132 0000R 00001 00113*")-SUMIFS(E976:E6462,K976:K6462,"0",B976:B6462,"5 1 1 1 3 12 31111 6 M59 20200 000132 0000R 00001 00113*")</f>
        <v>0</v>
      </c>
      <c r="E975" s="54"/>
      <c r="F975" s="83">
        <f>SUMIFS(F976:F6462,K976:K6462,"0",B976:B6462,"5 1 1 1 3 12 31111 6 M59 20200 000132 0000R 00001 00113*")</f>
        <v>695003.23</v>
      </c>
      <c r="G975" s="83">
        <f>SUMIFS(G976:G6462,K976:K6462,"0",B976:B6462,"5 1 1 1 3 12 31111 6 M59 20200 000132 0000R 00001 00113*")</f>
        <v>0</v>
      </c>
      <c r="H975" s="83">
        <f t="shared" si="15"/>
        <v>695003.23</v>
      </c>
      <c r="I975" s="83"/>
      <c r="K975" s="54" t="s">
        <v>15</v>
      </c>
    </row>
    <row r="976" spans="2:11" ht="24.75" x14ac:dyDescent="0.2">
      <c r="B976" s="82" t="s">
        <v>3085</v>
      </c>
      <c r="C976" s="82" t="s">
        <v>1051</v>
      </c>
      <c r="D976" s="83">
        <f>SUMIFS(D977:D6462,K977:K6462,"0",B977:B6462,"5 1 1 1 3 12 31111 6 M59 20200 000132 0000R 00001 00113 015*")-SUMIFS(E977:E6462,K977:K6462,"0",B977:B6462,"5 1 1 1 3 12 31111 6 M59 20200 000132 0000R 00001 00113 015*")</f>
        <v>0</v>
      </c>
      <c r="E976" s="54"/>
      <c r="F976" s="83">
        <f>SUMIFS(F977:F6462,K977:K6462,"0",B977:B6462,"5 1 1 1 3 12 31111 6 M59 20200 000132 0000R 00001 00113 015*")</f>
        <v>695003.23</v>
      </c>
      <c r="G976" s="83">
        <f>SUMIFS(G977:G6462,K977:K6462,"0",B977:B6462,"5 1 1 1 3 12 31111 6 M59 20200 000132 0000R 00001 00113 015*")</f>
        <v>0</v>
      </c>
      <c r="H976" s="83">
        <f t="shared" si="15"/>
        <v>695003.23</v>
      </c>
      <c r="I976" s="83"/>
      <c r="K976" s="54" t="s">
        <v>15</v>
      </c>
    </row>
    <row r="977" spans="2:11" ht="33" x14ac:dyDescent="0.2">
      <c r="B977" s="82" t="s">
        <v>3086</v>
      </c>
      <c r="C977" s="82" t="s">
        <v>2927</v>
      </c>
      <c r="D977" s="83">
        <f>SUMIFS(D978:D6462,K978:K6462,"0",B978:B6462,"5 1 1 1 3 12 31111 6 M59 20200 000132 0000R 00001 00113 015 2111100*")-SUMIFS(E978:E6462,K978:K6462,"0",B978:B6462,"5 1 1 1 3 12 31111 6 M59 20200 000132 0000R 00001 00113 015 2111100*")</f>
        <v>0</v>
      </c>
      <c r="E977" s="54"/>
      <c r="F977" s="83">
        <f>SUMIFS(F978:F6462,K978:K6462,"0",B978:B6462,"5 1 1 1 3 12 31111 6 M59 20200 000132 0000R 00001 00113 015 2111100*")</f>
        <v>695003.23</v>
      </c>
      <c r="G977" s="83">
        <f>SUMIFS(G978:G6462,K978:K6462,"0",B978:B6462,"5 1 1 1 3 12 31111 6 M59 20200 000132 0000R 00001 00113 015 2111100*")</f>
        <v>0</v>
      </c>
      <c r="H977" s="83">
        <f t="shared" si="15"/>
        <v>695003.23</v>
      </c>
      <c r="I977" s="83"/>
      <c r="K977" s="54" t="s">
        <v>15</v>
      </c>
    </row>
    <row r="978" spans="2:11" ht="33" x14ac:dyDescent="0.2">
      <c r="B978" s="82" t="s">
        <v>3087</v>
      </c>
      <c r="C978" s="82" t="s">
        <v>660</v>
      </c>
      <c r="D978" s="83">
        <f>SUMIFS(D979:D6462,K979:K6462,"0",B979:B6462,"5 1 1 1 3 12 31111 6 M59 20200 000132 0000R 00001 00113 015 2111100 2024*")-SUMIFS(E979:E6462,K979:K6462,"0",B979:B6462,"5 1 1 1 3 12 31111 6 M59 20200 000132 0000R 00001 00113 015 2111100 2024*")</f>
        <v>0</v>
      </c>
      <c r="E978" s="54"/>
      <c r="F978" s="83">
        <f>SUMIFS(F979:F6462,K979:K6462,"0",B979:B6462,"5 1 1 1 3 12 31111 6 M59 20200 000132 0000R 00001 00113 015 2111100 2024*")</f>
        <v>695003.23</v>
      </c>
      <c r="G978" s="83">
        <f>SUMIFS(G979:G6462,K979:K6462,"0",B979:B6462,"5 1 1 1 3 12 31111 6 M59 20200 000132 0000R 00001 00113 015 2111100 2024*")</f>
        <v>0</v>
      </c>
      <c r="H978" s="83">
        <f t="shared" si="15"/>
        <v>695003.23</v>
      </c>
      <c r="I978" s="83"/>
      <c r="K978" s="54" t="s">
        <v>15</v>
      </c>
    </row>
    <row r="979" spans="2:11" ht="33" x14ac:dyDescent="0.2">
      <c r="B979" s="82" t="s">
        <v>3088</v>
      </c>
      <c r="C979" s="82" t="s">
        <v>662</v>
      </c>
      <c r="D979" s="83">
        <f>SUMIFS(D980:D6462,K980:K6462,"0",B980:B6462,"5 1 1 1 3 12 31111 6 M59 20200 000132 0000R 00001 00113 015 2111100 2024 CP1DI411*")-SUMIFS(E980:E6462,K980:K6462,"0",B980:B6462,"5 1 1 1 3 12 31111 6 M59 20200 000132 0000R 00001 00113 015 2111100 2024 CP1DI411*")</f>
        <v>0</v>
      </c>
      <c r="E979" s="54"/>
      <c r="F979" s="83">
        <f>SUMIFS(F980:F6462,K980:K6462,"0",B980:B6462,"5 1 1 1 3 12 31111 6 M59 20200 000132 0000R 00001 00113 015 2111100 2024 CP1DI411*")</f>
        <v>695003.23</v>
      </c>
      <c r="G979" s="83">
        <f>SUMIFS(G980:G6462,K980:K6462,"0",B980:B6462,"5 1 1 1 3 12 31111 6 M59 20200 000132 0000R 00001 00113 015 2111100 2024 CP1DI411*")</f>
        <v>0</v>
      </c>
      <c r="H979" s="83">
        <f t="shared" si="15"/>
        <v>695003.23</v>
      </c>
      <c r="I979" s="83"/>
      <c r="K979" s="54" t="s">
        <v>15</v>
      </c>
    </row>
    <row r="980" spans="2:11" ht="41.25" x14ac:dyDescent="0.2">
      <c r="B980" s="82" t="s">
        <v>3089</v>
      </c>
      <c r="C980" s="82" t="s">
        <v>282</v>
      </c>
      <c r="D980" s="83">
        <f>SUMIFS(D981:D6462,K981:K6462,"0",B981:B6462,"5 1 1 1 3 12 31111 6 M59 20200 000132 0000R 00001 00113 015 2111100 2024 CP1DI411 001*")-SUMIFS(E981:E6462,K981:K6462,"0",B981:B6462,"5 1 1 1 3 12 31111 6 M59 20200 000132 0000R 00001 00113 015 2111100 2024 CP1DI411 001*")</f>
        <v>0</v>
      </c>
      <c r="E980" s="54"/>
      <c r="F980" s="83">
        <f>SUMIFS(F981:F6462,K981:K6462,"0",B981:B6462,"5 1 1 1 3 12 31111 6 M59 20200 000132 0000R 00001 00113 015 2111100 2024 CP1DI411 001*")</f>
        <v>695003.23</v>
      </c>
      <c r="G980" s="83">
        <f>SUMIFS(G981:G6462,K981:K6462,"0",B981:B6462,"5 1 1 1 3 12 31111 6 M59 20200 000132 0000R 00001 00113 015 2111100 2024 CP1DI411 001*")</f>
        <v>0</v>
      </c>
      <c r="H980" s="83">
        <f t="shared" si="15"/>
        <v>695003.23</v>
      </c>
      <c r="I980" s="83"/>
      <c r="K980" s="54" t="s">
        <v>15</v>
      </c>
    </row>
    <row r="981" spans="2:11" ht="33" x14ac:dyDescent="0.2">
      <c r="B981" s="84" t="s">
        <v>3090</v>
      </c>
      <c r="C981" s="84" t="s">
        <v>2932</v>
      </c>
      <c r="D981" s="85">
        <v>0</v>
      </c>
      <c r="E981" s="85"/>
      <c r="F981" s="85">
        <v>695003.23</v>
      </c>
      <c r="G981" s="85">
        <v>0</v>
      </c>
      <c r="H981" s="85">
        <f t="shared" si="15"/>
        <v>695003.23</v>
      </c>
      <c r="I981" s="85"/>
      <c r="K981" s="54" t="s">
        <v>38</v>
      </c>
    </row>
    <row r="982" spans="2:11" ht="16.5" x14ac:dyDescent="0.2">
      <c r="B982" s="82" t="s">
        <v>3091</v>
      </c>
      <c r="C982" s="82" t="s">
        <v>1061</v>
      </c>
      <c r="D982" s="83">
        <f>SUMIFS(D983:D6462,K983:K6462,"0",B983:B6462,"5 1 1 1 3 12 31111 6 M59 20300*")-SUMIFS(E983:E6462,K983:K6462,"0",B983:B6462,"5 1 1 1 3 12 31111 6 M59 20300*")</f>
        <v>0</v>
      </c>
      <c r="E982" s="54"/>
      <c r="F982" s="83">
        <f>SUMIFS(F983:F6462,K983:K6462,"0",B983:B6462,"5 1 1 1 3 12 31111 6 M59 20300*")</f>
        <v>1156929.77</v>
      </c>
      <c r="G982" s="83">
        <f>SUMIFS(G983:G6462,K983:K6462,"0",B983:B6462,"5 1 1 1 3 12 31111 6 M59 20300*")</f>
        <v>0</v>
      </c>
      <c r="H982" s="83">
        <f t="shared" si="15"/>
        <v>1156929.77</v>
      </c>
      <c r="I982" s="83"/>
      <c r="K982" s="54" t="s">
        <v>15</v>
      </c>
    </row>
    <row r="983" spans="2:11" ht="16.5" x14ac:dyDescent="0.2">
      <c r="B983" s="82" t="s">
        <v>3092</v>
      </c>
      <c r="C983" s="82" t="s">
        <v>648</v>
      </c>
      <c r="D983" s="83">
        <f>SUMIFS(D984:D6462,K984:K6462,"0",B984:B6462,"5 1 1 1 3 12 31111 6 M59 20300 000132*")-SUMIFS(E984:E6462,K984:K6462,"0",B984:B6462,"5 1 1 1 3 12 31111 6 M59 20300 000132*")</f>
        <v>0</v>
      </c>
      <c r="E983" s="54"/>
      <c r="F983" s="83">
        <f>SUMIFS(F984:F6462,K984:K6462,"0",B984:B6462,"5 1 1 1 3 12 31111 6 M59 20300 000132*")</f>
        <v>1156929.77</v>
      </c>
      <c r="G983" s="83">
        <f>SUMIFS(G984:G6462,K984:K6462,"0",B984:B6462,"5 1 1 1 3 12 31111 6 M59 20300 000132*")</f>
        <v>0</v>
      </c>
      <c r="H983" s="83">
        <f t="shared" si="15"/>
        <v>1156929.77</v>
      </c>
      <c r="I983" s="83"/>
      <c r="K983" s="54" t="s">
        <v>15</v>
      </c>
    </row>
    <row r="984" spans="2:11" ht="16.5" x14ac:dyDescent="0.2">
      <c r="B984" s="82" t="s">
        <v>3093</v>
      </c>
      <c r="C984" s="82" t="s">
        <v>650</v>
      </c>
      <c r="D984" s="83">
        <f>SUMIFS(D985:D6462,K985:K6462,"0",B985:B6462,"5 1 1 1 3 12 31111 6 M59 20300 000132 0000R*")-SUMIFS(E985:E6462,K985:K6462,"0",B985:B6462,"5 1 1 1 3 12 31111 6 M59 20300 000132 0000R*")</f>
        <v>0</v>
      </c>
      <c r="E984" s="54"/>
      <c r="F984" s="83">
        <f>SUMIFS(F985:F6462,K985:K6462,"0",B985:B6462,"5 1 1 1 3 12 31111 6 M59 20300 000132 0000R*")</f>
        <v>1156929.77</v>
      </c>
      <c r="G984" s="83">
        <f>SUMIFS(G985:G6462,K985:K6462,"0",B985:B6462,"5 1 1 1 3 12 31111 6 M59 20300 000132 0000R*")</f>
        <v>0</v>
      </c>
      <c r="H984" s="83">
        <f t="shared" si="15"/>
        <v>1156929.77</v>
      </c>
      <c r="I984" s="83"/>
      <c r="K984" s="54" t="s">
        <v>15</v>
      </c>
    </row>
    <row r="985" spans="2:11" ht="24.75" x14ac:dyDescent="0.2">
      <c r="B985" s="82" t="s">
        <v>3094</v>
      </c>
      <c r="C985" s="82" t="s">
        <v>282</v>
      </c>
      <c r="D985" s="83">
        <f>SUMIFS(D986:D6462,K986:K6462,"0",B986:B6462,"5 1 1 1 3 12 31111 6 M59 20300 000132 0000R 00001*")-SUMIFS(E986:E6462,K986:K6462,"0",B986:B6462,"5 1 1 1 3 12 31111 6 M59 20300 000132 0000R 00001*")</f>
        <v>0</v>
      </c>
      <c r="E985" s="54"/>
      <c r="F985" s="83">
        <f>SUMIFS(F986:F6462,K986:K6462,"0",B986:B6462,"5 1 1 1 3 12 31111 6 M59 20300 000132 0000R 00001*")</f>
        <v>1156929.77</v>
      </c>
      <c r="G985" s="83">
        <f>SUMIFS(G986:G6462,K986:K6462,"0",B986:B6462,"5 1 1 1 3 12 31111 6 M59 20300 000132 0000R 00001*")</f>
        <v>0</v>
      </c>
      <c r="H985" s="83">
        <f t="shared" si="15"/>
        <v>1156929.77</v>
      </c>
      <c r="I985" s="83"/>
      <c r="K985" s="54" t="s">
        <v>15</v>
      </c>
    </row>
    <row r="986" spans="2:11" ht="24.75" x14ac:dyDescent="0.2">
      <c r="B986" s="82" t="s">
        <v>3095</v>
      </c>
      <c r="C986" s="82" t="s">
        <v>2924</v>
      </c>
      <c r="D986" s="83">
        <f>SUMIFS(D987:D6462,K987:K6462,"0",B987:B6462,"5 1 1 1 3 12 31111 6 M59 20300 000132 0000R 00001 00113*")-SUMIFS(E987:E6462,K987:K6462,"0",B987:B6462,"5 1 1 1 3 12 31111 6 M59 20300 000132 0000R 00001 00113*")</f>
        <v>0</v>
      </c>
      <c r="E986" s="54"/>
      <c r="F986" s="83">
        <f>SUMIFS(F987:F6462,K987:K6462,"0",B987:B6462,"5 1 1 1 3 12 31111 6 M59 20300 000132 0000R 00001 00113*")</f>
        <v>1156929.77</v>
      </c>
      <c r="G986" s="83">
        <f>SUMIFS(G987:G6462,K987:K6462,"0",B987:B6462,"5 1 1 1 3 12 31111 6 M59 20300 000132 0000R 00001 00113*")</f>
        <v>0</v>
      </c>
      <c r="H986" s="83">
        <f t="shared" si="15"/>
        <v>1156929.77</v>
      </c>
      <c r="I986" s="83"/>
      <c r="K986" s="54" t="s">
        <v>15</v>
      </c>
    </row>
    <row r="987" spans="2:11" ht="24.75" x14ac:dyDescent="0.2">
      <c r="B987" s="82" t="s">
        <v>3096</v>
      </c>
      <c r="C987" s="82" t="s">
        <v>1051</v>
      </c>
      <c r="D987" s="83">
        <f>SUMIFS(D988:D6462,K988:K6462,"0",B988:B6462,"5 1 1 1 3 12 31111 6 M59 20300 000132 0000R 00001 00113 015*")-SUMIFS(E988:E6462,K988:K6462,"0",B988:B6462,"5 1 1 1 3 12 31111 6 M59 20300 000132 0000R 00001 00113 015*")</f>
        <v>0</v>
      </c>
      <c r="E987" s="54"/>
      <c r="F987" s="83">
        <f>SUMIFS(F988:F6462,K988:K6462,"0",B988:B6462,"5 1 1 1 3 12 31111 6 M59 20300 000132 0000R 00001 00113 015*")</f>
        <v>1156929.77</v>
      </c>
      <c r="G987" s="83">
        <f>SUMIFS(G988:G6462,K988:K6462,"0",B988:B6462,"5 1 1 1 3 12 31111 6 M59 20300 000132 0000R 00001 00113 015*")</f>
        <v>0</v>
      </c>
      <c r="H987" s="83">
        <f t="shared" si="15"/>
        <v>1156929.77</v>
      </c>
      <c r="I987" s="83"/>
      <c r="K987" s="54" t="s">
        <v>15</v>
      </c>
    </row>
    <row r="988" spans="2:11" ht="33" x14ac:dyDescent="0.2">
      <c r="B988" s="82" t="s">
        <v>3097</v>
      </c>
      <c r="C988" s="82" t="s">
        <v>2927</v>
      </c>
      <c r="D988" s="83">
        <f>SUMIFS(D989:D6462,K989:K6462,"0",B989:B6462,"5 1 1 1 3 12 31111 6 M59 20300 000132 0000R 00001 00113 015 2111100*")-SUMIFS(E989:E6462,K989:K6462,"0",B989:B6462,"5 1 1 1 3 12 31111 6 M59 20300 000132 0000R 00001 00113 015 2111100*")</f>
        <v>0</v>
      </c>
      <c r="E988" s="54"/>
      <c r="F988" s="83">
        <f>SUMIFS(F989:F6462,K989:K6462,"0",B989:B6462,"5 1 1 1 3 12 31111 6 M59 20300 000132 0000R 00001 00113 015 2111100*")</f>
        <v>1156929.77</v>
      </c>
      <c r="G988" s="83">
        <f>SUMIFS(G989:G6462,K989:K6462,"0",B989:B6462,"5 1 1 1 3 12 31111 6 M59 20300 000132 0000R 00001 00113 015 2111100*")</f>
        <v>0</v>
      </c>
      <c r="H988" s="83">
        <f t="shared" si="15"/>
        <v>1156929.77</v>
      </c>
      <c r="I988" s="83"/>
      <c r="K988" s="54" t="s">
        <v>15</v>
      </c>
    </row>
    <row r="989" spans="2:11" ht="33" x14ac:dyDescent="0.2">
      <c r="B989" s="82" t="s">
        <v>3098</v>
      </c>
      <c r="C989" s="82" t="s">
        <v>660</v>
      </c>
      <c r="D989" s="83">
        <f>SUMIFS(D990:D6462,K990:K6462,"0",B990:B6462,"5 1 1 1 3 12 31111 6 M59 20300 000132 0000R 00001 00113 015 2111100 2024*")-SUMIFS(E990:E6462,K990:K6462,"0",B990:B6462,"5 1 1 1 3 12 31111 6 M59 20300 000132 0000R 00001 00113 015 2111100 2024*")</f>
        <v>0</v>
      </c>
      <c r="E989" s="54"/>
      <c r="F989" s="83">
        <f>SUMIFS(F990:F6462,K990:K6462,"0",B990:B6462,"5 1 1 1 3 12 31111 6 M59 20300 000132 0000R 00001 00113 015 2111100 2024*")</f>
        <v>1156929.77</v>
      </c>
      <c r="G989" s="83">
        <f>SUMIFS(G990:G6462,K990:K6462,"0",B990:B6462,"5 1 1 1 3 12 31111 6 M59 20300 000132 0000R 00001 00113 015 2111100 2024*")</f>
        <v>0</v>
      </c>
      <c r="H989" s="83">
        <f t="shared" si="15"/>
        <v>1156929.77</v>
      </c>
      <c r="I989" s="83"/>
      <c r="K989" s="54" t="s">
        <v>15</v>
      </c>
    </row>
    <row r="990" spans="2:11" ht="41.25" x14ac:dyDescent="0.2">
      <c r="B990" s="82" t="s">
        <v>3099</v>
      </c>
      <c r="C990" s="82" t="s">
        <v>662</v>
      </c>
      <c r="D990" s="83">
        <f>SUMIFS(D991:D6462,K991:K6462,"0",B991:B6462,"5 1 1 1 3 12 31111 6 M59 20300 000132 0000R 00001 00113 015 2111100 2024 CP1DE415*")-SUMIFS(E991:E6462,K991:K6462,"0",B991:B6462,"5 1 1 1 3 12 31111 6 M59 20300 000132 0000R 00001 00113 015 2111100 2024 CP1DE415*")</f>
        <v>0</v>
      </c>
      <c r="E990" s="54"/>
      <c r="F990" s="83">
        <f>SUMIFS(F991:F6462,K991:K6462,"0",B991:B6462,"5 1 1 1 3 12 31111 6 M59 20300 000132 0000R 00001 00113 015 2111100 2024 CP1DE415*")</f>
        <v>1156929.77</v>
      </c>
      <c r="G990" s="83">
        <f>SUMIFS(G991:G6462,K991:K6462,"0",B991:B6462,"5 1 1 1 3 12 31111 6 M59 20300 000132 0000R 00001 00113 015 2111100 2024 CP1DE415*")</f>
        <v>0</v>
      </c>
      <c r="H990" s="83">
        <f t="shared" si="15"/>
        <v>1156929.77</v>
      </c>
      <c r="I990" s="83"/>
      <c r="K990" s="54" t="s">
        <v>15</v>
      </c>
    </row>
    <row r="991" spans="2:11" ht="41.25" x14ac:dyDescent="0.2">
      <c r="B991" s="82" t="s">
        <v>3100</v>
      </c>
      <c r="C991" s="82" t="s">
        <v>282</v>
      </c>
      <c r="D991" s="83">
        <f>SUMIFS(D992:D6462,K992:K6462,"0",B992:B6462,"5 1 1 1 3 12 31111 6 M59 20300 000132 0000R 00001 00113 015 2111100 2024 CP1DE415 001*")-SUMIFS(E992:E6462,K992:K6462,"0",B992:B6462,"5 1 1 1 3 12 31111 6 M59 20300 000132 0000R 00001 00113 015 2111100 2024 CP1DE415 001*")</f>
        <v>0</v>
      </c>
      <c r="E991" s="54"/>
      <c r="F991" s="83">
        <f>SUMIFS(F992:F6462,K992:K6462,"0",B992:B6462,"5 1 1 1 3 12 31111 6 M59 20300 000132 0000R 00001 00113 015 2111100 2024 CP1DE415 001*")</f>
        <v>1156929.77</v>
      </c>
      <c r="G991" s="83">
        <f>SUMIFS(G992:G6462,K992:K6462,"0",B992:B6462,"5 1 1 1 3 12 31111 6 M59 20300 000132 0000R 00001 00113 015 2111100 2024 CP1DE415 001*")</f>
        <v>0</v>
      </c>
      <c r="H991" s="83">
        <f t="shared" si="15"/>
        <v>1156929.77</v>
      </c>
      <c r="I991" s="83"/>
      <c r="K991" s="54" t="s">
        <v>15</v>
      </c>
    </row>
    <row r="992" spans="2:11" ht="41.25" x14ac:dyDescent="0.2">
      <c r="B992" s="84" t="s">
        <v>3101</v>
      </c>
      <c r="C992" s="84" t="s">
        <v>2932</v>
      </c>
      <c r="D992" s="85">
        <v>0</v>
      </c>
      <c r="E992" s="85"/>
      <c r="F992" s="85">
        <v>1156929.77</v>
      </c>
      <c r="G992" s="85">
        <v>0</v>
      </c>
      <c r="H992" s="85">
        <f t="shared" si="15"/>
        <v>1156929.77</v>
      </c>
      <c r="I992" s="85"/>
      <c r="K992" s="54" t="s">
        <v>38</v>
      </c>
    </row>
    <row r="993" spans="2:11" ht="16.5" x14ac:dyDescent="0.2">
      <c r="B993" s="82" t="s">
        <v>3102</v>
      </c>
      <c r="C993" s="82" t="s">
        <v>3103</v>
      </c>
      <c r="D993" s="83">
        <f>SUMIFS(D994:D6462,K994:K6462,"0",B994:B6462,"5 1 1 1 3 12 31111 6 M59 20400*")-SUMIFS(E994:E6462,K994:K6462,"0",B994:B6462,"5 1 1 1 3 12 31111 6 M59 20400*")</f>
        <v>0</v>
      </c>
      <c r="E993" s="54"/>
      <c r="F993" s="83">
        <f>SUMIFS(F994:F6462,K994:K6462,"0",B994:B6462,"5 1 1 1 3 12 31111 6 M59 20400*")</f>
        <v>487562.32</v>
      </c>
      <c r="G993" s="83">
        <f>SUMIFS(G994:G6462,K994:K6462,"0",B994:B6462,"5 1 1 1 3 12 31111 6 M59 20400*")</f>
        <v>0</v>
      </c>
      <c r="H993" s="83">
        <f t="shared" si="15"/>
        <v>487562.32</v>
      </c>
      <c r="I993" s="83"/>
      <c r="K993" s="54" t="s">
        <v>15</v>
      </c>
    </row>
    <row r="994" spans="2:11" ht="16.5" x14ac:dyDescent="0.2">
      <c r="B994" s="82" t="s">
        <v>3104</v>
      </c>
      <c r="C994" s="82" t="s">
        <v>648</v>
      </c>
      <c r="D994" s="83">
        <f>SUMIFS(D995:D6462,K995:K6462,"0",B995:B6462,"5 1 1 1 3 12 31111 6 M59 20400 000132*")-SUMIFS(E995:E6462,K995:K6462,"0",B995:B6462,"5 1 1 1 3 12 31111 6 M59 20400 000132*")</f>
        <v>0</v>
      </c>
      <c r="E994" s="54"/>
      <c r="F994" s="83">
        <f>SUMIFS(F995:F6462,K995:K6462,"0",B995:B6462,"5 1 1 1 3 12 31111 6 M59 20400 000132*")</f>
        <v>487562.32</v>
      </c>
      <c r="G994" s="83">
        <f>SUMIFS(G995:G6462,K995:K6462,"0",B995:B6462,"5 1 1 1 3 12 31111 6 M59 20400 000132*")</f>
        <v>0</v>
      </c>
      <c r="H994" s="83">
        <f t="shared" si="15"/>
        <v>487562.32</v>
      </c>
      <c r="I994" s="83"/>
      <c r="K994" s="54" t="s">
        <v>15</v>
      </c>
    </row>
    <row r="995" spans="2:11" ht="16.5" x14ac:dyDescent="0.2">
      <c r="B995" s="82" t="s">
        <v>3105</v>
      </c>
      <c r="C995" s="82" t="s">
        <v>650</v>
      </c>
      <c r="D995" s="83">
        <f>SUMIFS(D996:D6462,K996:K6462,"0",B996:B6462,"5 1 1 1 3 12 31111 6 M59 20400 000132 0000R*")-SUMIFS(E996:E6462,K996:K6462,"0",B996:B6462,"5 1 1 1 3 12 31111 6 M59 20400 000132 0000R*")</f>
        <v>0</v>
      </c>
      <c r="E995" s="54"/>
      <c r="F995" s="83">
        <f>SUMIFS(F996:F6462,K996:K6462,"0",B996:B6462,"5 1 1 1 3 12 31111 6 M59 20400 000132 0000R*")</f>
        <v>487562.32</v>
      </c>
      <c r="G995" s="83">
        <f>SUMIFS(G996:G6462,K996:K6462,"0",B996:B6462,"5 1 1 1 3 12 31111 6 M59 20400 000132 0000R*")</f>
        <v>0</v>
      </c>
      <c r="H995" s="83">
        <f t="shared" si="15"/>
        <v>487562.32</v>
      </c>
      <c r="I995" s="83"/>
      <c r="K995" s="54" t="s">
        <v>15</v>
      </c>
    </row>
    <row r="996" spans="2:11" ht="24.75" x14ac:dyDescent="0.2">
      <c r="B996" s="82" t="s">
        <v>3106</v>
      </c>
      <c r="C996" s="82" t="s">
        <v>282</v>
      </c>
      <c r="D996" s="83">
        <f>SUMIFS(D997:D6462,K997:K6462,"0",B997:B6462,"5 1 1 1 3 12 31111 6 M59 20400 000132 0000R 00001*")-SUMIFS(E997:E6462,K997:K6462,"0",B997:B6462,"5 1 1 1 3 12 31111 6 M59 20400 000132 0000R 00001*")</f>
        <v>0</v>
      </c>
      <c r="E996" s="54"/>
      <c r="F996" s="83">
        <f>SUMIFS(F997:F6462,K997:K6462,"0",B997:B6462,"5 1 1 1 3 12 31111 6 M59 20400 000132 0000R 00001*")</f>
        <v>487562.32</v>
      </c>
      <c r="G996" s="83">
        <f>SUMIFS(G997:G6462,K997:K6462,"0",B997:B6462,"5 1 1 1 3 12 31111 6 M59 20400 000132 0000R 00001*")</f>
        <v>0</v>
      </c>
      <c r="H996" s="83">
        <f t="shared" si="15"/>
        <v>487562.32</v>
      </c>
      <c r="I996" s="83"/>
      <c r="K996" s="54" t="s">
        <v>15</v>
      </c>
    </row>
    <row r="997" spans="2:11" ht="24.75" x14ac:dyDescent="0.2">
      <c r="B997" s="82" t="s">
        <v>3107</v>
      </c>
      <c r="C997" s="82" t="s">
        <v>2924</v>
      </c>
      <c r="D997" s="83">
        <f>SUMIFS(D998:D6462,K998:K6462,"0",B998:B6462,"5 1 1 1 3 12 31111 6 M59 20400 000132 0000R 00001 00113*")-SUMIFS(E998:E6462,K998:K6462,"0",B998:B6462,"5 1 1 1 3 12 31111 6 M59 20400 000132 0000R 00001 00113*")</f>
        <v>0</v>
      </c>
      <c r="E997" s="54"/>
      <c r="F997" s="83">
        <f>SUMIFS(F998:F6462,K998:K6462,"0",B998:B6462,"5 1 1 1 3 12 31111 6 M59 20400 000132 0000R 00001 00113*")</f>
        <v>487562.32</v>
      </c>
      <c r="G997" s="83">
        <f>SUMIFS(G998:G6462,K998:K6462,"0",B998:B6462,"5 1 1 1 3 12 31111 6 M59 20400 000132 0000R 00001 00113*")</f>
        <v>0</v>
      </c>
      <c r="H997" s="83">
        <f t="shared" si="15"/>
        <v>487562.32</v>
      </c>
      <c r="I997" s="83"/>
      <c r="K997" s="54" t="s">
        <v>15</v>
      </c>
    </row>
    <row r="998" spans="2:11" ht="24.75" x14ac:dyDescent="0.2">
      <c r="B998" s="82" t="s">
        <v>3108</v>
      </c>
      <c r="C998" s="82" t="s">
        <v>1051</v>
      </c>
      <c r="D998" s="83">
        <f>SUMIFS(D999:D6462,K999:K6462,"0",B999:B6462,"5 1 1 1 3 12 31111 6 M59 20400 000132 0000R 00001 00113 015*")-SUMIFS(E999:E6462,K999:K6462,"0",B999:B6462,"5 1 1 1 3 12 31111 6 M59 20400 000132 0000R 00001 00113 015*")</f>
        <v>0</v>
      </c>
      <c r="E998" s="54"/>
      <c r="F998" s="83">
        <f>SUMIFS(F999:F6462,K999:K6462,"0",B999:B6462,"5 1 1 1 3 12 31111 6 M59 20400 000132 0000R 00001 00113 015*")</f>
        <v>487562.32</v>
      </c>
      <c r="G998" s="83">
        <f>SUMIFS(G999:G6462,K999:K6462,"0",B999:B6462,"5 1 1 1 3 12 31111 6 M59 20400 000132 0000R 00001 00113 015*")</f>
        <v>0</v>
      </c>
      <c r="H998" s="83">
        <f t="shared" si="15"/>
        <v>487562.32</v>
      </c>
      <c r="I998" s="83"/>
      <c r="K998" s="54" t="s">
        <v>15</v>
      </c>
    </row>
    <row r="999" spans="2:11" ht="33" x14ac:dyDescent="0.2">
      <c r="B999" s="82" t="s">
        <v>3109</v>
      </c>
      <c r="C999" s="82" t="s">
        <v>2927</v>
      </c>
      <c r="D999" s="83">
        <f>SUMIFS(D1000:D6462,K1000:K6462,"0",B1000:B6462,"5 1 1 1 3 12 31111 6 M59 20400 000132 0000R 00001 00113 015 2111100*")-SUMIFS(E1000:E6462,K1000:K6462,"0",B1000:B6462,"5 1 1 1 3 12 31111 6 M59 20400 000132 0000R 00001 00113 015 2111100*")</f>
        <v>0</v>
      </c>
      <c r="E999" s="54"/>
      <c r="F999" s="83">
        <f>SUMIFS(F1000:F6462,K1000:K6462,"0",B1000:B6462,"5 1 1 1 3 12 31111 6 M59 20400 000132 0000R 00001 00113 015 2111100*")</f>
        <v>487562.32</v>
      </c>
      <c r="G999" s="83">
        <f>SUMIFS(G1000:G6462,K1000:K6462,"0",B1000:B6462,"5 1 1 1 3 12 31111 6 M59 20400 000132 0000R 00001 00113 015 2111100*")</f>
        <v>0</v>
      </c>
      <c r="H999" s="83">
        <f t="shared" si="15"/>
        <v>487562.32</v>
      </c>
      <c r="I999" s="83"/>
      <c r="K999" s="54" t="s">
        <v>15</v>
      </c>
    </row>
    <row r="1000" spans="2:11" ht="33" x14ac:dyDescent="0.2">
      <c r="B1000" s="82" t="s">
        <v>3110</v>
      </c>
      <c r="C1000" s="82" t="s">
        <v>660</v>
      </c>
      <c r="D1000" s="83">
        <f>SUMIFS(D1001:D6462,K1001:K6462,"0",B1001:B6462,"5 1 1 1 3 12 31111 6 M59 20400 000132 0000R 00001 00113 015 2111100 2024*")-SUMIFS(E1001:E6462,K1001:K6462,"0",B1001:B6462,"5 1 1 1 3 12 31111 6 M59 20400 000132 0000R 00001 00113 015 2111100 2024*")</f>
        <v>0</v>
      </c>
      <c r="E1000" s="54"/>
      <c r="F1000" s="83">
        <f>SUMIFS(F1001:F6462,K1001:K6462,"0",B1001:B6462,"5 1 1 1 3 12 31111 6 M59 20400 000132 0000R 00001 00113 015 2111100 2024*")</f>
        <v>487562.32</v>
      </c>
      <c r="G1000" s="83">
        <f>SUMIFS(G1001:G6462,K1001:K6462,"0",B1001:B6462,"5 1 1 1 3 12 31111 6 M59 20400 000132 0000R 00001 00113 015 2111100 2024*")</f>
        <v>0</v>
      </c>
      <c r="H1000" s="83">
        <f t="shared" si="15"/>
        <v>487562.32</v>
      </c>
      <c r="I1000" s="83"/>
      <c r="K1000" s="54" t="s">
        <v>15</v>
      </c>
    </row>
    <row r="1001" spans="2:11" ht="41.25" x14ac:dyDescent="0.2">
      <c r="B1001" s="82" t="s">
        <v>3111</v>
      </c>
      <c r="C1001" s="82" t="s">
        <v>1056</v>
      </c>
      <c r="D1001" s="83">
        <f>SUMIFS(D1002:D6462,K1002:K6462,"0",B1002:B6462,"5 1 1 1 3 12 31111 6 M59 20400 000132 0000R 00001 00113 015 2111100 2024 CP1PV404*")-SUMIFS(E1002:E6462,K1002:K6462,"0",B1002:B6462,"5 1 1 1 3 12 31111 6 M59 20400 000132 0000R 00001 00113 015 2111100 2024 CP1PV404*")</f>
        <v>0</v>
      </c>
      <c r="E1001" s="54"/>
      <c r="F1001" s="83">
        <f>SUMIFS(F1002:F6462,K1002:K6462,"0",B1002:B6462,"5 1 1 1 3 12 31111 6 M59 20400 000132 0000R 00001 00113 015 2111100 2024 CP1PV404*")</f>
        <v>487562.32</v>
      </c>
      <c r="G1001" s="83">
        <f>SUMIFS(G1002:G6462,K1002:K6462,"0",B1002:B6462,"5 1 1 1 3 12 31111 6 M59 20400 000132 0000R 00001 00113 015 2111100 2024 CP1PV404*")</f>
        <v>0</v>
      </c>
      <c r="H1001" s="83">
        <f t="shared" si="15"/>
        <v>487562.32</v>
      </c>
      <c r="I1001" s="83"/>
      <c r="K1001" s="54" t="s">
        <v>15</v>
      </c>
    </row>
    <row r="1002" spans="2:11" ht="41.25" x14ac:dyDescent="0.2">
      <c r="B1002" s="82" t="s">
        <v>3112</v>
      </c>
      <c r="C1002" s="82" t="s">
        <v>282</v>
      </c>
      <c r="D1002" s="83">
        <f>SUMIFS(D1003:D6462,K1003:K6462,"0",B1003:B6462,"5 1 1 1 3 12 31111 6 M59 20400 000132 0000R 00001 00113 015 2111100 2024 CP1PV404 001*")-SUMIFS(E1003:E6462,K1003:K6462,"0",B1003:B6462,"5 1 1 1 3 12 31111 6 M59 20400 000132 0000R 00001 00113 015 2111100 2024 CP1PV404 001*")</f>
        <v>0</v>
      </c>
      <c r="E1002" s="54"/>
      <c r="F1002" s="83">
        <f>SUMIFS(F1003:F6462,K1003:K6462,"0",B1003:B6462,"5 1 1 1 3 12 31111 6 M59 20400 000132 0000R 00001 00113 015 2111100 2024 CP1PV404 001*")</f>
        <v>487562.32</v>
      </c>
      <c r="G1002" s="83">
        <f>SUMIFS(G1003:G6462,K1003:K6462,"0",B1003:B6462,"5 1 1 1 3 12 31111 6 M59 20400 000132 0000R 00001 00113 015 2111100 2024 CP1PV404 001*")</f>
        <v>0</v>
      </c>
      <c r="H1002" s="83">
        <f t="shared" si="15"/>
        <v>487562.32</v>
      </c>
      <c r="I1002" s="83"/>
      <c r="K1002" s="54" t="s">
        <v>15</v>
      </c>
    </row>
    <row r="1003" spans="2:11" ht="41.25" x14ac:dyDescent="0.2">
      <c r="B1003" s="84" t="s">
        <v>3113</v>
      </c>
      <c r="C1003" s="84" t="s">
        <v>2932</v>
      </c>
      <c r="D1003" s="85">
        <v>0</v>
      </c>
      <c r="E1003" s="85"/>
      <c r="F1003" s="85">
        <v>487562.32</v>
      </c>
      <c r="G1003" s="85">
        <v>0</v>
      </c>
      <c r="H1003" s="85">
        <f t="shared" ref="H1003:H1066" si="16">D1003 + F1003 - G1003</f>
        <v>487562.32</v>
      </c>
      <c r="I1003" s="85"/>
      <c r="K1003" s="54" t="s">
        <v>38</v>
      </c>
    </row>
    <row r="1004" spans="2:11" ht="16.5" x14ac:dyDescent="0.2">
      <c r="B1004" s="82" t="s">
        <v>3114</v>
      </c>
      <c r="C1004" s="82" t="s">
        <v>1079</v>
      </c>
      <c r="D1004" s="83">
        <f>SUMIFS(D1005:D6462,K1005:K6462,"0",B1005:B6462,"5 1 1 1 3 12 31111 6 M59 20500*")-SUMIFS(E1005:E6462,K1005:K6462,"0",B1005:B6462,"5 1 1 1 3 12 31111 6 M59 20500*")</f>
        <v>0</v>
      </c>
      <c r="E1004" s="54"/>
      <c r="F1004" s="83">
        <f>SUMIFS(F1005:F6462,K1005:K6462,"0",B1005:B6462,"5 1 1 1 3 12 31111 6 M59 20500*")</f>
        <v>844660.85</v>
      </c>
      <c r="G1004" s="83">
        <f>SUMIFS(G1005:G6462,K1005:K6462,"0",B1005:B6462,"5 1 1 1 3 12 31111 6 M59 20500*")</f>
        <v>0</v>
      </c>
      <c r="H1004" s="83">
        <f t="shared" si="16"/>
        <v>844660.85</v>
      </c>
      <c r="I1004" s="83"/>
      <c r="K1004" s="54" t="s">
        <v>15</v>
      </c>
    </row>
    <row r="1005" spans="2:11" ht="16.5" x14ac:dyDescent="0.2">
      <c r="B1005" s="82" t="s">
        <v>3115</v>
      </c>
      <c r="C1005" s="82" t="s">
        <v>648</v>
      </c>
      <c r="D1005" s="83">
        <f>SUMIFS(D1006:D6462,K1006:K6462,"0",B1006:B6462,"5 1 1 1 3 12 31111 6 M59 20500 000132*")-SUMIFS(E1006:E6462,K1006:K6462,"0",B1006:B6462,"5 1 1 1 3 12 31111 6 M59 20500 000132*")</f>
        <v>0</v>
      </c>
      <c r="E1005" s="54"/>
      <c r="F1005" s="83">
        <f>SUMIFS(F1006:F6462,K1006:K6462,"0",B1006:B6462,"5 1 1 1 3 12 31111 6 M59 20500 000132*")</f>
        <v>844660.85</v>
      </c>
      <c r="G1005" s="83">
        <f>SUMIFS(G1006:G6462,K1006:K6462,"0",B1006:B6462,"5 1 1 1 3 12 31111 6 M59 20500 000132*")</f>
        <v>0</v>
      </c>
      <c r="H1005" s="83">
        <f t="shared" si="16"/>
        <v>844660.85</v>
      </c>
      <c r="I1005" s="83"/>
      <c r="K1005" s="54" t="s">
        <v>15</v>
      </c>
    </row>
    <row r="1006" spans="2:11" ht="16.5" x14ac:dyDescent="0.2">
      <c r="B1006" s="82" t="s">
        <v>3116</v>
      </c>
      <c r="C1006" s="82" t="s">
        <v>650</v>
      </c>
      <c r="D1006" s="83">
        <f>SUMIFS(D1007:D6462,K1007:K6462,"0",B1007:B6462,"5 1 1 1 3 12 31111 6 M59 20500 000132 0000R*")-SUMIFS(E1007:E6462,K1007:K6462,"0",B1007:B6462,"5 1 1 1 3 12 31111 6 M59 20500 000132 0000R*")</f>
        <v>0</v>
      </c>
      <c r="E1006" s="54"/>
      <c r="F1006" s="83">
        <f>SUMIFS(F1007:F6462,K1007:K6462,"0",B1007:B6462,"5 1 1 1 3 12 31111 6 M59 20500 000132 0000R*")</f>
        <v>844660.85</v>
      </c>
      <c r="G1006" s="83">
        <f>SUMIFS(G1007:G6462,K1007:K6462,"0",B1007:B6462,"5 1 1 1 3 12 31111 6 M59 20500 000132 0000R*")</f>
        <v>0</v>
      </c>
      <c r="H1006" s="83">
        <f t="shared" si="16"/>
        <v>844660.85</v>
      </c>
      <c r="I1006" s="83"/>
      <c r="K1006" s="54" t="s">
        <v>15</v>
      </c>
    </row>
    <row r="1007" spans="2:11" ht="24.75" x14ac:dyDescent="0.2">
      <c r="B1007" s="82" t="s">
        <v>3117</v>
      </c>
      <c r="C1007" s="82" t="s">
        <v>282</v>
      </c>
      <c r="D1007" s="83">
        <f>SUMIFS(D1008:D6462,K1008:K6462,"0",B1008:B6462,"5 1 1 1 3 12 31111 6 M59 20500 000132 0000R 00001*")-SUMIFS(E1008:E6462,K1008:K6462,"0",B1008:B6462,"5 1 1 1 3 12 31111 6 M59 20500 000132 0000R 00001*")</f>
        <v>0</v>
      </c>
      <c r="E1007" s="54"/>
      <c r="F1007" s="83">
        <f>SUMIFS(F1008:F6462,K1008:K6462,"0",B1008:B6462,"5 1 1 1 3 12 31111 6 M59 20500 000132 0000R 00001*")</f>
        <v>844660.85</v>
      </c>
      <c r="G1007" s="83">
        <f>SUMIFS(G1008:G6462,K1008:K6462,"0",B1008:B6462,"5 1 1 1 3 12 31111 6 M59 20500 000132 0000R 00001*")</f>
        <v>0</v>
      </c>
      <c r="H1007" s="83">
        <f t="shared" si="16"/>
        <v>844660.85</v>
      </c>
      <c r="I1007" s="83"/>
      <c r="K1007" s="54" t="s">
        <v>15</v>
      </c>
    </row>
    <row r="1008" spans="2:11" ht="24.75" x14ac:dyDescent="0.2">
      <c r="B1008" s="82" t="s">
        <v>3118</v>
      </c>
      <c r="C1008" s="82" t="s">
        <v>2924</v>
      </c>
      <c r="D1008" s="83">
        <f>SUMIFS(D1009:D6462,K1009:K6462,"0",B1009:B6462,"5 1 1 1 3 12 31111 6 M59 20500 000132 0000R 00001 00113*")-SUMIFS(E1009:E6462,K1009:K6462,"0",B1009:B6462,"5 1 1 1 3 12 31111 6 M59 20500 000132 0000R 00001 00113*")</f>
        <v>0</v>
      </c>
      <c r="E1008" s="54"/>
      <c r="F1008" s="83">
        <f>SUMIFS(F1009:F6462,K1009:K6462,"0",B1009:B6462,"5 1 1 1 3 12 31111 6 M59 20500 000132 0000R 00001 00113*")</f>
        <v>844660.85</v>
      </c>
      <c r="G1008" s="83">
        <f>SUMIFS(G1009:G6462,K1009:K6462,"0",B1009:B6462,"5 1 1 1 3 12 31111 6 M59 20500 000132 0000R 00001 00113*")</f>
        <v>0</v>
      </c>
      <c r="H1008" s="83">
        <f t="shared" si="16"/>
        <v>844660.85</v>
      </c>
      <c r="I1008" s="83"/>
      <c r="K1008" s="54" t="s">
        <v>15</v>
      </c>
    </row>
    <row r="1009" spans="2:11" ht="24.75" x14ac:dyDescent="0.2">
      <c r="B1009" s="82" t="s">
        <v>3119</v>
      </c>
      <c r="C1009" s="82" t="s">
        <v>1051</v>
      </c>
      <c r="D1009" s="83">
        <f>SUMIFS(D1010:D6462,K1010:K6462,"0",B1010:B6462,"5 1 1 1 3 12 31111 6 M59 20500 000132 0000R 00001 00113 015*")-SUMIFS(E1010:E6462,K1010:K6462,"0",B1010:B6462,"5 1 1 1 3 12 31111 6 M59 20500 000132 0000R 00001 00113 015*")</f>
        <v>0</v>
      </c>
      <c r="E1009" s="54"/>
      <c r="F1009" s="83">
        <f>SUMIFS(F1010:F6462,K1010:K6462,"0",B1010:B6462,"5 1 1 1 3 12 31111 6 M59 20500 000132 0000R 00001 00113 015*")</f>
        <v>844660.85</v>
      </c>
      <c r="G1009" s="83">
        <f>SUMIFS(G1010:G6462,K1010:K6462,"0",B1010:B6462,"5 1 1 1 3 12 31111 6 M59 20500 000132 0000R 00001 00113 015*")</f>
        <v>0</v>
      </c>
      <c r="H1009" s="83">
        <f t="shared" si="16"/>
        <v>844660.85</v>
      </c>
      <c r="I1009" s="83"/>
      <c r="K1009" s="54" t="s">
        <v>15</v>
      </c>
    </row>
    <row r="1010" spans="2:11" ht="33" x14ac:dyDescent="0.2">
      <c r="B1010" s="82" t="s">
        <v>3120</v>
      </c>
      <c r="C1010" s="82" t="s">
        <v>2927</v>
      </c>
      <c r="D1010" s="83">
        <f>SUMIFS(D1011:D6462,K1011:K6462,"0",B1011:B6462,"5 1 1 1 3 12 31111 6 M59 20500 000132 0000R 00001 00113 015 2111100*")-SUMIFS(E1011:E6462,K1011:K6462,"0",B1011:B6462,"5 1 1 1 3 12 31111 6 M59 20500 000132 0000R 00001 00113 015 2111100*")</f>
        <v>0</v>
      </c>
      <c r="E1010" s="54"/>
      <c r="F1010" s="83">
        <f>SUMIFS(F1011:F6462,K1011:K6462,"0",B1011:B6462,"5 1 1 1 3 12 31111 6 M59 20500 000132 0000R 00001 00113 015 2111100*")</f>
        <v>844660.85</v>
      </c>
      <c r="G1010" s="83">
        <f>SUMIFS(G1011:G6462,K1011:K6462,"0",B1011:B6462,"5 1 1 1 3 12 31111 6 M59 20500 000132 0000R 00001 00113 015 2111100*")</f>
        <v>0</v>
      </c>
      <c r="H1010" s="83">
        <f t="shared" si="16"/>
        <v>844660.85</v>
      </c>
      <c r="I1010" s="83"/>
      <c r="K1010" s="54" t="s">
        <v>15</v>
      </c>
    </row>
    <row r="1011" spans="2:11" ht="33" x14ac:dyDescent="0.2">
      <c r="B1011" s="82" t="s">
        <v>3121</v>
      </c>
      <c r="C1011" s="82" t="s">
        <v>660</v>
      </c>
      <c r="D1011" s="83">
        <f>SUMIFS(D1012:D6462,K1012:K6462,"0",B1012:B6462,"5 1 1 1 3 12 31111 6 M59 20500 000132 0000R 00001 00113 015 2111100 2024*")-SUMIFS(E1012:E6462,K1012:K6462,"0",B1012:B6462,"5 1 1 1 3 12 31111 6 M59 20500 000132 0000R 00001 00113 015 2111100 2024*")</f>
        <v>0</v>
      </c>
      <c r="E1011" s="54"/>
      <c r="F1011" s="83">
        <f>SUMIFS(F1012:F6462,K1012:K6462,"0",B1012:B6462,"5 1 1 1 3 12 31111 6 M59 20500 000132 0000R 00001 00113 015 2111100 2024*")</f>
        <v>844660.85</v>
      </c>
      <c r="G1011" s="83">
        <f>SUMIFS(G1012:G6462,K1012:K6462,"0",B1012:B6462,"5 1 1 1 3 12 31111 6 M59 20500 000132 0000R 00001 00113 015 2111100 2024*")</f>
        <v>0</v>
      </c>
      <c r="H1011" s="83">
        <f t="shared" si="16"/>
        <v>844660.85</v>
      </c>
      <c r="I1011" s="83"/>
      <c r="K1011" s="54" t="s">
        <v>15</v>
      </c>
    </row>
    <row r="1012" spans="2:11" ht="41.25" x14ac:dyDescent="0.2">
      <c r="B1012" s="82" t="s">
        <v>3122</v>
      </c>
      <c r="C1012" s="82" t="s">
        <v>1056</v>
      </c>
      <c r="D1012" s="83">
        <f>SUMIFS(D1013:D6462,K1013:K6462,"0",B1013:B6462,"5 1 1 1 3 12 31111 6 M59 20500 000132 0000R 00001 00113 015 2111100 2024 CP1CP420*")-SUMIFS(E1013:E6462,K1013:K6462,"0",B1013:B6462,"5 1 1 1 3 12 31111 6 M59 20500 000132 0000R 00001 00113 015 2111100 2024 CP1CP420*")</f>
        <v>0</v>
      </c>
      <c r="E1012" s="54"/>
      <c r="F1012" s="83">
        <f>SUMIFS(F1013:F6462,K1013:K6462,"0",B1013:B6462,"5 1 1 1 3 12 31111 6 M59 20500 000132 0000R 00001 00113 015 2111100 2024 CP1CP420*")</f>
        <v>844660.85</v>
      </c>
      <c r="G1012" s="83">
        <f>SUMIFS(G1013:G6462,K1013:K6462,"0",B1013:B6462,"5 1 1 1 3 12 31111 6 M59 20500 000132 0000R 00001 00113 015 2111100 2024 CP1CP420*")</f>
        <v>0</v>
      </c>
      <c r="H1012" s="83">
        <f t="shared" si="16"/>
        <v>844660.85</v>
      </c>
      <c r="I1012" s="83"/>
      <c r="K1012" s="54" t="s">
        <v>15</v>
      </c>
    </row>
    <row r="1013" spans="2:11" ht="41.25" x14ac:dyDescent="0.2">
      <c r="B1013" s="82" t="s">
        <v>3123</v>
      </c>
      <c r="C1013" s="82" t="s">
        <v>282</v>
      </c>
      <c r="D1013" s="83">
        <f>SUMIFS(D1014:D6462,K1014:K6462,"0",B1014:B6462,"5 1 1 1 3 12 31111 6 M59 20500 000132 0000R 00001 00113 015 2111100 2024 CP1CP420 001*")-SUMIFS(E1014:E6462,K1014:K6462,"0",B1014:B6462,"5 1 1 1 3 12 31111 6 M59 20500 000132 0000R 00001 00113 015 2111100 2024 CP1CP420 001*")</f>
        <v>0</v>
      </c>
      <c r="E1013" s="54"/>
      <c r="F1013" s="83">
        <f>SUMIFS(F1014:F6462,K1014:K6462,"0",B1014:B6462,"5 1 1 1 3 12 31111 6 M59 20500 000132 0000R 00001 00113 015 2111100 2024 CP1CP420 001*")</f>
        <v>844660.85</v>
      </c>
      <c r="G1013" s="83">
        <f>SUMIFS(G1014:G6462,K1014:K6462,"0",B1014:B6462,"5 1 1 1 3 12 31111 6 M59 20500 000132 0000R 00001 00113 015 2111100 2024 CP1CP420 001*")</f>
        <v>0</v>
      </c>
      <c r="H1013" s="83">
        <f t="shared" si="16"/>
        <v>844660.85</v>
      </c>
      <c r="I1013" s="83"/>
      <c r="K1013" s="54" t="s">
        <v>15</v>
      </c>
    </row>
    <row r="1014" spans="2:11" ht="33" x14ac:dyDescent="0.2">
      <c r="B1014" s="84" t="s">
        <v>3124</v>
      </c>
      <c r="C1014" s="84" t="s">
        <v>2932</v>
      </c>
      <c r="D1014" s="85">
        <v>0</v>
      </c>
      <c r="E1014" s="85"/>
      <c r="F1014" s="85">
        <v>844660.85</v>
      </c>
      <c r="G1014" s="85">
        <v>0</v>
      </c>
      <c r="H1014" s="85">
        <f t="shared" si="16"/>
        <v>844660.85</v>
      </c>
      <c r="I1014" s="85"/>
      <c r="K1014" s="54" t="s">
        <v>38</v>
      </c>
    </row>
    <row r="1015" spans="2:11" ht="16.5" x14ac:dyDescent="0.2">
      <c r="B1015" s="82" t="s">
        <v>3125</v>
      </c>
      <c r="C1015" s="82" t="s">
        <v>3126</v>
      </c>
      <c r="D1015" s="83">
        <f>SUMIFS(D1016:D6462,K1016:K6462,"0",B1016:B6462,"5 1 1 1 3 12 31111 6 M59 20600*")-SUMIFS(E1016:E6462,K1016:K6462,"0",B1016:B6462,"5 1 1 1 3 12 31111 6 M59 20600*")</f>
        <v>0</v>
      </c>
      <c r="E1015" s="54"/>
      <c r="F1015" s="83">
        <f>SUMIFS(F1016:F6462,K1016:K6462,"0",B1016:B6462,"5 1 1 1 3 12 31111 6 M59 20600*")</f>
        <v>596792.80000000005</v>
      </c>
      <c r="G1015" s="83">
        <f>SUMIFS(G1016:G6462,K1016:K6462,"0",B1016:B6462,"5 1 1 1 3 12 31111 6 M59 20600*")</f>
        <v>0</v>
      </c>
      <c r="H1015" s="83">
        <f t="shared" si="16"/>
        <v>596792.80000000005</v>
      </c>
      <c r="I1015" s="83"/>
      <c r="K1015" s="54" t="s">
        <v>15</v>
      </c>
    </row>
    <row r="1016" spans="2:11" ht="16.5" x14ac:dyDescent="0.2">
      <c r="B1016" s="82" t="s">
        <v>3127</v>
      </c>
      <c r="C1016" s="82" t="s">
        <v>648</v>
      </c>
      <c r="D1016" s="83">
        <f>SUMIFS(D1017:D6462,K1017:K6462,"0",B1017:B6462,"5 1 1 1 3 12 31111 6 M59 20600 000132*")-SUMIFS(E1017:E6462,K1017:K6462,"0",B1017:B6462,"5 1 1 1 3 12 31111 6 M59 20600 000132*")</f>
        <v>0</v>
      </c>
      <c r="E1016" s="54"/>
      <c r="F1016" s="83">
        <f>SUMIFS(F1017:F6462,K1017:K6462,"0",B1017:B6462,"5 1 1 1 3 12 31111 6 M59 20600 000132*")</f>
        <v>596792.80000000005</v>
      </c>
      <c r="G1016" s="83">
        <f>SUMIFS(G1017:G6462,K1017:K6462,"0",B1017:B6462,"5 1 1 1 3 12 31111 6 M59 20600 000132*")</f>
        <v>0</v>
      </c>
      <c r="H1016" s="83">
        <f t="shared" si="16"/>
        <v>596792.80000000005</v>
      </c>
      <c r="I1016" s="83"/>
      <c r="K1016" s="54" t="s">
        <v>15</v>
      </c>
    </row>
    <row r="1017" spans="2:11" ht="16.5" x14ac:dyDescent="0.2">
      <c r="B1017" s="82" t="s">
        <v>3128</v>
      </c>
      <c r="C1017" s="82" t="s">
        <v>650</v>
      </c>
      <c r="D1017" s="83">
        <f>SUMIFS(D1018:D6462,K1018:K6462,"0",B1018:B6462,"5 1 1 1 3 12 31111 6 M59 20600 000132 0000R*")-SUMIFS(E1018:E6462,K1018:K6462,"0",B1018:B6462,"5 1 1 1 3 12 31111 6 M59 20600 000132 0000R*")</f>
        <v>0</v>
      </c>
      <c r="E1017" s="54"/>
      <c r="F1017" s="83">
        <f>SUMIFS(F1018:F6462,K1018:K6462,"0",B1018:B6462,"5 1 1 1 3 12 31111 6 M59 20600 000132 0000R*")</f>
        <v>596792.80000000005</v>
      </c>
      <c r="G1017" s="83">
        <f>SUMIFS(G1018:G6462,K1018:K6462,"0",B1018:B6462,"5 1 1 1 3 12 31111 6 M59 20600 000132 0000R*")</f>
        <v>0</v>
      </c>
      <c r="H1017" s="83">
        <f t="shared" si="16"/>
        <v>596792.80000000005</v>
      </c>
      <c r="I1017" s="83"/>
      <c r="K1017" s="54" t="s">
        <v>15</v>
      </c>
    </row>
    <row r="1018" spans="2:11" ht="24.75" x14ac:dyDescent="0.2">
      <c r="B1018" s="82" t="s">
        <v>3129</v>
      </c>
      <c r="C1018" s="82" t="s">
        <v>282</v>
      </c>
      <c r="D1018" s="83">
        <f>SUMIFS(D1019:D6462,K1019:K6462,"0",B1019:B6462,"5 1 1 1 3 12 31111 6 M59 20600 000132 0000R 00001*")-SUMIFS(E1019:E6462,K1019:K6462,"0",B1019:B6462,"5 1 1 1 3 12 31111 6 M59 20600 000132 0000R 00001*")</f>
        <v>0</v>
      </c>
      <c r="E1018" s="54"/>
      <c r="F1018" s="83">
        <f>SUMIFS(F1019:F6462,K1019:K6462,"0",B1019:B6462,"5 1 1 1 3 12 31111 6 M59 20600 000132 0000R 00001*")</f>
        <v>596792.80000000005</v>
      </c>
      <c r="G1018" s="83">
        <f>SUMIFS(G1019:G6462,K1019:K6462,"0",B1019:B6462,"5 1 1 1 3 12 31111 6 M59 20600 000132 0000R 00001*")</f>
        <v>0</v>
      </c>
      <c r="H1018" s="83">
        <f t="shared" si="16"/>
        <v>596792.80000000005</v>
      </c>
      <c r="I1018" s="83"/>
      <c r="K1018" s="54" t="s">
        <v>15</v>
      </c>
    </row>
    <row r="1019" spans="2:11" ht="24.75" x14ac:dyDescent="0.2">
      <c r="B1019" s="82" t="s">
        <v>3130</v>
      </c>
      <c r="C1019" s="82" t="s">
        <v>2924</v>
      </c>
      <c r="D1019" s="83">
        <f>SUMIFS(D1020:D6462,K1020:K6462,"0",B1020:B6462,"5 1 1 1 3 12 31111 6 M59 20600 000132 0000R 00001 00113*")-SUMIFS(E1020:E6462,K1020:K6462,"0",B1020:B6462,"5 1 1 1 3 12 31111 6 M59 20600 000132 0000R 00001 00113*")</f>
        <v>0</v>
      </c>
      <c r="E1019" s="54"/>
      <c r="F1019" s="83">
        <f>SUMIFS(F1020:F6462,K1020:K6462,"0",B1020:B6462,"5 1 1 1 3 12 31111 6 M59 20600 000132 0000R 00001 00113*")</f>
        <v>596792.80000000005</v>
      </c>
      <c r="G1019" s="83">
        <f>SUMIFS(G1020:G6462,K1020:K6462,"0",B1020:B6462,"5 1 1 1 3 12 31111 6 M59 20600 000132 0000R 00001 00113*")</f>
        <v>0</v>
      </c>
      <c r="H1019" s="83">
        <f t="shared" si="16"/>
        <v>596792.80000000005</v>
      </c>
      <c r="I1019" s="83"/>
      <c r="K1019" s="54" t="s">
        <v>15</v>
      </c>
    </row>
    <row r="1020" spans="2:11" ht="24.75" x14ac:dyDescent="0.2">
      <c r="B1020" s="82" t="s">
        <v>3131</v>
      </c>
      <c r="C1020" s="82" t="s">
        <v>1051</v>
      </c>
      <c r="D1020" s="83">
        <f>SUMIFS(D1021:D6462,K1021:K6462,"0",B1021:B6462,"5 1 1 1 3 12 31111 6 M59 20600 000132 0000R 00001 00113 015*")-SUMIFS(E1021:E6462,K1021:K6462,"0",B1021:B6462,"5 1 1 1 3 12 31111 6 M59 20600 000132 0000R 00001 00113 015*")</f>
        <v>0</v>
      </c>
      <c r="E1020" s="54"/>
      <c r="F1020" s="83">
        <f>SUMIFS(F1021:F6462,K1021:K6462,"0",B1021:B6462,"5 1 1 1 3 12 31111 6 M59 20600 000132 0000R 00001 00113 015*")</f>
        <v>596792.80000000005</v>
      </c>
      <c r="G1020" s="83">
        <f>SUMIFS(G1021:G6462,K1021:K6462,"0",B1021:B6462,"5 1 1 1 3 12 31111 6 M59 20600 000132 0000R 00001 00113 015*")</f>
        <v>0</v>
      </c>
      <c r="H1020" s="83">
        <f t="shared" si="16"/>
        <v>596792.80000000005</v>
      </c>
      <c r="I1020" s="83"/>
      <c r="K1020" s="54" t="s">
        <v>15</v>
      </c>
    </row>
    <row r="1021" spans="2:11" ht="33" x14ac:dyDescent="0.2">
      <c r="B1021" s="82" t="s">
        <v>3132</v>
      </c>
      <c r="C1021" s="82" t="s">
        <v>2927</v>
      </c>
      <c r="D1021" s="83">
        <f>SUMIFS(D1022:D6462,K1022:K6462,"0",B1022:B6462,"5 1 1 1 3 12 31111 6 M59 20600 000132 0000R 00001 00113 015 2111100*")-SUMIFS(E1022:E6462,K1022:K6462,"0",B1022:B6462,"5 1 1 1 3 12 31111 6 M59 20600 000132 0000R 00001 00113 015 2111100*")</f>
        <v>0</v>
      </c>
      <c r="E1021" s="54"/>
      <c r="F1021" s="83">
        <f>SUMIFS(F1022:F6462,K1022:K6462,"0",B1022:B6462,"5 1 1 1 3 12 31111 6 M59 20600 000132 0000R 00001 00113 015 2111100*")</f>
        <v>596792.80000000005</v>
      </c>
      <c r="G1021" s="83">
        <f>SUMIFS(G1022:G6462,K1022:K6462,"0",B1022:B6462,"5 1 1 1 3 12 31111 6 M59 20600 000132 0000R 00001 00113 015 2111100*")</f>
        <v>0</v>
      </c>
      <c r="H1021" s="83">
        <f t="shared" si="16"/>
        <v>596792.80000000005</v>
      </c>
      <c r="I1021" s="83"/>
      <c r="K1021" s="54" t="s">
        <v>15</v>
      </c>
    </row>
    <row r="1022" spans="2:11" ht="33" x14ac:dyDescent="0.2">
      <c r="B1022" s="82" t="s">
        <v>3133</v>
      </c>
      <c r="C1022" s="82" t="s">
        <v>660</v>
      </c>
      <c r="D1022" s="83">
        <f>SUMIFS(D1023:D6462,K1023:K6462,"0",B1023:B6462,"5 1 1 1 3 12 31111 6 M59 20600 000132 0000R 00001 00113 015 2111100 2024*")-SUMIFS(E1023:E6462,K1023:K6462,"0",B1023:B6462,"5 1 1 1 3 12 31111 6 M59 20600 000132 0000R 00001 00113 015 2111100 2024*")</f>
        <v>0</v>
      </c>
      <c r="E1022" s="54"/>
      <c r="F1022" s="83">
        <f>SUMIFS(F1023:F6462,K1023:K6462,"0",B1023:B6462,"5 1 1 1 3 12 31111 6 M59 20600 000132 0000R 00001 00113 015 2111100 2024*")</f>
        <v>596792.80000000005</v>
      </c>
      <c r="G1022" s="83">
        <f>SUMIFS(G1023:G6462,K1023:K6462,"0",B1023:B6462,"5 1 1 1 3 12 31111 6 M59 20600 000132 0000R 00001 00113 015 2111100 2024*")</f>
        <v>0</v>
      </c>
      <c r="H1022" s="83">
        <f t="shared" si="16"/>
        <v>596792.80000000005</v>
      </c>
      <c r="I1022" s="83"/>
      <c r="K1022" s="54" t="s">
        <v>15</v>
      </c>
    </row>
    <row r="1023" spans="2:11" ht="41.25" x14ac:dyDescent="0.2">
      <c r="B1023" s="82" t="s">
        <v>3134</v>
      </c>
      <c r="C1023" s="82" t="s">
        <v>1056</v>
      </c>
      <c r="D1023" s="83">
        <f>SUMIFS(D1024:D6462,K1024:K6462,"0",B1024:B6462,"5 1 1 1 3 12 31111 6 M59 20600 000132 0000R 00001 00113 015 2111100 2024 CP1CA380*")-SUMIFS(E1024:E6462,K1024:K6462,"0",B1024:B6462,"5 1 1 1 3 12 31111 6 M59 20600 000132 0000R 00001 00113 015 2111100 2024 CP1CA380*")</f>
        <v>0</v>
      </c>
      <c r="E1023" s="54"/>
      <c r="F1023" s="83">
        <f>SUMIFS(F1024:F6462,K1024:K6462,"0",B1024:B6462,"5 1 1 1 3 12 31111 6 M59 20600 000132 0000R 00001 00113 015 2111100 2024 CP1CA380*")</f>
        <v>596792.80000000005</v>
      </c>
      <c r="G1023" s="83">
        <f>SUMIFS(G1024:G6462,K1024:K6462,"0",B1024:B6462,"5 1 1 1 3 12 31111 6 M59 20600 000132 0000R 00001 00113 015 2111100 2024 CP1CA380*")</f>
        <v>0</v>
      </c>
      <c r="H1023" s="83">
        <f t="shared" si="16"/>
        <v>596792.80000000005</v>
      </c>
      <c r="I1023" s="83"/>
      <c r="K1023" s="54" t="s">
        <v>15</v>
      </c>
    </row>
    <row r="1024" spans="2:11" ht="41.25" x14ac:dyDescent="0.2">
      <c r="B1024" s="82" t="s">
        <v>3135</v>
      </c>
      <c r="C1024" s="82" t="s">
        <v>282</v>
      </c>
      <c r="D1024" s="83">
        <f>SUMIFS(D1025:D6462,K1025:K6462,"0",B1025:B6462,"5 1 1 1 3 12 31111 6 M59 20600 000132 0000R 00001 00113 015 2111100 2024 CP1CA380 001*")-SUMIFS(E1025:E6462,K1025:K6462,"0",B1025:B6462,"5 1 1 1 3 12 31111 6 M59 20600 000132 0000R 00001 00113 015 2111100 2024 CP1CA380 001*")</f>
        <v>0</v>
      </c>
      <c r="E1024" s="54"/>
      <c r="F1024" s="83">
        <f>SUMIFS(F1025:F6462,K1025:K6462,"0",B1025:B6462,"5 1 1 1 3 12 31111 6 M59 20600 000132 0000R 00001 00113 015 2111100 2024 CP1CA380 001*")</f>
        <v>596792.80000000005</v>
      </c>
      <c r="G1024" s="83">
        <f>SUMIFS(G1025:G6462,K1025:K6462,"0",B1025:B6462,"5 1 1 1 3 12 31111 6 M59 20600 000132 0000R 00001 00113 015 2111100 2024 CP1CA380 001*")</f>
        <v>0</v>
      </c>
      <c r="H1024" s="83">
        <f t="shared" si="16"/>
        <v>596792.80000000005</v>
      </c>
      <c r="I1024" s="83"/>
      <c r="K1024" s="54" t="s">
        <v>15</v>
      </c>
    </row>
    <row r="1025" spans="2:11" ht="41.25" x14ac:dyDescent="0.2">
      <c r="B1025" s="84" t="s">
        <v>3136</v>
      </c>
      <c r="C1025" s="84" t="s">
        <v>2932</v>
      </c>
      <c r="D1025" s="85">
        <v>0</v>
      </c>
      <c r="E1025" s="85"/>
      <c r="F1025" s="85">
        <v>596792.80000000005</v>
      </c>
      <c r="G1025" s="85">
        <v>0</v>
      </c>
      <c r="H1025" s="85">
        <f t="shared" si="16"/>
        <v>596792.80000000005</v>
      </c>
      <c r="I1025" s="85"/>
      <c r="K1025" s="54" t="s">
        <v>38</v>
      </c>
    </row>
    <row r="1026" spans="2:11" ht="16.5" x14ac:dyDescent="0.2">
      <c r="B1026" s="82" t="s">
        <v>3137</v>
      </c>
      <c r="C1026" s="82" t="s">
        <v>3138</v>
      </c>
      <c r="D1026" s="83">
        <f>SUMIFS(D1027:D6462,K1027:K6462,"0",B1027:B6462,"5 1 1 1 3 12 31111 6 M59 20700*")-SUMIFS(E1027:E6462,K1027:K6462,"0",B1027:B6462,"5 1 1 1 3 12 31111 6 M59 20700*")</f>
        <v>0</v>
      </c>
      <c r="E1026" s="54"/>
      <c r="F1026" s="83">
        <f>SUMIFS(F1027:F6462,K1027:K6462,"0",B1027:B6462,"5 1 1 1 3 12 31111 6 M59 20700*")</f>
        <v>266620.02</v>
      </c>
      <c r="G1026" s="83">
        <f>SUMIFS(G1027:G6462,K1027:K6462,"0",B1027:B6462,"5 1 1 1 3 12 31111 6 M59 20700*")</f>
        <v>0</v>
      </c>
      <c r="H1026" s="83">
        <f t="shared" si="16"/>
        <v>266620.02</v>
      </c>
      <c r="I1026" s="83"/>
      <c r="K1026" s="54" t="s">
        <v>15</v>
      </c>
    </row>
    <row r="1027" spans="2:11" ht="16.5" x14ac:dyDescent="0.2">
      <c r="B1027" s="82" t="s">
        <v>3139</v>
      </c>
      <c r="C1027" s="82" t="s">
        <v>648</v>
      </c>
      <c r="D1027" s="83">
        <f>SUMIFS(D1028:D6462,K1028:K6462,"0",B1028:B6462,"5 1 1 1 3 12 31111 6 M59 20700 000132*")-SUMIFS(E1028:E6462,K1028:K6462,"0",B1028:B6462,"5 1 1 1 3 12 31111 6 M59 20700 000132*")</f>
        <v>0</v>
      </c>
      <c r="E1027" s="54"/>
      <c r="F1027" s="83">
        <f>SUMIFS(F1028:F6462,K1028:K6462,"0",B1028:B6462,"5 1 1 1 3 12 31111 6 M59 20700 000132*")</f>
        <v>266620.02</v>
      </c>
      <c r="G1027" s="83">
        <f>SUMIFS(G1028:G6462,K1028:K6462,"0",B1028:B6462,"5 1 1 1 3 12 31111 6 M59 20700 000132*")</f>
        <v>0</v>
      </c>
      <c r="H1027" s="83">
        <f t="shared" si="16"/>
        <v>266620.02</v>
      </c>
      <c r="I1027" s="83"/>
      <c r="K1027" s="54" t="s">
        <v>15</v>
      </c>
    </row>
    <row r="1028" spans="2:11" ht="16.5" x14ac:dyDescent="0.2">
      <c r="B1028" s="82" t="s">
        <v>3140</v>
      </c>
      <c r="C1028" s="82" t="s">
        <v>650</v>
      </c>
      <c r="D1028" s="83">
        <f>SUMIFS(D1029:D6462,K1029:K6462,"0",B1029:B6462,"5 1 1 1 3 12 31111 6 M59 20700 000132 0000R*")-SUMIFS(E1029:E6462,K1029:K6462,"0",B1029:B6462,"5 1 1 1 3 12 31111 6 M59 20700 000132 0000R*")</f>
        <v>0</v>
      </c>
      <c r="E1028" s="54"/>
      <c r="F1028" s="83">
        <f>SUMIFS(F1029:F6462,K1029:K6462,"0",B1029:B6462,"5 1 1 1 3 12 31111 6 M59 20700 000132 0000R*")</f>
        <v>266620.02</v>
      </c>
      <c r="G1028" s="83">
        <f>SUMIFS(G1029:G6462,K1029:K6462,"0",B1029:B6462,"5 1 1 1 3 12 31111 6 M59 20700 000132 0000R*")</f>
        <v>0</v>
      </c>
      <c r="H1028" s="83">
        <f t="shared" si="16"/>
        <v>266620.02</v>
      </c>
      <c r="I1028" s="83"/>
      <c r="K1028" s="54" t="s">
        <v>15</v>
      </c>
    </row>
    <row r="1029" spans="2:11" ht="24.75" x14ac:dyDescent="0.2">
      <c r="B1029" s="82" t="s">
        <v>3141</v>
      </c>
      <c r="C1029" s="82" t="s">
        <v>282</v>
      </c>
      <c r="D1029" s="83">
        <f>SUMIFS(D1030:D6462,K1030:K6462,"0",B1030:B6462,"5 1 1 1 3 12 31111 6 M59 20700 000132 0000R 00001*")-SUMIFS(E1030:E6462,K1030:K6462,"0",B1030:B6462,"5 1 1 1 3 12 31111 6 M59 20700 000132 0000R 00001*")</f>
        <v>0</v>
      </c>
      <c r="E1029" s="54"/>
      <c r="F1029" s="83">
        <f>SUMIFS(F1030:F6462,K1030:K6462,"0",B1030:B6462,"5 1 1 1 3 12 31111 6 M59 20700 000132 0000R 00001*")</f>
        <v>266620.02</v>
      </c>
      <c r="G1029" s="83">
        <f>SUMIFS(G1030:G6462,K1030:K6462,"0",B1030:B6462,"5 1 1 1 3 12 31111 6 M59 20700 000132 0000R 00001*")</f>
        <v>0</v>
      </c>
      <c r="H1029" s="83">
        <f t="shared" si="16"/>
        <v>266620.02</v>
      </c>
      <c r="I1029" s="83"/>
      <c r="K1029" s="54" t="s">
        <v>15</v>
      </c>
    </row>
    <row r="1030" spans="2:11" ht="24.75" x14ac:dyDescent="0.2">
      <c r="B1030" s="82" t="s">
        <v>3142</v>
      </c>
      <c r="C1030" s="82" t="s">
        <v>2924</v>
      </c>
      <c r="D1030" s="83">
        <f>SUMIFS(D1031:D6462,K1031:K6462,"0",B1031:B6462,"5 1 1 1 3 12 31111 6 M59 20700 000132 0000R 00001 00113*")-SUMIFS(E1031:E6462,K1031:K6462,"0",B1031:B6462,"5 1 1 1 3 12 31111 6 M59 20700 000132 0000R 00001 00113*")</f>
        <v>0</v>
      </c>
      <c r="E1030" s="54"/>
      <c r="F1030" s="83">
        <f>SUMIFS(F1031:F6462,K1031:K6462,"0",B1031:B6462,"5 1 1 1 3 12 31111 6 M59 20700 000132 0000R 00001 00113*")</f>
        <v>266620.02</v>
      </c>
      <c r="G1030" s="83">
        <f>SUMIFS(G1031:G6462,K1031:K6462,"0",B1031:B6462,"5 1 1 1 3 12 31111 6 M59 20700 000132 0000R 00001 00113*")</f>
        <v>0</v>
      </c>
      <c r="H1030" s="83">
        <f t="shared" si="16"/>
        <v>266620.02</v>
      </c>
      <c r="I1030" s="83"/>
      <c r="K1030" s="54" t="s">
        <v>15</v>
      </c>
    </row>
    <row r="1031" spans="2:11" ht="24.75" x14ac:dyDescent="0.2">
      <c r="B1031" s="82" t="s">
        <v>3143</v>
      </c>
      <c r="C1031" s="82" t="s">
        <v>1051</v>
      </c>
      <c r="D1031" s="83">
        <f>SUMIFS(D1032:D6462,K1032:K6462,"0",B1032:B6462,"5 1 1 1 3 12 31111 6 M59 20700 000132 0000R 00001 00113 015*")-SUMIFS(E1032:E6462,K1032:K6462,"0",B1032:B6462,"5 1 1 1 3 12 31111 6 M59 20700 000132 0000R 00001 00113 015*")</f>
        <v>0</v>
      </c>
      <c r="E1031" s="54"/>
      <c r="F1031" s="83">
        <f>SUMIFS(F1032:F6462,K1032:K6462,"0",B1032:B6462,"5 1 1 1 3 12 31111 6 M59 20700 000132 0000R 00001 00113 015*")</f>
        <v>266620.02</v>
      </c>
      <c r="G1031" s="83">
        <f>SUMIFS(G1032:G6462,K1032:K6462,"0",B1032:B6462,"5 1 1 1 3 12 31111 6 M59 20700 000132 0000R 00001 00113 015*")</f>
        <v>0</v>
      </c>
      <c r="H1031" s="83">
        <f t="shared" si="16"/>
        <v>266620.02</v>
      </c>
      <c r="I1031" s="83"/>
      <c r="K1031" s="54" t="s">
        <v>15</v>
      </c>
    </row>
    <row r="1032" spans="2:11" ht="33" x14ac:dyDescent="0.2">
      <c r="B1032" s="82" t="s">
        <v>3144</v>
      </c>
      <c r="C1032" s="82" t="s">
        <v>2927</v>
      </c>
      <c r="D1032" s="83">
        <f>SUMIFS(D1033:D6462,K1033:K6462,"0",B1033:B6462,"5 1 1 1 3 12 31111 6 M59 20700 000132 0000R 00001 00113 015 2111100*")-SUMIFS(E1033:E6462,K1033:K6462,"0",B1033:B6462,"5 1 1 1 3 12 31111 6 M59 20700 000132 0000R 00001 00113 015 2111100*")</f>
        <v>0</v>
      </c>
      <c r="E1032" s="54"/>
      <c r="F1032" s="83">
        <f>SUMIFS(F1033:F6462,K1033:K6462,"0",B1033:B6462,"5 1 1 1 3 12 31111 6 M59 20700 000132 0000R 00001 00113 015 2111100*")</f>
        <v>266620.02</v>
      </c>
      <c r="G1032" s="83">
        <f>SUMIFS(G1033:G6462,K1033:K6462,"0",B1033:B6462,"5 1 1 1 3 12 31111 6 M59 20700 000132 0000R 00001 00113 015 2111100*")</f>
        <v>0</v>
      </c>
      <c r="H1032" s="83">
        <f t="shared" si="16"/>
        <v>266620.02</v>
      </c>
      <c r="I1032" s="83"/>
      <c r="K1032" s="54" t="s">
        <v>15</v>
      </c>
    </row>
    <row r="1033" spans="2:11" ht="33" x14ac:dyDescent="0.2">
      <c r="B1033" s="82" t="s">
        <v>3145</v>
      </c>
      <c r="C1033" s="82" t="s">
        <v>660</v>
      </c>
      <c r="D1033" s="83">
        <f>SUMIFS(D1034:D6462,K1034:K6462,"0",B1034:B6462,"5 1 1 1 3 12 31111 6 M59 20700 000132 0000R 00001 00113 015 2111100 2024*")-SUMIFS(E1034:E6462,K1034:K6462,"0",B1034:B6462,"5 1 1 1 3 12 31111 6 M59 20700 000132 0000R 00001 00113 015 2111100 2024*")</f>
        <v>0</v>
      </c>
      <c r="E1033" s="54"/>
      <c r="F1033" s="83">
        <f>SUMIFS(F1034:F6462,K1034:K6462,"0",B1034:B6462,"5 1 1 1 3 12 31111 6 M59 20700 000132 0000R 00001 00113 015 2111100 2024*")</f>
        <v>266620.02</v>
      </c>
      <c r="G1033" s="83">
        <f>SUMIFS(G1034:G6462,K1034:K6462,"0",B1034:B6462,"5 1 1 1 3 12 31111 6 M59 20700 000132 0000R 00001 00113 015 2111100 2024*")</f>
        <v>0</v>
      </c>
      <c r="H1033" s="83">
        <f t="shared" si="16"/>
        <v>266620.02</v>
      </c>
      <c r="I1033" s="83"/>
      <c r="K1033" s="54" t="s">
        <v>15</v>
      </c>
    </row>
    <row r="1034" spans="2:11" ht="41.25" x14ac:dyDescent="0.2">
      <c r="B1034" s="82" t="s">
        <v>3146</v>
      </c>
      <c r="C1034" s="82" t="s">
        <v>662</v>
      </c>
      <c r="D1034" s="83">
        <f>SUMIFS(D1035:D6462,K1035:K6462,"0",B1035:B6462,"5 1 1 1 3 12 31111 6 M59 20700 000132 0000R 00001 00113 015 2111100 2024 CP1RM401*")-SUMIFS(E1035:E6462,K1035:K6462,"0",B1035:B6462,"5 1 1 1 3 12 31111 6 M59 20700 000132 0000R 00001 00113 015 2111100 2024 CP1RM401*")</f>
        <v>0</v>
      </c>
      <c r="E1034" s="54"/>
      <c r="F1034" s="83">
        <f>SUMIFS(F1035:F6462,K1035:K6462,"0",B1035:B6462,"5 1 1 1 3 12 31111 6 M59 20700 000132 0000R 00001 00113 015 2111100 2024 CP1RM401*")</f>
        <v>266620.02</v>
      </c>
      <c r="G1034" s="83">
        <f>SUMIFS(G1035:G6462,K1035:K6462,"0",B1035:B6462,"5 1 1 1 3 12 31111 6 M59 20700 000132 0000R 00001 00113 015 2111100 2024 CP1RM401*")</f>
        <v>0</v>
      </c>
      <c r="H1034" s="83">
        <f t="shared" si="16"/>
        <v>266620.02</v>
      </c>
      <c r="I1034" s="83"/>
      <c r="K1034" s="54" t="s">
        <v>15</v>
      </c>
    </row>
    <row r="1035" spans="2:11" ht="41.25" x14ac:dyDescent="0.2">
      <c r="B1035" s="82" t="s">
        <v>3147</v>
      </c>
      <c r="C1035" s="82" t="s">
        <v>282</v>
      </c>
      <c r="D1035" s="83">
        <f>SUMIFS(D1036:D6462,K1036:K6462,"0",B1036:B6462,"5 1 1 1 3 12 31111 6 M59 20700 000132 0000R 00001 00113 015 2111100 2024 CP1RM401 001*")-SUMIFS(E1036:E6462,K1036:K6462,"0",B1036:B6462,"5 1 1 1 3 12 31111 6 M59 20700 000132 0000R 00001 00113 015 2111100 2024 CP1RM401 001*")</f>
        <v>0</v>
      </c>
      <c r="E1035" s="54"/>
      <c r="F1035" s="83">
        <f>SUMIFS(F1036:F6462,K1036:K6462,"0",B1036:B6462,"5 1 1 1 3 12 31111 6 M59 20700 000132 0000R 00001 00113 015 2111100 2024 CP1RM401 001*")</f>
        <v>266620.02</v>
      </c>
      <c r="G1035" s="83">
        <f>SUMIFS(G1036:G6462,K1036:K6462,"0",B1036:B6462,"5 1 1 1 3 12 31111 6 M59 20700 000132 0000R 00001 00113 015 2111100 2024 CP1RM401 001*")</f>
        <v>0</v>
      </c>
      <c r="H1035" s="83">
        <f t="shared" si="16"/>
        <v>266620.02</v>
      </c>
      <c r="I1035" s="83"/>
      <c r="K1035" s="54" t="s">
        <v>15</v>
      </c>
    </row>
    <row r="1036" spans="2:11" ht="33" x14ac:dyDescent="0.2">
      <c r="B1036" s="84" t="s">
        <v>3148</v>
      </c>
      <c r="C1036" s="84" t="s">
        <v>2932</v>
      </c>
      <c r="D1036" s="85">
        <v>0</v>
      </c>
      <c r="E1036" s="85"/>
      <c r="F1036" s="85">
        <v>266620.02</v>
      </c>
      <c r="G1036" s="85">
        <v>0</v>
      </c>
      <c r="H1036" s="85">
        <f t="shared" si="16"/>
        <v>266620.02</v>
      </c>
      <c r="I1036" s="85"/>
      <c r="K1036" s="54" t="s">
        <v>38</v>
      </c>
    </row>
    <row r="1037" spans="2:11" ht="16.5" x14ac:dyDescent="0.2">
      <c r="B1037" s="82" t="s">
        <v>3149</v>
      </c>
      <c r="C1037" s="82" t="s">
        <v>3150</v>
      </c>
      <c r="D1037" s="83">
        <f>SUMIFS(D1038:D6462,K1038:K6462,"0",B1038:B6462,"5 1 1 1 3 12 31111 6 M59 20800*")-SUMIFS(E1038:E6462,K1038:K6462,"0",B1038:B6462,"5 1 1 1 3 12 31111 6 M59 20800*")</f>
        <v>0</v>
      </c>
      <c r="E1037" s="54"/>
      <c r="F1037" s="83">
        <f>SUMIFS(F1038:F6462,K1038:K6462,"0",B1038:B6462,"5 1 1 1 3 12 31111 6 M59 20800*")</f>
        <v>259452.1</v>
      </c>
      <c r="G1037" s="83">
        <f>SUMIFS(G1038:G6462,K1038:K6462,"0",B1038:B6462,"5 1 1 1 3 12 31111 6 M59 20800*")</f>
        <v>0</v>
      </c>
      <c r="H1037" s="83">
        <f t="shared" si="16"/>
        <v>259452.1</v>
      </c>
      <c r="I1037" s="83"/>
      <c r="K1037" s="54" t="s">
        <v>15</v>
      </c>
    </row>
    <row r="1038" spans="2:11" ht="24.75" x14ac:dyDescent="0.2">
      <c r="B1038" s="82" t="s">
        <v>3151</v>
      </c>
      <c r="C1038" s="82" t="s">
        <v>3152</v>
      </c>
      <c r="D1038" s="83">
        <f>SUMIFS(D1039:D6462,K1039:K6462,"0",B1039:B6462,"5 1 1 1 3 12 31111 6 M59 20800 000181*")-SUMIFS(E1039:E6462,K1039:K6462,"0",B1039:B6462,"5 1 1 1 3 12 31111 6 M59 20800 000181*")</f>
        <v>0</v>
      </c>
      <c r="E1038" s="54"/>
      <c r="F1038" s="83">
        <f>SUMIFS(F1039:F6462,K1039:K6462,"0",B1039:B6462,"5 1 1 1 3 12 31111 6 M59 20800 000181*")</f>
        <v>259452.1</v>
      </c>
      <c r="G1038" s="83">
        <f>SUMIFS(G1039:G6462,K1039:K6462,"0",B1039:B6462,"5 1 1 1 3 12 31111 6 M59 20800 000181*")</f>
        <v>0</v>
      </c>
      <c r="H1038" s="83">
        <f t="shared" si="16"/>
        <v>259452.1</v>
      </c>
      <c r="I1038" s="83"/>
      <c r="K1038" s="54" t="s">
        <v>15</v>
      </c>
    </row>
    <row r="1039" spans="2:11" ht="16.5" x14ac:dyDescent="0.2">
      <c r="B1039" s="82" t="s">
        <v>3153</v>
      </c>
      <c r="C1039" s="82" t="s">
        <v>650</v>
      </c>
      <c r="D1039" s="83">
        <f>SUMIFS(D1040:D6462,K1040:K6462,"0",B1040:B6462,"5 1 1 1 3 12 31111 6 M59 20800 000181 0000R*")-SUMIFS(E1040:E6462,K1040:K6462,"0",B1040:B6462,"5 1 1 1 3 12 31111 6 M59 20800 000181 0000R*")</f>
        <v>0</v>
      </c>
      <c r="E1039" s="54"/>
      <c r="F1039" s="83">
        <f>SUMIFS(F1040:F6462,K1040:K6462,"0",B1040:B6462,"5 1 1 1 3 12 31111 6 M59 20800 000181 0000R*")</f>
        <v>259452.1</v>
      </c>
      <c r="G1039" s="83">
        <f>SUMIFS(G1040:G6462,K1040:K6462,"0",B1040:B6462,"5 1 1 1 3 12 31111 6 M59 20800 000181 0000R*")</f>
        <v>0</v>
      </c>
      <c r="H1039" s="83">
        <f t="shared" si="16"/>
        <v>259452.1</v>
      </c>
      <c r="I1039" s="83"/>
      <c r="K1039" s="54" t="s">
        <v>15</v>
      </c>
    </row>
    <row r="1040" spans="2:11" ht="24.75" x14ac:dyDescent="0.2">
      <c r="B1040" s="82" t="s">
        <v>3154</v>
      </c>
      <c r="C1040" s="82" t="s">
        <v>282</v>
      </c>
      <c r="D1040" s="83">
        <f>SUMIFS(D1041:D6462,K1041:K6462,"0",B1041:B6462,"5 1 1 1 3 12 31111 6 M59 20800 000181 0000R 00001*")-SUMIFS(E1041:E6462,K1041:K6462,"0",B1041:B6462,"5 1 1 1 3 12 31111 6 M59 20800 000181 0000R 00001*")</f>
        <v>0</v>
      </c>
      <c r="E1040" s="54"/>
      <c r="F1040" s="83">
        <f>SUMIFS(F1041:F6462,K1041:K6462,"0",B1041:B6462,"5 1 1 1 3 12 31111 6 M59 20800 000181 0000R 00001*")</f>
        <v>259452.1</v>
      </c>
      <c r="G1040" s="83">
        <f>SUMIFS(G1041:G6462,K1041:K6462,"0",B1041:B6462,"5 1 1 1 3 12 31111 6 M59 20800 000181 0000R 00001*")</f>
        <v>0</v>
      </c>
      <c r="H1040" s="83">
        <f t="shared" si="16"/>
        <v>259452.1</v>
      </c>
      <c r="I1040" s="83"/>
      <c r="K1040" s="54" t="s">
        <v>15</v>
      </c>
    </row>
    <row r="1041" spans="2:11" ht="24.75" x14ac:dyDescent="0.2">
      <c r="B1041" s="82" t="s">
        <v>3155</v>
      </c>
      <c r="C1041" s="82" t="s">
        <v>2924</v>
      </c>
      <c r="D1041" s="83">
        <f>SUMIFS(D1042:D6462,K1042:K6462,"0",B1042:B6462,"5 1 1 1 3 12 31111 6 M59 20800 000181 0000R 00001 00113*")-SUMIFS(E1042:E6462,K1042:K6462,"0",B1042:B6462,"5 1 1 1 3 12 31111 6 M59 20800 000181 0000R 00001 00113*")</f>
        <v>0</v>
      </c>
      <c r="E1041" s="54"/>
      <c r="F1041" s="83">
        <f>SUMIFS(F1042:F6462,K1042:K6462,"0",B1042:B6462,"5 1 1 1 3 12 31111 6 M59 20800 000181 0000R 00001 00113*")</f>
        <v>259452.1</v>
      </c>
      <c r="G1041" s="83">
        <f>SUMIFS(G1042:G6462,K1042:K6462,"0",B1042:B6462,"5 1 1 1 3 12 31111 6 M59 20800 000181 0000R 00001 00113*")</f>
        <v>0</v>
      </c>
      <c r="H1041" s="83">
        <f t="shared" si="16"/>
        <v>259452.1</v>
      </c>
      <c r="I1041" s="83"/>
      <c r="K1041" s="54" t="s">
        <v>15</v>
      </c>
    </row>
    <row r="1042" spans="2:11" ht="24.75" x14ac:dyDescent="0.2">
      <c r="B1042" s="82" t="s">
        <v>3156</v>
      </c>
      <c r="C1042" s="82" t="s">
        <v>1051</v>
      </c>
      <c r="D1042" s="83">
        <f>SUMIFS(D1043:D6462,K1043:K6462,"0",B1043:B6462,"5 1 1 1 3 12 31111 6 M59 20800 000181 0000R 00001 00113 015*")-SUMIFS(E1043:E6462,K1043:K6462,"0",B1043:B6462,"5 1 1 1 3 12 31111 6 M59 20800 000181 0000R 00001 00113 015*")</f>
        <v>0</v>
      </c>
      <c r="E1042" s="54"/>
      <c r="F1042" s="83">
        <f>SUMIFS(F1043:F6462,K1043:K6462,"0",B1043:B6462,"5 1 1 1 3 12 31111 6 M59 20800 000181 0000R 00001 00113 015*")</f>
        <v>259452.1</v>
      </c>
      <c r="G1042" s="83">
        <f>SUMIFS(G1043:G6462,K1043:K6462,"0",B1043:B6462,"5 1 1 1 3 12 31111 6 M59 20800 000181 0000R 00001 00113 015*")</f>
        <v>0</v>
      </c>
      <c r="H1042" s="83">
        <f t="shared" si="16"/>
        <v>259452.1</v>
      </c>
      <c r="I1042" s="83"/>
      <c r="K1042" s="54" t="s">
        <v>15</v>
      </c>
    </row>
    <row r="1043" spans="2:11" ht="33" x14ac:dyDescent="0.2">
      <c r="B1043" s="82" t="s">
        <v>3157</v>
      </c>
      <c r="C1043" s="82" t="s">
        <v>2927</v>
      </c>
      <c r="D1043" s="83">
        <f>SUMIFS(D1044:D6462,K1044:K6462,"0",B1044:B6462,"5 1 1 1 3 12 31111 6 M59 20800 000181 0000R 00001 00113 015 2111100*")-SUMIFS(E1044:E6462,K1044:K6462,"0",B1044:B6462,"5 1 1 1 3 12 31111 6 M59 20800 000181 0000R 00001 00113 015 2111100*")</f>
        <v>0</v>
      </c>
      <c r="E1043" s="54"/>
      <c r="F1043" s="83">
        <f>SUMIFS(F1044:F6462,K1044:K6462,"0",B1044:B6462,"5 1 1 1 3 12 31111 6 M59 20800 000181 0000R 00001 00113 015 2111100*")</f>
        <v>259452.1</v>
      </c>
      <c r="G1043" s="83">
        <f>SUMIFS(G1044:G6462,K1044:K6462,"0",B1044:B6462,"5 1 1 1 3 12 31111 6 M59 20800 000181 0000R 00001 00113 015 2111100*")</f>
        <v>0</v>
      </c>
      <c r="H1043" s="83">
        <f t="shared" si="16"/>
        <v>259452.1</v>
      </c>
      <c r="I1043" s="83"/>
      <c r="K1043" s="54" t="s">
        <v>15</v>
      </c>
    </row>
    <row r="1044" spans="2:11" ht="33" x14ac:dyDescent="0.2">
      <c r="B1044" s="82" t="s">
        <v>3158</v>
      </c>
      <c r="C1044" s="82" t="s">
        <v>660</v>
      </c>
      <c r="D1044" s="83">
        <f>SUMIFS(D1045:D6462,K1045:K6462,"0",B1045:B6462,"5 1 1 1 3 12 31111 6 M59 20800 000181 0000R 00001 00113 015 2111100 2024*")-SUMIFS(E1045:E6462,K1045:K6462,"0",B1045:B6462,"5 1 1 1 3 12 31111 6 M59 20800 000181 0000R 00001 00113 015 2111100 2024*")</f>
        <v>0</v>
      </c>
      <c r="E1044" s="54"/>
      <c r="F1044" s="83">
        <f>SUMIFS(F1045:F6462,K1045:K6462,"0",B1045:B6462,"5 1 1 1 3 12 31111 6 M59 20800 000181 0000R 00001 00113 015 2111100 2024*")</f>
        <v>259452.1</v>
      </c>
      <c r="G1044" s="83">
        <f>SUMIFS(G1045:G6462,K1045:K6462,"0",B1045:B6462,"5 1 1 1 3 12 31111 6 M59 20800 000181 0000R 00001 00113 015 2111100 2024*")</f>
        <v>0</v>
      </c>
      <c r="H1044" s="83">
        <f t="shared" si="16"/>
        <v>259452.1</v>
      </c>
      <c r="I1044" s="83"/>
      <c r="K1044" s="54" t="s">
        <v>15</v>
      </c>
    </row>
    <row r="1045" spans="2:11" ht="41.25" x14ac:dyDescent="0.2">
      <c r="B1045" s="82" t="s">
        <v>3159</v>
      </c>
      <c r="C1045" s="82" t="s">
        <v>1056</v>
      </c>
      <c r="D1045" s="83">
        <f>SUMIFS(D1046:D6462,K1046:K6462,"0",B1046:B6462,"5 1 1 1 3 12 31111 6 M59 20800 000181 0000R 00001 00113 015 2111100 2024 CP1AA392*")-SUMIFS(E1046:E6462,K1046:K6462,"0",B1046:B6462,"5 1 1 1 3 12 31111 6 M59 20800 000181 0000R 00001 00113 015 2111100 2024 CP1AA392*")</f>
        <v>0</v>
      </c>
      <c r="E1045" s="54"/>
      <c r="F1045" s="83">
        <f>SUMIFS(F1046:F6462,K1046:K6462,"0",B1046:B6462,"5 1 1 1 3 12 31111 6 M59 20800 000181 0000R 00001 00113 015 2111100 2024 CP1AA392*")</f>
        <v>259452.1</v>
      </c>
      <c r="G1045" s="83">
        <f>SUMIFS(G1046:G6462,K1046:K6462,"0",B1046:B6462,"5 1 1 1 3 12 31111 6 M59 20800 000181 0000R 00001 00113 015 2111100 2024 CP1AA392*")</f>
        <v>0</v>
      </c>
      <c r="H1045" s="83">
        <f t="shared" si="16"/>
        <v>259452.1</v>
      </c>
      <c r="I1045" s="83"/>
      <c r="K1045" s="54" t="s">
        <v>15</v>
      </c>
    </row>
    <row r="1046" spans="2:11" ht="41.25" x14ac:dyDescent="0.2">
      <c r="B1046" s="82" t="s">
        <v>3160</v>
      </c>
      <c r="C1046" s="82" t="s">
        <v>282</v>
      </c>
      <c r="D1046" s="83">
        <f>SUMIFS(D1047:D6462,K1047:K6462,"0",B1047:B6462,"5 1 1 1 3 12 31111 6 M59 20800 000181 0000R 00001 00113 015 2111100 2024 CP1AA392 001*")-SUMIFS(E1047:E6462,K1047:K6462,"0",B1047:B6462,"5 1 1 1 3 12 31111 6 M59 20800 000181 0000R 00001 00113 015 2111100 2024 CP1AA392 001*")</f>
        <v>0</v>
      </c>
      <c r="E1046" s="54"/>
      <c r="F1046" s="83">
        <f>SUMIFS(F1047:F6462,K1047:K6462,"0",B1047:B6462,"5 1 1 1 3 12 31111 6 M59 20800 000181 0000R 00001 00113 015 2111100 2024 CP1AA392 001*")</f>
        <v>259452.1</v>
      </c>
      <c r="G1046" s="83">
        <f>SUMIFS(G1047:G6462,K1047:K6462,"0",B1047:B6462,"5 1 1 1 3 12 31111 6 M59 20800 000181 0000R 00001 00113 015 2111100 2024 CP1AA392 001*")</f>
        <v>0</v>
      </c>
      <c r="H1046" s="83">
        <f t="shared" si="16"/>
        <v>259452.1</v>
      </c>
      <c r="I1046" s="83"/>
      <c r="K1046" s="54" t="s">
        <v>15</v>
      </c>
    </row>
    <row r="1047" spans="2:11" ht="33" x14ac:dyDescent="0.2">
      <c r="B1047" s="84" t="s">
        <v>3161</v>
      </c>
      <c r="C1047" s="84" t="s">
        <v>2932</v>
      </c>
      <c r="D1047" s="85">
        <v>0</v>
      </c>
      <c r="E1047" s="85"/>
      <c r="F1047" s="85">
        <v>259452.1</v>
      </c>
      <c r="G1047" s="85">
        <v>0</v>
      </c>
      <c r="H1047" s="85">
        <f t="shared" si="16"/>
        <v>259452.1</v>
      </c>
      <c r="I1047" s="85"/>
      <c r="K1047" s="54" t="s">
        <v>38</v>
      </c>
    </row>
    <row r="1048" spans="2:11" ht="24.75" x14ac:dyDescent="0.2">
      <c r="B1048" s="82" t="s">
        <v>3162</v>
      </c>
      <c r="C1048" s="82" t="s">
        <v>3163</v>
      </c>
      <c r="D1048" s="83">
        <f>SUMIFS(D1049:D6462,K1049:K6462,"0",B1049:B6462,"5 1 1 1 3 12 31111 6 M59 21000*")-SUMIFS(E1049:E6462,K1049:K6462,"0",B1049:B6462,"5 1 1 1 3 12 31111 6 M59 21000*")</f>
        <v>0</v>
      </c>
      <c r="E1048" s="54"/>
      <c r="F1048" s="83">
        <f>SUMIFS(F1049:F6462,K1049:K6462,"0",B1049:B6462,"5 1 1 1 3 12 31111 6 M59 21000*")</f>
        <v>58891.91</v>
      </c>
      <c r="G1048" s="83">
        <f>SUMIFS(G1049:G6462,K1049:K6462,"0",B1049:B6462,"5 1 1 1 3 12 31111 6 M59 21000*")</f>
        <v>0</v>
      </c>
      <c r="H1048" s="83">
        <f t="shared" si="16"/>
        <v>58891.91</v>
      </c>
      <c r="I1048" s="83"/>
      <c r="K1048" s="54" t="s">
        <v>15</v>
      </c>
    </row>
    <row r="1049" spans="2:11" ht="16.5" x14ac:dyDescent="0.2">
      <c r="B1049" s="82" t="s">
        <v>3164</v>
      </c>
      <c r="C1049" s="82" t="s">
        <v>648</v>
      </c>
      <c r="D1049" s="83">
        <f>SUMIFS(D1050:D6462,K1050:K6462,"0",B1050:B6462,"5 1 1 1 3 12 31111 6 M59 21000 000132*")-SUMIFS(E1050:E6462,K1050:K6462,"0",B1050:B6462,"5 1 1 1 3 12 31111 6 M59 21000 000132*")</f>
        <v>0</v>
      </c>
      <c r="E1049" s="54"/>
      <c r="F1049" s="83">
        <f>SUMIFS(F1050:F6462,K1050:K6462,"0",B1050:B6462,"5 1 1 1 3 12 31111 6 M59 21000 000132*")</f>
        <v>58891.91</v>
      </c>
      <c r="G1049" s="83">
        <f>SUMIFS(G1050:G6462,K1050:K6462,"0",B1050:B6462,"5 1 1 1 3 12 31111 6 M59 21000 000132*")</f>
        <v>0</v>
      </c>
      <c r="H1049" s="83">
        <f t="shared" si="16"/>
        <v>58891.91</v>
      </c>
      <c r="I1049" s="83"/>
      <c r="K1049" s="54" t="s">
        <v>15</v>
      </c>
    </row>
    <row r="1050" spans="2:11" ht="16.5" x14ac:dyDescent="0.2">
      <c r="B1050" s="82" t="s">
        <v>3165</v>
      </c>
      <c r="C1050" s="82" t="s">
        <v>650</v>
      </c>
      <c r="D1050" s="83">
        <f>SUMIFS(D1051:D6462,K1051:K6462,"0",B1051:B6462,"5 1 1 1 3 12 31111 6 M59 21000 000132 0000R*")-SUMIFS(E1051:E6462,K1051:K6462,"0",B1051:B6462,"5 1 1 1 3 12 31111 6 M59 21000 000132 0000R*")</f>
        <v>0</v>
      </c>
      <c r="E1050" s="54"/>
      <c r="F1050" s="83">
        <f>SUMIFS(F1051:F6462,K1051:K6462,"0",B1051:B6462,"5 1 1 1 3 12 31111 6 M59 21000 000132 0000R*")</f>
        <v>58891.91</v>
      </c>
      <c r="G1050" s="83">
        <f>SUMIFS(G1051:G6462,K1051:K6462,"0",B1051:B6462,"5 1 1 1 3 12 31111 6 M59 21000 000132 0000R*")</f>
        <v>0</v>
      </c>
      <c r="H1050" s="83">
        <f t="shared" si="16"/>
        <v>58891.91</v>
      </c>
      <c r="I1050" s="83"/>
      <c r="K1050" s="54" t="s">
        <v>15</v>
      </c>
    </row>
    <row r="1051" spans="2:11" ht="24.75" x14ac:dyDescent="0.2">
      <c r="B1051" s="82" t="s">
        <v>3166</v>
      </c>
      <c r="C1051" s="82" t="s">
        <v>282</v>
      </c>
      <c r="D1051" s="83">
        <f>SUMIFS(D1052:D6462,K1052:K6462,"0",B1052:B6462,"5 1 1 1 3 12 31111 6 M59 21000 000132 0000R 00001*")-SUMIFS(E1052:E6462,K1052:K6462,"0",B1052:B6462,"5 1 1 1 3 12 31111 6 M59 21000 000132 0000R 00001*")</f>
        <v>0</v>
      </c>
      <c r="E1051" s="54"/>
      <c r="F1051" s="83">
        <f>SUMIFS(F1052:F6462,K1052:K6462,"0",B1052:B6462,"5 1 1 1 3 12 31111 6 M59 21000 000132 0000R 00001*")</f>
        <v>58891.91</v>
      </c>
      <c r="G1051" s="83">
        <f>SUMIFS(G1052:G6462,K1052:K6462,"0",B1052:B6462,"5 1 1 1 3 12 31111 6 M59 21000 000132 0000R 00001*")</f>
        <v>0</v>
      </c>
      <c r="H1051" s="83">
        <f t="shared" si="16"/>
        <v>58891.91</v>
      </c>
      <c r="I1051" s="83"/>
      <c r="K1051" s="54" t="s">
        <v>15</v>
      </c>
    </row>
    <row r="1052" spans="2:11" ht="24.75" x14ac:dyDescent="0.2">
      <c r="B1052" s="82" t="s">
        <v>3167</v>
      </c>
      <c r="C1052" s="82" t="s">
        <v>2924</v>
      </c>
      <c r="D1052" s="83">
        <f>SUMIFS(D1053:D6462,K1053:K6462,"0",B1053:B6462,"5 1 1 1 3 12 31111 6 M59 21000 000132 0000R 00001 00113*")-SUMIFS(E1053:E6462,K1053:K6462,"0",B1053:B6462,"5 1 1 1 3 12 31111 6 M59 21000 000132 0000R 00001 00113*")</f>
        <v>0</v>
      </c>
      <c r="E1052" s="54"/>
      <c r="F1052" s="83">
        <f>SUMIFS(F1053:F6462,K1053:K6462,"0",B1053:B6462,"5 1 1 1 3 12 31111 6 M59 21000 000132 0000R 00001 00113*")</f>
        <v>58891.91</v>
      </c>
      <c r="G1052" s="83">
        <f>SUMIFS(G1053:G6462,K1053:K6462,"0",B1053:B6462,"5 1 1 1 3 12 31111 6 M59 21000 000132 0000R 00001 00113*")</f>
        <v>0</v>
      </c>
      <c r="H1052" s="83">
        <f t="shared" si="16"/>
        <v>58891.91</v>
      </c>
      <c r="I1052" s="83"/>
      <c r="K1052" s="54" t="s">
        <v>15</v>
      </c>
    </row>
    <row r="1053" spans="2:11" ht="24.75" x14ac:dyDescent="0.2">
      <c r="B1053" s="82" t="s">
        <v>3168</v>
      </c>
      <c r="C1053" s="82" t="s">
        <v>1051</v>
      </c>
      <c r="D1053" s="83">
        <f>SUMIFS(D1054:D6462,K1054:K6462,"0",B1054:B6462,"5 1 1 1 3 12 31111 6 M59 21000 000132 0000R 00001 00113 015*")-SUMIFS(E1054:E6462,K1054:K6462,"0",B1054:B6462,"5 1 1 1 3 12 31111 6 M59 21000 000132 0000R 00001 00113 015*")</f>
        <v>0</v>
      </c>
      <c r="E1053" s="54"/>
      <c r="F1053" s="83">
        <f>SUMIFS(F1054:F6462,K1054:K6462,"0",B1054:B6462,"5 1 1 1 3 12 31111 6 M59 21000 000132 0000R 00001 00113 015*")</f>
        <v>58891.91</v>
      </c>
      <c r="G1053" s="83">
        <f>SUMIFS(G1054:G6462,K1054:K6462,"0",B1054:B6462,"5 1 1 1 3 12 31111 6 M59 21000 000132 0000R 00001 00113 015*")</f>
        <v>0</v>
      </c>
      <c r="H1053" s="83">
        <f t="shared" si="16"/>
        <v>58891.91</v>
      </c>
      <c r="I1053" s="83"/>
      <c r="K1053" s="54" t="s">
        <v>15</v>
      </c>
    </row>
    <row r="1054" spans="2:11" ht="33" x14ac:dyDescent="0.2">
      <c r="B1054" s="82" t="s">
        <v>3169</v>
      </c>
      <c r="C1054" s="82" t="s">
        <v>2927</v>
      </c>
      <c r="D1054" s="83">
        <f>SUMIFS(D1055:D6462,K1055:K6462,"0",B1055:B6462,"5 1 1 1 3 12 31111 6 M59 21000 000132 0000R 00001 00113 015 2111100*")-SUMIFS(E1055:E6462,K1055:K6462,"0",B1055:B6462,"5 1 1 1 3 12 31111 6 M59 21000 000132 0000R 00001 00113 015 2111100*")</f>
        <v>0</v>
      </c>
      <c r="E1054" s="54"/>
      <c r="F1054" s="83">
        <f>SUMIFS(F1055:F6462,K1055:K6462,"0",B1055:B6462,"5 1 1 1 3 12 31111 6 M59 21000 000132 0000R 00001 00113 015 2111100*")</f>
        <v>58891.91</v>
      </c>
      <c r="G1054" s="83">
        <f>SUMIFS(G1055:G6462,K1055:K6462,"0",B1055:B6462,"5 1 1 1 3 12 31111 6 M59 21000 000132 0000R 00001 00113 015 2111100*")</f>
        <v>0</v>
      </c>
      <c r="H1054" s="83">
        <f t="shared" si="16"/>
        <v>58891.91</v>
      </c>
      <c r="I1054" s="83"/>
      <c r="K1054" s="54" t="s">
        <v>15</v>
      </c>
    </row>
    <row r="1055" spans="2:11" ht="33" x14ac:dyDescent="0.2">
      <c r="B1055" s="82" t="s">
        <v>3170</v>
      </c>
      <c r="C1055" s="82" t="s">
        <v>660</v>
      </c>
      <c r="D1055" s="83">
        <f>SUMIFS(D1056:D6462,K1056:K6462,"0",B1056:B6462,"5 1 1 1 3 12 31111 6 M59 21000 000132 0000R 00001 00113 015 2111100 2024*")-SUMIFS(E1056:E6462,K1056:K6462,"0",B1056:B6462,"5 1 1 1 3 12 31111 6 M59 21000 000132 0000R 00001 00113 015 2111100 2024*")</f>
        <v>0</v>
      </c>
      <c r="E1055" s="54"/>
      <c r="F1055" s="83">
        <f>SUMIFS(F1056:F6462,K1056:K6462,"0",B1056:B6462,"5 1 1 1 3 12 31111 6 M59 21000 000132 0000R 00001 00113 015 2111100 2024*")</f>
        <v>58891.91</v>
      </c>
      <c r="G1055" s="83">
        <f>SUMIFS(G1056:G6462,K1056:K6462,"0",B1056:B6462,"5 1 1 1 3 12 31111 6 M59 21000 000132 0000R 00001 00113 015 2111100 2024*")</f>
        <v>0</v>
      </c>
      <c r="H1055" s="83">
        <f t="shared" si="16"/>
        <v>58891.91</v>
      </c>
      <c r="I1055" s="83"/>
      <c r="K1055" s="54" t="s">
        <v>15</v>
      </c>
    </row>
    <row r="1056" spans="2:11" ht="41.25" x14ac:dyDescent="0.2">
      <c r="B1056" s="82" t="s">
        <v>3171</v>
      </c>
      <c r="C1056" s="82" t="s">
        <v>1056</v>
      </c>
      <c r="D1056" s="83">
        <f>SUMIFS(D1057:D6462,K1057:K6462,"0",B1057:B6462,"5 1 1 1 3 12 31111 6 M59 21000 000132 0000R 00001 00113 015 2111100 2024 CP1PP402*")-SUMIFS(E1057:E6462,K1057:K6462,"0",B1057:B6462,"5 1 1 1 3 12 31111 6 M59 21000 000132 0000R 00001 00113 015 2111100 2024 CP1PP402*")</f>
        <v>0</v>
      </c>
      <c r="E1056" s="54"/>
      <c r="F1056" s="83">
        <f>SUMIFS(F1057:F6462,K1057:K6462,"0",B1057:B6462,"5 1 1 1 3 12 31111 6 M59 21000 000132 0000R 00001 00113 015 2111100 2024 CP1PP402*")</f>
        <v>58891.91</v>
      </c>
      <c r="G1056" s="83">
        <f>SUMIFS(G1057:G6462,K1057:K6462,"0",B1057:B6462,"5 1 1 1 3 12 31111 6 M59 21000 000132 0000R 00001 00113 015 2111100 2024 CP1PP402*")</f>
        <v>0</v>
      </c>
      <c r="H1056" s="83">
        <f t="shared" si="16"/>
        <v>58891.91</v>
      </c>
      <c r="I1056" s="83"/>
      <c r="K1056" s="54" t="s">
        <v>15</v>
      </c>
    </row>
    <row r="1057" spans="2:11" ht="41.25" x14ac:dyDescent="0.2">
      <c r="B1057" s="82" t="s">
        <v>3172</v>
      </c>
      <c r="C1057" s="82" t="s">
        <v>282</v>
      </c>
      <c r="D1057" s="83">
        <f>SUMIFS(D1058:D6462,K1058:K6462,"0",B1058:B6462,"5 1 1 1 3 12 31111 6 M59 21000 000132 0000R 00001 00113 015 2111100 2024 CP1PP402 001*")-SUMIFS(E1058:E6462,K1058:K6462,"0",B1058:B6462,"5 1 1 1 3 12 31111 6 M59 21000 000132 0000R 00001 00113 015 2111100 2024 CP1PP402 001*")</f>
        <v>0</v>
      </c>
      <c r="E1057" s="54"/>
      <c r="F1057" s="83">
        <f>SUMIFS(F1058:F6462,K1058:K6462,"0",B1058:B6462,"5 1 1 1 3 12 31111 6 M59 21000 000132 0000R 00001 00113 015 2111100 2024 CP1PP402 001*")</f>
        <v>58891.91</v>
      </c>
      <c r="G1057" s="83">
        <f>SUMIFS(G1058:G6462,K1058:K6462,"0",B1058:B6462,"5 1 1 1 3 12 31111 6 M59 21000 000132 0000R 00001 00113 015 2111100 2024 CP1PP402 001*")</f>
        <v>0</v>
      </c>
      <c r="H1057" s="83">
        <f t="shared" si="16"/>
        <v>58891.91</v>
      </c>
      <c r="I1057" s="83"/>
      <c r="K1057" s="54" t="s">
        <v>15</v>
      </c>
    </row>
    <row r="1058" spans="2:11" ht="33" x14ac:dyDescent="0.2">
      <c r="B1058" s="84" t="s">
        <v>3173</v>
      </c>
      <c r="C1058" s="84" t="s">
        <v>2932</v>
      </c>
      <c r="D1058" s="85">
        <v>0</v>
      </c>
      <c r="E1058" s="85"/>
      <c r="F1058" s="85">
        <v>58891.91</v>
      </c>
      <c r="G1058" s="85">
        <v>0</v>
      </c>
      <c r="H1058" s="85">
        <f t="shared" si="16"/>
        <v>58891.91</v>
      </c>
      <c r="I1058" s="85"/>
      <c r="K1058" s="54" t="s">
        <v>38</v>
      </c>
    </row>
    <row r="1059" spans="2:11" ht="24.75" x14ac:dyDescent="0.2">
      <c r="B1059" s="82" t="s">
        <v>3174</v>
      </c>
      <c r="C1059" s="82" t="s">
        <v>3175</v>
      </c>
      <c r="D1059" s="83">
        <f>SUMIFS(D1060:D6462,K1060:K6462,"0",B1060:B6462,"5 1 1 1 3 12 31111 6 M59 22000*")-SUMIFS(E1060:E6462,K1060:K6462,"0",B1060:B6462,"5 1 1 1 3 12 31111 6 M59 22000*")</f>
        <v>0</v>
      </c>
      <c r="E1059" s="54"/>
      <c r="F1059" s="83">
        <f>SUMIFS(F1060:F6462,K1060:K6462,"0",B1060:B6462,"5 1 1 1 3 12 31111 6 M59 22000*")</f>
        <v>54758.22</v>
      </c>
      <c r="G1059" s="83">
        <f>SUMIFS(G1060:G6462,K1060:K6462,"0",B1060:B6462,"5 1 1 1 3 12 31111 6 M59 22000*")</f>
        <v>0</v>
      </c>
      <c r="H1059" s="83">
        <f t="shared" si="16"/>
        <v>54758.22</v>
      </c>
      <c r="I1059" s="83"/>
      <c r="K1059" s="54" t="s">
        <v>15</v>
      </c>
    </row>
    <row r="1060" spans="2:11" ht="16.5" x14ac:dyDescent="0.2">
      <c r="B1060" s="82" t="s">
        <v>3176</v>
      </c>
      <c r="C1060" s="82" t="s">
        <v>648</v>
      </c>
      <c r="D1060" s="83">
        <f>SUMIFS(D1061:D6462,K1061:K6462,"0",B1061:B6462,"5 1 1 1 3 12 31111 6 M59 22000 000132*")-SUMIFS(E1061:E6462,K1061:K6462,"0",B1061:B6462,"5 1 1 1 3 12 31111 6 M59 22000 000132*")</f>
        <v>0</v>
      </c>
      <c r="E1060" s="54"/>
      <c r="F1060" s="83">
        <f>SUMIFS(F1061:F6462,K1061:K6462,"0",B1061:B6462,"5 1 1 1 3 12 31111 6 M59 22000 000132*")</f>
        <v>54758.22</v>
      </c>
      <c r="G1060" s="83">
        <f>SUMIFS(G1061:G6462,K1061:K6462,"0",B1061:B6462,"5 1 1 1 3 12 31111 6 M59 22000 000132*")</f>
        <v>0</v>
      </c>
      <c r="H1060" s="83">
        <f t="shared" si="16"/>
        <v>54758.22</v>
      </c>
      <c r="I1060" s="83"/>
      <c r="K1060" s="54" t="s">
        <v>15</v>
      </c>
    </row>
    <row r="1061" spans="2:11" ht="16.5" x14ac:dyDescent="0.2">
      <c r="B1061" s="82" t="s">
        <v>3177</v>
      </c>
      <c r="C1061" s="82" t="s">
        <v>650</v>
      </c>
      <c r="D1061" s="83">
        <f>SUMIFS(D1062:D6462,K1062:K6462,"0",B1062:B6462,"5 1 1 1 3 12 31111 6 M59 22000 000132 0000R*")-SUMIFS(E1062:E6462,K1062:K6462,"0",B1062:B6462,"5 1 1 1 3 12 31111 6 M59 22000 000132 0000R*")</f>
        <v>0</v>
      </c>
      <c r="E1061" s="54"/>
      <c r="F1061" s="83">
        <f>SUMIFS(F1062:F6462,K1062:K6462,"0",B1062:B6462,"5 1 1 1 3 12 31111 6 M59 22000 000132 0000R*")</f>
        <v>54758.22</v>
      </c>
      <c r="G1061" s="83">
        <f>SUMIFS(G1062:G6462,K1062:K6462,"0",B1062:B6462,"5 1 1 1 3 12 31111 6 M59 22000 000132 0000R*")</f>
        <v>0</v>
      </c>
      <c r="H1061" s="83">
        <f t="shared" si="16"/>
        <v>54758.22</v>
      </c>
      <c r="I1061" s="83"/>
      <c r="K1061" s="54" t="s">
        <v>15</v>
      </c>
    </row>
    <row r="1062" spans="2:11" ht="24.75" x14ac:dyDescent="0.2">
      <c r="B1062" s="82" t="s">
        <v>3178</v>
      </c>
      <c r="C1062" s="82" t="s">
        <v>282</v>
      </c>
      <c r="D1062" s="83">
        <f>SUMIFS(D1063:D6462,K1063:K6462,"0",B1063:B6462,"5 1 1 1 3 12 31111 6 M59 22000 000132 0000R 00001*")-SUMIFS(E1063:E6462,K1063:K6462,"0",B1063:B6462,"5 1 1 1 3 12 31111 6 M59 22000 000132 0000R 00001*")</f>
        <v>0</v>
      </c>
      <c r="E1062" s="54"/>
      <c r="F1062" s="83">
        <f>SUMIFS(F1063:F6462,K1063:K6462,"0",B1063:B6462,"5 1 1 1 3 12 31111 6 M59 22000 000132 0000R 00001*")</f>
        <v>54758.22</v>
      </c>
      <c r="G1062" s="83">
        <f>SUMIFS(G1063:G6462,K1063:K6462,"0",B1063:B6462,"5 1 1 1 3 12 31111 6 M59 22000 000132 0000R 00001*")</f>
        <v>0</v>
      </c>
      <c r="H1062" s="83">
        <f t="shared" si="16"/>
        <v>54758.22</v>
      </c>
      <c r="I1062" s="83"/>
      <c r="K1062" s="54" t="s">
        <v>15</v>
      </c>
    </row>
    <row r="1063" spans="2:11" ht="24.75" x14ac:dyDescent="0.2">
      <c r="B1063" s="82" t="s">
        <v>3179</v>
      </c>
      <c r="C1063" s="82" t="s">
        <v>2924</v>
      </c>
      <c r="D1063" s="83">
        <f>SUMIFS(D1064:D6462,K1064:K6462,"0",B1064:B6462,"5 1 1 1 3 12 31111 6 M59 22000 000132 0000R 00001 00113*")-SUMIFS(E1064:E6462,K1064:K6462,"0",B1064:B6462,"5 1 1 1 3 12 31111 6 M59 22000 000132 0000R 00001 00113*")</f>
        <v>0</v>
      </c>
      <c r="E1063" s="54"/>
      <c r="F1063" s="83">
        <f>SUMIFS(F1064:F6462,K1064:K6462,"0",B1064:B6462,"5 1 1 1 3 12 31111 6 M59 22000 000132 0000R 00001 00113*")</f>
        <v>54758.22</v>
      </c>
      <c r="G1063" s="83">
        <f>SUMIFS(G1064:G6462,K1064:K6462,"0",B1064:B6462,"5 1 1 1 3 12 31111 6 M59 22000 000132 0000R 00001 00113*")</f>
        <v>0</v>
      </c>
      <c r="H1063" s="83">
        <f t="shared" si="16"/>
        <v>54758.22</v>
      </c>
      <c r="I1063" s="83"/>
      <c r="K1063" s="54" t="s">
        <v>15</v>
      </c>
    </row>
    <row r="1064" spans="2:11" ht="24.75" x14ac:dyDescent="0.2">
      <c r="B1064" s="82" t="s">
        <v>3180</v>
      </c>
      <c r="C1064" s="82" t="s">
        <v>1051</v>
      </c>
      <c r="D1064" s="83">
        <f>SUMIFS(D1065:D6462,K1065:K6462,"0",B1065:B6462,"5 1 1 1 3 12 31111 6 M59 22000 000132 0000R 00001 00113 015*")-SUMIFS(E1065:E6462,K1065:K6462,"0",B1065:B6462,"5 1 1 1 3 12 31111 6 M59 22000 000132 0000R 00001 00113 015*")</f>
        <v>0</v>
      </c>
      <c r="E1064" s="54"/>
      <c r="F1064" s="83">
        <f>SUMIFS(F1065:F6462,K1065:K6462,"0",B1065:B6462,"5 1 1 1 3 12 31111 6 M59 22000 000132 0000R 00001 00113 015*")</f>
        <v>54758.22</v>
      </c>
      <c r="G1064" s="83">
        <f>SUMIFS(G1065:G6462,K1065:K6462,"0",B1065:B6462,"5 1 1 1 3 12 31111 6 M59 22000 000132 0000R 00001 00113 015*")</f>
        <v>0</v>
      </c>
      <c r="H1064" s="83">
        <f t="shared" si="16"/>
        <v>54758.22</v>
      </c>
      <c r="I1064" s="83"/>
      <c r="K1064" s="54" t="s">
        <v>15</v>
      </c>
    </row>
    <row r="1065" spans="2:11" ht="33" x14ac:dyDescent="0.2">
      <c r="B1065" s="82" t="s">
        <v>3181</v>
      </c>
      <c r="C1065" s="82" t="s">
        <v>2927</v>
      </c>
      <c r="D1065" s="83">
        <f>SUMIFS(D1066:D6462,K1066:K6462,"0",B1066:B6462,"5 1 1 1 3 12 31111 6 M59 22000 000132 0000R 00001 00113 015 2111100*")-SUMIFS(E1066:E6462,K1066:K6462,"0",B1066:B6462,"5 1 1 1 3 12 31111 6 M59 22000 000132 0000R 00001 00113 015 2111100*")</f>
        <v>0</v>
      </c>
      <c r="E1065" s="54"/>
      <c r="F1065" s="83">
        <f>SUMIFS(F1066:F6462,K1066:K6462,"0",B1066:B6462,"5 1 1 1 3 12 31111 6 M59 22000 000132 0000R 00001 00113 015 2111100*")</f>
        <v>54758.22</v>
      </c>
      <c r="G1065" s="83">
        <f>SUMIFS(G1066:G6462,K1066:K6462,"0",B1066:B6462,"5 1 1 1 3 12 31111 6 M59 22000 000132 0000R 00001 00113 015 2111100*")</f>
        <v>0</v>
      </c>
      <c r="H1065" s="83">
        <f t="shared" si="16"/>
        <v>54758.22</v>
      </c>
      <c r="I1065" s="83"/>
      <c r="K1065" s="54" t="s">
        <v>15</v>
      </c>
    </row>
    <row r="1066" spans="2:11" ht="33" x14ac:dyDescent="0.2">
      <c r="B1066" s="82" t="s">
        <v>3182</v>
      </c>
      <c r="C1066" s="82" t="s">
        <v>660</v>
      </c>
      <c r="D1066" s="83">
        <f>SUMIFS(D1067:D6462,K1067:K6462,"0",B1067:B6462,"5 1 1 1 3 12 31111 6 M59 22000 000132 0000R 00001 00113 015 2111100 2024*")-SUMIFS(E1067:E6462,K1067:K6462,"0",B1067:B6462,"5 1 1 1 3 12 31111 6 M59 22000 000132 0000R 00001 00113 015 2111100 2024*")</f>
        <v>0</v>
      </c>
      <c r="E1066" s="54"/>
      <c r="F1066" s="83">
        <f>SUMIFS(F1067:F6462,K1067:K6462,"0",B1067:B6462,"5 1 1 1 3 12 31111 6 M59 22000 000132 0000R 00001 00113 015 2111100 2024*")</f>
        <v>54758.22</v>
      </c>
      <c r="G1066" s="83">
        <f>SUMIFS(G1067:G6462,K1067:K6462,"0",B1067:B6462,"5 1 1 1 3 12 31111 6 M59 22000 000132 0000R 00001 00113 015 2111100 2024*")</f>
        <v>0</v>
      </c>
      <c r="H1066" s="83">
        <f t="shared" si="16"/>
        <v>54758.22</v>
      </c>
      <c r="I1066" s="83"/>
      <c r="K1066" s="54" t="s">
        <v>15</v>
      </c>
    </row>
    <row r="1067" spans="2:11" ht="41.25" x14ac:dyDescent="0.2">
      <c r="B1067" s="82" t="s">
        <v>3183</v>
      </c>
      <c r="C1067" s="82" t="s">
        <v>1056</v>
      </c>
      <c r="D1067" s="83">
        <f>SUMIFS(D1068:D6462,K1068:K6462,"0",B1068:B6462,"5 1 1 1 3 12 31111 6 M59 22000 000132 0000R 00001 00113 015 2111100 2024 CP1PL384*")-SUMIFS(E1068:E6462,K1068:K6462,"0",B1068:B6462,"5 1 1 1 3 12 31111 6 M59 22000 000132 0000R 00001 00113 015 2111100 2024 CP1PL384*")</f>
        <v>0</v>
      </c>
      <c r="E1067" s="54"/>
      <c r="F1067" s="83">
        <f>SUMIFS(F1068:F6462,K1068:K6462,"0",B1068:B6462,"5 1 1 1 3 12 31111 6 M59 22000 000132 0000R 00001 00113 015 2111100 2024 CP1PL384*")</f>
        <v>54758.22</v>
      </c>
      <c r="G1067" s="83">
        <f>SUMIFS(G1068:G6462,K1068:K6462,"0",B1068:B6462,"5 1 1 1 3 12 31111 6 M59 22000 000132 0000R 00001 00113 015 2111100 2024 CP1PL384*")</f>
        <v>0</v>
      </c>
      <c r="H1067" s="83">
        <f t="shared" ref="H1067:H1130" si="17">D1067 + F1067 - G1067</f>
        <v>54758.22</v>
      </c>
      <c r="I1067" s="83"/>
      <c r="K1067" s="54" t="s">
        <v>15</v>
      </c>
    </row>
    <row r="1068" spans="2:11" ht="41.25" x14ac:dyDescent="0.2">
      <c r="B1068" s="82" t="s">
        <v>3184</v>
      </c>
      <c r="C1068" s="82" t="s">
        <v>282</v>
      </c>
      <c r="D1068" s="83">
        <f>SUMIFS(D1069:D6462,K1069:K6462,"0",B1069:B6462,"5 1 1 1 3 12 31111 6 M59 22000 000132 0000R 00001 00113 015 2111100 2024 CP1PL384 001*")-SUMIFS(E1069:E6462,K1069:K6462,"0",B1069:B6462,"5 1 1 1 3 12 31111 6 M59 22000 000132 0000R 00001 00113 015 2111100 2024 CP1PL384 001*")</f>
        <v>0</v>
      </c>
      <c r="E1068" s="54"/>
      <c r="F1068" s="83">
        <f>SUMIFS(F1069:F6462,K1069:K6462,"0",B1069:B6462,"5 1 1 1 3 12 31111 6 M59 22000 000132 0000R 00001 00113 015 2111100 2024 CP1PL384 001*")</f>
        <v>54758.22</v>
      </c>
      <c r="G1068" s="83">
        <f>SUMIFS(G1069:G6462,K1069:K6462,"0",B1069:B6462,"5 1 1 1 3 12 31111 6 M59 22000 000132 0000R 00001 00113 015 2111100 2024 CP1PL384 001*")</f>
        <v>0</v>
      </c>
      <c r="H1068" s="83">
        <f t="shared" si="17"/>
        <v>54758.22</v>
      </c>
      <c r="I1068" s="83"/>
      <c r="K1068" s="54" t="s">
        <v>15</v>
      </c>
    </row>
    <row r="1069" spans="2:11" ht="41.25" x14ac:dyDescent="0.2">
      <c r="B1069" s="84" t="s">
        <v>3185</v>
      </c>
      <c r="C1069" s="84" t="s">
        <v>2932</v>
      </c>
      <c r="D1069" s="85">
        <v>0</v>
      </c>
      <c r="E1069" s="85"/>
      <c r="F1069" s="85">
        <v>54758.22</v>
      </c>
      <c r="G1069" s="85">
        <v>0</v>
      </c>
      <c r="H1069" s="85">
        <f t="shared" si="17"/>
        <v>54758.22</v>
      </c>
      <c r="I1069" s="85"/>
      <c r="K1069" s="54" t="s">
        <v>38</v>
      </c>
    </row>
    <row r="1070" spans="2:11" ht="16.5" x14ac:dyDescent="0.2">
      <c r="B1070" s="82" t="s">
        <v>3186</v>
      </c>
      <c r="C1070" s="82" t="s">
        <v>3187</v>
      </c>
      <c r="D1070" s="83">
        <f>SUMIFS(D1071:D6462,K1071:K6462,"0",B1071:B6462,"5 1 1 1 3 12 31111 6 M59 23000*")-SUMIFS(E1071:E6462,K1071:K6462,"0",B1071:B6462,"5 1 1 1 3 12 31111 6 M59 23000*")</f>
        <v>0</v>
      </c>
      <c r="E1070" s="54"/>
      <c r="F1070" s="83">
        <f>SUMIFS(F1071:F6462,K1071:K6462,"0",B1071:B6462,"5 1 1 1 3 12 31111 6 M59 23000*")</f>
        <v>30652.58</v>
      </c>
      <c r="G1070" s="83">
        <f>SUMIFS(G1071:G6462,K1071:K6462,"0",B1071:B6462,"5 1 1 1 3 12 31111 6 M59 23000*")</f>
        <v>0</v>
      </c>
      <c r="H1070" s="83">
        <f t="shared" si="17"/>
        <v>30652.58</v>
      </c>
      <c r="I1070" s="83"/>
      <c r="K1070" s="54" t="s">
        <v>15</v>
      </c>
    </row>
    <row r="1071" spans="2:11" ht="16.5" x14ac:dyDescent="0.2">
      <c r="B1071" s="82" t="s">
        <v>3188</v>
      </c>
      <c r="C1071" s="82" t="s">
        <v>648</v>
      </c>
      <c r="D1071" s="83">
        <f>SUMIFS(D1072:D6462,K1072:K6462,"0",B1072:B6462,"5 1 1 1 3 12 31111 6 M59 23000 000132*")-SUMIFS(E1072:E6462,K1072:K6462,"0",B1072:B6462,"5 1 1 1 3 12 31111 6 M59 23000 000132*")</f>
        <v>0</v>
      </c>
      <c r="E1071" s="54"/>
      <c r="F1071" s="83">
        <f>SUMIFS(F1072:F6462,K1072:K6462,"0",B1072:B6462,"5 1 1 1 3 12 31111 6 M59 23000 000132*")</f>
        <v>30652.58</v>
      </c>
      <c r="G1071" s="83">
        <f>SUMIFS(G1072:G6462,K1072:K6462,"0",B1072:B6462,"5 1 1 1 3 12 31111 6 M59 23000 000132*")</f>
        <v>0</v>
      </c>
      <c r="H1071" s="83">
        <f t="shared" si="17"/>
        <v>30652.58</v>
      </c>
      <c r="I1071" s="83"/>
      <c r="K1071" s="54" t="s">
        <v>15</v>
      </c>
    </row>
    <row r="1072" spans="2:11" ht="16.5" x14ac:dyDescent="0.2">
      <c r="B1072" s="82" t="s">
        <v>3189</v>
      </c>
      <c r="C1072" s="82" t="s">
        <v>650</v>
      </c>
      <c r="D1072" s="83">
        <f>SUMIFS(D1073:D6462,K1073:K6462,"0",B1073:B6462,"5 1 1 1 3 12 31111 6 M59 23000 000132 0000R*")-SUMIFS(E1073:E6462,K1073:K6462,"0",B1073:B6462,"5 1 1 1 3 12 31111 6 M59 23000 000132 0000R*")</f>
        <v>0</v>
      </c>
      <c r="E1072" s="54"/>
      <c r="F1072" s="83">
        <f>SUMIFS(F1073:F6462,K1073:K6462,"0",B1073:B6462,"5 1 1 1 3 12 31111 6 M59 23000 000132 0000R*")</f>
        <v>30652.58</v>
      </c>
      <c r="G1072" s="83">
        <f>SUMIFS(G1073:G6462,K1073:K6462,"0",B1073:B6462,"5 1 1 1 3 12 31111 6 M59 23000 000132 0000R*")</f>
        <v>0</v>
      </c>
      <c r="H1072" s="83">
        <f t="shared" si="17"/>
        <v>30652.58</v>
      </c>
      <c r="I1072" s="83"/>
      <c r="K1072" s="54" t="s">
        <v>15</v>
      </c>
    </row>
    <row r="1073" spans="2:11" ht="24.75" x14ac:dyDescent="0.2">
      <c r="B1073" s="82" t="s">
        <v>3190</v>
      </c>
      <c r="C1073" s="82" t="s">
        <v>282</v>
      </c>
      <c r="D1073" s="83">
        <f>SUMIFS(D1074:D6462,K1074:K6462,"0",B1074:B6462,"5 1 1 1 3 12 31111 6 M59 23000 000132 0000R 00001*")-SUMIFS(E1074:E6462,K1074:K6462,"0",B1074:B6462,"5 1 1 1 3 12 31111 6 M59 23000 000132 0000R 00001*")</f>
        <v>0</v>
      </c>
      <c r="E1073" s="54"/>
      <c r="F1073" s="83">
        <f>SUMIFS(F1074:F6462,K1074:K6462,"0",B1074:B6462,"5 1 1 1 3 12 31111 6 M59 23000 000132 0000R 00001*")</f>
        <v>30652.58</v>
      </c>
      <c r="G1073" s="83">
        <f>SUMIFS(G1074:G6462,K1074:K6462,"0",B1074:B6462,"5 1 1 1 3 12 31111 6 M59 23000 000132 0000R 00001*")</f>
        <v>0</v>
      </c>
      <c r="H1073" s="83">
        <f t="shared" si="17"/>
        <v>30652.58</v>
      </c>
      <c r="I1073" s="83"/>
      <c r="K1073" s="54" t="s">
        <v>15</v>
      </c>
    </row>
    <row r="1074" spans="2:11" ht="24.75" x14ac:dyDescent="0.2">
      <c r="B1074" s="82" t="s">
        <v>3191</v>
      </c>
      <c r="C1074" s="82" t="s">
        <v>2924</v>
      </c>
      <c r="D1074" s="83">
        <f>SUMIFS(D1075:D6462,K1075:K6462,"0",B1075:B6462,"5 1 1 1 3 12 31111 6 M59 23000 000132 0000R 00001 00113*")-SUMIFS(E1075:E6462,K1075:K6462,"0",B1075:B6462,"5 1 1 1 3 12 31111 6 M59 23000 000132 0000R 00001 00113*")</f>
        <v>0</v>
      </c>
      <c r="E1074" s="54"/>
      <c r="F1074" s="83">
        <f>SUMIFS(F1075:F6462,K1075:K6462,"0",B1075:B6462,"5 1 1 1 3 12 31111 6 M59 23000 000132 0000R 00001 00113*")</f>
        <v>30652.58</v>
      </c>
      <c r="G1074" s="83">
        <f>SUMIFS(G1075:G6462,K1075:K6462,"0",B1075:B6462,"5 1 1 1 3 12 31111 6 M59 23000 000132 0000R 00001 00113*")</f>
        <v>0</v>
      </c>
      <c r="H1074" s="83">
        <f t="shared" si="17"/>
        <v>30652.58</v>
      </c>
      <c r="I1074" s="83"/>
      <c r="K1074" s="54" t="s">
        <v>15</v>
      </c>
    </row>
    <row r="1075" spans="2:11" ht="24.75" x14ac:dyDescent="0.2">
      <c r="B1075" s="82" t="s">
        <v>3192</v>
      </c>
      <c r="C1075" s="82" t="s">
        <v>1051</v>
      </c>
      <c r="D1075" s="83">
        <f>SUMIFS(D1076:D6462,K1076:K6462,"0",B1076:B6462,"5 1 1 1 3 12 31111 6 M59 23000 000132 0000R 00001 00113 015*")-SUMIFS(E1076:E6462,K1076:K6462,"0",B1076:B6462,"5 1 1 1 3 12 31111 6 M59 23000 000132 0000R 00001 00113 015*")</f>
        <v>0</v>
      </c>
      <c r="E1075" s="54"/>
      <c r="F1075" s="83">
        <f>SUMIFS(F1076:F6462,K1076:K6462,"0",B1076:B6462,"5 1 1 1 3 12 31111 6 M59 23000 000132 0000R 00001 00113 015*")</f>
        <v>30652.58</v>
      </c>
      <c r="G1075" s="83">
        <f>SUMIFS(G1076:G6462,K1076:K6462,"0",B1076:B6462,"5 1 1 1 3 12 31111 6 M59 23000 000132 0000R 00001 00113 015*")</f>
        <v>0</v>
      </c>
      <c r="H1075" s="83">
        <f t="shared" si="17"/>
        <v>30652.58</v>
      </c>
      <c r="I1075" s="83"/>
      <c r="K1075" s="54" t="s">
        <v>15</v>
      </c>
    </row>
    <row r="1076" spans="2:11" ht="33" x14ac:dyDescent="0.2">
      <c r="B1076" s="82" t="s">
        <v>3193</v>
      </c>
      <c r="C1076" s="82" t="s">
        <v>2927</v>
      </c>
      <c r="D1076" s="83">
        <f>SUMIFS(D1077:D6462,K1077:K6462,"0",B1077:B6462,"5 1 1 1 3 12 31111 6 M59 23000 000132 0000R 00001 00113 015 2111100*")-SUMIFS(E1077:E6462,K1077:K6462,"0",B1077:B6462,"5 1 1 1 3 12 31111 6 M59 23000 000132 0000R 00001 00113 015 2111100*")</f>
        <v>0</v>
      </c>
      <c r="E1076" s="54"/>
      <c r="F1076" s="83">
        <f>SUMIFS(F1077:F6462,K1077:K6462,"0",B1077:B6462,"5 1 1 1 3 12 31111 6 M59 23000 000132 0000R 00001 00113 015 2111100*")</f>
        <v>30652.58</v>
      </c>
      <c r="G1076" s="83">
        <f>SUMIFS(G1077:G6462,K1077:K6462,"0",B1077:B6462,"5 1 1 1 3 12 31111 6 M59 23000 000132 0000R 00001 00113 015 2111100*")</f>
        <v>0</v>
      </c>
      <c r="H1076" s="83">
        <f t="shared" si="17"/>
        <v>30652.58</v>
      </c>
      <c r="I1076" s="83"/>
      <c r="K1076" s="54" t="s">
        <v>15</v>
      </c>
    </row>
    <row r="1077" spans="2:11" ht="33" x14ac:dyDescent="0.2">
      <c r="B1077" s="82" t="s">
        <v>3194</v>
      </c>
      <c r="C1077" s="82" t="s">
        <v>660</v>
      </c>
      <c r="D1077" s="83">
        <f>SUMIFS(D1078:D6462,K1078:K6462,"0",B1078:B6462,"5 1 1 1 3 12 31111 6 M59 23000 000132 0000R 00001 00113 015 2111100 2024*")-SUMIFS(E1078:E6462,K1078:K6462,"0",B1078:B6462,"5 1 1 1 3 12 31111 6 M59 23000 000132 0000R 00001 00113 015 2111100 2024*")</f>
        <v>0</v>
      </c>
      <c r="E1077" s="54"/>
      <c r="F1077" s="83">
        <f>SUMIFS(F1078:F6462,K1078:K6462,"0",B1078:B6462,"5 1 1 1 3 12 31111 6 M59 23000 000132 0000R 00001 00113 015 2111100 2024*")</f>
        <v>30652.58</v>
      </c>
      <c r="G1077" s="83">
        <f>SUMIFS(G1078:G6462,K1078:K6462,"0",B1078:B6462,"5 1 1 1 3 12 31111 6 M59 23000 000132 0000R 00001 00113 015 2111100 2024*")</f>
        <v>0</v>
      </c>
      <c r="H1077" s="83">
        <f t="shared" si="17"/>
        <v>30652.58</v>
      </c>
      <c r="I1077" s="83"/>
      <c r="K1077" s="54" t="s">
        <v>15</v>
      </c>
    </row>
    <row r="1078" spans="2:11" ht="41.25" x14ac:dyDescent="0.2">
      <c r="B1078" s="82" t="s">
        <v>3195</v>
      </c>
      <c r="C1078" s="82" t="s">
        <v>1056</v>
      </c>
      <c r="D1078" s="83">
        <f>SUMIFS(D1079:D6462,K1079:K6462,"0",B1079:B6462,"5 1 1 1 3 12 31111 6 M59 23000 000132 0000R 00001 00113 015 2111100 2024 CP1ST377*")-SUMIFS(E1079:E6462,K1079:K6462,"0",B1079:B6462,"5 1 1 1 3 12 31111 6 M59 23000 000132 0000R 00001 00113 015 2111100 2024 CP1ST377*")</f>
        <v>0</v>
      </c>
      <c r="E1078" s="54"/>
      <c r="F1078" s="83">
        <f>SUMIFS(F1079:F6462,K1079:K6462,"0",B1079:B6462,"5 1 1 1 3 12 31111 6 M59 23000 000132 0000R 00001 00113 015 2111100 2024 CP1ST377*")</f>
        <v>30652.58</v>
      </c>
      <c r="G1078" s="83">
        <f>SUMIFS(G1079:G6462,K1079:K6462,"0",B1079:B6462,"5 1 1 1 3 12 31111 6 M59 23000 000132 0000R 00001 00113 015 2111100 2024 CP1ST377*")</f>
        <v>0</v>
      </c>
      <c r="H1078" s="83">
        <f t="shared" si="17"/>
        <v>30652.58</v>
      </c>
      <c r="I1078" s="83"/>
      <c r="K1078" s="54" t="s">
        <v>15</v>
      </c>
    </row>
    <row r="1079" spans="2:11" ht="41.25" x14ac:dyDescent="0.2">
      <c r="B1079" s="82" t="s">
        <v>3196</v>
      </c>
      <c r="C1079" s="82" t="s">
        <v>282</v>
      </c>
      <c r="D1079" s="83">
        <f>SUMIFS(D1080:D6462,K1080:K6462,"0",B1080:B6462,"5 1 1 1 3 12 31111 6 M59 23000 000132 0000R 00001 00113 015 2111100 2024 CP1ST377 001*")-SUMIFS(E1080:E6462,K1080:K6462,"0",B1080:B6462,"5 1 1 1 3 12 31111 6 M59 23000 000132 0000R 00001 00113 015 2111100 2024 CP1ST377 001*")</f>
        <v>0</v>
      </c>
      <c r="E1079" s="54"/>
      <c r="F1079" s="83">
        <f>SUMIFS(F1080:F6462,K1080:K6462,"0",B1080:B6462,"5 1 1 1 3 12 31111 6 M59 23000 000132 0000R 00001 00113 015 2111100 2024 CP1ST377 001*")</f>
        <v>30652.58</v>
      </c>
      <c r="G1079" s="83">
        <f>SUMIFS(G1080:G6462,K1080:K6462,"0",B1080:B6462,"5 1 1 1 3 12 31111 6 M59 23000 000132 0000R 00001 00113 015 2111100 2024 CP1ST377 001*")</f>
        <v>0</v>
      </c>
      <c r="H1079" s="83">
        <f t="shared" si="17"/>
        <v>30652.58</v>
      </c>
      <c r="I1079" s="83"/>
      <c r="K1079" s="54" t="s">
        <v>15</v>
      </c>
    </row>
    <row r="1080" spans="2:11" ht="41.25" x14ac:dyDescent="0.2">
      <c r="B1080" s="84" t="s">
        <v>3197</v>
      </c>
      <c r="C1080" s="84" t="s">
        <v>2932</v>
      </c>
      <c r="D1080" s="85">
        <v>0</v>
      </c>
      <c r="E1080" s="85"/>
      <c r="F1080" s="85">
        <v>30652.58</v>
      </c>
      <c r="G1080" s="85">
        <v>0</v>
      </c>
      <c r="H1080" s="85">
        <f t="shared" si="17"/>
        <v>30652.58</v>
      </c>
      <c r="I1080" s="85"/>
      <c r="K1080" s="54" t="s">
        <v>38</v>
      </c>
    </row>
    <row r="1081" spans="2:11" ht="16.5" x14ac:dyDescent="0.2">
      <c r="B1081" s="82" t="s">
        <v>3198</v>
      </c>
      <c r="C1081" s="82" t="s">
        <v>3199</v>
      </c>
      <c r="D1081" s="83">
        <f>SUMIFS(D1082:D6462,K1082:K6462,"0",B1082:B6462,"5 1 1 1 3 12 31111 6 M59 30000*")-SUMIFS(E1082:E6462,K1082:K6462,"0",B1082:B6462,"5 1 1 1 3 12 31111 6 M59 30000*")</f>
        <v>0</v>
      </c>
      <c r="E1081" s="54"/>
      <c r="F1081" s="83">
        <f>SUMIFS(F1082:F6462,K1082:K6462,"0",B1082:B6462,"5 1 1 1 3 12 31111 6 M59 30000*")</f>
        <v>339239.22</v>
      </c>
      <c r="G1081" s="83">
        <f>SUMIFS(G1082:G6462,K1082:K6462,"0",B1082:B6462,"5 1 1 1 3 12 31111 6 M59 30000*")</f>
        <v>0</v>
      </c>
      <c r="H1081" s="83">
        <f t="shared" si="17"/>
        <v>339239.22</v>
      </c>
      <c r="I1081" s="83"/>
      <c r="K1081" s="54" t="s">
        <v>15</v>
      </c>
    </row>
    <row r="1082" spans="2:11" ht="16.5" x14ac:dyDescent="0.2">
      <c r="B1082" s="82" t="s">
        <v>3200</v>
      </c>
      <c r="C1082" s="82" t="s">
        <v>648</v>
      </c>
      <c r="D1082" s="83">
        <f>SUMIFS(D1083:D6462,K1083:K6462,"0",B1083:B6462,"5 1 1 1 3 12 31111 6 M59 30000 000132*")-SUMIFS(E1083:E6462,K1083:K6462,"0",B1083:B6462,"5 1 1 1 3 12 31111 6 M59 30000 000132*")</f>
        <v>0</v>
      </c>
      <c r="E1082" s="54"/>
      <c r="F1082" s="83">
        <f>SUMIFS(F1083:F6462,K1083:K6462,"0",B1083:B6462,"5 1 1 1 3 12 31111 6 M59 30000 000132*")</f>
        <v>339239.22</v>
      </c>
      <c r="G1082" s="83">
        <f>SUMIFS(G1083:G6462,K1083:K6462,"0",B1083:B6462,"5 1 1 1 3 12 31111 6 M59 30000 000132*")</f>
        <v>0</v>
      </c>
      <c r="H1082" s="83">
        <f t="shared" si="17"/>
        <v>339239.22</v>
      </c>
      <c r="I1082" s="83"/>
      <c r="K1082" s="54" t="s">
        <v>15</v>
      </c>
    </row>
    <row r="1083" spans="2:11" ht="16.5" x14ac:dyDescent="0.2">
      <c r="B1083" s="82" t="s">
        <v>3201</v>
      </c>
      <c r="C1083" s="82" t="s">
        <v>650</v>
      </c>
      <c r="D1083" s="83">
        <f>SUMIFS(D1084:D6462,K1084:K6462,"0",B1084:B6462,"5 1 1 1 3 12 31111 6 M59 30000 000132 0000R*")-SUMIFS(E1084:E6462,K1084:K6462,"0",B1084:B6462,"5 1 1 1 3 12 31111 6 M59 30000 000132 0000R*")</f>
        <v>0</v>
      </c>
      <c r="E1083" s="54"/>
      <c r="F1083" s="83">
        <f>SUMIFS(F1084:F6462,K1084:K6462,"0",B1084:B6462,"5 1 1 1 3 12 31111 6 M59 30000 000132 0000R*")</f>
        <v>339239.22</v>
      </c>
      <c r="G1083" s="83">
        <f>SUMIFS(G1084:G6462,K1084:K6462,"0",B1084:B6462,"5 1 1 1 3 12 31111 6 M59 30000 000132 0000R*")</f>
        <v>0</v>
      </c>
      <c r="H1083" s="83">
        <f t="shared" si="17"/>
        <v>339239.22</v>
      </c>
      <c r="I1083" s="83"/>
      <c r="K1083" s="54" t="s">
        <v>15</v>
      </c>
    </row>
    <row r="1084" spans="2:11" ht="24.75" x14ac:dyDescent="0.2">
      <c r="B1084" s="82" t="s">
        <v>3202</v>
      </c>
      <c r="C1084" s="82" t="s">
        <v>282</v>
      </c>
      <c r="D1084" s="83">
        <f>SUMIFS(D1085:D6462,K1085:K6462,"0",B1085:B6462,"5 1 1 1 3 12 31111 6 M59 30000 000132 0000R 00001*")-SUMIFS(E1085:E6462,K1085:K6462,"0",B1085:B6462,"5 1 1 1 3 12 31111 6 M59 30000 000132 0000R 00001*")</f>
        <v>0</v>
      </c>
      <c r="E1084" s="54"/>
      <c r="F1084" s="83">
        <f>SUMIFS(F1085:F6462,K1085:K6462,"0",B1085:B6462,"5 1 1 1 3 12 31111 6 M59 30000 000132 0000R 00001*")</f>
        <v>339239.22</v>
      </c>
      <c r="G1084" s="83">
        <f>SUMIFS(G1085:G6462,K1085:K6462,"0",B1085:B6462,"5 1 1 1 3 12 31111 6 M59 30000 000132 0000R 00001*")</f>
        <v>0</v>
      </c>
      <c r="H1084" s="83">
        <f t="shared" si="17"/>
        <v>339239.22</v>
      </c>
      <c r="I1084" s="83"/>
      <c r="K1084" s="54" t="s">
        <v>15</v>
      </c>
    </row>
    <row r="1085" spans="2:11" ht="24.75" x14ac:dyDescent="0.2">
      <c r="B1085" s="82" t="s">
        <v>3203</v>
      </c>
      <c r="C1085" s="82" t="s">
        <v>2924</v>
      </c>
      <c r="D1085" s="83">
        <f>SUMIFS(D1086:D6462,K1086:K6462,"0",B1086:B6462,"5 1 1 1 3 12 31111 6 M59 30000 000132 0000R 00001 00113*")-SUMIFS(E1086:E6462,K1086:K6462,"0",B1086:B6462,"5 1 1 1 3 12 31111 6 M59 30000 000132 0000R 00001 00113*")</f>
        <v>0</v>
      </c>
      <c r="E1085" s="54"/>
      <c r="F1085" s="83">
        <f>SUMIFS(F1086:F6462,K1086:K6462,"0",B1086:B6462,"5 1 1 1 3 12 31111 6 M59 30000 000132 0000R 00001 00113*")</f>
        <v>339239.22</v>
      </c>
      <c r="G1085" s="83">
        <f>SUMIFS(G1086:G6462,K1086:K6462,"0",B1086:B6462,"5 1 1 1 3 12 31111 6 M59 30000 000132 0000R 00001 00113*")</f>
        <v>0</v>
      </c>
      <c r="H1085" s="83">
        <f t="shared" si="17"/>
        <v>339239.22</v>
      </c>
      <c r="I1085" s="83"/>
      <c r="K1085" s="54" t="s">
        <v>15</v>
      </c>
    </row>
    <row r="1086" spans="2:11" ht="24.75" x14ac:dyDescent="0.2">
      <c r="B1086" s="82" t="s">
        <v>3204</v>
      </c>
      <c r="C1086" s="82" t="s">
        <v>1051</v>
      </c>
      <c r="D1086" s="83">
        <f>SUMIFS(D1087:D6462,K1087:K6462,"0",B1087:B6462,"5 1 1 1 3 12 31111 6 M59 30000 000132 0000R 00001 00113 015*")-SUMIFS(E1087:E6462,K1087:K6462,"0",B1087:B6462,"5 1 1 1 3 12 31111 6 M59 30000 000132 0000R 00001 00113 015*")</f>
        <v>0</v>
      </c>
      <c r="E1086" s="54"/>
      <c r="F1086" s="83">
        <f>SUMIFS(F1087:F6462,K1087:K6462,"0",B1087:B6462,"5 1 1 1 3 12 31111 6 M59 30000 000132 0000R 00001 00113 015*")</f>
        <v>339239.22</v>
      </c>
      <c r="G1086" s="83">
        <f>SUMIFS(G1087:G6462,K1087:K6462,"0",B1087:B6462,"5 1 1 1 3 12 31111 6 M59 30000 000132 0000R 00001 00113 015*")</f>
        <v>0</v>
      </c>
      <c r="H1086" s="83">
        <f t="shared" si="17"/>
        <v>339239.22</v>
      </c>
      <c r="I1086" s="83"/>
      <c r="K1086" s="54" t="s">
        <v>15</v>
      </c>
    </row>
    <row r="1087" spans="2:11" ht="33" x14ac:dyDescent="0.2">
      <c r="B1087" s="82" t="s">
        <v>3205</v>
      </c>
      <c r="C1087" s="82" t="s">
        <v>2927</v>
      </c>
      <c r="D1087" s="83">
        <f>SUMIFS(D1088:D6462,K1088:K6462,"0",B1088:B6462,"5 1 1 1 3 12 31111 6 M59 30000 000132 0000R 00001 00113 015 2111100*")-SUMIFS(E1088:E6462,K1088:K6462,"0",B1088:B6462,"5 1 1 1 3 12 31111 6 M59 30000 000132 0000R 00001 00113 015 2111100*")</f>
        <v>0</v>
      </c>
      <c r="E1087" s="54"/>
      <c r="F1087" s="83">
        <f>SUMIFS(F1088:F6462,K1088:K6462,"0",B1088:B6462,"5 1 1 1 3 12 31111 6 M59 30000 000132 0000R 00001 00113 015 2111100*")</f>
        <v>339239.22</v>
      </c>
      <c r="G1087" s="83">
        <f>SUMIFS(G1088:G6462,K1088:K6462,"0",B1088:B6462,"5 1 1 1 3 12 31111 6 M59 30000 000132 0000R 00001 00113 015 2111100*")</f>
        <v>0</v>
      </c>
      <c r="H1087" s="83">
        <f t="shared" si="17"/>
        <v>339239.22</v>
      </c>
      <c r="I1087" s="83"/>
      <c r="K1087" s="54" t="s">
        <v>15</v>
      </c>
    </row>
    <row r="1088" spans="2:11" ht="33" x14ac:dyDescent="0.2">
      <c r="B1088" s="82" t="s">
        <v>3206</v>
      </c>
      <c r="C1088" s="82" t="s">
        <v>660</v>
      </c>
      <c r="D1088" s="83">
        <f>SUMIFS(D1089:D6462,K1089:K6462,"0",B1089:B6462,"5 1 1 1 3 12 31111 6 M59 30000 000132 0000R 00001 00113 015 2111100 2024*")-SUMIFS(E1089:E6462,K1089:K6462,"0",B1089:B6462,"5 1 1 1 3 12 31111 6 M59 30000 000132 0000R 00001 00113 015 2111100 2024*")</f>
        <v>0</v>
      </c>
      <c r="E1088" s="54"/>
      <c r="F1088" s="83">
        <f>SUMIFS(F1089:F6462,K1089:K6462,"0",B1089:B6462,"5 1 1 1 3 12 31111 6 M59 30000 000132 0000R 00001 00113 015 2111100 2024*")</f>
        <v>339239.22</v>
      </c>
      <c r="G1088" s="83">
        <f>SUMIFS(G1089:G6462,K1089:K6462,"0",B1089:B6462,"5 1 1 1 3 12 31111 6 M59 30000 000132 0000R 00001 00113 015 2111100 2024*")</f>
        <v>0</v>
      </c>
      <c r="H1088" s="83">
        <f t="shared" si="17"/>
        <v>339239.22</v>
      </c>
      <c r="I1088" s="83"/>
      <c r="K1088" s="54" t="s">
        <v>15</v>
      </c>
    </row>
    <row r="1089" spans="2:11" ht="41.25" x14ac:dyDescent="0.2">
      <c r="B1089" s="82" t="s">
        <v>3207</v>
      </c>
      <c r="C1089" s="82" t="s">
        <v>1056</v>
      </c>
      <c r="D1089" s="83">
        <f>SUMIFS(D1090:D6462,K1090:K6462,"0",B1090:B6462,"5 1 1 1 3 12 31111 6 M59 30000 000132 0000R 00001 00113 015 2111100 2024 CP1DU385*")-SUMIFS(E1090:E6462,K1090:K6462,"0",B1090:B6462,"5 1 1 1 3 12 31111 6 M59 30000 000132 0000R 00001 00113 015 2111100 2024 CP1DU385*")</f>
        <v>0</v>
      </c>
      <c r="E1089" s="54"/>
      <c r="F1089" s="83">
        <f>SUMIFS(F1090:F6462,K1090:K6462,"0",B1090:B6462,"5 1 1 1 3 12 31111 6 M59 30000 000132 0000R 00001 00113 015 2111100 2024 CP1DU385*")</f>
        <v>339239.22</v>
      </c>
      <c r="G1089" s="83">
        <f>SUMIFS(G1090:G6462,K1090:K6462,"0",B1090:B6462,"5 1 1 1 3 12 31111 6 M59 30000 000132 0000R 00001 00113 015 2111100 2024 CP1DU385*")</f>
        <v>0</v>
      </c>
      <c r="H1089" s="83">
        <f t="shared" si="17"/>
        <v>339239.22</v>
      </c>
      <c r="I1089" s="83"/>
      <c r="K1089" s="54" t="s">
        <v>15</v>
      </c>
    </row>
    <row r="1090" spans="2:11" ht="41.25" x14ac:dyDescent="0.2">
      <c r="B1090" s="82" t="s">
        <v>3208</v>
      </c>
      <c r="C1090" s="82" t="s">
        <v>282</v>
      </c>
      <c r="D1090" s="83">
        <f>SUMIFS(D1091:D6462,K1091:K6462,"0",B1091:B6462,"5 1 1 1 3 12 31111 6 M59 30000 000132 0000R 00001 00113 015 2111100 2024 CP1DU385 001*")-SUMIFS(E1091:E6462,K1091:K6462,"0",B1091:B6462,"5 1 1 1 3 12 31111 6 M59 30000 000132 0000R 00001 00113 015 2111100 2024 CP1DU385 001*")</f>
        <v>0</v>
      </c>
      <c r="E1090" s="54"/>
      <c r="F1090" s="83">
        <f>SUMIFS(F1091:F6462,K1091:K6462,"0",B1091:B6462,"5 1 1 1 3 12 31111 6 M59 30000 000132 0000R 00001 00113 015 2111100 2024 CP1DU385 001*")</f>
        <v>339239.22</v>
      </c>
      <c r="G1090" s="83">
        <f>SUMIFS(G1091:G6462,K1091:K6462,"0",B1091:B6462,"5 1 1 1 3 12 31111 6 M59 30000 000132 0000R 00001 00113 015 2111100 2024 CP1DU385 001*")</f>
        <v>0</v>
      </c>
      <c r="H1090" s="83">
        <f t="shared" si="17"/>
        <v>339239.22</v>
      </c>
      <c r="I1090" s="83"/>
      <c r="K1090" s="54" t="s">
        <v>15</v>
      </c>
    </row>
    <row r="1091" spans="2:11" ht="41.25" x14ac:dyDescent="0.2">
      <c r="B1091" s="84" t="s">
        <v>3209</v>
      </c>
      <c r="C1091" s="84" t="s">
        <v>2932</v>
      </c>
      <c r="D1091" s="85">
        <v>0</v>
      </c>
      <c r="E1091" s="85"/>
      <c r="F1091" s="85">
        <v>339239.22</v>
      </c>
      <c r="G1091" s="85">
        <v>0</v>
      </c>
      <c r="H1091" s="85">
        <f t="shared" si="17"/>
        <v>339239.22</v>
      </c>
      <c r="I1091" s="85"/>
      <c r="K1091" s="54" t="s">
        <v>38</v>
      </c>
    </row>
    <row r="1092" spans="2:11" ht="16.5" x14ac:dyDescent="0.2">
      <c r="B1092" s="82" t="s">
        <v>3210</v>
      </c>
      <c r="C1092" s="82" t="s">
        <v>646</v>
      </c>
      <c r="D1092" s="83">
        <f>SUMIFS(D1093:D6462,K1093:K6462,"0",B1093:B6462,"5 1 1 1 3 12 31111 6 M59 30100*")-SUMIFS(E1093:E6462,K1093:K6462,"0",B1093:B6462,"5 1 1 1 3 12 31111 6 M59 30100*")</f>
        <v>0</v>
      </c>
      <c r="E1092" s="54"/>
      <c r="F1092" s="83">
        <f>SUMIFS(F1093:F6462,K1093:K6462,"0",B1093:B6462,"5 1 1 1 3 12 31111 6 M59 30100*")</f>
        <v>1468509.65</v>
      </c>
      <c r="G1092" s="83">
        <f>SUMIFS(G1093:G6462,K1093:K6462,"0",B1093:B6462,"5 1 1 1 3 12 31111 6 M59 30100*")</f>
        <v>0</v>
      </c>
      <c r="H1092" s="83">
        <f t="shared" si="17"/>
        <v>1468509.65</v>
      </c>
      <c r="I1092" s="83"/>
      <c r="K1092" s="54" t="s">
        <v>15</v>
      </c>
    </row>
    <row r="1093" spans="2:11" ht="16.5" x14ac:dyDescent="0.2">
      <c r="B1093" s="82" t="s">
        <v>3211</v>
      </c>
      <c r="C1093" s="82" t="s">
        <v>648</v>
      </c>
      <c r="D1093" s="83">
        <f>SUMIFS(D1094:D6462,K1094:K6462,"0",B1094:B6462,"5 1 1 1 3 12 31111 6 M59 30100 000132*")-SUMIFS(E1094:E6462,K1094:K6462,"0",B1094:B6462,"5 1 1 1 3 12 31111 6 M59 30100 000132*")</f>
        <v>0</v>
      </c>
      <c r="E1093" s="54"/>
      <c r="F1093" s="83">
        <f>SUMIFS(F1094:F6462,K1094:K6462,"0",B1094:B6462,"5 1 1 1 3 12 31111 6 M59 30100 000132*")</f>
        <v>1468509.65</v>
      </c>
      <c r="G1093" s="83">
        <f>SUMIFS(G1094:G6462,K1094:K6462,"0",B1094:B6462,"5 1 1 1 3 12 31111 6 M59 30100 000132*")</f>
        <v>0</v>
      </c>
      <c r="H1093" s="83">
        <f t="shared" si="17"/>
        <v>1468509.65</v>
      </c>
      <c r="I1093" s="83"/>
      <c r="K1093" s="54" t="s">
        <v>15</v>
      </c>
    </row>
    <row r="1094" spans="2:11" ht="16.5" x14ac:dyDescent="0.2">
      <c r="B1094" s="82" t="s">
        <v>3212</v>
      </c>
      <c r="C1094" s="82" t="s">
        <v>650</v>
      </c>
      <c r="D1094" s="83">
        <f>SUMIFS(D1095:D6462,K1095:K6462,"0",B1095:B6462,"5 1 1 1 3 12 31111 6 M59 30100 000132 0000R*")-SUMIFS(E1095:E6462,K1095:K6462,"0",B1095:B6462,"5 1 1 1 3 12 31111 6 M59 30100 000132 0000R*")</f>
        <v>0</v>
      </c>
      <c r="E1094" s="54"/>
      <c r="F1094" s="83">
        <f>SUMIFS(F1095:F6462,K1095:K6462,"0",B1095:B6462,"5 1 1 1 3 12 31111 6 M59 30100 000132 0000R*")</f>
        <v>1468509.65</v>
      </c>
      <c r="G1094" s="83">
        <f>SUMIFS(G1095:G6462,K1095:K6462,"0",B1095:B6462,"5 1 1 1 3 12 31111 6 M59 30100 000132 0000R*")</f>
        <v>0</v>
      </c>
      <c r="H1094" s="83">
        <f t="shared" si="17"/>
        <v>1468509.65</v>
      </c>
      <c r="I1094" s="83"/>
      <c r="K1094" s="54" t="s">
        <v>15</v>
      </c>
    </row>
    <row r="1095" spans="2:11" ht="24.75" x14ac:dyDescent="0.2">
      <c r="B1095" s="82" t="s">
        <v>3213</v>
      </c>
      <c r="C1095" s="82" t="s">
        <v>282</v>
      </c>
      <c r="D1095" s="83">
        <f>SUMIFS(D1096:D6462,K1096:K6462,"0",B1096:B6462,"5 1 1 1 3 12 31111 6 M59 30100 000132 0000R 00001*")-SUMIFS(E1096:E6462,K1096:K6462,"0",B1096:B6462,"5 1 1 1 3 12 31111 6 M59 30100 000132 0000R 00001*")</f>
        <v>0</v>
      </c>
      <c r="E1095" s="54"/>
      <c r="F1095" s="83">
        <f>SUMIFS(F1096:F6462,K1096:K6462,"0",B1096:B6462,"5 1 1 1 3 12 31111 6 M59 30100 000132 0000R 00001*")</f>
        <v>1468509.65</v>
      </c>
      <c r="G1095" s="83">
        <f>SUMIFS(G1096:G6462,K1096:K6462,"0",B1096:B6462,"5 1 1 1 3 12 31111 6 M59 30100 000132 0000R 00001*")</f>
        <v>0</v>
      </c>
      <c r="H1095" s="83">
        <f t="shared" si="17"/>
        <v>1468509.65</v>
      </c>
      <c r="I1095" s="83"/>
      <c r="K1095" s="54" t="s">
        <v>15</v>
      </c>
    </row>
    <row r="1096" spans="2:11" ht="24.75" x14ac:dyDescent="0.2">
      <c r="B1096" s="82" t="s">
        <v>3214</v>
      </c>
      <c r="C1096" s="82" t="s">
        <v>2924</v>
      </c>
      <c r="D1096" s="83">
        <f>SUMIFS(D1097:D6462,K1097:K6462,"0",B1097:B6462,"5 1 1 1 3 12 31111 6 M59 30100 000132 0000R 00001 00113*")-SUMIFS(E1097:E6462,K1097:K6462,"0",B1097:B6462,"5 1 1 1 3 12 31111 6 M59 30100 000132 0000R 00001 00113*")</f>
        <v>0</v>
      </c>
      <c r="E1096" s="54"/>
      <c r="F1096" s="83">
        <f>SUMIFS(F1097:F6462,K1097:K6462,"0",B1097:B6462,"5 1 1 1 3 12 31111 6 M59 30100 000132 0000R 00001 00113*")</f>
        <v>1468509.65</v>
      </c>
      <c r="G1096" s="83">
        <f>SUMIFS(G1097:G6462,K1097:K6462,"0",B1097:B6462,"5 1 1 1 3 12 31111 6 M59 30100 000132 0000R 00001 00113*")</f>
        <v>0</v>
      </c>
      <c r="H1096" s="83">
        <f t="shared" si="17"/>
        <v>1468509.65</v>
      </c>
      <c r="I1096" s="83"/>
      <c r="K1096" s="54" t="s">
        <v>15</v>
      </c>
    </row>
    <row r="1097" spans="2:11" ht="24.75" x14ac:dyDescent="0.2">
      <c r="B1097" s="82" t="s">
        <v>3215</v>
      </c>
      <c r="C1097" s="82" t="s">
        <v>1051</v>
      </c>
      <c r="D1097" s="83">
        <f>SUMIFS(D1098:D6462,K1098:K6462,"0",B1098:B6462,"5 1 1 1 3 12 31111 6 M59 30100 000132 0000R 00001 00113 015*")-SUMIFS(E1098:E6462,K1098:K6462,"0",B1098:B6462,"5 1 1 1 3 12 31111 6 M59 30100 000132 0000R 00001 00113 015*")</f>
        <v>0</v>
      </c>
      <c r="E1097" s="54"/>
      <c r="F1097" s="83">
        <f>SUMIFS(F1098:F6462,K1098:K6462,"0",B1098:B6462,"5 1 1 1 3 12 31111 6 M59 30100 000132 0000R 00001 00113 015*")</f>
        <v>1468509.65</v>
      </c>
      <c r="G1097" s="83">
        <f>SUMIFS(G1098:G6462,K1098:K6462,"0",B1098:B6462,"5 1 1 1 3 12 31111 6 M59 30100 000132 0000R 00001 00113 015*")</f>
        <v>0</v>
      </c>
      <c r="H1097" s="83">
        <f t="shared" si="17"/>
        <v>1468509.65</v>
      </c>
      <c r="I1097" s="83"/>
      <c r="K1097" s="54" t="s">
        <v>15</v>
      </c>
    </row>
    <row r="1098" spans="2:11" ht="33" x14ac:dyDescent="0.2">
      <c r="B1098" s="82" t="s">
        <v>3216</v>
      </c>
      <c r="C1098" s="82" t="s">
        <v>2927</v>
      </c>
      <c r="D1098" s="83">
        <f>SUMIFS(D1099:D6462,K1099:K6462,"0",B1099:B6462,"5 1 1 1 3 12 31111 6 M59 30100 000132 0000R 00001 00113 015 2111100*")-SUMIFS(E1099:E6462,K1099:K6462,"0",B1099:B6462,"5 1 1 1 3 12 31111 6 M59 30100 000132 0000R 00001 00113 015 2111100*")</f>
        <v>0</v>
      </c>
      <c r="E1098" s="54"/>
      <c r="F1098" s="83">
        <f>SUMIFS(F1099:F6462,K1099:K6462,"0",B1099:B6462,"5 1 1 1 3 12 31111 6 M59 30100 000132 0000R 00001 00113 015 2111100*")</f>
        <v>1468509.65</v>
      </c>
      <c r="G1098" s="83">
        <f>SUMIFS(G1099:G6462,K1099:K6462,"0",B1099:B6462,"5 1 1 1 3 12 31111 6 M59 30100 000132 0000R 00001 00113 015 2111100*")</f>
        <v>0</v>
      </c>
      <c r="H1098" s="83">
        <f t="shared" si="17"/>
        <v>1468509.65</v>
      </c>
      <c r="I1098" s="83"/>
      <c r="K1098" s="54" t="s">
        <v>15</v>
      </c>
    </row>
    <row r="1099" spans="2:11" ht="33" x14ac:dyDescent="0.2">
      <c r="B1099" s="82" t="s">
        <v>3217</v>
      </c>
      <c r="C1099" s="82" t="s">
        <v>660</v>
      </c>
      <c r="D1099" s="83">
        <f>SUMIFS(D1100:D6462,K1100:K6462,"0",B1100:B6462,"5 1 1 1 3 12 31111 6 M59 30100 000132 0000R 00001 00113 015 2111100 2024*")-SUMIFS(E1100:E6462,K1100:K6462,"0",B1100:B6462,"5 1 1 1 3 12 31111 6 M59 30100 000132 0000R 00001 00113 015 2111100 2024*")</f>
        <v>0</v>
      </c>
      <c r="E1099" s="54"/>
      <c r="F1099" s="83">
        <f>SUMIFS(F1100:F6462,K1100:K6462,"0",B1100:B6462,"5 1 1 1 3 12 31111 6 M59 30100 000132 0000R 00001 00113 015 2111100 2024*")</f>
        <v>1468509.65</v>
      </c>
      <c r="G1099" s="83">
        <f>SUMIFS(G1100:G6462,K1100:K6462,"0",B1100:B6462,"5 1 1 1 3 12 31111 6 M59 30100 000132 0000R 00001 00113 015 2111100 2024*")</f>
        <v>0</v>
      </c>
      <c r="H1099" s="83">
        <f t="shared" si="17"/>
        <v>1468509.65</v>
      </c>
      <c r="I1099" s="83"/>
      <c r="K1099" s="54" t="s">
        <v>15</v>
      </c>
    </row>
    <row r="1100" spans="2:11" ht="41.25" x14ac:dyDescent="0.2">
      <c r="B1100" s="82" t="s">
        <v>3218</v>
      </c>
      <c r="C1100" s="82" t="s">
        <v>662</v>
      </c>
      <c r="D1100" s="83">
        <f>SUMIFS(D1101:D6462,K1101:K6462,"0",B1101:B6462,"5 1 1 1 3 12 31111 6 M59 30100 000132 0000R 00001 00113 015 2111100 2024 CP1OP405*")-SUMIFS(E1101:E6462,K1101:K6462,"0",B1101:B6462,"5 1 1 1 3 12 31111 6 M59 30100 000132 0000R 00001 00113 015 2111100 2024 CP1OP405*")</f>
        <v>0</v>
      </c>
      <c r="E1100" s="54"/>
      <c r="F1100" s="83">
        <f>SUMIFS(F1101:F6462,K1101:K6462,"0",B1101:B6462,"5 1 1 1 3 12 31111 6 M59 30100 000132 0000R 00001 00113 015 2111100 2024 CP1OP405*")</f>
        <v>1468509.65</v>
      </c>
      <c r="G1100" s="83">
        <f>SUMIFS(G1101:G6462,K1101:K6462,"0",B1101:B6462,"5 1 1 1 3 12 31111 6 M59 30100 000132 0000R 00001 00113 015 2111100 2024 CP1OP405*")</f>
        <v>0</v>
      </c>
      <c r="H1100" s="83">
        <f t="shared" si="17"/>
        <v>1468509.65</v>
      </c>
      <c r="I1100" s="83"/>
      <c r="K1100" s="54" t="s">
        <v>15</v>
      </c>
    </row>
    <row r="1101" spans="2:11" ht="41.25" x14ac:dyDescent="0.2">
      <c r="B1101" s="82" t="s">
        <v>3219</v>
      </c>
      <c r="C1101" s="82" t="s">
        <v>282</v>
      </c>
      <c r="D1101" s="83">
        <f>SUMIFS(D1102:D6462,K1102:K6462,"0",B1102:B6462,"5 1 1 1 3 12 31111 6 M59 30100 000132 0000R 00001 00113 015 2111100 2024 CP1OP405 001*")-SUMIFS(E1102:E6462,K1102:K6462,"0",B1102:B6462,"5 1 1 1 3 12 31111 6 M59 30100 000132 0000R 00001 00113 015 2111100 2024 CP1OP405 001*")</f>
        <v>0</v>
      </c>
      <c r="E1101" s="54"/>
      <c r="F1101" s="83">
        <f>SUMIFS(F1102:F6462,K1102:K6462,"0",B1102:B6462,"5 1 1 1 3 12 31111 6 M59 30100 000132 0000R 00001 00113 015 2111100 2024 CP1OP405 001*")</f>
        <v>1468509.65</v>
      </c>
      <c r="G1101" s="83">
        <f>SUMIFS(G1102:G6462,K1102:K6462,"0",B1102:B6462,"5 1 1 1 3 12 31111 6 M59 30100 000132 0000R 00001 00113 015 2111100 2024 CP1OP405 001*")</f>
        <v>0</v>
      </c>
      <c r="H1101" s="83">
        <f t="shared" si="17"/>
        <v>1468509.65</v>
      </c>
      <c r="I1101" s="83"/>
      <c r="K1101" s="54" t="s">
        <v>15</v>
      </c>
    </row>
    <row r="1102" spans="2:11" ht="33" x14ac:dyDescent="0.2">
      <c r="B1102" s="84" t="s">
        <v>3220</v>
      </c>
      <c r="C1102" s="84" t="s">
        <v>2932</v>
      </c>
      <c r="D1102" s="85">
        <v>0</v>
      </c>
      <c r="E1102" s="85"/>
      <c r="F1102" s="85">
        <v>1468509.65</v>
      </c>
      <c r="G1102" s="85">
        <v>0</v>
      </c>
      <c r="H1102" s="85">
        <f t="shared" si="17"/>
        <v>1468509.65</v>
      </c>
      <c r="I1102" s="85"/>
      <c r="K1102" s="54" t="s">
        <v>38</v>
      </c>
    </row>
    <row r="1103" spans="2:11" ht="24.75" x14ac:dyDescent="0.2">
      <c r="B1103" s="82" t="s">
        <v>3221</v>
      </c>
      <c r="C1103" s="82" t="s">
        <v>3222</v>
      </c>
      <c r="D1103" s="83">
        <f>SUMIFS(D1104:D6462,K1104:K6462,"0",B1104:B6462,"5 1 1 1 3 12 31111 6 M59 30200*")-SUMIFS(E1104:E6462,K1104:K6462,"0",B1104:B6462,"5 1 1 1 3 12 31111 6 M59 30200*")</f>
        <v>0</v>
      </c>
      <c r="E1103" s="54"/>
      <c r="F1103" s="83">
        <f>SUMIFS(F1104:F6462,K1104:K6462,"0",B1104:B6462,"5 1 1 1 3 12 31111 6 M59 30200*")</f>
        <v>33843.85</v>
      </c>
      <c r="G1103" s="83">
        <f>SUMIFS(G1104:G6462,K1104:K6462,"0",B1104:B6462,"5 1 1 1 3 12 31111 6 M59 30200*")</f>
        <v>0</v>
      </c>
      <c r="H1103" s="83">
        <f t="shared" si="17"/>
        <v>33843.85</v>
      </c>
      <c r="I1103" s="83"/>
      <c r="K1103" s="54" t="s">
        <v>15</v>
      </c>
    </row>
    <row r="1104" spans="2:11" ht="16.5" x14ac:dyDescent="0.2">
      <c r="B1104" s="82" t="s">
        <v>3223</v>
      </c>
      <c r="C1104" s="82" t="s">
        <v>648</v>
      </c>
      <c r="D1104" s="83">
        <f>SUMIFS(D1105:D6462,K1105:K6462,"0",B1105:B6462,"5 1 1 1 3 12 31111 6 M59 30200 000132*")-SUMIFS(E1105:E6462,K1105:K6462,"0",B1105:B6462,"5 1 1 1 3 12 31111 6 M59 30200 000132*")</f>
        <v>0</v>
      </c>
      <c r="E1104" s="54"/>
      <c r="F1104" s="83">
        <f>SUMIFS(F1105:F6462,K1105:K6462,"0",B1105:B6462,"5 1 1 1 3 12 31111 6 M59 30200 000132*")</f>
        <v>33843.85</v>
      </c>
      <c r="G1104" s="83">
        <f>SUMIFS(G1105:G6462,K1105:K6462,"0",B1105:B6462,"5 1 1 1 3 12 31111 6 M59 30200 000132*")</f>
        <v>0</v>
      </c>
      <c r="H1104" s="83">
        <f t="shared" si="17"/>
        <v>33843.85</v>
      </c>
      <c r="I1104" s="83"/>
      <c r="K1104" s="54" t="s">
        <v>15</v>
      </c>
    </row>
    <row r="1105" spans="2:11" ht="16.5" x14ac:dyDescent="0.2">
      <c r="B1105" s="82" t="s">
        <v>3224</v>
      </c>
      <c r="C1105" s="82" t="s">
        <v>650</v>
      </c>
      <c r="D1105" s="83">
        <f>SUMIFS(D1106:D6462,K1106:K6462,"0",B1106:B6462,"5 1 1 1 3 12 31111 6 M59 30200 000132 0000R*")-SUMIFS(E1106:E6462,K1106:K6462,"0",B1106:B6462,"5 1 1 1 3 12 31111 6 M59 30200 000132 0000R*")</f>
        <v>0</v>
      </c>
      <c r="E1105" s="54"/>
      <c r="F1105" s="83">
        <f>SUMIFS(F1106:F6462,K1106:K6462,"0",B1106:B6462,"5 1 1 1 3 12 31111 6 M59 30200 000132 0000R*")</f>
        <v>33843.85</v>
      </c>
      <c r="G1105" s="83">
        <f>SUMIFS(G1106:G6462,K1106:K6462,"0",B1106:B6462,"5 1 1 1 3 12 31111 6 M59 30200 000132 0000R*")</f>
        <v>0</v>
      </c>
      <c r="H1105" s="83">
        <f t="shared" si="17"/>
        <v>33843.85</v>
      </c>
      <c r="I1105" s="83"/>
      <c r="K1105" s="54" t="s">
        <v>15</v>
      </c>
    </row>
    <row r="1106" spans="2:11" ht="24.75" x14ac:dyDescent="0.2">
      <c r="B1106" s="82" t="s">
        <v>3225</v>
      </c>
      <c r="C1106" s="82" t="s">
        <v>282</v>
      </c>
      <c r="D1106" s="83">
        <f>SUMIFS(D1107:D6462,K1107:K6462,"0",B1107:B6462,"5 1 1 1 3 12 31111 6 M59 30200 000132 0000R 00001*")-SUMIFS(E1107:E6462,K1107:K6462,"0",B1107:B6462,"5 1 1 1 3 12 31111 6 M59 30200 000132 0000R 00001*")</f>
        <v>0</v>
      </c>
      <c r="E1106" s="54"/>
      <c r="F1106" s="83">
        <f>SUMIFS(F1107:F6462,K1107:K6462,"0",B1107:B6462,"5 1 1 1 3 12 31111 6 M59 30200 000132 0000R 00001*")</f>
        <v>33843.85</v>
      </c>
      <c r="G1106" s="83">
        <f>SUMIFS(G1107:G6462,K1107:K6462,"0",B1107:B6462,"5 1 1 1 3 12 31111 6 M59 30200 000132 0000R 00001*")</f>
        <v>0</v>
      </c>
      <c r="H1106" s="83">
        <f t="shared" si="17"/>
        <v>33843.85</v>
      </c>
      <c r="I1106" s="83"/>
      <c r="K1106" s="54" t="s">
        <v>15</v>
      </c>
    </row>
    <row r="1107" spans="2:11" ht="24.75" x14ac:dyDescent="0.2">
      <c r="B1107" s="82" t="s">
        <v>3226</v>
      </c>
      <c r="C1107" s="82" t="s">
        <v>2924</v>
      </c>
      <c r="D1107" s="83">
        <f>SUMIFS(D1108:D6462,K1108:K6462,"0",B1108:B6462,"5 1 1 1 3 12 31111 6 M59 30200 000132 0000R 00001 00113*")-SUMIFS(E1108:E6462,K1108:K6462,"0",B1108:B6462,"5 1 1 1 3 12 31111 6 M59 30200 000132 0000R 00001 00113*")</f>
        <v>0</v>
      </c>
      <c r="E1107" s="54"/>
      <c r="F1107" s="83">
        <f>SUMIFS(F1108:F6462,K1108:K6462,"0",B1108:B6462,"5 1 1 1 3 12 31111 6 M59 30200 000132 0000R 00001 00113*")</f>
        <v>33843.85</v>
      </c>
      <c r="G1107" s="83">
        <f>SUMIFS(G1108:G6462,K1108:K6462,"0",B1108:B6462,"5 1 1 1 3 12 31111 6 M59 30200 000132 0000R 00001 00113*")</f>
        <v>0</v>
      </c>
      <c r="H1107" s="83">
        <f t="shared" si="17"/>
        <v>33843.85</v>
      </c>
      <c r="I1107" s="83"/>
      <c r="K1107" s="54" t="s">
        <v>15</v>
      </c>
    </row>
    <row r="1108" spans="2:11" ht="24.75" x14ac:dyDescent="0.2">
      <c r="B1108" s="82" t="s">
        <v>3227</v>
      </c>
      <c r="C1108" s="82" t="s">
        <v>1051</v>
      </c>
      <c r="D1108" s="83">
        <f>SUMIFS(D1109:D6462,K1109:K6462,"0",B1109:B6462,"5 1 1 1 3 12 31111 6 M59 30200 000132 0000R 00001 00113 015*")-SUMIFS(E1109:E6462,K1109:K6462,"0",B1109:B6462,"5 1 1 1 3 12 31111 6 M59 30200 000132 0000R 00001 00113 015*")</f>
        <v>0</v>
      </c>
      <c r="E1108" s="54"/>
      <c r="F1108" s="83">
        <f>SUMIFS(F1109:F6462,K1109:K6462,"0",B1109:B6462,"5 1 1 1 3 12 31111 6 M59 30200 000132 0000R 00001 00113 015*")</f>
        <v>33843.85</v>
      </c>
      <c r="G1108" s="83">
        <f>SUMIFS(G1109:G6462,K1109:K6462,"0",B1109:B6462,"5 1 1 1 3 12 31111 6 M59 30200 000132 0000R 00001 00113 015*")</f>
        <v>0</v>
      </c>
      <c r="H1108" s="83">
        <f t="shared" si="17"/>
        <v>33843.85</v>
      </c>
      <c r="I1108" s="83"/>
      <c r="K1108" s="54" t="s">
        <v>15</v>
      </c>
    </row>
    <row r="1109" spans="2:11" ht="33" x14ac:dyDescent="0.2">
      <c r="B1109" s="82" t="s">
        <v>3228</v>
      </c>
      <c r="C1109" s="82" t="s">
        <v>2927</v>
      </c>
      <c r="D1109" s="83">
        <f>SUMIFS(D1110:D6462,K1110:K6462,"0",B1110:B6462,"5 1 1 1 3 12 31111 6 M59 30200 000132 0000R 00001 00113 015 2111100*")-SUMIFS(E1110:E6462,K1110:K6462,"0",B1110:B6462,"5 1 1 1 3 12 31111 6 M59 30200 000132 0000R 00001 00113 015 2111100*")</f>
        <v>0</v>
      </c>
      <c r="E1109" s="54"/>
      <c r="F1109" s="83">
        <f>SUMIFS(F1110:F6462,K1110:K6462,"0",B1110:B6462,"5 1 1 1 3 12 31111 6 M59 30200 000132 0000R 00001 00113 015 2111100*")</f>
        <v>33843.85</v>
      </c>
      <c r="G1109" s="83">
        <f>SUMIFS(G1110:G6462,K1110:K6462,"0",B1110:B6462,"5 1 1 1 3 12 31111 6 M59 30200 000132 0000R 00001 00113 015 2111100*")</f>
        <v>0</v>
      </c>
      <c r="H1109" s="83">
        <f t="shared" si="17"/>
        <v>33843.85</v>
      </c>
      <c r="I1109" s="83"/>
      <c r="K1109" s="54" t="s">
        <v>15</v>
      </c>
    </row>
    <row r="1110" spans="2:11" ht="33" x14ac:dyDescent="0.2">
      <c r="B1110" s="82" t="s">
        <v>3229</v>
      </c>
      <c r="C1110" s="82" t="s">
        <v>660</v>
      </c>
      <c r="D1110" s="83">
        <f>SUMIFS(D1111:D6462,K1111:K6462,"0",B1111:B6462,"5 1 1 1 3 12 31111 6 M59 30200 000132 0000R 00001 00113 015 2111100 2024*")-SUMIFS(E1111:E6462,K1111:K6462,"0",B1111:B6462,"5 1 1 1 3 12 31111 6 M59 30200 000132 0000R 00001 00113 015 2111100 2024*")</f>
        <v>0</v>
      </c>
      <c r="E1110" s="54"/>
      <c r="F1110" s="83">
        <f>SUMIFS(F1111:F6462,K1111:K6462,"0",B1111:B6462,"5 1 1 1 3 12 31111 6 M59 30200 000132 0000R 00001 00113 015 2111100 2024*")</f>
        <v>33843.85</v>
      </c>
      <c r="G1110" s="83">
        <f>SUMIFS(G1111:G6462,K1111:K6462,"0",B1111:B6462,"5 1 1 1 3 12 31111 6 M59 30200 000132 0000R 00001 00113 015 2111100 2024*")</f>
        <v>0</v>
      </c>
      <c r="H1110" s="83">
        <f t="shared" si="17"/>
        <v>33843.85</v>
      </c>
      <c r="I1110" s="83"/>
      <c r="K1110" s="54" t="s">
        <v>15</v>
      </c>
    </row>
    <row r="1111" spans="2:11" ht="41.25" x14ac:dyDescent="0.2">
      <c r="B1111" s="82" t="s">
        <v>3230</v>
      </c>
      <c r="C1111" s="82" t="s">
        <v>1056</v>
      </c>
      <c r="D1111" s="83">
        <f>SUMIFS(D1112:D6462,K1112:K6462,"0",B1112:B6462,"5 1 1 1 3 12 31111 6 M59 30200 000132 0000R 00001 00113 015 2111100 2024 CP1OT378*")-SUMIFS(E1112:E6462,K1112:K6462,"0",B1112:B6462,"5 1 1 1 3 12 31111 6 M59 30200 000132 0000R 00001 00113 015 2111100 2024 CP1OT378*")</f>
        <v>0</v>
      </c>
      <c r="E1111" s="54"/>
      <c r="F1111" s="83">
        <f>SUMIFS(F1112:F6462,K1112:K6462,"0",B1112:B6462,"5 1 1 1 3 12 31111 6 M59 30200 000132 0000R 00001 00113 015 2111100 2024 CP1OT378*")</f>
        <v>33843.85</v>
      </c>
      <c r="G1111" s="83">
        <f>SUMIFS(G1112:G6462,K1112:K6462,"0",B1112:B6462,"5 1 1 1 3 12 31111 6 M59 30200 000132 0000R 00001 00113 015 2111100 2024 CP1OT378*")</f>
        <v>0</v>
      </c>
      <c r="H1111" s="83">
        <f t="shared" si="17"/>
        <v>33843.85</v>
      </c>
      <c r="I1111" s="83"/>
      <c r="K1111" s="54" t="s">
        <v>15</v>
      </c>
    </row>
    <row r="1112" spans="2:11" ht="41.25" x14ac:dyDescent="0.2">
      <c r="B1112" s="82" t="s">
        <v>3231</v>
      </c>
      <c r="C1112" s="82" t="s">
        <v>282</v>
      </c>
      <c r="D1112" s="83">
        <f>SUMIFS(D1113:D6462,K1113:K6462,"0",B1113:B6462,"5 1 1 1 3 12 31111 6 M59 30200 000132 0000R 00001 00113 015 2111100 2024 CP1OT378 001*")-SUMIFS(E1113:E6462,K1113:K6462,"0",B1113:B6462,"5 1 1 1 3 12 31111 6 M59 30200 000132 0000R 00001 00113 015 2111100 2024 CP1OT378 001*")</f>
        <v>0</v>
      </c>
      <c r="E1112" s="54"/>
      <c r="F1112" s="83">
        <f>SUMIFS(F1113:F6462,K1113:K6462,"0",B1113:B6462,"5 1 1 1 3 12 31111 6 M59 30200 000132 0000R 00001 00113 015 2111100 2024 CP1OT378 001*")</f>
        <v>33843.85</v>
      </c>
      <c r="G1112" s="83">
        <f>SUMIFS(G1113:G6462,K1113:K6462,"0",B1113:B6462,"5 1 1 1 3 12 31111 6 M59 30200 000132 0000R 00001 00113 015 2111100 2024 CP1OT378 001*")</f>
        <v>0</v>
      </c>
      <c r="H1112" s="83">
        <f t="shared" si="17"/>
        <v>33843.85</v>
      </c>
      <c r="I1112" s="83"/>
      <c r="K1112" s="54" t="s">
        <v>15</v>
      </c>
    </row>
    <row r="1113" spans="2:11" ht="41.25" x14ac:dyDescent="0.2">
      <c r="B1113" s="84" t="s">
        <v>3232</v>
      </c>
      <c r="C1113" s="84" t="s">
        <v>2932</v>
      </c>
      <c r="D1113" s="85">
        <v>0</v>
      </c>
      <c r="E1113" s="85"/>
      <c r="F1113" s="85">
        <v>33843.85</v>
      </c>
      <c r="G1113" s="85">
        <v>0</v>
      </c>
      <c r="H1113" s="85">
        <f t="shared" si="17"/>
        <v>33843.85</v>
      </c>
      <c r="I1113" s="85"/>
      <c r="K1113" s="54" t="s">
        <v>38</v>
      </c>
    </row>
    <row r="1114" spans="2:11" ht="16.5" x14ac:dyDescent="0.2">
      <c r="B1114" s="82" t="s">
        <v>3280</v>
      </c>
      <c r="C1114" s="82" t="s">
        <v>3281</v>
      </c>
      <c r="D1114" s="83">
        <f>SUMIFS(D1115:D6462,K1115:K6462,"0",B1115:B6462,"5 1 1 1 3 12 31111 6 M59 50000*")-SUMIFS(E1115:E6462,K1115:K6462,"0",B1115:B6462,"5 1 1 1 3 12 31111 6 M59 50000*")</f>
        <v>0</v>
      </c>
      <c r="E1114" s="54"/>
      <c r="F1114" s="83">
        <f>SUMIFS(F1115:F6462,K1115:K6462,"0",B1115:B6462,"5 1 1 1 3 12 31111 6 M59 50000*")</f>
        <v>2582189.54</v>
      </c>
      <c r="G1114" s="83">
        <f>SUMIFS(G1115:G6462,K1115:K6462,"0",B1115:B6462,"5 1 1 1 3 12 31111 6 M59 50000*")</f>
        <v>0</v>
      </c>
      <c r="H1114" s="83">
        <f t="shared" si="17"/>
        <v>2582189.54</v>
      </c>
      <c r="I1114" s="83"/>
      <c r="K1114" s="54" t="s">
        <v>15</v>
      </c>
    </row>
    <row r="1115" spans="2:11" ht="16.5" x14ac:dyDescent="0.2">
      <c r="B1115" s="82" t="s">
        <v>3282</v>
      </c>
      <c r="C1115" s="82" t="s">
        <v>3283</v>
      </c>
      <c r="D1115" s="83">
        <f>SUMIFS(D1116:D6462,K1116:K6462,"0",B1116:B6462,"5 1 1 1 3 12 31111 6 M59 50000 000223*")-SUMIFS(E1116:E6462,K1116:K6462,"0",B1116:B6462,"5 1 1 1 3 12 31111 6 M59 50000 000223*")</f>
        <v>0</v>
      </c>
      <c r="E1115" s="54"/>
      <c r="F1115" s="83">
        <f>SUMIFS(F1116:F6462,K1116:K6462,"0",B1116:B6462,"5 1 1 1 3 12 31111 6 M59 50000 000223*")</f>
        <v>2582189.54</v>
      </c>
      <c r="G1115" s="83">
        <f>SUMIFS(G1116:G6462,K1116:K6462,"0",B1116:B6462,"5 1 1 1 3 12 31111 6 M59 50000 000223*")</f>
        <v>0</v>
      </c>
      <c r="H1115" s="83">
        <f t="shared" si="17"/>
        <v>2582189.54</v>
      </c>
      <c r="I1115" s="83"/>
      <c r="K1115" s="54" t="s">
        <v>15</v>
      </c>
    </row>
    <row r="1116" spans="2:11" ht="16.5" x14ac:dyDescent="0.2">
      <c r="B1116" s="82" t="s">
        <v>3284</v>
      </c>
      <c r="C1116" s="82" t="s">
        <v>1065</v>
      </c>
      <c r="D1116" s="83">
        <f>SUMIFS(D1117:D6462,K1117:K6462,"0",B1117:B6462,"5 1 1 1 3 12 31111 6 M59 50000 000223 0000E*")-SUMIFS(E1117:E6462,K1117:K6462,"0",B1117:B6462,"5 1 1 1 3 12 31111 6 M59 50000 000223 0000E*")</f>
        <v>0</v>
      </c>
      <c r="E1116" s="54"/>
      <c r="F1116" s="83">
        <f>SUMIFS(F1117:F6462,K1117:K6462,"0",B1117:B6462,"5 1 1 1 3 12 31111 6 M59 50000 000223 0000E*")</f>
        <v>2582189.54</v>
      </c>
      <c r="G1116" s="83">
        <f>SUMIFS(G1117:G6462,K1117:K6462,"0",B1117:B6462,"5 1 1 1 3 12 31111 6 M59 50000 000223 0000E*")</f>
        <v>0</v>
      </c>
      <c r="H1116" s="83">
        <f t="shared" si="17"/>
        <v>2582189.54</v>
      </c>
      <c r="I1116" s="83"/>
      <c r="K1116" s="54" t="s">
        <v>15</v>
      </c>
    </row>
    <row r="1117" spans="2:11" ht="24.75" x14ac:dyDescent="0.2">
      <c r="B1117" s="82" t="s">
        <v>3285</v>
      </c>
      <c r="C1117" s="82" t="s">
        <v>282</v>
      </c>
      <c r="D1117" s="83">
        <f>SUMIFS(D1118:D6462,K1118:K6462,"0",B1118:B6462,"5 1 1 1 3 12 31111 6 M59 50000 000223 0000E 00001*")-SUMIFS(E1118:E6462,K1118:K6462,"0",B1118:B6462,"5 1 1 1 3 12 31111 6 M59 50000 000223 0000E 00001*")</f>
        <v>0</v>
      </c>
      <c r="E1117" s="54"/>
      <c r="F1117" s="83">
        <f>SUMIFS(F1118:F6462,K1118:K6462,"0",B1118:B6462,"5 1 1 1 3 12 31111 6 M59 50000 000223 0000E 00001*")</f>
        <v>2582189.54</v>
      </c>
      <c r="G1117" s="83">
        <f>SUMIFS(G1118:G6462,K1118:K6462,"0",B1118:B6462,"5 1 1 1 3 12 31111 6 M59 50000 000223 0000E 00001*")</f>
        <v>0</v>
      </c>
      <c r="H1117" s="83">
        <f t="shared" si="17"/>
        <v>2582189.54</v>
      </c>
      <c r="I1117" s="83"/>
      <c r="K1117" s="54" t="s">
        <v>15</v>
      </c>
    </row>
    <row r="1118" spans="2:11" ht="24.75" x14ac:dyDescent="0.2">
      <c r="B1118" s="82" t="s">
        <v>3286</v>
      </c>
      <c r="C1118" s="82" t="s">
        <v>2924</v>
      </c>
      <c r="D1118" s="83">
        <f>SUMIFS(D1119:D6462,K1119:K6462,"0",B1119:B6462,"5 1 1 1 3 12 31111 6 M59 50000 000223 0000E 00001 00113*")-SUMIFS(E1119:E6462,K1119:K6462,"0",B1119:B6462,"5 1 1 1 3 12 31111 6 M59 50000 000223 0000E 00001 00113*")</f>
        <v>0</v>
      </c>
      <c r="E1118" s="54"/>
      <c r="F1118" s="83">
        <f>SUMIFS(F1119:F6462,K1119:K6462,"0",B1119:B6462,"5 1 1 1 3 12 31111 6 M59 50000 000223 0000E 00001 00113*")</f>
        <v>2582189.54</v>
      </c>
      <c r="G1118" s="83">
        <f>SUMIFS(G1119:G6462,K1119:K6462,"0",B1119:B6462,"5 1 1 1 3 12 31111 6 M59 50000 000223 0000E 00001 00113*")</f>
        <v>0</v>
      </c>
      <c r="H1118" s="83">
        <f t="shared" si="17"/>
        <v>2582189.54</v>
      </c>
      <c r="I1118" s="83"/>
      <c r="K1118" s="54" t="s">
        <v>15</v>
      </c>
    </row>
    <row r="1119" spans="2:11" ht="24.75" x14ac:dyDescent="0.2">
      <c r="B1119" s="82" t="s">
        <v>3287</v>
      </c>
      <c r="C1119" s="82" t="s">
        <v>1051</v>
      </c>
      <c r="D1119" s="83">
        <f>SUMIFS(D1120:D6462,K1120:K6462,"0",B1120:B6462,"5 1 1 1 3 12 31111 6 M59 50000 000223 0000E 00001 00113 015*")-SUMIFS(E1120:E6462,K1120:K6462,"0",B1120:B6462,"5 1 1 1 3 12 31111 6 M59 50000 000223 0000E 00001 00113 015*")</f>
        <v>0</v>
      </c>
      <c r="E1119" s="54"/>
      <c r="F1119" s="83">
        <f>SUMIFS(F1120:F6462,K1120:K6462,"0",B1120:B6462,"5 1 1 1 3 12 31111 6 M59 50000 000223 0000E 00001 00113 015*")</f>
        <v>2582189.54</v>
      </c>
      <c r="G1119" s="83">
        <f>SUMIFS(G1120:G6462,K1120:K6462,"0",B1120:B6462,"5 1 1 1 3 12 31111 6 M59 50000 000223 0000E 00001 00113 015*")</f>
        <v>0</v>
      </c>
      <c r="H1119" s="83">
        <f t="shared" si="17"/>
        <v>2582189.54</v>
      </c>
      <c r="I1119" s="83"/>
      <c r="K1119" s="54" t="s">
        <v>15</v>
      </c>
    </row>
    <row r="1120" spans="2:11" ht="33" x14ac:dyDescent="0.2">
      <c r="B1120" s="82" t="s">
        <v>3288</v>
      </c>
      <c r="C1120" s="82" t="s">
        <v>2927</v>
      </c>
      <c r="D1120" s="83">
        <f>SUMIFS(D1121:D6462,K1121:K6462,"0",B1121:B6462,"5 1 1 1 3 12 31111 6 M59 50000 000223 0000E 00001 00113 015 2111100*")-SUMIFS(E1121:E6462,K1121:K6462,"0",B1121:B6462,"5 1 1 1 3 12 31111 6 M59 50000 000223 0000E 00001 00113 015 2111100*")</f>
        <v>0</v>
      </c>
      <c r="E1120" s="54"/>
      <c r="F1120" s="83">
        <f>SUMIFS(F1121:F6462,K1121:K6462,"0",B1121:B6462,"5 1 1 1 3 12 31111 6 M59 50000 000223 0000E 00001 00113 015 2111100*")</f>
        <v>2582189.54</v>
      </c>
      <c r="G1120" s="83">
        <f>SUMIFS(G1121:G6462,K1121:K6462,"0",B1121:B6462,"5 1 1 1 3 12 31111 6 M59 50000 000223 0000E 00001 00113 015 2111100*")</f>
        <v>0</v>
      </c>
      <c r="H1120" s="83">
        <f t="shared" si="17"/>
        <v>2582189.54</v>
      </c>
      <c r="I1120" s="83"/>
      <c r="K1120" s="54" t="s">
        <v>15</v>
      </c>
    </row>
    <row r="1121" spans="2:11" ht="33" x14ac:dyDescent="0.2">
      <c r="B1121" s="82" t="s">
        <v>3289</v>
      </c>
      <c r="C1121" s="82" t="s">
        <v>660</v>
      </c>
      <c r="D1121" s="83">
        <f>SUMIFS(D1122:D6462,K1122:K6462,"0",B1122:B6462,"5 1 1 1 3 12 31111 6 M59 50000 000223 0000E 00001 00113 015 2111100 2024*")-SUMIFS(E1122:E6462,K1122:K6462,"0",B1122:B6462,"5 1 1 1 3 12 31111 6 M59 50000 000223 0000E 00001 00113 015 2111100 2024*")</f>
        <v>0</v>
      </c>
      <c r="E1121" s="54"/>
      <c r="F1121" s="83">
        <f>SUMIFS(F1122:F6462,K1122:K6462,"0",B1122:B6462,"5 1 1 1 3 12 31111 6 M59 50000 000223 0000E 00001 00113 015 2111100 2024*")</f>
        <v>2582189.54</v>
      </c>
      <c r="G1121" s="83">
        <f>SUMIFS(G1122:G6462,K1122:K6462,"0",B1122:B6462,"5 1 1 1 3 12 31111 6 M59 50000 000223 0000E 00001 00113 015 2111100 2024*")</f>
        <v>0</v>
      </c>
      <c r="H1121" s="83">
        <f t="shared" si="17"/>
        <v>2582189.54</v>
      </c>
      <c r="I1121" s="83"/>
      <c r="K1121" s="54" t="s">
        <v>15</v>
      </c>
    </row>
    <row r="1122" spans="2:11" ht="41.25" x14ac:dyDescent="0.2">
      <c r="B1122" s="82" t="s">
        <v>3290</v>
      </c>
      <c r="C1122" s="82" t="s">
        <v>662</v>
      </c>
      <c r="D1122" s="83">
        <f>SUMIFS(D1123:D6462,K1123:K6462,"0",B1123:B6462,"5 1 1 1 3 12 31111 6 M59 50000 000223 0000E 00001 00113 015 2111100 2024 CP1DA424*")-SUMIFS(E1123:E6462,K1123:K6462,"0",B1123:B6462,"5 1 1 1 3 12 31111 6 M59 50000 000223 0000E 00001 00113 015 2111100 2024 CP1DA424*")</f>
        <v>0</v>
      </c>
      <c r="E1122" s="54"/>
      <c r="F1122" s="83">
        <f>SUMIFS(F1123:F6462,K1123:K6462,"0",B1123:B6462,"5 1 1 1 3 12 31111 6 M59 50000 000223 0000E 00001 00113 015 2111100 2024 CP1DA424*")</f>
        <v>2582189.54</v>
      </c>
      <c r="G1122" s="83">
        <f>SUMIFS(G1123:G6462,K1123:K6462,"0",B1123:B6462,"5 1 1 1 3 12 31111 6 M59 50000 000223 0000E 00001 00113 015 2111100 2024 CP1DA424*")</f>
        <v>0</v>
      </c>
      <c r="H1122" s="83">
        <f t="shared" si="17"/>
        <v>2582189.54</v>
      </c>
      <c r="I1122" s="83"/>
      <c r="K1122" s="54" t="s">
        <v>15</v>
      </c>
    </row>
    <row r="1123" spans="2:11" ht="41.25" x14ac:dyDescent="0.2">
      <c r="B1123" s="82" t="s">
        <v>3291</v>
      </c>
      <c r="C1123" s="82" t="s">
        <v>282</v>
      </c>
      <c r="D1123" s="83">
        <f>SUMIFS(D1124:D6462,K1124:K6462,"0",B1124:B6462,"5 1 1 1 3 12 31111 6 M59 50000 000223 0000E 00001 00113 015 2111100 2024 CP1DA424 001*")-SUMIFS(E1124:E6462,K1124:K6462,"0",B1124:B6462,"5 1 1 1 3 12 31111 6 M59 50000 000223 0000E 00001 00113 015 2111100 2024 CP1DA424 001*")</f>
        <v>0</v>
      </c>
      <c r="E1123" s="54"/>
      <c r="F1123" s="83">
        <f>SUMIFS(F1124:F6462,K1124:K6462,"0",B1124:B6462,"5 1 1 1 3 12 31111 6 M59 50000 000223 0000E 00001 00113 015 2111100 2024 CP1DA424 001*")</f>
        <v>2582189.54</v>
      </c>
      <c r="G1123" s="83">
        <f>SUMIFS(G1124:G6462,K1124:K6462,"0",B1124:B6462,"5 1 1 1 3 12 31111 6 M59 50000 000223 0000E 00001 00113 015 2111100 2024 CP1DA424 001*")</f>
        <v>0</v>
      </c>
      <c r="H1123" s="83">
        <f t="shared" si="17"/>
        <v>2582189.54</v>
      </c>
      <c r="I1123" s="83"/>
      <c r="K1123" s="54" t="s">
        <v>15</v>
      </c>
    </row>
    <row r="1124" spans="2:11" ht="33" x14ac:dyDescent="0.2">
      <c r="B1124" s="84" t="s">
        <v>3292</v>
      </c>
      <c r="C1124" s="84" t="s">
        <v>2932</v>
      </c>
      <c r="D1124" s="85">
        <v>0</v>
      </c>
      <c r="E1124" s="85"/>
      <c r="F1124" s="85">
        <v>2582189.54</v>
      </c>
      <c r="G1124" s="85">
        <v>0</v>
      </c>
      <c r="H1124" s="85">
        <f t="shared" si="17"/>
        <v>2582189.54</v>
      </c>
      <c r="I1124" s="85"/>
      <c r="K1124" s="54" t="s">
        <v>38</v>
      </c>
    </row>
    <row r="1125" spans="2:11" ht="16.5" x14ac:dyDescent="0.2">
      <c r="B1125" s="82" t="s">
        <v>3293</v>
      </c>
      <c r="C1125" s="82" t="s">
        <v>3294</v>
      </c>
      <c r="D1125" s="83">
        <f>SUMIFS(D1126:D6462,K1126:K6462,"0",B1126:B6462,"5 1 1 1 3 12 31111 6 M59 50100*")-SUMIFS(E1126:E6462,K1126:K6462,"0",B1126:B6462,"5 1 1 1 3 12 31111 6 M59 50100*")</f>
        <v>0</v>
      </c>
      <c r="E1125" s="54"/>
      <c r="F1125" s="83">
        <f>SUMIFS(F1126:F6462,K1126:K6462,"0",B1126:B6462,"5 1 1 1 3 12 31111 6 M59 50100*")</f>
        <v>86834.5</v>
      </c>
      <c r="G1125" s="83">
        <f>SUMIFS(G1126:G6462,K1126:K6462,"0",B1126:B6462,"5 1 1 1 3 12 31111 6 M59 50100*")</f>
        <v>0</v>
      </c>
      <c r="H1125" s="83">
        <f t="shared" si="17"/>
        <v>86834.5</v>
      </c>
      <c r="I1125" s="83"/>
      <c r="K1125" s="54" t="s">
        <v>15</v>
      </c>
    </row>
    <row r="1126" spans="2:11" ht="16.5" x14ac:dyDescent="0.2">
      <c r="B1126" s="82" t="s">
        <v>3295</v>
      </c>
      <c r="C1126" s="82" t="s">
        <v>648</v>
      </c>
      <c r="D1126" s="83">
        <f>SUMIFS(D1127:D6462,K1127:K6462,"0",B1127:B6462,"5 1 1 1 3 12 31111 6 M59 50100 000132*")-SUMIFS(E1127:E6462,K1127:K6462,"0",B1127:B6462,"5 1 1 1 3 12 31111 6 M59 50100 000132*")</f>
        <v>0</v>
      </c>
      <c r="E1126" s="54"/>
      <c r="F1126" s="83">
        <f>SUMIFS(F1127:F6462,K1127:K6462,"0",B1127:B6462,"5 1 1 1 3 12 31111 6 M59 50100 000132*")</f>
        <v>86834.5</v>
      </c>
      <c r="G1126" s="83">
        <f>SUMIFS(G1127:G6462,K1127:K6462,"0",B1127:B6462,"5 1 1 1 3 12 31111 6 M59 50100 000132*")</f>
        <v>0</v>
      </c>
      <c r="H1126" s="83">
        <f t="shared" si="17"/>
        <v>86834.5</v>
      </c>
      <c r="I1126" s="83"/>
      <c r="K1126" s="54" t="s">
        <v>15</v>
      </c>
    </row>
    <row r="1127" spans="2:11" ht="16.5" x14ac:dyDescent="0.2">
      <c r="B1127" s="82" t="s">
        <v>3296</v>
      </c>
      <c r="C1127" s="82" t="s">
        <v>650</v>
      </c>
      <c r="D1127" s="83">
        <f>SUMIFS(D1128:D6462,K1128:K6462,"0",B1128:B6462,"5 1 1 1 3 12 31111 6 M59 50100 000132 0000R*")-SUMIFS(E1128:E6462,K1128:K6462,"0",B1128:B6462,"5 1 1 1 3 12 31111 6 M59 50100 000132 0000R*")</f>
        <v>0</v>
      </c>
      <c r="E1127" s="54"/>
      <c r="F1127" s="83">
        <f>SUMIFS(F1128:F6462,K1128:K6462,"0",B1128:B6462,"5 1 1 1 3 12 31111 6 M59 50100 000132 0000R*")</f>
        <v>86834.5</v>
      </c>
      <c r="G1127" s="83">
        <f>SUMIFS(G1128:G6462,K1128:K6462,"0",B1128:B6462,"5 1 1 1 3 12 31111 6 M59 50100 000132 0000R*")</f>
        <v>0</v>
      </c>
      <c r="H1127" s="83">
        <f t="shared" si="17"/>
        <v>86834.5</v>
      </c>
      <c r="I1127" s="83"/>
      <c r="K1127" s="54" t="s">
        <v>15</v>
      </c>
    </row>
    <row r="1128" spans="2:11" ht="24.75" x14ac:dyDescent="0.2">
      <c r="B1128" s="82" t="s">
        <v>3297</v>
      </c>
      <c r="C1128" s="82" t="s">
        <v>282</v>
      </c>
      <c r="D1128" s="83">
        <f>SUMIFS(D1129:D6462,K1129:K6462,"0",B1129:B6462,"5 1 1 1 3 12 31111 6 M59 50100 000132 0000R 00001*")-SUMIFS(E1129:E6462,K1129:K6462,"0",B1129:B6462,"5 1 1 1 3 12 31111 6 M59 50100 000132 0000R 00001*")</f>
        <v>0</v>
      </c>
      <c r="E1128" s="54"/>
      <c r="F1128" s="83">
        <f>SUMIFS(F1129:F6462,K1129:K6462,"0",B1129:B6462,"5 1 1 1 3 12 31111 6 M59 50100 000132 0000R 00001*")</f>
        <v>86834.5</v>
      </c>
      <c r="G1128" s="83">
        <f>SUMIFS(G1129:G6462,K1129:K6462,"0",B1129:B6462,"5 1 1 1 3 12 31111 6 M59 50100 000132 0000R 00001*")</f>
        <v>0</v>
      </c>
      <c r="H1128" s="83">
        <f t="shared" si="17"/>
        <v>86834.5</v>
      </c>
      <c r="I1128" s="83"/>
      <c r="K1128" s="54" t="s">
        <v>15</v>
      </c>
    </row>
    <row r="1129" spans="2:11" ht="24.75" x14ac:dyDescent="0.2">
      <c r="B1129" s="82" t="s">
        <v>3298</v>
      </c>
      <c r="C1129" s="82" t="s">
        <v>2924</v>
      </c>
      <c r="D1129" s="83">
        <f>SUMIFS(D1130:D6462,K1130:K6462,"0",B1130:B6462,"5 1 1 1 3 12 31111 6 M59 50100 000132 0000R 00001 00113*")-SUMIFS(E1130:E6462,K1130:K6462,"0",B1130:B6462,"5 1 1 1 3 12 31111 6 M59 50100 000132 0000R 00001 00113*")</f>
        <v>0</v>
      </c>
      <c r="E1129" s="54"/>
      <c r="F1129" s="83">
        <f>SUMIFS(F1130:F6462,K1130:K6462,"0",B1130:B6462,"5 1 1 1 3 12 31111 6 M59 50100 000132 0000R 00001 00113*")</f>
        <v>86834.5</v>
      </c>
      <c r="G1129" s="83">
        <f>SUMIFS(G1130:G6462,K1130:K6462,"0",B1130:B6462,"5 1 1 1 3 12 31111 6 M59 50100 000132 0000R 00001 00113*")</f>
        <v>0</v>
      </c>
      <c r="H1129" s="83">
        <f t="shared" si="17"/>
        <v>86834.5</v>
      </c>
      <c r="I1129" s="83"/>
      <c r="K1129" s="54" t="s">
        <v>15</v>
      </c>
    </row>
    <row r="1130" spans="2:11" ht="24.75" x14ac:dyDescent="0.2">
      <c r="B1130" s="82" t="s">
        <v>3299</v>
      </c>
      <c r="C1130" s="82" t="s">
        <v>1051</v>
      </c>
      <c r="D1130" s="83">
        <f>SUMIFS(D1131:D6462,K1131:K6462,"0",B1131:B6462,"5 1 1 1 3 12 31111 6 M59 50100 000132 0000R 00001 00113 015*")-SUMIFS(E1131:E6462,K1131:K6462,"0",B1131:B6462,"5 1 1 1 3 12 31111 6 M59 50100 000132 0000R 00001 00113 015*")</f>
        <v>0</v>
      </c>
      <c r="E1130" s="54"/>
      <c r="F1130" s="83">
        <f>SUMIFS(F1131:F6462,K1131:K6462,"0",B1131:B6462,"5 1 1 1 3 12 31111 6 M59 50100 000132 0000R 00001 00113 015*")</f>
        <v>86834.5</v>
      </c>
      <c r="G1130" s="83">
        <f>SUMIFS(G1131:G6462,K1131:K6462,"0",B1131:B6462,"5 1 1 1 3 12 31111 6 M59 50100 000132 0000R 00001 00113 015*")</f>
        <v>0</v>
      </c>
      <c r="H1130" s="83">
        <f t="shared" si="17"/>
        <v>86834.5</v>
      </c>
      <c r="I1130" s="83"/>
      <c r="K1130" s="54" t="s">
        <v>15</v>
      </c>
    </row>
    <row r="1131" spans="2:11" ht="33" x14ac:dyDescent="0.2">
      <c r="B1131" s="82" t="s">
        <v>3300</v>
      </c>
      <c r="C1131" s="82" t="s">
        <v>2927</v>
      </c>
      <c r="D1131" s="83">
        <f>SUMIFS(D1132:D6462,K1132:K6462,"0",B1132:B6462,"5 1 1 1 3 12 31111 6 M59 50100 000132 0000R 00001 00113 015 2111100*")-SUMIFS(E1132:E6462,K1132:K6462,"0",B1132:B6462,"5 1 1 1 3 12 31111 6 M59 50100 000132 0000R 00001 00113 015 2111100*")</f>
        <v>0</v>
      </c>
      <c r="E1131" s="54"/>
      <c r="F1131" s="83">
        <f>SUMIFS(F1132:F6462,K1132:K6462,"0",B1132:B6462,"5 1 1 1 3 12 31111 6 M59 50100 000132 0000R 00001 00113 015 2111100*")</f>
        <v>86834.5</v>
      </c>
      <c r="G1131" s="83">
        <f>SUMIFS(G1132:G6462,K1132:K6462,"0",B1132:B6462,"5 1 1 1 3 12 31111 6 M59 50100 000132 0000R 00001 00113 015 2111100*")</f>
        <v>0</v>
      </c>
      <c r="H1131" s="83">
        <f t="shared" ref="H1131:H1194" si="18">D1131 + F1131 - G1131</f>
        <v>86834.5</v>
      </c>
      <c r="I1131" s="83"/>
      <c r="K1131" s="54" t="s">
        <v>15</v>
      </c>
    </row>
    <row r="1132" spans="2:11" ht="33" x14ac:dyDescent="0.2">
      <c r="B1132" s="82" t="s">
        <v>3301</v>
      </c>
      <c r="C1132" s="82" t="s">
        <v>660</v>
      </c>
      <c r="D1132" s="83">
        <f>SUMIFS(D1133:D6462,K1133:K6462,"0",B1133:B6462,"5 1 1 1 3 12 31111 6 M59 50100 000132 0000R 00001 00113 015 2111100 2024*")-SUMIFS(E1133:E6462,K1133:K6462,"0",B1133:B6462,"5 1 1 1 3 12 31111 6 M59 50100 000132 0000R 00001 00113 015 2111100 2024*")</f>
        <v>0</v>
      </c>
      <c r="E1132" s="54"/>
      <c r="F1132" s="83">
        <f>SUMIFS(F1133:F6462,K1133:K6462,"0",B1133:B6462,"5 1 1 1 3 12 31111 6 M59 50100 000132 0000R 00001 00113 015 2111100 2024*")</f>
        <v>86834.5</v>
      </c>
      <c r="G1132" s="83">
        <f>SUMIFS(G1133:G6462,K1133:K6462,"0",B1133:B6462,"5 1 1 1 3 12 31111 6 M59 50100 000132 0000R 00001 00113 015 2111100 2024*")</f>
        <v>0</v>
      </c>
      <c r="H1132" s="83">
        <f t="shared" si="18"/>
        <v>86834.5</v>
      </c>
      <c r="I1132" s="83"/>
      <c r="K1132" s="54" t="s">
        <v>15</v>
      </c>
    </row>
    <row r="1133" spans="2:11" ht="41.25" x14ac:dyDescent="0.2">
      <c r="B1133" s="82" t="s">
        <v>3302</v>
      </c>
      <c r="C1133" s="82" t="s">
        <v>1056</v>
      </c>
      <c r="D1133" s="83">
        <f>SUMIFS(D1134:D6462,K1134:K6462,"0",B1134:B6462,"5 1 1 1 3 12 31111 6 M59 50100 000132 0000R 00001 00113 015 2111100 2024 CP1AG431*")-SUMIFS(E1134:E6462,K1134:K6462,"0",B1134:B6462,"5 1 1 1 3 12 31111 6 M59 50100 000132 0000R 00001 00113 015 2111100 2024 CP1AG431*")</f>
        <v>0</v>
      </c>
      <c r="E1133" s="54"/>
      <c r="F1133" s="83">
        <f>SUMIFS(F1134:F6462,K1134:K6462,"0",B1134:B6462,"5 1 1 1 3 12 31111 6 M59 50100 000132 0000R 00001 00113 015 2111100 2024 CP1AG431*")</f>
        <v>86834.5</v>
      </c>
      <c r="G1133" s="83">
        <f>SUMIFS(G1134:G6462,K1134:K6462,"0",B1134:B6462,"5 1 1 1 3 12 31111 6 M59 50100 000132 0000R 00001 00113 015 2111100 2024 CP1AG431*")</f>
        <v>0</v>
      </c>
      <c r="H1133" s="83">
        <f t="shared" si="18"/>
        <v>86834.5</v>
      </c>
      <c r="I1133" s="83"/>
      <c r="K1133" s="54" t="s">
        <v>15</v>
      </c>
    </row>
    <row r="1134" spans="2:11" ht="41.25" x14ac:dyDescent="0.2">
      <c r="B1134" s="82" t="s">
        <v>3303</v>
      </c>
      <c r="C1134" s="82" t="s">
        <v>282</v>
      </c>
      <c r="D1134" s="83">
        <f>SUMIFS(D1135:D6462,K1135:K6462,"0",B1135:B6462,"5 1 1 1 3 12 31111 6 M59 50100 000132 0000R 00001 00113 015 2111100 2024 CP1AG431 001*")-SUMIFS(E1135:E6462,K1135:K6462,"0",B1135:B6462,"5 1 1 1 3 12 31111 6 M59 50100 000132 0000R 00001 00113 015 2111100 2024 CP1AG431 001*")</f>
        <v>0</v>
      </c>
      <c r="E1134" s="54"/>
      <c r="F1134" s="83">
        <f>SUMIFS(F1135:F6462,K1135:K6462,"0",B1135:B6462,"5 1 1 1 3 12 31111 6 M59 50100 000132 0000R 00001 00113 015 2111100 2024 CP1AG431 001*")</f>
        <v>86834.5</v>
      </c>
      <c r="G1134" s="83">
        <f>SUMIFS(G1135:G6462,K1135:K6462,"0",B1135:B6462,"5 1 1 1 3 12 31111 6 M59 50100 000132 0000R 00001 00113 015 2111100 2024 CP1AG431 001*")</f>
        <v>0</v>
      </c>
      <c r="H1134" s="83">
        <f t="shared" si="18"/>
        <v>86834.5</v>
      </c>
      <c r="I1134" s="83"/>
      <c r="K1134" s="54" t="s">
        <v>15</v>
      </c>
    </row>
    <row r="1135" spans="2:11" ht="33" x14ac:dyDescent="0.2">
      <c r="B1135" s="84" t="s">
        <v>3304</v>
      </c>
      <c r="C1135" s="84" t="s">
        <v>2932</v>
      </c>
      <c r="D1135" s="85">
        <v>0</v>
      </c>
      <c r="E1135" s="85"/>
      <c r="F1135" s="85">
        <v>86834.5</v>
      </c>
      <c r="G1135" s="85">
        <v>0</v>
      </c>
      <c r="H1135" s="85">
        <f t="shared" si="18"/>
        <v>86834.5</v>
      </c>
      <c r="I1135" s="85"/>
      <c r="K1135" s="54" t="s">
        <v>38</v>
      </c>
    </row>
    <row r="1136" spans="2:11" ht="16.5" x14ac:dyDescent="0.2">
      <c r="B1136" s="82" t="s">
        <v>3305</v>
      </c>
      <c r="C1136" s="82" t="s">
        <v>1269</v>
      </c>
      <c r="D1136" s="83">
        <f>SUMIFS(D1137:D6462,K1137:K6462,"0",B1137:B6462,"5 1 1 1 3 12 31111 6 M59 60100*")-SUMIFS(E1137:E6462,K1137:K6462,"0",B1137:B6462,"5 1 1 1 3 12 31111 6 M59 60100*")</f>
        <v>0</v>
      </c>
      <c r="E1136" s="54"/>
      <c r="F1136" s="83">
        <f>SUMIFS(F1137:F6462,K1137:K6462,"0",B1137:B6462,"5 1 1 1 3 12 31111 6 M59 60100*")</f>
        <v>3844009.88</v>
      </c>
      <c r="G1136" s="83">
        <f>SUMIFS(G1137:G6462,K1137:K6462,"0",B1137:B6462,"5 1 1 1 3 12 31111 6 M59 60100*")</f>
        <v>0</v>
      </c>
      <c r="H1136" s="83">
        <f t="shared" si="18"/>
        <v>3844009.88</v>
      </c>
      <c r="I1136" s="83"/>
      <c r="K1136" s="54" t="s">
        <v>15</v>
      </c>
    </row>
    <row r="1137" spans="2:11" ht="16.5" x14ac:dyDescent="0.2">
      <c r="B1137" s="82" t="s">
        <v>3306</v>
      </c>
      <c r="C1137" s="82" t="s">
        <v>648</v>
      </c>
      <c r="D1137" s="83">
        <f>SUMIFS(D1138:D6462,K1138:K6462,"0",B1138:B6462,"5 1 1 1 3 12 31111 6 M59 60100 000132*")-SUMIFS(E1138:E6462,K1138:K6462,"0",B1138:B6462,"5 1 1 1 3 12 31111 6 M59 60100 000132*")</f>
        <v>0</v>
      </c>
      <c r="E1137" s="54"/>
      <c r="F1137" s="83">
        <f>SUMIFS(F1138:F6462,K1138:K6462,"0",B1138:B6462,"5 1 1 1 3 12 31111 6 M59 60100 000132*")</f>
        <v>3844009.88</v>
      </c>
      <c r="G1137" s="83">
        <f>SUMIFS(G1138:G6462,K1138:K6462,"0",B1138:B6462,"5 1 1 1 3 12 31111 6 M59 60100 000132*")</f>
        <v>0</v>
      </c>
      <c r="H1137" s="83">
        <f t="shared" si="18"/>
        <v>3844009.88</v>
      </c>
      <c r="I1137" s="83"/>
      <c r="K1137" s="54" t="s">
        <v>15</v>
      </c>
    </row>
    <row r="1138" spans="2:11" ht="16.5" x14ac:dyDescent="0.2">
      <c r="B1138" s="82" t="s">
        <v>3307</v>
      </c>
      <c r="C1138" s="82" t="s">
        <v>650</v>
      </c>
      <c r="D1138" s="83">
        <f>SUMIFS(D1139:D6462,K1139:K6462,"0",B1139:B6462,"5 1 1 1 3 12 31111 6 M59 60100 000132 0000R*")-SUMIFS(E1139:E6462,K1139:K6462,"0",B1139:B6462,"5 1 1 1 3 12 31111 6 M59 60100 000132 0000R*")</f>
        <v>0</v>
      </c>
      <c r="E1138" s="54"/>
      <c r="F1138" s="83">
        <f>SUMIFS(F1139:F6462,K1139:K6462,"0",B1139:B6462,"5 1 1 1 3 12 31111 6 M59 60100 000132 0000R*")</f>
        <v>3844009.88</v>
      </c>
      <c r="G1138" s="83">
        <f>SUMIFS(G1139:G6462,K1139:K6462,"0",B1139:B6462,"5 1 1 1 3 12 31111 6 M59 60100 000132 0000R*")</f>
        <v>0</v>
      </c>
      <c r="H1138" s="83">
        <f t="shared" si="18"/>
        <v>3844009.88</v>
      </c>
      <c r="I1138" s="83"/>
      <c r="K1138" s="54" t="s">
        <v>15</v>
      </c>
    </row>
    <row r="1139" spans="2:11" ht="24.75" x14ac:dyDescent="0.2">
      <c r="B1139" s="82" t="s">
        <v>3308</v>
      </c>
      <c r="C1139" s="82" t="s">
        <v>282</v>
      </c>
      <c r="D1139" s="83">
        <f>SUMIFS(D1140:D6462,K1140:K6462,"0",B1140:B6462,"5 1 1 1 3 12 31111 6 M59 60100 000132 0000R 00001*")-SUMIFS(E1140:E6462,K1140:K6462,"0",B1140:B6462,"5 1 1 1 3 12 31111 6 M59 60100 000132 0000R 00001*")</f>
        <v>0</v>
      </c>
      <c r="E1139" s="54"/>
      <c r="F1139" s="83">
        <f>SUMIFS(F1140:F6462,K1140:K6462,"0",B1140:B6462,"5 1 1 1 3 12 31111 6 M59 60100 000132 0000R 00001*")</f>
        <v>3844009.88</v>
      </c>
      <c r="G1139" s="83">
        <f>SUMIFS(G1140:G6462,K1140:K6462,"0",B1140:B6462,"5 1 1 1 3 12 31111 6 M59 60100 000132 0000R 00001*")</f>
        <v>0</v>
      </c>
      <c r="H1139" s="83">
        <f t="shared" si="18"/>
        <v>3844009.88</v>
      </c>
      <c r="I1139" s="83"/>
      <c r="K1139" s="54" t="s">
        <v>15</v>
      </c>
    </row>
    <row r="1140" spans="2:11" ht="24.75" x14ac:dyDescent="0.2">
      <c r="B1140" s="82" t="s">
        <v>3309</v>
      </c>
      <c r="C1140" s="82" t="s">
        <v>2924</v>
      </c>
      <c r="D1140" s="83">
        <f>SUMIFS(D1141:D6462,K1141:K6462,"0",B1141:B6462,"5 1 1 1 3 12 31111 6 M59 60100 000132 0000R 00001 00113*")-SUMIFS(E1141:E6462,K1141:K6462,"0",B1141:B6462,"5 1 1 1 3 12 31111 6 M59 60100 000132 0000R 00001 00113*")</f>
        <v>0</v>
      </c>
      <c r="E1140" s="54"/>
      <c r="F1140" s="83">
        <f>SUMIFS(F1141:F6462,K1141:K6462,"0",B1141:B6462,"5 1 1 1 3 12 31111 6 M59 60100 000132 0000R 00001 00113*")</f>
        <v>3844009.88</v>
      </c>
      <c r="G1140" s="83">
        <f>SUMIFS(G1141:G6462,K1141:K6462,"0",B1141:B6462,"5 1 1 1 3 12 31111 6 M59 60100 000132 0000R 00001 00113*")</f>
        <v>0</v>
      </c>
      <c r="H1140" s="83">
        <f t="shared" si="18"/>
        <v>3844009.88</v>
      </c>
      <c r="I1140" s="83"/>
      <c r="K1140" s="54" t="s">
        <v>15</v>
      </c>
    </row>
    <row r="1141" spans="2:11" ht="24.75" x14ac:dyDescent="0.2">
      <c r="B1141" s="82" t="s">
        <v>3310</v>
      </c>
      <c r="C1141" s="82" t="s">
        <v>1051</v>
      </c>
      <c r="D1141" s="83">
        <f>SUMIFS(D1142:D6462,K1142:K6462,"0",B1142:B6462,"5 1 1 1 3 12 31111 6 M59 60100 000132 0000R 00001 00113 015*")-SUMIFS(E1142:E6462,K1142:K6462,"0",B1142:B6462,"5 1 1 1 3 12 31111 6 M59 60100 000132 0000R 00001 00113 015*")</f>
        <v>0</v>
      </c>
      <c r="E1141" s="54"/>
      <c r="F1141" s="83">
        <f>SUMIFS(F1142:F6462,K1142:K6462,"0",B1142:B6462,"5 1 1 1 3 12 31111 6 M59 60100 000132 0000R 00001 00113 015*")</f>
        <v>3844009.88</v>
      </c>
      <c r="G1141" s="83">
        <f>SUMIFS(G1142:G6462,K1142:K6462,"0",B1142:B6462,"5 1 1 1 3 12 31111 6 M59 60100 000132 0000R 00001 00113 015*")</f>
        <v>0</v>
      </c>
      <c r="H1141" s="83">
        <f t="shared" si="18"/>
        <v>3844009.88</v>
      </c>
      <c r="I1141" s="83"/>
      <c r="K1141" s="54" t="s">
        <v>15</v>
      </c>
    </row>
    <row r="1142" spans="2:11" ht="33" x14ac:dyDescent="0.2">
      <c r="B1142" s="82" t="s">
        <v>3311</v>
      </c>
      <c r="C1142" s="82" t="s">
        <v>2927</v>
      </c>
      <c r="D1142" s="83">
        <f>SUMIFS(D1143:D6462,K1143:K6462,"0",B1143:B6462,"5 1 1 1 3 12 31111 6 M59 60100 000132 0000R 00001 00113 015 2111100*")-SUMIFS(E1143:E6462,K1143:K6462,"0",B1143:B6462,"5 1 1 1 3 12 31111 6 M59 60100 000132 0000R 00001 00113 015 2111100*")</f>
        <v>0</v>
      </c>
      <c r="E1142" s="54"/>
      <c r="F1142" s="83">
        <f>SUMIFS(F1143:F6462,K1143:K6462,"0",B1143:B6462,"5 1 1 1 3 12 31111 6 M59 60100 000132 0000R 00001 00113 015 2111100*")</f>
        <v>3844009.88</v>
      </c>
      <c r="G1142" s="83">
        <f>SUMIFS(G1143:G6462,K1143:K6462,"0",B1143:B6462,"5 1 1 1 3 12 31111 6 M59 60100 000132 0000R 00001 00113 015 2111100*")</f>
        <v>0</v>
      </c>
      <c r="H1142" s="83">
        <f t="shared" si="18"/>
        <v>3844009.88</v>
      </c>
      <c r="I1142" s="83"/>
      <c r="K1142" s="54" t="s">
        <v>15</v>
      </c>
    </row>
    <row r="1143" spans="2:11" ht="33" x14ac:dyDescent="0.2">
      <c r="B1143" s="82" t="s">
        <v>3312</v>
      </c>
      <c r="C1143" s="82" t="s">
        <v>660</v>
      </c>
      <c r="D1143" s="83">
        <f>SUMIFS(D1144:D6462,K1144:K6462,"0",B1144:B6462,"5 1 1 1 3 12 31111 6 M59 60100 000132 0000R 00001 00113 015 2111100 2024*")-SUMIFS(E1144:E6462,K1144:K6462,"0",B1144:B6462,"5 1 1 1 3 12 31111 6 M59 60100 000132 0000R 00001 00113 015 2111100 2024*")</f>
        <v>0</v>
      </c>
      <c r="E1143" s="54"/>
      <c r="F1143" s="83">
        <f>SUMIFS(F1144:F6462,K1144:K6462,"0",B1144:B6462,"5 1 1 1 3 12 31111 6 M59 60100 000132 0000R 00001 00113 015 2111100 2024*")</f>
        <v>3844009.88</v>
      </c>
      <c r="G1143" s="83">
        <f>SUMIFS(G1144:G6462,K1144:K6462,"0",B1144:B6462,"5 1 1 1 3 12 31111 6 M59 60100 000132 0000R 00001 00113 015 2111100 2024*")</f>
        <v>0</v>
      </c>
      <c r="H1143" s="83">
        <f t="shared" si="18"/>
        <v>3844009.88</v>
      </c>
      <c r="I1143" s="83"/>
      <c r="K1143" s="54" t="s">
        <v>15</v>
      </c>
    </row>
    <row r="1144" spans="2:11" ht="41.25" x14ac:dyDescent="0.2">
      <c r="B1144" s="82" t="s">
        <v>3313</v>
      </c>
      <c r="C1144" s="82" t="s">
        <v>1056</v>
      </c>
      <c r="D1144" s="83">
        <f>SUMIFS(D1145:D6462,K1145:K6462,"0",B1145:B6462,"5 1 1 1 3 12 31111 6 M59 60100 000132 0000R 00001 00113 015 2111100 2024 CP1DM394*")-SUMIFS(E1145:E6462,K1145:K6462,"0",B1145:B6462,"5 1 1 1 3 12 31111 6 M59 60100 000132 0000R 00001 00113 015 2111100 2024 CP1DM394*")</f>
        <v>0</v>
      </c>
      <c r="E1144" s="54"/>
      <c r="F1144" s="83">
        <f>SUMIFS(F1145:F6462,K1145:K6462,"0",B1145:B6462,"5 1 1 1 3 12 31111 6 M59 60100 000132 0000R 00001 00113 015 2111100 2024 CP1DM394*")</f>
        <v>3844009.88</v>
      </c>
      <c r="G1144" s="83">
        <f>SUMIFS(G1145:G6462,K1145:K6462,"0",B1145:B6462,"5 1 1 1 3 12 31111 6 M59 60100 000132 0000R 00001 00113 015 2111100 2024 CP1DM394*")</f>
        <v>0</v>
      </c>
      <c r="H1144" s="83">
        <f t="shared" si="18"/>
        <v>3844009.88</v>
      </c>
      <c r="I1144" s="83"/>
      <c r="K1144" s="54" t="s">
        <v>15</v>
      </c>
    </row>
    <row r="1145" spans="2:11" ht="41.25" x14ac:dyDescent="0.2">
      <c r="B1145" s="82" t="s">
        <v>3314</v>
      </c>
      <c r="C1145" s="82" t="s">
        <v>282</v>
      </c>
      <c r="D1145" s="83">
        <f>SUMIFS(D1146:D6462,K1146:K6462,"0",B1146:B6462,"5 1 1 1 3 12 31111 6 M59 60100 000132 0000R 00001 00113 015 2111100 2024 CP1DM394 001*")-SUMIFS(E1146:E6462,K1146:K6462,"0",B1146:B6462,"5 1 1 1 3 12 31111 6 M59 60100 000132 0000R 00001 00113 015 2111100 2024 CP1DM394 001*")</f>
        <v>0</v>
      </c>
      <c r="E1145" s="54"/>
      <c r="F1145" s="83">
        <f>SUMIFS(F1146:F6462,K1146:K6462,"0",B1146:B6462,"5 1 1 1 3 12 31111 6 M59 60100 000132 0000R 00001 00113 015 2111100 2024 CP1DM394 001*")</f>
        <v>3844009.88</v>
      </c>
      <c r="G1145" s="83">
        <f>SUMIFS(G1146:G6462,K1146:K6462,"0",B1146:B6462,"5 1 1 1 3 12 31111 6 M59 60100 000132 0000R 00001 00113 015 2111100 2024 CP1DM394 001*")</f>
        <v>0</v>
      </c>
      <c r="H1145" s="83">
        <f t="shared" si="18"/>
        <v>3844009.88</v>
      </c>
      <c r="I1145" s="83"/>
      <c r="K1145" s="54" t="s">
        <v>15</v>
      </c>
    </row>
    <row r="1146" spans="2:11" ht="33" x14ac:dyDescent="0.2">
      <c r="B1146" s="84" t="s">
        <v>3315</v>
      </c>
      <c r="C1146" s="84" t="s">
        <v>2932</v>
      </c>
      <c r="D1146" s="85">
        <v>0</v>
      </c>
      <c r="E1146" s="85"/>
      <c r="F1146" s="85">
        <v>3844009.88</v>
      </c>
      <c r="G1146" s="85">
        <v>0</v>
      </c>
      <c r="H1146" s="85">
        <f t="shared" si="18"/>
        <v>3844009.88</v>
      </c>
      <c r="I1146" s="85"/>
      <c r="K1146" s="54" t="s">
        <v>38</v>
      </c>
    </row>
    <row r="1147" spans="2:11" ht="24.75" x14ac:dyDescent="0.2">
      <c r="B1147" s="82" t="s">
        <v>3316</v>
      </c>
      <c r="C1147" s="82" t="s">
        <v>3317</v>
      </c>
      <c r="D1147" s="83">
        <f>SUMIFS(D1148:D6462,K1148:K6462,"0",B1148:B6462,"5 1 1 1 3 12 31111 6 M59 61000*")-SUMIFS(E1148:E6462,K1148:K6462,"0",B1148:B6462,"5 1 1 1 3 12 31111 6 M59 61000*")</f>
        <v>0</v>
      </c>
      <c r="E1147" s="54"/>
      <c r="F1147" s="83">
        <f>SUMIFS(F1148:F6462,K1148:K6462,"0",B1148:B6462,"5 1 1 1 3 12 31111 6 M59 61000*")</f>
        <v>20609.099999999999</v>
      </c>
      <c r="G1147" s="83">
        <f>SUMIFS(G1148:G6462,K1148:K6462,"0",B1148:B6462,"5 1 1 1 3 12 31111 6 M59 61000*")</f>
        <v>0</v>
      </c>
      <c r="H1147" s="83">
        <f t="shared" si="18"/>
        <v>20609.099999999999</v>
      </c>
      <c r="I1147" s="83"/>
      <c r="K1147" s="54" t="s">
        <v>15</v>
      </c>
    </row>
    <row r="1148" spans="2:11" ht="16.5" x14ac:dyDescent="0.2">
      <c r="B1148" s="82" t="s">
        <v>3318</v>
      </c>
      <c r="C1148" s="82" t="s">
        <v>648</v>
      </c>
      <c r="D1148" s="83">
        <f>SUMIFS(D1149:D6462,K1149:K6462,"0",B1149:B6462,"5 1 1 1 3 12 31111 6 M59 61000 000132*")-SUMIFS(E1149:E6462,K1149:K6462,"0",B1149:B6462,"5 1 1 1 3 12 31111 6 M59 61000 000132*")</f>
        <v>0</v>
      </c>
      <c r="E1148" s="54"/>
      <c r="F1148" s="83">
        <f>SUMIFS(F1149:F6462,K1149:K6462,"0",B1149:B6462,"5 1 1 1 3 12 31111 6 M59 61000 000132*")</f>
        <v>20609.099999999999</v>
      </c>
      <c r="G1148" s="83">
        <f>SUMIFS(G1149:G6462,K1149:K6462,"0",B1149:B6462,"5 1 1 1 3 12 31111 6 M59 61000 000132*")</f>
        <v>0</v>
      </c>
      <c r="H1148" s="83">
        <f t="shared" si="18"/>
        <v>20609.099999999999</v>
      </c>
      <c r="I1148" s="83"/>
      <c r="K1148" s="54" t="s">
        <v>15</v>
      </c>
    </row>
    <row r="1149" spans="2:11" ht="16.5" x14ac:dyDescent="0.2">
      <c r="B1149" s="82" t="s">
        <v>3319</v>
      </c>
      <c r="C1149" s="82" t="s">
        <v>650</v>
      </c>
      <c r="D1149" s="83">
        <f>SUMIFS(D1150:D6462,K1150:K6462,"0",B1150:B6462,"5 1 1 1 3 12 31111 6 M59 61000 000132 0000R*")-SUMIFS(E1150:E6462,K1150:K6462,"0",B1150:B6462,"5 1 1 1 3 12 31111 6 M59 61000 000132 0000R*")</f>
        <v>0</v>
      </c>
      <c r="E1149" s="54"/>
      <c r="F1149" s="83">
        <f>SUMIFS(F1150:F6462,K1150:K6462,"0",B1150:B6462,"5 1 1 1 3 12 31111 6 M59 61000 000132 0000R*")</f>
        <v>20609.099999999999</v>
      </c>
      <c r="G1149" s="83">
        <f>SUMIFS(G1150:G6462,K1150:K6462,"0",B1150:B6462,"5 1 1 1 3 12 31111 6 M59 61000 000132 0000R*")</f>
        <v>0</v>
      </c>
      <c r="H1149" s="83">
        <f t="shared" si="18"/>
        <v>20609.099999999999</v>
      </c>
      <c r="I1149" s="83"/>
      <c r="K1149" s="54" t="s">
        <v>15</v>
      </c>
    </row>
    <row r="1150" spans="2:11" ht="24.75" x14ac:dyDescent="0.2">
      <c r="B1150" s="82" t="s">
        <v>3320</v>
      </c>
      <c r="C1150" s="82" t="s">
        <v>282</v>
      </c>
      <c r="D1150" s="83">
        <f>SUMIFS(D1151:D6462,K1151:K6462,"0",B1151:B6462,"5 1 1 1 3 12 31111 6 M59 61000 000132 0000R 00001*")-SUMIFS(E1151:E6462,K1151:K6462,"0",B1151:B6462,"5 1 1 1 3 12 31111 6 M59 61000 000132 0000R 00001*")</f>
        <v>0</v>
      </c>
      <c r="E1150" s="54"/>
      <c r="F1150" s="83">
        <f>SUMIFS(F1151:F6462,K1151:K6462,"0",B1151:B6462,"5 1 1 1 3 12 31111 6 M59 61000 000132 0000R 00001*")</f>
        <v>20609.099999999999</v>
      </c>
      <c r="G1150" s="83">
        <f>SUMIFS(G1151:G6462,K1151:K6462,"0",B1151:B6462,"5 1 1 1 3 12 31111 6 M59 61000 000132 0000R 00001*")</f>
        <v>0</v>
      </c>
      <c r="H1150" s="83">
        <f t="shared" si="18"/>
        <v>20609.099999999999</v>
      </c>
      <c r="I1150" s="83"/>
      <c r="K1150" s="54" t="s">
        <v>15</v>
      </c>
    </row>
    <row r="1151" spans="2:11" ht="24.75" x14ac:dyDescent="0.2">
      <c r="B1151" s="82" t="s">
        <v>3321</v>
      </c>
      <c r="C1151" s="82" t="s">
        <v>2924</v>
      </c>
      <c r="D1151" s="83">
        <f>SUMIFS(D1152:D6462,K1152:K6462,"0",B1152:B6462,"5 1 1 1 3 12 31111 6 M59 61000 000132 0000R 00001 00113*")-SUMIFS(E1152:E6462,K1152:K6462,"0",B1152:B6462,"5 1 1 1 3 12 31111 6 M59 61000 000132 0000R 00001 00113*")</f>
        <v>0</v>
      </c>
      <c r="E1151" s="54"/>
      <c r="F1151" s="83">
        <f>SUMIFS(F1152:F6462,K1152:K6462,"0",B1152:B6462,"5 1 1 1 3 12 31111 6 M59 61000 000132 0000R 00001 00113*")</f>
        <v>20609.099999999999</v>
      </c>
      <c r="G1151" s="83">
        <f>SUMIFS(G1152:G6462,K1152:K6462,"0",B1152:B6462,"5 1 1 1 3 12 31111 6 M59 61000 000132 0000R 00001 00113*")</f>
        <v>0</v>
      </c>
      <c r="H1151" s="83">
        <f t="shared" si="18"/>
        <v>20609.099999999999</v>
      </c>
      <c r="I1151" s="83"/>
      <c r="K1151" s="54" t="s">
        <v>15</v>
      </c>
    </row>
    <row r="1152" spans="2:11" ht="24.75" x14ac:dyDescent="0.2">
      <c r="B1152" s="82" t="s">
        <v>3322</v>
      </c>
      <c r="C1152" s="82" t="s">
        <v>1051</v>
      </c>
      <c r="D1152" s="83">
        <f>SUMIFS(D1153:D6462,K1153:K6462,"0",B1153:B6462,"5 1 1 1 3 12 31111 6 M59 61000 000132 0000R 00001 00113 015*")-SUMIFS(E1153:E6462,K1153:K6462,"0",B1153:B6462,"5 1 1 1 3 12 31111 6 M59 61000 000132 0000R 00001 00113 015*")</f>
        <v>0</v>
      </c>
      <c r="E1152" s="54"/>
      <c r="F1152" s="83">
        <f>SUMIFS(F1153:F6462,K1153:K6462,"0",B1153:B6462,"5 1 1 1 3 12 31111 6 M59 61000 000132 0000R 00001 00113 015*")</f>
        <v>20609.099999999999</v>
      </c>
      <c r="G1152" s="83">
        <f>SUMIFS(G1153:G6462,K1153:K6462,"0",B1153:B6462,"5 1 1 1 3 12 31111 6 M59 61000 000132 0000R 00001 00113 015*")</f>
        <v>0</v>
      </c>
      <c r="H1152" s="83">
        <f t="shared" si="18"/>
        <v>20609.099999999999</v>
      </c>
      <c r="I1152" s="83"/>
      <c r="K1152" s="54" t="s">
        <v>15</v>
      </c>
    </row>
    <row r="1153" spans="2:11" ht="33" x14ac:dyDescent="0.2">
      <c r="B1153" s="82" t="s">
        <v>3323</v>
      </c>
      <c r="C1153" s="82" t="s">
        <v>2927</v>
      </c>
      <c r="D1153" s="83">
        <f>SUMIFS(D1154:D6462,K1154:K6462,"0",B1154:B6462,"5 1 1 1 3 12 31111 6 M59 61000 000132 0000R 00001 00113 015 2111100*")-SUMIFS(E1154:E6462,K1154:K6462,"0",B1154:B6462,"5 1 1 1 3 12 31111 6 M59 61000 000132 0000R 00001 00113 015 2111100*")</f>
        <v>0</v>
      </c>
      <c r="E1153" s="54"/>
      <c r="F1153" s="83">
        <f>SUMIFS(F1154:F6462,K1154:K6462,"0",B1154:B6462,"5 1 1 1 3 12 31111 6 M59 61000 000132 0000R 00001 00113 015 2111100*")</f>
        <v>20609.099999999999</v>
      </c>
      <c r="G1153" s="83">
        <f>SUMIFS(G1154:G6462,K1154:K6462,"0",B1154:B6462,"5 1 1 1 3 12 31111 6 M59 61000 000132 0000R 00001 00113 015 2111100*")</f>
        <v>0</v>
      </c>
      <c r="H1153" s="83">
        <f t="shared" si="18"/>
        <v>20609.099999999999</v>
      </c>
      <c r="I1153" s="83"/>
      <c r="K1153" s="54" t="s">
        <v>15</v>
      </c>
    </row>
    <row r="1154" spans="2:11" ht="33" x14ac:dyDescent="0.2">
      <c r="B1154" s="82" t="s">
        <v>3324</v>
      </c>
      <c r="C1154" s="82" t="s">
        <v>660</v>
      </c>
      <c r="D1154" s="83">
        <f>SUMIFS(D1155:D6462,K1155:K6462,"0",B1155:B6462,"5 1 1 1 3 12 31111 6 M59 61000 000132 0000R 00001 00113 015 2111100 2024*")-SUMIFS(E1155:E6462,K1155:K6462,"0",B1155:B6462,"5 1 1 1 3 12 31111 6 M59 61000 000132 0000R 00001 00113 015 2111100 2024*")</f>
        <v>0</v>
      </c>
      <c r="E1154" s="54"/>
      <c r="F1154" s="83">
        <f>SUMIFS(F1155:F6462,K1155:K6462,"0",B1155:B6462,"5 1 1 1 3 12 31111 6 M59 61000 000132 0000R 00001 00113 015 2111100 2024*")</f>
        <v>20609.099999999999</v>
      </c>
      <c r="G1154" s="83">
        <f>SUMIFS(G1155:G6462,K1155:K6462,"0",B1155:B6462,"5 1 1 1 3 12 31111 6 M59 61000 000132 0000R 00001 00113 015 2111100 2024*")</f>
        <v>0</v>
      </c>
      <c r="H1154" s="83">
        <f t="shared" si="18"/>
        <v>20609.099999999999</v>
      </c>
      <c r="I1154" s="83"/>
      <c r="K1154" s="54" t="s">
        <v>15</v>
      </c>
    </row>
    <row r="1155" spans="2:11" ht="41.25" x14ac:dyDescent="0.2">
      <c r="B1155" s="82" t="s">
        <v>3325</v>
      </c>
      <c r="C1155" s="82" t="s">
        <v>1056</v>
      </c>
      <c r="D1155" s="83">
        <f>SUMIFS(D1156:D6462,K1156:K6462,"0",B1156:B6462,"5 1 1 1 3 12 31111 6 M59 61000 000132 0000R 00001 00113 015 2111100 2024 CP1MI406*")-SUMIFS(E1156:E6462,K1156:K6462,"0",B1156:B6462,"5 1 1 1 3 12 31111 6 M59 61000 000132 0000R 00001 00113 015 2111100 2024 CP1MI406*")</f>
        <v>0</v>
      </c>
      <c r="E1155" s="54"/>
      <c r="F1155" s="83">
        <f>SUMIFS(F1156:F6462,K1156:K6462,"0",B1156:B6462,"5 1 1 1 3 12 31111 6 M59 61000 000132 0000R 00001 00113 015 2111100 2024 CP1MI406*")</f>
        <v>20609.099999999999</v>
      </c>
      <c r="G1155" s="83">
        <f>SUMIFS(G1156:G6462,K1156:K6462,"0",B1156:B6462,"5 1 1 1 3 12 31111 6 M59 61000 000132 0000R 00001 00113 015 2111100 2024 CP1MI406*")</f>
        <v>0</v>
      </c>
      <c r="H1155" s="83">
        <f t="shared" si="18"/>
        <v>20609.099999999999</v>
      </c>
      <c r="I1155" s="83"/>
      <c r="K1155" s="54" t="s">
        <v>15</v>
      </c>
    </row>
    <row r="1156" spans="2:11" ht="41.25" x14ac:dyDescent="0.2">
      <c r="B1156" s="82" t="s">
        <v>3326</v>
      </c>
      <c r="C1156" s="82" t="s">
        <v>282</v>
      </c>
      <c r="D1156" s="83">
        <f>SUMIFS(D1157:D6462,K1157:K6462,"0",B1157:B6462,"5 1 1 1 3 12 31111 6 M59 61000 000132 0000R 00001 00113 015 2111100 2024 CP1MI406 001*")-SUMIFS(E1157:E6462,K1157:K6462,"0",B1157:B6462,"5 1 1 1 3 12 31111 6 M59 61000 000132 0000R 00001 00113 015 2111100 2024 CP1MI406 001*")</f>
        <v>0</v>
      </c>
      <c r="E1156" s="54"/>
      <c r="F1156" s="83">
        <f>SUMIFS(F1157:F6462,K1157:K6462,"0",B1157:B6462,"5 1 1 1 3 12 31111 6 M59 61000 000132 0000R 00001 00113 015 2111100 2024 CP1MI406 001*")</f>
        <v>20609.099999999999</v>
      </c>
      <c r="G1156" s="83">
        <f>SUMIFS(G1157:G6462,K1157:K6462,"0",B1157:B6462,"5 1 1 1 3 12 31111 6 M59 61000 000132 0000R 00001 00113 015 2111100 2024 CP1MI406 001*")</f>
        <v>0</v>
      </c>
      <c r="H1156" s="83">
        <f t="shared" si="18"/>
        <v>20609.099999999999</v>
      </c>
      <c r="I1156" s="83"/>
      <c r="K1156" s="54" t="s">
        <v>15</v>
      </c>
    </row>
    <row r="1157" spans="2:11" ht="33" x14ac:dyDescent="0.2">
      <c r="B1157" s="84" t="s">
        <v>3327</v>
      </c>
      <c r="C1157" s="84" t="s">
        <v>2932</v>
      </c>
      <c r="D1157" s="85">
        <v>0</v>
      </c>
      <c r="E1157" s="85"/>
      <c r="F1157" s="85">
        <v>20609.099999999999</v>
      </c>
      <c r="G1157" s="85">
        <v>0</v>
      </c>
      <c r="H1157" s="85">
        <f t="shared" si="18"/>
        <v>20609.099999999999</v>
      </c>
      <c r="I1157" s="85"/>
      <c r="K1157" s="54" t="s">
        <v>38</v>
      </c>
    </row>
    <row r="1158" spans="2:11" ht="16.5" x14ac:dyDescent="0.2">
      <c r="B1158" s="82" t="s">
        <v>3328</v>
      </c>
      <c r="C1158" s="82" t="s">
        <v>3329</v>
      </c>
      <c r="D1158" s="83">
        <f>SUMIFS(D1159:D6462,K1159:K6462,"0",B1159:B6462,"5 1 1 1 3 12 31111 6 M59 62000*")-SUMIFS(E1159:E6462,K1159:K6462,"0",B1159:B6462,"5 1 1 1 3 12 31111 6 M59 62000*")</f>
        <v>0</v>
      </c>
      <c r="E1158" s="54"/>
      <c r="F1158" s="83">
        <f>SUMIFS(F1159:F6462,K1159:K6462,"0",B1159:B6462,"5 1 1 1 3 12 31111 6 M59 62000*")</f>
        <v>268274.09000000003</v>
      </c>
      <c r="G1158" s="83">
        <f>SUMIFS(G1159:G6462,K1159:K6462,"0",B1159:B6462,"5 1 1 1 3 12 31111 6 M59 62000*")</f>
        <v>0</v>
      </c>
      <c r="H1158" s="83">
        <f t="shared" si="18"/>
        <v>268274.09000000003</v>
      </c>
      <c r="I1158" s="83"/>
      <c r="K1158" s="54" t="s">
        <v>15</v>
      </c>
    </row>
    <row r="1159" spans="2:11" ht="16.5" x14ac:dyDescent="0.2">
      <c r="B1159" s="82" t="s">
        <v>3330</v>
      </c>
      <c r="C1159" s="82" t="s">
        <v>648</v>
      </c>
      <c r="D1159" s="83">
        <f>SUMIFS(D1160:D6462,K1160:K6462,"0",B1160:B6462,"5 1 1 1 3 12 31111 6 M59 62000 000132*")-SUMIFS(E1160:E6462,K1160:K6462,"0",B1160:B6462,"5 1 1 1 3 12 31111 6 M59 62000 000132*")</f>
        <v>0</v>
      </c>
      <c r="E1159" s="54"/>
      <c r="F1159" s="83">
        <f>SUMIFS(F1160:F6462,K1160:K6462,"0",B1160:B6462,"5 1 1 1 3 12 31111 6 M59 62000 000132*")</f>
        <v>268274.09000000003</v>
      </c>
      <c r="G1159" s="83">
        <f>SUMIFS(G1160:G6462,K1160:K6462,"0",B1160:B6462,"5 1 1 1 3 12 31111 6 M59 62000 000132*")</f>
        <v>0</v>
      </c>
      <c r="H1159" s="83">
        <f t="shared" si="18"/>
        <v>268274.09000000003</v>
      </c>
      <c r="I1159" s="83"/>
      <c r="K1159" s="54" t="s">
        <v>15</v>
      </c>
    </row>
    <row r="1160" spans="2:11" ht="16.5" x14ac:dyDescent="0.2">
      <c r="B1160" s="82" t="s">
        <v>3331</v>
      </c>
      <c r="C1160" s="82" t="s">
        <v>650</v>
      </c>
      <c r="D1160" s="83">
        <f>SUMIFS(D1161:D6462,K1161:K6462,"0",B1161:B6462,"5 1 1 1 3 12 31111 6 M59 62000 000132 0000R*")-SUMIFS(E1161:E6462,K1161:K6462,"0",B1161:B6462,"5 1 1 1 3 12 31111 6 M59 62000 000132 0000R*")</f>
        <v>0</v>
      </c>
      <c r="E1160" s="54"/>
      <c r="F1160" s="83">
        <f>SUMIFS(F1161:F6462,K1161:K6462,"0",B1161:B6462,"5 1 1 1 3 12 31111 6 M59 62000 000132 0000R*")</f>
        <v>268274.09000000003</v>
      </c>
      <c r="G1160" s="83">
        <f>SUMIFS(G1161:G6462,K1161:K6462,"0",B1161:B6462,"5 1 1 1 3 12 31111 6 M59 62000 000132 0000R*")</f>
        <v>0</v>
      </c>
      <c r="H1160" s="83">
        <f t="shared" si="18"/>
        <v>268274.09000000003</v>
      </c>
      <c r="I1160" s="83"/>
      <c r="K1160" s="54" t="s">
        <v>15</v>
      </c>
    </row>
    <row r="1161" spans="2:11" ht="24.75" x14ac:dyDescent="0.2">
      <c r="B1161" s="82" t="s">
        <v>3332</v>
      </c>
      <c r="C1161" s="82" t="s">
        <v>282</v>
      </c>
      <c r="D1161" s="83">
        <f>SUMIFS(D1162:D6462,K1162:K6462,"0",B1162:B6462,"5 1 1 1 3 12 31111 6 M59 62000 000132 0000R 00001*")-SUMIFS(E1162:E6462,K1162:K6462,"0",B1162:B6462,"5 1 1 1 3 12 31111 6 M59 62000 000132 0000R 00001*")</f>
        <v>0</v>
      </c>
      <c r="E1161" s="54"/>
      <c r="F1161" s="83">
        <f>SUMIFS(F1162:F6462,K1162:K6462,"0",B1162:B6462,"5 1 1 1 3 12 31111 6 M59 62000 000132 0000R 00001*")</f>
        <v>268274.09000000003</v>
      </c>
      <c r="G1161" s="83">
        <f>SUMIFS(G1162:G6462,K1162:K6462,"0",B1162:B6462,"5 1 1 1 3 12 31111 6 M59 62000 000132 0000R 00001*")</f>
        <v>0</v>
      </c>
      <c r="H1161" s="83">
        <f t="shared" si="18"/>
        <v>268274.09000000003</v>
      </c>
      <c r="I1161" s="83"/>
      <c r="K1161" s="54" t="s">
        <v>15</v>
      </c>
    </row>
    <row r="1162" spans="2:11" ht="24.75" x14ac:dyDescent="0.2">
      <c r="B1162" s="82" t="s">
        <v>3333</v>
      </c>
      <c r="C1162" s="82" t="s">
        <v>2924</v>
      </c>
      <c r="D1162" s="83">
        <f>SUMIFS(D1163:D6462,K1163:K6462,"0",B1163:B6462,"5 1 1 1 3 12 31111 6 M59 62000 000132 0000R 00001 00113*")-SUMIFS(E1163:E6462,K1163:K6462,"0",B1163:B6462,"5 1 1 1 3 12 31111 6 M59 62000 000132 0000R 00001 00113*")</f>
        <v>0</v>
      </c>
      <c r="E1162" s="54"/>
      <c r="F1162" s="83">
        <f>SUMIFS(F1163:F6462,K1163:K6462,"0",B1163:B6462,"5 1 1 1 3 12 31111 6 M59 62000 000132 0000R 00001 00113*")</f>
        <v>268274.09000000003</v>
      </c>
      <c r="G1162" s="83">
        <f>SUMIFS(G1163:G6462,K1163:K6462,"0",B1163:B6462,"5 1 1 1 3 12 31111 6 M59 62000 000132 0000R 00001 00113*")</f>
        <v>0</v>
      </c>
      <c r="H1162" s="83">
        <f t="shared" si="18"/>
        <v>268274.09000000003</v>
      </c>
      <c r="I1162" s="83"/>
      <c r="K1162" s="54" t="s">
        <v>15</v>
      </c>
    </row>
    <row r="1163" spans="2:11" ht="24.75" x14ac:dyDescent="0.2">
      <c r="B1163" s="82" t="s">
        <v>3334</v>
      </c>
      <c r="C1163" s="82" t="s">
        <v>1051</v>
      </c>
      <c r="D1163" s="83">
        <f>SUMIFS(D1164:D6462,K1164:K6462,"0",B1164:B6462,"5 1 1 1 3 12 31111 6 M59 62000 000132 0000R 00001 00113 015*")-SUMIFS(E1164:E6462,K1164:K6462,"0",B1164:B6462,"5 1 1 1 3 12 31111 6 M59 62000 000132 0000R 00001 00113 015*")</f>
        <v>0</v>
      </c>
      <c r="E1163" s="54"/>
      <c r="F1163" s="83">
        <f>SUMIFS(F1164:F6462,K1164:K6462,"0",B1164:B6462,"5 1 1 1 3 12 31111 6 M59 62000 000132 0000R 00001 00113 015*")</f>
        <v>268274.09000000003</v>
      </c>
      <c r="G1163" s="83">
        <f>SUMIFS(G1164:G6462,K1164:K6462,"0",B1164:B6462,"5 1 1 1 3 12 31111 6 M59 62000 000132 0000R 00001 00113 015*")</f>
        <v>0</v>
      </c>
      <c r="H1163" s="83">
        <f t="shared" si="18"/>
        <v>268274.09000000003</v>
      </c>
      <c r="I1163" s="83"/>
      <c r="K1163" s="54" t="s">
        <v>15</v>
      </c>
    </row>
    <row r="1164" spans="2:11" ht="33" x14ac:dyDescent="0.2">
      <c r="B1164" s="82" t="s">
        <v>3335</v>
      </c>
      <c r="C1164" s="82" t="s">
        <v>2927</v>
      </c>
      <c r="D1164" s="83">
        <f>SUMIFS(D1165:D6462,K1165:K6462,"0",B1165:B6462,"5 1 1 1 3 12 31111 6 M59 62000 000132 0000R 00001 00113 015 2111100*")-SUMIFS(E1165:E6462,K1165:K6462,"0",B1165:B6462,"5 1 1 1 3 12 31111 6 M59 62000 000132 0000R 00001 00113 015 2111100*")</f>
        <v>0</v>
      </c>
      <c r="E1164" s="54"/>
      <c r="F1164" s="83">
        <f>SUMIFS(F1165:F6462,K1165:K6462,"0",B1165:B6462,"5 1 1 1 3 12 31111 6 M59 62000 000132 0000R 00001 00113 015 2111100*")</f>
        <v>268274.09000000003</v>
      </c>
      <c r="G1164" s="83">
        <f>SUMIFS(G1165:G6462,K1165:K6462,"0",B1165:B6462,"5 1 1 1 3 12 31111 6 M59 62000 000132 0000R 00001 00113 015 2111100*")</f>
        <v>0</v>
      </c>
      <c r="H1164" s="83">
        <f t="shared" si="18"/>
        <v>268274.09000000003</v>
      </c>
      <c r="I1164" s="83"/>
      <c r="K1164" s="54" t="s">
        <v>15</v>
      </c>
    </row>
    <row r="1165" spans="2:11" ht="33" x14ac:dyDescent="0.2">
      <c r="B1165" s="82" t="s">
        <v>3336</v>
      </c>
      <c r="C1165" s="82" t="s">
        <v>660</v>
      </c>
      <c r="D1165" s="83">
        <f>SUMIFS(D1166:D6462,K1166:K6462,"0",B1166:B6462,"5 1 1 1 3 12 31111 6 M59 62000 000132 0000R 00001 00113 015 2111100 2024*")-SUMIFS(E1166:E6462,K1166:K6462,"0",B1166:B6462,"5 1 1 1 3 12 31111 6 M59 62000 000132 0000R 00001 00113 015 2111100 2024*")</f>
        <v>0</v>
      </c>
      <c r="E1165" s="54"/>
      <c r="F1165" s="83">
        <f>SUMIFS(F1166:F6462,K1166:K6462,"0",B1166:B6462,"5 1 1 1 3 12 31111 6 M59 62000 000132 0000R 00001 00113 015 2111100 2024*")</f>
        <v>268274.09000000003</v>
      </c>
      <c r="G1165" s="83">
        <f>SUMIFS(G1166:G6462,K1166:K6462,"0",B1166:B6462,"5 1 1 1 3 12 31111 6 M59 62000 000132 0000R 00001 00113 015 2111100 2024*")</f>
        <v>0</v>
      </c>
      <c r="H1165" s="83">
        <f t="shared" si="18"/>
        <v>268274.09000000003</v>
      </c>
      <c r="I1165" s="83"/>
      <c r="K1165" s="54" t="s">
        <v>15</v>
      </c>
    </row>
    <row r="1166" spans="2:11" ht="41.25" x14ac:dyDescent="0.2">
      <c r="B1166" s="82" t="s">
        <v>3337</v>
      </c>
      <c r="C1166" s="82" t="s">
        <v>1056</v>
      </c>
      <c r="D1166" s="83">
        <f>SUMIFS(D1167:D6462,K1167:K6462,"0",B1167:B6462,"5 1 1 1 3 12 31111 6 M59 62000 000132 0000R 00001 00113 015 2111100 2024 CP1AM426*")-SUMIFS(E1167:E6462,K1167:K6462,"0",B1167:B6462,"5 1 1 1 3 12 31111 6 M59 62000 000132 0000R 00001 00113 015 2111100 2024 CP1AM426*")</f>
        <v>0</v>
      </c>
      <c r="E1166" s="54"/>
      <c r="F1166" s="83">
        <f>SUMIFS(F1167:F6462,K1167:K6462,"0",B1167:B6462,"5 1 1 1 3 12 31111 6 M59 62000 000132 0000R 00001 00113 015 2111100 2024 CP1AM426*")</f>
        <v>268274.09000000003</v>
      </c>
      <c r="G1166" s="83">
        <f>SUMIFS(G1167:G6462,K1167:K6462,"0",B1167:B6462,"5 1 1 1 3 12 31111 6 M59 62000 000132 0000R 00001 00113 015 2111100 2024 CP1AM426*")</f>
        <v>0</v>
      </c>
      <c r="H1166" s="83">
        <f t="shared" si="18"/>
        <v>268274.09000000003</v>
      </c>
      <c r="I1166" s="83"/>
      <c r="K1166" s="54" t="s">
        <v>15</v>
      </c>
    </row>
    <row r="1167" spans="2:11" ht="41.25" x14ac:dyDescent="0.2">
      <c r="B1167" s="82" t="s">
        <v>3338</v>
      </c>
      <c r="C1167" s="82" t="s">
        <v>282</v>
      </c>
      <c r="D1167" s="83">
        <f>SUMIFS(D1168:D6462,K1168:K6462,"0",B1168:B6462,"5 1 1 1 3 12 31111 6 M59 62000 000132 0000R 00001 00113 015 2111100 2024 CP1AM426 001*")-SUMIFS(E1168:E6462,K1168:K6462,"0",B1168:B6462,"5 1 1 1 3 12 31111 6 M59 62000 000132 0000R 00001 00113 015 2111100 2024 CP1AM426 001*")</f>
        <v>0</v>
      </c>
      <c r="E1167" s="54"/>
      <c r="F1167" s="83">
        <f>SUMIFS(F1168:F6462,K1168:K6462,"0",B1168:B6462,"5 1 1 1 3 12 31111 6 M59 62000 000132 0000R 00001 00113 015 2111100 2024 CP1AM426 001*")</f>
        <v>268274.09000000003</v>
      </c>
      <c r="G1167" s="83">
        <f>SUMIFS(G1168:G6462,K1168:K6462,"0",B1168:B6462,"5 1 1 1 3 12 31111 6 M59 62000 000132 0000R 00001 00113 015 2111100 2024 CP1AM426 001*")</f>
        <v>0</v>
      </c>
      <c r="H1167" s="83">
        <f t="shared" si="18"/>
        <v>268274.09000000003</v>
      </c>
      <c r="I1167" s="83"/>
      <c r="K1167" s="54" t="s">
        <v>15</v>
      </c>
    </row>
    <row r="1168" spans="2:11" ht="41.25" x14ac:dyDescent="0.2">
      <c r="B1168" s="84" t="s">
        <v>3339</v>
      </c>
      <c r="C1168" s="84" t="s">
        <v>2932</v>
      </c>
      <c r="D1168" s="85">
        <v>0</v>
      </c>
      <c r="E1168" s="85"/>
      <c r="F1168" s="85">
        <v>268274.09000000003</v>
      </c>
      <c r="G1168" s="85">
        <v>0</v>
      </c>
      <c r="H1168" s="85">
        <f t="shared" si="18"/>
        <v>268274.09000000003</v>
      </c>
      <c r="I1168" s="85"/>
      <c r="K1168" s="54" t="s">
        <v>38</v>
      </c>
    </row>
    <row r="1169" spans="2:11" ht="16.5" x14ac:dyDescent="0.2">
      <c r="B1169" s="82" t="s">
        <v>3340</v>
      </c>
      <c r="C1169" s="82" t="s">
        <v>3341</v>
      </c>
      <c r="D1169" s="83">
        <f>SUMIFS(D1170:D6462,K1170:K6462,"0",B1170:B6462,"5 1 1 1 3 12 31111 6 M59 63000*")-SUMIFS(E1170:E6462,K1170:K6462,"0",B1170:B6462,"5 1 1 1 3 12 31111 6 M59 63000*")</f>
        <v>0</v>
      </c>
      <c r="E1169" s="54"/>
      <c r="F1169" s="83">
        <f>SUMIFS(F1170:F6462,K1170:K6462,"0",B1170:B6462,"5 1 1 1 3 12 31111 6 M59 63000*")</f>
        <v>132554.82</v>
      </c>
      <c r="G1169" s="83">
        <f>SUMIFS(G1170:G6462,K1170:K6462,"0",B1170:B6462,"5 1 1 1 3 12 31111 6 M59 63000*")</f>
        <v>0</v>
      </c>
      <c r="H1169" s="83">
        <f t="shared" si="18"/>
        <v>132554.82</v>
      </c>
      <c r="I1169" s="83"/>
      <c r="K1169" s="54" t="s">
        <v>15</v>
      </c>
    </row>
    <row r="1170" spans="2:11" ht="16.5" x14ac:dyDescent="0.2">
      <c r="B1170" s="82" t="s">
        <v>3342</v>
      </c>
      <c r="C1170" s="82" t="s">
        <v>648</v>
      </c>
      <c r="D1170" s="83">
        <f>SUMIFS(D1171:D6462,K1171:K6462,"0",B1171:B6462,"5 1 1 1 3 12 31111 6 M59 63000 000132*")-SUMIFS(E1171:E6462,K1171:K6462,"0",B1171:B6462,"5 1 1 1 3 12 31111 6 M59 63000 000132*")</f>
        <v>0</v>
      </c>
      <c r="E1170" s="54"/>
      <c r="F1170" s="83">
        <f>SUMIFS(F1171:F6462,K1171:K6462,"0",B1171:B6462,"5 1 1 1 3 12 31111 6 M59 63000 000132*")</f>
        <v>132554.82</v>
      </c>
      <c r="G1170" s="83">
        <f>SUMIFS(G1171:G6462,K1171:K6462,"0",B1171:B6462,"5 1 1 1 3 12 31111 6 M59 63000 000132*")</f>
        <v>0</v>
      </c>
      <c r="H1170" s="83">
        <f t="shared" si="18"/>
        <v>132554.82</v>
      </c>
      <c r="I1170" s="83"/>
      <c r="K1170" s="54" t="s">
        <v>15</v>
      </c>
    </row>
    <row r="1171" spans="2:11" ht="16.5" x14ac:dyDescent="0.2">
      <c r="B1171" s="82" t="s">
        <v>3343</v>
      </c>
      <c r="C1171" s="82" t="s">
        <v>650</v>
      </c>
      <c r="D1171" s="83">
        <f>SUMIFS(D1172:D6462,K1172:K6462,"0",B1172:B6462,"5 1 1 1 3 12 31111 6 M59 63000 000132 0000R*")-SUMIFS(E1172:E6462,K1172:K6462,"0",B1172:B6462,"5 1 1 1 3 12 31111 6 M59 63000 000132 0000R*")</f>
        <v>0</v>
      </c>
      <c r="E1171" s="54"/>
      <c r="F1171" s="83">
        <f>SUMIFS(F1172:F6462,K1172:K6462,"0",B1172:B6462,"5 1 1 1 3 12 31111 6 M59 63000 000132 0000R*")</f>
        <v>132554.82</v>
      </c>
      <c r="G1171" s="83">
        <f>SUMIFS(G1172:G6462,K1172:K6462,"0",B1172:B6462,"5 1 1 1 3 12 31111 6 M59 63000 000132 0000R*")</f>
        <v>0</v>
      </c>
      <c r="H1171" s="83">
        <f t="shared" si="18"/>
        <v>132554.82</v>
      </c>
      <c r="I1171" s="83"/>
      <c r="K1171" s="54" t="s">
        <v>15</v>
      </c>
    </row>
    <row r="1172" spans="2:11" ht="24.75" x14ac:dyDescent="0.2">
      <c r="B1172" s="82" t="s">
        <v>3344</v>
      </c>
      <c r="C1172" s="82" t="s">
        <v>282</v>
      </c>
      <c r="D1172" s="83">
        <f>SUMIFS(D1173:D6462,K1173:K6462,"0",B1173:B6462,"5 1 1 1 3 12 31111 6 M59 63000 000132 0000R 00001*")-SUMIFS(E1173:E6462,K1173:K6462,"0",B1173:B6462,"5 1 1 1 3 12 31111 6 M59 63000 000132 0000R 00001*")</f>
        <v>0</v>
      </c>
      <c r="E1172" s="54"/>
      <c r="F1172" s="83">
        <f>SUMIFS(F1173:F6462,K1173:K6462,"0",B1173:B6462,"5 1 1 1 3 12 31111 6 M59 63000 000132 0000R 00001*")</f>
        <v>132554.82</v>
      </c>
      <c r="G1172" s="83">
        <f>SUMIFS(G1173:G6462,K1173:K6462,"0",B1173:B6462,"5 1 1 1 3 12 31111 6 M59 63000 000132 0000R 00001*")</f>
        <v>0</v>
      </c>
      <c r="H1172" s="83">
        <f t="shared" si="18"/>
        <v>132554.82</v>
      </c>
      <c r="I1172" s="83"/>
      <c r="K1172" s="54" t="s">
        <v>15</v>
      </c>
    </row>
    <row r="1173" spans="2:11" ht="24.75" x14ac:dyDescent="0.2">
      <c r="B1173" s="82" t="s">
        <v>3345</v>
      </c>
      <c r="C1173" s="82" t="s">
        <v>2924</v>
      </c>
      <c r="D1173" s="83">
        <f>SUMIFS(D1174:D6462,K1174:K6462,"0",B1174:B6462,"5 1 1 1 3 12 31111 6 M59 63000 000132 0000R 00001 00113*")-SUMIFS(E1174:E6462,K1174:K6462,"0",B1174:B6462,"5 1 1 1 3 12 31111 6 M59 63000 000132 0000R 00001 00113*")</f>
        <v>0</v>
      </c>
      <c r="E1173" s="54"/>
      <c r="F1173" s="83">
        <f>SUMIFS(F1174:F6462,K1174:K6462,"0",B1174:B6462,"5 1 1 1 3 12 31111 6 M59 63000 000132 0000R 00001 00113*")</f>
        <v>132554.82</v>
      </c>
      <c r="G1173" s="83">
        <f>SUMIFS(G1174:G6462,K1174:K6462,"0",B1174:B6462,"5 1 1 1 3 12 31111 6 M59 63000 000132 0000R 00001 00113*")</f>
        <v>0</v>
      </c>
      <c r="H1173" s="83">
        <f t="shared" si="18"/>
        <v>132554.82</v>
      </c>
      <c r="I1173" s="83"/>
      <c r="K1173" s="54" t="s">
        <v>15</v>
      </c>
    </row>
    <row r="1174" spans="2:11" ht="24.75" x14ac:dyDescent="0.2">
      <c r="B1174" s="82" t="s">
        <v>3346</v>
      </c>
      <c r="C1174" s="82" t="s">
        <v>1051</v>
      </c>
      <c r="D1174" s="83">
        <f>SUMIFS(D1175:D6462,K1175:K6462,"0",B1175:B6462,"5 1 1 1 3 12 31111 6 M59 63000 000132 0000R 00001 00113 015*")-SUMIFS(E1175:E6462,K1175:K6462,"0",B1175:B6462,"5 1 1 1 3 12 31111 6 M59 63000 000132 0000R 00001 00113 015*")</f>
        <v>0</v>
      </c>
      <c r="E1174" s="54"/>
      <c r="F1174" s="83">
        <f>SUMIFS(F1175:F6462,K1175:K6462,"0",B1175:B6462,"5 1 1 1 3 12 31111 6 M59 63000 000132 0000R 00001 00113 015*")</f>
        <v>132554.82</v>
      </c>
      <c r="G1174" s="83">
        <f>SUMIFS(G1175:G6462,K1175:K6462,"0",B1175:B6462,"5 1 1 1 3 12 31111 6 M59 63000 000132 0000R 00001 00113 015*")</f>
        <v>0</v>
      </c>
      <c r="H1174" s="83">
        <f t="shared" si="18"/>
        <v>132554.82</v>
      </c>
      <c r="I1174" s="83"/>
      <c r="K1174" s="54" t="s">
        <v>15</v>
      </c>
    </row>
    <row r="1175" spans="2:11" ht="33" x14ac:dyDescent="0.2">
      <c r="B1175" s="82" t="s">
        <v>3347</v>
      </c>
      <c r="C1175" s="82" t="s">
        <v>2927</v>
      </c>
      <c r="D1175" s="83">
        <f>SUMIFS(D1176:D6462,K1176:K6462,"0",B1176:B6462,"5 1 1 1 3 12 31111 6 M59 63000 000132 0000R 00001 00113 015 2111100*")-SUMIFS(E1176:E6462,K1176:K6462,"0",B1176:B6462,"5 1 1 1 3 12 31111 6 M59 63000 000132 0000R 00001 00113 015 2111100*")</f>
        <v>0</v>
      </c>
      <c r="E1175" s="54"/>
      <c r="F1175" s="83">
        <f>SUMIFS(F1176:F6462,K1176:K6462,"0",B1176:B6462,"5 1 1 1 3 12 31111 6 M59 63000 000132 0000R 00001 00113 015 2111100*")</f>
        <v>132554.82</v>
      </c>
      <c r="G1175" s="83">
        <f>SUMIFS(G1176:G6462,K1176:K6462,"0",B1176:B6462,"5 1 1 1 3 12 31111 6 M59 63000 000132 0000R 00001 00113 015 2111100*")</f>
        <v>0</v>
      </c>
      <c r="H1175" s="83">
        <f t="shared" si="18"/>
        <v>132554.82</v>
      </c>
      <c r="I1175" s="83"/>
      <c r="K1175" s="54" t="s">
        <v>15</v>
      </c>
    </row>
    <row r="1176" spans="2:11" ht="33" x14ac:dyDescent="0.2">
      <c r="B1176" s="82" t="s">
        <v>3348</v>
      </c>
      <c r="C1176" s="82" t="s">
        <v>660</v>
      </c>
      <c r="D1176" s="83">
        <f>SUMIFS(D1177:D6462,K1177:K6462,"0",B1177:B6462,"5 1 1 1 3 12 31111 6 M59 63000 000132 0000R 00001 00113 015 2111100 2024*")-SUMIFS(E1177:E6462,K1177:K6462,"0",B1177:B6462,"5 1 1 1 3 12 31111 6 M59 63000 000132 0000R 00001 00113 015 2111100 2024*")</f>
        <v>0</v>
      </c>
      <c r="E1176" s="54"/>
      <c r="F1176" s="83">
        <f>SUMIFS(F1177:F6462,K1177:K6462,"0",B1177:B6462,"5 1 1 1 3 12 31111 6 M59 63000 000132 0000R 00001 00113 015 2111100 2024*")</f>
        <v>132554.82</v>
      </c>
      <c r="G1176" s="83">
        <f>SUMIFS(G1177:G6462,K1177:K6462,"0",B1177:B6462,"5 1 1 1 3 12 31111 6 M59 63000 000132 0000R 00001 00113 015 2111100 2024*")</f>
        <v>0</v>
      </c>
      <c r="H1176" s="83">
        <f t="shared" si="18"/>
        <v>132554.82</v>
      </c>
      <c r="I1176" s="83"/>
      <c r="K1176" s="54" t="s">
        <v>15</v>
      </c>
    </row>
    <row r="1177" spans="2:11" ht="41.25" x14ac:dyDescent="0.2">
      <c r="B1177" s="82" t="s">
        <v>3349</v>
      </c>
      <c r="C1177" s="82" t="s">
        <v>1056</v>
      </c>
      <c r="D1177" s="83">
        <f>SUMIFS(D1178:D6462,K1178:K6462,"0",B1178:B6462,"5 1 1 1 3 12 31111 6 M59 63000 000132 0000R 00001 00113 015 2111100 2024 CP1PR434*")-SUMIFS(E1178:E6462,K1178:K6462,"0",B1178:B6462,"5 1 1 1 3 12 31111 6 M59 63000 000132 0000R 00001 00113 015 2111100 2024 CP1PR434*")</f>
        <v>0</v>
      </c>
      <c r="E1177" s="54"/>
      <c r="F1177" s="83">
        <f>SUMIFS(F1178:F6462,K1178:K6462,"0",B1178:B6462,"5 1 1 1 3 12 31111 6 M59 63000 000132 0000R 00001 00113 015 2111100 2024 CP1PR434*")</f>
        <v>132554.82</v>
      </c>
      <c r="G1177" s="83">
        <f>SUMIFS(G1178:G6462,K1178:K6462,"0",B1178:B6462,"5 1 1 1 3 12 31111 6 M59 63000 000132 0000R 00001 00113 015 2111100 2024 CP1PR434*")</f>
        <v>0</v>
      </c>
      <c r="H1177" s="83">
        <f t="shared" si="18"/>
        <v>132554.82</v>
      </c>
      <c r="I1177" s="83"/>
      <c r="K1177" s="54" t="s">
        <v>15</v>
      </c>
    </row>
    <row r="1178" spans="2:11" ht="41.25" x14ac:dyDescent="0.2">
      <c r="B1178" s="82" t="s">
        <v>3350</v>
      </c>
      <c r="C1178" s="82" t="s">
        <v>282</v>
      </c>
      <c r="D1178" s="83">
        <f>SUMIFS(D1179:D6462,K1179:K6462,"0",B1179:B6462,"5 1 1 1 3 12 31111 6 M59 63000 000132 0000R 00001 00113 015 2111100 2024 CP1PR434 001*")-SUMIFS(E1179:E6462,K1179:K6462,"0",B1179:B6462,"5 1 1 1 3 12 31111 6 M59 63000 000132 0000R 00001 00113 015 2111100 2024 CP1PR434 001*")</f>
        <v>0</v>
      </c>
      <c r="E1178" s="54"/>
      <c r="F1178" s="83">
        <f>SUMIFS(F1179:F6462,K1179:K6462,"0",B1179:B6462,"5 1 1 1 3 12 31111 6 M59 63000 000132 0000R 00001 00113 015 2111100 2024 CP1PR434 001*")</f>
        <v>132554.82</v>
      </c>
      <c r="G1178" s="83">
        <f>SUMIFS(G1179:G6462,K1179:K6462,"0",B1179:B6462,"5 1 1 1 3 12 31111 6 M59 63000 000132 0000R 00001 00113 015 2111100 2024 CP1PR434 001*")</f>
        <v>0</v>
      </c>
      <c r="H1178" s="83">
        <f t="shared" si="18"/>
        <v>132554.82</v>
      </c>
      <c r="I1178" s="83"/>
      <c r="K1178" s="54" t="s">
        <v>15</v>
      </c>
    </row>
    <row r="1179" spans="2:11" ht="41.25" x14ac:dyDescent="0.2">
      <c r="B1179" s="84" t="s">
        <v>3351</v>
      </c>
      <c r="C1179" s="84" t="s">
        <v>2932</v>
      </c>
      <c r="D1179" s="85">
        <v>0</v>
      </c>
      <c r="E1179" s="85"/>
      <c r="F1179" s="85">
        <v>132554.82</v>
      </c>
      <c r="G1179" s="85">
        <v>0</v>
      </c>
      <c r="H1179" s="85">
        <f t="shared" si="18"/>
        <v>132554.82</v>
      </c>
      <c r="I1179" s="85"/>
      <c r="K1179" s="54" t="s">
        <v>38</v>
      </c>
    </row>
    <row r="1180" spans="2:11" ht="24.75" x14ac:dyDescent="0.2">
      <c r="B1180" s="82" t="s">
        <v>3352</v>
      </c>
      <c r="C1180" s="82" t="s">
        <v>3353</v>
      </c>
      <c r="D1180" s="83">
        <f>SUMIFS(D1181:D6462,K1181:K6462,"0",B1181:B6462,"5 1 1 1 3 12 31111 6 M59 64000*")-SUMIFS(E1181:E6462,K1181:K6462,"0",B1181:B6462,"5 1 1 1 3 12 31111 6 M59 64000*")</f>
        <v>0</v>
      </c>
      <c r="E1180" s="54"/>
      <c r="F1180" s="83">
        <f>SUMIFS(F1181:F6462,K1181:K6462,"0",B1181:B6462,"5 1 1 1 3 12 31111 6 M59 64000*")</f>
        <v>137293.95000000001</v>
      </c>
      <c r="G1180" s="83">
        <f>SUMIFS(G1181:G6462,K1181:K6462,"0",B1181:B6462,"5 1 1 1 3 12 31111 6 M59 64000*")</f>
        <v>0</v>
      </c>
      <c r="H1180" s="83">
        <f t="shared" si="18"/>
        <v>137293.95000000001</v>
      </c>
      <c r="I1180" s="83"/>
      <c r="K1180" s="54" t="s">
        <v>15</v>
      </c>
    </row>
    <row r="1181" spans="2:11" ht="16.5" x14ac:dyDescent="0.2">
      <c r="B1181" s="82" t="s">
        <v>3354</v>
      </c>
      <c r="C1181" s="82" t="s">
        <v>648</v>
      </c>
      <c r="D1181" s="83">
        <f>SUMIFS(D1182:D6462,K1182:K6462,"0",B1182:B6462,"5 1 1 1 3 12 31111 6 M59 64000 000132*")-SUMIFS(E1182:E6462,K1182:K6462,"0",B1182:B6462,"5 1 1 1 3 12 31111 6 M59 64000 000132*")</f>
        <v>0</v>
      </c>
      <c r="E1181" s="54"/>
      <c r="F1181" s="83">
        <f>SUMIFS(F1182:F6462,K1182:K6462,"0",B1182:B6462,"5 1 1 1 3 12 31111 6 M59 64000 000132*")</f>
        <v>137293.95000000001</v>
      </c>
      <c r="G1181" s="83">
        <f>SUMIFS(G1182:G6462,K1182:K6462,"0",B1182:B6462,"5 1 1 1 3 12 31111 6 M59 64000 000132*")</f>
        <v>0</v>
      </c>
      <c r="H1181" s="83">
        <f t="shared" si="18"/>
        <v>137293.95000000001</v>
      </c>
      <c r="I1181" s="83"/>
      <c r="K1181" s="54" t="s">
        <v>15</v>
      </c>
    </row>
    <row r="1182" spans="2:11" ht="16.5" x14ac:dyDescent="0.2">
      <c r="B1182" s="82" t="s">
        <v>3355</v>
      </c>
      <c r="C1182" s="82" t="s">
        <v>650</v>
      </c>
      <c r="D1182" s="83">
        <f>SUMIFS(D1183:D6462,K1183:K6462,"0",B1183:B6462,"5 1 1 1 3 12 31111 6 M59 64000 000132 0000R*")-SUMIFS(E1183:E6462,K1183:K6462,"0",B1183:B6462,"5 1 1 1 3 12 31111 6 M59 64000 000132 0000R*")</f>
        <v>0</v>
      </c>
      <c r="E1182" s="54"/>
      <c r="F1182" s="83">
        <f>SUMIFS(F1183:F6462,K1183:K6462,"0",B1183:B6462,"5 1 1 1 3 12 31111 6 M59 64000 000132 0000R*")</f>
        <v>137293.95000000001</v>
      </c>
      <c r="G1182" s="83">
        <f>SUMIFS(G1183:G6462,K1183:K6462,"0",B1183:B6462,"5 1 1 1 3 12 31111 6 M59 64000 000132 0000R*")</f>
        <v>0</v>
      </c>
      <c r="H1182" s="83">
        <f t="shared" si="18"/>
        <v>137293.95000000001</v>
      </c>
      <c r="I1182" s="83"/>
      <c r="K1182" s="54" t="s">
        <v>15</v>
      </c>
    </row>
    <row r="1183" spans="2:11" ht="24.75" x14ac:dyDescent="0.2">
      <c r="B1183" s="82" t="s">
        <v>3356</v>
      </c>
      <c r="C1183" s="82" t="s">
        <v>282</v>
      </c>
      <c r="D1183" s="83">
        <f>SUMIFS(D1184:D6462,K1184:K6462,"0",B1184:B6462,"5 1 1 1 3 12 31111 6 M59 64000 000132 0000R 00001*")-SUMIFS(E1184:E6462,K1184:K6462,"0",B1184:B6462,"5 1 1 1 3 12 31111 6 M59 64000 000132 0000R 00001*")</f>
        <v>0</v>
      </c>
      <c r="E1183" s="54"/>
      <c r="F1183" s="83">
        <f>SUMIFS(F1184:F6462,K1184:K6462,"0",B1184:B6462,"5 1 1 1 3 12 31111 6 M59 64000 000132 0000R 00001*")</f>
        <v>137293.95000000001</v>
      </c>
      <c r="G1183" s="83">
        <f>SUMIFS(G1184:G6462,K1184:K6462,"0",B1184:B6462,"5 1 1 1 3 12 31111 6 M59 64000 000132 0000R 00001*")</f>
        <v>0</v>
      </c>
      <c r="H1183" s="83">
        <f t="shared" si="18"/>
        <v>137293.95000000001</v>
      </c>
      <c r="I1183" s="83"/>
      <c r="K1183" s="54" t="s">
        <v>15</v>
      </c>
    </row>
    <row r="1184" spans="2:11" ht="24.75" x14ac:dyDescent="0.2">
      <c r="B1184" s="82" t="s">
        <v>3357</v>
      </c>
      <c r="C1184" s="82" t="s">
        <v>2924</v>
      </c>
      <c r="D1184" s="83">
        <f>SUMIFS(D1185:D6462,K1185:K6462,"0",B1185:B6462,"5 1 1 1 3 12 31111 6 M59 64000 000132 0000R 00001 00113*")-SUMIFS(E1185:E6462,K1185:K6462,"0",B1185:B6462,"5 1 1 1 3 12 31111 6 M59 64000 000132 0000R 00001 00113*")</f>
        <v>0</v>
      </c>
      <c r="E1184" s="54"/>
      <c r="F1184" s="83">
        <f>SUMIFS(F1185:F6462,K1185:K6462,"0",B1185:B6462,"5 1 1 1 3 12 31111 6 M59 64000 000132 0000R 00001 00113*")</f>
        <v>137293.95000000001</v>
      </c>
      <c r="G1184" s="83">
        <f>SUMIFS(G1185:G6462,K1185:K6462,"0",B1185:B6462,"5 1 1 1 3 12 31111 6 M59 64000 000132 0000R 00001 00113*")</f>
        <v>0</v>
      </c>
      <c r="H1184" s="83">
        <f t="shared" si="18"/>
        <v>137293.95000000001</v>
      </c>
      <c r="I1184" s="83"/>
      <c r="K1184" s="54" t="s">
        <v>15</v>
      </c>
    </row>
    <row r="1185" spans="2:11" ht="24.75" x14ac:dyDescent="0.2">
      <c r="B1185" s="82" t="s">
        <v>3358</v>
      </c>
      <c r="C1185" s="82" t="s">
        <v>1051</v>
      </c>
      <c r="D1185" s="83">
        <f>SUMIFS(D1186:D6462,K1186:K6462,"0",B1186:B6462,"5 1 1 1 3 12 31111 6 M59 64000 000132 0000R 00001 00113 015*")-SUMIFS(E1186:E6462,K1186:K6462,"0",B1186:B6462,"5 1 1 1 3 12 31111 6 M59 64000 000132 0000R 00001 00113 015*")</f>
        <v>0</v>
      </c>
      <c r="E1185" s="54"/>
      <c r="F1185" s="83">
        <f>SUMIFS(F1186:F6462,K1186:K6462,"0",B1186:B6462,"5 1 1 1 3 12 31111 6 M59 64000 000132 0000R 00001 00113 015*")</f>
        <v>137293.95000000001</v>
      </c>
      <c r="G1185" s="83">
        <f>SUMIFS(G1186:G6462,K1186:K6462,"0",B1186:B6462,"5 1 1 1 3 12 31111 6 M59 64000 000132 0000R 00001 00113 015*")</f>
        <v>0</v>
      </c>
      <c r="H1185" s="83">
        <f t="shared" si="18"/>
        <v>137293.95000000001</v>
      </c>
      <c r="I1185" s="83"/>
      <c r="K1185" s="54" t="s">
        <v>15</v>
      </c>
    </row>
    <row r="1186" spans="2:11" ht="33" x14ac:dyDescent="0.2">
      <c r="B1186" s="82" t="s">
        <v>3359</v>
      </c>
      <c r="C1186" s="82" t="s">
        <v>2927</v>
      </c>
      <c r="D1186" s="83">
        <f>SUMIFS(D1187:D6462,K1187:K6462,"0",B1187:B6462,"5 1 1 1 3 12 31111 6 M59 64000 000132 0000R 00001 00113 015 2111100*")-SUMIFS(E1187:E6462,K1187:K6462,"0",B1187:B6462,"5 1 1 1 3 12 31111 6 M59 64000 000132 0000R 00001 00113 015 2111100*")</f>
        <v>0</v>
      </c>
      <c r="E1186" s="54"/>
      <c r="F1186" s="83">
        <f>SUMIFS(F1187:F6462,K1187:K6462,"0",B1187:B6462,"5 1 1 1 3 12 31111 6 M59 64000 000132 0000R 00001 00113 015 2111100*")</f>
        <v>137293.95000000001</v>
      </c>
      <c r="G1186" s="83">
        <f>SUMIFS(G1187:G6462,K1187:K6462,"0",B1187:B6462,"5 1 1 1 3 12 31111 6 M59 64000 000132 0000R 00001 00113 015 2111100*")</f>
        <v>0</v>
      </c>
      <c r="H1186" s="83">
        <f t="shared" si="18"/>
        <v>137293.95000000001</v>
      </c>
      <c r="I1186" s="83"/>
      <c r="K1186" s="54" t="s">
        <v>15</v>
      </c>
    </row>
    <row r="1187" spans="2:11" ht="33" x14ac:dyDescent="0.2">
      <c r="B1187" s="82" t="s">
        <v>3360</v>
      </c>
      <c r="C1187" s="82" t="s">
        <v>660</v>
      </c>
      <c r="D1187" s="83">
        <f>SUMIFS(D1188:D6462,K1188:K6462,"0",B1188:B6462,"5 1 1 1 3 12 31111 6 M59 64000 000132 0000R 00001 00113 015 2111100 2024*")-SUMIFS(E1188:E6462,K1188:K6462,"0",B1188:B6462,"5 1 1 1 3 12 31111 6 M59 64000 000132 0000R 00001 00113 015 2111100 2024*")</f>
        <v>0</v>
      </c>
      <c r="E1187" s="54"/>
      <c r="F1187" s="83">
        <f>SUMIFS(F1188:F6462,K1188:K6462,"0",B1188:B6462,"5 1 1 1 3 12 31111 6 M59 64000 000132 0000R 00001 00113 015 2111100 2024*")</f>
        <v>137293.95000000001</v>
      </c>
      <c r="G1187" s="83">
        <f>SUMIFS(G1188:G6462,K1188:K6462,"0",B1188:B6462,"5 1 1 1 3 12 31111 6 M59 64000 000132 0000R 00001 00113 015 2111100 2024*")</f>
        <v>0</v>
      </c>
      <c r="H1187" s="83">
        <f t="shared" si="18"/>
        <v>137293.95000000001</v>
      </c>
      <c r="I1187" s="83"/>
      <c r="K1187" s="54" t="s">
        <v>15</v>
      </c>
    </row>
    <row r="1188" spans="2:11" ht="41.25" x14ac:dyDescent="0.2">
      <c r="B1188" s="82" t="s">
        <v>3361</v>
      </c>
      <c r="C1188" s="82" t="s">
        <v>1056</v>
      </c>
      <c r="D1188" s="83">
        <f>SUMIFS(D1189:D6462,K1189:K6462,"0",B1189:B6462,"5 1 1 1 3 12 31111 6 M59 64000 000132 0000R 00001 00113 015 2111100 2024 CP1IG433*")-SUMIFS(E1189:E6462,K1189:K6462,"0",B1189:B6462,"5 1 1 1 3 12 31111 6 M59 64000 000132 0000R 00001 00113 015 2111100 2024 CP1IG433*")</f>
        <v>0</v>
      </c>
      <c r="E1188" s="54"/>
      <c r="F1188" s="83">
        <f>SUMIFS(F1189:F6462,K1189:K6462,"0",B1189:B6462,"5 1 1 1 3 12 31111 6 M59 64000 000132 0000R 00001 00113 015 2111100 2024 CP1IG433*")</f>
        <v>137293.95000000001</v>
      </c>
      <c r="G1188" s="83">
        <f>SUMIFS(G1189:G6462,K1189:K6462,"0",B1189:B6462,"5 1 1 1 3 12 31111 6 M59 64000 000132 0000R 00001 00113 015 2111100 2024 CP1IG433*")</f>
        <v>0</v>
      </c>
      <c r="H1188" s="83">
        <f t="shared" si="18"/>
        <v>137293.95000000001</v>
      </c>
      <c r="I1188" s="83"/>
      <c r="K1188" s="54" t="s">
        <v>15</v>
      </c>
    </row>
    <row r="1189" spans="2:11" ht="41.25" x14ac:dyDescent="0.2">
      <c r="B1189" s="82" t="s">
        <v>3362</v>
      </c>
      <c r="C1189" s="82" t="s">
        <v>282</v>
      </c>
      <c r="D1189" s="83">
        <f>SUMIFS(D1190:D6462,K1190:K6462,"0",B1190:B6462,"5 1 1 1 3 12 31111 6 M59 64000 000132 0000R 00001 00113 015 2111100 2024 CP1IG433 001*")-SUMIFS(E1190:E6462,K1190:K6462,"0",B1190:B6462,"5 1 1 1 3 12 31111 6 M59 64000 000132 0000R 00001 00113 015 2111100 2024 CP1IG433 001*")</f>
        <v>0</v>
      </c>
      <c r="E1189" s="54"/>
      <c r="F1189" s="83">
        <f>SUMIFS(F1190:F6462,K1190:K6462,"0",B1190:B6462,"5 1 1 1 3 12 31111 6 M59 64000 000132 0000R 00001 00113 015 2111100 2024 CP1IG433 001*")</f>
        <v>137293.95000000001</v>
      </c>
      <c r="G1189" s="83">
        <f>SUMIFS(G1190:G6462,K1190:K6462,"0",B1190:B6462,"5 1 1 1 3 12 31111 6 M59 64000 000132 0000R 00001 00113 015 2111100 2024 CP1IG433 001*")</f>
        <v>0</v>
      </c>
      <c r="H1189" s="83">
        <f t="shared" si="18"/>
        <v>137293.95000000001</v>
      </c>
      <c r="I1189" s="83"/>
      <c r="K1189" s="54" t="s">
        <v>15</v>
      </c>
    </row>
    <row r="1190" spans="2:11" ht="41.25" x14ac:dyDescent="0.2">
      <c r="B1190" s="84" t="s">
        <v>3363</v>
      </c>
      <c r="C1190" s="84" t="s">
        <v>2932</v>
      </c>
      <c r="D1190" s="85">
        <v>0</v>
      </c>
      <c r="E1190" s="85"/>
      <c r="F1190" s="85">
        <v>137293.95000000001</v>
      </c>
      <c r="G1190" s="85">
        <v>0</v>
      </c>
      <c r="H1190" s="85">
        <f t="shared" si="18"/>
        <v>137293.95000000001</v>
      </c>
      <c r="I1190" s="85"/>
      <c r="K1190" s="54" t="s">
        <v>38</v>
      </c>
    </row>
    <row r="1191" spans="2:11" ht="24.75" x14ac:dyDescent="0.2">
      <c r="B1191" s="82" t="s">
        <v>3364</v>
      </c>
      <c r="C1191" s="82" t="s">
        <v>3365</v>
      </c>
      <c r="D1191" s="83">
        <f>SUMIFS(D1192:D6462,K1192:K6462,"0",B1192:B6462,"5 1 1 1 3 12 31111 6 M59 65000*")-SUMIFS(E1192:E6462,K1192:K6462,"0",B1192:B6462,"5 1 1 1 3 12 31111 6 M59 65000*")</f>
        <v>0</v>
      </c>
      <c r="E1191" s="54"/>
      <c r="F1191" s="83">
        <f>SUMIFS(F1192:F6462,K1192:K6462,"0",B1192:B6462,"5 1 1 1 3 12 31111 6 M59 65000*")</f>
        <v>156101.34</v>
      </c>
      <c r="G1191" s="83">
        <f>SUMIFS(G1192:G6462,K1192:K6462,"0",B1192:B6462,"5 1 1 1 3 12 31111 6 M59 65000*")</f>
        <v>0</v>
      </c>
      <c r="H1191" s="83">
        <f t="shared" si="18"/>
        <v>156101.34</v>
      </c>
      <c r="I1191" s="83"/>
      <c r="K1191" s="54" t="s">
        <v>15</v>
      </c>
    </row>
    <row r="1192" spans="2:11" ht="16.5" x14ac:dyDescent="0.2">
      <c r="B1192" s="82" t="s">
        <v>3366</v>
      </c>
      <c r="C1192" s="82" t="s">
        <v>648</v>
      </c>
      <c r="D1192" s="83">
        <f>SUMIFS(D1193:D6462,K1193:K6462,"0",B1193:B6462,"5 1 1 1 3 12 31111 6 M59 65000 000132*")-SUMIFS(E1193:E6462,K1193:K6462,"0",B1193:B6462,"5 1 1 1 3 12 31111 6 M59 65000 000132*")</f>
        <v>0</v>
      </c>
      <c r="E1192" s="54"/>
      <c r="F1192" s="83">
        <f>SUMIFS(F1193:F6462,K1193:K6462,"0",B1193:B6462,"5 1 1 1 3 12 31111 6 M59 65000 000132*")</f>
        <v>156101.34</v>
      </c>
      <c r="G1192" s="83">
        <f>SUMIFS(G1193:G6462,K1193:K6462,"0",B1193:B6462,"5 1 1 1 3 12 31111 6 M59 65000 000132*")</f>
        <v>0</v>
      </c>
      <c r="H1192" s="83">
        <f t="shared" si="18"/>
        <v>156101.34</v>
      </c>
      <c r="I1192" s="83"/>
      <c r="K1192" s="54" t="s">
        <v>15</v>
      </c>
    </row>
    <row r="1193" spans="2:11" ht="16.5" x14ac:dyDescent="0.2">
      <c r="B1193" s="82" t="s">
        <v>3367</v>
      </c>
      <c r="C1193" s="82" t="s">
        <v>650</v>
      </c>
      <c r="D1193" s="83">
        <f>SUMIFS(D1194:D6462,K1194:K6462,"0",B1194:B6462,"5 1 1 1 3 12 31111 6 M59 65000 000132 0000R*")-SUMIFS(E1194:E6462,K1194:K6462,"0",B1194:B6462,"5 1 1 1 3 12 31111 6 M59 65000 000132 0000R*")</f>
        <v>0</v>
      </c>
      <c r="E1193" s="54"/>
      <c r="F1193" s="83">
        <f>SUMIFS(F1194:F6462,K1194:K6462,"0",B1194:B6462,"5 1 1 1 3 12 31111 6 M59 65000 000132 0000R*")</f>
        <v>156101.34</v>
      </c>
      <c r="G1193" s="83">
        <f>SUMIFS(G1194:G6462,K1194:K6462,"0",B1194:B6462,"5 1 1 1 3 12 31111 6 M59 65000 000132 0000R*")</f>
        <v>0</v>
      </c>
      <c r="H1193" s="83">
        <f t="shared" si="18"/>
        <v>156101.34</v>
      </c>
      <c r="I1193" s="83"/>
      <c r="K1193" s="54" t="s">
        <v>15</v>
      </c>
    </row>
    <row r="1194" spans="2:11" ht="24.75" x14ac:dyDescent="0.2">
      <c r="B1194" s="82" t="s">
        <v>3368</v>
      </c>
      <c r="C1194" s="82" t="s">
        <v>282</v>
      </c>
      <c r="D1194" s="83">
        <f>SUMIFS(D1195:D6462,K1195:K6462,"0",B1195:B6462,"5 1 1 1 3 12 31111 6 M59 65000 000132 0000R 00001*")-SUMIFS(E1195:E6462,K1195:K6462,"0",B1195:B6462,"5 1 1 1 3 12 31111 6 M59 65000 000132 0000R 00001*")</f>
        <v>0</v>
      </c>
      <c r="E1194" s="54"/>
      <c r="F1194" s="83">
        <f>SUMIFS(F1195:F6462,K1195:K6462,"0",B1195:B6462,"5 1 1 1 3 12 31111 6 M59 65000 000132 0000R 00001*")</f>
        <v>156101.34</v>
      </c>
      <c r="G1194" s="83">
        <f>SUMIFS(G1195:G6462,K1195:K6462,"0",B1195:B6462,"5 1 1 1 3 12 31111 6 M59 65000 000132 0000R 00001*")</f>
        <v>0</v>
      </c>
      <c r="H1194" s="83">
        <f t="shared" si="18"/>
        <v>156101.34</v>
      </c>
      <c r="I1194" s="83"/>
      <c r="K1194" s="54" t="s">
        <v>15</v>
      </c>
    </row>
    <row r="1195" spans="2:11" ht="24.75" x14ac:dyDescent="0.2">
      <c r="B1195" s="82" t="s">
        <v>3369</v>
      </c>
      <c r="C1195" s="82" t="s">
        <v>2924</v>
      </c>
      <c r="D1195" s="83">
        <f>SUMIFS(D1196:D6462,K1196:K6462,"0",B1196:B6462,"5 1 1 1 3 12 31111 6 M59 65000 000132 0000R 00001 00113*")-SUMIFS(E1196:E6462,K1196:K6462,"0",B1196:B6462,"5 1 1 1 3 12 31111 6 M59 65000 000132 0000R 00001 00113*")</f>
        <v>0</v>
      </c>
      <c r="E1195" s="54"/>
      <c r="F1195" s="83">
        <f>SUMIFS(F1196:F6462,K1196:K6462,"0",B1196:B6462,"5 1 1 1 3 12 31111 6 M59 65000 000132 0000R 00001 00113*")</f>
        <v>156101.34</v>
      </c>
      <c r="G1195" s="83">
        <f>SUMIFS(G1196:G6462,K1196:K6462,"0",B1196:B6462,"5 1 1 1 3 12 31111 6 M59 65000 000132 0000R 00001 00113*")</f>
        <v>0</v>
      </c>
      <c r="H1195" s="83">
        <f t="shared" ref="H1195:H1258" si="19">D1195 + F1195 - G1195</f>
        <v>156101.34</v>
      </c>
      <c r="I1195" s="83"/>
      <c r="K1195" s="54" t="s">
        <v>15</v>
      </c>
    </row>
    <row r="1196" spans="2:11" ht="24.75" x14ac:dyDescent="0.2">
      <c r="B1196" s="82" t="s">
        <v>3370</v>
      </c>
      <c r="C1196" s="82" t="s">
        <v>1051</v>
      </c>
      <c r="D1196" s="83">
        <f>SUMIFS(D1197:D6462,K1197:K6462,"0",B1197:B6462,"5 1 1 1 3 12 31111 6 M59 65000 000132 0000R 00001 00113 015*")-SUMIFS(E1197:E6462,K1197:K6462,"0",B1197:B6462,"5 1 1 1 3 12 31111 6 M59 65000 000132 0000R 00001 00113 015*")</f>
        <v>0</v>
      </c>
      <c r="E1196" s="54"/>
      <c r="F1196" s="83">
        <f>SUMIFS(F1197:F6462,K1197:K6462,"0",B1197:B6462,"5 1 1 1 3 12 31111 6 M59 65000 000132 0000R 00001 00113 015*")</f>
        <v>156101.34</v>
      </c>
      <c r="G1196" s="83">
        <f>SUMIFS(G1197:G6462,K1197:K6462,"0",B1197:B6462,"5 1 1 1 3 12 31111 6 M59 65000 000132 0000R 00001 00113 015*")</f>
        <v>0</v>
      </c>
      <c r="H1196" s="83">
        <f t="shared" si="19"/>
        <v>156101.34</v>
      </c>
      <c r="I1196" s="83"/>
      <c r="K1196" s="54" t="s">
        <v>15</v>
      </c>
    </row>
    <row r="1197" spans="2:11" ht="33" x14ac:dyDescent="0.2">
      <c r="B1197" s="82" t="s">
        <v>3371</v>
      </c>
      <c r="C1197" s="82" t="s">
        <v>2927</v>
      </c>
      <c r="D1197" s="83">
        <f>SUMIFS(D1198:D6462,K1198:K6462,"0",B1198:B6462,"5 1 1 1 3 12 31111 6 M59 65000 000132 0000R 00001 00113 015 2111100*")-SUMIFS(E1198:E6462,K1198:K6462,"0",B1198:B6462,"5 1 1 1 3 12 31111 6 M59 65000 000132 0000R 00001 00113 015 2111100*")</f>
        <v>0</v>
      </c>
      <c r="E1197" s="54"/>
      <c r="F1197" s="83">
        <f>SUMIFS(F1198:F6462,K1198:K6462,"0",B1198:B6462,"5 1 1 1 3 12 31111 6 M59 65000 000132 0000R 00001 00113 015 2111100*")</f>
        <v>156101.34</v>
      </c>
      <c r="G1197" s="83">
        <f>SUMIFS(G1198:G6462,K1198:K6462,"0",B1198:B6462,"5 1 1 1 3 12 31111 6 M59 65000 000132 0000R 00001 00113 015 2111100*")</f>
        <v>0</v>
      </c>
      <c r="H1197" s="83">
        <f t="shared" si="19"/>
        <v>156101.34</v>
      </c>
      <c r="I1197" s="83"/>
      <c r="K1197" s="54" t="s">
        <v>15</v>
      </c>
    </row>
    <row r="1198" spans="2:11" ht="33" x14ac:dyDescent="0.2">
      <c r="B1198" s="82" t="s">
        <v>3372</v>
      </c>
      <c r="C1198" s="82" t="s">
        <v>660</v>
      </c>
      <c r="D1198" s="83">
        <f>SUMIFS(D1199:D6462,K1199:K6462,"0",B1199:B6462,"5 1 1 1 3 12 31111 6 M59 65000 000132 0000R 00001 00113 015 2111100 2024*")-SUMIFS(E1199:E6462,K1199:K6462,"0",B1199:B6462,"5 1 1 1 3 12 31111 6 M59 65000 000132 0000R 00001 00113 015 2111100 2024*")</f>
        <v>0</v>
      </c>
      <c r="E1198" s="54"/>
      <c r="F1198" s="83">
        <f>SUMIFS(F1199:F6462,K1199:K6462,"0",B1199:B6462,"5 1 1 1 3 12 31111 6 M59 65000 000132 0000R 00001 00113 015 2111100 2024*")</f>
        <v>156101.34</v>
      </c>
      <c r="G1198" s="83">
        <f>SUMIFS(G1199:G6462,K1199:K6462,"0",B1199:B6462,"5 1 1 1 3 12 31111 6 M59 65000 000132 0000R 00001 00113 015 2111100 2024*")</f>
        <v>0</v>
      </c>
      <c r="H1198" s="83">
        <f t="shared" si="19"/>
        <v>156101.34</v>
      </c>
      <c r="I1198" s="83"/>
      <c r="K1198" s="54" t="s">
        <v>15</v>
      </c>
    </row>
    <row r="1199" spans="2:11" ht="41.25" x14ac:dyDescent="0.2">
      <c r="B1199" s="82" t="s">
        <v>3373</v>
      </c>
      <c r="C1199" s="82" t="s">
        <v>1056</v>
      </c>
      <c r="D1199" s="83">
        <f>SUMIFS(D1200:D6462,K1200:K6462,"0",B1200:B6462,"5 1 1 1 3 12 31111 6 M59 65000 000132 0000R 00001 00113 015 2111100 2024 CP1EV381*")-SUMIFS(E1200:E6462,K1200:K6462,"0",B1200:B6462,"5 1 1 1 3 12 31111 6 M59 65000 000132 0000R 00001 00113 015 2111100 2024 CP1EV381*")</f>
        <v>0</v>
      </c>
      <c r="E1199" s="54"/>
      <c r="F1199" s="83">
        <f>SUMIFS(F1200:F6462,K1200:K6462,"0",B1200:B6462,"5 1 1 1 3 12 31111 6 M59 65000 000132 0000R 00001 00113 015 2111100 2024 CP1EV381*")</f>
        <v>156101.34</v>
      </c>
      <c r="G1199" s="83">
        <f>SUMIFS(G1200:G6462,K1200:K6462,"0",B1200:B6462,"5 1 1 1 3 12 31111 6 M59 65000 000132 0000R 00001 00113 015 2111100 2024 CP1EV381*")</f>
        <v>0</v>
      </c>
      <c r="H1199" s="83">
        <f t="shared" si="19"/>
        <v>156101.34</v>
      </c>
      <c r="I1199" s="83"/>
      <c r="K1199" s="54" t="s">
        <v>15</v>
      </c>
    </row>
    <row r="1200" spans="2:11" ht="41.25" x14ac:dyDescent="0.2">
      <c r="B1200" s="82" t="s">
        <v>3374</v>
      </c>
      <c r="C1200" s="82" t="s">
        <v>282</v>
      </c>
      <c r="D1200" s="83">
        <f>SUMIFS(D1201:D6462,K1201:K6462,"0",B1201:B6462,"5 1 1 1 3 12 31111 6 M59 65000 000132 0000R 00001 00113 015 2111100 2024 CP1EV381 001*")-SUMIFS(E1201:E6462,K1201:K6462,"0",B1201:B6462,"5 1 1 1 3 12 31111 6 M59 65000 000132 0000R 00001 00113 015 2111100 2024 CP1EV381 001*")</f>
        <v>0</v>
      </c>
      <c r="E1200" s="54"/>
      <c r="F1200" s="83">
        <f>SUMIFS(F1201:F6462,K1201:K6462,"0",B1201:B6462,"5 1 1 1 3 12 31111 6 M59 65000 000132 0000R 00001 00113 015 2111100 2024 CP1EV381 001*")</f>
        <v>156101.34</v>
      </c>
      <c r="G1200" s="83">
        <f>SUMIFS(G1201:G6462,K1201:K6462,"0",B1201:B6462,"5 1 1 1 3 12 31111 6 M59 65000 000132 0000R 00001 00113 015 2111100 2024 CP1EV381 001*")</f>
        <v>0</v>
      </c>
      <c r="H1200" s="83">
        <f t="shared" si="19"/>
        <v>156101.34</v>
      </c>
      <c r="I1200" s="83"/>
      <c r="K1200" s="54" t="s">
        <v>15</v>
      </c>
    </row>
    <row r="1201" spans="2:11" ht="33" x14ac:dyDescent="0.2">
      <c r="B1201" s="84" t="s">
        <v>3375</v>
      </c>
      <c r="C1201" s="84" t="s">
        <v>2932</v>
      </c>
      <c r="D1201" s="85">
        <v>0</v>
      </c>
      <c r="E1201" s="85"/>
      <c r="F1201" s="85">
        <v>156101.34</v>
      </c>
      <c r="G1201" s="85">
        <v>0</v>
      </c>
      <c r="H1201" s="85">
        <f t="shared" si="19"/>
        <v>156101.34</v>
      </c>
      <c r="I1201" s="85"/>
      <c r="K1201" s="54" t="s">
        <v>38</v>
      </c>
    </row>
    <row r="1202" spans="2:11" ht="16.5" x14ac:dyDescent="0.2">
      <c r="B1202" s="82" t="s">
        <v>3376</v>
      </c>
      <c r="C1202" s="82" t="s">
        <v>3377</v>
      </c>
      <c r="D1202" s="83">
        <f>SUMIFS(D1203:D6462,K1203:K6462,"0",B1203:B6462,"5 1 1 1 3 12 31111 6 M59 70000*")-SUMIFS(E1203:E6462,K1203:K6462,"0",B1203:B6462,"5 1 1 1 3 12 31111 6 M59 70000*")</f>
        <v>0</v>
      </c>
      <c r="E1202" s="54"/>
      <c r="F1202" s="83">
        <f>SUMIFS(F1203:F6462,K1203:K6462,"0",B1203:B6462,"5 1 1 1 3 12 31111 6 M59 70000*")</f>
        <v>81643.02</v>
      </c>
      <c r="G1202" s="83">
        <f>SUMIFS(G1203:G6462,K1203:K6462,"0",B1203:B6462,"5 1 1 1 3 12 31111 6 M59 70000*")</f>
        <v>0</v>
      </c>
      <c r="H1202" s="83">
        <f t="shared" si="19"/>
        <v>81643.02</v>
      </c>
      <c r="I1202" s="83"/>
      <c r="K1202" s="54" t="s">
        <v>15</v>
      </c>
    </row>
    <row r="1203" spans="2:11" ht="16.5" x14ac:dyDescent="0.2">
      <c r="B1203" s="82" t="s">
        <v>3378</v>
      </c>
      <c r="C1203" s="82" t="s">
        <v>648</v>
      </c>
      <c r="D1203" s="83">
        <f>SUMIFS(D1204:D6462,K1204:K6462,"0",B1204:B6462,"5 1 1 1 3 12 31111 6 M59 70000 000132*")-SUMIFS(E1204:E6462,K1204:K6462,"0",B1204:B6462,"5 1 1 1 3 12 31111 6 M59 70000 000132*")</f>
        <v>0</v>
      </c>
      <c r="E1203" s="54"/>
      <c r="F1203" s="83">
        <f>SUMIFS(F1204:F6462,K1204:K6462,"0",B1204:B6462,"5 1 1 1 3 12 31111 6 M59 70000 000132*")</f>
        <v>81643.02</v>
      </c>
      <c r="G1203" s="83">
        <f>SUMIFS(G1204:G6462,K1204:K6462,"0",B1204:B6462,"5 1 1 1 3 12 31111 6 M59 70000 000132*")</f>
        <v>0</v>
      </c>
      <c r="H1203" s="83">
        <f t="shared" si="19"/>
        <v>81643.02</v>
      </c>
      <c r="I1203" s="83"/>
      <c r="K1203" s="54" t="s">
        <v>15</v>
      </c>
    </row>
    <row r="1204" spans="2:11" ht="16.5" x14ac:dyDescent="0.2">
      <c r="B1204" s="82" t="s">
        <v>3379</v>
      </c>
      <c r="C1204" s="82" t="s">
        <v>650</v>
      </c>
      <c r="D1204" s="83">
        <f>SUMIFS(D1205:D6462,K1205:K6462,"0",B1205:B6462,"5 1 1 1 3 12 31111 6 M59 70000 000132 0000R*")-SUMIFS(E1205:E6462,K1205:K6462,"0",B1205:B6462,"5 1 1 1 3 12 31111 6 M59 70000 000132 0000R*")</f>
        <v>0</v>
      </c>
      <c r="E1204" s="54"/>
      <c r="F1204" s="83">
        <f>SUMIFS(F1205:F6462,K1205:K6462,"0",B1205:B6462,"5 1 1 1 3 12 31111 6 M59 70000 000132 0000R*")</f>
        <v>81643.02</v>
      </c>
      <c r="G1204" s="83">
        <f>SUMIFS(G1205:G6462,K1205:K6462,"0",B1205:B6462,"5 1 1 1 3 12 31111 6 M59 70000 000132 0000R*")</f>
        <v>0</v>
      </c>
      <c r="H1204" s="83">
        <f t="shared" si="19"/>
        <v>81643.02</v>
      </c>
      <c r="I1204" s="83"/>
      <c r="K1204" s="54" t="s">
        <v>15</v>
      </c>
    </row>
    <row r="1205" spans="2:11" ht="24.75" x14ac:dyDescent="0.2">
      <c r="B1205" s="82" t="s">
        <v>3380</v>
      </c>
      <c r="C1205" s="82" t="s">
        <v>282</v>
      </c>
      <c r="D1205" s="83">
        <f>SUMIFS(D1206:D6462,K1206:K6462,"0",B1206:B6462,"5 1 1 1 3 12 31111 6 M59 70000 000132 0000R 00001*")-SUMIFS(E1206:E6462,K1206:K6462,"0",B1206:B6462,"5 1 1 1 3 12 31111 6 M59 70000 000132 0000R 00001*")</f>
        <v>0</v>
      </c>
      <c r="E1205" s="54"/>
      <c r="F1205" s="83">
        <f>SUMIFS(F1206:F6462,K1206:K6462,"0",B1206:B6462,"5 1 1 1 3 12 31111 6 M59 70000 000132 0000R 00001*")</f>
        <v>81643.02</v>
      </c>
      <c r="G1205" s="83">
        <f>SUMIFS(G1206:G6462,K1206:K6462,"0",B1206:B6462,"5 1 1 1 3 12 31111 6 M59 70000 000132 0000R 00001*")</f>
        <v>0</v>
      </c>
      <c r="H1205" s="83">
        <f t="shared" si="19"/>
        <v>81643.02</v>
      </c>
      <c r="I1205" s="83"/>
      <c r="K1205" s="54" t="s">
        <v>15</v>
      </c>
    </row>
    <row r="1206" spans="2:11" ht="24.75" x14ac:dyDescent="0.2">
      <c r="B1206" s="82" t="s">
        <v>3381</v>
      </c>
      <c r="C1206" s="82" t="s">
        <v>2924</v>
      </c>
      <c r="D1206" s="83">
        <f>SUMIFS(D1207:D6462,K1207:K6462,"0",B1207:B6462,"5 1 1 1 3 12 31111 6 M59 70000 000132 0000R 00001 00113*")-SUMIFS(E1207:E6462,K1207:K6462,"0",B1207:B6462,"5 1 1 1 3 12 31111 6 M59 70000 000132 0000R 00001 00113*")</f>
        <v>0</v>
      </c>
      <c r="E1206" s="54"/>
      <c r="F1206" s="83">
        <f>SUMIFS(F1207:F6462,K1207:K6462,"0",B1207:B6462,"5 1 1 1 3 12 31111 6 M59 70000 000132 0000R 00001 00113*")</f>
        <v>81643.02</v>
      </c>
      <c r="G1206" s="83">
        <f>SUMIFS(G1207:G6462,K1207:K6462,"0",B1207:B6462,"5 1 1 1 3 12 31111 6 M59 70000 000132 0000R 00001 00113*")</f>
        <v>0</v>
      </c>
      <c r="H1206" s="83">
        <f t="shared" si="19"/>
        <v>81643.02</v>
      </c>
      <c r="I1206" s="83"/>
      <c r="K1206" s="54" t="s">
        <v>15</v>
      </c>
    </row>
    <row r="1207" spans="2:11" ht="24.75" x14ac:dyDescent="0.2">
      <c r="B1207" s="82" t="s">
        <v>3382</v>
      </c>
      <c r="C1207" s="82" t="s">
        <v>1051</v>
      </c>
      <c r="D1207" s="83">
        <f>SUMIFS(D1208:D6462,K1208:K6462,"0",B1208:B6462,"5 1 1 1 3 12 31111 6 M59 70000 000132 0000R 00001 00113 015*")-SUMIFS(E1208:E6462,K1208:K6462,"0",B1208:B6462,"5 1 1 1 3 12 31111 6 M59 70000 000132 0000R 00001 00113 015*")</f>
        <v>0</v>
      </c>
      <c r="E1207" s="54"/>
      <c r="F1207" s="83">
        <f>SUMIFS(F1208:F6462,K1208:K6462,"0",B1208:B6462,"5 1 1 1 3 12 31111 6 M59 70000 000132 0000R 00001 00113 015*")</f>
        <v>81643.02</v>
      </c>
      <c r="G1207" s="83">
        <f>SUMIFS(G1208:G6462,K1208:K6462,"0",B1208:B6462,"5 1 1 1 3 12 31111 6 M59 70000 000132 0000R 00001 00113 015*")</f>
        <v>0</v>
      </c>
      <c r="H1207" s="83">
        <f t="shared" si="19"/>
        <v>81643.02</v>
      </c>
      <c r="I1207" s="83"/>
      <c r="K1207" s="54" t="s">
        <v>15</v>
      </c>
    </row>
    <row r="1208" spans="2:11" ht="33" x14ac:dyDescent="0.2">
      <c r="B1208" s="82" t="s">
        <v>3383</v>
      </c>
      <c r="C1208" s="82" t="s">
        <v>2927</v>
      </c>
      <c r="D1208" s="83">
        <f>SUMIFS(D1209:D6462,K1209:K6462,"0",B1209:B6462,"5 1 1 1 3 12 31111 6 M59 70000 000132 0000R 00001 00113 015 2111100*")-SUMIFS(E1209:E6462,K1209:K6462,"0",B1209:B6462,"5 1 1 1 3 12 31111 6 M59 70000 000132 0000R 00001 00113 015 2111100*")</f>
        <v>0</v>
      </c>
      <c r="E1208" s="54"/>
      <c r="F1208" s="83">
        <f>SUMIFS(F1209:F6462,K1209:K6462,"0",B1209:B6462,"5 1 1 1 3 12 31111 6 M59 70000 000132 0000R 00001 00113 015 2111100*")</f>
        <v>81643.02</v>
      </c>
      <c r="G1208" s="83">
        <f>SUMIFS(G1209:G6462,K1209:K6462,"0",B1209:B6462,"5 1 1 1 3 12 31111 6 M59 70000 000132 0000R 00001 00113 015 2111100*")</f>
        <v>0</v>
      </c>
      <c r="H1208" s="83">
        <f t="shared" si="19"/>
        <v>81643.02</v>
      </c>
      <c r="I1208" s="83"/>
      <c r="K1208" s="54" t="s">
        <v>15</v>
      </c>
    </row>
    <row r="1209" spans="2:11" ht="33" x14ac:dyDescent="0.2">
      <c r="B1209" s="82" t="s">
        <v>3384</v>
      </c>
      <c r="C1209" s="82" t="s">
        <v>660</v>
      </c>
      <c r="D1209" s="83">
        <f>SUMIFS(D1210:D6462,K1210:K6462,"0",B1210:B6462,"5 1 1 1 3 12 31111 6 M59 70000 000132 0000R 00001 00113 015 2111100 2024*")-SUMIFS(E1210:E6462,K1210:K6462,"0",B1210:B6462,"5 1 1 1 3 12 31111 6 M59 70000 000132 0000R 00001 00113 015 2111100 2024*")</f>
        <v>0</v>
      </c>
      <c r="E1209" s="54"/>
      <c r="F1209" s="83">
        <f>SUMIFS(F1210:F6462,K1210:K6462,"0",B1210:B6462,"5 1 1 1 3 12 31111 6 M59 70000 000132 0000R 00001 00113 015 2111100 2024*")</f>
        <v>81643.02</v>
      </c>
      <c r="G1209" s="83">
        <f>SUMIFS(G1210:G6462,K1210:K6462,"0",B1210:B6462,"5 1 1 1 3 12 31111 6 M59 70000 000132 0000R 00001 00113 015 2111100 2024*")</f>
        <v>0</v>
      </c>
      <c r="H1209" s="83">
        <f t="shared" si="19"/>
        <v>81643.02</v>
      </c>
      <c r="I1209" s="83"/>
      <c r="K1209" s="54" t="s">
        <v>15</v>
      </c>
    </row>
    <row r="1210" spans="2:11" ht="41.25" x14ac:dyDescent="0.2">
      <c r="B1210" s="82" t="s">
        <v>3385</v>
      </c>
      <c r="C1210" s="82" t="s">
        <v>1056</v>
      </c>
      <c r="D1210" s="83">
        <f>SUMIFS(D1211:D6462,K1211:K6462,"0",B1211:B6462,"5 1 1 1 3 12 31111 6 M59 70000 000132 0000R 00001 00113 015 2111100 2024 CP1DS387*")-SUMIFS(E1211:E6462,K1211:K6462,"0",B1211:B6462,"5 1 1 1 3 12 31111 6 M59 70000 000132 0000R 00001 00113 015 2111100 2024 CP1DS387*")</f>
        <v>0</v>
      </c>
      <c r="E1210" s="54"/>
      <c r="F1210" s="83">
        <f>SUMIFS(F1211:F6462,K1211:K6462,"0",B1211:B6462,"5 1 1 1 3 12 31111 6 M59 70000 000132 0000R 00001 00113 015 2111100 2024 CP1DS387*")</f>
        <v>81643.02</v>
      </c>
      <c r="G1210" s="83">
        <f>SUMIFS(G1211:G6462,K1211:K6462,"0",B1211:B6462,"5 1 1 1 3 12 31111 6 M59 70000 000132 0000R 00001 00113 015 2111100 2024 CP1DS387*")</f>
        <v>0</v>
      </c>
      <c r="H1210" s="83">
        <f t="shared" si="19"/>
        <v>81643.02</v>
      </c>
      <c r="I1210" s="83"/>
      <c r="K1210" s="54" t="s">
        <v>15</v>
      </c>
    </row>
    <row r="1211" spans="2:11" ht="41.25" x14ac:dyDescent="0.2">
      <c r="B1211" s="82" t="s">
        <v>3386</v>
      </c>
      <c r="C1211" s="82" t="s">
        <v>282</v>
      </c>
      <c r="D1211" s="83">
        <f>SUMIFS(D1212:D6462,K1212:K6462,"0",B1212:B6462,"5 1 1 1 3 12 31111 6 M59 70000 000132 0000R 00001 00113 015 2111100 2024 CP1DS387 001*")-SUMIFS(E1212:E6462,K1212:K6462,"0",B1212:B6462,"5 1 1 1 3 12 31111 6 M59 70000 000132 0000R 00001 00113 015 2111100 2024 CP1DS387 001*")</f>
        <v>0</v>
      </c>
      <c r="E1211" s="54"/>
      <c r="F1211" s="83">
        <f>SUMIFS(F1212:F6462,K1212:K6462,"0",B1212:B6462,"5 1 1 1 3 12 31111 6 M59 70000 000132 0000R 00001 00113 015 2111100 2024 CP1DS387 001*")</f>
        <v>81643.02</v>
      </c>
      <c r="G1211" s="83">
        <f>SUMIFS(G1212:G6462,K1212:K6462,"0",B1212:B6462,"5 1 1 1 3 12 31111 6 M59 70000 000132 0000R 00001 00113 015 2111100 2024 CP1DS387 001*")</f>
        <v>0</v>
      </c>
      <c r="H1211" s="83">
        <f t="shared" si="19"/>
        <v>81643.02</v>
      </c>
      <c r="I1211" s="83"/>
      <c r="K1211" s="54" t="s">
        <v>15</v>
      </c>
    </row>
    <row r="1212" spans="2:11" ht="33" x14ac:dyDescent="0.2">
      <c r="B1212" s="84" t="s">
        <v>3387</v>
      </c>
      <c r="C1212" s="84" t="s">
        <v>2932</v>
      </c>
      <c r="D1212" s="85">
        <v>0</v>
      </c>
      <c r="E1212" s="85"/>
      <c r="F1212" s="85">
        <v>81643.02</v>
      </c>
      <c r="G1212" s="85">
        <v>0</v>
      </c>
      <c r="H1212" s="85">
        <f t="shared" si="19"/>
        <v>81643.02</v>
      </c>
      <c r="I1212" s="85"/>
      <c r="K1212" s="54" t="s">
        <v>38</v>
      </c>
    </row>
    <row r="1213" spans="2:11" ht="16.5" x14ac:dyDescent="0.2">
      <c r="B1213" s="82" t="s">
        <v>3388</v>
      </c>
      <c r="C1213" s="82" t="s">
        <v>3389</v>
      </c>
      <c r="D1213" s="83">
        <f>SUMIFS(D1214:D6462,K1214:K6462,"0",B1214:B6462,"5 1 1 1 3 12 31111 6 M59 70100*")-SUMIFS(E1214:E6462,K1214:K6462,"0",B1214:B6462,"5 1 1 1 3 12 31111 6 M59 70100*")</f>
        <v>0</v>
      </c>
      <c r="E1213" s="54"/>
      <c r="F1213" s="83">
        <f>SUMIFS(F1214:F6462,K1214:K6462,"0",B1214:B6462,"5 1 1 1 3 12 31111 6 M59 70100*")</f>
        <v>268766.27</v>
      </c>
      <c r="G1213" s="83">
        <f>SUMIFS(G1214:G6462,K1214:K6462,"0",B1214:B6462,"5 1 1 1 3 12 31111 6 M59 70100*")</f>
        <v>0</v>
      </c>
      <c r="H1213" s="83">
        <f t="shared" si="19"/>
        <v>268766.27</v>
      </c>
      <c r="I1213" s="83"/>
      <c r="K1213" s="54" t="s">
        <v>15</v>
      </c>
    </row>
    <row r="1214" spans="2:11" ht="16.5" x14ac:dyDescent="0.2">
      <c r="B1214" s="82" t="s">
        <v>3390</v>
      </c>
      <c r="C1214" s="82" t="s">
        <v>648</v>
      </c>
      <c r="D1214" s="83">
        <f>SUMIFS(D1215:D6462,K1215:K6462,"0",B1215:B6462,"5 1 1 1 3 12 31111 6 M59 70100 000132*")-SUMIFS(E1215:E6462,K1215:K6462,"0",B1215:B6462,"5 1 1 1 3 12 31111 6 M59 70100 000132*")</f>
        <v>0</v>
      </c>
      <c r="E1214" s="54"/>
      <c r="F1214" s="83">
        <f>SUMIFS(F1215:F6462,K1215:K6462,"0",B1215:B6462,"5 1 1 1 3 12 31111 6 M59 70100 000132*")</f>
        <v>268766.27</v>
      </c>
      <c r="G1214" s="83">
        <f>SUMIFS(G1215:G6462,K1215:K6462,"0",B1215:B6462,"5 1 1 1 3 12 31111 6 M59 70100 000132*")</f>
        <v>0</v>
      </c>
      <c r="H1214" s="83">
        <f t="shared" si="19"/>
        <v>268766.27</v>
      </c>
      <c r="I1214" s="83"/>
      <c r="K1214" s="54" t="s">
        <v>15</v>
      </c>
    </row>
    <row r="1215" spans="2:11" ht="16.5" x14ac:dyDescent="0.2">
      <c r="B1215" s="82" t="s">
        <v>3391</v>
      </c>
      <c r="C1215" s="82" t="s">
        <v>650</v>
      </c>
      <c r="D1215" s="83">
        <f>SUMIFS(D1216:D6462,K1216:K6462,"0",B1216:B6462,"5 1 1 1 3 12 31111 6 M59 70100 000132 0000R*")-SUMIFS(E1216:E6462,K1216:K6462,"0",B1216:B6462,"5 1 1 1 3 12 31111 6 M59 70100 000132 0000R*")</f>
        <v>0</v>
      </c>
      <c r="E1215" s="54"/>
      <c r="F1215" s="83">
        <f>SUMIFS(F1216:F6462,K1216:K6462,"0",B1216:B6462,"5 1 1 1 3 12 31111 6 M59 70100 000132 0000R*")</f>
        <v>268766.27</v>
      </c>
      <c r="G1215" s="83">
        <f>SUMIFS(G1216:G6462,K1216:K6462,"0",B1216:B6462,"5 1 1 1 3 12 31111 6 M59 70100 000132 0000R*")</f>
        <v>0</v>
      </c>
      <c r="H1215" s="83">
        <f t="shared" si="19"/>
        <v>268766.27</v>
      </c>
      <c r="I1215" s="83"/>
      <c r="K1215" s="54" t="s">
        <v>15</v>
      </c>
    </row>
    <row r="1216" spans="2:11" ht="24.75" x14ac:dyDescent="0.2">
      <c r="B1216" s="82" t="s">
        <v>3392</v>
      </c>
      <c r="C1216" s="82" t="s">
        <v>282</v>
      </c>
      <c r="D1216" s="83">
        <f>SUMIFS(D1217:D6462,K1217:K6462,"0",B1217:B6462,"5 1 1 1 3 12 31111 6 M59 70100 000132 0000R 00001*")-SUMIFS(E1217:E6462,K1217:K6462,"0",B1217:B6462,"5 1 1 1 3 12 31111 6 M59 70100 000132 0000R 00001*")</f>
        <v>0</v>
      </c>
      <c r="E1216" s="54"/>
      <c r="F1216" s="83">
        <f>SUMIFS(F1217:F6462,K1217:K6462,"0",B1217:B6462,"5 1 1 1 3 12 31111 6 M59 70100 000132 0000R 00001*")</f>
        <v>268766.27</v>
      </c>
      <c r="G1216" s="83">
        <f>SUMIFS(G1217:G6462,K1217:K6462,"0",B1217:B6462,"5 1 1 1 3 12 31111 6 M59 70100 000132 0000R 00001*")</f>
        <v>0</v>
      </c>
      <c r="H1216" s="83">
        <f t="shared" si="19"/>
        <v>268766.27</v>
      </c>
      <c r="I1216" s="83"/>
      <c r="K1216" s="54" t="s">
        <v>15</v>
      </c>
    </row>
    <row r="1217" spans="2:11" ht="24.75" x14ac:dyDescent="0.2">
      <c r="B1217" s="82" t="s">
        <v>3393</v>
      </c>
      <c r="C1217" s="82" t="s">
        <v>2924</v>
      </c>
      <c r="D1217" s="83">
        <f>SUMIFS(D1218:D6462,K1218:K6462,"0",B1218:B6462,"5 1 1 1 3 12 31111 6 M59 70100 000132 0000R 00001 00113*")-SUMIFS(E1218:E6462,K1218:K6462,"0",B1218:B6462,"5 1 1 1 3 12 31111 6 M59 70100 000132 0000R 00001 00113*")</f>
        <v>0</v>
      </c>
      <c r="E1217" s="54"/>
      <c r="F1217" s="83">
        <f>SUMIFS(F1218:F6462,K1218:K6462,"0",B1218:B6462,"5 1 1 1 3 12 31111 6 M59 70100 000132 0000R 00001 00113*")</f>
        <v>268766.27</v>
      </c>
      <c r="G1217" s="83">
        <f>SUMIFS(G1218:G6462,K1218:K6462,"0",B1218:B6462,"5 1 1 1 3 12 31111 6 M59 70100 000132 0000R 00001 00113*")</f>
        <v>0</v>
      </c>
      <c r="H1217" s="83">
        <f t="shared" si="19"/>
        <v>268766.27</v>
      </c>
      <c r="I1217" s="83"/>
      <c r="K1217" s="54" t="s">
        <v>15</v>
      </c>
    </row>
    <row r="1218" spans="2:11" ht="24.75" x14ac:dyDescent="0.2">
      <c r="B1218" s="82" t="s">
        <v>3394</v>
      </c>
      <c r="C1218" s="82" t="s">
        <v>1051</v>
      </c>
      <c r="D1218" s="83">
        <f>SUMIFS(D1219:D6462,K1219:K6462,"0",B1219:B6462,"5 1 1 1 3 12 31111 6 M59 70100 000132 0000R 00001 00113 015*")-SUMIFS(E1219:E6462,K1219:K6462,"0",B1219:B6462,"5 1 1 1 3 12 31111 6 M59 70100 000132 0000R 00001 00113 015*")</f>
        <v>0</v>
      </c>
      <c r="E1218" s="54"/>
      <c r="F1218" s="83">
        <f>SUMIFS(F1219:F6462,K1219:K6462,"0",B1219:B6462,"5 1 1 1 3 12 31111 6 M59 70100 000132 0000R 00001 00113 015*")</f>
        <v>268766.27</v>
      </c>
      <c r="G1218" s="83">
        <f>SUMIFS(G1219:G6462,K1219:K6462,"0",B1219:B6462,"5 1 1 1 3 12 31111 6 M59 70100 000132 0000R 00001 00113 015*")</f>
        <v>0</v>
      </c>
      <c r="H1218" s="83">
        <f t="shared" si="19"/>
        <v>268766.27</v>
      </c>
      <c r="I1218" s="83"/>
      <c r="K1218" s="54" t="s">
        <v>15</v>
      </c>
    </row>
    <row r="1219" spans="2:11" ht="33" x14ac:dyDescent="0.2">
      <c r="B1219" s="82" t="s">
        <v>3395</v>
      </c>
      <c r="C1219" s="82" t="s">
        <v>2927</v>
      </c>
      <c r="D1219" s="83">
        <f>SUMIFS(D1220:D6462,K1220:K6462,"0",B1220:B6462,"5 1 1 1 3 12 31111 6 M59 70100 000132 0000R 00001 00113 015 2111100*")-SUMIFS(E1220:E6462,K1220:K6462,"0",B1220:B6462,"5 1 1 1 3 12 31111 6 M59 70100 000132 0000R 00001 00113 015 2111100*")</f>
        <v>0</v>
      </c>
      <c r="E1219" s="54"/>
      <c r="F1219" s="83">
        <f>SUMIFS(F1220:F6462,K1220:K6462,"0",B1220:B6462,"5 1 1 1 3 12 31111 6 M59 70100 000132 0000R 00001 00113 015 2111100*")</f>
        <v>268766.27</v>
      </c>
      <c r="G1219" s="83">
        <f>SUMIFS(G1220:G6462,K1220:K6462,"0",B1220:B6462,"5 1 1 1 3 12 31111 6 M59 70100 000132 0000R 00001 00113 015 2111100*")</f>
        <v>0</v>
      </c>
      <c r="H1219" s="83">
        <f t="shared" si="19"/>
        <v>268766.27</v>
      </c>
      <c r="I1219" s="83"/>
      <c r="K1219" s="54" t="s">
        <v>15</v>
      </c>
    </row>
    <row r="1220" spans="2:11" ht="33" x14ac:dyDescent="0.2">
      <c r="B1220" s="82" t="s">
        <v>3396</v>
      </c>
      <c r="C1220" s="82" t="s">
        <v>660</v>
      </c>
      <c r="D1220" s="83">
        <f>SUMIFS(D1221:D6462,K1221:K6462,"0",B1221:B6462,"5 1 1 1 3 12 31111 6 M59 70100 000132 0000R 00001 00113 015 2111100 2024*")-SUMIFS(E1221:E6462,K1221:K6462,"0",B1221:B6462,"5 1 1 1 3 12 31111 6 M59 70100 000132 0000R 00001 00113 015 2111100 2024*")</f>
        <v>0</v>
      </c>
      <c r="E1220" s="54"/>
      <c r="F1220" s="83">
        <f>SUMIFS(F1221:F6462,K1221:K6462,"0",B1221:B6462,"5 1 1 1 3 12 31111 6 M59 70100 000132 0000R 00001 00113 015 2111100 2024*")</f>
        <v>268766.27</v>
      </c>
      <c r="G1220" s="83">
        <f>SUMIFS(G1221:G6462,K1221:K6462,"0",B1221:B6462,"5 1 1 1 3 12 31111 6 M59 70100 000132 0000R 00001 00113 015 2111100 2024*")</f>
        <v>0</v>
      </c>
      <c r="H1220" s="83">
        <f t="shared" si="19"/>
        <v>268766.27</v>
      </c>
      <c r="I1220" s="83"/>
      <c r="K1220" s="54" t="s">
        <v>15</v>
      </c>
    </row>
    <row r="1221" spans="2:11" ht="41.25" x14ac:dyDescent="0.2">
      <c r="B1221" s="82" t="s">
        <v>3397</v>
      </c>
      <c r="C1221" s="82" t="s">
        <v>1056</v>
      </c>
      <c r="D1221" s="83">
        <f>SUMIFS(D1222:D6462,K1222:K6462,"0",B1222:B6462,"5 1 1 1 3 12 31111 6 M59 70100 000132 0000R 00001 00113 015 2111100 2024 CP1MM393*")-SUMIFS(E1222:E6462,K1222:K6462,"0",B1222:B6462,"5 1 1 1 3 12 31111 6 M59 70100 000132 0000R 00001 00113 015 2111100 2024 CP1MM393*")</f>
        <v>0</v>
      </c>
      <c r="E1221" s="54"/>
      <c r="F1221" s="83">
        <f>SUMIFS(F1222:F6462,K1222:K6462,"0",B1222:B6462,"5 1 1 1 3 12 31111 6 M59 70100 000132 0000R 00001 00113 015 2111100 2024 CP1MM393*")</f>
        <v>268766.27</v>
      </c>
      <c r="G1221" s="83">
        <f>SUMIFS(G1222:G6462,K1222:K6462,"0",B1222:B6462,"5 1 1 1 3 12 31111 6 M59 70100 000132 0000R 00001 00113 015 2111100 2024 CP1MM393*")</f>
        <v>0</v>
      </c>
      <c r="H1221" s="83">
        <f t="shared" si="19"/>
        <v>268766.27</v>
      </c>
      <c r="I1221" s="83"/>
      <c r="K1221" s="54" t="s">
        <v>15</v>
      </c>
    </row>
    <row r="1222" spans="2:11" ht="41.25" x14ac:dyDescent="0.2">
      <c r="B1222" s="82" t="s">
        <v>3398</v>
      </c>
      <c r="C1222" s="82" t="s">
        <v>282</v>
      </c>
      <c r="D1222" s="83">
        <f>SUMIFS(D1223:D6462,K1223:K6462,"0",B1223:B6462,"5 1 1 1 3 12 31111 6 M59 70100 000132 0000R 00001 00113 015 2111100 2024 CP1MM393 001*")-SUMIFS(E1223:E6462,K1223:K6462,"0",B1223:B6462,"5 1 1 1 3 12 31111 6 M59 70100 000132 0000R 00001 00113 015 2111100 2024 CP1MM393 001*")</f>
        <v>0</v>
      </c>
      <c r="E1222" s="54"/>
      <c r="F1222" s="83">
        <f>SUMIFS(F1223:F6462,K1223:K6462,"0",B1223:B6462,"5 1 1 1 3 12 31111 6 M59 70100 000132 0000R 00001 00113 015 2111100 2024 CP1MM393 001*")</f>
        <v>268766.27</v>
      </c>
      <c r="G1222" s="83">
        <f>SUMIFS(G1223:G6462,K1223:K6462,"0",B1223:B6462,"5 1 1 1 3 12 31111 6 M59 70100 000132 0000R 00001 00113 015 2111100 2024 CP1MM393 001*")</f>
        <v>0</v>
      </c>
      <c r="H1222" s="83">
        <f t="shared" si="19"/>
        <v>268766.27</v>
      </c>
      <c r="I1222" s="83"/>
      <c r="K1222" s="54" t="s">
        <v>15</v>
      </c>
    </row>
    <row r="1223" spans="2:11" ht="33" x14ac:dyDescent="0.2">
      <c r="B1223" s="84" t="s">
        <v>3399</v>
      </c>
      <c r="C1223" s="84" t="s">
        <v>2932</v>
      </c>
      <c r="D1223" s="85">
        <v>0</v>
      </c>
      <c r="E1223" s="85"/>
      <c r="F1223" s="85">
        <v>268766.27</v>
      </c>
      <c r="G1223" s="85">
        <v>0</v>
      </c>
      <c r="H1223" s="85">
        <f t="shared" si="19"/>
        <v>268766.27</v>
      </c>
      <c r="I1223" s="85"/>
      <c r="K1223" s="54" t="s">
        <v>38</v>
      </c>
    </row>
    <row r="1224" spans="2:11" ht="16.5" x14ac:dyDescent="0.2">
      <c r="B1224" s="82" t="s">
        <v>3400</v>
      </c>
      <c r="C1224" s="82" t="s">
        <v>3401</v>
      </c>
      <c r="D1224" s="83">
        <f>SUMIFS(D1225:D6462,K1225:K6462,"0",B1225:B6462,"5 1 1 1 3 12 31111 6 M59 70200*")-SUMIFS(E1225:E6462,K1225:K6462,"0",B1225:B6462,"5 1 1 1 3 12 31111 6 M59 70200*")</f>
        <v>0</v>
      </c>
      <c r="E1224" s="54"/>
      <c r="F1224" s="83">
        <f>SUMIFS(F1225:F6462,K1225:K6462,"0",B1225:B6462,"5 1 1 1 3 12 31111 6 M59 70200*")</f>
        <v>142735.37</v>
      </c>
      <c r="G1224" s="83">
        <f>SUMIFS(G1225:G6462,K1225:K6462,"0",B1225:B6462,"5 1 1 1 3 12 31111 6 M59 70200*")</f>
        <v>0</v>
      </c>
      <c r="H1224" s="83">
        <f t="shared" si="19"/>
        <v>142735.37</v>
      </c>
      <c r="I1224" s="83"/>
      <c r="K1224" s="54" t="s">
        <v>15</v>
      </c>
    </row>
    <row r="1225" spans="2:11" ht="16.5" x14ac:dyDescent="0.2">
      <c r="B1225" s="82" t="s">
        <v>3402</v>
      </c>
      <c r="C1225" s="82" t="s">
        <v>648</v>
      </c>
      <c r="D1225" s="83">
        <f>SUMIFS(D1226:D6462,K1226:K6462,"0",B1226:B6462,"5 1 1 1 3 12 31111 6 M59 70200 000132*")-SUMIFS(E1226:E6462,K1226:K6462,"0",B1226:B6462,"5 1 1 1 3 12 31111 6 M59 70200 000132*")</f>
        <v>0</v>
      </c>
      <c r="E1225" s="54"/>
      <c r="F1225" s="83">
        <f>SUMIFS(F1226:F6462,K1226:K6462,"0",B1226:B6462,"5 1 1 1 3 12 31111 6 M59 70200 000132*")</f>
        <v>142735.37</v>
      </c>
      <c r="G1225" s="83">
        <f>SUMIFS(G1226:G6462,K1226:K6462,"0",B1226:B6462,"5 1 1 1 3 12 31111 6 M59 70200 000132*")</f>
        <v>0</v>
      </c>
      <c r="H1225" s="83">
        <f t="shared" si="19"/>
        <v>142735.37</v>
      </c>
      <c r="I1225" s="83"/>
      <c r="K1225" s="54" t="s">
        <v>15</v>
      </c>
    </row>
    <row r="1226" spans="2:11" ht="16.5" x14ac:dyDescent="0.2">
      <c r="B1226" s="82" t="s">
        <v>3403</v>
      </c>
      <c r="C1226" s="82" t="s">
        <v>650</v>
      </c>
      <c r="D1226" s="83">
        <f>SUMIFS(D1227:D6462,K1227:K6462,"0",B1227:B6462,"5 1 1 1 3 12 31111 6 M59 70200 000132 0000R*")-SUMIFS(E1227:E6462,K1227:K6462,"0",B1227:B6462,"5 1 1 1 3 12 31111 6 M59 70200 000132 0000R*")</f>
        <v>0</v>
      </c>
      <c r="E1226" s="54"/>
      <c r="F1226" s="83">
        <f>SUMIFS(F1227:F6462,K1227:K6462,"0",B1227:B6462,"5 1 1 1 3 12 31111 6 M59 70200 000132 0000R*")</f>
        <v>142735.37</v>
      </c>
      <c r="G1226" s="83">
        <f>SUMIFS(G1227:G6462,K1227:K6462,"0",B1227:B6462,"5 1 1 1 3 12 31111 6 M59 70200 000132 0000R*")</f>
        <v>0</v>
      </c>
      <c r="H1226" s="83">
        <f t="shared" si="19"/>
        <v>142735.37</v>
      </c>
      <c r="I1226" s="83"/>
      <c r="K1226" s="54" t="s">
        <v>15</v>
      </c>
    </row>
    <row r="1227" spans="2:11" ht="24.75" x14ac:dyDescent="0.2">
      <c r="B1227" s="82" t="s">
        <v>3404</v>
      </c>
      <c r="C1227" s="82" t="s">
        <v>282</v>
      </c>
      <c r="D1227" s="83">
        <f>SUMIFS(D1228:D6462,K1228:K6462,"0",B1228:B6462,"5 1 1 1 3 12 31111 6 M59 70200 000132 0000R 00001*")-SUMIFS(E1228:E6462,K1228:K6462,"0",B1228:B6462,"5 1 1 1 3 12 31111 6 M59 70200 000132 0000R 00001*")</f>
        <v>0</v>
      </c>
      <c r="E1227" s="54"/>
      <c r="F1227" s="83">
        <f>SUMIFS(F1228:F6462,K1228:K6462,"0",B1228:B6462,"5 1 1 1 3 12 31111 6 M59 70200 000132 0000R 00001*")</f>
        <v>142735.37</v>
      </c>
      <c r="G1227" s="83">
        <f>SUMIFS(G1228:G6462,K1228:K6462,"0",B1228:B6462,"5 1 1 1 3 12 31111 6 M59 70200 000132 0000R 00001*")</f>
        <v>0</v>
      </c>
      <c r="H1227" s="83">
        <f t="shared" si="19"/>
        <v>142735.37</v>
      </c>
      <c r="I1227" s="83"/>
      <c r="K1227" s="54" t="s">
        <v>15</v>
      </c>
    </row>
    <row r="1228" spans="2:11" ht="24.75" x14ac:dyDescent="0.2">
      <c r="B1228" s="82" t="s">
        <v>3405</v>
      </c>
      <c r="C1228" s="82" t="s">
        <v>2924</v>
      </c>
      <c r="D1228" s="83">
        <f>SUMIFS(D1229:D6462,K1229:K6462,"0",B1229:B6462,"5 1 1 1 3 12 31111 6 M59 70200 000132 0000R 00001 00113*")-SUMIFS(E1229:E6462,K1229:K6462,"0",B1229:B6462,"5 1 1 1 3 12 31111 6 M59 70200 000132 0000R 00001 00113*")</f>
        <v>0</v>
      </c>
      <c r="E1228" s="54"/>
      <c r="F1228" s="83">
        <f>SUMIFS(F1229:F6462,K1229:K6462,"0",B1229:B6462,"5 1 1 1 3 12 31111 6 M59 70200 000132 0000R 00001 00113*")</f>
        <v>142735.37</v>
      </c>
      <c r="G1228" s="83">
        <f>SUMIFS(G1229:G6462,K1229:K6462,"0",B1229:B6462,"5 1 1 1 3 12 31111 6 M59 70200 000132 0000R 00001 00113*")</f>
        <v>0</v>
      </c>
      <c r="H1228" s="83">
        <f t="shared" si="19"/>
        <v>142735.37</v>
      </c>
      <c r="I1228" s="83"/>
      <c r="K1228" s="54" t="s">
        <v>15</v>
      </c>
    </row>
    <row r="1229" spans="2:11" ht="24.75" x14ac:dyDescent="0.2">
      <c r="B1229" s="82" t="s">
        <v>3406</v>
      </c>
      <c r="C1229" s="82" t="s">
        <v>1051</v>
      </c>
      <c r="D1229" s="83">
        <f>SUMIFS(D1230:D6462,K1230:K6462,"0",B1230:B6462,"5 1 1 1 3 12 31111 6 M59 70200 000132 0000R 00001 00113 015*")-SUMIFS(E1230:E6462,K1230:K6462,"0",B1230:B6462,"5 1 1 1 3 12 31111 6 M59 70200 000132 0000R 00001 00113 015*")</f>
        <v>0</v>
      </c>
      <c r="E1229" s="54"/>
      <c r="F1229" s="83">
        <f>SUMIFS(F1230:F6462,K1230:K6462,"0",B1230:B6462,"5 1 1 1 3 12 31111 6 M59 70200 000132 0000R 00001 00113 015*")</f>
        <v>142735.37</v>
      </c>
      <c r="G1229" s="83">
        <f>SUMIFS(G1230:G6462,K1230:K6462,"0",B1230:B6462,"5 1 1 1 3 12 31111 6 M59 70200 000132 0000R 00001 00113 015*")</f>
        <v>0</v>
      </c>
      <c r="H1229" s="83">
        <f t="shared" si="19"/>
        <v>142735.37</v>
      </c>
      <c r="I1229" s="83"/>
      <c r="K1229" s="54" t="s">
        <v>15</v>
      </c>
    </row>
    <row r="1230" spans="2:11" ht="33" x14ac:dyDescent="0.2">
      <c r="B1230" s="82" t="s">
        <v>3407</v>
      </c>
      <c r="C1230" s="82" t="s">
        <v>2927</v>
      </c>
      <c r="D1230" s="83">
        <f>SUMIFS(D1231:D6462,K1231:K6462,"0",B1231:B6462,"5 1 1 1 3 12 31111 6 M59 70200 000132 0000R 00001 00113 015 2111100*")-SUMIFS(E1231:E6462,K1231:K6462,"0",B1231:B6462,"5 1 1 1 3 12 31111 6 M59 70200 000132 0000R 00001 00113 015 2111100*")</f>
        <v>0</v>
      </c>
      <c r="E1230" s="54"/>
      <c r="F1230" s="83">
        <f>SUMIFS(F1231:F6462,K1231:K6462,"0",B1231:B6462,"5 1 1 1 3 12 31111 6 M59 70200 000132 0000R 00001 00113 015 2111100*")</f>
        <v>142735.37</v>
      </c>
      <c r="G1230" s="83">
        <f>SUMIFS(G1231:G6462,K1231:K6462,"0",B1231:B6462,"5 1 1 1 3 12 31111 6 M59 70200 000132 0000R 00001 00113 015 2111100*")</f>
        <v>0</v>
      </c>
      <c r="H1230" s="83">
        <f t="shared" si="19"/>
        <v>142735.37</v>
      </c>
      <c r="I1230" s="83"/>
      <c r="K1230" s="54" t="s">
        <v>15</v>
      </c>
    </row>
    <row r="1231" spans="2:11" ht="33" x14ac:dyDescent="0.2">
      <c r="B1231" s="82" t="s">
        <v>3408</v>
      </c>
      <c r="C1231" s="82" t="s">
        <v>660</v>
      </c>
      <c r="D1231" s="83">
        <f>SUMIFS(D1232:D6462,K1232:K6462,"0",B1232:B6462,"5 1 1 1 3 12 31111 6 M59 70200 000132 0000R 00001 00113 015 2111100 2024*")-SUMIFS(E1232:E6462,K1232:K6462,"0",B1232:B6462,"5 1 1 1 3 12 31111 6 M59 70200 000132 0000R 00001 00113 015 2111100 2024*")</f>
        <v>0</v>
      </c>
      <c r="E1231" s="54"/>
      <c r="F1231" s="83">
        <f>SUMIFS(F1232:F6462,K1232:K6462,"0",B1232:B6462,"5 1 1 1 3 12 31111 6 M59 70200 000132 0000R 00001 00113 015 2111100 2024*")</f>
        <v>142735.37</v>
      </c>
      <c r="G1231" s="83">
        <f>SUMIFS(G1232:G6462,K1232:K6462,"0",B1232:B6462,"5 1 1 1 3 12 31111 6 M59 70200 000132 0000R 00001 00113 015 2111100 2024*")</f>
        <v>0</v>
      </c>
      <c r="H1231" s="83">
        <f t="shared" si="19"/>
        <v>142735.37</v>
      </c>
      <c r="I1231" s="83"/>
      <c r="K1231" s="54" t="s">
        <v>15</v>
      </c>
    </row>
    <row r="1232" spans="2:11" ht="41.25" x14ac:dyDescent="0.2">
      <c r="B1232" s="82" t="s">
        <v>3409</v>
      </c>
      <c r="C1232" s="82" t="s">
        <v>1056</v>
      </c>
      <c r="D1232" s="83">
        <f>SUMIFS(D1233:D6462,K1233:K6462,"0",B1233:B6462,"5 1 1 1 3 12 31111 6 M59 70200 000132 0000R 00001 00113 015 2111100 2024 CP1SE410*")-SUMIFS(E1233:E6462,K1233:K6462,"0",B1233:B6462,"5 1 1 1 3 12 31111 6 M59 70200 000132 0000R 00001 00113 015 2111100 2024 CP1SE410*")</f>
        <v>0</v>
      </c>
      <c r="E1232" s="54"/>
      <c r="F1232" s="83">
        <f>SUMIFS(F1233:F6462,K1233:K6462,"0",B1233:B6462,"5 1 1 1 3 12 31111 6 M59 70200 000132 0000R 00001 00113 015 2111100 2024 CP1SE410*")</f>
        <v>142735.37</v>
      </c>
      <c r="G1232" s="83">
        <f>SUMIFS(G1233:G6462,K1233:K6462,"0",B1233:B6462,"5 1 1 1 3 12 31111 6 M59 70200 000132 0000R 00001 00113 015 2111100 2024 CP1SE410*")</f>
        <v>0</v>
      </c>
      <c r="H1232" s="83">
        <f t="shared" si="19"/>
        <v>142735.37</v>
      </c>
      <c r="I1232" s="83"/>
      <c r="K1232" s="54" t="s">
        <v>15</v>
      </c>
    </row>
    <row r="1233" spans="2:11" ht="41.25" x14ac:dyDescent="0.2">
      <c r="B1233" s="82" t="s">
        <v>3410</v>
      </c>
      <c r="C1233" s="82" t="s">
        <v>282</v>
      </c>
      <c r="D1233" s="83">
        <f>SUMIFS(D1234:D6462,K1234:K6462,"0",B1234:B6462,"5 1 1 1 3 12 31111 6 M59 70200 000132 0000R 00001 00113 015 2111100 2024 CP1SE410 001*")-SUMIFS(E1234:E6462,K1234:K6462,"0",B1234:B6462,"5 1 1 1 3 12 31111 6 M59 70200 000132 0000R 00001 00113 015 2111100 2024 CP1SE410 001*")</f>
        <v>0</v>
      </c>
      <c r="E1233" s="54"/>
      <c r="F1233" s="83">
        <f>SUMIFS(F1234:F6462,K1234:K6462,"0",B1234:B6462,"5 1 1 1 3 12 31111 6 M59 70200 000132 0000R 00001 00113 015 2111100 2024 CP1SE410 001*")</f>
        <v>142735.37</v>
      </c>
      <c r="G1233" s="83">
        <f>SUMIFS(G1234:G6462,K1234:K6462,"0",B1234:B6462,"5 1 1 1 3 12 31111 6 M59 70200 000132 0000R 00001 00113 015 2111100 2024 CP1SE410 001*")</f>
        <v>0</v>
      </c>
      <c r="H1233" s="83">
        <f t="shared" si="19"/>
        <v>142735.37</v>
      </c>
      <c r="I1233" s="83"/>
      <c r="K1233" s="54" t="s">
        <v>15</v>
      </c>
    </row>
    <row r="1234" spans="2:11" ht="33" x14ac:dyDescent="0.2">
      <c r="B1234" s="84" t="s">
        <v>3411</v>
      </c>
      <c r="C1234" s="84" t="s">
        <v>2932</v>
      </c>
      <c r="D1234" s="85">
        <v>0</v>
      </c>
      <c r="E1234" s="85"/>
      <c r="F1234" s="85">
        <v>142735.37</v>
      </c>
      <c r="G1234" s="85">
        <v>0</v>
      </c>
      <c r="H1234" s="85">
        <f t="shared" si="19"/>
        <v>142735.37</v>
      </c>
      <c r="I1234" s="85"/>
      <c r="K1234" s="54" t="s">
        <v>38</v>
      </c>
    </row>
    <row r="1235" spans="2:11" ht="16.5" x14ac:dyDescent="0.2">
      <c r="B1235" s="82" t="s">
        <v>3412</v>
      </c>
      <c r="C1235" s="82" t="s">
        <v>3413</v>
      </c>
      <c r="D1235" s="83">
        <f>SUMIFS(D1236:D6462,K1236:K6462,"0",B1236:B6462,"5 1 1 1 3 12 31111 6 M59 70300*")-SUMIFS(E1236:E6462,K1236:K6462,"0",B1236:B6462,"5 1 1 1 3 12 31111 6 M59 70300*")</f>
        <v>0</v>
      </c>
      <c r="E1235" s="54"/>
      <c r="F1235" s="83">
        <f>SUMIFS(F1236:F6462,K1236:K6462,"0",B1236:B6462,"5 1 1 1 3 12 31111 6 M59 70300*")</f>
        <v>965205.36</v>
      </c>
      <c r="G1235" s="83">
        <f>SUMIFS(G1236:G6462,K1236:K6462,"0",B1236:B6462,"5 1 1 1 3 12 31111 6 M59 70300*")</f>
        <v>0</v>
      </c>
      <c r="H1235" s="83">
        <f t="shared" si="19"/>
        <v>965205.36</v>
      </c>
      <c r="I1235" s="83"/>
      <c r="K1235" s="54" t="s">
        <v>15</v>
      </c>
    </row>
    <row r="1236" spans="2:11" ht="16.5" x14ac:dyDescent="0.2">
      <c r="B1236" s="82" t="s">
        <v>3414</v>
      </c>
      <c r="C1236" s="82" t="s">
        <v>648</v>
      </c>
      <c r="D1236" s="83">
        <f>SUMIFS(D1237:D6462,K1237:K6462,"0",B1237:B6462,"5 1 1 1 3 12 31111 6 M59 70300 000132*")-SUMIFS(E1237:E6462,K1237:K6462,"0",B1237:B6462,"5 1 1 1 3 12 31111 6 M59 70300 000132*")</f>
        <v>0</v>
      </c>
      <c r="E1236" s="54"/>
      <c r="F1236" s="83">
        <f>SUMIFS(F1237:F6462,K1237:K6462,"0",B1237:B6462,"5 1 1 1 3 12 31111 6 M59 70300 000132*")</f>
        <v>965205.36</v>
      </c>
      <c r="G1236" s="83">
        <f>SUMIFS(G1237:G6462,K1237:K6462,"0",B1237:B6462,"5 1 1 1 3 12 31111 6 M59 70300 000132*")</f>
        <v>0</v>
      </c>
      <c r="H1236" s="83">
        <f t="shared" si="19"/>
        <v>965205.36</v>
      </c>
      <c r="I1236" s="83"/>
      <c r="K1236" s="54" t="s">
        <v>15</v>
      </c>
    </row>
    <row r="1237" spans="2:11" ht="16.5" x14ac:dyDescent="0.2">
      <c r="B1237" s="82" t="s">
        <v>3415</v>
      </c>
      <c r="C1237" s="82" t="s">
        <v>650</v>
      </c>
      <c r="D1237" s="83">
        <f>SUMIFS(D1238:D6462,K1238:K6462,"0",B1238:B6462,"5 1 1 1 3 12 31111 6 M59 70300 000132 0000R*")-SUMIFS(E1238:E6462,K1238:K6462,"0",B1238:B6462,"5 1 1 1 3 12 31111 6 M59 70300 000132 0000R*")</f>
        <v>0</v>
      </c>
      <c r="E1237" s="54"/>
      <c r="F1237" s="83">
        <f>SUMIFS(F1238:F6462,K1238:K6462,"0",B1238:B6462,"5 1 1 1 3 12 31111 6 M59 70300 000132 0000R*")</f>
        <v>965205.36</v>
      </c>
      <c r="G1237" s="83">
        <f>SUMIFS(G1238:G6462,K1238:K6462,"0",B1238:B6462,"5 1 1 1 3 12 31111 6 M59 70300 000132 0000R*")</f>
        <v>0</v>
      </c>
      <c r="H1237" s="83">
        <f t="shared" si="19"/>
        <v>965205.36</v>
      </c>
      <c r="I1237" s="83"/>
      <c r="K1237" s="54" t="s">
        <v>15</v>
      </c>
    </row>
    <row r="1238" spans="2:11" ht="24.75" x14ac:dyDescent="0.2">
      <c r="B1238" s="82" t="s">
        <v>3416</v>
      </c>
      <c r="C1238" s="82" t="s">
        <v>282</v>
      </c>
      <c r="D1238" s="83">
        <f>SUMIFS(D1239:D6462,K1239:K6462,"0",B1239:B6462,"5 1 1 1 3 12 31111 6 M59 70300 000132 0000R 00001*")-SUMIFS(E1239:E6462,K1239:K6462,"0",B1239:B6462,"5 1 1 1 3 12 31111 6 M59 70300 000132 0000R 00001*")</f>
        <v>0</v>
      </c>
      <c r="E1238" s="54"/>
      <c r="F1238" s="83">
        <f>SUMIFS(F1239:F6462,K1239:K6462,"0",B1239:B6462,"5 1 1 1 3 12 31111 6 M59 70300 000132 0000R 00001*")</f>
        <v>965205.36</v>
      </c>
      <c r="G1238" s="83">
        <f>SUMIFS(G1239:G6462,K1239:K6462,"0",B1239:B6462,"5 1 1 1 3 12 31111 6 M59 70300 000132 0000R 00001*")</f>
        <v>0</v>
      </c>
      <c r="H1238" s="83">
        <f t="shared" si="19"/>
        <v>965205.36</v>
      </c>
      <c r="I1238" s="83"/>
      <c r="K1238" s="54" t="s">
        <v>15</v>
      </c>
    </row>
    <row r="1239" spans="2:11" ht="24.75" x14ac:dyDescent="0.2">
      <c r="B1239" s="82" t="s">
        <v>3417</v>
      </c>
      <c r="C1239" s="82" t="s">
        <v>2924</v>
      </c>
      <c r="D1239" s="83">
        <f>SUMIFS(D1240:D6462,K1240:K6462,"0",B1240:B6462,"5 1 1 1 3 12 31111 6 M59 70300 000132 0000R 00001 00113*")-SUMIFS(E1240:E6462,K1240:K6462,"0",B1240:B6462,"5 1 1 1 3 12 31111 6 M59 70300 000132 0000R 00001 00113*")</f>
        <v>0</v>
      </c>
      <c r="E1239" s="54"/>
      <c r="F1239" s="83">
        <f>SUMIFS(F1240:F6462,K1240:K6462,"0",B1240:B6462,"5 1 1 1 3 12 31111 6 M59 70300 000132 0000R 00001 00113*")</f>
        <v>965205.36</v>
      </c>
      <c r="G1239" s="83">
        <f>SUMIFS(G1240:G6462,K1240:K6462,"0",B1240:B6462,"5 1 1 1 3 12 31111 6 M59 70300 000132 0000R 00001 00113*")</f>
        <v>0</v>
      </c>
      <c r="H1239" s="83">
        <f t="shared" si="19"/>
        <v>965205.36</v>
      </c>
      <c r="I1239" s="83"/>
      <c r="K1239" s="54" t="s">
        <v>15</v>
      </c>
    </row>
    <row r="1240" spans="2:11" ht="24.75" x14ac:dyDescent="0.2">
      <c r="B1240" s="82" t="s">
        <v>3418</v>
      </c>
      <c r="C1240" s="82" t="s">
        <v>1051</v>
      </c>
      <c r="D1240" s="83">
        <f>SUMIFS(D1241:D6462,K1241:K6462,"0",B1241:B6462,"5 1 1 1 3 12 31111 6 M59 70300 000132 0000R 00001 00113 015*")-SUMIFS(E1241:E6462,K1241:K6462,"0",B1241:B6462,"5 1 1 1 3 12 31111 6 M59 70300 000132 0000R 00001 00113 015*")</f>
        <v>0</v>
      </c>
      <c r="E1240" s="54"/>
      <c r="F1240" s="83">
        <f>SUMIFS(F1241:F6462,K1241:K6462,"0",B1241:B6462,"5 1 1 1 3 12 31111 6 M59 70300 000132 0000R 00001 00113 015*")</f>
        <v>965205.36</v>
      </c>
      <c r="G1240" s="83">
        <f>SUMIFS(G1241:G6462,K1241:K6462,"0",B1241:B6462,"5 1 1 1 3 12 31111 6 M59 70300 000132 0000R 00001 00113 015*")</f>
        <v>0</v>
      </c>
      <c r="H1240" s="83">
        <f t="shared" si="19"/>
        <v>965205.36</v>
      </c>
      <c r="I1240" s="83"/>
      <c r="K1240" s="54" t="s">
        <v>15</v>
      </c>
    </row>
    <row r="1241" spans="2:11" ht="33" x14ac:dyDescent="0.2">
      <c r="B1241" s="82" t="s">
        <v>3419</v>
      </c>
      <c r="C1241" s="82" t="s">
        <v>2927</v>
      </c>
      <c r="D1241" s="83">
        <f>SUMIFS(D1242:D6462,K1242:K6462,"0",B1242:B6462,"5 1 1 1 3 12 31111 6 M59 70300 000132 0000R 00001 00113 015 2111100*")-SUMIFS(E1242:E6462,K1242:K6462,"0",B1242:B6462,"5 1 1 1 3 12 31111 6 M59 70300 000132 0000R 00001 00113 015 2111100*")</f>
        <v>0</v>
      </c>
      <c r="E1241" s="54"/>
      <c r="F1241" s="83">
        <f>SUMIFS(F1242:F6462,K1242:K6462,"0",B1242:B6462,"5 1 1 1 3 12 31111 6 M59 70300 000132 0000R 00001 00113 015 2111100*")</f>
        <v>965205.36</v>
      </c>
      <c r="G1241" s="83">
        <f>SUMIFS(G1242:G6462,K1242:K6462,"0",B1242:B6462,"5 1 1 1 3 12 31111 6 M59 70300 000132 0000R 00001 00113 015 2111100*")</f>
        <v>0</v>
      </c>
      <c r="H1241" s="83">
        <f t="shared" si="19"/>
        <v>965205.36</v>
      </c>
      <c r="I1241" s="83"/>
      <c r="K1241" s="54" t="s">
        <v>15</v>
      </c>
    </row>
    <row r="1242" spans="2:11" ht="33" x14ac:dyDescent="0.2">
      <c r="B1242" s="82" t="s">
        <v>3420</v>
      </c>
      <c r="C1242" s="82" t="s">
        <v>660</v>
      </c>
      <c r="D1242" s="83">
        <f>SUMIFS(D1243:D6462,K1243:K6462,"0",B1243:B6462,"5 1 1 1 3 12 31111 6 M59 70300 000132 0000R 00001 00113 015 2111100 2024*")-SUMIFS(E1243:E6462,K1243:K6462,"0",B1243:B6462,"5 1 1 1 3 12 31111 6 M59 70300 000132 0000R 00001 00113 015 2111100 2024*")</f>
        <v>0</v>
      </c>
      <c r="E1242" s="54"/>
      <c r="F1242" s="83">
        <f>SUMIFS(F1243:F6462,K1243:K6462,"0",B1243:B6462,"5 1 1 1 3 12 31111 6 M59 70300 000132 0000R 00001 00113 015 2111100 2024*")</f>
        <v>965205.36</v>
      </c>
      <c r="G1242" s="83">
        <f>SUMIFS(G1243:G6462,K1243:K6462,"0",B1243:B6462,"5 1 1 1 3 12 31111 6 M59 70300 000132 0000R 00001 00113 015 2111100 2024*")</f>
        <v>0</v>
      </c>
      <c r="H1242" s="83">
        <f t="shared" si="19"/>
        <v>965205.36</v>
      </c>
      <c r="I1242" s="83"/>
      <c r="K1242" s="54" t="s">
        <v>15</v>
      </c>
    </row>
    <row r="1243" spans="2:11" ht="41.25" x14ac:dyDescent="0.2">
      <c r="B1243" s="82" t="s">
        <v>3421</v>
      </c>
      <c r="C1243" s="82" t="s">
        <v>1056</v>
      </c>
      <c r="D1243" s="83">
        <f>SUMIFS(D1244:D6462,K1244:K6462,"0",B1244:B6462,"5 1 1 1 3 12 31111 6 M59 70300 000132 0000R 00001 00113 015 2111100 2024 CP1CU419*")-SUMIFS(E1244:E6462,K1244:K6462,"0",B1244:B6462,"5 1 1 1 3 12 31111 6 M59 70300 000132 0000R 00001 00113 015 2111100 2024 CP1CU419*")</f>
        <v>0</v>
      </c>
      <c r="E1243" s="54"/>
      <c r="F1243" s="83">
        <f>SUMIFS(F1244:F6462,K1244:K6462,"0",B1244:B6462,"5 1 1 1 3 12 31111 6 M59 70300 000132 0000R 00001 00113 015 2111100 2024 CP1CU419*")</f>
        <v>965205.36</v>
      </c>
      <c r="G1243" s="83">
        <f>SUMIFS(G1244:G6462,K1244:K6462,"0",B1244:B6462,"5 1 1 1 3 12 31111 6 M59 70300 000132 0000R 00001 00113 015 2111100 2024 CP1CU419*")</f>
        <v>0</v>
      </c>
      <c r="H1243" s="83">
        <f t="shared" si="19"/>
        <v>965205.36</v>
      </c>
      <c r="I1243" s="83"/>
      <c r="K1243" s="54" t="s">
        <v>15</v>
      </c>
    </row>
    <row r="1244" spans="2:11" ht="41.25" x14ac:dyDescent="0.2">
      <c r="B1244" s="82" t="s">
        <v>3422</v>
      </c>
      <c r="C1244" s="82" t="s">
        <v>282</v>
      </c>
      <c r="D1244" s="83">
        <f>SUMIFS(D1245:D6462,K1245:K6462,"0",B1245:B6462,"5 1 1 1 3 12 31111 6 M59 70300 000132 0000R 00001 00113 015 2111100 2024 CP1CU419 001*")-SUMIFS(E1245:E6462,K1245:K6462,"0",B1245:B6462,"5 1 1 1 3 12 31111 6 M59 70300 000132 0000R 00001 00113 015 2111100 2024 CP1CU419 001*")</f>
        <v>0</v>
      </c>
      <c r="E1244" s="54"/>
      <c r="F1244" s="83">
        <f>SUMIFS(F1245:F6462,K1245:K6462,"0",B1245:B6462,"5 1 1 1 3 12 31111 6 M59 70300 000132 0000R 00001 00113 015 2111100 2024 CP1CU419 001*")</f>
        <v>965205.36</v>
      </c>
      <c r="G1244" s="83">
        <f>SUMIFS(G1245:G6462,K1245:K6462,"0",B1245:B6462,"5 1 1 1 3 12 31111 6 M59 70300 000132 0000R 00001 00113 015 2111100 2024 CP1CU419 001*")</f>
        <v>0</v>
      </c>
      <c r="H1244" s="83">
        <f t="shared" si="19"/>
        <v>965205.36</v>
      </c>
      <c r="I1244" s="83"/>
      <c r="K1244" s="54" t="s">
        <v>15</v>
      </c>
    </row>
    <row r="1245" spans="2:11" ht="33" x14ac:dyDescent="0.2">
      <c r="B1245" s="84" t="s">
        <v>3423</v>
      </c>
      <c r="C1245" s="84" t="s">
        <v>2932</v>
      </c>
      <c r="D1245" s="85">
        <v>0</v>
      </c>
      <c r="E1245" s="85"/>
      <c r="F1245" s="85">
        <v>965205.36</v>
      </c>
      <c r="G1245" s="85">
        <v>0</v>
      </c>
      <c r="H1245" s="85">
        <f t="shared" si="19"/>
        <v>965205.36</v>
      </c>
      <c r="I1245" s="85"/>
      <c r="K1245" s="54" t="s">
        <v>38</v>
      </c>
    </row>
    <row r="1246" spans="2:11" ht="16.5" x14ac:dyDescent="0.2">
      <c r="B1246" s="82" t="s">
        <v>3424</v>
      </c>
      <c r="C1246" s="82" t="s">
        <v>3425</v>
      </c>
      <c r="D1246" s="83">
        <f>SUMIFS(D1247:D6462,K1247:K6462,"0",B1247:B6462,"5 1 1 1 3 12 31111 6 M59 70400*")-SUMIFS(E1247:E6462,K1247:K6462,"0",B1247:B6462,"5 1 1 1 3 12 31111 6 M59 70400*")</f>
        <v>0</v>
      </c>
      <c r="E1246" s="54"/>
      <c r="F1246" s="83">
        <f>SUMIFS(F1247:F6462,K1247:K6462,"0",B1247:B6462,"5 1 1 1 3 12 31111 6 M59 70400*")</f>
        <v>92052.89</v>
      </c>
      <c r="G1246" s="83">
        <f>SUMIFS(G1247:G6462,K1247:K6462,"0",B1247:B6462,"5 1 1 1 3 12 31111 6 M59 70400*")</f>
        <v>0</v>
      </c>
      <c r="H1246" s="83">
        <f t="shared" si="19"/>
        <v>92052.89</v>
      </c>
      <c r="I1246" s="83"/>
      <c r="K1246" s="54" t="s">
        <v>15</v>
      </c>
    </row>
    <row r="1247" spans="2:11" ht="16.5" x14ac:dyDescent="0.2">
      <c r="B1247" s="82" t="s">
        <v>3426</v>
      </c>
      <c r="C1247" s="82" t="s">
        <v>3427</v>
      </c>
      <c r="D1247" s="83">
        <f>SUMIFS(D1248:D6462,K1248:K6462,"0",B1248:B6462,"5 1 1 1 3 12 31111 6 M59 70400 000241*")-SUMIFS(E1248:E6462,K1248:K6462,"0",B1248:B6462,"5 1 1 1 3 12 31111 6 M59 70400 000241*")</f>
        <v>0</v>
      </c>
      <c r="E1247" s="54"/>
      <c r="F1247" s="83">
        <f>SUMIFS(F1248:F6462,K1248:K6462,"0",B1248:B6462,"5 1 1 1 3 12 31111 6 M59 70400 000241*")</f>
        <v>92052.89</v>
      </c>
      <c r="G1247" s="83">
        <f>SUMIFS(G1248:G6462,K1248:K6462,"0",B1248:B6462,"5 1 1 1 3 12 31111 6 M59 70400 000241*")</f>
        <v>0</v>
      </c>
      <c r="H1247" s="83">
        <f t="shared" si="19"/>
        <v>92052.89</v>
      </c>
      <c r="I1247" s="83"/>
      <c r="K1247" s="54" t="s">
        <v>15</v>
      </c>
    </row>
    <row r="1248" spans="2:11" ht="16.5" x14ac:dyDescent="0.2">
      <c r="B1248" s="82" t="s">
        <v>3428</v>
      </c>
      <c r="C1248" s="82" t="s">
        <v>650</v>
      </c>
      <c r="D1248" s="83">
        <f>SUMIFS(D1249:D6462,K1249:K6462,"0",B1249:B6462,"5 1 1 1 3 12 31111 6 M59 70400 000241 0000R*")-SUMIFS(E1249:E6462,K1249:K6462,"0",B1249:B6462,"5 1 1 1 3 12 31111 6 M59 70400 000241 0000R*")</f>
        <v>0</v>
      </c>
      <c r="E1248" s="54"/>
      <c r="F1248" s="83">
        <f>SUMIFS(F1249:F6462,K1249:K6462,"0",B1249:B6462,"5 1 1 1 3 12 31111 6 M59 70400 000241 0000R*")</f>
        <v>92052.89</v>
      </c>
      <c r="G1248" s="83">
        <f>SUMIFS(G1249:G6462,K1249:K6462,"0",B1249:B6462,"5 1 1 1 3 12 31111 6 M59 70400 000241 0000R*")</f>
        <v>0</v>
      </c>
      <c r="H1248" s="83">
        <f t="shared" si="19"/>
        <v>92052.89</v>
      </c>
      <c r="I1248" s="83"/>
      <c r="K1248" s="54" t="s">
        <v>15</v>
      </c>
    </row>
    <row r="1249" spans="2:11" ht="24.75" x14ac:dyDescent="0.2">
      <c r="B1249" s="82" t="s">
        <v>3429</v>
      </c>
      <c r="C1249" s="82" t="s">
        <v>282</v>
      </c>
      <c r="D1249" s="83">
        <f>SUMIFS(D1250:D6462,K1250:K6462,"0",B1250:B6462,"5 1 1 1 3 12 31111 6 M59 70400 000241 0000R 00001*")-SUMIFS(E1250:E6462,K1250:K6462,"0",B1250:B6462,"5 1 1 1 3 12 31111 6 M59 70400 000241 0000R 00001*")</f>
        <v>0</v>
      </c>
      <c r="E1249" s="54"/>
      <c r="F1249" s="83">
        <f>SUMIFS(F1250:F6462,K1250:K6462,"0",B1250:B6462,"5 1 1 1 3 12 31111 6 M59 70400 000241 0000R 00001*")</f>
        <v>92052.89</v>
      </c>
      <c r="G1249" s="83">
        <f>SUMIFS(G1250:G6462,K1250:K6462,"0",B1250:B6462,"5 1 1 1 3 12 31111 6 M59 70400 000241 0000R 00001*")</f>
        <v>0</v>
      </c>
      <c r="H1249" s="83">
        <f t="shared" si="19"/>
        <v>92052.89</v>
      </c>
      <c r="I1249" s="83"/>
      <c r="K1249" s="54" t="s">
        <v>15</v>
      </c>
    </row>
    <row r="1250" spans="2:11" ht="24.75" x14ac:dyDescent="0.2">
      <c r="B1250" s="82" t="s">
        <v>3430</v>
      </c>
      <c r="C1250" s="82" t="s">
        <v>2924</v>
      </c>
      <c r="D1250" s="83">
        <f>SUMIFS(D1251:D6462,K1251:K6462,"0",B1251:B6462,"5 1 1 1 3 12 31111 6 M59 70400 000241 0000R 00001 00113*")-SUMIFS(E1251:E6462,K1251:K6462,"0",B1251:B6462,"5 1 1 1 3 12 31111 6 M59 70400 000241 0000R 00001 00113*")</f>
        <v>0</v>
      </c>
      <c r="E1250" s="54"/>
      <c r="F1250" s="83">
        <f>SUMIFS(F1251:F6462,K1251:K6462,"0",B1251:B6462,"5 1 1 1 3 12 31111 6 M59 70400 000241 0000R 00001 00113*")</f>
        <v>92052.89</v>
      </c>
      <c r="G1250" s="83">
        <f>SUMIFS(G1251:G6462,K1251:K6462,"0",B1251:B6462,"5 1 1 1 3 12 31111 6 M59 70400 000241 0000R 00001 00113*")</f>
        <v>0</v>
      </c>
      <c r="H1250" s="83">
        <f t="shared" si="19"/>
        <v>92052.89</v>
      </c>
      <c r="I1250" s="83"/>
      <c r="K1250" s="54" t="s">
        <v>15</v>
      </c>
    </row>
    <row r="1251" spans="2:11" ht="24.75" x14ac:dyDescent="0.2">
      <c r="B1251" s="82" t="s">
        <v>3431</v>
      </c>
      <c r="C1251" s="82" t="s">
        <v>1051</v>
      </c>
      <c r="D1251" s="83">
        <f>SUMIFS(D1252:D6462,K1252:K6462,"0",B1252:B6462,"5 1 1 1 3 12 31111 6 M59 70400 000241 0000R 00001 00113 015*")-SUMIFS(E1252:E6462,K1252:K6462,"0",B1252:B6462,"5 1 1 1 3 12 31111 6 M59 70400 000241 0000R 00001 00113 015*")</f>
        <v>0</v>
      </c>
      <c r="E1251" s="54"/>
      <c r="F1251" s="83">
        <f>SUMIFS(F1252:F6462,K1252:K6462,"0",B1252:B6462,"5 1 1 1 3 12 31111 6 M59 70400 000241 0000R 00001 00113 015*")</f>
        <v>92052.89</v>
      </c>
      <c r="G1251" s="83">
        <f>SUMIFS(G1252:G6462,K1252:K6462,"0",B1252:B6462,"5 1 1 1 3 12 31111 6 M59 70400 000241 0000R 00001 00113 015*")</f>
        <v>0</v>
      </c>
      <c r="H1251" s="83">
        <f t="shared" si="19"/>
        <v>92052.89</v>
      </c>
      <c r="I1251" s="83"/>
      <c r="K1251" s="54" t="s">
        <v>15</v>
      </c>
    </row>
    <row r="1252" spans="2:11" ht="33" x14ac:dyDescent="0.2">
      <c r="B1252" s="82" t="s">
        <v>3432</v>
      </c>
      <c r="C1252" s="82" t="s">
        <v>2927</v>
      </c>
      <c r="D1252" s="83">
        <f>SUMIFS(D1253:D6462,K1253:K6462,"0",B1253:B6462,"5 1 1 1 3 12 31111 6 M59 70400 000241 0000R 00001 00113 015 2111100*")-SUMIFS(E1253:E6462,K1253:K6462,"0",B1253:B6462,"5 1 1 1 3 12 31111 6 M59 70400 000241 0000R 00001 00113 015 2111100*")</f>
        <v>0</v>
      </c>
      <c r="E1252" s="54"/>
      <c r="F1252" s="83">
        <f>SUMIFS(F1253:F6462,K1253:K6462,"0",B1253:B6462,"5 1 1 1 3 12 31111 6 M59 70400 000241 0000R 00001 00113 015 2111100*")</f>
        <v>92052.89</v>
      </c>
      <c r="G1252" s="83">
        <f>SUMIFS(G1253:G6462,K1253:K6462,"0",B1253:B6462,"5 1 1 1 3 12 31111 6 M59 70400 000241 0000R 00001 00113 015 2111100*")</f>
        <v>0</v>
      </c>
      <c r="H1252" s="83">
        <f t="shared" si="19"/>
        <v>92052.89</v>
      </c>
      <c r="I1252" s="83"/>
      <c r="K1252" s="54" t="s">
        <v>15</v>
      </c>
    </row>
    <row r="1253" spans="2:11" ht="33" x14ac:dyDescent="0.2">
      <c r="B1253" s="82" t="s">
        <v>3433</v>
      </c>
      <c r="C1253" s="82" t="s">
        <v>660</v>
      </c>
      <c r="D1253" s="83">
        <f>SUMIFS(D1254:D6462,K1254:K6462,"0",B1254:B6462,"5 1 1 1 3 12 31111 6 M59 70400 000241 0000R 00001 00113 015 2111100 2024*")-SUMIFS(E1254:E6462,K1254:K6462,"0",B1254:B6462,"5 1 1 1 3 12 31111 6 M59 70400 000241 0000R 00001 00113 015 2111100 2024*")</f>
        <v>0</v>
      </c>
      <c r="E1253" s="54"/>
      <c r="F1253" s="83">
        <f>SUMIFS(F1254:F6462,K1254:K6462,"0",B1254:B6462,"5 1 1 1 3 12 31111 6 M59 70400 000241 0000R 00001 00113 015 2111100 2024*")</f>
        <v>92052.89</v>
      </c>
      <c r="G1253" s="83">
        <f>SUMIFS(G1254:G6462,K1254:K6462,"0",B1254:B6462,"5 1 1 1 3 12 31111 6 M59 70400 000241 0000R 00001 00113 015 2111100 2024*")</f>
        <v>0</v>
      </c>
      <c r="H1253" s="83">
        <f t="shared" si="19"/>
        <v>92052.89</v>
      </c>
      <c r="I1253" s="83"/>
      <c r="K1253" s="54" t="s">
        <v>15</v>
      </c>
    </row>
    <row r="1254" spans="2:11" ht="41.25" x14ac:dyDescent="0.2">
      <c r="B1254" s="82" t="s">
        <v>3434</v>
      </c>
      <c r="C1254" s="82" t="s">
        <v>662</v>
      </c>
      <c r="D1254" s="83">
        <f>SUMIFS(D1255:D6462,K1255:K6462,"0",B1255:B6462,"5 1 1 1 3 12 31111 6 M59 70400 000241 0000R 00001 00113 015 2111100 2024 CP1DD418*")-SUMIFS(E1255:E6462,K1255:K6462,"0",B1255:B6462,"5 1 1 1 3 12 31111 6 M59 70400 000241 0000R 00001 00113 015 2111100 2024 CP1DD418*")</f>
        <v>0</v>
      </c>
      <c r="E1254" s="54"/>
      <c r="F1254" s="83">
        <f>SUMIFS(F1255:F6462,K1255:K6462,"0",B1255:B6462,"5 1 1 1 3 12 31111 6 M59 70400 000241 0000R 00001 00113 015 2111100 2024 CP1DD418*")</f>
        <v>92052.89</v>
      </c>
      <c r="G1254" s="83">
        <f>SUMIFS(G1255:G6462,K1255:K6462,"0",B1255:B6462,"5 1 1 1 3 12 31111 6 M59 70400 000241 0000R 00001 00113 015 2111100 2024 CP1DD418*")</f>
        <v>0</v>
      </c>
      <c r="H1254" s="83">
        <f t="shared" si="19"/>
        <v>92052.89</v>
      </c>
      <c r="I1254" s="83"/>
      <c r="K1254" s="54" t="s">
        <v>15</v>
      </c>
    </row>
    <row r="1255" spans="2:11" ht="41.25" x14ac:dyDescent="0.2">
      <c r="B1255" s="82" t="s">
        <v>3435</v>
      </c>
      <c r="C1255" s="82" t="s">
        <v>282</v>
      </c>
      <c r="D1255" s="83">
        <f>SUMIFS(D1256:D6462,K1256:K6462,"0",B1256:B6462,"5 1 1 1 3 12 31111 6 M59 70400 000241 0000R 00001 00113 015 2111100 2024 CP1DD418 001*")-SUMIFS(E1256:E6462,K1256:K6462,"0",B1256:B6462,"5 1 1 1 3 12 31111 6 M59 70400 000241 0000R 00001 00113 015 2111100 2024 CP1DD418 001*")</f>
        <v>0</v>
      </c>
      <c r="E1255" s="54"/>
      <c r="F1255" s="83">
        <f>SUMIFS(F1256:F6462,K1256:K6462,"0",B1256:B6462,"5 1 1 1 3 12 31111 6 M59 70400 000241 0000R 00001 00113 015 2111100 2024 CP1DD418 001*")</f>
        <v>92052.89</v>
      </c>
      <c r="G1255" s="83">
        <f>SUMIFS(G1256:G6462,K1256:K6462,"0",B1256:B6462,"5 1 1 1 3 12 31111 6 M59 70400 000241 0000R 00001 00113 015 2111100 2024 CP1DD418 001*")</f>
        <v>0</v>
      </c>
      <c r="H1255" s="83">
        <f t="shared" si="19"/>
        <v>92052.89</v>
      </c>
      <c r="I1255" s="83"/>
      <c r="K1255" s="54" t="s">
        <v>15</v>
      </c>
    </row>
    <row r="1256" spans="2:11" ht="33" x14ac:dyDescent="0.2">
      <c r="B1256" s="84" t="s">
        <v>3436</v>
      </c>
      <c r="C1256" s="84" t="s">
        <v>2932</v>
      </c>
      <c r="D1256" s="85">
        <v>0</v>
      </c>
      <c r="E1256" s="85"/>
      <c r="F1256" s="85">
        <v>92052.89</v>
      </c>
      <c r="G1256" s="85">
        <v>0</v>
      </c>
      <c r="H1256" s="85">
        <f t="shared" si="19"/>
        <v>92052.89</v>
      </c>
      <c r="I1256" s="85"/>
      <c r="K1256" s="54" t="s">
        <v>38</v>
      </c>
    </row>
    <row r="1257" spans="2:11" ht="16.5" x14ac:dyDescent="0.2">
      <c r="B1257" s="82" t="s">
        <v>3437</v>
      </c>
      <c r="C1257" s="82" t="s">
        <v>3438</v>
      </c>
      <c r="D1257" s="83">
        <f>SUMIFS(D1258:D6462,K1258:K6462,"0",B1258:B6462,"5 1 1 1 3 12 31111 6 M59 70500*")-SUMIFS(E1258:E6462,K1258:K6462,"0",B1258:B6462,"5 1 1 1 3 12 31111 6 M59 70500*")</f>
        <v>0</v>
      </c>
      <c r="E1257" s="54"/>
      <c r="F1257" s="83">
        <f>SUMIFS(F1258:F6462,K1258:K6462,"0",B1258:B6462,"5 1 1 1 3 12 31111 6 M59 70500*")</f>
        <v>54758.22</v>
      </c>
      <c r="G1257" s="83">
        <f>SUMIFS(G1258:G6462,K1258:K6462,"0",B1258:B6462,"5 1 1 1 3 12 31111 6 M59 70500*")</f>
        <v>0</v>
      </c>
      <c r="H1257" s="83">
        <f t="shared" si="19"/>
        <v>54758.22</v>
      </c>
      <c r="I1257" s="83"/>
      <c r="K1257" s="54" t="s">
        <v>15</v>
      </c>
    </row>
    <row r="1258" spans="2:11" ht="16.5" x14ac:dyDescent="0.2">
      <c r="B1258" s="82" t="s">
        <v>3439</v>
      </c>
      <c r="C1258" s="82" t="s">
        <v>648</v>
      </c>
      <c r="D1258" s="83">
        <f>SUMIFS(D1259:D6462,K1259:K6462,"0",B1259:B6462,"5 1 1 1 3 12 31111 6 M59 70500 000132*")-SUMIFS(E1259:E6462,K1259:K6462,"0",B1259:B6462,"5 1 1 1 3 12 31111 6 M59 70500 000132*")</f>
        <v>0</v>
      </c>
      <c r="E1258" s="54"/>
      <c r="F1258" s="83">
        <f>SUMIFS(F1259:F6462,K1259:K6462,"0",B1259:B6462,"5 1 1 1 3 12 31111 6 M59 70500 000132*")</f>
        <v>54758.22</v>
      </c>
      <c r="G1258" s="83">
        <f>SUMIFS(G1259:G6462,K1259:K6462,"0",B1259:B6462,"5 1 1 1 3 12 31111 6 M59 70500 000132*")</f>
        <v>0</v>
      </c>
      <c r="H1258" s="83">
        <f t="shared" si="19"/>
        <v>54758.22</v>
      </c>
      <c r="I1258" s="83"/>
      <c r="K1258" s="54" t="s">
        <v>15</v>
      </c>
    </row>
    <row r="1259" spans="2:11" ht="16.5" x14ac:dyDescent="0.2">
      <c r="B1259" s="82" t="s">
        <v>3440</v>
      </c>
      <c r="C1259" s="82" t="s">
        <v>650</v>
      </c>
      <c r="D1259" s="83">
        <f>SUMIFS(D1260:D6462,K1260:K6462,"0",B1260:B6462,"5 1 1 1 3 12 31111 6 M59 70500 000132 0000R*")-SUMIFS(E1260:E6462,K1260:K6462,"0",B1260:B6462,"5 1 1 1 3 12 31111 6 M59 70500 000132 0000R*")</f>
        <v>0</v>
      </c>
      <c r="E1259" s="54"/>
      <c r="F1259" s="83">
        <f>SUMIFS(F1260:F6462,K1260:K6462,"0",B1260:B6462,"5 1 1 1 3 12 31111 6 M59 70500 000132 0000R*")</f>
        <v>54758.22</v>
      </c>
      <c r="G1259" s="83">
        <f>SUMIFS(G1260:G6462,K1260:K6462,"0",B1260:B6462,"5 1 1 1 3 12 31111 6 M59 70500 000132 0000R*")</f>
        <v>0</v>
      </c>
      <c r="H1259" s="83">
        <f t="shared" ref="H1259:H1322" si="20">D1259 + F1259 - G1259</f>
        <v>54758.22</v>
      </c>
      <c r="I1259" s="83"/>
      <c r="K1259" s="54" t="s">
        <v>15</v>
      </c>
    </row>
    <row r="1260" spans="2:11" ht="24.75" x14ac:dyDescent="0.2">
      <c r="B1260" s="82" t="s">
        <v>3441</v>
      </c>
      <c r="C1260" s="82" t="s">
        <v>282</v>
      </c>
      <c r="D1260" s="83">
        <f>SUMIFS(D1261:D6462,K1261:K6462,"0",B1261:B6462,"5 1 1 1 3 12 31111 6 M59 70500 000132 0000R 00001*")-SUMIFS(E1261:E6462,K1261:K6462,"0",B1261:B6462,"5 1 1 1 3 12 31111 6 M59 70500 000132 0000R 00001*")</f>
        <v>0</v>
      </c>
      <c r="E1260" s="54"/>
      <c r="F1260" s="83">
        <f>SUMIFS(F1261:F6462,K1261:K6462,"0",B1261:B6462,"5 1 1 1 3 12 31111 6 M59 70500 000132 0000R 00001*")</f>
        <v>54758.22</v>
      </c>
      <c r="G1260" s="83">
        <f>SUMIFS(G1261:G6462,K1261:K6462,"0",B1261:B6462,"5 1 1 1 3 12 31111 6 M59 70500 000132 0000R 00001*")</f>
        <v>0</v>
      </c>
      <c r="H1260" s="83">
        <f t="shared" si="20"/>
        <v>54758.22</v>
      </c>
      <c r="I1260" s="83"/>
      <c r="K1260" s="54" t="s">
        <v>15</v>
      </c>
    </row>
    <row r="1261" spans="2:11" ht="24.75" x14ac:dyDescent="0.2">
      <c r="B1261" s="82" t="s">
        <v>3442</v>
      </c>
      <c r="C1261" s="82" t="s">
        <v>2924</v>
      </c>
      <c r="D1261" s="83">
        <f>SUMIFS(D1262:D6462,K1262:K6462,"0",B1262:B6462,"5 1 1 1 3 12 31111 6 M59 70500 000132 0000R 00001 00113*")-SUMIFS(E1262:E6462,K1262:K6462,"0",B1262:B6462,"5 1 1 1 3 12 31111 6 M59 70500 000132 0000R 00001 00113*")</f>
        <v>0</v>
      </c>
      <c r="E1261" s="54"/>
      <c r="F1261" s="83">
        <f>SUMIFS(F1262:F6462,K1262:K6462,"0",B1262:B6462,"5 1 1 1 3 12 31111 6 M59 70500 000132 0000R 00001 00113*")</f>
        <v>54758.22</v>
      </c>
      <c r="G1261" s="83">
        <f>SUMIFS(G1262:G6462,K1262:K6462,"0",B1262:B6462,"5 1 1 1 3 12 31111 6 M59 70500 000132 0000R 00001 00113*")</f>
        <v>0</v>
      </c>
      <c r="H1261" s="83">
        <f t="shared" si="20"/>
        <v>54758.22</v>
      </c>
      <c r="I1261" s="83"/>
      <c r="K1261" s="54" t="s">
        <v>15</v>
      </c>
    </row>
    <row r="1262" spans="2:11" ht="24.75" x14ac:dyDescent="0.2">
      <c r="B1262" s="82" t="s">
        <v>3443</v>
      </c>
      <c r="C1262" s="82" t="s">
        <v>1051</v>
      </c>
      <c r="D1262" s="83">
        <f>SUMIFS(D1263:D6462,K1263:K6462,"0",B1263:B6462,"5 1 1 1 3 12 31111 6 M59 70500 000132 0000R 00001 00113 015*")-SUMIFS(E1263:E6462,K1263:K6462,"0",B1263:B6462,"5 1 1 1 3 12 31111 6 M59 70500 000132 0000R 00001 00113 015*")</f>
        <v>0</v>
      </c>
      <c r="E1262" s="54"/>
      <c r="F1262" s="83">
        <f>SUMIFS(F1263:F6462,K1263:K6462,"0",B1263:B6462,"5 1 1 1 3 12 31111 6 M59 70500 000132 0000R 00001 00113 015*")</f>
        <v>54758.22</v>
      </c>
      <c r="G1262" s="83">
        <f>SUMIFS(G1263:G6462,K1263:K6462,"0",B1263:B6462,"5 1 1 1 3 12 31111 6 M59 70500 000132 0000R 00001 00113 015*")</f>
        <v>0</v>
      </c>
      <c r="H1262" s="83">
        <f t="shared" si="20"/>
        <v>54758.22</v>
      </c>
      <c r="I1262" s="83"/>
      <c r="K1262" s="54" t="s">
        <v>15</v>
      </c>
    </row>
    <row r="1263" spans="2:11" ht="33" x14ac:dyDescent="0.2">
      <c r="B1263" s="82" t="s">
        <v>3444</v>
      </c>
      <c r="C1263" s="82" t="s">
        <v>2927</v>
      </c>
      <c r="D1263" s="83">
        <f>SUMIFS(D1264:D6462,K1264:K6462,"0",B1264:B6462,"5 1 1 1 3 12 31111 6 M59 70500 000132 0000R 00001 00113 015 2111100*")-SUMIFS(E1264:E6462,K1264:K6462,"0",B1264:B6462,"5 1 1 1 3 12 31111 6 M59 70500 000132 0000R 00001 00113 015 2111100*")</f>
        <v>0</v>
      </c>
      <c r="E1263" s="54"/>
      <c r="F1263" s="83">
        <f>SUMIFS(F1264:F6462,K1264:K6462,"0",B1264:B6462,"5 1 1 1 3 12 31111 6 M59 70500 000132 0000R 00001 00113 015 2111100*")</f>
        <v>54758.22</v>
      </c>
      <c r="G1263" s="83">
        <f>SUMIFS(G1264:G6462,K1264:K6462,"0",B1264:B6462,"5 1 1 1 3 12 31111 6 M59 70500 000132 0000R 00001 00113 015 2111100*")</f>
        <v>0</v>
      </c>
      <c r="H1263" s="83">
        <f t="shared" si="20"/>
        <v>54758.22</v>
      </c>
      <c r="I1263" s="83"/>
      <c r="K1263" s="54" t="s">
        <v>15</v>
      </c>
    </row>
    <row r="1264" spans="2:11" ht="33" x14ac:dyDescent="0.2">
      <c r="B1264" s="82" t="s">
        <v>3445</v>
      </c>
      <c r="C1264" s="82" t="s">
        <v>660</v>
      </c>
      <c r="D1264" s="83">
        <f>SUMIFS(D1265:D6462,K1265:K6462,"0",B1265:B6462,"5 1 1 1 3 12 31111 6 M59 70500 000132 0000R 00001 00113 015 2111100 2024*")-SUMIFS(E1265:E6462,K1265:K6462,"0",B1265:B6462,"5 1 1 1 3 12 31111 6 M59 70500 000132 0000R 00001 00113 015 2111100 2024*")</f>
        <v>0</v>
      </c>
      <c r="E1264" s="54"/>
      <c r="F1264" s="83">
        <f>SUMIFS(F1265:F6462,K1265:K6462,"0",B1265:B6462,"5 1 1 1 3 12 31111 6 M59 70500 000132 0000R 00001 00113 015 2111100 2024*")</f>
        <v>54758.22</v>
      </c>
      <c r="G1264" s="83">
        <f>SUMIFS(G1265:G6462,K1265:K6462,"0",B1265:B6462,"5 1 1 1 3 12 31111 6 M59 70500 000132 0000R 00001 00113 015 2111100 2024*")</f>
        <v>0</v>
      </c>
      <c r="H1264" s="83">
        <f t="shared" si="20"/>
        <v>54758.22</v>
      </c>
      <c r="I1264" s="83"/>
      <c r="K1264" s="54" t="s">
        <v>15</v>
      </c>
    </row>
    <row r="1265" spans="2:11" ht="41.25" x14ac:dyDescent="0.2">
      <c r="B1265" s="82" t="s">
        <v>3446</v>
      </c>
      <c r="C1265" s="82" t="s">
        <v>1056</v>
      </c>
      <c r="D1265" s="83">
        <f>SUMIFS(D1266:D6462,K1266:K6462,"0",B1266:B6462,"5 1 1 1 3 12 31111 6 M59 70500 000132 0000R 00001 00113 015 2111100 2024 CP1DT395*")-SUMIFS(E1266:E6462,K1266:K6462,"0",B1266:B6462,"5 1 1 1 3 12 31111 6 M59 70500 000132 0000R 00001 00113 015 2111100 2024 CP1DT395*")</f>
        <v>0</v>
      </c>
      <c r="E1265" s="54"/>
      <c r="F1265" s="83">
        <f>SUMIFS(F1266:F6462,K1266:K6462,"0",B1266:B6462,"5 1 1 1 3 12 31111 6 M59 70500 000132 0000R 00001 00113 015 2111100 2024 CP1DT395*")</f>
        <v>54758.22</v>
      </c>
      <c r="G1265" s="83">
        <f>SUMIFS(G1266:G6462,K1266:K6462,"0",B1266:B6462,"5 1 1 1 3 12 31111 6 M59 70500 000132 0000R 00001 00113 015 2111100 2024 CP1DT395*")</f>
        <v>0</v>
      </c>
      <c r="H1265" s="83">
        <f t="shared" si="20"/>
        <v>54758.22</v>
      </c>
      <c r="I1265" s="83"/>
      <c r="K1265" s="54" t="s">
        <v>15</v>
      </c>
    </row>
    <row r="1266" spans="2:11" ht="41.25" x14ac:dyDescent="0.2">
      <c r="B1266" s="82" t="s">
        <v>3447</v>
      </c>
      <c r="C1266" s="82" t="s">
        <v>282</v>
      </c>
      <c r="D1266" s="83">
        <f>SUMIFS(D1267:D6462,K1267:K6462,"0",B1267:B6462,"5 1 1 1 3 12 31111 6 M59 70500 000132 0000R 00001 00113 015 2111100 2024 CP1DT395 001*")-SUMIFS(E1267:E6462,K1267:K6462,"0",B1267:B6462,"5 1 1 1 3 12 31111 6 M59 70500 000132 0000R 00001 00113 015 2111100 2024 CP1DT395 001*")</f>
        <v>0</v>
      </c>
      <c r="E1266" s="54"/>
      <c r="F1266" s="83">
        <f>SUMIFS(F1267:F6462,K1267:K6462,"0",B1267:B6462,"5 1 1 1 3 12 31111 6 M59 70500 000132 0000R 00001 00113 015 2111100 2024 CP1DT395 001*")</f>
        <v>54758.22</v>
      </c>
      <c r="G1266" s="83">
        <f>SUMIFS(G1267:G6462,K1267:K6462,"0",B1267:B6462,"5 1 1 1 3 12 31111 6 M59 70500 000132 0000R 00001 00113 015 2111100 2024 CP1DT395 001*")</f>
        <v>0</v>
      </c>
      <c r="H1266" s="83">
        <f t="shared" si="20"/>
        <v>54758.22</v>
      </c>
      <c r="I1266" s="83"/>
      <c r="K1266" s="54" t="s">
        <v>15</v>
      </c>
    </row>
    <row r="1267" spans="2:11" ht="33" x14ac:dyDescent="0.2">
      <c r="B1267" s="84" t="s">
        <v>3448</v>
      </c>
      <c r="C1267" s="84" t="s">
        <v>2932</v>
      </c>
      <c r="D1267" s="85">
        <v>0</v>
      </c>
      <c r="E1267" s="85"/>
      <c r="F1267" s="85">
        <v>54758.22</v>
      </c>
      <c r="G1267" s="85">
        <v>0</v>
      </c>
      <c r="H1267" s="85">
        <f t="shared" si="20"/>
        <v>54758.22</v>
      </c>
      <c r="I1267" s="85"/>
      <c r="K1267" s="54" t="s">
        <v>38</v>
      </c>
    </row>
    <row r="1268" spans="2:11" ht="16.5" x14ac:dyDescent="0.2">
      <c r="B1268" s="82" t="s">
        <v>3449</v>
      </c>
      <c r="C1268" s="82" t="s">
        <v>3450</v>
      </c>
      <c r="D1268" s="83">
        <f>SUMIFS(D1269:D6462,K1269:K6462,"0",B1269:B6462,"5 1 1 1 3 12 31111 6 M59 70600*")-SUMIFS(E1269:E6462,K1269:K6462,"0",B1269:B6462,"5 1 1 1 3 12 31111 6 M59 70600*")</f>
        <v>0</v>
      </c>
      <c r="E1268" s="54"/>
      <c r="F1268" s="83">
        <f>SUMIFS(F1269:F6462,K1269:K6462,"0",B1269:B6462,"5 1 1 1 3 12 31111 6 M59 70600*")</f>
        <v>49162.080000000002</v>
      </c>
      <c r="G1268" s="83">
        <f>SUMIFS(G1269:G6462,K1269:K6462,"0",B1269:B6462,"5 1 1 1 3 12 31111 6 M59 70600*")</f>
        <v>0</v>
      </c>
      <c r="H1268" s="83">
        <f t="shared" si="20"/>
        <v>49162.080000000002</v>
      </c>
      <c r="I1268" s="83"/>
      <c r="K1268" s="54" t="s">
        <v>15</v>
      </c>
    </row>
    <row r="1269" spans="2:11" ht="16.5" x14ac:dyDescent="0.2">
      <c r="B1269" s="82" t="s">
        <v>3451</v>
      </c>
      <c r="C1269" s="82" t="s">
        <v>648</v>
      </c>
      <c r="D1269" s="83">
        <f>SUMIFS(D1270:D6462,K1270:K6462,"0",B1270:B6462,"5 1 1 1 3 12 31111 6 M59 70600 000132*")-SUMIFS(E1270:E6462,K1270:K6462,"0",B1270:B6462,"5 1 1 1 3 12 31111 6 M59 70600 000132*")</f>
        <v>0</v>
      </c>
      <c r="E1269" s="54"/>
      <c r="F1269" s="83">
        <f>SUMIFS(F1270:F6462,K1270:K6462,"0",B1270:B6462,"5 1 1 1 3 12 31111 6 M59 70600 000132*")</f>
        <v>49162.080000000002</v>
      </c>
      <c r="G1269" s="83">
        <f>SUMIFS(G1270:G6462,K1270:K6462,"0",B1270:B6462,"5 1 1 1 3 12 31111 6 M59 70600 000132*")</f>
        <v>0</v>
      </c>
      <c r="H1269" s="83">
        <f t="shared" si="20"/>
        <v>49162.080000000002</v>
      </c>
      <c r="I1269" s="83"/>
      <c r="K1269" s="54" t="s">
        <v>15</v>
      </c>
    </row>
    <row r="1270" spans="2:11" ht="16.5" x14ac:dyDescent="0.2">
      <c r="B1270" s="82" t="s">
        <v>3452</v>
      </c>
      <c r="C1270" s="82" t="s">
        <v>650</v>
      </c>
      <c r="D1270" s="83">
        <f>SUMIFS(D1271:D6462,K1271:K6462,"0",B1271:B6462,"5 1 1 1 3 12 31111 6 M59 70600 000132 0000R*")-SUMIFS(E1271:E6462,K1271:K6462,"0",B1271:B6462,"5 1 1 1 3 12 31111 6 M59 70600 000132 0000R*")</f>
        <v>0</v>
      </c>
      <c r="E1270" s="54"/>
      <c r="F1270" s="83">
        <f>SUMIFS(F1271:F6462,K1271:K6462,"0",B1271:B6462,"5 1 1 1 3 12 31111 6 M59 70600 000132 0000R*")</f>
        <v>49162.080000000002</v>
      </c>
      <c r="G1270" s="83">
        <f>SUMIFS(G1271:G6462,K1271:K6462,"0",B1271:B6462,"5 1 1 1 3 12 31111 6 M59 70600 000132 0000R*")</f>
        <v>0</v>
      </c>
      <c r="H1270" s="83">
        <f t="shared" si="20"/>
        <v>49162.080000000002</v>
      </c>
      <c r="I1270" s="83"/>
      <c r="K1270" s="54" t="s">
        <v>15</v>
      </c>
    </row>
    <row r="1271" spans="2:11" ht="24.75" x14ac:dyDescent="0.2">
      <c r="B1271" s="82" t="s">
        <v>3453</v>
      </c>
      <c r="C1271" s="82" t="s">
        <v>282</v>
      </c>
      <c r="D1271" s="83">
        <f>SUMIFS(D1272:D6462,K1272:K6462,"0",B1272:B6462,"5 1 1 1 3 12 31111 6 M59 70600 000132 0000R 00001*")-SUMIFS(E1272:E6462,K1272:K6462,"0",B1272:B6462,"5 1 1 1 3 12 31111 6 M59 70600 000132 0000R 00001*")</f>
        <v>0</v>
      </c>
      <c r="E1271" s="54"/>
      <c r="F1271" s="83">
        <f>SUMIFS(F1272:F6462,K1272:K6462,"0",B1272:B6462,"5 1 1 1 3 12 31111 6 M59 70600 000132 0000R 00001*")</f>
        <v>49162.080000000002</v>
      </c>
      <c r="G1271" s="83">
        <f>SUMIFS(G1272:G6462,K1272:K6462,"0",B1272:B6462,"5 1 1 1 3 12 31111 6 M59 70600 000132 0000R 00001*")</f>
        <v>0</v>
      </c>
      <c r="H1271" s="83">
        <f t="shared" si="20"/>
        <v>49162.080000000002</v>
      </c>
      <c r="I1271" s="83"/>
      <c r="K1271" s="54" t="s">
        <v>15</v>
      </c>
    </row>
    <row r="1272" spans="2:11" ht="24.75" x14ac:dyDescent="0.2">
      <c r="B1272" s="82" t="s">
        <v>3454</v>
      </c>
      <c r="C1272" s="82" t="s">
        <v>2924</v>
      </c>
      <c r="D1272" s="83">
        <f>SUMIFS(D1273:D6462,K1273:K6462,"0",B1273:B6462,"5 1 1 1 3 12 31111 6 M59 70600 000132 0000R 00001 00113*")-SUMIFS(E1273:E6462,K1273:K6462,"0",B1273:B6462,"5 1 1 1 3 12 31111 6 M59 70600 000132 0000R 00001 00113*")</f>
        <v>0</v>
      </c>
      <c r="E1272" s="54"/>
      <c r="F1272" s="83">
        <f>SUMIFS(F1273:F6462,K1273:K6462,"0",B1273:B6462,"5 1 1 1 3 12 31111 6 M59 70600 000132 0000R 00001 00113*")</f>
        <v>49162.080000000002</v>
      </c>
      <c r="G1272" s="83">
        <f>SUMIFS(G1273:G6462,K1273:K6462,"0",B1273:B6462,"5 1 1 1 3 12 31111 6 M59 70600 000132 0000R 00001 00113*")</f>
        <v>0</v>
      </c>
      <c r="H1272" s="83">
        <f t="shared" si="20"/>
        <v>49162.080000000002</v>
      </c>
      <c r="I1272" s="83"/>
      <c r="K1272" s="54" t="s">
        <v>15</v>
      </c>
    </row>
    <row r="1273" spans="2:11" ht="24.75" x14ac:dyDescent="0.2">
      <c r="B1273" s="82" t="s">
        <v>3455</v>
      </c>
      <c r="C1273" s="82" t="s">
        <v>1051</v>
      </c>
      <c r="D1273" s="83">
        <f>SUMIFS(D1274:D6462,K1274:K6462,"0",B1274:B6462,"5 1 1 1 3 12 31111 6 M59 70600 000132 0000R 00001 00113 015*")-SUMIFS(E1274:E6462,K1274:K6462,"0",B1274:B6462,"5 1 1 1 3 12 31111 6 M59 70600 000132 0000R 00001 00113 015*")</f>
        <v>0</v>
      </c>
      <c r="E1273" s="54"/>
      <c r="F1273" s="83">
        <f>SUMIFS(F1274:F6462,K1274:K6462,"0",B1274:B6462,"5 1 1 1 3 12 31111 6 M59 70600 000132 0000R 00001 00113 015*")</f>
        <v>49162.080000000002</v>
      </c>
      <c r="G1273" s="83">
        <f>SUMIFS(G1274:G6462,K1274:K6462,"0",B1274:B6462,"5 1 1 1 3 12 31111 6 M59 70600 000132 0000R 00001 00113 015*")</f>
        <v>0</v>
      </c>
      <c r="H1273" s="83">
        <f t="shared" si="20"/>
        <v>49162.080000000002</v>
      </c>
      <c r="I1273" s="83"/>
      <c r="K1273" s="54" t="s">
        <v>15</v>
      </c>
    </row>
    <row r="1274" spans="2:11" ht="33" x14ac:dyDescent="0.2">
      <c r="B1274" s="82" t="s">
        <v>3456</v>
      </c>
      <c r="C1274" s="82" t="s">
        <v>2927</v>
      </c>
      <c r="D1274" s="83">
        <f>SUMIFS(D1275:D6462,K1275:K6462,"0",B1275:B6462,"5 1 1 1 3 12 31111 6 M59 70600 000132 0000R 00001 00113 015 2111100*")-SUMIFS(E1275:E6462,K1275:K6462,"0",B1275:B6462,"5 1 1 1 3 12 31111 6 M59 70600 000132 0000R 00001 00113 015 2111100*")</f>
        <v>0</v>
      </c>
      <c r="E1274" s="54"/>
      <c r="F1274" s="83">
        <f>SUMIFS(F1275:F6462,K1275:K6462,"0",B1275:B6462,"5 1 1 1 3 12 31111 6 M59 70600 000132 0000R 00001 00113 015 2111100*")</f>
        <v>49162.080000000002</v>
      </c>
      <c r="G1274" s="83">
        <f>SUMIFS(G1275:G6462,K1275:K6462,"0",B1275:B6462,"5 1 1 1 3 12 31111 6 M59 70600 000132 0000R 00001 00113 015 2111100*")</f>
        <v>0</v>
      </c>
      <c r="H1274" s="83">
        <f t="shared" si="20"/>
        <v>49162.080000000002</v>
      </c>
      <c r="I1274" s="83"/>
      <c r="K1274" s="54" t="s">
        <v>15</v>
      </c>
    </row>
    <row r="1275" spans="2:11" ht="33" x14ac:dyDescent="0.2">
      <c r="B1275" s="82" t="s">
        <v>3457</v>
      </c>
      <c r="C1275" s="82" t="s">
        <v>660</v>
      </c>
      <c r="D1275" s="83">
        <f>SUMIFS(D1276:D6462,K1276:K6462,"0",B1276:B6462,"5 1 1 1 3 12 31111 6 M59 70600 000132 0000R 00001 00113 015 2111100 2024*")-SUMIFS(E1276:E6462,K1276:K6462,"0",B1276:B6462,"5 1 1 1 3 12 31111 6 M59 70600 000132 0000R 00001 00113 015 2111100 2024*")</f>
        <v>0</v>
      </c>
      <c r="E1275" s="54"/>
      <c r="F1275" s="83">
        <f>SUMIFS(F1276:F6462,K1276:K6462,"0",B1276:B6462,"5 1 1 1 3 12 31111 6 M59 70600 000132 0000R 00001 00113 015 2111100 2024*")</f>
        <v>49162.080000000002</v>
      </c>
      <c r="G1275" s="83">
        <f>SUMIFS(G1276:G6462,K1276:K6462,"0",B1276:B6462,"5 1 1 1 3 12 31111 6 M59 70600 000132 0000R 00001 00113 015 2111100 2024*")</f>
        <v>0</v>
      </c>
      <c r="H1275" s="83">
        <f t="shared" si="20"/>
        <v>49162.080000000002</v>
      </c>
      <c r="I1275" s="83"/>
      <c r="K1275" s="54" t="s">
        <v>15</v>
      </c>
    </row>
    <row r="1276" spans="2:11" ht="41.25" x14ac:dyDescent="0.2">
      <c r="B1276" s="82" t="s">
        <v>3458</v>
      </c>
      <c r="C1276" s="82" t="s">
        <v>1056</v>
      </c>
      <c r="D1276" s="83">
        <f>SUMIFS(D1277:D6462,K1277:K6462,"0",B1277:B6462,"5 1 1 1 3 12 31111 6 M59 70600 000132 0000R 00001 00113 015 2111100 2024 CP1DJ409*")-SUMIFS(E1277:E6462,K1277:K6462,"0",B1277:B6462,"5 1 1 1 3 12 31111 6 M59 70600 000132 0000R 00001 00113 015 2111100 2024 CP1DJ409*")</f>
        <v>0</v>
      </c>
      <c r="E1276" s="54"/>
      <c r="F1276" s="83">
        <f>SUMIFS(F1277:F6462,K1277:K6462,"0",B1277:B6462,"5 1 1 1 3 12 31111 6 M59 70600 000132 0000R 00001 00113 015 2111100 2024 CP1DJ409*")</f>
        <v>49162.080000000002</v>
      </c>
      <c r="G1276" s="83">
        <f>SUMIFS(G1277:G6462,K1277:K6462,"0",B1277:B6462,"5 1 1 1 3 12 31111 6 M59 70600 000132 0000R 00001 00113 015 2111100 2024 CP1DJ409*")</f>
        <v>0</v>
      </c>
      <c r="H1276" s="83">
        <f t="shared" si="20"/>
        <v>49162.080000000002</v>
      </c>
      <c r="I1276" s="83"/>
      <c r="K1276" s="54" t="s">
        <v>15</v>
      </c>
    </row>
    <row r="1277" spans="2:11" ht="41.25" x14ac:dyDescent="0.2">
      <c r="B1277" s="82" t="s">
        <v>3459</v>
      </c>
      <c r="C1277" s="82" t="s">
        <v>282</v>
      </c>
      <c r="D1277" s="83">
        <f>SUMIFS(D1278:D6462,K1278:K6462,"0",B1278:B6462,"5 1 1 1 3 12 31111 6 M59 70600 000132 0000R 00001 00113 015 2111100 2024 CP1DJ409 001*")-SUMIFS(E1278:E6462,K1278:K6462,"0",B1278:B6462,"5 1 1 1 3 12 31111 6 M59 70600 000132 0000R 00001 00113 015 2111100 2024 CP1DJ409 001*")</f>
        <v>0</v>
      </c>
      <c r="E1277" s="54"/>
      <c r="F1277" s="83">
        <f>SUMIFS(F1278:F6462,K1278:K6462,"0",B1278:B6462,"5 1 1 1 3 12 31111 6 M59 70600 000132 0000R 00001 00113 015 2111100 2024 CP1DJ409 001*")</f>
        <v>49162.080000000002</v>
      </c>
      <c r="G1277" s="83">
        <f>SUMIFS(G1278:G6462,K1278:K6462,"0",B1278:B6462,"5 1 1 1 3 12 31111 6 M59 70600 000132 0000R 00001 00113 015 2111100 2024 CP1DJ409 001*")</f>
        <v>0</v>
      </c>
      <c r="H1277" s="83">
        <f t="shared" si="20"/>
        <v>49162.080000000002</v>
      </c>
      <c r="I1277" s="83"/>
      <c r="K1277" s="54" t="s">
        <v>15</v>
      </c>
    </row>
    <row r="1278" spans="2:11" ht="33" x14ac:dyDescent="0.2">
      <c r="B1278" s="84" t="s">
        <v>3460</v>
      </c>
      <c r="C1278" s="84" t="s">
        <v>2932</v>
      </c>
      <c r="D1278" s="85">
        <v>0</v>
      </c>
      <c r="E1278" s="85"/>
      <c r="F1278" s="85">
        <v>49162.080000000002</v>
      </c>
      <c r="G1278" s="85">
        <v>0</v>
      </c>
      <c r="H1278" s="85">
        <f t="shared" si="20"/>
        <v>49162.080000000002</v>
      </c>
      <c r="I1278" s="85"/>
      <c r="K1278" s="54" t="s">
        <v>38</v>
      </c>
    </row>
    <row r="1279" spans="2:11" ht="16.5" x14ac:dyDescent="0.2">
      <c r="B1279" s="82" t="s">
        <v>3461</v>
      </c>
      <c r="C1279" s="82" t="s">
        <v>3462</v>
      </c>
      <c r="D1279" s="83">
        <f>SUMIFS(D1280:D6462,K1280:K6462,"0",B1280:B6462,"5 1 1 1 3 12 31111 6 M59 70700*")-SUMIFS(E1280:E6462,K1280:K6462,"0",B1280:B6462,"5 1 1 1 3 12 31111 6 M59 70700*")</f>
        <v>0</v>
      </c>
      <c r="E1279" s="54"/>
      <c r="F1279" s="83">
        <f>SUMIFS(F1280:F6462,K1280:K6462,"0",B1280:B6462,"5 1 1 1 3 12 31111 6 M59 70700*")</f>
        <v>512271.97</v>
      </c>
      <c r="G1279" s="83">
        <f>SUMIFS(G1280:G6462,K1280:K6462,"0",B1280:B6462,"5 1 1 1 3 12 31111 6 M59 70700*")</f>
        <v>0</v>
      </c>
      <c r="H1279" s="83">
        <f t="shared" si="20"/>
        <v>512271.97</v>
      </c>
      <c r="I1279" s="83"/>
      <c r="K1279" s="54" t="s">
        <v>15</v>
      </c>
    </row>
    <row r="1280" spans="2:11" ht="16.5" x14ac:dyDescent="0.2">
      <c r="B1280" s="82" t="s">
        <v>3463</v>
      </c>
      <c r="C1280" s="82" t="s">
        <v>648</v>
      </c>
      <c r="D1280" s="83">
        <f>SUMIFS(D1281:D6462,K1281:K6462,"0",B1281:B6462,"5 1 1 1 3 12 31111 6 M59 70700 000132*")-SUMIFS(E1281:E6462,K1281:K6462,"0",B1281:B6462,"5 1 1 1 3 12 31111 6 M59 70700 000132*")</f>
        <v>0</v>
      </c>
      <c r="E1280" s="54"/>
      <c r="F1280" s="83">
        <f>SUMIFS(F1281:F6462,K1281:K6462,"0",B1281:B6462,"5 1 1 1 3 12 31111 6 M59 70700 000132*")</f>
        <v>512271.97</v>
      </c>
      <c r="G1280" s="83">
        <f>SUMIFS(G1281:G6462,K1281:K6462,"0",B1281:B6462,"5 1 1 1 3 12 31111 6 M59 70700 000132*")</f>
        <v>0</v>
      </c>
      <c r="H1280" s="83">
        <f t="shared" si="20"/>
        <v>512271.97</v>
      </c>
      <c r="I1280" s="83"/>
      <c r="K1280" s="54" t="s">
        <v>15</v>
      </c>
    </row>
    <row r="1281" spans="2:11" ht="16.5" x14ac:dyDescent="0.2">
      <c r="B1281" s="82" t="s">
        <v>3464</v>
      </c>
      <c r="C1281" s="82" t="s">
        <v>650</v>
      </c>
      <c r="D1281" s="83">
        <f>SUMIFS(D1282:D6462,K1282:K6462,"0",B1282:B6462,"5 1 1 1 3 12 31111 6 M59 70700 000132 0000R*")-SUMIFS(E1282:E6462,K1282:K6462,"0",B1282:B6462,"5 1 1 1 3 12 31111 6 M59 70700 000132 0000R*")</f>
        <v>0</v>
      </c>
      <c r="E1281" s="54"/>
      <c r="F1281" s="83">
        <f>SUMIFS(F1282:F6462,K1282:K6462,"0",B1282:B6462,"5 1 1 1 3 12 31111 6 M59 70700 000132 0000R*")</f>
        <v>512271.97</v>
      </c>
      <c r="G1281" s="83">
        <f>SUMIFS(G1282:G6462,K1282:K6462,"0",B1282:B6462,"5 1 1 1 3 12 31111 6 M59 70700 000132 0000R*")</f>
        <v>0</v>
      </c>
      <c r="H1281" s="83">
        <f t="shared" si="20"/>
        <v>512271.97</v>
      </c>
      <c r="I1281" s="83"/>
      <c r="K1281" s="54" t="s">
        <v>15</v>
      </c>
    </row>
    <row r="1282" spans="2:11" ht="24.75" x14ac:dyDescent="0.2">
      <c r="B1282" s="82" t="s">
        <v>3465</v>
      </c>
      <c r="C1282" s="82" t="s">
        <v>282</v>
      </c>
      <c r="D1282" s="83">
        <f>SUMIFS(D1283:D6462,K1283:K6462,"0",B1283:B6462,"5 1 1 1 3 12 31111 6 M59 70700 000132 0000R 00001*")-SUMIFS(E1283:E6462,K1283:K6462,"0",B1283:B6462,"5 1 1 1 3 12 31111 6 M59 70700 000132 0000R 00001*")</f>
        <v>0</v>
      </c>
      <c r="E1282" s="54"/>
      <c r="F1282" s="83">
        <f>SUMIFS(F1283:F6462,K1283:K6462,"0",B1283:B6462,"5 1 1 1 3 12 31111 6 M59 70700 000132 0000R 00001*")</f>
        <v>512271.97</v>
      </c>
      <c r="G1282" s="83">
        <f>SUMIFS(G1283:G6462,K1283:K6462,"0",B1283:B6462,"5 1 1 1 3 12 31111 6 M59 70700 000132 0000R 00001*")</f>
        <v>0</v>
      </c>
      <c r="H1282" s="83">
        <f t="shared" si="20"/>
        <v>512271.97</v>
      </c>
      <c r="I1282" s="83"/>
      <c r="K1282" s="54" t="s">
        <v>15</v>
      </c>
    </row>
    <row r="1283" spans="2:11" ht="24.75" x14ac:dyDescent="0.2">
      <c r="B1283" s="82" t="s">
        <v>3466</v>
      </c>
      <c r="C1283" s="82" t="s">
        <v>2924</v>
      </c>
      <c r="D1283" s="83">
        <f>SUMIFS(D1284:D6462,K1284:K6462,"0",B1284:B6462,"5 1 1 1 3 12 31111 6 M59 70700 000132 0000R 00001 00113*")-SUMIFS(E1284:E6462,K1284:K6462,"0",B1284:B6462,"5 1 1 1 3 12 31111 6 M59 70700 000132 0000R 00001 00113*")</f>
        <v>0</v>
      </c>
      <c r="E1283" s="54"/>
      <c r="F1283" s="83">
        <f>SUMIFS(F1284:F6462,K1284:K6462,"0",B1284:B6462,"5 1 1 1 3 12 31111 6 M59 70700 000132 0000R 00001 00113*")</f>
        <v>512271.97</v>
      </c>
      <c r="G1283" s="83">
        <f>SUMIFS(G1284:G6462,K1284:K6462,"0",B1284:B6462,"5 1 1 1 3 12 31111 6 M59 70700 000132 0000R 00001 00113*")</f>
        <v>0</v>
      </c>
      <c r="H1283" s="83">
        <f t="shared" si="20"/>
        <v>512271.97</v>
      </c>
      <c r="I1283" s="83"/>
      <c r="K1283" s="54" t="s">
        <v>15</v>
      </c>
    </row>
    <row r="1284" spans="2:11" ht="24.75" x14ac:dyDescent="0.2">
      <c r="B1284" s="82" t="s">
        <v>3467</v>
      </c>
      <c r="C1284" s="82" t="s">
        <v>1051</v>
      </c>
      <c r="D1284" s="83">
        <f>SUMIFS(D1285:D6462,K1285:K6462,"0",B1285:B6462,"5 1 1 1 3 12 31111 6 M59 70700 000132 0000R 00001 00113 015*")-SUMIFS(E1285:E6462,K1285:K6462,"0",B1285:B6462,"5 1 1 1 3 12 31111 6 M59 70700 000132 0000R 00001 00113 015*")</f>
        <v>0</v>
      </c>
      <c r="E1284" s="54"/>
      <c r="F1284" s="83">
        <f>SUMIFS(F1285:F6462,K1285:K6462,"0",B1285:B6462,"5 1 1 1 3 12 31111 6 M59 70700 000132 0000R 00001 00113 015*")</f>
        <v>512271.97</v>
      </c>
      <c r="G1284" s="83">
        <f>SUMIFS(G1285:G6462,K1285:K6462,"0",B1285:B6462,"5 1 1 1 3 12 31111 6 M59 70700 000132 0000R 00001 00113 015*")</f>
        <v>0</v>
      </c>
      <c r="H1284" s="83">
        <f t="shared" si="20"/>
        <v>512271.97</v>
      </c>
      <c r="I1284" s="83"/>
      <c r="K1284" s="54" t="s">
        <v>15</v>
      </c>
    </row>
    <row r="1285" spans="2:11" ht="33" x14ac:dyDescent="0.2">
      <c r="B1285" s="82" t="s">
        <v>3468</v>
      </c>
      <c r="C1285" s="82" t="s">
        <v>2927</v>
      </c>
      <c r="D1285" s="83">
        <f>SUMIFS(D1286:D6462,K1286:K6462,"0",B1286:B6462,"5 1 1 1 3 12 31111 6 M59 70700 000132 0000R 00001 00113 015 2111100*")-SUMIFS(E1286:E6462,K1286:K6462,"0",B1286:B6462,"5 1 1 1 3 12 31111 6 M59 70700 000132 0000R 00001 00113 015 2111100*")</f>
        <v>0</v>
      </c>
      <c r="E1285" s="54"/>
      <c r="F1285" s="83">
        <f>SUMIFS(F1286:F6462,K1286:K6462,"0",B1286:B6462,"5 1 1 1 3 12 31111 6 M59 70700 000132 0000R 00001 00113 015 2111100*")</f>
        <v>512271.97</v>
      </c>
      <c r="G1285" s="83">
        <f>SUMIFS(G1286:G6462,K1286:K6462,"0",B1286:B6462,"5 1 1 1 3 12 31111 6 M59 70700 000132 0000R 00001 00113 015 2111100*")</f>
        <v>0</v>
      </c>
      <c r="H1285" s="83">
        <f t="shared" si="20"/>
        <v>512271.97</v>
      </c>
      <c r="I1285" s="83"/>
      <c r="K1285" s="54" t="s">
        <v>15</v>
      </c>
    </row>
    <row r="1286" spans="2:11" ht="33" x14ac:dyDescent="0.2">
      <c r="B1286" s="82" t="s">
        <v>3469</v>
      </c>
      <c r="C1286" s="82" t="s">
        <v>660</v>
      </c>
      <c r="D1286" s="83">
        <f>SUMIFS(D1287:D6462,K1287:K6462,"0",B1287:B6462,"5 1 1 1 3 12 31111 6 M59 70700 000132 0000R 00001 00113 015 2111100 2024*")-SUMIFS(E1287:E6462,K1287:K6462,"0",B1287:B6462,"5 1 1 1 3 12 31111 6 M59 70700 000132 0000R 00001 00113 015 2111100 2024*")</f>
        <v>0</v>
      </c>
      <c r="E1286" s="54"/>
      <c r="F1286" s="83">
        <f>SUMIFS(F1287:F6462,K1287:K6462,"0",B1287:B6462,"5 1 1 1 3 12 31111 6 M59 70700 000132 0000R 00001 00113 015 2111100 2024*")</f>
        <v>512271.97</v>
      </c>
      <c r="G1286" s="83">
        <f>SUMIFS(G1287:G6462,K1287:K6462,"0",B1287:B6462,"5 1 1 1 3 12 31111 6 M59 70700 000132 0000R 00001 00113 015 2111100 2024*")</f>
        <v>0</v>
      </c>
      <c r="H1286" s="83">
        <f t="shared" si="20"/>
        <v>512271.97</v>
      </c>
      <c r="I1286" s="83"/>
      <c r="K1286" s="54" t="s">
        <v>15</v>
      </c>
    </row>
    <row r="1287" spans="2:11" ht="41.25" x14ac:dyDescent="0.2">
      <c r="B1287" s="82" t="s">
        <v>3470</v>
      </c>
      <c r="C1287" s="82" t="s">
        <v>1056</v>
      </c>
      <c r="D1287" s="83">
        <f>SUMIFS(D1288:D6462,K1288:K6462,"0",B1288:B6462,"5 1 1 1 3 12 31111 6 M59 70700 000132 0000R 00001 00113 015 2111100 2024 CP1SA397*")-SUMIFS(E1288:E6462,K1288:K6462,"0",B1288:B6462,"5 1 1 1 3 12 31111 6 M59 70700 000132 0000R 00001 00113 015 2111100 2024 CP1SA397*")</f>
        <v>0</v>
      </c>
      <c r="E1287" s="54"/>
      <c r="F1287" s="83">
        <f>SUMIFS(F1288:F6462,K1288:K6462,"0",B1288:B6462,"5 1 1 1 3 12 31111 6 M59 70700 000132 0000R 00001 00113 015 2111100 2024 CP1SA397*")</f>
        <v>512271.97</v>
      </c>
      <c r="G1287" s="83">
        <f>SUMIFS(G1288:G6462,K1288:K6462,"0",B1288:B6462,"5 1 1 1 3 12 31111 6 M59 70700 000132 0000R 00001 00113 015 2111100 2024 CP1SA397*")</f>
        <v>0</v>
      </c>
      <c r="H1287" s="83">
        <f t="shared" si="20"/>
        <v>512271.97</v>
      </c>
      <c r="I1287" s="83"/>
      <c r="K1287" s="54" t="s">
        <v>15</v>
      </c>
    </row>
    <row r="1288" spans="2:11" ht="41.25" x14ac:dyDescent="0.2">
      <c r="B1288" s="82" t="s">
        <v>3471</v>
      </c>
      <c r="C1288" s="82" t="s">
        <v>282</v>
      </c>
      <c r="D1288" s="83">
        <f>SUMIFS(D1289:D6462,K1289:K6462,"0",B1289:B6462,"5 1 1 1 3 12 31111 6 M59 70700 000132 0000R 00001 00113 015 2111100 2024 CP1SA397 001*")-SUMIFS(E1289:E6462,K1289:K6462,"0",B1289:B6462,"5 1 1 1 3 12 31111 6 M59 70700 000132 0000R 00001 00113 015 2111100 2024 CP1SA397 001*")</f>
        <v>0</v>
      </c>
      <c r="E1288" s="54"/>
      <c r="F1288" s="83">
        <f>SUMIFS(F1289:F6462,K1289:K6462,"0",B1289:B6462,"5 1 1 1 3 12 31111 6 M59 70700 000132 0000R 00001 00113 015 2111100 2024 CP1SA397 001*")</f>
        <v>512271.97</v>
      </c>
      <c r="G1288" s="83">
        <f>SUMIFS(G1289:G6462,K1289:K6462,"0",B1289:B6462,"5 1 1 1 3 12 31111 6 M59 70700 000132 0000R 00001 00113 015 2111100 2024 CP1SA397 001*")</f>
        <v>0</v>
      </c>
      <c r="H1288" s="83">
        <f t="shared" si="20"/>
        <v>512271.97</v>
      </c>
      <c r="I1288" s="83"/>
      <c r="K1288" s="54" t="s">
        <v>15</v>
      </c>
    </row>
    <row r="1289" spans="2:11" ht="33" x14ac:dyDescent="0.2">
      <c r="B1289" s="84" t="s">
        <v>3472</v>
      </c>
      <c r="C1289" s="84" t="s">
        <v>2932</v>
      </c>
      <c r="D1289" s="85">
        <v>0</v>
      </c>
      <c r="E1289" s="85"/>
      <c r="F1289" s="85">
        <v>512271.97</v>
      </c>
      <c r="G1289" s="85">
        <v>0</v>
      </c>
      <c r="H1289" s="85">
        <f t="shared" si="20"/>
        <v>512271.97</v>
      </c>
      <c r="I1289" s="85"/>
      <c r="K1289" s="54" t="s">
        <v>38</v>
      </c>
    </row>
    <row r="1290" spans="2:11" ht="16.5" x14ac:dyDescent="0.2">
      <c r="B1290" s="82" t="s">
        <v>3473</v>
      </c>
      <c r="C1290" s="82" t="s">
        <v>3474</v>
      </c>
      <c r="D1290" s="83">
        <f>SUMIFS(D1291:D6462,K1291:K6462,"0",B1291:B6462,"5 1 1 1 3 12 31111 6 M59 70800*")-SUMIFS(E1291:E6462,K1291:K6462,"0",B1291:B6462,"5 1 1 1 3 12 31111 6 M59 70800*")</f>
        <v>0</v>
      </c>
      <c r="E1290" s="54"/>
      <c r="F1290" s="83">
        <f>SUMIFS(F1291:F6462,K1291:K6462,"0",B1291:B6462,"5 1 1 1 3 12 31111 6 M59 70800*")</f>
        <v>136819.49</v>
      </c>
      <c r="G1290" s="83">
        <f>SUMIFS(G1291:G6462,K1291:K6462,"0",B1291:B6462,"5 1 1 1 3 12 31111 6 M59 70800*")</f>
        <v>0</v>
      </c>
      <c r="H1290" s="83">
        <f t="shared" si="20"/>
        <v>136819.49</v>
      </c>
      <c r="I1290" s="83"/>
      <c r="K1290" s="54" t="s">
        <v>15</v>
      </c>
    </row>
    <row r="1291" spans="2:11" ht="16.5" x14ac:dyDescent="0.2">
      <c r="B1291" s="82" t="s">
        <v>3475</v>
      </c>
      <c r="C1291" s="82" t="s">
        <v>648</v>
      </c>
      <c r="D1291" s="83">
        <f>SUMIFS(D1292:D6462,K1292:K6462,"0",B1292:B6462,"5 1 1 1 3 12 31111 6 M59 70800 000132*")-SUMIFS(E1292:E6462,K1292:K6462,"0",B1292:B6462,"5 1 1 1 3 12 31111 6 M59 70800 000132*")</f>
        <v>0</v>
      </c>
      <c r="E1291" s="54"/>
      <c r="F1291" s="83">
        <f>SUMIFS(F1292:F6462,K1292:K6462,"0",B1292:B6462,"5 1 1 1 3 12 31111 6 M59 70800 000132*")</f>
        <v>136819.49</v>
      </c>
      <c r="G1291" s="83">
        <f>SUMIFS(G1292:G6462,K1292:K6462,"0",B1292:B6462,"5 1 1 1 3 12 31111 6 M59 70800 000132*")</f>
        <v>0</v>
      </c>
      <c r="H1291" s="83">
        <f t="shared" si="20"/>
        <v>136819.49</v>
      </c>
      <c r="I1291" s="83"/>
      <c r="K1291" s="54" t="s">
        <v>15</v>
      </c>
    </row>
    <row r="1292" spans="2:11" ht="16.5" x14ac:dyDescent="0.2">
      <c r="B1292" s="82" t="s">
        <v>3476</v>
      </c>
      <c r="C1292" s="82" t="s">
        <v>650</v>
      </c>
      <c r="D1292" s="83">
        <f>SUMIFS(D1293:D6462,K1293:K6462,"0",B1293:B6462,"5 1 1 1 3 12 31111 6 M59 70800 000132 0000R*")-SUMIFS(E1293:E6462,K1293:K6462,"0",B1293:B6462,"5 1 1 1 3 12 31111 6 M59 70800 000132 0000R*")</f>
        <v>0</v>
      </c>
      <c r="E1292" s="54"/>
      <c r="F1292" s="83">
        <f>SUMIFS(F1293:F6462,K1293:K6462,"0",B1293:B6462,"5 1 1 1 3 12 31111 6 M59 70800 000132 0000R*")</f>
        <v>136819.49</v>
      </c>
      <c r="G1292" s="83">
        <f>SUMIFS(G1293:G6462,K1293:K6462,"0",B1293:B6462,"5 1 1 1 3 12 31111 6 M59 70800 000132 0000R*")</f>
        <v>0</v>
      </c>
      <c r="H1292" s="83">
        <f t="shared" si="20"/>
        <v>136819.49</v>
      </c>
      <c r="I1292" s="83"/>
      <c r="K1292" s="54" t="s">
        <v>15</v>
      </c>
    </row>
    <row r="1293" spans="2:11" ht="24.75" x14ac:dyDescent="0.2">
      <c r="B1293" s="82" t="s">
        <v>3477</v>
      </c>
      <c r="C1293" s="82" t="s">
        <v>282</v>
      </c>
      <c r="D1293" s="83">
        <f>SUMIFS(D1294:D6462,K1294:K6462,"0",B1294:B6462,"5 1 1 1 3 12 31111 6 M59 70800 000132 0000R 00001*")-SUMIFS(E1294:E6462,K1294:K6462,"0",B1294:B6462,"5 1 1 1 3 12 31111 6 M59 70800 000132 0000R 00001*")</f>
        <v>0</v>
      </c>
      <c r="E1293" s="54"/>
      <c r="F1293" s="83">
        <f>SUMIFS(F1294:F6462,K1294:K6462,"0",B1294:B6462,"5 1 1 1 3 12 31111 6 M59 70800 000132 0000R 00001*")</f>
        <v>136819.49</v>
      </c>
      <c r="G1293" s="83">
        <f>SUMIFS(G1294:G6462,K1294:K6462,"0",B1294:B6462,"5 1 1 1 3 12 31111 6 M59 70800 000132 0000R 00001*")</f>
        <v>0</v>
      </c>
      <c r="H1293" s="83">
        <f t="shared" si="20"/>
        <v>136819.49</v>
      </c>
      <c r="I1293" s="83"/>
      <c r="K1293" s="54" t="s">
        <v>15</v>
      </c>
    </row>
    <row r="1294" spans="2:11" ht="24.75" x14ac:dyDescent="0.2">
      <c r="B1294" s="82" t="s">
        <v>3478</v>
      </c>
      <c r="C1294" s="82" t="s">
        <v>2924</v>
      </c>
      <c r="D1294" s="83">
        <f>SUMIFS(D1295:D6462,K1295:K6462,"0",B1295:B6462,"5 1 1 1 3 12 31111 6 M59 70800 000132 0000R 00001 00113*")-SUMIFS(E1295:E6462,K1295:K6462,"0",B1295:B6462,"5 1 1 1 3 12 31111 6 M59 70800 000132 0000R 00001 00113*")</f>
        <v>0</v>
      </c>
      <c r="E1294" s="54"/>
      <c r="F1294" s="83">
        <f>SUMIFS(F1295:F6462,K1295:K6462,"0",B1295:B6462,"5 1 1 1 3 12 31111 6 M59 70800 000132 0000R 00001 00113*")</f>
        <v>136819.49</v>
      </c>
      <c r="G1294" s="83">
        <f>SUMIFS(G1295:G6462,K1295:K6462,"0",B1295:B6462,"5 1 1 1 3 12 31111 6 M59 70800 000132 0000R 00001 00113*")</f>
        <v>0</v>
      </c>
      <c r="H1294" s="83">
        <f t="shared" si="20"/>
        <v>136819.49</v>
      </c>
      <c r="I1294" s="83"/>
      <c r="K1294" s="54" t="s">
        <v>15</v>
      </c>
    </row>
    <row r="1295" spans="2:11" ht="24.75" x14ac:dyDescent="0.2">
      <c r="B1295" s="82" t="s">
        <v>3479</v>
      </c>
      <c r="C1295" s="82" t="s">
        <v>1051</v>
      </c>
      <c r="D1295" s="83">
        <f>SUMIFS(D1296:D6462,K1296:K6462,"0",B1296:B6462,"5 1 1 1 3 12 31111 6 M59 70800 000132 0000R 00001 00113 015*")-SUMIFS(E1296:E6462,K1296:K6462,"0",B1296:B6462,"5 1 1 1 3 12 31111 6 M59 70800 000132 0000R 00001 00113 015*")</f>
        <v>0</v>
      </c>
      <c r="E1295" s="54"/>
      <c r="F1295" s="83">
        <f>SUMIFS(F1296:F6462,K1296:K6462,"0",B1296:B6462,"5 1 1 1 3 12 31111 6 M59 70800 000132 0000R 00001 00113 015*")</f>
        <v>136819.49</v>
      </c>
      <c r="G1295" s="83">
        <f>SUMIFS(G1296:G6462,K1296:K6462,"0",B1296:B6462,"5 1 1 1 3 12 31111 6 M59 70800 000132 0000R 00001 00113 015*")</f>
        <v>0</v>
      </c>
      <c r="H1295" s="83">
        <f t="shared" si="20"/>
        <v>136819.49</v>
      </c>
      <c r="I1295" s="83"/>
      <c r="K1295" s="54" t="s">
        <v>15</v>
      </c>
    </row>
    <row r="1296" spans="2:11" ht="33" x14ac:dyDescent="0.2">
      <c r="B1296" s="82" t="s">
        <v>3480</v>
      </c>
      <c r="C1296" s="82" t="s">
        <v>2927</v>
      </c>
      <c r="D1296" s="83">
        <f>SUMIFS(D1297:D6462,K1297:K6462,"0",B1297:B6462,"5 1 1 1 3 12 31111 6 M59 70800 000132 0000R 00001 00113 015 2111100*")-SUMIFS(E1297:E6462,K1297:K6462,"0",B1297:B6462,"5 1 1 1 3 12 31111 6 M59 70800 000132 0000R 00001 00113 015 2111100*")</f>
        <v>0</v>
      </c>
      <c r="E1296" s="54"/>
      <c r="F1296" s="83">
        <f>SUMIFS(F1297:F6462,K1297:K6462,"0",B1297:B6462,"5 1 1 1 3 12 31111 6 M59 70800 000132 0000R 00001 00113 015 2111100*")</f>
        <v>136819.49</v>
      </c>
      <c r="G1296" s="83">
        <f>SUMIFS(G1297:G6462,K1297:K6462,"0",B1297:B6462,"5 1 1 1 3 12 31111 6 M59 70800 000132 0000R 00001 00113 015 2111100*")</f>
        <v>0</v>
      </c>
      <c r="H1296" s="83">
        <f t="shared" si="20"/>
        <v>136819.49</v>
      </c>
      <c r="I1296" s="83"/>
      <c r="K1296" s="54" t="s">
        <v>15</v>
      </c>
    </row>
    <row r="1297" spans="2:11" ht="33" x14ac:dyDescent="0.2">
      <c r="B1297" s="82" t="s">
        <v>3481</v>
      </c>
      <c r="C1297" s="82" t="s">
        <v>660</v>
      </c>
      <c r="D1297" s="83">
        <f>SUMIFS(D1298:D6462,K1298:K6462,"0",B1298:B6462,"5 1 1 1 3 12 31111 6 M59 70800 000132 0000R 00001 00113 015 2111100 2024*")-SUMIFS(E1298:E6462,K1298:K6462,"0",B1298:B6462,"5 1 1 1 3 12 31111 6 M59 70800 000132 0000R 00001 00113 015 2111100 2024*")</f>
        <v>0</v>
      </c>
      <c r="E1297" s="54"/>
      <c r="F1297" s="83">
        <f>SUMIFS(F1298:F6462,K1298:K6462,"0",B1298:B6462,"5 1 1 1 3 12 31111 6 M59 70800 000132 0000R 00001 00113 015 2111100 2024*")</f>
        <v>136819.49</v>
      </c>
      <c r="G1297" s="83">
        <f>SUMIFS(G1298:G6462,K1298:K6462,"0",B1298:B6462,"5 1 1 1 3 12 31111 6 M59 70800 000132 0000R 00001 00113 015 2111100 2024*")</f>
        <v>0</v>
      </c>
      <c r="H1297" s="83">
        <f t="shared" si="20"/>
        <v>136819.49</v>
      </c>
      <c r="I1297" s="83"/>
      <c r="K1297" s="54" t="s">
        <v>15</v>
      </c>
    </row>
    <row r="1298" spans="2:11" ht="41.25" x14ac:dyDescent="0.2">
      <c r="B1298" s="82" t="s">
        <v>3482</v>
      </c>
      <c r="C1298" s="82" t="s">
        <v>662</v>
      </c>
      <c r="D1298" s="83">
        <f>SUMIFS(D1299:D6462,K1299:K6462,"0",B1299:B6462,"5 1 1 1 3 12 31111 6 M59 70800 000132 0000R 00001 00113 015 2111100 2024 CP1ED416*")-SUMIFS(E1299:E6462,K1299:K6462,"0",B1299:B6462,"5 1 1 1 3 12 31111 6 M59 70800 000132 0000R 00001 00113 015 2111100 2024 CP1ED416*")</f>
        <v>0</v>
      </c>
      <c r="E1298" s="54"/>
      <c r="F1298" s="83">
        <f>SUMIFS(F1299:F6462,K1299:K6462,"0",B1299:B6462,"5 1 1 1 3 12 31111 6 M59 70800 000132 0000R 00001 00113 015 2111100 2024 CP1ED416*")</f>
        <v>136819.49</v>
      </c>
      <c r="G1298" s="83">
        <f>SUMIFS(G1299:G6462,K1299:K6462,"0",B1299:B6462,"5 1 1 1 3 12 31111 6 M59 70800 000132 0000R 00001 00113 015 2111100 2024 CP1ED416*")</f>
        <v>0</v>
      </c>
      <c r="H1298" s="83">
        <f t="shared" si="20"/>
        <v>136819.49</v>
      </c>
      <c r="I1298" s="83"/>
      <c r="K1298" s="54" t="s">
        <v>15</v>
      </c>
    </row>
    <row r="1299" spans="2:11" ht="41.25" x14ac:dyDescent="0.2">
      <c r="B1299" s="82" t="s">
        <v>3483</v>
      </c>
      <c r="C1299" s="82" t="s">
        <v>282</v>
      </c>
      <c r="D1299" s="83">
        <f>SUMIFS(D1300:D6462,K1300:K6462,"0",B1300:B6462,"5 1 1 1 3 12 31111 6 M59 70800 000132 0000R 00001 00113 015 2111100 2024 CP1ED416 001*")-SUMIFS(E1300:E6462,K1300:K6462,"0",B1300:B6462,"5 1 1 1 3 12 31111 6 M59 70800 000132 0000R 00001 00113 015 2111100 2024 CP1ED416 001*")</f>
        <v>0</v>
      </c>
      <c r="E1299" s="54"/>
      <c r="F1299" s="83">
        <f>SUMIFS(F1300:F6462,K1300:K6462,"0",B1300:B6462,"5 1 1 1 3 12 31111 6 M59 70800 000132 0000R 00001 00113 015 2111100 2024 CP1ED416 001*")</f>
        <v>136819.49</v>
      </c>
      <c r="G1299" s="83">
        <f>SUMIFS(G1300:G6462,K1300:K6462,"0",B1300:B6462,"5 1 1 1 3 12 31111 6 M59 70800 000132 0000R 00001 00113 015 2111100 2024 CP1ED416 001*")</f>
        <v>0</v>
      </c>
      <c r="H1299" s="83">
        <f t="shared" si="20"/>
        <v>136819.49</v>
      </c>
      <c r="I1299" s="83"/>
      <c r="K1299" s="54" t="s">
        <v>15</v>
      </c>
    </row>
    <row r="1300" spans="2:11" ht="33" x14ac:dyDescent="0.2">
      <c r="B1300" s="84" t="s">
        <v>3484</v>
      </c>
      <c r="C1300" s="84" t="s">
        <v>2932</v>
      </c>
      <c r="D1300" s="85">
        <v>0</v>
      </c>
      <c r="E1300" s="85"/>
      <c r="F1300" s="85">
        <v>136819.49</v>
      </c>
      <c r="G1300" s="85">
        <v>0</v>
      </c>
      <c r="H1300" s="85">
        <f t="shared" si="20"/>
        <v>136819.49</v>
      </c>
      <c r="I1300" s="85"/>
      <c r="K1300" s="54" t="s">
        <v>38</v>
      </c>
    </row>
    <row r="1301" spans="2:11" ht="16.5" x14ac:dyDescent="0.2">
      <c r="B1301" s="82" t="s">
        <v>3485</v>
      </c>
      <c r="C1301" s="82" t="s">
        <v>3486</v>
      </c>
      <c r="D1301" s="83">
        <f>SUMIFS(D1302:D6462,K1302:K6462,"0",B1302:B6462,"5 1 1 1 3 12 31111 6 M59 70900*")-SUMIFS(E1302:E6462,K1302:K6462,"0",B1302:B6462,"5 1 1 1 3 12 31111 6 M59 70900*")</f>
        <v>0</v>
      </c>
      <c r="E1301" s="54"/>
      <c r="F1301" s="83">
        <f>SUMIFS(F1302:F6462,K1302:K6462,"0",B1302:B6462,"5 1 1 1 3 12 31111 6 M59 70900*")</f>
        <v>45000</v>
      </c>
      <c r="G1301" s="83">
        <f>SUMIFS(G1302:G6462,K1302:K6462,"0",B1302:B6462,"5 1 1 1 3 12 31111 6 M59 70900*")</f>
        <v>0</v>
      </c>
      <c r="H1301" s="83">
        <f t="shared" si="20"/>
        <v>45000</v>
      </c>
      <c r="I1301" s="83"/>
      <c r="K1301" s="54" t="s">
        <v>15</v>
      </c>
    </row>
    <row r="1302" spans="2:11" ht="24.75" x14ac:dyDescent="0.2">
      <c r="B1302" s="82" t="s">
        <v>3487</v>
      </c>
      <c r="C1302" s="82" t="s">
        <v>3152</v>
      </c>
      <c r="D1302" s="83">
        <f>SUMIFS(D1303:D6462,K1303:K6462,"0",B1303:B6462,"5 1 1 1 3 12 31111 6 M59 70900 000181*")-SUMIFS(E1303:E6462,K1303:K6462,"0",B1303:B6462,"5 1 1 1 3 12 31111 6 M59 70900 000181*")</f>
        <v>0</v>
      </c>
      <c r="E1302" s="54"/>
      <c r="F1302" s="83">
        <f>SUMIFS(F1303:F6462,K1303:K6462,"0",B1303:B6462,"5 1 1 1 3 12 31111 6 M59 70900 000181*")</f>
        <v>45000</v>
      </c>
      <c r="G1302" s="83">
        <f>SUMIFS(G1303:G6462,K1303:K6462,"0",B1303:B6462,"5 1 1 1 3 12 31111 6 M59 70900 000181*")</f>
        <v>0</v>
      </c>
      <c r="H1302" s="83">
        <f t="shared" si="20"/>
        <v>45000</v>
      </c>
      <c r="I1302" s="83"/>
      <c r="K1302" s="54" t="s">
        <v>15</v>
      </c>
    </row>
    <row r="1303" spans="2:11" ht="16.5" x14ac:dyDescent="0.2">
      <c r="B1303" s="82" t="s">
        <v>3488</v>
      </c>
      <c r="C1303" s="82" t="s">
        <v>650</v>
      </c>
      <c r="D1303" s="83">
        <f>SUMIFS(D1304:D6462,K1304:K6462,"0",B1304:B6462,"5 1 1 1 3 12 31111 6 M59 70900 000181 0000R*")-SUMIFS(E1304:E6462,K1304:K6462,"0",B1304:B6462,"5 1 1 1 3 12 31111 6 M59 70900 000181 0000R*")</f>
        <v>0</v>
      </c>
      <c r="E1303" s="54"/>
      <c r="F1303" s="83">
        <f>SUMIFS(F1304:F6462,K1304:K6462,"0",B1304:B6462,"5 1 1 1 3 12 31111 6 M59 70900 000181 0000R*")</f>
        <v>45000</v>
      </c>
      <c r="G1303" s="83">
        <f>SUMIFS(G1304:G6462,K1304:K6462,"0",B1304:B6462,"5 1 1 1 3 12 31111 6 M59 70900 000181 0000R*")</f>
        <v>0</v>
      </c>
      <c r="H1303" s="83">
        <f t="shared" si="20"/>
        <v>45000</v>
      </c>
      <c r="I1303" s="83"/>
      <c r="K1303" s="54" t="s">
        <v>15</v>
      </c>
    </row>
    <row r="1304" spans="2:11" ht="24.75" x14ac:dyDescent="0.2">
      <c r="B1304" s="82" t="s">
        <v>3489</v>
      </c>
      <c r="C1304" s="82" t="s">
        <v>282</v>
      </c>
      <c r="D1304" s="83">
        <f>SUMIFS(D1305:D6462,K1305:K6462,"0",B1305:B6462,"5 1 1 1 3 12 31111 6 M59 70900 000181 0000R 00001*")-SUMIFS(E1305:E6462,K1305:K6462,"0",B1305:B6462,"5 1 1 1 3 12 31111 6 M59 70900 000181 0000R 00001*")</f>
        <v>0</v>
      </c>
      <c r="E1304" s="54"/>
      <c r="F1304" s="83">
        <f>SUMIFS(F1305:F6462,K1305:K6462,"0",B1305:B6462,"5 1 1 1 3 12 31111 6 M59 70900 000181 0000R 00001*")</f>
        <v>45000</v>
      </c>
      <c r="G1304" s="83">
        <f>SUMIFS(G1305:G6462,K1305:K6462,"0",B1305:B6462,"5 1 1 1 3 12 31111 6 M59 70900 000181 0000R 00001*")</f>
        <v>0</v>
      </c>
      <c r="H1304" s="83">
        <f t="shared" si="20"/>
        <v>45000</v>
      </c>
      <c r="I1304" s="83"/>
      <c r="K1304" s="54" t="s">
        <v>15</v>
      </c>
    </row>
    <row r="1305" spans="2:11" ht="24.75" x14ac:dyDescent="0.2">
      <c r="B1305" s="82" t="s">
        <v>3490</v>
      </c>
      <c r="C1305" s="82" t="s">
        <v>2924</v>
      </c>
      <c r="D1305" s="83">
        <f>SUMIFS(D1306:D6462,K1306:K6462,"0",B1306:B6462,"5 1 1 1 3 12 31111 6 M59 70900 000181 0000R 00001 00113*")-SUMIFS(E1306:E6462,K1306:K6462,"0",B1306:B6462,"5 1 1 1 3 12 31111 6 M59 70900 000181 0000R 00001 00113*")</f>
        <v>0</v>
      </c>
      <c r="E1305" s="54"/>
      <c r="F1305" s="83">
        <f>SUMIFS(F1306:F6462,K1306:K6462,"0",B1306:B6462,"5 1 1 1 3 12 31111 6 M59 70900 000181 0000R 00001 00113*")</f>
        <v>45000</v>
      </c>
      <c r="G1305" s="83">
        <f>SUMIFS(G1306:G6462,K1306:K6462,"0",B1306:B6462,"5 1 1 1 3 12 31111 6 M59 70900 000181 0000R 00001 00113*")</f>
        <v>0</v>
      </c>
      <c r="H1305" s="83">
        <f t="shared" si="20"/>
        <v>45000</v>
      </c>
      <c r="I1305" s="83"/>
      <c r="K1305" s="54" t="s">
        <v>15</v>
      </c>
    </row>
    <row r="1306" spans="2:11" ht="24.75" x14ac:dyDescent="0.2">
      <c r="B1306" s="82" t="s">
        <v>3491</v>
      </c>
      <c r="C1306" s="82" t="s">
        <v>1051</v>
      </c>
      <c r="D1306" s="83">
        <f>SUMIFS(D1307:D6462,K1307:K6462,"0",B1307:B6462,"5 1 1 1 3 12 31111 6 M59 70900 000181 0000R 00001 00113 015*")-SUMIFS(E1307:E6462,K1307:K6462,"0",B1307:B6462,"5 1 1 1 3 12 31111 6 M59 70900 000181 0000R 00001 00113 015*")</f>
        <v>0</v>
      </c>
      <c r="E1306" s="54"/>
      <c r="F1306" s="83">
        <f>SUMIFS(F1307:F6462,K1307:K6462,"0",B1307:B6462,"5 1 1 1 3 12 31111 6 M59 70900 000181 0000R 00001 00113 015*")</f>
        <v>45000</v>
      </c>
      <c r="G1306" s="83">
        <f>SUMIFS(G1307:G6462,K1307:K6462,"0",B1307:B6462,"5 1 1 1 3 12 31111 6 M59 70900 000181 0000R 00001 00113 015*")</f>
        <v>0</v>
      </c>
      <c r="H1306" s="83">
        <f t="shared" si="20"/>
        <v>45000</v>
      </c>
      <c r="I1306" s="83"/>
      <c r="K1306" s="54" t="s">
        <v>15</v>
      </c>
    </row>
    <row r="1307" spans="2:11" ht="33" x14ac:dyDescent="0.2">
      <c r="B1307" s="82" t="s">
        <v>3492</v>
      </c>
      <c r="C1307" s="82" t="s">
        <v>2927</v>
      </c>
      <c r="D1307" s="83">
        <f>SUMIFS(D1308:D6462,K1308:K6462,"0",B1308:B6462,"5 1 1 1 3 12 31111 6 M59 70900 000181 0000R 00001 00113 015 2111100*")-SUMIFS(E1308:E6462,K1308:K6462,"0",B1308:B6462,"5 1 1 1 3 12 31111 6 M59 70900 000181 0000R 00001 00113 015 2111100*")</f>
        <v>0</v>
      </c>
      <c r="E1307" s="54"/>
      <c r="F1307" s="83">
        <f>SUMIFS(F1308:F6462,K1308:K6462,"0",B1308:B6462,"5 1 1 1 3 12 31111 6 M59 70900 000181 0000R 00001 00113 015 2111100*")</f>
        <v>45000</v>
      </c>
      <c r="G1307" s="83">
        <f>SUMIFS(G1308:G6462,K1308:K6462,"0",B1308:B6462,"5 1 1 1 3 12 31111 6 M59 70900 000181 0000R 00001 00113 015 2111100*")</f>
        <v>0</v>
      </c>
      <c r="H1307" s="83">
        <f t="shared" si="20"/>
        <v>45000</v>
      </c>
      <c r="I1307" s="83"/>
      <c r="K1307" s="54" t="s">
        <v>15</v>
      </c>
    </row>
    <row r="1308" spans="2:11" ht="33" x14ac:dyDescent="0.2">
      <c r="B1308" s="82" t="s">
        <v>3493</v>
      </c>
      <c r="C1308" s="82" t="s">
        <v>660</v>
      </c>
      <c r="D1308" s="83">
        <f>SUMIFS(D1309:D6462,K1309:K6462,"0",B1309:B6462,"5 1 1 1 3 12 31111 6 M59 70900 000181 0000R 00001 00113 015 2111100 2024*")-SUMIFS(E1309:E6462,K1309:K6462,"0",B1309:B6462,"5 1 1 1 3 12 31111 6 M59 70900 000181 0000R 00001 00113 015 2111100 2024*")</f>
        <v>0</v>
      </c>
      <c r="E1308" s="54"/>
      <c r="F1308" s="83">
        <f>SUMIFS(F1309:F6462,K1309:K6462,"0",B1309:B6462,"5 1 1 1 3 12 31111 6 M59 70900 000181 0000R 00001 00113 015 2111100 2024*")</f>
        <v>45000</v>
      </c>
      <c r="G1308" s="83">
        <f>SUMIFS(G1309:G6462,K1309:K6462,"0",B1309:B6462,"5 1 1 1 3 12 31111 6 M59 70900 000181 0000R 00001 00113 015 2111100 2024*")</f>
        <v>0</v>
      </c>
      <c r="H1308" s="83">
        <f t="shared" si="20"/>
        <v>45000</v>
      </c>
      <c r="I1308" s="83"/>
      <c r="K1308" s="54" t="s">
        <v>15</v>
      </c>
    </row>
    <row r="1309" spans="2:11" ht="41.25" x14ac:dyDescent="0.2">
      <c r="B1309" s="82" t="s">
        <v>3494</v>
      </c>
      <c r="C1309" s="82" t="s">
        <v>3495</v>
      </c>
      <c r="D1309" s="83">
        <f>SUMIFS(D1310:D6462,K1310:K6462,"0",B1310:B6462,"5 1 1 1 3 12 31111 6 M59 70900 000181 0000R 00001 00113 015 2111100 2024 CP1EM392*")-SUMIFS(E1310:E6462,K1310:K6462,"0",B1310:B6462,"5 1 1 1 3 12 31111 6 M59 70900 000181 0000R 00001 00113 015 2111100 2024 CP1EM392*")</f>
        <v>0</v>
      </c>
      <c r="E1309" s="54"/>
      <c r="F1309" s="83">
        <f>SUMIFS(F1310:F6462,K1310:K6462,"0",B1310:B6462,"5 1 1 1 3 12 31111 6 M59 70900 000181 0000R 00001 00113 015 2111100 2024 CP1EM392*")</f>
        <v>45000</v>
      </c>
      <c r="G1309" s="83">
        <f>SUMIFS(G1310:G6462,K1310:K6462,"0",B1310:B6462,"5 1 1 1 3 12 31111 6 M59 70900 000181 0000R 00001 00113 015 2111100 2024 CP1EM392*")</f>
        <v>0</v>
      </c>
      <c r="H1309" s="83">
        <f t="shared" si="20"/>
        <v>45000</v>
      </c>
      <c r="I1309" s="83"/>
      <c r="K1309" s="54" t="s">
        <v>15</v>
      </c>
    </row>
    <row r="1310" spans="2:11" ht="41.25" x14ac:dyDescent="0.2">
      <c r="B1310" s="82" t="s">
        <v>3496</v>
      </c>
      <c r="C1310" s="82" t="s">
        <v>282</v>
      </c>
      <c r="D1310" s="83">
        <f>SUMIFS(D1311:D6462,K1311:K6462,"0",B1311:B6462,"5 1 1 1 3 12 31111 6 M59 70900 000181 0000R 00001 00113 015 2111100 2024 CP1EM392 001*")-SUMIFS(E1311:E6462,K1311:K6462,"0",B1311:B6462,"5 1 1 1 3 12 31111 6 M59 70900 000181 0000R 00001 00113 015 2111100 2024 CP1EM392 001*")</f>
        <v>0</v>
      </c>
      <c r="E1310" s="54"/>
      <c r="F1310" s="83">
        <f>SUMIFS(F1311:F6462,K1311:K6462,"0",B1311:B6462,"5 1 1 1 3 12 31111 6 M59 70900 000181 0000R 00001 00113 015 2111100 2024 CP1EM392 001*")</f>
        <v>45000</v>
      </c>
      <c r="G1310" s="83">
        <f>SUMIFS(G1311:G6462,K1311:K6462,"0",B1311:B6462,"5 1 1 1 3 12 31111 6 M59 70900 000181 0000R 00001 00113 015 2111100 2024 CP1EM392 001*")</f>
        <v>0</v>
      </c>
      <c r="H1310" s="83">
        <f t="shared" si="20"/>
        <v>45000</v>
      </c>
      <c r="I1310" s="83"/>
      <c r="K1310" s="54" t="s">
        <v>15</v>
      </c>
    </row>
    <row r="1311" spans="2:11" ht="33" x14ac:dyDescent="0.2">
      <c r="B1311" s="84" t="s">
        <v>3497</v>
      </c>
      <c r="C1311" s="84" t="s">
        <v>2932</v>
      </c>
      <c r="D1311" s="85">
        <v>0</v>
      </c>
      <c r="E1311" s="85"/>
      <c r="F1311" s="85">
        <v>45000</v>
      </c>
      <c r="G1311" s="85">
        <v>0</v>
      </c>
      <c r="H1311" s="85">
        <f t="shared" si="20"/>
        <v>45000</v>
      </c>
      <c r="I1311" s="85"/>
      <c r="K1311" s="54" t="s">
        <v>38</v>
      </c>
    </row>
    <row r="1312" spans="2:11" ht="16.5" x14ac:dyDescent="0.2">
      <c r="B1312" s="82" t="s">
        <v>3498</v>
      </c>
      <c r="C1312" s="82" t="s">
        <v>3499</v>
      </c>
      <c r="D1312" s="83">
        <f>SUMIFS(D1313:D6462,K1313:K6462,"0",B1313:B6462,"5 1 1 1 3 12 31111 6 M59 71000*")-SUMIFS(E1313:E6462,K1313:K6462,"0",B1313:B6462,"5 1 1 1 3 12 31111 6 M59 71000*")</f>
        <v>0</v>
      </c>
      <c r="E1312" s="54"/>
      <c r="F1312" s="83">
        <f>SUMIFS(F1313:F6462,K1313:K6462,"0",B1313:B6462,"5 1 1 1 3 12 31111 6 M59 71000*")</f>
        <v>86338.64</v>
      </c>
      <c r="G1312" s="83">
        <f>SUMIFS(G1313:G6462,K1313:K6462,"0",B1313:B6462,"5 1 1 1 3 12 31111 6 M59 71000*")</f>
        <v>0</v>
      </c>
      <c r="H1312" s="83">
        <f t="shared" si="20"/>
        <v>86338.64</v>
      </c>
      <c r="I1312" s="83"/>
      <c r="K1312" s="54" t="s">
        <v>15</v>
      </c>
    </row>
    <row r="1313" spans="2:11" ht="16.5" x14ac:dyDescent="0.2">
      <c r="B1313" s="82" t="s">
        <v>3500</v>
      </c>
      <c r="C1313" s="82" t="s">
        <v>648</v>
      </c>
      <c r="D1313" s="83">
        <f>SUMIFS(D1314:D6462,K1314:K6462,"0",B1314:B6462,"5 1 1 1 3 12 31111 6 M59 71000 000132*")-SUMIFS(E1314:E6462,K1314:K6462,"0",B1314:B6462,"5 1 1 1 3 12 31111 6 M59 71000 000132*")</f>
        <v>0</v>
      </c>
      <c r="E1313" s="54"/>
      <c r="F1313" s="83">
        <f>SUMIFS(F1314:F6462,K1314:K6462,"0",B1314:B6462,"5 1 1 1 3 12 31111 6 M59 71000 000132*")</f>
        <v>86338.64</v>
      </c>
      <c r="G1313" s="83">
        <f>SUMIFS(G1314:G6462,K1314:K6462,"0",B1314:B6462,"5 1 1 1 3 12 31111 6 M59 71000 000132*")</f>
        <v>0</v>
      </c>
      <c r="H1313" s="83">
        <f t="shared" si="20"/>
        <v>86338.64</v>
      </c>
      <c r="I1313" s="83"/>
      <c r="K1313" s="54" t="s">
        <v>15</v>
      </c>
    </row>
    <row r="1314" spans="2:11" ht="16.5" x14ac:dyDescent="0.2">
      <c r="B1314" s="82" t="s">
        <v>3501</v>
      </c>
      <c r="C1314" s="82" t="s">
        <v>650</v>
      </c>
      <c r="D1314" s="83">
        <f>SUMIFS(D1315:D6462,K1315:K6462,"0",B1315:B6462,"5 1 1 1 3 12 31111 6 M59 71000 000132 0000R*")-SUMIFS(E1315:E6462,K1315:K6462,"0",B1315:B6462,"5 1 1 1 3 12 31111 6 M59 71000 000132 0000R*")</f>
        <v>0</v>
      </c>
      <c r="E1314" s="54"/>
      <c r="F1314" s="83">
        <f>SUMIFS(F1315:F6462,K1315:K6462,"0",B1315:B6462,"5 1 1 1 3 12 31111 6 M59 71000 000132 0000R*")</f>
        <v>86338.64</v>
      </c>
      <c r="G1314" s="83">
        <f>SUMIFS(G1315:G6462,K1315:K6462,"0",B1315:B6462,"5 1 1 1 3 12 31111 6 M59 71000 000132 0000R*")</f>
        <v>0</v>
      </c>
      <c r="H1314" s="83">
        <f t="shared" si="20"/>
        <v>86338.64</v>
      </c>
      <c r="I1314" s="83"/>
      <c r="K1314" s="54" t="s">
        <v>15</v>
      </c>
    </row>
    <row r="1315" spans="2:11" ht="24.75" x14ac:dyDescent="0.2">
      <c r="B1315" s="82" t="s">
        <v>3502</v>
      </c>
      <c r="C1315" s="82" t="s">
        <v>282</v>
      </c>
      <c r="D1315" s="83">
        <f>SUMIFS(D1316:D6462,K1316:K6462,"0",B1316:B6462,"5 1 1 1 3 12 31111 6 M59 71000 000132 0000R 00001*")-SUMIFS(E1316:E6462,K1316:K6462,"0",B1316:B6462,"5 1 1 1 3 12 31111 6 M59 71000 000132 0000R 00001*")</f>
        <v>0</v>
      </c>
      <c r="E1315" s="54"/>
      <c r="F1315" s="83">
        <f>SUMIFS(F1316:F6462,K1316:K6462,"0",B1316:B6462,"5 1 1 1 3 12 31111 6 M59 71000 000132 0000R 00001*")</f>
        <v>86338.64</v>
      </c>
      <c r="G1315" s="83">
        <f>SUMIFS(G1316:G6462,K1316:K6462,"0",B1316:B6462,"5 1 1 1 3 12 31111 6 M59 71000 000132 0000R 00001*")</f>
        <v>0</v>
      </c>
      <c r="H1315" s="83">
        <f t="shared" si="20"/>
        <v>86338.64</v>
      </c>
      <c r="I1315" s="83"/>
      <c r="K1315" s="54" t="s">
        <v>15</v>
      </c>
    </row>
    <row r="1316" spans="2:11" ht="24.75" x14ac:dyDescent="0.2">
      <c r="B1316" s="82" t="s">
        <v>3503</v>
      </c>
      <c r="C1316" s="82" t="s">
        <v>2924</v>
      </c>
      <c r="D1316" s="83">
        <f>SUMIFS(D1317:D6462,K1317:K6462,"0",B1317:B6462,"5 1 1 1 3 12 31111 6 M59 71000 000132 0000R 00001 00113*")-SUMIFS(E1317:E6462,K1317:K6462,"0",B1317:B6462,"5 1 1 1 3 12 31111 6 M59 71000 000132 0000R 00001 00113*")</f>
        <v>0</v>
      </c>
      <c r="E1316" s="54"/>
      <c r="F1316" s="83">
        <f>SUMIFS(F1317:F6462,K1317:K6462,"0",B1317:B6462,"5 1 1 1 3 12 31111 6 M59 71000 000132 0000R 00001 00113*")</f>
        <v>86338.64</v>
      </c>
      <c r="G1316" s="83">
        <f>SUMIFS(G1317:G6462,K1317:K6462,"0",B1317:B6462,"5 1 1 1 3 12 31111 6 M59 71000 000132 0000R 00001 00113*")</f>
        <v>0</v>
      </c>
      <c r="H1316" s="83">
        <f t="shared" si="20"/>
        <v>86338.64</v>
      </c>
      <c r="I1316" s="83"/>
      <c r="K1316" s="54" t="s">
        <v>15</v>
      </c>
    </row>
    <row r="1317" spans="2:11" ht="24.75" x14ac:dyDescent="0.2">
      <c r="B1317" s="82" t="s">
        <v>3504</v>
      </c>
      <c r="C1317" s="82" t="s">
        <v>1051</v>
      </c>
      <c r="D1317" s="83">
        <f>SUMIFS(D1318:D6462,K1318:K6462,"0",B1318:B6462,"5 1 1 1 3 12 31111 6 M59 71000 000132 0000R 00001 00113 015*")-SUMIFS(E1318:E6462,K1318:K6462,"0",B1318:B6462,"5 1 1 1 3 12 31111 6 M59 71000 000132 0000R 00001 00113 015*")</f>
        <v>0</v>
      </c>
      <c r="E1317" s="54"/>
      <c r="F1317" s="83">
        <f>SUMIFS(F1318:F6462,K1318:K6462,"0",B1318:B6462,"5 1 1 1 3 12 31111 6 M59 71000 000132 0000R 00001 00113 015*")</f>
        <v>86338.64</v>
      </c>
      <c r="G1317" s="83">
        <f>SUMIFS(G1318:G6462,K1318:K6462,"0",B1318:B6462,"5 1 1 1 3 12 31111 6 M59 71000 000132 0000R 00001 00113 015*")</f>
        <v>0</v>
      </c>
      <c r="H1317" s="83">
        <f t="shared" si="20"/>
        <v>86338.64</v>
      </c>
      <c r="I1317" s="83"/>
      <c r="K1317" s="54" t="s">
        <v>15</v>
      </c>
    </row>
    <row r="1318" spans="2:11" ht="33" x14ac:dyDescent="0.2">
      <c r="B1318" s="82" t="s">
        <v>3505</v>
      </c>
      <c r="C1318" s="82" t="s">
        <v>2927</v>
      </c>
      <c r="D1318" s="83">
        <f>SUMIFS(D1319:D6462,K1319:K6462,"0",B1319:B6462,"5 1 1 1 3 12 31111 6 M59 71000 000132 0000R 00001 00113 015 2111100*")-SUMIFS(E1319:E6462,K1319:K6462,"0",B1319:B6462,"5 1 1 1 3 12 31111 6 M59 71000 000132 0000R 00001 00113 015 2111100*")</f>
        <v>0</v>
      </c>
      <c r="E1318" s="54"/>
      <c r="F1318" s="83">
        <f>SUMIFS(F1319:F6462,K1319:K6462,"0",B1319:B6462,"5 1 1 1 3 12 31111 6 M59 71000 000132 0000R 00001 00113 015 2111100*")</f>
        <v>86338.64</v>
      </c>
      <c r="G1318" s="83">
        <f>SUMIFS(G1319:G6462,K1319:K6462,"0",B1319:B6462,"5 1 1 1 3 12 31111 6 M59 71000 000132 0000R 00001 00113 015 2111100*")</f>
        <v>0</v>
      </c>
      <c r="H1318" s="83">
        <f t="shared" si="20"/>
        <v>86338.64</v>
      </c>
      <c r="I1318" s="83"/>
      <c r="K1318" s="54" t="s">
        <v>15</v>
      </c>
    </row>
    <row r="1319" spans="2:11" ht="33" x14ac:dyDescent="0.2">
      <c r="B1319" s="82" t="s">
        <v>3506</v>
      </c>
      <c r="C1319" s="82" t="s">
        <v>660</v>
      </c>
      <c r="D1319" s="83">
        <f>SUMIFS(D1320:D6462,K1320:K6462,"0",B1320:B6462,"5 1 1 1 3 12 31111 6 M59 71000 000132 0000R 00001 00113 015 2111100 2024*")-SUMIFS(E1320:E6462,K1320:K6462,"0",B1320:B6462,"5 1 1 1 3 12 31111 6 M59 71000 000132 0000R 00001 00113 015 2111100 2024*")</f>
        <v>0</v>
      </c>
      <c r="E1319" s="54"/>
      <c r="F1319" s="83">
        <f>SUMIFS(F1320:F6462,K1320:K6462,"0",B1320:B6462,"5 1 1 1 3 12 31111 6 M59 71000 000132 0000R 00001 00113 015 2111100 2024*")</f>
        <v>86338.64</v>
      </c>
      <c r="G1319" s="83">
        <f>SUMIFS(G1320:G6462,K1320:K6462,"0",B1320:B6462,"5 1 1 1 3 12 31111 6 M59 71000 000132 0000R 00001 00113 015 2111100 2024*")</f>
        <v>0</v>
      </c>
      <c r="H1319" s="83">
        <f t="shared" si="20"/>
        <v>86338.64</v>
      </c>
      <c r="I1319" s="83"/>
      <c r="K1319" s="54" t="s">
        <v>15</v>
      </c>
    </row>
    <row r="1320" spans="2:11" ht="41.25" x14ac:dyDescent="0.2">
      <c r="B1320" s="82" t="s">
        <v>3507</v>
      </c>
      <c r="C1320" s="82" t="s">
        <v>662</v>
      </c>
      <c r="D1320" s="83">
        <f>SUMIFS(D1321:D6462,K1321:K6462,"0",B1321:B6462,"5 1 1 1 3 12 31111 6 M59 71000 000132 0000R 00001 00113 015 2111100 2024 CP1AP422*")-SUMIFS(E1321:E6462,K1321:K6462,"0",B1321:B6462,"5 1 1 1 3 12 31111 6 M59 71000 000132 0000R 00001 00113 015 2111100 2024 CP1AP422*")</f>
        <v>0</v>
      </c>
      <c r="E1320" s="54"/>
      <c r="F1320" s="83">
        <f>SUMIFS(F1321:F6462,K1321:K6462,"0",B1321:B6462,"5 1 1 1 3 12 31111 6 M59 71000 000132 0000R 00001 00113 015 2111100 2024 CP1AP422*")</f>
        <v>86338.64</v>
      </c>
      <c r="G1320" s="83">
        <f>SUMIFS(G1321:G6462,K1321:K6462,"0",B1321:B6462,"5 1 1 1 3 12 31111 6 M59 71000 000132 0000R 00001 00113 015 2111100 2024 CP1AP422*")</f>
        <v>0</v>
      </c>
      <c r="H1320" s="83">
        <f t="shared" si="20"/>
        <v>86338.64</v>
      </c>
      <c r="I1320" s="83"/>
      <c r="K1320" s="54" t="s">
        <v>15</v>
      </c>
    </row>
    <row r="1321" spans="2:11" ht="41.25" x14ac:dyDescent="0.2">
      <c r="B1321" s="82" t="s">
        <v>3508</v>
      </c>
      <c r="C1321" s="82" t="s">
        <v>282</v>
      </c>
      <c r="D1321" s="83">
        <f>SUMIFS(D1322:D6462,K1322:K6462,"0",B1322:B6462,"5 1 1 1 3 12 31111 6 M59 71000 000132 0000R 00001 00113 015 2111100 2024 CP1AP422 001*")-SUMIFS(E1322:E6462,K1322:K6462,"0",B1322:B6462,"5 1 1 1 3 12 31111 6 M59 71000 000132 0000R 00001 00113 015 2111100 2024 CP1AP422 001*")</f>
        <v>0</v>
      </c>
      <c r="E1321" s="54"/>
      <c r="F1321" s="83">
        <f>SUMIFS(F1322:F6462,K1322:K6462,"0",B1322:B6462,"5 1 1 1 3 12 31111 6 M59 71000 000132 0000R 00001 00113 015 2111100 2024 CP1AP422 001*")</f>
        <v>86338.64</v>
      </c>
      <c r="G1321" s="83">
        <f>SUMIFS(G1322:G6462,K1322:K6462,"0",B1322:B6462,"5 1 1 1 3 12 31111 6 M59 71000 000132 0000R 00001 00113 015 2111100 2024 CP1AP422 001*")</f>
        <v>0</v>
      </c>
      <c r="H1321" s="83">
        <f t="shared" si="20"/>
        <v>86338.64</v>
      </c>
      <c r="I1321" s="83"/>
      <c r="K1321" s="54" t="s">
        <v>15</v>
      </c>
    </row>
    <row r="1322" spans="2:11" ht="33" x14ac:dyDescent="0.2">
      <c r="B1322" s="84" t="s">
        <v>3509</v>
      </c>
      <c r="C1322" s="84" t="s">
        <v>2932</v>
      </c>
      <c r="D1322" s="85">
        <v>0</v>
      </c>
      <c r="E1322" s="85"/>
      <c r="F1322" s="85">
        <v>86338.64</v>
      </c>
      <c r="G1322" s="85">
        <v>0</v>
      </c>
      <c r="H1322" s="85">
        <f t="shared" si="20"/>
        <v>86338.64</v>
      </c>
      <c r="I1322" s="85"/>
      <c r="K1322" s="54" t="s">
        <v>38</v>
      </c>
    </row>
    <row r="1323" spans="2:11" ht="16.5" x14ac:dyDescent="0.2">
      <c r="B1323" s="82" t="s">
        <v>3510</v>
      </c>
      <c r="C1323" s="82" t="s">
        <v>3511</v>
      </c>
      <c r="D1323" s="83">
        <f>SUMIFS(D1324:D6462,K1324:K6462,"0",B1324:B6462,"5 1 1 1 3 12 31111 6 M59 72000*")-SUMIFS(E1324:E6462,K1324:K6462,"0",B1324:B6462,"5 1 1 1 3 12 31111 6 M59 72000*")</f>
        <v>0</v>
      </c>
      <c r="E1323" s="54"/>
      <c r="F1323" s="83">
        <f>SUMIFS(F1324:F6462,K1324:K6462,"0",B1324:B6462,"5 1 1 1 3 12 31111 6 M59 72000*")</f>
        <v>68629.88</v>
      </c>
      <c r="G1323" s="83">
        <f>SUMIFS(G1324:G6462,K1324:K6462,"0",B1324:B6462,"5 1 1 1 3 12 31111 6 M59 72000*")</f>
        <v>0</v>
      </c>
      <c r="H1323" s="83">
        <f t="shared" ref="H1323:H1386" si="21">D1323 + F1323 - G1323</f>
        <v>68629.88</v>
      </c>
      <c r="I1323" s="83"/>
      <c r="K1323" s="54" t="s">
        <v>15</v>
      </c>
    </row>
    <row r="1324" spans="2:11" ht="16.5" x14ac:dyDescent="0.2">
      <c r="B1324" s="82" t="s">
        <v>3512</v>
      </c>
      <c r="C1324" s="82" t="s">
        <v>648</v>
      </c>
      <c r="D1324" s="83">
        <f>SUMIFS(D1325:D6462,K1325:K6462,"0",B1325:B6462,"5 1 1 1 3 12 31111 6 M59 72000 000132*")-SUMIFS(E1325:E6462,K1325:K6462,"0",B1325:B6462,"5 1 1 1 3 12 31111 6 M59 72000 000132*")</f>
        <v>0</v>
      </c>
      <c r="E1324" s="54"/>
      <c r="F1324" s="83">
        <f>SUMIFS(F1325:F6462,K1325:K6462,"0",B1325:B6462,"5 1 1 1 3 12 31111 6 M59 72000 000132*")</f>
        <v>68629.88</v>
      </c>
      <c r="G1324" s="83">
        <f>SUMIFS(G1325:G6462,K1325:K6462,"0",B1325:B6462,"5 1 1 1 3 12 31111 6 M59 72000 000132*")</f>
        <v>0</v>
      </c>
      <c r="H1324" s="83">
        <f t="shared" si="21"/>
        <v>68629.88</v>
      </c>
      <c r="I1324" s="83"/>
      <c r="K1324" s="54" t="s">
        <v>15</v>
      </c>
    </row>
    <row r="1325" spans="2:11" ht="16.5" x14ac:dyDescent="0.2">
      <c r="B1325" s="82" t="s">
        <v>3513</v>
      </c>
      <c r="C1325" s="82" t="s">
        <v>650</v>
      </c>
      <c r="D1325" s="83">
        <f>SUMIFS(D1326:D6462,K1326:K6462,"0",B1326:B6462,"5 1 1 1 3 12 31111 6 M59 72000 000132 0000R*")-SUMIFS(E1326:E6462,K1326:K6462,"0",B1326:B6462,"5 1 1 1 3 12 31111 6 M59 72000 000132 0000R*")</f>
        <v>0</v>
      </c>
      <c r="E1325" s="54"/>
      <c r="F1325" s="83">
        <f>SUMIFS(F1326:F6462,K1326:K6462,"0",B1326:B6462,"5 1 1 1 3 12 31111 6 M59 72000 000132 0000R*")</f>
        <v>68629.88</v>
      </c>
      <c r="G1325" s="83">
        <f>SUMIFS(G1326:G6462,K1326:K6462,"0",B1326:B6462,"5 1 1 1 3 12 31111 6 M59 72000 000132 0000R*")</f>
        <v>0</v>
      </c>
      <c r="H1325" s="83">
        <f t="shared" si="21"/>
        <v>68629.88</v>
      </c>
      <c r="I1325" s="83"/>
      <c r="K1325" s="54" t="s">
        <v>15</v>
      </c>
    </row>
    <row r="1326" spans="2:11" ht="24.75" x14ac:dyDescent="0.2">
      <c r="B1326" s="82" t="s">
        <v>3514</v>
      </c>
      <c r="C1326" s="82" t="s">
        <v>282</v>
      </c>
      <c r="D1326" s="83">
        <f>SUMIFS(D1327:D6462,K1327:K6462,"0",B1327:B6462,"5 1 1 1 3 12 31111 6 M59 72000 000132 0000R 00001*")-SUMIFS(E1327:E6462,K1327:K6462,"0",B1327:B6462,"5 1 1 1 3 12 31111 6 M59 72000 000132 0000R 00001*")</f>
        <v>0</v>
      </c>
      <c r="E1326" s="54"/>
      <c r="F1326" s="83">
        <f>SUMIFS(F1327:F6462,K1327:K6462,"0",B1327:B6462,"5 1 1 1 3 12 31111 6 M59 72000 000132 0000R 00001*")</f>
        <v>68629.88</v>
      </c>
      <c r="G1326" s="83">
        <f>SUMIFS(G1327:G6462,K1327:K6462,"0",B1327:B6462,"5 1 1 1 3 12 31111 6 M59 72000 000132 0000R 00001*")</f>
        <v>0</v>
      </c>
      <c r="H1326" s="83">
        <f t="shared" si="21"/>
        <v>68629.88</v>
      </c>
      <c r="I1326" s="83"/>
      <c r="K1326" s="54" t="s">
        <v>15</v>
      </c>
    </row>
    <row r="1327" spans="2:11" ht="24.75" x14ac:dyDescent="0.2">
      <c r="B1327" s="82" t="s">
        <v>3515</v>
      </c>
      <c r="C1327" s="82" t="s">
        <v>2924</v>
      </c>
      <c r="D1327" s="83">
        <f>SUMIFS(D1328:D6462,K1328:K6462,"0",B1328:B6462,"5 1 1 1 3 12 31111 6 M59 72000 000132 0000R 00001 00113*")-SUMIFS(E1328:E6462,K1328:K6462,"0",B1328:B6462,"5 1 1 1 3 12 31111 6 M59 72000 000132 0000R 00001 00113*")</f>
        <v>0</v>
      </c>
      <c r="E1327" s="54"/>
      <c r="F1327" s="83">
        <f>SUMIFS(F1328:F6462,K1328:K6462,"0",B1328:B6462,"5 1 1 1 3 12 31111 6 M59 72000 000132 0000R 00001 00113*")</f>
        <v>68629.88</v>
      </c>
      <c r="G1327" s="83">
        <f>SUMIFS(G1328:G6462,K1328:K6462,"0",B1328:B6462,"5 1 1 1 3 12 31111 6 M59 72000 000132 0000R 00001 00113*")</f>
        <v>0</v>
      </c>
      <c r="H1327" s="83">
        <f t="shared" si="21"/>
        <v>68629.88</v>
      </c>
      <c r="I1327" s="83"/>
      <c r="K1327" s="54" t="s">
        <v>15</v>
      </c>
    </row>
    <row r="1328" spans="2:11" ht="24.75" x14ac:dyDescent="0.2">
      <c r="B1328" s="82" t="s">
        <v>3516</v>
      </c>
      <c r="C1328" s="82" t="s">
        <v>1051</v>
      </c>
      <c r="D1328" s="83">
        <f>SUMIFS(D1329:D6462,K1329:K6462,"0",B1329:B6462,"5 1 1 1 3 12 31111 6 M59 72000 000132 0000R 00001 00113 015*")-SUMIFS(E1329:E6462,K1329:K6462,"0",B1329:B6462,"5 1 1 1 3 12 31111 6 M59 72000 000132 0000R 00001 00113 015*")</f>
        <v>0</v>
      </c>
      <c r="E1328" s="54"/>
      <c r="F1328" s="83">
        <f>SUMIFS(F1329:F6462,K1329:K6462,"0",B1329:B6462,"5 1 1 1 3 12 31111 6 M59 72000 000132 0000R 00001 00113 015*")</f>
        <v>68629.88</v>
      </c>
      <c r="G1328" s="83">
        <f>SUMIFS(G1329:G6462,K1329:K6462,"0",B1329:B6462,"5 1 1 1 3 12 31111 6 M59 72000 000132 0000R 00001 00113 015*")</f>
        <v>0</v>
      </c>
      <c r="H1328" s="83">
        <f t="shared" si="21"/>
        <v>68629.88</v>
      </c>
      <c r="I1328" s="83"/>
      <c r="K1328" s="54" t="s">
        <v>15</v>
      </c>
    </row>
    <row r="1329" spans="2:11" ht="33" x14ac:dyDescent="0.2">
      <c r="B1329" s="82" t="s">
        <v>3517</v>
      </c>
      <c r="C1329" s="82" t="s">
        <v>2927</v>
      </c>
      <c r="D1329" s="83">
        <f>SUMIFS(D1330:D6462,K1330:K6462,"0",B1330:B6462,"5 1 1 1 3 12 31111 6 M59 72000 000132 0000R 00001 00113 015 2111100*")-SUMIFS(E1330:E6462,K1330:K6462,"0",B1330:B6462,"5 1 1 1 3 12 31111 6 M59 72000 000132 0000R 00001 00113 015 2111100*")</f>
        <v>0</v>
      </c>
      <c r="E1329" s="54"/>
      <c r="F1329" s="83">
        <f>SUMIFS(F1330:F6462,K1330:K6462,"0",B1330:B6462,"5 1 1 1 3 12 31111 6 M59 72000 000132 0000R 00001 00113 015 2111100*")</f>
        <v>68629.88</v>
      </c>
      <c r="G1329" s="83">
        <f>SUMIFS(G1330:G6462,K1330:K6462,"0",B1330:B6462,"5 1 1 1 3 12 31111 6 M59 72000 000132 0000R 00001 00113 015 2111100*")</f>
        <v>0</v>
      </c>
      <c r="H1329" s="83">
        <f t="shared" si="21"/>
        <v>68629.88</v>
      </c>
      <c r="I1329" s="83"/>
      <c r="K1329" s="54" t="s">
        <v>15</v>
      </c>
    </row>
    <row r="1330" spans="2:11" ht="33" x14ac:dyDescent="0.2">
      <c r="B1330" s="82" t="s">
        <v>3518</v>
      </c>
      <c r="C1330" s="82" t="s">
        <v>660</v>
      </c>
      <c r="D1330" s="83">
        <f>SUMIFS(D1331:D6462,K1331:K6462,"0",B1331:B6462,"5 1 1 1 3 12 31111 6 M59 72000 000132 0000R 00001 00113 015 2111100 2024*")-SUMIFS(E1331:E6462,K1331:K6462,"0",B1331:B6462,"5 1 1 1 3 12 31111 6 M59 72000 000132 0000R 00001 00113 015 2111100 2024*")</f>
        <v>0</v>
      </c>
      <c r="E1330" s="54"/>
      <c r="F1330" s="83">
        <f>SUMIFS(F1331:F6462,K1331:K6462,"0",B1331:B6462,"5 1 1 1 3 12 31111 6 M59 72000 000132 0000R 00001 00113 015 2111100 2024*")</f>
        <v>68629.88</v>
      </c>
      <c r="G1330" s="83">
        <f>SUMIFS(G1331:G6462,K1331:K6462,"0",B1331:B6462,"5 1 1 1 3 12 31111 6 M59 72000 000132 0000R 00001 00113 015 2111100 2024*")</f>
        <v>0</v>
      </c>
      <c r="H1330" s="83">
        <f t="shared" si="21"/>
        <v>68629.88</v>
      </c>
      <c r="I1330" s="83"/>
      <c r="K1330" s="54" t="s">
        <v>15</v>
      </c>
    </row>
    <row r="1331" spans="2:11" ht="41.25" x14ac:dyDescent="0.2">
      <c r="B1331" s="82" t="s">
        <v>3519</v>
      </c>
      <c r="C1331" s="82" t="s">
        <v>1056</v>
      </c>
      <c r="D1331" s="83">
        <f>SUMIFS(D1332:D6462,K1332:K6462,"0",B1332:B6462,"5 1 1 1 3 12 31111 6 M59 72000 000132 0000R 00001 00113 015 2111100 2024 CP1SC386*")-SUMIFS(E1332:E6462,K1332:K6462,"0",B1332:B6462,"5 1 1 1 3 12 31111 6 M59 72000 000132 0000R 00001 00113 015 2111100 2024 CP1SC386*")</f>
        <v>0</v>
      </c>
      <c r="E1331" s="54"/>
      <c r="F1331" s="83">
        <f>SUMIFS(F1332:F6462,K1332:K6462,"0",B1332:B6462,"5 1 1 1 3 12 31111 6 M59 72000 000132 0000R 00001 00113 015 2111100 2024 CP1SC386*")</f>
        <v>68629.88</v>
      </c>
      <c r="G1331" s="83">
        <f>SUMIFS(G1332:G6462,K1332:K6462,"0",B1332:B6462,"5 1 1 1 3 12 31111 6 M59 72000 000132 0000R 00001 00113 015 2111100 2024 CP1SC386*")</f>
        <v>0</v>
      </c>
      <c r="H1331" s="83">
        <f t="shared" si="21"/>
        <v>68629.88</v>
      </c>
      <c r="I1331" s="83"/>
      <c r="K1331" s="54" t="s">
        <v>15</v>
      </c>
    </row>
    <row r="1332" spans="2:11" ht="41.25" x14ac:dyDescent="0.2">
      <c r="B1332" s="82" t="s">
        <v>3520</v>
      </c>
      <c r="C1332" s="82" t="s">
        <v>282</v>
      </c>
      <c r="D1332" s="83">
        <f>SUMIFS(D1333:D6462,K1333:K6462,"0",B1333:B6462,"5 1 1 1 3 12 31111 6 M59 72000 000132 0000R 00001 00113 015 2111100 2024 CP1SC386 001*")-SUMIFS(E1333:E6462,K1333:K6462,"0",B1333:B6462,"5 1 1 1 3 12 31111 6 M59 72000 000132 0000R 00001 00113 015 2111100 2024 CP1SC386 001*")</f>
        <v>0</v>
      </c>
      <c r="E1332" s="54"/>
      <c r="F1332" s="83">
        <f>SUMIFS(F1333:F6462,K1333:K6462,"0",B1333:B6462,"5 1 1 1 3 12 31111 6 M59 72000 000132 0000R 00001 00113 015 2111100 2024 CP1SC386 001*")</f>
        <v>68629.88</v>
      </c>
      <c r="G1332" s="83">
        <f>SUMIFS(G1333:G6462,K1333:K6462,"0",B1333:B6462,"5 1 1 1 3 12 31111 6 M59 72000 000132 0000R 00001 00113 015 2111100 2024 CP1SC386 001*")</f>
        <v>0</v>
      </c>
      <c r="H1332" s="83">
        <f t="shared" si="21"/>
        <v>68629.88</v>
      </c>
      <c r="I1332" s="83"/>
      <c r="K1332" s="54" t="s">
        <v>15</v>
      </c>
    </row>
    <row r="1333" spans="2:11" ht="33" x14ac:dyDescent="0.2">
      <c r="B1333" s="84" t="s">
        <v>3521</v>
      </c>
      <c r="C1333" s="84" t="s">
        <v>2932</v>
      </c>
      <c r="D1333" s="85">
        <v>0</v>
      </c>
      <c r="E1333" s="85"/>
      <c r="F1333" s="85">
        <v>68629.88</v>
      </c>
      <c r="G1333" s="85">
        <v>0</v>
      </c>
      <c r="H1333" s="85">
        <f t="shared" si="21"/>
        <v>68629.88</v>
      </c>
      <c r="I1333" s="85"/>
      <c r="K1333" s="54" t="s">
        <v>38</v>
      </c>
    </row>
    <row r="1334" spans="2:11" ht="16.5" x14ac:dyDescent="0.2">
      <c r="B1334" s="82" t="s">
        <v>3522</v>
      </c>
      <c r="C1334" s="82" t="s">
        <v>3523</v>
      </c>
      <c r="D1334" s="83">
        <f>SUMIFS(D1335:D6462,K1335:K6462,"0",B1335:B6462,"5 1 1 1 3 12 31111 6 M59 80000*")-SUMIFS(E1335:E6462,K1335:K6462,"0",B1335:B6462,"5 1 1 1 3 12 31111 6 M59 80000*")</f>
        <v>0</v>
      </c>
      <c r="E1334" s="54"/>
      <c r="F1334" s="83">
        <f>SUMIFS(F1335:F6462,K1335:K6462,"0",B1335:B6462,"5 1 1 1 3 12 31111 6 M59 80000*")</f>
        <v>454951.07</v>
      </c>
      <c r="G1334" s="83">
        <f>SUMIFS(G1335:G6462,K1335:K6462,"0",B1335:B6462,"5 1 1 1 3 12 31111 6 M59 80000*")</f>
        <v>0</v>
      </c>
      <c r="H1334" s="83">
        <f t="shared" si="21"/>
        <v>454951.07</v>
      </c>
      <c r="I1334" s="83"/>
      <c r="K1334" s="54" t="s">
        <v>15</v>
      </c>
    </row>
    <row r="1335" spans="2:11" ht="16.5" x14ac:dyDescent="0.2">
      <c r="B1335" s="82" t="s">
        <v>3524</v>
      </c>
      <c r="C1335" s="82" t="s">
        <v>648</v>
      </c>
      <c r="D1335" s="83">
        <f>SUMIFS(D1336:D6462,K1336:K6462,"0",B1336:B6462,"5 1 1 1 3 12 31111 6 M59 80000 000132*")-SUMIFS(E1336:E6462,K1336:K6462,"0",B1336:B6462,"5 1 1 1 3 12 31111 6 M59 80000 000132*")</f>
        <v>0</v>
      </c>
      <c r="E1335" s="54"/>
      <c r="F1335" s="83">
        <f>SUMIFS(F1336:F6462,K1336:K6462,"0",B1336:B6462,"5 1 1 1 3 12 31111 6 M59 80000 000132*")</f>
        <v>454951.07</v>
      </c>
      <c r="G1335" s="83">
        <f>SUMIFS(G1336:G6462,K1336:K6462,"0",B1336:B6462,"5 1 1 1 3 12 31111 6 M59 80000 000132*")</f>
        <v>0</v>
      </c>
      <c r="H1335" s="83">
        <f t="shared" si="21"/>
        <v>454951.07</v>
      </c>
      <c r="I1335" s="83"/>
      <c r="K1335" s="54" t="s">
        <v>15</v>
      </c>
    </row>
    <row r="1336" spans="2:11" ht="16.5" x14ac:dyDescent="0.2">
      <c r="B1336" s="82" t="s">
        <v>3525</v>
      </c>
      <c r="C1336" s="82" t="s">
        <v>650</v>
      </c>
      <c r="D1336" s="83">
        <f>SUMIFS(D1337:D6462,K1337:K6462,"0",B1337:B6462,"5 1 1 1 3 12 31111 6 M59 80000 000132 0000R*")-SUMIFS(E1337:E6462,K1337:K6462,"0",B1337:B6462,"5 1 1 1 3 12 31111 6 M59 80000 000132 0000R*")</f>
        <v>0</v>
      </c>
      <c r="E1336" s="54"/>
      <c r="F1336" s="83">
        <f>SUMIFS(F1337:F6462,K1337:K6462,"0",B1337:B6462,"5 1 1 1 3 12 31111 6 M59 80000 000132 0000R*")</f>
        <v>454951.07</v>
      </c>
      <c r="G1336" s="83">
        <f>SUMIFS(G1337:G6462,K1337:K6462,"0",B1337:B6462,"5 1 1 1 3 12 31111 6 M59 80000 000132 0000R*")</f>
        <v>0</v>
      </c>
      <c r="H1336" s="83">
        <f t="shared" si="21"/>
        <v>454951.07</v>
      </c>
      <c r="I1336" s="83"/>
      <c r="K1336" s="54" t="s">
        <v>15</v>
      </c>
    </row>
    <row r="1337" spans="2:11" ht="24.75" x14ac:dyDescent="0.2">
      <c r="B1337" s="82" t="s">
        <v>3526</v>
      </c>
      <c r="C1337" s="82" t="s">
        <v>282</v>
      </c>
      <c r="D1337" s="83">
        <f>SUMIFS(D1338:D6462,K1338:K6462,"0",B1338:B6462,"5 1 1 1 3 12 31111 6 M59 80000 000132 0000R 00001*")-SUMIFS(E1338:E6462,K1338:K6462,"0",B1338:B6462,"5 1 1 1 3 12 31111 6 M59 80000 000132 0000R 00001*")</f>
        <v>0</v>
      </c>
      <c r="E1337" s="54"/>
      <c r="F1337" s="83">
        <f>SUMIFS(F1338:F6462,K1338:K6462,"0",B1338:B6462,"5 1 1 1 3 12 31111 6 M59 80000 000132 0000R 00001*")</f>
        <v>454951.07</v>
      </c>
      <c r="G1337" s="83">
        <f>SUMIFS(G1338:G6462,K1338:K6462,"0",B1338:B6462,"5 1 1 1 3 12 31111 6 M59 80000 000132 0000R 00001*")</f>
        <v>0</v>
      </c>
      <c r="H1337" s="83">
        <f t="shared" si="21"/>
        <v>454951.07</v>
      </c>
      <c r="I1337" s="83"/>
      <c r="K1337" s="54" t="s">
        <v>15</v>
      </c>
    </row>
    <row r="1338" spans="2:11" ht="24.75" x14ac:dyDescent="0.2">
      <c r="B1338" s="82" t="s">
        <v>3527</v>
      </c>
      <c r="C1338" s="82" t="s">
        <v>2924</v>
      </c>
      <c r="D1338" s="83">
        <f>SUMIFS(D1339:D6462,K1339:K6462,"0",B1339:B6462,"5 1 1 1 3 12 31111 6 M59 80000 000132 0000R 00001 00113*")-SUMIFS(E1339:E6462,K1339:K6462,"0",B1339:B6462,"5 1 1 1 3 12 31111 6 M59 80000 000132 0000R 00001 00113*")</f>
        <v>0</v>
      </c>
      <c r="E1338" s="54"/>
      <c r="F1338" s="83">
        <f>SUMIFS(F1339:F6462,K1339:K6462,"0",B1339:B6462,"5 1 1 1 3 12 31111 6 M59 80000 000132 0000R 00001 00113*")</f>
        <v>454951.07</v>
      </c>
      <c r="G1338" s="83">
        <f>SUMIFS(G1339:G6462,K1339:K6462,"0",B1339:B6462,"5 1 1 1 3 12 31111 6 M59 80000 000132 0000R 00001 00113*")</f>
        <v>0</v>
      </c>
      <c r="H1338" s="83">
        <f t="shared" si="21"/>
        <v>454951.07</v>
      </c>
      <c r="I1338" s="83"/>
      <c r="K1338" s="54" t="s">
        <v>15</v>
      </c>
    </row>
    <row r="1339" spans="2:11" ht="24.75" x14ac:dyDescent="0.2">
      <c r="B1339" s="82" t="s">
        <v>3528</v>
      </c>
      <c r="C1339" s="82" t="s">
        <v>1051</v>
      </c>
      <c r="D1339" s="83">
        <f>SUMIFS(D1340:D6462,K1340:K6462,"0",B1340:B6462,"5 1 1 1 3 12 31111 6 M59 80000 000132 0000R 00001 00113 015*")-SUMIFS(E1340:E6462,K1340:K6462,"0",B1340:B6462,"5 1 1 1 3 12 31111 6 M59 80000 000132 0000R 00001 00113 015*")</f>
        <v>0</v>
      </c>
      <c r="E1339" s="54"/>
      <c r="F1339" s="83">
        <f>SUMIFS(F1340:F6462,K1340:K6462,"0",B1340:B6462,"5 1 1 1 3 12 31111 6 M59 80000 000132 0000R 00001 00113 015*")</f>
        <v>454951.07</v>
      </c>
      <c r="G1339" s="83">
        <f>SUMIFS(G1340:G6462,K1340:K6462,"0",B1340:B6462,"5 1 1 1 3 12 31111 6 M59 80000 000132 0000R 00001 00113 015*")</f>
        <v>0</v>
      </c>
      <c r="H1339" s="83">
        <f t="shared" si="21"/>
        <v>454951.07</v>
      </c>
      <c r="I1339" s="83"/>
      <c r="K1339" s="54" t="s">
        <v>15</v>
      </c>
    </row>
    <row r="1340" spans="2:11" ht="33" x14ac:dyDescent="0.2">
      <c r="B1340" s="82" t="s">
        <v>3529</v>
      </c>
      <c r="C1340" s="82" t="s">
        <v>2927</v>
      </c>
      <c r="D1340" s="83">
        <f>SUMIFS(D1341:D6462,K1341:K6462,"0",B1341:B6462,"5 1 1 1 3 12 31111 6 M59 80000 000132 0000R 00001 00113 015 2111100*")-SUMIFS(E1341:E6462,K1341:K6462,"0",B1341:B6462,"5 1 1 1 3 12 31111 6 M59 80000 000132 0000R 00001 00113 015 2111100*")</f>
        <v>0</v>
      </c>
      <c r="E1340" s="54"/>
      <c r="F1340" s="83">
        <f>SUMIFS(F1341:F6462,K1341:K6462,"0",B1341:B6462,"5 1 1 1 3 12 31111 6 M59 80000 000132 0000R 00001 00113 015 2111100*")</f>
        <v>454951.07</v>
      </c>
      <c r="G1340" s="83">
        <f>SUMIFS(G1341:G6462,K1341:K6462,"0",B1341:B6462,"5 1 1 1 3 12 31111 6 M59 80000 000132 0000R 00001 00113 015 2111100*")</f>
        <v>0</v>
      </c>
      <c r="H1340" s="83">
        <f t="shared" si="21"/>
        <v>454951.07</v>
      </c>
      <c r="I1340" s="83"/>
      <c r="K1340" s="54" t="s">
        <v>15</v>
      </c>
    </row>
    <row r="1341" spans="2:11" ht="33" x14ac:dyDescent="0.2">
      <c r="B1341" s="82" t="s">
        <v>3530</v>
      </c>
      <c r="C1341" s="82" t="s">
        <v>660</v>
      </c>
      <c r="D1341" s="83">
        <f>SUMIFS(D1342:D6462,K1342:K6462,"0",B1342:B6462,"5 1 1 1 3 12 31111 6 M59 80000 000132 0000R 00001 00113 015 2111100 2024*")-SUMIFS(E1342:E6462,K1342:K6462,"0",B1342:B6462,"5 1 1 1 3 12 31111 6 M59 80000 000132 0000R 00001 00113 015 2111100 2024*")</f>
        <v>0</v>
      </c>
      <c r="E1341" s="54"/>
      <c r="F1341" s="83">
        <f>SUMIFS(F1342:F6462,K1342:K6462,"0",B1342:B6462,"5 1 1 1 3 12 31111 6 M59 80000 000132 0000R 00001 00113 015 2111100 2024*")</f>
        <v>454951.07</v>
      </c>
      <c r="G1341" s="83">
        <f>SUMIFS(G1342:G6462,K1342:K6462,"0",B1342:B6462,"5 1 1 1 3 12 31111 6 M59 80000 000132 0000R 00001 00113 015 2111100 2024*")</f>
        <v>0</v>
      </c>
      <c r="H1341" s="83">
        <f t="shared" si="21"/>
        <v>454951.07</v>
      </c>
      <c r="I1341" s="83"/>
      <c r="K1341" s="54" t="s">
        <v>15</v>
      </c>
    </row>
    <row r="1342" spans="2:11" ht="41.25" x14ac:dyDescent="0.2">
      <c r="B1342" s="82" t="s">
        <v>3531</v>
      </c>
      <c r="C1342" s="82" t="s">
        <v>1056</v>
      </c>
      <c r="D1342" s="83">
        <f>SUMIFS(D1343:D6462,K1343:K6462,"0",B1343:B6462,"5 1 1 1 3 12 31111 6 M59 80000 000132 0000R 00001 00113 015 2111100 2024 CP1DR388*")-SUMIFS(E1343:E6462,K1343:K6462,"0",B1343:B6462,"5 1 1 1 3 12 31111 6 M59 80000 000132 0000R 00001 00113 015 2111100 2024 CP1DR388*")</f>
        <v>0</v>
      </c>
      <c r="E1342" s="54"/>
      <c r="F1342" s="83">
        <f>SUMIFS(F1343:F6462,K1343:K6462,"0",B1343:B6462,"5 1 1 1 3 12 31111 6 M59 80000 000132 0000R 00001 00113 015 2111100 2024 CP1DR388*")</f>
        <v>454951.07</v>
      </c>
      <c r="G1342" s="83">
        <f>SUMIFS(G1343:G6462,K1343:K6462,"0",B1343:B6462,"5 1 1 1 3 12 31111 6 M59 80000 000132 0000R 00001 00113 015 2111100 2024 CP1DR388*")</f>
        <v>0</v>
      </c>
      <c r="H1342" s="83">
        <f t="shared" si="21"/>
        <v>454951.07</v>
      </c>
      <c r="I1342" s="83"/>
      <c r="K1342" s="54" t="s">
        <v>15</v>
      </c>
    </row>
    <row r="1343" spans="2:11" ht="41.25" x14ac:dyDescent="0.2">
      <c r="B1343" s="82" t="s">
        <v>3532</v>
      </c>
      <c r="C1343" s="82" t="s">
        <v>282</v>
      </c>
      <c r="D1343" s="83">
        <f>SUMIFS(D1344:D6462,K1344:K6462,"0",B1344:B6462,"5 1 1 1 3 12 31111 6 M59 80000 000132 0000R 00001 00113 015 2111100 2024 CP1DR388 001*")-SUMIFS(E1344:E6462,K1344:K6462,"0",B1344:B6462,"5 1 1 1 3 12 31111 6 M59 80000 000132 0000R 00001 00113 015 2111100 2024 CP1DR388 001*")</f>
        <v>0</v>
      </c>
      <c r="E1343" s="54"/>
      <c r="F1343" s="83">
        <f>SUMIFS(F1344:F6462,K1344:K6462,"0",B1344:B6462,"5 1 1 1 3 12 31111 6 M59 80000 000132 0000R 00001 00113 015 2111100 2024 CP1DR388 001*")</f>
        <v>454951.07</v>
      </c>
      <c r="G1343" s="83">
        <f>SUMIFS(G1344:G6462,K1344:K6462,"0",B1344:B6462,"5 1 1 1 3 12 31111 6 M59 80000 000132 0000R 00001 00113 015 2111100 2024 CP1DR388 001*")</f>
        <v>0</v>
      </c>
      <c r="H1343" s="83">
        <f t="shared" si="21"/>
        <v>454951.07</v>
      </c>
      <c r="I1343" s="83"/>
      <c r="K1343" s="54" t="s">
        <v>15</v>
      </c>
    </row>
    <row r="1344" spans="2:11" ht="41.25" x14ac:dyDescent="0.2">
      <c r="B1344" s="84" t="s">
        <v>3533</v>
      </c>
      <c r="C1344" s="84" t="s">
        <v>2932</v>
      </c>
      <c r="D1344" s="85">
        <v>0</v>
      </c>
      <c r="E1344" s="85"/>
      <c r="F1344" s="85">
        <v>454951.07</v>
      </c>
      <c r="G1344" s="85">
        <v>0</v>
      </c>
      <c r="H1344" s="85">
        <f t="shared" si="21"/>
        <v>454951.07</v>
      </c>
      <c r="I1344" s="85"/>
      <c r="K1344" s="54" t="s">
        <v>38</v>
      </c>
    </row>
    <row r="1345" spans="2:11" ht="16.5" x14ac:dyDescent="0.2">
      <c r="B1345" s="82" t="s">
        <v>3534</v>
      </c>
      <c r="C1345" s="82" t="s">
        <v>3535</v>
      </c>
      <c r="D1345" s="83">
        <f>SUMIFS(D1346:D6462,K1346:K6462,"0",B1346:B6462,"5 1 1 1 3 12 31111 6 M59 80100*")-SUMIFS(E1346:E6462,K1346:K6462,"0",B1346:B6462,"5 1 1 1 3 12 31111 6 M59 80100*")</f>
        <v>0</v>
      </c>
      <c r="E1345" s="54"/>
      <c r="F1345" s="83">
        <f>SUMIFS(F1346:F6462,K1346:K6462,"0",B1346:B6462,"5 1 1 1 3 12 31111 6 M59 80100*")</f>
        <v>69093.52</v>
      </c>
      <c r="G1345" s="83">
        <f>SUMIFS(G1346:G6462,K1346:K6462,"0",B1346:B6462,"5 1 1 1 3 12 31111 6 M59 80100*")</f>
        <v>0</v>
      </c>
      <c r="H1345" s="83">
        <f t="shared" si="21"/>
        <v>69093.52</v>
      </c>
      <c r="I1345" s="83"/>
      <c r="K1345" s="54" t="s">
        <v>15</v>
      </c>
    </row>
    <row r="1346" spans="2:11" ht="16.5" x14ac:dyDescent="0.2">
      <c r="B1346" s="82" t="s">
        <v>3536</v>
      </c>
      <c r="C1346" s="82" t="s">
        <v>648</v>
      </c>
      <c r="D1346" s="83">
        <f>SUMIFS(D1347:D6462,K1347:K6462,"0",B1347:B6462,"5 1 1 1 3 12 31111 6 M59 80100 000132*")-SUMIFS(E1347:E6462,K1347:K6462,"0",B1347:B6462,"5 1 1 1 3 12 31111 6 M59 80100 000132*")</f>
        <v>0</v>
      </c>
      <c r="E1346" s="54"/>
      <c r="F1346" s="83">
        <f>SUMIFS(F1347:F6462,K1347:K6462,"0",B1347:B6462,"5 1 1 1 3 12 31111 6 M59 80100 000132*")</f>
        <v>69093.52</v>
      </c>
      <c r="G1346" s="83">
        <f>SUMIFS(G1347:G6462,K1347:K6462,"0",B1347:B6462,"5 1 1 1 3 12 31111 6 M59 80100 000132*")</f>
        <v>0</v>
      </c>
      <c r="H1346" s="83">
        <f t="shared" si="21"/>
        <v>69093.52</v>
      </c>
      <c r="I1346" s="83"/>
      <c r="K1346" s="54" t="s">
        <v>15</v>
      </c>
    </row>
    <row r="1347" spans="2:11" ht="16.5" x14ac:dyDescent="0.2">
      <c r="B1347" s="82" t="s">
        <v>3537</v>
      </c>
      <c r="C1347" s="82" t="s">
        <v>650</v>
      </c>
      <c r="D1347" s="83">
        <f>SUMIFS(D1348:D6462,K1348:K6462,"0",B1348:B6462,"5 1 1 1 3 12 31111 6 M59 80100 000132 0000R*")-SUMIFS(E1348:E6462,K1348:K6462,"0",B1348:B6462,"5 1 1 1 3 12 31111 6 M59 80100 000132 0000R*")</f>
        <v>0</v>
      </c>
      <c r="E1347" s="54"/>
      <c r="F1347" s="83">
        <f>SUMIFS(F1348:F6462,K1348:K6462,"0",B1348:B6462,"5 1 1 1 3 12 31111 6 M59 80100 000132 0000R*")</f>
        <v>69093.52</v>
      </c>
      <c r="G1347" s="83">
        <f>SUMIFS(G1348:G6462,K1348:K6462,"0",B1348:B6462,"5 1 1 1 3 12 31111 6 M59 80100 000132 0000R*")</f>
        <v>0</v>
      </c>
      <c r="H1347" s="83">
        <f t="shared" si="21"/>
        <v>69093.52</v>
      </c>
      <c r="I1347" s="83"/>
      <c r="K1347" s="54" t="s">
        <v>15</v>
      </c>
    </row>
    <row r="1348" spans="2:11" ht="24.75" x14ac:dyDescent="0.2">
      <c r="B1348" s="82" t="s">
        <v>3538</v>
      </c>
      <c r="C1348" s="82" t="s">
        <v>282</v>
      </c>
      <c r="D1348" s="83">
        <f>SUMIFS(D1349:D6462,K1349:K6462,"0",B1349:B6462,"5 1 1 1 3 12 31111 6 M59 80100 000132 0000R 00001*")-SUMIFS(E1349:E6462,K1349:K6462,"0",B1349:B6462,"5 1 1 1 3 12 31111 6 M59 80100 000132 0000R 00001*")</f>
        <v>0</v>
      </c>
      <c r="E1348" s="54"/>
      <c r="F1348" s="83">
        <f>SUMIFS(F1349:F6462,K1349:K6462,"0",B1349:B6462,"5 1 1 1 3 12 31111 6 M59 80100 000132 0000R 00001*")</f>
        <v>69093.52</v>
      </c>
      <c r="G1348" s="83">
        <f>SUMIFS(G1349:G6462,K1349:K6462,"0",B1349:B6462,"5 1 1 1 3 12 31111 6 M59 80100 000132 0000R 00001*")</f>
        <v>0</v>
      </c>
      <c r="H1348" s="83">
        <f t="shared" si="21"/>
        <v>69093.52</v>
      </c>
      <c r="I1348" s="83"/>
      <c r="K1348" s="54" t="s">
        <v>15</v>
      </c>
    </row>
    <row r="1349" spans="2:11" ht="24.75" x14ac:dyDescent="0.2">
      <c r="B1349" s="82" t="s">
        <v>3539</v>
      </c>
      <c r="C1349" s="82" t="s">
        <v>2924</v>
      </c>
      <c r="D1349" s="83">
        <f>SUMIFS(D1350:D6462,K1350:K6462,"0",B1350:B6462,"5 1 1 1 3 12 31111 6 M59 80100 000132 0000R 00001 00113*")-SUMIFS(E1350:E6462,K1350:K6462,"0",B1350:B6462,"5 1 1 1 3 12 31111 6 M59 80100 000132 0000R 00001 00113*")</f>
        <v>0</v>
      </c>
      <c r="E1349" s="54"/>
      <c r="F1349" s="83">
        <f>SUMIFS(F1350:F6462,K1350:K6462,"0",B1350:B6462,"5 1 1 1 3 12 31111 6 M59 80100 000132 0000R 00001 00113*")</f>
        <v>69093.52</v>
      </c>
      <c r="G1349" s="83">
        <f>SUMIFS(G1350:G6462,K1350:K6462,"0",B1350:B6462,"5 1 1 1 3 12 31111 6 M59 80100 000132 0000R 00001 00113*")</f>
        <v>0</v>
      </c>
      <c r="H1349" s="83">
        <f t="shared" si="21"/>
        <v>69093.52</v>
      </c>
      <c r="I1349" s="83"/>
      <c r="K1349" s="54" t="s">
        <v>15</v>
      </c>
    </row>
    <row r="1350" spans="2:11" ht="24.75" x14ac:dyDescent="0.2">
      <c r="B1350" s="82" t="s">
        <v>3540</v>
      </c>
      <c r="C1350" s="82" t="s">
        <v>1051</v>
      </c>
      <c r="D1350" s="83">
        <f>SUMIFS(D1351:D6462,K1351:K6462,"0",B1351:B6462,"5 1 1 1 3 12 31111 6 M59 80100 000132 0000R 00001 00113 015*")-SUMIFS(E1351:E6462,K1351:K6462,"0",B1351:B6462,"5 1 1 1 3 12 31111 6 M59 80100 000132 0000R 00001 00113 015*")</f>
        <v>0</v>
      </c>
      <c r="E1350" s="54"/>
      <c r="F1350" s="83">
        <f>SUMIFS(F1351:F6462,K1351:K6462,"0",B1351:B6462,"5 1 1 1 3 12 31111 6 M59 80100 000132 0000R 00001 00113 015*")</f>
        <v>69093.52</v>
      </c>
      <c r="G1350" s="83">
        <f>SUMIFS(G1351:G6462,K1351:K6462,"0",B1351:B6462,"5 1 1 1 3 12 31111 6 M59 80100 000132 0000R 00001 00113 015*")</f>
        <v>0</v>
      </c>
      <c r="H1350" s="83">
        <f t="shared" si="21"/>
        <v>69093.52</v>
      </c>
      <c r="I1350" s="83"/>
      <c r="K1350" s="54" t="s">
        <v>15</v>
      </c>
    </row>
    <row r="1351" spans="2:11" ht="33" x14ac:dyDescent="0.2">
      <c r="B1351" s="82" t="s">
        <v>3541</v>
      </c>
      <c r="C1351" s="82" t="s">
        <v>2927</v>
      </c>
      <c r="D1351" s="83">
        <f>SUMIFS(D1352:D6462,K1352:K6462,"0",B1352:B6462,"5 1 1 1 3 12 31111 6 M59 80100 000132 0000R 00001 00113 015 2111100*")-SUMIFS(E1352:E6462,K1352:K6462,"0",B1352:B6462,"5 1 1 1 3 12 31111 6 M59 80100 000132 0000R 00001 00113 015 2111100*")</f>
        <v>0</v>
      </c>
      <c r="E1351" s="54"/>
      <c r="F1351" s="83">
        <f>SUMIFS(F1352:F6462,K1352:K6462,"0",B1352:B6462,"5 1 1 1 3 12 31111 6 M59 80100 000132 0000R 00001 00113 015 2111100*")</f>
        <v>69093.52</v>
      </c>
      <c r="G1351" s="83">
        <f>SUMIFS(G1352:G6462,K1352:K6462,"0",B1352:B6462,"5 1 1 1 3 12 31111 6 M59 80100 000132 0000R 00001 00113 015 2111100*")</f>
        <v>0</v>
      </c>
      <c r="H1351" s="83">
        <f t="shared" si="21"/>
        <v>69093.52</v>
      </c>
      <c r="I1351" s="83"/>
      <c r="K1351" s="54" t="s">
        <v>15</v>
      </c>
    </row>
    <row r="1352" spans="2:11" ht="33" x14ac:dyDescent="0.2">
      <c r="B1352" s="82" t="s">
        <v>3542</v>
      </c>
      <c r="C1352" s="82" t="s">
        <v>660</v>
      </c>
      <c r="D1352" s="83">
        <f>SUMIFS(D1353:D6462,K1353:K6462,"0",B1353:B6462,"5 1 1 1 3 12 31111 6 M59 80100 000132 0000R 00001 00113 015 2111100 2024*")-SUMIFS(E1353:E6462,K1353:K6462,"0",B1353:B6462,"5 1 1 1 3 12 31111 6 M59 80100 000132 0000R 00001 00113 015 2111100 2024*")</f>
        <v>0</v>
      </c>
      <c r="E1352" s="54"/>
      <c r="F1352" s="83">
        <f>SUMIFS(F1353:F6462,K1353:K6462,"0",B1353:B6462,"5 1 1 1 3 12 31111 6 M59 80100 000132 0000R 00001 00113 015 2111100 2024*")</f>
        <v>69093.52</v>
      </c>
      <c r="G1352" s="83">
        <f>SUMIFS(G1353:G6462,K1353:K6462,"0",B1353:B6462,"5 1 1 1 3 12 31111 6 M59 80100 000132 0000R 00001 00113 015 2111100 2024*")</f>
        <v>0</v>
      </c>
      <c r="H1352" s="83">
        <f t="shared" si="21"/>
        <v>69093.52</v>
      </c>
      <c r="I1352" s="83"/>
      <c r="K1352" s="54" t="s">
        <v>15</v>
      </c>
    </row>
    <row r="1353" spans="2:11" ht="41.25" x14ac:dyDescent="0.2">
      <c r="B1353" s="82" t="s">
        <v>3543</v>
      </c>
      <c r="C1353" s="82" t="s">
        <v>1056</v>
      </c>
      <c r="D1353" s="83">
        <f>SUMIFS(D1354:D6462,K1354:K6462,"0",B1354:B6462,"5 1 1 1 3 12 31111 6 M59 80100 000132 0000R 00001 00113 015 2111100 2024 CP1AC425*")-SUMIFS(E1354:E6462,K1354:K6462,"0",B1354:B6462,"5 1 1 1 3 12 31111 6 M59 80100 000132 0000R 00001 00113 015 2111100 2024 CP1AC425*")</f>
        <v>0</v>
      </c>
      <c r="E1353" s="54"/>
      <c r="F1353" s="83">
        <f>SUMIFS(F1354:F6462,K1354:K6462,"0",B1354:B6462,"5 1 1 1 3 12 31111 6 M59 80100 000132 0000R 00001 00113 015 2111100 2024 CP1AC425*")</f>
        <v>69093.52</v>
      </c>
      <c r="G1353" s="83">
        <f>SUMIFS(G1354:G6462,K1354:K6462,"0",B1354:B6462,"5 1 1 1 3 12 31111 6 M59 80100 000132 0000R 00001 00113 015 2111100 2024 CP1AC425*")</f>
        <v>0</v>
      </c>
      <c r="H1353" s="83">
        <f t="shared" si="21"/>
        <v>69093.52</v>
      </c>
      <c r="I1353" s="83"/>
      <c r="K1353" s="54" t="s">
        <v>15</v>
      </c>
    </row>
    <row r="1354" spans="2:11" ht="41.25" x14ac:dyDescent="0.2">
      <c r="B1354" s="82" t="s">
        <v>3544</v>
      </c>
      <c r="C1354" s="82" t="s">
        <v>282</v>
      </c>
      <c r="D1354" s="83">
        <f>SUMIFS(D1355:D6462,K1355:K6462,"0",B1355:B6462,"5 1 1 1 3 12 31111 6 M59 80100 000132 0000R 00001 00113 015 2111100 2024 CP1AC425 001*")-SUMIFS(E1355:E6462,K1355:K6462,"0",B1355:B6462,"5 1 1 1 3 12 31111 6 M59 80100 000132 0000R 00001 00113 015 2111100 2024 CP1AC425 001*")</f>
        <v>0</v>
      </c>
      <c r="E1354" s="54"/>
      <c r="F1354" s="83">
        <f>SUMIFS(F1355:F6462,K1355:K6462,"0",B1355:B6462,"5 1 1 1 3 12 31111 6 M59 80100 000132 0000R 00001 00113 015 2111100 2024 CP1AC425 001*")</f>
        <v>69093.52</v>
      </c>
      <c r="G1354" s="83">
        <f>SUMIFS(G1355:G6462,K1355:K6462,"0",B1355:B6462,"5 1 1 1 3 12 31111 6 M59 80100 000132 0000R 00001 00113 015 2111100 2024 CP1AC425 001*")</f>
        <v>0</v>
      </c>
      <c r="H1354" s="83">
        <f t="shared" si="21"/>
        <v>69093.52</v>
      </c>
      <c r="I1354" s="83"/>
      <c r="K1354" s="54" t="s">
        <v>15</v>
      </c>
    </row>
    <row r="1355" spans="2:11" ht="33" x14ac:dyDescent="0.2">
      <c r="B1355" s="84" t="s">
        <v>3545</v>
      </c>
      <c r="C1355" s="84" t="s">
        <v>2932</v>
      </c>
      <c r="D1355" s="85">
        <v>0</v>
      </c>
      <c r="E1355" s="85"/>
      <c r="F1355" s="85">
        <v>69093.52</v>
      </c>
      <c r="G1355" s="85">
        <v>0</v>
      </c>
      <c r="H1355" s="85">
        <f t="shared" si="21"/>
        <v>69093.52</v>
      </c>
      <c r="I1355" s="85"/>
      <c r="K1355" s="54" t="s">
        <v>38</v>
      </c>
    </row>
    <row r="1356" spans="2:11" ht="16.5" x14ac:dyDescent="0.2">
      <c r="B1356" s="82" t="s">
        <v>3546</v>
      </c>
      <c r="C1356" s="82" t="s">
        <v>3547</v>
      </c>
      <c r="D1356" s="83">
        <f>SUMIFS(D1357:D6462,K1357:K6462,"0",B1357:B6462,"5 1 1 1 3 12 31111 6 M59 80300*")-SUMIFS(E1357:E6462,K1357:K6462,"0",B1357:B6462,"5 1 1 1 3 12 31111 6 M59 80300*")</f>
        <v>0</v>
      </c>
      <c r="E1356" s="54"/>
      <c r="F1356" s="83">
        <f>SUMIFS(F1357:F6462,K1357:K6462,"0",B1357:B6462,"5 1 1 1 3 12 31111 6 M59 80300*")</f>
        <v>42581.04</v>
      </c>
      <c r="G1356" s="83">
        <f>SUMIFS(G1357:G6462,K1357:K6462,"0",B1357:B6462,"5 1 1 1 3 12 31111 6 M59 80300*")</f>
        <v>0</v>
      </c>
      <c r="H1356" s="83">
        <f t="shared" si="21"/>
        <v>42581.04</v>
      </c>
      <c r="I1356" s="83"/>
      <c r="K1356" s="54" t="s">
        <v>15</v>
      </c>
    </row>
    <row r="1357" spans="2:11" ht="16.5" x14ac:dyDescent="0.2">
      <c r="B1357" s="82" t="s">
        <v>3548</v>
      </c>
      <c r="C1357" s="82" t="s">
        <v>648</v>
      </c>
      <c r="D1357" s="83">
        <f>SUMIFS(D1358:D6462,K1358:K6462,"0",B1358:B6462,"5 1 1 1 3 12 31111 6 M59 80300 000132*")-SUMIFS(E1358:E6462,K1358:K6462,"0",B1358:B6462,"5 1 1 1 3 12 31111 6 M59 80300 000132*")</f>
        <v>0</v>
      </c>
      <c r="E1357" s="54"/>
      <c r="F1357" s="83">
        <f>SUMIFS(F1358:F6462,K1358:K6462,"0",B1358:B6462,"5 1 1 1 3 12 31111 6 M59 80300 000132*")</f>
        <v>42581.04</v>
      </c>
      <c r="G1357" s="83">
        <f>SUMIFS(G1358:G6462,K1358:K6462,"0",B1358:B6462,"5 1 1 1 3 12 31111 6 M59 80300 000132*")</f>
        <v>0</v>
      </c>
      <c r="H1357" s="83">
        <f t="shared" si="21"/>
        <v>42581.04</v>
      </c>
      <c r="I1357" s="83"/>
      <c r="K1357" s="54" t="s">
        <v>15</v>
      </c>
    </row>
    <row r="1358" spans="2:11" ht="16.5" x14ac:dyDescent="0.2">
      <c r="B1358" s="82" t="s">
        <v>3549</v>
      </c>
      <c r="C1358" s="82" t="s">
        <v>650</v>
      </c>
      <c r="D1358" s="83">
        <f>SUMIFS(D1359:D6462,K1359:K6462,"0",B1359:B6462,"5 1 1 1 3 12 31111 6 M59 80300 000132 0000R*")-SUMIFS(E1359:E6462,K1359:K6462,"0",B1359:B6462,"5 1 1 1 3 12 31111 6 M59 80300 000132 0000R*")</f>
        <v>0</v>
      </c>
      <c r="E1358" s="54"/>
      <c r="F1358" s="83">
        <f>SUMIFS(F1359:F6462,K1359:K6462,"0",B1359:B6462,"5 1 1 1 3 12 31111 6 M59 80300 000132 0000R*")</f>
        <v>42581.04</v>
      </c>
      <c r="G1358" s="83">
        <f>SUMIFS(G1359:G6462,K1359:K6462,"0",B1359:B6462,"5 1 1 1 3 12 31111 6 M59 80300 000132 0000R*")</f>
        <v>0</v>
      </c>
      <c r="H1358" s="83">
        <f t="shared" si="21"/>
        <v>42581.04</v>
      </c>
      <c r="I1358" s="83"/>
      <c r="K1358" s="54" t="s">
        <v>15</v>
      </c>
    </row>
    <row r="1359" spans="2:11" ht="24.75" x14ac:dyDescent="0.2">
      <c r="B1359" s="82" t="s">
        <v>3550</v>
      </c>
      <c r="C1359" s="82" t="s">
        <v>282</v>
      </c>
      <c r="D1359" s="83">
        <f>SUMIFS(D1360:D6462,K1360:K6462,"0",B1360:B6462,"5 1 1 1 3 12 31111 6 M59 80300 000132 0000R 00001*")-SUMIFS(E1360:E6462,K1360:K6462,"0",B1360:B6462,"5 1 1 1 3 12 31111 6 M59 80300 000132 0000R 00001*")</f>
        <v>0</v>
      </c>
      <c r="E1359" s="54"/>
      <c r="F1359" s="83">
        <f>SUMIFS(F1360:F6462,K1360:K6462,"0",B1360:B6462,"5 1 1 1 3 12 31111 6 M59 80300 000132 0000R 00001*")</f>
        <v>42581.04</v>
      </c>
      <c r="G1359" s="83">
        <f>SUMIFS(G1360:G6462,K1360:K6462,"0",B1360:B6462,"5 1 1 1 3 12 31111 6 M59 80300 000132 0000R 00001*")</f>
        <v>0</v>
      </c>
      <c r="H1359" s="83">
        <f t="shared" si="21"/>
        <v>42581.04</v>
      </c>
      <c r="I1359" s="83"/>
      <c r="K1359" s="54" t="s">
        <v>15</v>
      </c>
    </row>
    <row r="1360" spans="2:11" ht="24.75" x14ac:dyDescent="0.2">
      <c r="B1360" s="82" t="s">
        <v>3551</v>
      </c>
      <c r="C1360" s="82" t="s">
        <v>2924</v>
      </c>
      <c r="D1360" s="83">
        <f>SUMIFS(D1361:D6462,K1361:K6462,"0",B1361:B6462,"5 1 1 1 3 12 31111 6 M59 80300 000132 0000R 00001 00113*")-SUMIFS(E1361:E6462,K1361:K6462,"0",B1361:B6462,"5 1 1 1 3 12 31111 6 M59 80300 000132 0000R 00001 00113*")</f>
        <v>0</v>
      </c>
      <c r="E1360" s="54"/>
      <c r="F1360" s="83">
        <f>SUMIFS(F1361:F6462,K1361:K6462,"0",B1361:B6462,"5 1 1 1 3 12 31111 6 M59 80300 000132 0000R 00001 00113*")</f>
        <v>42581.04</v>
      </c>
      <c r="G1360" s="83">
        <f>SUMIFS(G1361:G6462,K1361:K6462,"0",B1361:B6462,"5 1 1 1 3 12 31111 6 M59 80300 000132 0000R 00001 00113*")</f>
        <v>0</v>
      </c>
      <c r="H1360" s="83">
        <f t="shared" si="21"/>
        <v>42581.04</v>
      </c>
      <c r="I1360" s="83"/>
      <c r="K1360" s="54" t="s">
        <v>15</v>
      </c>
    </row>
    <row r="1361" spans="2:11" ht="24.75" x14ac:dyDescent="0.2">
      <c r="B1361" s="82" t="s">
        <v>3552</v>
      </c>
      <c r="C1361" s="82" t="s">
        <v>1051</v>
      </c>
      <c r="D1361" s="83">
        <f>SUMIFS(D1362:D6462,K1362:K6462,"0",B1362:B6462,"5 1 1 1 3 12 31111 6 M59 80300 000132 0000R 00001 00113 015*")-SUMIFS(E1362:E6462,K1362:K6462,"0",B1362:B6462,"5 1 1 1 3 12 31111 6 M59 80300 000132 0000R 00001 00113 015*")</f>
        <v>0</v>
      </c>
      <c r="E1361" s="54"/>
      <c r="F1361" s="83">
        <f>SUMIFS(F1362:F6462,K1362:K6462,"0",B1362:B6462,"5 1 1 1 3 12 31111 6 M59 80300 000132 0000R 00001 00113 015*")</f>
        <v>42581.04</v>
      </c>
      <c r="G1361" s="83">
        <f>SUMIFS(G1362:G6462,K1362:K6462,"0",B1362:B6462,"5 1 1 1 3 12 31111 6 M59 80300 000132 0000R 00001 00113 015*")</f>
        <v>0</v>
      </c>
      <c r="H1361" s="83">
        <f t="shared" si="21"/>
        <v>42581.04</v>
      </c>
      <c r="I1361" s="83"/>
      <c r="K1361" s="54" t="s">
        <v>15</v>
      </c>
    </row>
    <row r="1362" spans="2:11" ht="33" x14ac:dyDescent="0.2">
      <c r="B1362" s="82" t="s">
        <v>3553</v>
      </c>
      <c r="C1362" s="82" t="s">
        <v>2927</v>
      </c>
      <c r="D1362" s="83">
        <f>SUMIFS(D1363:D6462,K1363:K6462,"0",B1363:B6462,"5 1 1 1 3 12 31111 6 M59 80300 000132 0000R 00001 00113 015 2111100*")-SUMIFS(E1363:E6462,K1363:K6462,"0",B1363:B6462,"5 1 1 1 3 12 31111 6 M59 80300 000132 0000R 00001 00113 015 2111100*")</f>
        <v>0</v>
      </c>
      <c r="E1362" s="54"/>
      <c r="F1362" s="83">
        <f>SUMIFS(F1363:F6462,K1363:K6462,"0",B1363:B6462,"5 1 1 1 3 12 31111 6 M59 80300 000132 0000R 00001 00113 015 2111100*")</f>
        <v>42581.04</v>
      </c>
      <c r="G1362" s="83">
        <f>SUMIFS(G1363:G6462,K1363:K6462,"0",B1363:B6462,"5 1 1 1 3 12 31111 6 M59 80300 000132 0000R 00001 00113 015 2111100*")</f>
        <v>0</v>
      </c>
      <c r="H1362" s="83">
        <f t="shared" si="21"/>
        <v>42581.04</v>
      </c>
      <c r="I1362" s="83"/>
      <c r="K1362" s="54" t="s">
        <v>15</v>
      </c>
    </row>
    <row r="1363" spans="2:11" ht="33" x14ac:dyDescent="0.2">
      <c r="B1363" s="82" t="s">
        <v>3554</v>
      </c>
      <c r="C1363" s="82" t="s">
        <v>660</v>
      </c>
      <c r="D1363" s="83">
        <f>SUMIFS(D1364:D6462,K1364:K6462,"0",B1364:B6462,"5 1 1 1 3 12 31111 6 M59 80300 000132 0000R 00001 00113 015 2111100 2024*")-SUMIFS(E1364:E6462,K1364:K6462,"0",B1364:B6462,"5 1 1 1 3 12 31111 6 M59 80300 000132 0000R 00001 00113 015 2111100 2024*")</f>
        <v>0</v>
      </c>
      <c r="E1363" s="54"/>
      <c r="F1363" s="83">
        <f>SUMIFS(F1364:F6462,K1364:K6462,"0",B1364:B6462,"5 1 1 1 3 12 31111 6 M59 80300 000132 0000R 00001 00113 015 2111100 2024*")</f>
        <v>42581.04</v>
      </c>
      <c r="G1363" s="83">
        <f>SUMIFS(G1364:G6462,K1364:K6462,"0",B1364:B6462,"5 1 1 1 3 12 31111 6 M59 80300 000132 0000R 00001 00113 015 2111100 2024*")</f>
        <v>0</v>
      </c>
      <c r="H1363" s="83">
        <f t="shared" si="21"/>
        <v>42581.04</v>
      </c>
      <c r="I1363" s="83"/>
      <c r="K1363" s="54" t="s">
        <v>15</v>
      </c>
    </row>
    <row r="1364" spans="2:11" ht="41.25" x14ac:dyDescent="0.2">
      <c r="B1364" s="82" t="s">
        <v>3555</v>
      </c>
      <c r="C1364" s="82" t="s">
        <v>1056</v>
      </c>
      <c r="D1364" s="83">
        <f>SUMIFS(D1365:D6462,K1365:K6462,"0",B1365:B6462,"5 1 1 1 3 12 31111 6 M59 80300 000132 0000R 00001 00113 015 2111100 2024 CP1GA414*")-SUMIFS(E1365:E6462,K1365:K6462,"0",B1365:B6462,"5 1 1 1 3 12 31111 6 M59 80300 000132 0000R 00001 00113 015 2111100 2024 CP1GA414*")</f>
        <v>0</v>
      </c>
      <c r="E1364" s="54"/>
      <c r="F1364" s="83">
        <f>SUMIFS(F1365:F6462,K1365:K6462,"0",B1365:B6462,"5 1 1 1 3 12 31111 6 M59 80300 000132 0000R 00001 00113 015 2111100 2024 CP1GA414*")</f>
        <v>42581.04</v>
      </c>
      <c r="G1364" s="83">
        <f>SUMIFS(G1365:G6462,K1365:K6462,"0",B1365:B6462,"5 1 1 1 3 12 31111 6 M59 80300 000132 0000R 00001 00113 015 2111100 2024 CP1GA414*")</f>
        <v>0</v>
      </c>
      <c r="H1364" s="83">
        <f t="shared" si="21"/>
        <v>42581.04</v>
      </c>
      <c r="I1364" s="83"/>
      <c r="K1364" s="54" t="s">
        <v>15</v>
      </c>
    </row>
    <row r="1365" spans="2:11" ht="41.25" x14ac:dyDescent="0.2">
      <c r="B1365" s="82" t="s">
        <v>3556</v>
      </c>
      <c r="C1365" s="82" t="s">
        <v>282</v>
      </c>
      <c r="D1365" s="83">
        <f>SUMIFS(D1366:D6462,K1366:K6462,"0",B1366:B6462,"5 1 1 1 3 12 31111 6 M59 80300 000132 0000R 00001 00113 015 2111100 2024 CP1GA414 001*")-SUMIFS(E1366:E6462,K1366:K6462,"0",B1366:B6462,"5 1 1 1 3 12 31111 6 M59 80300 000132 0000R 00001 00113 015 2111100 2024 CP1GA414 001*")</f>
        <v>0</v>
      </c>
      <c r="E1365" s="54"/>
      <c r="F1365" s="83">
        <f>SUMIFS(F1366:F6462,K1366:K6462,"0",B1366:B6462,"5 1 1 1 3 12 31111 6 M59 80300 000132 0000R 00001 00113 015 2111100 2024 CP1GA414 001*")</f>
        <v>42581.04</v>
      </c>
      <c r="G1365" s="83">
        <f>SUMIFS(G1366:G6462,K1366:K6462,"0",B1366:B6462,"5 1 1 1 3 12 31111 6 M59 80300 000132 0000R 00001 00113 015 2111100 2024 CP1GA414 001*")</f>
        <v>0</v>
      </c>
      <c r="H1365" s="83">
        <f t="shared" si="21"/>
        <v>42581.04</v>
      </c>
      <c r="I1365" s="83"/>
      <c r="K1365" s="54" t="s">
        <v>15</v>
      </c>
    </row>
    <row r="1366" spans="2:11" ht="41.25" x14ac:dyDescent="0.2">
      <c r="B1366" s="84" t="s">
        <v>3557</v>
      </c>
      <c r="C1366" s="84" t="s">
        <v>2932</v>
      </c>
      <c r="D1366" s="85">
        <v>0</v>
      </c>
      <c r="E1366" s="85"/>
      <c r="F1366" s="85">
        <v>42581.04</v>
      </c>
      <c r="G1366" s="85">
        <v>0</v>
      </c>
      <c r="H1366" s="85">
        <f t="shared" si="21"/>
        <v>42581.04</v>
      </c>
      <c r="I1366" s="85"/>
      <c r="K1366" s="54" t="s">
        <v>38</v>
      </c>
    </row>
    <row r="1367" spans="2:11" ht="16.5" x14ac:dyDescent="0.2">
      <c r="B1367" s="82" t="s">
        <v>3558</v>
      </c>
      <c r="C1367" s="82" t="s">
        <v>3559</v>
      </c>
      <c r="D1367" s="83">
        <f>SUMIFS(D1368:D6462,K1368:K6462,"0",B1368:B6462,"5 1 1 1 3 12 31111 6 M59 80400*")-SUMIFS(E1368:E6462,K1368:K6462,"0",B1368:B6462,"5 1 1 1 3 12 31111 6 M59 80400*")</f>
        <v>0</v>
      </c>
      <c r="E1367" s="54"/>
      <c r="F1367" s="83">
        <f>SUMIFS(F1368:F6462,K1368:K6462,"0",B1368:B6462,"5 1 1 1 3 12 31111 6 M59 80400*")</f>
        <v>100643.95</v>
      </c>
      <c r="G1367" s="83">
        <f>SUMIFS(G1368:G6462,K1368:K6462,"0",B1368:B6462,"5 1 1 1 3 12 31111 6 M59 80400*")</f>
        <v>0</v>
      </c>
      <c r="H1367" s="83">
        <f t="shared" si="21"/>
        <v>100643.95</v>
      </c>
      <c r="I1367" s="83"/>
      <c r="K1367" s="54" t="s">
        <v>15</v>
      </c>
    </row>
    <row r="1368" spans="2:11" ht="16.5" x14ac:dyDescent="0.2">
      <c r="B1368" s="82" t="s">
        <v>3560</v>
      </c>
      <c r="C1368" s="82" t="s">
        <v>648</v>
      </c>
      <c r="D1368" s="83">
        <f>SUMIFS(D1369:D6462,K1369:K6462,"0",B1369:B6462,"5 1 1 1 3 12 31111 6 M59 80400 000132*")-SUMIFS(E1369:E6462,K1369:K6462,"0",B1369:B6462,"5 1 1 1 3 12 31111 6 M59 80400 000132*")</f>
        <v>0</v>
      </c>
      <c r="E1368" s="54"/>
      <c r="F1368" s="83">
        <f>SUMIFS(F1369:F6462,K1369:K6462,"0",B1369:B6462,"5 1 1 1 3 12 31111 6 M59 80400 000132*")</f>
        <v>100643.95</v>
      </c>
      <c r="G1368" s="83">
        <f>SUMIFS(G1369:G6462,K1369:K6462,"0",B1369:B6462,"5 1 1 1 3 12 31111 6 M59 80400 000132*")</f>
        <v>0</v>
      </c>
      <c r="H1368" s="83">
        <f t="shared" si="21"/>
        <v>100643.95</v>
      </c>
      <c r="I1368" s="83"/>
      <c r="K1368" s="54" t="s">
        <v>15</v>
      </c>
    </row>
    <row r="1369" spans="2:11" ht="16.5" x14ac:dyDescent="0.2">
      <c r="B1369" s="82" t="s">
        <v>3561</v>
      </c>
      <c r="C1369" s="82" t="s">
        <v>650</v>
      </c>
      <c r="D1369" s="83">
        <f>SUMIFS(D1370:D6462,K1370:K6462,"0",B1370:B6462,"5 1 1 1 3 12 31111 6 M59 80400 000132 0000R*")-SUMIFS(E1370:E6462,K1370:K6462,"0",B1370:B6462,"5 1 1 1 3 12 31111 6 M59 80400 000132 0000R*")</f>
        <v>0</v>
      </c>
      <c r="E1369" s="54"/>
      <c r="F1369" s="83">
        <f>SUMIFS(F1370:F6462,K1370:K6462,"0",B1370:B6462,"5 1 1 1 3 12 31111 6 M59 80400 000132 0000R*")</f>
        <v>100643.95</v>
      </c>
      <c r="G1369" s="83">
        <f>SUMIFS(G1370:G6462,K1370:K6462,"0",B1370:B6462,"5 1 1 1 3 12 31111 6 M59 80400 000132 0000R*")</f>
        <v>0</v>
      </c>
      <c r="H1369" s="83">
        <f t="shared" si="21"/>
        <v>100643.95</v>
      </c>
      <c r="I1369" s="83"/>
      <c r="K1369" s="54" t="s">
        <v>15</v>
      </c>
    </row>
    <row r="1370" spans="2:11" ht="24.75" x14ac:dyDescent="0.2">
      <c r="B1370" s="82" t="s">
        <v>3562</v>
      </c>
      <c r="C1370" s="82" t="s">
        <v>282</v>
      </c>
      <c r="D1370" s="83">
        <f>SUMIFS(D1371:D6462,K1371:K6462,"0",B1371:B6462,"5 1 1 1 3 12 31111 6 M59 80400 000132 0000R 00001*")-SUMIFS(E1371:E6462,K1371:K6462,"0",B1371:B6462,"5 1 1 1 3 12 31111 6 M59 80400 000132 0000R 00001*")</f>
        <v>0</v>
      </c>
      <c r="E1370" s="54"/>
      <c r="F1370" s="83">
        <f>SUMIFS(F1371:F6462,K1371:K6462,"0",B1371:B6462,"5 1 1 1 3 12 31111 6 M59 80400 000132 0000R 00001*")</f>
        <v>100643.95</v>
      </c>
      <c r="G1370" s="83">
        <f>SUMIFS(G1371:G6462,K1371:K6462,"0",B1371:B6462,"5 1 1 1 3 12 31111 6 M59 80400 000132 0000R 00001*")</f>
        <v>0</v>
      </c>
      <c r="H1370" s="83">
        <f t="shared" si="21"/>
        <v>100643.95</v>
      </c>
      <c r="I1370" s="83"/>
      <c r="K1370" s="54" t="s">
        <v>15</v>
      </c>
    </row>
    <row r="1371" spans="2:11" ht="24.75" x14ac:dyDescent="0.2">
      <c r="B1371" s="82" t="s">
        <v>3563</v>
      </c>
      <c r="C1371" s="82" t="s">
        <v>2924</v>
      </c>
      <c r="D1371" s="83">
        <f>SUMIFS(D1372:D6462,K1372:K6462,"0",B1372:B6462,"5 1 1 1 3 12 31111 6 M59 80400 000132 0000R 00001 00113*")-SUMIFS(E1372:E6462,K1372:K6462,"0",B1372:B6462,"5 1 1 1 3 12 31111 6 M59 80400 000132 0000R 00001 00113*")</f>
        <v>0</v>
      </c>
      <c r="E1371" s="54"/>
      <c r="F1371" s="83">
        <f>SUMIFS(F1372:F6462,K1372:K6462,"0",B1372:B6462,"5 1 1 1 3 12 31111 6 M59 80400 000132 0000R 00001 00113*")</f>
        <v>100643.95</v>
      </c>
      <c r="G1371" s="83">
        <f>SUMIFS(G1372:G6462,K1372:K6462,"0",B1372:B6462,"5 1 1 1 3 12 31111 6 M59 80400 000132 0000R 00001 00113*")</f>
        <v>0</v>
      </c>
      <c r="H1371" s="83">
        <f t="shared" si="21"/>
        <v>100643.95</v>
      </c>
      <c r="I1371" s="83"/>
      <c r="K1371" s="54" t="s">
        <v>15</v>
      </c>
    </row>
    <row r="1372" spans="2:11" ht="24.75" x14ac:dyDescent="0.2">
      <c r="B1372" s="82" t="s">
        <v>3564</v>
      </c>
      <c r="C1372" s="82" t="s">
        <v>1051</v>
      </c>
      <c r="D1372" s="83">
        <f>SUMIFS(D1373:D6462,K1373:K6462,"0",B1373:B6462,"5 1 1 1 3 12 31111 6 M59 80400 000132 0000R 00001 00113 015*")-SUMIFS(E1373:E6462,K1373:K6462,"0",B1373:B6462,"5 1 1 1 3 12 31111 6 M59 80400 000132 0000R 00001 00113 015*")</f>
        <v>0</v>
      </c>
      <c r="E1372" s="54"/>
      <c r="F1372" s="83">
        <f>SUMIFS(F1373:F6462,K1373:K6462,"0",B1373:B6462,"5 1 1 1 3 12 31111 6 M59 80400 000132 0000R 00001 00113 015*")</f>
        <v>100643.95</v>
      </c>
      <c r="G1372" s="83">
        <f>SUMIFS(G1373:G6462,K1373:K6462,"0",B1373:B6462,"5 1 1 1 3 12 31111 6 M59 80400 000132 0000R 00001 00113 015*")</f>
        <v>0</v>
      </c>
      <c r="H1372" s="83">
        <f t="shared" si="21"/>
        <v>100643.95</v>
      </c>
      <c r="I1372" s="83"/>
      <c r="K1372" s="54" t="s">
        <v>15</v>
      </c>
    </row>
    <row r="1373" spans="2:11" ht="33" x14ac:dyDescent="0.2">
      <c r="B1373" s="82" t="s">
        <v>3565</v>
      </c>
      <c r="C1373" s="82" t="s">
        <v>2927</v>
      </c>
      <c r="D1373" s="83">
        <f>SUMIFS(D1374:D6462,K1374:K6462,"0",B1374:B6462,"5 1 1 1 3 12 31111 6 M59 80400 000132 0000R 00001 00113 015 2111100*")-SUMIFS(E1374:E6462,K1374:K6462,"0",B1374:B6462,"5 1 1 1 3 12 31111 6 M59 80400 000132 0000R 00001 00113 015 2111100*")</f>
        <v>0</v>
      </c>
      <c r="E1373" s="54"/>
      <c r="F1373" s="83">
        <f>SUMIFS(F1374:F6462,K1374:K6462,"0",B1374:B6462,"5 1 1 1 3 12 31111 6 M59 80400 000132 0000R 00001 00113 015 2111100*")</f>
        <v>100643.95</v>
      </c>
      <c r="G1373" s="83">
        <f>SUMIFS(G1374:G6462,K1374:K6462,"0",B1374:B6462,"5 1 1 1 3 12 31111 6 M59 80400 000132 0000R 00001 00113 015 2111100*")</f>
        <v>0</v>
      </c>
      <c r="H1373" s="83">
        <f t="shared" si="21"/>
        <v>100643.95</v>
      </c>
      <c r="I1373" s="83"/>
      <c r="K1373" s="54" t="s">
        <v>15</v>
      </c>
    </row>
    <row r="1374" spans="2:11" ht="33" x14ac:dyDescent="0.2">
      <c r="B1374" s="82" t="s">
        <v>3566</v>
      </c>
      <c r="C1374" s="82" t="s">
        <v>660</v>
      </c>
      <c r="D1374" s="83">
        <f>SUMIFS(D1375:D6462,K1375:K6462,"0",B1375:B6462,"5 1 1 1 3 12 31111 6 M59 80400 000132 0000R 00001 00113 015 2111100 2024*")-SUMIFS(E1375:E6462,K1375:K6462,"0",B1375:B6462,"5 1 1 1 3 12 31111 6 M59 80400 000132 0000R 00001 00113 015 2111100 2024*")</f>
        <v>0</v>
      </c>
      <c r="E1374" s="54"/>
      <c r="F1374" s="83">
        <f>SUMIFS(F1375:F6462,K1375:K6462,"0",B1375:B6462,"5 1 1 1 3 12 31111 6 M59 80400 000132 0000R 00001 00113 015 2111100 2024*")</f>
        <v>100643.95</v>
      </c>
      <c r="G1374" s="83">
        <f>SUMIFS(G1375:G6462,K1375:K6462,"0",B1375:B6462,"5 1 1 1 3 12 31111 6 M59 80400 000132 0000R 00001 00113 015 2111100 2024*")</f>
        <v>0</v>
      </c>
      <c r="H1374" s="83">
        <f t="shared" si="21"/>
        <v>100643.95</v>
      </c>
      <c r="I1374" s="83"/>
      <c r="K1374" s="54" t="s">
        <v>15</v>
      </c>
    </row>
    <row r="1375" spans="2:11" ht="41.25" x14ac:dyDescent="0.2">
      <c r="B1375" s="82" t="s">
        <v>3567</v>
      </c>
      <c r="C1375" s="82" t="s">
        <v>1056</v>
      </c>
      <c r="D1375" s="83">
        <f>SUMIFS(D1376:D6462,K1376:K6462,"0",B1376:B6462,"5 1 1 1 3 12 31111 6 M59 80400 000132 0000R 00001 00113 015 2111100 2024 CP1DP403*")-SUMIFS(E1376:E6462,K1376:K6462,"0",B1376:B6462,"5 1 1 1 3 12 31111 6 M59 80400 000132 0000R 00001 00113 015 2111100 2024 CP1DP403*")</f>
        <v>0</v>
      </c>
      <c r="E1375" s="54"/>
      <c r="F1375" s="83">
        <f>SUMIFS(F1376:F6462,K1376:K6462,"0",B1376:B6462,"5 1 1 1 3 12 31111 6 M59 80400 000132 0000R 00001 00113 015 2111100 2024 CP1DP403*")</f>
        <v>100643.95</v>
      </c>
      <c r="G1375" s="83">
        <f>SUMIFS(G1376:G6462,K1376:K6462,"0",B1376:B6462,"5 1 1 1 3 12 31111 6 M59 80400 000132 0000R 00001 00113 015 2111100 2024 CP1DP403*")</f>
        <v>0</v>
      </c>
      <c r="H1375" s="83">
        <f t="shared" si="21"/>
        <v>100643.95</v>
      </c>
      <c r="I1375" s="83"/>
      <c r="K1375" s="54" t="s">
        <v>15</v>
      </c>
    </row>
    <row r="1376" spans="2:11" ht="41.25" x14ac:dyDescent="0.2">
      <c r="B1376" s="82" t="s">
        <v>3568</v>
      </c>
      <c r="C1376" s="82" t="s">
        <v>282</v>
      </c>
      <c r="D1376" s="83">
        <f>SUMIFS(D1377:D6462,K1377:K6462,"0",B1377:B6462,"5 1 1 1 3 12 31111 6 M59 80400 000132 0000R 00001 00113 015 2111100 2024 CP1DP403 001*")-SUMIFS(E1377:E6462,K1377:K6462,"0",B1377:B6462,"5 1 1 1 3 12 31111 6 M59 80400 000132 0000R 00001 00113 015 2111100 2024 CP1DP403 001*")</f>
        <v>0</v>
      </c>
      <c r="E1376" s="54"/>
      <c r="F1376" s="83">
        <f>SUMIFS(F1377:F6462,K1377:K6462,"0",B1377:B6462,"5 1 1 1 3 12 31111 6 M59 80400 000132 0000R 00001 00113 015 2111100 2024 CP1DP403 001*")</f>
        <v>100643.95</v>
      </c>
      <c r="G1376" s="83">
        <f>SUMIFS(G1377:G6462,K1377:K6462,"0",B1377:B6462,"5 1 1 1 3 12 31111 6 M59 80400 000132 0000R 00001 00113 015 2111100 2024 CP1DP403 001*")</f>
        <v>0</v>
      </c>
      <c r="H1376" s="83">
        <f t="shared" si="21"/>
        <v>100643.95</v>
      </c>
      <c r="I1376" s="83"/>
      <c r="K1376" s="54" t="s">
        <v>15</v>
      </c>
    </row>
    <row r="1377" spans="2:11" ht="41.25" x14ac:dyDescent="0.2">
      <c r="B1377" s="84" t="s">
        <v>3569</v>
      </c>
      <c r="C1377" s="84" t="s">
        <v>2932</v>
      </c>
      <c r="D1377" s="85">
        <v>0</v>
      </c>
      <c r="E1377" s="85"/>
      <c r="F1377" s="85">
        <v>100643.95</v>
      </c>
      <c r="G1377" s="85">
        <v>0</v>
      </c>
      <c r="H1377" s="85">
        <f t="shared" si="21"/>
        <v>100643.95</v>
      </c>
      <c r="I1377" s="85"/>
      <c r="K1377" s="54" t="s">
        <v>38</v>
      </c>
    </row>
    <row r="1378" spans="2:11" ht="24.75" x14ac:dyDescent="0.2">
      <c r="B1378" s="82" t="s">
        <v>3570</v>
      </c>
      <c r="C1378" s="82" t="s">
        <v>3571</v>
      </c>
      <c r="D1378" s="83">
        <f>SUMIFS(D1379:D6462,K1379:K6462,"0",B1379:B6462,"5 1 1 1 3 12 31111 6 M59 80500*")-SUMIFS(E1379:E6462,K1379:K6462,"0",B1379:B6462,"5 1 1 1 3 12 31111 6 M59 80500*")</f>
        <v>0</v>
      </c>
      <c r="E1378" s="54"/>
      <c r="F1378" s="83">
        <f>SUMIFS(F1379:F6462,K1379:K6462,"0",B1379:B6462,"5 1 1 1 3 12 31111 6 M59 80500*")</f>
        <v>122620.56</v>
      </c>
      <c r="G1378" s="83">
        <f>SUMIFS(G1379:G6462,K1379:K6462,"0",B1379:B6462,"5 1 1 1 3 12 31111 6 M59 80500*")</f>
        <v>0</v>
      </c>
      <c r="H1378" s="83">
        <f t="shared" si="21"/>
        <v>122620.56</v>
      </c>
      <c r="I1378" s="83"/>
      <c r="K1378" s="54" t="s">
        <v>15</v>
      </c>
    </row>
    <row r="1379" spans="2:11" ht="16.5" x14ac:dyDescent="0.2">
      <c r="B1379" s="82" t="s">
        <v>3572</v>
      </c>
      <c r="C1379" s="82" t="s">
        <v>3573</v>
      </c>
      <c r="D1379" s="83">
        <f>SUMIFS(D1380:D6462,K1380:K6462,"0",B1380:B6462,"5 1 1 1 3 12 31111 6 M59 80500 000216*")-SUMIFS(E1380:E6462,K1380:K6462,"0",B1380:B6462,"5 1 1 1 3 12 31111 6 M59 80500 000216*")</f>
        <v>0</v>
      </c>
      <c r="E1379" s="54"/>
      <c r="F1379" s="83">
        <f>SUMIFS(F1380:F6462,K1380:K6462,"0",B1380:B6462,"5 1 1 1 3 12 31111 6 M59 80500 000216*")</f>
        <v>122620.56</v>
      </c>
      <c r="G1379" s="83">
        <f>SUMIFS(G1380:G6462,K1380:K6462,"0",B1380:B6462,"5 1 1 1 3 12 31111 6 M59 80500 000216*")</f>
        <v>0</v>
      </c>
      <c r="H1379" s="83">
        <f t="shared" si="21"/>
        <v>122620.56</v>
      </c>
      <c r="I1379" s="83"/>
      <c r="K1379" s="54" t="s">
        <v>15</v>
      </c>
    </row>
    <row r="1380" spans="2:11" ht="16.5" x14ac:dyDescent="0.2">
      <c r="B1380" s="82" t="s">
        <v>3574</v>
      </c>
      <c r="C1380" s="82" t="s">
        <v>650</v>
      </c>
      <c r="D1380" s="83">
        <f>SUMIFS(D1381:D6462,K1381:K6462,"0",B1381:B6462,"5 1 1 1 3 12 31111 6 M59 80500 000216 0000R*")-SUMIFS(E1381:E6462,K1381:K6462,"0",B1381:B6462,"5 1 1 1 3 12 31111 6 M59 80500 000216 0000R*")</f>
        <v>0</v>
      </c>
      <c r="E1380" s="54"/>
      <c r="F1380" s="83">
        <f>SUMIFS(F1381:F6462,K1381:K6462,"0",B1381:B6462,"5 1 1 1 3 12 31111 6 M59 80500 000216 0000R*")</f>
        <v>122620.56</v>
      </c>
      <c r="G1380" s="83">
        <f>SUMIFS(G1381:G6462,K1381:K6462,"0",B1381:B6462,"5 1 1 1 3 12 31111 6 M59 80500 000216 0000R*")</f>
        <v>0</v>
      </c>
      <c r="H1380" s="83">
        <f t="shared" si="21"/>
        <v>122620.56</v>
      </c>
      <c r="I1380" s="83"/>
      <c r="K1380" s="54" t="s">
        <v>15</v>
      </c>
    </row>
    <row r="1381" spans="2:11" ht="24.75" x14ac:dyDescent="0.2">
      <c r="B1381" s="82" t="s">
        <v>3575</v>
      </c>
      <c r="C1381" s="82" t="s">
        <v>282</v>
      </c>
      <c r="D1381" s="83">
        <f>SUMIFS(D1382:D6462,K1382:K6462,"0",B1382:B6462,"5 1 1 1 3 12 31111 6 M59 80500 000216 0000R 00001*")-SUMIFS(E1382:E6462,K1382:K6462,"0",B1382:B6462,"5 1 1 1 3 12 31111 6 M59 80500 000216 0000R 00001*")</f>
        <v>0</v>
      </c>
      <c r="E1381" s="54"/>
      <c r="F1381" s="83">
        <f>SUMIFS(F1382:F6462,K1382:K6462,"0",B1382:B6462,"5 1 1 1 3 12 31111 6 M59 80500 000216 0000R 00001*")</f>
        <v>122620.56</v>
      </c>
      <c r="G1381" s="83">
        <f>SUMIFS(G1382:G6462,K1382:K6462,"0",B1382:B6462,"5 1 1 1 3 12 31111 6 M59 80500 000216 0000R 00001*")</f>
        <v>0</v>
      </c>
      <c r="H1381" s="83">
        <f t="shared" si="21"/>
        <v>122620.56</v>
      </c>
      <c r="I1381" s="83"/>
      <c r="K1381" s="54" t="s">
        <v>15</v>
      </c>
    </row>
    <row r="1382" spans="2:11" ht="24.75" x14ac:dyDescent="0.2">
      <c r="B1382" s="82" t="s">
        <v>3576</v>
      </c>
      <c r="C1382" s="82" t="s">
        <v>2924</v>
      </c>
      <c r="D1382" s="83">
        <f>SUMIFS(D1383:D6462,K1383:K6462,"0",B1383:B6462,"5 1 1 1 3 12 31111 6 M59 80500 000216 0000R 00001 00113*")-SUMIFS(E1383:E6462,K1383:K6462,"0",B1383:B6462,"5 1 1 1 3 12 31111 6 M59 80500 000216 0000R 00001 00113*")</f>
        <v>0</v>
      </c>
      <c r="E1382" s="54"/>
      <c r="F1382" s="83">
        <f>SUMIFS(F1383:F6462,K1383:K6462,"0",B1383:B6462,"5 1 1 1 3 12 31111 6 M59 80500 000216 0000R 00001 00113*")</f>
        <v>122620.56</v>
      </c>
      <c r="G1382" s="83">
        <f>SUMIFS(G1383:G6462,K1383:K6462,"0",B1383:B6462,"5 1 1 1 3 12 31111 6 M59 80500 000216 0000R 00001 00113*")</f>
        <v>0</v>
      </c>
      <c r="H1382" s="83">
        <f t="shared" si="21"/>
        <v>122620.56</v>
      </c>
      <c r="I1382" s="83"/>
      <c r="K1382" s="54" t="s">
        <v>15</v>
      </c>
    </row>
    <row r="1383" spans="2:11" ht="24.75" x14ac:dyDescent="0.2">
      <c r="B1383" s="82" t="s">
        <v>3577</v>
      </c>
      <c r="C1383" s="82" t="s">
        <v>1051</v>
      </c>
      <c r="D1383" s="83">
        <f>SUMIFS(D1384:D6462,K1384:K6462,"0",B1384:B6462,"5 1 1 1 3 12 31111 6 M59 80500 000216 0000R 00001 00113 015*")-SUMIFS(E1384:E6462,K1384:K6462,"0",B1384:B6462,"5 1 1 1 3 12 31111 6 M59 80500 000216 0000R 00001 00113 015*")</f>
        <v>0</v>
      </c>
      <c r="E1383" s="54"/>
      <c r="F1383" s="83">
        <f>SUMIFS(F1384:F6462,K1384:K6462,"0",B1384:B6462,"5 1 1 1 3 12 31111 6 M59 80500 000216 0000R 00001 00113 015*")</f>
        <v>122620.56</v>
      </c>
      <c r="G1383" s="83">
        <f>SUMIFS(G1384:G6462,K1384:K6462,"0",B1384:B6462,"5 1 1 1 3 12 31111 6 M59 80500 000216 0000R 00001 00113 015*")</f>
        <v>0</v>
      </c>
      <c r="H1383" s="83">
        <f t="shared" si="21"/>
        <v>122620.56</v>
      </c>
      <c r="I1383" s="83"/>
      <c r="K1383" s="54" t="s">
        <v>15</v>
      </c>
    </row>
    <row r="1384" spans="2:11" ht="33" x14ac:dyDescent="0.2">
      <c r="B1384" s="82" t="s">
        <v>3578</v>
      </c>
      <c r="C1384" s="82" t="s">
        <v>2927</v>
      </c>
      <c r="D1384" s="83">
        <f>SUMIFS(D1385:D6462,K1385:K6462,"0",B1385:B6462,"5 1 1 1 3 12 31111 6 M59 80500 000216 0000R 00001 00113 015 2111100*")-SUMIFS(E1385:E6462,K1385:K6462,"0",B1385:B6462,"5 1 1 1 3 12 31111 6 M59 80500 000216 0000R 00001 00113 015 2111100*")</f>
        <v>0</v>
      </c>
      <c r="E1384" s="54"/>
      <c r="F1384" s="83">
        <f>SUMIFS(F1385:F6462,K1385:K6462,"0",B1385:B6462,"5 1 1 1 3 12 31111 6 M59 80500 000216 0000R 00001 00113 015 2111100*")</f>
        <v>122620.56</v>
      </c>
      <c r="G1384" s="83">
        <f>SUMIFS(G1385:G6462,K1385:K6462,"0",B1385:B6462,"5 1 1 1 3 12 31111 6 M59 80500 000216 0000R 00001 00113 015 2111100*")</f>
        <v>0</v>
      </c>
      <c r="H1384" s="83">
        <f t="shared" si="21"/>
        <v>122620.56</v>
      </c>
      <c r="I1384" s="83"/>
      <c r="K1384" s="54" t="s">
        <v>15</v>
      </c>
    </row>
    <row r="1385" spans="2:11" ht="33" x14ac:dyDescent="0.2">
      <c r="B1385" s="82" t="s">
        <v>3579</v>
      </c>
      <c r="C1385" s="82" t="s">
        <v>660</v>
      </c>
      <c r="D1385" s="83">
        <f>SUMIFS(D1386:D6462,K1386:K6462,"0",B1386:B6462,"5 1 1 1 3 12 31111 6 M59 80500 000216 0000R 00001 00113 015 2111100 2024*")-SUMIFS(E1386:E6462,K1386:K6462,"0",B1386:B6462,"5 1 1 1 3 12 31111 6 M59 80500 000216 0000R 00001 00113 015 2111100 2024*")</f>
        <v>0</v>
      </c>
      <c r="E1385" s="54"/>
      <c r="F1385" s="83">
        <f>SUMIFS(F1386:F6462,K1386:K6462,"0",B1386:B6462,"5 1 1 1 3 12 31111 6 M59 80500 000216 0000R 00001 00113 015 2111100 2024*")</f>
        <v>122620.56</v>
      </c>
      <c r="G1385" s="83">
        <f>SUMIFS(G1386:G6462,K1386:K6462,"0",B1386:B6462,"5 1 1 1 3 12 31111 6 M59 80500 000216 0000R 00001 00113 015 2111100 2024*")</f>
        <v>0</v>
      </c>
      <c r="H1385" s="83">
        <f t="shared" si="21"/>
        <v>122620.56</v>
      </c>
      <c r="I1385" s="83"/>
      <c r="K1385" s="54" t="s">
        <v>15</v>
      </c>
    </row>
    <row r="1386" spans="2:11" ht="41.25" x14ac:dyDescent="0.2">
      <c r="B1386" s="82" t="s">
        <v>3580</v>
      </c>
      <c r="C1386" s="82" t="s">
        <v>1056</v>
      </c>
      <c r="D1386" s="83">
        <f>SUMIFS(D1387:D6462,K1387:K6462,"0",B1387:B6462,"5 1 1 1 3 12 31111 6 M59 80500 000216 0000R 00001 00113 015 2111100 2024 CP1MA417*")-SUMIFS(E1387:E6462,K1387:K6462,"0",B1387:B6462,"5 1 1 1 3 12 31111 6 M59 80500 000216 0000R 00001 00113 015 2111100 2024 CP1MA417*")</f>
        <v>0</v>
      </c>
      <c r="E1386" s="54"/>
      <c r="F1386" s="83">
        <f>SUMIFS(F1387:F6462,K1387:K6462,"0",B1387:B6462,"5 1 1 1 3 12 31111 6 M59 80500 000216 0000R 00001 00113 015 2111100 2024 CP1MA417*")</f>
        <v>122620.56</v>
      </c>
      <c r="G1386" s="83">
        <f>SUMIFS(G1387:G6462,K1387:K6462,"0",B1387:B6462,"5 1 1 1 3 12 31111 6 M59 80500 000216 0000R 00001 00113 015 2111100 2024 CP1MA417*")</f>
        <v>0</v>
      </c>
      <c r="H1386" s="83">
        <f t="shared" si="21"/>
        <v>122620.56</v>
      </c>
      <c r="I1386" s="83"/>
      <c r="K1386" s="54" t="s">
        <v>15</v>
      </c>
    </row>
    <row r="1387" spans="2:11" ht="41.25" x14ac:dyDescent="0.2">
      <c r="B1387" s="82" t="s">
        <v>3581</v>
      </c>
      <c r="C1387" s="82" t="s">
        <v>282</v>
      </c>
      <c r="D1387" s="83">
        <f>SUMIFS(D1388:D6462,K1388:K6462,"0",B1388:B6462,"5 1 1 1 3 12 31111 6 M59 80500 000216 0000R 00001 00113 015 2111100 2024 CP1MA417 001*")-SUMIFS(E1388:E6462,K1388:K6462,"0",B1388:B6462,"5 1 1 1 3 12 31111 6 M59 80500 000216 0000R 00001 00113 015 2111100 2024 CP1MA417 001*")</f>
        <v>0</v>
      </c>
      <c r="E1387" s="54"/>
      <c r="F1387" s="83">
        <f>SUMIFS(F1388:F6462,K1388:K6462,"0",B1388:B6462,"5 1 1 1 3 12 31111 6 M59 80500 000216 0000R 00001 00113 015 2111100 2024 CP1MA417 001*")</f>
        <v>122620.56</v>
      </c>
      <c r="G1387" s="83">
        <f>SUMIFS(G1388:G6462,K1388:K6462,"0",B1388:B6462,"5 1 1 1 3 12 31111 6 M59 80500 000216 0000R 00001 00113 015 2111100 2024 CP1MA417 001*")</f>
        <v>0</v>
      </c>
      <c r="H1387" s="83">
        <f t="shared" ref="H1387:H1450" si="22">D1387 + F1387 - G1387</f>
        <v>122620.56</v>
      </c>
      <c r="I1387" s="83"/>
      <c r="K1387" s="54" t="s">
        <v>15</v>
      </c>
    </row>
    <row r="1388" spans="2:11" ht="33" x14ac:dyDescent="0.2">
      <c r="B1388" s="84" t="s">
        <v>3582</v>
      </c>
      <c r="C1388" s="84" t="s">
        <v>2932</v>
      </c>
      <c r="D1388" s="85">
        <v>0</v>
      </c>
      <c r="E1388" s="85"/>
      <c r="F1388" s="85">
        <v>122620.56</v>
      </c>
      <c r="G1388" s="85">
        <v>0</v>
      </c>
      <c r="H1388" s="85">
        <f t="shared" si="22"/>
        <v>122620.56</v>
      </c>
      <c r="I1388" s="85"/>
      <c r="K1388" s="54" t="s">
        <v>38</v>
      </c>
    </row>
    <row r="1389" spans="2:11" ht="16.5" x14ac:dyDescent="0.2">
      <c r="B1389" s="82" t="s">
        <v>3583</v>
      </c>
      <c r="C1389" s="82" t="s">
        <v>3584</v>
      </c>
      <c r="D1389" s="83">
        <f>SUMIFS(D1390:D6462,K1390:K6462,"0",B1390:B6462,"5 1 1 1 3 12 31111 6 M59 80700*")-SUMIFS(E1390:E6462,K1390:K6462,"0",B1390:B6462,"5 1 1 1 3 12 31111 6 M59 80700*")</f>
        <v>0</v>
      </c>
      <c r="E1389" s="54"/>
      <c r="F1389" s="83">
        <f>SUMIFS(F1390:F6462,K1390:K6462,"0",B1390:B6462,"5 1 1 1 3 12 31111 6 M59 80700*")</f>
        <v>42289.8</v>
      </c>
      <c r="G1389" s="83">
        <f>SUMIFS(G1390:G6462,K1390:K6462,"0",B1390:B6462,"5 1 1 1 3 12 31111 6 M59 80700*")</f>
        <v>0</v>
      </c>
      <c r="H1389" s="83">
        <f t="shared" si="22"/>
        <v>42289.8</v>
      </c>
      <c r="I1389" s="83"/>
      <c r="K1389" s="54" t="s">
        <v>15</v>
      </c>
    </row>
    <row r="1390" spans="2:11" ht="16.5" x14ac:dyDescent="0.2">
      <c r="B1390" s="82" t="s">
        <v>3585</v>
      </c>
      <c r="C1390" s="82" t="s">
        <v>648</v>
      </c>
      <c r="D1390" s="83">
        <f>SUMIFS(D1391:D6462,K1391:K6462,"0",B1391:B6462,"5 1 1 1 3 12 31111 6 M59 80700 000132*")-SUMIFS(E1391:E6462,K1391:K6462,"0",B1391:B6462,"5 1 1 1 3 12 31111 6 M59 80700 000132*")</f>
        <v>0</v>
      </c>
      <c r="E1390" s="54"/>
      <c r="F1390" s="83">
        <f>SUMIFS(F1391:F6462,K1391:K6462,"0",B1391:B6462,"5 1 1 1 3 12 31111 6 M59 80700 000132*")</f>
        <v>42289.8</v>
      </c>
      <c r="G1390" s="83">
        <f>SUMIFS(G1391:G6462,K1391:K6462,"0",B1391:B6462,"5 1 1 1 3 12 31111 6 M59 80700 000132*")</f>
        <v>0</v>
      </c>
      <c r="H1390" s="83">
        <f t="shared" si="22"/>
        <v>42289.8</v>
      </c>
      <c r="I1390" s="83"/>
      <c r="K1390" s="54" t="s">
        <v>15</v>
      </c>
    </row>
    <row r="1391" spans="2:11" ht="16.5" x14ac:dyDescent="0.2">
      <c r="B1391" s="82" t="s">
        <v>3586</v>
      </c>
      <c r="C1391" s="82" t="s">
        <v>650</v>
      </c>
      <c r="D1391" s="83">
        <f>SUMIFS(D1392:D6462,K1392:K6462,"0",B1392:B6462,"5 1 1 1 3 12 31111 6 M59 80700 000132 0000R*")-SUMIFS(E1392:E6462,K1392:K6462,"0",B1392:B6462,"5 1 1 1 3 12 31111 6 M59 80700 000132 0000R*")</f>
        <v>0</v>
      </c>
      <c r="E1391" s="54"/>
      <c r="F1391" s="83">
        <f>SUMIFS(F1392:F6462,K1392:K6462,"0",B1392:B6462,"5 1 1 1 3 12 31111 6 M59 80700 000132 0000R*")</f>
        <v>42289.8</v>
      </c>
      <c r="G1391" s="83">
        <f>SUMIFS(G1392:G6462,K1392:K6462,"0",B1392:B6462,"5 1 1 1 3 12 31111 6 M59 80700 000132 0000R*")</f>
        <v>0</v>
      </c>
      <c r="H1391" s="83">
        <f t="shared" si="22"/>
        <v>42289.8</v>
      </c>
      <c r="I1391" s="83"/>
      <c r="K1391" s="54" t="s">
        <v>15</v>
      </c>
    </row>
    <row r="1392" spans="2:11" ht="24.75" x14ac:dyDescent="0.2">
      <c r="B1392" s="82" t="s">
        <v>3587</v>
      </c>
      <c r="C1392" s="82" t="s">
        <v>282</v>
      </c>
      <c r="D1392" s="83">
        <f>SUMIFS(D1393:D6462,K1393:K6462,"0",B1393:B6462,"5 1 1 1 3 12 31111 6 M59 80700 000132 0000R 00001*")-SUMIFS(E1393:E6462,K1393:K6462,"0",B1393:B6462,"5 1 1 1 3 12 31111 6 M59 80700 000132 0000R 00001*")</f>
        <v>0</v>
      </c>
      <c r="E1392" s="54"/>
      <c r="F1392" s="83">
        <f>SUMIFS(F1393:F6462,K1393:K6462,"0",B1393:B6462,"5 1 1 1 3 12 31111 6 M59 80700 000132 0000R 00001*")</f>
        <v>42289.8</v>
      </c>
      <c r="G1392" s="83">
        <f>SUMIFS(G1393:G6462,K1393:K6462,"0",B1393:B6462,"5 1 1 1 3 12 31111 6 M59 80700 000132 0000R 00001*")</f>
        <v>0</v>
      </c>
      <c r="H1392" s="83">
        <f t="shared" si="22"/>
        <v>42289.8</v>
      </c>
      <c r="I1392" s="83"/>
      <c r="K1392" s="54" t="s">
        <v>15</v>
      </c>
    </row>
    <row r="1393" spans="2:11" ht="24.75" x14ac:dyDescent="0.2">
      <c r="B1393" s="82" t="s">
        <v>3588</v>
      </c>
      <c r="C1393" s="82" t="s">
        <v>2924</v>
      </c>
      <c r="D1393" s="83">
        <f>SUMIFS(D1394:D6462,K1394:K6462,"0",B1394:B6462,"5 1 1 1 3 12 31111 6 M59 80700 000132 0000R 00001 00113*")-SUMIFS(E1394:E6462,K1394:K6462,"0",B1394:B6462,"5 1 1 1 3 12 31111 6 M59 80700 000132 0000R 00001 00113*")</f>
        <v>0</v>
      </c>
      <c r="E1393" s="54"/>
      <c r="F1393" s="83">
        <f>SUMIFS(F1394:F6462,K1394:K6462,"0",B1394:B6462,"5 1 1 1 3 12 31111 6 M59 80700 000132 0000R 00001 00113*")</f>
        <v>42289.8</v>
      </c>
      <c r="G1393" s="83">
        <f>SUMIFS(G1394:G6462,K1394:K6462,"0",B1394:B6462,"5 1 1 1 3 12 31111 6 M59 80700 000132 0000R 00001 00113*")</f>
        <v>0</v>
      </c>
      <c r="H1393" s="83">
        <f t="shared" si="22"/>
        <v>42289.8</v>
      </c>
      <c r="I1393" s="83"/>
      <c r="K1393" s="54" t="s">
        <v>15</v>
      </c>
    </row>
    <row r="1394" spans="2:11" ht="24.75" x14ac:dyDescent="0.2">
      <c r="B1394" s="82" t="s">
        <v>3589</v>
      </c>
      <c r="C1394" s="82" t="s">
        <v>1051</v>
      </c>
      <c r="D1394" s="83">
        <f>SUMIFS(D1395:D6462,K1395:K6462,"0",B1395:B6462,"5 1 1 1 3 12 31111 6 M59 80700 000132 0000R 00001 00113 015*")-SUMIFS(E1395:E6462,K1395:K6462,"0",B1395:B6462,"5 1 1 1 3 12 31111 6 M59 80700 000132 0000R 00001 00113 015*")</f>
        <v>0</v>
      </c>
      <c r="E1394" s="54"/>
      <c r="F1394" s="83">
        <f>SUMIFS(F1395:F6462,K1395:K6462,"0",B1395:B6462,"5 1 1 1 3 12 31111 6 M59 80700 000132 0000R 00001 00113 015*")</f>
        <v>42289.8</v>
      </c>
      <c r="G1394" s="83">
        <f>SUMIFS(G1395:G6462,K1395:K6462,"0",B1395:B6462,"5 1 1 1 3 12 31111 6 M59 80700 000132 0000R 00001 00113 015*")</f>
        <v>0</v>
      </c>
      <c r="H1394" s="83">
        <f t="shared" si="22"/>
        <v>42289.8</v>
      </c>
      <c r="I1394" s="83"/>
      <c r="K1394" s="54" t="s">
        <v>15</v>
      </c>
    </row>
    <row r="1395" spans="2:11" ht="33" x14ac:dyDescent="0.2">
      <c r="B1395" s="82" t="s">
        <v>3590</v>
      </c>
      <c r="C1395" s="82" t="s">
        <v>2927</v>
      </c>
      <c r="D1395" s="83">
        <f>SUMIFS(D1396:D6462,K1396:K6462,"0",B1396:B6462,"5 1 1 1 3 12 31111 6 M59 80700 000132 0000R 00001 00113 015 2111100*")-SUMIFS(E1396:E6462,K1396:K6462,"0",B1396:B6462,"5 1 1 1 3 12 31111 6 M59 80700 000132 0000R 00001 00113 015 2111100*")</f>
        <v>0</v>
      </c>
      <c r="E1395" s="54"/>
      <c r="F1395" s="83">
        <f>SUMIFS(F1396:F6462,K1396:K6462,"0",B1396:B6462,"5 1 1 1 3 12 31111 6 M59 80700 000132 0000R 00001 00113 015 2111100*")</f>
        <v>42289.8</v>
      </c>
      <c r="G1395" s="83">
        <f>SUMIFS(G1396:G6462,K1396:K6462,"0",B1396:B6462,"5 1 1 1 3 12 31111 6 M59 80700 000132 0000R 00001 00113 015 2111100*")</f>
        <v>0</v>
      </c>
      <c r="H1395" s="83">
        <f t="shared" si="22"/>
        <v>42289.8</v>
      </c>
      <c r="I1395" s="83"/>
      <c r="K1395" s="54" t="s">
        <v>15</v>
      </c>
    </row>
    <row r="1396" spans="2:11" ht="33" x14ac:dyDescent="0.2">
      <c r="B1396" s="82" t="s">
        <v>3591</v>
      </c>
      <c r="C1396" s="82" t="s">
        <v>660</v>
      </c>
      <c r="D1396" s="83">
        <f>SUMIFS(D1397:D6462,K1397:K6462,"0",B1397:B6462,"5 1 1 1 3 12 31111 6 M59 80700 000132 0000R 00001 00113 015 2111100 2024*")-SUMIFS(E1397:E6462,K1397:K6462,"0",B1397:B6462,"5 1 1 1 3 12 31111 6 M59 80700 000132 0000R 00001 00113 015 2111100 2024*")</f>
        <v>0</v>
      </c>
      <c r="E1396" s="54"/>
      <c r="F1396" s="83">
        <f>SUMIFS(F1397:F6462,K1397:K6462,"0",B1397:B6462,"5 1 1 1 3 12 31111 6 M59 80700 000132 0000R 00001 00113 015 2111100 2024*")</f>
        <v>42289.8</v>
      </c>
      <c r="G1396" s="83">
        <f>SUMIFS(G1397:G6462,K1397:K6462,"0",B1397:B6462,"5 1 1 1 3 12 31111 6 M59 80700 000132 0000R 00001 00113 015 2111100 2024*")</f>
        <v>0</v>
      </c>
      <c r="H1396" s="83">
        <f t="shared" si="22"/>
        <v>42289.8</v>
      </c>
      <c r="I1396" s="83"/>
      <c r="K1396" s="54" t="s">
        <v>15</v>
      </c>
    </row>
    <row r="1397" spans="2:11" ht="41.25" x14ac:dyDescent="0.2">
      <c r="B1397" s="82" t="s">
        <v>3592</v>
      </c>
      <c r="C1397" s="82" t="s">
        <v>1056</v>
      </c>
      <c r="D1397" s="83">
        <f>SUMIFS(D1398:D6462,K1398:K6462,"0",B1398:B6462,"5 1 1 1 3 12 31111 6 M59 80700 000132 0000R 00001 00113 015 2111100 2024 CP1ME407*")-SUMIFS(E1398:E6462,K1398:K6462,"0",B1398:B6462,"5 1 1 1 3 12 31111 6 M59 80700 000132 0000R 00001 00113 015 2111100 2024 CP1ME407*")</f>
        <v>0</v>
      </c>
      <c r="E1397" s="54"/>
      <c r="F1397" s="83">
        <f>SUMIFS(F1398:F6462,K1398:K6462,"0",B1398:B6462,"5 1 1 1 3 12 31111 6 M59 80700 000132 0000R 00001 00113 015 2111100 2024 CP1ME407*")</f>
        <v>42289.8</v>
      </c>
      <c r="G1397" s="83">
        <f>SUMIFS(G1398:G6462,K1398:K6462,"0",B1398:B6462,"5 1 1 1 3 12 31111 6 M59 80700 000132 0000R 00001 00113 015 2111100 2024 CP1ME407*")</f>
        <v>0</v>
      </c>
      <c r="H1397" s="83">
        <f t="shared" si="22"/>
        <v>42289.8</v>
      </c>
      <c r="I1397" s="83"/>
      <c r="K1397" s="54" t="s">
        <v>15</v>
      </c>
    </row>
    <row r="1398" spans="2:11" ht="41.25" x14ac:dyDescent="0.2">
      <c r="B1398" s="82" t="s">
        <v>3593</v>
      </c>
      <c r="C1398" s="82" t="s">
        <v>282</v>
      </c>
      <c r="D1398" s="83">
        <f>SUMIFS(D1399:D6462,K1399:K6462,"0",B1399:B6462,"5 1 1 1 3 12 31111 6 M59 80700 000132 0000R 00001 00113 015 2111100 2024 CP1ME407 001*")-SUMIFS(E1399:E6462,K1399:K6462,"0",B1399:B6462,"5 1 1 1 3 12 31111 6 M59 80700 000132 0000R 00001 00113 015 2111100 2024 CP1ME407 001*")</f>
        <v>0</v>
      </c>
      <c r="E1398" s="54"/>
      <c r="F1398" s="83">
        <f>SUMIFS(F1399:F6462,K1399:K6462,"0",B1399:B6462,"5 1 1 1 3 12 31111 6 M59 80700 000132 0000R 00001 00113 015 2111100 2024 CP1ME407 001*")</f>
        <v>42289.8</v>
      </c>
      <c r="G1398" s="83">
        <f>SUMIFS(G1399:G6462,K1399:K6462,"0",B1399:B6462,"5 1 1 1 3 12 31111 6 M59 80700 000132 0000R 00001 00113 015 2111100 2024 CP1ME407 001*")</f>
        <v>0</v>
      </c>
      <c r="H1398" s="83">
        <f t="shared" si="22"/>
        <v>42289.8</v>
      </c>
      <c r="I1398" s="83"/>
      <c r="K1398" s="54" t="s">
        <v>15</v>
      </c>
    </row>
    <row r="1399" spans="2:11" ht="33" x14ac:dyDescent="0.2">
      <c r="B1399" s="84" t="s">
        <v>3594</v>
      </c>
      <c r="C1399" s="84" t="s">
        <v>2932</v>
      </c>
      <c r="D1399" s="85">
        <v>0</v>
      </c>
      <c r="E1399" s="85"/>
      <c r="F1399" s="85">
        <v>42289.8</v>
      </c>
      <c r="G1399" s="85">
        <v>0</v>
      </c>
      <c r="H1399" s="85">
        <f t="shared" si="22"/>
        <v>42289.8</v>
      </c>
      <c r="I1399" s="85"/>
      <c r="K1399" s="54" t="s">
        <v>38</v>
      </c>
    </row>
    <row r="1400" spans="2:11" ht="16.5" x14ac:dyDescent="0.2">
      <c r="B1400" s="82" t="s">
        <v>3595</v>
      </c>
      <c r="C1400" s="82" t="s">
        <v>3596</v>
      </c>
      <c r="D1400" s="83">
        <f>SUMIFS(D1401:D6462,K1401:K6462,"0",B1401:B6462,"5 1 1 1 3 12 31111 6 M59 90000*")-SUMIFS(E1401:E6462,K1401:K6462,"0",B1401:B6462,"5 1 1 1 3 12 31111 6 M59 90000*")</f>
        <v>0</v>
      </c>
      <c r="E1400" s="54"/>
      <c r="F1400" s="83">
        <f>SUMIFS(F1401:F6462,K1401:K6462,"0",B1401:B6462,"5 1 1 1 3 12 31111 6 M59 90000*")</f>
        <v>810534.02</v>
      </c>
      <c r="G1400" s="83">
        <f>SUMIFS(G1401:G6462,K1401:K6462,"0",B1401:B6462,"5 1 1 1 3 12 31111 6 M59 90000*")</f>
        <v>0</v>
      </c>
      <c r="H1400" s="83">
        <f t="shared" si="22"/>
        <v>810534.02</v>
      </c>
      <c r="I1400" s="83"/>
      <c r="K1400" s="54" t="s">
        <v>15</v>
      </c>
    </row>
    <row r="1401" spans="2:11" ht="16.5" x14ac:dyDescent="0.2">
      <c r="B1401" s="82" t="s">
        <v>3597</v>
      </c>
      <c r="C1401" s="82" t="s">
        <v>648</v>
      </c>
      <c r="D1401" s="83">
        <f>SUMIFS(D1402:D6462,K1402:K6462,"0",B1402:B6462,"5 1 1 1 3 12 31111 6 M59 90000 000132*")-SUMIFS(E1402:E6462,K1402:K6462,"0",B1402:B6462,"5 1 1 1 3 12 31111 6 M59 90000 000132*")</f>
        <v>0</v>
      </c>
      <c r="E1401" s="54"/>
      <c r="F1401" s="83">
        <f>SUMIFS(F1402:F6462,K1402:K6462,"0",B1402:B6462,"5 1 1 1 3 12 31111 6 M59 90000 000132*")</f>
        <v>810534.02</v>
      </c>
      <c r="G1401" s="83">
        <f>SUMIFS(G1402:G6462,K1402:K6462,"0",B1402:B6462,"5 1 1 1 3 12 31111 6 M59 90000 000132*")</f>
        <v>0</v>
      </c>
      <c r="H1401" s="83">
        <f t="shared" si="22"/>
        <v>810534.02</v>
      </c>
      <c r="I1401" s="83"/>
      <c r="K1401" s="54" t="s">
        <v>15</v>
      </c>
    </row>
    <row r="1402" spans="2:11" ht="16.5" x14ac:dyDescent="0.2">
      <c r="B1402" s="82" t="s">
        <v>3598</v>
      </c>
      <c r="C1402" s="82" t="s">
        <v>650</v>
      </c>
      <c r="D1402" s="83">
        <f>SUMIFS(D1403:D6462,K1403:K6462,"0",B1403:B6462,"5 1 1 1 3 12 31111 6 M59 90000 000132 0000R*")-SUMIFS(E1403:E6462,K1403:K6462,"0",B1403:B6462,"5 1 1 1 3 12 31111 6 M59 90000 000132 0000R*")</f>
        <v>0</v>
      </c>
      <c r="E1402" s="54"/>
      <c r="F1402" s="83">
        <f>SUMIFS(F1403:F6462,K1403:K6462,"0",B1403:B6462,"5 1 1 1 3 12 31111 6 M59 90000 000132 0000R*")</f>
        <v>810534.02</v>
      </c>
      <c r="G1402" s="83">
        <f>SUMIFS(G1403:G6462,K1403:K6462,"0",B1403:B6462,"5 1 1 1 3 12 31111 6 M59 90000 000132 0000R*")</f>
        <v>0</v>
      </c>
      <c r="H1402" s="83">
        <f t="shared" si="22"/>
        <v>810534.02</v>
      </c>
      <c r="I1402" s="83"/>
      <c r="K1402" s="54" t="s">
        <v>15</v>
      </c>
    </row>
    <row r="1403" spans="2:11" ht="24.75" x14ac:dyDescent="0.2">
      <c r="B1403" s="82" t="s">
        <v>3599</v>
      </c>
      <c r="C1403" s="82" t="s">
        <v>282</v>
      </c>
      <c r="D1403" s="83">
        <f>SUMIFS(D1404:D6462,K1404:K6462,"0",B1404:B6462,"5 1 1 1 3 12 31111 6 M59 90000 000132 0000R 00001*")-SUMIFS(E1404:E6462,K1404:K6462,"0",B1404:B6462,"5 1 1 1 3 12 31111 6 M59 90000 000132 0000R 00001*")</f>
        <v>0</v>
      </c>
      <c r="E1403" s="54"/>
      <c r="F1403" s="83">
        <f>SUMIFS(F1404:F6462,K1404:K6462,"0",B1404:B6462,"5 1 1 1 3 12 31111 6 M59 90000 000132 0000R 00001*")</f>
        <v>810534.02</v>
      </c>
      <c r="G1403" s="83">
        <f>SUMIFS(G1404:G6462,K1404:K6462,"0",B1404:B6462,"5 1 1 1 3 12 31111 6 M59 90000 000132 0000R 00001*")</f>
        <v>0</v>
      </c>
      <c r="H1403" s="83">
        <f t="shared" si="22"/>
        <v>810534.02</v>
      </c>
      <c r="I1403" s="83"/>
      <c r="K1403" s="54" t="s">
        <v>15</v>
      </c>
    </row>
    <row r="1404" spans="2:11" ht="24.75" x14ac:dyDescent="0.2">
      <c r="B1404" s="82" t="s">
        <v>3600</v>
      </c>
      <c r="C1404" s="82" t="s">
        <v>2924</v>
      </c>
      <c r="D1404" s="83">
        <f>SUMIFS(D1405:D6462,K1405:K6462,"0",B1405:B6462,"5 1 1 1 3 12 31111 6 M59 90000 000132 0000R 00001 00113*")-SUMIFS(E1405:E6462,K1405:K6462,"0",B1405:B6462,"5 1 1 1 3 12 31111 6 M59 90000 000132 0000R 00001 00113*")</f>
        <v>0</v>
      </c>
      <c r="E1404" s="54"/>
      <c r="F1404" s="83">
        <f>SUMIFS(F1405:F6462,K1405:K6462,"0",B1405:B6462,"5 1 1 1 3 12 31111 6 M59 90000 000132 0000R 00001 00113*")</f>
        <v>810534.02</v>
      </c>
      <c r="G1404" s="83">
        <f>SUMIFS(G1405:G6462,K1405:K6462,"0",B1405:B6462,"5 1 1 1 3 12 31111 6 M59 90000 000132 0000R 00001 00113*")</f>
        <v>0</v>
      </c>
      <c r="H1404" s="83">
        <f t="shared" si="22"/>
        <v>810534.02</v>
      </c>
      <c r="I1404" s="83"/>
      <c r="K1404" s="54" t="s">
        <v>15</v>
      </c>
    </row>
    <row r="1405" spans="2:11" ht="24.75" x14ac:dyDescent="0.2">
      <c r="B1405" s="82" t="s">
        <v>3601</v>
      </c>
      <c r="C1405" s="82" t="s">
        <v>1051</v>
      </c>
      <c r="D1405" s="83">
        <f>SUMIFS(D1406:D6462,K1406:K6462,"0",B1406:B6462,"5 1 1 1 3 12 31111 6 M59 90000 000132 0000R 00001 00113 015*")-SUMIFS(E1406:E6462,K1406:K6462,"0",B1406:B6462,"5 1 1 1 3 12 31111 6 M59 90000 000132 0000R 00001 00113 015*")</f>
        <v>0</v>
      </c>
      <c r="E1405" s="54"/>
      <c r="F1405" s="83">
        <f>SUMIFS(F1406:F6462,K1406:K6462,"0",B1406:B6462,"5 1 1 1 3 12 31111 6 M59 90000 000132 0000R 00001 00113 015*")</f>
        <v>810534.02</v>
      </c>
      <c r="G1405" s="83">
        <f>SUMIFS(G1406:G6462,K1406:K6462,"0",B1406:B6462,"5 1 1 1 3 12 31111 6 M59 90000 000132 0000R 00001 00113 015*")</f>
        <v>0</v>
      </c>
      <c r="H1405" s="83">
        <f t="shared" si="22"/>
        <v>810534.02</v>
      </c>
      <c r="I1405" s="83"/>
      <c r="K1405" s="54" t="s">
        <v>15</v>
      </c>
    </row>
    <row r="1406" spans="2:11" ht="33" x14ac:dyDescent="0.2">
      <c r="B1406" s="82" t="s">
        <v>3602</v>
      </c>
      <c r="C1406" s="82" t="s">
        <v>2927</v>
      </c>
      <c r="D1406" s="83">
        <f>SUMIFS(D1407:D6462,K1407:K6462,"0",B1407:B6462,"5 1 1 1 3 12 31111 6 M59 90000 000132 0000R 00001 00113 015 2111100*")-SUMIFS(E1407:E6462,K1407:K6462,"0",B1407:B6462,"5 1 1 1 3 12 31111 6 M59 90000 000132 0000R 00001 00113 015 2111100*")</f>
        <v>0</v>
      </c>
      <c r="E1406" s="54"/>
      <c r="F1406" s="83">
        <f>SUMIFS(F1407:F6462,K1407:K6462,"0",B1407:B6462,"5 1 1 1 3 12 31111 6 M59 90000 000132 0000R 00001 00113 015 2111100*")</f>
        <v>810534.02</v>
      </c>
      <c r="G1406" s="83">
        <f>SUMIFS(G1407:G6462,K1407:K6462,"0",B1407:B6462,"5 1 1 1 3 12 31111 6 M59 90000 000132 0000R 00001 00113 015 2111100*")</f>
        <v>0</v>
      </c>
      <c r="H1406" s="83">
        <f t="shared" si="22"/>
        <v>810534.02</v>
      </c>
      <c r="I1406" s="83"/>
      <c r="K1406" s="54" t="s">
        <v>15</v>
      </c>
    </row>
    <row r="1407" spans="2:11" ht="33" x14ac:dyDescent="0.2">
      <c r="B1407" s="82" t="s">
        <v>3603</v>
      </c>
      <c r="C1407" s="82" t="s">
        <v>660</v>
      </c>
      <c r="D1407" s="83">
        <f>SUMIFS(D1408:D6462,K1408:K6462,"0",B1408:B6462,"5 1 1 1 3 12 31111 6 M59 90000 000132 0000R 00001 00113 015 2111100 2024*")-SUMIFS(E1408:E6462,K1408:K6462,"0",B1408:B6462,"5 1 1 1 3 12 31111 6 M59 90000 000132 0000R 00001 00113 015 2111100 2024*")</f>
        <v>0</v>
      </c>
      <c r="E1407" s="54"/>
      <c r="F1407" s="83">
        <f>SUMIFS(F1408:F6462,K1408:K6462,"0",B1408:B6462,"5 1 1 1 3 12 31111 6 M59 90000 000132 0000R 00001 00113 015 2111100 2024*")</f>
        <v>810534.02</v>
      </c>
      <c r="G1407" s="83">
        <f>SUMIFS(G1408:G6462,K1408:K6462,"0",B1408:B6462,"5 1 1 1 3 12 31111 6 M59 90000 000132 0000R 00001 00113 015 2111100 2024*")</f>
        <v>0</v>
      </c>
      <c r="H1407" s="83">
        <f t="shared" si="22"/>
        <v>810534.02</v>
      </c>
      <c r="I1407" s="83"/>
      <c r="K1407" s="54" t="s">
        <v>15</v>
      </c>
    </row>
    <row r="1408" spans="2:11" ht="41.25" x14ac:dyDescent="0.2">
      <c r="B1408" s="82" t="s">
        <v>3604</v>
      </c>
      <c r="C1408" s="82" t="s">
        <v>1056</v>
      </c>
      <c r="D1408" s="83">
        <f>SUMIFS(D1409:D6462,K1409:K6462,"0",B1409:B6462,"5 1 1 1 3 12 31111 6 M59 90000 000132 0000R 00001 00113 015 2111100 2024 CP1SG383*")-SUMIFS(E1409:E6462,K1409:K6462,"0",B1409:B6462,"5 1 1 1 3 12 31111 6 M59 90000 000132 0000R 00001 00113 015 2111100 2024 CP1SG383*")</f>
        <v>0</v>
      </c>
      <c r="E1408" s="54"/>
      <c r="F1408" s="83">
        <f>SUMIFS(F1409:F6462,K1409:K6462,"0",B1409:B6462,"5 1 1 1 3 12 31111 6 M59 90000 000132 0000R 00001 00113 015 2111100 2024 CP1SG383*")</f>
        <v>810534.02</v>
      </c>
      <c r="G1408" s="83">
        <f>SUMIFS(G1409:G6462,K1409:K6462,"0",B1409:B6462,"5 1 1 1 3 12 31111 6 M59 90000 000132 0000R 00001 00113 015 2111100 2024 CP1SG383*")</f>
        <v>0</v>
      </c>
      <c r="H1408" s="83">
        <f t="shared" si="22"/>
        <v>810534.02</v>
      </c>
      <c r="I1408" s="83"/>
      <c r="K1408" s="54" t="s">
        <v>15</v>
      </c>
    </row>
    <row r="1409" spans="2:11" ht="41.25" x14ac:dyDescent="0.2">
      <c r="B1409" s="82" t="s">
        <v>3605</v>
      </c>
      <c r="C1409" s="82" t="s">
        <v>282</v>
      </c>
      <c r="D1409" s="83">
        <f>SUMIFS(D1410:D6462,K1410:K6462,"0",B1410:B6462,"5 1 1 1 3 12 31111 6 M59 90000 000132 0000R 00001 00113 015 2111100 2024 CP1SG383 001*")-SUMIFS(E1410:E6462,K1410:K6462,"0",B1410:B6462,"5 1 1 1 3 12 31111 6 M59 90000 000132 0000R 00001 00113 015 2111100 2024 CP1SG383 001*")</f>
        <v>0</v>
      </c>
      <c r="E1409" s="54"/>
      <c r="F1409" s="83">
        <f>SUMIFS(F1410:F6462,K1410:K6462,"0",B1410:B6462,"5 1 1 1 3 12 31111 6 M59 90000 000132 0000R 00001 00113 015 2111100 2024 CP1SG383 001*")</f>
        <v>810534.02</v>
      </c>
      <c r="G1409" s="83">
        <f>SUMIFS(G1410:G6462,K1410:K6462,"0",B1410:B6462,"5 1 1 1 3 12 31111 6 M59 90000 000132 0000R 00001 00113 015 2111100 2024 CP1SG383 001*")</f>
        <v>0</v>
      </c>
      <c r="H1409" s="83">
        <f t="shared" si="22"/>
        <v>810534.02</v>
      </c>
      <c r="I1409" s="83"/>
      <c r="K1409" s="54" t="s">
        <v>15</v>
      </c>
    </row>
    <row r="1410" spans="2:11" ht="41.25" x14ac:dyDescent="0.2">
      <c r="B1410" s="84" t="s">
        <v>3606</v>
      </c>
      <c r="C1410" s="84" t="s">
        <v>2932</v>
      </c>
      <c r="D1410" s="85">
        <v>0</v>
      </c>
      <c r="E1410" s="85"/>
      <c r="F1410" s="85">
        <v>810534.02</v>
      </c>
      <c r="G1410" s="85">
        <v>0</v>
      </c>
      <c r="H1410" s="85">
        <f t="shared" si="22"/>
        <v>810534.02</v>
      </c>
      <c r="I1410" s="85"/>
      <c r="K1410" s="54" t="s">
        <v>38</v>
      </c>
    </row>
    <row r="1411" spans="2:11" ht="16.5" x14ac:dyDescent="0.2">
      <c r="B1411" s="82" t="s">
        <v>3607</v>
      </c>
      <c r="C1411" s="82" t="s">
        <v>3608</v>
      </c>
      <c r="D1411" s="83">
        <f>SUMIFS(D1412:D6462,K1412:K6462,"0",B1412:B6462,"5 1 1 1 3 12 31111 6 M59 91000*")-SUMIFS(E1412:E6462,K1412:K6462,"0",B1412:B6462,"5 1 1 1 3 12 31111 6 M59 91000*")</f>
        <v>0</v>
      </c>
      <c r="E1411" s="54"/>
      <c r="F1411" s="83">
        <f>SUMIFS(F1412:F6462,K1412:K6462,"0",B1412:B6462,"5 1 1 1 3 12 31111 6 M59 91000*")</f>
        <v>459747.66</v>
      </c>
      <c r="G1411" s="83">
        <f>SUMIFS(G1412:G6462,K1412:K6462,"0",B1412:B6462,"5 1 1 1 3 12 31111 6 M59 91000*")</f>
        <v>0</v>
      </c>
      <c r="H1411" s="83">
        <f t="shared" si="22"/>
        <v>459747.66</v>
      </c>
      <c r="I1411" s="83"/>
      <c r="K1411" s="54" t="s">
        <v>15</v>
      </c>
    </row>
    <row r="1412" spans="2:11" ht="16.5" x14ac:dyDescent="0.2">
      <c r="B1412" s="82" t="s">
        <v>3609</v>
      </c>
      <c r="C1412" s="82" t="s">
        <v>648</v>
      </c>
      <c r="D1412" s="83">
        <f>SUMIFS(D1413:D6462,K1413:K6462,"0",B1413:B6462,"5 1 1 1 3 12 31111 6 M59 91000 000132*")-SUMIFS(E1413:E6462,K1413:K6462,"0",B1413:B6462,"5 1 1 1 3 12 31111 6 M59 91000 000132*")</f>
        <v>0</v>
      </c>
      <c r="E1412" s="54"/>
      <c r="F1412" s="83">
        <f>SUMIFS(F1413:F6462,K1413:K6462,"0",B1413:B6462,"5 1 1 1 3 12 31111 6 M59 91000 000132*")</f>
        <v>459747.66</v>
      </c>
      <c r="G1412" s="83">
        <f>SUMIFS(G1413:G6462,K1413:K6462,"0",B1413:B6462,"5 1 1 1 3 12 31111 6 M59 91000 000132*")</f>
        <v>0</v>
      </c>
      <c r="H1412" s="83">
        <f t="shared" si="22"/>
        <v>459747.66</v>
      </c>
      <c r="I1412" s="83"/>
      <c r="K1412" s="54" t="s">
        <v>15</v>
      </c>
    </row>
    <row r="1413" spans="2:11" ht="16.5" x14ac:dyDescent="0.2">
      <c r="B1413" s="82" t="s">
        <v>3610</v>
      </c>
      <c r="C1413" s="82" t="s">
        <v>650</v>
      </c>
      <c r="D1413" s="83">
        <f>SUMIFS(D1414:D6462,K1414:K6462,"0",B1414:B6462,"5 1 1 1 3 12 31111 6 M59 91000 000132 0000R*")-SUMIFS(E1414:E6462,K1414:K6462,"0",B1414:B6462,"5 1 1 1 3 12 31111 6 M59 91000 000132 0000R*")</f>
        <v>0</v>
      </c>
      <c r="E1413" s="54"/>
      <c r="F1413" s="83">
        <f>SUMIFS(F1414:F6462,K1414:K6462,"0",B1414:B6462,"5 1 1 1 3 12 31111 6 M59 91000 000132 0000R*")</f>
        <v>459747.66</v>
      </c>
      <c r="G1413" s="83">
        <f>SUMIFS(G1414:G6462,K1414:K6462,"0",B1414:B6462,"5 1 1 1 3 12 31111 6 M59 91000 000132 0000R*")</f>
        <v>0</v>
      </c>
      <c r="H1413" s="83">
        <f t="shared" si="22"/>
        <v>459747.66</v>
      </c>
      <c r="I1413" s="83"/>
      <c r="K1413" s="54" t="s">
        <v>15</v>
      </c>
    </row>
    <row r="1414" spans="2:11" ht="24.75" x14ac:dyDescent="0.2">
      <c r="B1414" s="82" t="s">
        <v>3611</v>
      </c>
      <c r="C1414" s="82" t="s">
        <v>282</v>
      </c>
      <c r="D1414" s="83">
        <f>SUMIFS(D1415:D6462,K1415:K6462,"0",B1415:B6462,"5 1 1 1 3 12 31111 6 M59 91000 000132 0000R 00001*")-SUMIFS(E1415:E6462,K1415:K6462,"0",B1415:B6462,"5 1 1 1 3 12 31111 6 M59 91000 000132 0000R 00001*")</f>
        <v>0</v>
      </c>
      <c r="E1414" s="54"/>
      <c r="F1414" s="83">
        <f>SUMIFS(F1415:F6462,K1415:K6462,"0",B1415:B6462,"5 1 1 1 3 12 31111 6 M59 91000 000132 0000R 00001*")</f>
        <v>459747.66</v>
      </c>
      <c r="G1414" s="83">
        <f>SUMIFS(G1415:G6462,K1415:K6462,"0",B1415:B6462,"5 1 1 1 3 12 31111 6 M59 91000 000132 0000R 00001*")</f>
        <v>0</v>
      </c>
      <c r="H1414" s="83">
        <f t="shared" si="22"/>
        <v>459747.66</v>
      </c>
      <c r="I1414" s="83"/>
      <c r="K1414" s="54" t="s">
        <v>15</v>
      </c>
    </row>
    <row r="1415" spans="2:11" ht="24.75" x14ac:dyDescent="0.2">
      <c r="B1415" s="82" t="s">
        <v>3612</v>
      </c>
      <c r="C1415" s="82" t="s">
        <v>2924</v>
      </c>
      <c r="D1415" s="83">
        <f>SUMIFS(D1416:D6462,K1416:K6462,"0",B1416:B6462,"5 1 1 1 3 12 31111 6 M59 91000 000132 0000R 00001 00113*")-SUMIFS(E1416:E6462,K1416:K6462,"0",B1416:B6462,"5 1 1 1 3 12 31111 6 M59 91000 000132 0000R 00001 00113*")</f>
        <v>0</v>
      </c>
      <c r="E1415" s="54"/>
      <c r="F1415" s="83">
        <f>SUMIFS(F1416:F6462,K1416:K6462,"0",B1416:B6462,"5 1 1 1 3 12 31111 6 M59 91000 000132 0000R 00001 00113*")</f>
        <v>459747.66</v>
      </c>
      <c r="G1415" s="83">
        <f>SUMIFS(G1416:G6462,K1416:K6462,"0",B1416:B6462,"5 1 1 1 3 12 31111 6 M59 91000 000132 0000R 00001 00113*")</f>
        <v>0</v>
      </c>
      <c r="H1415" s="83">
        <f t="shared" si="22"/>
        <v>459747.66</v>
      </c>
      <c r="I1415" s="83"/>
      <c r="K1415" s="54" t="s">
        <v>15</v>
      </c>
    </row>
    <row r="1416" spans="2:11" ht="24.75" x14ac:dyDescent="0.2">
      <c r="B1416" s="82" t="s">
        <v>3613</v>
      </c>
      <c r="C1416" s="82" t="s">
        <v>1051</v>
      </c>
      <c r="D1416" s="83">
        <f>SUMIFS(D1417:D6462,K1417:K6462,"0",B1417:B6462,"5 1 1 1 3 12 31111 6 M59 91000 000132 0000R 00001 00113 015*")-SUMIFS(E1417:E6462,K1417:K6462,"0",B1417:B6462,"5 1 1 1 3 12 31111 6 M59 91000 000132 0000R 00001 00113 015*")</f>
        <v>0</v>
      </c>
      <c r="E1416" s="54"/>
      <c r="F1416" s="83">
        <f>SUMIFS(F1417:F6462,K1417:K6462,"0",B1417:B6462,"5 1 1 1 3 12 31111 6 M59 91000 000132 0000R 00001 00113 015*")</f>
        <v>459747.66</v>
      </c>
      <c r="G1416" s="83">
        <f>SUMIFS(G1417:G6462,K1417:K6462,"0",B1417:B6462,"5 1 1 1 3 12 31111 6 M59 91000 000132 0000R 00001 00113 015*")</f>
        <v>0</v>
      </c>
      <c r="H1416" s="83">
        <f t="shared" si="22"/>
        <v>459747.66</v>
      </c>
      <c r="I1416" s="83"/>
      <c r="K1416" s="54" t="s">
        <v>15</v>
      </c>
    </row>
    <row r="1417" spans="2:11" ht="33" x14ac:dyDescent="0.2">
      <c r="B1417" s="82" t="s">
        <v>3614</v>
      </c>
      <c r="C1417" s="82" t="s">
        <v>2927</v>
      </c>
      <c r="D1417" s="83">
        <f>SUMIFS(D1418:D6462,K1418:K6462,"0",B1418:B6462,"5 1 1 1 3 12 31111 6 M59 91000 000132 0000R 00001 00113 015 2111100*")-SUMIFS(E1418:E6462,K1418:K6462,"0",B1418:B6462,"5 1 1 1 3 12 31111 6 M59 91000 000132 0000R 00001 00113 015 2111100*")</f>
        <v>0</v>
      </c>
      <c r="E1417" s="54"/>
      <c r="F1417" s="83">
        <f>SUMIFS(F1418:F6462,K1418:K6462,"0",B1418:B6462,"5 1 1 1 3 12 31111 6 M59 91000 000132 0000R 00001 00113 015 2111100*")</f>
        <v>459747.66</v>
      </c>
      <c r="G1417" s="83">
        <f>SUMIFS(G1418:G6462,K1418:K6462,"0",B1418:B6462,"5 1 1 1 3 12 31111 6 M59 91000 000132 0000R 00001 00113 015 2111100*")</f>
        <v>0</v>
      </c>
      <c r="H1417" s="83">
        <f t="shared" si="22"/>
        <v>459747.66</v>
      </c>
      <c r="I1417" s="83"/>
      <c r="K1417" s="54" t="s">
        <v>15</v>
      </c>
    </row>
    <row r="1418" spans="2:11" ht="33" x14ac:dyDescent="0.2">
      <c r="B1418" s="82" t="s">
        <v>3615</v>
      </c>
      <c r="C1418" s="82" t="s">
        <v>660</v>
      </c>
      <c r="D1418" s="83">
        <f>SUMIFS(D1419:D6462,K1419:K6462,"0",B1419:B6462,"5 1 1 1 3 12 31111 6 M59 91000 000132 0000R 00001 00113 015 2111100 2024*")-SUMIFS(E1419:E6462,K1419:K6462,"0",B1419:B6462,"5 1 1 1 3 12 31111 6 M59 91000 000132 0000R 00001 00113 015 2111100 2024*")</f>
        <v>0</v>
      </c>
      <c r="E1418" s="54"/>
      <c r="F1418" s="83">
        <f>SUMIFS(F1419:F6462,K1419:K6462,"0",B1419:B6462,"5 1 1 1 3 12 31111 6 M59 91000 000132 0000R 00001 00113 015 2111100 2024*")</f>
        <v>459747.66</v>
      </c>
      <c r="G1418" s="83">
        <f>SUMIFS(G1419:G6462,K1419:K6462,"0",B1419:B6462,"5 1 1 1 3 12 31111 6 M59 91000 000132 0000R 00001 00113 015 2111100 2024*")</f>
        <v>0</v>
      </c>
      <c r="H1418" s="83">
        <f t="shared" si="22"/>
        <v>459747.66</v>
      </c>
      <c r="I1418" s="83"/>
      <c r="K1418" s="54" t="s">
        <v>15</v>
      </c>
    </row>
    <row r="1419" spans="2:11" ht="41.25" x14ac:dyDescent="0.2">
      <c r="B1419" s="82" t="s">
        <v>3616</v>
      </c>
      <c r="C1419" s="82" t="s">
        <v>1056</v>
      </c>
      <c r="D1419" s="83">
        <f>SUMIFS(D1420:D6462,K1420:K6462,"0",B1420:B6462,"5 1 1 1 3 12 31111 6 M59 91000 000132 0000R 00001 00113 015 2111100 2024 CP1RE398*")-SUMIFS(E1420:E6462,K1420:K6462,"0",B1420:B6462,"5 1 1 1 3 12 31111 6 M59 91000 000132 0000R 00001 00113 015 2111100 2024 CP1RE398*")</f>
        <v>0</v>
      </c>
      <c r="E1419" s="54"/>
      <c r="F1419" s="83">
        <f>SUMIFS(F1420:F6462,K1420:K6462,"0",B1420:B6462,"5 1 1 1 3 12 31111 6 M59 91000 000132 0000R 00001 00113 015 2111100 2024 CP1RE398*")</f>
        <v>459747.66</v>
      </c>
      <c r="G1419" s="83">
        <f>SUMIFS(G1420:G6462,K1420:K6462,"0",B1420:B6462,"5 1 1 1 3 12 31111 6 M59 91000 000132 0000R 00001 00113 015 2111100 2024 CP1RE398*")</f>
        <v>0</v>
      </c>
      <c r="H1419" s="83">
        <f t="shared" si="22"/>
        <v>459747.66</v>
      </c>
      <c r="I1419" s="83"/>
      <c r="K1419" s="54" t="s">
        <v>15</v>
      </c>
    </row>
    <row r="1420" spans="2:11" ht="41.25" x14ac:dyDescent="0.2">
      <c r="B1420" s="82" t="s">
        <v>3617</v>
      </c>
      <c r="C1420" s="82" t="s">
        <v>282</v>
      </c>
      <c r="D1420" s="83">
        <f>SUMIFS(D1421:D6462,K1421:K6462,"0",B1421:B6462,"5 1 1 1 3 12 31111 6 M59 91000 000132 0000R 00001 00113 015 2111100 2024 CP1RE398 001*")-SUMIFS(E1421:E6462,K1421:K6462,"0",B1421:B6462,"5 1 1 1 3 12 31111 6 M59 91000 000132 0000R 00001 00113 015 2111100 2024 CP1RE398 001*")</f>
        <v>0</v>
      </c>
      <c r="E1420" s="54"/>
      <c r="F1420" s="83">
        <f>SUMIFS(F1421:F6462,K1421:K6462,"0",B1421:B6462,"5 1 1 1 3 12 31111 6 M59 91000 000132 0000R 00001 00113 015 2111100 2024 CP1RE398 001*")</f>
        <v>459747.66</v>
      </c>
      <c r="G1420" s="83">
        <f>SUMIFS(G1421:G6462,K1421:K6462,"0",B1421:B6462,"5 1 1 1 3 12 31111 6 M59 91000 000132 0000R 00001 00113 015 2111100 2024 CP1RE398 001*")</f>
        <v>0</v>
      </c>
      <c r="H1420" s="83">
        <f t="shared" si="22"/>
        <v>459747.66</v>
      </c>
      <c r="I1420" s="83"/>
      <c r="K1420" s="54" t="s">
        <v>15</v>
      </c>
    </row>
    <row r="1421" spans="2:11" ht="33" x14ac:dyDescent="0.2">
      <c r="B1421" s="84" t="s">
        <v>3618</v>
      </c>
      <c r="C1421" s="84" t="s">
        <v>2932</v>
      </c>
      <c r="D1421" s="85">
        <v>0</v>
      </c>
      <c r="E1421" s="85"/>
      <c r="F1421" s="85">
        <v>459747.66</v>
      </c>
      <c r="G1421" s="85">
        <v>0</v>
      </c>
      <c r="H1421" s="85">
        <f t="shared" si="22"/>
        <v>459747.66</v>
      </c>
      <c r="I1421" s="85"/>
      <c r="K1421" s="54" t="s">
        <v>38</v>
      </c>
    </row>
    <row r="1422" spans="2:11" ht="16.5" x14ac:dyDescent="0.2">
      <c r="B1422" s="82" t="s">
        <v>3619</v>
      </c>
      <c r="C1422" s="82" t="s">
        <v>3620</v>
      </c>
      <c r="D1422" s="83">
        <f>SUMIFS(D1423:D6462,K1423:K6462,"0",B1423:B6462,"5 1 1 1 3 12 31111 6 M59 92000*")-SUMIFS(E1423:E6462,K1423:K6462,"0",B1423:B6462,"5 1 1 1 3 12 31111 6 M59 92000*")</f>
        <v>0</v>
      </c>
      <c r="E1422" s="54"/>
      <c r="F1422" s="83">
        <f>SUMIFS(F1423:F6462,K1423:K6462,"0",B1423:B6462,"5 1 1 1 3 12 31111 6 M59 92000*")</f>
        <v>225797.49</v>
      </c>
      <c r="G1422" s="83">
        <f>SUMIFS(G1423:G6462,K1423:K6462,"0",B1423:B6462,"5 1 1 1 3 12 31111 6 M59 92000*")</f>
        <v>0</v>
      </c>
      <c r="H1422" s="83">
        <f t="shared" si="22"/>
        <v>225797.49</v>
      </c>
      <c r="I1422" s="83"/>
      <c r="K1422" s="54" t="s">
        <v>15</v>
      </c>
    </row>
    <row r="1423" spans="2:11" ht="24.75" x14ac:dyDescent="0.2">
      <c r="B1423" s="82" t="s">
        <v>3621</v>
      </c>
      <c r="C1423" s="82" t="s">
        <v>3152</v>
      </c>
      <c r="D1423" s="83">
        <f>SUMIFS(D1424:D6462,K1424:K6462,"0",B1424:B6462,"5 1 1 1 3 12 31111 6 M59 92000 000181*")-SUMIFS(E1424:E6462,K1424:K6462,"0",B1424:B6462,"5 1 1 1 3 12 31111 6 M59 92000 000181*")</f>
        <v>0</v>
      </c>
      <c r="E1423" s="54"/>
      <c r="F1423" s="83">
        <f>SUMIFS(F1424:F6462,K1424:K6462,"0",B1424:B6462,"5 1 1 1 3 12 31111 6 M59 92000 000181*")</f>
        <v>225797.49</v>
      </c>
      <c r="G1423" s="83">
        <f>SUMIFS(G1424:G6462,K1424:K6462,"0",B1424:B6462,"5 1 1 1 3 12 31111 6 M59 92000 000181*")</f>
        <v>0</v>
      </c>
      <c r="H1423" s="83">
        <f t="shared" si="22"/>
        <v>225797.49</v>
      </c>
      <c r="I1423" s="83"/>
      <c r="K1423" s="54" t="s">
        <v>15</v>
      </c>
    </row>
    <row r="1424" spans="2:11" ht="16.5" x14ac:dyDescent="0.2">
      <c r="B1424" s="82" t="s">
        <v>3622</v>
      </c>
      <c r="C1424" s="82" t="s">
        <v>1065</v>
      </c>
      <c r="D1424" s="83">
        <f>SUMIFS(D1425:D6462,K1425:K6462,"0",B1425:B6462,"5 1 1 1 3 12 31111 6 M59 92000 000181 0000E*")-SUMIFS(E1425:E6462,K1425:K6462,"0",B1425:B6462,"5 1 1 1 3 12 31111 6 M59 92000 000181 0000E*")</f>
        <v>0</v>
      </c>
      <c r="E1424" s="54"/>
      <c r="F1424" s="83">
        <f>SUMIFS(F1425:F6462,K1425:K6462,"0",B1425:B6462,"5 1 1 1 3 12 31111 6 M59 92000 000181 0000E*")</f>
        <v>225797.49</v>
      </c>
      <c r="G1424" s="83">
        <f>SUMIFS(G1425:G6462,K1425:K6462,"0",B1425:B6462,"5 1 1 1 3 12 31111 6 M59 92000 000181 0000E*")</f>
        <v>0</v>
      </c>
      <c r="H1424" s="83">
        <f t="shared" si="22"/>
        <v>225797.49</v>
      </c>
      <c r="I1424" s="83"/>
      <c r="K1424" s="54" t="s">
        <v>15</v>
      </c>
    </row>
    <row r="1425" spans="2:11" ht="24.75" x14ac:dyDescent="0.2">
      <c r="B1425" s="82" t="s">
        <v>3623</v>
      </c>
      <c r="C1425" s="82" t="s">
        <v>282</v>
      </c>
      <c r="D1425" s="83">
        <f>SUMIFS(D1426:D6462,K1426:K6462,"0",B1426:B6462,"5 1 1 1 3 12 31111 6 M59 92000 000181 0000E 00001*")-SUMIFS(E1426:E6462,K1426:K6462,"0",B1426:B6462,"5 1 1 1 3 12 31111 6 M59 92000 000181 0000E 00001*")</f>
        <v>0</v>
      </c>
      <c r="E1425" s="54"/>
      <c r="F1425" s="83">
        <f>SUMIFS(F1426:F6462,K1426:K6462,"0",B1426:B6462,"5 1 1 1 3 12 31111 6 M59 92000 000181 0000E 00001*")</f>
        <v>225797.49</v>
      </c>
      <c r="G1425" s="83">
        <f>SUMIFS(G1426:G6462,K1426:K6462,"0",B1426:B6462,"5 1 1 1 3 12 31111 6 M59 92000 000181 0000E 00001*")</f>
        <v>0</v>
      </c>
      <c r="H1425" s="83">
        <f t="shared" si="22"/>
        <v>225797.49</v>
      </c>
      <c r="I1425" s="83"/>
      <c r="K1425" s="54" t="s">
        <v>15</v>
      </c>
    </row>
    <row r="1426" spans="2:11" ht="24.75" x14ac:dyDescent="0.2">
      <c r="B1426" s="82" t="s">
        <v>3624</v>
      </c>
      <c r="C1426" s="82" t="s">
        <v>2924</v>
      </c>
      <c r="D1426" s="83">
        <f>SUMIFS(D1427:D6462,K1427:K6462,"0",B1427:B6462,"5 1 1 1 3 12 31111 6 M59 92000 000181 0000E 00001 00113*")-SUMIFS(E1427:E6462,K1427:K6462,"0",B1427:B6462,"5 1 1 1 3 12 31111 6 M59 92000 000181 0000E 00001 00113*")</f>
        <v>0</v>
      </c>
      <c r="E1426" s="54"/>
      <c r="F1426" s="83">
        <f>SUMIFS(F1427:F6462,K1427:K6462,"0",B1427:B6462,"5 1 1 1 3 12 31111 6 M59 92000 000181 0000E 00001 00113*")</f>
        <v>225797.49</v>
      </c>
      <c r="G1426" s="83">
        <f>SUMIFS(G1427:G6462,K1427:K6462,"0",B1427:B6462,"5 1 1 1 3 12 31111 6 M59 92000 000181 0000E 00001 00113*")</f>
        <v>0</v>
      </c>
      <c r="H1426" s="83">
        <f t="shared" si="22"/>
        <v>225797.49</v>
      </c>
      <c r="I1426" s="83"/>
      <c r="K1426" s="54" t="s">
        <v>15</v>
      </c>
    </row>
    <row r="1427" spans="2:11" ht="24.75" x14ac:dyDescent="0.2">
      <c r="B1427" s="82" t="s">
        <v>3625</v>
      </c>
      <c r="C1427" s="82" t="s">
        <v>1051</v>
      </c>
      <c r="D1427" s="83">
        <f>SUMIFS(D1428:D6462,K1428:K6462,"0",B1428:B6462,"5 1 1 1 3 12 31111 6 M59 92000 000181 0000E 00001 00113 015*")-SUMIFS(E1428:E6462,K1428:K6462,"0",B1428:B6462,"5 1 1 1 3 12 31111 6 M59 92000 000181 0000E 00001 00113 015*")</f>
        <v>0</v>
      </c>
      <c r="E1427" s="54"/>
      <c r="F1427" s="83">
        <f>SUMIFS(F1428:F6462,K1428:K6462,"0",B1428:B6462,"5 1 1 1 3 12 31111 6 M59 92000 000181 0000E 00001 00113 015*")</f>
        <v>225797.49</v>
      </c>
      <c r="G1427" s="83">
        <f>SUMIFS(G1428:G6462,K1428:K6462,"0",B1428:B6462,"5 1 1 1 3 12 31111 6 M59 92000 000181 0000E 00001 00113 015*")</f>
        <v>0</v>
      </c>
      <c r="H1427" s="83">
        <f t="shared" si="22"/>
        <v>225797.49</v>
      </c>
      <c r="I1427" s="83"/>
      <c r="K1427" s="54" t="s">
        <v>15</v>
      </c>
    </row>
    <row r="1428" spans="2:11" ht="33" x14ac:dyDescent="0.2">
      <c r="B1428" s="82" t="s">
        <v>3626</v>
      </c>
      <c r="C1428" s="82" t="s">
        <v>2927</v>
      </c>
      <c r="D1428" s="83">
        <f>SUMIFS(D1429:D6462,K1429:K6462,"0",B1429:B6462,"5 1 1 1 3 12 31111 6 M59 92000 000181 0000E 00001 00113 015 2111100*")-SUMIFS(E1429:E6462,K1429:K6462,"0",B1429:B6462,"5 1 1 1 3 12 31111 6 M59 92000 000181 0000E 00001 00113 015 2111100*")</f>
        <v>0</v>
      </c>
      <c r="E1428" s="54"/>
      <c r="F1428" s="83">
        <f>SUMIFS(F1429:F6462,K1429:K6462,"0",B1429:B6462,"5 1 1 1 3 12 31111 6 M59 92000 000181 0000E 00001 00113 015 2111100*")</f>
        <v>225797.49</v>
      </c>
      <c r="G1428" s="83">
        <f>SUMIFS(G1429:G6462,K1429:K6462,"0",B1429:B6462,"5 1 1 1 3 12 31111 6 M59 92000 000181 0000E 00001 00113 015 2111100*")</f>
        <v>0</v>
      </c>
      <c r="H1428" s="83">
        <f t="shared" si="22"/>
        <v>225797.49</v>
      </c>
      <c r="I1428" s="83"/>
      <c r="K1428" s="54" t="s">
        <v>15</v>
      </c>
    </row>
    <row r="1429" spans="2:11" ht="33" x14ac:dyDescent="0.2">
      <c r="B1429" s="82" t="s">
        <v>3627</v>
      </c>
      <c r="C1429" s="82" t="s">
        <v>660</v>
      </c>
      <c r="D1429" s="83">
        <f>SUMIFS(D1430:D6462,K1430:K6462,"0",B1430:B6462,"5 1 1 1 3 12 31111 6 M59 92000 000181 0000E 00001 00113 015 2111100 2024*")-SUMIFS(E1430:E6462,K1430:K6462,"0",B1430:B6462,"5 1 1 1 3 12 31111 6 M59 92000 000181 0000E 00001 00113 015 2111100 2024*")</f>
        <v>0</v>
      </c>
      <c r="E1429" s="54"/>
      <c r="F1429" s="83">
        <f>SUMIFS(F1430:F6462,K1430:K6462,"0",B1430:B6462,"5 1 1 1 3 12 31111 6 M59 92000 000181 0000E 00001 00113 015 2111100 2024*")</f>
        <v>225797.49</v>
      </c>
      <c r="G1429" s="83">
        <f>SUMIFS(G1430:G6462,K1430:K6462,"0",B1430:B6462,"5 1 1 1 3 12 31111 6 M59 92000 000181 0000E 00001 00113 015 2111100 2024*")</f>
        <v>0</v>
      </c>
      <c r="H1429" s="83">
        <f t="shared" si="22"/>
        <v>225797.49</v>
      </c>
      <c r="I1429" s="83"/>
      <c r="K1429" s="54" t="s">
        <v>15</v>
      </c>
    </row>
    <row r="1430" spans="2:11" ht="41.25" x14ac:dyDescent="0.2">
      <c r="B1430" s="82" t="s">
        <v>3628</v>
      </c>
      <c r="C1430" s="82" t="s">
        <v>1056</v>
      </c>
      <c r="D1430" s="83">
        <f>SUMIFS(D1431:D6462,K1431:K6462,"0",B1431:B6462,"5 1 1 1 3 12 31111 6 M59 92000 000181 0000E 00001 00113 015 2111100 2024 CP1RC399*")-SUMIFS(E1431:E6462,K1431:K6462,"0",B1431:B6462,"5 1 1 1 3 12 31111 6 M59 92000 000181 0000E 00001 00113 015 2111100 2024 CP1RC399*")</f>
        <v>0</v>
      </c>
      <c r="E1430" s="54"/>
      <c r="F1430" s="83">
        <f>SUMIFS(F1431:F6462,K1431:K6462,"0",B1431:B6462,"5 1 1 1 3 12 31111 6 M59 92000 000181 0000E 00001 00113 015 2111100 2024 CP1RC399*")</f>
        <v>225797.49</v>
      </c>
      <c r="G1430" s="83">
        <f>SUMIFS(G1431:G6462,K1431:K6462,"0",B1431:B6462,"5 1 1 1 3 12 31111 6 M59 92000 000181 0000E 00001 00113 015 2111100 2024 CP1RC399*")</f>
        <v>0</v>
      </c>
      <c r="H1430" s="83">
        <f t="shared" si="22"/>
        <v>225797.49</v>
      </c>
      <c r="I1430" s="83"/>
      <c r="K1430" s="54" t="s">
        <v>15</v>
      </c>
    </row>
    <row r="1431" spans="2:11" ht="41.25" x14ac:dyDescent="0.2">
      <c r="B1431" s="82" t="s">
        <v>3629</v>
      </c>
      <c r="C1431" s="82" t="s">
        <v>282</v>
      </c>
      <c r="D1431" s="83">
        <f>SUMIFS(D1432:D6462,K1432:K6462,"0",B1432:B6462,"5 1 1 1 3 12 31111 6 M59 92000 000181 0000E 00001 00113 015 2111100 2024 CP1RC399 001*")-SUMIFS(E1432:E6462,K1432:K6462,"0",B1432:B6462,"5 1 1 1 3 12 31111 6 M59 92000 000181 0000E 00001 00113 015 2111100 2024 CP1RC399 001*")</f>
        <v>0</v>
      </c>
      <c r="E1431" s="54"/>
      <c r="F1431" s="83">
        <f>SUMIFS(F1432:F6462,K1432:K6462,"0",B1432:B6462,"5 1 1 1 3 12 31111 6 M59 92000 000181 0000E 00001 00113 015 2111100 2024 CP1RC399 001*")</f>
        <v>225797.49</v>
      </c>
      <c r="G1431" s="83">
        <f>SUMIFS(G1432:G6462,K1432:K6462,"0",B1432:B6462,"5 1 1 1 3 12 31111 6 M59 92000 000181 0000E 00001 00113 015 2111100 2024 CP1RC399 001*")</f>
        <v>0</v>
      </c>
      <c r="H1431" s="83">
        <f t="shared" si="22"/>
        <v>225797.49</v>
      </c>
      <c r="I1431" s="83"/>
      <c r="K1431" s="54" t="s">
        <v>15</v>
      </c>
    </row>
    <row r="1432" spans="2:11" ht="33" x14ac:dyDescent="0.2">
      <c r="B1432" s="84" t="s">
        <v>3630</v>
      </c>
      <c r="C1432" s="84" t="s">
        <v>2932</v>
      </c>
      <c r="D1432" s="85">
        <v>0</v>
      </c>
      <c r="E1432" s="85"/>
      <c r="F1432" s="85">
        <v>225797.49</v>
      </c>
      <c r="G1432" s="85">
        <v>0</v>
      </c>
      <c r="H1432" s="85">
        <f t="shared" si="22"/>
        <v>225797.49</v>
      </c>
      <c r="I1432" s="85"/>
      <c r="K1432" s="54" t="s">
        <v>38</v>
      </c>
    </row>
    <row r="1433" spans="2:11" ht="24.75" x14ac:dyDescent="0.2">
      <c r="B1433" s="82" t="s">
        <v>3631</v>
      </c>
      <c r="C1433" s="82" t="s">
        <v>3632</v>
      </c>
      <c r="D1433" s="83">
        <f>SUMIFS(D1434:D6462,K1434:K6462,"0",B1434:B6462,"5 1 1 1 3 12 31111 6 M59 93000*")-SUMIFS(E1434:E6462,K1434:K6462,"0",B1434:B6462,"5 1 1 1 3 12 31111 6 M59 93000*")</f>
        <v>0</v>
      </c>
      <c r="E1433" s="54"/>
      <c r="F1433" s="83">
        <f>SUMIFS(F1434:F6462,K1434:K6462,"0",B1434:B6462,"5 1 1 1 3 12 31111 6 M59 93000*")</f>
        <v>276646.88</v>
      </c>
      <c r="G1433" s="83">
        <f>SUMIFS(G1434:G6462,K1434:K6462,"0",B1434:B6462,"5 1 1 1 3 12 31111 6 M59 93000*")</f>
        <v>0</v>
      </c>
      <c r="H1433" s="83">
        <f t="shared" si="22"/>
        <v>276646.88</v>
      </c>
      <c r="I1433" s="83"/>
      <c r="K1433" s="54" t="s">
        <v>15</v>
      </c>
    </row>
    <row r="1434" spans="2:11" ht="16.5" x14ac:dyDescent="0.2">
      <c r="B1434" s="82" t="s">
        <v>3633</v>
      </c>
      <c r="C1434" s="82" t="s">
        <v>648</v>
      </c>
      <c r="D1434" s="83">
        <f>SUMIFS(D1435:D6462,K1435:K6462,"0",B1435:B6462,"5 1 1 1 3 12 31111 6 M59 93000 000132*")-SUMIFS(E1435:E6462,K1435:K6462,"0",B1435:B6462,"5 1 1 1 3 12 31111 6 M59 93000 000132*")</f>
        <v>0</v>
      </c>
      <c r="E1434" s="54"/>
      <c r="F1434" s="83">
        <f>SUMIFS(F1435:F6462,K1435:K6462,"0",B1435:B6462,"5 1 1 1 3 12 31111 6 M59 93000 000132*")</f>
        <v>276646.88</v>
      </c>
      <c r="G1434" s="83">
        <f>SUMIFS(G1435:G6462,K1435:K6462,"0",B1435:B6462,"5 1 1 1 3 12 31111 6 M59 93000 000132*")</f>
        <v>0</v>
      </c>
      <c r="H1434" s="83">
        <f t="shared" si="22"/>
        <v>276646.88</v>
      </c>
      <c r="I1434" s="83"/>
      <c r="K1434" s="54" t="s">
        <v>15</v>
      </c>
    </row>
    <row r="1435" spans="2:11" ht="16.5" x14ac:dyDescent="0.2">
      <c r="B1435" s="82" t="s">
        <v>3634</v>
      </c>
      <c r="C1435" s="82" t="s">
        <v>650</v>
      </c>
      <c r="D1435" s="83">
        <f>SUMIFS(D1436:D6462,K1436:K6462,"0",B1436:B6462,"5 1 1 1 3 12 31111 6 M59 93000 000132 0000R*")-SUMIFS(E1436:E6462,K1436:K6462,"0",B1436:B6462,"5 1 1 1 3 12 31111 6 M59 93000 000132 0000R*")</f>
        <v>0</v>
      </c>
      <c r="E1435" s="54"/>
      <c r="F1435" s="83">
        <f>SUMIFS(F1436:F6462,K1436:K6462,"0",B1436:B6462,"5 1 1 1 3 12 31111 6 M59 93000 000132 0000R*")</f>
        <v>276646.88</v>
      </c>
      <c r="G1435" s="83">
        <f>SUMIFS(G1436:G6462,K1436:K6462,"0",B1436:B6462,"5 1 1 1 3 12 31111 6 M59 93000 000132 0000R*")</f>
        <v>0</v>
      </c>
      <c r="H1435" s="83">
        <f t="shared" si="22"/>
        <v>276646.88</v>
      </c>
      <c r="I1435" s="83"/>
      <c r="K1435" s="54" t="s">
        <v>15</v>
      </c>
    </row>
    <row r="1436" spans="2:11" ht="24.75" x14ac:dyDescent="0.2">
      <c r="B1436" s="82" t="s">
        <v>3635</v>
      </c>
      <c r="C1436" s="82" t="s">
        <v>282</v>
      </c>
      <c r="D1436" s="83">
        <f>SUMIFS(D1437:D6462,K1437:K6462,"0",B1437:B6462,"5 1 1 1 3 12 31111 6 M59 93000 000132 0000R 00001*")-SUMIFS(E1437:E6462,K1437:K6462,"0",B1437:B6462,"5 1 1 1 3 12 31111 6 M59 93000 000132 0000R 00001*")</f>
        <v>0</v>
      </c>
      <c r="E1436" s="54"/>
      <c r="F1436" s="83">
        <f>SUMIFS(F1437:F6462,K1437:K6462,"0",B1437:B6462,"5 1 1 1 3 12 31111 6 M59 93000 000132 0000R 00001*")</f>
        <v>276646.88</v>
      </c>
      <c r="G1436" s="83">
        <f>SUMIFS(G1437:G6462,K1437:K6462,"0",B1437:B6462,"5 1 1 1 3 12 31111 6 M59 93000 000132 0000R 00001*")</f>
        <v>0</v>
      </c>
      <c r="H1436" s="83">
        <f t="shared" si="22"/>
        <v>276646.88</v>
      </c>
      <c r="I1436" s="83"/>
      <c r="K1436" s="54" t="s">
        <v>15</v>
      </c>
    </row>
    <row r="1437" spans="2:11" ht="24.75" x14ac:dyDescent="0.2">
      <c r="B1437" s="82" t="s">
        <v>3636</v>
      </c>
      <c r="C1437" s="82" t="s">
        <v>2924</v>
      </c>
      <c r="D1437" s="83">
        <f>SUMIFS(D1438:D6462,K1438:K6462,"0",B1438:B6462,"5 1 1 1 3 12 31111 6 M59 93000 000132 0000R 00001 00113*")-SUMIFS(E1438:E6462,K1438:K6462,"0",B1438:B6462,"5 1 1 1 3 12 31111 6 M59 93000 000132 0000R 00001 00113*")</f>
        <v>0</v>
      </c>
      <c r="E1437" s="54"/>
      <c r="F1437" s="83">
        <f>SUMIFS(F1438:F6462,K1438:K6462,"0",B1438:B6462,"5 1 1 1 3 12 31111 6 M59 93000 000132 0000R 00001 00113*")</f>
        <v>276646.88</v>
      </c>
      <c r="G1437" s="83">
        <f>SUMIFS(G1438:G6462,K1438:K6462,"0",B1438:B6462,"5 1 1 1 3 12 31111 6 M59 93000 000132 0000R 00001 00113*")</f>
        <v>0</v>
      </c>
      <c r="H1437" s="83">
        <f t="shared" si="22"/>
        <v>276646.88</v>
      </c>
      <c r="I1437" s="83"/>
      <c r="K1437" s="54" t="s">
        <v>15</v>
      </c>
    </row>
    <row r="1438" spans="2:11" ht="24.75" x14ac:dyDescent="0.2">
      <c r="B1438" s="82" t="s">
        <v>3637</v>
      </c>
      <c r="C1438" s="82" t="s">
        <v>1051</v>
      </c>
      <c r="D1438" s="83">
        <f>SUMIFS(D1439:D6462,K1439:K6462,"0",B1439:B6462,"5 1 1 1 3 12 31111 6 M59 93000 000132 0000R 00001 00113 015*")-SUMIFS(E1439:E6462,K1439:K6462,"0",B1439:B6462,"5 1 1 1 3 12 31111 6 M59 93000 000132 0000R 00001 00113 015*")</f>
        <v>0</v>
      </c>
      <c r="E1438" s="54"/>
      <c r="F1438" s="83">
        <f>SUMIFS(F1439:F6462,K1439:K6462,"0",B1439:B6462,"5 1 1 1 3 12 31111 6 M59 93000 000132 0000R 00001 00113 015*")</f>
        <v>276646.88</v>
      </c>
      <c r="G1438" s="83">
        <f>SUMIFS(G1439:G6462,K1439:K6462,"0",B1439:B6462,"5 1 1 1 3 12 31111 6 M59 93000 000132 0000R 00001 00113 015*")</f>
        <v>0</v>
      </c>
      <c r="H1438" s="83">
        <f t="shared" si="22"/>
        <v>276646.88</v>
      </c>
      <c r="I1438" s="83"/>
      <c r="K1438" s="54" t="s">
        <v>15</v>
      </c>
    </row>
    <row r="1439" spans="2:11" ht="33" x14ac:dyDescent="0.2">
      <c r="B1439" s="82" t="s">
        <v>3638</v>
      </c>
      <c r="C1439" s="82" t="s">
        <v>2927</v>
      </c>
      <c r="D1439" s="83">
        <f>SUMIFS(D1440:D6462,K1440:K6462,"0",B1440:B6462,"5 1 1 1 3 12 31111 6 M59 93000 000132 0000R 00001 00113 015 2111100*")-SUMIFS(E1440:E6462,K1440:K6462,"0",B1440:B6462,"5 1 1 1 3 12 31111 6 M59 93000 000132 0000R 00001 00113 015 2111100*")</f>
        <v>0</v>
      </c>
      <c r="E1439" s="54"/>
      <c r="F1439" s="83">
        <f>SUMIFS(F1440:F6462,K1440:K6462,"0",B1440:B6462,"5 1 1 1 3 12 31111 6 M59 93000 000132 0000R 00001 00113 015 2111100*")</f>
        <v>276646.88</v>
      </c>
      <c r="G1439" s="83">
        <f>SUMIFS(G1440:G6462,K1440:K6462,"0",B1440:B6462,"5 1 1 1 3 12 31111 6 M59 93000 000132 0000R 00001 00113 015 2111100*")</f>
        <v>0</v>
      </c>
      <c r="H1439" s="83">
        <f t="shared" si="22"/>
        <v>276646.88</v>
      </c>
      <c r="I1439" s="83"/>
      <c r="K1439" s="54" t="s">
        <v>15</v>
      </c>
    </row>
    <row r="1440" spans="2:11" ht="33" x14ac:dyDescent="0.2">
      <c r="B1440" s="82" t="s">
        <v>3639</v>
      </c>
      <c r="C1440" s="82" t="s">
        <v>660</v>
      </c>
      <c r="D1440" s="83">
        <f>SUMIFS(D1441:D6462,K1441:K6462,"0",B1441:B6462,"5 1 1 1 3 12 31111 6 M59 93000 000132 0000R 00001 00113 015 2111100 2024*")-SUMIFS(E1441:E6462,K1441:K6462,"0",B1441:B6462,"5 1 1 1 3 12 31111 6 M59 93000 000132 0000R 00001 00113 015 2111100 2024*")</f>
        <v>0</v>
      </c>
      <c r="E1440" s="54"/>
      <c r="F1440" s="83">
        <f>SUMIFS(F1441:F6462,K1441:K6462,"0",B1441:B6462,"5 1 1 1 3 12 31111 6 M59 93000 000132 0000R 00001 00113 015 2111100 2024*")</f>
        <v>276646.88</v>
      </c>
      <c r="G1440" s="83">
        <f>SUMIFS(G1441:G6462,K1441:K6462,"0",B1441:B6462,"5 1 1 1 3 12 31111 6 M59 93000 000132 0000R 00001 00113 015 2111100 2024*")</f>
        <v>0</v>
      </c>
      <c r="H1440" s="83">
        <f t="shared" si="22"/>
        <v>276646.88</v>
      </c>
      <c r="I1440" s="83"/>
      <c r="K1440" s="54" t="s">
        <v>15</v>
      </c>
    </row>
    <row r="1441" spans="2:11" ht="41.25" x14ac:dyDescent="0.2">
      <c r="B1441" s="82" t="s">
        <v>3640</v>
      </c>
      <c r="C1441" s="82" t="s">
        <v>1056</v>
      </c>
      <c r="D1441" s="83">
        <f>SUMIFS(D1442:D6462,K1442:K6462,"0",B1442:B6462,"5 1 1 1 3 12 31111 6 M59 93000 000132 0000R 00001 00113 015 2111100 2024 CP1RS429*")-SUMIFS(E1442:E6462,K1442:K6462,"0",B1442:B6462,"5 1 1 1 3 12 31111 6 M59 93000 000132 0000R 00001 00113 015 2111100 2024 CP1RS429*")</f>
        <v>0</v>
      </c>
      <c r="E1441" s="54"/>
      <c r="F1441" s="83">
        <f>SUMIFS(F1442:F6462,K1442:K6462,"0",B1442:B6462,"5 1 1 1 3 12 31111 6 M59 93000 000132 0000R 00001 00113 015 2111100 2024 CP1RS429*")</f>
        <v>276646.88</v>
      </c>
      <c r="G1441" s="83">
        <f>SUMIFS(G1442:G6462,K1442:K6462,"0",B1442:B6462,"5 1 1 1 3 12 31111 6 M59 93000 000132 0000R 00001 00113 015 2111100 2024 CP1RS429*")</f>
        <v>0</v>
      </c>
      <c r="H1441" s="83">
        <f t="shared" si="22"/>
        <v>276646.88</v>
      </c>
      <c r="I1441" s="83"/>
      <c r="K1441" s="54" t="s">
        <v>15</v>
      </c>
    </row>
    <row r="1442" spans="2:11" ht="41.25" x14ac:dyDescent="0.2">
      <c r="B1442" s="82" t="s">
        <v>3641</v>
      </c>
      <c r="C1442" s="82" t="s">
        <v>282</v>
      </c>
      <c r="D1442" s="83">
        <f>SUMIFS(D1443:D6462,K1443:K6462,"0",B1443:B6462,"5 1 1 1 3 12 31111 6 M59 93000 000132 0000R 00001 00113 015 2111100 2024 CP1RS429 001*")-SUMIFS(E1443:E6462,K1443:K6462,"0",B1443:B6462,"5 1 1 1 3 12 31111 6 M59 93000 000132 0000R 00001 00113 015 2111100 2024 CP1RS429 001*")</f>
        <v>0</v>
      </c>
      <c r="E1442" s="54"/>
      <c r="F1442" s="83">
        <f>SUMIFS(F1443:F6462,K1443:K6462,"0",B1443:B6462,"5 1 1 1 3 12 31111 6 M59 93000 000132 0000R 00001 00113 015 2111100 2024 CP1RS429 001*")</f>
        <v>276646.88</v>
      </c>
      <c r="G1442" s="83">
        <f>SUMIFS(G1443:G6462,K1443:K6462,"0",B1443:B6462,"5 1 1 1 3 12 31111 6 M59 93000 000132 0000R 00001 00113 015 2111100 2024 CP1RS429 001*")</f>
        <v>0</v>
      </c>
      <c r="H1442" s="83">
        <f t="shared" si="22"/>
        <v>276646.88</v>
      </c>
      <c r="I1442" s="83"/>
      <c r="K1442" s="54" t="s">
        <v>15</v>
      </c>
    </row>
    <row r="1443" spans="2:11" ht="41.25" x14ac:dyDescent="0.2">
      <c r="B1443" s="84" t="s">
        <v>3642</v>
      </c>
      <c r="C1443" s="84" t="s">
        <v>2932</v>
      </c>
      <c r="D1443" s="85">
        <v>0</v>
      </c>
      <c r="E1443" s="85"/>
      <c r="F1443" s="85">
        <v>276646.88</v>
      </c>
      <c r="G1443" s="85">
        <v>0</v>
      </c>
      <c r="H1443" s="85">
        <f t="shared" si="22"/>
        <v>276646.88</v>
      </c>
      <c r="I1443" s="85"/>
      <c r="K1443" s="54" t="s">
        <v>38</v>
      </c>
    </row>
    <row r="1444" spans="2:11" ht="16.5" x14ac:dyDescent="0.2">
      <c r="B1444" s="82" t="s">
        <v>3643</v>
      </c>
      <c r="C1444" s="82" t="s">
        <v>3644</v>
      </c>
      <c r="D1444" s="83">
        <f>SUMIFS(D1445:D6462,K1445:K6462,"0",B1445:B6462,"5 1 1 1 3 12 31111 6 M59 94000*")-SUMIFS(E1445:E6462,K1445:K6462,"0",B1445:B6462,"5 1 1 1 3 12 31111 6 M59 94000*")</f>
        <v>0</v>
      </c>
      <c r="E1444" s="54"/>
      <c r="F1444" s="83">
        <f>SUMIFS(F1445:F6462,K1445:K6462,"0",B1445:B6462,"5 1 1 1 3 12 31111 6 M59 94000*")</f>
        <v>167194.14000000001</v>
      </c>
      <c r="G1444" s="83">
        <f>SUMIFS(G1445:G6462,K1445:K6462,"0",B1445:B6462,"5 1 1 1 3 12 31111 6 M59 94000*")</f>
        <v>0</v>
      </c>
      <c r="H1444" s="83">
        <f t="shared" si="22"/>
        <v>167194.14000000001</v>
      </c>
      <c r="I1444" s="83"/>
      <c r="K1444" s="54" t="s">
        <v>15</v>
      </c>
    </row>
    <row r="1445" spans="2:11" ht="24.75" x14ac:dyDescent="0.2">
      <c r="B1445" s="82" t="s">
        <v>3645</v>
      </c>
      <c r="C1445" s="82" t="s">
        <v>3152</v>
      </c>
      <c r="D1445" s="83">
        <f>SUMIFS(D1446:D6462,K1446:K6462,"0",B1446:B6462,"5 1 1 1 3 12 31111 6 M59 94000 000181*")-SUMIFS(E1446:E6462,K1446:K6462,"0",B1446:B6462,"5 1 1 1 3 12 31111 6 M59 94000 000181*")</f>
        <v>0</v>
      </c>
      <c r="E1445" s="54"/>
      <c r="F1445" s="83">
        <f>SUMIFS(F1446:F6462,K1446:K6462,"0",B1446:B6462,"5 1 1 1 3 12 31111 6 M59 94000 000181*")</f>
        <v>167194.14000000001</v>
      </c>
      <c r="G1445" s="83">
        <f>SUMIFS(G1446:G6462,K1446:K6462,"0",B1446:B6462,"5 1 1 1 3 12 31111 6 M59 94000 000181*")</f>
        <v>0</v>
      </c>
      <c r="H1445" s="83">
        <f t="shared" si="22"/>
        <v>167194.14000000001</v>
      </c>
      <c r="I1445" s="83"/>
      <c r="K1445" s="54" t="s">
        <v>15</v>
      </c>
    </row>
    <row r="1446" spans="2:11" ht="16.5" x14ac:dyDescent="0.2">
      <c r="B1446" s="82" t="s">
        <v>3646</v>
      </c>
      <c r="C1446" s="82" t="s">
        <v>650</v>
      </c>
      <c r="D1446" s="83">
        <f>SUMIFS(D1447:D6462,K1447:K6462,"0",B1447:B6462,"5 1 1 1 3 12 31111 6 M59 94000 000181 0000R*")-SUMIFS(E1447:E6462,K1447:K6462,"0",B1447:B6462,"5 1 1 1 3 12 31111 6 M59 94000 000181 0000R*")</f>
        <v>0</v>
      </c>
      <c r="E1446" s="54"/>
      <c r="F1446" s="83">
        <f>SUMIFS(F1447:F6462,K1447:K6462,"0",B1447:B6462,"5 1 1 1 3 12 31111 6 M59 94000 000181 0000R*")</f>
        <v>167194.14000000001</v>
      </c>
      <c r="G1446" s="83">
        <f>SUMIFS(G1447:G6462,K1447:K6462,"0",B1447:B6462,"5 1 1 1 3 12 31111 6 M59 94000 000181 0000R*")</f>
        <v>0</v>
      </c>
      <c r="H1446" s="83">
        <f t="shared" si="22"/>
        <v>167194.14000000001</v>
      </c>
      <c r="I1446" s="83"/>
      <c r="K1446" s="54" t="s">
        <v>15</v>
      </c>
    </row>
    <row r="1447" spans="2:11" ht="24.75" x14ac:dyDescent="0.2">
      <c r="B1447" s="82" t="s">
        <v>3647</v>
      </c>
      <c r="C1447" s="82" t="s">
        <v>282</v>
      </c>
      <c r="D1447" s="83">
        <f>SUMIFS(D1448:D6462,K1448:K6462,"0",B1448:B6462,"5 1 1 1 3 12 31111 6 M59 94000 000181 0000R 00001*")-SUMIFS(E1448:E6462,K1448:K6462,"0",B1448:B6462,"5 1 1 1 3 12 31111 6 M59 94000 000181 0000R 00001*")</f>
        <v>0</v>
      </c>
      <c r="E1447" s="54"/>
      <c r="F1447" s="83">
        <f>SUMIFS(F1448:F6462,K1448:K6462,"0",B1448:B6462,"5 1 1 1 3 12 31111 6 M59 94000 000181 0000R 00001*")</f>
        <v>167194.14000000001</v>
      </c>
      <c r="G1447" s="83">
        <f>SUMIFS(G1448:G6462,K1448:K6462,"0",B1448:B6462,"5 1 1 1 3 12 31111 6 M59 94000 000181 0000R 00001*")</f>
        <v>0</v>
      </c>
      <c r="H1447" s="83">
        <f t="shared" si="22"/>
        <v>167194.14000000001</v>
      </c>
      <c r="I1447" s="83"/>
      <c r="K1447" s="54" t="s">
        <v>15</v>
      </c>
    </row>
    <row r="1448" spans="2:11" ht="24.75" x14ac:dyDescent="0.2">
      <c r="B1448" s="82" t="s">
        <v>3648</v>
      </c>
      <c r="C1448" s="82" t="s">
        <v>2924</v>
      </c>
      <c r="D1448" s="83">
        <f>SUMIFS(D1449:D6462,K1449:K6462,"0",B1449:B6462,"5 1 1 1 3 12 31111 6 M59 94000 000181 0000R 00001 00113*")-SUMIFS(E1449:E6462,K1449:K6462,"0",B1449:B6462,"5 1 1 1 3 12 31111 6 M59 94000 000181 0000R 00001 00113*")</f>
        <v>0</v>
      </c>
      <c r="E1448" s="54"/>
      <c r="F1448" s="83">
        <f>SUMIFS(F1449:F6462,K1449:K6462,"0",B1449:B6462,"5 1 1 1 3 12 31111 6 M59 94000 000181 0000R 00001 00113*")</f>
        <v>167194.14000000001</v>
      </c>
      <c r="G1448" s="83">
        <f>SUMIFS(G1449:G6462,K1449:K6462,"0",B1449:B6462,"5 1 1 1 3 12 31111 6 M59 94000 000181 0000R 00001 00113*")</f>
        <v>0</v>
      </c>
      <c r="H1448" s="83">
        <f t="shared" si="22"/>
        <v>167194.14000000001</v>
      </c>
      <c r="I1448" s="83"/>
      <c r="K1448" s="54" t="s">
        <v>15</v>
      </c>
    </row>
    <row r="1449" spans="2:11" ht="24.75" x14ac:dyDescent="0.2">
      <c r="B1449" s="82" t="s">
        <v>3649</v>
      </c>
      <c r="C1449" s="82" t="s">
        <v>1051</v>
      </c>
      <c r="D1449" s="83">
        <f>SUMIFS(D1450:D6462,K1450:K6462,"0",B1450:B6462,"5 1 1 1 3 12 31111 6 M59 94000 000181 0000R 00001 00113 015*")-SUMIFS(E1450:E6462,K1450:K6462,"0",B1450:B6462,"5 1 1 1 3 12 31111 6 M59 94000 000181 0000R 00001 00113 015*")</f>
        <v>0</v>
      </c>
      <c r="E1449" s="54"/>
      <c r="F1449" s="83">
        <f>SUMIFS(F1450:F6462,K1450:K6462,"0",B1450:B6462,"5 1 1 1 3 12 31111 6 M59 94000 000181 0000R 00001 00113 015*")</f>
        <v>167194.14000000001</v>
      </c>
      <c r="G1449" s="83">
        <f>SUMIFS(G1450:G6462,K1450:K6462,"0",B1450:B6462,"5 1 1 1 3 12 31111 6 M59 94000 000181 0000R 00001 00113 015*")</f>
        <v>0</v>
      </c>
      <c r="H1449" s="83">
        <f t="shared" si="22"/>
        <v>167194.14000000001</v>
      </c>
      <c r="I1449" s="83"/>
      <c r="K1449" s="54" t="s">
        <v>15</v>
      </c>
    </row>
    <row r="1450" spans="2:11" ht="33" x14ac:dyDescent="0.2">
      <c r="B1450" s="82" t="s">
        <v>3650</v>
      </c>
      <c r="C1450" s="82" t="s">
        <v>2927</v>
      </c>
      <c r="D1450" s="83">
        <f>SUMIFS(D1451:D6462,K1451:K6462,"0",B1451:B6462,"5 1 1 1 3 12 31111 6 M59 94000 000181 0000R 00001 00113 015 2111100*")-SUMIFS(E1451:E6462,K1451:K6462,"0",B1451:B6462,"5 1 1 1 3 12 31111 6 M59 94000 000181 0000R 00001 00113 015 2111100*")</f>
        <v>0</v>
      </c>
      <c r="E1450" s="54"/>
      <c r="F1450" s="83">
        <f>SUMIFS(F1451:F6462,K1451:K6462,"0",B1451:B6462,"5 1 1 1 3 12 31111 6 M59 94000 000181 0000R 00001 00113 015 2111100*")</f>
        <v>167194.14000000001</v>
      </c>
      <c r="G1450" s="83">
        <f>SUMIFS(G1451:G6462,K1451:K6462,"0",B1451:B6462,"5 1 1 1 3 12 31111 6 M59 94000 000181 0000R 00001 00113 015 2111100*")</f>
        <v>0</v>
      </c>
      <c r="H1450" s="83">
        <f t="shared" si="22"/>
        <v>167194.14000000001</v>
      </c>
      <c r="I1450" s="83"/>
      <c r="K1450" s="54" t="s">
        <v>15</v>
      </c>
    </row>
    <row r="1451" spans="2:11" ht="33" x14ac:dyDescent="0.2">
      <c r="B1451" s="82" t="s">
        <v>3651</v>
      </c>
      <c r="C1451" s="82" t="s">
        <v>660</v>
      </c>
      <c r="D1451" s="83">
        <f>SUMIFS(D1452:D6462,K1452:K6462,"0",B1452:B6462,"5 1 1 1 3 12 31111 6 M59 94000 000181 0000R 00001 00113 015 2111100 2024*")-SUMIFS(E1452:E6462,K1452:K6462,"0",B1452:B6462,"5 1 1 1 3 12 31111 6 M59 94000 000181 0000R 00001 00113 015 2111100 2024*")</f>
        <v>0</v>
      </c>
      <c r="E1451" s="54"/>
      <c r="F1451" s="83">
        <f>SUMIFS(F1452:F6462,K1452:K6462,"0",B1452:B6462,"5 1 1 1 3 12 31111 6 M59 94000 000181 0000R 00001 00113 015 2111100 2024*")</f>
        <v>167194.14000000001</v>
      </c>
      <c r="G1451" s="83">
        <f>SUMIFS(G1452:G6462,K1452:K6462,"0",B1452:B6462,"5 1 1 1 3 12 31111 6 M59 94000 000181 0000R 00001 00113 015 2111100 2024*")</f>
        <v>0</v>
      </c>
      <c r="H1451" s="83">
        <f t="shared" ref="H1451:H1514" si="23">D1451 + F1451 - G1451</f>
        <v>167194.14000000001</v>
      </c>
      <c r="I1451" s="83"/>
      <c r="K1451" s="54" t="s">
        <v>15</v>
      </c>
    </row>
    <row r="1452" spans="2:11" ht="41.25" x14ac:dyDescent="0.2">
      <c r="B1452" s="82" t="s">
        <v>3652</v>
      </c>
      <c r="C1452" s="82" t="s">
        <v>1056</v>
      </c>
      <c r="D1452" s="83">
        <f>SUMIFS(D1453:D6462,K1453:K6462,"0",B1453:B6462,"5 1 1 1 3 12 31111 6 M59 94000 000181 0000R 00001 00113 015 2111100 2024 CP1OM392*")-SUMIFS(E1453:E6462,K1453:K6462,"0",B1453:B6462,"5 1 1 1 3 12 31111 6 M59 94000 000181 0000R 00001 00113 015 2111100 2024 CP1OM392*")</f>
        <v>0</v>
      </c>
      <c r="E1452" s="54"/>
      <c r="F1452" s="83">
        <f>SUMIFS(F1453:F6462,K1453:K6462,"0",B1453:B6462,"5 1 1 1 3 12 31111 6 M59 94000 000181 0000R 00001 00113 015 2111100 2024 CP1OM392*")</f>
        <v>167194.14000000001</v>
      </c>
      <c r="G1452" s="83">
        <f>SUMIFS(G1453:G6462,K1453:K6462,"0",B1453:B6462,"5 1 1 1 3 12 31111 6 M59 94000 000181 0000R 00001 00113 015 2111100 2024 CP1OM392*")</f>
        <v>0</v>
      </c>
      <c r="H1452" s="83">
        <f t="shared" si="23"/>
        <v>167194.14000000001</v>
      </c>
      <c r="I1452" s="83"/>
      <c r="K1452" s="54" t="s">
        <v>15</v>
      </c>
    </row>
    <row r="1453" spans="2:11" ht="41.25" x14ac:dyDescent="0.2">
      <c r="B1453" s="82" t="s">
        <v>3653</v>
      </c>
      <c r="C1453" s="82" t="s">
        <v>282</v>
      </c>
      <c r="D1453" s="83">
        <f>SUMIFS(D1454:D6462,K1454:K6462,"0",B1454:B6462,"5 1 1 1 3 12 31111 6 M59 94000 000181 0000R 00001 00113 015 2111100 2024 CP1OM392 001*")-SUMIFS(E1454:E6462,K1454:K6462,"0",B1454:B6462,"5 1 1 1 3 12 31111 6 M59 94000 000181 0000R 00001 00113 015 2111100 2024 CP1OM392 001*")</f>
        <v>0</v>
      </c>
      <c r="E1453" s="54"/>
      <c r="F1453" s="83">
        <f>SUMIFS(F1454:F6462,K1454:K6462,"0",B1454:B6462,"5 1 1 1 3 12 31111 6 M59 94000 000181 0000R 00001 00113 015 2111100 2024 CP1OM392 001*")</f>
        <v>167194.14000000001</v>
      </c>
      <c r="G1453" s="83">
        <f>SUMIFS(G1454:G6462,K1454:K6462,"0",B1454:B6462,"5 1 1 1 3 12 31111 6 M59 94000 000181 0000R 00001 00113 015 2111100 2024 CP1OM392 001*")</f>
        <v>0</v>
      </c>
      <c r="H1453" s="83">
        <f t="shared" si="23"/>
        <v>167194.14000000001</v>
      </c>
      <c r="I1453" s="83"/>
      <c r="K1453" s="54" t="s">
        <v>15</v>
      </c>
    </row>
    <row r="1454" spans="2:11" ht="33" x14ac:dyDescent="0.2">
      <c r="B1454" s="84" t="s">
        <v>3654</v>
      </c>
      <c r="C1454" s="84" t="s">
        <v>2932</v>
      </c>
      <c r="D1454" s="85">
        <v>0</v>
      </c>
      <c r="E1454" s="85"/>
      <c r="F1454" s="85">
        <v>167194.14000000001</v>
      </c>
      <c r="G1454" s="85">
        <v>0</v>
      </c>
      <c r="H1454" s="85">
        <f t="shared" si="23"/>
        <v>167194.14000000001</v>
      </c>
      <c r="I1454" s="85"/>
      <c r="K1454" s="54" t="s">
        <v>38</v>
      </c>
    </row>
    <row r="1455" spans="2:11" ht="16.5" x14ac:dyDescent="0.2">
      <c r="B1455" s="82" t="s">
        <v>3655</v>
      </c>
      <c r="C1455" s="82" t="s">
        <v>3656</v>
      </c>
      <c r="D1455" s="83">
        <f>SUMIFS(D1456:D6462,K1456:K6462,"0",B1456:B6462,"5 1 1 1 3 12 31111 6 M59 94100*")-SUMIFS(E1456:E6462,K1456:K6462,"0",B1456:B6462,"5 1 1 1 3 12 31111 6 M59 94100*")</f>
        <v>0</v>
      </c>
      <c r="E1455" s="54"/>
      <c r="F1455" s="83">
        <f>SUMIFS(F1456:F6462,K1456:K6462,"0",B1456:B6462,"5 1 1 1 3 12 31111 6 M59 94100*")</f>
        <v>61317.45</v>
      </c>
      <c r="G1455" s="83">
        <f>SUMIFS(G1456:G6462,K1456:K6462,"0",B1456:B6462,"5 1 1 1 3 12 31111 6 M59 94100*")</f>
        <v>0</v>
      </c>
      <c r="H1455" s="83">
        <f t="shared" si="23"/>
        <v>61317.45</v>
      </c>
      <c r="I1455" s="83"/>
      <c r="K1455" s="54" t="s">
        <v>15</v>
      </c>
    </row>
    <row r="1456" spans="2:11" ht="16.5" x14ac:dyDescent="0.2">
      <c r="B1456" s="82" t="s">
        <v>3657</v>
      </c>
      <c r="C1456" s="82" t="s">
        <v>648</v>
      </c>
      <c r="D1456" s="83">
        <f>SUMIFS(D1457:D6462,K1457:K6462,"0",B1457:B6462,"5 1 1 1 3 12 31111 6 M59 94100 000132*")-SUMIFS(E1457:E6462,K1457:K6462,"0",B1457:B6462,"5 1 1 1 3 12 31111 6 M59 94100 000132*")</f>
        <v>0</v>
      </c>
      <c r="E1456" s="54"/>
      <c r="F1456" s="83">
        <f>SUMIFS(F1457:F6462,K1457:K6462,"0",B1457:B6462,"5 1 1 1 3 12 31111 6 M59 94100 000132*")</f>
        <v>61317.45</v>
      </c>
      <c r="G1456" s="83">
        <f>SUMIFS(G1457:G6462,K1457:K6462,"0",B1457:B6462,"5 1 1 1 3 12 31111 6 M59 94100 000132*")</f>
        <v>0</v>
      </c>
      <c r="H1456" s="83">
        <f t="shared" si="23"/>
        <v>61317.45</v>
      </c>
      <c r="I1456" s="83"/>
      <c r="K1456" s="54" t="s">
        <v>15</v>
      </c>
    </row>
    <row r="1457" spans="2:11" ht="16.5" x14ac:dyDescent="0.2">
      <c r="B1457" s="82" t="s">
        <v>3658</v>
      </c>
      <c r="C1457" s="82" t="s">
        <v>650</v>
      </c>
      <c r="D1457" s="83">
        <f>SUMIFS(D1458:D6462,K1458:K6462,"0",B1458:B6462,"5 1 1 1 3 12 31111 6 M59 94100 000132 0000R*")-SUMIFS(E1458:E6462,K1458:K6462,"0",B1458:B6462,"5 1 1 1 3 12 31111 6 M59 94100 000132 0000R*")</f>
        <v>0</v>
      </c>
      <c r="E1457" s="54"/>
      <c r="F1457" s="83">
        <f>SUMIFS(F1458:F6462,K1458:K6462,"0",B1458:B6462,"5 1 1 1 3 12 31111 6 M59 94100 000132 0000R*")</f>
        <v>61317.45</v>
      </c>
      <c r="G1457" s="83">
        <f>SUMIFS(G1458:G6462,K1458:K6462,"0",B1458:B6462,"5 1 1 1 3 12 31111 6 M59 94100 000132 0000R*")</f>
        <v>0</v>
      </c>
      <c r="H1457" s="83">
        <f t="shared" si="23"/>
        <v>61317.45</v>
      </c>
      <c r="I1457" s="83"/>
      <c r="K1457" s="54" t="s">
        <v>15</v>
      </c>
    </row>
    <row r="1458" spans="2:11" ht="24.75" x14ac:dyDescent="0.2">
      <c r="B1458" s="82" t="s">
        <v>3659</v>
      </c>
      <c r="C1458" s="82" t="s">
        <v>282</v>
      </c>
      <c r="D1458" s="83">
        <f>SUMIFS(D1459:D6462,K1459:K6462,"0",B1459:B6462,"5 1 1 1 3 12 31111 6 M59 94100 000132 0000R 00001*")-SUMIFS(E1459:E6462,K1459:K6462,"0",B1459:B6462,"5 1 1 1 3 12 31111 6 M59 94100 000132 0000R 00001*")</f>
        <v>0</v>
      </c>
      <c r="E1458" s="54"/>
      <c r="F1458" s="83">
        <f>SUMIFS(F1459:F6462,K1459:K6462,"0",B1459:B6462,"5 1 1 1 3 12 31111 6 M59 94100 000132 0000R 00001*")</f>
        <v>61317.45</v>
      </c>
      <c r="G1458" s="83">
        <f>SUMIFS(G1459:G6462,K1459:K6462,"0",B1459:B6462,"5 1 1 1 3 12 31111 6 M59 94100 000132 0000R 00001*")</f>
        <v>0</v>
      </c>
      <c r="H1458" s="83">
        <f t="shared" si="23"/>
        <v>61317.45</v>
      </c>
      <c r="I1458" s="83"/>
      <c r="K1458" s="54" t="s">
        <v>15</v>
      </c>
    </row>
    <row r="1459" spans="2:11" ht="24.75" x14ac:dyDescent="0.2">
      <c r="B1459" s="82" t="s">
        <v>3660</v>
      </c>
      <c r="C1459" s="82" t="s">
        <v>2924</v>
      </c>
      <c r="D1459" s="83">
        <f>SUMIFS(D1460:D6462,K1460:K6462,"0",B1460:B6462,"5 1 1 1 3 12 31111 6 M59 94100 000132 0000R 00001 00113*")-SUMIFS(E1460:E6462,K1460:K6462,"0",B1460:B6462,"5 1 1 1 3 12 31111 6 M59 94100 000132 0000R 00001 00113*")</f>
        <v>0</v>
      </c>
      <c r="E1459" s="54"/>
      <c r="F1459" s="83">
        <f>SUMIFS(F1460:F6462,K1460:K6462,"0",B1460:B6462,"5 1 1 1 3 12 31111 6 M59 94100 000132 0000R 00001 00113*")</f>
        <v>61317.45</v>
      </c>
      <c r="G1459" s="83">
        <f>SUMIFS(G1460:G6462,K1460:K6462,"0",B1460:B6462,"5 1 1 1 3 12 31111 6 M59 94100 000132 0000R 00001 00113*")</f>
        <v>0</v>
      </c>
      <c r="H1459" s="83">
        <f t="shared" si="23"/>
        <v>61317.45</v>
      </c>
      <c r="I1459" s="83"/>
      <c r="K1459" s="54" t="s">
        <v>15</v>
      </c>
    </row>
    <row r="1460" spans="2:11" ht="24.75" x14ac:dyDescent="0.2">
      <c r="B1460" s="82" t="s">
        <v>3661</v>
      </c>
      <c r="C1460" s="82" t="s">
        <v>1051</v>
      </c>
      <c r="D1460" s="83">
        <f>SUMIFS(D1461:D6462,K1461:K6462,"0",B1461:B6462,"5 1 1 1 3 12 31111 6 M59 94100 000132 0000R 00001 00113 015*")-SUMIFS(E1461:E6462,K1461:K6462,"0",B1461:B6462,"5 1 1 1 3 12 31111 6 M59 94100 000132 0000R 00001 00113 015*")</f>
        <v>0</v>
      </c>
      <c r="E1460" s="54"/>
      <c r="F1460" s="83">
        <f>SUMIFS(F1461:F6462,K1461:K6462,"0",B1461:B6462,"5 1 1 1 3 12 31111 6 M59 94100 000132 0000R 00001 00113 015*")</f>
        <v>61317.45</v>
      </c>
      <c r="G1460" s="83">
        <f>SUMIFS(G1461:G6462,K1461:K6462,"0",B1461:B6462,"5 1 1 1 3 12 31111 6 M59 94100 000132 0000R 00001 00113 015*")</f>
        <v>0</v>
      </c>
      <c r="H1460" s="83">
        <f t="shared" si="23"/>
        <v>61317.45</v>
      </c>
      <c r="I1460" s="83"/>
      <c r="K1460" s="54" t="s">
        <v>15</v>
      </c>
    </row>
    <row r="1461" spans="2:11" ht="33" x14ac:dyDescent="0.2">
      <c r="B1461" s="82" t="s">
        <v>3662</v>
      </c>
      <c r="C1461" s="82" t="s">
        <v>2927</v>
      </c>
      <c r="D1461" s="83">
        <f>SUMIFS(D1462:D6462,K1462:K6462,"0",B1462:B6462,"5 1 1 1 3 12 31111 6 M59 94100 000132 0000R 00001 00113 015 2111100*")-SUMIFS(E1462:E6462,K1462:K6462,"0",B1462:B6462,"5 1 1 1 3 12 31111 6 M59 94100 000132 0000R 00001 00113 015 2111100*")</f>
        <v>0</v>
      </c>
      <c r="E1461" s="54"/>
      <c r="F1461" s="83">
        <f>SUMIFS(F1462:F6462,K1462:K6462,"0",B1462:B6462,"5 1 1 1 3 12 31111 6 M59 94100 000132 0000R 00001 00113 015 2111100*")</f>
        <v>61317.45</v>
      </c>
      <c r="G1461" s="83">
        <f>SUMIFS(G1462:G6462,K1462:K6462,"0",B1462:B6462,"5 1 1 1 3 12 31111 6 M59 94100 000132 0000R 00001 00113 015 2111100*")</f>
        <v>0</v>
      </c>
      <c r="H1461" s="83">
        <f t="shared" si="23"/>
        <v>61317.45</v>
      </c>
      <c r="I1461" s="83"/>
      <c r="K1461" s="54" t="s">
        <v>15</v>
      </c>
    </row>
    <row r="1462" spans="2:11" ht="33" x14ac:dyDescent="0.2">
      <c r="B1462" s="82" t="s">
        <v>3663</v>
      </c>
      <c r="C1462" s="82" t="s">
        <v>660</v>
      </c>
      <c r="D1462" s="83">
        <f>SUMIFS(D1463:D6462,K1463:K6462,"0",B1463:B6462,"5 1 1 1 3 12 31111 6 M59 94100 000132 0000R 00001 00113 015 2111100 2024*")-SUMIFS(E1463:E6462,K1463:K6462,"0",B1463:B6462,"5 1 1 1 3 12 31111 6 M59 94100 000132 0000R 00001 00113 015 2111100 2024*")</f>
        <v>0</v>
      </c>
      <c r="E1462" s="54"/>
      <c r="F1462" s="83">
        <f>SUMIFS(F1463:F6462,K1463:K6462,"0",B1463:B6462,"5 1 1 1 3 12 31111 6 M59 94100 000132 0000R 00001 00113 015 2111100 2024*")</f>
        <v>61317.45</v>
      </c>
      <c r="G1462" s="83">
        <f>SUMIFS(G1463:G6462,K1463:K6462,"0",B1463:B6462,"5 1 1 1 3 12 31111 6 M59 94100 000132 0000R 00001 00113 015 2111100 2024*")</f>
        <v>0</v>
      </c>
      <c r="H1462" s="83">
        <f t="shared" si="23"/>
        <v>61317.45</v>
      </c>
      <c r="I1462" s="83"/>
      <c r="K1462" s="54" t="s">
        <v>15</v>
      </c>
    </row>
    <row r="1463" spans="2:11" ht="41.25" x14ac:dyDescent="0.2">
      <c r="B1463" s="82" t="s">
        <v>3664</v>
      </c>
      <c r="C1463" s="82" t="s">
        <v>1056</v>
      </c>
      <c r="D1463" s="83">
        <f>SUMIFS(D1464:D6462,K1464:K6462,"0",B1464:B6462,"5 1 1 1 3 12 31111 6 M59 94100 000132 0000R 00001 00113 015 2111100 2024 CP1AT427*")-SUMIFS(E1464:E6462,K1464:K6462,"0",B1464:B6462,"5 1 1 1 3 12 31111 6 M59 94100 000132 0000R 00001 00113 015 2111100 2024 CP1AT427*")</f>
        <v>0</v>
      </c>
      <c r="E1463" s="54"/>
      <c r="F1463" s="83">
        <f>SUMIFS(F1464:F6462,K1464:K6462,"0",B1464:B6462,"5 1 1 1 3 12 31111 6 M59 94100 000132 0000R 00001 00113 015 2111100 2024 CP1AT427*")</f>
        <v>61317.45</v>
      </c>
      <c r="G1463" s="83">
        <f>SUMIFS(G1464:G6462,K1464:K6462,"0",B1464:B6462,"5 1 1 1 3 12 31111 6 M59 94100 000132 0000R 00001 00113 015 2111100 2024 CP1AT427*")</f>
        <v>0</v>
      </c>
      <c r="H1463" s="83">
        <f t="shared" si="23"/>
        <v>61317.45</v>
      </c>
      <c r="I1463" s="83"/>
      <c r="K1463" s="54" t="s">
        <v>15</v>
      </c>
    </row>
    <row r="1464" spans="2:11" ht="41.25" x14ac:dyDescent="0.2">
      <c r="B1464" s="82" t="s">
        <v>3665</v>
      </c>
      <c r="C1464" s="82" t="s">
        <v>282</v>
      </c>
      <c r="D1464" s="83">
        <f>SUMIFS(D1465:D6462,K1465:K6462,"0",B1465:B6462,"5 1 1 1 3 12 31111 6 M59 94100 000132 0000R 00001 00113 015 2111100 2024 CP1AT427 001*")-SUMIFS(E1465:E6462,K1465:K6462,"0",B1465:B6462,"5 1 1 1 3 12 31111 6 M59 94100 000132 0000R 00001 00113 015 2111100 2024 CP1AT427 001*")</f>
        <v>0</v>
      </c>
      <c r="E1464" s="54"/>
      <c r="F1464" s="83">
        <f>SUMIFS(F1465:F6462,K1465:K6462,"0",B1465:B6462,"5 1 1 1 3 12 31111 6 M59 94100 000132 0000R 00001 00113 015 2111100 2024 CP1AT427 001*")</f>
        <v>61317.45</v>
      </c>
      <c r="G1464" s="83">
        <f>SUMIFS(G1465:G6462,K1465:K6462,"0",B1465:B6462,"5 1 1 1 3 12 31111 6 M59 94100 000132 0000R 00001 00113 015 2111100 2024 CP1AT427 001*")</f>
        <v>0</v>
      </c>
      <c r="H1464" s="83">
        <f t="shared" si="23"/>
        <v>61317.45</v>
      </c>
      <c r="I1464" s="83"/>
      <c r="K1464" s="54" t="s">
        <v>15</v>
      </c>
    </row>
    <row r="1465" spans="2:11" ht="33" x14ac:dyDescent="0.2">
      <c r="B1465" s="84" t="s">
        <v>3666</v>
      </c>
      <c r="C1465" s="84" t="s">
        <v>2932</v>
      </c>
      <c r="D1465" s="85">
        <v>0</v>
      </c>
      <c r="E1465" s="85"/>
      <c r="F1465" s="85">
        <v>61317.45</v>
      </c>
      <c r="G1465" s="85">
        <v>0</v>
      </c>
      <c r="H1465" s="85">
        <f t="shared" si="23"/>
        <v>61317.45</v>
      </c>
      <c r="I1465" s="85"/>
      <c r="K1465" s="54" t="s">
        <v>38</v>
      </c>
    </row>
    <row r="1466" spans="2:11" ht="16.5" x14ac:dyDescent="0.2">
      <c r="B1466" s="82" t="s">
        <v>3667</v>
      </c>
      <c r="C1466" s="82" t="s">
        <v>3668</v>
      </c>
      <c r="D1466" s="83">
        <f>SUMIFS(D1467:D6462,K1467:K6462,"0",B1467:B6462,"5 1 1 1 3 12 31111 6 M59 95000*")-SUMIFS(E1467:E6462,K1467:K6462,"0",B1467:B6462,"5 1 1 1 3 12 31111 6 M59 95000*")</f>
        <v>0</v>
      </c>
      <c r="E1466" s="54"/>
      <c r="F1466" s="83">
        <f>SUMIFS(F1467:F6462,K1467:K6462,"0",B1467:B6462,"5 1 1 1 3 12 31111 6 M59 95000*")</f>
        <v>394553.85</v>
      </c>
      <c r="G1466" s="83">
        <f>SUMIFS(G1467:G6462,K1467:K6462,"0",B1467:B6462,"5 1 1 1 3 12 31111 6 M59 95000*")</f>
        <v>0</v>
      </c>
      <c r="H1466" s="83">
        <f t="shared" si="23"/>
        <v>394553.85</v>
      </c>
      <c r="I1466" s="83"/>
      <c r="K1466" s="54" t="s">
        <v>15</v>
      </c>
    </row>
    <row r="1467" spans="2:11" ht="16.5" x14ac:dyDescent="0.2">
      <c r="B1467" s="82" t="s">
        <v>3669</v>
      </c>
      <c r="C1467" s="82" t="s">
        <v>1063</v>
      </c>
      <c r="D1467" s="83">
        <f>SUMIFS(D1468:D6462,K1468:K6462,"0",B1468:B6462,"5 1 1 1 3 12 31111 6 M59 95000 000139*")-SUMIFS(E1468:E6462,K1468:K6462,"0",B1468:B6462,"5 1 1 1 3 12 31111 6 M59 95000 000139*")</f>
        <v>0</v>
      </c>
      <c r="E1467" s="54"/>
      <c r="F1467" s="83">
        <f>SUMIFS(F1468:F6462,K1468:K6462,"0",B1468:B6462,"5 1 1 1 3 12 31111 6 M59 95000 000139*")</f>
        <v>394553.85</v>
      </c>
      <c r="G1467" s="83">
        <f>SUMIFS(G1468:G6462,K1468:K6462,"0",B1468:B6462,"5 1 1 1 3 12 31111 6 M59 95000 000139*")</f>
        <v>0</v>
      </c>
      <c r="H1467" s="83">
        <f t="shared" si="23"/>
        <v>394553.85</v>
      </c>
      <c r="I1467" s="83"/>
      <c r="K1467" s="54" t="s">
        <v>15</v>
      </c>
    </row>
    <row r="1468" spans="2:11" ht="24.75" x14ac:dyDescent="0.2">
      <c r="B1468" s="82" t="s">
        <v>3670</v>
      </c>
      <c r="C1468" s="82" t="s">
        <v>3671</v>
      </c>
      <c r="D1468" s="83">
        <f>SUMIFS(D1469:D6462,K1469:K6462,"0",B1469:B6462,"5 1 1 1 3 12 31111 6 M59 95000 000139 0000L*")-SUMIFS(E1469:E6462,K1469:K6462,"0",B1469:B6462,"5 1 1 1 3 12 31111 6 M59 95000 000139 0000L*")</f>
        <v>0</v>
      </c>
      <c r="E1468" s="54"/>
      <c r="F1468" s="83">
        <f>SUMIFS(F1469:F6462,K1469:K6462,"0",B1469:B6462,"5 1 1 1 3 12 31111 6 M59 95000 000139 0000L*")</f>
        <v>394553.85</v>
      </c>
      <c r="G1468" s="83">
        <f>SUMIFS(G1469:G6462,K1469:K6462,"0",B1469:B6462,"5 1 1 1 3 12 31111 6 M59 95000 000139 0000L*")</f>
        <v>0</v>
      </c>
      <c r="H1468" s="83">
        <f t="shared" si="23"/>
        <v>394553.85</v>
      </c>
      <c r="I1468" s="83"/>
      <c r="K1468" s="54" t="s">
        <v>15</v>
      </c>
    </row>
    <row r="1469" spans="2:11" ht="24.75" x14ac:dyDescent="0.2">
      <c r="B1469" s="82" t="s">
        <v>3672</v>
      </c>
      <c r="C1469" s="82" t="s">
        <v>282</v>
      </c>
      <c r="D1469" s="83">
        <f>SUMIFS(D1470:D6462,K1470:K6462,"0",B1470:B6462,"5 1 1 1 3 12 31111 6 M59 95000 000139 0000L 00001*")-SUMIFS(E1470:E6462,K1470:K6462,"0",B1470:B6462,"5 1 1 1 3 12 31111 6 M59 95000 000139 0000L 00001*")</f>
        <v>0</v>
      </c>
      <c r="E1469" s="54"/>
      <c r="F1469" s="83">
        <f>SUMIFS(F1470:F6462,K1470:K6462,"0",B1470:B6462,"5 1 1 1 3 12 31111 6 M59 95000 000139 0000L 00001*")</f>
        <v>394553.85</v>
      </c>
      <c r="G1469" s="83">
        <f>SUMIFS(G1470:G6462,K1470:K6462,"0",B1470:B6462,"5 1 1 1 3 12 31111 6 M59 95000 000139 0000L 00001*")</f>
        <v>0</v>
      </c>
      <c r="H1469" s="83">
        <f t="shared" si="23"/>
        <v>394553.85</v>
      </c>
      <c r="I1469" s="83"/>
      <c r="K1469" s="54" t="s">
        <v>15</v>
      </c>
    </row>
    <row r="1470" spans="2:11" ht="24.75" x14ac:dyDescent="0.2">
      <c r="B1470" s="82" t="s">
        <v>3673</v>
      </c>
      <c r="C1470" s="82" t="s">
        <v>2924</v>
      </c>
      <c r="D1470" s="83">
        <f>SUMIFS(D1471:D6462,K1471:K6462,"0",B1471:B6462,"5 1 1 1 3 12 31111 6 M59 95000 000139 0000L 00001 00113*")-SUMIFS(E1471:E6462,K1471:K6462,"0",B1471:B6462,"5 1 1 1 3 12 31111 6 M59 95000 000139 0000L 00001 00113*")</f>
        <v>0</v>
      </c>
      <c r="E1470" s="54"/>
      <c r="F1470" s="83">
        <f>SUMIFS(F1471:F6462,K1471:K6462,"0",B1471:B6462,"5 1 1 1 3 12 31111 6 M59 95000 000139 0000L 00001 00113*")</f>
        <v>394553.85</v>
      </c>
      <c r="G1470" s="83">
        <f>SUMIFS(G1471:G6462,K1471:K6462,"0",B1471:B6462,"5 1 1 1 3 12 31111 6 M59 95000 000139 0000L 00001 00113*")</f>
        <v>0</v>
      </c>
      <c r="H1470" s="83">
        <f t="shared" si="23"/>
        <v>394553.85</v>
      </c>
      <c r="I1470" s="83"/>
      <c r="K1470" s="54" t="s">
        <v>15</v>
      </c>
    </row>
    <row r="1471" spans="2:11" ht="24.75" x14ac:dyDescent="0.2">
      <c r="B1471" s="82" t="s">
        <v>3674</v>
      </c>
      <c r="C1471" s="82" t="s">
        <v>1051</v>
      </c>
      <c r="D1471" s="83">
        <f>SUMIFS(D1472:D6462,K1472:K6462,"0",B1472:B6462,"5 1 1 1 3 12 31111 6 M59 95000 000139 0000L 00001 00113 015*")-SUMIFS(E1472:E6462,K1472:K6462,"0",B1472:B6462,"5 1 1 1 3 12 31111 6 M59 95000 000139 0000L 00001 00113 015*")</f>
        <v>0</v>
      </c>
      <c r="E1471" s="54"/>
      <c r="F1471" s="83">
        <f>SUMIFS(F1472:F6462,K1472:K6462,"0",B1472:B6462,"5 1 1 1 3 12 31111 6 M59 95000 000139 0000L 00001 00113 015*")</f>
        <v>394553.85</v>
      </c>
      <c r="G1471" s="83">
        <f>SUMIFS(G1472:G6462,K1472:K6462,"0",B1472:B6462,"5 1 1 1 3 12 31111 6 M59 95000 000139 0000L 00001 00113 015*")</f>
        <v>0</v>
      </c>
      <c r="H1471" s="83">
        <f t="shared" si="23"/>
        <v>394553.85</v>
      </c>
      <c r="I1471" s="83"/>
      <c r="K1471" s="54" t="s">
        <v>15</v>
      </c>
    </row>
    <row r="1472" spans="2:11" ht="33" x14ac:dyDescent="0.2">
      <c r="B1472" s="82" t="s">
        <v>3675</v>
      </c>
      <c r="C1472" s="82" t="s">
        <v>2927</v>
      </c>
      <c r="D1472" s="83">
        <f>SUMIFS(D1473:D6462,K1473:K6462,"0",B1473:B6462,"5 1 1 1 3 12 31111 6 M59 95000 000139 0000L 00001 00113 015 2111100*")-SUMIFS(E1473:E6462,K1473:K6462,"0",B1473:B6462,"5 1 1 1 3 12 31111 6 M59 95000 000139 0000L 00001 00113 015 2111100*")</f>
        <v>0</v>
      </c>
      <c r="E1472" s="54"/>
      <c r="F1472" s="83">
        <f>SUMIFS(F1473:F6462,K1473:K6462,"0",B1473:B6462,"5 1 1 1 3 12 31111 6 M59 95000 000139 0000L 00001 00113 015 2111100*")</f>
        <v>394553.85</v>
      </c>
      <c r="G1472" s="83">
        <f>SUMIFS(G1473:G6462,K1473:K6462,"0",B1473:B6462,"5 1 1 1 3 12 31111 6 M59 95000 000139 0000L 00001 00113 015 2111100*")</f>
        <v>0</v>
      </c>
      <c r="H1472" s="83">
        <f t="shared" si="23"/>
        <v>394553.85</v>
      </c>
      <c r="I1472" s="83"/>
      <c r="K1472" s="54" t="s">
        <v>15</v>
      </c>
    </row>
    <row r="1473" spans="2:11" ht="33" x14ac:dyDescent="0.2">
      <c r="B1473" s="82" t="s">
        <v>3676</v>
      </c>
      <c r="C1473" s="82" t="s">
        <v>660</v>
      </c>
      <c r="D1473" s="83">
        <f>SUMIFS(D1474:D6462,K1474:K6462,"0",B1474:B6462,"5 1 1 1 3 12 31111 6 M59 95000 000139 0000L 00001 00113 015 2111100 2024*")-SUMIFS(E1474:E6462,K1474:K6462,"0",B1474:B6462,"5 1 1 1 3 12 31111 6 M59 95000 000139 0000L 00001 00113 015 2111100 2024*")</f>
        <v>0</v>
      </c>
      <c r="E1473" s="54"/>
      <c r="F1473" s="83">
        <f>SUMIFS(F1474:F6462,K1474:K6462,"0",B1474:B6462,"5 1 1 1 3 12 31111 6 M59 95000 000139 0000L 00001 00113 015 2111100 2024*")</f>
        <v>394553.85</v>
      </c>
      <c r="G1473" s="83">
        <f>SUMIFS(G1474:G6462,K1474:K6462,"0",B1474:B6462,"5 1 1 1 3 12 31111 6 M59 95000 000139 0000L 00001 00113 015 2111100 2024*")</f>
        <v>0</v>
      </c>
      <c r="H1473" s="83">
        <f t="shared" si="23"/>
        <v>394553.85</v>
      </c>
      <c r="I1473" s="83"/>
      <c r="K1473" s="54" t="s">
        <v>15</v>
      </c>
    </row>
    <row r="1474" spans="2:11" ht="41.25" x14ac:dyDescent="0.2">
      <c r="B1474" s="82" t="s">
        <v>3677</v>
      </c>
      <c r="C1474" s="82" t="s">
        <v>1056</v>
      </c>
      <c r="D1474" s="83">
        <f>SUMIFS(D1475:D6462,K1475:K6462,"0",B1475:B6462,"5 1 1 1 3 12 31111 6 M59 95000 000139 0000L 00001 00113 015 2111100 2024 CP1AJ437*")-SUMIFS(E1475:E6462,K1475:K6462,"0",B1475:B6462,"5 1 1 1 3 12 31111 6 M59 95000 000139 0000L 00001 00113 015 2111100 2024 CP1AJ437*")</f>
        <v>0</v>
      </c>
      <c r="E1474" s="54"/>
      <c r="F1474" s="83">
        <f>SUMIFS(F1475:F6462,K1475:K6462,"0",B1475:B6462,"5 1 1 1 3 12 31111 6 M59 95000 000139 0000L 00001 00113 015 2111100 2024 CP1AJ437*")</f>
        <v>394553.85</v>
      </c>
      <c r="G1474" s="83">
        <f>SUMIFS(G1475:G6462,K1475:K6462,"0",B1475:B6462,"5 1 1 1 3 12 31111 6 M59 95000 000139 0000L 00001 00113 015 2111100 2024 CP1AJ437*")</f>
        <v>0</v>
      </c>
      <c r="H1474" s="83">
        <f t="shared" si="23"/>
        <v>394553.85</v>
      </c>
      <c r="I1474" s="83"/>
      <c r="K1474" s="54" t="s">
        <v>15</v>
      </c>
    </row>
    <row r="1475" spans="2:11" ht="41.25" x14ac:dyDescent="0.2">
      <c r="B1475" s="82" t="s">
        <v>3678</v>
      </c>
      <c r="C1475" s="82" t="s">
        <v>282</v>
      </c>
      <c r="D1475" s="83">
        <f>SUMIFS(D1476:D6462,K1476:K6462,"0",B1476:B6462,"5 1 1 1 3 12 31111 6 M59 95000 000139 0000L 00001 00113 015 2111100 2024 CP1AJ437 001*")-SUMIFS(E1476:E6462,K1476:K6462,"0",B1476:B6462,"5 1 1 1 3 12 31111 6 M59 95000 000139 0000L 00001 00113 015 2111100 2024 CP1AJ437 001*")</f>
        <v>0</v>
      </c>
      <c r="E1475" s="54"/>
      <c r="F1475" s="83">
        <f>SUMIFS(F1476:F6462,K1476:K6462,"0",B1476:B6462,"5 1 1 1 3 12 31111 6 M59 95000 000139 0000L 00001 00113 015 2111100 2024 CP1AJ437 001*")</f>
        <v>394553.85</v>
      </c>
      <c r="G1475" s="83">
        <f>SUMIFS(G1476:G6462,K1476:K6462,"0",B1476:B6462,"5 1 1 1 3 12 31111 6 M59 95000 000139 0000L 00001 00113 015 2111100 2024 CP1AJ437 001*")</f>
        <v>0</v>
      </c>
      <c r="H1475" s="83">
        <f t="shared" si="23"/>
        <v>394553.85</v>
      </c>
      <c r="I1475" s="83"/>
      <c r="K1475" s="54" t="s">
        <v>15</v>
      </c>
    </row>
    <row r="1476" spans="2:11" ht="33" x14ac:dyDescent="0.2">
      <c r="B1476" s="84" t="s">
        <v>3679</v>
      </c>
      <c r="C1476" s="84" t="s">
        <v>2932</v>
      </c>
      <c r="D1476" s="85">
        <v>0</v>
      </c>
      <c r="E1476" s="85"/>
      <c r="F1476" s="85">
        <v>394553.85</v>
      </c>
      <c r="G1476" s="85">
        <v>0</v>
      </c>
      <c r="H1476" s="85">
        <f t="shared" si="23"/>
        <v>394553.85</v>
      </c>
      <c r="I1476" s="85"/>
      <c r="K1476" s="54" t="s">
        <v>38</v>
      </c>
    </row>
    <row r="1477" spans="2:11" ht="16.5" x14ac:dyDescent="0.2">
      <c r="B1477" s="82" t="s">
        <v>3680</v>
      </c>
      <c r="C1477" s="82" t="s">
        <v>3681</v>
      </c>
      <c r="D1477" s="83">
        <f>SUMIFS(D1478:D6462,K1478:K6462,"0",B1478:B6462,"5 1 1 1 3 12 31111 6 M59 96000*")-SUMIFS(E1478:E6462,K1478:K6462,"0",B1478:B6462,"5 1 1 1 3 12 31111 6 M59 96000*")</f>
        <v>0</v>
      </c>
      <c r="E1477" s="54"/>
      <c r="F1477" s="83">
        <f>SUMIFS(F1478:F6462,K1478:K6462,"0",B1478:B6462,"5 1 1 1 3 12 31111 6 M59 96000*")</f>
        <v>240202.09</v>
      </c>
      <c r="G1477" s="83">
        <f>SUMIFS(G1478:G6462,K1478:K6462,"0",B1478:B6462,"5 1 1 1 3 12 31111 6 M59 96000*")</f>
        <v>0</v>
      </c>
      <c r="H1477" s="83">
        <f t="shared" si="23"/>
        <v>240202.09</v>
      </c>
      <c r="I1477" s="83"/>
      <c r="K1477" s="54" t="s">
        <v>15</v>
      </c>
    </row>
    <row r="1478" spans="2:11" ht="16.5" x14ac:dyDescent="0.2">
      <c r="B1478" s="82" t="s">
        <v>3682</v>
      </c>
      <c r="C1478" s="82" t="s">
        <v>648</v>
      </c>
      <c r="D1478" s="83">
        <f>SUMIFS(D1479:D6462,K1479:K6462,"0",B1479:B6462,"5 1 1 1 3 12 31111 6 M59 96000 000132*")-SUMIFS(E1479:E6462,K1479:K6462,"0",B1479:B6462,"5 1 1 1 3 12 31111 6 M59 96000 000132*")</f>
        <v>0</v>
      </c>
      <c r="E1478" s="54"/>
      <c r="F1478" s="83">
        <f>SUMIFS(F1479:F6462,K1479:K6462,"0",B1479:B6462,"5 1 1 1 3 12 31111 6 M59 96000 000132*")</f>
        <v>240202.09</v>
      </c>
      <c r="G1478" s="83">
        <f>SUMIFS(G1479:G6462,K1479:K6462,"0",B1479:B6462,"5 1 1 1 3 12 31111 6 M59 96000 000132*")</f>
        <v>0</v>
      </c>
      <c r="H1478" s="83">
        <f t="shared" si="23"/>
        <v>240202.09</v>
      </c>
      <c r="I1478" s="83"/>
      <c r="K1478" s="54" t="s">
        <v>15</v>
      </c>
    </row>
    <row r="1479" spans="2:11" ht="16.5" x14ac:dyDescent="0.2">
      <c r="B1479" s="82" t="s">
        <v>3683</v>
      </c>
      <c r="C1479" s="82" t="s">
        <v>650</v>
      </c>
      <c r="D1479" s="83">
        <f>SUMIFS(D1480:D6462,K1480:K6462,"0",B1480:B6462,"5 1 1 1 3 12 31111 6 M59 96000 000132 0000R*")-SUMIFS(E1480:E6462,K1480:K6462,"0",B1480:B6462,"5 1 1 1 3 12 31111 6 M59 96000 000132 0000R*")</f>
        <v>0</v>
      </c>
      <c r="E1479" s="54"/>
      <c r="F1479" s="83">
        <f>SUMIFS(F1480:F6462,K1480:K6462,"0",B1480:B6462,"5 1 1 1 3 12 31111 6 M59 96000 000132 0000R*")</f>
        <v>240202.09</v>
      </c>
      <c r="G1479" s="83">
        <f>SUMIFS(G1480:G6462,K1480:K6462,"0",B1480:B6462,"5 1 1 1 3 12 31111 6 M59 96000 000132 0000R*")</f>
        <v>0</v>
      </c>
      <c r="H1479" s="83">
        <f t="shared" si="23"/>
        <v>240202.09</v>
      </c>
      <c r="I1479" s="83"/>
      <c r="K1479" s="54" t="s">
        <v>15</v>
      </c>
    </row>
    <row r="1480" spans="2:11" ht="24.75" x14ac:dyDescent="0.2">
      <c r="B1480" s="82" t="s">
        <v>3684</v>
      </c>
      <c r="C1480" s="82" t="s">
        <v>282</v>
      </c>
      <c r="D1480" s="83">
        <f>SUMIFS(D1481:D6462,K1481:K6462,"0",B1481:B6462,"5 1 1 1 3 12 31111 6 M59 96000 000132 0000R 00001*")-SUMIFS(E1481:E6462,K1481:K6462,"0",B1481:B6462,"5 1 1 1 3 12 31111 6 M59 96000 000132 0000R 00001*")</f>
        <v>0</v>
      </c>
      <c r="E1480" s="54"/>
      <c r="F1480" s="83">
        <f>SUMIFS(F1481:F6462,K1481:K6462,"0",B1481:B6462,"5 1 1 1 3 12 31111 6 M59 96000 000132 0000R 00001*")</f>
        <v>240202.09</v>
      </c>
      <c r="G1480" s="83">
        <f>SUMIFS(G1481:G6462,K1481:K6462,"0",B1481:B6462,"5 1 1 1 3 12 31111 6 M59 96000 000132 0000R 00001*")</f>
        <v>0</v>
      </c>
      <c r="H1480" s="83">
        <f t="shared" si="23"/>
        <v>240202.09</v>
      </c>
      <c r="I1480" s="83"/>
      <c r="K1480" s="54" t="s">
        <v>15</v>
      </c>
    </row>
    <row r="1481" spans="2:11" ht="24.75" x14ac:dyDescent="0.2">
      <c r="B1481" s="82" t="s">
        <v>3685</v>
      </c>
      <c r="C1481" s="82" t="s">
        <v>2924</v>
      </c>
      <c r="D1481" s="83">
        <f>SUMIFS(D1482:D6462,K1482:K6462,"0",B1482:B6462,"5 1 1 1 3 12 31111 6 M59 96000 000132 0000R 00001 00113*")-SUMIFS(E1482:E6462,K1482:K6462,"0",B1482:B6462,"5 1 1 1 3 12 31111 6 M59 96000 000132 0000R 00001 00113*")</f>
        <v>0</v>
      </c>
      <c r="E1481" s="54"/>
      <c r="F1481" s="83">
        <f>SUMIFS(F1482:F6462,K1482:K6462,"0",B1482:B6462,"5 1 1 1 3 12 31111 6 M59 96000 000132 0000R 00001 00113*")</f>
        <v>240202.09</v>
      </c>
      <c r="G1481" s="83">
        <f>SUMIFS(G1482:G6462,K1482:K6462,"0",B1482:B6462,"5 1 1 1 3 12 31111 6 M59 96000 000132 0000R 00001 00113*")</f>
        <v>0</v>
      </c>
      <c r="H1481" s="83">
        <f t="shared" si="23"/>
        <v>240202.09</v>
      </c>
      <c r="I1481" s="83"/>
      <c r="K1481" s="54" t="s">
        <v>15</v>
      </c>
    </row>
    <row r="1482" spans="2:11" ht="24.75" x14ac:dyDescent="0.2">
      <c r="B1482" s="82" t="s">
        <v>3686</v>
      </c>
      <c r="C1482" s="82" t="s">
        <v>1051</v>
      </c>
      <c r="D1482" s="83">
        <f>SUMIFS(D1483:D6462,K1483:K6462,"0",B1483:B6462,"5 1 1 1 3 12 31111 6 M59 96000 000132 0000R 00001 00113 015*")-SUMIFS(E1483:E6462,K1483:K6462,"0",B1483:B6462,"5 1 1 1 3 12 31111 6 M59 96000 000132 0000R 00001 00113 015*")</f>
        <v>0</v>
      </c>
      <c r="E1482" s="54"/>
      <c r="F1482" s="83">
        <f>SUMIFS(F1483:F6462,K1483:K6462,"0",B1483:B6462,"5 1 1 1 3 12 31111 6 M59 96000 000132 0000R 00001 00113 015*")</f>
        <v>240202.09</v>
      </c>
      <c r="G1482" s="83">
        <f>SUMIFS(G1483:G6462,K1483:K6462,"0",B1483:B6462,"5 1 1 1 3 12 31111 6 M59 96000 000132 0000R 00001 00113 015*")</f>
        <v>0</v>
      </c>
      <c r="H1482" s="83">
        <f t="shared" si="23"/>
        <v>240202.09</v>
      </c>
      <c r="I1482" s="83"/>
      <c r="K1482" s="54" t="s">
        <v>15</v>
      </c>
    </row>
    <row r="1483" spans="2:11" ht="33" x14ac:dyDescent="0.2">
      <c r="B1483" s="82" t="s">
        <v>3687</v>
      </c>
      <c r="C1483" s="82" t="s">
        <v>2927</v>
      </c>
      <c r="D1483" s="83">
        <f>SUMIFS(D1484:D6462,K1484:K6462,"0",B1484:B6462,"5 1 1 1 3 12 31111 6 M59 96000 000132 0000R 00001 00113 015 2111100*")-SUMIFS(E1484:E6462,K1484:K6462,"0",B1484:B6462,"5 1 1 1 3 12 31111 6 M59 96000 000132 0000R 00001 00113 015 2111100*")</f>
        <v>0</v>
      </c>
      <c r="E1483" s="54"/>
      <c r="F1483" s="83">
        <f>SUMIFS(F1484:F6462,K1484:K6462,"0",B1484:B6462,"5 1 1 1 3 12 31111 6 M59 96000 000132 0000R 00001 00113 015 2111100*")</f>
        <v>240202.09</v>
      </c>
      <c r="G1483" s="83">
        <f>SUMIFS(G1484:G6462,K1484:K6462,"0",B1484:B6462,"5 1 1 1 3 12 31111 6 M59 96000 000132 0000R 00001 00113 015 2111100*")</f>
        <v>0</v>
      </c>
      <c r="H1483" s="83">
        <f t="shared" si="23"/>
        <v>240202.09</v>
      </c>
      <c r="I1483" s="83"/>
      <c r="K1483" s="54" t="s">
        <v>15</v>
      </c>
    </row>
    <row r="1484" spans="2:11" ht="33" x14ac:dyDescent="0.2">
      <c r="B1484" s="82" t="s">
        <v>3688</v>
      </c>
      <c r="C1484" s="82" t="s">
        <v>660</v>
      </c>
      <c r="D1484" s="83">
        <f>SUMIFS(D1485:D6462,K1485:K6462,"0",B1485:B6462,"5 1 1 1 3 12 31111 6 M59 96000 000132 0000R 00001 00113 015 2111100 2024*")-SUMIFS(E1485:E6462,K1485:K6462,"0",B1485:B6462,"5 1 1 1 3 12 31111 6 M59 96000 000132 0000R 00001 00113 015 2111100 2024*")</f>
        <v>0</v>
      </c>
      <c r="E1484" s="54"/>
      <c r="F1484" s="83">
        <f>SUMIFS(F1485:F6462,K1485:K6462,"0",B1485:B6462,"5 1 1 1 3 12 31111 6 M59 96000 000132 0000R 00001 00113 015 2111100 2024*")</f>
        <v>240202.09</v>
      </c>
      <c r="G1484" s="83">
        <f>SUMIFS(G1485:G6462,K1485:K6462,"0",B1485:B6462,"5 1 1 1 3 12 31111 6 M59 96000 000132 0000R 00001 00113 015 2111100 2024*")</f>
        <v>0</v>
      </c>
      <c r="H1484" s="83">
        <f t="shared" si="23"/>
        <v>240202.09</v>
      </c>
      <c r="I1484" s="83"/>
      <c r="K1484" s="54" t="s">
        <v>15</v>
      </c>
    </row>
    <row r="1485" spans="2:11" ht="41.25" x14ac:dyDescent="0.2">
      <c r="B1485" s="82" t="s">
        <v>3689</v>
      </c>
      <c r="C1485" s="82" t="s">
        <v>662</v>
      </c>
      <c r="D1485" s="83">
        <f>SUMIFS(D1486:D6462,K1486:K6462,"0",B1486:B6462,"5 1 1 1 3 12 31111 6 M59 96000 000132 0000R 00001 00113 015 2111100 2024 CP1PA379*")-SUMIFS(E1486:E6462,K1486:K6462,"0",B1486:B6462,"5 1 1 1 3 12 31111 6 M59 96000 000132 0000R 00001 00113 015 2111100 2024 CP1PA379*")</f>
        <v>0</v>
      </c>
      <c r="E1485" s="54"/>
      <c r="F1485" s="83">
        <f>SUMIFS(F1486:F6462,K1486:K6462,"0",B1486:B6462,"5 1 1 1 3 12 31111 6 M59 96000 000132 0000R 00001 00113 015 2111100 2024 CP1PA379*")</f>
        <v>240202.09</v>
      </c>
      <c r="G1485" s="83">
        <f>SUMIFS(G1486:G6462,K1486:K6462,"0",B1486:B6462,"5 1 1 1 3 12 31111 6 M59 96000 000132 0000R 00001 00113 015 2111100 2024 CP1PA379*")</f>
        <v>0</v>
      </c>
      <c r="H1485" s="83">
        <f t="shared" si="23"/>
        <v>240202.09</v>
      </c>
      <c r="I1485" s="83"/>
      <c r="K1485" s="54" t="s">
        <v>15</v>
      </c>
    </row>
    <row r="1486" spans="2:11" ht="41.25" x14ac:dyDescent="0.2">
      <c r="B1486" s="82" t="s">
        <v>3690</v>
      </c>
      <c r="C1486" s="82" t="s">
        <v>282</v>
      </c>
      <c r="D1486" s="83">
        <f>SUMIFS(D1487:D6462,K1487:K6462,"0",B1487:B6462,"5 1 1 1 3 12 31111 6 M59 96000 000132 0000R 00001 00113 015 2111100 2024 CP1PA379 001*")-SUMIFS(E1487:E6462,K1487:K6462,"0",B1487:B6462,"5 1 1 1 3 12 31111 6 M59 96000 000132 0000R 00001 00113 015 2111100 2024 CP1PA379 001*")</f>
        <v>0</v>
      </c>
      <c r="E1486" s="54"/>
      <c r="F1486" s="83">
        <f>SUMIFS(F1487:F6462,K1487:K6462,"0",B1487:B6462,"5 1 1 1 3 12 31111 6 M59 96000 000132 0000R 00001 00113 015 2111100 2024 CP1PA379 001*")</f>
        <v>240202.09</v>
      </c>
      <c r="G1486" s="83">
        <f>SUMIFS(G1487:G6462,K1487:K6462,"0",B1487:B6462,"5 1 1 1 3 12 31111 6 M59 96000 000132 0000R 00001 00113 015 2111100 2024 CP1PA379 001*")</f>
        <v>0</v>
      </c>
      <c r="H1486" s="83">
        <f t="shared" si="23"/>
        <v>240202.09</v>
      </c>
      <c r="I1486" s="83"/>
      <c r="K1486" s="54" t="s">
        <v>15</v>
      </c>
    </row>
    <row r="1487" spans="2:11" ht="41.25" x14ac:dyDescent="0.2">
      <c r="B1487" s="84" t="s">
        <v>3691</v>
      </c>
      <c r="C1487" s="84" t="s">
        <v>2932</v>
      </c>
      <c r="D1487" s="85">
        <v>0</v>
      </c>
      <c r="E1487" s="85"/>
      <c r="F1487" s="85">
        <v>240202.09</v>
      </c>
      <c r="G1487" s="85">
        <v>0</v>
      </c>
      <c r="H1487" s="85">
        <f t="shared" si="23"/>
        <v>240202.09</v>
      </c>
      <c r="I1487" s="85"/>
      <c r="K1487" s="54" t="s">
        <v>38</v>
      </c>
    </row>
    <row r="1488" spans="2:11" ht="16.5" x14ac:dyDescent="0.2">
      <c r="B1488" s="82" t="s">
        <v>3692</v>
      </c>
      <c r="C1488" s="82" t="s">
        <v>3693</v>
      </c>
      <c r="D1488" s="83">
        <f>SUMIFS(D1489:D6462,K1489:K6462,"0",B1489:B6462,"5 1 1 1 3 12 31111 6 M59 96100*")-SUMIFS(E1489:E6462,K1489:K6462,"0",B1489:B6462,"5 1 1 1 3 12 31111 6 M59 96100*")</f>
        <v>0</v>
      </c>
      <c r="E1488" s="54"/>
      <c r="F1488" s="83">
        <f>SUMIFS(F1489:F6462,K1489:K6462,"0",B1489:B6462,"5 1 1 1 3 12 31111 6 M59 96100*")</f>
        <v>1271694.71</v>
      </c>
      <c r="G1488" s="83">
        <f>SUMIFS(G1489:G6462,K1489:K6462,"0",B1489:B6462,"5 1 1 1 3 12 31111 6 M59 96100*")</f>
        <v>0</v>
      </c>
      <c r="H1488" s="83">
        <f t="shared" si="23"/>
        <v>1271694.71</v>
      </c>
      <c r="I1488" s="83"/>
      <c r="K1488" s="54" t="s">
        <v>15</v>
      </c>
    </row>
    <row r="1489" spans="2:11" ht="16.5" x14ac:dyDescent="0.2">
      <c r="B1489" s="82" t="s">
        <v>3694</v>
      </c>
      <c r="C1489" s="82" t="s">
        <v>1310</v>
      </c>
      <c r="D1489" s="83">
        <f>SUMIFS(D1490:D6462,K1490:K6462,"0",B1490:B6462,"5 1 1 1 3 12 31111 6 M59 96100 000211*")-SUMIFS(E1490:E6462,K1490:K6462,"0",B1490:B6462,"5 1 1 1 3 12 31111 6 M59 96100 000211*")</f>
        <v>0</v>
      </c>
      <c r="E1489" s="54"/>
      <c r="F1489" s="83">
        <f>SUMIFS(F1490:F6462,K1490:K6462,"0",B1490:B6462,"5 1 1 1 3 12 31111 6 M59 96100 000211*")</f>
        <v>1271694.71</v>
      </c>
      <c r="G1489" s="83">
        <f>SUMIFS(G1490:G6462,K1490:K6462,"0",B1490:B6462,"5 1 1 1 3 12 31111 6 M59 96100 000211*")</f>
        <v>0</v>
      </c>
      <c r="H1489" s="83">
        <f t="shared" si="23"/>
        <v>1271694.71</v>
      </c>
      <c r="I1489" s="83"/>
      <c r="K1489" s="54" t="s">
        <v>15</v>
      </c>
    </row>
    <row r="1490" spans="2:11" ht="16.5" x14ac:dyDescent="0.2">
      <c r="B1490" s="82" t="s">
        <v>3695</v>
      </c>
      <c r="C1490" s="82" t="s">
        <v>3696</v>
      </c>
      <c r="D1490" s="83">
        <f>SUMIFS(D1491:D6462,K1491:K6462,"0",B1491:B6462,"5 1 1 1 3 12 31111 6 M59 96100 000211 0000U*")-SUMIFS(E1491:E6462,K1491:K6462,"0",B1491:B6462,"5 1 1 1 3 12 31111 6 M59 96100 000211 0000U*")</f>
        <v>0</v>
      </c>
      <c r="E1490" s="54"/>
      <c r="F1490" s="83">
        <f>SUMIFS(F1491:F6462,K1491:K6462,"0",B1491:B6462,"5 1 1 1 3 12 31111 6 M59 96100 000211 0000U*")</f>
        <v>1271694.71</v>
      </c>
      <c r="G1490" s="83">
        <f>SUMIFS(G1491:G6462,K1491:K6462,"0",B1491:B6462,"5 1 1 1 3 12 31111 6 M59 96100 000211 0000U*")</f>
        <v>0</v>
      </c>
      <c r="H1490" s="83">
        <f t="shared" si="23"/>
        <v>1271694.71</v>
      </c>
      <c r="I1490" s="83"/>
      <c r="K1490" s="54" t="s">
        <v>15</v>
      </c>
    </row>
    <row r="1491" spans="2:11" ht="24.75" x14ac:dyDescent="0.2">
      <c r="B1491" s="82" t="s">
        <v>3697</v>
      </c>
      <c r="C1491" s="82" t="s">
        <v>282</v>
      </c>
      <c r="D1491" s="83">
        <f>SUMIFS(D1492:D6462,K1492:K6462,"0",B1492:B6462,"5 1 1 1 3 12 31111 6 M59 96100 000211 0000U 00001*")-SUMIFS(E1492:E6462,K1492:K6462,"0",B1492:B6462,"5 1 1 1 3 12 31111 6 M59 96100 000211 0000U 00001*")</f>
        <v>0</v>
      </c>
      <c r="E1491" s="54"/>
      <c r="F1491" s="83">
        <f>SUMIFS(F1492:F6462,K1492:K6462,"0",B1492:B6462,"5 1 1 1 3 12 31111 6 M59 96100 000211 0000U 00001*")</f>
        <v>1271694.71</v>
      </c>
      <c r="G1491" s="83">
        <f>SUMIFS(G1492:G6462,K1492:K6462,"0",B1492:B6462,"5 1 1 1 3 12 31111 6 M59 96100 000211 0000U 00001*")</f>
        <v>0</v>
      </c>
      <c r="H1491" s="83">
        <f t="shared" si="23"/>
        <v>1271694.71</v>
      </c>
      <c r="I1491" s="83"/>
      <c r="K1491" s="54" t="s">
        <v>15</v>
      </c>
    </row>
    <row r="1492" spans="2:11" ht="24.75" x14ac:dyDescent="0.2">
      <c r="B1492" s="82" t="s">
        <v>3698</v>
      </c>
      <c r="C1492" s="82" t="s">
        <v>2924</v>
      </c>
      <c r="D1492" s="83">
        <f>SUMIFS(D1493:D6462,K1493:K6462,"0",B1493:B6462,"5 1 1 1 3 12 31111 6 M59 96100 000211 0000U 00001 00113*")-SUMIFS(E1493:E6462,K1493:K6462,"0",B1493:B6462,"5 1 1 1 3 12 31111 6 M59 96100 000211 0000U 00001 00113*")</f>
        <v>0</v>
      </c>
      <c r="E1492" s="54"/>
      <c r="F1492" s="83">
        <f>SUMIFS(F1493:F6462,K1493:K6462,"0",B1493:B6462,"5 1 1 1 3 12 31111 6 M59 96100 000211 0000U 00001 00113*")</f>
        <v>1271694.71</v>
      </c>
      <c r="G1492" s="83">
        <f>SUMIFS(G1493:G6462,K1493:K6462,"0",B1493:B6462,"5 1 1 1 3 12 31111 6 M59 96100 000211 0000U 00001 00113*")</f>
        <v>0</v>
      </c>
      <c r="H1492" s="83">
        <f t="shared" si="23"/>
        <v>1271694.71</v>
      </c>
      <c r="I1492" s="83"/>
      <c r="K1492" s="54" t="s">
        <v>15</v>
      </c>
    </row>
    <row r="1493" spans="2:11" ht="24.75" x14ac:dyDescent="0.2">
      <c r="B1493" s="82" t="s">
        <v>3699</v>
      </c>
      <c r="C1493" s="82" t="s">
        <v>1051</v>
      </c>
      <c r="D1493" s="83">
        <f>SUMIFS(D1494:D6462,K1494:K6462,"0",B1494:B6462,"5 1 1 1 3 12 31111 6 M59 96100 000211 0000U 00001 00113 015*")-SUMIFS(E1494:E6462,K1494:K6462,"0",B1494:B6462,"5 1 1 1 3 12 31111 6 M59 96100 000211 0000U 00001 00113 015*")</f>
        <v>0</v>
      </c>
      <c r="E1493" s="54"/>
      <c r="F1493" s="83">
        <f>SUMIFS(F1494:F6462,K1494:K6462,"0",B1494:B6462,"5 1 1 1 3 12 31111 6 M59 96100 000211 0000U 00001 00113 015*")</f>
        <v>1271694.71</v>
      </c>
      <c r="G1493" s="83">
        <f>SUMIFS(G1494:G6462,K1494:K6462,"0",B1494:B6462,"5 1 1 1 3 12 31111 6 M59 96100 000211 0000U 00001 00113 015*")</f>
        <v>0</v>
      </c>
      <c r="H1493" s="83">
        <f t="shared" si="23"/>
        <v>1271694.71</v>
      </c>
      <c r="I1493" s="83"/>
      <c r="K1493" s="54" t="s">
        <v>15</v>
      </c>
    </row>
    <row r="1494" spans="2:11" ht="33" x14ac:dyDescent="0.2">
      <c r="B1494" s="82" t="s">
        <v>3700</v>
      </c>
      <c r="C1494" s="82" t="s">
        <v>2927</v>
      </c>
      <c r="D1494" s="83">
        <f>SUMIFS(D1495:D6462,K1495:K6462,"0",B1495:B6462,"5 1 1 1 3 12 31111 6 M59 96100 000211 0000U 00001 00113 015 2111100*")-SUMIFS(E1495:E6462,K1495:K6462,"0",B1495:B6462,"5 1 1 1 3 12 31111 6 M59 96100 000211 0000U 00001 00113 015 2111100*")</f>
        <v>0</v>
      </c>
      <c r="E1494" s="54"/>
      <c r="F1494" s="83">
        <f>SUMIFS(F1495:F6462,K1495:K6462,"0",B1495:B6462,"5 1 1 1 3 12 31111 6 M59 96100 000211 0000U 00001 00113 015 2111100*")</f>
        <v>1271694.71</v>
      </c>
      <c r="G1494" s="83">
        <f>SUMIFS(G1495:G6462,K1495:K6462,"0",B1495:B6462,"5 1 1 1 3 12 31111 6 M59 96100 000211 0000U 00001 00113 015 2111100*")</f>
        <v>0</v>
      </c>
      <c r="H1494" s="83">
        <f t="shared" si="23"/>
        <v>1271694.71</v>
      </c>
      <c r="I1494" s="83"/>
      <c r="K1494" s="54" t="s">
        <v>15</v>
      </c>
    </row>
    <row r="1495" spans="2:11" ht="33" x14ac:dyDescent="0.2">
      <c r="B1495" s="82" t="s">
        <v>3701</v>
      </c>
      <c r="C1495" s="82" t="s">
        <v>660</v>
      </c>
      <c r="D1495" s="83">
        <f>SUMIFS(D1496:D6462,K1496:K6462,"0",B1496:B6462,"5 1 1 1 3 12 31111 6 M59 96100 000211 0000U 00001 00113 015 2111100 2024*")-SUMIFS(E1496:E6462,K1496:K6462,"0",B1496:B6462,"5 1 1 1 3 12 31111 6 M59 96100 000211 0000U 00001 00113 015 2111100 2024*")</f>
        <v>0</v>
      </c>
      <c r="E1495" s="54"/>
      <c r="F1495" s="83">
        <f>SUMIFS(F1496:F6462,K1496:K6462,"0",B1496:B6462,"5 1 1 1 3 12 31111 6 M59 96100 000211 0000U 00001 00113 015 2111100 2024*")</f>
        <v>1271694.71</v>
      </c>
      <c r="G1495" s="83">
        <f>SUMIFS(G1496:G6462,K1496:K6462,"0",B1496:B6462,"5 1 1 1 3 12 31111 6 M59 96100 000211 0000U 00001 00113 015 2111100 2024*")</f>
        <v>0</v>
      </c>
      <c r="H1495" s="83">
        <f t="shared" si="23"/>
        <v>1271694.71</v>
      </c>
      <c r="I1495" s="83"/>
      <c r="K1495" s="54" t="s">
        <v>15</v>
      </c>
    </row>
    <row r="1496" spans="2:11" ht="41.25" x14ac:dyDescent="0.2">
      <c r="B1496" s="82" t="s">
        <v>3702</v>
      </c>
      <c r="C1496" s="82" t="s">
        <v>1056</v>
      </c>
      <c r="D1496" s="83">
        <f>SUMIFS(D1497:D6462,K1497:K6462,"0",B1497:B6462,"5 1 1 1 3 12 31111 6 M59 96100 000211 0000U 00001 00113 015 2111100 2024 CP1IU412*")-SUMIFS(E1497:E6462,K1497:K6462,"0",B1497:B6462,"5 1 1 1 3 12 31111 6 M59 96100 000211 0000U 00001 00113 015 2111100 2024 CP1IU412*")</f>
        <v>0</v>
      </c>
      <c r="E1496" s="54"/>
      <c r="F1496" s="83">
        <f>SUMIFS(F1497:F6462,K1497:K6462,"0",B1497:B6462,"5 1 1 1 3 12 31111 6 M59 96100 000211 0000U 00001 00113 015 2111100 2024 CP1IU412*")</f>
        <v>1271694.71</v>
      </c>
      <c r="G1496" s="83">
        <f>SUMIFS(G1497:G6462,K1497:K6462,"0",B1497:B6462,"5 1 1 1 3 12 31111 6 M59 96100 000211 0000U 00001 00113 015 2111100 2024 CP1IU412*")</f>
        <v>0</v>
      </c>
      <c r="H1496" s="83">
        <f t="shared" si="23"/>
        <v>1271694.71</v>
      </c>
      <c r="I1496" s="83"/>
      <c r="K1496" s="54" t="s">
        <v>15</v>
      </c>
    </row>
    <row r="1497" spans="2:11" ht="41.25" x14ac:dyDescent="0.2">
      <c r="B1497" s="82" t="s">
        <v>3703</v>
      </c>
      <c r="C1497" s="82" t="s">
        <v>282</v>
      </c>
      <c r="D1497" s="83">
        <f>SUMIFS(D1498:D6462,K1498:K6462,"0",B1498:B6462,"5 1 1 1 3 12 31111 6 M59 96100 000211 0000U 00001 00113 015 2111100 2024 CP1IU412 001*")-SUMIFS(E1498:E6462,K1498:K6462,"0",B1498:B6462,"5 1 1 1 3 12 31111 6 M59 96100 000211 0000U 00001 00113 015 2111100 2024 CP1IU412 001*")</f>
        <v>0</v>
      </c>
      <c r="E1497" s="54"/>
      <c r="F1497" s="83">
        <f>SUMIFS(F1498:F6462,K1498:K6462,"0",B1498:B6462,"5 1 1 1 3 12 31111 6 M59 96100 000211 0000U 00001 00113 015 2111100 2024 CP1IU412 001*")</f>
        <v>1271694.71</v>
      </c>
      <c r="G1497" s="83">
        <f>SUMIFS(G1498:G6462,K1498:K6462,"0",B1498:B6462,"5 1 1 1 3 12 31111 6 M59 96100 000211 0000U 00001 00113 015 2111100 2024 CP1IU412 001*")</f>
        <v>0</v>
      </c>
      <c r="H1497" s="83">
        <f t="shared" si="23"/>
        <v>1271694.71</v>
      </c>
      <c r="I1497" s="83"/>
      <c r="K1497" s="54" t="s">
        <v>15</v>
      </c>
    </row>
    <row r="1498" spans="2:11" ht="33" x14ac:dyDescent="0.2">
      <c r="B1498" s="84" t="s">
        <v>3704</v>
      </c>
      <c r="C1498" s="84" t="s">
        <v>2932</v>
      </c>
      <c r="D1498" s="85">
        <v>0</v>
      </c>
      <c r="E1498" s="85"/>
      <c r="F1498" s="85">
        <v>1271694.71</v>
      </c>
      <c r="G1498" s="85">
        <v>0</v>
      </c>
      <c r="H1498" s="85">
        <f t="shared" si="23"/>
        <v>1271694.71</v>
      </c>
      <c r="I1498" s="85"/>
      <c r="K1498" s="54" t="s">
        <v>38</v>
      </c>
    </row>
    <row r="1499" spans="2:11" ht="16.5" x14ac:dyDescent="0.2">
      <c r="B1499" s="82" t="s">
        <v>3705</v>
      </c>
      <c r="C1499" s="82" t="s">
        <v>3706</v>
      </c>
      <c r="D1499" s="83">
        <f>SUMIFS(D1500:D6462,K1500:K6462,"0",B1500:B6462,"5 1 1 1 3 12 31111 6 M59 96200*")-SUMIFS(E1500:E6462,K1500:K6462,"0",B1500:B6462,"5 1 1 1 3 12 31111 6 M59 96200*")</f>
        <v>0</v>
      </c>
      <c r="E1499" s="54"/>
      <c r="F1499" s="83">
        <f>SUMIFS(F1500:F6462,K1500:K6462,"0",B1500:B6462,"5 1 1 1 3 12 31111 6 M59 96200*")</f>
        <v>630133.75</v>
      </c>
      <c r="G1499" s="83">
        <f>SUMIFS(G1500:G6462,K1500:K6462,"0",B1500:B6462,"5 1 1 1 3 12 31111 6 M59 96200*")</f>
        <v>0</v>
      </c>
      <c r="H1499" s="83">
        <f t="shared" si="23"/>
        <v>630133.75</v>
      </c>
      <c r="I1499" s="83"/>
      <c r="K1499" s="54" t="s">
        <v>15</v>
      </c>
    </row>
    <row r="1500" spans="2:11" ht="16.5" x14ac:dyDescent="0.2">
      <c r="B1500" s="82" t="s">
        <v>3707</v>
      </c>
      <c r="C1500" s="82" t="s">
        <v>648</v>
      </c>
      <c r="D1500" s="83">
        <f>SUMIFS(D1501:D6462,K1501:K6462,"0",B1501:B6462,"5 1 1 1 3 12 31111 6 M59 96200 000132*")-SUMIFS(E1501:E6462,K1501:K6462,"0",B1501:B6462,"5 1 1 1 3 12 31111 6 M59 96200 000132*")</f>
        <v>0</v>
      </c>
      <c r="E1500" s="54"/>
      <c r="F1500" s="83">
        <f>SUMIFS(F1501:F6462,K1501:K6462,"0",B1501:B6462,"5 1 1 1 3 12 31111 6 M59 96200 000132*")</f>
        <v>630133.75</v>
      </c>
      <c r="G1500" s="83">
        <f>SUMIFS(G1501:G6462,K1501:K6462,"0",B1501:B6462,"5 1 1 1 3 12 31111 6 M59 96200 000132*")</f>
        <v>0</v>
      </c>
      <c r="H1500" s="83">
        <f t="shared" si="23"/>
        <v>630133.75</v>
      </c>
      <c r="I1500" s="83"/>
      <c r="K1500" s="54" t="s">
        <v>15</v>
      </c>
    </row>
    <row r="1501" spans="2:11" ht="16.5" x14ac:dyDescent="0.2">
      <c r="B1501" s="82" t="s">
        <v>3708</v>
      </c>
      <c r="C1501" s="82" t="s">
        <v>650</v>
      </c>
      <c r="D1501" s="83">
        <f>SUMIFS(D1502:D6462,K1502:K6462,"0",B1502:B6462,"5 1 1 1 3 12 31111 6 M59 96200 000132 0000R*")-SUMIFS(E1502:E6462,K1502:K6462,"0",B1502:B6462,"5 1 1 1 3 12 31111 6 M59 96200 000132 0000R*")</f>
        <v>0</v>
      </c>
      <c r="E1501" s="54"/>
      <c r="F1501" s="83">
        <f>SUMIFS(F1502:F6462,K1502:K6462,"0",B1502:B6462,"5 1 1 1 3 12 31111 6 M59 96200 000132 0000R*")</f>
        <v>630133.75</v>
      </c>
      <c r="G1501" s="83">
        <f>SUMIFS(G1502:G6462,K1502:K6462,"0",B1502:B6462,"5 1 1 1 3 12 31111 6 M59 96200 000132 0000R*")</f>
        <v>0</v>
      </c>
      <c r="H1501" s="83">
        <f t="shared" si="23"/>
        <v>630133.75</v>
      </c>
      <c r="I1501" s="83"/>
      <c r="K1501" s="54" t="s">
        <v>15</v>
      </c>
    </row>
    <row r="1502" spans="2:11" ht="24.75" x14ac:dyDescent="0.2">
      <c r="B1502" s="82" t="s">
        <v>3709</v>
      </c>
      <c r="C1502" s="82" t="s">
        <v>282</v>
      </c>
      <c r="D1502" s="83">
        <f>SUMIFS(D1503:D6462,K1503:K6462,"0",B1503:B6462,"5 1 1 1 3 12 31111 6 M59 96200 000132 0000R 00001*")-SUMIFS(E1503:E6462,K1503:K6462,"0",B1503:B6462,"5 1 1 1 3 12 31111 6 M59 96200 000132 0000R 00001*")</f>
        <v>0</v>
      </c>
      <c r="E1502" s="54"/>
      <c r="F1502" s="83">
        <f>SUMIFS(F1503:F6462,K1503:K6462,"0",B1503:B6462,"5 1 1 1 3 12 31111 6 M59 96200 000132 0000R 00001*")</f>
        <v>630133.75</v>
      </c>
      <c r="G1502" s="83">
        <f>SUMIFS(G1503:G6462,K1503:K6462,"0",B1503:B6462,"5 1 1 1 3 12 31111 6 M59 96200 000132 0000R 00001*")</f>
        <v>0</v>
      </c>
      <c r="H1502" s="83">
        <f t="shared" si="23"/>
        <v>630133.75</v>
      </c>
      <c r="I1502" s="83"/>
      <c r="K1502" s="54" t="s">
        <v>15</v>
      </c>
    </row>
    <row r="1503" spans="2:11" ht="24.75" x14ac:dyDescent="0.2">
      <c r="B1503" s="82" t="s">
        <v>3710</v>
      </c>
      <c r="C1503" s="82" t="s">
        <v>2924</v>
      </c>
      <c r="D1503" s="83">
        <f>SUMIFS(D1504:D6462,K1504:K6462,"0",B1504:B6462,"5 1 1 1 3 12 31111 6 M59 96200 000132 0000R 00001 00113*")-SUMIFS(E1504:E6462,K1504:K6462,"0",B1504:B6462,"5 1 1 1 3 12 31111 6 M59 96200 000132 0000R 00001 00113*")</f>
        <v>0</v>
      </c>
      <c r="E1503" s="54"/>
      <c r="F1503" s="83">
        <f>SUMIFS(F1504:F6462,K1504:K6462,"0",B1504:B6462,"5 1 1 1 3 12 31111 6 M59 96200 000132 0000R 00001 00113*")</f>
        <v>630133.75</v>
      </c>
      <c r="G1503" s="83">
        <f>SUMIFS(G1504:G6462,K1504:K6462,"0",B1504:B6462,"5 1 1 1 3 12 31111 6 M59 96200 000132 0000R 00001 00113*")</f>
        <v>0</v>
      </c>
      <c r="H1503" s="83">
        <f t="shared" si="23"/>
        <v>630133.75</v>
      </c>
      <c r="I1503" s="83"/>
      <c r="K1503" s="54" t="s">
        <v>15</v>
      </c>
    </row>
    <row r="1504" spans="2:11" ht="24.75" x14ac:dyDescent="0.2">
      <c r="B1504" s="82" t="s">
        <v>3711</v>
      </c>
      <c r="C1504" s="82" t="s">
        <v>1051</v>
      </c>
      <c r="D1504" s="83">
        <f>SUMIFS(D1505:D6462,K1505:K6462,"0",B1505:B6462,"5 1 1 1 3 12 31111 6 M59 96200 000132 0000R 00001 00113 015*")-SUMIFS(E1505:E6462,K1505:K6462,"0",B1505:B6462,"5 1 1 1 3 12 31111 6 M59 96200 000132 0000R 00001 00113 015*")</f>
        <v>0</v>
      </c>
      <c r="E1504" s="54"/>
      <c r="F1504" s="83">
        <f>SUMIFS(F1505:F6462,K1505:K6462,"0",B1505:B6462,"5 1 1 1 3 12 31111 6 M59 96200 000132 0000R 00001 00113 015*")</f>
        <v>630133.75</v>
      </c>
      <c r="G1504" s="83">
        <f>SUMIFS(G1505:G6462,K1505:K6462,"0",B1505:B6462,"5 1 1 1 3 12 31111 6 M59 96200 000132 0000R 00001 00113 015*")</f>
        <v>0</v>
      </c>
      <c r="H1504" s="83">
        <f t="shared" si="23"/>
        <v>630133.75</v>
      </c>
      <c r="I1504" s="83"/>
      <c r="K1504" s="54" t="s">
        <v>15</v>
      </c>
    </row>
    <row r="1505" spans="2:11" ht="33" x14ac:dyDescent="0.2">
      <c r="B1505" s="82" t="s">
        <v>3712</v>
      </c>
      <c r="C1505" s="82" t="s">
        <v>2927</v>
      </c>
      <c r="D1505" s="83">
        <f>SUMIFS(D1506:D6462,K1506:K6462,"0",B1506:B6462,"5 1 1 1 3 12 31111 6 M59 96200 000132 0000R 00001 00113 015 2111100*")-SUMIFS(E1506:E6462,K1506:K6462,"0",B1506:B6462,"5 1 1 1 3 12 31111 6 M59 96200 000132 0000R 00001 00113 015 2111100*")</f>
        <v>0</v>
      </c>
      <c r="E1505" s="54"/>
      <c r="F1505" s="83">
        <f>SUMIFS(F1506:F6462,K1506:K6462,"0",B1506:B6462,"5 1 1 1 3 12 31111 6 M59 96200 000132 0000R 00001 00113 015 2111100*")</f>
        <v>630133.75</v>
      </c>
      <c r="G1505" s="83">
        <f>SUMIFS(G1506:G6462,K1506:K6462,"0",B1506:B6462,"5 1 1 1 3 12 31111 6 M59 96200 000132 0000R 00001 00113 015 2111100*")</f>
        <v>0</v>
      </c>
      <c r="H1505" s="83">
        <f t="shared" si="23"/>
        <v>630133.75</v>
      </c>
      <c r="I1505" s="83"/>
      <c r="K1505" s="54" t="s">
        <v>15</v>
      </c>
    </row>
    <row r="1506" spans="2:11" ht="33" x14ac:dyDescent="0.2">
      <c r="B1506" s="82" t="s">
        <v>3713</v>
      </c>
      <c r="C1506" s="82" t="s">
        <v>660</v>
      </c>
      <c r="D1506" s="83">
        <f>SUMIFS(D1507:D6462,K1507:K6462,"0",B1507:B6462,"5 1 1 1 3 12 31111 6 M59 96200 000132 0000R 00001 00113 015 2111100 2024*")-SUMIFS(E1507:E6462,K1507:K6462,"0",B1507:B6462,"5 1 1 1 3 12 31111 6 M59 96200 000132 0000R 00001 00113 015 2111100 2024*")</f>
        <v>0</v>
      </c>
      <c r="E1506" s="54"/>
      <c r="F1506" s="83">
        <f>SUMIFS(F1507:F6462,K1507:K6462,"0",B1507:B6462,"5 1 1 1 3 12 31111 6 M59 96200 000132 0000R 00001 00113 015 2111100 2024*")</f>
        <v>630133.75</v>
      </c>
      <c r="G1506" s="83">
        <f>SUMIFS(G1507:G6462,K1507:K6462,"0",B1507:B6462,"5 1 1 1 3 12 31111 6 M59 96200 000132 0000R 00001 00113 015 2111100 2024*")</f>
        <v>0</v>
      </c>
      <c r="H1506" s="83">
        <f t="shared" si="23"/>
        <v>630133.75</v>
      </c>
      <c r="I1506" s="83"/>
      <c r="K1506" s="54" t="s">
        <v>15</v>
      </c>
    </row>
    <row r="1507" spans="2:11" ht="41.25" x14ac:dyDescent="0.2">
      <c r="B1507" s="82" t="s">
        <v>3714</v>
      </c>
      <c r="C1507" s="82" t="s">
        <v>662</v>
      </c>
      <c r="D1507" s="83">
        <f>SUMIFS(D1508:D6462,K1508:K6462,"0",B1508:B6462,"5 1 1 1 3 12 31111 6 M59 96200 000132 0000R 00001 00113 015 2111100 2024 CP1AL423*")-SUMIFS(E1508:E6462,K1508:K6462,"0",B1508:B6462,"5 1 1 1 3 12 31111 6 M59 96200 000132 0000R 00001 00113 015 2111100 2024 CP1AL423*")</f>
        <v>0</v>
      </c>
      <c r="E1507" s="54"/>
      <c r="F1507" s="83">
        <f>SUMIFS(F1508:F6462,K1508:K6462,"0",B1508:B6462,"5 1 1 1 3 12 31111 6 M59 96200 000132 0000R 00001 00113 015 2111100 2024 CP1AL423*")</f>
        <v>630133.75</v>
      </c>
      <c r="G1507" s="83">
        <f>SUMIFS(G1508:G6462,K1508:K6462,"0",B1508:B6462,"5 1 1 1 3 12 31111 6 M59 96200 000132 0000R 00001 00113 015 2111100 2024 CP1AL423*")</f>
        <v>0</v>
      </c>
      <c r="H1507" s="83">
        <f t="shared" si="23"/>
        <v>630133.75</v>
      </c>
      <c r="I1507" s="83"/>
      <c r="K1507" s="54" t="s">
        <v>15</v>
      </c>
    </row>
    <row r="1508" spans="2:11" ht="41.25" x14ac:dyDescent="0.2">
      <c r="B1508" s="82" t="s">
        <v>3715</v>
      </c>
      <c r="C1508" s="82" t="s">
        <v>282</v>
      </c>
      <c r="D1508" s="83">
        <f>SUMIFS(D1509:D6462,K1509:K6462,"0",B1509:B6462,"5 1 1 1 3 12 31111 6 M59 96200 000132 0000R 00001 00113 015 2111100 2024 CP1AL423 001*")-SUMIFS(E1509:E6462,K1509:K6462,"0",B1509:B6462,"5 1 1 1 3 12 31111 6 M59 96200 000132 0000R 00001 00113 015 2111100 2024 CP1AL423 001*")</f>
        <v>0</v>
      </c>
      <c r="E1508" s="54"/>
      <c r="F1508" s="83">
        <f>SUMIFS(F1509:F6462,K1509:K6462,"0",B1509:B6462,"5 1 1 1 3 12 31111 6 M59 96200 000132 0000R 00001 00113 015 2111100 2024 CP1AL423 001*")</f>
        <v>630133.75</v>
      </c>
      <c r="G1508" s="83">
        <f>SUMIFS(G1509:G6462,K1509:K6462,"0",B1509:B6462,"5 1 1 1 3 12 31111 6 M59 96200 000132 0000R 00001 00113 015 2111100 2024 CP1AL423 001*")</f>
        <v>0</v>
      </c>
      <c r="H1508" s="83">
        <f t="shared" si="23"/>
        <v>630133.75</v>
      </c>
      <c r="I1508" s="83"/>
      <c r="K1508" s="54" t="s">
        <v>15</v>
      </c>
    </row>
    <row r="1509" spans="2:11" ht="41.25" x14ac:dyDescent="0.2">
      <c r="B1509" s="84" t="s">
        <v>3716</v>
      </c>
      <c r="C1509" s="84" t="s">
        <v>2932</v>
      </c>
      <c r="D1509" s="85">
        <v>0</v>
      </c>
      <c r="E1509" s="85"/>
      <c r="F1509" s="85">
        <v>630133.75</v>
      </c>
      <c r="G1509" s="85">
        <v>0</v>
      </c>
      <c r="H1509" s="85">
        <f t="shared" si="23"/>
        <v>630133.75</v>
      </c>
      <c r="I1509" s="85"/>
      <c r="K1509" s="54" t="s">
        <v>38</v>
      </c>
    </row>
    <row r="1510" spans="2:11" ht="16.5" x14ac:dyDescent="0.2">
      <c r="B1510" s="82" t="s">
        <v>3717</v>
      </c>
      <c r="C1510" s="82" t="s">
        <v>1308</v>
      </c>
      <c r="D1510" s="83">
        <f>SUMIFS(D1511:D6462,K1511:K6462,"0",B1511:B6462,"5 1 1 1 3 12 31111 6 M59 96300*")-SUMIFS(E1511:E6462,K1511:K6462,"0",B1511:B6462,"5 1 1 1 3 12 31111 6 M59 96300*")</f>
        <v>0</v>
      </c>
      <c r="E1510" s="54"/>
      <c r="F1510" s="83">
        <f>SUMIFS(F1511:F6462,K1511:K6462,"0",B1511:B6462,"5 1 1 1 3 12 31111 6 M59 96300*")</f>
        <v>6942202.3499999996</v>
      </c>
      <c r="G1510" s="83">
        <f>SUMIFS(G1511:G6462,K1511:K6462,"0",B1511:B6462,"5 1 1 1 3 12 31111 6 M59 96300*")</f>
        <v>0</v>
      </c>
      <c r="H1510" s="83">
        <f t="shared" si="23"/>
        <v>6942202.3499999996</v>
      </c>
      <c r="I1510" s="83"/>
      <c r="K1510" s="54" t="s">
        <v>15</v>
      </c>
    </row>
    <row r="1511" spans="2:11" ht="16.5" x14ac:dyDescent="0.2">
      <c r="B1511" s="82" t="s">
        <v>3718</v>
      </c>
      <c r="C1511" s="82" t="s">
        <v>1310</v>
      </c>
      <c r="D1511" s="83">
        <f>SUMIFS(D1512:D6462,K1512:K6462,"0",B1512:B6462,"5 1 1 1 3 12 31111 6 M59 96300 000211*")-SUMIFS(E1512:E6462,K1512:K6462,"0",B1512:B6462,"5 1 1 1 3 12 31111 6 M59 96300 000211*")</f>
        <v>0</v>
      </c>
      <c r="E1511" s="54"/>
      <c r="F1511" s="83">
        <f>SUMIFS(F1512:F6462,K1512:K6462,"0",B1512:B6462,"5 1 1 1 3 12 31111 6 M59 96300 000211*")</f>
        <v>6942202.3499999996</v>
      </c>
      <c r="G1511" s="83">
        <f>SUMIFS(G1512:G6462,K1512:K6462,"0",B1512:B6462,"5 1 1 1 3 12 31111 6 M59 96300 000211*")</f>
        <v>0</v>
      </c>
      <c r="H1511" s="83">
        <f t="shared" si="23"/>
        <v>6942202.3499999996</v>
      </c>
      <c r="I1511" s="83"/>
      <c r="K1511" s="54" t="s">
        <v>15</v>
      </c>
    </row>
    <row r="1512" spans="2:11" ht="16.5" x14ac:dyDescent="0.2">
      <c r="B1512" s="82" t="s">
        <v>3719</v>
      </c>
      <c r="C1512" s="82" t="s">
        <v>1065</v>
      </c>
      <c r="D1512" s="83">
        <f>SUMIFS(D1513:D6462,K1513:K6462,"0",B1513:B6462,"5 1 1 1 3 12 31111 6 M59 96300 000211 0000E*")-SUMIFS(E1513:E6462,K1513:K6462,"0",B1513:B6462,"5 1 1 1 3 12 31111 6 M59 96300 000211 0000E*")</f>
        <v>0</v>
      </c>
      <c r="E1512" s="54"/>
      <c r="F1512" s="83">
        <f>SUMIFS(F1513:F6462,K1513:K6462,"0",B1513:B6462,"5 1 1 1 3 12 31111 6 M59 96300 000211 0000E*")</f>
        <v>6942202.3499999996</v>
      </c>
      <c r="G1512" s="83">
        <f>SUMIFS(G1513:G6462,K1513:K6462,"0",B1513:B6462,"5 1 1 1 3 12 31111 6 M59 96300 000211 0000E*")</f>
        <v>0</v>
      </c>
      <c r="H1512" s="83">
        <f t="shared" si="23"/>
        <v>6942202.3499999996</v>
      </c>
      <c r="I1512" s="83"/>
      <c r="K1512" s="54" t="s">
        <v>15</v>
      </c>
    </row>
    <row r="1513" spans="2:11" ht="24.75" x14ac:dyDescent="0.2">
      <c r="B1513" s="82" t="s">
        <v>3720</v>
      </c>
      <c r="C1513" s="82" t="s">
        <v>282</v>
      </c>
      <c r="D1513" s="83">
        <f>SUMIFS(D1514:D6462,K1514:K6462,"0",B1514:B6462,"5 1 1 1 3 12 31111 6 M59 96300 000211 0000E 00001*")-SUMIFS(E1514:E6462,K1514:K6462,"0",B1514:B6462,"5 1 1 1 3 12 31111 6 M59 96300 000211 0000E 00001*")</f>
        <v>0</v>
      </c>
      <c r="E1513" s="54"/>
      <c r="F1513" s="83">
        <f>SUMIFS(F1514:F6462,K1514:K6462,"0",B1514:B6462,"5 1 1 1 3 12 31111 6 M59 96300 000211 0000E 00001*")</f>
        <v>6942202.3499999996</v>
      </c>
      <c r="G1513" s="83">
        <f>SUMIFS(G1514:G6462,K1514:K6462,"0",B1514:B6462,"5 1 1 1 3 12 31111 6 M59 96300 000211 0000E 00001*")</f>
        <v>0</v>
      </c>
      <c r="H1513" s="83">
        <f t="shared" si="23"/>
        <v>6942202.3499999996</v>
      </c>
      <c r="I1513" s="83"/>
      <c r="K1513" s="54" t="s">
        <v>15</v>
      </c>
    </row>
    <row r="1514" spans="2:11" ht="24.75" x14ac:dyDescent="0.2">
      <c r="B1514" s="82" t="s">
        <v>3721</v>
      </c>
      <c r="C1514" s="82" t="s">
        <v>2924</v>
      </c>
      <c r="D1514" s="83">
        <f>SUMIFS(D1515:D6462,K1515:K6462,"0",B1515:B6462,"5 1 1 1 3 12 31111 6 M59 96300 000211 0000E 00001 00113*")-SUMIFS(E1515:E6462,K1515:K6462,"0",B1515:B6462,"5 1 1 1 3 12 31111 6 M59 96300 000211 0000E 00001 00113*")</f>
        <v>0</v>
      </c>
      <c r="E1514" s="54"/>
      <c r="F1514" s="83">
        <f>SUMIFS(F1515:F6462,K1515:K6462,"0",B1515:B6462,"5 1 1 1 3 12 31111 6 M59 96300 000211 0000E 00001 00113*")</f>
        <v>6942202.3499999996</v>
      </c>
      <c r="G1514" s="83">
        <f>SUMIFS(G1515:G6462,K1515:K6462,"0",B1515:B6462,"5 1 1 1 3 12 31111 6 M59 96300 000211 0000E 00001 00113*")</f>
        <v>0</v>
      </c>
      <c r="H1514" s="83">
        <f t="shared" si="23"/>
        <v>6942202.3499999996</v>
      </c>
      <c r="I1514" s="83"/>
      <c r="K1514" s="54" t="s">
        <v>15</v>
      </c>
    </row>
    <row r="1515" spans="2:11" ht="24.75" x14ac:dyDescent="0.2">
      <c r="B1515" s="82" t="s">
        <v>3722</v>
      </c>
      <c r="C1515" s="82" t="s">
        <v>1051</v>
      </c>
      <c r="D1515" s="83">
        <f>SUMIFS(D1516:D6462,K1516:K6462,"0",B1516:B6462,"5 1 1 1 3 12 31111 6 M59 96300 000211 0000E 00001 00113 015*")-SUMIFS(E1516:E6462,K1516:K6462,"0",B1516:B6462,"5 1 1 1 3 12 31111 6 M59 96300 000211 0000E 00001 00113 015*")</f>
        <v>0</v>
      </c>
      <c r="E1515" s="54"/>
      <c r="F1515" s="83">
        <f>SUMIFS(F1516:F6462,K1516:K6462,"0",B1516:B6462,"5 1 1 1 3 12 31111 6 M59 96300 000211 0000E 00001 00113 015*")</f>
        <v>6942202.3499999996</v>
      </c>
      <c r="G1515" s="83">
        <f>SUMIFS(G1516:G6462,K1516:K6462,"0",B1516:B6462,"5 1 1 1 3 12 31111 6 M59 96300 000211 0000E 00001 00113 015*")</f>
        <v>0</v>
      </c>
      <c r="H1515" s="83">
        <f t="shared" ref="H1515:H1578" si="24">D1515 + F1515 - G1515</f>
        <v>6942202.3499999996</v>
      </c>
      <c r="I1515" s="83"/>
      <c r="K1515" s="54" t="s">
        <v>15</v>
      </c>
    </row>
    <row r="1516" spans="2:11" ht="33" x14ac:dyDescent="0.2">
      <c r="B1516" s="82" t="s">
        <v>3723</v>
      </c>
      <c r="C1516" s="82" t="s">
        <v>2927</v>
      </c>
      <c r="D1516" s="83">
        <f>SUMIFS(D1517:D6462,K1517:K6462,"0",B1517:B6462,"5 1 1 1 3 12 31111 6 M59 96300 000211 0000E 00001 00113 015 2111100*")-SUMIFS(E1517:E6462,K1517:K6462,"0",B1517:B6462,"5 1 1 1 3 12 31111 6 M59 96300 000211 0000E 00001 00113 015 2111100*")</f>
        <v>0</v>
      </c>
      <c r="E1516" s="54"/>
      <c r="F1516" s="83">
        <f>SUMIFS(F1517:F6462,K1517:K6462,"0",B1517:B6462,"5 1 1 1 3 12 31111 6 M59 96300 000211 0000E 00001 00113 015 2111100*")</f>
        <v>6942202.3499999996</v>
      </c>
      <c r="G1516" s="83">
        <f>SUMIFS(G1517:G6462,K1517:K6462,"0",B1517:B6462,"5 1 1 1 3 12 31111 6 M59 96300 000211 0000E 00001 00113 015 2111100*")</f>
        <v>0</v>
      </c>
      <c r="H1516" s="83">
        <f t="shared" si="24"/>
        <v>6942202.3499999996</v>
      </c>
      <c r="I1516" s="83"/>
      <c r="K1516" s="54" t="s">
        <v>15</v>
      </c>
    </row>
    <row r="1517" spans="2:11" ht="33" x14ac:dyDescent="0.2">
      <c r="B1517" s="82" t="s">
        <v>3724</v>
      </c>
      <c r="C1517" s="82" t="s">
        <v>660</v>
      </c>
      <c r="D1517" s="83">
        <f>SUMIFS(D1518:D6462,K1518:K6462,"0",B1518:B6462,"5 1 1 1 3 12 31111 6 M59 96300 000211 0000E 00001 00113 015 2111100 2024*")-SUMIFS(E1518:E6462,K1518:K6462,"0",B1518:B6462,"5 1 1 1 3 12 31111 6 M59 96300 000211 0000E 00001 00113 015 2111100 2024*")</f>
        <v>0</v>
      </c>
      <c r="E1517" s="54"/>
      <c r="F1517" s="83">
        <f>SUMIFS(F1518:F6462,K1518:K6462,"0",B1518:B6462,"5 1 1 1 3 12 31111 6 M59 96300 000211 0000E 00001 00113 015 2111100 2024*")</f>
        <v>6942202.3499999996</v>
      </c>
      <c r="G1517" s="83">
        <f>SUMIFS(G1518:G6462,K1518:K6462,"0",B1518:B6462,"5 1 1 1 3 12 31111 6 M59 96300 000211 0000E 00001 00113 015 2111100 2024*")</f>
        <v>0</v>
      </c>
      <c r="H1517" s="83">
        <f t="shared" si="24"/>
        <v>6942202.3499999996</v>
      </c>
      <c r="I1517" s="83"/>
      <c r="K1517" s="54" t="s">
        <v>15</v>
      </c>
    </row>
    <row r="1518" spans="2:11" ht="41.25" x14ac:dyDescent="0.2">
      <c r="B1518" s="82" t="s">
        <v>3725</v>
      </c>
      <c r="C1518" s="82" t="s">
        <v>1056</v>
      </c>
      <c r="D1518" s="83">
        <f>SUMIFS(D1519:D6462,K1519:K6462,"0",B1519:B6462,"5 1 1 1 3 12 31111 6 M59 96300 000211 0000E 00001 00113 015 2111100 2024 CP1SB396*")-SUMIFS(E1519:E6462,K1519:K6462,"0",B1519:B6462,"5 1 1 1 3 12 31111 6 M59 96300 000211 0000E 00001 00113 015 2111100 2024 CP1SB396*")</f>
        <v>0</v>
      </c>
      <c r="E1518" s="54"/>
      <c r="F1518" s="83">
        <f>SUMIFS(F1519:F6462,K1519:K6462,"0",B1519:B6462,"5 1 1 1 3 12 31111 6 M59 96300 000211 0000E 00001 00113 015 2111100 2024 CP1SB396*")</f>
        <v>6942202.3499999996</v>
      </c>
      <c r="G1518" s="83">
        <f>SUMIFS(G1519:G6462,K1519:K6462,"0",B1519:B6462,"5 1 1 1 3 12 31111 6 M59 96300 000211 0000E 00001 00113 015 2111100 2024 CP1SB396*")</f>
        <v>0</v>
      </c>
      <c r="H1518" s="83">
        <f t="shared" si="24"/>
        <v>6942202.3499999996</v>
      </c>
      <c r="I1518" s="83"/>
      <c r="K1518" s="54" t="s">
        <v>15</v>
      </c>
    </row>
    <row r="1519" spans="2:11" ht="41.25" x14ac:dyDescent="0.2">
      <c r="B1519" s="82" t="s">
        <v>3726</v>
      </c>
      <c r="C1519" s="82" t="s">
        <v>282</v>
      </c>
      <c r="D1519" s="83">
        <f>SUMIFS(D1520:D6462,K1520:K6462,"0",B1520:B6462,"5 1 1 1 3 12 31111 6 M59 96300 000211 0000E 00001 00113 015 2111100 2024 CP1SB396 001*")-SUMIFS(E1520:E6462,K1520:K6462,"0",B1520:B6462,"5 1 1 1 3 12 31111 6 M59 96300 000211 0000E 00001 00113 015 2111100 2024 CP1SB396 001*")</f>
        <v>0</v>
      </c>
      <c r="E1519" s="54"/>
      <c r="F1519" s="83">
        <f>SUMIFS(F1520:F6462,K1520:K6462,"0",B1520:B6462,"5 1 1 1 3 12 31111 6 M59 96300 000211 0000E 00001 00113 015 2111100 2024 CP1SB396 001*")</f>
        <v>6942202.3499999996</v>
      </c>
      <c r="G1519" s="83">
        <f>SUMIFS(G1520:G6462,K1520:K6462,"0",B1520:B6462,"5 1 1 1 3 12 31111 6 M59 96300 000211 0000E 00001 00113 015 2111100 2024 CP1SB396 001*")</f>
        <v>0</v>
      </c>
      <c r="H1519" s="83">
        <f t="shared" si="24"/>
        <v>6942202.3499999996</v>
      </c>
      <c r="I1519" s="83"/>
      <c r="K1519" s="54" t="s">
        <v>15</v>
      </c>
    </row>
    <row r="1520" spans="2:11" ht="33" x14ac:dyDescent="0.2">
      <c r="B1520" s="84" t="s">
        <v>3727</v>
      </c>
      <c r="C1520" s="84" t="s">
        <v>2932</v>
      </c>
      <c r="D1520" s="85">
        <v>0</v>
      </c>
      <c r="E1520" s="85"/>
      <c r="F1520" s="85">
        <v>6942202.3499999996</v>
      </c>
      <c r="G1520" s="85">
        <v>0</v>
      </c>
      <c r="H1520" s="85">
        <f t="shared" si="24"/>
        <v>6942202.3499999996</v>
      </c>
      <c r="I1520" s="85"/>
      <c r="K1520" s="54" t="s">
        <v>38</v>
      </c>
    </row>
    <row r="1521" spans="2:11" ht="16.5" x14ac:dyDescent="0.2">
      <c r="B1521" s="82" t="s">
        <v>3728</v>
      </c>
      <c r="C1521" s="82" t="s">
        <v>3729</v>
      </c>
      <c r="D1521" s="83">
        <f>SUMIFS(D1522:D6462,K1522:K6462,"0",B1522:B6462,"5 1 1 1 3 12 31111 6 M59 97000*")-SUMIFS(E1522:E6462,K1522:K6462,"0",B1522:B6462,"5 1 1 1 3 12 31111 6 M59 97000*")</f>
        <v>0</v>
      </c>
      <c r="E1521" s="54"/>
      <c r="F1521" s="83">
        <f>SUMIFS(F1522:F6462,K1522:K6462,"0",B1522:B6462,"5 1 1 1 3 12 31111 6 M59 97000*")</f>
        <v>55503.91</v>
      </c>
      <c r="G1521" s="83">
        <f>SUMIFS(G1522:G6462,K1522:K6462,"0",B1522:B6462,"5 1 1 1 3 12 31111 6 M59 97000*")</f>
        <v>0</v>
      </c>
      <c r="H1521" s="83">
        <f t="shared" si="24"/>
        <v>55503.91</v>
      </c>
      <c r="I1521" s="83"/>
      <c r="K1521" s="54" t="s">
        <v>15</v>
      </c>
    </row>
    <row r="1522" spans="2:11" ht="16.5" x14ac:dyDescent="0.2">
      <c r="B1522" s="82" t="s">
        <v>3730</v>
      </c>
      <c r="C1522" s="82" t="s">
        <v>648</v>
      </c>
      <c r="D1522" s="83">
        <f>SUMIFS(D1523:D6462,K1523:K6462,"0",B1523:B6462,"5 1 1 1 3 12 31111 6 M59 97000 000132*")-SUMIFS(E1523:E6462,K1523:K6462,"0",B1523:B6462,"5 1 1 1 3 12 31111 6 M59 97000 000132*")</f>
        <v>0</v>
      </c>
      <c r="E1522" s="54"/>
      <c r="F1522" s="83">
        <f>SUMIFS(F1523:F6462,K1523:K6462,"0",B1523:B6462,"5 1 1 1 3 12 31111 6 M59 97000 000132*")</f>
        <v>55503.91</v>
      </c>
      <c r="G1522" s="83">
        <f>SUMIFS(G1523:G6462,K1523:K6462,"0",B1523:B6462,"5 1 1 1 3 12 31111 6 M59 97000 000132*")</f>
        <v>0</v>
      </c>
      <c r="H1522" s="83">
        <f t="shared" si="24"/>
        <v>55503.91</v>
      </c>
      <c r="I1522" s="83"/>
      <c r="K1522" s="54" t="s">
        <v>15</v>
      </c>
    </row>
    <row r="1523" spans="2:11" ht="16.5" x14ac:dyDescent="0.2">
      <c r="B1523" s="82" t="s">
        <v>3731</v>
      </c>
      <c r="C1523" s="82" t="s">
        <v>650</v>
      </c>
      <c r="D1523" s="83">
        <f>SUMIFS(D1524:D6462,K1524:K6462,"0",B1524:B6462,"5 1 1 1 3 12 31111 6 M59 97000 000132 0000R*")-SUMIFS(E1524:E6462,K1524:K6462,"0",B1524:B6462,"5 1 1 1 3 12 31111 6 M59 97000 000132 0000R*")</f>
        <v>0</v>
      </c>
      <c r="E1523" s="54"/>
      <c r="F1523" s="83">
        <f>SUMIFS(F1524:F6462,K1524:K6462,"0",B1524:B6462,"5 1 1 1 3 12 31111 6 M59 97000 000132 0000R*")</f>
        <v>55503.91</v>
      </c>
      <c r="G1523" s="83">
        <f>SUMIFS(G1524:G6462,K1524:K6462,"0",B1524:B6462,"5 1 1 1 3 12 31111 6 M59 97000 000132 0000R*")</f>
        <v>0</v>
      </c>
      <c r="H1523" s="83">
        <f t="shared" si="24"/>
        <v>55503.91</v>
      </c>
      <c r="I1523" s="83"/>
      <c r="K1523" s="54" t="s">
        <v>15</v>
      </c>
    </row>
    <row r="1524" spans="2:11" ht="24.75" x14ac:dyDescent="0.2">
      <c r="B1524" s="82" t="s">
        <v>3732</v>
      </c>
      <c r="C1524" s="82" t="s">
        <v>282</v>
      </c>
      <c r="D1524" s="83">
        <f>SUMIFS(D1525:D6462,K1525:K6462,"0",B1525:B6462,"5 1 1 1 3 12 31111 6 M59 97000 000132 0000R 00001*")-SUMIFS(E1525:E6462,K1525:K6462,"0",B1525:B6462,"5 1 1 1 3 12 31111 6 M59 97000 000132 0000R 00001*")</f>
        <v>0</v>
      </c>
      <c r="E1524" s="54"/>
      <c r="F1524" s="83">
        <f>SUMIFS(F1525:F6462,K1525:K6462,"0",B1525:B6462,"5 1 1 1 3 12 31111 6 M59 97000 000132 0000R 00001*")</f>
        <v>55503.91</v>
      </c>
      <c r="G1524" s="83">
        <f>SUMIFS(G1525:G6462,K1525:K6462,"0",B1525:B6462,"5 1 1 1 3 12 31111 6 M59 97000 000132 0000R 00001*")</f>
        <v>0</v>
      </c>
      <c r="H1524" s="83">
        <f t="shared" si="24"/>
        <v>55503.91</v>
      </c>
      <c r="I1524" s="83"/>
      <c r="K1524" s="54" t="s">
        <v>15</v>
      </c>
    </row>
    <row r="1525" spans="2:11" ht="24.75" x14ac:dyDescent="0.2">
      <c r="B1525" s="82" t="s">
        <v>3733</v>
      </c>
      <c r="C1525" s="82" t="s">
        <v>2924</v>
      </c>
      <c r="D1525" s="83">
        <f>SUMIFS(D1526:D6462,K1526:K6462,"0",B1526:B6462,"5 1 1 1 3 12 31111 6 M59 97000 000132 0000R 00001 00113*")-SUMIFS(E1526:E6462,K1526:K6462,"0",B1526:B6462,"5 1 1 1 3 12 31111 6 M59 97000 000132 0000R 00001 00113*")</f>
        <v>0</v>
      </c>
      <c r="E1525" s="54"/>
      <c r="F1525" s="83">
        <f>SUMIFS(F1526:F6462,K1526:K6462,"0",B1526:B6462,"5 1 1 1 3 12 31111 6 M59 97000 000132 0000R 00001 00113*")</f>
        <v>55503.91</v>
      </c>
      <c r="G1525" s="83">
        <f>SUMIFS(G1526:G6462,K1526:K6462,"0",B1526:B6462,"5 1 1 1 3 12 31111 6 M59 97000 000132 0000R 00001 00113*")</f>
        <v>0</v>
      </c>
      <c r="H1525" s="83">
        <f t="shared" si="24"/>
        <v>55503.91</v>
      </c>
      <c r="I1525" s="83"/>
      <c r="K1525" s="54" t="s">
        <v>15</v>
      </c>
    </row>
    <row r="1526" spans="2:11" ht="24.75" x14ac:dyDescent="0.2">
      <c r="B1526" s="82" t="s">
        <v>3734</v>
      </c>
      <c r="C1526" s="82" t="s">
        <v>1051</v>
      </c>
      <c r="D1526" s="83">
        <f>SUMIFS(D1527:D6462,K1527:K6462,"0",B1527:B6462,"5 1 1 1 3 12 31111 6 M59 97000 000132 0000R 00001 00113 015*")-SUMIFS(E1527:E6462,K1527:K6462,"0",B1527:B6462,"5 1 1 1 3 12 31111 6 M59 97000 000132 0000R 00001 00113 015*")</f>
        <v>0</v>
      </c>
      <c r="E1526" s="54"/>
      <c r="F1526" s="83">
        <f>SUMIFS(F1527:F6462,K1527:K6462,"0",B1527:B6462,"5 1 1 1 3 12 31111 6 M59 97000 000132 0000R 00001 00113 015*")</f>
        <v>55503.91</v>
      </c>
      <c r="G1526" s="83">
        <f>SUMIFS(G1527:G6462,K1527:K6462,"0",B1527:B6462,"5 1 1 1 3 12 31111 6 M59 97000 000132 0000R 00001 00113 015*")</f>
        <v>0</v>
      </c>
      <c r="H1526" s="83">
        <f t="shared" si="24"/>
        <v>55503.91</v>
      </c>
      <c r="I1526" s="83"/>
      <c r="K1526" s="54" t="s">
        <v>15</v>
      </c>
    </row>
    <row r="1527" spans="2:11" ht="33" x14ac:dyDescent="0.2">
      <c r="B1527" s="82" t="s">
        <v>3735</v>
      </c>
      <c r="C1527" s="82" t="s">
        <v>2927</v>
      </c>
      <c r="D1527" s="83">
        <f>SUMIFS(D1528:D6462,K1528:K6462,"0",B1528:B6462,"5 1 1 1 3 12 31111 6 M59 97000 000132 0000R 00001 00113 015 2111100*")-SUMIFS(E1528:E6462,K1528:K6462,"0",B1528:B6462,"5 1 1 1 3 12 31111 6 M59 97000 000132 0000R 00001 00113 015 2111100*")</f>
        <v>0</v>
      </c>
      <c r="E1527" s="54"/>
      <c r="F1527" s="83">
        <f>SUMIFS(F1528:F6462,K1528:K6462,"0",B1528:B6462,"5 1 1 1 3 12 31111 6 M59 97000 000132 0000R 00001 00113 015 2111100*")</f>
        <v>55503.91</v>
      </c>
      <c r="G1527" s="83">
        <f>SUMIFS(G1528:G6462,K1528:K6462,"0",B1528:B6462,"5 1 1 1 3 12 31111 6 M59 97000 000132 0000R 00001 00113 015 2111100*")</f>
        <v>0</v>
      </c>
      <c r="H1527" s="83">
        <f t="shared" si="24"/>
        <v>55503.91</v>
      </c>
      <c r="I1527" s="83"/>
      <c r="K1527" s="54" t="s">
        <v>15</v>
      </c>
    </row>
    <row r="1528" spans="2:11" ht="33" x14ac:dyDescent="0.2">
      <c r="B1528" s="82" t="s">
        <v>3736</v>
      </c>
      <c r="C1528" s="82" t="s">
        <v>660</v>
      </c>
      <c r="D1528" s="83">
        <f>SUMIFS(D1529:D6462,K1529:K6462,"0",B1529:B6462,"5 1 1 1 3 12 31111 6 M59 97000 000132 0000R 00001 00113 015 2111100 2024*")-SUMIFS(E1529:E6462,K1529:K6462,"0",B1529:B6462,"5 1 1 1 3 12 31111 6 M59 97000 000132 0000R 00001 00113 015 2111100 2024*")</f>
        <v>0</v>
      </c>
      <c r="E1528" s="54"/>
      <c r="F1528" s="83">
        <f>SUMIFS(F1529:F6462,K1529:K6462,"0",B1529:B6462,"5 1 1 1 3 12 31111 6 M59 97000 000132 0000R 00001 00113 015 2111100 2024*")</f>
        <v>55503.91</v>
      </c>
      <c r="G1528" s="83">
        <f>SUMIFS(G1529:G6462,K1529:K6462,"0",B1529:B6462,"5 1 1 1 3 12 31111 6 M59 97000 000132 0000R 00001 00113 015 2111100 2024*")</f>
        <v>0</v>
      </c>
      <c r="H1528" s="83">
        <f t="shared" si="24"/>
        <v>55503.91</v>
      </c>
      <c r="I1528" s="83"/>
      <c r="K1528" s="54" t="s">
        <v>15</v>
      </c>
    </row>
    <row r="1529" spans="2:11" ht="41.25" x14ac:dyDescent="0.2">
      <c r="B1529" s="82" t="s">
        <v>3737</v>
      </c>
      <c r="C1529" s="82" t="s">
        <v>1056</v>
      </c>
      <c r="D1529" s="83">
        <f>SUMIFS(D1530:D6462,K1530:K6462,"0",B1530:B6462,"5 1 1 1 3 12 31111 6 M59 97000 000132 0000R 00001 00113 015 2111100 2024 CP1SP428*")-SUMIFS(E1530:E6462,K1530:K6462,"0",B1530:B6462,"5 1 1 1 3 12 31111 6 M59 97000 000132 0000R 00001 00113 015 2111100 2024 CP1SP428*")</f>
        <v>0</v>
      </c>
      <c r="E1529" s="54"/>
      <c r="F1529" s="83">
        <f>SUMIFS(F1530:F6462,K1530:K6462,"0",B1530:B6462,"5 1 1 1 3 12 31111 6 M59 97000 000132 0000R 00001 00113 015 2111100 2024 CP1SP428*")</f>
        <v>55503.91</v>
      </c>
      <c r="G1529" s="83">
        <f>SUMIFS(G1530:G6462,K1530:K6462,"0",B1530:B6462,"5 1 1 1 3 12 31111 6 M59 97000 000132 0000R 00001 00113 015 2111100 2024 CP1SP428*")</f>
        <v>0</v>
      </c>
      <c r="H1529" s="83">
        <f t="shared" si="24"/>
        <v>55503.91</v>
      </c>
      <c r="I1529" s="83"/>
      <c r="K1529" s="54" t="s">
        <v>15</v>
      </c>
    </row>
    <row r="1530" spans="2:11" ht="41.25" x14ac:dyDescent="0.2">
      <c r="B1530" s="82" t="s">
        <v>3738</v>
      </c>
      <c r="C1530" s="82" t="s">
        <v>282</v>
      </c>
      <c r="D1530" s="83">
        <f>SUMIFS(D1531:D6462,K1531:K6462,"0",B1531:B6462,"5 1 1 1 3 12 31111 6 M59 97000 000132 0000R 00001 00113 015 2111100 2024 CP1SP428 001*")-SUMIFS(E1531:E6462,K1531:K6462,"0",B1531:B6462,"5 1 1 1 3 12 31111 6 M59 97000 000132 0000R 00001 00113 015 2111100 2024 CP1SP428 001*")</f>
        <v>0</v>
      </c>
      <c r="E1530" s="54"/>
      <c r="F1530" s="83">
        <f>SUMIFS(F1531:F6462,K1531:K6462,"0",B1531:B6462,"5 1 1 1 3 12 31111 6 M59 97000 000132 0000R 00001 00113 015 2111100 2024 CP1SP428 001*")</f>
        <v>55503.91</v>
      </c>
      <c r="G1530" s="83">
        <f>SUMIFS(G1531:G6462,K1531:K6462,"0",B1531:B6462,"5 1 1 1 3 12 31111 6 M59 97000 000132 0000R 00001 00113 015 2111100 2024 CP1SP428 001*")</f>
        <v>0</v>
      </c>
      <c r="H1530" s="83">
        <f t="shared" si="24"/>
        <v>55503.91</v>
      </c>
      <c r="I1530" s="83"/>
      <c r="K1530" s="54" t="s">
        <v>15</v>
      </c>
    </row>
    <row r="1531" spans="2:11" ht="33" x14ac:dyDescent="0.2">
      <c r="B1531" s="84" t="s">
        <v>3739</v>
      </c>
      <c r="C1531" s="84" t="s">
        <v>2932</v>
      </c>
      <c r="D1531" s="85">
        <v>0</v>
      </c>
      <c r="E1531" s="85"/>
      <c r="F1531" s="85">
        <v>55503.91</v>
      </c>
      <c r="G1531" s="85">
        <v>0</v>
      </c>
      <c r="H1531" s="85">
        <f t="shared" si="24"/>
        <v>55503.91</v>
      </c>
      <c r="I1531" s="85"/>
      <c r="K1531" s="54" t="s">
        <v>38</v>
      </c>
    </row>
    <row r="1532" spans="2:11" ht="16.5" x14ac:dyDescent="0.2">
      <c r="B1532" s="82" t="s">
        <v>3740</v>
      </c>
      <c r="C1532" s="82" t="s">
        <v>3741</v>
      </c>
      <c r="D1532" s="83">
        <f>SUMIFS(D1533:D6462,K1533:K6462,"0",B1533:B6462,"5 1 1 1 3 12 31111 6 M59 98000*")-SUMIFS(E1533:E6462,K1533:K6462,"0",B1533:B6462,"5 1 1 1 3 12 31111 6 M59 98000*")</f>
        <v>0</v>
      </c>
      <c r="E1532" s="54"/>
      <c r="F1532" s="83">
        <f>SUMIFS(F1533:F6462,K1533:K6462,"0",B1533:B6462,"5 1 1 1 3 12 31111 6 M59 98000*")</f>
        <v>42812.83</v>
      </c>
      <c r="G1532" s="83">
        <f>SUMIFS(G1533:G6462,K1533:K6462,"0",B1533:B6462,"5 1 1 1 3 12 31111 6 M59 98000*")</f>
        <v>0</v>
      </c>
      <c r="H1532" s="83">
        <f t="shared" si="24"/>
        <v>42812.83</v>
      </c>
      <c r="I1532" s="83"/>
      <c r="K1532" s="54" t="s">
        <v>15</v>
      </c>
    </row>
    <row r="1533" spans="2:11" ht="24.75" x14ac:dyDescent="0.2">
      <c r="B1533" s="82" t="s">
        <v>3742</v>
      </c>
      <c r="C1533" s="82" t="s">
        <v>3152</v>
      </c>
      <c r="D1533" s="83">
        <f>SUMIFS(D1534:D6462,K1534:K6462,"0",B1534:B6462,"5 1 1 1 3 12 31111 6 M59 98000 000181*")-SUMIFS(E1534:E6462,K1534:K6462,"0",B1534:B6462,"5 1 1 1 3 12 31111 6 M59 98000 000181*")</f>
        <v>0</v>
      </c>
      <c r="E1533" s="54"/>
      <c r="F1533" s="83">
        <f>SUMIFS(F1534:F6462,K1534:K6462,"0",B1534:B6462,"5 1 1 1 3 12 31111 6 M59 98000 000181*")</f>
        <v>42812.83</v>
      </c>
      <c r="G1533" s="83">
        <f>SUMIFS(G1534:G6462,K1534:K6462,"0",B1534:B6462,"5 1 1 1 3 12 31111 6 M59 98000 000181*")</f>
        <v>0</v>
      </c>
      <c r="H1533" s="83">
        <f t="shared" si="24"/>
        <v>42812.83</v>
      </c>
      <c r="I1533" s="83"/>
      <c r="K1533" s="54" t="s">
        <v>15</v>
      </c>
    </row>
    <row r="1534" spans="2:11" ht="16.5" x14ac:dyDescent="0.2">
      <c r="B1534" s="82" t="s">
        <v>3743</v>
      </c>
      <c r="C1534" s="82" t="s">
        <v>650</v>
      </c>
      <c r="D1534" s="83">
        <f>SUMIFS(D1535:D6462,K1535:K6462,"0",B1535:B6462,"5 1 1 1 3 12 31111 6 M59 98000 000181 0000R*")-SUMIFS(E1535:E6462,K1535:K6462,"0",B1535:B6462,"5 1 1 1 3 12 31111 6 M59 98000 000181 0000R*")</f>
        <v>0</v>
      </c>
      <c r="E1534" s="54"/>
      <c r="F1534" s="83">
        <f>SUMIFS(F1535:F6462,K1535:K6462,"0",B1535:B6462,"5 1 1 1 3 12 31111 6 M59 98000 000181 0000R*")</f>
        <v>42812.83</v>
      </c>
      <c r="G1534" s="83">
        <f>SUMIFS(G1535:G6462,K1535:K6462,"0",B1535:B6462,"5 1 1 1 3 12 31111 6 M59 98000 000181 0000R*")</f>
        <v>0</v>
      </c>
      <c r="H1534" s="83">
        <f t="shared" si="24"/>
        <v>42812.83</v>
      </c>
      <c r="I1534" s="83"/>
      <c r="K1534" s="54" t="s">
        <v>15</v>
      </c>
    </row>
    <row r="1535" spans="2:11" ht="24.75" x14ac:dyDescent="0.2">
      <c r="B1535" s="82" t="s">
        <v>3744</v>
      </c>
      <c r="C1535" s="82" t="s">
        <v>282</v>
      </c>
      <c r="D1535" s="83">
        <f>SUMIFS(D1536:D6462,K1536:K6462,"0",B1536:B6462,"5 1 1 1 3 12 31111 6 M59 98000 000181 0000R 00001*")-SUMIFS(E1536:E6462,K1536:K6462,"0",B1536:B6462,"5 1 1 1 3 12 31111 6 M59 98000 000181 0000R 00001*")</f>
        <v>0</v>
      </c>
      <c r="E1535" s="54"/>
      <c r="F1535" s="83">
        <f>SUMIFS(F1536:F6462,K1536:K6462,"0",B1536:B6462,"5 1 1 1 3 12 31111 6 M59 98000 000181 0000R 00001*")</f>
        <v>42812.83</v>
      </c>
      <c r="G1535" s="83">
        <f>SUMIFS(G1536:G6462,K1536:K6462,"0",B1536:B6462,"5 1 1 1 3 12 31111 6 M59 98000 000181 0000R 00001*")</f>
        <v>0</v>
      </c>
      <c r="H1535" s="83">
        <f t="shared" si="24"/>
        <v>42812.83</v>
      </c>
      <c r="I1535" s="83"/>
      <c r="K1535" s="54" t="s">
        <v>15</v>
      </c>
    </row>
    <row r="1536" spans="2:11" ht="24.75" x14ac:dyDescent="0.2">
      <c r="B1536" s="82" t="s">
        <v>3745</v>
      </c>
      <c r="C1536" s="82" t="s">
        <v>2924</v>
      </c>
      <c r="D1536" s="83">
        <f>SUMIFS(D1537:D6462,K1537:K6462,"0",B1537:B6462,"5 1 1 1 3 12 31111 6 M59 98000 000181 0000R 00001 00113*")-SUMIFS(E1537:E6462,K1537:K6462,"0",B1537:B6462,"5 1 1 1 3 12 31111 6 M59 98000 000181 0000R 00001 00113*")</f>
        <v>0</v>
      </c>
      <c r="E1536" s="54"/>
      <c r="F1536" s="83">
        <f>SUMIFS(F1537:F6462,K1537:K6462,"0",B1537:B6462,"5 1 1 1 3 12 31111 6 M59 98000 000181 0000R 00001 00113*")</f>
        <v>42812.83</v>
      </c>
      <c r="G1536" s="83">
        <f>SUMIFS(G1537:G6462,K1537:K6462,"0",B1537:B6462,"5 1 1 1 3 12 31111 6 M59 98000 000181 0000R 00001 00113*")</f>
        <v>0</v>
      </c>
      <c r="H1536" s="83">
        <f t="shared" si="24"/>
        <v>42812.83</v>
      </c>
      <c r="I1536" s="83"/>
      <c r="K1536" s="54" t="s">
        <v>15</v>
      </c>
    </row>
    <row r="1537" spans="2:11" ht="24.75" x14ac:dyDescent="0.2">
      <c r="B1537" s="82" t="s">
        <v>3746</v>
      </c>
      <c r="C1537" s="82" t="s">
        <v>1051</v>
      </c>
      <c r="D1537" s="83">
        <f>SUMIFS(D1538:D6462,K1538:K6462,"0",B1538:B6462,"5 1 1 1 3 12 31111 6 M59 98000 000181 0000R 00001 00113 015*")-SUMIFS(E1538:E6462,K1538:K6462,"0",B1538:B6462,"5 1 1 1 3 12 31111 6 M59 98000 000181 0000R 00001 00113 015*")</f>
        <v>0</v>
      </c>
      <c r="E1537" s="54"/>
      <c r="F1537" s="83">
        <f>SUMIFS(F1538:F6462,K1538:K6462,"0",B1538:B6462,"5 1 1 1 3 12 31111 6 M59 98000 000181 0000R 00001 00113 015*")</f>
        <v>42812.83</v>
      </c>
      <c r="G1537" s="83">
        <f>SUMIFS(G1538:G6462,K1538:K6462,"0",B1538:B6462,"5 1 1 1 3 12 31111 6 M59 98000 000181 0000R 00001 00113 015*")</f>
        <v>0</v>
      </c>
      <c r="H1537" s="83">
        <f t="shared" si="24"/>
        <v>42812.83</v>
      </c>
      <c r="I1537" s="83"/>
      <c r="K1537" s="54" t="s">
        <v>15</v>
      </c>
    </row>
    <row r="1538" spans="2:11" ht="33" x14ac:dyDescent="0.2">
      <c r="B1538" s="82" t="s">
        <v>3747</v>
      </c>
      <c r="C1538" s="82" t="s">
        <v>2927</v>
      </c>
      <c r="D1538" s="83">
        <f>SUMIFS(D1539:D6462,K1539:K6462,"0",B1539:B6462,"5 1 1 1 3 12 31111 6 M59 98000 000181 0000R 00001 00113 015 2111100*")-SUMIFS(E1539:E6462,K1539:K6462,"0",B1539:B6462,"5 1 1 1 3 12 31111 6 M59 98000 000181 0000R 00001 00113 015 2111100*")</f>
        <v>0</v>
      </c>
      <c r="E1538" s="54"/>
      <c r="F1538" s="83">
        <f>SUMIFS(F1539:F6462,K1539:K6462,"0",B1539:B6462,"5 1 1 1 3 12 31111 6 M59 98000 000181 0000R 00001 00113 015 2111100*")</f>
        <v>42812.83</v>
      </c>
      <c r="G1538" s="83">
        <f>SUMIFS(G1539:G6462,K1539:K6462,"0",B1539:B6462,"5 1 1 1 3 12 31111 6 M59 98000 000181 0000R 00001 00113 015 2111100*")</f>
        <v>0</v>
      </c>
      <c r="H1538" s="83">
        <f t="shared" si="24"/>
        <v>42812.83</v>
      </c>
      <c r="I1538" s="83"/>
      <c r="K1538" s="54" t="s">
        <v>15</v>
      </c>
    </row>
    <row r="1539" spans="2:11" ht="33" x14ac:dyDescent="0.2">
      <c r="B1539" s="82" t="s">
        <v>3748</v>
      </c>
      <c r="C1539" s="82" t="s">
        <v>660</v>
      </c>
      <c r="D1539" s="83">
        <f>SUMIFS(D1540:D6462,K1540:K6462,"0",B1540:B6462,"5 1 1 1 3 12 31111 6 M59 98000 000181 0000R 00001 00113 015 2111100 2024*")-SUMIFS(E1540:E6462,K1540:K6462,"0",B1540:B6462,"5 1 1 1 3 12 31111 6 M59 98000 000181 0000R 00001 00113 015 2111100 2024*")</f>
        <v>0</v>
      </c>
      <c r="E1539" s="54"/>
      <c r="F1539" s="83">
        <f>SUMIFS(F1540:F6462,K1540:K6462,"0",B1540:B6462,"5 1 1 1 3 12 31111 6 M59 98000 000181 0000R 00001 00113 015 2111100 2024*")</f>
        <v>42812.83</v>
      </c>
      <c r="G1539" s="83">
        <f>SUMIFS(G1540:G6462,K1540:K6462,"0",B1540:B6462,"5 1 1 1 3 12 31111 6 M59 98000 000181 0000R 00001 00113 015 2111100 2024*")</f>
        <v>0</v>
      </c>
      <c r="H1539" s="83">
        <f t="shared" si="24"/>
        <v>42812.83</v>
      </c>
      <c r="I1539" s="83"/>
      <c r="K1539" s="54" t="s">
        <v>15</v>
      </c>
    </row>
    <row r="1540" spans="2:11" ht="41.25" x14ac:dyDescent="0.2">
      <c r="B1540" s="82" t="s">
        <v>3749</v>
      </c>
      <c r="C1540" s="82" t="s">
        <v>3495</v>
      </c>
      <c r="D1540" s="83">
        <f>SUMIFS(D1541:D6462,K1541:K6462,"0",B1541:B6462,"5 1 1 1 3 12 31111 6 M59 98000 000181 0000R 00001 00113 015 2111100 2024 CP1RH392*")-SUMIFS(E1541:E6462,K1541:K6462,"0",B1541:B6462,"5 1 1 1 3 12 31111 6 M59 98000 000181 0000R 00001 00113 015 2111100 2024 CP1RH392*")</f>
        <v>0</v>
      </c>
      <c r="E1540" s="54"/>
      <c r="F1540" s="83">
        <f>SUMIFS(F1541:F6462,K1541:K6462,"0",B1541:B6462,"5 1 1 1 3 12 31111 6 M59 98000 000181 0000R 00001 00113 015 2111100 2024 CP1RH392*")</f>
        <v>42812.83</v>
      </c>
      <c r="G1540" s="83">
        <f>SUMIFS(G1541:G6462,K1541:K6462,"0",B1541:B6462,"5 1 1 1 3 12 31111 6 M59 98000 000181 0000R 00001 00113 015 2111100 2024 CP1RH392*")</f>
        <v>0</v>
      </c>
      <c r="H1540" s="83">
        <f t="shared" si="24"/>
        <v>42812.83</v>
      </c>
      <c r="I1540" s="83"/>
      <c r="K1540" s="54" t="s">
        <v>15</v>
      </c>
    </row>
    <row r="1541" spans="2:11" ht="41.25" x14ac:dyDescent="0.2">
      <c r="B1541" s="82" t="s">
        <v>3750</v>
      </c>
      <c r="C1541" s="82" t="s">
        <v>282</v>
      </c>
      <c r="D1541" s="83">
        <f>SUMIFS(D1542:D6462,K1542:K6462,"0",B1542:B6462,"5 1 1 1 3 12 31111 6 M59 98000 000181 0000R 00001 00113 015 2111100 2024 CP1RH392 001*")-SUMIFS(E1542:E6462,K1542:K6462,"0",B1542:B6462,"5 1 1 1 3 12 31111 6 M59 98000 000181 0000R 00001 00113 015 2111100 2024 CP1RH392 001*")</f>
        <v>0</v>
      </c>
      <c r="E1541" s="54"/>
      <c r="F1541" s="83">
        <f>SUMIFS(F1542:F6462,K1542:K6462,"0",B1542:B6462,"5 1 1 1 3 12 31111 6 M59 98000 000181 0000R 00001 00113 015 2111100 2024 CP1RH392 001*")</f>
        <v>42812.83</v>
      </c>
      <c r="G1541" s="83">
        <f>SUMIFS(G1542:G6462,K1542:K6462,"0",B1542:B6462,"5 1 1 1 3 12 31111 6 M59 98000 000181 0000R 00001 00113 015 2111100 2024 CP1RH392 001*")</f>
        <v>0</v>
      </c>
      <c r="H1541" s="83">
        <f t="shared" si="24"/>
        <v>42812.83</v>
      </c>
      <c r="I1541" s="83"/>
      <c r="K1541" s="54" t="s">
        <v>15</v>
      </c>
    </row>
    <row r="1542" spans="2:11" ht="33" x14ac:dyDescent="0.2">
      <c r="B1542" s="84" t="s">
        <v>3751</v>
      </c>
      <c r="C1542" s="84" t="s">
        <v>3752</v>
      </c>
      <c r="D1542" s="85">
        <v>0</v>
      </c>
      <c r="E1542" s="85"/>
      <c r="F1542" s="85">
        <v>42812.83</v>
      </c>
      <c r="G1542" s="85">
        <v>0</v>
      </c>
      <c r="H1542" s="85">
        <f t="shared" si="24"/>
        <v>42812.83</v>
      </c>
      <c r="I1542" s="85"/>
      <c r="K1542" s="54" t="s">
        <v>38</v>
      </c>
    </row>
    <row r="1543" spans="2:11" ht="16.5" x14ac:dyDescent="0.2">
      <c r="B1543" s="82" t="s">
        <v>3753</v>
      </c>
      <c r="C1543" s="82" t="s">
        <v>3754</v>
      </c>
      <c r="D1543" s="83">
        <f>SUMIFS(D1544:D6462,K1544:K6462,"0",B1544:B6462,"5 1 1 1 3 12 31111 6 M59 99000*")-SUMIFS(E1544:E6462,K1544:K6462,"0",B1544:B6462,"5 1 1 1 3 12 31111 6 M59 99000*")</f>
        <v>0</v>
      </c>
      <c r="E1543" s="54"/>
      <c r="F1543" s="83">
        <f>SUMIFS(F1544:F6462,K1544:K6462,"0",B1544:B6462,"5 1 1 1 3 12 31111 6 M59 99000*")</f>
        <v>138534.15</v>
      </c>
      <c r="G1543" s="83">
        <f>SUMIFS(G1544:G6462,K1544:K6462,"0",B1544:B6462,"5 1 1 1 3 12 31111 6 M59 99000*")</f>
        <v>0</v>
      </c>
      <c r="H1543" s="83">
        <f t="shared" si="24"/>
        <v>138534.15</v>
      </c>
      <c r="I1543" s="83"/>
      <c r="K1543" s="54" t="s">
        <v>15</v>
      </c>
    </row>
    <row r="1544" spans="2:11" ht="16.5" x14ac:dyDescent="0.2">
      <c r="B1544" s="82" t="s">
        <v>3755</v>
      </c>
      <c r="C1544" s="82" t="s">
        <v>648</v>
      </c>
      <c r="D1544" s="83">
        <f>SUMIFS(D1545:D6462,K1545:K6462,"0",B1545:B6462,"5 1 1 1 3 12 31111 6 M59 99000 000132*")-SUMIFS(E1545:E6462,K1545:K6462,"0",B1545:B6462,"5 1 1 1 3 12 31111 6 M59 99000 000132*")</f>
        <v>0</v>
      </c>
      <c r="E1544" s="54"/>
      <c r="F1544" s="83">
        <f>SUMIFS(F1545:F6462,K1545:K6462,"0",B1545:B6462,"5 1 1 1 3 12 31111 6 M59 99000 000132*")</f>
        <v>138534.15</v>
      </c>
      <c r="G1544" s="83">
        <f>SUMIFS(G1545:G6462,K1545:K6462,"0",B1545:B6462,"5 1 1 1 3 12 31111 6 M59 99000 000132*")</f>
        <v>0</v>
      </c>
      <c r="H1544" s="83">
        <f t="shared" si="24"/>
        <v>138534.15</v>
      </c>
      <c r="I1544" s="83"/>
      <c r="K1544" s="54" t="s">
        <v>15</v>
      </c>
    </row>
    <row r="1545" spans="2:11" ht="16.5" x14ac:dyDescent="0.2">
      <c r="B1545" s="82" t="s">
        <v>3756</v>
      </c>
      <c r="C1545" s="82" t="s">
        <v>650</v>
      </c>
      <c r="D1545" s="83">
        <f>SUMIFS(D1546:D6462,K1546:K6462,"0",B1546:B6462,"5 1 1 1 3 12 31111 6 M59 99000 000132 0000R*")-SUMIFS(E1546:E6462,K1546:K6462,"0",B1546:B6462,"5 1 1 1 3 12 31111 6 M59 99000 000132 0000R*")</f>
        <v>0</v>
      </c>
      <c r="E1545" s="54"/>
      <c r="F1545" s="83">
        <f>SUMIFS(F1546:F6462,K1546:K6462,"0",B1546:B6462,"5 1 1 1 3 12 31111 6 M59 99000 000132 0000R*")</f>
        <v>138534.15</v>
      </c>
      <c r="G1545" s="83">
        <f>SUMIFS(G1546:G6462,K1546:K6462,"0",B1546:B6462,"5 1 1 1 3 12 31111 6 M59 99000 000132 0000R*")</f>
        <v>0</v>
      </c>
      <c r="H1545" s="83">
        <f t="shared" si="24"/>
        <v>138534.15</v>
      </c>
      <c r="I1545" s="83"/>
      <c r="K1545" s="54" t="s">
        <v>15</v>
      </c>
    </row>
    <row r="1546" spans="2:11" ht="24.75" x14ac:dyDescent="0.2">
      <c r="B1546" s="82" t="s">
        <v>3757</v>
      </c>
      <c r="C1546" s="82" t="s">
        <v>282</v>
      </c>
      <c r="D1546" s="83">
        <f>SUMIFS(D1547:D6462,K1547:K6462,"0",B1547:B6462,"5 1 1 1 3 12 31111 6 M59 99000 000132 0000R 00001*")-SUMIFS(E1547:E6462,K1547:K6462,"0",B1547:B6462,"5 1 1 1 3 12 31111 6 M59 99000 000132 0000R 00001*")</f>
        <v>0</v>
      </c>
      <c r="E1546" s="54"/>
      <c r="F1546" s="83">
        <f>SUMIFS(F1547:F6462,K1547:K6462,"0",B1547:B6462,"5 1 1 1 3 12 31111 6 M59 99000 000132 0000R 00001*")</f>
        <v>138534.15</v>
      </c>
      <c r="G1546" s="83">
        <f>SUMIFS(G1547:G6462,K1547:K6462,"0",B1547:B6462,"5 1 1 1 3 12 31111 6 M59 99000 000132 0000R 00001*")</f>
        <v>0</v>
      </c>
      <c r="H1546" s="83">
        <f t="shared" si="24"/>
        <v>138534.15</v>
      </c>
      <c r="I1546" s="83"/>
      <c r="K1546" s="54" t="s">
        <v>15</v>
      </c>
    </row>
    <row r="1547" spans="2:11" ht="24.75" x14ac:dyDescent="0.2">
      <c r="B1547" s="82" t="s">
        <v>3758</v>
      </c>
      <c r="C1547" s="82" t="s">
        <v>2924</v>
      </c>
      <c r="D1547" s="83">
        <f>SUMIFS(D1548:D6462,K1548:K6462,"0",B1548:B6462,"5 1 1 1 3 12 31111 6 M59 99000 000132 0000R 00001 00113*")-SUMIFS(E1548:E6462,K1548:K6462,"0",B1548:B6462,"5 1 1 1 3 12 31111 6 M59 99000 000132 0000R 00001 00113*")</f>
        <v>0</v>
      </c>
      <c r="E1547" s="54"/>
      <c r="F1547" s="83">
        <f>SUMIFS(F1548:F6462,K1548:K6462,"0",B1548:B6462,"5 1 1 1 3 12 31111 6 M59 99000 000132 0000R 00001 00113*")</f>
        <v>138534.15</v>
      </c>
      <c r="G1547" s="83">
        <f>SUMIFS(G1548:G6462,K1548:K6462,"0",B1548:B6462,"5 1 1 1 3 12 31111 6 M59 99000 000132 0000R 00001 00113*")</f>
        <v>0</v>
      </c>
      <c r="H1547" s="83">
        <f t="shared" si="24"/>
        <v>138534.15</v>
      </c>
      <c r="I1547" s="83"/>
      <c r="K1547" s="54" t="s">
        <v>15</v>
      </c>
    </row>
    <row r="1548" spans="2:11" ht="24.75" x14ac:dyDescent="0.2">
      <c r="B1548" s="82" t="s">
        <v>3759</v>
      </c>
      <c r="C1548" s="82" t="s">
        <v>1051</v>
      </c>
      <c r="D1548" s="83">
        <f>SUMIFS(D1549:D6462,K1549:K6462,"0",B1549:B6462,"5 1 1 1 3 12 31111 6 M59 99000 000132 0000R 00001 00113 015*")-SUMIFS(E1549:E6462,K1549:K6462,"0",B1549:B6462,"5 1 1 1 3 12 31111 6 M59 99000 000132 0000R 00001 00113 015*")</f>
        <v>0</v>
      </c>
      <c r="E1548" s="54"/>
      <c r="F1548" s="83">
        <f>SUMIFS(F1549:F6462,K1549:K6462,"0",B1549:B6462,"5 1 1 1 3 12 31111 6 M59 99000 000132 0000R 00001 00113 015*")</f>
        <v>138534.15</v>
      </c>
      <c r="G1548" s="83">
        <f>SUMIFS(G1549:G6462,K1549:K6462,"0",B1549:B6462,"5 1 1 1 3 12 31111 6 M59 99000 000132 0000R 00001 00113 015*")</f>
        <v>0</v>
      </c>
      <c r="H1548" s="83">
        <f t="shared" si="24"/>
        <v>138534.15</v>
      </c>
      <c r="I1548" s="83"/>
      <c r="K1548" s="54" t="s">
        <v>15</v>
      </c>
    </row>
    <row r="1549" spans="2:11" ht="33" x14ac:dyDescent="0.2">
      <c r="B1549" s="82" t="s">
        <v>3760</v>
      </c>
      <c r="C1549" s="82" t="s">
        <v>2927</v>
      </c>
      <c r="D1549" s="83">
        <f>SUMIFS(D1550:D6462,K1550:K6462,"0",B1550:B6462,"5 1 1 1 3 12 31111 6 M59 99000 000132 0000R 00001 00113 015 2111100*")-SUMIFS(E1550:E6462,K1550:K6462,"0",B1550:B6462,"5 1 1 1 3 12 31111 6 M59 99000 000132 0000R 00001 00113 015 2111100*")</f>
        <v>0</v>
      </c>
      <c r="E1549" s="54"/>
      <c r="F1549" s="83">
        <f>SUMIFS(F1550:F6462,K1550:K6462,"0",B1550:B6462,"5 1 1 1 3 12 31111 6 M59 99000 000132 0000R 00001 00113 015 2111100*")</f>
        <v>138534.15</v>
      </c>
      <c r="G1549" s="83">
        <f>SUMIFS(G1550:G6462,K1550:K6462,"0",B1550:B6462,"5 1 1 1 3 12 31111 6 M59 99000 000132 0000R 00001 00113 015 2111100*")</f>
        <v>0</v>
      </c>
      <c r="H1549" s="83">
        <f t="shared" si="24"/>
        <v>138534.15</v>
      </c>
      <c r="I1549" s="83"/>
      <c r="K1549" s="54" t="s">
        <v>15</v>
      </c>
    </row>
    <row r="1550" spans="2:11" ht="33" x14ac:dyDescent="0.2">
      <c r="B1550" s="82" t="s">
        <v>3761</v>
      </c>
      <c r="C1550" s="82" t="s">
        <v>660</v>
      </c>
      <c r="D1550" s="83">
        <f>SUMIFS(D1551:D6462,K1551:K6462,"0",B1551:B6462,"5 1 1 1 3 12 31111 6 M59 99000 000132 0000R 00001 00113 015 2111100 2024*")-SUMIFS(E1551:E6462,K1551:K6462,"0",B1551:B6462,"5 1 1 1 3 12 31111 6 M59 99000 000132 0000R 00001 00113 015 2111100 2024*")</f>
        <v>0</v>
      </c>
      <c r="E1550" s="54"/>
      <c r="F1550" s="83">
        <f>SUMIFS(F1551:F6462,K1551:K6462,"0",B1551:B6462,"5 1 1 1 3 12 31111 6 M59 99000 000132 0000R 00001 00113 015 2111100 2024*")</f>
        <v>138534.15</v>
      </c>
      <c r="G1550" s="83">
        <f>SUMIFS(G1551:G6462,K1551:K6462,"0",B1551:B6462,"5 1 1 1 3 12 31111 6 M59 99000 000132 0000R 00001 00113 015 2111100 2024*")</f>
        <v>0</v>
      </c>
      <c r="H1550" s="83">
        <f t="shared" si="24"/>
        <v>138534.15</v>
      </c>
      <c r="I1550" s="83"/>
      <c r="K1550" s="54" t="s">
        <v>15</v>
      </c>
    </row>
    <row r="1551" spans="2:11" ht="41.25" x14ac:dyDescent="0.2">
      <c r="B1551" s="82" t="s">
        <v>3762</v>
      </c>
      <c r="C1551" s="82" t="s">
        <v>1056</v>
      </c>
      <c r="D1551" s="83">
        <f>SUMIFS(D1552:D6462,K1552:K6462,"0",B1552:B6462,"5 1 1 1 3 12 31111 6 M59 99000 000132 0000R 00001 00113 015 2111100 2024 CP1MG408*")-SUMIFS(E1552:E6462,K1552:K6462,"0",B1552:B6462,"5 1 1 1 3 12 31111 6 M59 99000 000132 0000R 00001 00113 015 2111100 2024 CP1MG408*")</f>
        <v>0</v>
      </c>
      <c r="E1551" s="54"/>
      <c r="F1551" s="83">
        <f>SUMIFS(F1552:F6462,K1552:K6462,"0",B1552:B6462,"5 1 1 1 3 12 31111 6 M59 99000 000132 0000R 00001 00113 015 2111100 2024 CP1MG408*")</f>
        <v>138534.15</v>
      </c>
      <c r="G1551" s="83">
        <f>SUMIFS(G1552:G6462,K1552:K6462,"0",B1552:B6462,"5 1 1 1 3 12 31111 6 M59 99000 000132 0000R 00001 00113 015 2111100 2024 CP1MG408*")</f>
        <v>0</v>
      </c>
      <c r="H1551" s="83">
        <f t="shared" si="24"/>
        <v>138534.15</v>
      </c>
      <c r="I1551" s="83"/>
      <c r="K1551" s="54" t="s">
        <v>15</v>
      </c>
    </row>
    <row r="1552" spans="2:11" ht="41.25" x14ac:dyDescent="0.2">
      <c r="B1552" s="82" t="s">
        <v>3763</v>
      </c>
      <c r="C1552" s="82" t="s">
        <v>282</v>
      </c>
      <c r="D1552" s="83">
        <f>SUMIFS(D1553:D6462,K1553:K6462,"0",B1553:B6462,"5 1 1 1 3 12 31111 6 M59 99000 000132 0000R 00001 00113 015 2111100 2024 CP1MG408 001*")-SUMIFS(E1553:E6462,K1553:K6462,"0",B1553:B6462,"5 1 1 1 3 12 31111 6 M59 99000 000132 0000R 00001 00113 015 2111100 2024 CP1MG408 001*")</f>
        <v>0</v>
      </c>
      <c r="E1552" s="54"/>
      <c r="F1552" s="83">
        <f>SUMIFS(F1553:F6462,K1553:K6462,"0",B1553:B6462,"5 1 1 1 3 12 31111 6 M59 99000 000132 0000R 00001 00113 015 2111100 2024 CP1MG408 001*")</f>
        <v>138534.15</v>
      </c>
      <c r="G1552" s="83">
        <f>SUMIFS(G1553:G6462,K1553:K6462,"0",B1553:B6462,"5 1 1 1 3 12 31111 6 M59 99000 000132 0000R 00001 00113 015 2111100 2024 CP1MG408 001*")</f>
        <v>0</v>
      </c>
      <c r="H1552" s="83">
        <f t="shared" si="24"/>
        <v>138534.15</v>
      </c>
      <c r="I1552" s="83"/>
      <c r="K1552" s="54" t="s">
        <v>15</v>
      </c>
    </row>
    <row r="1553" spans="2:11" ht="41.25" x14ac:dyDescent="0.2">
      <c r="B1553" s="84" t="s">
        <v>3764</v>
      </c>
      <c r="C1553" s="84" t="s">
        <v>2932</v>
      </c>
      <c r="D1553" s="85">
        <v>0</v>
      </c>
      <c r="E1553" s="85"/>
      <c r="F1553" s="85">
        <v>138534.15</v>
      </c>
      <c r="G1553" s="85">
        <v>0</v>
      </c>
      <c r="H1553" s="85">
        <f t="shared" si="24"/>
        <v>138534.15</v>
      </c>
      <c r="I1553" s="85"/>
      <c r="K1553" s="54" t="s">
        <v>38</v>
      </c>
    </row>
    <row r="1554" spans="2:11" ht="16.5" x14ac:dyDescent="0.2">
      <c r="B1554" s="82" t="s">
        <v>3765</v>
      </c>
      <c r="C1554" s="82" t="s">
        <v>3766</v>
      </c>
      <c r="D1554" s="83">
        <f>SUMIFS(D1555:D6462,K1555:K6462,"0",B1555:B6462,"5 1 1 3*")-SUMIFS(E1555:E6462,K1555:K6462,"0",B1555:B6462,"5 1 1 3*")</f>
        <v>0</v>
      </c>
      <c r="E1554" s="54"/>
      <c r="F1554" s="83">
        <f>SUMIFS(F1555:F6462,K1555:K6462,"0",B1555:B6462,"5 1 1 3*")</f>
        <v>4760390.9900000012</v>
      </c>
      <c r="G1554" s="83">
        <f>SUMIFS(G1555:G6462,K1555:K6462,"0",B1555:B6462,"5 1 1 3*")</f>
        <v>0</v>
      </c>
      <c r="H1554" s="83">
        <f t="shared" si="24"/>
        <v>4760390.9900000012</v>
      </c>
      <c r="I1554" s="83"/>
      <c r="K1554" s="54" t="s">
        <v>15</v>
      </c>
    </row>
    <row r="1555" spans="2:11" ht="24.75" x14ac:dyDescent="0.2">
      <c r="B1555" s="82" t="s">
        <v>3767</v>
      </c>
      <c r="C1555" s="82" t="s">
        <v>3768</v>
      </c>
      <c r="D1555" s="83">
        <f>SUMIFS(D1556:D6462,K1556:K6462,"0",B1556:B6462,"5 1 1 3 1*")-SUMIFS(E1556:E6462,K1556:K6462,"0",B1556:B6462,"5 1 1 3 1*")</f>
        <v>0</v>
      </c>
      <c r="E1555" s="54"/>
      <c r="F1555" s="83">
        <f>SUMIFS(F1556:F6462,K1556:K6462,"0",B1556:B6462,"5 1 1 3 1*")</f>
        <v>129906</v>
      </c>
      <c r="G1555" s="83">
        <f>SUMIFS(G1556:G6462,K1556:K6462,"0",B1556:B6462,"5 1 1 3 1*")</f>
        <v>0</v>
      </c>
      <c r="H1555" s="83">
        <f t="shared" si="24"/>
        <v>129906</v>
      </c>
      <c r="I1555" s="83"/>
      <c r="K1555" s="54" t="s">
        <v>15</v>
      </c>
    </row>
    <row r="1556" spans="2:11" ht="12.75" x14ac:dyDescent="0.2">
      <c r="B1556" s="82" t="s">
        <v>3769</v>
      </c>
      <c r="C1556" s="82" t="s">
        <v>26</v>
      </c>
      <c r="D1556" s="83">
        <f>SUMIFS(D1557:D6462,K1557:K6462,"0",B1557:B6462,"5 1 1 3 1 12*")-SUMIFS(E1557:E6462,K1557:K6462,"0",B1557:B6462,"5 1 1 3 1 12*")</f>
        <v>0</v>
      </c>
      <c r="E1556" s="54"/>
      <c r="F1556" s="83">
        <f>SUMIFS(F1557:F6462,K1557:K6462,"0",B1557:B6462,"5 1 1 3 1 12*")</f>
        <v>129906</v>
      </c>
      <c r="G1556" s="83">
        <f>SUMIFS(G1557:G6462,K1557:K6462,"0",B1557:B6462,"5 1 1 3 1 12*")</f>
        <v>0</v>
      </c>
      <c r="H1556" s="83">
        <f t="shared" si="24"/>
        <v>129906</v>
      </c>
      <c r="I1556" s="83"/>
      <c r="K1556" s="54" t="s">
        <v>15</v>
      </c>
    </row>
    <row r="1557" spans="2:11" ht="16.5" x14ac:dyDescent="0.2">
      <c r="B1557" s="82" t="s">
        <v>3770</v>
      </c>
      <c r="C1557" s="82" t="s">
        <v>28</v>
      </c>
      <c r="D1557" s="83">
        <f>SUMIFS(D1558:D6462,K1558:K6462,"0",B1558:B6462,"5 1 1 3 1 12 31111*")-SUMIFS(E1558:E6462,K1558:K6462,"0",B1558:B6462,"5 1 1 3 1 12 31111*")</f>
        <v>0</v>
      </c>
      <c r="E1557" s="54"/>
      <c r="F1557" s="83">
        <f>SUMIFS(F1558:F6462,K1558:K6462,"0",B1558:B6462,"5 1 1 3 1 12 31111*")</f>
        <v>129906</v>
      </c>
      <c r="G1557" s="83">
        <f>SUMIFS(G1558:G6462,K1558:K6462,"0",B1558:B6462,"5 1 1 3 1 12 31111*")</f>
        <v>0</v>
      </c>
      <c r="H1557" s="83">
        <f t="shared" si="24"/>
        <v>129906</v>
      </c>
      <c r="I1557" s="83"/>
      <c r="K1557" s="54" t="s">
        <v>15</v>
      </c>
    </row>
    <row r="1558" spans="2:11" ht="12.75" x14ac:dyDescent="0.2">
      <c r="B1558" s="82" t="s">
        <v>3771</v>
      </c>
      <c r="C1558" s="82" t="s">
        <v>30</v>
      </c>
      <c r="D1558" s="83">
        <f>SUMIFS(D1559:D6462,K1559:K6462,"0",B1559:B6462,"5 1 1 3 1 12 31111 6*")-SUMIFS(E1559:E6462,K1559:K6462,"0",B1559:B6462,"5 1 1 3 1 12 31111 6*")</f>
        <v>0</v>
      </c>
      <c r="E1558" s="54"/>
      <c r="F1558" s="83">
        <f>SUMIFS(F1559:F6462,K1559:K6462,"0",B1559:B6462,"5 1 1 3 1 12 31111 6*")</f>
        <v>129906</v>
      </c>
      <c r="G1558" s="83">
        <f>SUMIFS(G1559:G6462,K1559:K6462,"0",B1559:B6462,"5 1 1 3 1 12 31111 6*")</f>
        <v>0</v>
      </c>
      <c r="H1558" s="83">
        <f t="shared" si="24"/>
        <v>129906</v>
      </c>
      <c r="I1558" s="83"/>
      <c r="K1558" s="54" t="s">
        <v>15</v>
      </c>
    </row>
    <row r="1559" spans="2:11" ht="16.5" x14ac:dyDescent="0.2">
      <c r="B1559" s="82" t="s">
        <v>3772</v>
      </c>
      <c r="C1559" s="82" t="s">
        <v>2284</v>
      </c>
      <c r="D1559" s="83">
        <f>SUMIFS(D1560:D6462,K1560:K6462,"0",B1560:B6462,"5 1 1 3 1 12 31111 6 M59*")-SUMIFS(E1560:E6462,K1560:K6462,"0",B1560:B6462,"5 1 1 3 1 12 31111 6 M59*")</f>
        <v>0</v>
      </c>
      <c r="E1559" s="54"/>
      <c r="F1559" s="83">
        <f>SUMIFS(F1560:F6462,K1560:K6462,"0",B1560:B6462,"5 1 1 3 1 12 31111 6 M59*")</f>
        <v>129906</v>
      </c>
      <c r="G1559" s="83">
        <f>SUMIFS(G1560:G6462,K1560:K6462,"0",B1560:B6462,"5 1 1 3 1 12 31111 6 M59*")</f>
        <v>0</v>
      </c>
      <c r="H1559" s="83">
        <f t="shared" si="24"/>
        <v>129906</v>
      </c>
      <c r="I1559" s="83"/>
      <c r="K1559" s="54" t="s">
        <v>15</v>
      </c>
    </row>
    <row r="1560" spans="2:11" ht="16.5" x14ac:dyDescent="0.2">
      <c r="B1560" s="82" t="s">
        <v>3773</v>
      </c>
      <c r="C1560" s="82" t="s">
        <v>2971</v>
      </c>
      <c r="D1560" s="83">
        <f>SUMIFS(D1561:D6462,K1561:K6462,"0",B1561:B6462,"5 1 1 3 1 12 31111 6 M59 10500*")-SUMIFS(E1561:E6462,K1561:K6462,"0",B1561:B6462,"5 1 1 3 1 12 31111 6 M59 10500*")</f>
        <v>0</v>
      </c>
      <c r="E1560" s="54"/>
      <c r="F1560" s="83">
        <f>SUMIFS(F1561:F6462,K1561:K6462,"0",B1561:B6462,"5 1 1 3 1 12 31111 6 M59 10500*")</f>
        <v>9020</v>
      </c>
      <c r="G1560" s="83">
        <f>SUMIFS(G1561:G6462,K1561:K6462,"0",B1561:B6462,"5 1 1 3 1 12 31111 6 M59 10500*")</f>
        <v>0</v>
      </c>
      <c r="H1560" s="83">
        <f t="shared" si="24"/>
        <v>9020</v>
      </c>
      <c r="I1560" s="83"/>
      <c r="K1560" s="54" t="s">
        <v>15</v>
      </c>
    </row>
    <row r="1561" spans="2:11" ht="16.5" x14ac:dyDescent="0.2">
      <c r="B1561" s="82" t="s">
        <v>3774</v>
      </c>
      <c r="C1561" s="82" t="s">
        <v>648</v>
      </c>
      <c r="D1561" s="83">
        <f>SUMIFS(D1562:D6462,K1562:K6462,"0",B1562:B6462,"5 1 1 3 1 12 31111 6 M59 10500 000132*")-SUMIFS(E1562:E6462,K1562:K6462,"0",B1562:B6462,"5 1 1 3 1 12 31111 6 M59 10500 000132*")</f>
        <v>0</v>
      </c>
      <c r="E1561" s="54"/>
      <c r="F1561" s="83">
        <f>SUMIFS(F1562:F6462,K1562:K6462,"0",B1562:B6462,"5 1 1 3 1 12 31111 6 M59 10500 000132*")</f>
        <v>9020</v>
      </c>
      <c r="G1561" s="83">
        <f>SUMIFS(G1562:G6462,K1562:K6462,"0",B1562:B6462,"5 1 1 3 1 12 31111 6 M59 10500 000132*")</f>
        <v>0</v>
      </c>
      <c r="H1561" s="83">
        <f t="shared" si="24"/>
        <v>9020</v>
      </c>
      <c r="I1561" s="83"/>
      <c r="K1561" s="54" t="s">
        <v>15</v>
      </c>
    </row>
    <row r="1562" spans="2:11" ht="16.5" x14ac:dyDescent="0.2">
      <c r="B1562" s="82" t="s">
        <v>3775</v>
      </c>
      <c r="C1562" s="82" t="s">
        <v>650</v>
      </c>
      <c r="D1562" s="83">
        <f>SUMIFS(D1563:D6462,K1563:K6462,"0",B1563:B6462,"5 1 1 3 1 12 31111 6 M59 10500 000132 0000R*")-SUMIFS(E1563:E6462,K1563:K6462,"0",B1563:B6462,"5 1 1 3 1 12 31111 6 M59 10500 000132 0000R*")</f>
        <v>0</v>
      </c>
      <c r="E1562" s="54"/>
      <c r="F1562" s="83">
        <f>SUMIFS(F1563:F6462,K1563:K6462,"0",B1563:B6462,"5 1 1 3 1 12 31111 6 M59 10500 000132 0000R*")</f>
        <v>9020</v>
      </c>
      <c r="G1562" s="83">
        <f>SUMIFS(G1563:G6462,K1563:K6462,"0",B1563:B6462,"5 1 1 3 1 12 31111 6 M59 10500 000132 0000R*")</f>
        <v>0</v>
      </c>
      <c r="H1562" s="83">
        <f t="shared" si="24"/>
        <v>9020</v>
      </c>
      <c r="I1562" s="83"/>
      <c r="K1562" s="54" t="s">
        <v>15</v>
      </c>
    </row>
    <row r="1563" spans="2:11" ht="24.75" x14ac:dyDescent="0.2">
      <c r="B1563" s="82" t="s">
        <v>3776</v>
      </c>
      <c r="C1563" s="82" t="s">
        <v>282</v>
      </c>
      <c r="D1563" s="83">
        <f>SUMIFS(D1564:D6462,K1564:K6462,"0",B1564:B6462,"5 1 1 3 1 12 31111 6 M59 10500 000132 0000R 00001*")-SUMIFS(E1564:E6462,K1564:K6462,"0",B1564:B6462,"5 1 1 3 1 12 31111 6 M59 10500 000132 0000R 00001*")</f>
        <v>0</v>
      </c>
      <c r="E1563" s="54"/>
      <c r="F1563" s="83">
        <f>SUMIFS(F1564:F6462,K1564:K6462,"0",B1564:B6462,"5 1 1 3 1 12 31111 6 M59 10500 000132 0000R 00001*")</f>
        <v>9020</v>
      </c>
      <c r="G1563" s="83">
        <f>SUMIFS(G1564:G6462,K1564:K6462,"0",B1564:B6462,"5 1 1 3 1 12 31111 6 M59 10500 000132 0000R 00001*")</f>
        <v>0</v>
      </c>
      <c r="H1563" s="83">
        <f t="shared" si="24"/>
        <v>9020</v>
      </c>
      <c r="I1563" s="83"/>
      <c r="K1563" s="54" t="s">
        <v>15</v>
      </c>
    </row>
    <row r="1564" spans="2:11" ht="24.75" x14ac:dyDescent="0.2">
      <c r="B1564" s="82" t="s">
        <v>3777</v>
      </c>
      <c r="C1564" s="82" t="s">
        <v>3778</v>
      </c>
      <c r="D1564" s="83">
        <f>SUMIFS(D1565:D6462,K1565:K6462,"0",B1565:B6462,"5 1 1 3 1 12 31111 6 M59 10500 000132 0000R 00001 00131*")-SUMIFS(E1565:E6462,K1565:K6462,"0",B1565:B6462,"5 1 1 3 1 12 31111 6 M59 10500 000132 0000R 00001 00131*")</f>
        <v>0</v>
      </c>
      <c r="E1564" s="54"/>
      <c r="F1564" s="83">
        <f>SUMIFS(F1565:F6462,K1565:K6462,"0",B1565:B6462,"5 1 1 3 1 12 31111 6 M59 10500 000132 0000R 00001 00131*")</f>
        <v>9020</v>
      </c>
      <c r="G1564" s="83">
        <f>SUMIFS(G1565:G6462,K1565:K6462,"0",B1565:B6462,"5 1 1 3 1 12 31111 6 M59 10500 000132 0000R 00001 00131*")</f>
        <v>0</v>
      </c>
      <c r="H1564" s="83">
        <f t="shared" si="24"/>
        <v>9020</v>
      </c>
      <c r="I1564" s="83"/>
      <c r="K1564" s="54" t="s">
        <v>15</v>
      </c>
    </row>
    <row r="1565" spans="2:11" ht="24.75" x14ac:dyDescent="0.2">
      <c r="B1565" s="82" t="s">
        <v>3779</v>
      </c>
      <c r="C1565" s="82" t="s">
        <v>1051</v>
      </c>
      <c r="D1565" s="83">
        <f>SUMIFS(D1566:D6462,K1566:K6462,"0",B1566:B6462,"5 1 1 3 1 12 31111 6 M59 10500 000132 0000R 00001 00131 015*")-SUMIFS(E1566:E6462,K1566:K6462,"0",B1566:B6462,"5 1 1 3 1 12 31111 6 M59 10500 000132 0000R 00001 00131 015*")</f>
        <v>0</v>
      </c>
      <c r="E1565" s="54"/>
      <c r="F1565" s="83">
        <f>SUMIFS(F1566:F6462,K1566:K6462,"0",B1566:B6462,"5 1 1 3 1 12 31111 6 M59 10500 000132 0000R 00001 00131 015*")</f>
        <v>9020</v>
      </c>
      <c r="G1565" s="83">
        <f>SUMIFS(G1566:G6462,K1566:K6462,"0",B1566:B6462,"5 1 1 3 1 12 31111 6 M59 10500 000132 0000R 00001 00131 015*")</f>
        <v>0</v>
      </c>
      <c r="H1565" s="83">
        <f t="shared" si="24"/>
        <v>9020</v>
      </c>
      <c r="I1565" s="83"/>
      <c r="K1565" s="54" t="s">
        <v>15</v>
      </c>
    </row>
    <row r="1566" spans="2:11" ht="33" x14ac:dyDescent="0.2">
      <c r="B1566" s="82" t="s">
        <v>3780</v>
      </c>
      <c r="C1566" s="82" t="s">
        <v>2927</v>
      </c>
      <c r="D1566" s="83">
        <f>SUMIFS(D1567:D6462,K1567:K6462,"0",B1567:B6462,"5 1 1 3 1 12 31111 6 M59 10500 000132 0000R 00001 00131 015 2111100*")-SUMIFS(E1567:E6462,K1567:K6462,"0",B1567:B6462,"5 1 1 3 1 12 31111 6 M59 10500 000132 0000R 00001 00131 015 2111100*")</f>
        <v>0</v>
      </c>
      <c r="E1566" s="54"/>
      <c r="F1566" s="83">
        <f>SUMIFS(F1567:F6462,K1567:K6462,"0",B1567:B6462,"5 1 1 3 1 12 31111 6 M59 10500 000132 0000R 00001 00131 015 2111100*")</f>
        <v>9020</v>
      </c>
      <c r="G1566" s="83">
        <f>SUMIFS(G1567:G6462,K1567:K6462,"0",B1567:B6462,"5 1 1 3 1 12 31111 6 M59 10500 000132 0000R 00001 00131 015 2111100*")</f>
        <v>0</v>
      </c>
      <c r="H1566" s="83">
        <f t="shared" si="24"/>
        <v>9020</v>
      </c>
      <c r="I1566" s="83"/>
      <c r="K1566" s="54" t="s">
        <v>15</v>
      </c>
    </row>
    <row r="1567" spans="2:11" ht="33" x14ac:dyDescent="0.2">
      <c r="B1567" s="82" t="s">
        <v>3781</v>
      </c>
      <c r="C1567" s="82" t="s">
        <v>660</v>
      </c>
      <c r="D1567" s="83">
        <f>SUMIFS(D1568:D6462,K1568:K6462,"0",B1568:B6462,"5 1 1 3 1 12 31111 6 M59 10500 000132 0000R 00001 00131 015 2111100 2024*")-SUMIFS(E1568:E6462,K1568:K6462,"0",B1568:B6462,"5 1 1 3 1 12 31111 6 M59 10500 000132 0000R 00001 00131 015 2111100 2024*")</f>
        <v>0</v>
      </c>
      <c r="E1567" s="54"/>
      <c r="F1567" s="83">
        <f>SUMIFS(F1568:F6462,K1568:K6462,"0",B1568:B6462,"5 1 1 3 1 12 31111 6 M59 10500 000132 0000R 00001 00131 015 2111100 2024*")</f>
        <v>9020</v>
      </c>
      <c r="G1567" s="83">
        <f>SUMIFS(G1568:G6462,K1568:K6462,"0",B1568:B6462,"5 1 1 3 1 12 31111 6 M59 10500 000132 0000R 00001 00131 015 2111100 2024*")</f>
        <v>0</v>
      </c>
      <c r="H1567" s="83">
        <f t="shared" si="24"/>
        <v>9020</v>
      </c>
      <c r="I1567" s="83"/>
      <c r="K1567" s="54" t="s">
        <v>15</v>
      </c>
    </row>
    <row r="1568" spans="2:11" ht="41.25" x14ac:dyDescent="0.2">
      <c r="B1568" s="82" t="s">
        <v>3782</v>
      </c>
      <c r="C1568" s="82" t="s">
        <v>1056</v>
      </c>
      <c r="D1568" s="83">
        <f>SUMIFS(D1569:D6462,K1569:K6462,"0",B1569:B6462,"5 1 1 3 1 12 31111 6 M59 10500 000132 0000R 00001 00131 015 2111100 2024 CP1CS421*")-SUMIFS(E1569:E6462,K1569:K6462,"0",B1569:B6462,"5 1 1 3 1 12 31111 6 M59 10500 000132 0000R 00001 00131 015 2111100 2024 CP1CS421*")</f>
        <v>0</v>
      </c>
      <c r="E1568" s="54"/>
      <c r="F1568" s="83">
        <f>SUMIFS(F1569:F6462,K1569:K6462,"0",B1569:B6462,"5 1 1 3 1 12 31111 6 M59 10500 000132 0000R 00001 00131 015 2111100 2024 CP1CS421*")</f>
        <v>9020</v>
      </c>
      <c r="G1568" s="83">
        <f>SUMIFS(G1569:G6462,K1569:K6462,"0",B1569:B6462,"5 1 1 3 1 12 31111 6 M59 10500 000132 0000R 00001 00131 015 2111100 2024 CP1CS421*")</f>
        <v>0</v>
      </c>
      <c r="H1568" s="83">
        <f t="shared" si="24"/>
        <v>9020</v>
      </c>
      <c r="I1568" s="83"/>
      <c r="K1568" s="54" t="s">
        <v>15</v>
      </c>
    </row>
    <row r="1569" spans="2:11" ht="41.25" x14ac:dyDescent="0.2">
      <c r="B1569" s="82" t="s">
        <v>3783</v>
      </c>
      <c r="C1569" s="82" t="s">
        <v>282</v>
      </c>
      <c r="D1569" s="83">
        <f>SUMIFS(D1570:D6462,K1570:K6462,"0",B1570:B6462,"5 1 1 3 1 12 31111 6 M59 10500 000132 0000R 00001 00131 015 2111100 2024 CP1CS421 001*")-SUMIFS(E1570:E6462,K1570:K6462,"0",B1570:B6462,"5 1 1 3 1 12 31111 6 M59 10500 000132 0000R 00001 00131 015 2111100 2024 CP1CS421 001*")</f>
        <v>0</v>
      </c>
      <c r="E1569" s="54"/>
      <c r="F1569" s="83">
        <f>SUMIFS(F1570:F6462,K1570:K6462,"0",B1570:B6462,"5 1 1 3 1 12 31111 6 M59 10500 000132 0000R 00001 00131 015 2111100 2024 CP1CS421 001*")</f>
        <v>9020</v>
      </c>
      <c r="G1569" s="83">
        <f>SUMIFS(G1570:G6462,K1570:K6462,"0",B1570:B6462,"5 1 1 3 1 12 31111 6 M59 10500 000132 0000R 00001 00131 015 2111100 2024 CP1CS421 001*")</f>
        <v>0</v>
      </c>
      <c r="H1569" s="83">
        <f t="shared" si="24"/>
        <v>9020</v>
      </c>
      <c r="I1569" s="83"/>
      <c r="K1569" s="54" t="s">
        <v>15</v>
      </c>
    </row>
    <row r="1570" spans="2:11" ht="33" x14ac:dyDescent="0.2">
      <c r="B1570" s="84" t="s">
        <v>3784</v>
      </c>
      <c r="C1570" s="84" t="s">
        <v>3785</v>
      </c>
      <c r="D1570" s="85">
        <v>0</v>
      </c>
      <c r="E1570" s="85"/>
      <c r="F1570" s="85">
        <v>9020</v>
      </c>
      <c r="G1570" s="85">
        <v>0</v>
      </c>
      <c r="H1570" s="85">
        <f t="shared" si="24"/>
        <v>9020</v>
      </c>
      <c r="I1570" s="85"/>
      <c r="K1570" s="54" t="s">
        <v>38</v>
      </c>
    </row>
    <row r="1571" spans="2:11" ht="16.5" x14ac:dyDescent="0.2">
      <c r="B1571" s="82" t="s">
        <v>3786</v>
      </c>
      <c r="C1571" s="82" t="s">
        <v>3020</v>
      </c>
      <c r="D1571" s="83">
        <f>SUMIFS(D1572:D6462,K1572:K6462,"0",B1572:B6462,"5 1 1 3 1 12 31111 6 M59 11000*")-SUMIFS(E1572:E6462,K1572:K6462,"0",B1572:B6462,"5 1 1 3 1 12 31111 6 M59 11000*")</f>
        <v>0</v>
      </c>
      <c r="E1571" s="54"/>
      <c r="F1571" s="83">
        <f>SUMIFS(F1572:F6462,K1572:K6462,"0",B1572:B6462,"5 1 1 3 1 12 31111 6 M59 11000*")</f>
        <v>9900</v>
      </c>
      <c r="G1571" s="83">
        <f>SUMIFS(G1572:G6462,K1572:K6462,"0",B1572:B6462,"5 1 1 3 1 12 31111 6 M59 11000*")</f>
        <v>0</v>
      </c>
      <c r="H1571" s="83">
        <f t="shared" si="24"/>
        <v>9900</v>
      </c>
      <c r="I1571" s="83"/>
      <c r="K1571" s="54" t="s">
        <v>15</v>
      </c>
    </row>
    <row r="1572" spans="2:11" ht="16.5" x14ac:dyDescent="0.2">
      <c r="B1572" s="82" t="s">
        <v>3787</v>
      </c>
      <c r="C1572" s="82" t="s">
        <v>648</v>
      </c>
      <c r="D1572" s="83">
        <f>SUMIFS(D1573:D6462,K1573:K6462,"0",B1573:B6462,"5 1 1 3 1 12 31111 6 M59 11000 000132*")-SUMIFS(E1573:E6462,K1573:K6462,"0",B1573:B6462,"5 1 1 3 1 12 31111 6 M59 11000 000132*")</f>
        <v>0</v>
      </c>
      <c r="E1572" s="54"/>
      <c r="F1572" s="83">
        <f>SUMIFS(F1573:F6462,K1573:K6462,"0",B1573:B6462,"5 1 1 3 1 12 31111 6 M59 11000 000132*")</f>
        <v>9900</v>
      </c>
      <c r="G1572" s="83">
        <f>SUMIFS(G1573:G6462,K1573:K6462,"0",B1573:B6462,"5 1 1 3 1 12 31111 6 M59 11000 000132*")</f>
        <v>0</v>
      </c>
      <c r="H1572" s="83">
        <f t="shared" si="24"/>
        <v>9900</v>
      </c>
      <c r="I1572" s="83"/>
      <c r="K1572" s="54" t="s">
        <v>15</v>
      </c>
    </row>
    <row r="1573" spans="2:11" ht="16.5" x14ac:dyDescent="0.2">
      <c r="B1573" s="82" t="s">
        <v>3788</v>
      </c>
      <c r="C1573" s="82" t="s">
        <v>650</v>
      </c>
      <c r="D1573" s="83">
        <f>SUMIFS(D1574:D6462,K1574:K6462,"0",B1574:B6462,"5 1 1 3 1 12 31111 6 M59 11000 000132 0000R*")-SUMIFS(E1574:E6462,K1574:K6462,"0",B1574:B6462,"5 1 1 3 1 12 31111 6 M59 11000 000132 0000R*")</f>
        <v>0</v>
      </c>
      <c r="E1573" s="54"/>
      <c r="F1573" s="83">
        <f>SUMIFS(F1574:F6462,K1574:K6462,"0",B1574:B6462,"5 1 1 3 1 12 31111 6 M59 11000 000132 0000R*")</f>
        <v>9900</v>
      </c>
      <c r="G1573" s="83">
        <f>SUMIFS(G1574:G6462,K1574:K6462,"0",B1574:B6462,"5 1 1 3 1 12 31111 6 M59 11000 000132 0000R*")</f>
        <v>0</v>
      </c>
      <c r="H1573" s="83">
        <f t="shared" si="24"/>
        <v>9900</v>
      </c>
      <c r="I1573" s="83"/>
      <c r="K1573" s="54" t="s">
        <v>15</v>
      </c>
    </row>
    <row r="1574" spans="2:11" ht="24.75" x14ac:dyDescent="0.2">
      <c r="B1574" s="82" t="s">
        <v>3789</v>
      </c>
      <c r="C1574" s="82" t="s">
        <v>282</v>
      </c>
      <c r="D1574" s="83">
        <f>SUMIFS(D1575:D6462,K1575:K6462,"0",B1575:B6462,"5 1 1 3 1 12 31111 6 M59 11000 000132 0000R 00001*")-SUMIFS(E1575:E6462,K1575:K6462,"0",B1575:B6462,"5 1 1 3 1 12 31111 6 M59 11000 000132 0000R 00001*")</f>
        <v>0</v>
      </c>
      <c r="E1574" s="54"/>
      <c r="F1574" s="83">
        <f>SUMIFS(F1575:F6462,K1575:K6462,"0",B1575:B6462,"5 1 1 3 1 12 31111 6 M59 11000 000132 0000R 00001*")</f>
        <v>9900</v>
      </c>
      <c r="G1574" s="83">
        <f>SUMIFS(G1575:G6462,K1575:K6462,"0",B1575:B6462,"5 1 1 3 1 12 31111 6 M59 11000 000132 0000R 00001*")</f>
        <v>0</v>
      </c>
      <c r="H1574" s="83">
        <f t="shared" si="24"/>
        <v>9900</v>
      </c>
      <c r="I1574" s="83"/>
      <c r="K1574" s="54" t="s">
        <v>15</v>
      </c>
    </row>
    <row r="1575" spans="2:11" ht="24.75" x14ac:dyDescent="0.2">
      <c r="B1575" s="82" t="s">
        <v>3790</v>
      </c>
      <c r="C1575" s="82" t="s">
        <v>3778</v>
      </c>
      <c r="D1575" s="83">
        <f>SUMIFS(D1576:D6462,K1576:K6462,"0",B1576:B6462,"5 1 1 3 1 12 31111 6 M59 11000 000132 0000R 00001 00131*")-SUMIFS(E1576:E6462,K1576:K6462,"0",B1576:B6462,"5 1 1 3 1 12 31111 6 M59 11000 000132 0000R 00001 00131*")</f>
        <v>0</v>
      </c>
      <c r="E1575" s="54"/>
      <c r="F1575" s="83">
        <f>SUMIFS(F1576:F6462,K1576:K6462,"0",B1576:B6462,"5 1 1 3 1 12 31111 6 M59 11000 000132 0000R 00001 00131*")</f>
        <v>9900</v>
      </c>
      <c r="G1575" s="83">
        <f>SUMIFS(G1576:G6462,K1576:K6462,"0",B1576:B6462,"5 1 1 3 1 12 31111 6 M59 11000 000132 0000R 00001 00131*")</f>
        <v>0</v>
      </c>
      <c r="H1575" s="83">
        <f t="shared" si="24"/>
        <v>9900</v>
      </c>
      <c r="I1575" s="83"/>
      <c r="K1575" s="54" t="s">
        <v>15</v>
      </c>
    </row>
    <row r="1576" spans="2:11" ht="24.75" x14ac:dyDescent="0.2">
      <c r="B1576" s="82" t="s">
        <v>3791</v>
      </c>
      <c r="C1576" s="82" t="s">
        <v>1051</v>
      </c>
      <c r="D1576" s="83">
        <f>SUMIFS(D1577:D6462,K1577:K6462,"0",B1577:B6462,"5 1 1 3 1 12 31111 6 M59 11000 000132 0000R 00001 00131 015*")-SUMIFS(E1577:E6462,K1577:K6462,"0",B1577:B6462,"5 1 1 3 1 12 31111 6 M59 11000 000132 0000R 00001 00131 015*")</f>
        <v>0</v>
      </c>
      <c r="E1576" s="54"/>
      <c r="F1576" s="83">
        <f>SUMIFS(F1577:F6462,K1577:K6462,"0",B1577:B6462,"5 1 1 3 1 12 31111 6 M59 11000 000132 0000R 00001 00131 015*")</f>
        <v>9900</v>
      </c>
      <c r="G1576" s="83">
        <f>SUMIFS(G1577:G6462,K1577:K6462,"0",B1577:B6462,"5 1 1 3 1 12 31111 6 M59 11000 000132 0000R 00001 00131 015*")</f>
        <v>0</v>
      </c>
      <c r="H1576" s="83">
        <f t="shared" si="24"/>
        <v>9900</v>
      </c>
      <c r="I1576" s="83"/>
      <c r="K1576" s="54" t="s">
        <v>15</v>
      </c>
    </row>
    <row r="1577" spans="2:11" ht="33" x14ac:dyDescent="0.2">
      <c r="B1577" s="82" t="s">
        <v>3792</v>
      </c>
      <c r="C1577" s="82" t="s">
        <v>2927</v>
      </c>
      <c r="D1577" s="83">
        <f>SUMIFS(D1578:D6462,K1578:K6462,"0",B1578:B6462,"5 1 1 3 1 12 31111 6 M59 11000 000132 0000R 00001 00131 015 2111100*")-SUMIFS(E1578:E6462,K1578:K6462,"0",B1578:B6462,"5 1 1 3 1 12 31111 6 M59 11000 000132 0000R 00001 00131 015 2111100*")</f>
        <v>0</v>
      </c>
      <c r="E1577" s="54"/>
      <c r="F1577" s="83">
        <f>SUMIFS(F1578:F6462,K1578:K6462,"0",B1578:B6462,"5 1 1 3 1 12 31111 6 M59 11000 000132 0000R 00001 00131 015 2111100*")</f>
        <v>9900</v>
      </c>
      <c r="G1577" s="83">
        <f>SUMIFS(G1578:G6462,K1578:K6462,"0",B1578:B6462,"5 1 1 3 1 12 31111 6 M59 11000 000132 0000R 00001 00131 015 2111100*")</f>
        <v>0</v>
      </c>
      <c r="H1577" s="83">
        <f t="shared" si="24"/>
        <v>9900</v>
      </c>
      <c r="I1577" s="83"/>
      <c r="K1577" s="54" t="s">
        <v>15</v>
      </c>
    </row>
    <row r="1578" spans="2:11" ht="33" x14ac:dyDescent="0.2">
      <c r="B1578" s="82" t="s">
        <v>3793</v>
      </c>
      <c r="C1578" s="82" t="s">
        <v>660</v>
      </c>
      <c r="D1578" s="83">
        <f>SUMIFS(D1579:D6462,K1579:K6462,"0",B1579:B6462,"5 1 1 3 1 12 31111 6 M59 11000 000132 0000R 00001 00131 015 2111100 2024*")-SUMIFS(E1579:E6462,K1579:K6462,"0",B1579:B6462,"5 1 1 3 1 12 31111 6 M59 11000 000132 0000R 00001 00131 015 2111100 2024*")</f>
        <v>0</v>
      </c>
      <c r="E1578" s="54"/>
      <c r="F1578" s="83">
        <f>SUMIFS(F1579:F6462,K1579:K6462,"0",B1579:B6462,"5 1 1 3 1 12 31111 6 M59 11000 000132 0000R 00001 00131 015 2111100 2024*")</f>
        <v>9900</v>
      </c>
      <c r="G1578" s="83">
        <f>SUMIFS(G1579:G6462,K1579:K6462,"0",B1579:B6462,"5 1 1 3 1 12 31111 6 M59 11000 000132 0000R 00001 00131 015 2111100 2024*")</f>
        <v>0</v>
      </c>
      <c r="H1578" s="83">
        <f t="shared" si="24"/>
        <v>9900</v>
      </c>
      <c r="I1578" s="83"/>
      <c r="K1578" s="54" t="s">
        <v>15</v>
      </c>
    </row>
    <row r="1579" spans="2:11" ht="41.25" x14ac:dyDescent="0.2">
      <c r="B1579" s="82" t="s">
        <v>3794</v>
      </c>
      <c r="C1579" s="82" t="s">
        <v>1056</v>
      </c>
      <c r="D1579" s="83">
        <f>SUMIFS(D1580:D6462,K1580:K6462,"0",B1580:B6462,"5 1 1 3 1 12 31111 6 M59 11000 000132 0000R 00001 00131 015 2111100 2024 CP1SM382*")-SUMIFS(E1580:E6462,K1580:K6462,"0",B1580:B6462,"5 1 1 3 1 12 31111 6 M59 11000 000132 0000R 00001 00131 015 2111100 2024 CP1SM382*")</f>
        <v>0</v>
      </c>
      <c r="E1579" s="54"/>
      <c r="F1579" s="83">
        <f>SUMIFS(F1580:F6462,K1580:K6462,"0",B1580:B6462,"5 1 1 3 1 12 31111 6 M59 11000 000132 0000R 00001 00131 015 2111100 2024 CP1SM382*")</f>
        <v>9900</v>
      </c>
      <c r="G1579" s="83">
        <f>SUMIFS(G1580:G6462,K1580:K6462,"0",B1580:B6462,"5 1 1 3 1 12 31111 6 M59 11000 000132 0000R 00001 00131 015 2111100 2024 CP1SM382*")</f>
        <v>0</v>
      </c>
      <c r="H1579" s="83">
        <f t="shared" ref="H1579:H1642" si="25">D1579 + F1579 - G1579</f>
        <v>9900</v>
      </c>
      <c r="I1579" s="83"/>
      <c r="K1579" s="54" t="s">
        <v>15</v>
      </c>
    </row>
    <row r="1580" spans="2:11" ht="41.25" x14ac:dyDescent="0.2">
      <c r="B1580" s="82" t="s">
        <v>3795</v>
      </c>
      <c r="C1580" s="82" t="s">
        <v>282</v>
      </c>
      <c r="D1580" s="83">
        <f>SUMIFS(D1581:D6462,K1581:K6462,"0",B1581:B6462,"5 1 1 3 1 12 31111 6 M59 11000 000132 0000R 00001 00131 015 2111100 2024 CP1SM382 001*")-SUMIFS(E1581:E6462,K1581:K6462,"0",B1581:B6462,"5 1 1 3 1 12 31111 6 M59 11000 000132 0000R 00001 00131 015 2111100 2024 CP1SM382 001*")</f>
        <v>0</v>
      </c>
      <c r="E1580" s="54"/>
      <c r="F1580" s="83">
        <f>SUMIFS(F1581:F6462,K1581:K6462,"0",B1581:B6462,"5 1 1 3 1 12 31111 6 M59 11000 000132 0000R 00001 00131 015 2111100 2024 CP1SM382 001*")</f>
        <v>9900</v>
      </c>
      <c r="G1580" s="83">
        <f>SUMIFS(G1581:G6462,K1581:K6462,"0",B1581:B6462,"5 1 1 3 1 12 31111 6 M59 11000 000132 0000R 00001 00131 015 2111100 2024 CP1SM382 001*")</f>
        <v>0</v>
      </c>
      <c r="H1580" s="83">
        <f t="shared" si="25"/>
        <v>9900</v>
      </c>
      <c r="I1580" s="83"/>
      <c r="K1580" s="54" t="s">
        <v>15</v>
      </c>
    </row>
    <row r="1581" spans="2:11" ht="33" x14ac:dyDescent="0.2">
      <c r="B1581" s="84" t="s">
        <v>3796</v>
      </c>
      <c r="C1581" s="84" t="s">
        <v>3785</v>
      </c>
      <c r="D1581" s="85">
        <v>0</v>
      </c>
      <c r="E1581" s="85"/>
      <c r="F1581" s="85">
        <v>9900</v>
      </c>
      <c r="G1581" s="85">
        <v>0</v>
      </c>
      <c r="H1581" s="85">
        <f t="shared" si="25"/>
        <v>9900</v>
      </c>
      <c r="I1581" s="85"/>
      <c r="K1581" s="54" t="s">
        <v>38</v>
      </c>
    </row>
    <row r="1582" spans="2:11" ht="16.5" x14ac:dyDescent="0.2">
      <c r="B1582" s="82" t="s">
        <v>3797</v>
      </c>
      <c r="C1582" s="82" t="s">
        <v>1079</v>
      </c>
      <c r="D1582" s="83">
        <f>SUMIFS(D1583:D6462,K1583:K6462,"0",B1583:B6462,"5 1 1 3 1 12 31111 6 M59 20500*")-SUMIFS(E1583:E6462,K1583:K6462,"0",B1583:B6462,"5 1 1 3 1 12 31111 6 M59 20500*")</f>
        <v>0</v>
      </c>
      <c r="E1582" s="54"/>
      <c r="F1582" s="83">
        <f>SUMIFS(F1583:F6462,K1583:K6462,"0",B1583:B6462,"5 1 1 3 1 12 31111 6 M59 20500*")</f>
        <v>5980</v>
      </c>
      <c r="G1582" s="83">
        <f>SUMIFS(G1583:G6462,K1583:K6462,"0",B1583:B6462,"5 1 1 3 1 12 31111 6 M59 20500*")</f>
        <v>0</v>
      </c>
      <c r="H1582" s="83">
        <f t="shared" si="25"/>
        <v>5980</v>
      </c>
      <c r="I1582" s="83"/>
      <c r="K1582" s="54" t="s">
        <v>15</v>
      </c>
    </row>
    <row r="1583" spans="2:11" ht="16.5" x14ac:dyDescent="0.2">
      <c r="B1583" s="82" t="s">
        <v>3798</v>
      </c>
      <c r="C1583" s="82" t="s">
        <v>648</v>
      </c>
      <c r="D1583" s="83">
        <f>SUMIFS(D1584:D6462,K1584:K6462,"0",B1584:B6462,"5 1 1 3 1 12 31111 6 M59 20500 000132*")-SUMIFS(E1584:E6462,K1584:K6462,"0",B1584:B6462,"5 1 1 3 1 12 31111 6 M59 20500 000132*")</f>
        <v>0</v>
      </c>
      <c r="E1583" s="54"/>
      <c r="F1583" s="83">
        <f>SUMIFS(F1584:F6462,K1584:K6462,"0",B1584:B6462,"5 1 1 3 1 12 31111 6 M59 20500 000132*")</f>
        <v>5980</v>
      </c>
      <c r="G1583" s="83">
        <f>SUMIFS(G1584:G6462,K1584:K6462,"0",B1584:B6462,"5 1 1 3 1 12 31111 6 M59 20500 000132*")</f>
        <v>0</v>
      </c>
      <c r="H1583" s="83">
        <f t="shared" si="25"/>
        <v>5980</v>
      </c>
      <c r="I1583" s="83"/>
      <c r="K1583" s="54" t="s">
        <v>15</v>
      </c>
    </row>
    <row r="1584" spans="2:11" ht="16.5" x14ac:dyDescent="0.2">
      <c r="B1584" s="82" t="s">
        <v>3799</v>
      </c>
      <c r="C1584" s="82" t="s">
        <v>650</v>
      </c>
      <c r="D1584" s="83">
        <f>SUMIFS(D1585:D6462,K1585:K6462,"0",B1585:B6462,"5 1 1 3 1 12 31111 6 M59 20500 000132 0000R*")-SUMIFS(E1585:E6462,K1585:K6462,"0",B1585:B6462,"5 1 1 3 1 12 31111 6 M59 20500 000132 0000R*")</f>
        <v>0</v>
      </c>
      <c r="E1584" s="54"/>
      <c r="F1584" s="83">
        <f>SUMIFS(F1585:F6462,K1585:K6462,"0",B1585:B6462,"5 1 1 3 1 12 31111 6 M59 20500 000132 0000R*")</f>
        <v>5980</v>
      </c>
      <c r="G1584" s="83">
        <f>SUMIFS(G1585:G6462,K1585:K6462,"0",B1585:B6462,"5 1 1 3 1 12 31111 6 M59 20500 000132 0000R*")</f>
        <v>0</v>
      </c>
      <c r="H1584" s="83">
        <f t="shared" si="25"/>
        <v>5980</v>
      </c>
      <c r="I1584" s="83"/>
      <c r="K1584" s="54" t="s">
        <v>15</v>
      </c>
    </row>
    <row r="1585" spans="2:11" ht="24.75" x14ac:dyDescent="0.2">
      <c r="B1585" s="82" t="s">
        <v>3800</v>
      </c>
      <c r="C1585" s="82" t="s">
        <v>282</v>
      </c>
      <c r="D1585" s="83">
        <f>SUMIFS(D1586:D6462,K1586:K6462,"0",B1586:B6462,"5 1 1 3 1 12 31111 6 M59 20500 000132 0000R 00001*")-SUMIFS(E1586:E6462,K1586:K6462,"0",B1586:B6462,"5 1 1 3 1 12 31111 6 M59 20500 000132 0000R 00001*")</f>
        <v>0</v>
      </c>
      <c r="E1585" s="54"/>
      <c r="F1585" s="83">
        <f>SUMIFS(F1586:F6462,K1586:K6462,"0",B1586:B6462,"5 1 1 3 1 12 31111 6 M59 20500 000132 0000R 00001*")</f>
        <v>5980</v>
      </c>
      <c r="G1585" s="83">
        <f>SUMIFS(G1586:G6462,K1586:K6462,"0",B1586:B6462,"5 1 1 3 1 12 31111 6 M59 20500 000132 0000R 00001*")</f>
        <v>0</v>
      </c>
      <c r="H1585" s="83">
        <f t="shared" si="25"/>
        <v>5980</v>
      </c>
      <c r="I1585" s="83"/>
      <c r="K1585" s="54" t="s">
        <v>15</v>
      </c>
    </row>
    <row r="1586" spans="2:11" ht="24.75" x14ac:dyDescent="0.2">
      <c r="B1586" s="82" t="s">
        <v>3801</v>
      </c>
      <c r="C1586" s="82" t="s">
        <v>3778</v>
      </c>
      <c r="D1586" s="83">
        <f>SUMIFS(D1587:D6462,K1587:K6462,"0",B1587:B6462,"5 1 1 3 1 12 31111 6 M59 20500 000132 0000R 00001 00131*")-SUMIFS(E1587:E6462,K1587:K6462,"0",B1587:B6462,"5 1 1 3 1 12 31111 6 M59 20500 000132 0000R 00001 00131*")</f>
        <v>0</v>
      </c>
      <c r="E1586" s="54"/>
      <c r="F1586" s="83">
        <f>SUMIFS(F1587:F6462,K1587:K6462,"0",B1587:B6462,"5 1 1 3 1 12 31111 6 M59 20500 000132 0000R 00001 00131*")</f>
        <v>5980</v>
      </c>
      <c r="G1586" s="83">
        <f>SUMIFS(G1587:G6462,K1587:K6462,"0",B1587:B6462,"5 1 1 3 1 12 31111 6 M59 20500 000132 0000R 00001 00131*")</f>
        <v>0</v>
      </c>
      <c r="H1586" s="83">
        <f t="shared" si="25"/>
        <v>5980</v>
      </c>
      <c r="I1586" s="83"/>
      <c r="K1586" s="54" t="s">
        <v>15</v>
      </c>
    </row>
    <row r="1587" spans="2:11" ht="24.75" x14ac:dyDescent="0.2">
      <c r="B1587" s="82" t="s">
        <v>3802</v>
      </c>
      <c r="C1587" s="82" t="s">
        <v>1051</v>
      </c>
      <c r="D1587" s="83">
        <f>SUMIFS(D1588:D6462,K1588:K6462,"0",B1588:B6462,"5 1 1 3 1 12 31111 6 M59 20500 000132 0000R 00001 00131 015*")-SUMIFS(E1588:E6462,K1588:K6462,"0",B1588:B6462,"5 1 1 3 1 12 31111 6 M59 20500 000132 0000R 00001 00131 015*")</f>
        <v>0</v>
      </c>
      <c r="E1587" s="54"/>
      <c r="F1587" s="83">
        <f>SUMIFS(F1588:F6462,K1588:K6462,"0",B1588:B6462,"5 1 1 3 1 12 31111 6 M59 20500 000132 0000R 00001 00131 015*")</f>
        <v>5980</v>
      </c>
      <c r="G1587" s="83">
        <f>SUMIFS(G1588:G6462,K1588:K6462,"0",B1588:B6462,"5 1 1 3 1 12 31111 6 M59 20500 000132 0000R 00001 00131 015*")</f>
        <v>0</v>
      </c>
      <c r="H1587" s="83">
        <f t="shared" si="25"/>
        <v>5980</v>
      </c>
      <c r="I1587" s="83"/>
      <c r="K1587" s="54" t="s">
        <v>15</v>
      </c>
    </row>
    <row r="1588" spans="2:11" ht="33" x14ac:dyDescent="0.2">
      <c r="B1588" s="82" t="s">
        <v>3803</v>
      </c>
      <c r="C1588" s="82" t="s">
        <v>2927</v>
      </c>
      <c r="D1588" s="83">
        <f>SUMIFS(D1589:D6462,K1589:K6462,"0",B1589:B6462,"5 1 1 3 1 12 31111 6 M59 20500 000132 0000R 00001 00131 015 2111100*")-SUMIFS(E1589:E6462,K1589:K6462,"0",B1589:B6462,"5 1 1 3 1 12 31111 6 M59 20500 000132 0000R 00001 00131 015 2111100*")</f>
        <v>0</v>
      </c>
      <c r="E1588" s="54"/>
      <c r="F1588" s="83">
        <f>SUMIFS(F1589:F6462,K1589:K6462,"0",B1589:B6462,"5 1 1 3 1 12 31111 6 M59 20500 000132 0000R 00001 00131 015 2111100*")</f>
        <v>5980</v>
      </c>
      <c r="G1588" s="83">
        <f>SUMIFS(G1589:G6462,K1589:K6462,"0",B1589:B6462,"5 1 1 3 1 12 31111 6 M59 20500 000132 0000R 00001 00131 015 2111100*")</f>
        <v>0</v>
      </c>
      <c r="H1588" s="83">
        <f t="shared" si="25"/>
        <v>5980</v>
      </c>
      <c r="I1588" s="83"/>
      <c r="K1588" s="54" t="s">
        <v>15</v>
      </c>
    </row>
    <row r="1589" spans="2:11" ht="33" x14ac:dyDescent="0.2">
      <c r="B1589" s="82" t="s">
        <v>3804</v>
      </c>
      <c r="C1589" s="82" t="s">
        <v>660</v>
      </c>
      <c r="D1589" s="83">
        <f>SUMIFS(D1590:D6462,K1590:K6462,"0",B1590:B6462,"5 1 1 3 1 12 31111 6 M59 20500 000132 0000R 00001 00131 015 2111100 2024*")-SUMIFS(E1590:E6462,K1590:K6462,"0",B1590:B6462,"5 1 1 3 1 12 31111 6 M59 20500 000132 0000R 00001 00131 015 2111100 2024*")</f>
        <v>0</v>
      </c>
      <c r="E1589" s="54"/>
      <c r="F1589" s="83">
        <f>SUMIFS(F1590:F6462,K1590:K6462,"0",B1590:B6462,"5 1 1 3 1 12 31111 6 M59 20500 000132 0000R 00001 00131 015 2111100 2024*")</f>
        <v>5980</v>
      </c>
      <c r="G1589" s="83">
        <f>SUMIFS(G1590:G6462,K1590:K6462,"0",B1590:B6462,"5 1 1 3 1 12 31111 6 M59 20500 000132 0000R 00001 00131 015 2111100 2024*")</f>
        <v>0</v>
      </c>
      <c r="H1589" s="83">
        <f t="shared" si="25"/>
        <v>5980</v>
      </c>
      <c r="I1589" s="83"/>
      <c r="K1589" s="54" t="s">
        <v>15</v>
      </c>
    </row>
    <row r="1590" spans="2:11" ht="41.25" x14ac:dyDescent="0.2">
      <c r="B1590" s="82" t="s">
        <v>3805</v>
      </c>
      <c r="C1590" s="82" t="s">
        <v>1056</v>
      </c>
      <c r="D1590" s="83">
        <f>SUMIFS(D1591:D6462,K1591:K6462,"0",B1591:B6462,"5 1 1 3 1 12 31111 6 M59 20500 000132 0000R 00001 00131 015 2111100 2024 CP1CP420*")-SUMIFS(E1591:E6462,K1591:K6462,"0",B1591:B6462,"5 1 1 3 1 12 31111 6 M59 20500 000132 0000R 00001 00131 015 2111100 2024 CP1CP420*")</f>
        <v>0</v>
      </c>
      <c r="E1590" s="54"/>
      <c r="F1590" s="83">
        <f>SUMIFS(F1591:F6462,K1591:K6462,"0",B1591:B6462,"5 1 1 3 1 12 31111 6 M59 20500 000132 0000R 00001 00131 015 2111100 2024 CP1CP420*")</f>
        <v>5980</v>
      </c>
      <c r="G1590" s="83">
        <f>SUMIFS(G1591:G6462,K1591:K6462,"0",B1591:B6462,"5 1 1 3 1 12 31111 6 M59 20500 000132 0000R 00001 00131 015 2111100 2024 CP1CP420*")</f>
        <v>0</v>
      </c>
      <c r="H1590" s="83">
        <f t="shared" si="25"/>
        <v>5980</v>
      </c>
      <c r="I1590" s="83"/>
      <c r="K1590" s="54" t="s">
        <v>15</v>
      </c>
    </row>
    <row r="1591" spans="2:11" ht="41.25" x14ac:dyDescent="0.2">
      <c r="B1591" s="82" t="s">
        <v>3806</v>
      </c>
      <c r="C1591" s="82" t="s">
        <v>282</v>
      </c>
      <c r="D1591" s="83">
        <f>SUMIFS(D1592:D6462,K1592:K6462,"0",B1592:B6462,"5 1 1 3 1 12 31111 6 M59 20500 000132 0000R 00001 00131 015 2111100 2024 CP1CP420 001*")-SUMIFS(E1592:E6462,K1592:K6462,"0",B1592:B6462,"5 1 1 3 1 12 31111 6 M59 20500 000132 0000R 00001 00131 015 2111100 2024 CP1CP420 001*")</f>
        <v>0</v>
      </c>
      <c r="E1591" s="54"/>
      <c r="F1591" s="83">
        <f>SUMIFS(F1592:F6462,K1592:K6462,"0",B1592:B6462,"5 1 1 3 1 12 31111 6 M59 20500 000132 0000R 00001 00131 015 2111100 2024 CP1CP420 001*")</f>
        <v>5980</v>
      </c>
      <c r="G1591" s="83">
        <f>SUMIFS(G1592:G6462,K1592:K6462,"0",B1592:B6462,"5 1 1 3 1 12 31111 6 M59 20500 000132 0000R 00001 00131 015 2111100 2024 CP1CP420 001*")</f>
        <v>0</v>
      </c>
      <c r="H1591" s="83">
        <f t="shared" si="25"/>
        <v>5980</v>
      </c>
      <c r="I1591" s="83"/>
      <c r="K1591" s="54" t="s">
        <v>15</v>
      </c>
    </row>
    <row r="1592" spans="2:11" ht="33" x14ac:dyDescent="0.2">
      <c r="B1592" s="84" t="s">
        <v>3807</v>
      </c>
      <c r="C1592" s="84" t="s">
        <v>3785</v>
      </c>
      <c r="D1592" s="85">
        <v>0</v>
      </c>
      <c r="E1592" s="85"/>
      <c r="F1592" s="85">
        <v>5980</v>
      </c>
      <c r="G1592" s="85">
        <v>0</v>
      </c>
      <c r="H1592" s="85">
        <f t="shared" si="25"/>
        <v>5980</v>
      </c>
      <c r="I1592" s="85"/>
      <c r="K1592" s="54" t="s">
        <v>38</v>
      </c>
    </row>
    <row r="1593" spans="2:11" ht="16.5" x14ac:dyDescent="0.2">
      <c r="B1593" s="82" t="s">
        <v>3808</v>
      </c>
      <c r="C1593" s="82" t="s">
        <v>3126</v>
      </c>
      <c r="D1593" s="83">
        <f>SUMIFS(D1594:D6462,K1594:K6462,"0",B1594:B6462,"5 1 1 3 1 12 31111 6 M59 20600*")-SUMIFS(E1594:E6462,K1594:K6462,"0",B1594:B6462,"5 1 1 3 1 12 31111 6 M59 20600*")</f>
        <v>0</v>
      </c>
      <c r="E1593" s="54"/>
      <c r="F1593" s="83">
        <f>SUMIFS(F1594:F6462,K1594:K6462,"0",B1594:B6462,"5 1 1 3 1 12 31111 6 M59 20600*")</f>
        <v>4620</v>
      </c>
      <c r="G1593" s="83">
        <f>SUMIFS(G1594:G6462,K1594:K6462,"0",B1594:B6462,"5 1 1 3 1 12 31111 6 M59 20600*")</f>
        <v>0</v>
      </c>
      <c r="H1593" s="83">
        <f t="shared" si="25"/>
        <v>4620</v>
      </c>
      <c r="I1593" s="83"/>
      <c r="K1593" s="54" t="s">
        <v>15</v>
      </c>
    </row>
    <row r="1594" spans="2:11" ht="16.5" x14ac:dyDescent="0.2">
      <c r="B1594" s="82" t="s">
        <v>3809</v>
      </c>
      <c r="C1594" s="82" t="s">
        <v>648</v>
      </c>
      <c r="D1594" s="83">
        <f>SUMIFS(D1595:D6462,K1595:K6462,"0",B1595:B6462,"5 1 1 3 1 12 31111 6 M59 20600 000132*")-SUMIFS(E1595:E6462,K1595:K6462,"0",B1595:B6462,"5 1 1 3 1 12 31111 6 M59 20600 000132*")</f>
        <v>0</v>
      </c>
      <c r="E1594" s="54"/>
      <c r="F1594" s="83">
        <f>SUMIFS(F1595:F6462,K1595:K6462,"0",B1595:B6462,"5 1 1 3 1 12 31111 6 M59 20600 000132*")</f>
        <v>4620</v>
      </c>
      <c r="G1594" s="83">
        <f>SUMIFS(G1595:G6462,K1595:K6462,"0",B1595:B6462,"5 1 1 3 1 12 31111 6 M59 20600 000132*")</f>
        <v>0</v>
      </c>
      <c r="H1594" s="83">
        <f t="shared" si="25"/>
        <v>4620</v>
      </c>
      <c r="I1594" s="83"/>
      <c r="K1594" s="54" t="s">
        <v>15</v>
      </c>
    </row>
    <row r="1595" spans="2:11" ht="16.5" x14ac:dyDescent="0.2">
      <c r="B1595" s="82" t="s">
        <v>3810</v>
      </c>
      <c r="C1595" s="82" t="s">
        <v>650</v>
      </c>
      <c r="D1595" s="83">
        <f>SUMIFS(D1596:D6462,K1596:K6462,"0",B1596:B6462,"5 1 1 3 1 12 31111 6 M59 20600 000132 0000R*")-SUMIFS(E1596:E6462,K1596:K6462,"0",B1596:B6462,"5 1 1 3 1 12 31111 6 M59 20600 000132 0000R*")</f>
        <v>0</v>
      </c>
      <c r="E1595" s="54"/>
      <c r="F1595" s="83">
        <f>SUMIFS(F1596:F6462,K1596:K6462,"0",B1596:B6462,"5 1 1 3 1 12 31111 6 M59 20600 000132 0000R*")</f>
        <v>4620</v>
      </c>
      <c r="G1595" s="83">
        <f>SUMIFS(G1596:G6462,K1596:K6462,"0",B1596:B6462,"5 1 1 3 1 12 31111 6 M59 20600 000132 0000R*")</f>
        <v>0</v>
      </c>
      <c r="H1595" s="83">
        <f t="shared" si="25"/>
        <v>4620</v>
      </c>
      <c r="I1595" s="83"/>
      <c r="K1595" s="54" t="s">
        <v>15</v>
      </c>
    </row>
    <row r="1596" spans="2:11" ht="24.75" x14ac:dyDescent="0.2">
      <c r="B1596" s="82" t="s">
        <v>3811</v>
      </c>
      <c r="C1596" s="82" t="s">
        <v>282</v>
      </c>
      <c r="D1596" s="83">
        <f>SUMIFS(D1597:D6462,K1597:K6462,"0",B1597:B6462,"5 1 1 3 1 12 31111 6 M59 20600 000132 0000R 00001*")-SUMIFS(E1597:E6462,K1597:K6462,"0",B1597:B6462,"5 1 1 3 1 12 31111 6 M59 20600 000132 0000R 00001*")</f>
        <v>0</v>
      </c>
      <c r="E1596" s="54"/>
      <c r="F1596" s="83">
        <f>SUMIFS(F1597:F6462,K1597:K6462,"0",B1597:B6462,"5 1 1 3 1 12 31111 6 M59 20600 000132 0000R 00001*")</f>
        <v>4620</v>
      </c>
      <c r="G1596" s="83">
        <f>SUMIFS(G1597:G6462,K1597:K6462,"0",B1597:B6462,"5 1 1 3 1 12 31111 6 M59 20600 000132 0000R 00001*")</f>
        <v>0</v>
      </c>
      <c r="H1596" s="83">
        <f t="shared" si="25"/>
        <v>4620</v>
      </c>
      <c r="I1596" s="83"/>
      <c r="K1596" s="54" t="s">
        <v>15</v>
      </c>
    </row>
    <row r="1597" spans="2:11" ht="24.75" x14ac:dyDescent="0.2">
      <c r="B1597" s="82" t="s">
        <v>3812</v>
      </c>
      <c r="C1597" s="82" t="s">
        <v>3778</v>
      </c>
      <c r="D1597" s="83">
        <f>SUMIFS(D1598:D6462,K1598:K6462,"0",B1598:B6462,"5 1 1 3 1 12 31111 6 M59 20600 000132 0000R 00001 00131*")-SUMIFS(E1598:E6462,K1598:K6462,"0",B1598:B6462,"5 1 1 3 1 12 31111 6 M59 20600 000132 0000R 00001 00131*")</f>
        <v>0</v>
      </c>
      <c r="E1597" s="54"/>
      <c r="F1597" s="83">
        <f>SUMIFS(F1598:F6462,K1598:K6462,"0",B1598:B6462,"5 1 1 3 1 12 31111 6 M59 20600 000132 0000R 00001 00131*")</f>
        <v>4620</v>
      </c>
      <c r="G1597" s="83">
        <f>SUMIFS(G1598:G6462,K1598:K6462,"0",B1598:B6462,"5 1 1 3 1 12 31111 6 M59 20600 000132 0000R 00001 00131*")</f>
        <v>0</v>
      </c>
      <c r="H1597" s="83">
        <f t="shared" si="25"/>
        <v>4620</v>
      </c>
      <c r="I1597" s="83"/>
      <c r="K1597" s="54" t="s">
        <v>15</v>
      </c>
    </row>
    <row r="1598" spans="2:11" ht="24.75" x14ac:dyDescent="0.2">
      <c r="B1598" s="82" t="s">
        <v>3813</v>
      </c>
      <c r="C1598" s="82" t="s">
        <v>1051</v>
      </c>
      <c r="D1598" s="83">
        <f>SUMIFS(D1599:D6462,K1599:K6462,"0",B1599:B6462,"5 1 1 3 1 12 31111 6 M59 20600 000132 0000R 00001 00131 015*")-SUMIFS(E1599:E6462,K1599:K6462,"0",B1599:B6462,"5 1 1 3 1 12 31111 6 M59 20600 000132 0000R 00001 00131 015*")</f>
        <v>0</v>
      </c>
      <c r="E1598" s="54"/>
      <c r="F1598" s="83">
        <f>SUMIFS(F1599:F6462,K1599:K6462,"0",B1599:B6462,"5 1 1 3 1 12 31111 6 M59 20600 000132 0000R 00001 00131 015*")</f>
        <v>4620</v>
      </c>
      <c r="G1598" s="83">
        <f>SUMIFS(G1599:G6462,K1599:K6462,"0",B1599:B6462,"5 1 1 3 1 12 31111 6 M59 20600 000132 0000R 00001 00131 015*")</f>
        <v>0</v>
      </c>
      <c r="H1598" s="83">
        <f t="shared" si="25"/>
        <v>4620</v>
      </c>
      <c r="I1598" s="83"/>
      <c r="K1598" s="54" t="s">
        <v>15</v>
      </c>
    </row>
    <row r="1599" spans="2:11" ht="33" x14ac:dyDescent="0.2">
      <c r="B1599" s="82" t="s">
        <v>3814</v>
      </c>
      <c r="C1599" s="82" t="s">
        <v>2927</v>
      </c>
      <c r="D1599" s="83">
        <f>SUMIFS(D1600:D6462,K1600:K6462,"0",B1600:B6462,"5 1 1 3 1 12 31111 6 M59 20600 000132 0000R 00001 00131 015 2111100*")-SUMIFS(E1600:E6462,K1600:K6462,"0",B1600:B6462,"5 1 1 3 1 12 31111 6 M59 20600 000132 0000R 00001 00131 015 2111100*")</f>
        <v>0</v>
      </c>
      <c r="E1599" s="54"/>
      <c r="F1599" s="83">
        <f>SUMIFS(F1600:F6462,K1600:K6462,"0",B1600:B6462,"5 1 1 3 1 12 31111 6 M59 20600 000132 0000R 00001 00131 015 2111100*")</f>
        <v>4620</v>
      </c>
      <c r="G1599" s="83">
        <f>SUMIFS(G1600:G6462,K1600:K6462,"0",B1600:B6462,"5 1 1 3 1 12 31111 6 M59 20600 000132 0000R 00001 00131 015 2111100*")</f>
        <v>0</v>
      </c>
      <c r="H1599" s="83">
        <f t="shared" si="25"/>
        <v>4620</v>
      </c>
      <c r="I1599" s="83"/>
      <c r="K1599" s="54" t="s">
        <v>15</v>
      </c>
    </row>
    <row r="1600" spans="2:11" ht="33" x14ac:dyDescent="0.2">
      <c r="B1600" s="82" t="s">
        <v>3815</v>
      </c>
      <c r="C1600" s="82" t="s">
        <v>660</v>
      </c>
      <c r="D1600" s="83">
        <f>SUMIFS(D1601:D6462,K1601:K6462,"0",B1601:B6462,"5 1 1 3 1 12 31111 6 M59 20600 000132 0000R 00001 00131 015 2111100 2024*")-SUMIFS(E1601:E6462,K1601:K6462,"0",B1601:B6462,"5 1 1 3 1 12 31111 6 M59 20600 000132 0000R 00001 00131 015 2111100 2024*")</f>
        <v>0</v>
      </c>
      <c r="E1600" s="54"/>
      <c r="F1600" s="83">
        <f>SUMIFS(F1601:F6462,K1601:K6462,"0",B1601:B6462,"5 1 1 3 1 12 31111 6 M59 20600 000132 0000R 00001 00131 015 2111100 2024*")</f>
        <v>4620</v>
      </c>
      <c r="G1600" s="83">
        <f>SUMIFS(G1601:G6462,K1601:K6462,"0",B1601:B6462,"5 1 1 3 1 12 31111 6 M59 20600 000132 0000R 00001 00131 015 2111100 2024*")</f>
        <v>0</v>
      </c>
      <c r="H1600" s="83">
        <f t="shared" si="25"/>
        <v>4620</v>
      </c>
      <c r="I1600" s="83"/>
      <c r="K1600" s="54" t="s">
        <v>15</v>
      </c>
    </row>
    <row r="1601" spans="2:11" ht="41.25" x14ac:dyDescent="0.2">
      <c r="B1601" s="82" t="s">
        <v>3816</v>
      </c>
      <c r="C1601" s="82" t="s">
        <v>1056</v>
      </c>
      <c r="D1601" s="83">
        <f>SUMIFS(D1602:D6462,K1602:K6462,"0",B1602:B6462,"5 1 1 3 1 12 31111 6 M59 20600 000132 0000R 00001 00131 015 2111100 2024 CP1CA380*")-SUMIFS(E1602:E6462,K1602:K6462,"0",B1602:B6462,"5 1 1 3 1 12 31111 6 M59 20600 000132 0000R 00001 00131 015 2111100 2024 CP1CA380*")</f>
        <v>0</v>
      </c>
      <c r="E1601" s="54"/>
      <c r="F1601" s="83">
        <f>SUMIFS(F1602:F6462,K1602:K6462,"0",B1602:B6462,"5 1 1 3 1 12 31111 6 M59 20600 000132 0000R 00001 00131 015 2111100 2024 CP1CA380*")</f>
        <v>4620</v>
      </c>
      <c r="G1601" s="83">
        <f>SUMIFS(G1602:G6462,K1602:K6462,"0",B1602:B6462,"5 1 1 3 1 12 31111 6 M59 20600 000132 0000R 00001 00131 015 2111100 2024 CP1CA380*")</f>
        <v>0</v>
      </c>
      <c r="H1601" s="83">
        <f t="shared" si="25"/>
        <v>4620</v>
      </c>
      <c r="I1601" s="83"/>
      <c r="K1601" s="54" t="s">
        <v>15</v>
      </c>
    </row>
    <row r="1602" spans="2:11" ht="41.25" x14ac:dyDescent="0.2">
      <c r="B1602" s="82" t="s">
        <v>3817</v>
      </c>
      <c r="C1602" s="82" t="s">
        <v>282</v>
      </c>
      <c r="D1602" s="83">
        <f>SUMIFS(D1603:D6462,K1603:K6462,"0",B1603:B6462,"5 1 1 3 1 12 31111 6 M59 20600 000132 0000R 00001 00131 015 2111100 2024 CP1CA380 001*")-SUMIFS(E1603:E6462,K1603:K6462,"0",B1603:B6462,"5 1 1 3 1 12 31111 6 M59 20600 000132 0000R 00001 00131 015 2111100 2024 CP1CA380 001*")</f>
        <v>0</v>
      </c>
      <c r="E1602" s="54"/>
      <c r="F1602" s="83">
        <f>SUMIFS(F1603:F6462,K1603:K6462,"0",B1603:B6462,"5 1 1 3 1 12 31111 6 M59 20600 000132 0000R 00001 00131 015 2111100 2024 CP1CA380 001*")</f>
        <v>4620</v>
      </c>
      <c r="G1602" s="83">
        <f>SUMIFS(G1603:G6462,K1603:K6462,"0",B1603:B6462,"5 1 1 3 1 12 31111 6 M59 20600 000132 0000R 00001 00131 015 2111100 2024 CP1CA380 001*")</f>
        <v>0</v>
      </c>
      <c r="H1602" s="83">
        <f t="shared" si="25"/>
        <v>4620</v>
      </c>
      <c r="I1602" s="83"/>
      <c r="K1602" s="54" t="s">
        <v>15</v>
      </c>
    </row>
    <row r="1603" spans="2:11" ht="41.25" x14ac:dyDescent="0.2">
      <c r="B1603" s="84" t="s">
        <v>3818</v>
      </c>
      <c r="C1603" s="84" t="s">
        <v>3785</v>
      </c>
      <c r="D1603" s="85">
        <v>0</v>
      </c>
      <c r="E1603" s="85"/>
      <c r="F1603" s="85">
        <v>4620</v>
      </c>
      <c r="G1603" s="85">
        <v>0</v>
      </c>
      <c r="H1603" s="85">
        <f t="shared" si="25"/>
        <v>4620</v>
      </c>
      <c r="I1603" s="85"/>
      <c r="K1603" s="54" t="s">
        <v>38</v>
      </c>
    </row>
    <row r="1604" spans="2:11" ht="16.5" x14ac:dyDescent="0.2">
      <c r="B1604" s="82" t="s">
        <v>3819</v>
      </c>
      <c r="C1604" s="82" t="s">
        <v>3187</v>
      </c>
      <c r="D1604" s="83">
        <f>SUMIFS(D1605:D6462,K1605:K6462,"0",B1605:B6462,"5 1 1 3 1 12 31111 6 M59 23000*")-SUMIFS(E1605:E6462,K1605:K6462,"0",B1605:B6462,"5 1 1 3 1 12 31111 6 M59 23000*")</f>
        <v>0</v>
      </c>
      <c r="E1604" s="54"/>
      <c r="F1604" s="83">
        <f>SUMIFS(F1605:F6462,K1605:K6462,"0",B1605:B6462,"5 1 1 3 1 12 31111 6 M59 23000*")</f>
        <v>280</v>
      </c>
      <c r="G1604" s="83">
        <f>SUMIFS(G1605:G6462,K1605:K6462,"0",B1605:B6462,"5 1 1 3 1 12 31111 6 M59 23000*")</f>
        <v>0</v>
      </c>
      <c r="H1604" s="83">
        <f t="shared" si="25"/>
        <v>280</v>
      </c>
      <c r="I1604" s="83"/>
      <c r="K1604" s="54" t="s">
        <v>15</v>
      </c>
    </row>
    <row r="1605" spans="2:11" ht="16.5" x14ac:dyDescent="0.2">
      <c r="B1605" s="82" t="s">
        <v>3820</v>
      </c>
      <c r="C1605" s="82" t="s">
        <v>648</v>
      </c>
      <c r="D1605" s="83">
        <f>SUMIFS(D1606:D6462,K1606:K6462,"0",B1606:B6462,"5 1 1 3 1 12 31111 6 M59 23000 000132*")-SUMIFS(E1606:E6462,K1606:K6462,"0",B1606:B6462,"5 1 1 3 1 12 31111 6 M59 23000 000132*")</f>
        <v>0</v>
      </c>
      <c r="E1605" s="54"/>
      <c r="F1605" s="83">
        <f>SUMIFS(F1606:F6462,K1606:K6462,"0",B1606:B6462,"5 1 1 3 1 12 31111 6 M59 23000 000132*")</f>
        <v>280</v>
      </c>
      <c r="G1605" s="83">
        <f>SUMIFS(G1606:G6462,K1606:K6462,"0",B1606:B6462,"5 1 1 3 1 12 31111 6 M59 23000 000132*")</f>
        <v>0</v>
      </c>
      <c r="H1605" s="83">
        <f t="shared" si="25"/>
        <v>280</v>
      </c>
      <c r="I1605" s="83"/>
      <c r="K1605" s="54" t="s">
        <v>15</v>
      </c>
    </row>
    <row r="1606" spans="2:11" ht="16.5" x14ac:dyDescent="0.2">
      <c r="B1606" s="82" t="s">
        <v>3821</v>
      </c>
      <c r="C1606" s="82" t="s">
        <v>650</v>
      </c>
      <c r="D1606" s="83">
        <f>SUMIFS(D1607:D6462,K1607:K6462,"0",B1607:B6462,"5 1 1 3 1 12 31111 6 M59 23000 000132 0000R*")-SUMIFS(E1607:E6462,K1607:K6462,"0",B1607:B6462,"5 1 1 3 1 12 31111 6 M59 23000 000132 0000R*")</f>
        <v>0</v>
      </c>
      <c r="E1606" s="54"/>
      <c r="F1606" s="83">
        <f>SUMIFS(F1607:F6462,K1607:K6462,"0",B1607:B6462,"5 1 1 3 1 12 31111 6 M59 23000 000132 0000R*")</f>
        <v>280</v>
      </c>
      <c r="G1606" s="83">
        <f>SUMIFS(G1607:G6462,K1607:K6462,"0",B1607:B6462,"5 1 1 3 1 12 31111 6 M59 23000 000132 0000R*")</f>
        <v>0</v>
      </c>
      <c r="H1606" s="83">
        <f t="shared" si="25"/>
        <v>280</v>
      </c>
      <c r="I1606" s="83"/>
      <c r="K1606" s="54" t="s">
        <v>15</v>
      </c>
    </row>
    <row r="1607" spans="2:11" ht="24.75" x14ac:dyDescent="0.2">
      <c r="B1607" s="82" t="s">
        <v>3822</v>
      </c>
      <c r="C1607" s="82" t="s">
        <v>282</v>
      </c>
      <c r="D1607" s="83">
        <f>SUMIFS(D1608:D6462,K1608:K6462,"0",B1608:B6462,"5 1 1 3 1 12 31111 6 M59 23000 000132 0000R 00001*")-SUMIFS(E1608:E6462,K1608:K6462,"0",B1608:B6462,"5 1 1 3 1 12 31111 6 M59 23000 000132 0000R 00001*")</f>
        <v>0</v>
      </c>
      <c r="E1607" s="54"/>
      <c r="F1607" s="83">
        <f>SUMIFS(F1608:F6462,K1608:K6462,"0",B1608:B6462,"5 1 1 3 1 12 31111 6 M59 23000 000132 0000R 00001*")</f>
        <v>280</v>
      </c>
      <c r="G1607" s="83">
        <f>SUMIFS(G1608:G6462,K1608:K6462,"0",B1608:B6462,"5 1 1 3 1 12 31111 6 M59 23000 000132 0000R 00001*")</f>
        <v>0</v>
      </c>
      <c r="H1607" s="83">
        <f t="shared" si="25"/>
        <v>280</v>
      </c>
      <c r="I1607" s="83"/>
      <c r="K1607" s="54" t="s">
        <v>15</v>
      </c>
    </row>
    <row r="1608" spans="2:11" ht="24.75" x14ac:dyDescent="0.2">
      <c r="B1608" s="82" t="s">
        <v>3823</v>
      </c>
      <c r="C1608" s="82" t="s">
        <v>3778</v>
      </c>
      <c r="D1608" s="83">
        <f>SUMIFS(D1609:D6462,K1609:K6462,"0",B1609:B6462,"5 1 1 3 1 12 31111 6 M59 23000 000132 0000R 00001 00131*")-SUMIFS(E1609:E6462,K1609:K6462,"0",B1609:B6462,"5 1 1 3 1 12 31111 6 M59 23000 000132 0000R 00001 00131*")</f>
        <v>0</v>
      </c>
      <c r="E1608" s="54"/>
      <c r="F1608" s="83">
        <f>SUMIFS(F1609:F6462,K1609:K6462,"0",B1609:B6462,"5 1 1 3 1 12 31111 6 M59 23000 000132 0000R 00001 00131*")</f>
        <v>280</v>
      </c>
      <c r="G1608" s="83">
        <f>SUMIFS(G1609:G6462,K1609:K6462,"0",B1609:B6462,"5 1 1 3 1 12 31111 6 M59 23000 000132 0000R 00001 00131*")</f>
        <v>0</v>
      </c>
      <c r="H1608" s="83">
        <f t="shared" si="25"/>
        <v>280</v>
      </c>
      <c r="I1608" s="83"/>
      <c r="K1608" s="54" t="s">
        <v>15</v>
      </c>
    </row>
    <row r="1609" spans="2:11" ht="24.75" x14ac:dyDescent="0.2">
      <c r="B1609" s="82" t="s">
        <v>3824</v>
      </c>
      <c r="C1609" s="82" t="s">
        <v>1051</v>
      </c>
      <c r="D1609" s="83">
        <f>SUMIFS(D1610:D6462,K1610:K6462,"0",B1610:B6462,"5 1 1 3 1 12 31111 6 M59 23000 000132 0000R 00001 00131 015*")-SUMIFS(E1610:E6462,K1610:K6462,"0",B1610:B6462,"5 1 1 3 1 12 31111 6 M59 23000 000132 0000R 00001 00131 015*")</f>
        <v>0</v>
      </c>
      <c r="E1609" s="54"/>
      <c r="F1609" s="83">
        <f>SUMIFS(F1610:F6462,K1610:K6462,"0",B1610:B6462,"5 1 1 3 1 12 31111 6 M59 23000 000132 0000R 00001 00131 015*")</f>
        <v>280</v>
      </c>
      <c r="G1609" s="83">
        <f>SUMIFS(G1610:G6462,K1610:K6462,"0",B1610:B6462,"5 1 1 3 1 12 31111 6 M59 23000 000132 0000R 00001 00131 015*")</f>
        <v>0</v>
      </c>
      <c r="H1609" s="83">
        <f t="shared" si="25"/>
        <v>280</v>
      </c>
      <c r="I1609" s="83"/>
      <c r="K1609" s="54" t="s">
        <v>15</v>
      </c>
    </row>
    <row r="1610" spans="2:11" ht="33" x14ac:dyDescent="0.2">
      <c r="B1610" s="82" t="s">
        <v>3825</v>
      </c>
      <c r="C1610" s="82" t="s">
        <v>2927</v>
      </c>
      <c r="D1610" s="83">
        <f>SUMIFS(D1611:D6462,K1611:K6462,"0",B1611:B6462,"5 1 1 3 1 12 31111 6 M59 23000 000132 0000R 00001 00131 015 2111100*")-SUMIFS(E1611:E6462,K1611:K6462,"0",B1611:B6462,"5 1 1 3 1 12 31111 6 M59 23000 000132 0000R 00001 00131 015 2111100*")</f>
        <v>0</v>
      </c>
      <c r="E1610" s="54"/>
      <c r="F1610" s="83">
        <f>SUMIFS(F1611:F6462,K1611:K6462,"0",B1611:B6462,"5 1 1 3 1 12 31111 6 M59 23000 000132 0000R 00001 00131 015 2111100*")</f>
        <v>280</v>
      </c>
      <c r="G1610" s="83">
        <f>SUMIFS(G1611:G6462,K1611:K6462,"0",B1611:B6462,"5 1 1 3 1 12 31111 6 M59 23000 000132 0000R 00001 00131 015 2111100*")</f>
        <v>0</v>
      </c>
      <c r="H1610" s="83">
        <f t="shared" si="25"/>
        <v>280</v>
      </c>
      <c r="I1610" s="83"/>
      <c r="K1610" s="54" t="s">
        <v>15</v>
      </c>
    </row>
    <row r="1611" spans="2:11" ht="33" x14ac:dyDescent="0.2">
      <c r="B1611" s="82" t="s">
        <v>3826</v>
      </c>
      <c r="C1611" s="82" t="s">
        <v>660</v>
      </c>
      <c r="D1611" s="83">
        <f>SUMIFS(D1612:D6462,K1612:K6462,"0",B1612:B6462,"5 1 1 3 1 12 31111 6 M59 23000 000132 0000R 00001 00131 015 2111100 2024*")-SUMIFS(E1612:E6462,K1612:K6462,"0",B1612:B6462,"5 1 1 3 1 12 31111 6 M59 23000 000132 0000R 00001 00131 015 2111100 2024*")</f>
        <v>0</v>
      </c>
      <c r="E1611" s="54"/>
      <c r="F1611" s="83">
        <f>SUMIFS(F1612:F6462,K1612:K6462,"0",B1612:B6462,"5 1 1 3 1 12 31111 6 M59 23000 000132 0000R 00001 00131 015 2111100 2024*")</f>
        <v>280</v>
      </c>
      <c r="G1611" s="83">
        <f>SUMIFS(G1612:G6462,K1612:K6462,"0",B1612:B6462,"5 1 1 3 1 12 31111 6 M59 23000 000132 0000R 00001 00131 015 2111100 2024*")</f>
        <v>0</v>
      </c>
      <c r="H1611" s="83">
        <f t="shared" si="25"/>
        <v>280</v>
      </c>
      <c r="I1611" s="83"/>
      <c r="K1611" s="54" t="s">
        <v>15</v>
      </c>
    </row>
    <row r="1612" spans="2:11" ht="41.25" x14ac:dyDescent="0.2">
      <c r="B1612" s="82" t="s">
        <v>3827</v>
      </c>
      <c r="C1612" s="82" t="s">
        <v>1056</v>
      </c>
      <c r="D1612" s="83">
        <f>SUMIFS(D1613:D6462,K1613:K6462,"0",B1613:B6462,"5 1 1 3 1 12 31111 6 M59 23000 000132 0000R 00001 00131 015 2111100 2024 CP1ST377*")-SUMIFS(E1613:E6462,K1613:K6462,"0",B1613:B6462,"5 1 1 3 1 12 31111 6 M59 23000 000132 0000R 00001 00131 015 2111100 2024 CP1ST377*")</f>
        <v>0</v>
      </c>
      <c r="E1612" s="54"/>
      <c r="F1612" s="83">
        <f>SUMIFS(F1613:F6462,K1613:K6462,"0",B1613:B6462,"5 1 1 3 1 12 31111 6 M59 23000 000132 0000R 00001 00131 015 2111100 2024 CP1ST377*")</f>
        <v>280</v>
      </c>
      <c r="G1612" s="83">
        <f>SUMIFS(G1613:G6462,K1613:K6462,"0",B1613:B6462,"5 1 1 3 1 12 31111 6 M59 23000 000132 0000R 00001 00131 015 2111100 2024 CP1ST377*")</f>
        <v>0</v>
      </c>
      <c r="H1612" s="83">
        <f t="shared" si="25"/>
        <v>280</v>
      </c>
      <c r="I1612" s="83"/>
      <c r="K1612" s="54" t="s">
        <v>15</v>
      </c>
    </row>
    <row r="1613" spans="2:11" ht="41.25" x14ac:dyDescent="0.2">
      <c r="B1613" s="82" t="s">
        <v>3828</v>
      </c>
      <c r="C1613" s="82" t="s">
        <v>282</v>
      </c>
      <c r="D1613" s="83">
        <f>SUMIFS(D1614:D6462,K1614:K6462,"0",B1614:B6462,"5 1 1 3 1 12 31111 6 M59 23000 000132 0000R 00001 00131 015 2111100 2024 CP1ST377 001*")-SUMIFS(E1614:E6462,K1614:K6462,"0",B1614:B6462,"5 1 1 3 1 12 31111 6 M59 23000 000132 0000R 00001 00131 015 2111100 2024 CP1ST377 001*")</f>
        <v>0</v>
      </c>
      <c r="E1613" s="54"/>
      <c r="F1613" s="83">
        <f>SUMIFS(F1614:F6462,K1614:K6462,"0",B1614:B6462,"5 1 1 3 1 12 31111 6 M59 23000 000132 0000R 00001 00131 015 2111100 2024 CP1ST377 001*")</f>
        <v>280</v>
      </c>
      <c r="G1613" s="83">
        <f>SUMIFS(G1614:G6462,K1614:K6462,"0",B1614:B6462,"5 1 1 3 1 12 31111 6 M59 23000 000132 0000R 00001 00131 015 2111100 2024 CP1ST377 001*")</f>
        <v>0</v>
      </c>
      <c r="H1613" s="83">
        <f t="shared" si="25"/>
        <v>280</v>
      </c>
      <c r="I1613" s="83"/>
      <c r="K1613" s="54" t="s">
        <v>15</v>
      </c>
    </row>
    <row r="1614" spans="2:11" ht="41.25" x14ac:dyDescent="0.2">
      <c r="B1614" s="84" t="s">
        <v>3829</v>
      </c>
      <c r="C1614" s="84" t="s">
        <v>3785</v>
      </c>
      <c r="D1614" s="85">
        <v>0</v>
      </c>
      <c r="E1614" s="85"/>
      <c r="F1614" s="85">
        <v>280</v>
      </c>
      <c r="G1614" s="85">
        <v>0</v>
      </c>
      <c r="H1614" s="85">
        <f t="shared" si="25"/>
        <v>280</v>
      </c>
      <c r="I1614" s="85"/>
      <c r="K1614" s="54" t="s">
        <v>38</v>
      </c>
    </row>
    <row r="1615" spans="2:11" ht="16.5" x14ac:dyDescent="0.2">
      <c r="B1615" s="82" t="s">
        <v>3830</v>
      </c>
      <c r="C1615" s="82" t="s">
        <v>646</v>
      </c>
      <c r="D1615" s="83">
        <f>SUMIFS(D1616:D6462,K1616:K6462,"0",B1616:B6462,"5 1 1 3 1 12 31111 6 M59 30100*")-SUMIFS(E1616:E6462,K1616:K6462,"0",B1616:B6462,"5 1 1 3 1 12 31111 6 M59 30100*")</f>
        <v>0</v>
      </c>
      <c r="E1615" s="54"/>
      <c r="F1615" s="83">
        <f>SUMIFS(F1616:F6462,K1616:K6462,"0",B1616:B6462,"5 1 1 3 1 12 31111 6 M59 30100*")</f>
        <v>5700</v>
      </c>
      <c r="G1615" s="83">
        <f>SUMIFS(G1616:G6462,K1616:K6462,"0",B1616:B6462,"5 1 1 3 1 12 31111 6 M59 30100*")</f>
        <v>0</v>
      </c>
      <c r="H1615" s="83">
        <f t="shared" si="25"/>
        <v>5700</v>
      </c>
      <c r="I1615" s="83"/>
      <c r="K1615" s="54" t="s">
        <v>15</v>
      </c>
    </row>
    <row r="1616" spans="2:11" ht="16.5" x14ac:dyDescent="0.2">
      <c r="B1616" s="82" t="s">
        <v>3831</v>
      </c>
      <c r="C1616" s="82" t="s">
        <v>648</v>
      </c>
      <c r="D1616" s="83">
        <f>SUMIFS(D1617:D6462,K1617:K6462,"0",B1617:B6462,"5 1 1 3 1 12 31111 6 M59 30100 000132*")-SUMIFS(E1617:E6462,K1617:K6462,"0",B1617:B6462,"5 1 1 3 1 12 31111 6 M59 30100 000132*")</f>
        <v>0</v>
      </c>
      <c r="E1616" s="54"/>
      <c r="F1616" s="83">
        <f>SUMIFS(F1617:F6462,K1617:K6462,"0",B1617:B6462,"5 1 1 3 1 12 31111 6 M59 30100 000132*")</f>
        <v>5700</v>
      </c>
      <c r="G1616" s="83">
        <f>SUMIFS(G1617:G6462,K1617:K6462,"0",B1617:B6462,"5 1 1 3 1 12 31111 6 M59 30100 000132*")</f>
        <v>0</v>
      </c>
      <c r="H1616" s="83">
        <f t="shared" si="25"/>
        <v>5700</v>
      </c>
      <c r="I1616" s="83"/>
      <c r="K1616" s="54" t="s">
        <v>15</v>
      </c>
    </row>
    <row r="1617" spans="2:11" ht="16.5" x14ac:dyDescent="0.2">
      <c r="B1617" s="82" t="s">
        <v>3832</v>
      </c>
      <c r="C1617" s="82" t="s">
        <v>650</v>
      </c>
      <c r="D1617" s="83">
        <f>SUMIFS(D1618:D6462,K1618:K6462,"0",B1618:B6462,"5 1 1 3 1 12 31111 6 M59 30100 000132 0000R*")-SUMIFS(E1618:E6462,K1618:K6462,"0",B1618:B6462,"5 1 1 3 1 12 31111 6 M59 30100 000132 0000R*")</f>
        <v>0</v>
      </c>
      <c r="E1617" s="54"/>
      <c r="F1617" s="83">
        <f>SUMIFS(F1618:F6462,K1618:K6462,"0",B1618:B6462,"5 1 1 3 1 12 31111 6 M59 30100 000132 0000R*")</f>
        <v>5700</v>
      </c>
      <c r="G1617" s="83">
        <f>SUMIFS(G1618:G6462,K1618:K6462,"0",B1618:B6462,"5 1 1 3 1 12 31111 6 M59 30100 000132 0000R*")</f>
        <v>0</v>
      </c>
      <c r="H1617" s="83">
        <f t="shared" si="25"/>
        <v>5700</v>
      </c>
      <c r="I1617" s="83"/>
      <c r="K1617" s="54" t="s">
        <v>15</v>
      </c>
    </row>
    <row r="1618" spans="2:11" ht="24.75" x14ac:dyDescent="0.2">
      <c r="B1618" s="82" t="s">
        <v>3833</v>
      </c>
      <c r="C1618" s="82" t="s">
        <v>282</v>
      </c>
      <c r="D1618" s="83">
        <f>SUMIFS(D1619:D6462,K1619:K6462,"0",B1619:B6462,"5 1 1 3 1 12 31111 6 M59 30100 000132 0000R 00001*")-SUMIFS(E1619:E6462,K1619:K6462,"0",B1619:B6462,"5 1 1 3 1 12 31111 6 M59 30100 000132 0000R 00001*")</f>
        <v>0</v>
      </c>
      <c r="E1618" s="54"/>
      <c r="F1618" s="83">
        <f>SUMIFS(F1619:F6462,K1619:K6462,"0",B1619:B6462,"5 1 1 3 1 12 31111 6 M59 30100 000132 0000R 00001*")</f>
        <v>5700</v>
      </c>
      <c r="G1618" s="83">
        <f>SUMIFS(G1619:G6462,K1619:K6462,"0",B1619:B6462,"5 1 1 3 1 12 31111 6 M59 30100 000132 0000R 00001*")</f>
        <v>0</v>
      </c>
      <c r="H1618" s="83">
        <f t="shared" si="25"/>
        <v>5700</v>
      </c>
      <c r="I1618" s="83"/>
      <c r="K1618" s="54" t="s">
        <v>15</v>
      </c>
    </row>
    <row r="1619" spans="2:11" ht="24.75" x14ac:dyDescent="0.2">
      <c r="B1619" s="82" t="s">
        <v>3834</v>
      </c>
      <c r="C1619" s="82" t="s">
        <v>3778</v>
      </c>
      <c r="D1619" s="83">
        <f>SUMIFS(D1620:D6462,K1620:K6462,"0",B1620:B6462,"5 1 1 3 1 12 31111 6 M59 30100 000132 0000R 00001 00131*")-SUMIFS(E1620:E6462,K1620:K6462,"0",B1620:B6462,"5 1 1 3 1 12 31111 6 M59 30100 000132 0000R 00001 00131*")</f>
        <v>0</v>
      </c>
      <c r="E1619" s="54"/>
      <c r="F1619" s="83">
        <f>SUMIFS(F1620:F6462,K1620:K6462,"0",B1620:B6462,"5 1 1 3 1 12 31111 6 M59 30100 000132 0000R 00001 00131*")</f>
        <v>5700</v>
      </c>
      <c r="G1619" s="83">
        <f>SUMIFS(G1620:G6462,K1620:K6462,"0",B1620:B6462,"5 1 1 3 1 12 31111 6 M59 30100 000132 0000R 00001 00131*")</f>
        <v>0</v>
      </c>
      <c r="H1619" s="83">
        <f t="shared" si="25"/>
        <v>5700</v>
      </c>
      <c r="I1619" s="83"/>
      <c r="K1619" s="54" t="s">
        <v>15</v>
      </c>
    </row>
    <row r="1620" spans="2:11" ht="24.75" x14ac:dyDescent="0.2">
      <c r="B1620" s="82" t="s">
        <v>3835</v>
      </c>
      <c r="C1620" s="82" t="s">
        <v>1051</v>
      </c>
      <c r="D1620" s="83">
        <f>SUMIFS(D1621:D6462,K1621:K6462,"0",B1621:B6462,"5 1 1 3 1 12 31111 6 M59 30100 000132 0000R 00001 00131 015*")-SUMIFS(E1621:E6462,K1621:K6462,"0",B1621:B6462,"5 1 1 3 1 12 31111 6 M59 30100 000132 0000R 00001 00131 015*")</f>
        <v>0</v>
      </c>
      <c r="E1620" s="54"/>
      <c r="F1620" s="83">
        <f>SUMIFS(F1621:F6462,K1621:K6462,"0",B1621:B6462,"5 1 1 3 1 12 31111 6 M59 30100 000132 0000R 00001 00131 015*")</f>
        <v>5700</v>
      </c>
      <c r="G1620" s="83">
        <f>SUMIFS(G1621:G6462,K1621:K6462,"0",B1621:B6462,"5 1 1 3 1 12 31111 6 M59 30100 000132 0000R 00001 00131 015*")</f>
        <v>0</v>
      </c>
      <c r="H1620" s="83">
        <f t="shared" si="25"/>
        <v>5700</v>
      </c>
      <c r="I1620" s="83"/>
      <c r="K1620" s="54" t="s">
        <v>15</v>
      </c>
    </row>
    <row r="1621" spans="2:11" ht="33" x14ac:dyDescent="0.2">
      <c r="B1621" s="82" t="s">
        <v>3836</v>
      </c>
      <c r="C1621" s="82" t="s">
        <v>2927</v>
      </c>
      <c r="D1621" s="83">
        <f>SUMIFS(D1622:D6462,K1622:K6462,"0",B1622:B6462,"5 1 1 3 1 12 31111 6 M59 30100 000132 0000R 00001 00131 015 2111100*")-SUMIFS(E1622:E6462,K1622:K6462,"0",B1622:B6462,"5 1 1 3 1 12 31111 6 M59 30100 000132 0000R 00001 00131 015 2111100*")</f>
        <v>0</v>
      </c>
      <c r="E1621" s="54"/>
      <c r="F1621" s="83">
        <f>SUMIFS(F1622:F6462,K1622:K6462,"0",B1622:B6462,"5 1 1 3 1 12 31111 6 M59 30100 000132 0000R 00001 00131 015 2111100*")</f>
        <v>5700</v>
      </c>
      <c r="G1621" s="83">
        <f>SUMIFS(G1622:G6462,K1622:K6462,"0",B1622:B6462,"5 1 1 3 1 12 31111 6 M59 30100 000132 0000R 00001 00131 015 2111100*")</f>
        <v>0</v>
      </c>
      <c r="H1621" s="83">
        <f t="shared" si="25"/>
        <v>5700</v>
      </c>
      <c r="I1621" s="83"/>
      <c r="K1621" s="54" t="s">
        <v>15</v>
      </c>
    </row>
    <row r="1622" spans="2:11" ht="33" x14ac:dyDescent="0.2">
      <c r="B1622" s="82" t="s">
        <v>3837</v>
      </c>
      <c r="C1622" s="82" t="s">
        <v>660</v>
      </c>
      <c r="D1622" s="83">
        <f>SUMIFS(D1623:D6462,K1623:K6462,"0",B1623:B6462,"5 1 1 3 1 12 31111 6 M59 30100 000132 0000R 00001 00131 015 2111100 2024*")-SUMIFS(E1623:E6462,K1623:K6462,"0",B1623:B6462,"5 1 1 3 1 12 31111 6 M59 30100 000132 0000R 00001 00131 015 2111100 2024*")</f>
        <v>0</v>
      </c>
      <c r="E1622" s="54"/>
      <c r="F1622" s="83">
        <f>SUMIFS(F1623:F6462,K1623:K6462,"0",B1623:B6462,"5 1 1 3 1 12 31111 6 M59 30100 000132 0000R 00001 00131 015 2111100 2024*")</f>
        <v>5700</v>
      </c>
      <c r="G1622" s="83">
        <f>SUMIFS(G1623:G6462,K1623:K6462,"0",B1623:B6462,"5 1 1 3 1 12 31111 6 M59 30100 000132 0000R 00001 00131 015 2111100 2024*")</f>
        <v>0</v>
      </c>
      <c r="H1622" s="83">
        <f t="shared" si="25"/>
        <v>5700</v>
      </c>
      <c r="I1622" s="83"/>
      <c r="K1622" s="54" t="s">
        <v>15</v>
      </c>
    </row>
    <row r="1623" spans="2:11" ht="41.25" x14ac:dyDescent="0.2">
      <c r="B1623" s="82" t="s">
        <v>3838</v>
      </c>
      <c r="C1623" s="82" t="s">
        <v>662</v>
      </c>
      <c r="D1623" s="83">
        <f>SUMIFS(D1624:D6462,K1624:K6462,"0",B1624:B6462,"5 1 1 3 1 12 31111 6 M59 30100 000132 0000R 00001 00131 015 2111100 2024 CP1OP405*")-SUMIFS(E1624:E6462,K1624:K6462,"0",B1624:B6462,"5 1 1 3 1 12 31111 6 M59 30100 000132 0000R 00001 00131 015 2111100 2024 CP1OP405*")</f>
        <v>0</v>
      </c>
      <c r="E1623" s="54"/>
      <c r="F1623" s="83">
        <f>SUMIFS(F1624:F6462,K1624:K6462,"0",B1624:B6462,"5 1 1 3 1 12 31111 6 M59 30100 000132 0000R 00001 00131 015 2111100 2024 CP1OP405*")</f>
        <v>5700</v>
      </c>
      <c r="G1623" s="83">
        <f>SUMIFS(G1624:G6462,K1624:K6462,"0",B1624:B6462,"5 1 1 3 1 12 31111 6 M59 30100 000132 0000R 00001 00131 015 2111100 2024 CP1OP405*")</f>
        <v>0</v>
      </c>
      <c r="H1623" s="83">
        <f t="shared" si="25"/>
        <v>5700</v>
      </c>
      <c r="I1623" s="83"/>
      <c r="K1623" s="54" t="s">
        <v>15</v>
      </c>
    </row>
    <row r="1624" spans="2:11" ht="41.25" x14ac:dyDescent="0.2">
      <c r="B1624" s="82" t="s">
        <v>3839</v>
      </c>
      <c r="C1624" s="82" t="s">
        <v>282</v>
      </c>
      <c r="D1624" s="83">
        <f>SUMIFS(D1625:D6462,K1625:K6462,"0",B1625:B6462,"5 1 1 3 1 12 31111 6 M59 30100 000132 0000R 00001 00131 015 2111100 2024 CP1OP405 001*")-SUMIFS(E1625:E6462,K1625:K6462,"0",B1625:B6462,"5 1 1 3 1 12 31111 6 M59 30100 000132 0000R 00001 00131 015 2111100 2024 CP1OP405 001*")</f>
        <v>0</v>
      </c>
      <c r="E1624" s="54"/>
      <c r="F1624" s="83">
        <f>SUMIFS(F1625:F6462,K1625:K6462,"0",B1625:B6462,"5 1 1 3 1 12 31111 6 M59 30100 000132 0000R 00001 00131 015 2111100 2024 CP1OP405 001*")</f>
        <v>5700</v>
      </c>
      <c r="G1624" s="83">
        <f>SUMIFS(G1625:G6462,K1625:K6462,"0",B1625:B6462,"5 1 1 3 1 12 31111 6 M59 30100 000132 0000R 00001 00131 015 2111100 2024 CP1OP405 001*")</f>
        <v>0</v>
      </c>
      <c r="H1624" s="83">
        <f t="shared" si="25"/>
        <v>5700</v>
      </c>
      <c r="I1624" s="83"/>
      <c r="K1624" s="54" t="s">
        <v>15</v>
      </c>
    </row>
    <row r="1625" spans="2:11" ht="33" x14ac:dyDescent="0.2">
      <c r="B1625" s="84" t="s">
        <v>3840</v>
      </c>
      <c r="C1625" s="84" t="s">
        <v>3785</v>
      </c>
      <c r="D1625" s="85">
        <v>0</v>
      </c>
      <c r="E1625" s="85"/>
      <c r="F1625" s="85">
        <v>5700</v>
      </c>
      <c r="G1625" s="85">
        <v>0</v>
      </c>
      <c r="H1625" s="85">
        <f t="shared" si="25"/>
        <v>5700</v>
      </c>
      <c r="I1625" s="85"/>
      <c r="K1625" s="54" t="s">
        <v>38</v>
      </c>
    </row>
    <row r="1626" spans="2:11" ht="16.5" x14ac:dyDescent="0.2">
      <c r="B1626" s="82" t="s">
        <v>3841</v>
      </c>
      <c r="C1626" s="82" t="s">
        <v>3281</v>
      </c>
      <c r="D1626" s="83">
        <f>SUMIFS(D1627:D6462,K1627:K6462,"0",B1627:B6462,"5 1 1 3 1 12 31111 6 M59 50000*")-SUMIFS(E1627:E6462,K1627:K6462,"0",B1627:B6462,"5 1 1 3 1 12 31111 6 M59 50000*")</f>
        <v>0</v>
      </c>
      <c r="E1626" s="54"/>
      <c r="F1626" s="83">
        <f>SUMIFS(F1627:F6462,K1627:K6462,"0",B1627:B6462,"5 1 1 3 1 12 31111 6 M59 50000*")</f>
        <v>15960</v>
      </c>
      <c r="G1626" s="83">
        <f>SUMIFS(G1627:G6462,K1627:K6462,"0",B1627:B6462,"5 1 1 3 1 12 31111 6 M59 50000*")</f>
        <v>0</v>
      </c>
      <c r="H1626" s="83">
        <f t="shared" si="25"/>
        <v>15960</v>
      </c>
      <c r="I1626" s="83"/>
      <c r="K1626" s="54" t="s">
        <v>15</v>
      </c>
    </row>
    <row r="1627" spans="2:11" ht="16.5" x14ac:dyDescent="0.2">
      <c r="B1627" s="82" t="s">
        <v>3842</v>
      </c>
      <c r="C1627" s="82" t="s">
        <v>3283</v>
      </c>
      <c r="D1627" s="83">
        <f>SUMIFS(D1628:D6462,K1628:K6462,"0",B1628:B6462,"5 1 1 3 1 12 31111 6 M59 50000 000223*")-SUMIFS(E1628:E6462,K1628:K6462,"0",B1628:B6462,"5 1 1 3 1 12 31111 6 M59 50000 000223*")</f>
        <v>0</v>
      </c>
      <c r="E1627" s="54"/>
      <c r="F1627" s="83">
        <f>SUMIFS(F1628:F6462,K1628:K6462,"0",B1628:B6462,"5 1 1 3 1 12 31111 6 M59 50000 000223*")</f>
        <v>15960</v>
      </c>
      <c r="G1627" s="83">
        <f>SUMIFS(G1628:G6462,K1628:K6462,"0",B1628:B6462,"5 1 1 3 1 12 31111 6 M59 50000 000223*")</f>
        <v>0</v>
      </c>
      <c r="H1627" s="83">
        <f t="shared" si="25"/>
        <v>15960</v>
      </c>
      <c r="I1627" s="83"/>
      <c r="K1627" s="54" t="s">
        <v>15</v>
      </c>
    </row>
    <row r="1628" spans="2:11" ht="16.5" x14ac:dyDescent="0.2">
      <c r="B1628" s="82" t="s">
        <v>3843</v>
      </c>
      <c r="C1628" s="82" t="s">
        <v>1065</v>
      </c>
      <c r="D1628" s="83">
        <f>SUMIFS(D1629:D6462,K1629:K6462,"0",B1629:B6462,"5 1 1 3 1 12 31111 6 M59 50000 000223 0000E*")-SUMIFS(E1629:E6462,K1629:K6462,"0",B1629:B6462,"5 1 1 3 1 12 31111 6 M59 50000 000223 0000E*")</f>
        <v>0</v>
      </c>
      <c r="E1628" s="54"/>
      <c r="F1628" s="83">
        <f>SUMIFS(F1629:F6462,K1629:K6462,"0",B1629:B6462,"5 1 1 3 1 12 31111 6 M59 50000 000223 0000E*")</f>
        <v>15960</v>
      </c>
      <c r="G1628" s="83">
        <f>SUMIFS(G1629:G6462,K1629:K6462,"0",B1629:B6462,"5 1 1 3 1 12 31111 6 M59 50000 000223 0000E*")</f>
        <v>0</v>
      </c>
      <c r="H1628" s="83">
        <f t="shared" si="25"/>
        <v>15960</v>
      </c>
      <c r="I1628" s="83"/>
      <c r="K1628" s="54" t="s">
        <v>15</v>
      </c>
    </row>
    <row r="1629" spans="2:11" ht="24.75" x14ac:dyDescent="0.2">
      <c r="B1629" s="82" t="s">
        <v>3844</v>
      </c>
      <c r="C1629" s="82" t="s">
        <v>282</v>
      </c>
      <c r="D1629" s="83">
        <f>SUMIFS(D1630:D6462,K1630:K6462,"0",B1630:B6462,"5 1 1 3 1 12 31111 6 M59 50000 000223 0000E 00001*")-SUMIFS(E1630:E6462,K1630:K6462,"0",B1630:B6462,"5 1 1 3 1 12 31111 6 M59 50000 000223 0000E 00001*")</f>
        <v>0</v>
      </c>
      <c r="E1629" s="54"/>
      <c r="F1629" s="83">
        <f>SUMIFS(F1630:F6462,K1630:K6462,"0",B1630:B6462,"5 1 1 3 1 12 31111 6 M59 50000 000223 0000E 00001*")</f>
        <v>15960</v>
      </c>
      <c r="G1629" s="83">
        <f>SUMIFS(G1630:G6462,K1630:K6462,"0",B1630:B6462,"5 1 1 3 1 12 31111 6 M59 50000 000223 0000E 00001*")</f>
        <v>0</v>
      </c>
      <c r="H1629" s="83">
        <f t="shared" si="25"/>
        <v>15960</v>
      </c>
      <c r="I1629" s="83"/>
      <c r="K1629" s="54" t="s">
        <v>15</v>
      </c>
    </row>
    <row r="1630" spans="2:11" ht="24.75" x14ac:dyDescent="0.2">
      <c r="B1630" s="82" t="s">
        <v>3845</v>
      </c>
      <c r="C1630" s="82" t="s">
        <v>3778</v>
      </c>
      <c r="D1630" s="83">
        <f>SUMIFS(D1631:D6462,K1631:K6462,"0",B1631:B6462,"5 1 1 3 1 12 31111 6 M59 50000 000223 0000E 00001 00131*")-SUMIFS(E1631:E6462,K1631:K6462,"0",B1631:B6462,"5 1 1 3 1 12 31111 6 M59 50000 000223 0000E 00001 00131*")</f>
        <v>0</v>
      </c>
      <c r="E1630" s="54"/>
      <c r="F1630" s="83">
        <f>SUMIFS(F1631:F6462,K1631:K6462,"0",B1631:B6462,"5 1 1 3 1 12 31111 6 M59 50000 000223 0000E 00001 00131*")</f>
        <v>15960</v>
      </c>
      <c r="G1630" s="83">
        <f>SUMIFS(G1631:G6462,K1631:K6462,"0",B1631:B6462,"5 1 1 3 1 12 31111 6 M59 50000 000223 0000E 00001 00131*")</f>
        <v>0</v>
      </c>
      <c r="H1630" s="83">
        <f t="shared" si="25"/>
        <v>15960</v>
      </c>
      <c r="I1630" s="83"/>
      <c r="K1630" s="54" t="s">
        <v>15</v>
      </c>
    </row>
    <row r="1631" spans="2:11" ht="24.75" x14ac:dyDescent="0.2">
      <c r="B1631" s="82" t="s">
        <v>3846</v>
      </c>
      <c r="C1631" s="82" t="s">
        <v>1051</v>
      </c>
      <c r="D1631" s="83">
        <f>SUMIFS(D1632:D6462,K1632:K6462,"0",B1632:B6462,"5 1 1 3 1 12 31111 6 M59 50000 000223 0000E 00001 00131 015*")-SUMIFS(E1632:E6462,K1632:K6462,"0",B1632:B6462,"5 1 1 3 1 12 31111 6 M59 50000 000223 0000E 00001 00131 015*")</f>
        <v>0</v>
      </c>
      <c r="E1631" s="54"/>
      <c r="F1631" s="83">
        <f>SUMIFS(F1632:F6462,K1632:K6462,"0",B1632:B6462,"5 1 1 3 1 12 31111 6 M59 50000 000223 0000E 00001 00131 015*")</f>
        <v>15960</v>
      </c>
      <c r="G1631" s="83">
        <f>SUMIFS(G1632:G6462,K1632:K6462,"0",B1632:B6462,"5 1 1 3 1 12 31111 6 M59 50000 000223 0000E 00001 00131 015*")</f>
        <v>0</v>
      </c>
      <c r="H1631" s="83">
        <f t="shared" si="25"/>
        <v>15960</v>
      </c>
      <c r="I1631" s="83"/>
      <c r="K1631" s="54" t="s">
        <v>15</v>
      </c>
    </row>
    <row r="1632" spans="2:11" ht="33" x14ac:dyDescent="0.2">
      <c r="B1632" s="82" t="s">
        <v>3847</v>
      </c>
      <c r="C1632" s="82" t="s">
        <v>2927</v>
      </c>
      <c r="D1632" s="83">
        <f>SUMIFS(D1633:D6462,K1633:K6462,"0",B1633:B6462,"5 1 1 3 1 12 31111 6 M59 50000 000223 0000E 00001 00131 015 2111100*")-SUMIFS(E1633:E6462,K1633:K6462,"0",B1633:B6462,"5 1 1 3 1 12 31111 6 M59 50000 000223 0000E 00001 00131 015 2111100*")</f>
        <v>0</v>
      </c>
      <c r="E1632" s="54"/>
      <c r="F1632" s="83">
        <f>SUMIFS(F1633:F6462,K1633:K6462,"0",B1633:B6462,"5 1 1 3 1 12 31111 6 M59 50000 000223 0000E 00001 00131 015 2111100*")</f>
        <v>15960</v>
      </c>
      <c r="G1632" s="83">
        <f>SUMIFS(G1633:G6462,K1633:K6462,"0",B1633:B6462,"5 1 1 3 1 12 31111 6 M59 50000 000223 0000E 00001 00131 015 2111100*")</f>
        <v>0</v>
      </c>
      <c r="H1632" s="83">
        <f t="shared" si="25"/>
        <v>15960</v>
      </c>
      <c r="I1632" s="83"/>
      <c r="K1632" s="54" t="s">
        <v>15</v>
      </c>
    </row>
    <row r="1633" spans="2:11" ht="33" x14ac:dyDescent="0.2">
      <c r="B1633" s="82" t="s">
        <v>3848</v>
      </c>
      <c r="C1633" s="82" t="s">
        <v>660</v>
      </c>
      <c r="D1633" s="83">
        <f>SUMIFS(D1634:D6462,K1634:K6462,"0",B1634:B6462,"5 1 1 3 1 12 31111 6 M59 50000 000223 0000E 00001 00131 015 2111100 2024*")-SUMIFS(E1634:E6462,K1634:K6462,"0",B1634:B6462,"5 1 1 3 1 12 31111 6 M59 50000 000223 0000E 00001 00131 015 2111100 2024*")</f>
        <v>0</v>
      </c>
      <c r="E1633" s="54"/>
      <c r="F1633" s="83">
        <f>SUMIFS(F1634:F6462,K1634:K6462,"0",B1634:B6462,"5 1 1 3 1 12 31111 6 M59 50000 000223 0000E 00001 00131 015 2111100 2024*")</f>
        <v>15960</v>
      </c>
      <c r="G1633" s="83">
        <f>SUMIFS(G1634:G6462,K1634:K6462,"0",B1634:B6462,"5 1 1 3 1 12 31111 6 M59 50000 000223 0000E 00001 00131 015 2111100 2024*")</f>
        <v>0</v>
      </c>
      <c r="H1633" s="83">
        <f t="shared" si="25"/>
        <v>15960</v>
      </c>
      <c r="I1633" s="83"/>
      <c r="K1633" s="54" t="s">
        <v>15</v>
      </c>
    </row>
    <row r="1634" spans="2:11" ht="41.25" x14ac:dyDescent="0.2">
      <c r="B1634" s="82" t="s">
        <v>3849</v>
      </c>
      <c r="C1634" s="82" t="s">
        <v>662</v>
      </c>
      <c r="D1634" s="83">
        <f>SUMIFS(D1635:D6462,K1635:K6462,"0",B1635:B6462,"5 1 1 3 1 12 31111 6 M59 50000 000223 0000E 00001 00131 015 2111100 2024 CP1DA424*")-SUMIFS(E1635:E6462,K1635:K6462,"0",B1635:B6462,"5 1 1 3 1 12 31111 6 M59 50000 000223 0000E 00001 00131 015 2111100 2024 CP1DA424*")</f>
        <v>0</v>
      </c>
      <c r="E1634" s="54"/>
      <c r="F1634" s="83">
        <f>SUMIFS(F1635:F6462,K1635:K6462,"0",B1635:B6462,"5 1 1 3 1 12 31111 6 M59 50000 000223 0000E 00001 00131 015 2111100 2024 CP1DA424*")</f>
        <v>15960</v>
      </c>
      <c r="G1634" s="83">
        <f>SUMIFS(G1635:G6462,K1635:K6462,"0",B1635:B6462,"5 1 1 3 1 12 31111 6 M59 50000 000223 0000E 00001 00131 015 2111100 2024 CP1DA424*")</f>
        <v>0</v>
      </c>
      <c r="H1634" s="83">
        <f t="shared" si="25"/>
        <v>15960</v>
      </c>
      <c r="I1634" s="83"/>
      <c r="K1634" s="54" t="s">
        <v>15</v>
      </c>
    </row>
    <row r="1635" spans="2:11" ht="41.25" x14ac:dyDescent="0.2">
      <c r="B1635" s="82" t="s">
        <v>3850</v>
      </c>
      <c r="C1635" s="82" t="s">
        <v>282</v>
      </c>
      <c r="D1635" s="83">
        <f>SUMIFS(D1636:D6462,K1636:K6462,"0",B1636:B6462,"5 1 1 3 1 12 31111 6 M59 50000 000223 0000E 00001 00131 015 2111100 2024 CP1DA424 001*")-SUMIFS(E1636:E6462,K1636:K6462,"0",B1636:B6462,"5 1 1 3 1 12 31111 6 M59 50000 000223 0000E 00001 00131 015 2111100 2024 CP1DA424 001*")</f>
        <v>0</v>
      </c>
      <c r="E1635" s="54"/>
      <c r="F1635" s="83">
        <f>SUMIFS(F1636:F6462,K1636:K6462,"0",B1636:B6462,"5 1 1 3 1 12 31111 6 M59 50000 000223 0000E 00001 00131 015 2111100 2024 CP1DA424 001*")</f>
        <v>15960</v>
      </c>
      <c r="G1635" s="83">
        <f>SUMIFS(G1636:G6462,K1636:K6462,"0",B1636:B6462,"5 1 1 3 1 12 31111 6 M59 50000 000223 0000E 00001 00131 015 2111100 2024 CP1DA424 001*")</f>
        <v>0</v>
      </c>
      <c r="H1635" s="83">
        <f t="shared" si="25"/>
        <v>15960</v>
      </c>
      <c r="I1635" s="83"/>
      <c r="K1635" s="54" t="s">
        <v>15</v>
      </c>
    </row>
    <row r="1636" spans="2:11" ht="33" x14ac:dyDescent="0.2">
      <c r="B1636" s="84" t="s">
        <v>3851</v>
      </c>
      <c r="C1636" s="84" t="s">
        <v>3785</v>
      </c>
      <c r="D1636" s="85">
        <v>0</v>
      </c>
      <c r="E1636" s="85"/>
      <c r="F1636" s="85">
        <v>15960</v>
      </c>
      <c r="G1636" s="85">
        <v>0</v>
      </c>
      <c r="H1636" s="85">
        <f t="shared" si="25"/>
        <v>15960</v>
      </c>
      <c r="I1636" s="85"/>
      <c r="K1636" s="54" t="s">
        <v>38</v>
      </c>
    </row>
    <row r="1637" spans="2:11" ht="16.5" x14ac:dyDescent="0.2">
      <c r="B1637" s="82" t="s">
        <v>3852</v>
      </c>
      <c r="C1637" s="82" t="s">
        <v>1269</v>
      </c>
      <c r="D1637" s="83">
        <f>SUMIFS(D1638:D6462,K1638:K6462,"0",B1638:B6462,"5 1 1 3 1 12 31111 6 M59 60100*")-SUMIFS(E1638:E6462,K1638:K6462,"0",B1638:B6462,"5 1 1 3 1 12 31111 6 M59 60100*")</f>
        <v>0</v>
      </c>
      <c r="E1637" s="54"/>
      <c r="F1637" s="83">
        <f>SUMIFS(F1638:F6462,K1638:K6462,"0",B1638:B6462,"5 1 1 3 1 12 31111 6 M59 60100*")</f>
        <v>6120</v>
      </c>
      <c r="G1637" s="83">
        <f>SUMIFS(G1638:G6462,K1638:K6462,"0",B1638:B6462,"5 1 1 3 1 12 31111 6 M59 60100*")</f>
        <v>0</v>
      </c>
      <c r="H1637" s="83">
        <f t="shared" si="25"/>
        <v>6120</v>
      </c>
      <c r="I1637" s="83"/>
      <c r="K1637" s="54" t="s">
        <v>15</v>
      </c>
    </row>
    <row r="1638" spans="2:11" ht="16.5" x14ac:dyDescent="0.2">
      <c r="B1638" s="82" t="s">
        <v>3853</v>
      </c>
      <c r="C1638" s="82" t="s">
        <v>648</v>
      </c>
      <c r="D1638" s="83">
        <f>SUMIFS(D1639:D6462,K1639:K6462,"0",B1639:B6462,"5 1 1 3 1 12 31111 6 M59 60100 000132*")-SUMIFS(E1639:E6462,K1639:K6462,"0",B1639:B6462,"5 1 1 3 1 12 31111 6 M59 60100 000132*")</f>
        <v>0</v>
      </c>
      <c r="E1638" s="54"/>
      <c r="F1638" s="83">
        <f>SUMIFS(F1639:F6462,K1639:K6462,"0",B1639:B6462,"5 1 1 3 1 12 31111 6 M59 60100 000132*")</f>
        <v>6120</v>
      </c>
      <c r="G1638" s="83">
        <f>SUMIFS(G1639:G6462,K1639:K6462,"0",B1639:B6462,"5 1 1 3 1 12 31111 6 M59 60100 000132*")</f>
        <v>0</v>
      </c>
      <c r="H1638" s="83">
        <f t="shared" si="25"/>
        <v>6120</v>
      </c>
      <c r="I1638" s="83"/>
      <c r="K1638" s="54" t="s">
        <v>15</v>
      </c>
    </row>
    <row r="1639" spans="2:11" ht="16.5" x14ac:dyDescent="0.2">
      <c r="B1639" s="82" t="s">
        <v>3854</v>
      </c>
      <c r="C1639" s="82" t="s">
        <v>650</v>
      </c>
      <c r="D1639" s="83">
        <f>SUMIFS(D1640:D6462,K1640:K6462,"0",B1640:B6462,"5 1 1 3 1 12 31111 6 M59 60100 000132 0000R*")-SUMIFS(E1640:E6462,K1640:K6462,"0",B1640:B6462,"5 1 1 3 1 12 31111 6 M59 60100 000132 0000R*")</f>
        <v>0</v>
      </c>
      <c r="E1639" s="54"/>
      <c r="F1639" s="83">
        <f>SUMIFS(F1640:F6462,K1640:K6462,"0",B1640:B6462,"5 1 1 3 1 12 31111 6 M59 60100 000132 0000R*")</f>
        <v>6120</v>
      </c>
      <c r="G1639" s="83">
        <f>SUMIFS(G1640:G6462,K1640:K6462,"0",B1640:B6462,"5 1 1 3 1 12 31111 6 M59 60100 000132 0000R*")</f>
        <v>0</v>
      </c>
      <c r="H1639" s="83">
        <f t="shared" si="25"/>
        <v>6120</v>
      </c>
      <c r="I1639" s="83"/>
      <c r="K1639" s="54" t="s">
        <v>15</v>
      </c>
    </row>
    <row r="1640" spans="2:11" ht="24.75" x14ac:dyDescent="0.2">
      <c r="B1640" s="82" t="s">
        <v>3855</v>
      </c>
      <c r="C1640" s="82" t="s">
        <v>282</v>
      </c>
      <c r="D1640" s="83">
        <f>SUMIFS(D1641:D6462,K1641:K6462,"0",B1641:B6462,"5 1 1 3 1 12 31111 6 M59 60100 000132 0000R 00001*")-SUMIFS(E1641:E6462,K1641:K6462,"0",B1641:B6462,"5 1 1 3 1 12 31111 6 M59 60100 000132 0000R 00001*")</f>
        <v>0</v>
      </c>
      <c r="E1640" s="54"/>
      <c r="F1640" s="83">
        <f>SUMIFS(F1641:F6462,K1641:K6462,"0",B1641:B6462,"5 1 1 3 1 12 31111 6 M59 60100 000132 0000R 00001*")</f>
        <v>6120</v>
      </c>
      <c r="G1640" s="83">
        <f>SUMIFS(G1641:G6462,K1641:K6462,"0",B1641:B6462,"5 1 1 3 1 12 31111 6 M59 60100 000132 0000R 00001*")</f>
        <v>0</v>
      </c>
      <c r="H1640" s="83">
        <f t="shared" si="25"/>
        <v>6120</v>
      </c>
      <c r="I1640" s="83"/>
      <c r="K1640" s="54" t="s">
        <v>15</v>
      </c>
    </row>
    <row r="1641" spans="2:11" ht="24.75" x14ac:dyDescent="0.2">
      <c r="B1641" s="82" t="s">
        <v>3856</v>
      </c>
      <c r="C1641" s="82" t="s">
        <v>3778</v>
      </c>
      <c r="D1641" s="83">
        <f>SUMIFS(D1642:D6462,K1642:K6462,"0",B1642:B6462,"5 1 1 3 1 12 31111 6 M59 60100 000132 0000R 00001 00131*")-SUMIFS(E1642:E6462,K1642:K6462,"0",B1642:B6462,"5 1 1 3 1 12 31111 6 M59 60100 000132 0000R 00001 00131*")</f>
        <v>0</v>
      </c>
      <c r="E1641" s="54"/>
      <c r="F1641" s="83">
        <f>SUMIFS(F1642:F6462,K1642:K6462,"0",B1642:B6462,"5 1 1 3 1 12 31111 6 M59 60100 000132 0000R 00001 00131*")</f>
        <v>6120</v>
      </c>
      <c r="G1641" s="83">
        <f>SUMIFS(G1642:G6462,K1642:K6462,"0",B1642:B6462,"5 1 1 3 1 12 31111 6 M59 60100 000132 0000R 00001 00131*")</f>
        <v>0</v>
      </c>
      <c r="H1641" s="83">
        <f t="shared" si="25"/>
        <v>6120</v>
      </c>
      <c r="I1641" s="83"/>
      <c r="K1641" s="54" t="s">
        <v>15</v>
      </c>
    </row>
    <row r="1642" spans="2:11" ht="24.75" x14ac:dyDescent="0.2">
      <c r="B1642" s="82" t="s">
        <v>3857</v>
      </c>
      <c r="C1642" s="82" t="s">
        <v>1051</v>
      </c>
      <c r="D1642" s="83">
        <f>SUMIFS(D1643:D6462,K1643:K6462,"0",B1643:B6462,"5 1 1 3 1 12 31111 6 M59 60100 000132 0000R 00001 00131 015*")-SUMIFS(E1643:E6462,K1643:K6462,"0",B1643:B6462,"5 1 1 3 1 12 31111 6 M59 60100 000132 0000R 00001 00131 015*")</f>
        <v>0</v>
      </c>
      <c r="E1642" s="54"/>
      <c r="F1642" s="83">
        <f>SUMIFS(F1643:F6462,K1643:K6462,"0",B1643:B6462,"5 1 1 3 1 12 31111 6 M59 60100 000132 0000R 00001 00131 015*")</f>
        <v>6120</v>
      </c>
      <c r="G1642" s="83">
        <f>SUMIFS(G1643:G6462,K1643:K6462,"0",B1643:B6462,"5 1 1 3 1 12 31111 6 M59 60100 000132 0000R 00001 00131 015*")</f>
        <v>0</v>
      </c>
      <c r="H1642" s="83">
        <f t="shared" si="25"/>
        <v>6120</v>
      </c>
      <c r="I1642" s="83"/>
      <c r="K1642" s="54" t="s">
        <v>15</v>
      </c>
    </row>
    <row r="1643" spans="2:11" ht="33" x14ac:dyDescent="0.2">
      <c r="B1643" s="82" t="s">
        <v>3858</v>
      </c>
      <c r="C1643" s="82" t="s">
        <v>2927</v>
      </c>
      <c r="D1643" s="83">
        <f>SUMIFS(D1644:D6462,K1644:K6462,"0",B1644:B6462,"5 1 1 3 1 12 31111 6 M59 60100 000132 0000R 00001 00131 015 2111100*")-SUMIFS(E1644:E6462,K1644:K6462,"0",B1644:B6462,"5 1 1 3 1 12 31111 6 M59 60100 000132 0000R 00001 00131 015 2111100*")</f>
        <v>0</v>
      </c>
      <c r="E1643" s="54"/>
      <c r="F1643" s="83">
        <f>SUMIFS(F1644:F6462,K1644:K6462,"0",B1644:B6462,"5 1 1 3 1 12 31111 6 M59 60100 000132 0000R 00001 00131 015 2111100*")</f>
        <v>6120</v>
      </c>
      <c r="G1643" s="83">
        <f>SUMIFS(G1644:G6462,K1644:K6462,"0",B1644:B6462,"5 1 1 3 1 12 31111 6 M59 60100 000132 0000R 00001 00131 015 2111100*")</f>
        <v>0</v>
      </c>
      <c r="H1643" s="83">
        <f t="shared" ref="H1643:H1706" si="26">D1643 + F1643 - G1643</f>
        <v>6120</v>
      </c>
      <c r="I1643" s="83"/>
      <c r="K1643" s="54" t="s">
        <v>15</v>
      </c>
    </row>
    <row r="1644" spans="2:11" ht="33" x14ac:dyDescent="0.2">
      <c r="B1644" s="82" t="s">
        <v>3859</v>
      </c>
      <c r="C1644" s="82" t="s">
        <v>660</v>
      </c>
      <c r="D1644" s="83">
        <f>SUMIFS(D1645:D6462,K1645:K6462,"0",B1645:B6462,"5 1 1 3 1 12 31111 6 M59 60100 000132 0000R 00001 00131 015 2111100 2024*")-SUMIFS(E1645:E6462,K1645:K6462,"0",B1645:B6462,"5 1 1 3 1 12 31111 6 M59 60100 000132 0000R 00001 00131 015 2111100 2024*")</f>
        <v>0</v>
      </c>
      <c r="E1644" s="54"/>
      <c r="F1644" s="83">
        <f>SUMIFS(F1645:F6462,K1645:K6462,"0",B1645:B6462,"5 1 1 3 1 12 31111 6 M59 60100 000132 0000R 00001 00131 015 2111100 2024*")</f>
        <v>6120</v>
      </c>
      <c r="G1644" s="83">
        <f>SUMIFS(G1645:G6462,K1645:K6462,"0",B1645:B6462,"5 1 1 3 1 12 31111 6 M59 60100 000132 0000R 00001 00131 015 2111100 2024*")</f>
        <v>0</v>
      </c>
      <c r="H1644" s="83">
        <f t="shared" si="26"/>
        <v>6120</v>
      </c>
      <c r="I1644" s="83"/>
      <c r="K1644" s="54" t="s">
        <v>15</v>
      </c>
    </row>
    <row r="1645" spans="2:11" ht="41.25" x14ac:dyDescent="0.2">
      <c r="B1645" s="82" t="s">
        <v>3860</v>
      </c>
      <c r="C1645" s="82" t="s">
        <v>1056</v>
      </c>
      <c r="D1645" s="83">
        <f>SUMIFS(D1646:D6462,K1646:K6462,"0",B1646:B6462,"5 1 1 3 1 12 31111 6 M59 60100 000132 0000R 00001 00131 015 2111100 2024 CP1DM394*")-SUMIFS(E1646:E6462,K1646:K6462,"0",B1646:B6462,"5 1 1 3 1 12 31111 6 M59 60100 000132 0000R 00001 00131 015 2111100 2024 CP1DM394*")</f>
        <v>0</v>
      </c>
      <c r="E1645" s="54"/>
      <c r="F1645" s="83">
        <f>SUMIFS(F1646:F6462,K1646:K6462,"0",B1646:B6462,"5 1 1 3 1 12 31111 6 M59 60100 000132 0000R 00001 00131 015 2111100 2024 CP1DM394*")</f>
        <v>6120</v>
      </c>
      <c r="G1645" s="83">
        <f>SUMIFS(G1646:G6462,K1646:K6462,"0",B1646:B6462,"5 1 1 3 1 12 31111 6 M59 60100 000132 0000R 00001 00131 015 2111100 2024 CP1DM394*")</f>
        <v>0</v>
      </c>
      <c r="H1645" s="83">
        <f t="shared" si="26"/>
        <v>6120</v>
      </c>
      <c r="I1645" s="83"/>
      <c r="K1645" s="54" t="s">
        <v>15</v>
      </c>
    </row>
    <row r="1646" spans="2:11" ht="41.25" x14ac:dyDescent="0.2">
      <c r="B1646" s="82" t="s">
        <v>3861</v>
      </c>
      <c r="C1646" s="82" t="s">
        <v>282</v>
      </c>
      <c r="D1646" s="83">
        <f>SUMIFS(D1647:D6462,K1647:K6462,"0",B1647:B6462,"5 1 1 3 1 12 31111 6 M59 60100 000132 0000R 00001 00131 015 2111100 2024 CP1DM394 001*")-SUMIFS(E1647:E6462,K1647:K6462,"0",B1647:B6462,"5 1 1 3 1 12 31111 6 M59 60100 000132 0000R 00001 00131 015 2111100 2024 CP1DM394 001*")</f>
        <v>0</v>
      </c>
      <c r="E1646" s="54"/>
      <c r="F1646" s="83">
        <f>SUMIFS(F1647:F6462,K1647:K6462,"0",B1647:B6462,"5 1 1 3 1 12 31111 6 M59 60100 000132 0000R 00001 00131 015 2111100 2024 CP1DM394 001*")</f>
        <v>6120</v>
      </c>
      <c r="G1646" s="83">
        <f>SUMIFS(G1647:G6462,K1647:K6462,"0",B1647:B6462,"5 1 1 3 1 12 31111 6 M59 60100 000132 0000R 00001 00131 015 2111100 2024 CP1DM394 001*")</f>
        <v>0</v>
      </c>
      <c r="H1646" s="83">
        <f t="shared" si="26"/>
        <v>6120</v>
      </c>
      <c r="I1646" s="83"/>
      <c r="K1646" s="54" t="s">
        <v>15</v>
      </c>
    </row>
    <row r="1647" spans="2:11" ht="33" x14ac:dyDescent="0.2">
      <c r="B1647" s="84" t="s">
        <v>3862</v>
      </c>
      <c r="C1647" s="84" t="s">
        <v>3768</v>
      </c>
      <c r="D1647" s="85">
        <v>0</v>
      </c>
      <c r="E1647" s="85"/>
      <c r="F1647" s="85">
        <v>5700</v>
      </c>
      <c r="G1647" s="85">
        <v>0</v>
      </c>
      <c r="H1647" s="85">
        <f t="shared" si="26"/>
        <v>5700</v>
      </c>
      <c r="I1647" s="85"/>
      <c r="K1647" s="54" t="s">
        <v>38</v>
      </c>
    </row>
    <row r="1648" spans="2:11" ht="33" x14ac:dyDescent="0.2">
      <c r="B1648" s="84" t="s">
        <v>3863</v>
      </c>
      <c r="C1648" s="84" t="s">
        <v>3785</v>
      </c>
      <c r="D1648" s="85">
        <v>0</v>
      </c>
      <c r="E1648" s="85"/>
      <c r="F1648" s="85">
        <v>420</v>
      </c>
      <c r="G1648" s="85">
        <v>0</v>
      </c>
      <c r="H1648" s="85">
        <f t="shared" si="26"/>
        <v>420</v>
      </c>
      <c r="I1648" s="85"/>
      <c r="K1648" s="54" t="s">
        <v>38</v>
      </c>
    </row>
    <row r="1649" spans="2:11" ht="16.5" x14ac:dyDescent="0.2">
      <c r="B1649" s="82" t="s">
        <v>3864</v>
      </c>
      <c r="C1649" s="82" t="s">
        <v>3341</v>
      </c>
      <c r="D1649" s="83">
        <f>SUMIFS(D1650:D6462,K1650:K6462,"0",B1650:B6462,"5 1 1 3 1 12 31111 6 M59 63000*")-SUMIFS(E1650:E6462,K1650:K6462,"0",B1650:B6462,"5 1 1 3 1 12 31111 6 M59 63000*")</f>
        <v>0</v>
      </c>
      <c r="E1649" s="54"/>
      <c r="F1649" s="83">
        <f>SUMIFS(F1650:F6462,K1650:K6462,"0",B1650:B6462,"5 1 1 3 1 12 31111 6 M59 63000*")</f>
        <v>4800</v>
      </c>
      <c r="G1649" s="83">
        <f>SUMIFS(G1650:G6462,K1650:K6462,"0",B1650:B6462,"5 1 1 3 1 12 31111 6 M59 63000*")</f>
        <v>0</v>
      </c>
      <c r="H1649" s="83">
        <f t="shared" si="26"/>
        <v>4800</v>
      </c>
      <c r="I1649" s="83"/>
      <c r="K1649" s="54" t="s">
        <v>15</v>
      </c>
    </row>
    <row r="1650" spans="2:11" ht="16.5" x14ac:dyDescent="0.2">
      <c r="B1650" s="82" t="s">
        <v>3865</v>
      </c>
      <c r="C1650" s="82" t="s">
        <v>648</v>
      </c>
      <c r="D1650" s="83">
        <f>SUMIFS(D1651:D6462,K1651:K6462,"0",B1651:B6462,"5 1 1 3 1 12 31111 6 M59 63000 000132*")-SUMIFS(E1651:E6462,K1651:K6462,"0",B1651:B6462,"5 1 1 3 1 12 31111 6 M59 63000 000132*")</f>
        <v>0</v>
      </c>
      <c r="E1650" s="54"/>
      <c r="F1650" s="83">
        <f>SUMIFS(F1651:F6462,K1651:K6462,"0",B1651:B6462,"5 1 1 3 1 12 31111 6 M59 63000 000132*")</f>
        <v>4800</v>
      </c>
      <c r="G1650" s="83">
        <f>SUMIFS(G1651:G6462,K1651:K6462,"0",B1651:B6462,"5 1 1 3 1 12 31111 6 M59 63000 000132*")</f>
        <v>0</v>
      </c>
      <c r="H1650" s="83">
        <f t="shared" si="26"/>
        <v>4800</v>
      </c>
      <c r="I1650" s="83"/>
      <c r="K1650" s="54" t="s">
        <v>15</v>
      </c>
    </row>
    <row r="1651" spans="2:11" ht="16.5" x14ac:dyDescent="0.2">
      <c r="B1651" s="82" t="s">
        <v>3866</v>
      </c>
      <c r="C1651" s="82" t="s">
        <v>650</v>
      </c>
      <c r="D1651" s="83">
        <f>SUMIFS(D1652:D6462,K1652:K6462,"0",B1652:B6462,"5 1 1 3 1 12 31111 6 M59 63000 000132 0000R*")-SUMIFS(E1652:E6462,K1652:K6462,"0",B1652:B6462,"5 1 1 3 1 12 31111 6 M59 63000 000132 0000R*")</f>
        <v>0</v>
      </c>
      <c r="E1651" s="54"/>
      <c r="F1651" s="83">
        <f>SUMIFS(F1652:F6462,K1652:K6462,"0",B1652:B6462,"5 1 1 3 1 12 31111 6 M59 63000 000132 0000R*")</f>
        <v>4800</v>
      </c>
      <c r="G1651" s="83">
        <f>SUMIFS(G1652:G6462,K1652:K6462,"0",B1652:B6462,"5 1 1 3 1 12 31111 6 M59 63000 000132 0000R*")</f>
        <v>0</v>
      </c>
      <c r="H1651" s="83">
        <f t="shared" si="26"/>
        <v>4800</v>
      </c>
      <c r="I1651" s="83"/>
      <c r="K1651" s="54" t="s">
        <v>15</v>
      </c>
    </row>
    <row r="1652" spans="2:11" ht="24.75" x14ac:dyDescent="0.2">
      <c r="B1652" s="82" t="s">
        <v>3867</v>
      </c>
      <c r="C1652" s="82" t="s">
        <v>282</v>
      </c>
      <c r="D1652" s="83">
        <f>SUMIFS(D1653:D6462,K1653:K6462,"0",B1653:B6462,"5 1 1 3 1 12 31111 6 M59 63000 000132 0000R 00001*")-SUMIFS(E1653:E6462,K1653:K6462,"0",B1653:B6462,"5 1 1 3 1 12 31111 6 M59 63000 000132 0000R 00001*")</f>
        <v>0</v>
      </c>
      <c r="E1652" s="54"/>
      <c r="F1652" s="83">
        <f>SUMIFS(F1653:F6462,K1653:K6462,"0",B1653:B6462,"5 1 1 3 1 12 31111 6 M59 63000 000132 0000R 00001*")</f>
        <v>4800</v>
      </c>
      <c r="G1652" s="83">
        <f>SUMIFS(G1653:G6462,K1653:K6462,"0",B1653:B6462,"5 1 1 3 1 12 31111 6 M59 63000 000132 0000R 00001*")</f>
        <v>0</v>
      </c>
      <c r="H1652" s="83">
        <f t="shared" si="26"/>
        <v>4800</v>
      </c>
      <c r="I1652" s="83"/>
      <c r="K1652" s="54" t="s">
        <v>15</v>
      </c>
    </row>
    <row r="1653" spans="2:11" ht="24.75" x14ac:dyDescent="0.2">
      <c r="B1653" s="82" t="s">
        <v>3868</v>
      </c>
      <c r="C1653" s="82" t="s">
        <v>3778</v>
      </c>
      <c r="D1653" s="83">
        <f>SUMIFS(D1654:D6462,K1654:K6462,"0",B1654:B6462,"5 1 1 3 1 12 31111 6 M59 63000 000132 0000R 00001 00131*")-SUMIFS(E1654:E6462,K1654:K6462,"0",B1654:B6462,"5 1 1 3 1 12 31111 6 M59 63000 000132 0000R 00001 00131*")</f>
        <v>0</v>
      </c>
      <c r="E1653" s="54"/>
      <c r="F1653" s="83">
        <f>SUMIFS(F1654:F6462,K1654:K6462,"0",B1654:B6462,"5 1 1 3 1 12 31111 6 M59 63000 000132 0000R 00001 00131*")</f>
        <v>4800</v>
      </c>
      <c r="G1653" s="83">
        <f>SUMIFS(G1654:G6462,K1654:K6462,"0",B1654:B6462,"5 1 1 3 1 12 31111 6 M59 63000 000132 0000R 00001 00131*")</f>
        <v>0</v>
      </c>
      <c r="H1653" s="83">
        <f t="shared" si="26"/>
        <v>4800</v>
      </c>
      <c r="I1653" s="83"/>
      <c r="K1653" s="54" t="s">
        <v>15</v>
      </c>
    </row>
    <row r="1654" spans="2:11" ht="24.75" x14ac:dyDescent="0.2">
      <c r="B1654" s="82" t="s">
        <v>3869</v>
      </c>
      <c r="C1654" s="82" t="s">
        <v>1051</v>
      </c>
      <c r="D1654" s="83">
        <f>SUMIFS(D1655:D6462,K1655:K6462,"0",B1655:B6462,"5 1 1 3 1 12 31111 6 M59 63000 000132 0000R 00001 00131 015*")-SUMIFS(E1655:E6462,K1655:K6462,"0",B1655:B6462,"5 1 1 3 1 12 31111 6 M59 63000 000132 0000R 00001 00131 015*")</f>
        <v>0</v>
      </c>
      <c r="E1654" s="54"/>
      <c r="F1654" s="83">
        <f>SUMIFS(F1655:F6462,K1655:K6462,"0",B1655:B6462,"5 1 1 3 1 12 31111 6 M59 63000 000132 0000R 00001 00131 015*")</f>
        <v>4800</v>
      </c>
      <c r="G1654" s="83">
        <f>SUMIFS(G1655:G6462,K1655:K6462,"0",B1655:B6462,"5 1 1 3 1 12 31111 6 M59 63000 000132 0000R 00001 00131 015*")</f>
        <v>0</v>
      </c>
      <c r="H1654" s="83">
        <f t="shared" si="26"/>
        <v>4800</v>
      </c>
      <c r="I1654" s="83"/>
      <c r="K1654" s="54" t="s">
        <v>15</v>
      </c>
    </row>
    <row r="1655" spans="2:11" ht="33" x14ac:dyDescent="0.2">
      <c r="B1655" s="82" t="s">
        <v>3870</v>
      </c>
      <c r="C1655" s="82" t="s">
        <v>2927</v>
      </c>
      <c r="D1655" s="83">
        <f>SUMIFS(D1656:D6462,K1656:K6462,"0",B1656:B6462,"5 1 1 3 1 12 31111 6 M59 63000 000132 0000R 00001 00131 015 2111100*")-SUMIFS(E1656:E6462,K1656:K6462,"0",B1656:B6462,"5 1 1 3 1 12 31111 6 M59 63000 000132 0000R 00001 00131 015 2111100*")</f>
        <v>0</v>
      </c>
      <c r="E1655" s="54"/>
      <c r="F1655" s="83">
        <f>SUMIFS(F1656:F6462,K1656:K6462,"0",B1656:B6462,"5 1 1 3 1 12 31111 6 M59 63000 000132 0000R 00001 00131 015 2111100*")</f>
        <v>4800</v>
      </c>
      <c r="G1655" s="83">
        <f>SUMIFS(G1656:G6462,K1656:K6462,"0",B1656:B6462,"5 1 1 3 1 12 31111 6 M59 63000 000132 0000R 00001 00131 015 2111100*")</f>
        <v>0</v>
      </c>
      <c r="H1655" s="83">
        <f t="shared" si="26"/>
        <v>4800</v>
      </c>
      <c r="I1655" s="83"/>
      <c r="K1655" s="54" t="s">
        <v>15</v>
      </c>
    </row>
    <row r="1656" spans="2:11" ht="33" x14ac:dyDescent="0.2">
      <c r="B1656" s="82" t="s">
        <v>3871</v>
      </c>
      <c r="C1656" s="82" t="s">
        <v>660</v>
      </c>
      <c r="D1656" s="83">
        <f>SUMIFS(D1657:D6462,K1657:K6462,"0",B1657:B6462,"5 1 1 3 1 12 31111 6 M59 63000 000132 0000R 00001 00131 015 2111100 2024*")-SUMIFS(E1657:E6462,K1657:K6462,"0",B1657:B6462,"5 1 1 3 1 12 31111 6 M59 63000 000132 0000R 00001 00131 015 2111100 2024*")</f>
        <v>0</v>
      </c>
      <c r="E1656" s="54"/>
      <c r="F1656" s="83">
        <f>SUMIFS(F1657:F6462,K1657:K6462,"0",B1657:B6462,"5 1 1 3 1 12 31111 6 M59 63000 000132 0000R 00001 00131 015 2111100 2024*")</f>
        <v>4800</v>
      </c>
      <c r="G1656" s="83">
        <f>SUMIFS(G1657:G6462,K1657:K6462,"0",B1657:B6462,"5 1 1 3 1 12 31111 6 M59 63000 000132 0000R 00001 00131 015 2111100 2024*")</f>
        <v>0</v>
      </c>
      <c r="H1656" s="83">
        <f t="shared" si="26"/>
        <v>4800</v>
      </c>
      <c r="I1656" s="83"/>
      <c r="K1656" s="54" t="s">
        <v>15</v>
      </c>
    </row>
    <row r="1657" spans="2:11" ht="41.25" x14ac:dyDescent="0.2">
      <c r="B1657" s="82" t="s">
        <v>3872</v>
      </c>
      <c r="C1657" s="82" t="s">
        <v>1056</v>
      </c>
      <c r="D1657" s="83">
        <f>SUMIFS(D1658:D6462,K1658:K6462,"0",B1658:B6462,"5 1 1 3 1 12 31111 6 M59 63000 000132 0000R 00001 00131 015 2111100 2024 CP1PR434*")-SUMIFS(E1658:E6462,K1658:K6462,"0",B1658:B6462,"5 1 1 3 1 12 31111 6 M59 63000 000132 0000R 00001 00131 015 2111100 2024 CP1PR434*")</f>
        <v>0</v>
      </c>
      <c r="E1657" s="54"/>
      <c r="F1657" s="83">
        <f>SUMIFS(F1658:F6462,K1658:K6462,"0",B1658:B6462,"5 1 1 3 1 12 31111 6 M59 63000 000132 0000R 00001 00131 015 2111100 2024 CP1PR434*")</f>
        <v>4800</v>
      </c>
      <c r="G1657" s="83">
        <f>SUMIFS(G1658:G6462,K1658:K6462,"0",B1658:B6462,"5 1 1 3 1 12 31111 6 M59 63000 000132 0000R 00001 00131 015 2111100 2024 CP1PR434*")</f>
        <v>0</v>
      </c>
      <c r="H1657" s="83">
        <f t="shared" si="26"/>
        <v>4800</v>
      </c>
      <c r="I1657" s="83"/>
      <c r="K1657" s="54" t="s">
        <v>15</v>
      </c>
    </row>
    <row r="1658" spans="2:11" ht="41.25" x14ac:dyDescent="0.2">
      <c r="B1658" s="82" t="s">
        <v>3873</v>
      </c>
      <c r="C1658" s="82" t="s">
        <v>282</v>
      </c>
      <c r="D1658" s="83">
        <f>SUMIFS(D1659:D6462,K1659:K6462,"0",B1659:B6462,"5 1 1 3 1 12 31111 6 M59 63000 000132 0000R 00001 00131 015 2111100 2024 CP1PR434 001*")-SUMIFS(E1659:E6462,K1659:K6462,"0",B1659:B6462,"5 1 1 3 1 12 31111 6 M59 63000 000132 0000R 00001 00131 015 2111100 2024 CP1PR434 001*")</f>
        <v>0</v>
      </c>
      <c r="E1658" s="54"/>
      <c r="F1658" s="83">
        <f>SUMIFS(F1659:F6462,K1659:K6462,"0",B1659:B6462,"5 1 1 3 1 12 31111 6 M59 63000 000132 0000R 00001 00131 015 2111100 2024 CP1PR434 001*")</f>
        <v>4800</v>
      </c>
      <c r="G1658" s="83">
        <f>SUMIFS(G1659:G6462,K1659:K6462,"0",B1659:B6462,"5 1 1 3 1 12 31111 6 M59 63000 000132 0000R 00001 00131 015 2111100 2024 CP1PR434 001*")</f>
        <v>0</v>
      </c>
      <c r="H1658" s="83">
        <f t="shared" si="26"/>
        <v>4800</v>
      </c>
      <c r="I1658" s="83"/>
      <c r="K1658" s="54" t="s">
        <v>15</v>
      </c>
    </row>
    <row r="1659" spans="2:11" ht="41.25" x14ac:dyDescent="0.2">
      <c r="B1659" s="84" t="s">
        <v>3874</v>
      </c>
      <c r="C1659" s="84" t="s">
        <v>3768</v>
      </c>
      <c r="D1659" s="85">
        <v>0</v>
      </c>
      <c r="E1659" s="85"/>
      <c r="F1659" s="85">
        <v>4800</v>
      </c>
      <c r="G1659" s="85">
        <v>0</v>
      </c>
      <c r="H1659" s="85">
        <f t="shared" si="26"/>
        <v>4800</v>
      </c>
      <c r="I1659" s="85"/>
      <c r="K1659" s="54" t="s">
        <v>38</v>
      </c>
    </row>
    <row r="1660" spans="2:11" ht="16.5" x14ac:dyDescent="0.2">
      <c r="B1660" s="82" t="s">
        <v>3875</v>
      </c>
      <c r="C1660" s="82" t="s">
        <v>3377</v>
      </c>
      <c r="D1660" s="83">
        <f>SUMIFS(D1661:D6462,K1661:K6462,"0",B1661:B6462,"5 1 1 3 1 12 31111 6 M59 70000*")-SUMIFS(E1661:E6462,K1661:K6462,"0",B1661:B6462,"5 1 1 3 1 12 31111 6 M59 70000*")</f>
        <v>0</v>
      </c>
      <c r="E1660" s="54"/>
      <c r="F1660" s="83">
        <f>SUMIFS(F1661:F6462,K1661:K6462,"0",B1661:B6462,"5 1 1 3 1 12 31111 6 M59 70000*")</f>
        <v>8050</v>
      </c>
      <c r="G1660" s="83">
        <f>SUMIFS(G1661:G6462,K1661:K6462,"0",B1661:B6462,"5 1 1 3 1 12 31111 6 M59 70000*")</f>
        <v>0</v>
      </c>
      <c r="H1660" s="83">
        <f t="shared" si="26"/>
        <v>8050</v>
      </c>
      <c r="I1660" s="83"/>
      <c r="K1660" s="54" t="s">
        <v>15</v>
      </c>
    </row>
    <row r="1661" spans="2:11" ht="16.5" x14ac:dyDescent="0.2">
      <c r="B1661" s="82" t="s">
        <v>3876</v>
      </c>
      <c r="C1661" s="82" t="s">
        <v>648</v>
      </c>
      <c r="D1661" s="83">
        <f>SUMIFS(D1662:D6462,K1662:K6462,"0",B1662:B6462,"5 1 1 3 1 12 31111 6 M59 70000 000132*")-SUMIFS(E1662:E6462,K1662:K6462,"0",B1662:B6462,"5 1 1 3 1 12 31111 6 M59 70000 000132*")</f>
        <v>0</v>
      </c>
      <c r="E1661" s="54"/>
      <c r="F1661" s="83">
        <f>SUMIFS(F1662:F6462,K1662:K6462,"0",B1662:B6462,"5 1 1 3 1 12 31111 6 M59 70000 000132*")</f>
        <v>8050</v>
      </c>
      <c r="G1661" s="83">
        <f>SUMIFS(G1662:G6462,K1662:K6462,"0",B1662:B6462,"5 1 1 3 1 12 31111 6 M59 70000 000132*")</f>
        <v>0</v>
      </c>
      <c r="H1661" s="83">
        <f t="shared" si="26"/>
        <v>8050</v>
      </c>
      <c r="I1661" s="83"/>
      <c r="K1661" s="54" t="s">
        <v>15</v>
      </c>
    </row>
    <row r="1662" spans="2:11" ht="16.5" x14ac:dyDescent="0.2">
      <c r="B1662" s="82" t="s">
        <v>3877</v>
      </c>
      <c r="C1662" s="82" t="s">
        <v>650</v>
      </c>
      <c r="D1662" s="83">
        <f>SUMIFS(D1663:D6462,K1663:K6462,"0",B1663:B6462,"5 1 1 3 1 12 31111 6 M59 70000 000132 0000R*")-SUMIFS(E1663:E6462,K1663:K6462,"0",B1663:B6462,"5 1 1 3 1 12 31111 6 M59 70000 000132 0000R*")</f>
        <v>0</v>
      </c>
      <c r="E1662" s="54"/>
      <c r="F1662" s="83">
        <f>SUMIFS(F1663:F6462,K1663:K6462,"0",B1663:B6462,"5 1 1 3 1 12 31111 6 M59 70000 000132 0000R*")</f>
        <v>8050</v>
      </c>
      <c r="G1662" s="83">
        <f>SUMIFS(G1663:G6462,K1663:K6462,"0",B1663:B6462,"5 1 1 3 1 12 31111 6 M59 70000 000132 0000R*")</f>
        <v>0</v>
      </c>
      <c r="H1662" s="83">
        <f t="shared" si="26"/>
        <v>8050</v>
      </c>
      <c r="I1662" s="83"/>
      <c r="K1662" s="54" t="s">
        <v>15</v>
      </c>
    </row>
    <row r="1663" spans="2:11" ht="24.75" x14ac:dyDescent="0.2">
      <c r="B1663" s="82" t="s">
        <v>3878</v>
      </c>
      <c r="C1663" s="82" t="s">
        <v>282</v>
      </c>
      <c r="D1663" s="83">
        <f>SUMIFS(D1664:D6462,K1664:K6462,"0",B1664:B6462,"5 1 1 3 1 12 31111 6 M59 70000 000132 0000R 00001*")-SUMIFS(E1664:E6462,K1664:K6462,"0",B1664:B6462,"5 1 1 3 1 12 31111 6 M59 70000 000132 0000R 00001*")</f>
        <v>0</v>
      </c>
      <c r="E1663" s="54"/>
      <c r="F1663" s="83">
        <f>SUMIFS(F1664:F6462,K1664:K6462,"0",B1664:B6462,"5 1 1 3 1 12 31111 6 M59 70000 000132 0000R 00001*")</f>
        <v>8050</v>
      </c>
      <c r="G1663" s="83">
        <f>SUMIFS(G1664:G6462,K1664:K6462,"0",B1664:B6462,"5 1 1 3 1 12 31111 6 M59 70000 000132 0000R 00001*")</f>
        <v>0</v>
      </c>
      <c r="H1663" s="83">
        <f t="shared" si="26"/>
        <v>8050</v>
      </c>
      <c r="I1663" s="83"/>
      <c r="K1663" s="54" t="s">
        <v>15</v>
      </c>
    </row>
    <row r="1664" spans="2:11" ht="24.75" x14ac:dyDescent="0.2">
      <c r="B1664" s="82" t="s">
        <v>3879</v>
      </c>
      <c r="C1664" s="82" t="s">
        <v>3778</v>
      </c>
      <c r="D1664" s="83">
        <f>SUMIFS(D1665:D6462,K1665:K6462,"0",B1665:B6462,"5 1 1 3 1 12 31111 6 M59 70000 000132 0000R 00001 00131*")-SUMIFS(E1665:E6462,K1665:K6462,"0",B1665:B6462,"5 1 1 3 1 12 31111 6 M59 70000 000132 0000R 00001 00131*")</f>
        <v>0</v>
      </c>
      <c r="E1664" s="54"/>
      <c r="F1664" s="83">
        <f>SUMIFS(F1665:F6462,K1665:K6462,"0",B1665:B6462,"5 1 1 3 1 12 31111 6 M59 70000 000132 0000R 00001 00131*")</f>
        <v>8050</v>
      </c>
      <c r="G1664" s="83">
        <f>SUMIFS(G1665:G6462,K1665:K6462,"0",B1665:B6462,"5 1 1 3 1 12 31111 6 M59 70000 000132 0000R 00001 00131*")</f>
        <v>0</v>
      </c>
      <c r="H1664" s="83">
        <f t="shared" si="26"/>
        <v>8050</v>
      </c>
      <c r="I1664" s="83"/>
      <c r="K1664" s="54" t="s">
        <v>15</v>
      </c>
    </row>
    <row r="1665" spans="2:11" ht="24.75" x14ac:dyDescent="0.2">
      <c r="B1665" s="82" t="s">
        <v>3880</v>
      </c>
      <c r="C1665" s="82" t="s">
        <v>1051</v>
      </c>
      <c r="D1665" s="83">
        <f>SUMIFS(D1666:D6462,K1666:K6462,"0",B1666:B6462,"5 1 1 3 1 12 31111 6 M59 70000 000132 0000R 00001 00131 015*")-SUMIFS(E1666:E6462,K1666:K6462,"0",B1666:B6462,"5 1 1 3 1 12 31111 6 M59 70000 000132 0000R 00001 00131 015*")</f>
        <v>0</v>
      </c>
      <c r="E1665" s="54"/>
      <c r="F1665" s="83">
        <f>SUMIFS(F1666:F6462,K1666:K6462,"0",B1666:B6462,"5 1 1 3 1 12 31111 6 M59 70000 000132 0000R 00001 00131 015*")</f>
        <v>8050</v>
      </c>
      <c r="G1665" s="83">
        <f>SUMIFS(G1666:G6462,K1666:K6462,"0",B1666:B6462,"5 1 1 3 1 12 31111 6 M59 70000 000132 0000R 00001 00131 015*")</f>
        <v>0</v>
      </c>
      <c r="H1665" s="83">
        <f t="shared" si="26"/>
        <v>8050</v>
      </c>
      <c r="I1665" s="83"/>
      <c r="K1665" s="54" t="s">
        <v>15</v>
      </c>
    </row>
    <row r="1666" spans="2:11" ht="33" x14ac:dyDescent="0.2">
      <c r="B1666" s="82" t="s">
        <v>3881</v>
      </c>
      <c r="C1666" s="82" t="s">
        <v>2927</v>
      </c>
      <c r="D1666" s="83">
        <f>SUMIFS(D1667:D6462,K1667:K6462,"0",B1667:B6462,"5 1 1 3 1 12 31111 6 M59 70000 000132 0000R 00001 00131 015 2111100*")-SUMIFS(E1667:E6462,K1667:K6462,"0",B1667:B6462,"5 1 1 3 1 12 31111 6 M59 70000 000132 0000R 00001 00131 015 2111100*")</f>
        <v>0</v>
      </c>
      <c r="E1666" s="54"/>
      <c r="F1666" s="83">
        <f>SUMIFS(F1667:F6462,K1667:K6462,"0",B1667:B6462,"5 1 1 3 1 12 31111 6 M59 70000 000132 0000R 00001 00131 015 2111100*")</f>
        <v>8050</v>
      </c>
      <c r="G1666" s="83">
        <f>SUMIFS(G1667:G6462,K1667:K6462,"0",B1667:B6462,"5 1 1 3 1 12 31111 6 M59 70000 000132 0000R 00001 00131 015 2111100*")</f>
        <v>0</v>
      </c>
      <c r="H1666" s="83">
        <f t="shared" si="26"/>
        <v>8050</v>
      </c>
      <c r="I1666" s="83"/>
      <c r="K1666" s="54" t="s">
        <v>15</v>
      </c>
    </row>
    <row r="1667" spans="2:11" ht="33" x14ac:dyDescent="0.2">
      <c r="B1667" s="82" t="s">
        <v>3882</v>
      </c>
      <c r="C1667" s="82" t="s">
        <v>660</v>
      </c>
      <c r="D1667" s="83">
        <f>SUMIFS(D1668:D6462,K1668:K6462,"0",B1668:B6462,"5 1 1 3 1 12 31111 6 M59 70000 000132 0000R 00001 00131 015 2111100 2024*")-SUMIFS(E1668:E6462,K1668:K6462,"0",B1668:B6462,"5 1 1 3 1 12 31111 6 M59 70000 000132 0000R 00001 00131 015 2111100 2024*")</f>
        <v>0</v>
      </c>
      <c r="E1667" s="54"/>
      <c r="F1667" s="83">
        <f>SUMIFS(F1668:F6462,K1668:K6462,"0",B1668:B6462,"5 1 1 3 1 12 31111 6 M59 70000 000132 0000R 00001 00131 015 2111100 2024*")</f>
        <v>8050</v>
      </c>
      <c r="G1667" s="83">
        <f>SUMIFS(G1668:G6462,K1668:K6462,"0",B1668:B6462,"5 1 1 3 1 12 31111 6 M59 70000 000132 0000R 00001 00131 015 2111100 2024*")</f>
        <v>0</v>
      </c>
      <c r="H1667" s="83">
        <f t="shared" si="26"/>
        <v>8050</v>
      </c>
      <c r="I1667" s="83"/>
      <c r="K1667" s="54" t="s">
        <v>15</v>
      </c>
    </row>
    <row r="1668" spans="2:11" ht="41.25" x14ac:dyDescent="0.2">
      <c r="B1668" s="82" t="s">
        <v>3883</v>
      </c>
      <c r="C1668" s="82" t="s">
        <v>1056</v>
      </c>
      <c r="D1668" s="83">
        <f>SUMIFS(D1669:D6462,K1669:K6462,"0",B1669:B6462,"5 1 1 3 1 12 31111 6 M59 70000 000132 0000R 00001 00131 015 2111100 2024 CP1DS387*")-SUMIFS(E1669:E6462,K1669:K6462,"0",B1669:B6462,"5 1 1 3 1 12 31111 6 M59 70000 000132 0000R 00001 00131 015 2111100 2024 CP1DS387*")</f>
        <v>0</v>
      </c>
      <c r="E1668" s="54"/>
      <c r="F1668" s="83">
        <f>SUMIFS(F1669:F6462,K1669:K6462,"0",B1669:B6462,"5 1 1 3 1 12 31111 6 M59 70000 000132 0000R 00001 00131 015 2111100 2024 CP1DS387*")</f>
        <v>8050</v>
      </c>
      <c r="G1668" s="83">
        <f>SUMIFS(G1669:G6462,K1669:K6462,"0",B1669:B6462,"5 1 1 3 1 12 31111 6 M59 70000 000132 0000R 00001 00131 015 2111100 2024 CP1DS387*")</f>
        <v>0</v>
      </c>
      <c r="H1668" s="83">
        <f t="shared" si="26"/>
        <v>8050</v>
      </c>
      <c r="I1668" s="83"/>
      <c r="K1668" s="54" t="s">
        <v>15</v>
      </c>
    </row>
    <row r="1669" spans="2:11" ht="41.25" x14ac:dyDescent="0.2">
      <c r="B1669" s="82" t="s">
        <v>3884</v>
      </c>
      <c r="C1669" s="82" t="s">
        <v>282</v>
      </c>
      <c r="D1669" s="83">
        <f>SUMIFS(D1670:D6462,K1670:K6462,"0",B1670:B6462,"5 1 1 3 1 12 31111 6 M59 70000 000132 0000R 00001 00131 015 2111100 2024 CP1DS387 001*")-SUMIFS(E1670:E6462,K1670:K6462,"0",B1670:B6462,"5 1 1 3 1 12 31111 6 M59 70000 000132 0000R 00001 00131 015 2111100 2024 CP1DS387 001*")</f>
        <v>0</v>
      </c>
      <c r="E1669" s="54"/>
      <c r="F1669" s="83">
        <f>SUMIFS(F1670:F6462,K1670:K6462,"0",B1670:B6462,"5 1 1 3 1 12 31111 6 M59 70000 000132 0000R 00001 00131 015 2111100 2024 CP1DS387 001*")</f>
        <v>8050</v>
      </c>
      <c r="G1669" s="83">
        <f>SUMIFS(G1670:G6462,K1670:K6462,"0",B1670:B6462,"5 1 1 3 1 12 31111 6 M59 70000 000132 0000R 00001 00131 015 2111100 2024 CP1DS387 001*")</f>
        <v>0</v>
      </c>
      <c r="H1669" s="83">
        <f t="shared" si="26"/>
        <v>8050</v>
      </c>
      <c r="I1669" s="83"/>
      <c r="K1669" s="54" t="s">
        <v>15</v>
      </c>
    </row>
    <row r="1670" spans="2:11" ht="33" x14ac:dyDescent="0.2">
      <c r="B1670" s="84" t="s">
        <v>3885</v>
      </c>
      <c r="C1670" s="84" t="s">
        <v>3785</v>
      </c>
      <c r="D1670" s="85">
        <v>0</v>
      </c>
      <c r="E1670" s="85"/>
      <c r="F1670" s="85">
        <v>8050</v>
      </c>
      <c r="G1670" s="85">
        <v>0</v>
      </c>
      <c r="H1670" s="85">
        <f t="shared" si="26"/>
        <v>8050</v>
      </c>
      <c r="I1670" s="85"/>
      <c r="K1670" s="54" t="s">
        <v>38</v>
      </c>
    </row>
    <row r="1671" spans="2:11" ht="16.5" x14ac:dyDescent="0.2">
      <c r="B1671" s="82" t="s">
        <v>3886</v>
      </c>
      <c r="C1671" s="82" t="s">
        <v>3389</v>
      </c>
      <c r="D1671" s="83">
        <f>SUMIFS(D1672:D6462,K1672:K6462,"0",B1672:B6462,"5 1 1 3 1 12 31111 6 M59 70100*")-SUMIFS(E1672:E6462,K1672:K6462,"0",B1672:B6462,"5 1 1 3 1 12 31111 6 M59 70100*")</f>
        <v>0</v>
      </c>
      <c r="E1671" s="54"/>
      <c r="F1671" s="83">
        <f>SUMIFS(F1672:F6462,K1672:K6462,"0",B1672:B6462,"5 1 1 3 1 12 31111 6 M59 70100*")</f>
        <v>8500</v>
      </c>
      <c r="G1671" s="83">
        <f>SUMIFS(G1672:G6462,K1672:K6462,"0",B1672:B6462,"5 1 1 3 1 12 31111 6 M59 70100*")</f>
        <v>0</v>
      </c>
      <c r="H1671" s="83">
        <f t="shared" si="26"/>
        <v>8500</v>
      </c>
      <c r="I1671" s="83"/>
      <c r="K1671" s="54" t="s">
        <v>15</v>
      </c>
    </row>
    <row r="1672" spans="2:11" ht="16.5" x14ac:dyDescent="0.2">
      <c r="B1672" s="82" t="s">
        <v>3887</v>
      </c>
      <c r="C1672" s="82" t="s">
        <v>648</v>
      </c>
      <c r="D1672" s="83">
        <f>SUMIFS(D1673:D6462,K1673:K6462,"0",B1673:B6462,"5 1 1 3 1 12 31111 6 M59 70100 000132*")-SUMIFS(E1673:E6462,K1673:K6462,"0",B1673:B6462,"5 1 1 3 1 12 31111 6 M59 70100 000132*")</f>
        <v>0</v>
      </c>
      <c r="E1672" s="54"/>
      <c r="F1672" s="83">
        <f>SUMIFS(F1673:F6462,K1673:K6462,"0",B1673:B6462,"5 1 1 3 1 12 31111 6 M59 70100 000132*")</f>
        <v>8500</v>
      </c>
      <c r="G1672" s="83">
        <f>SUMIFS(G1673:G6462,K1673:K6462,"0",B1673:B6462,"5 1 1 3 1 12 31111 6 M59 70100 000132*")</f>
        <v>0</v>
      </c>
      <c r="H1672" s="83">
        <f t="shared" si="26"/>
        <v>8500</v>
      </c>
      <c r="I1672" s="83"/>
      <c r="K1672" s="54" t="s">
        <v>15</v>
      </c>
    </row>
    <row r="1673" spans="2:11" ht="16.5" x14ac:dyDescent="0.2">
      <c r="B1673" s="82" t="s">
        <v>3888</v>
      </c>
      <c r="C1673" s="82" t="s">
        <v>650</v>
      </c>
      <c r="D1673" s="83">
        <f>SUMIFS(D1674:D6462,K1674:K6462,"0",B1674:B6462,"5 1 1 3 1 12 31111 6 M59 70100 000132 0000R*")-SUMIFS(E1674:E6462,K1674:K6462,"0",B1674:B6462,"5 1 1 3 1 12 31111 6 M59 70100 000132 0000R*")</f>
        <v>0</v>
      </c>
      <c r="E1673" s="54"/>
      <c r="F1673" s="83">
        <f>SUMIFS(F1674:F6462,K1674:K6462,"0",B1674:B6462,"5 1 1 3 1 12 31111 6 M59 70100 000132 0000R*")</f>
        <v>8500</v>
      </c>
      <c r="G1673" s="83">
        <f>SUMIFS(G1674:G6462,K1674:K6462,"0",B1674:B6462,"5 1 1 3 1 12 31111 6 M59 70100 000132 0000R*")</f>
        <v>0</v>
      </c>
      <c r="H1673" s="83">
        <f t="shared" si="26"/>
        <v>8500</v>
      </c>
      <c r="I1673" s="83"/>
      <c r="K1673" s="54" t="s">
        <v>15</v>
      </c>
    </row>
    <row r="1674" spans="2:11" ht="24.75" x14ac:dyDescent="0.2">
      <c r="B1674" s="82" t="s">
        <v>3889</v>
      </c>
      <c r="C1674" s="82" t="s">
        <v>282</v>
      </c>
      <c r="D1674" s="83">
        <f>SUMIFS(D1675:D6462,K1675:K6462,"0",B1675:B6462,"5 1 1 3 1 12 31111 6 M59 70100 000132 0000R 00001*")-SUMIFS(E1675:E6462,K1675:K6462,"0",B1675:B6462,"5 1 1 3 1 12 31111 6 M59 70100 000132 0000R 00001*")</f>
        <v>0</v>
      </c>
      <c r="E1674" s="54"/>
      <c r="F1674" s="83">
        <f>SUMIFS(F1675:F6462,K1675:K6462,"0",B1675:B6462,"5 1 1 3 1 12 31111 6 M59 70100 000132 0000R 00001*")</f>
        <v>8500</v>
      </c>
      <c r="G1674" s="83">
        <f>SUMIFS(G1675:G6462,K1675:K6462,"0",B1675:B6462,"5 1 1 3 1 12 31111 6 M59 70100 000132 0000R 00001*")</f>
        <v>0</v>
      </c>
      <c r="H1674" s="83">
        <f t="shared" si="26"/>
        <v>8500</v>
      </c>
      <c r="I1674" s="83"/>
      <c r="K1674" s="54" t="s">
        <v>15</v>
      </c>
    </row>
    <row r="1675" spans="2:11" ht="24.75" x14ac:dyDescent="0.2">
      <c r="B1675" s="82" t="s">
        <v>3890</v>
      </c>
      <c r="C1675" s="82" t="s">
        <v>3778</v>
      </c>
      <c r="D1675" s="83">
        <f>SUMIFS(D1676:D6462,K1676:K6462,"0",B1676:B6462,"5 1 1 3 1 12 31111 6 M59 70100 000132 0000R 00001 00131*")-SUMIFS(E1676:E6462,K1676:K6462,"0",B1676:B6462,"5 1 1 3 1 12 31111 6 M59 70100 000132 0000R 00001 00131*")</f>
        <v>0</v>
      </c>
      <c r="E1675" s="54"/>
      <c r="F1675" s="83">
        <f>SUMIFS(F1676:F6462,K1676:K6462,"0",B1676:B6462,"5 1 1 3 1 12 31111 6 M59 70100 000132 0000R 00001 00131*")</f>
        <v>8500</v>
      </c>
      <c r="G1675" s="83">
        <f>SUMIFS(G1676:G6462,K1676:K6462,"0",B1676:B6462,"5 1 1 3 1 12 31111 6 M59 70100 000132 0000R 00001 00131*")</f>
        <v>0</v>
      </c>
      <c r="H1675" s="83">
        <f t="shared" si="26"/>
        <v>8500</v>
      </c>
      <c r="I1675" s="83"/>
      <c r="K1675" s="54" t="s">
        <v>15</v>
      </c>
    </row>
    <row r="1676" spans="2:11" ht="24.75" x14ac:dyDescent="0.2">
      <c r="B1676" s="82" t="s">
        <v>3891</v>
      </c>
      <c r="C1676" s="82" t="s">
        <v>1051</v>
      </c>
      <c r="D1676" s="83">
        <f>SUMIFS(D1677:D6462,K1677:K6462,"0",B1677:B6462,"5 1 1 3 1 12 31111 6 M59 70100 000132 0000R 00001 00131 015*")-SUMIFS(E1677:E6462,K1677:K6462,"0",B1677:B6462,"5 1 1 3 1 12 31111 6 M59 70100 000132 0000R 00001 00131 015*")</f>
        <v>0</v>
      </c>
      <c r="E1676" s="54"/>
      <c r="F1676" s="83">
        <f>SUMIFS(F1677:F6462,K1677:K6462,"0",B1677:B6462,"5 1 1 3 1 12 31111 6 M59 70100 000132 0000R 00001 00131 015*")</f>
        <v>8500</v>
      </c>
      <c r="G1676" s="83">
        <f>SUMIFS(G1677:G6462,K1677:K6462,"0",B1677:B6462,"5 1 1 3 1 12 31111 6 M59 70100 000132 0000R 00001 00131 015*")</f>
        <v>0</v>
      </c>
      <c r="H1676" s="83">
        <f t="shared" si="26"/>
        <v>8500</v>
      </c>
      <c r="I1676" s="83"/>
      <c r="K1676" s="54" t="s">
        <v>15</v>
      </c>
    </row>
    <row r="1677" spans="2:11" ht="33" x14ac:dyDescent="0.2">
      <c r="B1677" s="82" t="s">
        <v>3892</v>
      </c>
      <c r="C1677" s="82" t="s">
        <v>2927</v>
      </c>
      <c r="D1677" s="83">
        <f>SUMIFS(D1678:D6462,K1678:K6462,"0",B1678:B6462,"5 1 1 3 1 12 31111 6 M59 70100 000132 0000R 00001 00131 015 2111100*")-SUMIFS(E1678:E6462,K1678:K6462,"0",B1678:B6462,"5 1 1 3 1 12 31111 6 M59 70100 000132 0000R 00001 00131 015 2111100*")</f>
        <v>0</v>
      </c>
      <c r="E1677" s="54"/>
      <c r="F1677" s="83">
        <f>SUMIFS(F1678:F6462,K1678:K6462,"0",B1678:B6462,"5 1 1 3 1 12 31111 6 M59 70100 000132 0000R 00001 00131 015 2111100*")</f>
        <v>8500</v>
      </c>
      <c r="G1677" s="83">
        <f>SUMIFS(G1678:G6462,K1678:K6462,"0",B1678:B6462,"5 1 1 3 1 12 31111 6 M59 70100 000132 0000R 00001 00131 015 2111100*")</f>
        <v>0</v>
      </c>
      <c r="H1677" s="83">
        <f t="shared" si="26"/>
        <v>8500</v>
      </c>
      <c r="I1677" s="83"/>
      <c r="K1677" s="54" t="s">
        <v>15</v>
      </c>
    </row>
    <row r="1678" spans="2:11" ht="33" x14ac:dyDescent="0.2">
      <c r="B1678" s="82" t="s">
        <v>3893</v>
      </c>
      <c r="C1678" s="82" t="s">
        <v>660</v>
      </c>
      <c r="D1678" s="83">
        <f>SUMIFS(D1679:D6462,K1679:K6462,"0",B1679:B6462,"5 1 1 3 1 12 31111 6 M59 70100 000132 0000R 00001 00131 015 2111100 2024*")-SUMIFS(E1679:E6462,K1679:K6462,"0",B1679:B6462,"5 1 1 3 1 12 31111 6 M59 70100 000132 0000R 00001 00131 015 2111100 2024*")</f>
        <v>0</v>
      </c>
      <c r="E1678" s="54"/>
      <c r="F1678" s="83">
        <f>SUMIFS(F1679:F6462,K1679:K6462,"0",B1679:B6462,"5 1 1 3 1 12 31111 6 M59 70100 000132 0000R 00001 00131 015 2111100 2024*")</f>
        <v>8500</v>
      </c>
      <c r="G1678" s="83">
        <f>SUMIFS(G1679:G6462,K1679:K6462,"0",B1679:B6462,"5 1 1 3 1 12 31111 6 M59 70100 000132 0000R 00001 00131 015 2111100 2024*")</f>
        <v>0</v>
      </c>
      <c r="H1678" s="83">
        <f t="shared" si="26"/>
        <v>8500</v>
      </c>
      <c r="I1678" s="83"/>
      <c r="K1678" s="54" t="s">
        <v>15</v>
      </c>
    </row>
    <row r="1679" spans="2:11" ht="41.25" x14ac:dyDescent="0.2">
      <c r="B1679" s="82" t="s">
        <v>3894</v>
      </c>
      <c r="C1679" s="82" t="s">
        <v>1056</v>
      </c>
      <c r="D1679" s="83">
        <f>SUMIFS(D1680:D6462,K1680:K6462,"0",B1680:B6462,"5 1 1 3 1 12 31111 6 M59 70100 000132 0000R 00001 00131 015 2111100 2024 CP1MM393*")-SUMIFS(E1680:E6462,K1680:K6462,"0",B1680:B6462,"5 1 1 3 1 12 31111 6 M59 70100 000132 0000R 00001 00131 015 2111100 2024 CP1MM393*")</f>
        <v>0</v>
      </c>
      <c r="E1679" s="54"/>
      <c r="F1679" s="83">
        <f>SUMIFS(F1680:F6462,K1680:K6462,"0",B1680:B6462,"5 1 1 3 1 12 31111 6 M59 70100 000132 0000R 00001 00131 015 2111100 2024 CP1MM393*")</f>
        <v>8500</v>
      </c>
      <c r="G1679" s="83">
        <f>SUMIFS(G1680:G6462,K1680:K6462,"0",B1680:B6462,"5 1 1 3 1 12 31111 6 M59 70100 000132 0000R 00001 00131 015 2111100 2024 CP1MM393*")</f>
        <v>0</v>
      </c>
      <c r="H1679" s="83">
        <f t="shared" si="26"/>
        <v>8500</v>
      </c>
      <c r="I1679" s="83"/>
      <c r="K1679" s="54" t="s">
        <v>15</v>
      </c>
    </row>
    <row r="1680" spans="2:11" ht="41.25" x14ac:dyDescent="0.2">
      <c r="B1680" s="82" t="s">
        <v>3895</v>
      </c>
      <c r="C1680" s="82" t="s">
        <v>282</v>
      </c>
      <c r="D1680" s="83">
        <f>SUMIFS(D1681:D6462,K1681:K6462,"0",B1681:B6462,"5 1 1 3 1 12 31111 6 M59 70100 000132 0000R 00001 00131 015 2111100 2024 CP1MM393 001*")-SUMIFS(E1681:E6462,K1681:K6462,"0",B1681:B6462,"5 1 1 3 1 12 31111 6 M59 70100 000132 0000R 00001 00131 015 2111100 2024 CP1MM393 001*")</f>
        <v>0</v>
      </c>
      <c r="E1680" s="54"/>
      <c r="F1680" s="83">
        <f>SUMIFS(F1681:F6462,K1681:K6462,"0",B1681:B6462,"5 1 1 3 1 12 31111 6 M59 70100 000132 0000R 00001 00131 015 2111100 2024 CP1MM393 001*")</f>
        <v>8500</v>
      </c>
      <c r="G1680" s="83">
        <f>SUMIFS(G1681:G6462,K1681:K6462,"0",B1681:B6462,"5 1 1 3 1 12 31111 6 M59 70100 000132 0000R 00001 00131 015 2111100 2024 CP1MM393 001*")</f>
        <v>0</v>
      </c>
      <c r="H1680" s="83">
        <f t="shared" si="26"/>
        <v>8500</v>
      </c>
      <c r="I1680" s="83"/>
      <c r="K1680" s="54" t="s">
        <v>15</v>
      </c>
    </row>
    <row r="1681" spans="2:11" ht="33" x14ac:dyDescent="0.2">
      <c r="B1681" s="84" t="s">
        <v>3896</v>
      </c>
      <c r="C1681" s="84" t="s">
        <v>3785</v>
      </c>
      <c r="D1681" s="85">
        <v>0</v>
      </c>
      <c r="E1681" s="85"/>
      <c r="F1681" s="85">
        <v>8500</v>
      </c>
      <c r="G1681" s="85">
        <v>0</v>
      </c>
      <c r="H1681" s="85">
        <f t="shared" si="26"/>
        <v>8500</v>
      </c>
      <c r="I1681" s="85"/>
      <c r="K1681" s="54" t="s">
        <v>38</v>
      </c>
    </row>
    <row r="1682" spans="2:11" ht="16.5" x14ac:dyDescent="0.2">
      <c r="B1682" s="82" t="s">
        <v>3897</v>
      </c>
      <c r="C1682" s="82" t="s">
        <v>3474</v>
      </c>
      <c r="D1682" s="83">
        <f>SUMIFS(D1683:D6462,K1683:K6462,"0",B1683:B6462,"5 1 1 3 1 12 31111 6 M59 70800*")-SUMIFS(E1683:E6462,K1683:K6462,"0",B1683:B6462,"5 1 1 3 1 12 31111 6 M59 70800*")</f>
        <v>0</v>
      </c>
      <c r="E1682" s="54"/>
      <c r="F1682" s="83">
        <f>SUMIFS(F1683:F6462,K1683:K6462,"0",B1683:B6462,"5 1 1 3 1 12 31111 6 M59 70800*")</f>
        <v>280</v>
      </c>
      <c r="G1682" s="83">
        <f>SUMIFS(G1683:G6462,K1683:K6462,"0",B1683:B6462,"5 1 1 3 1 12 31111 6 M59 70800*")</f>
        <v>0</v>
      </c>
      <c r="H1682" s="83">
        <f t="shared" si="26"/>
        <v>280</v>
      </c>
      <c r="I1682" s="83"/>
      <c r="K1682" s="54" t="s">
        <v>15</v>
      </c>
    </row>
    <row r="1683" spans="2:11" ht="16.5" x14ac:dyDescent="0.2">
      <c r="B1683" s="82" t="s">
        <v>3898</v>
      </c>
      <c r="C1683" s="82" t="s">
        <v>648</v>
      </c>
      <c r="D1683" s="83">
        <f>SUMIFS(D1684:D6462,K1684:K6462,"0",B1684:B6462,"5 1 1 3 1 12 31111 6 M59 70800 000132*")-SUMIFS(E1684:E6462,K1684:K6462,"0",B1684:B6462,"5 1 1 3 1 12 31111 6 M59 70800 000132*")</f>
        <v>0</v>
      </c>
      <c r="E1683" s="54"/>
      <c r="F1683" s="83">
        <f>SUMIFS(F1684:F6462,K1684:K6462,"0",B1684:B6462,"5 1 1 3 1 12 31111 6 M59 70800 000132*")</f>
        <v>280</v>
      </c>
      <c r="G1683" s="83">
        <f>SUMIFS(G1684:G6462,K1684:K6462,"0",B1684:B6462,"5 1 1 3 1 12 31111 6 M59 70800 000132*")</f>
        <v>0</v>
      </c>
      <c r="H1683" s="83">
        <f t="shared" si="26"/>
        <v>280</v>
      </c>
      <c r="I1683" s="83"/>
      <c r="K1683" s="54" t="s">
        <v>15</v>
      </c>
    </row>
    <row r="1684" spans="2:11" ht="16.5" x14ac:dyDescent="0.2">
      <c r="B1684" s="82" t="s">
        <v>3899</v>
      </c>
      <c r="C1684" s="82" t="s">
        <v>650</v>
      </c>
      <c r="D1684" s="83">
        <f>SUMIFS(D1685:D6462,K1685:K6462,"0",B1685:B6462,"5 1 1 3 1 12 31111 6 M59 70800 000132 0000R*")-SUMIFS(E1685:E6462,K1685:K6462,"0",B1685:B6462,"5 1 1 3 1 12 31111 6 M59 70800 000132 0000R*")</f>
        <v>0</v>
      </c>
      <c r="E1684" s="54"/>
      <c r="F1684" s="83">
        <f>SUMIFS(F1685:F6462,K1685:K6462,"0",B1685:B6462,"5 1 1 3 1 12 31111 6 M59 70800 000132 0000R*")</f>
        <v>280</v>
      </c>
      <c r="G1684" s="83">
        <f>SUMIFS(G1685:G6462,K1685:K6462,"0",B1685:B6462,"5 1 1 3 1 12 31111 6 M59 70800 000132 0000R*")</f>
        <v>0</v>
      </c>
      <c r="H1684" s="83">
        <f t="shared" si="26"/>
        <v>280</v>
      </c>
      <c r="I1684" s="83"/>
      <c r="K1684" s="54" t="s">
        <v>15</v>
      </c>
    </row>
    <row r="1685" spans="2:11" ht="24.75" x14ac:dyDescent="0.2">
      <c r="B1685" s="82" t="s">
        <v>3900</v>
      </c>
      <c r="C1685" s="82" t="s">
        <v>282</v>
      </c>
      <c r="D1685" s="83">
        <f>SUMIFS(D1686:D6462,K1686:K6462,"0",B1686:B6462,"5 1 1 3 1 12 31111 6 M59 70800 000132 0000R 00001*")-SUMIFS(E1686:E6462,K1686:K6462,"0",B1686:B6462,"5 1 1 3 1 12 31111 6 M59 70800 000132 0000R 00001*")</f>
        <v>0</v>
      </c>
      <c r="E1685" s="54"/>
      <c r="F1685" s="83">
        <f>SUMIFS(F1686:F6462,K1686:K6462,"0",B1686:B6462,"5 1 1 3 1 12 31111 6 M59 70800 000132 0000R 00001*")</f>
        <v>280</v>
      </c>
      <c r="G1685" s="83">
        <f>SUMIFS(G1686:G6462,K1686:K6462,"0",B1686:B6462,"5 1 1 3 1 12 31111 6 M59 70800 000132 0000R 00001*")</f>
        <v>0</v>
      </c>
      <c r="H1685" s="83">
        <f t="shared" si="26"/>
        <v>280</v>
      </c>
      <c r="I1685" s="83"/>
      <c r="K1685" s="54" t="s">
        <v>15</v>
      </c>
    </row>
    <row r="1686" spans="2:11" ht="24.75" x14ac:dyDescent="0.2">
      <c r="B1686" s="82" t="s">
        <v>3901</v>
      </c>
      <c r="C1686" s="82" t="s">
        <v>3778</v>
      </c>
      <c r="D1686" s="83">
        <f>SUMIFS(D1687:D6462,K1687:K6462,"0",B1687:B6462,"5 1 1 3 1 12 31111 6 M59 70800 000132 0000R 00001 00131*")-SUMIFS(E1687:E6462,K1687:K6462,"0",B1687:B6462,"5 1 1 3 1 12 31111 6 M59 70800 000132 0000R 00001 00131*")</f>
        <v>0</v>
      </c>
      <c r="E1686" s="54"/>
      <c r="F1686" s="83">
        <f>SUMIFS(F1687:F6462,K1687:K6462,"0",B1687:B6462,"5 1 1 3 1 12 31111 6 M59 70800 000132 0000R 00001 00131*")</f>
        <v>280</v>
      </c>
      <c r="G1686" s="83">
        <f>SUMIFS(G1687:G6462,K1687:K6462,"0",B1687:B6462,"5 1 1 3 1 12 31111 6 M59 70800 000132 0000R 00001 00131*")</f>
        <v>0</v>
      </c>
      <c r="H1686" s="83">
        <f t="shared" si="26"/>
        <v>280</v>
      </c>
      <c r="I1686" s="83"/>
      <c r="K1686" s="54" t="s">
        <v>15</v>
      </c>
    </row>
    <row r="1687" spans="2:11" ht="24.75" x14ac:dyDescent="0.2">
      <c r="B1687" s="82" t="s">
        <v>3902</v>
      </c>
      <c r="C1687" s="82" t="s">
        <v>1051</v>
      </c>
      <c r="D1687" s="83">
        <f>SUMIFS(D1688:D6462,K1688:K6462,"0",B1688:B6462,"5 1 1 3 1 12 31111 6 M59 70800 000132 0000R 00001 00131 015*")-SUMIFS(E1688:E6462,K1688:K6462,"0",B1688:B6462,"5 1 1 3 1 12 31111 6 M59 70800 000132 0000R 00001 00131 015*")</f>
        <v>0</v>
      </c>
      <c r="E1687" s="54"/>
      <c r="F1687" s="83">
        <f>SUMIFS(F1688:F6462,K1688:K6462,"0",B1688:B6462,"5 1 1 3 1 12 31111 6 M59 70800 000132 0000R 00001 00131 015*")</f>
        <v>280</v>
      </c>
      <c r="G1687" s="83">
        <f>SUMIFS(G1688:G6462,K1688:K6462,"0",B1688:B6462,"5 1 1 3 1 12 31111 6 M59 70800 000132 0000R 00001 00131 015*")</f>
        <v>0</v>
      </c>
      <c r="H1687" s="83">
        <f t="shared" si="26"/>
        <v>280</v>
      </c>
      <c r="I1687" s="83"/>
      <c r="K1687" s="54" t="s">
        <v>15</v>
      </c>
    </row>
    <row r="1688" spans="2:11" ht="33" x14ac:dyDescent="0.2">
      <c r="B1688" s="82" t="s">
        <v>3903</v>
      </c>
      <c r="C1688" s="82" t="s">
        <v>2927</v>
      </c>
      <c r="D1688" s="83">
        <f>SUMIFS(D1689:D6462,K1689:K6462,"0",B1689:B6462,"5 1 1 3 1 12 31111 6 M59 70800 000132 0000R 00001 00131 015 2111100*")-SUMIFS(E1689:E6462,K1689:K6462,"0",B1689:B6462,"5 1 1 3 1 12 31111 6 M59 70800 000132 0000R 00001 00131 015 2111100*")</f>
        <v>0</v>
      </c>
      <c r="E1688" s="54"/>
      <c r="F1688" s="83">
        <f>SUMIFS(F1689:F6462,K1689:K6462,"0",B1689:B6462,"5 1 1 3 1 12 31111 6 M59 70800 000132 0000R 00001 00131 015 2111100*")</f>
        <v>280</v>
      </c>
      <c r="G1688" s="83">
        <f>SUMIFS(G1689:G6462,K1689:K6462,"0",B1689:B6462,"5 1 1 3 1 12 31111 6 M59 70800 000132 0000R 00001 00131 015 2111100*")</f>
        <v>0</v>
      </c>
      <c r="H1688" s="83">
        <f t="shared" si="26"/>
        <v>280</v>
      </c>
      <c r="I1688" s="83"/>
      <c r="K1688" s="54" t="s">
        <v>15</v>
      </c>
    </row>
    <row r="1689" spans="2:11" ht="33" x14ac:dyDescent="0.2">
      <c r="B1689" s="82" t="s">
        <v>3904</v>
      </c>
      <c r="C1689" s="82" t="s">
        <v>660</v>
      </c>
      <c r="D1689" s="83">
        <f>SUMIFS(D1690:D6462,K1690:K6462,"0",B1690:B6462,"5 1 1 3 1 12 31111 6 M59 70800 000132 0000R 00001 00131 015 2111100 2024*")-SUMIFS(E1690:E6462,K1690:K6462,"0",B1690:B6462,"5 1 1 3 1 12 31111 6 M59 70800 000132 0000R 00001 00131 015 2111100 2024*")</f>
        <v>0</v>
      </c>
      <c r="E1689" s="54"/>
      <c r="F1689" s="83">
        <f>SUMIFS(F1690:F6462,K1690:K6462,"0",B1690:B6462,"5 1 1 3 1 12 31111 6 M59 70800 000132 0000R 00001 00131 015 2111100 2024*")</f>
        <v>280</v>
      </c>
      <c r="G1689" s="83">
        <f>SUMIFS(G1690:G6462,K1690:K6462,"0",B1690:B6462,"5 1 1 3 1 12 31111 6 M59 70800 000132 0000R 00001 00131 015 2111100 2024*")</f>
        <v>0</v>
      </c>
      <c r="H1689" s="83">
        <f t="shared" si="26"/>
        <v>280</v>
      </c>
      <c r="I1689" s="83"/>
      <c r="K1689" s="54" t="s">
        <v>15</v>
      </c>
    </row>
    <row r="1690" spans="2:11" ht="41.25" x14ac:dyDescent="0.2">
      <c r="B1690" s="82" t="s">
        <v>3905</v>
      </c>
      <c r="C1690" s="82" t="s">
        <v>662</v>
      </c>
      <c r="D1690" s="83">
        <f>SUMIFS(D1691:D6462,K1691:K6462,"0",B1691:B6462,"5 1 1 3 1 12 31111 6 M59 70800 000132 0000R 00001 00131 015 2111100 2024 CP1ED416*")-SUMIFS(E1691:E6462,K1691:K6462,"0",B1691:B6462,"5 1 1 3 1 12 31111 6 M59 70800 000132 0000R 00001 00131 015 2111100 2024 CP1ED416*")</f>
        <v>0</v>
      </c>
      <c r="E1690" s="54"/>
      <c r="F1690" s="83">
        <f>SUMIFS(F1691:F6462,K1691:K6462,"0",B1691:B6462,"5 1 1 3 1 12 31111 6 M59 70800 000132 0000R 00001 00131 015 2111100 2024 CP1ED416*")</f>
        <v>280</v>
      </c>
      <c r="G1690" s="83">
        <f>SUMIFS(G1691:G6462,K1691:K6462,"0",B1691:B6462,"5 1 1 3 1 12 31111 6 M59 70800 000132 0000R 00001 00131 015 2111100 2024 CP1ED416*")</f>
        <v>0</v>
      </c>
      <c r="H1690" s="83">
        <f t="shared" si="26"/>
        <v>280</v>
      </c>
      <c r="I1690" s="83"/>
      <c r="K1690" s="54" t="s">
        <v>15</v>
      </c>
    </row>
    <row r="1691" spans="2:11" ht="41.25" x14ac:dyDescent="0.2">
      <c r="B1691" s="82" t="s">
        <v>3906</v>
      </c>
      <c r="C1691" s="82" t="s">
        <v>282</v>
      </c>
      <c r="D1691" s="83">
        <f>SUMIFS(D1692:D6462,K1692:K6462,"0",B1692:B6462,"5 1 1 3 1 12 31111 6 M59 70800 000132 0000R 00001 00131 015 2111100 2024 CP1ED416 001*")-SUMIFS(E1692:E6462,K1692:K6462,"0",B1692:B6462,"5 1 1 3 1 12 31111 6 M59 70800 000132 0000R 00001 00131 015 2111100 2024 CP1ED416 001*")</f>
        <v>0</v>
      </c>
      <c r="E1691" s="54"/>
      <c r="F1691" s="83">
        <f>SUMIFS(F1692:F6462,K1692:K6462,"0",B1692:B6462,"5 1 1 3 1 12 31111 6 M59 70800 000132 0000R 00001 00131 015 2111100 2024 CP1ED416 001*")</f>
        <v>280</v>
      </c>
      <c r="G1691" s="83">
        <f>SUMIFS(G1692:G6462,K1692:K6462,"0",B1692:B6462,"5 1 1 3 1 12 31111 6 M59 70800 000132 0000R 00001 00131 015 2111100 2024 CP1ED416 001*")</f>
        <v>0</v>
      </c>
      <c r="H1691" s="83">
        <f t="shared" si="26"/>
        <v>280</v>
      </c>
      <c r="I1691" s="83"/>
      <c r="K1691" s="54" t="s">
        <v>15</v>
      </c>
    </row>
    <row r="1692" spans="2:11" ht="33" x14ac:dyDescent="0.2">
      <c r="B1692" s="84" t="s">
        <v>3907</v>
      </c>
      <c r="C1692" s="84" t="s">
        <v>3785</v>
      </c>
      <c r="D1692" s="85">
        <v>0</v>
      </c>
      <c r="E1692" s="85"/>
      <c r="F1692" s="85">
        <v>280</v>
      </c>
      <c r="G1692" s="85">
        <v>0</v>
      </c>
      <c r="H1692" s="85">
        <f t="shared" si="26"/>
        <v>280</v>
      </c>
      <c r="I1692" s="85"/>
      <c r="K1692" s="54" t="s">
        <v>38</v>
      </c>
    </row>
    <row r="1693" spans="2:11" ht="16.5" x14ac:dyDescent="0.2">
      <c r="B1693" s="82" t="s">
        <v>3908</v>
      </c>
      <c r="C1693" s="82" t="s">
        <v>3559</v>
      </c>
      <c r="D1693" s="83">
        <f>SUMIFS(D1694:D6462,K1694:K6462,"0",B1694:B6462,"5 1 1 3 1 12 31111 6 M59 80400*")-SUMIFS(E1694:E6462,K1694:K6462,"0",B1694:B6462,"5 1 1 3 1 12 31111 6 M59 80400*")</f>
        <v>0</v>
      </c>
      <c r="E1693" s="54"/>
      <c r="F1693" s="83">
        <f>SUMIFS(F1694:F6462,K1694:K6462,"0",B1694:B6462,"5 1 1 3 1 12 31111 6 M59 80400*")</f>
        <v>490</v>
      </c>
      <c r="G1693" s="83">
        <f>SUMIFS(G1694:G6462,K1694:K6462,"0",B1694:B6462,"5 1 1 3 1 12 31111 6 M59 80400*")</f>
        <v>0</v>
      </c>
      <c r="H1693" s="83">
        <f t="shared" si="26"/>
        <v>490</v>
      </c>
      <c r="I1693" s="83"/>
      <c r="K1693" s="54" t="s">
        <v>15</v>
      </c>
    </row>
    <row r="1694" spans="2:11" ht="16.5" x14ac:dyDescent="0.2">
      <c r="B1694" s="82" t="s">
        <v>3909</v>
      </c>
      <c r="C1694" s="82" t="s">
        <v>648</v>
      </c>
      <c r="D1694" s="83">
        <f>SUMIFS(D1695:D6462,K1695:K6462,"0",B1695:B6462,"5 1 1 3 1 12 31111 6 M59 80400 000132*")-SUMIFS(E1695:E6462,K1695:K6462,"0",B1695:B6462,"5 1 1 3 1 12 31111 6 M59 80400 000132*")</f>
        <v>0</v>
      </c>
      <c r="E1694" s="54"/>
      <c r="F1694" s="83">
        <f>SUMIFS(F1695:F6462,K1695:K6462,"0",B1695:B6462,"5 1 1 3 1 12 31111 6 M59 80400 000132*")</f>
        <v>490</v>
      </c>
      <c r="G1694" s="83">
        <f>SUMIFS(G1695:G6462,K1695:K6462,"0",B1695:B6462,"5 1 1 3 1 12 31111 6 M59 80400 000132*")</f>
        <v>0</v>
      </c>
      <c r="H1694" s="83">
        <f t="shared" si="26"/>
        <v>490</v>
      </c>
      <c r="I1694" s="83"/>
      <c r="K1694" s="54" t="s">
        <v>15</v>
      </c>
    </row>
    <row r="1695" spans="2:11" ht="16.5" x14ac:dyDescent="0.2">
      <c r="B1695" s="82" t="s">
        <v>3910</v>
      </c>
      <c r="C1695" s="82" t="s">
        <v>650</v>
      </c>
      <c r="D1695" s="83">
        <f>SUMIFS(D1696:D6462,K1696:K6462,"0",B1696:B6462,"5 1 1 3 1 12 31111 6 M59 80400 000132 0000R*")-SUMIFS(E1696:E6462,K1696:K6462,"0",B1696:B6462,"5 1 1 3 1 12 31111 6 M59 80400 000132 0000R*")</f>
        <v>0</v>
      </c>
      <c r="E1695" s="54"/>
      <c r="F1695" s="83">
        <f>SUMIFS(F1696:F6462,K1696:K6462,"0",B1696:B6462,"5 1 1 3 1 12 31111 6 M59 80400 000132 0000R*")</f>
        <v>490</v>
      </c>
      <c r="G1695" s="83">
        <f>SUMIFS(G1696:G6462,K1696:K6462,"0",B1696:B6462,"5 1 1 3 1 12 31111 6 M59 80400 000132 0000R*")</f>
        <v>0</v>
      </c>
      <c r="H1695" s="83">
        <f t="shared" si="26"/>
        <v>490</v>
      </c>
      <c r="I1695" s="83"/>
      <c r="K1695" s="54" t="s">
        <v>15</v>
      </c>
    </row>
    <row r="1696" spans="2:11" ht="24.75" x14ac:dyDescent="0.2">
      <c r="B1696" s="82" t="s">
        <v>3911</v>
      </c>
      <c r="C1696" s="82" t="s">
        <v>282</v>
      </c>
      <c r="D1696" s="83">
        <f>SUMIFS(D1697:D6462,K1697:K6462,"0",B1697:B6462,"5 1 1 3 1 12 31111 6 M59 80400 000132 0000R 00001*")-SUMIFS(E1697:E6462,K1697:K6462,"0",B1697:B6462,"5 1 1 3 1 12 31111 6 M59 80400 000132 0000R 00001*")</f>
        <v>0</v>
      </c>
      <c r="E1696" s="54"/>
      <c r="F1696" s="83">
        <f>SUMIFS(F1697:F6462,K1697:K6462,"0",B1697:B6462,"5 1 1 3 1 12 31111 6 M59 80400 000132 0000R 00001*")</f>
        <v>490</v>
      </c>
      <c r="G1696" s="83">
        <f>SUMIFS(G1697:G6462,K1697:K6462,"0",B1697:B6462,"5 1 1 3 1 12 31111 6 M59 80400 000132 0000R 00001*")</f>
        <v>0</v>
      </c>
      <c r="H1696" s="83">
        <f t="shared" si="26"/>
        <v>490</v>
      </c>
      <c r="I1696" s="83"/>
      <c r="K1696" s="54" t="s">
        <v>15</v>
      </c>
    </row>
    <row r="1697" spans="2:11" ht="24.75" x14ac:dyDescent="0.2">
      <c r="B1697" s="82" t="s">
        <v>3912</v>
      </c>
      <c r="C1697" s="82" t="s">
        <v>3778</v>
      </c>
      <c r="D1697" s="83">
        <f>SUMIFS(D1698:D6462,K1698:K6462,"0",B1698:B6462,"5 1 1 3 1 12 31111 6 M59 80400 000132 0000R 00001 00131*")-SUMIFS(E1698:E6462,K1698:K6462,"0",B1698:B6462,"5 1 1 3 1 12 31111 6 M59 80400 000132 0000R 00001 00131*")</f>
        <v>0</v>
      </c>
      <c r="E1697" s="54"/>
      <c r="F1697" s="83">
        <f>SUMIFS(F1698:F6462,K1698:K6462,"0",B1698:B6462,"5 1 1 3 1 12 31111 6 M59 80400 000132 0000R 00001 00131*")</f>
        <v>490</v>
      </c>
      <c r="G1697" s="83">
        <f>SUMIFS(G1698:G6462,K1698:K6462,"0",B1698:B6462,"5 1 1 3 1 12 31111 6 M59 80400 000132 0000R 00001 00131*")</f>
        <v>0</v>
      </c>
      <c r="H1697" s="83">
        <f t="shared" si="26"/>
        <v>490</v>
      </c>
      <c r="I1697" s="83"/>
      <c r="K1697" s="54" t="s">
        <v>15</v>
      </c>
    </row>
    <row r="1698" spans="2:11" ht="24.75" x14ac:dyDescent="0.2">
      <c r="B1698" s="82" t="s">
        <v>3913</v>
      </c>
      <c r="C1698" s="82" t="s">
        <v>1051</v>
      </c>
      <c r="D1698" s="83">
        <f>SUMIFS(D1699:D6462,K1699:K6462,"0",B1699:B6462,"5 1 1 3 1 12 31111 6 M59 80400 000132 0000R 00001 00131 015*")-SUMIFS(E1699:E6462,K1699:K6462,"0",B1699:B6462,"5 1 1 3 1 12 31111 6 M59 80400 000132 0000R 00001 00131 015*")</f>
        <v>0</v>
      </c>
      <c r="E1698" s="54"/>
      <c r="F1698" s="83">
        <f>SUMIFS(F1699:F6462,K1699:K6462,"0",B1699:B6462,"5 1 1 3 1 12 31111 6 M59 80400 000132 0000R 00001 00131 015*")</f>
        <v>490</v>
      </c>
      <c r="G1698" s="83">
        <f>SUMIFS(G1699:G6462,K1699:K6462,"0",B1699:B6462,"5 1 1 3 1 12 31111 6 M59 80400 000132 0000R 00001 00131 015*")</f>
        <v>0</v>
      </c>
      <c r="H1698" s="83">
        <f t="shared" si="26"/>
        <v>490</v>
      </c>
      <c r="I1698" s="83"/>
      <c r="K1698" s="54" t="s">
        <v>15</v>
      </c>
    </row>
    <row r="1699" spans="2:11" ht="33" x14ac:dyDescent="0.2">
      <c r="B1699" s="82" t="s">
        <v>3914</v>
      </c>
      <c r="C1699" s="82" t="s">
        <v>2927</v>
      </c>
      <c r="D1699" s="83">
        <f>SUMIFS(D1700:D6462,K1700:K6462,"0",B1700:B6462,"5 1 1 3 1 12 31111 6 M59 80400 000132 0000R 00001 00131 015 2111100*")-SUMIFS(E1700:E6462,K1700:K6462,"0",B1700:B6462,"5 1 1 3 1 12 31111 6 M59 80400 000132 0000R 00001 00131 015 2111100*")</f>
        <v>0</v>
      </c>
      <c r="E1699" s="54"/>
      <c r="F1699" s="83">
        <f>SUMIFS(F1700:F6462,K1700:K6462,"0",B1700:B6462,"5 1 1 3 1 12 31111 6 M59 80400 000132 0000R 00001 00131 015 2111100*")</f>
        <v>490</v>
      </c>
      <c r="G1699" s="83">
        <f>SUMIFS(G1700:G6462,K1700:K6462,"0",B1700:B6462,"5 1 1 3 1 12 31111 6 M59 80400 000132 0000R 00001 00131 015 2111100*")</f>
        <v>0</v>
      </c>
      <c r="H1699" s="83">
        <f t="shared" si="26"/>
        <v>490</v>
      </c>
      <c r="I1699" s="83"/>
      <c r="K1699" s="54" t="s">
        <v>15</v>
      </c>
    </row>
    <row r="1700" spans="2:11" ht="33" x14ac:dyDescent="0.2">
      <c r="B1700" s="82" t="s">
        <v>3915</v>
      </c>
      <c r="C1700" s="82" t="s">
        <v>660</v>
      </c>
      <c r="D1700" s="83">
        <f>SUMIFS(D1701:D6462,K1701:K6462,"0",B1701:B6462,"5 1 1 3 1 12 31111 6 M59 80400 000132 0000R 00001 00131 015 2111100 2024*")-SUMIFS(E1701:E6462,K1701:K6462,"0",B1701:B6462,"5 1 1 3 1 12 31111 6 M59 80400 000132 0000R 00001 00131 015 2111100 2024*")</f>
        <v>0</v>
      </c>
      <c r="E1700" s="54"/>
      <c r="F1700" s="83">
        <f>SUMIFS(F1701:F6462,K1701:K6462,"0",B1701:B6462,"5 1 1 3 1 12 31111 6 M59 80400 000132 0000R 00001 00131 015 2111100 2024*")</f>
        <v>490</v>
      </c>
      <c r="G1700" s="83">
        <f>SUMIFS(G1701:G6462,K1701:K6462,"0",B1701:B6462,"5 1 1 3 1 12 31111 6 M59 80400 000132 0000R 00001 00131 015 2111100 2024*")</f>
        <v>0</v>
      </c>
      <c r="H1700" s="83">
        <f t="shared" si="26"/>
        <v>490</v>
      </c>
      <c r="I1700" s="83"/>
      <c r="K1700" s="54" t="s">
        <v>15</v>
      </c>
    </row>
    <row r="1701" spans="2:11" ht="41.25" x14ac:dyDescent="0.2">
      <c r="B1701" s="82" t="s">
        <v>3916</v>
      </c>
      <c r="C1701" s="82" t="s">
        <v>1056</v>
      </c>
      <c r="D1701" s="83">
        <f>SUMIFS(D1702:D6462,K1702:K6462,"0",B1702:B6462,"5 1 1 3 1 12 31111 6 M59 80400 000132 0000R 00001 00131 015 2111100 2024 CP1DP403*")-SUMIFS(E1702:E6462,K1702:K6462,"0",B1702:B6462,"5 1 1 3 1 12 31111 6 M59 80400 000132 0000R 00001 00131 015 2111100 2024 CP1DP403*")</f>
        <v>0</v>
      </c>
      <c r="E1701" s="54"/>
      <c r="F1701" s="83">
        <f>SUMIFS(F1702:F6462,K1702:K6462,"0",B1702:B6462,"5 1 1 3 1 12 31111 6 M59 80400 000132 0000R 00001 00131 015 2111100 2024 CP1DP403*")</f>
        <v>490</v>
      </c>
      <c r="G1701" s="83">
        <f>SUMIFS(G1702:G6462,K1702:K6462,"0",B1702:B6462,"5 1 1 3 1 12 31111 6 M59 80400 000132 0000R 00001 00131 015 2111100 2024 CP1DP403*")</f>
        <v>0</v>
      </c>
      <c r="H1701" s="83">
        <f t="shared" si="26"/>
        <v>490</v>
      </c>
      <c r="I1701" s="83"/>
      <c r="K1701" s="54" t="s">
        <v>15</v>
      </c>
    </row>
    <row r="1702" spans="2:11" ht="41.25" x14ac:dyDescent="0.2">
      <c r="B1702" s="82" t="s">
        <v>3917</v>
      </c>
      <c r="C1702" s="82" t="s">
        <v>282</v>
      </c>
      <c r="D1702" s="83">
        <f>SUMIFS(D1703:D6462,K1703:K6462,"0",B1703:B6462,"5 1 1 3 1 12 31111 6 M59 80400 000132 0000R 00001 00131 015 2111100 2024 CP1DP403 001*")-SUMIFS(E1703:E6462,K1703:K6462,"0",B1703:B6462,"5 1 1 3 1 12 31111 6 M59 80400 000132 0000R 00001 00131 015 2111100 2024 CP1DP403 001*")</f>
        <v>0</v>
      </c>
      <c r="E1702" s="54"/>
      <c r="F1702" s="83">
        <f>SUMIFS(F1703:F6462,K1703:K6462,"0",B1703:B6462,"5 1 1 3 1 12 31111 6 M59 80400 000132 0000R 00001 00131 015 2111100 2024 CP1DP403 001*")</f>
        <v>490</v>
      </c>
      <c r="G1702" s="83">
        <f>SUMIFS(G1703:G6462,K1703:K6462,"0",B1703:B6462,"5 1 1 3 1 12 31111 6 M59 80400 000132 0000R 00001 00131 015 2111100 2024 CP1DP403 001*")</f>
        <v>0</v>
      </c>
      <c r="H1702" s="83">
        <f t="shared" si="26"/>
        <v>490</v>
      </c>
      <c r="I1702" s="83"/>
      <c r="K1702" s="54" t="s">
        <v>15</v>
      </c>
    </row>
    <row r="1703" spans="2:11" ht="41.25" x14ac:dyDescent="0.2">
      <c r="B1703" s="84" t="s">
        <v>3918</v>
      </c>
      <c r="C1703" s="84" t="s">
        <v>3785</v>
      </c>
      <c r="D1703" s="85">
        <v>0</v>
      </c>
      <c r="E1703" s="85"/>
      <c r="F1703" s="85">
        <v>490</v>
      </c>
      <c r="G1703" s="85">
        <v>0</v>
      </c>
      <c r="H1703" s="85">
        <f t="shared" si="26"/>
        <v>490</v>
      </c>
      <c r="I1703" s="85"/>
      <c r="K1703" s="54" t="s">
        <v>38</v>
      </c>
    </row>
    <row r="1704" spans="2:11" ht="24.75" x14ac:dyDescent="0.2">
      <c r="B1704" s="82" t="s">
        <v>3919</v>
      </c>
      <c r="C1704" s="82" t="s">
        <v>3571</v>
      </c>
      <c r="D1704" s="83">
        <f>SUMIFS(D1705:D6462,K1705:K6462,"0",B1705:B6462,"5 1 1 3 1 12 31111 6 M59 80500*")-SUMIFS(E1705:E6462,K1705:K6462,"0",B1705:B6462,"5 1 1 3 1 12 31111 6 M59 80500*")</f>
        <v>0</v>
      </c>
      <c r="E1704" s="54"/>
      <c r="F1704" s="83">
        <f>SUMIFS(F1705:F6462,K1705:K6462,"0",B1705:B6462,"5 1 1 3 1 12 31111 6 M59 80500*")</f>
        <v>1050</v>
      </c>
      <c r="G1704" s="83">
        <f>SUMIFS(G1705:G6462,K1705:K6462,"0",B1705:B6462,"5 1 1 3 1 12 31111 6 M59 80500*")</f>
        <v>0</v>
      </c>
      <c r="H1704" s="83">
        <f t="shared" si="26"/>
        <v>1050</v>
      </c>
      <c r="I1704" s="83"/>
      <c r="K1704" s="54" t="s">
        <v>15</v>
      </c>
    </row>
    <row r="1705" spans="2:11" ht="16.5" x14ac:dyDescent="0.2">
      <c r="B1705" s="82" t="s">
        <v>3920</v>
      </c>
      <c r="C1705" s="82" t="s">
        <v>3573</v>
      </c>
      <c r="D1705" s="83">
        <f>SUMIFS(D1706:D6462,K1706:K6462,"0",B1706:B6462,"5 1 1 3 1 12 31111 6 M59 80500 000216*")-SUMIFS(E1706:E6462,K1706:K6462,"0",B1706:B6462,"5 1 1 3 1 12 31111 6 M59 80500 000216*")</f>
        <v>0</v>
      </c>
      <c r="E1705" s="54"/>
      <c r="F1705" s="83">
        <f>SUMIFS(F1706:F6462,K1706:K6462,"0",B1706:B6462,"5 1 1 3 1 12 31111 6 M59 80500 000216*")</f>
        <v>1050</v>
      </c>
      <c r="G1705" s="83">
        <f>SUMIFS(G1706:G6462,K1706:K6462,"0",B1706:B6462,"5 1 1 3 1 12 31111 6 M59 80500 000216*")</f>
        <v>0</v>
      </c>
      <c r="H1705" s="83">
        <f t="shared" si="26"/>
        <v>1050</v>
      </c>
      <c r="I1705" s="83"/>
      <c r="K1705" s="54" t="s">
        <v>15</v>
      </c>
    </row>
    <row r="1706" spans="2:11" ht="16.5" x14ac:dyDescent="0.2">
      <c r="B1706" s="82" t="s">
        <v>3921</v>
      </c>
      <c r="C1706" s="82" t="s">
        <v>650</v>
      </c>
      <c r="D1706" s="83">
        <f>SUMIFS(D1707:D6462,K1707:K6462,"0",B1707:B6462,"5 1 1 3 1 12 31111 6 M59 80500 000216 0000R*")-SUMIFS(E1707:E6462,K1707:K6462,"0",B1707:B6462,"5 1 1 3 1 12 31111 6 M59 80500 000216 0000R*")</f>
        <v>0</v>
      </c>
      <c r="E1706" s="54"/>
      <c r="F1706" s="83">
        <f>SUMIFS(F1707:F6462,K1707:K6462,"0",B1707:B6462,"5 1 1 3 1 12 31111 6 M59 80500 000216 0000R*")</f>
        <v>1050</v>
      </c>
      <c r="G1706" s="83">
        <f>SUMIFS(G1707:G6462,K1707:K6462,"0",B1707:B6462,"5 1 1 3 1 12 31111 6 M59 80500 000216 0000R*")</f>
        <v>0</v>
      </c>
      <c r="H1706" s="83">
        <f t="shared" si="26"/>
        <v>1050</v>
      </c>
      <c r="I1706" s="83"/>
      <c r="K1706" s="54" t="s">
        <v>15</v>
      </c>
    </row>
    <row r="1707" spans="2:11" ht="24.75" x14ac:dyDescent="0.2">
      <c r="B1707" s="82" t="s">
        <v>3922</v>
      </c>
      <c r="C1707" s="82" t="s">
        <v>282</v>
      </c>
      <c r="D1707" s="83">
        <f>SUMIFS(D1708:D6462,K1708:K6462,"0",B1708:B6462,"5 1 1 3 1 12 31111 6 M59 80500 000216 0000R 00001*")-SUMIFS(E1708:E6462,K1708:K6462,"0",B1708:B6462,"5 1 1 3 1 12 31111 6 M59 80500 000216 0000R 00001*")</f>
        <v>0</v>
      </c>
      <c r="E1707" s="54"/>
      <c r="F1707" s="83">
        <f>SUMIFS(F1708:F6462,K1708:K6462,"0",B1708:B6462,"5 1 1 3 1 12 31111 6 M59 80500 000216 0000R 00001*")</f>
        <v>1050</v>
      </c>
      <c r="G1707" s="83">
        <f>SUMIFS(G1708:G6462,K1708:K6462,"0",B1708:B6462,"5 1 1 3 1 12 31111 6 M59 80500 000216 0000R 00001*")</f>
        <v>0</v>
      </c>
      <c r="H1707" s="83">
        <f t="shared" ref="H1707:H1770" si="27">D1707 + F1707 - G1707</f>
        <v>1050</v>
      </c>
      <c r="I1707" s="83"/>
      <c r="K1707" s="54" t="s">
        <v>15</v>
      </c>
    </row>
    <row r="1708" spans="2:11" ht="24.75" x14ac:dyDescent="0.2">
      <c r="B1708" s="82" t="s">
        <v>3923</v>
      </c>
      <c r="C1708" s="82" t="s">
        <v>3778</v>
      </c>
      <c r="D1708" s="83">
        <f>SUMIFS(D1709:D6462,K1709:K6462,"0",B1709:B6462,"5 1 1 3 1 12 31111 6 M59 80500 000216 0000R 00001 00131*")-SUMIFS(E1709:E6462,K1709:K6462,"0",B1709:B6462,"5 1 1 3 1 12 31111 6 M59 80500 000216 0000R 00001 00131*")</f>
        <v>0</v>
      </c>
      <c r="E1708" s="54"/>
      <c r="F1708" s="83">
        <f>SUMIFS(F1709:F6462,K1709:K6462,"0",B1709:B6462,"5 1 1 3 1 12 31111 6 M59 80500 000216 0000R 00001 00131*")</f>
        <v>1050</v>
      </c>
      <c r="G1708" s="83">
        <f>SUMIFS(G1709:G6462,K1709:K6462,"0",B1709:B6462,"5 1 1 3 1 12 31111 6 M59 80500 000216 0000R 00001 00131*")</f>
        <v>0</v>
      </c>
      <c r="H1708" s="83">
        <f t="shared" si="27"/>
        <v>1050</v>
      </c>
      <c r="I1708" s="83"/>
      <c r="K1708" s="54" t="s">
        <v>15</v>
      </c>
    </row>
    <row r="1709" spans="2:11" ht="24.75" x14ac:dyDescent="0.2">
      <c r="B1709" s="82" t="s">
        <v>3924</v>
      </c>
      <c r="C1709" s="82" t="s">
        <v>1051</v>
      </c>
      <c r="D1709" s="83">
        <f>SUMIFS(D1710:D6462,K1710:K6462,"0",B1710:B6462,"5 1 1 3 1 12 31111 6 M59 80500 000216 0000R 00001 00131 015*")-SUMIFS(E1710:E6462,K1710:K6462,"0",B1710:B6462,"5 1 1 3 1 12 31111 6 M59 80500 000216 0000R 00001 00131 015*")</f>
        <v>0</v>
      </c>
      <c r="E1709" s="54"/>
      <c r="F1709" s="83">
        <f>SUMIFS(F1710:F6462,K1710:K6462,"0",B1710:B6462,"5 1 1 3 1 12 31111 6 M59 80500 000216 0000R 00001 00131 015*")</f>
        <v>1050</v>
      </c>
      <c r="G1709" s="83">
        <f>SUMIFS(G1710:G6462,K1710:K6462,"0",B1710:B6462,"5 1 1 3 1 12 31111 6 M59 80500 000216 0000R 00001 00131 015*")</f>
        <v>0</v>
      </c>
      <c r="H1709" s="83">
        <f t="shared" si="27"/>
        <v>1050</v>
      </c>
      <c r="I1709" s="83"/>
      <c r="K1709" s="54" t="s">
        <v>15</v>
      </c>
    </row>
    <row r="1710" spans="2:11" ht="33" x14ac:dyDescent="0.2">
      <c r="B1710" s="82" t="s">
        <v>3925</v>
      </c>
      <c r="C1710" s="82" t="s">
        <v>2927</v>
      </c>
      <c r="D1710" s="83">
        <f>SUMIFS(D1711:D6462,K1711:K6462,"0",B1711:B6462,"5 1 1 3 1 12 31111 6 M59 80500 000216 0000R 00001 00131 015 2111100*")-SUMIFS(E1711:E6462,K1711:K6462,"0",B1711:B6462,"5 1 1 3 1 12 31111 6 M59 80500 000216 0000R 00001 00131 015 2111100*")</f>
        <v>0</v>
      </c>
      <c r="E1710" s="54"/>
      <c r="F1710" s="83">
        <f>SUMIFS(F1711:F6462,K1711:K6462,"0",B1711:B6462,"5 1 1 3 1 12 31111 6 M59 80500 000216 0000R 00001 00131 015 2111100*")</f>
        <v>1050</v>
      </c>
      <c r="G1710" s="83">
        <f>SUMIFS(G1711:G6462,K1711:K6462,"0",B1711:B6462,"5 1 1 3 1 12 31111 6 M59 80500 000216 0000R 00001 00131 015 2111100*")</f>
        <v>0</v>
      </c>
      <c r="H1710" s="83">
        <f t="shared" si="27"/>
        <v>1050</v>
      </c>
      <c r="I1710" s="83"/>
      <c r="K1710" s="54" t="s">
        <v>15</v>
      </c>
    </row>
    <row r="1711" spans="2:11" ht="33" x14ac:dyDescent="0.2">
      <c r="B1711" s="82" t="s">
        <v>3926</v>
      </c>
      <c r="C1711" s="82" t="s">
        <v>660</v>
      </c>
      <c r="D1711" s="83">
        <f>SUMIFS(D1712:D6462,K1712:K6462,"0",B1712:B6462,"5 1 1 3 1 12 31111 6 M59 80500 000216 0000R 00001 00131 015 2111100 2024*")-SUMIFS(E1712:E6462,K1712:K6462,"0",B1712:B6462,"5 1 1 3 1 12 31111 6 M59 80500 000216 0000R 00001 00131 015 2111100 2024*")</f>
        <v>0</v>
      </c>
      <c r="E1711" s="54"/>
      <c r="F1711" s="83">
        <f>SUMIFS(F1712:F6462,K1712:K6462,"0",B1712:B6462,"5 1 1 3 1 12 31111 6 M59 80500 000216 0000R 00001 00131 015 2111100 2024*")</f>
        <v>1050</v>
      </c>
      <c r="G1711" s="83">
        <f>SUMIFS(G1712:G6462,K1712:K6462,"0",B1712:B6462,"5 1 1 3 1 12 31111 6 M59 80500 000216 0000R 00001 00131 015 2111100 2024*")</f>
        <v>0</v>
      </c>
      <c r="H1711" s="83">
        <f t="shared" si="27"/>
        <v>1050</v>
      </c>
      <c r="I1711" s="83"/>
      <c r="K1711" s="54" t="s">
        <v>15</v>
      </c>
    </row>
    <row r="1712" spans="2:11" ht="41.25" x14ac:dyDescent="0.2">
      <c r="B1712" s="82" t="s">
        <v>3927</v>
      </c>
      <c r="C1712" s="82" t="s">
        <v>1056</v>
      </c>
      <c r="D1712" s="83">
        <f>SUMIFS(D1713:D6462,K1713:K6462,"0",B1713:B6462,"5 1 1 3 1 12 31111 6 M59 80500 000216 0000R 00001 00131 015 2111100 2024 CP1MA417*")-SUMIFS(E1713:E6462,K1713:K6462,"0",B1713:B6462,"5 1 1 3 1 12 31111 6 M59 80500 000216 0000R 00001 00131 015 2111100 2024 CP1MA417*")</f>
        <v>0</v>
      </c>
      <c r="E1712" s="54"/>
      <c r="F1712" s="83">
        <f>SUMIFS(F1713:F6462,K1713:K6462,"0",B1713:B6462,"5 1 1 3 1 12 31111 6 M59 80500 000216 0000R 00001 00131 015 2111100 2024 CP1MA417*")</f>
        <v>1050</v>
      </c>
      <c r="G1712" s="83">
        <f>SUMIFS(G1713:G6462,K1713:K6462,"0",B1713:B6462,"5 1 1 3 1 12 31111 6 M59 80500 000216 0000R 00001 00131 015 2111100 2024 CP1MA417*")</f>
        <v>0</v>
      </c>
      <c r="H1712" s="83">
        <f t="shared" si="27"/>
        <v>1050</v>
      </c>
      <c r="I1712" s="83"/>
      <c r="K1712" s="54" t="s">
        <v>15</v>
      </c>
    </row>
    <row r="1713" spans="2:11" ht="41.25" x14ac:dyDescent="0.2">
      <c r="B1713" s="82" t="s">
        <v>3928</v>
      </c>
      <c r="C1713" s="82" t="s">
        <v>282</v>
      </c>
      <c r="D1713" s="83">
        <f>SUMIFS(D1714:D6462,K1714:K6462,"0",B1714:B6462,"5 1 1 3 1 12 31111 6 M59 80500 000216 0000R 00001 00131 015 2111100 2024 CP1MA417 001*")-SUMIFS(E1714:E6462,K1714:K6462,"0",B1714:B6462,"5 1 1 3 1 12 31111 6 M59 80500 000216 0000R 00001 00131 015 2111100 2024 CP1MA417 001*")</f>
        <v>0</v>
      </c>
      <c r="E1713" s="54"/>
      <c r="F1713" s="83">
        <f>SUMIFS(F1714:F6462,K1714:K6462,"0",B1714:B6462,"5 1 1 3 1 12 31111 6 M59 80500 000216 0000R 00001 00131 015 2111100 2024 CP1MA417 001*")</f>
        <v>1050</v>
      </c>
      <c r="G1713" s="83">
        <f>SUMIFS(G1714:G6462,K1714:K6462,"0",B1714:B6462,"5 1 1 3 1 12 31111 6 M59 80500 000216 0000R 00001 00131 015 2111100 2024 CP1MA417 001*")</f>
        <v>0</v>
      </c>
      <c r="H1713" s="83">
        <f t="shared" si="27"/>
        <v>1050</v>
      </c>
      <c r="I1713" s="83"/>
      <c r="K1713" s="54" t="s">
        <v>15</v>
      </c>
    </row>
    <row r="1714" spans="2:11" ht="33" x14ac:dyDescent="0.2">
      <c r="B1714" s="84" t="s">
        <v>3929</v>
      </c>
      <c r="C1714" s="84" t="s">
        <v>3785</v>
      </c>
      <c r="D1714" s="85">
        <v>0</v>
      </c>
      <c r="E1714" s="85"/>
      <c r="F1714" s="85">
        <v>1050</v>
      </c>
      <c r="G1714" s="85">
        <v>0</v>
      </c>
      <c r="H1714" s="85">
        <f t="shared" si="27"/>
        <v>1050</v>
      </c>
      <c r="I1714" s="85"/>
      <c r="K1714" s="54" t="s">
        <v>38</v>
      </c>
    </row>
    <row r="1715" spans="2:11" ht="16.5" x14ac:dyDescent="0.2">
      <c r="B1715" s="82" t="s">
        <v>3930</v>
      </c>
      <c r="C1715" s="82" t="s">
        <v>3596</v>
      </c>
      <c r="D1715" s="83">
        <f>SUMIFS(D1716:D6462,K1716:K6462,"0",B1716:B6462,"5 1 1 3 1 12 31111 6 M59 90000*")-SUMIFS(E1716:E6462,K1716:K6462,"0",B1716:B6462,"5 1 1 3 1 12 31111 6 M59 90000*")</f>
        <v>0</v>
      </c>
      <c r="E1715" s="54"/>
      <c r="F1715" s="83">
        <f>SUMIFS(F1716:F6462,K1716:K6462,"0",B1716:B6462,"5 1 1 3 1 12 31111 6 M59 90000*")</f>
        <v>5425</v>
      </c>
      <c r="G1715" s="83">
        <f>SUMIFS(G1716:G6462,K1716:K6462,"0",B1716:B6462,"5 1 1 3 1 12 31111 6 M59 90000*")</f>
        <v>0</v>
      </c>
      <c r="H1715" s="83">
        <f t="shared" si="27"/>
        <v>5425</v>
      </c>
      <c r="I1715" s="83"/>
      <c r="K1715" s="54" t="s">
        <v>15</v>
      </c>
    </row>
    <row r="1716" spans="2:11" ht="16.5" x14ac:dyDescent="0.2">
      <c r="B1716" s="82" t="s">
        <v>3931</v>
      </c>
      <c r="C1716" s="82" t="s">
        <v>648</v>
      </c>
      <c r="D1716" s="83">
        <f>SUMIFS(D1717:D6462,K1717:K6462,"0",B1717:B6462,"5 1 1 3 1 12 31111 6 M59 90000 000132*")-SUMIFS(E1717:E6462,K1717:K6462,"0",B1717:B6462,"5 1 1 3 1 12 31111 6 M59 90000 000132*")</f>
        <v>0</v>
      </c>
      <c r="E1716" s="54"/>
      <c r="F1716" s="83">
        <f>SUMIFS(F1717:F6462,K1717:K6462,"0",B1717:B6462,"5 1 1 3 1 12 31111 6 M59 90000 000132*")</f>
        <v>5425</v>
      </c>
      <c r="G1716" s="83">
        <f>SUMIFS(G1717:G6462,K1717:K6462,"0",B1717:B6462,"5 1 1 3 1 12 31111 6 M59 90000 000132*")</f>
        <v>0</v>
      </c>
      <c r="H1716" s="83">
        <f t="shared" si="27"/>
        <v>5425</v>
      </c>
      <c r="I1716" s="83"/>
      <c r="K1716" s="54" t="s">
        <v>15</v>
      </c>
    </row>
    <row r="1717" spans="2:11" ht="16.5" x14ac:dyDescent="0.2">
      <c r="B1717" s="82" t="s">
        <v>3932</v>
      </c>
      <c r="C1717" s="82" t="s">
        <v>650</v>
      </c>
      <c r="D1717" s="83">
        <f>SUMIFS(D1718:D6462,K1718:K6462,"0",B1718:B6462,"5 1 1 3 1 12 31111 6 M59 90000 000132 0000R*")-SUMIFS(E1718:E6462,K1718:K6462,"0",B1718:B6462,"5 1 1 3 1 12 31111 6 M59 90000 000132 0000R*")</f>
        <v>0</v>
      </c>
      <c r="E1717" s="54"/>
      <c r="F1717" s="83">
        <f>SUMIFS(F1718:F6462,K1718:K6462,"0",B1718:B6462,"5 1 1 3 1 12 31111 6 M59 90000 000132 0000R*")</f>
        <v>5425</v>
      </c>
      <c r="G1717" s="83">
        <f>SUMIFS(G1718:G6462,K1718:K6462,"0",B1718:B6462,"5 1 1 3 1 12 31111 6 M59 90000 000132 0000R*")</f>
        <v>0</v>
      </c>
      <c r="H1717" s="83">
        <f t="shared" si="27"/>
        <v>5425</v>
      </c>
      <c r="I1717" s="83"/>
      <c r="K1717" s="54" t="s">
        <v>15</v>
      </c>
    </row>
    <row r="1718" spans="2:11" ht="24.75" x14ac:dyDescent="0.2">
      <c r="B1718" s="82" t="s">
        <v>3933</v>
      </c>
      <c r="C1718" s="82" t="s">
        <v>282</v>
      </c>
      <c r="D1718" s="83">
        <f>SUMIFS(D1719:D6462,K1719:K6462,"0",B1719:B6462,"5 1 1 3 1 12 31111 6 M59 90000 000132 0000R 00001*")-SUMIFS(E1719:E6462,K1719:K6462,"0",B1719:B6462,"5 1 1 3 1 12 31111 6 M59 90000 000132 0000R 00001*")</f>
        <v>0</v>
      </c>
      <c r="E1718" s="54"/>
      <c r="F1718" s="83">
        <f>SUMIFS(F1719:F6462,K1719:K6462,"0",B1719:B6462,"5 1 1 3 1 12 31111 6 M59 90000 000132 0000R 00001*")</f>
        <v>5425</v>
      </c>
      <c r="G1718" s="83">
        <f>SUMIFS(G1719:G6462,K1719:K6462,"0",B1719:B6462,"5 1 1 3 1 12 31111 6 M59 90000 000132 0000R 00001*")</f>
        <v>0</v>
      </c>
      <c r="H1718" s="83">
        <f t="shared" si="27"/>
        <v>5425</v>
      </c>
      <c r="I1718" s="83"/>
      <c r="K1718" s="54" t="s">
        <v>15</v>
      </c>
    </row>
    <row r="1719" spans="2:11" ht="24.75" x14ac:dyDescent="0.2">
      <c r="B1719" s="82" t="s">
        <v>3934</v>
      </c>
      <c r="C1719" s="82" t="s">
        <v>3778</v>
      </c>
      <c r="D1719" s="83">
        <f>SUMIFS(D1720:D6462,K1720:K6462,"0",B1720:B6462,"5 1 1 3 1 12 31111 6 M59 90000 000132 0000R 00001 00131*")-SUMIFS(E1720:E6462,K1720:K6462,"0",B1720:B6462,"5 1 1 3 1 12 31111 6 M59 90000 000132 0000R 00001 00131*")</f>
        <v>0</v>
      </c>
      <c r="E1719" s="54"/>
      <c r="F1719" s="83">
        <f>SUMIFS(F1720:F6462,K1720:K6462,"0",B1720:B6462,"5 1 1 3 1 12 31111 6 M59 90000 000132 0000R 00001 00131*")</f>
        <v>5425</v>
      </c>
      <c r="G1719" s="83">
        <f>SUMIFS(G1720:G6462,K1720:K6462,"0",B1720:B6462,"5 1 1 3 1 12 31111 6 M59 90000 000132 0000R 00001 00131*")</f>
        <v>0</v>
      </c>
      <c r="H1719" s="83">
        <f t="shared" si="27"/>
        <v>5425</v>
      </c>
      <c r="I1719" s="83"/>
      <c r="K1719" s="54" t="s">
        <v>15</v>
      </c>
    </row>
    <row r="1720" spans="2:11" ht="24.75" x14ac:dyDescent="0.2">
      <c r="B1720" s="82" t="s">
        <v>3935</v>
      </c>
      <c r="C1720" s="82" t="s">
        <v>1051</v>
      </c>
      <c r="D1720" s="83">
        <f>SUMIFS(D1721:D6462,K1721:K6462,"0",B1721:B6462,"5 1 1 3 1 12 31111 6 M59 90000 000132 0000R 00001 00131 015*")-SUMIFS(E1721:E6462,K1721:K6462,"0",B1721:B6462,"5 1 1 3 1 12 31111 6 M59 90000 000132 0000R 00001 00131 015*")</f>
        <v>0</v>
      </c>
      <c r="E1720" s="54"/>
      <c r="F1720" s="83">
        <f>SUMIFS(F1721:F6462,K1721:K6462,"0",B1721:B6462,"5 1 1 3 1 12 31111 6 M59 90000 000132 0000R 00001 00131 015*")</f>
        <v>5425</v>
      </c>
      <c r="G1720" s="83">
        <f>SUMIFS(G1721:G6462,K1721:K6462,"0",B1721:B6462,"5 1 1 3 1 12 31111 6 M59 90000 000132 0000R 00001 00131 015*")</f>
        <v>0</v>
      </c>
      <c r="H1720" s="83">
        <f t="shared" si="27"/>
        <v>5425</v>
      </c>
      <c r="I1720" s="83"/>
      <c r="K1720" s="54" t="s">
        <v>15</v>
      </c>
    </row>
    <row r="1721" spans="2:11" ht="33" x14ac:dyDescent="0.2">
      <c r="B1721" s="82" t="s">
        <v>3936</v>
      </c>
      <c r="C1721" s="82" t="s">
        <v>2927</v>
      </c>
      <c r="D1721" s="83">
        <f>SUMIFS(D1722:D6462,K1722:K6462,"0",B1722:B6462,"5 1 1 3 1 12 31111 6 M59 90000 000132 0000R 00001 00131 015 2111100*")-SUMIFS(E1722:E6462,K1722:K6462,"0",B1722:B6462,"5 1 1 3 1 12 31111 6 M59 90000 000132 0000R 00001 00131 015 2111100*")</f>
        <v>0</v>
      </c>
      <c r="E1721" s="54"/>
      <c r="F1721" s="83">
        <f>SUMIFS(F1722:F6462,K1722:K6462,"0",B1722:B6462,"5 1 1 3 1 12 31111 6 M59 90000 000132 0000R 00001 00131 015 2111100*")</f>
        <v>5425</v>
      </c>
      <c r="G1721" s="83">
        <f>SUMIFS(G1722:G6462,K1722:K6462,"0",B1722:B6462,"5 1 1 3 1 12 31111 6 M59 90000 000132 0000R 00001 00131 015 2111100*")</f>
        <v>0</v>
      </c>
      <c r="H1721" s="83">
        <f t="shared" si="27"/>
        <v>5425</v>
      </c>
      <c r="I1721" s="83"/>
      <c r="K1721" s="54" t="s">
        <v>15</v>
      </c>
    </row>
    <row r="1722" spans="2:11" ht="33" x14ac:dyDescent="0.2">
      <c r="B1722" s="82" t="s">
        <v>3937</v>
      </c>
      <c r="C1722" s="82" t="s">
        <v>660</v>
      </c>
      <c r="D1722" s="83">
        <f>SUMIFS(D1723:D6462,K1723:K6462,"0",B1723:B6462,"5 1 1 3 1 12 31111 6 M59 90000 000132 0000R 00001 00131 015 2111100 2024*")-SUMIFS(E1723:E6462,K1723:K6462,"0",B1723:B6462,"5 1 1 3 1 12 31111 6 M59 90000 000132 0000R 00001 00131 015 2111100 2024*")</f>
        <v>0</v>
      </c>
      <c r="E1722" s="54"/>
      <c r="F1722" s="83">
        <f>SUMIFS(F1723:F6462,K1723:K6462,"0",B1723:B6462,"5 1 1 3 1 12 31111 6 M59 90000 000132 0000R 00001 00131 015 2111100 2024*")</f>
        <v>5425</v>
      </c>
      <c r="G1722" s="83">
        <f>SUMIFS(G1723:G6462,K1723:K6462,"0",B1723:B6462,"5 1 1 3 1 12 31111 6 M59 90000 000132 0000R 00001 00131 015 2111100 2024*")</f>
        <v>0</v>
      </c>
      <c r="H1722" s="83">
        <f t="shared" si="27"/>
        <v>5425</v>
      </c>
      <c r="I1722" s="83"/>
      <c r="K1722" s="54" t="s">
        <v>15</v>
      </c>
    </row>
    <row r="1723" spans="2:11" ht="41.25" x14ac:dyDescent="0.2">
      <c r="B1723" s="82" t="s">
        <v>3938</v>
      </c>
      <c r="C1723" s="82" t="s">
        <v>1056</v>
      </c>
      <c r="D1723" s="83">
        <f>SUMIFS(D1724:D6462,K1724:K6462,"0",B1724:B6462,"5 1 1 3 1 12 31111 6 M59 90000 000132 0000R 00001 00131 015 2111100 2024 CP1SG383*")-SUMIFS(E1724:E6462,K1724:K6462,"0",B1724:B6462,"5 1 1 3 1 12 31111 6 M59 90000 000132 0000R 00001 00131 015 2111100 2024 CP1SG383*")</f>
        <v>0</v>
      </c>
      <c r="E1723" s="54"/>
      <c r="F1723" s="83">
        <f>SUMIFS(F1724:F6462,K1724:K6462,"0",B1724:B6462,"5 1 1 3 1 12 31111 6 M59 90000 000132 0000R 00001 00131 015 2111100 2024 CP1SG383*")</f>
        <v>5425</v>
      </c>
      <c r="G1723" s="83">
        <f>SUMIFS(G1724:G6462,K1724:K6462,"0",B1724:B6462,"5 1 1 3 1 12 31111 6 M59 90000 000132 0000R 00001 00131 015 2111100 2024 CP1SG383*")</f>
        <v>0</v>
      </c>
      <c r="H1723" s="83">
        <f t="shared" si="27"/>
        <v>5425</v>
      </c>
      <c r="I1723" s="83"/>
      <c r="K1723" s="54" t="s">
        <v>15</v>
      </c>
    </row>
    <row r="1724" spans="2:11" ht="41.25" x14ac:dyDescent="0.2">
      <c r="B1724" s="82" t="s">
        <v>3939</v>
      </c>
      <c r="C1724" s="82" t="s">
        <v>282</v>
      </c>
      <c r="D1724" s="83">
        <f>SUMIFS(D1725:D6462,K1725:K6462,"0",B1725:B6462,"5 1 1 3 1 12 31111 6 M59 90000 000132 0000R 00001 00131 015 2111100 2024 CP1SG383 001*")-SUMIFS(E1725:E6462,K1725:K6462,"0",B1725:B6462,"5 1 1 3 1 12 31111 6 M59 90000 000132 0000R 00001 00131 015 2111100 2024 CP1SG383 001*")</f>
        <v>0</v>
      </c>
      <c r="E1724" s="54"/>
      <c r="F1724" s="83">
        <f>SUMIFS(F1725:F6462,K1725:K6462,"0",B1725:B6462,"5 1 1 3 1 12 31111 6 M59 90000 000132 0000R 00001 00131 015 2111100 2024 CP1SG383 001*")</f>
        <v>5425</v>
      </c>
      <c r="G1724" s="83">
        <f>SUMIFS(G1725:G6462,K1725:K6462,"0",B1725:B6462,"5 1 1 3 1 12 31111 6 M59 90000 000132 0000R 00001 00131 015 2111100 2024 CP1SG383 001*")</f>
        <v>0</v>
      </c>
      <c r="H1724" s="83">
        <f t="shared" si="27"/>
        <v>5425</v>
      </c>
      <c r="I1724" s="83"/>
      <c r="K1724" s="54" t="s">
        <v>15</v>
      </c>
    </row>
    <row r="1725" spans="2:11" ht="41.25" x14ac:dyDescent="0.2">
      <c r="B1725" s="84" t="s">
        <v>3940</v>
      </c>
      <c r="C1725" s="84" t="s">
        <v>3785</v>
      </c>
      <c r="D1725" s="85">
        <v>0</v>
      </c>
      <c r="E1725" s="85"/>
      <c r="F1725" s="85">
        <v>5425</v>
      </c>
      <c r="G1725" s="85">
        <v>0</v>
      </c>
      <c r="H1725" s="85">
        <f t="shared" si="27"/>
        <v>5425</v>
      </c>
      <c r="I1725" s="85"/>
      <c r="K1725" s="54" t="s">
        <v>38</v>
      </c>
    </row>
    <row r="1726" spans="2:11" ht="16.5" x14ac:dyDescent="0.2">
      <c r="B1726" s="82" t="s">
        <v>3941</v>
      </c>
      <c r="C1726" s="82" t="s">
        <v>3608</v>
      </c>
      <c r="D1726" s="83">
        <f>SUMIFS(D1727:D6462,K1727:K6462,"0",B1727:B6462,"5 1 1 3 1 12 31111 6 M59 91000*")-SUMIFS(E1727:E6462,K1727:K6462,"0",B1727:B6462,"5 1 1 3 1 12 31111 6 M59 91000*")</f>
        <v>0</v>
      </c>
      <c r="E1726" s="54"/>
      <c r="F1726" s="83">
        <f>SUMIFS(F1727:F6462,K1727:K6462,"0",B1727:B6462,"5 1 1 3 1 12 31111 6 M59 91000*")</f>
        <v>10100</v>
      </c>
      <c r="G1726" s="83">
        <f>SUMIFS(G1727:G6462,K1727:K6462,"0",B1727:B6462,"5 1 1 3 1 12 31111 6 M59 91000*")</f>
        <v>0</v>
      </c>
      <c r="H1726" s="83">
        <f t="shared" si="27"/>
        <v>10100</v>
      </c>
      <c r="I1726" s="83"/>
      <c r="K1726" s="54" t="s">
        <v>15</v>
      </c>
    </row>
    <row r="1727" spans="2:11" ht="16.5" x14ac:dyDescent="0.2">
      <c r="B1727" s="82" t="s">
        <v>3942</v>
      </c>
      <c r="C1727" s="82" t="s">
        <v>648</v>
      </c>
      <c r="D1727" s="83">
        <f>SUMIFS(D1728:D6462,K1728:K6462,"0",B1728:B6462,"5 1 1 3 1 12 31111 6 M59 91000 000132*")-SUMIFS(E1728:E6462,K1728:K6462,"0",B1728:B6462,"5 1 1 3 1 12 31111 6 M59 91000 000132*")</f>
        <v>0</v>
      </c>
      <c r="E1727" s="54"/>
      <c r="F1727" s="83">
        <f>SUMIFS(F1728:F6462,K1728:K6462,"0",B1728:B6462,"5 1 1 3 1 12 31111 6 M59 91000 000132*")</f>
        <v>10100</v>
      </c>
      <c r="G1727" s="83">
        <f>SUMIFS(G1728:G6462,K1728:K6462,"0",B1728:B6462,"5 1 1 3 1 12 31111 6 M59 91000 000132*")</f>
        <v>0</v>
      </c>
      <c r="H1727" s="83">
        <f t="shared" si="27"/>
        <v>10100</v>
      </c>
      <c r="I1727" s="83"/>
      <c r="K1727" s="54" t="s">
        <v>15</v>
      </c>
    </row>
    <row r="1728" spans="2:11" ht="16.5" x14ac:dyDescent="0.2">
      <c r="B1728" s="82" t="s">
        <v>3943</v>
      </c>
      <c r="C1728" s="82" t="s">
        <v>650</v>
      </c>
      <c r="D1728" s="83">
        <f>SUMIFS(D1729:D6462,K1729:K6462,"0",B1729:B6462,"5 1 1 3 1 12 31111 6 M59 91000 000132 0000R*")-SUMIFS(E1729:E6462,K1729:K6462,"0",B1729:B6462,"5 1 1 3 1 12 31111 6 M59 91000 000132 0000R*")</f>
        <v>0</v>
      </c>
      <c r="E1728" s="54"/>
      <c r="F1728" s="83">
        <f>SUMIFS(F1729:F6462,K1729:K6462,"0",B1729:B6462,"5 1 1 3 1 12 31111 6 M59 91000 000132 0000R*")</f>
        <v>10100</v>
      </c>
      <c r="G1728" s="83">
        <f>SUMIFS(G1729:G6462,K1729:K6462,"0",B1729:B6462,"5 1 1 3 1 12 31111 6 M59 91000 000132 0000R*")</f>
        <v>0</v>
      </c>
      <c r="H1728" s="83">
        <f t="shared" si="27"/>
        <v>10100</v>
      </c>
      <c r="I1728" s="83"/>
      <c r="K1728" s="54" t="s">
        <v>15</v>
      </c>
    </row>
    <row r="1729" spans="2:11" ht="24.75" x14ac:dyDescent="0.2">
      <c r="B1729" s="82" t="s">
        <v>3944</v>
      </c>
      <c r="C1729" s="82" t="s">
        <v>282</v>
      </c>
      <c r="D1729" s="83">
        <f>SUMIFS(D1730:D6462,K1730:K6462,"0",B1730:B6462,"5 1 1 3 1 12 31111 6 M59 91000 000132 0000R 00001*")-SUMIFS(E1730:E6462,K1730:K6462,"0",B1730:B6462,"5 1 1 3 1 12 31111 6 M59 91000 000132 0000R 00001*")</f>
        <v>0</v>
      </c>
      <c r="E1729" s="54"/>
      <c r="F1729" s="83">
        <f>SUMIFS(F1730:F6462,K1730:K6462,"0",B1730:B6462,"5 1 1 3 1 12 31111 6 M59 91000 000132 0000R 00001*")</f>
        <v>10100</v>
      </c>
      <c r="G1729" s="83">
        <f>SUMIFS(G1730:G6462,K1730:K6462,"0",B1730:B6462,"5 1 1 3 1 12 31111 6 M59 91000 000132 0000R 00001*")</f>
        <v>0</v>
      </c>
      <c r="H1729" s="83">
        <f t="shared" si="27"/>
        <v>10100</v>
      </c>
      <c r="I1729" s="83"/>
      <c r="K1729" s="54" t="s">
        <v>15</v>
      </c>
    </row>
    <row r="1730" spans="2:11" ht="24.75" x14ac:dyDescent="0.2">
      <c r="B1730" s="82" t="s">
        <v>3945</v>
      </c>
      <c r="C1730" s="82" t="s">
        <v>3778</v>
      </c>
      <c r="D1730" s="83">
        <f>SUMIFS(D1731:D6462,K1731:K6462,"0",B1731:B6462,"5 1 1 3 1 12 31111 6 M59 91000 000132 0000R 00001 00131*")-SUMIFS(E1731:E6462,K1731:K6462,"0",B1731:B6462,"5 1 1 3 1 12 31111 6 M59 91000 000132 0000R 00001 00131*")</f>
        <v>0</v>
      </c>
      <c r="E1730" s="54"/>
      <c r="F1730" s="83">
        <f>SUMIFS(F1731:F6462,K1731:K6462,"0",B1731:B6462,"5 1 1 3 1 12 31111 6 M59 91000 000132 0000R 00001 00131*")</f>
        <v>10100</v>
      </c>
      <c r="G1730" s="83">
        <f>SUMIFS(G1731:G6462,K1731:K6462,"0",B1731:B6462,"5 1 1 3 1 12 31111 6 M59 91000 000132 0000R 00001 00131*")</f>
        <v>0</v>
      </c>
      <c r="H1730" s="83">
        <f t="shared" si="27"/>
        <v>10100</v>
      </c>
      <c r="I1730" s="83"/>
      <c r="K1730" s="54" t="s">
        <v>15</v>
      </c>
    </row>
    <row r="1731" spans="2:11" ht="24.75" x14ac:dyDescent="0.2">
      <c r="B1731" s="82" t="s">
        <v>3946</v>
      </c>
      <c r="C1731" s="82" t="s">
        <v>1051</v>
      </c>
      <c r="D1731" s="83">
        <f>SUMIFS(D1732:D6462,K1732:K6462,"0",B1732:B6462,"5 1 1 3 1 12 31111 6 M59 91000 000132 0000R 00001 00131 015*")-SUMIFS(E1732:E6462,K1732:K6462,"0",B1732:B6462,"5 1 1 3 1 12 31111 6 M59 91000 000132 0000R 00001 00131 015*")</f>
        <v>0</v>
      </c>
      <c r="E1731" s="54"/>
      <c r="F1731" s="83">
        <f>SUMIFS(F1732:F6462,K1732:K6462,"0",B1732:B6462,"5 1 1 3 1 12 31111 6 M59 91000 000132 0000R 00001 00131 015*")</f>
        <v>10100</v>
      </c>
      <c r="G1731" s="83">
        <f>SUMIFS(G1732:G6462,K1732:K6462,"0",B1732:B6462,"5 1 1 3 1 12 31111 6 M59 91000 000132 0000R 00001 00131 015*")</f>
        <v>0</v>
      </c>
      <c r="H1731" s="83">
        <f t="shared" si="27"/>
        <v>10100</v>
      </c>
      <c r="I1731" s="83"/>
      <c r="K1731" s="54" t="s">
        <v>15</v>
      </c>
    </row>
    <row r="1732" spans="2:11" ht="33" x14ac:dyDescent="0.2">
      <c r="B1732" s="82" t="s">
        <v>3947</v>
      </c>
      <c r="C1732" s="82" t="s">
        <v>2927</v>
      </c>
      <c r="D1732" s="83">
        <f>SUMIFS(D1733:D6462,K1733:K6462,"0",B1733:B6462,"5 1 1 3 1 12 31111 6 M59 91000 000132 0000R 00001 00131 015 2111100*")-SUMIFS(E1733:E6462,K1733:K6462,"0",B1733:B6462,"5 1 1 3 1 12 31111 6 M59 91000 000132 0000R 00001 00131 015 2111100*")</f>
        <v>0</v>
      </c>
      <c r="E1732" s="54"/>
      <c r="F1732" s="83">
        <f>SUMIFS(F1733:F6462,K1733:K6462,"0",B1733:B6462,"5 1 1 3 1 12 31111 6 M59 91000 000132 0000R 00001 00131 015 2111100*")</f>
        <v>10100</v>
      </c>
      <c r="G1732" s="83">
        <f>SUMIFS(G1733:G6462,K1733:K6462,"0",B1733:B6462,"5 1 1 3 1 12 31111 6 M59 91000 000132 0000R 00001 00131 015 2111100*")</f>
        <v>0</v>
      </c>
      <c r="H1732" s="83">
        <f t="shared" si="27"/>
        <v>10100</v>
      </c>
      <c r="I1732" s="83"/>
      <c r="K1732" s="54" t="s">
        <v>15</v>
      </c>
    </row>
    <row r="1733" spans="2:11" ht="33" x14ac:dyDescent="0.2">
      <c r="B1733" s="82" t="s">
        <v>3948</v>
      </c>
      <c r="C1733" s="82" t="s">
        <v>660</v>
      </c>
      <c r="D1733" s="83">
        <f>SUMIFS(D1734:D6462,K1734:K6462,"0",B1734:B6462,"5 1 1 3 1 12 31111 6 M59 91000 000132 0000R 00001 00131 015 2111100 2024*")-SUMIFS(E1734:E6462,K1734:K6462,"0",B1734:B6462,"5 1 1 3 1 12 31111 6 M59 91000 000132 0000R 00001 00131 015 2111100 2024*")</f>
        <v>0</v>
      </c>
      <c r="E1733" s="54"/>
      <c r="F1733" s="83">
        <f>SUMIFS(F1734:F6462,K1734:K6462,"0",B1734:B6462,"5 1 1 3 1 12 31111 6 M59 91000 000132 0000R 00001 00131 015 2111100 2024*")</f>
        <v>10100</v>
      </c>
      <c r="G1733" s="83">
        <f>SUMIFS(G1734:G6462,K1734:K6462,"0",B1734:B6462,"5 1 1 3 1 12 31111 6 M59 91000 000132 0000R 00001 00131 015 2111100 2024*")</f>
        <v>0</v>
      </c>
      <c r="H1733" s="83">
        <f t="shared" si="27"/>
        <v>10100</v>
      </c>
      <c r="I1733" s="83"/>
      <c r="K1733" s="54" t="s">
        <v>15</v>
      </c>
    </row>
    <row r="1734" spans="2:11" ht="41.25" x14ac:dyDescent="0.2">
      <c r="B1734" s="82" t="s">
        <v>3949</v>
      </c>
      <c r="C1734" s="82" t="s">
        <v>1056</v>
      </c>
      <c r="D1734" s="83">
        <f>SUMIFS(D1735:D6462,K1735:K6462,"0",B1735:B6462,"5 1 1 3 1 12 31111 6 M59 91000 000132 0000R 00001 00131 015 2111100 2024 CP1RE398*")-SUMIFS(E1735:E6462,K1735:K6462,"0",B1735:B6462,"5 1 1 3 1 12 31111 6 M59 91000 000132 0000R 00001 00131 015 2111100 2024 CP1RE398*")</f>
        <v>0</v>
      </c>
      <c r="E1734" s="54"/>
      <c r="F1734" s="83">
        <f>SUMIFS(F1735:F6462,K1735:K6462,"0",B1735:B6462,"5 1 1 3 1 12 31111 6 M59 91000 000132 0000R 00001 00131 015 2111100 2024 CP1RE398*")</f>
        <v>10100</v>
      </c>
      <c r="G1734" s="83">
        <f>SUMIFS(G1735:G6462,K1735:K6462,"0",B1735:B6462,"5 1 1 3 1 12 31111 6 M59 91000 000132 0000R 00001 00131 015 2111100 2024 CP1RE398*")</f>
        <v>0</v>
      </c>
      <c r="H1734" s="83">
        <f t="shared" si="27"/>
        <v>10100</v>
      </c>
      <c r="I1734" s="83"/>
      <c r="K1734" s="54" t="s">
        <v>15</v>
      </c>
    </row>
    <row r="1735" spans="2:11" ht="41.25" x14ac:dyDescent="0.2">
      <c r="B1735" s="82" t="s">
        <v>3950</v>
      </c>
      <c r="C1735" s="82" t="s">
        <v>282</v>
      </c>
      <c r="D1735" s="83">
        <f>SUMIFS(D1736:D6462,K1736:K6462,"0",B1736:B6462,"5 1 1 3 1 12 31111 6 M59 91000 000132 0000R 00001 00131 015 2111100 2024 CP1RE398 001*")-SUMIFS(E1736:E6462,K1736:K6462,"0",B1736:B6462,"5 1 1 3 1 12 31111 6 M59 91000 000132 0000R 00001 00131 015 2111100 2024 CP1RE398 001*")</f>
        <v>0</v>
      </c>
      <c r="E1735" s="54"/>
      <c r="F1735" s="83">
        <f>SUMIFS(F1736:F6462,K1736:K6462,"0",B1736:B6462,"5 1 1 3 1 12 31111 6 M59 91000 000132 0000R 00001 00131 015 2111100 2024 CP1RE398 001*")</f>
        <v>10100</v>
      </c>
      <c r="G1735" s="83">
        <f>SUMIFS(G1736:G6462,K1736:K6462,"0",B1736:B6462,"5 1 1 3 1 12 31111 6 M59 91000 000132 0000R 00001 00131 015 2111100 2024 CP1RE398 001*")</f>
        <v>0</v>
      </c>
      <c r="H1735" s="83">
        <f t="shared" si="27"/>
        <v>10100</v>
      </c>
      <c r="I1735" s="83"/>
      <c r="K1735" s="54" t="s">
        <v>15</v>
      </c>
    </row>
    <row r="1736" spans="2:11" ht="33" x14ac:dyDescent="0.2">
      <c r="B1736" s="84" t="s">
        <v>3951</v>
      </c>
      <c r="C1736" s="84" t="s">
        <v>3785</v>
      </c>
      <c r="D1736" s="85">
        <v>0</v>
      </c>
      <c r="E1736" s="85"/>
      <c r="F1736" s="85">
        <v>10100</v>
      </c>
      <c r="G1736" s="85">
        <v>0</v>
      </c>
      <c r="H1736" s="85">
        <f t="shared" si="27"/>
        <v>10100</v>
      </c>
      <c r="I1736" s="85"/>
      <c r="K1736" s="54" t="s">
        <v>38</v>
      </c>
    </row>
    <row r="1737" spans="2:11" ht="16.5" x14ac:dyDescent="0.2">
      <c r="B1737" s="82" t="s">
        <v>3952</v>
      </c>
      <c r="C1737" s="82" t="s">
        <v>3620</v>
      </c>
      <c r="D1737" s="83">
        <f>SUMIFS(D1738:D6462,K1738:K6462,"0",B1738:B6462,"5 1 1 3 1 12 31111 6 M59 92000*")-SUMIFS(E1738:E6462,K1738:K6462,"0",B1738:B6462,"5 1 1 3 1 12 31111 6 M59 92000*")</f>
        <v>0</v>
      </c>
      <c r="E1737" s="54"/>
      <c r="F1737" s="83">
        <f>SUMIFS(F1738:F6462,K1738:K6462,"0",B1738:B6462,"5 1 1 3 1 12 31111 6 M59 92000*")</f>
        <v>7525</v>
      </c>
      <c r="G1737" s="83">
        <f>SUMIFS(G1738:G6462,K1738:K6462,"0",B1738:B6462,"5 1 1 3 1 12 31111 6 M59 92000*")</f>
        <v>0</v>
      </c>
      <c r="H1737" s="83">
        <f t="shared" si="27"/>
        <v>7525</v>
      </c>
      <c r="I1737" s="83"/>
      <c r="K1737" s="54" t="s">
        <v>15</v>
      </c>
    </row>
    <row r="1738" spans="2:11" ht="24.75" x14ac:dyDescent="0.2">
      <c r="B1738" s="82" t="s">
        <v>3953</v>
      </c>
      <c r="C1738" s="82" t="s">
        <v>3152</v>
      </c>
      <c r="D1738" s="83">
        <f>SUMIFS(D1739:D6462,K1739:K6462,"0",B1739:B6462,"5 1 1 3 1 12 31111 6 M59 92000 000181*")-SUMIFS(E1739:E6462,K1739:K6462,"0",B1739:B6462,"5 1 1 3 1 12 31111 6 M59 92000 000181*")</f>
        <v>0</v>
      </c>
      <c r="E1738" s="54"/>
      <c r="F1738" s="83">
        <f>SUMIFS(F1739:F6462,K1739:K6462,"0",B1739:B6462,"5 1 1 3 1 12 31111 6 M59 92000 000181*")</f>
        <v>7525</v>
      </c>
      <c r="G1738" s="83">
        <f>SUMIFS(G1739:G6462,K1739:K6462,"0",B1739:B6462,"5 1 1 3 1 12 31111 6 M59 92000 000181*")</f>
        <v>0</v>
      </c>
      <c r="H1738" s="83">
        <f t="shared" si="27"/>
        <v>7525</v>
      </c>
      <c r="I1738" s="83"/>
      <c r="K1738" s="54" t="s">
        <v>15</v>
      </c>
    </row>
    <row r="1739" spans="2:11" ht="16.5" x14ac:dyDescent="0.2">
      <c r="B1739" s="82" t="s">
        <v>3954</v>
      </c>
      <c r="C1739" s="82" t="s">
        <v>1065</v>
      </c>
      <c r="D1739" s="83">
        <f>SUMIFS(D1740:D6462,K1740:K6462,"0",B1740:B6462,"5 1 1 3 1 12 31111 6 M59 92000 000181 0000E*")-SUMIFS(E1740:E6462,K1740:K6462,"0",B1740:B6462,"5 1 1 3 1 12 31111 6 M59 92000 000181 0000E*")</f>
        <v>0</v>
      </c>
      <c r="E1739" s="54"/>
      <c r="F1739" s="83">
        <f>SUMIFS(F1740:F6462,K1740:K6462,"0",B1740:B6462,"5 1 1 3 1 12 31111 6 M59 92000 000181 0000E*")</f>
        <v>7525</v>
      </c>
      <c r="G1739" s="83">
        <f>SUMIFS(G1740:G6462,K1740:K6462,"0",B1740:B6462,"5 1 1 3 1 12 31111 6 M59 92000 000181 0000E*")</f>
        <v>0</v>
      </c>
      <c r="H1739" s="83">
        <f t="shared" si="27"/>
        <v>7525</v>
      </c>
      <c r="I1739" s="83"/>
      <c r="K1739" s="54" t="s">
        <v>15</v>
      </c>
    </row>
    <row r="1740" spans="2:11" ht="24.75" x14ac:dyDescent="0.2">
      <c r="B1740" s="82" t="s">
        <v>3955</v>
      </c>
      <c r="C1740" s="82" t="s">
        <v>282</v>
      </c>
      <c r="D1740" s="83">
        <f>SUMIFS(D1741:D6462,K1741:K6462,"0",B1741:B6462,"5 1 1 3 1 12 31111 6 M59 92000 000181 0000E 00001*")-SUMIFS(E1741:E6462,K1741:K6462,"0",B1741:B6462,"5 1 1 3 1 12 31111 6 M59 92000 000181 0000E 00001*")</f>
        <v>0</v>
      </c>
      <c r="E1740" s="54"/>
      <c r="F1740" s="83">
        <f>SUMIFS(F1741:F6462,K1741:K6462,"0",B1741:B6462,"5 1 1 3 1 12 31111 6 M59 92000 000181 0000E 00001*")</f>
        <v>7525</v>
      </c>
      <c r="G1740" s="83">
        <f>SUMIFS(G1741:G6462,K1741:K6462,"0",B1741:B6462,"5 1 1 3 1 12 31111 6 M59 92000 000181 0000E 00001*")</f>
        <v>0</v>
      </c>
      <c r="H1740" s="83">
        <f t="shared" si="27"/>
        <v>7525</v>
      </c>
      <c r="I1740" s="83"/>
      <c r="K1740" s="54" t="s">
        <v>15</v>
      </c>
    </row>
    <row r="1741" spans="2:11" ht="24.75" x14ac:dyDescent="0.2">
      <c r="B1741" s="82" t="s">
        <v>3956</v>
      </c>
      <c r="C1741" s="82" t="s">
        <v>3778</v>
      </c>
      <c r="D1741" s="83">
        <f>SUMIFS(D1742:D6462,K1742:K6462,"0",B1742:B6462,"5 1 1 3 1 12 31111 6 M59 92000 000181 0000E 00001 00131*")-SUMIFS(E1742:E6462,K1742:K6462,"0",B1742:B6462,"5 1 1 3 1 12 31111 6 M59 92000 000181 0000E 00001 00131*")</f>
        <v>0</v>
      </c>
      <c r="E1741" s="54"/>
      <c r="F1741" s="83">
        <f>SUMIFS(F1742:F6462,K1742:K6462,"0",B1742:B6462,"5 1 1 3 1 12 31111 6 M59 92000 000181 0000E 00001 00131*")</f>
        <v>7525</v>
      </c>
      <c r="G1741" s="83">
        <f>SUMIFS(G1742:G6462,K1742:K6462,"0",B1742:B6462,"5 1 1 3 1 12 31111 6 M59 92000 000181 0000E 00001 00131*")</f>
        <v>0</v>
      </c>
      <c r="H1741" s="83">
        <f t="shared" si="27"/>
        <v>7525</v>
      </c>
      <c r="I1741" s="83"/>
      <c r="K1741" s="54" t="s">
        <v>15</v>
      </c>
    </row>
    <row r="1742" spans="2:11" ht="24.75" x14ac:dyDescent="0.2">
      <c r="B1742" s="82" t="s">
        <v>3957</v>
      </c>
      <c r="C1742" s="82" t="s">
        <v>1051</v>
      </c>
      <c r="D1742" s="83">
        <f>SUMIFS(D1743:D6462,K1743:K6462,"0",B1743:B6462,"5 1 1 3 1 12 31111 6 M59 92000 000181 0000E 00001 00131 015*")-SUMIFS(E1743:E6462,K1743:K6462,"0",B1743:B6462,"5 1 1 3 1 12 31111 6 M59 92000 000181 0000E 00001 00131 015*")</f>
        <v>0</v>
      </c>
      <c r="E1742" s="54"/>
      <c r="F1742" s="83">
        <f>SUMIFS(F1743:F6462,K1743:K6462,"0",B1743:B6462,"5 1 1 3 1 12 31111 6 M59 92000 000181 0000E 00001 00131 015*")</f>
        <v>7525</v>
      </c>
      <c r="G1742" s="83">
        <f>SUMIFS(G1743:G6462,K1743:K6462,"0",B1743:B6462,"5 1 1 3 1 12 31111 6 M59 92000 000181 0000E 00001 00131 015*")</f>
        <v>0</v>
      </c>
      <c r="H1742" s="83">
        <f t="shared" si="27"/>
        <v>7525</v>
      </c>
      <c r="I1742" s="83"/>
      <c r="K1742" s="54" t="s">
        <v>15</v>
      </c>
    </row>
    <row r="1743" spans="2:11" ht="33" x14ac:dyDescent="0.2">
      <c r="B1743" s="82" t="s">
        <v>3958</v>
      </c>
      <c r="C1743" s="82" t="s">
        <v>2927</v>
      </c>
      <c r="D1743" s="83">
        <f>SUMIFS(D1744:D6462,K1744:K6462,"0",B1744:B6462,"5 1 1 3 1 12 31111 6 M59 92000 000181 0000E 00001 00131 015 2111100*")-SUMIFS(E1744:E6462,K1744:K6462,"0",B1744:B6462,"5 1 1 3 1 12 31111 6 M59 92000 000181 0000E 00001 00131 015 2111100*")</f>
        <v>0</v>
      </c>
      <c r="E1743" s="54"/>
      <c r="F1743" s="83">
        <f>SUMIFS(F1744:F6462,K1744:K6462,"0",B1744:B6462,"5 1 1 3 1 12 31111 6 M59 92000 000181 0000E 00001 00131 015 2111100*")</f>
        <v>7525</v>
      </c>
      <c r="G1743" s="83">
        <f>SUMIFS(G1744:G6462,K1744:K6462,"0",B1744:B6462,"5 1 1 3 1 12 31111 6 M59 92000 000181 0000E 00001 00131 015 2111100*")</f>
        <v>0</v>
      </c>
      <c r="H1743" s="83">
        <f t="shared" si="27"/>
        <v>7525</v>
      </c>
      <c r="I1743" s="83"/>
      <c r="K1743" s="54" t="s">
        <v>15</v>
      </c>
    </row>
    <row r="1744" spans="2:11" ht="33" x14ac:dyDescent="0.2">
      <c r="B1744" s="82" t="s">
        <v>3959</v>
      </c>
      <c r="C1744" s="82" t="s">
        <v>660</v>
      </c>
      <c r="D1744" s="83">
        <f>SUMIFS(D1745:D6462,K1745:K6462,"0",B1745:B6462,"5 1 1 3 1 12 31111 6 M59 92000 000181 0000E 00001 00131 015 2111100 2024*")-SUMIFS(E1745:E6462,K1745:K6462,"0",B1745:B6462,"5 1 1 3 1 12 31111 6 M59 92000 000181 0000E 00001 00131 015 2111100 2024*")</f>
        <v>0</v>
      </c>
      <c r="E1744" s="54"/>
      <c r="F1744" s="83">
        <f>SUMIFS(F1745:F6462,K1745:K6462,"0",B1745:B6462,"5 1 1 3 1 12 31111 6 M59 92000 000181 0000E 00001 00131 015 2111100 2024*")</f>
        <v>7525</v>
      </c>
      <c r="G1744" s="83">
        <f>SUMIFS(G1745:G6462,K1745:K6462,"0",B1745:B6462,"5 1 1 3 1 12 31111 6 M59 92000 000181 0000E 00001 00131 015 2111100 2024*")</f>
        <v>0</v>
      </c>
      <c r="H1744" s="83">
        <f t="shared" si="27"/>
        <v>7525</v>
      </c>
      <c r="I1744" s="83"/>
      <c r="K1744" s="54" t="s">
        <v>15</v>
      </c>
    </row>
    <row r="1745" spans="2:11" ht="41.25" x14ac:dyDescent="0.2">
      <c r="B1745" s="82" t="s">
        <v>3960</v>
      </c>
      <c r="C1745" s="82" t="s">
        <v>1056</v>
      </c>
      <c r="D1745" s="83">
        <f>SUMIFS(D1746:D6462,K1746:K6462,"0",B1746:B6462,"5 1 1 3 1 12 31111 6 M59 92000 000181 0000E 00001 00131 015 2111100 2024 CP1RC399*")-SUMIFS(E1746:E6462,K1746:K6462,"0",B1746:B6462,"5 1 1 3 1 12 31111 6 M59 92000 000181 0000E 00001 00131 015 2111100 2024 CP1RC399*")</f>
        <v>0</v>
      </c>
      <c r="E1745" s="54"/>
      <c r="F1745" s="83">
        <f>SUMIFS(F1746:F6462,K1746:K6462,"0",B1746:B6462,"5 1 1 3 1 12 31111 6 M59 92000 000181 0000E 00001 00131 015 2111100 2024 CP1RC399*")</f>
        <v>7525</v>
      </c>
      <c r="G1745" s="83">
        <f>SUMIFS(G1746:G6462,K1746:K6462,"0",B1746:B6462,"5 1 1 3 1 12 31111 6 M59 92000 000181 0000E 00001 00131 015 2111100 2024 CP1RC399*")</f>
        <v>0</v>
      </c>
      <c r="H1745" s="83">
        <f t="shared" si="27"/>
        <v>7525</v>
      </c>
      <c r="I1745" s="83"/>
      <c r="K1745" s="54" t="s">
        <v>15</v>
      </c>
    </row>
    <row r="1746" spans="2:11" ht="41.25" x14ac:dyDescent="0.2">
      <c r="B1746" s="82" t="s">
        <v>3961</v>
      </c>
      <c r="C1746" s="82" t="s">
        <v>282</v>
      </c>
      <c r="D1746" s="83">
        <f>SUMIFS(D1747:D6462,K1747:K6462,"0",B1747:B6462,"5 1 1 3 1 12 31111 6 M59 92000 000181 0000E 00001 00131 015 2111100 2024 CP1RC399 001*")-SUMIFS(E1747:E6462,K1747:K6462,"0",B1747:B6462,"5 1 1 3 1 12 31111 6 M59 92000 000181 0000E 00001 00131 015 2111100 2024 CP1RC399 001*")</f>
        <v>0</v>
      </c>
      <c r="E1746" s="54"/>
      <c r="F1746" s="83">
        <f>SUMIFS(F1747:F6462,K1747:K6462,"0",B1747:B6462,"5 1 1 3 1 12 31111 6 M59 92000 000181 0000E 00001 00131 015 2111100 2024 CP1RC399 001*")</f>
        <v>7525</v>
      </c>
      <c r="G1746" s="83">
        <f>SUMIFS(G1747:G6462,K1747:K6462,"0",B1747:B6462,"5 1 1 3 1 12 31111 6 M59 92000 000181 0000E 00001 00131 015 2111100 2024 CP1RC399 001*")</f>
        <v>0</v>
      </c>
      <c r="H1746" s="83">
        <f t="shared" si="27"/>
        <v>7525</v>
      </c>
      <c r="I1746" s="83"/>
      <c r="K1746" s="54" t="s">
        <v>15</v>
      </c>
    </row>
    <row r="1747" spans="2:11" ht="33" x14ac:dyDescent="0.2">
      <c r="B1747" s="84" t="s">
        <v>3962</v>
      </c>
      <c r="C1747" s="84" t="s">
        <v>3785</v>
      </c>
      <c r="D1747" s="85">
        <v>0</v>
      </c>
      <c r="E1747" s="85"/>
      <c r="F1747" s="85">
        <v>7525</v>
      </c>
      <c r="G1747" s="85">
        <v>0</v>
      </c>
      <c r="H1747" s="85">
        <f t="shared" si="27"/>
        <v>7525</v>
      </c>
      <c r="I1747" s="85"/>
      <c r="K1747" s="54" t="s">
        <v>38</v>
      </c>
    </row>
    <row r="1748" spans="2:11" ht="16.5" x14ac:dyDescent="0.2">
      <c r="B1748" s="82" t="s">
        <v>3963</v>
      </c>
      <c r="C1748" s="82" t="s">
        <v>3644</v>
      </c>
      <c r="D1748" s="83">
        <f>SUMIFS(D1749:D6462,K1749:K6462,"0",B1749:B6462,"5 1 1 3 1 12 31111 6 M59 94000*")-SUMIFS(E1749:E6462,K1749:K6462,"0",B1749:B6462,"5 1 1 3 1 12 31111 6 M59 94000*")</f>
        <v>0</v>
      </c>
      <c r="E1748" s="54"/>
      <c r="F1748" s="83">
        <f>SUMIFS(F1749:F6462,K1749:K6462,"0",B1749:B6462,"5 1 1 3 1 12 31111 6 M59 94000*")</f>
        <v>12005</v>
      </c>
      <c r="G1748" s="83">
        <f>SUMIFS(G1749:G6462,K1749:K6462,"0",B1749:B6462,"5 1 1 3 1 12 31111 6 M59 94000*")</f>
        <v>0</v>
      </c>
      <c r="H1748" s="83">
        <f t="shared" si="27"/>
        <v>12005</v>
      </c>
      <c r="I1748" s="83"/>
      <c r="K1748" s="54" t="s">
        <v>15</v>
      </c>
    </row>
    <row r="1749" spans="2:11" ht="24.75" x14ac:dyDescent="0.2">
      <c r="B1749" s="82" t="s">
        <v>3964</v>
      </c>
      <c r="C1749" s="82" t="s">
        <v>3152</v>
      </c>
      <c r="D1749" s="83">
        <f>SUMIFS(D1750:D6462,K1750:K6462,"0",B1750:B6462,"5 1 1 3 1 12 31111 6 M59 94000 000181*")-SUMIFS(E1750:E6462,K1750:K6462,"0",B1750:B6462,"5 1 1 3 1 12 31111 6 M59 94000 000181*")</f>
        <v>0</v>
      </c>
      <c r="E1749" s="54"/>
      <c r="F1749" s="83">
        <f>SUMIFS(F1750:F6462,K1750:K6462,"0",B1750:B6462,"5 1 1 3 1 12 31111 6 M59 94000 000181*")</f>
        <v>12005</v>
      </c>
      <c r="G1749" s="83">
        <f>SUMIFS(G1750:G6462,K1750:K6462,"0",B1750:B6462,"5 1 1 3 1 12 31111 6 M59 94000 000181*")</f>
        <v>0</v>
      </c>
      <c r="H1749" s="83">
        <f t="shared" si="27"/>
        <v>12005</v>
      </c>
      <c r="I1749" s="83"/>
      <c r="K1749" s="54" t="s">
        <v>15</v>
      </c>
    </row>
    <row r="1750" spans="2:11" ht="16.5" x14ac:dyDescent="0.2">
      <c r="B1750" s="82" t="s">
        <v>3965</v>
      </c>
      <c r="C1750" s="82" t="s">
        <v>650</v>
      </c>
      <c r="D1750" s="83">
        <f>SUMIFS(D1751:D6462,K1751:K6462,"0",B1751:B6462,"5 1 1 3 1 12 31111 6 M59 94000 000181 0000R*")-SUMIFS(E1751:E6462,K1751:K6462,"0",B1751:B6462,"5 1 1 3 1 12 31111 6 M59 94000 000181 0000R*")</f>
        <v>0</v>
      </c>
      <c r="E1750" s="54"/>
      <c r="F1750" s="83">
        <f>SUMIFS(F1751:F6462,K1751:K6462,"0",B1751:B6462,"5 1 1 3 1 12 31111 6 M59 94000 000181 0000R*")</f>
        <v>12005</v>
      </c>
      <c r="G1750" s="83">
        <f>SUMIFS(G1751:G6462,K1751:K6462,"0",B1751:B6462,"5 1 1 3 1 12 31111 6 M59 94000 000181 0000R*")</f>
        <v>0</v>
      </c>
      <c r="H1750" s="83">
        <f t="shared" si="27"/>
        <v>12005</v>
      </c>
      <c r="I1750" s="83"/>
      <c r="K1750" s="54" t="s">
        <v>15</v>
      </c>
    </row>
    <row r="1751" spans="2:11" ht="24.75" x14ac:dyDescent="0.2">
      <c r="B1751" s="82" t="s">
        <v>3966</v>
      </c>
      <c r="C1751" s="82" t="s">
        <v>282</v>
      </c>
      <c r="D1751" s="83">
        <f>SUMIFS(D1752:D6462,K1752:K6462,"0",B1752:B6462,"5 1 1 3 1 12 31111 6 M59 94000 000181 0000R 00001*")-SUMIFS(E1752:E6462,K1752:K6462,"0",B1752:B6462,"5 1 1 3 1 12 31111 6 M59 94000 000181 0000R 00001*")</f>
        <v>0</v>
      </c>
      <c r="E1751" s="54"/>
      <c r="F1751" s="83">
        <f>SUMIFS(F1752:F6462,K1752:K6462,"0",B1752:B6462,"5 1 1 3 1 12 31111 6 M59 94000 000181 0000R 00001*")</f>
        <v>12005</v>
      </c>
      <c r="G1751" s="83">
        <f>SUMIFS(G1752:G6462,K1752:K6462,"0",B1752:B6462,"5 1 1 3 1 12 31111 6 M59 94000 000181 0000R 00001*")</f>
        <v>0</v>
      </c>
      <c r="H1751" s="83">
        <f t="shared" si="27"/>
        <v>12005</v>
      </c>
      <c r="I1751" s="83"/>
      <c r="K1751" s="54" t="s">
        <v>15</v>
      </c>
    </row>
    <row r="1752" spans="2:11" ht="24.75" x14ac:dyDescent="0.2">
      <c r="B1752" s="82" t="s">
        <v>3967</v>
      </c>
      <c r="C1752" s="82" t="s">
        <v>3778</v>
      </c>
      <c r="D1752" s="83">
        <f>SUMIFS(D1753:D6462,K1753:K6462,"0",B1753:B6462,"5 1 1 3 1 12 31111 6 M59 94000 000181 0000R 00001 00131*")-SUMIFS(E1753:E6462,K1753:K6462,"0",B1753:B6462,"5 1 1 3 1 12 31111 6 M59 94000 000181 0000R 00001 00131*")</f>
        <v>0</v>
      </c>
      <c r="E1752" s="54"/>
      <c r="F1752" s="83">
        <f>SUMIFS(F1753:F6462,K1753:K6462,"0",B1753:B6462,"5 1 1 3 1 12 31111 6 M59 94000 000181 0000R 00001 00131*")</f>
        <v>12005</v>
      </c>
      <c r="G1752" s="83">
        <f>SUMIFS(G1753:G6462,K1753:K6462,"0",B1753:B6462,"5 1 1 3 1 12 31111 6 M59 94000 000181 0000R 00001 00131*")</f>
        <v>0</v>
      </c>
      <c r="H1752" s="83">
        <f t="shared" si="27"/>
        <v>12005</v>
      </c>
      <c r="I1752" s="83"/>
      <c r="K1752" s="54" t="s">
        <v>15</v>
      </c>
    </row>
    <row r="1753" spans="2:11" ht="24.75" x14ac:dyDescent="0.2">
      <c r="B1753" s="82" t="s">
        <v>3968</v>
      </c>
      <c r="C1753" s="82" t="s">
        <v>1051</v>
      </c>
      <c r="D1753" s="83">
        <f>SUMIFS(D1754:D6462,K1754:K6462,"0",B1754:B6462,"5 1 1 3 1 12 31111 6 M59 94000 000181 0000R 00001 00131 015*")-SUMIFS(E1754:E6462,K1754:K6462,"0",B1754:B6462,"5 1 1 3 1 12 31111 6 M59 94000 000181 0000R 00001 00131 015*")</f>
        <v>0</v>
      </c>
      <c r="E1753" s="54"/>
      <c r="F1753" s="83">
        <f>SUMIFS(F1754:F6462,K1754:K6462,"0",B1754:B6462,"5 1 1 3 1 12 31111 6 M59 94000 000181 0000R 00001 00131 015*")</f>
        <v>12005</v>
      </c>
      <c r="G1753" s="83">
        <f>SUMIFS(G1754:G6462,K1754:K6462,"0",B1754:B6462,"5 1 1 3 1 12 31111 6 M59 94000 000181 0000R 00001 00131 015*")</f>
        <v>0</v>
      </c>
      <c r="H1753" s="83">
        <f t="shared" si="27"/>
        <v>12005</v>
      </c>
      <c r="I1753" s="83"/>
      <c r="K1753" s="54" t="s">
        <v>15</v>
      </c>
    </row>
    <row r="1754" spans="2:11" ht="33" x14ac:dyDescent="0.2">
      <c r="B1754" s="82" t="s">
        <v>3969</v>
      </c>
      <c r="C1754" s="82" t="s">
        <v>2927</v>
      </c>
      <c r="D1754" s="83">
        <f>SUMIFS(D1755:D6462,K1755:K6462,"0",B1755:B6462,"5 1 1 3 1 12 31111 6 M59 94000 000181 0000R 00001 00131 015 2111100*")-SUMIFS(E1755:E6462,K1755:K6462,"0",B1755:B6462,"5 1 1 3 1 12 31111 6 M59 94000 000181 0000R 00001 00131 015 2111100*")</f>
        <v>0</v>
      </c>
      <c r="E1754" s="54"/>
      <c r="F1754" s="83">
        <f>SUMIFS(F1755:F6462,K1755:K6462,"0",B1755:B6462,"5 1 1 3 1 12 31111 6 M59 94000 000181 0000R 00001 00131 015 2111100*")</f>
        <v>12005</v>
      </c>
      <c r="G1754" s="83">
        <f>SUMIFS(G1755:G6462,K1755:K6462,"0",B1755:B6462,"5 1 1 3 1 12 31111 6 M59 94000 000181 0000R 00001 00131 015 2111100*")</f>
        <v>0</v>
      </c>
      <c r="H1754" s="83">
        <f t="shared" si="27"/>
        <v>12005</v>
      </c>
      <c r="I1754" s="83"/>
      <c r="K1754" s="54" t="s">
        <v>15</v>
      </c>
    </row>
    <row r="1755" spans="2:11" ht="33" x14ac:dyDescent="0.2">
      <c r="B1755" s="82" t="s">
        <v>3970</v>
      </c>
      <c r="C1755" s="82" t="s">
        <v>660</v>
      </c>
      <c r="D1755" s="83">
        <f>SUMIFS(D1756:D6462,K1756:K6462,"0",B1756:B6462,"5 1 1 3 1 12 31111 6 M59 94000 000181 0000R 00001 00131 015 2111100 2024*")-SUMIFS(E1756:E6462,K1756:K6462,"0",B1756:B6462,"5 1 1 3 1 12 31111 6 M59 94000 000181 0000R 00001 00131 015 2111100 2024*")</f>
        <v>0</v>
      </c>
      <c r="E1755" s="54"/>
      <c r="F1755" s="83">
        <f>SUMIFS(F1756:F6462,K1756:K6462,"0",B1756:B6462,"5 1 1 3 1 12 31111 6 M59 94000 000181 0000R 00001 00131 015 2111100 2024*")</f>
        <v>12005</v>
      </c>
      <c r="G1755" s="83">
        <f>SUMIFS(G1756:G6462,K1756:K6462,"0",B1756:B6462,"5 1 1 3 1 12 31111 6 M59 94000 000181 0000R 00001 00131 015 2111100 2024*")</f>
        <v>0</v>
      </c>
      <c r="H1755" s="83">
        <f t="shared" si="27"/>
        <v>12005</v>
      </c>
      <c r="I1755" s="83"/>
      <c r="K1755" s="54" t="s">
        <v>15</v>
      </c>
    </row>
    <row r="1756" spans="2:11" ht="41.25" x14ac:dyDescent="0.2">
      <c r="B1756" s="82" t="s">
        <v>3971</v>
      </c>
      <c r="C1756" s="82" t="s">
        <v>1056</v>
      </c>
      <c r="D1756" s="83">
        <f>SUMIFS(D1757:D6462,K1757:K6462,"0",B1757:B6462,"5 1 1 3 1 12 31111 6 M59 94000 000181 0000R 00001 00131 015 2111100 2024 CP1OM392*")-SUMIFS(E1757:E6462,K1757:K6462,"0",B1757:B6462,"5 1 1 3 1 12 31111 6 M59 94000 000181 0000R 00001 00131 015 2111100 2024 CP1OM392*")</f>
        <v>0</v>
      </c>
      <c r="E1756" s="54"/>
      <c r="F1756" s="83">
        <f>SUMIFS(F1757:F6462,K1757:K6462,"0",B1757:B6462,"5 1 1 3 1 12 31111 6 M59 94000 000181 0000R 00001 00131 015 2111100 2024 CP1OM392*")</f>
        <v>12005</v>
      </c>
      <c r="G1756" s="83">
        <f>SUMIFS(G1757:G6462,K1757:K6462,"0",B1757:B6462,"5 1 1 3 1 12 31111 6 M59 94000 000181 0000R 00001 00131 015 2111100 2024 CP1OM392*")</f>
        <v>0</v>
      </c>
      <c r="H1756" s="83">
        <f t="shared" si="27"/>
        <v>12005</v>
      </c>
      <c r="I1756" s="83"/>
      <c r="K1756" s="54" t="s">
        <v>15</v>
      </c>
    </row>
    <row r="1757" spans="2:11" ht="41.25" x14ac:dyDescent="0.2">
      <c r="B1757" s="82" t="s">
        <v>3972</v>
      </c>
      <c r="C1757" s="82" t="s">
        <v>282</v>
      </c>
      <c r="D1757" s="83">
        <f>SUMIFS(D1758:D6462,K1758:K6462,"0",B1758:B6462,"5 1 1 3 1 12 31111 6 M59 94000 000181 0000R 00001 00131 015 2111100 2024 CP1OM392 001*")-SUMIFS(E1758:E6462,K1758:K6462,"0",B1758:B6462,"5 1 1 3 1 12 31111 6 M59 94000 000181 0000R 00001 00131 015 2111100 2024 CP1OM392 001*")</f>
        <v>0</v>
      </c>
      <c r="E1757" s="54"/>
      <c r="F1757" s="83">
        <f>SUMIFS(F1758:F6462,K1758:K6462,"0",B1758:B6462,"5 1 1 3 1 12 31111 6 M59 94000 000181 0000R 00001 00131 015 2111100 2024 CP1OM392 001*")</f>
        <v>12005</v>
      </c>
      <c r="G1757" s="83">
        <f>SUMIFS(G1758:G6462,K1758:K6462,"0",B1758:B6462,"5 1 1 3 1 12 31111 6 M59 94000 000181 0000R 00001 00131 015 2111100 2024 CP1OM392 001*")</f>
        <v>0</v>
      </c>
      <c r="H1757" s="83">
        <f t="shared" si="27"/>
        <v>12005</v>
      </c>
      <c r="I1757" s="83"/>
      <c r="K1757" s="54" t="s">
        <v>15</v>
      </c>
    </row>
    <row r="1758" spans="2:11" ht="33" x14ac:dyDescent="0.2">
      <c r="B1758" s="84" t="s">
        <v>3973</v>
      </c>
      <c r="C1758" s="84" t="s">
        <v>3785</v>
      </c>
      <c r="D1758" s="85">
        <v>0</v>
      </c>
      <c r="E1758" s="85"/>
      <c r="F1758" s="85">
        <v>12005</v>
      </c>
      <c r="G1758" s="85">
        <v>0</v>
      </c>
      <c r="H1758" s="85">
        <f t="shared" si="27"/>
        <v>12005</v>
      </c>
      <c r="I1758" s="85"/>
      <c r="K1758" s="54" t="s">
        <v>38</v>
      </c>
    </row>
    <row r="1759" spans="2:11" ht="16.5" x14ac:dyDescent="0.2">
      <c r="B1759" s="82" t="s">
        <v>3974</v>
      </c>
      <c r="C1759" s="82" t="s">
        <v>3656</v>
      </c>
      <c r="D1759" s="83">
        <f>SUMIFS(D1760:D6462,K1760:K6462,"0",B1760:B6462,"5 1 1 3 1 12 31111 6 M59 94100*")-SUMIFS(E1760:E6462,K1760:K6462,"0",B1760:B6462,"5 1 1 3 1 12 31111 6 M59 94100*")</f>
        <v>0</v>
      </c>
      <c r="E1759" s="54"/>
      <c r="F1759" s="83">
        <f>SUMIFS(F1760:F6462,K1760:K6462,"0",B1760:B6462,"5 1 1 3 1 12 31111 6 M59 94100*")</f>
        <v>4375</v>
      </c>
      <c r="G1759" s="83">
        <f>SUMIFS(G1760:G6462,K1760:K6462,"0",B1760:B6462,"5 1 1 3 1 12 31111 6 M59 94100*")</f>
        <v>0</v>
      </c>
      <c r="H1759" s="83">
        <f t="shared" si="27"/>
        <v>4375</v>
      </c>
      <c r="I1759" s="83"/>
      <c r="K1759" s="54" t="s">
        <v>15</v>
      </c>
    </row>
    <row r="1760" spans="2:11" ht="16.5" x14ac:dyDescent="0.2">
      <c r="B1760" s="82" t="s">
        <v>3975</v>
      </c>
      <c r="C1760" s="82" t="s">
        <v>648</v>
      </c>
      <c r="D1760" s="83">
        <f>SUMIFS(D1761:D6462,K1761:K6462,"0",B1761:B6462,"5 1 1 3 1 12 31111 6 M59 94100 000132*")-SUMIFS(E1761:E6462,K1761:K6462,"0",B1761:B6462,"5 1 1 3 1 12 31111 6 M59 94100 000132*")</f>
        <v>0</v>
      </c>
      <c r="E1760" s="54"/>
      <c r="F1760" s="83">
        <f>SUMIFS(F1761:F6462,K1761:K6462,"0",B1761:B6462,"5 1 1 3 1 12 31111 6 M59 94100 000132*")</f>
        <v>4375</v>
      </c>
      <c r="G1760" s="83">
        <f>SUMIFS(G1761:G6462,K1761:K6462,"0",B1761:B6462,"5 1 1 3 1 12 31111 6 M59 94100 000132*")</f>
        <v>0</v>
      </c>
      <c r="H1760" s="83">
        <f t="shared" si="27"/>
        <v>4375</v>
      </c>
      <c r="I1760" s="83"/>
      <c r="K1760" s="54" t="s">
        <v>15</v>
      </c>
    </row>
    <row r="1761" spans="2:11" ht="16.5" x14ac:dyDescent="0.2">
      <c r="B1761" s="82" t="s">
        <v>3976</v>
      </c>
      <c r="C1761" s="82" t="s">
        <v>650</v>
      </c>
      <c r="D1761" s="83">
        <f>SUMIFS(D1762:D6462,K1762:K6462,"0",B1762:B6462,"5 1 1 3 1 12 31111 6 M59 94100 000132 0000R*")-SUMIFS(E1762:E6462,K1762:K6462,"0",B1762:B6462,"5 1 1 3 1 12 31111 6 M59 94100 000132 0000R*")</f>
        <v>0</v>
      </c>
      <c r="E1761" s="54"/>
      <c r="F1761" s="83">
        <f>SUMIFS(F1762:F6462,K1762:K6462,"0",B1762:B6462,"5 1 1 3 1 12 31111 6 M59 94100 000132 0000R*")</f>
        <v>4375</v>
      </c>
      <c r="G1761" s="83">
        <f>SUMIFS(G1762:G6462,K1762:K6462,"0",B1762:B6462,"5 1 1 3 1 12 31111 6 M59 94100 000132 0000R*")</f>
        <v>0</v>
      </c>
      <c r="H1761" s="83">
        <f t="shared" si="27"/>
        <v>4375</v>
      </c>
      <c r="I1761" s="83"/>
      <c r="K1761" s="54" t="s">
        <v>15</v>
      </c>
    </row>
    <row r="1762" spans="2:11" ht="24.75" x14ac:dyDescent="0.2">
      <c r="B1762" s="82" t="s">
        <v>3977</v>
      </c>
      <c r="C1762" s="82" t="s">
        <v>282</v>
      </c>
      <c r="D1762" s="83">
        <f>SUMIFS(D1763:D6462,K1763:K6462,"0",B1763:B6462,"5 1 1 3 1 12 31111 6 M59 94100 000132 0000R 00001*")-SUMIFS(E1763:E6462,K1763:K6462,"0",B1763:B6462,"5 1 1 3 1 12 31111 6 M59 94100 000132 0000R 00001*")</f>
        <v>0</v>
      </c>
      <c r="E1762" s="54"/>
      <c r="F1762" s="83">
        <f>SUMIFS(F1763:F6462,K1763:K6462,"0",B1763:B6462,"5 1 1 3 1 12 31111 6 M59 94100 000132 0000R 00001*")</f>
        <v>4375</v>
      </c>
      <c r="G1762" s="83">
        <f>SUMIFS(G1763:G6462,K1763:K6462,"0",B1763:B6462,"5 1 1 3 1 12 31111 6 M59 94100 000132 0000R 00001*")</f>
        <v>0</v>
      </c>
      <c r="H1762" s="83">
        <f t="shared" si="27"/>
        <v>4375</v>
      </c>
      <c r="I1762" s="83"/>
      <c r="K1762" s="54" t="s">
        <v>15</v>
      </c>
    </row>
    <row r="1763" spans="2:11" ht="24.75" x14ac:dyDescent="0.2">
      <c r="B1763" s="82" t="s">
        <v>3978</v>
      </c>
      <c r="C1763" s="82" t="s">
        <v>3778</v>
      </c>
      <c r="D1763" s="83">
        <f>SUMIFS(D1764:D6462,K1764:K6462,"0",B1764:B6462,"5 1 1 3 1 12 31111 6 M59 94100 000132 0000R 00001 00131*")-SUMIFS(E1764:E6462,K1764:K6462,"0",B1764:B6462,"5 1 1 3 1 12 31111 6 M59 94100 000132 0000R 00001 00131*")</f>
        <v>0</v>
      </c>
      <c r="E1763" s="54"/>
      <c r="F1763" s="83">
        <f>SUMIFS(F1764:F6462,K1764:K6462,"0",B1764:B6462,"5 1 1 3 1 12 31111 6 M59 94100 000132 0000R 00001 00131*")</f>
        <v>4375</v>
      </c>
      <c r="G1763" s="83">
        <f>SUMIFS(G1764:G6462,K1764:K6462,"0",B1764:B6462,"5 1 1 3 1 12 31111 6 M59 94100 000132 0000R 00001 00131*")</f>
        <v>0</v>
      </c>
      <c r="H1763" s="83">
        <f t="shared" si="27"/>
        <v>4375</v>
      </c>
      <c r="I1763" s="83"/>
      <c r="K1763" s="54" t="s">
        <v>15</v>
      </c>
    </row>
    <row r="1764" spans="2:11" ht="24.75" x14ac:dyDescent="0.2">
      <c r="B1764" s="82" t="s">
        <v>3979</v>
      </c>
      <c r="C1764" s="82" t="s">
        <v>1051</v>
      </c>
      <c r="D1764" s="83">
        <f>SUMIFS(D1765:D6462,K1765:K6462,"0",B1765:B6462,"5 1 1 3 1 12 31111 6 M59 94100 000132 0000R 00001 00131 015*")-SUMIFS(E1765:E6462,K1765:K6462,"0",B1765:B6462,"5 1 1 3 1 12 31111 6 M59 94100 000132 0000R 00001 00131 015*")</f>
        <v>0</v>
      </c>
      <c r="E1764" s="54"/>
      <c r="F1764" s="83">
        <f>SUMIFS(F1765:F6462,K1765:K6462,"0",B1765:B6462,"5 1 1 3 1 12 31111 6 M59 94100 000132 0000R 00001 00131 015*")</f>
        <v>4375</v>
      </c>
      <c r="G1764" s="83">
        <f>SUMIFS(G1765:G6462,K1765:K6462,"0",B1765:B6462,"5 1 1 3 1 12 31111 6 M59 94100 000132 0000R 00001 00131 015*")</f>
        <v>0</v>
      </c>
      <c r="H1764" s="83">
        <f t="shared" si="27"/>
        <v>4375</v>
      </c>
      <c r="I1764" s="83"/>
      <c r="K1764" s="54" t="s">
        <v>15</v>
      </c>
    </row>
    <row r="1765" spans="2:11" ht="33" x14ac:dyDescent="0.2">
      <c r="B1765" s="82" t="s">
        <v>3980</v>
      </c>
      <c r="C1765" s="82" t="s">
        <v>2927</v>
      </c>
      <c r="D1765" s="83">
        <f>SUMIFS(D1766:D6462,K1766:K6462,"0",B1766:B6462,"5 1 1 3 1 12 31111 6 M59 94100 000132 0000R 00001 00131 015 2111100*")-SUMIFS(E1766:E6462,K1766:K6462,"0",B1766:B6462,"5 1 1 3 1 12 31111 6 M59 94100 000132 0000R 00001 00131 015 2111100*")</f>
        <v>0</v>
      </c>
      <c r="E1765" s="54"/>
      <c r="F1765" s="83">
        <f>SUMIFS(F1766:F6462,K1766:K6462,"0",B1766:B6462,"5 1 1 3 1 12 31111 6 M59 94100 000132 0000R 00001 00131 015 2111100*")</f>
        <v>4375</v>
      </c>
      <c r="G1765" s="83">
        <f>SUMIFS(G1766:G6462,K1766:K6462,"0",B1766:B6462,"5 1 1 3 1 12 31111 6 M59 94100 000132 0000R 00001 00131 015 2111100*")</f>
        <v>0</v>
      </c>
      <c r="H1765" s="83">
        <f t="shared" si="27"/>
        <v>4375</v>
      </c>
      <c r="I1765" s="83"/>
      <c r="K1765" s="54" t="s">
        <v>15</v>
      </c>
    </row>
    <row r="1766" spans="2:11" ht="33" x14ac:dyDescent="0.2">
      <c r="B1766" s="82" t="s">
        <v>3981</v>
      </c>
      <c r="C1766" s="82" t="s">
        <v>660</v>
      </c>
      <c r="D1766" s="83">
        <f>SUMIFS(D1767:D6462,K1767:K6462,"0",B1767:B6462,"5 1 1 3 1 12 31111 6 M59 94100 000132 0000R 00001 00131 015 2111100 2024*")-SUMIFS(E1767:E6462,K1767:K6462,"0",B1767:B6462,"5 1 1 3 1 12 31111 6 M59 94100 000132 0000R 00001 00131 015 2111100 2024*")</f>
        <v>0</v>
      </c>
      <c r="E1766" s="54"/>
      <c r="F1766" s="83">
        <f>SUMIFS(F1767:F6462,K1767:K6462,"0",B1767:B6462,"5 1 1 3 1 12 31111 6 M59 94100 000132 0000R 00001 00131 015 2111100 2024*")</f>
        <v>4375</v>
      </c>
      <c r="G1766" s="83">
        <f>SUMIFS(G1767:G6462,K1767:K6462,"0",B1767:B6462,"5 1 1 3 1 12 31111 6 M59 94100 000132 0000R 00001 00131 015 2111100 2024*")</f>
        <v>0</v>
      </c>
      <c r="H1766" s="83">
        <f t="shared" si="27"/>
        <v>4375</v>
      </c>
      <c r="I1766" s="83"/>
      <c r="K1766" s="54" t="s">
        <v>15</v>
      </c>
    </row>
    <row r="1767" spans="2:11" ht="41.25" x14ac:dyDescent="0.2">
      <c r="B1767" s="82" t="s">
        <v>3982</v>
      </c>
      <c r="C1767" s="82" t="s">
        <v>1056</v>
      </c>
      <c r="D1767" s="83">
        <f>SUMIFS(D1768:D6462,K1768:K6462,"0",B1768:B6462,"5 1 1 3 1 12 31111 6 M59 94100 000132 0000R 00001 00131 015 2111100 2024 CP1AT427*")-SUMIFS(E1768:E6462,K1768:K6462,"0",B1768:B6462,"5 1 1 3 1 12 31111 6 M59 94100 000132 0000R 00001 00131 015 2111100 2024 CP1AT427*")</f>
        <v>0</v>
      </c>
      <c r="E1767" s="54"/>
      <c r="F1767" s="83">
        <f>SUMIFS(F1768:F6462,K1768:K6462,"0",B1768:B6462,"5 1 1 3 1 12 31111 6 M59 94100 000132 0000R 00001 00131 015 2111100 2024 CP1AT427*")</f>
        <v>4375</v>
      </c>
      <c r="G1767" s="83">
        <f>SUMIFS(G1768:G6462,K1768:K6462,"0",B1768:B6462,"5 1 1 3 1 12 31111 6 M59 94100 000132 0000R 00001 00131 015 2111100 2024 CP1AT427*")</f>
        <v>0</v>
      </c>
      <c r="H1767" s="83">
        <f t="shared" si="27"/>
        <v>4375</v>
      </c>
      <c r="I1767" s="83"/>
      <c r="K1767" s="54" t="s">
        <v>15</v>
      </c>
    </row>
    <row r="1768" spans="2:11" ht="41.25" x14ac:dyDescent="0.2">
      <c r="B1768" s="82" t="s">
        <v>3983</v>
      </c>
      <c r="C1768" s="82" t="s">
        <v>282</v>
      </c>
      <c r="D1768" s="83">
        <f>SUMIFS(D1769:D6462,K1769:K6462,"0",B1769:B6462,"5 1 1 3 1 12 31111 6 M59 94100 000132 0000R 00001 00131 015 2111100 2024 CP1AT427 001*")-SUMIFS(E1769:E6462,K1769:K6462,"0",B1769:B6462,"5 1 1 3 1 12 31111 6 M59 94100 000132 0000R 00001 00131 015 2111100 2024 CP1AT427 001*")</f>
        <v>0</v>
      </c>
      <c r="E1768" s="54"/>
      <c r="F1768" s="83">
        <f>SUMIFS(F1769:F6462,K1769:K6462,"0",B1769:B6462,"5 1 1 3 1 12 31111 6 M59 94100 000132 0000R 00001 00131 015 2111100 2024 CP1AT427 001*")</f>
        <v>4375</v>
      </c>
      <c r="G1768" s="83">
        <f>SUMIFS(G1769:G6462,K1769:K6462,"0",B1769:B6462,"5 1 1 3 1 12 31111 6 M59 94100 000132 0000R 00001 00131 015 2111100 2024 CP1AT427 001*")</f>
        <v>0</v>
      </c>
      <c r="H1768" s="83">
        <f t="shared" si="27"/>
        <v>4375</v>
      </c>
      <c r="I1768" s="83"/>
      <c r="K1768" s="54" t="s">
        <v>15</v>
      </c>
    </row>
    <row r="1769" spans="2:11" ht="33" x14ac:dyDescent="0.2">
      <c r="B1769" s="84" t="s">
        <v>3984</v>
      </c>
      <c r="C1769" s="84" t="s">
        <v>3785</v>
      </c>
      <c r="D1769" s="85">
        <v>0</v>
      </c>
      <c r="E1769" s="85"/>
      <c r="F1769" s="85">
        <v>4375</v>
      </c>
      <c r="G1769" s="85">
        <v>0</v>
      </c>
      <c r="H1769" s="85">
        <f t="shared" si="27"/>
        <v>4375</v>
      </c>
      <c r="I1769" s="85"/>
      <c r="K1769" s="54" t="s">
        <v>38</v>
      </c>
    </row>
    <row r="1770" spans="2:11" ht="16.5" x14ac:dyDescent="0.2">
      <c r="B1770" s="82" t="s">
        <v>3985</v>
      </c>
      <c r="C1770" s="82" t="s">
        <v>3693</v>
      </c>
      <c r="D1770" s="83">
        <f>SUMIFS(D1771:D6462,K1771:K6462,"0",B1771:B6462,"5 1 1 3 1 12 31111 6 M59 96100*")-SUMIFS(E1771:E6462,K1771:K6462,"0",B1771:B6462,"5 1 1 3 1 12 31111 6 M59 96100*")</f>
        <v>0</v>
      </c>
      <c r="E1770" s="54"/>
      <c r="F1770" s="83">
        <f>SUMIFS(F1771:F6462,K1771:K6462,"0",B1771:B6462,"5 1 1 3 1 12 31111 6 M59 96100*")</f>
        <v>560</v>
      </c>
      <c r="G1770" s="83">
        <f>SUMIFS(G1771:G6462,K1771:K6462,"0",B1771:B6462,"5 1 1 3 1 12 31111 6 M59 96100*")</f>
        <v>0</v>
      </c>
      <c r="H1770" s="83">
        <f t="shared" si="27"/>
        <v>560</v>
      </c>
      <c r="I1770" s="83"/>
      <c r="K1770" s="54" t="s">
        <v>15</v>
      </c>
    </row>
    <row r="1771" spans="2:11" ht="16.5" x14ac:dyDescent="0.2">
      <c r="B1771" s="82" t="s">
        <v>3986</v>
      </c>
      <c r="C1771" s="82" t="s">
        <v>1310</v>
      </c>
      <c r="D1771" s="83">
        <f>SUMIFS(D1772:D6462,K1772:K6462,"0",B1772:B6462,"5 1 1 3 1 12 31111 6 M59 96100 000211*")-SUMIFS(E1772:E6462,K1772:K6462,"0",B1772:B6462,"5 1 1 3 1 12 31111 6 M59 96100 000211*")</f>
        <v>0</v>
      </c>
      <c r="E1771" s="54"/>
      <c r="F1771" s="83">
        <f>SUMIFS(F1772:F6462,K1772:K6462,"0",B1772:B6462,"5 1 1 3 1 12 31111 6 M59 96100 000211*")</f>
        <v>560</v>
      </c>
      <c r="G1771" s="83">
        <f>SUMIFS(G1772:G6462,K1772:K6462,"0",B1772:B6462,"5 1 1 3 1 12 31111 6 M59 96100 000211*")</f>
        <v>0</v>
      </c>
      <c r="H1771" s="83">
        <f t="shared" ref="H1771:H1834" si="28">D1771 + F1771 - G1771</f>
        <v>560</v>
      </c>
      <c r="I1771" s="83"/>
      <c r="K1771" s="54" t="s">
        <v>15</v>
      </c>
    </row>
    <row r="1772" spans="2:11" ht="16.5" x14ac:dyDescent="0.2">
      <c r="B1772" s="82" t="s">
        <v>3987</v>
      </c>
      <c r="C1772" s="82" t="s">
        <v>3696</v>
      </c>
      <c r="D1772" s="83">
        <f>SUMIFS(D1773:D6462,K1773:K6462,"0",B1773:B6462,"5 1 1 3 1 12 31111 6 M59 96100 000211 0000U*")-SUMIFS(E1773:E6462,K1773:K6462,"0",B1773:B6462,"5 1 1 3 1 12 31111 6 M59 96100 000211 0000U*")</f>
        <v>0</v>
      </c>
      <c r="E1772" s="54"/>
      <c r="F1772" s="83">
        <f>SUMIFS(F1773:F6462,K1773:K6462,"0",B1773:B6462,"5 1 1 3 1 12 31111 6 M59 96100 000211 0000U*")</f>
        <v>560</v>
      </c>
      <c r="G1772" s="83">
        <f>SUMIFS(G1773:G6462,K1773:K6462,"0",B1773:B6462,"5 1 1 3 1 12 31111 6 M59 96100 000211 0000U*")</f>
        <v>0</v>
      </c>
      <c r="H1772" s="83">
        <f t="shared" si="28"/>
        <v>560</v>
      </c>
      <c r="I1772" s="83"/>
      <c r="K1772" s="54" t="s">
        <v>15</v>
      </c>
    </row>
    <row r="1773" spans="2:11" ht="24.75" x14ac:dyDescent="0.2">
      <c r="B1773" s="82" t="s">
        <v>3988</v>
      </c>
      <c r="C1773" s="82" t="s">
        <v>282</v>
      </c>
      <c r="D1773" s="83">
        <f>SUMIFS(D1774:D6462,K1774:K6462,"0",B1774:B6462,"5 1 1 3 1 12 31111 6 M59 96100 000211 0000U 00001*")-SUMIFS(E1774:E6462,K1774:K6462,"0",B1774:B6462,"5 1 1 3 1 12 31111 6 M59 96100 000211 0000U 00001*")</f>
        <v>0</v>
      </c>
      <c r="E1773" s="54"/>
      <c r="F1773" s="83">
        <f>SUMIFS(F1774:F6462,K1774:K6462,"0",B1774:B6462,"5 1 1 3 1 12 31111 6 M59 96100 000211 0000U 00001*")</f>
        <v>560</v>
      </c>
      <c r="G1773" s="83">
        <f>SUMIFS(G1774:G6462,K1774:K6462,"0",B1774:B6462,"5 1 1 3 1 12 31111 6 M59 96100 000211 0000U 00001*")</f>
        <v>0</v>
      </c>
      <c r="H1773" s="83">
        <f t="shared" si="28"/>
        <v>560</v>
      </c>
      <c r="I1773" s="83"/>
      <c r="K1773" s="54" t="s">
        <v>15</v>
      </c>
    </row>
    <row r="1774" spans="2:11" ht="24.75" x14ac:dyDescent="0.2">
      <c r="B1774" s="82" t="s">
        <v>3989</v>
      </c>
      <c r="C1774" s="82" t="s">
        <v>3778</v>
      </c>
      <c r="D1774" s="83">
        <f>SUMIFS(D1775:D6462,K1775:K6462,"0",B1775:B6462,"5 1 1 3 1 12 31111 6 M59 96100 000211 0000U 00001 00131*")-SUMIFS(E1775:E6462,K1775:K6462,"0",B1775:B6462,"5 1 1 3 1 12 31111 6 M59 96100 000211 0000U 00001 00131*")</f>
        <v>0</v>
      </c>
      <c r="E1774" s="54"/>
      <c r="F1774" s="83">
        <f>SUMIFS(F1775:F6462,K1775:K6462,"0",B1775:B6462,"5 1 1 3 1 12 31111 6 M59 96100 000211 0000U 00001 00131*")</f>
        <v>560</v>
      </c>
      <c r="G1774" s="83">
        <f>SUMIFS(G1775:G6462,K1775:K6462,"0",B1775:B6462,"5 1 1 3 1 12 31111 6 M59 96100 000211 0000U 00001 00131*")</f>
        <v>0</v>
      </c>
      <c r="H1774" s="83">
        <f t="shared" si="28"/>
        <v>560</v>
      </c>
      <c r="I1774" s="83"/>
      <c r="K1774" s="54" t="s">
        <v>15</v>
      </c>
    </row>
    <row r="1775" spans="2:11" ht="24.75" x14ac:dyDescent="0.2">
      <c r="B1775" s="82" t="s">
        <v>3990</v>
      </c>
      <c r="C1775" s="82" t="s">
        <v>1051</v>
      </c>
      <c r="D1775" s="83">
        <f>SUMIFS(D1776:D6462,K1776:K6462,"0",B1776:B6462,"5 1 1 3 1 12 31111 6 M59 96100 000211 0000U 00001 00131 015*")-SUMIFS(E1776:E6462,K1776:K6462,"0",B1776:B6462,"5 1 1 3 1 12 31111 6 M59 96100 000211 0000U 00001 00131 015*")</f>
        <v>0</v>
      </c>
      <c r="E1775" s="54"/>
      <c r="F1775" s="83">
        <f>SUMIFS(F1776:F6462,K1776:K6462,"0",B1776:B6462,"5 1 1 3 1 12 31111 6 M59 96100 000211 0000U 00001 00131 015*")</f>
        <v>560</v>
      </c>
      <c r="G1775" s="83">
        <f>SUMIFS(G1776:G6462,K1776:K6462,"0",B1776:B6462,"5 1 1 3 1 12 31111 6 M59 96100 000211 0000U 00001 00131 015*")</f>
        <v>0</v>
      </c>
      <c r="H1775" s="83">
        <f t="shared" si="28"/>
        <v>560</v>
      </c>
      <c r="I1775" s="83"/>
      <c r="K1775" s="54" t="s">
        <v>15</v>
      </c>
    </row>
    <row r="1776" spans="2:11" ht="33" x14ac:dyDescent="0.2">
      <c r="B1776" s="82" t="s">
        <v>3991</v>
      </c>
      <c r="C1776" s="82" t="s">
        <v>2927</v>
      </c>
      <c r="D1776" s="83">
        <f>SUMIFS(D1777:D6462,K1777:K6462,"0",B1777:B6462,"5 1 1 3 1 12 31111 6 M59 96100 000211 0000U 00001 00131 015 2111100*")-SUMIFS(E1777:E6462,K1777:K6462,"0",B1777:B6462,"5 1 1 3 1 12 31111 6 M59 96100 000211 0000U 00001 00131 015 2111100*")</f>
        <v>0</v>
      </c>
      <c r="E1776" s="54"/>
      <c r="F1776" s="83">
        <f>SUMIFS(F1777:F6462,K1777:K6462,"0",B1777:B6462,"5 1 1 3 1 12 31111 6 M59 96100 000211 0000U 00001 00131 015 2111100*")</f>
        <v>560</v>
      </c>
      <c r="G1776" s="83">
        <f>SUMIFS(G1777:G6462,K1777:K6462,"0",B1777:B6462,"5 1 1 3 1 12 31111 6 M59 96100 000211 0000U 00001 00131 015 2111100*")</f>
        <v>0</v>
      </c>
      <c r="H1776" s="83">
        <f t="shared" si="28"/>
        <v>560</v>
      </c>
      <c r="I1776" s="83"/>
      <c r="K1776" s="54" t="s">
        <v>15</v>
      </c>
    </row>
    <row r="1777" spans="2:11" ht="33" x14ac:dyDescent="0.2">
      <c r="B1777" s="82" t="s">
        <v>3992</v>
      </c>
      <c r="C1777" s="82" t="s">
        <v>660</v>
      </c>
      <c r="D1777" s="83">
        <f>SUMIFS(D1778:D6462,K1778:K6462,"0",B1778:B6462,"5 1 1 3 1 12 31111 6 M59 96100 000211 0000U 00001 00131 015 2111100 2024*")-SUMIFS(E1778:E6462,K1778:K6462,"0",B1778:B6462,"5 1 1 3 1 12 31111 6 M59 96100 000211 0000U 00001 00131 015 2111100 2024*")</f>
        <v>0</v>
      </c>
      <c r="E1777" s="54"/>
      <c r="F1777" s="83">
        <f>SUMIFS(F1778:F6462,K1778:K6462,"0",B1778:B6462,"5 1 1 3 1 12 31111 6 M59 96100 000211 0000U 00001 00131 015 2111100 2024*")</f>
        <v>560</v>
      </c>
      <c r="G1777" s="83">
        <f>SUMIFS(G1778:G6462,K1778:K6462,"0",B1778:B6462,"5 1 1 3 1 12 31111 6 M59 96100 000211 0000U 00001 00131 015 2111100 2024*")</f>
        <v>0</v>
      </c>
      <c r="H1777" s="83">
        <f t="shared" si="28"/>
        <v>560</v>
      </c>
      <c r="I1777" s="83"/>
      <c r="K1777" s="54" t="s">
        <v>15</v>
      </c>
    </row>
    <row r="1778" spans="2:11" ht="41.25" x14ac:dyDescent="0.2">
      <c r="B1778" s="82" t="s">
        <v>3993</v>
      </c>
      <c r="C1778" s="82" t="s">
        <v>1056</v>
      </c>
      <c r="D1778" s="83">
        <f>SUMIFS(D1779:D6462,K1779:K6462,"0",B1779:B6462,"5 1 1 3 1 12 31111 6 M59 96100 000211 0000U 00001 00131 015 2111100 2024 CP1IU412*")-SUMIFS(E1779:E6462,K1779:K6462,"0",B1779:B6462,"5 1 1 3 1 12 31111 6 M59 96100 000211 0000U 00001 00131 015 2111100 2024 CP1IU412*")</f>
        <v>0</v>
      </c>
      <c r="E1778" s="54"/>
      <c r="F1778" s="83">
        <f>SUMIFS(F1779:F6462,K1779:K6462,"0",B1779:B6462,"5 1 1 3 1 12 31111 6 M59 96100 000211 0000U 00001 00131 015 2111100 2024 CP1IU412*")</f>
        <v>560</v>
      </c>
      <c r="G1778" s="83">
        <f>SUMIFS(G1779:G6462,K1779:K6462,"0",B1779:B6462,"5 1 1 3 1 12 31111 6 M59 96100 000211 0000U 00001 00131 015 2111100 2024 CP1IU412*")</f>
        <v>0</v>
      </c>
      <c r="H1778" s="83">
        <f t="shared" si="28"/>
        <v>560</v>
      </c>
      <c r="I1778" s="83"/>
      <c r="K1778" s="54" t="s">
        <v>15</v>
      </c>
    </row>
    <row r="1779" spans="2:11" ht="41.25" x14ac:dyDescent="0.2">
      <c r="B1779" s="82" t="s">
        <v>3994</v>
      </c>
      <c r="C1779" s="82" t="s">
        <v>282</v>
      </c>
      <c r="D1779" s="83">
        <f>SUMIFS(D1780:D6462,K1780:K6462,"0",B1780:B6462,"5 1 1 3 1 12 31111 6 M59 96100 000211 0000U 00001 00131 015 2111100 2024 CP1IU412 001*")-SUMIFS(E1780:E6462,K1780:K6462,"0",B1780:B6462,"5 1 1 3 1 12 31111 6 M59 96100 000211 0000U 00001 00131 015 2111100 2024 CP1IU412 001*")</f>
        <v>0</v>
      </c>
      <c r="E1779" s="54"/>
      <c r="F1779" s="83">
        <f>SUMIFS(F1780:F6462,K1780:K6462,"0",B1780:B6462,"5 1 1 3 1 12 31111 6 M59 96100 000211 0000U 00001 00131 015 2111100 2024 CP1IU412 001*")</f>
        <v>560</v>
      </c>
      <c r="G1779" s="83">
        <f>SUMIFS(G1780:G6462,K1780:K6462,"0",B1780:B6462,"5 1 1 3 1 12 31111 6 M59 96100 000211 0000U 00001 00131 015 2111100 2024 CP1IU412 001*")</f>
        <v>0</v>
      </c>
      <c r="H1779" s="83">
        <f t="shared" si="28"/>
        <v>560</v>
      </c>
      <c r="I1779" s="83"/>
      <c r="K1779" s="54" t="s">
        <v>15</v>
      </c>
    </row>
    <row r="1780" spans="2:11" ht="33" x14ac:dyDescent="0.2">
      <c r="B1780" s="84" t="s">
        <v>3995</v>
      </c>
      <c r="C1780" s="84" t="s">
        <v>3785</v>
      </c>
      <c r="D1780" s="85">
        <v>0</v>
      </c>
      <c r="E1780" s="85"/>
      <c r="F1780" s="85">
        <v>560</v>
      </c>
      <c r="G1780" s="85">
        <v>0</v>
      </c>
      <c r="H1780" s="85">
        <f t="shared" si="28"/>
        <v>560</v>
      </c>
      <c r="I1780" s="85"/>
      <c r="K1780" s="54" t="s">
        <v>38</v>
      </c>
    </row>
    <row r="1781" spans="2:11" ht="16.5" x14ac:dyDescent="0.2">
      <c r="B1781" s="82" t="s">
        <v>3996</v>
      </c>
      <c r="C1781" s="82" t="s">
        <v>3706</v>
      </c>
      <c r="D1781" s="83">
        <f>SUMIFS(D1782:D6462,K1782:K6462,"0",B1782:B6462,"5 1 1 3 1 12 31111 6 M59 96200*")-SUMIFS(E1782:E6462,K1782:K6462,"0",B1782:B6462,"5 1 1 3 1 12 31111 6 M59 96200*")</f>
        <v>0</v>
      </c>
      <c r="E1781" s="54"/>
      <c r="F1781" s="83">
        <f>SUMIFS(F1782:F6462,K1782:K6462,"0",B1782:B6462,"5 1 1 3 1 12 31111 6 M59 96200*")</f>
        <v>4930</v>
      </c>
      <c r="G1781" s="83">
        <f>SUMIFS(G1782:G6462,K1782:K6462,"0",B1782:B6462,"5 1 1 3 1 12 31111 6 M59 96200*")</f>
        <v>0</v>
      </c>
      <c r="H1781" s="83">
        <f t="shared" si="28"/>
        <v>4930</v>
      </c>
      <c r="I1781" s="83"/>
      <c r="K1781" s="54" t="s">
        <v>15</v>
      </c>
    </row>
    <row r="1782" spans="2:11" ht="16.5" x14ac:dyDescent="0.2">
      <c r="B1782" s="82" t="s">
        <v>3997</v>
      </c>
      <c r="C1782" s="82" t="s">
        <v>648</v>
      </c>
      <c r="D1782" s="83">
        <f>SUMIFS(D1783:D6462,K1783:K6462,"0",B1783:B6462,"5 1 1 3 1 12 31111 6 M59 96200 000132*")-SUMIFS(E1783:E6462,K1783:K6462,"0",B1783:B6462,"5 1 1 3 1 12 31111 6 M59 96200 000132*")</f>
        <v>0</v>
      </c>
      <c r="E1782" s="54"/>
      <c r="F1782" s="83">
        <f>SUMIFS(F1783:F6462,K1783:K6462,"0",B1783:B6462,"5 1 1 3 1 12 31111 6 M59 96200 000132*")</f>
        <v>4930</v>
      </c>
      <c r="G1782" s="83">
        <f>SUMIFS(G1783:G6462,K1783:K6462,"0",B1783:B6462,"5 1 1 3 1 12 31111 6 M59 96200 000132*")</f>
        <v>0</v>
      </c>
      <c r="H1782" s="83">
        <f t="shared" si="28"/>
        <v>4930</v>
      </c>
      <c r="I1782" s="83"/>
      <c r="K1782" s="54" t="s">
        <v>15</v>
      </c>
    </row>
    <row r="1783" spans="2:11" ht="16.5" x14ac:dyDescent="0.2">
      <c r="B1783" s="82" t="s">
        <v>3998</v>
      </c>
      <c r="C1783" s="82" t="s">
        <v>650</v>
      </c>
      <c r="D1783" s="83">
        <f>SUMIFS(D1784:D6462,K1784:K6462,"0",B1784:B6462,"5 1 1 3 1 12 31111 6 M59 96200 000132 0000R*")-SUMIFS(E1784:E6462,K1784:K6462,"0",B1784:B6462,"5 1 1 3 1 12 31111 6 M59 96200 000132 0000R*")</f>
        <v>0</v>
      </c>
      <c r="E1783" s="54"/>
      <c r="F1783" s="83">
        <f>SUMIFS(F1784:F6462,K1784:K6462,"0",B1784:B6462,"5 1 1 3 1 12 31111 6 M59 96200 000132 0000R*")</f>
        <v>4930</v>
      </c>
      <c r="G1783" s="83">
        <f>SUMIFS(G1784:G6462,K1784:K6462,"0",B1784:B6462,"5 1 1 3 1 12 31111 6 M59 96200 000132 0000R*")</f>
        <v>0</v>
      </c>
      <c r="H1783" s="83">
        <f t="shared" si="28"/>
        <v>4930</v>
      </c>
      <c r="I1783" s="83"/>
      <c r="K1783" s="54" t="s">
        <v>15</v>
      </c>
    </row>
    <row r="1784" spans="2:11" ht="24.75" x14ac:dyDescent="0.2">
      <c r="B1784" s="82" t="s">
        <v>3999</v>
      </c>
      <c r="C1784" s="82" t="s">
        <v>282</v>
      </c>
      <c r="D1784" s="83">
        <f>SUMIFS(D1785:D6462,K1785:K6462,"0",B1785:B6462,"5 1 1 3 1 12 31111 6 M59 96200 000132 0000R 00001*")-SUMIFS(E1785:E6462,K1785:K6462,"0",B1785:B6462,"5 1 1 3 1 12 31111 6 M59 96200 000132 0000R 00001*")</f>
        <v>0</v>
      </c>
      <c r="E1784" s="54"/>
      <c r="F1784" s="83">
        <f>SUMIFS(F1785:F6462,K1785:K6462,"0",B1785:B6462,"5 1 1 3 1 12 31111 6 M59 96200 000132 0000R 00001*")</f>
        <v>4930</v>
      </c>
      <c r="G1784" s="83">
        <f>SUMIFS(G1785:G6462,K1785:K6462,"0",B1785:B6462,"5 1 1 3 1 12 31111 6 M59 96200 000132 0000R 00001*")</f>
        <v>0</v>
      </c>
      <c r="H1784" s="83">
        <f t="shared" si="28"/>
        <v>4930</v>
      </c>
      <c r="I1784" s="83"/>
      <c r="K1784" s="54" t="s">
        <v>15</v>
      </c>
    </row>
    <row r="1785" spans="2:11" ht="24.75" x14ac:dyDescent="0.2">
      <c r="B1785" s="82" t="s">
        <v>4000</v>
      </c>
      <c r="C1785" s="82" t="s">
        <v>3778</v>
      </c>
      <c r="D1785" s="83">
        <f>SUMIFS(D1786:D6462,K1786:K6462,"0",B1786:B6462,"5 1 1 3 1 12 31111 6 M59 96200 000132 0000R 00001 00131*")-SUMIFS(E1786:E6462,K1786:K6462,"0",B1786:B6462,"5 1 1 3 1 12 31111 6 M59 96200 000132 0000R 00001 00131*")</f>
        <v>0</v>
      </c>
      <c r="E1785" s="54"/>
      <c r="F1785" s="83">
        <f>SUMIFS(F1786:F6462,K1786:K6462,"0",B1786:B6462,"5 1 1 3 1 12 31111 6 M59 96200 000132 0000R 00001 00131*")</f>
        <v>4930</v>
      </c>
      <c r="G1785" s="83">
        <f>SUMIFS(G1786:G6462,K1786:K6462,"0",B1786:B6462,"5 1 1 3 1 12 31111 6 M59 96200 000132 0000R 00001 00131*")</f>
        <v>0</v>
      </c>
      <c r="H1785" s="83">
        <f t="shared" si="28"/>
        <v>4930</v>
      </c>
      <c r="I1785" s="83"/>
      <c r="K1785" s="54" t="s">
        <v>15</v>
      </c>
    </row>
    <row r="1786" spans="2:11" ht="24.75" x14ac:dyDescent="0.2">
      <c r="B1786" s="82" t="s">
        <v>4001</v>
      </c>
      <c r="C1786" s="82" t="s">
        <v>1051</v>
      </c>
      <c r="D1786" s="83">
        <f>SUMIFS(D1787:D6462,K1787:K6462,"0",B1787:B6462,"5 1 1 3 1 12 31111 6 M59 96200 000132 0000R 00001 00131 015*")-SUMIFS(E1787:E6462,K1787:K6462,"0",B1787:B6462,"5 1 1 3 1 12 31111 6 M59 96200 000132 0000R 00001 00131 015*")</f>
        <v>0</v>
      </c>
      <c r="E1786" s="54"/>
      <c r="F1786" s="83">
        <f>SUMIFS(F1787:F6462,K1787:K6462,"0",B1787:B6462,"5 1 1 3 1 12 31111 6 M59 96200 000132 0000R 00001 00131 015*")</f>
        <v>4930</v>
      </c>
      <c r="G1786" s="83">
        <f>SUMIFS(G1787:G6462,K1787:K6462,"0",B1787:B6462,"5 1 1 3 1 12 31111 6 M59 96200 000132 0000R 00001 00131 015*")</f>
        <v>0</v>
      </c>
      <c r="H1786" s="83">
        <f t="shared" si="28"/>
        <v>4930</v>
      </c>
      <c r="I1786" s="83"/>
      <c r="K1786" s="54" t="s">
        <v>15</v>
      </c>
    </row>
    <row r="1787" spans="2:11" ht="33" x14ac:dyDescent="0.2">
      <c r="B1787" s="82" t="s">
        <v>4002</v>
      </c>
      <c r="C1787" s="82" t="s">
        <v>2927</v>
      </c>
      <c r="D1787" s="83">
        <f>SUMIFS(D1788:D6462,K1788:K6462,"0",B1788:B6462,"5 1 1 3 1 12 31111 6 M59 96200 000132 0000R 00001 00131 015 2111100*")-SUMIFS(E1788:E6462,K1788:K6462,"0",B1788:B6462,"5 1 1 3 1 12 31111 6 M59 96200 000132 0000R 00001 00131 015 2111100*")</f>
        <v>0</v>
      </c>
      <c r="E1787" s="54"/>
      <c r="F1787" s="83">
        <f>SUMIFS(F1788:F6462,K1788:K6462,"0",B1788:B6462,"5 1 1 3 1 12 31111 6 M59 96200 000132 0000R 00001 00131 015 2111100*")</f>
        <v>4930</v>
      </c>
      <c r="G1787" s="83">
        <f>SUMIFS(G1788:G6462,K1788:K6462,"0",B1788:B6462,"5 1 1 3 1 12 31111 6 M59 96200 000132 0000R 00001 00131 015 2111100*")</f>
        <v>0</v>
      </c>
      <c r="H1787" s="83">
        <f t="shared" si="28"/>
        <v>4930</v>
      </c>
      <c r="I1787" s="83"/>
      <c r="K1787" s="54" t="s">
        <v>15</v>
      </c>
    </row>
    <row r="1788" spans="2:11" ht="33" x14ac:dyDescent="0.2">
      <c r="B1788" s="82" t="s">
        <v>4003</v>
      </c>
      <c r="C1788" s="82" t="s">
        <v>660</v>
      </c>
      <c r="D1788" s="83">
        <f>SUMIFS(D1789:D6462,K1789:K6462,"0",B1789:B6462,"5 1 1 3 1 12 31111 6 M59 96200 000132 0000R 00001 00131 015 2111100 2024*")-SUMIFS(E1789:E6462,K1789:K6462,"0",B1789:B6462,"5 1 1 3 1 12 31111 6 M59 96200 000132 0000R 00001 00131 015 2111100 2024*")</f>
        <v>0</v>
      </c>
      <c r="E1788" s="54"/>
      <c r="F1788" s="83">
        <f>SUMIFS(F1789:F6462,K1789:K6462,"0",B1789:B6462,"5 1 1 3 1 12 31111 6 M59 96200 000132 0000R 00001 00131 015 2111100 2024*")</f>
        <v>4930</v>
      </c>
      <c r="G1788" s="83">
        <f>SUMIFS(G1789:G6462,K1789:K6462,"0",B1789:B6462,"5 1 1 3 1 12 31111 6 M59 96200 000132 0000R 00001 00131 015 2111100 2024*")</f>
        <v>0</v>
      </c>
      <c r="H1788" s="83">
        <f t="shared" si="28"/>
        <v>4930</v>
      </c>
      <c r="I1788" s="83"/>
      <c r="K1788" s="54" t="s">
        <v>15</v>
      </c>
    </row>
    <row r="1789" spans="2:11" ht="41.25" x14ac:dyDescent="0.2">
      <c r="B1789" s="82" t="s">
        <v>4004</v>
      </c>
      <c r="C1789" s="82" t="s">
        <v>662</v>
      </c>
      <c r="D1789" s="83">
        <f>SUMIFS(D1790:D6462,K1790:K6462,"0",B1790:B6462,"5 1 1 3 1 12 31111 6 M59 96200 000132 0000R 00001 00131 015 2111100 2024 CP1AL423*")-SUMIFS(E1790:E6462,K1790:K6462,"0",B1790:B6462,"5 1 1 3 1 12 31111 6 M59 96200 000132 0000R 00001 00131 015 2111100 2024 CP1AL423*")</f>
        <v>0</v>
      </c>
      <c r="E1789" s="54"/>
      <c r="F1789" s="83">
        <f>SUMIFS(F1790:F6462,K1790:K6462,"0",B1790:B6462,"5 1 1 3 1 12 31111 6 M59 96200 000132 0000R 00001 00131 015 2111100 2024 CP1AL423*")</f>
        <v>4930</v>
      </c>
      <c r="G1789" s="83">
        <f>SUMIFS(G1790:G6462,K1790:K6462,"0",B1790:B6462,"5 1 1 3 1 12 31111 6 M59 96200 000132 0000R 00001 00131 015 2111100 2024 CP1AL423*")</f>
        <v>0</v>
      </c>
      <c r="H1789" s="83">
        <f t="shared" si="28"/>
        <v>4930</v>
      </c>
      <c r="I1789" s="83"/>
      <c r="K1789" s="54" t="s">
        <v>15</v>
      </c>
    </row>
    <row r="1790" spans="2:11" ht="41.25" x14ac:dyDescent="0.2">
      <c r="B1790" s="82" t="s">
        <v>4005</v>
      </c>
      <c r="C1790" s="82" t="s">
        <v>282</v>
      </c>
      <c r="D1790" s="83">
        <f>SUMIFS(D1791:D6462,K1791:K6462,"0",B1791:B6462,"5 1 1 3 1 12 31111 6 M59 96200 000132 0000R 00001 00131 015 2111100 2024 CP1AL423 001*")-SUMIFS(E1791:E6462,K1791:K6462,"0",B1791:B6462,"5 1 1 3 1 12 31111 6 M59 96200 000132 0000R 00001 00131 015 2111100 2024 CP1AL423 001*")</f>
        <v>0</v>
      </c>
      <c r="E1790" s="54"/>
      <c r="F1790" s="83">
        <f>SUMIFS(F1791:F6462,K1791:K6462,"0",B1791:B6462,"5 1 1 3 1 12 31111 6 M59 96200 000132 0000R 00001 00131 015 2111100 2024 CP1AL423 001*")</f>
        <v>4930</v>
      </c>
      <c r="G1790" s="83">
        <f>SUMIFS(G1791:G6462,K1791:K6462,"0",B1791:B6462,"5 1 1 3 1 12 31111 6 M59 96200 000132 0000R 00001 00131 015 2111100 2024 CP1AL423 001*")</f>
        <v>0</v>
      </c>
      <c r="H1790" s="83">
        <f t="shared" si="28"/>
        <v>4930</v>
      </c>
      <c r="I1790" s="83"/>
      <c r="K1790" s="54" t="s">
        <v>15</v>
      </c>
    </row>
    <row r="1791" spans="2:11" ht="41.25" x14ac:dyDescent="0.2">
      <c r="B1791" s="84" t="s">
        <v>4006</v>
      </c>
      <c r="C1791" s="84" t="s">
        <v>3785</v>
      </c>
      <c r="D1791" s="85">
        <v>0</v>
      </c>
      <c r="E1791" s="85"/>
      <c r="F1791" s="85">
        <v>4930</v>
      </c>
      <c r="G1791" s="85">
        <v>0</v>
      </c>
      <c r="H1791" s="85">
        <f t="shared" si="28"/>
        <v>4930</v>
      </c>
      <c r="I1791" s="85"/>
      <c r="K1791" s="54" t="s">
        <v>38</v>
      </c>
    </row>
    <row r="1792" spans="2:11" ht="16.5" x14ac:dyDescent="0.2">
      <c r="B1792" s="82" t="s">
        <v>4007</v>
      </c>
      <c r="C1792" s="82" t="s">
        <v>1308</v>
      </c>
      <c r="D1792" s="83">
        <f>SUMIFS(D1793:D6462,K1793:K6462,"0",B1793:B6462,"5 1 1 3 1 12 31111 6 M59 96300*")-SUMIFS(E1793:E6462,K1793:K6462,"0",B1793:B6462,"5 1 1 3 1 12 31111 6 M59 96300*")</f>
        <v>0</v>
      </c>
      <c r="E1792" s="54"/>
      <c r="F1792" s="83">
        <f>SUMIFS(F1793:F6462,K1793:K6462,"0",B1793:B6462,"5 1 1 3 1 12 31111 6 M59 96300*")</f>
        <v>3561</v>
      </c>
      <c r="G1792" s="83">
        <f>SUMIFS(G1793:G6462,K1793:K6462,"0",B1793:B6462,"5 1 1 3 1 12 31111 6 M59 96300*")</f>
        <v>0</v>
      </c>
      <c r="H1792" s="83">
        <f t="shared" si="28"/>
        <v>3561</v>
      </c>
      <c r="I1792" s="83"/>
      <c r="K1792" s="54" t="s">
        <v>15</v>
      </c>
    </row>
    <row r="1793" spans="2:11" ht="16.5" x14ac:dyDescent="0.2">
      <c r="B1793" s="82" t="s">
        <v>4008</v>
      </c>
      <c r="C1793" s="82" t="s">
        <v>1310</v>
      </c>
      <c r="D1793" s="83">
        <f>SUMIFS(D1794:D6462,K1794:K6462,"0",B1794:B6462,"5 1 1 3 1 12 31111 6 M59 96300 000211*")-SUMIFS(E1794:E6462,K1794:K6462,"0",B1794:B6462,"5 1 1 3 1 12 31111 6 M59 96300 000211*")</f>
        <v>0</v>
      </c>
      <c r="E1793" s="54"/>
      <c r="F1793" s="83">
        <f>SUMIFS(F1794:F6462,K1794:K6462,"0",B1794:B6462,"5 1 1 3 1 12 31111 6 M59 96300 000211*")</f>
        <v>3561</v>
      </c>
      <c r="G1793" s="83">
        <f>SUMIFS(G1794:G6462,K1794:K6462,"0",B1794:B6462,"5 1 1 3 1 12 31111 6 M59 96300 000211*")</f>
        <v>0</v>
      </c>
      <c r="H1793" s="83">
        <f t="shared" si="28"/>
        <v>3561</v>
      </c>
      <c r="I1793" s="83"/>
      <c r="K1793" s="54" t="s">
        <v>15</v>
      </c>
    </row>
    <row r="1794" spans="2:11" ht="16.5" x14ac:dyDescent="0.2">
      <c r="B1794" s="82" t="s">
        <v>4009</v>
      </c>
      <c r="C1794" s="82" t="s">
        <v>1065</v>
      </c>
      <c r="D1794" s="83">
        <f>SUMIFS(D1795:D6462,K1795:K6462,"0",B1795:B6462,"5 1 1 3 1 12 31111 6 M59 96300 000211 0000E*")-SUMIFS(E1795:E6462,K1795:K6462,"0",B1795:B6462,"5 1 1 3 1 12 31111 6 M59 96300 000211 0000E*")</f>
        <v>0</v>
      </c>
      <c r="E1794" s="54"/>
      <c r="F1794" s="83">
        <f>SUMIFS(F1795:F6462,K1795:K6462,"0",B1795:B6462,"5 1 1 3 1 12 31111 6 M59 96300 000211 0000E*")</f>
        <v>3561</v>
      </c>
      <c r="G1794" s="83">
        <f>SUMIFS(G1795:G6462,K1795:K6462,"0",B1795:B6462,"5 1 1 3 1 12 31111 6 M59 96300 000211 0000E*")</f>
        <v>0</v>
      </c>
      <c r="H1794" s="83">
        <f t="shared" si="28"/>
        <v>3561</v>
      </c>
      <c r="I1794" s="83"/>
      <c r="K1794" s="54" t="s">
        <v>15</v>
      </c>
    </row>
    <row r="1795" spans="2:11" ht="24.75" x14ac:dyDescent="0.2">
      <c r="B1795" s="82" t="s">
        <v>4010</v>
      </c>
      <c r="C1795" s="82" t="s">
        <v>282</v>
      </c>
      <c r="D1795" s="83">
        <f>SUMIFS(D1796:D6462,K1796:K6462,"0",B1796:B6462,"5 1 1 3 1 12 31111 6 M59 96300 000211 0000E 00001*")-SUMIFS(E1796:E6462,K1796:K6462,"0",B1796:B6462,"5 1 1 3 1 12 31111 6 M59 96300 000211 0000E 00001*")</f>
        <v>0</v>
      </c>
      <c r="E1795" s="54"/>
      <c r="F1795" s="83">
        <f>SUMIFS(F1796:F6462,K1796:K6462,"0",B1796:B6462,"5 1 1 3 1 12 31111 6 M59 96300 000211 0000E 00001*")</f>
        <v>3561</v>
      </c>
      <c r="G1795" s="83">
        <f>SUMIFS(G1796:G6462,K1796:K6462,"0",B1796:B6462,"5 1 1 3 1 12 31111 6 M59 96300 000211 0000E 00001*")</f>
        <v>0</v>
      </c>
      <c r="H1795" s="83">
        <f t="shared" si="28"/>
        <v>3561</v>
      </c>
      <c r="I1795" s="83"/>
      <c r="K1795" s="54" t="s">
        <v>15</v>
      </c>
    </row>
    <row r="1796" spans="2:11" ht="24.75" x14ac:dyDescent="0.2">
      <c r="B1796" s="82" t="s">
        <v>4011</v>
      </c>
      <c r="C1796" s="82" t="s">
        <v>3778</v>
      </c>
      <c r="D1796" s="83">
        <f>SUMIFS(D1797:D6462,K1797:K6462,"0",B1797:B6462,"5 1 1 3 1 12 31111 6 M59 96300 000211 0000E 00001 00131*")-SUMIFS(E1797:E6462,K1797:K6462,"0",B1797:B6462,"5 1 1 3 1 12 31111 6 M59 96300 000211 0000E 00001 00131*")</f>
        <v>0</v>
      </c>
      <c r="E1796" s="54"/>
      <c r="F1796" s="83">
        <f>SUMIFS(F1797:F6462,K1797:K6462,"0",B1797:B6462,"5 1 1 3 1 12 31111 6 M59 96300 000211 0000E 00001 00131*")</f>
        <v>3561</v>
      </c>
      <c r="G1796" s="83">
        <f>SUMIFS(G1797:G6462,K1797:K6462,"0",B1797:B6462,"5 1 1 3 1 12 31111 6 M59 96300 000211 0000E 00001 00131*")</f>
        <v>0</v>
      </c>
      <c r="H1796" s="83">
        <f t="shared" si="28"/>
        <v>3561</v>
      </c>
      <c r="I1796" s="83"/>
      <c r="K1796" s="54" t="s">
        <v>15</v>
      </c>
    </row>
    <row r="1797" spans="2:11" ht="24.75" x14ac:dyDescent="0.2">
      <c r="B1797" s="82" t="s">
        <v>4012</v>
      </c>
      <c r="C1797" s="82" t="s">
        <v>1051</v>
      </c>
      <c r="D1797" s="83">
        <f>SUMIFS(D1798:D6462,K1798:K6462,"0",B1798:B6462,"5 1 1 3 1 12 31111 6 M59 96300 000211 0000E 00001 00131 015*")-SUMIFS(E1798:E6462,K1798:K6462,"0",B1798:B6462,"5 1 1 3 1 12 31111 6 M59 96300 000211 0000E 00001 00131 015*")</f>
        <v>0</v>
      </c>
      <c r="E1797" s="54"/>
      <c r="F1797" s="83">
        <f>SUMIFS(F1798:F6462,K1798:K6462,"0",B1798:B6462,"5 1 1 3 1 12 31111 6 M59 96300 000211 0000E 00001 00131 015*")</f>
        <v>3561</v>
      </c>
      <c r="G1797" s="83">
        <f>SUMIFS(G1798:G6462,K1798:K6462,"0",B1798:B6462,"5 1 1 3 1 12 31111 6 M59 96300 000211 0000E 00001 00131 015*")</f>
        <v>0</v>
      </c>
      <c r="H1797" s="83">
        <f t="shared" si="28"/>
        <v>3561</v>
      </c>
      <c r="I1797" s="83"/>
      <c r="K1797" s="54" t="s">
        <v>15</v>
      </c>
    </row>
    <row r="1798" spans="2:11" ht="33" x14ac:dyDescent="0.2">
      <c r="B1798" s="82" t="s">
        <v>4013</v>
      </c>
      <c r="C1798" s="82" t="s">
        <v>2927</v>
      </c>
      <c r="D1798" s="83">
        <f>SUMIFS(D1799:D6462,K1799:K6462,"0",B1799:B6462,"5 1 1 3 1 12 31111 6 M59 96300 000211 0000E 00001 00131 015 2111100*")-SUMIFS(E1799:E6462,K1799:K6462,"0",B1799:B6462,"5 1 1 3 1 12 31111 6 M59 96300 000211 0000E 00001 00131 015 2111100*")</f>
        <v>0</v>
      </c>
      <c r="E1798" s="54"/>
      <c r="F1798" s="83">
        <f>SUMIFS(F1799:F6462,K1799:K6462,"0",B1799:B6462,"5 1 1 3 1 12 31111 6 M59 96300 000211 0000E 00001 00131 015 2111100*")</f>
        <v>3561</v>
      </c>
      <c r="G1798" s="83">
        <f>SUMIFS(G1799:G6462,K1799:K6462,"0",B1799:B6462,"5 1 1 3 1 12 31111 6 M59 96300 000211 0000E 00001 00131 015 2111100*")</f>
        <v>0</v>
      </c>
      <c r="H1798" s="83">
        <f t="shared" si="28"/>
        <v>3561</v>
      </c>
      <c r="I1798" s="83"/>
      <c r="K1798" s="54" t="s">
        <v>15</v>
      </c>
    </row>
    <row r="1799" spans="2:11" ht="33" x14ac:dyDescent="0.2">
      <c r="B1799" s="82" t="s">
        <v>4014</v>
      </c>
      <c r="C1799" s="82" t="s">
        <v>660</v>
      </c>
      <c r="D1799" s="83">
        <f>SUMIFS(D1800:D6462,K1800:K6462,"0",B1800:B6462,"5 1 1 3 1 12 31111 6 M59 96300 000211 0000E 00001 00131 015 2111100 2024*")-SUMIFS(E1800:E6462,K1800:K6462,"0",B1800:B6462,"5 1 1 3 1 12 31111 6 M59 96300 000211 0000E 00001 00131 015 2111100 2024*")</f>
        <v>0</v>
      </c>
      <c r="E1799" s="54"/>
      <c r="F1799" s="83">
        <f>SUMIFS(F1800:F6462,K1800:K6462,"0",B1800:B6462,"5 1 1 3 1 12 31111 6 M59 96300 000211 0000E 00001 00131 015 2111100 2024*")</f>
        <v>3561</v>
      </c>
      <c r="G1799" s="83">
        <f>SUMIFS(G1800:G6462,K1800:K6462,"0",B1800:B6462,"5 1 1 3 1 12 31111 6 M59 96300 000211 0000E 00001 00131 015 2111100 2024*")</f>
        <v>0</v>
      </c>
      <c r="H1799" s="83">
        <f t="shared" si="28"/>
        <v>3561</v>
      </c>
      <c r="I1799" s="83"/>
      <c r="K1799" s="54" t="s">
        <v>15</v>
      </c>
    </row>
    <row r="1800" spans="2:11" ht="41.25" x14ac:dyDescent="0.2">
      <c r="B1800" s="82" t="s">
        <v>4015</v>
      </c>
      <c r="C1800" s="82" t="s">
        <v>1056</v>
      </c>
      <c r="D1800" s="83">
        <f>SUMIFS(D1801:D6462,K1801:K6462,"0",B1801:B6462,"5 1 1 3 1 12 31111 6 M59 96300 000211 0000E 00001 00131 015 2111100 2024 CP1SB396*")-SUMIFS(E1801:E6462,K1801:K6462,"0",B1801:B6462,"5 1 1 3 1 12 31111 6 M59 96300 000211 0000E 00001 00131 015 2111100 2024 CP1SB396*")</f>
        <v>0</v>
      </c>
      <c r="E1800" s="54"/>
      <c r="F1800" s="83">
        <f>SUMIFS(F1801:F6462,K1801:K6462,"0",B1801:B6462,"5 1 1 3 1 12 31111 6 M59 96300 000211 0000E 00001 00131 015 2111100 2024 CP1SB396*")</f>
        <v>3561</v>
      </c>
      <c r="G1800" s="83">
        <f>SUMIFS(G1801:G6462,K1801:K6462,"0",B1801:B6462,"5 1 1 3 1 12 31111 6 M59 96300 000211 0000E 00001 00131 015 2111100 2024 CP1SB396*")</f>
        <v>0</v>
      </c>
      <c r="H1800" s="83">
        <f t="shared" si="28"/>
        <v>3561</v>
      </c>
      <c r="I1800" s="83"/>
      <c r="K1800" s="54" t="s">
        <v>15</v>
      </c>
    </row>
    <row r="1801" spans="2:11" ht="41.25" x14ac:dyDescent="0.2">
      <c r="B1801" s="82" t="s">
        <v>4016</v>
      </c>
      <c r="C1801" s="82" t="s">
        <v>282</v>
      </c>
      <c r="D1801" s="83">
        <f>SUMIFS(D1802:D6462,K1802:K6462,"0",B1802:B6462,"5 1 1 3 1 12 31111 6 M59 96300 000211 0000E 00001 00131 015 2111100 2024 CP1SB396 001*")-SUMIFS(E1802:E6462,K1802:K6462,"0",B1802:B6462,"5 1 1 3 1 12 31111 6 M59 96300 000211 0000E 00001 00131 015 2111100 2024 CP1SB396 001*")</f>
        <v>0</v>
      </c>
      <c r="E1801" s="54"/>
      <c r="F1801" s="83">
        <f>SUMIFS(F1802:F6462,K1802:K6462,"0",B1802:B6462,"5 1 1 3 1 12 31111 6 M59 96300 000211 0000E 00001 00131 015 2111100 2024 CP1SB396 001*")</f>
        <v>3561</v>
      </c>
      <c r="G1801" s="83">
        <f>SUMIFS(G1802:G6462,K1802:K6462,"0",B1802:B6462,"5 1 1 3 1 12 31111 6 M59 96300 000211 0000E 00001 00131 015 2111100 2024 CP1SB396 001*")</f>
        <v>0</v>
      </c>
      <c r="H1801" s="83">
        <f t="shared" si="28"/>
        <v>3561</v>
      </c>
      <c r="I1801" s="83"/>
      <c r="K1801" s="54" t="s">
        <v>15</v>
      </c>
    </row>
    <row r="1802" spans="2:11" ht="33" x14ac:dyDescent="0.2">
      <c r="B1802" s="84" t="s">
        <v>4017</v>
      </c>
      <c r="C1802" s="84" t="s">
        <v>4018</v>
      </c>
      <c r="D1802" s="85">
        <v>0</v>
      </c>
      <c r="E1802" s="85"/>
      <c r="F1802" s="85">
        <v>3561</v>
      </c>
      <c r="G1802" s="85">
        <v>0</v>
      </c>
      <c r="H1802" s="85">
        <f t="shared" si="28"/>
        <v>3561</v>
      </c>
      <c r="I1802" s="85"/>
      <c r="K1802" s="54" t="s">
        <v>38</v>
      </c>
    </row>
    <row r="1803" spans="2:11" ht="16.5" x14ac:dyDescent="0.2">
      <c r="B1803" s="82" t="s">
        <v>4019</v>
      </c>
      <c r="C1803" s="82" t="s">
        <v>3729</v>
      </c>
      <c r="D1803" s="83">
        <f>SUMIFS(D1804:D6462,K1804:K6462,"0",B1804:B6462,"5 1 1 3 1 12 31111 6 M59 97000*")-SUMIFS(E1804:E6462,K1804:K6462,"0",B1804:B6462,"5 1 1 3 1 12 31111 6 M59 97000*")</f>
        <v>0</v>
      </c>
      <c r="E1803" s="54"/>
      <c r="F1803" s="83">
        <f>SUMIFS(F1804:F6462,K1804:K6462,"0",B1804:B6462,"5 1 1 3 1 12 31111 6 M59 97000*")</f>
        <v>675</v>
      </c>
      <c r="G1803" s="83">
        <f>SUMIFS(G1804:G6462,K1804:K6462,"0",B1804:B6462,"5 1 1 3 1 12 31111 6 M59 97000*")</f>
        <v>0</v>
      </c>
      <c r="H1803" s="83">
        <f t="shared" si="28"/>
        <v>675</v>
      </c>
      <c r="I1803" s="83"/>
      <c r="K1803" s="54" t="s">
        <v>15</v>
      </c>
    </row>
    <row r="1804" spans="2:11" ht="16.5" x14ac:dyDescent="0.2">
      <c r="B1804" s="82" t="s">
        <v>4020</v>
      </c>
      <c r="C1804" s="82" t="s">
        <v>648</v>
      </c>
      <c r="D1804" s="83">
        <f>SUMIFS(D1805:D6462,K1805:K6462,"0",B1805:B6462,"5 1 1 3 1 12 31111 6 M59 97000 000132*")-SUMIFS(E1805:E6462,K1805:K6462,"0",B1805:B6462,"5 1 1 3 1 12 31111 6 M59 97000 000132*")</f>
        <v>0</v>
      </c>
      <c r="E1804" s="54"/>
      <c r="F1804" s="83">
        <f>SUMIFS(F1805:F6462,K1805:K6462,"0",B1805:B6462,"5 1 1 3 1 12 31111 6 M59 97000 000132*")</f>
        <v>675</v>
      </c>
      <c r="G1804" s="83">
        <f>SUMIFS(G1805:G6462,K1805:K6462,"0",B1805:B6462,"5 1 1 3 1 12 31111 6 M59 97000 000132*")</f>
        <v>0</v>
      </c>
      <c r="H1804" s="83">
        <f t="shared" si="28"/>
        <v>675</v>
      </c>
      <c r="I1804" s="83"/>
      <c r="K1804" s="54" t="s">
        <v>15</v>
      </c>
    </row>
    <row r="1805" spans="2:11" ht="16.5" x14ac:dyDescent="0.2">
      <c r="B1805" s="82" t="s">
        <v>4021</v>
      </c>
      <c r="C1805" s="82" t="s">
        <v>650</v>
      </c>
      <c r="D1805" s="83">
        <f>SUMIFS(D1806:D6462,K1806:K6462,"0",B1806:B6462,"5 1 1 3 1 12 31111 6 M59 97000 000132 0000R*")-SUMIFS(E1806:E6462,K1806:K6462,"0",B1806:B6462,"5 1 1 3 1 12 31111 6 M59 97000 000132 0000R*")</f>
        <v>0</v>
      </c>
      <c r="E1805" s="54"/>
      <c r="F1805" s="83">
        <f>SUMIFS(F1806:F6462,K1806:K6462,"0",B1806:B6462,"5 1 1 3 1 12 31111 6 M59 97000 000132 0000R*")</f>
        <v>675</v>
      </c>
      <c r="G1805" s="83">
        <f>SUMIFS(G1806:G6462,K1806:K6462,"0",B1806:B6462,"5 1 1 3 1 12 31111 6 M59 97000 000132 0000R*")</f>
        <v>0</v>
      </c>
      <c r="H1805" s="83">
        <f t="shared" si="28"/>
        <v>675</v>
      </c>
      <c r="I1805" s="83"/>
      <c r="K1805" s="54" t="s">
        <v>15</v>
      </c>
    </row>
    <row r="1806" spans="2:11" ht="24.75" x14ac:dyDescent="0.2">
      <c r="B1806" s="82" t="s">
        <v>4022</v>
      </c>
      <c r="C1806" s="82" t="s">
        <v>282</v>
      </c>
      <c r="D1806" s="83">
        <f>SUMIFS(D1807:D6462,K1807:K6462,"0",B1807:B6462,"5 1 1 3 1 12 31111 6 M59 97000 000132 0000R 00001*")-SUMIFS(E1807:E6462,K1807:K6462,"0",B1807:B6462,"5 1 1 3 1 12 31111 6 M59 97000 000132 0000R 00001*")</f>
        <v>0</v>
      </c>
      <c r="E1806" s="54"/>
      <c r="F1806" s="83">
        <f>SUMIFS(F1807:F6462,K1807:K6462,"0",B1807:B6462,"5 1 1 3 1 12 31111 6 M59 97000 000132 0000R 00001*")</f>
        <v>675</v>
      </c>
      <c r="G1806" s="83">
        <f>SUMIFS(G1807:G6462,K1807:K6462,"0",B1807:B6462,"5 1 1 3 1 12 31111 6 M59 97000 000132 0000R 00001*")</f>
        <v>0</v>
      </c>
      <c r="H1806" s="83">
        <f t="shared" si="28"/>
        <v>675</v>
      </c>
      <c r="I1806" s="83"/>
      <c r="K1806" s="54" t="s">
        <v>15</v>
      </c>
    </row>
    <row r="1807" spans="2:11" ht="24.75" x14ac:dyDescent="0.2">
      <c r="B1807" s="82" t="s">
        <v>4023</v>
      </c>
      <c r="C1807" s="82" t="s">
        <v>3778</v>
      </c>
      <c r="D1807" s="83">
        <f>SUMIFS(D1808:D6462,K1808:K6462,"0",B1808:B6462,"5 1 1 3 1 12 31111 6 M59 97000 000132 0000R 00001 00131*")-SUMIFS(E1808:E6462,K1808:K6462,"0",B1808:B6462,"5 1 1 3 1 12 31111 6 M59 97000 000132 0000R 00001 00131*")</f>
        <v>0</v>
      </c>
      <c r="E1807" s="54"/>
      <c r="F1807" s="83">
        <f>SUMIFS(F1808:F6462,K1808:K6462,"0",B1808:B6462,"5 1 1 3 1 12 31111 6 M59 97000 000132 0000R 00001 00131*")</f>
        <v>675</v>
      </c>
      <c r="G1807" s="83">
        <f>SUMIFS(G1808:G6462,K1808:K6462,"0",B1808:B6462,"5 1 1 3 1 12 31111 6 M59 97000 000132 0000R 00001 00131*")</f>
        <v>0</v>
      </c>
      <c r="H1807" s="83">
        <f t="shared" si="28"/>
        <v>675</v>
      </c>
      <c r="I1807" s="83"/>
      <c r="K1807" s="54" t="s">
        <v>15</v>
      </c>
    </row>
    <row r="1808" spans="2:11" ht="24.75" x14ac:dyDescent="0.2">
      <c r="B1808" s="82" t="s">
        <v>4024</v>
      </c>
      <c r="C1808" s="82" t="s">
        <v>1051</v>
      </c>
      <c r="D1808" s="83">
        <f>SUMIFS(D1809:D6462,K1809:K6462,"0",B1809:B6462,"5 1 1 3 1 12 31111 6 M59 97000 000132 0000R 00001 00131 015*")-SUMIFS(E1809:E6462,K1809:K6462,"0",B1809:B6462,"5 1 1 3 1 12 31111 6 M59 97000 000132 0000R 00001 00131 015*")</f>
        <v>0</v>
      </c>
      <c r="E1808" s="54"/>
      <c r="F1808" s="83">
        <f>SUMIFS(F1809:F6462,K1809:K6462,"0",B1809:B6462,"5 1 1 3 1 12 31111 6 M59 97000 000132 0000R 00001 00131 015*")</f>
        <v>675</v>
      </c>
      <c r="G1808" s="83">
        <f>SUMIFS(G1809:G6462,K1809:K6462,"0",B1809:B6462,"5 1 1 3 1 12 31111 6 M59 97000 000132 0000R 00001 00131 015*")</f>
        <v>0</v>
      </c>
      <c r="H1808" s="83">
        <f t="shared" si="28"/>
        <v>675</v>
      </c>
      <c r="I1808" s="83"/>
      <c r="K1808" s="54" t="s">
        <v>15</v>
      </c>
    </row>
    <row r="1809" spans="2:11" ht="33" x14ac:dyDescent="0.2">
      <c r="B1809" s="82" t="s">
        <v>4025</v>
      </c>
      <c r="C1809" s="82" t="s">
        <v>2927</v>
      </c>
      <c r="D1809" s="83">
        <f>SUMIFS(D1810:D6462,K1810:K6462,"0",B1810:B6462,"5 1 1 3 1 12 31111 6 M59 97000 000132 0000R 00001 00131 015 2111100*")-SUMIFS(E1810:E6462,K1810:K6462,"0",B1810:B6462,"5 1 1 3 1 12 31111 6 M59 97000 000132 0000R 00001 00131 015 2111100*")</f>
        <v>0</v>
      </c>
      <c r="E1809" s="54"/>
      <c r="F1809" s="83">
        <f>SUMIFS(F1810:F6462,K1810:K6462,"0",B1810:B6462,"5 1 1 3 1 12 31111 6 M59 97000 000132 0000R 00001 00131 015 2111100*")</f>
        <v>675</v>
      </c>
      <c r="G1809" s="83">
        <f>SUMIFS(G1810:G6462,K1810:K6462,"0",B1810:B6462,"5 1 1 3 1 12 31111 6 M59 97000 000132 0000R 00001 00131 015 2111100*")</f>
        <v>0</v>
      </c>
      <c r="H1809" s="83">
        <f t="shared" si="28"/>
        <v>675</v>
      </c>
      <c r="I1809" s="83"/>
      <c r="K1809" s="54" t="s">
        <v>15</v>
      </c>
    </row>
    <row r="1810" spans="2:11" ht="33" x14ac:dyDescent="0.2">
      <c r="B1810" s="82" t="s">
        <v>4026</v>
      </c>
      <c r="C1810" s="82" t="s">
        <v>660</v>
      </c>
      <c r="D1810" s="83">
        <f>SUMIFS(D1811:D6462,K1811:K6462,"0",B1811:B6462,"5 1 1 3 1 12 31111 6 M59 97000 000132 0000R 00001 00131 015 2111100 2024*")-SUMIFS(E1811:E6462,K1811:K6462,"0",B1811:B6462,"5 1 1 3 1 12 31111 6 M59 97000 000132 0000R 00001 00131 015 2111100 2024*")</f>
        <v>0</v>
      </c>
      <c r="E1810" s="54"/>
      <c r="F1810" s="83">
        <f>SUMIFS(F1811:F6462,K1811:K6462,"0",B1811:B6462,"5 1 1 3 1 12 31111 6 M59 97000 000132 0000R 00001 00131 015 2111100 2024*")</f>
        <v>675</v>
      </c>
      <c r="G1810" s="83">
        <f>SUMIFS(G1811:G6462,K1811:K6462,"0",B1811:B6462,"5 1 1 3 1 12 31111 6 M59 97000 000132 0000R 00001 00131 015 2111100 2024*")</f>
        <v>0</v>
      </c>
      <c r="H1810" s="83">
        <f t="shared" si="28"/>
        <v>675</v>
      </c>
      <c r="I1810" s="83"/>
      <c r="K1810" s="54" t="s">
        <v>15</v>
      </c>
    </row>
    <row r="1811" spans="2:11" ht="41.25" x14ac:dyDescent="0.2">
      <c r="B1811" s="82" t="s">
        <v>4027</v>
      </c>
      <c r="C1811" s="82" t="s">
        <v>1056</v>
      </c>
      <c r="D1811" s="83">
        <f>SUMIFS(D1812:D6462,K1812:K6462,"0",B1812:B6462,"5 1 1 3 1 12 31111 6 M59 97000 000132 0000R 00001 00131 015 2111100 2024 CP1SP428*")-SUMIFS(E1812:E6462,K1812:K6462,"0",B1812:B6462,"5 1 1 3 1 12 31111 6 M59 97000 000132 0000R 00001 00131 015 2111100 2024 CP1SP428*")</f>
        <v>0</v>
      </c>
      <c r="E1811" s="54"/>
      <c r="F1811" s="83">
        <f>SUMIFS(F1812:F6462,K1812:K6462,"0",B1812:B6462,"5 1 1 3 1 12 31111 6 M59 97000 000132 0000R 00001 00131 015 2111100 2024 CP1SP428*")</f>
        <v>675</v>
      </c>
      <c r="G1811" s="83">
        <f>SUMIFS(G1812:G6462,K1812:K6462,"0",B1812:B6462,"5 1 1 3 1 12 31111 6 M59 97000 000132 0000R 00001 00131 015 2111100 2024 CP1SP428*")</f>
        <v>0</v>
      </c>
      <c r="H1811" s="83">
        <f t="shared" si="28"/>
        <v>675</v>
      </c>
      <c r="I1811" s="83"/>
      <c r="K1811" s="54" t="s">
        <v>15</v>
      </c>
    </row>
    <row r="1812" spans="2:11" ht="41.25" x14ac:dyDescent="0.2">
      <c r="B1812" s="82" t="s">
        <v>4028</v>
      </c>
      <c r="C1812" s="82" t="s">
        <v>282</v>
      </c>
      <c r="D1812" s="83">
        <f>SUMIFS(D1813:D6462,K1813:K6462,"0",B1813:B6462,"5 1 1 3 1 12 31111 6 M59 97000 000132 0000R 00001 00131 015 2111100 2024 CP1SP428 001*")-SUMIFS(E1813:E6462,K1813:K6462,"0",B1813:B6462,"5 1 1 3 1 12 31111 6 M59 97000 000132 0000R 00001 00131 015 2111100 2024 CP1SP428 001*")</f>
        <v>0</v>
      </c>
      <c r="E1812" s="54"/>
      <c r="F1812" s="83">
        <f>SUMIFS(F1813:F6462,K1813:K6462,"0",B1813:B6462,"5 1 1 3 1 12 31111 6 M59 97000 000132 0000R 00001 00131 015 2111100 2024 CP1SP428 001*")</f>
        <v>675</v>
      </c>
      <c r="G1812" s="83">
        <f>SUMIFS(G1813:G6462,K1813:K6462,"0",B1813:B6462,"5 1 1 3 1 12 31111 6 M59 97000 000132 0000R 00001 00131 015 2111100 2024 CP1SP428 001*")</f>
        <v>0</v>
      </c>
      <c r="H1812" s="83">
        <f t="shared" si="28"/>
        <v>675</v>
      </c>
      <c r="I1812" s="83"/>
      <c r="K1812" s="54" t="s">
        <v>15</v>
      </c>
    </row>
    <row r="1813" spans="2:11" ht="33" x14ac:dyDescent="0.2">
      <c r="B1813" s="84" t="s">
        <v>4029</v>
      </c>
      <c r="C1813" s="84" t="s">
        <v>3785</v>
      </c>
      <c r="D1813" s="85">
        <v>0</v>
      </c>
      <c r="E1813" s="85"/>
      <c r="F1813" s="85">
        <v>675</v>
      </c>
      <c r="G1813" s="85">
        <v>0</v>
      </c>
      <c r="H1813" s="85">
        <f t="shared" si="28"/>
        <v>675</v>
      </c>
      <c r="I1813" s="85"/>
      <c r="K1813" s="54" t="s">
        <v>38</v>
      </c>
    </row>
    <row r="1814" spans="2:11" ht="24.75" x14ac:dyDescent="0.2">
      <c r="B1814" s="82" t="s">
        <v>4030</v>
      </c>
      <c r="C1814" s="82" t="s">
        <v>4031</v>
      </c>
      <c r="D1814" s="83">
        <f>SUMIFS(D1815:D6462,K1815:K6462,"0",B1815:B6462,"5 1 1 3 2*")-SUMIFS(E1815:E6462,K1815:K6462,"0",B1815:B6462,"5 1 1 3 2*")</f>
        <v>0</v>
      </c>
      <c r="E1814" s="54"/>
      <c r="F1814" s="83">
        <f>SUMIFS(F1815:F6462,K1815:K6462,"0",B1815:B6462,"5 1 1 3 2*")</f>
        <v>1933645.7600000002</v>
      </c>
      <c r="G1814" s="83">
        <f>SUMIFS(G1815:G6462,K1815:K6462,"0",B1815:B6462,"5 1 1 3 2*")</f>
        <v>0</v>
      </c>
      <c r="H1814" s="83">
        <f t="shared" si="28"/>
        <v>1933645.7600000002</v>
      </c>
      <c r="I1814" s="83"/>
      <c r="K1814" s="54" t="s">
        <v>15</v>
      </c>
    </row>
    <row r="1815" spans="2:11" ht="12.75" x14ac:dyDescent="0.2">
      <c r="B1815" s="82" t="s">
        <v>4032</v>
      </c>
      <c r="C1815" s="82" t="s">
        <v>26</v>
      </c>
      <c r="D1815" s="83">
        <f>SUMIFS(D1816:D6462,K1816:K6462,"0",B1816:B6462,"5 1 1 3 2 12*")-SUMIFS(E1816:E6462,K1816:K6462,"0",B1816:B6462,"5 1 1 3 2 12*")</f>
        <v>0</v>
      </c>
      <c r="E1815" s="54"/>
      <c r="F1815" s="83">
        <f>SUMIFS(F1816:F6462,K1816:K6462,"0",B1816:B6462,"5 1 1 3 2 12*")</f>
        <v>1933645.7600000002</v>
      </c>
      <c r="G1815" s="83">
        <f>SUMIFS(G1816:G6462,K1816:K6462,"0",B1816:B6462,"5 1 1 3 2 12*")</f>
        <v>0</v>
      </c>
      <c r="H1815" s="83">
        <f t="shared" si="28"/>
        <v>1933645.7600000002</v>
      </c>
      <c r="I1815" s="83"/>
      <c r="K1815" s="54" t="s">
        <v>15</v>
      </c>
    </row>
    <row r="1816" spans="2:11" ht="16.5" x14ac:dyDescent="0.2">
      <c r="B1816" s="82" t="s">
        <v>4033</v>
      </c>
      <c r="C1816" s="82" t="s">
        <v>28</v>
      </c>
      <c r="D1816" s="83">
        <f>SUMIFS(D1817:D6462,K1817:K6462,"0",B1817:B6462,"5 1 1 3 2 12 31111*")-SUMIFS(E1817:E6462,K1817:K6462,"0",B1817:B6462,"5 1 1 3 2 12 31111*")</f>
        <v>0</v>
      </c>
      <c r="E1816" s="54"/>
      <c r="F1816" s="83">
        <f>SUMIFS(F1817:F6462,K1817:K6462,"0",B1817:B6462,"5 1 1 3 2 12 31111*")</f>
        <v>1933645.7600000002</v>
      </c>
      <c r="G1816" s="83">
        <f>SUMIFS(G1817:G6462,K1817:K6462,"0",B1817:B6462,"5 1 1 3 2 12 31111*")</f>
        <v>0</v>
      </c>
      <c r="H1816" s="83">
        <f t="shared" si="28"/>
        <v>1933645.7600000002</v>
      </c>
      <c r="I1816" s="83"/>
      <c r="K1816" s="54" t="s">
        <v>15</v>
      </c>
    </row>
    <row r="1817" spans="2:11" ht="12.75" x14ac:dyDescent="0.2">
      <c r="B1817" s="82" t="s">
        <v>4034</v>
      </c>
      <c r="C1817" s="82" t="s">
        <v>30</v>
      </c>
      <c r="D1817" s="83">
        <f>SUMIFS(D1818:D6462,K1818:K6462,"0",B1818:B6462,"5 1 1 3 2 12 31111 6*")-SUMIFS(E1818:E6462,K1818:K6462,"0",B1818:B6462,"5 1 1 3 2 12 31111 6*")</f>
        <v>0</v>
      </c>
      <c r="E1817" s="54"/>
      <c r="F1817" s="83">
        <f>SUMIFS(F1818:F6462,K1818:K6462,"0",B1818:B6462,"5 1 1 3 2 12 31111 6*")</f>
        <v>1933645.7600000002</v>
      </c>
      <c r="G1817" s="83">
        <f>SUMIFS(G1818:G6462,K1818:K6462,"0",B1818:B6462,"5 1 1 3 2 12 31111 6*")</f>
        <v>0</v>
      </c>
      <c r="H1817" s="83">
        <f t="shared" si="28"/>
        <v>1933645.7600000002</v>
      </c>
      <c r="I1817" s="83"/>
      <c r="K1817" s="54" t="s">
        <v>15</v>
      </c>
    </row>
    <row r="1818" spans="2:11" ht="16.5" x14ac:dyDescent="0.2">
      <c r="B1818" s="82" t="s">
        <v>4035</v>
      </c>
      <c r="C1818" s="82" t="s">
        <v>2284</v>
      </c>
      <c r="D1818" s="83">
        <f>SUMIFS(D1819:D6462,K1819:K6462,"0",B1819:B6462,"5 1 1 3 2 12 31111 6 M59*")-SUMIFS(E1819:E6462,K1819:K6462,"0",B1819:B6462,"5 1 1 3 2 12 31111 6 M59*")</f>
        <v>0</v>
      </c>
      <c r="E1818" s="54"/>
      <c r="F1818" s="83">
        <f>SUMIFS(F1819:F6462,K1819:K6462,"0",B1819:B6462,"5 1 1 3 2 12 31111 6 M59*")</f>
        <v>1933645.7600000002</v>
      </c>
      <c r="G1818" s="83">
        <f>SUMIFS(G1819:G6462,K1819:K6462,"0",B1819:B6462,"5 1 1 3 2 12 31111 6 M59*")</f>
        <v>0</v>
      </c>
      <c r="H1818" s="83">
        <f t="shared" si="28"/>
        <v>1933645.7600000002</v>
      </c>
      <c r="I1818" s="83"/>
      <c r="K1818" s="54" t="s">
        <v>15</v>
      </c>
    </row>
    <row r="1819" spans="2:11" ht="16.5" x14ac:dyDescent="0.2">
      <c r="B1819" s="82" t="s">
        <v>4036</v>
      </c>
      <c r="C1819" s="82" t="s">
        <v>1243</v>
      </c>
      <c r="D1819" s="83">
        <f>SUMIFS(D1820:D6462,K1820:K6462,"0",B1820:B6462,"5 1 1 3 2 12 31111 6 M59 10000*")-SUMIFS(E1820:E6462,K1820:K6462,"0",B1820:B6462,"5 1 1 3 2 12 31111 6 M59 10000*")</f>
        <v>0</v>
      </c>
      <c r="E1819" s="54"/>
      <c r="F1819" s="83">
        <f>SUMIFS(F1820:F6462,K1820:K6462,"0",B1820:B6462,"5 1 1 3 2 12 31111 6 M59 10000*")</f>
        <v>90280.77</v>
      </c>
      <c r="G1819" s="83">
        <f>SUMIFS(G1820:G6462,K1820:K6462,"0",B1820:B6462,"5 1 1 3 2 12 31111 6 M59 10000*")</f>
        <v>0</v>
      </c>
      <c r="H1819" s="83">
        <f t="shared" si="28"/>
        <v>90280.77</v>
      </c>
      <c r="I1819" s="83"/>
      <c r="K1819" s="54" t="s">
        <v>15</v>
      </c>
    </row>
    <row r="1820" spans="2:11" ht="16.5" x14ac:dyDescent="0.2">
      <c r="B1820" s="82" t="s">
        <v>4037</v>
      </c>
      <c r="C1820" s="82" t="s">
        <v>648</v>
      </c>
      <c r="D1820" s="83">
        <f>SUMIFS(D1821:D6462,K1821:K6462,"0",B1821:B6462,"5 1 1 3 2 12 31111 6 M59 10000 000132*")-SUMIFS(E1821:E6462,K1821:K6462,"0",B1821:B6462,"5 1 1 3 2 12 31111 6 M59 10000 000132*")</f>
        <v>0</v>
      </c>
      <c r="E1820" s="54"/>
      <c r="F1820" s="83">
        <f>SUMIFS(F1821:F6462,K1821:K6462,"0",B1821:B6462,"5 1 1 3 2 12 31111 6 M59 10000 000132*")</f>
        <v>90280.77</v>
      </c>
      <c r="G1820" s="83">
        <f>SUMIFS(G1821:G6462,K1821:K6462,"0",B1821:B6462,"5 1 1 3 2 12 31111 6 M59 10000 000132*")</f>
        <v>0</v>
      </c>
      <c r="H1820" s="83">
        <f t="shared" si="28"/>
        <v>90280.77</v>
      </c>
      <c r="I1820" s="83"/>
      <c r="K1820" s="54" t="s">
        <v>15</v>
      </c>
    </row>
    <row r="1821" spans="2:11" ht="24.75" x14ac:dyDescent="0.2">
      <c r="B1821" s="82" t="s">
        <v>4038</v>
      </c>
      <c r="C1821" s="82" t="s">
        <v>650</v>
      </c>
      <c r="D1821" s="83">
        <f>SUMIFS(D1822:D6462,K1822:K6462,"0",B1822:B6462,"5 1 1 3 2 12 31111 6 M59 10000 000132 0000R*")-SUMIFS(E1822:E6462,K1822:K6462,"0",B1822:B6462,"5 1 1 3 2 12 31111 6 M59 10000 000132 0000R*")</f>
        <v>0</v>
      </c>
      <c r="E1821" s="54"/>
      <c r="F1821" s="83">
        <f>SUMIFS(F1822:F6462,K1822:K6462,"0",B1822:B6462,"5 1 1 3 2 12 31111 6 M59 10000 000132 0000R*")</f>
        <v>90280.77</v>
      </c>
      <c r="G1821" s="83">
        <f>SUMIFS(G1822:G6462,K1822:K6462,"0",B1822:B6462,"5 1 1 3 2 12 31111 6 M59 10000 000132 0000R*")</f>
        <v>0</v>
      </c>
      <c r="H1821" s="83">
        <f t="shared" si="28"/>
        <v>90280.77</v>
      </c>
      <c r="I1821" s="83"/>
      <c r="K1821" s="54" t="s">
        <v>15</v>
      </c>
    </row>
    <row r="1822" spans="2:11" ht="24.75" x14ac:dyDescent="0.2">
      <c r="B1822" s="82" t="s">
        <v>4039</v>
      </c>
      <c r="C1822" s="82" t="s">
        <v>282</v>
      </c>
      <c r="D1822" s="83">
        <f>SUMIFS(D1823:D6462,K1823:K6462,"0",B1823:B6462,"5 1 1 3 2 12 31111 6 M59 10000 000132 0000R 00001*")-SUMIFS(E1823:E6462,K1823:K6462,"0",B1823:B6462,"5 1 1 3 2 12 31111 6 M59 10000 000132 0000R 00001*")</f>
        <v>0</v>
      </c>
      <c r="E1822" s="54"/>
      <c r="F1822" s="83">
        <f>SUMIFS(F1823:F6462,K1823:K6462,"0",B1823:B6462,"5 1 1 3 2 12 31111 6 M59 10000 000132 0000R 00001*")</f>
        <v>90280.77</v>
      </c>
      <c r="G1822" s="83">
        <f>SUMIFS(G1823:G6462,K1823:K6462,"0",B1823:B6462,"5 1 1 3 2 12 31111 6 M59 10000 000132 0000R 00001*")</f>
        <v>0</v>
      </c>
      <c r="H1822" s="83">
        <f t="shared" si="28"/>
        <v>90280.77</v>
      </c>
      <c r="I1822" s="83"/>
      <c r="K1822" s="54" t="s">
        <v>15</v>
      </c>
    </row>
    <row r="1823" spans="2:11" ht="24.75" x14ac:dyDescent="0.2">
      <c r="B1823" s="82" t="s">
        <v>4040</v>
      </c>
      <c r="C1823" s="82" t="s">
        <v>4041</v>
      </c>
      <c r="D1823" s="83">
        <f>SUMIFS(D1824:D6462,K1824:K6462,"0",B1824:B6462,"5 1 1 3 2 12 31111 6 M59 10000 000132 0000R 00001 00132*")-SUMIFS(E1824:E6462,K1824:K6462,"0",B1824:B6462,"5 1 1 3 2 12 31111 6 M59 10000 000132 0000R 00001 00132*")</f>
        <v>0</v>
      </c>
      <c r="E1823" s="54"/>
      <c r="F1823" s="83">
        <f>SUMIFS(F1824:F6462,K1824:K6462,"0",B1824:B6462,"5 1 1 3 2 12 31111 6 M59 10000 000132 0000R 00001 00132*")</f>
        <v>90280.77</v>
      </c>
      <c r="G1823" s="83">
        <f>SUMIFS(G1824:G6462,K1824:K6462,"0",B1824:B6462,"5 1 1 3 2 12 31111 6 M59 10000 000132 0000R 00001 00132*")</f>
        <v>0</v>
      </c>
      <c r="H1823" s="83">
        <f t="shared" si="28"/>
        <v>90280.77</v>
      </c>
      <c r="I1823" s="83"/>
      <c r="K1823" s="54" t="s">
        <v>15</v>
      </c>
    </row>
    <row r="1824" spans="2:11" ht="33" x14ac:dyDescent="0.2">
      <c r="B1824" s="82" t="s">
        <v>4042</v>
      </c>
      <c r="C1824" s="82" t="s">
        <v>1051</v>
      </c>
      <c r="D1824" s="83">
        <f>SUMIFS(D1825:D6462,K1825:K6462,"0",B1825:B6462,"5 1 1 3 2 12 31111 6 M59 10000 000132 0000R 00001 00132 015*")-SUMIFS(E1825:E6462,K1825:K6462,"0",B1825:B6462,"5 1 1 3 2 12 31111 6 M59 10000 000132 0000R 00001 00132 015*")</f>
        <v>0</v>
      </c>
      <c r="E1824" s="54"/>
      <c r="F1824" s="83">
        <f>SUMIFS(F1825:F6462,K1825:K6462,"0",B1825:B6462,"5 1 1 3 2 12 31111 6 M59 10000 000132 0000R 00001 00132 015*")</f>
        <v>90280.77</v>
      </c>
      <c r="G1824" s="83">
        <f>SUMIFS(G1825:G6462,K1825:K6462,"0",B1825:B6462,"5 1 1 3 2 12 31111 6 M59 10000 000132 0000R 00001 00132 015*")</f>
        <v>0</v>
      </c>
      <c r="H1824" s="83">
        <f t="shared" si="28"/>
        <v>90280.77</v>
      </c>
      <c r="I1824" s="83"/>
      <c r="K1824" s="54" t="s">
        <v>15</v>
      </c>
    </row>
    <row r="1825" spans="2:11" ht="33" x14ac:dyDescent="0.2">
      <c r="B1825" s="82" t="s">
        <v>4043</v>
      </c>
      <c r="C1825" s="82" t="s">
        <v>2927</v>
      </c>
      <c r="D1825" s="83">
        <f>SUMIFS(D1826:D6462,K1826:K6462,"0",B1826:B6462,"5 1 1 3 2 12 31111 6 M59 10000 000132 0000R 00001 00132 015 2111100*")-SUMIFS(E1826:E6462,K1826:K6462,"0",B1826:B6462,"5 1 1 3 2 12 31111 6 M59 10000 000132 0000R 00001 00132 015 2111100*")</f>
        <v>0</v>
      </c>
      <c r="E1825" s="54"/>
      <c r="F1825" s="83">
        <f>SUMIFS(F1826:F6462,K1826:K6462,"0",B1826:B6462,"5 1 1 3 2 12 31111 6 M59 10000 000132 0000R 00001 00132 015 2111100*")</f>
        <v>90280.77</v>
      </c>
      <c r="G1825" s="83">
        <f>SUMIFS(G1826:G6462,K1826:K6462,"0",B1826:B6462,"5 1 1 3 2 12 31111 6 M59 10000 000132 0000R 00001 00132 015 2111100*")</f>
        <v>0</v>
      </c>
      <c r="H1825" s="83">
        <f t="shared" si="28"/>
        <v>90280.77</v>
      </c>
      <c r="I1825" s="83"/>
      <c r="K1825" s="54" t="s">
        <v>15</v>
      </c>
    </row>
    <row r="1826" spans="2:11" ht="33" x14ac:dyDescent="0.2">
      <c r="B1826" s="82" t="s">
        <v>4044</v>
      </c>
      <c r="C1826" s="82" t="s">
        <v>660</v>
      </c>
      <c r="D1826" s="83">
        <f>SUMIFS(D1827:D6462,K1827:K6462,"0",B1827:B6462,"5 1 1 3 2 12 31111 6 M59 10000 000132 0000R 00001 00132 015 2111100 2024*")-SUMIFS(E1827:E6462,K1827:K6462,"0",B1827:B6462,"5 1 1 3 2 12 31111 6 M59 10000 000132 0000R 00001 00132 015 2111100 2024*")</f>
        <v>0</v>
      </c>
      <c r="E1826" s="54"/>
      <c r="F1826" s="83">
        <f>SUMIFS(F1827:F6462,K1827:K6462,"0",B1827:B6462,"5 1 1 3 2 12 31111 6 M59 10000 000132 0000R 00001 00132 015 2111100 2024*")</f>
        <v>90280.77</v>
      </c>
      <c r="G1826" s="83">
        <f>SUMIFS(G1827:G6462,K1827:K6462,"0",B1827:B6462,"5 1 1 3 2 12 31111 6 M59 10000 000132 0000R 00001 00132 015 2111100 2024*")</f>
        <v>0</v>
      </c>
      <c r="H1826" s="83">
        <f t="shared" si="28"/>
        <v>90280.77</v>
      </c>
      <c r="I1826" s="83"/>
      <c r="K1826" s="54" t="s">
        <v>15</v>
      </c>
    </row>
    <row r="1827" spans="2:11" ht="41.25" x14ac:dyDescent="0.2">
      <c r="B1827" s="82" t="s">
        <v>4045</v>
      </c>
      <c r="C1827" s="82" t="s">
        <v>662</v>
      </c>
      <c r="D1827" s="83">
        <f>SUMIFS(D1828:D6462,K1828:K6462,"0",B1828:B6462,"5 1 1 3 2 12 31111 6 M59 10000 000132 0000R 00001 00132 015 2111100 2024 CP1PM439*")-SUMIFS(E1828:E6462,K1828:K6462,"0",B1828:B6462,"5 1 1 3 2 12 31111 6 M59 10000 000132 0000R 00001 00132 015 2111100 2024 CP1PM439*")</f>
        <v>0</v>
      </c>
      <c r="E1827" s="54"/>
      <c r="F1827" s="83">
        <f>SUMIFS(F1828:F6462,K1828:K6462,"0",B1828:B6462,"5 1 1 3 2 12 31111 6 M59 10000 000132 0000R 00001 00132 015 2111100 2024 CP1PM439*")</f>
        <v>90280.77</v>
      </c>
      <c r="G1827" s="83">
        <f>SUMIFS(G1828:G6462,K1828:K6462,"0",B1828:B6462,"5 1 1 3 2 12 31111 6 M59 10000 000132 0000R 00001 00132 015 2111100 2024 CP1PM439*")</f>
        <v>0</v>
      </c>
      <c r="H1827" s="83">
        <f t="shared" si="28"/>
        <v>90280.77</v>
      </c>
      <c r="I1827" s="83"/>
      <c r="K1827" s="54" t="s">
        <v>15</v>
      </c>
    </row>
    <row r="1828" spans="2:11" ht="41.25" x14ac:dyDescent="0.2">
      <c r="B1828" s="82" t="s">
        <v>4046</v>
      </c>
      <c r="C1828" s="82" t="s">
        <v>282</v>
      </c>
      <c r="D1828" s="83">
        <f>SUMIFS(D1829:D6462,K1829:K6462,"0",B1829:B6462,"5 1 1 3 2 12 31111 6 M59 10000 000132 0000R 00001 00132 015 2111100 2024 CP1PM439 001*")-SUMIFS(E1829:E6462,K1829:K6462,"0",B1829:B6462,"5 1 1 3 2 12 31111 6 M59 10000 000132 0000R 00001 00132 015 2111100 2024 CP1PM439 001*")</f>
        <v>0</v>
      </c>
      <c r="E1828" s="54"/>
      <c r="F1828" s="83">
        <f>SUMIFS(F1829:F6462,K1829:K6462,"0",B1829:B6462,"5 1 1 3 2 12 31111 6 M59 10000 000132 0000R 00001 00132 015 2111100 2024 CP1PM439 001*")</f>
        <v>90280.77</v>
      </c>
      <c r="G1828" s="83">
        <f>SUMIFS(G1829:G6462,K1829:K6462,"0",B1829:B6462,"5 1 1 3 2 12 31111 6 M59 10000 000132 0000R 00001 00132 015 2111100 2024 CP1PM439 001*")</f>
        <v>0</v>
      </c>
      <c r="H1828" s="83">
        <f t="shared" si="28"/>
        <v>90280.77</v>
      </c>
      <c r="I1828" s="83"/>
      <c r="K1828" s="54" t="s">
        <v>15</v>
      </c>
    </row>
    <row r="1829" spans="2:11" ht="33" x14ac:dyDescent="0.2">
      <c r="B1829" s="84" t="s">
        <v>4047</v>
      </c>
      <c r="C1829" s="84" t="s">
        <v>1519</v>
      </c>
      <c r="D1829" s="85">
        <v>0</v>
      </c>
      <c r="E1829" s="85"/>
      <c r="F1829" s="85">
        <v>90280.77</v>
      </c>
      <c r="G1829" s="85">
        <v>0</v>
      </c>
      <c r="H1829" s="85">
        <f t="shared" si="28"/>
        <v>90280.77</v>
      </c>
      <c r="I1829" s="85"/>
      <c r="K1829" s="54" t="s">
        <v>38</v>
      </c>
    </row>
    <row r="1830" spans="2:11" ht="16.5" x14ac:dyDescent="0.2">
      <c r="B1830" s="82" t="s">
        <v>4048</v>
      </c>
      <c r="C1830" s="82" t="s">
        <v>2934</v>
      </c>
      <c r="D1830" s="83">
        <f>SUMIFS(D1831:D6462,K1831:K6462,"0",B1831:B6462,"5 1 1 3 2 12 31111 6 M59 10100*")-SUMIFS(E1831:E6462,K1831:K6462,"0",B1831:B6462,"5 1 1 3 2 12 31111 6 M59 10100*")</f>
        <v>0</v>
      </c>
      <c r="E1830" s="54"/>
      <c r="F1830" s="83">
        <f>SUMIFS(F1831:F6462,K1831:K6462,"0",B1831:B6462,"5 1 1 3 2 12 31111 6 M59 10100*")</f>
        <v>39836.080000000002</v>
      </c>
      <c r="G1830" s="83">
        <f>SUMIFS(G1831:G6462,K1831:K6462,"0",B1831:B6462,"5 1 1 3 2 12 31111 6 M59 10100*")</f>
        <v>0</v>
      </c>
      <c r="H1830" s="83">
        <f t="shared" si="28"/>
        <v>39836.080000000002</v>
      </c>
      <c r="I1830" s="83"/>
      <c r="K1830" s="54" t="s">
        <v>15</v>
      </c>
    </row>
    <row r="1831" spans="2:11" ht="16.5" x14ac:dyDescent="0.2">
      <c r="B1831" s="82" t="s">
        <v>4049</v>
      </c>
      <c r="C1831" s="82" t="s">
        <v>648</v>
      </c>
      <c r="D1831" s="83">
        <f>SUMIFS(D1832:D6462,K1832:K6462,"0",B1832:B6462,"5 1 1 3 2 12 31111 6 M59 10100 000132*")-SUMIFS(E1832:E6462,K1832:K6462,"0",B1832:B6462,"5 1 1 3 2 12 31111 6 M59 10100 000132*")</f>
        <v>0</v>
      </c>
      <c r="E1831" s="54"/>
      <c r="F1831" s="83">
        <f>SUMIFS(F1832:F6462,K1832:K6462,"0",B1832:B6462,"5 1 1 3 2 12 31111 6 M59 10100 000132*")</f>
        <v>39836.080000000002</v>
      </c>
      <c r="G1831" s="83">
        <f>SUMIFS(G1832:G6462,K1832:K6462,"0",B1832:B6462,"5 1 1 3 2 12 31111 6 M59 10100 000132*")</f>
        <v>0</v>
      </c>
      <c r="H1831" s="83">
        <f t="shared" si="28"/>
        <v>39836.080000000002</v>
      </c>
      <c r="I1831" s="83"/>
      <c r="K1831" s="54" t="s">
        <v>15</v>
      </c>
    </row>
    <row r="1832" spans="2:11" ht="24.75" x14ac:dyDescent="0.2">
      <c r="B1832" s="82" t="s">
        <v>4050</v>
      </c>
      <c r="C1832" s="82" t="s">
        <v>650</v>
      </c>
      <c r="D1832" s="83">
        <f>SUMIFS(D1833:D6462,K1833:K6462,"0",B1833:B6462,"5 1 1 3 2 12 31111 6 M59 10100 000132 0000R*")-SUMIFS(E1833:E6462,K1833:K6462,"0",B1833:B6462,"5 1 1 3 2 12 31111 6 M59 10100 000132 0000R*")</f>
        <v>0</v>
      </c>
      <c r="E1832" s="54"/>
      <c r="F1832" s="83">
        <f>SUMIFS(F1833:F6462,K1833:K6462,"0",B1833:B6462,"5 1 1 3 2 12 31111 6 M59 10100 000132 0000R*")</f>
        <v>39836.080000000002</v>
      </c>
      <c r="G1832" s="83">
        <f>SUMIFS(G1833:G6462,K1833:K6462,"0",B1833:B6462,"5 1 1 3 2 12 31111 6 M59 10100 000132 0000R*")</f>
        <v>0</v>
      </c>
      <c r="H1832" s="83">
        <f t="shared" si="28"/>
        <v>39836.080000000002</v>
      </c>
      <c r="I1832" s="83"/>
      <c r="K1832" s="54" t="s">
        <v>15</v>
      </c>
    </row>
    <row r="1833" spans="2:11" ht="24.75" x14ac:dyDescent="0.2">
      <c r="B1833" s="82" t="s">
        <v>4051</v>
      </c>
      <c r="C1833" s="82" t="s">
        <v>282</v>
      </c>
      <c r="D1833" s="83">
        <f>SUMIFS(D1834:D6462,K1834:K6462,"0",B1834:B6462,"5 1 1 3 2 12 31111 6 M59 10100 000132 0000R 00001*")-SUMIFS(E1834:E6462,K1834:K6462,"0",B1834:B6462,"5 1 1 3 2 12 31111 6 M59 10100 000132 0000R 00001*")</f>
        <v>0</v>
      </c>
      <c r="E1833" s="54"/>
      <c r="F1833" s="83">
        <f>SUMIFS(F1834:F6462,K1834:K6462,"0",B1834:B6462,"5 1 1 3 2 12 31111 6 M59 10100 000132 0000R 00001*")</f>
        <v>39836.080000000002</v>
      </c>
      <c r="G1833" s="83">
        <f>SUMIFS(G1834:G6462,K1834:K6462,"0",B1834:B6462,"5 1 1 3 2 12 31111 6 M59 10100 000132 0000R 00001*")</f>
        <v>0</v>
      </c>
      <c r="H1833" s="83">
        <f t="shared" si="28"/>
        <v>39836.080000000002</v>
      </c>
      <c r="I1833" s="83"/>
      <c r="K1833" s="54" t="s">
        <v>15</v>
      </c>
    </row>
    <row r="1834" spans="2:11" ht="24.75" x14ac:dyDescent="0.2">
      <c r="B1834" s="82" t="s">
        <v>4052</v>
      </c>
      <c r="C1834" s="82" t="s">
        <v>4041</v>
      </c>
      <c r="D1834" s="83">
        <f>SUMIFS(D1835:D6462,K1835:K6462,"0",B1835:B6462,"5 1 1 3 2 12 31111 6 M59 10100 000132 0000R 00001 00132*")-SUMIFS(E1835:E6462,K1835:K6462,"0",B1835:B6462,"5 1 1 3 2 12 31111 6 M59 10100 000132 0000R 00001 00132*")</f>
        <v>0</v>
      </c>
      <c r="E1834" s="54"/>
      <c r="F1834" s="83">
        <f>SUMIFS(F1835:F6462,K1835:K6462,"0",B1835:B6462,"5 1 1 3 2 12 31111 6 M59 10100 000132 0000R 00001 00132*")</f>
        <v>39836.080000000002</v>
      </c>
      <c r="G1834" s="83">
        <f>SUMIFS(G1835:G6462,K1835:K6462,"0",B1835:B6462,"5 1 1 3 2 12 31111 6 M59 10100 000132 0000R 00001 00132*")</f>
        <v>0</v>
      </c>
      <c r="H1834" s="83">
        <f t="shared" si="28"/>
        <v>39836.080000000002</v>
      </c>
      <c r="I1834" s="83"/>
      <c r="K1834" s="54" t="s">
        <v>15</v>
      </c>
    </row>
    <row r="1835" spans="2:11" ht="33" x14ac:dyDescent="0.2">
      <c r="B1835" s="82" t="s">
        <v>4053</v>
      </c>
      <c r="C1835" s="82" t="s">
        <v>1051</v>
      </c>
      <c r="D1835" s="83">
        <f>SUMIFS(D1836:D6462,K1836:K6462,"0",B1836:B6462,"5 1 1 3 2 12 31111 6 M59 10100 000132 0000R 00001 00132 015*")-SUMIFS(E1836:E6462,K1836:K6462,"0",B1836:B6462,"5 1 1 3 2 12 31111 6 M59 10100 000132 0000R 00001 00132 015*")</f>
        <v>0</v>
      </c>
      <c r="E1835" s="54"/>
      <c r="F1835" s="83">
        <f>SUMIFS(F1836:F6462,K1836:K6462,"0",B1836:B6462,"5 1 1 3 2 12 31111 6 M59 10100 000132 0000R 00001 00132 015*")</f>
        <v>39836.080000000002</v>
      </c>
      <c r="G1835" s="83">
        <f>SUMIFS(G1836:G6462,K1836:K6462,"0",B1836:B6462,"5 1 1 3 2 12 31111 6 M59 10100 000132 0000R 00001 00132 015*")</f>
        <v>0</v>
      </c>
      <c r="H1835" s="83">
        <f t="shared" ref="H1835:H1898" si="29">D1835 + F1835 - G1835</f>
        <v>39836.080000000002</v>
      </c>
      <c r="I1835" s="83"/>
      <c r="K1835" s="54" t="s">
        <v>15</v>
      </c>
    </row>
    <row r="1836" spans="2:11" ht="33" x14ac:dyDescent="0.2">
      <c r="B1836" s="82" t="s">
        <v>4054</v>
      </c>
      <c r="C1836" s="82" t="s">
        <v>2927</v>
      </c>
      <c r="D1836" s="83">
        <f>SUMIFS(D1837:D6462,K1837:K6462,"0",B1837:B6462,"5 1 1 3 2 12 31111 6 M59 10100 000132 0000R 00001 00132 015 2111100*")-SUMIFS(E1837:E6462,K1837:K6462,"0",B1837:B6462,"5 1 1 3 2 12 31111 6 M59 10100 000132 0000R 00001 00132 015 2111100*")</f>
        <v>0</v>
      </c>
      <c r="E1836" s="54"/>
      <c r="F1836" s="83">
        <f>SUMIFS(F1837:F6462,K1837:K6462,"0",B1837:B6462,"5 1 1 3 2 12 31111 6 M59 10100 000132 0000R 00001 00132 015 2111100*")</f>
        <v>39836.080000000002</v>
      </c>
      <c r="G1836" s="83">
        <f>SUMIFS(G1837:G6462,K1837:K6462,"0",B1837:B6462,"5 1 1 3 2 12 31111 6 M59 10100 000132 0000R 00001 00132 015 2111100*")</f>
        <v>0</v>
      </c>
      <c r="H1836" s="83">
        <f t="shared" si="29"/>
        <v>39836.080000000002</v>
      </c>
      <c r="I1836" s="83"/>
      <c r="K1836" s="54" t="s">
        <v>15</v>
      </c>
    </row>
    <row r="1837" spans="2:11" ht="33" x14ac:dyDescent="0.2">
      <c r="B1837" s="82" t="s">
        <v>4055</v>
      </c>
      <c r="C1837" s="82" t="s">
        <v>660</v>
      </c>
      <c r="D1837" s="83">
        <f>SUMIFS(D1838:D6462,K1838:K6462,"0",B1838:B6462,"5 1 1 3 2 12 31111 6 M59 10100 000132 0000R 00001 00132 015 2111100 2024*")-SUMIFS(E1838:E6462,K1838:K6462,"0",B1838:B6462,"5 1 1 3 2 12 31111 6 M59 10100 000132 0000R 00001 00132 015 2111100 2024*")</f>
        <v>0</v>
      </c>
      <c r="E1837" s="54"/>
      <c r="F1837" s="83">
        <f>SUMIFS(F1838:F6462,K1838:K6462,"0",B1838:B6462,"5 1 1 3 2 12 31111 6 M59 10100 000132 0000R 00001 00132 015 2111100 2024*")</f>
        <v>39836.080000000002</v>
      </c>
      <c r="G1837" s="83">
        <f>SUMIFS(G1838:G6462,K1838:K6462,"0",B1838:B6462,"5 1 1 3 2 12 31111 6 M59 10100 000132 0000R 00001 00132 015 2111100 2024*")</f>
        <v>0</v>
      </c>
      <c r="H1837" s="83">
        <f t="shared" si="29"/>
        <v>39836.080000000002</v>
      </c>
      <c r="I1837" s="83"/>
      <c r="K1837" s="54" t="s">
        <v>15</v>
      </c>
    </row>
    <row r="1838" spans="2:11" ht="41.25" x14ac:dyDescent="0.2">
      <c r="B1838" s="82" t="s">
        <v>4056</v>
      </c>
      <c r="C1838" s="82" t="s">
        <v>1056</v>
      </c>
      <c r="D1838" s="83">
        <f>SUMIFS(D1839:D6462,K1839:K6462,"0",B1839:B6462,"5 1 1 3 2 12 31111 6 M59 10100 000132 0000R 00001 00132 015 2111100 2024 CP1CO438*")-SUMIFS(E1839:E6462,K1839:K6462,"0",B1839:B6462,"5 1 1 3 2 12 31111 6 M59 10100 000132 0000R 00001 00132 015 2111100 2024 CP1CO438*")</f>
        <v>0</v>
      </c>
      <c r="E1838" s="54"/>
      <c r="F1838" s="83">
        <f>SUMIFS(F1839:F6462,K1839:K6462,"0",B1839:B6462,"5 1 1 3 2 12 31111 6 M59 10100 000132 0000R 00001 00132 015 2111100 2024 CP1CO438*")</f>
        <v>39836.080000000002</v>
      </c>
      <c r="G1838" s="83">
        <f>SUMIFS(G1839:G6462,K1839:K6462,"0",B1839:B6462,"5 1 1 3 2 12 31111 6 M59 10100 000132 0000R 00001 00132 015 2111100 2024 CP1CO438*")</f>
        <v>0</v>
      </c>
      <c r="H1838" s="83">
        <f t="shared" si="29"/>
        <v>39836.080000000002</v>
      </c>
      <c r="I1838" s="83"/>
      <c r="K1838" s="54" t="s">
        <v>15</v>
      </c>
    </row>
    <row r="1839" spans="2:11" ht="41.25" x14ac:dyDescent="0.2">
      <c r="B1839" s="82" t="s">
        <v>4057</v>
      </c>
      <c r="C1839" s="82" t="s">
        <v>282</v>
      </c>
      <c r="D1839" s="83">
        <f>SUMIFS(D1840:D6462,K1840:K6462,"0",B1840:B6462,"5 1 1 3 2 12 31111 6 M59 10100 000132 0000R 00001 00132 015 2111100 2024 CP1CO438 001*")-SUMIFS(E1840:E6462,K1840:K6462,"0",B1840:B6462,"5 1 1 3 2 12 31111 6 M59 10100 000132 0000R 00001 00132 015 2111100 2024 CP1CO438 001*")</f>
        <v>0</v>
      </c>
      <c r="E1839" s="54"/>
      <c r="F1839" s="83">
        <f>SUMIFS(F1840:F6462,K1840:K6462,"0",B1840:B6462,"5 1 1 3 2 12 31111 6 M59 10100 000132 0000R 00001 00132 015 2111100 2024 CP1CO438 001*")</f>
        <v>39836.080000000002</v>
      </c>
      <c r="G1839" s="83">
        <f>SUMIFS(G1840:G6462,K1840:K6462,"0",B1840:B6462,"5 1 1 3 2 12 31111 6 M59 10100 000132 0000R 00001 00132 015 2111100 2024 CP1CO438 001*")</f>
        <v>0</v>
      </c>
      <c r="H1839" s="83">
        <f t="shared" si="29"/>
        <v>39836.080000000002</v>
      </c>
      <c r="I1839" s="83"/>
      <c r="K1839" s="54" t="s">
        <v>15</v>
      </c>
    </row>
    <row r="1840" spans="2:11" ht="33" x14ac:dyDescent="0.2">
      <c r="B1840" s="84" t="s">
        <v>4058</v>
      </c>
      <c r="C1840" s="84" t="s">
        <v>1519</v>
      </c>
      <c r="D1840" s="85">
        <v>0</v>
      </c>
      <c r="E1840" s="85"/>
      <c r="F1840" s="85">
        <v>39836.080000000002</v>
      </c>
      <c r="G1840" s="85">
        <v>0</v>
      </c>
      <c r="H1840" s="85">
        <f t="shared" si="29"/>
        <v>39836.080000000002</v>
      </c>
      <c r="I1840" s="85"/>
      <c r="K1840" s="54" t="s">
        <v>38</v>
      </c>
    </row>
    <row r="1841" spans="2:11" ht="16.5" x14ac:dyDescent="0.2">
      <c r="B1841" s="82" t="s">
        <v>4059</v>
      </c>
      <c r="C1841" s="82" t="s">
        <v>2946</v>
      </c>
      <c r="D1841" s="83">
        <f>SUMIFS(D1842:D6462,K1842:K6462,"0",B1842:B6462,"5 1 1 3 2 12 31111 6 M59 10300*")-SUMIFS(E1842:E6462,K1842:K6462,"0",B1842:B6462,"5 1 1 3 2 12 31111 6 M59 10300*")</f>
        <v>0</v>
      </c>
      <c r="E1841" s="54"/>
      <c r="F1841" s="83">
        <f>SUMIFS(F1842:F6462,K1842:K6462,"0",B1842:B6462,"5 1 1 3 2 12 31111 6 M59 10300*")</f>
        <v>38413.75</v>
      </c>
      <c r="G1841" s="83">
        <f>SUMIFS(G1842:G6462,K1842:K6462,"0",B1842:B6462,"5 1 1 3 2 12 31111 6 M59 10300*")</f>
        <v>0</v>
      </c>
      <c r="H1841" s="83">
        <f t="shared" si="29"/>
        <v>38413.75</v>
      </c>
      <c r="I1841" s="83"/>
      <c r="K1841" s="54" t="s">
        <v>15</v>
      </c>
    </row>
    <row r="1842" spans="2:11" ht="16.5" x14ac:dyDescent="0.2">
      <c r="B1842" s="82" t="s">
        <v>4060</v>
      </c>
      <c r="C1842" s="82" t="s">
        <v>648</v>
      </c>
      <c r="D1842" s="83">
        <f>SUMIFS(D1843:D6462,K1843:K6462,"0",B1843:B6462,"5 1 1 3 2 12 31111 6 M59 10300 000132*")-SUMIFS(E1843:E6462,K1843:K6462,"0",B1843:B6462,"5 1 1 3 2 12 31111 6 M59 10300 000132*")</f>
        <v>0</v>
      </c>
      <c r="E1842" s="54"/>
      <c r="F1842" s="83">
        <f>SUMIFS(F1843:F6462,K1843:K6462,"0",B1843:B6462,"5 1 1 3 2 12 31111 6 M59 10300 000132*")</f>
        <v>38413.75</v>
      </c>
      <c r="G1842" s="83">
        <f>SUMIFS(G1843:G6462,K1843:K6462,"0",B1843:B6462,"5 1 1 3 2 12 31111 6 M59 10300 000132*")</f>
        <v>0</v>
      </c>
      <c r="H1842" s="83">
        <f t="shared" si="29"/>
        <v>38413.75</v>
      </c>
      <c r="I1842" s="83"/>
      <c r="K1842" s="54" t="s">
        <v>15</v>
      </c>
    </row>
    <row r="1843" spans="2:11" ht="24.75" x14ac:dyDescent="0.2">
      <c r="B1843" s="82" t="s">
        <v>4061</v>
      </c>
      <c r="C1843" s="82" t="s">
        <v>650</v>
      </c>
      <c r="D1843" s="83">
        <f>SUMIFS(D1844:D6462,K1844:K6462,"0",B1844:B6462,"5 1 1 3 2 12 31111 6 M59 10300 000132 0000R*")-SUMIFS(E1844:E6462,K1844:K6462,"0",B1844:B6462,"5 1 1 3 2 12 31111 6 M59 10300 000132 0000R*")</f>
        <v>0</v>
      </c>
      <c r="E1843" s="54"/>
      <c r="F1843" s="83">
        <f>SUMIFS(F1844:F6462,K1844:K6462,"0",B1844:B6462,"5 1 1 3 2 12 31111 6 M59 10300 000132 0000R*")</f>
        <v>38413.75</v>
      </c>
      <c r="G1843" s="83">
        <f>SUMIFS(G1844:G6462,K1844:K6462,"0",B1844:B6462,"5 1 1 3 2 12 31111 6 M59 10300 000132 0000R*")</f>
        <v>0</v>
      </c>
      <c r="H1843" s="83">
        <f t="shared" si="29"/>
        <v>38413.75</v>
      </c>
      <c r="I1843" s="83"/>
      <c r="K1843" s="54" t="s">
        <v>15</v>
      </c>
    </row>
    <row r="1844" spans="2:11" ht="24.75" x14ac:dyDescent="0.2">
      <c r="B1844" s="82" t="s">
        <v>4062</v>
      </c>
      <c r="C1844" s="82" t="s">
        <v>282</v>
      </c>
      <c r="D1844" s="83">
        <f>SUMIFS(D1845:D6462,K1845:K6462,"0",B1845:B6462,"5 1 1 3 2 12 31111 6 M59 10300 000132 0000R 00001*")-SUMIFS(E1845:E6462,K1845:K6462,"0",B1845:B6462,"5 1 1 3 2 12 31111 6 M59 10300 000132 0000R 00001*")</f>
        <v>0</v>
      </c>
      <c r="E1844" s="54"/>
      <c r="F1844" s="83">
        <f>SUMIFS(F1845:F6462,K1845:K6462,"0",B1845:B6462,"5 1 1 3 2 12 31111 6 M59 10300 000132 0000R 00001*")</f>
        <v>38413.75</v>
      </c>
      <c r="G1844" s="83">
        <f>SUMIFS(G1845:G6462,K1845:K6462,"0",B1845:B6462,"5 1 1 3 2 12 31111 6 M59 10300 000132 0000R 00001*")</f>
        <v>0</v>
      </c>
      <c r="H1844" s="83">
        <f t="shared" si="29"/>
        <v>38413.75</v>
      </c>
      <c r="I1844" s="83"/>
      <c r="K1844" s="54" t="s">
        <v>15</v>
      </c>
    </row>
    <row r="1845" spans="2:11" ht="24.75" x14ac:dyDescent="0.2">
      <c r="B1845" s="82" t="s">
        <v>4063</v>
      </c>
      <c r="C1845" s="82" t="s">
        <v>4041</v>
      </c>
      <c r="D1845" s="83">
        <f>SUMIFS(D1846:D6462,K1846:K6462,"0",B1846:B6462,"5 1 1 3 2 12 31111 6 M59 10300 000132 0000R 00001 00132*")-SUMIFS(E1846:E6462,K1846:K6462,"0",B1846:B6462,"5 1 1 3 2 12 31111 6 M59 10300 000132 0000R 00001 00132*")</f>
        <v>0</v>
      </c>
      <c r="E1845" s="54"/>
      <c r="F1845" s="83">
        <f>SUMIFS(F1846:F6462,K1846:K6462,"0",B1846:B6462,"5 1 1 3 2 12 31111 6 M59 10300 000132 0000R 00001 00132*")</f>
        <v>38413.75</v>
      </c>
      <c r="G1845" s="83">
        <f>SUMIFS(G1846:G6462,K1846:K6462,"0",B1846:B6462,"5 1 1 3 2 12 31111 6 M59 10300 000132 0000R 00001 00132*")</f>
        <v>0</v>
      </c>
      <c r="H1845" s="83">
        <f t="shared" si="29"/>
        <v>38413.75</v>
      </c>
      <c r="I1845" s="83"/>
      <c r="K1845" s="54" t="s">
        <v>15</v>
      </c>
    </row>
    <row r="1846" spans="2:11" ht="33" x14ac:dyDescent="0.2">
      <c r="B1846" s="82" t="s">
        <v>4064</v>
      </c>
      <c r="C1846" s="82" t="s">
        <v>1051</v>
      </c>
      <c r="D1846" s="83">
        <f>SUMIFS(D1847:D6462,K1847:K6462,"0",B1847:B6462,"5 1 1 3 2 12 31111 6 M59 10300 000132 0000R 00001 00132 015*")-SUMIFS(E1847:E6462,K1847:K6462,"0",B1847:B6462,"5 1 1 3 2 12 31111 6 M59 10300 000132 0000R 00001 00132 015*")</f>
        <v>0</v>
      </c>
      <c r="E1846" s="54"/>
      <c r="F1846" s="83">
        <f>SUMIFS(F1847:F6462,K1847:K6462,"0",B1847:B6462,"5 1 1 3 2 12 31111 6 M59 10300 000132 0000R 00001 00132 015*")</f>
        <v>38413.75</v>
      </c>
      <c r="G1846" s="83">
        <f>SUMIFS(G1847:G6462,K1847:K6462,"0",B1847:B6462,"5 1 1 3 2 12 31111 6 M59 10300 000132 0000R 00001 00132 015*")</f>
        <v>0</v>
      </c>
      <c r="H1846" s="83">
        <f t="shared" si="29"/>
        <v>38413.75</v>
      </c>
      <c r="I1846" s="83"/>
      <c r="K1846" s="54" t="s">
        <v>15</v>
      </c>
    </row>
    <row r="1847" spans="2:11" ht="33" x14ac:dyDescent="0.2">
      <c r="B1847" s="82" t="s">
        <v>4065</v>
      </c>
      <c r="C1847" s="82" t="s">
        <v>2927</v>
      </c>
      <c r="D1847" s="83">
        <f>SUMIFS(D1848:D6462,K1848:K6462,"0",B1848:B6462,"5 1 1 3 2 12 31111 6 M59 10300 000132 0000R 00001 00132 015 2111100*")-SUMIFS(E1848:E6462,K1848:K6462,"0",B1848:B6462,"5 1 1 3 2 12 31111 6 M59 10300 000132 0000R 00001 00132 015 2111100*")</f>
        <v>0</v>
      </c>
      <c r="E1847" s="54"/>
      <c r="F1847" s="83">
        <f>SUMIFS(F1848:F6462,K1848:K6462,"0",B1848:B6462,"5 1 1 3 2 12 31111 6 M59 10300 000132 0000R 00001 00132 015 2111100*")</f>
        <v>38413.75</v>
      </c>
      <c r="G1847" s="83">
        <f>SUMIFS(G1848:G6462,K1848:K6462,"0",B1848:B6462,"5 1 1 3 2 12 31111 6 M59 10300 000132 0000R 00001 00132 015 2111100*")</f>
        <v>0</v>
      </c>
      <c r="H1847" s="83">
        <f t="shared" si="29"/>
        <v>38413.75</v>
      </c>
      <c r="I1847" s="83"/>
      <c r="K1847" s="54" t="s">
        <v>15</v>
      </c>
    </row>
    <row r="1848" spans="2:11" ht="33" x14ac:dyDescent="0.2">
      <c r="B1848" s="82" t="s">
        <v>4066</v>
      </c>
      <c r="C1848" s="82" t="s">
        <v>660</v>
      </c>
      <c r="D1848" s="83">
        <f>SUMIFS(D1849:D6462,K1849:K6462,"0",B1849:B6462,"5 1 1 3 2 12 31111 6 M59 10300 000132 0000R 00001 00132 015 2111100 2024*")-SUMIFS(E1849:E6462,K1849:K6462,"0",B1849:B6462,"5 1 1 3 2 12 31111 6 M59 10300 000132 0000R 00001 00132 015 2111100 2024*")</f>
        <v>0</v>
      </c>
      <c r="E1848" s="54"/>
      <c r="F1848" s="83">
        <f>SUMIFS(F1849:F6462,K1849:K6462,"0",B1849:B6462,"5 1 1 3 2 12 31111 6 M59 10300 000132 0000R 00001 00132 015 2111100 2024*")</f>
        <v>38413.75</v>
      </c>
      <c r="G1848" s="83">
        <f>SUMIFS(G1849:G6462,K1849:K6462,"0",B1849:B6462,"5 1 1 3 2 12 31111 6 M59 10300 000132 0000R 00001 00132 015 2111100 2024*")</f>
        <v>0</v>
      </c>
      <c r="H1848" s="83">
        <f t="shared" si="29"/>
        <v>38413.75</v>
      </c>
      <c r="I1848" s="83"/>
      <c r="K1848" s="54" t="s">
        <v>15</v>
      </c>
    </row>
    <row r="1849" spans="2:11" ht="41.25" x14ac:dyDescent="0.2">
      <c r="B1849" s="82" t="s">
        <v>4067</v>
      </c>
      <c r="C1849" s="82" t="s">
        <v>2955</v>
      </c>
      <c r="D1849" s="83">
        <f>SUMIFS(D1850:D6462,K1850:K6462,"0",B1850:B6462,"5 1 1 3 2 12 31111 6 M59 10300 000132 0000R 00001 00132 015 2111100 2024 CP1GE413*")-SUMIFS(E1850:E6462,K1850:K6462,"0",B1850:B6462,"5 1 1 3 2 12 31111 6 M59 10300 000132 0000R 00001 00132 015 2111100 2024 CP1GE413*")</f>
        <v>0</v>
      </c>
      <c r="E1849" s="54"/>
      <c r="F1849" s="83">
        <f>SUMIFS(F1850:F6462,K1850:K6462,"0",B1850:B6462,"5 1 1 3 2 12 31111 6 M59 10300 000132 0000R 00001 00132 015 2111100 2024 CP1GE413*")</f>
        <v>38413.75</v>
      </c>
      <c r="G1849" s="83">
        <f>SUMIFS(G1850:G6462,K1850:K6462,"0",B1850:B6462,"5 1 1 3 2 12 31111 6 M59 10300 000132 0000R 00001 00132 015 2111100 2024 CP1GE413*")</f>
        <v>0</v>
      </c>
      <c r="H1849" s="83">
        <f t="shared" si="29"/>
        <v>38413.75</v>
      </c>
      <c r="I1849" s="83"/>
      <c r="K1849" s="54" t="s">
        <v>15</v>
      </c>
    </row>
    <row r="1850" spans="2:11" ht="41.25" x14ac:dyDescent="0.2">
      <c r="B1850" s="82" t="s">
        <v>4068</v>
      </c>
      <c r="C1850" s="82" t="s">
        <v>282</v>
      </c>
      <c r="D1850" s="83">
        <f>SUMIFS(D1851:D6462,K1851:K6462,"0",B1851:B6462,"5 1 1 3 2 12 31111 6 M59 10300 000132 0000R 00001 00132 015 2111100 2024 CP1GE413 001*")-SUMIFS(E1851:E6462,K1851:K6462,"0",B1851:B6462,"5 1 1 3 2 12 31111 6 M59 10300 000132 0000R 00001 00132 015 2111100 2024 CP1GE413 001*")</f>
        <v>0</v>
      </c>
      <c r="E1850" s="54"/>
      <c r="F1850" s="83">
        <f>SUMIFS(F1851:F6462,K1851:K6462,"0",B1851:B6462,"5 1 1 3 2 12 31111 6 M59 10300 000132 0000R 00001 00132 015 2111100 2024 CP1GE413 001*")</f>
        <v>38413.75</v>
      </c>
      <c r="G1850" s="83">
        <f>SUMIFS(G1851:G6462,K1851:K6462,"0",B1851:B6462,"5 1 1 3 2 12 31111 6 M59 10300 000132 0000R 00001 00132 015 2111100 2024 CP1GE413 001*")</f>
        <v>0</v>
      </c>
      <c r="H1850" s="83">
        <f t="shared" si="29"/>
        <v>38413.75</v>
      </c>
      <c r="I1850" s="83"/>
      <c r="K1850" s="54" t="s">
        <v>15</v>
      </c>
    </row>
    <row r="1851" spans="2:11" ht="33" x14ac:dyDescent="0.2">
      <c r="B1851" s="84" t="s">
        <v>4069</v>
      </c>
      <c r="C1851" s="84" t="s">
        <v>1519</v>
      </c>
      <c r="D1851" s="85">
        <v>0</v>
      </c>
      <c r="E1851" s="85"/>
      <c r="F1851" s="85">
        <v>36668.61</v>
      </c>
      <c r="G1851" s="85">
        <v>0</v>
      </c>
      <c r="H1851" s="85">
        <f t="shared" si="29"/>
        <v>36668.61</v>
      </c>
      <c r="I1851" s="85"/>
      <c r="K1851" s="54" t="s">
        <v>38</v>
      </c>
    </row>
    <row r="1852" spans="2:11" ht="33" x14ac:dyDescent="0.2">
      <c r="B1852" s="84" t="s">
        <v>4070</v>
      </c>
      <c r="C1852" s="84" t="s">
        <v>4071</v>
      </c>
      <c r="D1852" s="85">
        <v>0</v>
      </c>
      <c r="E1852" s="85"/>
      <c r="F1852" s="85">
        <v>1745.14</v>
      </c>
      <c r="G1852" s="85">
        <v>0</v>
      </c>
      <c r="H1852" s="85">
        <f t="shared" si="29"/>
        <v>1745.14</v>
      </c>
      <c r="I1852" s="85"/>
      <c r="K1852" s="54" t="s">
        <v>38</v>
      </c>
    </row>
    <row r="1853" spans="2:11" ht="24.75" x14ac:dyDescent="0.2">
      <c r="B1853" s="82" t="s">
        <v>4072</v>
      </c>
      <c r="C1853" s="82" t="s">
        <v>2959</v>
      </c>
      <c r="D1853" s="83">
        <f>SUMIFS(D1854:D6462,K1854:K6462,"0",B1854:B6462,"5 1 1 3 2 12 31111 6 M59 10400*")-SUMIFS(E1854:E6462,K1854:K6462,"0",B1854:B6462,"5 1 1 3 2 12 31111 6 M59 10400*")</f>
        <v>0</v>
      </c>
      <c r="E1853" s="54"/>
      <c r="F1853" s="83">
        <f>SUMIFS(F1854:F6462,K1854:K6462,"0",B1854:B6462,"5 1 1 3 2 12 31111 6 M59 10400*")</f>
        <v>17533.54</v>
      </c>
      <c r="G1853" s="83">
        <f>SUMIFS(G1854:G6462,K1854:K6462,"0",B1854:B6462,"5 1 1 3 2 12 31111 6 M59 10400*")</f>
        <v>0</v>
      </c>
      <c r="H1853" s="83">
        <f t="shared" si="29"/>
        <v>17533.54</v>
      </c>
      <c r="I1853" s="83"/>
      <c r="K1853" s="54" t="s">
        <v>15</v>
      </c>
    </row>
    <row r="1854" spans="2:11" ht="16.5" x14ac:dyDescent="0.2">
      <c r="B1854" s="82" t="s">
        <v>4073</v>
      </c>
      <c r="C1854" s="82" t="s">
        <v>648</v>
      </c>
      <c r="D1854" s="83">
        <f>SUMIFS(D1855:D6462,K1855:K6462,"0",B1855:B6462,"5 1 1 3 2 12 31111 6 M59 10400 000132*")-SUMIFS(E1855:E6462,K1855:K6462,"0",B1855:B6462,"5 1 1 3 2 12 31111 6 M59 10400 000132*")</f>
        <v>0</v>
      </c>
      <c r="E1854" s="54"/>
      <c r="F1854" s="83">
        <f>SUMIFS(F1855:F6462,K1855:K6462,"0",B1855:B6462,"5 1 1 3 2 12 31111 6 M59 10400 000132*")</f>
        <v>17533.54</v>
      </c>
      <c r="G1854" s="83">
        <f>SUMIFS(G1855:G6462,K1855:K6462,"0",B1855:B6462,"5 1 1 3 2 12 31111 6 M59 10400 000132*")</f>
        <v>0</v>
      </c>
      <c r="H1854" s="83">
        <f t="shared" si="29"/>
        <v>17533.54</v>
      </c>
      <c r="I1854" s="83"/>
      <c r="K1854" s="54" t="s">
        <v>15</v>
      </c>
    </row>
    <row r="1855" spans="2:11" ht="24.75" x14ac:dyDescent="0.2">
      <c r="B1855" s="82" t="s">
        <v>4074</v>
      </c>
      <c r="C1855" s="82" t="s">
        <v>650</v>
      </c>
      <c r="D1855" s="83">
        <f>SUMIFS(D1856:D6462,K1856:K6462,"0",B1856:B6462,"5 1 1 3 2 12 31111 6 M59 10400 000132 0000R*")-SUMIFS(E1856:E6462,K1856:K6462,"0",B1856:B6462,"5 1 1 3 2 12 31111 6 M59 10400 000132 0000R*")</f>
        <v>0</v>
      </c>
      <c r="E1855" s="54"/>
      <c r="F1855" s="83">
        <f>SUMIFS(F1856:F6462,K1856:K6462,"0",B1856:B6462,"5 1 1 3 2 12 31111 6 M59 10400 000132 0000R*")</f>
        <v>17533.54</v>
      </c>
      <c r="G1855" s="83">
        <f>SUMIFS(G1856:G6462,K1856:K6462,"0",B1856:B6462,"5 1 1 3 2 12 31111 6 M59 10400 000132 0000R*")</f>
        <v>0</v>
      </c>
      <c r="H1855" s="83">
        <f t="shared" si="29"/>
        <v>17533.54</v>
      </c>
      <c r="I1855" s="83"/>
      <c r="K1855" s="54" t="s">
        <v>15</v>
      </c>
    </row>
    <row r="1856" spans="2:11" ht="24.75" x14ac:dyDescent="0.2">
      <c r="B1856" s="82" t="s">
        <v>4075</v>
      </c>
      <c r="C1856" s="82" t="s">
        <v>282</v>
      </c>
      <c r="D1856" s="83">
        <f>SUMIFS(D1857:D6462,K1857:K6462,"0",B1857:B6462,"5 1 1 3 2 12 31111 6 M59 10400 000132 0000R 00001*")-SUMIFS(E1857:E6462,K1857:K6462,"0",B1857:B6462,"5 1 1 3 2 12 31111 6 M59 10400 000132 0000R 00001*")</f>
        <v>0</v>
      </c>
      <c r="E1856" s="54"/>
      <c r="F1856" s="83">
        <f>SUMIFS(F1857:F6462,K1857:K6462,"0",B1857:B6462,"5 1 1 3 2 12 31111 6 M59 10400 000132 0000R 00001*")</f>
        <v>17533.54</v>
      </c>
      <c r="G1856" s="83">
        <f>SUMIFS(G1857:G6462,K1857:K6462,"0",B1857:B6462,"5 1 1 3 2 12 31111 6 M59 10400 000132 0000R 00001*")</f>
        <v>0</v>
      </c>
      <c r="H1856" s="83">
        <f t="shared" si="29"/>
        <v>17533.54</v>
      </c>
      <c r="I1856" s="83"/>
      <c r="K1856" s="54" t="s">
        <v>15</v>
      </c>
    </row>
    <row r="1857" spans="2:11" ht="24.75" x14ac:dyDescent="0.2">
      <c r="B1857" s="82" t="s">
        <v>4076</v>
      </c>
      <c r="C1857" s="82" t="s">
        <v>4041</v>
      </c>
      <c r="D1857" s="83">
        <f>SUMIFS(D1858:D6462,K1858:K6462,"0",B1858:B6462,"5 1 1 3 2 12 31111 6 M59 10400 000132 0000R 00001 00132*")-SUMIFS(E1858:E6462,K1858:K6462,"0",B1858:B6462,"5 1 1 3 2 12 31111 6 M59 10400 000132 0000R 00001 00132*")</f>
        <v>0</v>
      </c>
      <c r="E1857" s="54"/>
      <c r="F1857" s="83">
        <f>SUMIFS(F1858:F6462,K1858:K6462,"0",B1858:B6462,"5 1 1 3 2 12 31111 6 M59 10400 000132 0000R 00001 00132*")</f>
        <v>17533.54</v>
      </c>
      <c r="G1857" s="83">
        <f>SUMIFS(G1858:G6462,K1858:K6462,"0",B1858:B6462,"5 1 1 3 2 12 31111 6 M59 10400 000132 0000R 00001 00132*")</f>
        <v>0</v>
      </c>
      <c r="H1857" s="83">
        <f t="shared" si="29"/>
        <v>17533.54</v>
      </c>
      <c r="I1857" s="83"/>
      <c r="K1857" s="54" t="s">
        <v>15</v>
      </c>
    </row>
    <row r="1858" spans="2:11" ht="33" x14ac:dyDescent="0.2">
      <c r="B1858" s="82" t="s">
        <v>4077</v>
      </c>
      <c r="C1858" s="82" t="s">
        <v>1051</v>
      </c>
      <c r="D1858" s="83">
        <f>SUMIFS(D1859:D6462,K1859:K6462,"0",B1859:B6462,"5 1 1 3 2 12 31111 6 M59 10400 000132 0000R 00001 00132 015*")-SUMIFS(E1859:E6462,K1859:K6462,"0",B1859:B6462,"5 1 1 3 2 12 31111 6 M59 10400 000132 0000R 00001 00132 015*")</f>
        <v>0</v>
      </c>
      <c r="E1858" s="54"/>
      <c r="F1858" s="83">
        <f>SUMIFS(F1859:F6462,K1859:K6462,"0",B1859:B6462,"5 1 1 3 2 12 31111 6 M59 10400 000132 0000R 00001 00132 015*")</f>
        <v>17533.54</v>
      </c>
      <c r="G1858" s="83">
        <f>SUMIFS(G1859:G6462,K1859:K6462,"0",B1859:B6462,"5 1 1 3 2 12 31111 6 M59 10400 000132 0000R 00001 00132 015*")</f>
        <v>0</v>
      </c>
      <c r="H1858" s="83">
        <f t="shared" si="29"/>
        <v>17533.54</v>
      </c>
      <c r="I1858" s="83"/>
      <c r="K1858" s="54" t="s">
        <v>15</v>
      </c>
    </row>
    <row r="1859" spans="2:11" ht="33" x14ac:dyDescent="0.2">
      <c r="B1859" s="82" t="s">
        <v>4078</v>
      </c>
      <c r="C1859" s="82" t="s">
        <v>2927</v>
      </c>
      <c r="D1859" s="83">
        <f>SUMIFS(D1860:D6462,K1860:K6462,"0",B1860:B6462,"5 1 1 3 2 12 31111 6 M59 10400 000132 0000R 00001 00132 015 2111100*")-SUMIFS(E1860:E6462,K1860:K6462,"0",B1860:B6462,"5 1 1 3 2 12 31111 6 M59 10400 000132 0000R 00001 00132 015 2111100*")</f>
        <v>0</v>
      </c>
      <c r="E1859" s="54"/>
      <c r="F1859" s="83">
        <f>SUMIFS(F1860:F6462,K1860:K6462,"0",B1860:B6462,"5 1 1 3 2 12 31111 6 M59 10400 000132 0000R 00001 00132 015 2111100*")</f>
        <v>17533.54</v>
      </c>
      <c r="G1859" s="83">
        <f>SUMIFS(G1860:G6462,K1860:K6462,"0",B1860:B6462,"5 1 1 3 2 12 31111 6 M59 10400 000132 0000R 00001 00132 015 2111100*")</f>
        <v>0</v>
      </c>
      <c r="H1859" s="83">
        <f t="shared" si="29"/>
        <v>17533.54</v>
      </c>
      <c r="I1859" s="83"/>
      <c r="K1859" s="54" t="s">
        <v>15</v>
      </c>
    </row>
    <row r="1860" spans="2:11" ht="33" x14ac:dyDescent="0.2">
      <c r="B1860" s="82" t="s">
        <v>4079</v>
      </c>
      <c r="C1860" s="82" t="s">
        <v>660</v>
      </c>
      <c r="D1860" s="83">
        <f>SUMIFS(D1861:D6462,K1861:K6462,"0",B1861:B6462,"5 1 1 3 2 12 31111 6 M59 10400 000132 0000R 00001 00132 015 2111100 2024*")-SUMIFS(E1861:E6462,K1861:K6462,"0",B1861:B6462,"5 1 1 3 2 12 31111 6 M59 10400 000132 0000R 00001 00132 015 2111100 2024*")</f>
        <v>0</v>
      </c>
      <c r="E1860" s="54"/>
      <c r="F1860" s="83">
        <f>SUMIFS(F1861:F6462,K1861:K6462,"0",B1861:B6462,"5 1 1 3 2 12 31111 6 M59 10400 000132 0000R 00001 00132 015 2111100 2024*")</f>
        <v>17533.54</v>
      </c>
      <c r="G1860" s="83">
        <f>SUMIFS(G1861:G6462,K1861:K6462,"0",B1861:B6462,"5 1 1 3 2 12 31111 6 M59 10400 000132 0000R 00001 00132 015 2111100 2024*")</f>
        <v>0</v>
      </c>
      <c r="H1860" s="83">
        <f t="shared" si="29"/>
        <v>17533.54</v>
      </c>
      <c r="I1860" s="83"/>
      <c r="K1860" s="54" t="s">
        <v>15</v>
      </c>
    </row>
    <row r="1861" spans="2:11" ht="41.25" x14ac:dyDescent="0.2">
      <c r="B1861" s="82" t="s">
        <v>4080</v>
      </c>
      <c r="C1861" s="82" t="s">
        <v>1056</v>
      </c>
      <c r="D1861" s="83">
        <f>SUMIFS(D1862:D6462,K1862:K6462,"0",B1862:B6462,"5 1 1 3 2 12 31111 6 M59 10400 000132 0000R 00001 00132 015 2111100 2024 CP1CG432*")-SUMIFS(E1862:E6462,K1862:K6462,"0",B1862:B6462,"5 1 1 3 2 12 31111 6 M59 10400 000132 0000R 00001 00132 015 2111100 2024 CP1CG432*")</f>
        <v>0</v>
      </c>
      <c r="E1861" s="54"/>
      <c r="F1861" s="83">
        <f>SUMIFS(F1862:F6462,K1862:K6462,"0",B1862:B6462,"5 1 1 3 2 12 31111 6 M59 10400 000132 0000R 00001 00132 015 2111100 2024 CP1CG432*")</f>
        <v>17533.54</v>
      </c>
      <c r="G1861" s="83">
        <f>SUMIFS(G1862:G6462,K1862:K6462,"0",B1862:B6462,"5 1 1 3 2 12 31111 6 M59 10400 000132 0000R 00001 00132 015 2111100 2024 CP1CG432*")</f>
        <v>0</v>
      </c>
      <c r="H1861" s="83">
        <f t="shared" si="29"/>
        <v>17533.54</v>
      </c>
      <c r="I1861" s="83"/>
      <c r="K1861" s="54" t="s">
        <v>15</v>
      </c>
    </row>
    <row r="1862" spans="2:11" ht="41.25" x14ac:dyDescent="0.2">
      <c r="B1862" s="82" t="s">
        <v>4081</v>
      </c>
      <c r="C1862" s="82" t="s">
        <v>282</v>
      </c>
      <c r="D1862" s="83">
        <f>SUMIFS(D1863:D6462,K1863:K6462,"0",B1863:B6462,"5 1 1 3 2 12 31111 6 M59 10400 000132 0000R 00001 00132 015 2111100 2024 CP1CG432 001*")-SUMIFS(E1863:E6462,K1863:K6462,"0",B1863:B6462,"5 1 1 3 2 12 31111 6 M59 10400 000132 0000R 00001 00132 015 2111100 2024 CP1CG432 001*")</f>
        <v>0</v>
      </c>
      <c r="E1862" s="54"/>
      <c r="F1862" s="83">
        <f>SUMIFS(F1863:F6462,K1863:K6462,"0",B1863:B6462,"5 1 1 3 2 12 31111 6 M59 10400 000132 0000R 00001 00132 015 2111100 2024 CP1CG432 001*")</f>
        <v>17533.54</v>
      </c>
      <c r="G1862" s="83">
        <f>SUMIFS(G1863:G6462,K1863:K6462,"0",B1863:B6462,"5 1 1 3 2 12 31111 6 M59 10400 000132 0000R 00001 00132 015 2111100 2024 CP1CG432 001*")</f>
        <v>0</v>
      </c>
      <c r="H1862" s="83">
        <f t="shared" si="29"/>
        <v>17533.54</v>
      </c>
      <c r="I1862" s="83"/>
      <c r="K1862" s="54" t="s">
        <v>15</v>
      </c>
    </row>
    <row r="1863" spans="2:11" ht="33" x14ac:dyDescent="0.2">
      <c r="B1863" s="84" t="s">
        <v>4082</v>
      </c>
      <c r="C1863" s="84" t="s">
        <v>1519</v>
      </c>
      <c r="D1863" s="85">
        <v>0</v>
      </c>
      <c r="E1863" s="85"/>
      <c r="F1863" s="85">
        <v>17533.54</v>
      </c>
      <c r="G1863" s="85">
        <v>0</v>
      </c>
      <c r="H1863" s="85">
        <f t="shared" si="29"/>
        <v>17533.54</v>
      </c>
      <c r="I1863" s="85"/>
      <c r="K1863" s="54" t="s">
        <v>38</v>
      </c>
    </row>
    <row r="1864" spans="2:11" ht="16.5" x14ac:dyDescent="0.2">
      <c r="B1864" s="82" t="s">
        <v>4083</v>
      </c>
      <c r="C1864" s="82" t="s">
        <v>2971</v>
      </c>
      <c r="D1864" s="83">
        <f>SUMIFS(D1865:D6462,K1865:K6462,"0",B1865:B6462,"5 1 1 3 2 12 31111 6 M59 10500*")-SUMIFS(E1865:E6462,K1865:K6462,"0",B1865:B6462,"5 1 1 3 2 12 31111 6 M59 10500*")</f>
        <v>0</v>
      </c>
      <c r="E1864" s="54"/>
      <c r="F1864" s="83">
        <f>SUMIFS(F1865:F6462,K1865:K6462,"0",B1865:B6462,"5 1 1 3 2 12 31111 6 M59 10500*")</f>
        <v>124104.69</v>
      </c>
      <c r="G1864" s="83">
        <f>SUMIFS(G1865:G6462,K1865:K6462,"0",B1865:B6462,"5 1 1 3 2 12 31111 6 M59 10500*")</f>
        <v>0</v>
      </c>
      <c r="H1864" s="83">
        <f t="shared" si="29"/>
        <v>124104.69</v>
      </c>
      <c r="I1864" s="83"/>
      <c r="K1864" s="54" t="s">
        <v>15</v>
      </c>
    </row>
    <row r="1865" spans="2:11" ht="16.5" x14ac:dyDescent="0.2">
      <c r="B1865" s="82" t="s">
        <v>4084</v>
      </c>
      <c r="C1865" s="82" t="s">
        <v>648</v>
      </c>
      <c r="D1865" s="83">
        <f>SUMIFS(D1866:D6462,K1866:K6462,"0",B1866:B6462,"5 1 1 3 2 12 31111 6 M59 10500 000132*")-SUMIFS(E1866:E6462,K1866:K6462,"0",B1866:B6462,"5 1 1 3 2 12 31111 6 M59 10500 000132*")</f>
        <v>0</v>
      </c>
      <c r="E1865" s="54"/>
      <c r="F1865" s="83">
        <f>SUMIFS(F1866:F6462,K1866:K6462,"0",B1866:B6462,"5 1 1 3 2 12 31111 6 M59 10500 000132*")</f>
        <v>124104.69</v>
      </c>
      <c r="G1865" s="83">
        <f>SUMIFS(G1866:G6462,K1866:K6462,"0",B1866:B6462,"5 1 1 3 2 12 31111 6 M59 10500 000132*")</f>
        <v>0</v>
      </c>
      <c r="H1865" s="83">
        <f t="shared" si="29"/>
        <v>124104.69</v>
      </c>
      <c r="I1865" s="83"/>
      <c r="K1865" s="54" t="s">
        <v>15</v>
      </c>
    </row>
    <row r="1866" spans="2:11" ht="24.75" x14ac:dyDescent="0.2">
      <c r="B1866" s="82" t="s">
        <v>4085</v>
      </c>
      <c r="C1866" s="82" t="s">
        <v>650</v>
      </c>
      <c r="D1866" s="83">
        <f>SUMIFS(D1867:D6462,K1867:K6462,"0",B1867:B6462,"5 1 1 3 2 12 31111 6 M59 10500 000132 0000R*")-SUMIFS(E1867:E6462,K1867:K6462,"0",B1867:B6462,"5 1 1 3 2 12 31111 6 M59 10500 000132 0000R*")</f>
        <v>0</v>
      </c>
      <c r="E1866" s="54"/>
      <c r="F1866" s="83">
        <f>SUMIFS(F1867:F6462,K1867:K6462,"0",B1867:B6462,"5 1 1 3 2 12 31111 6 M59 10500 000132 0000R*")</f>
        <v>124104.69</v>
      </c>
      <c r="G1866" s="83">
        <f>SUMIFS(G1867:G6462,K1867:K6462,"0",B1867:B6462,"5 1 1 3 2 12 31111 6 M59 10500 000132 0000R*")</f>
        <v>0</v>
      </c>
      <c r="H1866" s="83">
        <f t="shared" si="29"/>
        <v>124104.69</v>
      </c>
      <c r="I1866" s="83"/>
      <c r="K1866" s="54" t="s">
        <v>15</v>
      </c>
    </row>
    <row r="1867" spans="2:11" ht="24.75" x14ac:dyDescent="0.2">
      <c r="B1867" s="82" t="s">
        <v>4086</v>
      </c>
      <c r="C1867" s="82" t="s">
        <v>282</v>
      </c>
      <c r="D1867" s="83">
        <f>SUMIFS(D1868:D6462,K1868:K6462,"0",B1868:B6462,"5 1 1 3 2 12 31111 6 M59 10500 000132 0000R 00001*")-SUMIFS(E1868:E6462,K1868:K6462,"0",B1868:B6462,"5 1 1 3 2 12 31111 6 M59 10500 000132 0000R 00001*")</f>
        <v>0</v>
      </c>
      <c r="E1867" s="54"/>
      <c r="F1867" s="83">
        <f>SUMIFS(F1868:F6462,K1868:K6462,"0",B1868:B6462,"5 1 1 3 2 12 31111 6 M59 10500 000132 0000R 00001*")</f>
        <v>124104.69</v>
      </c>
      <c r="G1867" s="83">
        <f>SUMIFS(G1868:G6462,K1868:K6462,"0",B1868:B6462,"5 1 1 3 2 12 31111 6 M59 10500 000132 0000R 00001*")</f>
        <v>0</v>
      </c>
      <c r="H1867" s="83">
        <f t="shared" si="29"/>
        <v>124104.69</v>
      </c>
      <c r="I1867" s="83"/>
      <c r="K1867" s="54" t="s">
        <v>15</v>
      </c>
    </row>
    <row r="1868" spans="2:11" ht="24.75" x14ac:dyDescent="0.2">
      <c r="B1868" s="82" t="s">
        <v>4087</v>
      </c>
      <c r="C1868" s="82" t="s">
        <v>4041</v>
      </c>
      <c r="D1868" s="83">
        <f>SUMIFS(D1869:D6462,K1869:K6462,"0",B1869:B6462,"5 1 1 3 2 12 31111 6 M59 10500 000132 0000R 00001 00132*")-SUMIFS(E1869:E6462,K1869:K6462,"0",B1869:B6462,"5 1 1 3 2 12 31111 6 M59 10500 000132 0000R 00001 00132*")</f>
        <v>0</v>
      </c>
      <c r="E1868" s="54"/>
      <c r="F1868" s="83">
        <f>SUMIFS(F1869:F6462,K1869:K6462,"0",B1869:B6462,"5 1 1 3 2 12 31111 6 M59 10500 000132 0000R 00001 00132*")</f>
        <v>124104.69</v>
      </c>
      <c r="G1868" s="83">
        <f>SUMIFS(G1869:G6462,K1869:K6462,"0",B1869:B6462,"5 1 1 3 2 12 31111 6 M59 10500 000132 0000R 00001 00132*")</f>
        <v>0</v>
      </c>
      <c r="H1868" s="83">
        <f t="shared" si="29"/>
        <v>124104.69</v>
      </c>
      <c r="I1868" s="83"/>
      <c r="K1868" s="54" t="s">
        <v>15</v>
      </c>
    </row>
    <row r="1869" spans="2:11" ht="33" x14ac:dyDescent="0.2">
      <c r="B1869" s="82" t="s">
        <v>4088</v>
      </c>
      <c r="C1869" s="82" t="s">
        <v>1051</v>
      </c>
      <c r="D1869" s="83">
        <f>SUMIFS(D1870:D6462,K1870:K6462,"0",B1870:B6462,"5 1 1 3 2 12 31111 6 M59 10500 000132 0000R 00001 00132 015*")-SUMIFS(E1870:E6462,K1870:K6462,"0",B1870:B6462,"5 1 1 3 2 12 31111 6 M59 10500 000132 0000R 00001 00132 015*")</f>
        <v>0</v>
      </c>
      <c r="E1869" s="54"/>
      <c r="F1869" s="83">
        <f>SUMIFS(F1870:F6462,K1870:K6462,"0",B1870:B6462,"5 1 1 3 2 12 31111 6 M59 10500 000132 0000R 00001 00132 015*")</f>
        <v>124104.69</v>
      </c>
      <c r="G1869" s="83">
        <f>SUMIFS(G1870:G6462,K1870:K6462,"0",B1870:B6462,"5 1 1 3 2 12 31111 6 M59 10500 000132 0000R 00001 00132 015*")</f>
        <v>0</v>
      </c>
      <c r="H1869" s="83">
        <f t="shared" si="29"/>
        <v>124104.69</v>
      </c>
      <c r="I1869" s="83"/>
      <c r="K1869" s="54" t="s">
        <v>15</v>
      </c>
    </row>
    <row r="1870" spans="2:11" ht="33" x14ac:dyDescent="0.2">
      <c r="B1870" s="82" t="s">
        <v>4089</v>
      </c>
      <c r="C1870" s="82" t="s">
        <v>2927</v>
      </c>
      <c r="D1870" s="83">
        <f>SUMIFS(D1871:D6462,K1871:K6462,"0",B1871:B6462,"5 1 1 3 2 12 31111 6 M59 10500 000132 0000R 00001 00132 015 2111100*")-SUMIFS(E1871:E6462,K1871:K6462,"0",B1871:B6462,"5 1 1 3 2 12 31111 6 M59 10500 000132 0000R 00001 00132 015 2111100*")</f>
        <v>0</v>
      </c>
      <c r="E1870" s="54"/>
      <c r="F1870" s="83">
        <f>SUMIFS(F1871:F6462,K1871:K6462,"0",B1871:B6462,"5 1 1 3 2 12 31111 6 M59 10500 000132 0000R 00001 00132 015 2111100*")</f>
        <v>124104.69</v>
      </c>
      <c r="G1870" s="83">
        <f>SUMIFS(G1871:G6462,K1871:K6462,"0",B1871:B6462,"5 1 1 3 2 12 31111 6 M59 10500 000132 0000R 00001 00132 015 2111100*")</f>
        <v>0</v>
      </c>
      <c r="H1870" s="83">
        <f t="shared" si="29"/>
        <v>124104.69</v>
      </c>
      <c r="I1870" s="83"/>
      <c r="K1870" s="54" t="s">
        <v>15</v>
      </c>
    </row>
    <row r="1871" spans="2:11" ht="33" x14ac:dyDescent="0.2">
      <c r="B1871" s="82" t="s">
        <v>4090</v>
      </c>
      <c r="C1871" s="82" t="s">
        <v>660</v>
      </c>
      <c r="D1871" s="83">
        <f>SUMIFS(D1872:D6462,K1872:K6462,"0",B1872:B6462,"5 1 1 3 2 12 31111 6 M59 10500 000132 0000R 00001 00132 015 2111100 2024*")-SUMIFS(E1872:E6462,K1872:K6462,"0",B1872:B6462,"5 1 1 3 2 12 31111 6 M59 10500 000132 0000R 00001 00132 015 2111100 2024*")</f>
        <v>0</v>
      </c>
      <c r="E1871" s="54"/>
      <c r="F1871" s="83">
        <f>SUMIFS(F1872:F6462,K1872:K6462,"0",B1872:B6462,"5 1 1 3 2 12 31111 6 M59 10500 000132 0000R 00001 00132 015 2111100 2024*")</f>
        <v>124104.69</v>
      </c>
      <c r="G1871" s="83">
        <f>SUMIFS(G1872:G6462,K1872:K6462,"0",B1872:B6462,"5 1 1 3 2 12 31111 6 M59 10500 000132 0000R 00001 00132 015 2111100 2024*")</f>
        <v>0</v>
      </c>
      <c r="H1871" s="83">
        <f t="shared" si="29"/>
        <v>124104.69</v>
      </c>
      <c r="I1871" s="83"/>
      <c r="K1871" s="54" t="s">
        <v>15</v>
      </c>
    </row>
    <row r="1872" spans="2:11" ht="41.25" x14ac:dyDescent="0.2">
      <c r="B1872" s="82" t="s">
        <v>4091</v>
      </c>
      <c r="C1872" s="82" t="s">
        <v>1056</v>
      </c>
      <c r="D1872" s="83">
        <f>SUMIFS(D1873:D6462,K1873:K6462,"0",B1873:B6462,"5 1 1 3 2 12 31111 6 M59 10500 000132 0000R 00001 00132 015 2111100 2024 CP1CS421*")-SUMIFS(E1873:E6462,K1873:K6462,"0",B1873:B6462,"5 1 1 3 2 12 31111 6 M59 10500 000132 0000R 00001 00132 015 2111100 2024 CP1CS421*")</f>
        <v>0</v>
      </c>
      <c r="E1872" s="54"/>
      <c r="F1872" s="83">
        <f>SUMIFS(F1873:F6462,K1873:K6462,"0",B1873:B6462,"5 1 1 3 2 12 31111 6 M59 10500 000132 0000R 00001 00132 015 2111100 2024 CP1CS421*")</f>
        <v>124104.69</v>
      </c>
      <c r="G1872" s="83">
        <f>SUMIFS(G1873:G6462,K1873:K6462,"0",B1873:B6462,"5 1 1 3 2 12 31111 6 M59 10500 000132 0000R 00001 00132 015 2111100 2024 CP1CS421*")</f>
        <v>0</v>
      </c>
      <c r="H1872" s="83">
        <f t="shared" si="29"/>
        <v>124104.69</v>
      </c>
      <c r="I1872" s="83"/>
      <c r="K1872" s="54" t="s">
        <v>15</v>
      </c>
    </row>
    <row r="1873" spans="2:11" ht="41.25" x14ac:dyDescent="0.2">
      <c r="B1873" s="82" t="s">
        <v>4092</v>
      </c>
      <c r="C1873" s="82" t="s">
        <v>282</v>
      </c>
      <c r="D1873" s="83">
        <f>SUMIFS(D1874:D6462,K1874:K6462,"0",B1874:B6462,"5 1 1 3 2 12 31111 6 M59 10500 000132 0000R 00001 00132 015 2111100 2024 CP1CS421 001*")-SUMIFS(E1874:E6462,K1874:K6462,"0",B1874:B6462,"5 1 1 3 2 12 31111 6 M59 10500 000132 0000R 00001 00132 015 2111100 2024 CP1CS421 001*")</f>
        <v>0</v>
      </c>
      <c r="E1873" s="54"/>
      <c r="F1873" s="83">
        <f>SUMIFS(F1874:F6462,K1874:K6462,"0",B1874:B6462,"5 1 1 3 2 12 31111 6 M59 10500 000132 0000R 00001 00132 015 2111100 2024 CP1CS421 001*")</f>
        <v>124104.69</v>
      </c>
      <c r="G1873" s="83">
        <f>SUMIFS(G1874:G6462,K1874:K6462,"0",B1874:B6462,"5 1 1 3 2 12 31111 6 M59 10500 000132 0000R 00001 00132 015 2111100 2024 CP1CS421 001*")</f>
        <v>0</v>
      </c>
      <c r="H1873" s="83">
        <f t="shared" si="29"/>
        <v>124104.69</v>
      </c>
      <c r="I1873" s="83"/>
      <c r="K1873" s="54" t="s">
        <v>15</v>
      </c>
    </row>
    <row r="1874" spans="2:11" ht="33" x14ac:dyDescent="0.2">
      <c r="B1874" s="84" t="s">
        <v>4093</v>
      </c>
      <c r="C1874" s="84" t="s">
        <v>1519</v>
      </c>
      <c r="D1874" s="85">
        <v>0</v>
      </c>
      <c r="E1874" s="85"/>
      <c r="F1874" s="85">
        <v>68830.649999999994</v>
      </c>
      <c r="G1874" s="85">
        <v>0</v>
      </c>
      <c r="H1874" s="85">
        <f t="shared" si="29"/>
        <v>68830.649999999994</v>
      </c>
      <c r="I1874" s="85"/>
      <c r="K1874" s="54" t="s">
        <v>38</v>
      </c>
    </row>
    <row r="1875" spans="2:11" ht="33" x14ac:dyDescent="0.2">
      <c r="B1875" s="84" t="s">
        <v>4094</v>
      </c>
      <c r="C1875" s="84" t="s">
        <v>4071</v>
      </c>
      <c r="D1875" s="85">
        <v>0</v>
      </c>
      <c r="E1875" s="85"/>
      <c r="F1875" s="85">
        <v>55274.04</v>
      </c>
      <c r="G1875" s="85">
        <v>0</v>
      </c>
      <c r="H1875" s="85">
        <f t="shared" si="29"/>
        <v>55274.04</v>
      </c>
      <c r="I1875" s="85"/>
      <c r="K1875" s="54" t="s">
        <v>38</v>
      </c>
    </row>
    <row r="1876" spans="2:11" ht="16.5" x14ac:dyDescent="0.2">
      <c r="B1876" s="82" t="s">
        <v>4095</v>
      </c>
      <c r="C1876" s="82" t="s">
        <v>2983</v>
      </c>
      <c r="D1876" s="83">
        <f>SUMIFS(D1877:D6462,K1877:K6462,"0",B1877:B6462,"5 1 1 3 2 12 31111 6 M59 10600*")-SUMIFS(E1877:E6462,K1877:K6462,"0",B1877:B6462,"5 1 1 3 2 12 31111 6 M59 10600*")</f>
        <v>0</v>
      </c>
      <c r="E1876" s="54"/>
      <c r="F1876" s="83">
        <f>SUMIFS(F1877:F6462,K1877:K6462,"0",B1877:B6462,"5 1 1 3 2 12 31111 6 M59 10600*")</f>
        <v>156300</v>
      </c>
      <c r="G1876" s="83">
        <f>SUMIFS(G1877:G6462,K1877:K6462,"0",B1877:B6462,"5 1 1 3 2 12 31111 6 M59 10600*")</f>
        <v>0</v>
      </c>
      <c r="H1876" s="83">
        <f t="shared" si="29"/>
        <v>156300</v>
      </c>
      <c r="I1876" s="83"/>
      <c r="K1876" s="54" t="s">
        <v>15</v>
      </c>
    </row>
    <row r="1877" spans="2:11" ht="16.5" x14ac:dyDescent="0.2">
      <c r="B1877" s="82" t="s">
        <v>4096</v>
      </c>
      <c r="C1877" s="82" t="s">
        <v>648</v>
      </c>
      <c r="D1877" s="83">
        <f>SUMIFS(D1878:D6462,K1878:K6462,"0",B1878:B6462,"5 1 1 3 2 12 31111 6 M59 10600 000132*")-SUMIFS(E1878:E6462,K1878:K6462,"0",B1878:B6462,"5 1 1 3 2 12 31111 6 M59 10600 000132*")</f>
        <v>0</v>
      </c>
      <c r="E1877" s="54"/>
      <c r="F1877" s="83">
        <f>SUMIFS(F1878:F6462,K1878:K6462,"0",B1878:B6462,"5 1 1 3 2 12 31111 6 M59 10600 000132*")</f>
        <v>156300</v>
      </c>
      <c r="G1877" s="83">
        <f>SUMIFS(G1878:G6462,K1878:K6462,"0",B1878:B6462,"5 1 1 3 2 12 31111 6 M59 10600 000132*")</f>
        <v>0</v>
      </c>
      <c r="H1877" s="83">
        <f t="shared" si="29"/>
        <v>156300</v>
      </c>
      <c r="I1877" s="83"/>
      <c r="K1877" s="54" t="s">
        <v>15</v>
      </c>
    </row>
    <row r="1878" spans="2:11" ht="24.75" x14ac:dyDescent="0.2">
      <c r="B1878" s="82" t="s">
        <v>4097</v>
      </c>
      <c r="C1878" s="82" t="s">
        <v>650</v>
      </c>
      <c r="D1878" s="83">
        <f>SUMIFS(D1879:D6462,K1879:K6462,"0",B1879:B6462,"5 1 1 3 2 12 31111 6 M59 10600 000132 0000R*")-SUMIFS(E1879:E6462,K1879:K6462,"0",B1879:B6462,"5 1 1 3 2 12 31111 6 M59 10600 000132 0000R*")</f>
        <v>0</v>
      </c>
      <c r="E1878" s="54"/>
      <c r="F1878" s="83">
        <f>SUMIFS(F1879:F6462,K1879:K6462,"0",B1879:B6462,"5 1 1 3 2 12 31111 6 M59 10600 000132 0000R*")</f>
        <v>156300</v>
      </c>
      <c r="G1878" s="83">
        <f>SUMIFS(G1879:G6462,K1879:K6462,"0",B1879:B6462,"5 1 1 3 2 12 31111 6 M59 10600 000132 0000R*")</f>
        <v>0</v>
      </c>
      <c r="H1878" s="83">
        <f t="shared" si="29"/>
        <v>156300</v>
      </c>
      <c r="I1878" s="83"/>
      <c r="K1878" s="54" t="s">
        <v>15</v>
      </c>
    </row>
    <row r="1879" spans="2:11" ht="24.75" x14ac:dyDescent="0.2">
      <c r="B1879" s="82" t="s">
        <v>4098</v>
      </c>
      <c r="C1879" s="82" t="s">
        <v>282</v>
      </c>
      <c r="D1879" s="83">
        <f>SUMIFS(D1880:D6462,K1880:K6462,"0",B1880:B6462,"5 1 1 3 2 12 31111 6 M59 10600 000132 0000R 00001*")-SUMIFS(E1880:E6462,K1880:K6462,"0",B1880:B6462,"5 1 1 3 2 12 31111 6 M59 10600 000132 0000R 00001*")</f>
        <v>0</v>
      </c>
      <c r="E1879" s="54"/>
      <c r="F1879" s="83">
        <f>SUMIFS(F1880:F6462,K1880:K6462,"0",B1880:B6462,"5 1 1 3 2 12 31111 6 M59 10600 000132 0000R 00001*")</f>
        <v>156300</v>
      </c>
      <c r="G1879" s="83">
        <f>SUMIFS(G1880:G6462,K1880:K6462,"0",B1880:B6462,"5 1 1 3 2 12 31111 6 M59 10600 000132 0000R 00001*")</f>
        <v>0</v>
      </c>
      <c r="H1879" s="83">
        <f t="shared" si="29"/>
        <v>156300</v>
      </c>
      <c r="I1879" s="83"/>
      <c r="K1879" s="54" t="s">
        <v>15</v>
      </c>
    </row>
    <row r="1880" spans="2:11" ht="24.75" x14ac:dyDescent="0.2">
      <c r="B1880" s="82" t="s">
        <v>4099</v>
      </c>
      <c r="C1880" s="82" t="s">
        <v>4041</v>
      </c>
      <c r="D1880" s="83">
        <f>SUMIFS(D1881:D6462,K1881:K6462,"0",B1881:B6462,"5 1 1 3 2 12 31111 6 M59 10600 000132 0000R 00001 00132*")-SUMIFS(E1881:E6462,K1881:K6462,"0",B1881:B6462,"5 1 1 3 2 12 31111 6 M59 10600 000132 0000R 00001 00132*")</f>
        <v>0</v>
      </c>
      <c r="E1880" s="54"/>
      <c r="F1880" s="83">
        <f>SUMIFS(F1881:F6462,K1881:K6462,"0",B1881:B6462,"5 1 1 3 2 12 31111 6 M59 10600 000132 0000R 00001 00132*")</f>
        <v>156300</v>
      </c>
      <c r="G1880" s="83">
        <f>SUMIFS(G1881:G6462,K1881:K6462,"0",B1881:B6462,"5 1 1 3 2 12 31111 6 M59 10600 000132 0000R 00001 00132*")</f>
        <v>0</v>
      </c>
      <c r="H1880" s="83">
        <f t="shared" si="29"/>
        <v>156300</v>
      </c>
      <c r="I1880" s="83"/>
      <c r="K1880" s="54" t="s">
        <v>15</v>
      </c>
    </row>
    <row r="1881" spans="2:11" ht="33" x14ac:dyDescent="0.2">
      <c r="B1881" s="82" t="s">
        <v>4100</v>
      </c>
      <c r="C1881" s="82" t="s">
        <v>1051</v>
      </c>
      <c r="D1881" s="83">
        <f>SUMIFS(D1882:D6462,K1882:K6462,"0",B1882:B6462,"5 1 1 3 2 12 31111 6 M59 10600 000132 0000R 00001 00132 015*")-SUMIFS(E1882:E6462,K1882:K6462,"0",B1882:B6462,"5 1 1 3 2 12 31111 6 M59 10600 000132 0000R 00001 00132 015*")</f>
        <v>0</v>
      </c>
      <c r="E1881" s="54"/>
      <c r="F1881" s="83">
        <f>SUMIFS(F1882:F6462,K1882:K6462,"0",B1882:B6462,"5 1 1 3 2 12 31111 6 M59 10600 000132 0000R 00001 00132 015*")</f>
        <v>156300</v>
      </c>
      <c r="G1881" s="83">
        <f>SUMIFS(G1882:G6462,K1882:K6462,"0",B1882:B6462,"5 1 1 3 2 12 31111 6 M59 10600 000132 0000R 00001 00132 015*")</f>
        <v>0</v>
      </c>
      <c r="H1881" s="83">
        <f t="shared" si="29"/>
        <v>156300</v>
      </c>
      <c r="I1881" s="83"/>
      <c r="K1881" s="54" t="s">
        <v>15</v>
      </c>
    </row>
    <row r="1882" spans="2:11" ht="33" x14ac:dyDescent="0.2">
      <c r="B1882" s="82" t="s">
        <v>4101</v>
      </c>
      <c r="C1882" s="82" t="s">
        <v>2927</v>
      </c>
      <c r="D1882" s="83">
        <f>SUMIFS(D1883:D6462,K1883:K6462,"0",B1883:B6462,"5 1 1 3 2 12 31111 6 M59 10600 000132 0000R 00001 00132 015 2111100*")-SUMIFS(E1883:E6462,K1883:K6462,"0",B1883:B6462,"5 1 1 3 2 12 31111 6 M59 10600 000132 0000R 00001 00132 015 2111100*")</f>
        <v>0</v>
      </c>
      <c r="E1882" s="54"/>
      <c r="F1882" s="83">
        <f>SUMIFS(F1883:F6462,K1883:K6462,"0",B1883:B6462,"5 1 1 3 2 12 31111 6 M59 10600 000132 0000R 00001 00132 015 2111100*")</f>
        <v>156300</v>
      </c>
      <c r="G1882" s="83">
        <f>SUMIFS(G1883:G6462,K1883:K6462,"0",B1883:B6462,"5 1 1 3 2 12 31111 6 M59 10600 000132 0000R 00001 00132 015 2111100*")</f>
        <v>0</v>
      </c>
      <c r="H1882" s="83">
        <f t="shared" si="29"/>
        <v>156300</v>
      </c>
      <c r="I1882" s="83"/>
      <c r="K1882" s="54" t="s">
        <v>15</v>
      </c>
    </row>
    <row r="1883" spans="2:11" ht="33" x14ac:dyDescent="0.2">
      <c r="B1883" s="82" t="s">
        <v>4102</v>
      </c>
      <c r="C1883" s="82" t="s">
        <v>660</v>
      </c>
      <c r="D1883" s="83">
        <f>SUMIFS(D1884:D6462,K1884:K6462,"0",B1884:B6462,"5 1 1 3 2 12 31111 6 M59 10600 000132 0000R 00001 00132 015 2111100 2024*")-SUMIFS(E1884:E6462,K1884:K6462,"0",B1884:B6462,"5 1 1 3 2 12 31111 6 M59 10600 000132 0000R 00001 00132 015 2111100 2024*")</f>
        <v>0</v>
      </c>
      <c r="E1883" s="54"/>
      <c r="F1883" s="83">
        <f>SUMIFS(F1884:F6462,K1884:K6462,"0",B1884:B6462,"5 1 1 3 2 12 31111 6 M59 10600 000132 0000R 00001 00132 015 2111100 2024*")</f>
        <v>156300</v>
      </c>
      <c r="G1883" s="83">
        <f>SUMIFS(G1884:G6462,K1884:K6462,"0",B1884:B6462,"5 1 1 3 2 12 31111 6 M59 10600 000132 0000R 00001 00132 015 2111100 2024*")</f>
        <v>0</v>
      </c>
      <c r="H1883" s="83">
        <f t="shared" si="29"/>
        <v>156300</v>
      </c>
      <c r="I1883" s="83"/>
      <c r="K1883" s="54" t="s">
        <v>15</v>
      </c>
    </row>
    <row r="1884" spans="2:11" ht="41.25" x14ac:dyDescent="0.2">
      <c r="B1884" s="82" t="s">
        <v>4103</v>
      </c>
      <c r="C1884" s="82" t="s">
        <v>2992</v>
      </c>
      <c r="D1884" s="83">
        <f>SUMIFS(D1885:D6462,K1885:K6462,"0",B1885:B6462,"5 1 1 3 2 12 31111 6 M59 10600 000132 0000R 00001 00132 015 2111100 2024 CP1CM436*")-SUMIFS(E1885:E6462,K1885:K6462,"0",B1885:B6462,"5 1 1 3 2 12 31111 6 M59 10600 000132 0000R 00001 00132 015 2111100 2024 CP1CM436*")</f>
        <v>0</v>
      </c>
      <c r="E1884" s="54"/>
      <c r="F1884" s="83">
        <f>SUMIFS(F1885:F6462,K1885:K6462,"0",B1885:B6462,"5 1 1 3 2 12 31111 6 M59 10600 000132 0000R 00001 00132 015 2111100 2024 CP1CM436*")</f>
        <v>156300</v>
      </c>
      <c r="G1884" s="83">
        <f>SUMIFS(G1885:G6462,K1885:K6462,"0",B1885:B6462,"5 1 1 3 2 12 31111 6 M59 10600 000132 0000R 00001 00132 015 2111100 2024 CP1CM436*")</f>
        <v>0</v>
      </c>
      <c r="H1884" s="83">
        <f t="shared" si="29"/>
        <v>156300</v>
      </c>
      <c r="I1884" s="83"/>
      <c r="K1884" s="54" t="s">
        <v>15</v>
      </c>
    </row>
    <row r="1885" spans="2:11" ht="41.25" x14ac:dyDescent="0.2">
      <c r="B1885" s="82" t="s">
        <v>4104</v>
      </c>
      <c r="C1885" s="82" t="s">
        <v>282</v>
      </c>
      <c r="D1885" s="83">
        <f>SUMIFS(D1886:D6462,K1886:K6462,"0",B1886:B6462,"5 1 1 3 2 12 31111 6 M59 10600 000132 0000R 00001 00132 015 2111100 2024 CP1CM436 001*")-SUMIFS(E1886:E6462,K1886:K6462,"0",B1886:B6462,"5 1 1 3 2 12 31111 6 M59 10600 000132 0000R 00001 00132 015 2111100 2024 CP1CM436 001*")</f>
        <v>0</v>
      </c>
      <c r="E1885" s="54"/>
      <c r="F1885" s="83">
        <f>SUMIFS(F1886:F6462,K1886:K6462,"0",B1886:B6462,"5 1 1 3 2 12 31111 6 M59 10600 000132 0000R 00001 00132 015 2111100 2024 CP1CM436 001*")</f>
        <v>156300</v>
      </c>
      <c r="G1885" s="83">
        <f>SUMIFS(G1886:G6462,K1886:K6462,"0",B1886:B6462,"5 1 1 3 2 12 31111 6 M59 10600 000132 0000R 00001 00132 015 2111100 2024 CP1CM436 001*")</f>
        <v>0</v>
      </c>
      <c r="H1885" s="83">
        <f t="shared" si="29"/>
        <v>156300</v>
      </c>
      <c r="I1885" s="83"/>
      <c r="K1885" s="54" t="s">
        <v>15</v>
      </c>
    </row>
    <row r="1886" spans="2:11" ht="33" x14ac:dyDescent="0.2">
      <c r="B1886" s="84" t="s">
        <v>4105</v>
      </c>
      <c r="C1886" s="84" t="s">
        <v>1519</v>
      </c>
      <c r="D1886" s="85">
        <v>0</v>
      </c>
      <c r="E1886" s="85"/>
      <c r="F1886" s="85">
        <v>156300</v>
      </c>
      <c r="G1886" s="85">
        <v>0</v>
      </c>
      <c r="H1886" s="85">
        <f t="shared" si="29"/>
        <v>156300</v>
      </c>
      <c r="I1886" s="85"/>
      <c r="K1886" s="54" t="s">
        <v>38</v>
      </c>
    </row>
    <row r="1887" spans="2:11" ht="16.5" x14ac:dyDescent="0.2">
      <c r="B1887" s="82" t="s">
        <v>4106</v>
      </c>
      <c r="C1887" s="82" t="s">
        <v>2996</v>
      </c>
      <c r="D1887" s="83">
        <f>SUMIFS(D1888:D6462,K1888:K6462,"0",B1888:B6462,"5 1 1 3 2 12 31111 6 M59 10700*")-SUMIFS(E1888:E6462,K1888:K6462,"0",B1888:B6462,"5 1 1 3 2 12 31111 6 M59 10700*")</f>
        <v>0</v>
      </c>
      <c r="E1887" s="54"/>
      <c r="F1887" s="83">
        <f>SUMIFS(F1888:F6462,K1888:K6462,"0",B1888:B6462,"5 1 1 3 2 12 31111 6 M59 10700*")</f>
        <v>15600</v>
      </c>
      <c r="G1887" s="83">
        <f>SUMIFS(G1888:G6462,K1888:K6462,"0",B1888:B6462,"5 1 1 3 2 12 31111 6 M59 10700*")</f>
        <v>0</v>
      </c>
      <c r="H1887" s="83">
        <f t="shared" si="29"/>
        <v>15600</v>
      </c>
      <c r="I1887" s="83"/>
      <c r="K1887" s="54" t="s">
        <v>15</v>
      </c>
    </row>
    <row r="1888" spans="2:11" ht="16.5" x14ac:dyDescent="0.2">
      <c r="B1888" s="82" t="s">
        <v>4107</v>
      </c>
      <c r="C1888" s="82" t="s">
        <v>648</v>
      </c>
      <c r="D1888" s="83">
        <f>SUMIFS(D1889:D6462,K1889:K6462,"0",B1889:B6462,"5 1 1 3 2 12 31111 6 M59 10700 000132*")-SUMIFS(E1889:E6462,K1889:K6462,"0",B1889:B6462,"5 1 1 3 2 12 31111 6 M59 10700 000132*")</f>
        <v>0</v>
      </c>
      <c r="E1888" s="54"/>
      <c r="F1888" s="83">
        <f>SUMIFS(F1889:F6462,K1889:K6462,"0",B1889:B6462,"5 1 1 3 2 12 31111 6 M59 10700 000132*")</f>
        <v>15600</v>
      </c>
      <c r="G1888" s="83">
        <f>SUMIFS(G1889:G6462,K1889:K6462,"0",B1889:B6462,"5 1 1 3 2 12 31111 6 M59 10700 000132*")</f>
        <v>0</v>
      </c>
      <c r="H1888" s="83">
        <f t="shared" si="29"/>
        <v>15600</v>
      </c>
      <c r="I1888" s="83"/>
      <c r="K1888" s="54" t="s">
        <v>15</v>
      </c>
    </row>
    <row r="1889" spans="2:11" ht="24.75" x14ac:dyDescent="0.2">
      <c r="B1889" s="82" t="s">
        <v>4108</v>
      </c>
      <c r="C1889" s="82" t="s">
        <v>650</v>
      </c>
      <c r="D1889" s="83">
        <f>SUMIFS(D1890:D6462,K1890:K6462,"0",B1890:B6462,"5 1 1 3 2 12 31111 6 M59 10700 000132 0000R*")-SUMIFS(E1890:E6462,K1890:K6462,"0",B1890:B6462,"5 1 1 3 2 12 31111 6 M59 10700 000132 0000R*")</f>
        <v>0</v>
      </c>
      <c r="E1889" s="54"/>
      <c r="F1889" s="83">
        <f>SUMIFS(F1890:F6462,K1890:K6462,"0",B1890:B6462,"5 1 1 3 2 12 31111 6 M59 10700 000132 0000R*")</f>
        <v>15600</v>
      </c>
      <c r="G1889" s="83">
        <f>SUMIFS(G1890:G6462,K1890:K6462,"0",B1890:B6462,"5 1 1 3 2 12 31111 6 M59 10700 000132 0000R*")</f>
        <v>0</v>
      </c>
      <c r="H1889" s="83">
        <f t="shared" si="29"/>
        <v>15600</v>
      </c>
      <c r="I1889" s="83"/>
      <c r="K1889" s="54" t="s">
        <v>15</v>
      </c>
    </row>
    <row r="1890" spans="2:11" ht="24.75" x14ac:dyDescent="0.2">
      <c r="B1890" s="82" t="s">
        <v>4109</v>
      </c>
      <c r="C1890" s="82" t="s">
        <v>282</v>
      </c>
      <c r="D1890" s="83">
        <f>SUMIFS(D1891:D6462,K1891:K6462,"0",B1891:B6462,"5 1 1 3 2 12 31111 6 M59 10700 000132 0000R 00001*")-SUMIFS(E1891:E6462,K1891:K6462,"0",B1891:B6462,"5 1 1 3 2 12 31111 6 M59 10700 000132 0000R 00001*")</f>
        <v>0</v>
      </c>
      <c r="E1890" s="54"/>
      <c r="F1890" s="83">
        <f>SUMIFS(F1891:F6462,K1891:K6462,"0",B1891:B6462,"5 1 1 3 2 12 31111 6 M59 10700 000132 0000R 00001*")</f>
        <v>15600</v>
      </c>
      <c r="G1890" s="83">
        <f>SUMIFS(G1891:G6462,K1891:K6462,"0",B1891:B6462,"5 1 1 3 2 12 31111 6 M59 10700 000132 0000R 00001*")</f>
        <v>0</v>
      </c>
      <c r="H1890" s="83">
        <f t="shared" si="29"/>
        <v>15600</v>
      </c>
      <c r="I1890" s="83"/>
      <c r="K1890" s="54" t="s">
        <v>15</v>
      </c>
    </row>
    <row r="1891" spans="2:11" ht="24.75" x14ac:dyDescent="0.2">
      <c r="B1891" s="82" t="s">
        <v>4110</v>
      </c>
      <c r="C1891" s="82" t="s">
        <v>4041</v>
      </c>
      <c r="D1891" s="83">
        <f>SUMIFS(D1892:D6462,K1892:K6462,"0",B1892:B6462,"5 1 1 3 2 12 31111 6 M59 10700 000132 0000R 00001 00132*")-SUMIFS(E1892:E6462,K1892:K6462,"0",B1892:B6462,"5 1 1 3 2 12 31111 6 M59 10700 000132 0000R 00001 00132*")</f>
        <v>0</v>
      </c>
      <c r="E1891" s="54"/>
      <c r="F1891" s="83">
        <f>SUMIFS(F1892:F6462,K1892:K6462,"0",B1892:B6462,"5 1 1 3 2 12 31111 6 M59 10700 000132 0000R 00001 00132*")</f>
        <v>15600</v>
      </c>
      <c r="G1891" s="83">
        <f>SUMIFS(G1892:G6462,K1892:K6462,"0",B1892:B6462,"5 1 1 3 2 12 31111 6 M59 10700 000132 0000R 00001 00132*")</f>
        <v>0</v>
      </c>
      <c r="H1891" s="83">
        <f t="shared" si="29"/>
        <v>15600</v>
      </c>
      <c r="I1891" s="83"/>
      <c r="K1891" s="54" t="s">
        <v>15</v>
      </c>
    </row>
    <row r="1892" spans="2:11" ht="33" x14ac:dyDescent="0.2">
      <c r="B1892" s="82" t="s">
        <v>4111</v>
      </c>
      <c r="C1892" s="82" t="s">
        <v>1051</v>
      </c>
      <c r="D1892" s="83">
        <f>SUMIFS(D1893:D6462,K1893:K6462,"0",B1893:B6462,"5 1 1 3 2 12 31111 6 M59 10700 000132 0000R 00001 00132 015*")-SUMIFS(E1893:E6462,K1893:K6462,"0",B1893:B6462,"5 1 1 3 2 12 31111 6 M59 10700 000132 0000R 00001 00132 015*")</f>
        <v>0</v>
      </c>
      <c r="E1892" s="54"/>
      <c r="F1892" s="83">
        <f>SUMIFS(F1893:F6462,K1893:K6462,"0",B1893:B6462,"5 1 1 3 2 12 31111 6 M59 10700 000132 0000R 00001 00132 015*")</f>
        <v>15600</v>
      </c>
      <c r="G1892" s="83">
        <f>SUMIFS(G1893:G6462,K1893:K6462,"0",B1893:B6462,"5 1 1 3 2 12 31111 6 M59 10700 000132 0000R 00001 00132 015*")</f>
        <v>0</v>
      </c>
      <c r="H1892" s="83">
        <f t="shared" si="29"/>
        <v>15600</v>
      </c>
      <c r="I1892" s="83"/>
      <c r="K1892" s="54" t="s">
        <v>15</v>
      </c>
    </row>
    <row r="1893" spans="2:11" ht="33" x14ac:dyDescent="0.2">
      <c r="B1893" s="82" t="s">
        <v>4112</v>
      </c>
      <c r="C1893" s="82" t="s">
        <v>2927</v>
      </c>
      <c r="D1893" s="83">
        <f>SUMIFS(D1894:D6462,K1894:K6462,"0",B1894:B6462,"5 1 1 3 2 12 31111 6 M59 10700 000132 0000R 00001 00132 015 2111100*")-SUMIFS(E1894:E6462,K1894:K6462,"0",B1894:B6462,"5 1 1 3 2 12 31111 6 M59 10700 000132 0000R 00001 00132 015 2111100*")</f>
        <v>0</v>
      </c>
      <c r="E1893" s="54"/>
      <c r="F1893" s="83">
        <f>SUMIFS(F1894:F6462,K1894:K6462,"0",B1894:B6462,"5 1 1 3 2 12 31111 6 M59 10700 000132 0000R 00001 00132 015 2111100*")</f>
        <v>15600</v>
      </c>
      <c r="G1893" s="83">
        <f>SUMIFS(G1894:G6462,K1894:K6462,"0",B1894:B6462,"5 1 1 3 2 12 31111 6 M59 10700 000132 0000R 00001 00132 015 2111100*")</f>
        <v>0</v>
      </c>
      <c r="H1893" s="83">
        <f t="shared" si="29"/>
        <v>15600</v>
      </c>
      <c r="I1893" s="83"/>
      <c r="K1893" s="54" t="s">
        <v>15</v>
      </c>
    </row>
    <row r="1894" spans="2:11" ht="33" x14ac:dyDescent="0.2">
      <c r="B1894" s="82" t="s">
        <v>4113</v>
      </c>
      <c r="C1894" s="82" t="s">
        <v>660</v>
      </c>
      <c r="D1894" s="83">
        <f>SUMIFS(D1895:D6462,K1895:K6462,"0",B1895:B6462,"5 1 1 3 2 12 31111 6 M59 10700 000132 0000R 00001 00132 015 2111100 2024*")-SUMIFS(E1895:E6462,K1895:K6462,"0",B1895:B6462,"5 1 1 3 2 12 31111 6 M59 10700 000132 0000R 00001 00132 015 2111100 2024*")</f>
        <v>0</v>
      </c>
      <c r="E1894" s="54"/>
      <c r="F1894" s="83">
        <f>SUMIFS(F1895:F6462,K1895:K6462,"0",B1895:B6462,"5 1 1 3 2 12 31111 6 M59 10700 000132 0000R 00001 00132 015 2111100 2024*")</f>
        <v>15600</v>
      </c>
      <c r="G1894" s="83">
        <f>SUMIFS(G1895:G6462,K1895:K6462,"0",B1895:B6462,"5 1 1 3 2 12 31111 6 M59 10700 000132 0000R 00001 00132 015 2111100 2024*")</f>
        <v>0</v>
      </c>
      <c r="H1894" s="83">
        <f t="shared" si="29"/>
        <v>15600</v>
      </c>
      <c r="I1894" s="83"/>
      <c r="K1894" s="54" t="s">
        <v>15</v>
      </c>
    </row>
    <row r="1895" spans="2:11" ht="41.25" x14ac:dyDescent="0.2">
      <c r="B1895" s="82" t="s">
        <v>4114</v>
      </c>
      <c r="C1895" s="82" t="s">
        <v>1056</v>
      </c>
      <c r="D1895" s="83">
        <f>SUMIFS(D1896:D6462,K1896:K6462,"0",B1896:B6462,"5 1 1 3 2 12 31111 6 M59 10700 000132 0000R 00001 00132 015 2111100 2024 CP1GB435*")-SUMIFS(E1896:E6462,K1896:K6462,"0",B1896:B6462,"5 1 1 3 2 12 31111 6 M59 10700 000132 0000R 00001 00132 015 2111100 2024 CP1GB435*")</f>
        <v>0</v>
      </c>
      <c r="E1895" s="54"/>
      <c r="F1895" s="83">
        <f>SUMIFS(F1896:F6462,K1896:K6462,"0",B1896:B6462,"5 1 1 3 2 12 31111 6 M59 10700 000132 0000R 00001 00132 015 2111100 2024 CP1GB435*")</f>
        <v>15600</v>
      </c>
      <c r="G1895" s="83">
        <f>SUMIFS(G1896:G6462,K1896:K6462,"0",B1896:B6462,"5 1 1 3 2 12 31111 6 M59 10700 000132 0000R 00001 00132 015 2111100 2024 CP1GB435*")</f>
        <v>0</v>
      </c>
      <c r="H1895" s="83">
        <f t="shared" si="29"/>
        <v>15600</v>
      </c>
      <c r="I1895" s="83"/>
      <c r="K1895" s="54" t="s">
        <v>15</v>
      </c>
    </row>
    <row r="1896" spans="2:11" ht="41.25" x14ac:dyDescent="0.2">
      <c r="B1896" s="82" t="s">
        <v>4115</v>
      </c>
      <c r="C1896" s="82" t="s">
        <v>282</v>
      </c>
      <c r="D1896" s="83">
        <f>SUMIFS(D1897:D6462,K1897:K6462,"0",B1897:B6462,"5 1 1 3 2 12 31111 6 M59 10700 000132 0000R 00001 00132 015 2111100 2024 CP1GB435 001*")-SUMIFS(E1897:E6462,K1897:K6462,"0",B1897:B6462,"5 1 1 3 2 12 31111 6 M59 10700 000132 0000R 00001 00132 015 2111100 2024 CP1GB435 001*")</f>
        <v>0</v>
      </c>
      <c r="E1896" s="54"/>
      <c r="F1896" s="83">
        <f>SUMIFS(F1897:F6462,K1897:K6462,"0",B1897:B6462,"5 1 1 3 2 12 31111 6 M59 10700 000132 0000R 00001 00132 015 2111100 2024 CP1GB435 001*")</f>
        <v>15600</v>
      </c>
      <c r="G1896" s="83">
        <f>SUMIFS(G1897:G6462,K1897:K6462,"0",B1897:B6462,"5 1 1 3 2 12 31111 6 M59 10700 000132 0000R 00001 00132 015 2111100 2024 CP1GB435 001*")</f>
        <v>0</v>
      </c>
      <c r="H1896" s="83">
        <f t="shared" si="29"/>
        <v>15600</v>
      </c>
      <c r="I1896" s="83"/>
      <c r="K1896" s="54" t="s">
        <v>15</v>
      </c>
    </row>
    <row r="1897" spans="2:11" ht="33" x14ac:dyDescent="0.2">
      <c r="B1897" s="84" t="s">
        <v>4116</v>
      </c>
      <c r="C1897" s="84" t="s">
        <v>1519</v>
      </c>
      <c r="D1897" s="85">
        <v>0</v>
      </c>
      <c r="E1897" s="85"/>
      <c r="F1897" s="85">
        <v>15600</v>
      </c>
      <c r="G1897" s="85">
        <v>0</v>
      </c>
      <c r="H1897" s="85">
        <f t="shared" si="29"/>
        <v>15600</v>
      </c>
      <c r="I1897" s="85"/>
      <c r="K1897" s="54" t="s">
        <v>38</v>
      </c>
    </row>
    <row r="1898" spans="2:11" ht="16.5" x14ac:dyDescent="0.2">
      <c r="B1898" s="82" t="s">
        <v>4117</v>
      </c>
      <c r="C1898" s="82" t="s">
        <v>3008</v>
      </c>
      <c r="D1898" s="83">
        <f>SUMIFS(D1899:D6462,K1899:K6462,"0",B1899:B6462,"5 1 1 3 2 12 31111 6 M59 10800*")-SUMIFS(E1899:E6462,K1899:K6462,"0",B1899:B6462,"5 1 1 3 2 12 31111 6 M59 10800*")</f>
        <v>0</v>
      </c>
      <c r="E1898" s="54"/>
      <c r="F1898" s="83">
        <f>SUMIFS(F1899:F6462,K1899:K6462,"0",B1899:B6462,"5 1 1 3 2 12 31111 6 M59 10800*")</f>
        <v>202783.08</v>
      </c>
      <c r="G1898" s="83">
        <f>SUMIFS(G1899:G6462,K1899:K6462,"0",B1899:B6462,"5 1 1 3 2 12 31111 6 M59 10800*")</f>
        <v>0</v>
      </c>
      <c r="H1898" s="83">
        <f t="shared" si="29"/>
        <v>202783.08</v>
      </c>
      <c r="I1898" s="83"/>
      <c r="K1898" s="54" t="s">
        <v>15</v>
      </c>
    </row>
    <row r="1899" spans="2:11" ht="16.5" x14ac:dyDescent="0.2">
      <c r="B1899" s="82" t="s">
        <v>4118</v>
      </c>
      <c r="C1899" s="82" t="s">
        <v>648</v>
      </c>
      <c r="D1899" s="83">
        <f>SUMIFS(D1900:D6462,K1900:K6462,"0",B1900:B6462,"5 1 1 3 2 12 31111 6 M59 10800 000132*")-SUMIFS(E1900:E6462,K1900:K6462,"0",B1900:B6462,"5 1 1 3 2 12 31111 6 M59 10800 000132*")</f>
        <v>0</v>
      </c>
      <c r="E1899" s="54"/>
      <c r="F1899" s="83">
        <f>SUMIFS(F1900:F6462,K1900:K6462,"0",B1900:B6462,"5 1 1 3 2 12 31111 6 M59 10800 000132*")</f>
        <v>202783.08</v>
      </c>
      <c r="G1899" s="83">
        <f>SUMIFS(G1900:G6462,K1900:K6462,"0",B1900:B6462,"5 1 1 3 2 12 31111 6 M59 10800 000132*")</f>
        <v>0</v>
      </c>
      <c r="H1899" s="83">
        <f t="shared" ref="H1899:H1962" si="30">D1899 + F1899 - G1899</f>
        <v>202783.08</v>
      </c>
      <c r="I1899" s="83"/>
      <c r="K1899" s="54" t="s">
        <v>15</v>
      </c>
    </row>
    <row r="1900" spans="2:11" ht="24.75" x14ac:dyDescent="0.2">
      <c r="B1900" s="82" t="s">
        <v>4119</v>
      </c>
      <c r="C1900" s="82" t="s">
        <v>650</v>
      </c>
      <c r="D1900" s="83">
        <f>SUMIFS(D1901:D6462,K1901:K6462,"0",B1901:B6462,"5 1 1 3 2 12 31111 6 M59 10800 000132 0000R*")-SUMIFS(E1901:E6462,K1901:K6462,"0",B1901:B6462,"5 1 1 3 2 12 31111 6 M59 10800 000132 0000R*")</f>
        <v>0</v>
      </c>
      <c r="E1900" s="54"/>
      <c r="F1900" s="83">
        <f>SUMIFS(F1901:F6462,K1901:K6462,"0",B1901:B6462,"5 1 1 3 2 12 31111 6 M59 10800 000132 0000R*")</f>
        <v>202783.08</v>
      </c>
      <c r="G1900" s="83">
        <f>SUMIFS(G1901:G6462,K1901:K6462,"0",B1901:B6462,"5 1 1 3 2 12 31111 6 M59 10800 000132 0000R*")</f>
        <v>0</v>
      </c>
      <c r="H1900" s="83">
        <f t="shared" si="30"/>
        <v>202783.08</v>
      </c>
      <c r="I1900" s="83"/>
      <c r="K1900" s="54" t="s">
        <v>15</v>
      </c>
    </row>
    <row r="1901" spans="2:11" ht="24.75" x14ac:dyDescent="0.2">
      <c r="B1901" s="82" t="s">
        <v>4120</v>
      </c>
      <c r="C1901" s="82" t="s">
        <v>282</v>
      </c>
      <c r="D1901" s="83">
        <f>SUMIFS(D1902:D6462,K1902:K6462,"0",B1902:B6462,"5 1 1 3 2 12 31111 6 M59 10800 000132 0000R 00001*")-SUMIFS(E1902:E6462,K1902:K6462,"0",B1902:B6462,"5 1 1 3 2 12 31111 6 M59 10800 000132 0000R 00001*")</f>
        <v>0</v>
      </c>
      <c r="E1901" s="54"/>
      <c r="F1901" s="83">
        <f>SUMIFS(F1902:F6462,K1902:K6462,"0",B1902:B6462,"5 1 1 3 2 12 31111 6 M59 10800 000132 0000R 00001*")</f>
        <v>202783.08</v>
      </c>
      <c r="G1901" s="83">
        <f>SUMIFS(G1902:G6462,K1902:K6462,"0",B1902:B6462,"5 1 1 3 2 12 31111 6 M59 10800 000132 0000R 00001*")</f>
        <v>0</v>
      </c>
      <c r="H1901" s="83">
        <f t="shared" si="30"/>
        <v>202783.08</v>
      </c>
      <c r="I1901" s="83"/>
      <c r="K1901" s="54" t="s">
        <v>15</v>
      </c>
    </row>
    <row r="1902" spans="2:11" ht="24.75" x14ac:dyDescent="0.2">
      <c r="B1902" s="82" t="s">
        <v>4121</v>
      </c>
      <c r="C1902" s="82" t="s">
        <v>4041</v>
      </c>
      <c r="D1902" s="83">
        <f>SUMIFS(D1903:D6462,K1903:K6462,"0",B1903:B6462,"5 1 1 3 2 12 31111 6 M59 10800 000132 0000R 00001 00132*")-SUMIFS(E1903:E6462,K1903:K6462,"0",B1903:B6462,"5 1 1 3 2 12 31111 6 M59 10800 000132 0000R 00001 00132*")</f>
        <v>0</v>
      </c>
      <c r="E1902" s="54"/>
      <c r="F1902" s="83">
        <f>SUMIFS(F1903:F6462,K1903:K6462,"0",B1903:B6462,"5 1 1 3 2 12 31111 6 M59 10800 000132 0000R 00001 00132*")</f>
        <v>202783.08</v>
      </c>
      <c r="G1902" s="83">
        <f>SUMIFS(G1903:G6462,K1903:K6462,"0",B1903:B6462,"5 1 1 3 2 12 31111 6 M59 10800 000132 0000R 00001 00132*")</f>
        <v>0</v>
      </c>
      <c r="H1902" s="83">
        <f t="shared" si="30"/>
        <v>202783.08</v>
      </c>
      <c r="I1902" s="83"/>
      <c r="K1902" s="54" t="s">
        <v>15</v>
      </c>
    </row>
    <row r="1903" spans="2:11" ht="33" x14ac:dyDescent="0.2">
      <c r="B1903" s="82" t="s">
        <v>4122</v>
      </c>
      <c r="C1903" s="82" t="s">
        <v>1051</v>
      </c>
      <c r="D1903" s="83">
        <f>SUMIFS(D1904:D6462,K1904:K6462,"0",B1904:B6462,"5 1 1 3 2 12 31111 6 M59 10800 000132 0000R 00001 00132 015*")-SUMIFS(E1904:E6462,K1904:K6462,"0",B1904:B6462,"5 1 1 3 2 12 31111 6 M59 10800 000132 0000R 00001 00132 015*")</f>
        <v>0</v>
      </c>
      <c r="E1903" s="54"/>
      <c r="F1903" s="83">
        <f>SUMIFS(F1904:F6462,K1904:K6462,"0",B1904:B6462,"5 1 1 3 2 12 31111 6 M59 10800 000132 0000R 00001 00132 015*")</f>
        <v>202783.08</v>
      </c>
      <c r="G1903" s="83">
        <f>SUMIFS(G1904:G6462,K1904:K6462,"0",B1904:B6462,"5 1 1 3 2 12 31111 6 M59 10800 000132 0000R 00001 00132 015*")</f>
        <v>0</v>
      </c>
      <c r="H1903" s="83">
        <f t="shared" si="30"/>
        <v>202783.08</v>
      </c>
      <c r="I1903" s="83"/>
      <c r="K1903" s="54" t="s">
        <v>15</v>
      </c>
    </row>
    <row r="1904" spans="2:11" ht="33" x14ac:dyDescent="0.2">
      <c r="B1904" s="82" t="s">
        <v>4123</v>
      </c>
      <c r="C1904" s="82" t="s">
        <v>2927</v>
      </c>
      <c r="D1904" s="83">
        <f>SUMIFS(D1905:D6462,K1905:K6462,"0",B1905:B6462,"5 1 1 3 2 12 31111 6 M59 10800 000132 0000R 00001 00132 015 2111100*")-SUMIFS(E1905:E6462,K1905:K6462,"0",B1905:B6462,"5 1 1 3 2 12 31111 6 M59 10800 000132 0000R 00001 00132 015 2111100*")</f>
        <v>0</v>
      </c>
      <c r="E1904" s="54"/>
      <c r="F1904" s="83">
        <f>SUMIFS(F1905:F6462,K1905:K6462,"0",B1905:B6462,"5 1 1 3 2 12 31111 6 M59 10800 000132 0000R 00001 00132 015 2111100*")</f>
        <v>202783.08</v>
      </c>
      <c r="G1904" s="83">
        <f>SUMIFS(G1905:G6462,K1905:K6462,"0",B1905:B6462,"5 1 1 3 2 12 31111 6 M59 10800 000132 0000R 00001 00132 015 2111100*")</f>
        <v>0</v>
      </c>
      <c r="H1904" s="83">
        <f t="shared" si="30"/>
        <v>202783.08</v>
      </c>
      <c r="I1904" s="83"/>
      <c r="K1904" s="54" t="s">
        <v>15</v>
      </c>
    </row>
    <row r="1905" spans="2:11" ht="33" x14ac:dyDescent="0.2">
      <c r="B1905" s="82" t="s">
        <v>4124</v>
      </c>
      <c r="C1905" s="82" t="s">
        <v>660</v>
      </c>
      <c r="D1905" s="83">
        <f>SUMIFS(D1906:D6462,K1906:K6462,"0",B1906:B6462,"5 1 1 3 2 12 31111 6 M59 10800 000132 0000R 00001 00132 015 2111100 2024*")-SUMIFS(E1906:E6462,K1906:K6462,"0",B1906:B6462,"5 1 1 3 2 12 31111 6 M59 10800 000132 0000R 00001 00132 015 2111100 2024*")</f>
        <v>0</v>
      </c>
      <c r="E1905" s="54"/>
      <c r="F1905" s="83">
        <f>SUMIFS(F1906:F6462,K1906:K6462,"0",B1906:B6462,"5 1 1 3 2 12 31111 6 M59 10800 000132 0000R 00001 00132 015 2111100 2024*")</f>
        <v>202783.08</v>
      </c>
      <c r="G1905" s="83">
        <f>SUMIFS(G1906:G6462,K1906:K6462,"0",B1906:B6462,"5 1 1 3 2 12 31111 6 M59 10800 000132 0000R 00001 00132 015 2111100 2024*")</f>
        <v>0</v>
      </c>
      <c r="H1905" s="83">
        <f t="shared" si="30"/>
        <v>202783.08</v>
      </c>
      <c r="I1905" s="83"/>
      <c r="K1905" s="54" t="s">
        <v>15</v>
      </c>
    </row>
    <row r="1906" spans="2:11" ht="41.25" x14ac:dyDescent="0.2">
      <c r="B1906" s="82" t="s">
        <v>4125</v>
      </c>
      <c r="C1906" s="82" t="s">
        <v>662</v>
      </c>
      <c r="D1906" s="83">
        <f>SUMIFS(D1907:D6462,K1907:K6462,"0",B1907:B6462,"5 1 1 3 2 12 31111 6 M59 10800 000132 0000R 00001 00132 015 2111100 2024 CP1SR390*")-SUMIFS(E1907:E6462,K1907:K6462,"0",B1907:B6462,"5 1 1 3 2 12 31111 6 M59 10800 000132 0000R 00001 00132 015 2111100 2024 CP1SR390*")</f>
        <v>0</v>
      </c>
      <c r="E1906" s="54"/>
      <c r="F1906" s="83">
        <f>SUMIFS(F1907:F6462,K1907:K6462,"0",B1907:B6462,"5 1 1 3 2 12 31111 6 M59 10800 000132 0000R 00001 00132 015 2111100 2024 CP1SR390*")</f>
        <v>202783.08</v>
      </c>
      <c r="G1906" s="83">
        <f>SUMIFS(G1907:G6462,K1907:K6462,"0",B1907:B6462,"5 1 1 3 2 12 31111 6 M59 10800 000132 0000R 00001 00132 015 2111100 2024 CP1SR390*")</f>
        <v>0</v>
      </c>
      <c r="H1906" s="83">
        <f t="shared" si="30"/>
        <v>202783.08</v>
      </c>
      <c r="I1906" s="83"/>
      <c r="K1906" s="54" t="s">
        <v>15</v>
      </c>
    </row>
    <row r="1907" spans="2:11" ht="41.25" x14ac:dyDescent="0.2">
      <c r="B1907" s="82" t="s">
        <v>4126</v>
      </c>
      <c r="C1907" s="82" t="s">
        <v>282</v>
      </c>
      <c r="D1907" s="83">
        <f>SUMIFS(D1908:D6462,K1908:K6462,"0",B1908:B6462,"5 1 1 3 2 12 31111 6 M59 10800 000132 0000R 00001 00132 015 2111100 2024 CP1SR390 001*")-SUMIFS(E1908:E6462,K1908:K6462,"0",B1908:B6462,"5 1 1 3 2 12 31111 6 M59 10800 000132 0000R 00001 00132 015 2111100 2024 CP1SR390 001*")</f>
        <v>0</v>
      </c>
      <c r="E1907" s="54"/>
      <c r="F1907" s="83">
        <f>SUMIFS(F1908:F6462,K1908:K6462,"0",B1908:B6462,"5 1 1 3 2 12 31111 6 M59 10800 000132 0000R 00001 00132 015 2111100 2024 CP1SR390 001*")</f>
        <v>202783.08</v>
      </c>
      <c r="G1907" s="83">
        <f>SUMIFS(G1908:G6462,K1908:K6462,"0",B1908:B6462,"5 1 1 3 2 12 31111 6 M59 10800 000132 0000R 00001 00132 015 2111100 2024 CP1SR390 001*")</f>
        <v>0</v>
      </c>
      <c r="H1907" s="83">
        <f t="shared" si="30"/>
        <v>202783.08</v>
      </c>
      <c r="I1907" s="83"/>
      <c r="K1907" s="54" t="s">
        <v>15</v>
      </c>
    </row>
    <row r="1908" spans="2:11" ht="33" x14ac:dyDescent="0.2">
      <c r="B1908" s="84" t="s">
        <v>4127</v>
      </c>
      <c r="C1908" s="84" t="s">
        <v>1519</v>
      </c>
      <c r="D1908" s="85">
        <v>0</v>
      </c>
      <c r="E1908" s="85"/>
      <c r="F1908" s="85">
        <v>202783.08</v>
      </c>
      <c r="G1908" s="85">
        <v>0</v>
      </c>
      <c r="H1908" s="85">
        <f t="shared" si="30"/>
        <v>202783.08</v>
      </c>
      <c r="I1908" s="85"/>
      <c r="K1908" s="54" t="s">
        <v>38</v>
      </c>
    </row>
    <row r="1909" spans="2:11" ht="16.5" x14ac:dyDescent="0.2">
      <c r="B1909" s="82" t="s">
        <v>4128</v>
      </c>
      <c r="C1909" s="82" t="s">
        <v>3020</v>
      </c>
      <c r="D1909" s="83">
        <f>SUMIFS(D1910:D6462,K1910:K6462,"0",B1910:B6462,"5 1 1 3 2 12 31111 6 M59 11000*")-SUMIFS(E1910:E6462,K1910:K6462,"0",B1910:B6462,"5 1 1 3 2 12 31111 6 M59 11000*")</f>
        <v>0</v>
      </c>
      <c r="E1909" s="54"/>
      <c r="F1909" s="83">
        <f>SUMIFS(F1910:F6462,K1910:K6462,"0",B1910:B6462,"5 1 1 3 2 12 31111 6 M59 11000*")</f>
        <v>72279.3</v>
      </c>
      <c r="G1909" s="83">
        <f>SUMIFS(G1910:G6462,K1910:K6462,"0",B1910:B6462,"5 1 1 3 2 12 31111 6 M59 11000*")</f>
        <v>0</v>
      </c>
      <c r="H1909" s="83">
        <f t="shared" si="30"/>
        <v>72279.3</v>
      </c>
      <c r="I1909" s="83"/>
      <c r="K1909" s="54" t="s">
        <v>15</v>
      </c>
    </row>
    <row r="1910" spans="2:11" ht="16.5" x14ac:dyDescent="0.2">
      <c r="B1910" s="82" t="s">
        <v>4129</v>
      </c>
      <c r="C1910" s="82" t="s">
        <v>648</v>
      </c>
      <c r="D1910" s="83">
        <f>SUMIFS(D1911:D6462,K1911:K6462,"0",B1911:B6462,"5 1 1 3 2 12 31111 6 M59 11000 000132*")-SUMIFS(E1911:E6462,K1911:K6462,"0",B1911:B6462,"5 1 1 3 2 12 31111 6 M59 11000 000132*")</f>
        <v>0</v>
      </c>
      <c r="E1910" s="54"/>
      <c r="F1910" s="83">
        <f>SUMIFS(F1911:F6462,K1911:K6462,"0",B1911:B6462,"5 1 1 3 2 12 31111 6 M59 11000 000132*")</f>
        <v>72279.3</v>
      </c>
      <c r="G1910" s="83">
        <f>SUMIFS(G1911:G6462,K1911:K6462,"0",B1911:B6462,"5 1 1 3 2 12 31111 6 M59 11000 000132*")</f>
        <v>0</v>
      </c>
      <c r="H1910" s="83">
        <f t="shared" si="30"/>
        <v>72279.3</v>
      </c>
      <c r="I1910" s="83"/>
      <c r="K1910" s="54" t="s">
        <v>15</v>
      </c>
    </row>
    <row r="1911" spans="2:11" ht="24.75" x14ac:dyDescent="0.2">
      <c r="B1911" s="82" t="s">
        <v>4130</v>
      </c>
      <c r="C1911" s="82" t="s">
        <v>650</v>
      </c>
      <c r="D1911" s="83">
        <f>SUMIFS(D1912:D6462,K1912:K6462,"0",B1912:B6462,"5 1 1 3 2 12 31111 6 M59 11000 000132 0000R*")-SUMIFS(E1912:E6462,K1912:K6462,"0",B1912:B6462,"5 1 1 3 2 12 31111 6 M59 11000 000132 0000R*")</f>
        <v>0</v>
      </c>
      <c r="E1911" s="54"/>
      <c r="F1911" s="83">
        <f>SUMIFS(F1912:F6462,K1912:K6462,"0",B1912:B6462,"5 1 1 3 2 12 31111 6 M59 11000 000132 0000R*")</f>
        <v>72279.3</v>
      </c>
      <c r="G1911" s="83">
        <f>SUMIFS(G1912:G6462,K1912:K6462,"0",B1912:B6462,"5 1 1 3 2 12 31111 6 M59 11000 000132 0000R*")</f>
        <v>0</v>
      </c>
      <c r="H1911" s="83">
        <f t="shared" si="30"/>
        <v>72279.3</v>
      </c>
      <c r="I1911" s="83"/>
      <c r="K1911" s="54" t="s">
        <v>15</v>
      </c>
    </row>
    <row r="1912" spans="2:11" ht="24.75" x14ac:dyDescent="0.2">
      <c r="B1912" s="82" t="s">
        <v>4131</v>
      </c>
      <c r="C1912" s="82" t="s">
        <v>282</v>
      </c>
      <c r="D1912" s="83">
        <f>SUMIFS(D1913:D6462,K1913:K6462,"0",B1913:B6462,"5 1 1 3 2 12 31111 6 M59 11000 000132 0000R 00001*")-SUMIFS(E1913:E6462,K1913:K6462,"0",B1913:B6462,"5 1 1 3 2 12 31111 6 M59 11000 000132 0000R 00001*")</f>
        <v>0</v>
      </c>
      <c r="E1912" s="54"/>
      <c r="F1912" s="83">
        <f>SUMIFS(F1913:F6462,K1913:K6462,"0",B1913:B6462,"5 1 1 3 2 12 31111 6 M59 11000 000132 0000R 00001*")</f>
        <v>72279.3</v>
      </c>
      <c r="G1912" s="83">
        <f>SUMIFS(G1913:G6462,K1913:K6462,"0",B1913:B6462,"5 1 1 3 2 12 31111 6 M59 11000 000132 0000R 00001*")</f>
        <v>0</v>
      </c>
      <c r="H1912" s="83">
        <f t="shared" si="30"/>
        <v>72279.3</v>
      </c>
      <c r="I1912" s="83"/>
      <c r="K1912" s="54" t="s">
        <v>15</v>
      </c>
    </row>
    <row r="1913" spans="2:11" ht="24.75" x14ac:dyDescent="0.2">
      <c r="B1913" s="82" t="s">
        <v>4132</v>
      </c>
      <c r="C1913" s="82" t="s">
        <v>4041</v>
      </c>
      <c r="D1913" s="83">
        <f>SUMIFS(D1914:D6462,K1914:K6462,"0",B1914:B6462,"5 1 1 3 2 12 31111 6 M59 11000 000132 0000R 00001 00132*")-SUMIFS(E1914:E6462,K1914:K6462,"0",B1914:B6462,"5 1 1 3 2 12 31111 6 M59 11000 000132 0000R 00001 00132*")</f>
        <v>0</v>
      </c>
      <c r="E1913" s="54"/>
      <c r="F1913" s="83">
        <f>SUMIFS(F1914:F6462,K1914:K6462,"0",B1914:B6462,"5 1 1 3 2 12 31111 6 M59 11000 000132 0000R 00001 00132*")</f>
        <v>72279.3</v>
      </c>
      <c r="G1913" s="83">
        <f>SUMIFS(G1914:G6462,K1914:K6462,"0",B1914:B6462,"5 1 1 3 2 12 31111 6 M59 11000 000132 0000R 00001 00132*")</f>
        <v>0</v>
      </c>
      <c r="H1913" s="83">
        <f t="shared" si="30"/>
        <v>72279.3</v>
      </c>
      <c r="I1913" s="83"/>
      <c r="K1913" s="54" t="s">
        <v>15</v>
      </c>
    </row>
    <row r="1914" spans="2:11" ht="33" x14ac:dyDescent="0.2">
      <c r="B1914" s="82" t="s">
        <v>4133</v>
      </c>
      <c r="C1914" s="82" t="s">
        <v>1051</v>
      </c>
      <c r="D1914" s="83">
        <f>SUMIFS(D1915:D6462,K1915:K6462,"0",B1915:B6462,"5 1 1 3 2 12 31111 6 M59 11000 000132 0000R 00001 00132 015*")-SUMIFS(E1915:E6462,K1915:K6462,"0",B1915:B6462,"5 1 1 3 2 12 31111 6 M59 11000 000132 0000R 00001 00132 015*")</f>
        <v>0</v>
      </c>
      <c r="E1914" s="54"/>
      <c r="F1914" s="83">
        <f>SUMIFS(F1915:F6462,K1915:K6462,"0",B1915:B6462,"5 1 1 3 2 12 31111 6 M59 11000 000132 0000R 00001 00132 015*")</f>
        <v>72279.3</v>
      </c>
      <c r="G1914" s="83">
        <f>SUMIFS(G1915:G6462,K1915:K6462,"0",B1915:B6462,"5 1 1 3 2 12 31111 6 M59 11000 000132 0000R 00001 00132 015*")</f>
        <v>0</v>
      </c>
      <c r="H1914" s="83">
        <f t="shared" si="30"/>
        <v>72279.3</v>
      </c>
      <c r="I1914" s="83"/>
      <c r="K1914" s="54" t="s">
        <v>15</v>
      </c>
    </row>
    <row r="1915" spans="2:11" ht="33" x14ac:dyDescent="0.2">
      <c r="B1915" s="82" t="s">
        <v>4134</v>
      </c>
      <c r="C1915" s="82" t="s">
        <v>2927</v>
      </c>
      <c r="D1915" s="83">
        <f>SUMIFS(D1916:D6462,K1916:K6462,"0",B1916:B6462,"5 1 1 3 2 12 31111 6 M59 11000 000132 0000R 00001 00132 015 2111100*")-SUMIFS(E1916:E6462,K1916:K6462,"0",B1916:B6462,"5 1 1 3 2 12 31111 6 M59 11000 000132 0000R 00001 00132 015 2111100*")</f>
        <v>0</v>
      </c>
      <c r="E1915" s="54"/>
      <c r="F1915" s="83">
        <f>SUMIFS(F1916:F6462,K1916:K6462,"0",B1916:B6462,"5 1 1 3 2 12 31111 6 M59 11000 000132 0000R 00001 00132 015 2111100*")</f>
        <v>72279.3</v>
      </c>
      <c r="G1915" s="83">
        <f>SUMIFS(G1916:G6462,K1916:K6462,"0",B1916:B6462,"5 1 1 3 2 12 31111 6 M59 11000 000132 0000R 00001 00132 015 2111100*")</f>
        <v>0</v>
      </c>
      <c r="H1915" s="83">
        <f t="shared" si="30"/>
        <v>72279.3</v>
      </c>
      <c r="I1915" s="83"/>
      <c r="K1915" s="54" t="s">
        <v>15</v>
      </c>
    </row>
    <row r="1916" spans="2:11" ht="33" x14ac:dyDescent="0.2">
      <c r="B1916" s="82" t="s">
        <v>4135</v>
      </c>
      <c r="C1916" s="82" t="s">
        <v>660</v>
      </c>
      <c r="D1916" s="83">
        <f>SUMIFS(D1917:D6462,K1917:K6462,"0",B1917:B6462,"5 1 1 3 2 12 31111 6 M59 11000 000132 0000R 00001 00132 015 2111100 2024*")-SUMIFS(E1917:E6462,K1917:K6462,"0",B1917:B6462,"5 1 1 3 2 12 31111 6 M59 11000 000132 0000R 00001 00132 015 2111100 2024*")</f>
        <v>0</v>
      </c>
      <c r="E1916" s="54"/>
      <c r="F1916" s="83">
        <f>SUMIFS(F1917:F6462,K1917:K6462,"0",B1917:B6462,"5 1 1 3 2 12 31111 6 M59 11000 000132 0000R 00001 00132 015 2111100 2024*")</f>
        <v>72279.3</v>
      </c>
      <c r="G1916" s="83">
        <f>SUMIFS(G1917:G6462,K1917:K6462,"0",B1917:B6462,"5 1 1 3 2 12 31111 6 M59 11000 000132 0000R 00001 00132 015 2111100 2024*")</f>
        <v>0</v>
      </c>
      <c r="H1916" s="83">
        <f t="shared" si="30"/>
        <v>72279.3</v>
      </c>
      <c r="I1916" s="83"/>
      <c r="K1916" s="54" t="s">
        <v>15</v>
      </c>
    </row>
    <row r="1917" spans="2:11" ht="41.25" x14ac:dyDescent="0.2">
      <c r="B1917" s="82" t="s">
        <v>4136</v>
      </c>
      <c r="C1917" s="82" t="s">
        <v>1056</v>
      </c>
      <c r="D1917" s="83">
        <f>SUMIFS(D1918:D6462,K1918:K6462,"0",B1918:B6462,"5 1 1 3 2 12 31111 6 M59 11000 000132 0000R 00001 00132 015 2111100 2024 CP1SM382*")-SUMIFS(E1918:E6462,K1918:K6462,"0",B1918:B6462,"5 1 1 3 2 12 31111 6 M59 11000 000132 0000R 00001 00132 015 2111100 2024 CP1SM382*")</f>
        <v>0</v>
      </c>
      <c r="E1917" s="54"/>
      <c r="F1917" s="83">
        <f>SUMIFS(F1918:F6462,K1918:K6462,"0",B1918:B6462,"5 1 1 3 2 12 31111 6 M59 11000 000132 0000R 00001 00132 015 2111100 2024 CP1SM382*")</f>
        <v>72279.3</v>
      </c>
      <c r="G1917" s="83">
        <f>SUMIFS(G1918:G6462,K1918:K6462,"0",B1918:B6462,"5 1 1 3 2 12 31111 6 M59 11000 000132 0000R 00001 00132 015 2111100 2024 CP1SM382*")</f>
        <v>0</v>
      </c>
      <c r="H1917" s="83">
        <f t="shared" si="30"/>
        <v>72279.3</v>
      </c>
      <c r="I1917" s="83"/>
      <c r="K1917" s="54" t="s">
        <v>15</v>
      </c>
    </row>
    <row r="1918" spans="2:11" ht="41.25" x14ac:dyDescent="0.2">
      <c r="B1918" s="82" t="s">
        <v>4137</v>
      </c>
      <c r="C1918" s="82" t="s">
        <v>282</v>
      </c>
      <c r="D1918" s="83">
        <f>SUMIFS(D1919:D6462,K1919:K6462,"0",B1919:B6462,"5 1 1 3 2 12 31111 6 M59 11000 000132 0000R 00001 00132 015 2111100 2024 CP1SM382 001*")-SUMIFS(E1919:E6462,K1919:K6462,"0",B1919:B6462,"5 1 1 3 2 12 31111 6 M59 11000 000132 0000R 00001 00132 015 2111100 2024 CP1SM382 001*")</f>
        <v>0</v>
      </c>
      <c r="E1918" s="54"/>
      <c r="F1918" s="83">
        <f>SUMIFS(F1919:F6462,K1919:K6462,"0",B1919:B6462,"5 1 1 3 2 12 31111 6 M59 11000 000132 0000R 00001 00132 015 2111100 2024 CP1SM382 001*")</f>
        <v>72279.3</v>
      </c>
      <c r="G1918" s="83">
        <f>SUMIFS(G1919:G6462,K1919:K6462,"0",B1919:B6462,"5 1 1 3 2 12 31111 6 M59 11000 000132 0000R 00001 00132 015 2111100 2024 CP1SM382 001*")</f>
        <v>0</v>
      </c>
      <c r="H1918" s="83">
        <f t="shared" si="30"/>
        <v>72279.3</v>
      </c>
      <c r="I1918" s="83"/>
      <c r="K1918" s="54" t="s">
        <v>15</v>
      </c>
    </row>
    <row r="1919" spans="2:11" ht="33" x14ac:dyDescent="0.2">
      <c r="B1919" s="84" t="s">
        <v>4138</v>
      </c>
      <c r="C1919" s="84" t="s">
        <v>1519</v>
      </c>
      <c r="D1919" s="85">
        <v>0</v>
      </c>
      <c r="E1919" s="85"/>
      <c r="F1919" s="85">
        <v>67992.55</v>
      </c>
      <c r="G1919" s="85">
        <v>0</v>
      </c>
      <c r="H1919" s="85">
        <f t="shared" si="30"/>
        <v>67992.55</v>
      </c>
      <c r="I1919" s="85"/>
      <c r="K1919" s="54" t="s">
        <v>38</v>
      </c>
    </row>
    <row r="1920" spans="2:11" ht="33" x14ac:dyDescent="0.2">
      <c r="B1920" s="84" t="s">
        <v>4139</v>
      </c>
      <c r="C1920" s="84" t="s">
        <v>4071</v>
      </c>
      <c r="D1920" s="85">
        <v>0</v>
      </c>
      <c r="E1920" s="85"/>
      <c r="F1920" s="85">
        <v>4286.75</v>
      </c>
      <c r="G1920" s="85">
        <v>0</v>
      </c>
      <c r="H1920" s="85">
        <f t="shared" si="30"/>
        <v>4286.75</v>
      </c>
      <c r="I1920" s="85"/>
      <c r="K1920" s="54" t="s">
        <v>38</v>
      </c>
    </row>
    <row r="1921" spans="2:11" ht="16.5" x14ac:dyDescent="0.2">
      <c r="B1921" s="82" t="s">
        <v>4140</v>
      </c>
      <c r="C1921" s="82" t="s">
        <v>3032</v>
      </c>
      <c r="D1921" s="83">
        <f>SUMIFS(D1922:D6462,K1922:K6462,"0",B1922:B6462,"5 1 1 3 2 12 31111 6 M59 12000*")-SUMIFS(E1922:E6462,K1922:K6462,"0",B1922:B6462,"5 1 1 3 2 12 31111 6 M59 12000*")</f>
        <v>0</v>
      </c>
      <c r="E1921" s="54"/>
      <c r="F1921" s="83">
        <f>SUMIFS(F1922:F6462,K1922:K6462,"0",B1922:B6462,"5 1 1 3 2 12 31111 6 M59 12000*")</f>
        <v>28666.1</v>
      </c>
      <c r="G1921" s="83">
        <f>SUMIFS(G1922:G6462,K1922:K6462,"0",B1922:B6462,"5 1 1 3 2 12 31111 6 M59 12000*")</f>
        <v>0</v>
      </c>
      <c r="H1921" s="83">
        <f t="shared" si="30"/>
        <v>28666.1</v>
      </c>
      <c r="I1921" s="83"/>
      <c r="K1921" s="54" t="s">
        <v>15</v>
      </c>
    </row>
    <row r="1922" spans="2:11" ht="16.5" x14ac:dyDescent="0.2">
      <c r="B1922" s="82" t="s">
        <v>4141</v>
      </c>
      <c r="C1922" s="82" t="s">
        <v>3034</v>
      </c>
      <c r="D1922" s="83">
        <f>SUMIFS(D1923:D6462,K1923:K6462,"0",B1923:B6462,"5 1 1 3 2 12 31111 6 M59 12000 000121*")-SUMIFS(E1923:E6462,K1923:K6462,"0",B1923:B6462,"5 1 1 3 2 12 31111 6 M59 12000 000121*")</f>
        <v>0</v>
      </c>
      <c r="E1922" s="54"/>
      <c r="F1922" s="83">
        <f>SUMIFS(F1923:F6462,K1923:K6462,"0",B1923:B6462,"5 1 1 3 2 12 31111 6 M59 12000 000121*")</f>
        <v>28666.1</v>
      </c>
      <c r="G1922" s="83">
        <f>SUMIFS(G1923:G6462,K1923:K6462,"0",B1923:B6462,"5 1 1 3 2 12 31111 6 M59 12000 000121*")</f>
        <v>0</v>
      </c>
      <c r="H1922" s="83">
        <f t="shared" si="30"/>
        <v>28666.1</v>
      </c>
      <c r="I1922" s="83"/>
      <c r="K1922" s="54" t="s">
        <v>15</v>
      </c>
    </row>
    <row r="1923" spans="2:11" ht="24.75" x14ac:dyDescent="0.2">
      <c r="B1923" s="82" t="s">
        <v>4142</v>
      </c>
      <c r="C1923" s="82" t="s">
        <v>1065</v>
      </c>
      <c r="D1923" s="83">
        <f>SUMIFS(D1924:D6462,K1924:K6462,"0",B1924:B6462,"5 1 1 3 2 12 31111 6 M59 12000 000121 0000E*")-SUMIFS(E1924:E6462,K1924:K6462,"0",B1924:B6462,"5 1 1 3 2 12 31111 6 M59 12000 000121 0000E*")</f>
        <v>0</v>
      </c>
      <c r="E1923" s="54"/>
      <c r="F1923" s="83">
        <f>SUMIFS(F1924:F6462,K1924:K6462,"0",B1924:B6462,"5 1 1 3 2 12 31111 6 M59 12000 000121 0000E*")</f>
        <v>28666.1</v>
      </c>
      <c r="G1923" s="83">
        <f>SUMIFS(G1924:G6462,K1924:K6462,"0",B1924:B6462,"5 1 1 3 2 12 31111 6 M59 12000 000121 0000E*")</f>
        <v>0</v>
      </c>
      <c r="H1923" s="83">
        <f t="shared" si="30"/>
        <v>28666.1</v>
      </c>
      <c r="I1923" s="83"/>
      <c r="K1923" s="54" t="s">
        <v>15</v>
      </c>
    </row>
    <row r="1924" spans="2:11" ht="24.75" x14ac:dyDescent="0.2">
      <c r="B1924" s="82" t="s">
        <v>4143</v>
      </c>
      <c r="C1924" s="82" t="s">
        <v>282</v>
      </c>
      <c r="D1924" s="83">
        <f>SUMIFS(D1925:D6462,K1925:K6462,"0",B1925:B6462,"5 1 1 3 2 12 31111 6 M59 12000 000121 0000E 00001*")-SUMIFS(E1925:E6462,K1925:K6462,"0",B1925:B6462,"5 1 1 3 2 12 31111 6 M59 12000 000121 0000E 00001*")</f>
        <v>0</v>
      </c>
      <c r="E1924" s="54"/>
      <c r="F1924" s="83">
        <f>SUMIFS(F1925:F6462,K1925:K6462,"0",B1925:B6462,"5 1 1 3 2 12 31111 6 M59 12000 000121 0000E 00001*")</f>
        <v>28666.1</v>
      </c>
      <c r="G1924" s="83">
        <f>SUMIFS(G1925:G6462,K1925:K6462,"0",B1925:B6462,"5 1 1 3 2 12 31111 6 M59 12000 000121 0000E 00001*")</f>
        <v>0</v>
      </c>
      <c r="H1924" s="83">
        <f t="shared" si="30"/>
        <v>28666.1</v>
      </c>
      <c r="I1924" s="83"/>
      <c r="K1924" s="54" t="s">
        <v>15</v>
      </c>
    </row>
    <row r="1925" spans="2:11" ht="24.75" x14ac:dyDescent="0.2">
      <c r="B1925" s="82" t="s">
        <v>4144</v>
      </c>
      <c r="C1925" s="82" t="s">
        <v>4041</v>
      </c>
      <c r="D1925" s="83">
        <f>SUMIFS(D1926:D6462,K1926:K6462,"0",B1926:B6462,"5 1 1 3 2 12 31111 6 M59 12000 000121 0000E 00001 00132*")-SUMIFS(E1926:E6462,K1926:K6462,"0",B1926:B6462,"5 1 1 3 2 12 31111 6 M59 12000 000121 0000E 00001 00132*")</f>
        <v>0</v>
      </c>
      <c r="E1925" s="54"/>
      <c r="F1925" s="83">
        <f>SUMIFS(F1926:F6462,K1926:K6462,"0",B1926:B6462,"5 1 1 3 2 12 31111 6 M59 12000 000121 0000E 00001 00132*")</f>
        <v>28666.1</v>
      </c>
      <c r="G1925" s="83">
        <f>SUMIFS(G1926:G6462,K1926:K6462,"0",B1926:B6462,"5 1 1 3 2 12 31111 6 M59 12000 000121 0000E 00001 00132*")</f>
        <v>0</v>
      </c>
      <c r="H1925" s="83">
        <f t="shared" si="30"/>
        <v>28666.1</v>
      </c>
      <c r="I1925" s="83"/>
      <c r="K1925" s="54" t="s">
        <v>15</v>
      </c>
    </row>
    <row r="1926" spans="2:11" ht="33" x14ac:dyDescent="0.2">
      <c r="B1926" s="82" t="s">
        <v>4145</v>
      </c>
      <c r="C1926" s="82" t="s">
        <v>1051</v>
      </c>
      <c r="D1926" s="83">
        <f>SUMIFS(D1927:D6462,K1927:K6462,"0",B1927:B6462,"5 1 1 3 2 12 31111 6 M59 12000 000121 0000E 00001 00132 015*")-SUMIFS(E1927:E6462,K1927:K6462,"0",B1927:B6462,"5 1 1 3 2 12 31111 6 M59 12000 000121 0000E 00001 00132 015*")</f>
        <v>0</v>
      </c>
      <c r="E1926" s="54"/>
      <c r="F1926" s="83">
        <f>SUMIFS(F1927:F6462,K1927:K6462,"0",B1927:B6462,"5 1 1 3 2 12 31111 6 M59 12000 000121 0000E 00001 00132 015*")</f>
        <v>28666.1</v>
      </c>
      <c r="G1926" s="83">
        <f>SUMIFS(G1927:G6462,K1927:K6462,"0",B1927:B6462,"5 1 1 3 2 12 31111 6 M59 12000 000121 0000E 00001 00132 015*")</f>
        <v>0</v>
      </c>
      <c r="H1926" s="83">
        <f t="shared" si="30"/>
        <v>28666.1</v>
      </c>
      <c r="I1926" s="83"/>
      <c r="K1926" s="54" t="s">
        <v>15</v>
      </c>
    </row>
    <row r="1927" spans="2:11" ht="33" x14ac:dyDescent="0.2">
      <c r="B1927" s="82" t="s">
        <v>4146</v>
      </c>
      <c r="C1927" s="82" t="s">
        <v>2927</v>
      </c>
      <c r="D1927" s="83">
        <f>SUMIFS(D1928:D6462,K1928:K6462,"0",B1928:B6462,"5 1 1 3 2 12 31111 6 M59 12000 000121 0000E 00001 00132 015 2111100*")-SUMIFS(E1928:E6462,K1928:K6462,"0",B1928:B6462,"5 1 1 3 2 12 31111 6 M59 12000 000121 0000E 00001 00132 015 2111100*")</f>
        <v>0</v>
      </c>
      <c r="E1927" s="54"/>
      <c r="F1927" s="83">
        <f>SUMIFS(F1928:F6462,K1928:K6462,"0",B1928:B6462,"5 1 1 3 2 12 31111 6 M59 12000 000121 0000E 00001 00132 015 2111100*")</f>
        <v>28666.1</v>
      </c>
      <c r="G1927" s="83">
        <f>SUMIFS(G1928:G6462,K1928:K6462,"0",B1928:B6462,"5 1 1 3 2 12 31111 6 M59 12000 000121 0000E 00001 00132 015 2111100*")</f>
        <v>0</v>
      </c>
      <c r="H1927" s="83">
        <f t="shared" si="30"/>
        <v>28666.1</v>
      </c>
      <c r="I1927" s="83"/>
      <c r="K1927" s="54" t="s">
        <v>15</v>
      </c>
    </row>
    <row r="1928" spans="2:11" ht="33" x14ac:dyDescent="0.2">
      <c r="B1928" s="82" t="s">
        <v>4147</v>
      </c>
      <c r="C1928" s="82" t="s">
        <v>660</v>
      </c>
      <c r="D1928" s="83">
        <f>SUMIFS(D1929:D6462,K1929:K6462,"0",B1929:B6462,"5 1 1 3 2 12 31111 6 M59 12000 000121 0000E 00001 00132 015 2111100 2024*")-SUMIFS(E1929:E6462,K1929:K6462,"0",B1929:B6462,"5 1 1 3 2 12 31111 6 M59 12000 000121 0000E 00001 00132 015 2111100 2024*")</f>
        <v>0</v>
      </c>
      <c r="E1928" s="54"/>
      <c r="F1928" s="83">
        <f>SUMIFS(F1929:F6462,K1929:K6462,"0",B1929:B6462,"5 1 1 3 2 12 31111 6 M59 12000 000121 0000E 00001 00132 015 2111100 2024*")</f>
        <v>28666.1</v>
      </c>
      <c r="G1928" s="83">
        <f>SUMIFS(G1929:G6462,K1929:K6462,"0",B1929:B6462,"5 1 1 3 2 12 31111 6 M59 12000 000121 0000E 00001 00132 015 2111100 2024*")</f>
        <v>0</v>
      </c>
      <c r="H1928" s="83">
        <f t="shared" si="30"/>
        <v>28666.1</v>
      </c>
      <c r="I1928" s="83"/>
      <c r="K1928" s="54" t="s">
        <v>15</v>
      </c>
    </row>
    <row r="1929" spans="2:11" ht="41.25" x14ac:dyDescent="0.2">
      <c r="B1929" s="82" t="s">
        <v>4148</v>
      </c>
      <c r="C1929" s="82" t="s">
        <v>662</v>
      </c>
      <c r="D1929" s="83">
        <f>SUMIFS(D1930:D6462,K1930:K6462,"0",B1930:B6462,"5 1 1 3 2 12 31111 6 M59 12000 000121 0000E 00001 00132 015 2111100 2024 CP1CI591*")-SUMIFS(E1930:E6462,K1930:K6462,"0",B1930:B6462,"5 1 1 3 2 12 31111 6 M59 12000 000121 0000E 00001 00132 015 2111100 2024 CP1CI591*")</f>
        <v>0</v>
      </c>
      <c r="E1929" s="54"/>
      <c r="F1929" s="83">
        <f>SUMIFS(F1930:F6462,K1930:K6462,"0",B1930:B6462,"5 1 1 3 2 12 31111 6 M59 12000 000121 0000E 00001 00132 015 2111100 2024 CP1CI591*")</f>
        <v>28666.1</v>
      </c>
      <c r="G1929" s="83">
        <f>SUMIFS(G1930:G6462,K1930:K6462,"0",B1930:B6462,"5 1 1 3 2 12 31111 6 M59 12000 000121 0000E 00001 00132 015 2111100 2024 CP1CI591*")</f>
        <v>0</v>
      </c>
      <c r="H1929" s="83">
        <f t="shared" si="30"/>
        <v>28666.1</v>
      </c>
      <c r="I1929" s="83"/>
      <c r="K1929" s="54" t="s">
        <v>15</v>
      </c>
    </row>
    <row r="1930" spans="2:11" ht="41.25" x14ac:dyDescent="0.2">
      <c r="B1930" s="82" t="s">
        <v>4149</v>
      </c>
      <c r="C1930" s="82" t="s">
        <v>282</v>
      </c>
      <c r="D1930" s="83">
        <f>SUMIFS(D1931:D6462,K1931:K6462,"0",B1931:B6462,"5 1 1 3 2 12 31111 6 M59 12000 000121 0000E 00001 00132 015 2111100 2024 CP1CI591 001*")-SUMIFS(E1931:E6462,K1931:K6462,"0",B1931:B6462,"5 1 1 3 2 12 31111 6 M59 12000 000121 0000E 00001 00132 015 2111100 2024 CP1CI591 001*")</f>
        <v>0</v>
      </c>
      <c r="E1930" s="54"/>
      <c r="F1930" s="83">
        <f>SUMIFS(F1931:F6462,K1931:K6462,"0",B1931:B6462,"5 1 1 3 2 12 31111 6 M59 12000 000121 0000E 00001 00132 015 2111100 2024 CP1CI591 001*")</f>
        <v>28666.1</v>
      </c>
      <c r="G1930" s="83">
        <f>SUMIFS(G1931:G6462,K1931:K6462,"0",B1931:B6462,"5 1 1 3 2 12 31111 6 M59 12000 000121 0000E 00001 00132 015 2111100 2024 CP1CI591 001*")</f>
        <v>0</v>
      </c>
      <c r="H1930" s="83">
        <f t="shared" si="30"/>
        <v>28666.1</v>
      </c>
      <c r="I1930" s="83"/>
      <c r="K1930" s="54" t="s">
        <v>15</v>
      </c>
    </row>
    <row r="1931" spans="2:11" ht="33" x14ac:dyDescent="0.2">
      <c r="B1931" s="84" t="s">
        <v>4150</v>
      </c>
      <c r="C1931" s="84" t="s">
        <v>1519</v>
      </c>
      <c r="D1931" s="85">
        <v>0</v>
      </c>
      <c r="E1931" s="85"/>
      <c r="F1931" s="85">
        <v>28666.1</v>
      </c>
      <c r="G1931" s="85">
        <v>0</v>
      </c>
      <c r="H1931" s="85">
        <f t="shared" si="30"/>
        <v>28666.1</v>
      </c>
      <c r="I1931" s="85"/>
      <c r="K1931" s="54" t="s">
        <v>38</v>
      </c>
    </row>
    <row r="1932" spans="2:11" ht="24.75" x14ac:dyDescent="0.2">
      <c r="B1932" s="82" t="s">
        <v>4151</v>
      </c>
      <c r="C1932" s="82" t="s">
        <v>3045</v>
      </c>
      <c r="D1932" s="83">
        <f>SUMIFS(D1933:D6462,K1933:K6462,"0",B1933:B6462,"5 1 1 3 2 12 31111 6 M59 12100*")-SUMIFS(E1933:E6462,K1933:K6462,"0",B1933:B6462,"5 1 1 3 2 12 31111 6 M59 12100*")</f>
        <v>0</v>
      </c>
      <c r="E1932" s="54"/>
      <c r="F1932" s="83">
        <f>SUMIFS(F1933:F6462,K1933:K6462,"0",B1933:B6462,"5 1 1 3 2 12 31111 6 M59 12100*")</f>
        <v>10797.72</v>
      </c>
      <c r="G1932" s="83">
        <f>SUMIFS(G1933:G6462,K1933:K6462,"0",B1933:B6462,"5 1 1 3 2 12 31111 6 M59 12100*")</f>
        <v>0</v>
      </c>
      <c r="H1932" s="83">
        <f t="shared" si="30"/>
        <v>10797.72</v>
      </c>
      <c r="I1932" s="83"/>
      <c r="K1932" s="54" t="s">
        <v>15</v>
      </c>
    </row>
    <row r="1933" spans="2:11" ht="16.5" x14ac:dyDescent="0.2">
      <c r="B1933" s="82" t="s">
        <v>4152</v>
      </c>
      <c r="C1933" s="82" t="s">
        <v>648</v>
      </c>
      <c r="D1933" s="83">
        <f>SUMIFS(D1934:D6462,K1934:K6462,"0",B1934:B6462,"5 1 1 3 2 12 31111 6 M59 12100 000132*")-SUMIFS(E1934:E6462,K1934:K6462,"0",B1934:B6462,"5 1 1 3 2 12 31111 6 M59 12100 000132*")</f>
        <v>0</v>
      </c>
      <c r="E1933" s="54"/>
      <c r="F1933" s="83">
        <f>SUMIFS(F1934:F6462,K1934:K6462,"0",B1934:B6462,"5 1 1 3 2 12 31111 6 M59 12100 000132*")</f>
        <v>10797.72</v>
      </c>
      <c r="G1933" s="83">
        <f>SUMIFS(G1934:G6462,K1934:K6462,"0",B1934:B6462,"5 1 1 3 2 12 31111 6 M59 12100 000132*")</f>
        <v>0</v>
      </c>
      <c r="H1933" s="83">
        <f t="shared" si="30"/>
        <v>10797.72</v>
      </c>
      <c r="I1933" s="83"/>
      <c r="K1933" s="54" t="s">
        <v>15</v>
      </c>
    </row>
    <row r="1934" spans="2:11" ht="24.75" x14ac:dyDescent="0.2">
      <c r="B1934" s="82" t="s">
        <v>4153</v>
      </c>
      <c r="C1934" s="82" t="s">
        <v>650</v>
      </c>
      <c r="D1934" s="83">
        <f>SUMIFS(D1935:D6462,K1935:K6462,"0",B1935:B6462,"5 1 1 3 2 12 31111 6 M59 12100 000132 0000R*")-SUMIFS(E1935:E6462,K1935:K6462,"0",B1935:B6462,"5 1 1 3 2 12 31111 6 M59 12100 000132 0000R*")</f>
        <v>0</v>
      </c>
      <c r="E1934" s="54"/>
      <c r="F1934" s="83">
        <f>SUMIFS(F1935:F6462,K1935:K6462,"0",B1935:B6462,"5 1 1 3 2 12 31111 6 M59 12100 000132 0000R*")</f>
        <v>10797.72</v>
      </c>
      <c r="G1934" s="83">
        <f>SUMIFS(G1935:G6462,K1935:K6462,"0",B1935:B6462,"5 1 1 3 2 12 31111 6 M59 12100 000132 0000R*")</f>
        <v>0</v>
      </c>
      <c r="H1934" s="83">
        <f t="shared" si="30"/>
        <v>10797.72</v>
      </c>
      <c r="I1934" s="83"/>
      <c r="K1934" s="54" t="s">
        <v>15</v>
      </c>
    </row>
    <row r="1935" spans="2:11" ht="24.75" x14ac:dyDescent="0.2">
      <c r="B1935" s="82" t="s">
        <v>4154</v>
      </c>
      <c r="C1935" s="82" t="s">
        <v>282</v>
      </c>
      <c r="D1935" s="83">
        <f>SUMIFS(D1936:D6462,K1936:K6462,"0",B1936:B6462,"5 1 1 3 2 12 31111 6 M59 12100 000132 0000R 00001*")-SUMIFS(E1936:E6462,K1936:K6462,"0",B1936:B6462,"5 1 1 3 2 12 31111 6 M59 12100 000132 0000R 00001*")</f>
        <v>0</v>
      </c>
      <c r="E1935" s="54"/>
      <c r="F1935" s="83">
        <f>SUMIFS(F1936:F6462,K1936:K6462,"0",B1936:B6462,"5 1 1 3 2 12 31111 6 M59 12100 000132 0000R 00001*")</f>
        <v>10797.72</v>
      </c>
      <c r="G1935" s="83">
        <f>SUMIFS(G1936:G6462,K1936:K6462,"0",B1936:B6462,"5 1 1 3 2 12 31111 6 M59 12100 000132 0000R 00001*")</f>
        <v>0</v>
      </c>
      <c r="H1935" s="83">
        <f t="shared" si="30"/>
        <v>10797.72</v>
      </c>
      <c r="I1935" s="83"/>
      <c r="K1935" s="54" t="s">
        <v>15</v>
      </c>
    </row>
    <row r="1936" spans="2:11" ht="24.75" x14ac:dyDescent="0.2">
      <c r="B1936" s="82" t="s">
        <v>4155</v>
      </c>
      <c r="C1936" s="82" t="s">
        <v>4041</v>
      </c>
      <c r="D1936" s="83">
        <f>SUMIFS(D1937:D6462,K1937:K6462,"0",B1937:B6462,"5 1 1 3 2 12 31111 6 M59 12100 000132 0000R 00001 00132*")-SUMIFS(E1937:E6462,K1937:K6462,"0",B1937:B6462,"5 1 1 3 2 12 31111 6 M59 12100 000132 0000R 00001 00132*")</f>
        <v>0</v>
      </c>
      <c r="E1936" s="54"/>
      <c r="F1936" s="83">
        <f>SUMIFS(F1937:F6462,K1937:K6462,"0",B1937:B6462,"5 1 1 3 2 12 31111 6 M59 12100 000132 0000R 00001 00132*")</f>
        <v>10797.72</v>
      </c>
      <c r="G1936" s="83">
        <f>SUMIFS(G1937:G6462,K1937:K6462,"0",B1937:B6462,"5 1 1 3 2 12 31111 6 M59 12100 000132 0000R 00001 00132*")</f>
        <v>0</v>
      </c>
      <c r="H1936" s="83">
        <f t="shared" si="30"/>
        <v>10797.72</v>
      </c>
      <c r="I1936" s="83"/>
      <c r="K1936" s="54" t="s">
        <v>15</v>
      </c>
    </row>
    <row r="1937" spans="2:11" ht="33" x14ac:dyDescent="0.2">
      <c r="B1937" s="82" t="s">
        <v>4156</v>
      </c>
      <c r="C1937" s="82" t="s">
        <v>1051</v>
      </c>
      <c r="D1937" s="83">
        <f>SUMIFS(D1938:D6462,K1938:K6462,"0",B1938:B6462,"5 1 1 3 2 12 31111 6 M59 12100 000132 0000R 00001 00132 015*")-SUMIFS(E1938:E6462,K1938:K6462,"0",B1938:B6462,"5 1 1 3 2 12 31111 6 M59 12100 000132 0000R 00001 00132 015*")</f>
        <v>0</v>
      </c>
      <c r="E1937" s="54"/>
      <c r="F1937" s="83">
        <f>SUMIFS(F1938:F6462,K1938:K6462,"0",B1938:B6462,"5 1 1 3 2 12 31111 6 M59 12100 000132 0000R 00001 00132 015*")</f>
        <v>10797.72</v>
      </c>
      <c r="G1937" s="83">
        <f>SUMIFS(G1938:G6462,K1938:K6462,"0",B1938:B6462,"5 1 1 3 2 12 31111 6 M59 12100 000132 0000R 00001 00132 015*")</f>
        <v>0</v>
      </c>
      <c r="H1937" s="83">
        <f t="shared" si="30"/>
        <v>10797.72</v>
      </c>
      <c r="I1937" s="83"/>
      <c r="K1937" s="54" t="s">
        <v>15</v>
      </c>
    </row>
    <row r="1938" spans="2:11" ht="33" x14ac:dyDescent="0.2">
      <c r="B1938" s="82" t="s">
        <v>4157</v>
      </c>
      <c r="C1938" s="82" t="s">
        <v>2927</v>
      </c>
      <c r="D1938" s="83">
        <f>SUMIFS(D1939:D6462,K1939:K6462,"0",B1939:B6462,"5 1 1 3 2 12 31111 6 M59 12100 000132 0000R 00001 00132 015 2111100*")-SUMIFS(E1939:E6462,K1939:K6462,"0",B1939:B6462,"5 1 1 3 2 12 31111 6 M59 12100 000132 0000R 00001 00132 015 2111100*")</f>
        <v>0</v>
      </c>
      <c r="E1938" s="54"/>
      <c r="F1938" s="83">
        <f>SUMIFS(F1939:F6462,K1939:K6462,"0",B1939:B6462,"5 1 1 3 2 12 31111 6 M59 12100 000132 0000R 00001 00132 015 2111100*")</f>
        <v>10797.72</v>
      </c>
      <c r="G1938" s="83">
        <f>SUMIFS(G1939:G6462,K1939:K6462,"0",B1939:B6462,"5 1 1 3 2 12 31111 6 M59 12100 000132 0000R 00001 00132 015 2111100*")</f>
        <v>0</v>
      </c>
      <c r="H1938" s="83">
        <f t="shared" si="30"/>
        <v>10797.72</v>
      </c>
      <c r="I1938" s="83"/>
      <c r="K1938" s="54" t="s">
        <v>15</v>
      </c>
    </row>
    <row r="1939" spans="2:11" ht="33" x14ac:dyDescent="0.2">
      <c r="B1939" s="82" t="s">
        <v>4158</v>
      </c>
      <c r="C1939" s="82" t="s">
        <v>660</v>
      </c>
      <c r="D1939" s="83">
        <f>SUMIFS(D1940:D6462,K1940:K6462,"0",B1940:B6462,"5 1 1 3 2 12 31111 6 M59 12100 000132 0000R 00001 00132 015 2111100 2024*")-SUMIFS(E1940:E6462,K1940:K6462,"0",B1940:B6462,"5 1 1 3 2 12 31111 6 M59 12100 000132 0000R 00001 00132 015 2111100 2024*")</f>
        <v>0</v>
      </c>
      <c r="E1939" s="54"/>
      <c r="F1939" s="83">
        <f>SUMIFS(F1940:F6462,K1940:K6462,"0",B1940:B6462,"5 1 1 3 2 12 31111 6 M59 12100 000132 0000R 00001 00132 015 2111100 2024*")</f>
        <v>10797.72</v>
      </c>
      <c r="G1939" s="83">
        <f>SUMIFS(G1940:G6462,K1940:K6462,"0",B1940:B6462,"5 1 1 3 2 12 31111 6 M59 12100 000132 0000R 00001 00132 015 2111100 2024*")</f>
        <v>0</v>
      </c>
      <c r="H1939" s="83">
        <f t="shared" si="30"/>
        <v>10797.72</v>
      </c>
      <c r="I1939" s="83"/>
      <c r="K1939" s="54" t="s">
        <v>15</v>
      </c>
    </row>
    <row r="1940" spans="2:11" ht="41.25" x14ac:dyDescent="0.2">
      <c r="B1940" s="82" t="s">
        <v>4159</v>
      </c>
      <c r="C1940" s="82" t="s">
        <v>1056</v>
      </c>
      <c r="D1940" s="83">
        <f>SUMIFS(D1941:D6462,K1941:K6462,"0",B1941:B6462,"5 1 1 3 2 12 31111 6 M59 12100 000132 0000R 00001 00132 015 2111100 2024 CP1TR430*")-SUMIFS(E1941:E6462,K1941:K6462,"0",B1941:B6462,"5 1 1 3 2 12 31111 6 M59 12100 000132 0000R 00001 00132 015 2111100 2024 CP1TR430*")</f>
        <v>0</v>
      </c>
      <c r="E1940" s="54"/>
      <c r="F1940" s="83">
        <f>SUMIFS(F1941:F6462,K1941:K6462,"0",B1941:B6462,"5 1 1 3 2 12 31111 6 M59 12100 000132 0000R 00001 00132 015 2111100 2024 CP1TR430*")</f>
        <v>10797.72</v>
      </c>
      <c r="G1940" s="83">
        <f>SUMIFS(G1941:G6462,K1941:K6462,"0",B1941:B6462,"5 1 1 3 2 12 31111 6 M59 12100 000132 0000R 00001 00132 015 2111100 2024 CP1TR430*")</f>
        <v>0</v>
      </c>
      <c r="H1940" s="83">
        <f t="shared" si="30"/>
        <v>10797.72</v>
      </c>
      <c r="I1940" s="83"/>
      <c r="K1940" s="54" t="s">
        <v>15</v>
      </c>
    </row>
    <row r="1941" spans="2:11" ht="41.25" x14ac:dyDescent="0.2">
      <c r="B1941" s="82" t="s">
        <v>4160</v>
      </c>
      <c r="C1941" s="82" t="s">
        <v>282</v>
      </c>
      <c r="D1941" s="83">
        <f>SUMIFS(D1942:D6462,K1942:K6462,"0",B1942:B6462,"5 1 1 3 2 12 31111 6 M59 12100 000132 0000R 00001 00132 015 2111100 2024 CP1TR430 001*")-SUMIFS(E1942:E6462,K1942:K6462,"0",B1942:B6462,"5 1 1 3 2 12 31111 6 M59 12100 000132 0000R 00001 00132 015 2111100 2024 CP1TR430 001*")</f>
        <v>0</v>
      </c>
      <c r="E1941" s="54"/>
      <c r="F1941" s="83">
        <f>SUMIFS(F1942:F6462,K1942:K6462,"0",B1942:B6462,"5 1 1 3 2 12 31111 6 M59 12100 000132 0000R 00001 00132 015 2111100 2024 CP1TR430 001*")</f>
        <v>10797.72</v>
      </c>
      <c r="G1941" s="83">
        <f>SUMIFS(G1942:G6462,K1942:K6462,"0",B1942:B6462,"5 1 1 3 2 12 31111 6 M59 12100 000132 0000R 00001 00132 015 2111100 2024 CP1TR430 001*")</f>
        <v>0</v>
      </c>
      <c r="H1941" s="83">
        <f t="shared" si="30"/>
        <v>10797.72</v>
      </c>
      <c r="I1941" s="83"/>
      <c r="K1941" s="54" t="s">
        <v>15</v>
      </c>
    </row>
    <row r="1942" spans="2:11" ht="33" x14ac:dyDescent="0.2">
      <c r="B1942" s="84" t="s">
        <v>4161</v>
      </c>
      <c r="C1942" s="84" t="s">
        <v>1519</v>
      </c>
      <c r="D1942" s="85">
        <v>0</v>
      </c>
      <c r="E1942" s="85"/>
      <c r="F1942" s="85">
        <v>10797.72</v>
      </c>
      <c r="G1942" s="85">
        <v>0</v>
      </c>
      <c r="H1942" s="85">
        <f t="shared" si="30"/>
        <v>10797.72</v>
      </c>
      <c r="I1942" s="85"/>
      <c r="K1942" s="54" t="s">
        <v>38</v>
      </c>
    </row>
    <row r="1943" spans="2:11" ht="16.5" x14ac:dyDescent="0.2">
      <c r="B1943" s="82" t="s">
        <v>4162</v>
      </c>
      <c r="C1943" s="82" t="s">
        <v>1044</v>
      </c>
      <c r="D1943" s="83">
        <f>SUMIFS(D1944:D6462,K1944:K6462,"0",B1944:B6462,"5 1 1 3 2 12 31111 6 M59 19000*")-SUMIFS(E1944:E6462,K1944:K6462,"0",B1944:B6462,"5 1 1 3 2 12 31111 6 M59 19000*")</f>
        <v>0</v>
      </c>
      <c r="E1943" s="54"/>
      <c r="F1943" s="83">
        <f>SUMIFS(F1944:F6462,K1944:K6462,"0",B1944:B6462,"5 1 1 3 2 12 31111 6 M59 19000*")</f>
        <v>55177.16</v>
      </c>
      <c r="G1943" s="83">
        <f>SUMIFS(G1944:G6462,K1944:K6462,"0",B1944:B6462,"5 1 1 3 2 12 31111 6 M59 19000*")</f>
        <v>0</v>
      </c>
      <c r="H1943" s="83">
        <f t="shared" si="30"/>
        <v>55177.16</v>
      </c>
      <c r="I1943" s="83"/>
      <c r="K1943" s="54" t="s">
        <v>15</v>
      </c>
    </row>
    <row r="1944" spans="2:11" ht="16.5" x14ac:dyDescent="0.2">
      <c r="B1944" s="82" t="s">
        <v>4163</v>
      </c>
      <c r="C1944" s="82" t="s">
        <v>648</v>
      </c>
      <c r="D1944" s="83">
        <f>SUMIFS(D1945:D6462,K1945:K6462,"0",B1945:B6462,"5 1 1 3 2 12 31111 6 M59 19000 000132*")-SUMIFS(E1945:E6462,K1945:K6462,"0",B1945:B6462,"5 1 1 3 2 12 31111 6 M59 19000 000132*")</f>
        <v>0</v>
      </c>
      <c r="E1944" s="54"/>
      <c r="F1944" s="83">
        <f>SUMIFS(F1945:F6462,K1945:K6462,"0",B1945:B6462,"5 1 1 3 2 12 31111 6 M59 19000 000132*")</f>
        <v>55177.16</v>
      </c>
      <c r="G1944" s="83">
        <f>SUMIFS(G1945:G6462,K1945:K6462,"0",B1945:B6462,"5 1 1 3 2 12 31111 6 M59 19000 000132*")</f>
        <v>0</v>
      </c>
      <c r="H1944" s="83">
        <f t="shared" si="30"/>
        <v>55177.16</v>
      </c>
      <c r="I1944" s="83"/>
      <c r="K1944" s="54" t="s">
        <v>15</v>
      </c>
    </row>
    <row r="1945" spans="2:11" ht="24.75" x14ac:dyDescent="0.2">
      <c r="B1945" s="82" t="s">
        <v>4164</v>
      </c>
      <c r="C1945" s="82" t="s">
        <v>650</v>
      </c>
      <c r="D1945" s="83">
        <f>SUMIFS(D1946:D6462,K1946:K6462,"0",B1946:B6462,"5 1 1 3 2 12 31111 6 M59 19000 000132 0000R*")-SUMIFS(E1946:E6462,K1946:K6462,"0",B1946:B6462,"5 1 1 3 2 12 31111 6 M59 19000 000132 0000R*")</f>
        <v>0</v>
      </c>
      <c r="E1945" s="54"/>
      <c r="F1945" s="83">
        <f>SUMIFS(F1946:F6462,K1946:K6462,"0",B1946:B6462,"5 1 1 3 2 12 31111 6 M59 19000 000132 0000R*")</f>
        <v>55177.16</v>
      </c>
      <c r="G1945" s="83">
        <f>SUMIFS(G1946:G6462,K1946:K6462,"0",B1946:B6462,"5 1 1 3 2 12 31111 6 M59 19000 000132 0000R*")</f>
        <v>0</v>
      </c>
      <c r="H1945" s="83">
        <f t="shared" si="30"/>
        <v>55177.16</v>
      </c>
      <c r="I1945" s="83"/>
      <c r="K1945" s="54" t="s">
        <v>15</v>
      </c>
    </row>
    <row r="1946" spans="2:11" ht="24.75" x14ac:dyDescent="0.2">
      <c r="B1946" s="82" t="s">
        <v>4165</v>
      </c>
      <c r="C1946" s="82" t="s">
        <v>282</v>
      </c>
      <c r="D1946" s="83">
        <f>SUMIFS(D1947:D6462,K1947:K6462,"0",B1947:B6462,"5 1 1 3 2 12 31111 6 M59 19000 000132 0000R 00001*")-SUMIFS(E1947:E6462,K1947:K6462,"0",B1947:B6462,"5 1 1 3 2 12 31111 6 M59 19000 000132 0000R 00001*")</f>
        <v>0</v>
      </c>
      <c r="E1946" s="54"/>
      <c r="F1946" s="83">
        <f>SUMIFS(F1947:F6462,K1947:K6462,"0",B1947:B6462,"5 1 1 3 2 12 31111 6 M59 19000 000132 0000R 00001*")</f>
        <v>55177.16</v>
      </c>
      <c r="G1946" s="83">
        <f>SUMIFS(G1947:G6462,K1947:K6462,"0",B1947:B6462,"5 1 1 3 2 12 31111 6 M59 19000 000132 0000R 00001*")</f>
        <v>0</v>
      </c>
      <c r="H1946" s="83">
        <f t="shared" si="30"/>
        <v>55177.16</v>
      </c>
      <c r="I1946" s="83"/>
      <c r="K1946" s="54" t="s">
        <v>15</v>
      </c>
    </row>
    <row r="1947" spans="2:11" ht="24.75" x14ac:dyDescent="0.2">
      <c r="B1947" s="82" t="s">
        <v>4166</v>
      </c>
      <c r="C1947" s="82" t="s">
        <v>4041</v>
      </c>
      <c r="D1947" s="83">
        <f>SUMIFS(D1948:D6462,K1948:K6462,"0",B1948:B6462,"5 1 1 3 2 12 31111 6 M59 19000 000132 0000R 00001 00132*")-SUMIFS(E1948:E6462,K1948:K6462,"0",B1948:B6462,"5 1 1 3 2 12 31111 6 M59 19000 000132 0000R 00001 00132*")</f>
        <v>0</v>
      </c>
      <c r="E1947" s="54"/>
      <c r="F1947" s="83">
        <f>SUMIFS(F1948:F6462,K1948:K6462,"0",B1948:B6462,"5 1 1 3 2 12 31111 6 M59 19000 000132 0000R 00001 00132*")</f>
        <v>55177.16</v>
      </c>
      <c r="G1947" s="83">
        <f>SUMIFS(G1948:G6462,K1948:K6462,"0",B1948:B6462,"5 1 1 3 2 12 31111 6 M59 19000 000132 0000R 00001 00132*")</f>
        <v>0</v>
      </c>
      <c r="H1947" s="83">
        <f t="shared" si="30"/>
        <v>55177.16</v>
      </c>
      <c r="I1947" s="83"/>
      <c r="K1947" s="54" t="s">
        <v>15</v>
      </c>
    </row>
    <row r="1948" spans="2:11" ht="33" x14ac:dyDescent="0.2">
      <c r="B1948" s="82" t="s">
        <v>4167</v>
      </c>
      <c r="C1948" s="82" t="s">
        <v>1051</v>
      </c>
      <c r="D1948" s="83">
        <f>SUMIFS(D1949:D6462,K1949:K6462,"0",B1949:B6462,"5 1 1 3 2 12 31111 6 M59 19000 000132 0000R 00001 00132 015*")-SUMIFS(E1949:E6462,K1949:K6462,"0",B1949:B6462,"5 1 1 3 2 12 31111 6 M59 19000 000132 0000R 00001 00132 015*")</f>
        <v>0</v>
      </c>
      <c r="E1948" s="54"/>
      <c r="F1948" s="83">
        <f>SUMIFS(F1949:F6462,K1949:K6462,"0",B1949:B6462,"5 1 1 3 2 12 31111 6 M59 19000 000132 0000R 00001 00132 015*")</f>
        <v>55177.16</v>
      </c>
      <c r="G1948" s="83">
        <f>SUMIFS(G1949:G6462,K1949:K6462,"0",B1949:B6462,"5 1 1 3 2 12 31111 6 M59 19000 000132 0000R 00001 00132 015*")</f>
        <v>0</v>
      </c>
      <c r="H1948" s="83">
        <f t="shared" si="30"/>
        <v>55177.16</v>
      </c>
      <c r="I1948" s="83"/>
      <c r="K1948" s="54" t="s">
        <v>15</v>
      </c>
    </row>
    <row r="1949" spans="2:11" ht="33" x14ac:dyDescent="0.2">
      <c r="B1949" s="82" t="s">
        <v>4168</v>
      </c>
      <c r="C1949" s="82" t="s">
        <v>2927</v>
      </c>
      <c r="D1949" s="83">
        <f>SUMIFS(D1950:D6462,K1950:K6462,"0",B1950:B6462,"5 1 1 3 2 12 31111 6 M59 19000 000132 0000R 00001 00132 015 2111100*")-SUMIFS(E1950:E6462,K1950:K6462,"0",B1950:B6462,"5 1 1 3 2 12 31111 6 M59 19000 000132 0000R 00001 00132 015 2111100*")</f>
        <v>0</v>
      </c>
      <c r="E1949" s="54"/>
      <c r="F1949" s="83">
        <f>SUMIFS(F1950:F6462,K1950:K6462,"0",B1950:B6462,"5 1 1 3 2 12 31111 6 M59 19000 000132 0000R 00001 00132 015 2111100*")</f>
        <v>55177.16</v>
      </c>
      <c r="G1949" s="83">
        <f>SUMIFS(G1950:G6462,K1950:K6462,"0",B1950:B6462,"5 1 1 3 2 12 31111 6 M59 19000 000132 0000R 00001 00132 015 2111100*")</f>
        <v>0</v>
      </c>
      <c r="H1949" s="83">
        <f t="shared" si="30"/>
        <v>55177.16</v>
      </c>
      <c r="I1949" s="83"/>
      <c r="K1949" s="54" t="s">
        <v>15</v>
      </c>
    </row>
    <row r="1950" spans="2:11" ht="33" x14ac:dyDescent="0.2">
      <c r="B1950" s="82" t="s">
        <v>4169</v>
      </c>
      <c r="C1950" s="82" t="s">
        <v>660</v>
      </c>
      <c r="D1950" s="83">
        <f>SUMIFS(D1951:D6462,K1951:K6462,"0",B1951:B6462,"5 1 1 3 2 12 31111 6 M59 19000 000132 0000R 00001 00132 015 2111100 2024*")-SUMIFS(E1951:E6462,K1951:K6462,"0",B1951:B6462,"5 1 1 3 2 12 31111 6 M59 19000 000132 0000R 00001 00132 015 2111100 2024*")</f>
        <v>0</v>
      </c>
      <c r="E1950" s="54"/>
      <c r="F1950" s="83">
        <f>SUMIFS(F1951:F6462,K1951:K6462,"0",B1951:B6462,"5 1 1 3 2 12 31111 6 M59 19000 000132 0000R 00001 00132 015 2111100 2024*")</f>
        <v>55177.16</v>
      </c>
      <c r="G1950" s="83">
        <f>SUMIFS(G1951:G6462,K1951:K6462,"0",B1951:B6462,"5 1 1 3 2 12 31111 6 M59 19000 000132 0000R 00001 00132 015 2111100 2024*")</f>
        <v>0</v>
      </c>
      <c r="H1950" s="83">
        <f t="shared" si="30"/>
        <v>55177.16</v>
      </c>
      <c r="I1950" s="83"/>
      <c r="K1950" s="54" t="s">
        <v>15</v>
      </c>
    </row>
    <row r="1951" spans="2:11" ht="41.25" x14ac:dyDescent="0.2">
      <c r="B1951" s="82" t="s">
        <v>4170</v>
      </c>
      <c r="C1951" s="82" t="s">
        <v>662</v>
      </c>
      <c r="D1951" s="83">
        <f>SUMIFS(D1952:D6462,K1952:K6462,"0",B1952:B6462,"5 1 1 3 2 12 31111 6 M59 19000 000132 0000R 00001 00132 015 2111100 2024 CP1TM440*")-SUMIFS(E1952:E6462,K1952:K6462,"0",B1952:B6462,"5 1 1 3 2 12 31111 6 M59 19000 000132 0000R 00001 00132 015 2111100 2024 CP1TM440*")</f>
        <v>0</v>
      </c>
      <c r="E1951" s="54"/>
      <c r="F1951" s="83">
        <f>SUMIFS(F1952:F6462,K1952:K6462,"0",B1952:B6462,"5 1 1 3 2 12 31111 6 M59 19000 000132 0000R 00001 00132 015 2111100 2024 CP1TM440*")</f>
        <v>55177.16</v>
      </c>
      <c r="G1951" s="83">
        <f>SUMIFS(G1952:G6462,K1952:K6462,"0",B1952:B6462,"5 1 1 3 2 12 31111 6 M59 19000 000132 0000R 00001 00132 015 2111100 2024 CP1TM440*")</f>
        <v>0</v>
      </c>
      <c r="H1951" s="83">
        <f t="shared" si="30"/>
        <v>55177.16</v>
      </c>
      <c r="I1951" s="83"/>
      <c r="K1951" s="54" t="s">
        <v>15</v>
      </c>
    </row>
    <row r="1952" spans="2:11" ht="41.25" x14ac:dyDescent="0.2">
      <c r="B1952" s="82" t="s">
        <v>4171</v>
      </c>
      <c r="C1952" s="82" t="s">
        <v>282</v>
      </c>
      <c r="D1952" s="83">
        <f>SUMIFS(D1953:D6462,K1953:K6462,"0",B1953:B6462,"5 1 1 3 2 12 31111 6 M59 19000 000132 0000R 00001 00132 015 2111100 2024 CP1TM440 001*")-SUMIFS(E1953:E6462,K1953:K6462,"0",B1953:B6462,"5 1 1 3 2 12 31111 6 M59 19000 000132 0000R 00001 00132 015 2111100 2024 CP1TM440 001*")</f>
        <v>0</v>
      </c>
      <c r="E1952" s="54"/>
      <c r="F1952" s="83">
        <f>SUMIFS(F1953:F6462,K1953:K6462,"0",B1953:B6462,"5 1 1 3 2 12 31111 6 M59 19000 000132 0000R 00001 00132 015 2111100 2024 CP1TM440 001*")</f>
        <v>55177.16</v>
      </c>
      <c r="G1952" s="83">
        <f>SUMIFS(G1953:G6462,K1953:K6462,"0",B1953:B6462,"5 1 1 3 2 12 31111 6 M59 19000 000132 0000R 00001 00132 015 2111100 2024 CP1TM440 001*")</f>
        <v>0</v>
      </c>
      <c r="H1952" s="83">
        <f t="shared" si="30"/>
        <v>55177.16</v>
      </c>
      <c r="I1952" s="83"/>
      <c r="K1952" s="54" t="s">
        <v>15</v>
      </c>
    </row>
    <row r="1953" spans="2:11" ht="33" x14ac:dyDescent="0.2">
      <c r="B1953" s="84" t="s">
        <v>4172</v>
      </c>
      <c r="C1953" s="84" t="s">
        <v>1519</v>
      </c>
      <c r="D1953" s="85">
        <v>0</v>
      </c>
      <c r="E1953" s="85"/>
      <c r="F1953" s="85">
        <v>55177.16</v>
      </c>
      <c r="G1953" s="85">
        <v>0</v>
      </c>
      <c r="H1953" s="85">
        <f t="shared" si="30"/>
        <v>55177.16</v>
      </c>
      <c r="I1953" s="85"/>
      <c r="K1953" s="54" t="s">
        <v>38</v>
      </c>
    </row>
    <row r="1954" spans="2:11" ht="16.5" x14ac:dyDescent="0.2">
      <c r="B1954" s="82" t="s">
        <v>4173</v>
      </c>
      <c r="C1954" s="82" t="s">
        <v>1044</v>
      </c>
      <c r="D1954" s="83">
        <f>SUMIFS(D1955:D6462,K1955:K6462,"0",B1955:B6462,"5 1 1 3 2 12 31111 6 M59 20000*")-SUMIFS(E1955:E6462,K1955:K6462,"0",B1955:B6462,"5 1 1 3 2 12 31111 6 M59 20000*")</f>
        <v>0</v>
      </c>
      <c r="E1954" s="54"/>
      <c r="F1954" s="83">
        <f>SUMIFS(F1955:F6462,K1955:K6462,"0",B1955:B6462,"5 1 1 3 2 12 31111 6 M59 20000*")</f>
        <v>3052</v>
      </c>
      <c r="G1954" s="83">
        <f>SUMIFS(G1955:G6462,K1955:K6462,"0",B1955:B6462,"5 1 1 3 2 12 31111 6 M59 20000*")</f>
        <v>0</v>
      </c>
      <c r="H1954" s="83">
        <f t="shared" si="30"/>
        <v>3052</v>
      </c>
      <c r="I1954" s="83"/>
      <c r="K1954" s="54" t="s">
        <v>15</v>
      </c>
    </row>
    <row r="1955" spans="2:11" ht="16.5" x14ac:dyDescent="0.2">
      <c r="B1955" s="82" t="s">
        <v>4174</v>
      </c>
      <c r="C1955" s="82" t="s">
        <v>648</v>
      </c>
      <c r="D1955" s="83">
        <f>SUMIFS(D1956:D6462,K1956:K6462,"0",B1956:B6462,"5 1 1 3 2 12 31111 6 M59 20000 000132*")-SUMIFS(E1956:E6462,K1956:K6462,"0",B1956:B6462,"5 1 1 3 2 12 31111 6 M59 20000 000132*")</f>
        <v>0</v>
      </c>
      <c r="E1955" s="54"/>
      <c r="F1955" s="83">
        <f>SUMIFS(F1956:F6462,K1956:K6462,"0",B1956:B6462,"5 1 1 3 2 12 31111 6 M59 20000 000132*")</f>
        <v>3052</v>
      </c>
      <c r="G1955" s="83">
        <f>SUMIFS(G1956:G6462,K1956:K6462,"0",B1956:B6462,"5 1 1 3 2 12 31111 6 M59 20000 000132*")</f>
        <v>0</v>
      </c>
      <c r="H1955" s="83">
        <f t="shared" si="30"/>
        <v>3052</v>
      </c>
      <c r="I1955" s="83"/>
      <c r="K1955" s="54" t="s">
        <v>15</v>
      </c>
    </row>
    <row r="1956" spans="2:11" ht="24.75" x14ac:dyDescent="0.2">
      <c r="B1956" s="82" t="s">
        <v>4175</v>
      </c>
      <c r="C1956" s="82" t="s">
        <v>650</v>
      </c>
      <c r="D1956" s="83">
        <f>SUMIFS(D1957:D6462,K1957:K6462,"0",B1957:B6462,"5 1 1 3 2 12 31111 6 M59 20000 000132 0000R*")-SUMIFS(E1957:E6462,K1957:K6462,"0",B1957:B6462,"5 1 1 3 2 12 31111 6 M59 20000 000132 0000R*")</f>
        <v>0</v>
      </c>
      <c r="E1956" s="54"/>
      <c r="F1956" s="83">
        <f>SUMIFS(F1957:F6462,K1957:K6462,"0",B1957:B6462,"5 1 1 3 2 12 31111 6 M59 20000 000132 0000R*")</f>
        <v>3052</v>
      </c>
      <c r="G1956" s="83">
        <f>SUMIFS(G1957:G6462,K1957:K6462,"0",B1957:B6462,"5 1 1 3 2 12 31111 6 M59 20000 000132 0000R*")</f>
        <v>0</v>
      </c>
      <c r="H1956" s="83">
        <f t="shared" si="30"/>
        <v>3052</v>
      </c>
      <c r="I1956" s="83"/>
      <c r="K1956" s="54" t="s">
        <v>15</v>
      </c>
    </row>
    <row r="1957" spans="2:11" ht="24.75" x14ac:dyDescent="0.2">
      <c r="B1957" s="82" t="s">
        <v>4176</v>
      </c>
      <c r="C1957" s="82" t="s">
        <v>282</v>
      </c>
      <c r="D1957" s="83">
        <f>SUMIFS(D1958:D6462,K1958:K6462,"0",B1958:B6462,"5 1 1 3 2 12 31111 6 M59 20000 000132 0000R 00001*")-SUMIFS(E1958:E6462,K1958:K6462,"0",B1958:B6462,"5 1 1 3 2 12 31111 6 M59 20000 000132 0000R 00001*")</f>
        <v>0</v>
      </c>
      <c r="E1957" s="54"/>
      <c r="F1957" s="83">
        <f>SUMIFS(F1958:F6462,K1958:K6462,"0",B1958:B6462,"5 1 1 3 2 12 31111 6 M59 20000 000132 0000R 00001*")</f>
        <v>3052</v>
      </c>
      <c r="G1957" s="83">
        <f>SUMIFS(G1958:G6462,K1958:K6462,"0",B1958:B6462,"5 1 1 3 2 12 31111 6 M59 20000 000132 0000R 00001*")</f>
        <v>0</v>
      </c>
      <c r="H1957" s="83">
        <f t="shared" si="30"/>
        <v>3052</v>
      </c>
      <c r="I1957" s="83"/>
      <c r="K1957" s="54" t="s">
        <v>15</v>
      </c>
    </row>
    <row r="1958" spans="2:11" ht="24.75" x14ac:dyDescent="0.2">
      <c r="B1958" s="82" t="s">
        <v>4177</v>
      </c>
      <c r="C1958" s="82" t="s">
        <v>4041</v>
      </c>
      <c r="D1958" s="83">
        <f>SUMIFS(D1959:D6462,K1959:K6462,"0",B1959:B6462,"5 1 1 3 2 12 31111 6 M59 20000 000132 0000R 00001 00132*")-SUMIFS(E1959:E6462,K1959:K6462,"0",B1959:B6462,"5 1 1 3 2 12 31111 6 M59 20000 000132 0000R 00001 00132*")</f>
        <v>0</v>
      </c>
      <c r="E1958" s="54"/>
      <c r="F1958" s="83">
        <f>SUMIFS(F1959:F6462,K1959:K6462,"0",B1959:B6462,"5 1 1 3 2 12 31111 6 M59 20000 000132 0000R 00001 00132*")</f>
        <v>3052</v>
      </c>
      <c r="G1958" s="83">
        <f>SUMIFS(G1959:G6462,K1959:K6462,"0",B1959:B6462,"5 1 1 3 2 12 31111 6 M59 20000 000132 0000R 00001 00132*")</f>
        <v>0</v>
      </c>
      <c r="H1958" s="83">
        <f t="shared" si="30"/>
        <v>3052</v>
      </c>
      <c r="I1958" s="83"/>
      <c r="K1958" s="54" t="s">
        <v>15</v>
      </c>
    </row>
    <row r="1959" spans="2:11" ht="33" x14ac:dyDescent="0.2">
      <c r="B1959" s="82" t="s">
        <v>4178</v>
      </c>
      <c r="C1959" s="82" t="s">
        <v>1051</v>
      </c>
      <c r="D1959" s="83">
        <f>SUMIFS(D1960:D6462,K1960:K6462,"0",B1960:B6462,"5 1 1 3 2 12 31111 6 M59 20000 000132 0000R 00001 00132 015*")-SUMIFS(E1960:E6462,K1960:K6462,"0",B1960:B6462,"5 1 1 3 2 12 31111 6 M59 20000 000132 0000R 00001 00132 015*")</f>
        <v>0</v>
      </c>
      <c r="E1959" s="54"/>
      <c r="F1959" s="83">
        <f>SUMIFS(F1960:F6462,K1960:K6462,"0",B1960:B6462,"5 1 1 3 2 12 31111 6 M59 20000 000132 0000R 00001 00132 015*")</f>
        <v>3052</v>
      </c>
      <c r="G1959" s="83">
        <f>SUMIFS(G1960:G6462,K1960:K6462,"0",B1960:B6462,"5 1 1 3 2 12 31111 6 M59 20000 000132 0000R 00001 00132 015*")</f>
        <v>0</v>
      </c>
      <c r="H1959" s="83">
        <f t="shared" si="30"/>
        <v>3052</v>
      </c>
      <c r="I1959" s="83"/>
      <c r="K1959" s="54" t="s">
        <v>15</v>
      </c>
    </row>
    <row r="1960" spans="2:11" ht="33" x14ac:dyDescent="0.2">
      <c r="B1960" s="82" t="s">
        <v>4179</v>
      </c>
      <c r="C1960" s="82" t="s">
        <v>2927</v>
      </c>
      <c r="D1960" s="83">
        <f>SUMIFS(D1961:D6462,K1961:K6462,"0",B1961:B6462,"5 1 1 3 2 12 31111 6 M59 20000 000132 0000R 00001 00132 015 2111100*")-SUMIFS(E1961:E6462,K1961:K6462,"0",B1961:B6462,"5 1 1 3 2 12 31111 6 M59 20000 000132 0000R 00001 00132 015 2111100*")</f>
        <v>0</v>
      </c>
      <c r="E1960" s="54"/>
      <c r="F1960" s="83">
        <f>SUMIFS(F1961:F6462,K1961:K6462,"0",B1961:B6462,"5 1 1 3 2 12 31111 6 M59 20000 000132 0000R 00001 00132 015 2111100*")</f>
        <v>3052</v>
      </c>
      <c r="G1960" s="83">
        <f>SUMIFS(G1961:G6462,K1961:K6462,"0",B1961:B6462,"5 1 1 3 2 12 31111 6 M59 20000 000132 0000R 00001 00132 015 2111100*")</f>
        <v>0</v>
      </c>
      <c r="H1960" s="83">
        <f t="shared" si="30"/>
        <v>3052</v>
      </c>
      <c r="I1960" s="83"/>
      <c r="K1960" s="54" t="s">
        <v>15</v>
      </c>
    </row>
    <row r="1961" spans="2:11" ht="33" x14ac:dyDescent="0.2">
      <c r="B1961" s="82" t="s">
        <v>4180</v>
      </c>
      <c r="C1961" s="82" t="s">
        <v>660</v>
      </c>
      <c r="D1961" s="83">
        <f>SUMIFS(D1962:D6462,K1962:K6462,"0",B1962:B6462,"5 1 1 3 2 12 31111 6 M59 20000 000132 0000R 00001 00132 015 2111100 2024*")-SUMIFS(E1962:E6462,K1962:K6462,"0",B1962:B6462,"5 1 1 3 2 12 31111 6 M59 20000 000132 0000R 00001 00132 015 2111100 2024*")</f>
        <v>0</v>
      </c>
      <c r="E1961" s="54"/>
      <c r="F1961" s="83">
        <f>SUMIFS(F1962:F6462,K1962:K6462,"0",B1962:B6462,"5 1 1 3 2 12 31111 6 M59 20000 000132 0000R 00001 00132 015 2111100 2024*")</f>
        <v>3052</v>
      </c>
      <c r="G1961" s="83">
        <f>SUMIFS(G1962:G6462,K1962:K6462,"0",B1962:B6462,"5 1 1 3 2 12 31111 6 M59 20000 000132 0000R 00001 00132 015 2111100 2024*")</f>
        <v>0</v>
      </c>
      <c r="H1961" s="83">
        <f t="shared" si="30"/>
        <v>3052</v>
      </c>
      <c r="I1961" s="83"/>
      <c r="K1961" s="54" t="s">
        <v>15</v>
      </c>
    </row>
    <row r="1962" spans="2:11" ht="41.25" x14ac:dyDescent="0.2">
      <c r="B1962" s="82" t="s">
        <v>4181</v>
      </c>
      <c r="C1962" s="82" t="s">
        <v>1056</v>
      </c>
      <c r="D1962" s="83">
        <f>SUMIFS(D1963:D6462,K1963:K6462,"0",B1963:B6462,"5 1 1 3 2 12 31111 6 M59 20000 000132 0000R 00001 00132 015 2111100 2024 CP1AF389*")-SUMIFS(E1963:E6462,K1963:K6462,"0",B1963:B6462,"5 1 1 3 2 12 31111 6 M59 20000 000132 0000R 00001 00132 015 2111100 2024 CP1AF389*")</f>
        <v>0</v>
      </c>
      <c r="E1962" s="54"/>
      <c r="F1962" s="83">
        <f>SUMIFS(F1963:F6462,K1963:K6462,"0",B1963:B6462,"5 1 1 3 2 12 31111 6 M59 20000 000132 0000R 00001 00132 015 2111100 2024 CP1AF389*")</f>
        <v>3052</v>
      </c>
      <c r="G1962" s="83">
        <f>SUMIFS(G1963:G6462,K1963:K6462,"0",B1963:B6462,"5 1 1 3 2 12 31111 6 M59 20000 000132 0000R 00001 00132 015 2111100 2024 CP1AF389*")</f>
        <v>0</v>
      </c>
      <c r="H1962" s="83">
        <f t="shared" si="30"/>
        <v>3052</v>
      </c>
      <c r="I1962" s="83"/>
      <c r="K1962" s="54" t="s">
        <v>15</v>
      </c>
    </row>
    <row r="1963" spans="2:11" ht="41.25" x14ac:dyDescent="0.2">
      <c r="B1963" s="82" t="s">
        <v>4182</v>
      </c>
      <c r="C1963" s="82" t="s">
        <v>282</v>
      </c>
      <c r="D1963" s="83">
        <f>SUMIFS(D1964:D6462,K1964:K6462,"0",B1964:B6462,"5 1 1 3 2 12 31111 6 M59 20000 000132 0000R 00001 00132 015 2111100 2024 CP1AF389 001*")-SUMIFS(E1964:E6462,K1964:K6462,"0",B1964:B6462,"5 1 1 3 2 12 31111 6 M59 20000 000132 0000R 00001 00132 015 2111100 2024 CP1AF389 001*")</f>
        <v>0</v>
      </c>
      <c r="E1963" s="54"/>
      <c r="F1963" s="83">
        <f>SUMIFS(F1964:F6462,K1964:K6462,"0",B1964:B6462,"5 1 1 3 2 12 31111 6 M59 20000 000132 0000R 00001 00132 015 2111100 2024 CP1AF389 001*")</f>
        <v>3052</v>
      </c>
      <c r="G1963" s="83">
        <f>SUMIFS(G1964:G6462,K1964:K6462,"0",B1964:B6462,"5 1 1 3 2 12 31111 6 M59 20000 000132 0000R 00001 00132 015 2111100 2024 CP1AF389 001*")</f>
        <v>0</v>
      </c>
      <c r="H1963" s="83">
        <f t="shared" ref="H1963:H2026" si="31">D1963 + F1963 - G1963</f>
        <v>3052</v>
      </c>
      <c r="I1963" s="83"/>
      <c r="K1963" s="54" t="s">
        <v>15</v>
      </c>
    </row>
    <row r="1964" spans="2:11" ht="41.25" x14ac:dyDescent="0.2">
      <c r="B1964" s="84" t="s">
        <v>4183</v>
      </c>
      <c r="C1964" s="84" t="s">
        <v>1519</v>
      </c>
      <c r="D1964" s="85">
        <v>0</v>
      </c>
      <c r="E1964" s="85"/>
      <c r="F1964" s="85">
        <v>3052</v>
      </c>
      <c r="G1964" s="85">
        <v>0</v>
      </c>
      <c r="H1964" s="85">
        <f t="shared" si="31"/>
        <v>3052</v>
      </c>
      <c r="I1964" s="85"/>
      <c r="K1964" s="54" t="s">
        <v>38</v>
      </c>
    </row>
    <row r="1965" spans="2:11" ht="16.5" x14ac:dyDescent="0.2">
      <c r="B1965" s="82" t="s">
        <v>4184</v>
      </c>
      <c r="C1965" s="82" t="s">
        <v>3080</v>
      </c>
      <c r="D1965" s="83">
        <f>SUMIFS(D1966:D6462,K1966:K6462,"0",B1966:B6462,"5 1 1 3 2 12 31111 6 M59 20200*")-SUMIFS(E1966:E6462,K1966:K6462,"0",B1966:B6462,"5 1 1 3 2 12 31111 6 M59 20200*")</f>
        <v>0</v>
      </c>
      <c r="E1965" s="54"/>
      <c r="F1965" s="83">
        <f>SUMIFS(F1966:F6462,K1966:K6462,"0",B1966:B6462,"5 1 1 3 2 12 31111 6 M59 20200*")</f>
        <v>59344.45</v>
      </c>
      <c r="G1965" s="83">
        <f>SUMIFS(G1966:G6462,K1966:K6462,"0",B1966:B6462,"5 1 1 3 2 12 31111 6 M59 20200*")</f>
        <v>0</v>
      </c>
      <c r="H1965" s="83">
        <f t="shared" si="31"/>
        <v>59344.45</v>
      </c>
      <c r="I1965" s="83"/>
      <c r="K1965" s="54" t="s">
        <v>15</v>
      </c>
    </row>
    <row r="1966" spans="2:11" ht="16.5" x14ac:dyDescent="0.2">
      <c r="B1966" s="82" t="s">
        <v>4185</v>
      </c>
      <c r="C1966" s="82" t="s">
        <v>648</v>
      </c>
      <c r="D1966" s="83">
        <f>SUMIFS(D1967:D6462,K1967:K6462,"0",B1967:B6462,"5 1 1 3 2 12 31111 6 M59 20200 000132*")-SUMIFS(E1967:E6462,K1967:K6462,"0",B1967:B6462,"5 1 1 3 2 12 31111 6 M59 20200 000132*")</f>
        <v>0</v>
      </c>
      <c r="E1966" s="54"/>
      <c r="F1966" s="83">
        <f>SUMIFS(F1967:F6462,K1967:K6462,"0",B1967:B6462,"5 1 1 3 2 12 31111 6 M59 20200 000132*")</f>
        <v>59344.45</v>
      </c>
      <c r="G1966" s="83">
        <f>SUMIFS(G1967:G6462,K1967:K6462,"0",B1967:B6462,"5 1 1 3 2 12 31111 6 M59 20200 000132*")</f>
        <v>0</v>
      </c>
      <c r="H1966" s="83">
        <f t="shared" si="31"/>
        <v>59344.45</v>
      </c>
      <c r="I1966" s="83"/>
      <c r="K1966" s="54" t="s">
        <v>15</v>
      </c>
    </row>
    <row r="1967" spans="2:11" ht="24.75" x14ac:dyDescent="0.2">
      <c r="B1967" s="82" t="s">
        <v>4186</v>
      </c>
      <c r="C1967" s="82" t="s">
        <v>650</v>
      </c>
      <c r="D1967" s="83">
        <f>SUMIFS(D1968:D6462,K1968:K6462,"0",B1968:B6462,"5 1 1 3 2 12 31111 6 M59 20200 000132 0000R*")-SUMIFS(E1968:E6462,K1968:K6462,"0",B1968:B6462,"5 1 1 3 2 12 31111 6 M59 20200 000132 0000R*")</f>
        <v>0</v>
      </c>
      <c r="E1967" s="54"/>
      <c r="F1967" s="83">
        <f>SUMIFS(F1968:F6462,K1968:K6462,"0",B1968:B6462,"5 1 1 3 2 12 31111 6 M59 20200 000132 0000R*")</f>
        <v>59344.45</v>
      </c>
      <c r="G1967" s="83">
        <f>SUMIFS(G1968:G6462,K1968:K6462,"0",B1968:B6462,"5 1 1 3 2 12 31111 6 M59 20200 000132 0000R*")</f>
        <v>0</v>
      </c>
      <c r="H1967" s="83">
        <f t="shared" si="31"/>
        <v>59344.45</v>
      </c>
      <c r="I1967" s="83"/>
      <c r="K1967" s="54" t="s">
        <v>15</v>
      </c>
    </row>
    <row r="1968" spans="2:11" ht="24.75" x14ac:dyDescent="0.2">
      <c r="B1968" s="82" t="s">
        <v>4187</v>
      </c>
      <c r="C1968" s="82" t="s">
        <v>282</v>
      </c>
      <c r="D1968" s="83">
        <f>SUMIFS(D1969:D6462,K1969:K6462,"0",B1969:B6462,"5 1 1 3 2 12 31111 6 M59 20200 000132 0000R 00001*")-SUMIFS(E1969:E6462,K1969:K6462,"0",B1969:B6462,"5 1 1 3 2 12 31111 6 M59 20200 000132 0000R 00001*")</f>
        <v>0</v>
      </c>
      <c r="E1968" s="54"/>
      <c r="F1968" s="83">
        <f>SUMIFS(F1969:F6462,K1969:K6462,"0",B1969:B6462,"5 1 1 3 2 12 31111 6 M59 20200 000132 0000R 00001*")</f>
        <v>59344.45</v>
      </c>
      <c r="G1968" s="83">
        <f>SUMIFS(G1969:G6462,K1969:K6462,"0",B1969:B6462,"5 1 1 3 2 12 31111 6 M59 20200 000132 0000R 00001*")</f>
        <v>0</v>
      </c>
      <c r="H1968" s="83">
        <f t="shared" si="31"/>
        <v>59344.45</v>
      </c>
      <c r="I1968" s="83"/>
      <c r="K1968" s="54" t="s">
        <v>15</v>
      </c>
    </row>
    <row r="1969" spans="2:11" ht="24.75" x14ac:dyDescent="0.2">
      <c r="B1969" s="82" t="s">
        <v>4188</v>
      </c>
      <c r="C1969" s="82" t="s">
        <v>4041</v>
      </c>
      <c r="D1969" s="83">
        <f>SUMIFS(D1970:D6462,K1970:K6462,"0",B1970:B6462,"5 1 1 3 2 12 31111 6 M59 20200 000132 0000R 00001 00132*")-SUMIFS(E1970:E6462,K1970:K6462,"0",B1970:B6462,"5 1 1 3 2 12 31111 6 M59 20200 000132 0000R 00001 00132*")</f>
        <v>0</v>
      </c>
      <c r="E1969" s="54"/>
      <c r="F1969" s="83">
        <f>SUMIFS(F1970:F6462,K1970:K6462,"0",B1970:B6462,"5 1 1 3 2 12 31111 6 M59 20200 000132 0000R 00001 00132*")</f>
        <v>59344.45</v>
      </c>
      <c r="G1969" s="83">
        <f>SUMIFS(G1970:G6462,K1970:K6462,"0",B1970:B6462,"5 1 1 3 2 12 31111 6 M59 20200 000132 0000R 00001 00132*")</f>
        <v>0</v>
      </c>
      <c r="H1969" s="83">
        <f t="shared" si="31"/>
        <v>59344.45</v>
      </c>
      <c r="I1969" s="83"/>
      <c r="K1969" s="54" t="s">
        <v>15</v>
      </c>
    </row>
    <row r="1970" spans="2:11" ht="33" x14ac:dyDescent="0.2">
      <c r="B1970" s="82" t="s">
        <v>4189</v>
      </c>
      <c r="C1970" s="82" t="s">
        <v>1051</v>
      </c>
      <c r="D1970" s="83">
        <f>SUMIFS(D1971:D6462,K1971:K6462,"0",B1971:B6462,"5 1 1 3 2 12 31111 6 M59 20200 000132 0000R 00001 00132 015*")-SUMIFS(E1971:E6462,K1971:K6462,"0",B1971:B6462,"5 1 1 3 2 12 31111 6 M59 20200 000132 0000R 00001 00132 015*")</f>
        <v>0</v>
      </c>
      <c r="E1970" s="54"/>
      <c r="F1970" s="83">
        <f>SUMIFS(F1971:F6462,K1971:K6462,"0",B1971:B6462,"5 1 1 3 2 12 31111 6 M59 20200 000132 0000R 00001 00132 015*")</f>
        <v>59344.45</v>
      </c>
      <c r="G1970" s="83">
        <f>SUMIFS(G1971:G6462,K1971:K6462,"0",B1971:B6462,"5 1 1 3 2 12 31111 6 M59 20200 000132 0000R 00001 00132 015*")</f>
        <v>0</v>
      </c>
      <c r="H1970" s="83">
        <f t="shared" si="31"/>
        <v>59344.45</v>
      </c>
      <c r="I1970" s="83"/>
      <c r="K1970" s="54" t="s">
        <v>15</v>
      </c>
    </row>
    <row r="1971" spans="2:11" ht="33" x14ac:dyDescent="0.2">
      <c r="B1971" s="82" t="s">
        <v>4190</v>
      </c>
      <c r="C1971" s="82" t="s">
        <v>2927</v>
      </c>
      <c r="D1971" s="83">
        <f>SUMIFS(D1972:D6462,K1972:K6462,"0",B1972:B6462,"5 1 1 3 2 12 31111 6 M59 20200 000132 0000R 00001 00132 015 2111100*")-SUMIFS(E1972:E6462,K1972:K6462,"0",B1972:B6462,"5 1 1 3 2 12 31111 6 M59 20200 000132 0000R 00001 00132 015 2111100*")</f>
        <v>0</v>
      </c>
      <c r="E1971" s="54"/>
      <c r="F1971" s="83">
        <f>SUMIFS(F1972:F6462,K1972:K6462,"0",B1972:B6462,"5 1 1 3 2 12 31111 6 M59 20200 000132 0000R 00001 00132 015 2111100*")</f>
        <v>59344.45</v>
      </c>
      <c r="G1971" s="83">
        <f>SUMIFS(G1972:G6462,K1972:K6462,"0",B1972:B6462,"5 1 1 3 2 12 31111 6 M59 20200 000132 0000R 00001 00132 015 2111100*")</f>
        <v>0</v>
      </c>
      <c r="H1971" s="83">
        <f t="shared" si="31"/>
        <v>59344.45</v>
      </c>
      <c r="I1971" s="83"/>
      <c r="K1971" s="54" t="s">
        <v>15</v>
      </c>
    </row>
    <row r="1972" spans="2:11" ht="33" x14ac:dyDescent="0.2">
      <c r="B1972" s="82" t="s">
        <v>4191</v>
      </c>
      <c r="C1972" s="82" t="s">
        <v>660</v>
      </c>
      <c r="D1972" s="83">
        <f>SUMIFS(D1973:D6462,K1973:K6462,"0",B1973:B6462,"5 1 1 3 2 12 31111 6 M59 20200 000132 0000R 00001 00132 015 2111100 2024*")-SUMIFS(E1973:E6462,K1973:K6462,"0",B1973:B6462,"5 1 1 3 2 12 31111 6 M59 20200 000132 0000R 00001 00132 015 2111100 2024*")</f>
        <v>0</v>
      </c>
      <c r="E1972" s="54"/>
      <c r="F1972" s="83">
        <f>SUMIFS(F1973:F6462,K1973:K6462,"0",B1973:B6462,"5 1 1 3 2 12 31111 6 M59 20200 000132 0000R 00001 00132 015 2111100 2024*")</f>
        <v>59344.45</v>
      </c>
      <c r="G1972" s="83">
        <f>SUMIFS(G1973:G6462,K1973:K6462,"0",B1973:B6462,"5 1 1 3 2 12 31111 6 M59 20200 000132 0000R 00001 00132 015 2111100 2024*")</f>
        <v>0</v>
      </c>
      <c r="H1972" s="83">
        <f t="shared" si="31"/>
        <v>59344.45</v>
      </c>
      <c r="I1972" s="83"/>
      <c r="K1972" s="54" t="s">
        <v>15</v>
      </c>
    </row>
    <row r="1973" spans="2:11" ht="41.25" x14ac:dyDescent="0.2">
      <c r="B1973" s="82" t="s">
        <v>4192</v>
      </c>
      <c r="C1973" s="82" t="s">
        <v>662</v>
      </c>
      <c r="D1973" s="83">
        <f>SUMIFS(D1974:D6462,K1974:K6462,"0",B1974:B6462,"5 1 1 3 2 12 31111 6 M59 20200 000132 0000R 00001 00132 015 2111100 2024 CP1DI411*")-SUMIFS(E1974:E6462,K1974:K6462,"0",B1974:B6462,"5 1 1 3 2 12 31111 6 M59 20200 000132 0000R 00001 00132 015 2111100 2024 CP1DI411*")</f>
        <v>0</v>
      </c>
      <c r="E1973" s="54"/>
      <c r="F1973" s="83">
        <f>SUMIFS(F1974:F6462,K1974:K6462,"0",B1974:B6462,"5 1 1 3 2 12 31111 6 M59 20200 000132 0000R 00001 00132 015 2111100 2024 CP1DI411*")</f>
        <v>59344.45</v>
      </c>
      <c r="G1973" s="83">
        <f>SUMIFS(G1974:G6462,K1974:K6462,"0",B1974:B6462,"5 1 1 3 2 12 31111 6 M59 20200 000132 0000R 00001 00132 015 2111100 2024 CP1DI411*")</f>
        <v>0</v>
      </c>
      <c r="H1973" s="83">
        <f t="shared" si="31"/>
        <v>59344.45</v>
      </c>
      <c r="I1973" s="83"/>
      <c r="K1973" s="54" t="s">
        <v>15</v>
      </c>
    </row>
    <row r="1974" spans="2:11" ht="41.25" x14ac:dyDescent="0.2">
      <c r="B1974" s="82" t="s">
        <v>4193</v>
      </c>
      <c r="C1974" s="82" t="s">
        <v>282</v>
      </c>
      <c r="D1974" s="83">
        <f>SUMIFS(D1975:D6462,K1975:K6462,"0",B1975:B6462,"5 1 1 3 2 12 31111 6 M59 20200 000132 0000R 00001 00132 015 2111100 2024 CP1DI411 001*")-SUMIFS(E1975:E6462,K1975:K6462,"0",B1975:B6462,"5 1 1 3 2 12 31111 6 M59 20200 000132 0000R 00001 00132 015 2111100 2024 CP1DI411 001*")</f>
        <v>0</v>
      </c>
      <c r="E1974" s="54"/>
      <c r="F1974" s="83">
        <f>SUMIFS(F1975:F6462,K1975:K6462,"0",B1975:B6462,"5 1 1 3 2 12 31111 6 M59 20200 000132 0000R 00001 00132 015 2111100 2024 CP1DI411 001*")</f>
        <v>59344.45</v>
      </c>
      <c r="G1974" s="83">
        <f>SUMIFS(G1975:G6462,K1975:K6462,"0",B1975:B6462,"5 1 1 3 2 12 31111 6 M59 20200 000132 0000R 00001 00132 015 2111100 2024 CP1DI411 001*")</f>
        <v>0</v>
      </c>
      <c r="H1974" s="83">
        <f t="shared" si="31"/>
        <v>59344.45</v>
      </c>
      <c r="I1974" s="83"/>
      <c r="K1974" s="54" t="s">
        <v>15</v>
      </c>
    </row>
    <row r="1975" spans="2:11" ht="33" x14ac:dyDescent="0.2">
      <c r="B1975" s="84" t="s">
        <v>4194</v>
      </c>
      <c r="C1975" s="84" t="s">
        <v>1519</v>
      </c>
      <c r="D1975" s="85">
        <v>0</v>
      </c>
      <c r="E1975" s="85"/>
      <c r="F1975" s="85">
        <v>56921.53</v>
      </c>
      <c r="G1975" s="85">
        <v>0</v>
      </c>
      <c r="H1975" s="85">
        <f t="shared" si="31"/>
        <v>56921.53</v>
      </c>
      <c r="I1975" s="85"/>
      <c r="K1975" s="54" t="s">
        <v>38</v>
      </c>
    </row>
    <row r="1976" spans="2:11" ht="33" x14ac:dyDescent="0.2">
      <c r="B1976" s="84" t="s">
        <v>4195</v>
      </c>
      <c r="C1976" s="84" t="s">
        <v>4071</v>
      </c>
      <c r="D1976" s="85">
        <v>0</v>
      </c>
      <c r="E1976" s="85"/>
      <c r="F1976" s="85">
        <v>2422.92</v>
      </c>
      <c r="G1976" s="85">
        <v>0</v>
      </c>
      <c r="H1976" s="85">
        <f t="shared" si="31"/>
        <v>2422.92</v>
      </c>
      <c r="I1976" s="85"/>
      <c r="K1976" s="54" t="s">
        <v>38</v>
      </c>
    </row>
    <row r="1977" spans="2:11" ht="16.5" x14ac:dyDescent="0.2">
      <c r="B1977" s="82" t="s">
        <v>4196</v>
      </c>
      <c r="C1977" s="82" t="s">
        <v>1061</v>
      </c>
      <c r="D1977" s="83">
        <f>SUMIFS(D1978:D6462,K1978:K6462,"0",B1978:B6462,"5 1 1 3 2 12 31111 6 M59 20300*")-SUMIFS(E1978:E6462,K1978:K6462,"0",B1978:B6462,"5 1 1 3 2 12 31111 6 M59 20300*")</f>
        <v>0</v>
      </c>
      <c r="E1977" s="54"/>
      <c r="F1977" s="83">
        <f>SUMIFS(F1978:F6462,K1978:K6462,"0",B1978:B6462,"5 1 1 3 2 12 31111 6 M59 20300*")</f>
        <v>73455.53</v>
      </c>
      <c r="G1977" s="83">
        <f>SUMIFS(G1978:G6462,K1978:K6462,"0",B1978:B6462,"5 1 1 3 2 12 31111 6 M59 20300*")</f>
        <v>0</v>
      </c>
      <c r="H1977" s="83">
        <f t="shared" si="31"/>
        <v>73455.53</v>
      </c>
      <c r="I1977" s="83"/>
      <c r="K1977" s="54" t="s">
        <v>15</v>
      </c>
    </row>
    <row r="1978" spans="2:11" ht="16.5" x14ac:dyDescent="0.2">
      <c r="B1978" s="82" t="s">
        <v>4197</v>
      </c>
      <c r="C1978" s="82" t="s">
        <v>648</v>
      </c>
      <c r="D1978" s="83">
        <f>SUMIFS(D1979:D6462,K1979:K6462,"0",B1979:B6462,"5 1 1 3 2 12 31111 6 M59 20300 000132*")-SUMIFS(E1979:E6462,K1979:K6462,"0",B1979:B6462,"5 1 1 3 2 12 31111 6 M59 20300 000132*")</f>
        <v>0</v>
      </c>
      <c r="E1978" s="54"/>
      <c r="F1978" s="83">
        <f>SUMIFS(F1979:F6462,K1979:K6462,"0",B1979:B6462,"5 1 1 3 2 12 31111 6 M59 20300 000132*")</f>
        <v>73455.53</v>
      </c>
      <c r="G1978" s="83">
        <f>SUMIFS(G1979:G6462,K1979:K6462,"0",B1979:B6462,"5 1 1 3 2 12 31111 6 M59 20300 000132*")</f>
        <v>0</v>
      </c>
      <c r="H1978" s="83">
        <f t="shared" si="31"/>
        <v>73455.53</v>
      </c>
      <c r="I1978" s="83"/>
      <c r="K1978" s="54" t="s">
        <v>15</v>
      </c>
    </row>
    <row r="1979" spans="2:11" ht="24.75" x14ac:dyDescent="0.2">
      <c r="B1979" s="82" t="s">
        <v>4198</v>
      </c>
      <c r="C1979" s="82" t="s">
        <v>650</v>
      </c>
      <c r="D1979" s="83">
        <f>SUMIFS(D1980:D6462,K1980:K6462,"0",B1980:B6462,"5 1 1 3 2 12 31111 6 M59 20300 000132 0000R*")-SUMIFS(E1980:E6462,K1980:K6462,"0",B1980:B6462,"5 1 1 3 2 12 31111 6 M59 20300 000132 0000R*")</f>
        <v>0</v>
      </c>
      <c r="E1979" s="54"/>
      <c r="F1979" s="83">
        <f>SUMIFS(F1980:F6462,K1980:K6462,"0",B1980:B6462,"5 1 1 3 2 12 31111 6 M59 20300 000132 0000R*")</f>
        <v>73455.53</v>
      </c>
      <c r="G1979" s="83">
        <f>SUMIFS(G1980:G6462,K1980:K6462,"0",B1980:B6462,"5 1 1 3 2 12 31111 6 M59 20300 000132 0000R*")</f>
        <v>0</v>
      </c>
      <c r="H1979" s="83">
        <f t="shared" si="31"/>
        <v>73455.53</v>
      </c>
      <c r="I1979" s="83"/>
      <c r="K1979" s="54" t="s">
        <v>15</v>
      </c>
    </row>
    <row r="1980" spans="2:11" ht="24.75" x14ac:dyDescent="0.2">
      <c r="B1980" s="82" t="s">
        <v>4199</v>
      </c>
      <c r="C1980" s="82" t="s">
        <v>282</v>
      </c>
      <c r="D1980" s="83">
        <f>SUMIFS(D1981:D6462,K1981:K6462,"0",B1981:B6462,"5 1 1 3 2 12 31111 6 M59 20300 000132 0000R 00001*")-SUMIFS(E1981:E6462,K1981:K6462,"0",B1981:B6462,"5 1 1 3 2 12 31111 6 M59 20300 000132 0000R 00001*")</f>
        <v>0</v>
      </c>
      <c r="E1980" s="54"/>
      <c r="F1980" s="83">
        <f>SUMIFS(F1981:F6462,K1981:K6462,"0",B1981:B6462,"5 1 1 3 2 12 31111 6 M59 20300 000132 0000R 00001*")</f>
        <v>73455.53</v>
      </c>
      <c r="G1980" s="83">
        <f>SUMIFS(G1981:G6462,K1981:K6462,"0",B1981:B6462,"5 1 1 3 2 12 31111 6 M59 20300 000132 0000R 00001*")</f>
        <v>0</v>
      </c>
      <c r="H1980" s="83">
        <f t="shared" si="31"/>
        <v>73455.53</v>
      </c>
      <c r="I1980" s="83"/>
      <c r="K1980" s="54" t="s">
        <v>15</v>
      </c>
    </row>
    <row r="1981" spans="2:11" ht="24.75" x14ac:dyDescent="0.2">
      <c r="B1981" s="82" t="s">
        <v>4200</v>
      </c>
      <c r="C1981" s="82" t="s">
        <v>4041</v>
      </c>
      <c r="D1981" s="83">
        <f>SUMIFS(D1982:D6462,K1982:K6462,"0",B1982:B6462,"5 1 1 3 2 12 31111 6 M59 20300 000132 0000R 00001 00132*")-SUMIFS(E1982:E6462,K1982:K6462,"0",B1982:B6462,"5 1 1 3 2 12 31111 6 M59 20300 000132 0000R 00001 00132*")</f>
        <v>0</v>
      </c>
      <c r="E1981" s="54"/>
      <c r="F1981" s="83">
        <f>SUMIFS(F1982:F6462,K1982:K6462,"0",B1982:B6462,"5 1 1 3 2 12 31111 6 M59 20300 000132 0000R 00001 00132*")</f>
        <v>73455.53</v>
      </c>
      <c r="G1981" s="83">
        <f>SUMIFS(G1982:G6462,K1982:K6462,"0",B1982:B6462,"5 1 1 3 2 12 31111 6 M59 20300 000132 0000R 00001 00132*")</f>
        <v>0</v>
      </c>
      <c r="H1981" s="83">
        <f t="shared" si="31"/>
        <v>73455.53</v>
      </c>
      <c r="I1981" s="83"/>
      <c r="K1981" s="54" t="s">
        <v>15</v>
      </c>
    </row>
    <row r="1982" spans="2:11" ht="33" x14ac:dyDescent="0.2">
      <c r="B1982" s="82" t="s">
        <v>4201</v>
      </c>
      <c r="C1982" s="82" t="s">
        <v>1051</v>
      </c>
      <c r="D1982" s="83">
        <f>SUMIFS(D1983:D6462,K1983:K6462,"0",B1983:B6462,"5 1 1 3 2 12 31111 6 M59 20300 000132 0000R 00001 00132 015*")-SUMIFS(E1983:E6462,K1983:K6462,"0",B1983:B6462,"5 1 1 3 2 12 31111 6 M59 20300 000132 0000R 00001 00132 015*")</f>
        <v>0</v>
      </c>
      <c r="E1982" s="54"/>
      <c r="F1982" s="83">
        <f>SUMIFS(F1983:F6462,K1983:K6462,"0",B1983:B6462,"5 1 1 3 2 12 31111 6 M59 20300 000132 0000R 00001 00132 015*")</f>
        <v>73455.53</v>
      </c>
      <c r="G1982" s="83">
        <f>SUMIFS(G1983:G6462,K1983:K6462,"0",B1983:B6462,"5 1 1 3 2 12 31111 6 M59 20300 000132 0000R 00001 00132 015*")</f>
        <v>0</v>
      </c>
      <c r="H1982" s="83">
        <f t="shared" si="31"/>
        <v>73455.53</v>
      </c>
      <c r="I1982" s="83"/>
      <c r="K1982" s="54" t="s">
        <v>15</v>
      </c>
    </row>
    <row r="1983" spans="2:11" ht="33" x14ac:dyDescent="0.2">
      <c r="B1983" s="82" t="s">
        <v>4202</v>
      </c>
      <c r="C1983" s="82" t="s">
        <v>2927</v>
      </c>
      <c r="D1983" s="83">
        <f>SUMIFS(D1984:D6462,K1984:K6462,"0",B1984:B6462,"5 1 1 3 2 12 31111 6 M59 20300 000132 0000R 00001 00132 015 2111100*")-SUMIFS(E1984:E6462,K1984:K6462,"0",B1984:B6462,"5 1 1 3 2 12 31111 6 M59 20300 000132 0000R 00001 00132 015 2111100*")</f>
        <v>0</v>
      </c>
      <c r="E1983" s="54"/>
      <c r="F1983" s="83">
        <f>SUMIFS(F1984:F6462,K1984:K6462,"0",B1984:B6462,"5 1 1 3 2 12 31111 6 M59 20300 000132 0000R 00001 00132 015 2111100*")</f>
        <v>73455.53</v>
      </c>
      <c r="G1983" s="83">
        <f>SUMIFS(G1984:G6462,K1984:K6462,"0",B1984:B6462,"5 1 1 3 2 12 31111 6 M59 20300 000132 0000R 00001 00132 015 2111100*")</f>
        <v>0</v>
      </c>
      <c r="H1983" s="83">
        <f t="shared" si="31"/>
        <v>73455.53</v>
      </c>
      <c r="I1983" s="83"/>
      <c r="K1983" s="54" t="s">
        <v>15</v>
      </c>
    </row>
    <row r="1984" spans="2:11" ht="33" x14ac:dyDescent="0.2">
      <c r="B1984" s="82" t="s">
        <v>4203</v>
      </c>
      <c r="C1984" s="82" t="s">
        <v>660</v>
      </c>
      <c r="D1984" s="83">
        <f>SUMIFS(D1985:D6462,K1985:K6462,"0",B1985:B6462,"5 1 1 3 2 12 31111 6 M59 20300 000132 0000R 00001 00132 015 2111100 2024*")-SUMIFS(E1985:E6462,K1985:K6462,"0",B1985:B6462,"5 1 1 3 2 12 31111 6 M59 20300 000132 0000R 00001 00132 015 2111100 2024*")</f>
        <v>0</v>
      </c>
      <c r="E1984" s="54"/>
      <c r="F1984" s="83">
        <f>SUMIFS(F1985:F6462,K1985:K6462,"0",B1985:B6462,"5 1 1 3 2 12 31111 6 M59 20300 000132 0000R 00001 00132 015 2111100 2024*")</f>
        <v>73455.53</v>
      </c>
      <c r="G1984" s="83">
        <f>SUMIFS(G1985:G6462,K1985:K6462,"0",B1985:B6462,"5 1 1 3 2 12 31111 6 M59 20300 000132 0000R 00001 00132 015 2111100 2024*")</f>
        <v>0</v>
      </c>
      <c r="H1984" s="83">
        <f t="shared" si="31"/>
        <v>73455.53</v>
      </c>
      <c r="I1984" s="83"/>
      <c r="K1984" s="54" t="s">
        <v>15</v>
      </c>
    </row>
    <row r="1985" spans="2:11" ht="41.25" x14ac:dyDescent="0.2">
      <c r="B1985" s="82" t="s">
        <v>4204</v>
      </c>
      <c r="C1985" s="82" t="s">
        <v>662</v>
      </c>
      <c r="D1985" s="83">
        <f>SUMIFS(D1986:D6462,K1986:K6462,"0",B1986:B6462,"5 1 1 3 2 12 31111 6 M59 20300 000132 0000R 00001 00132 015 2111100 2024 CP1DE415*")-SUMIFS(E1986:E6462,K1986:K6462,"0",B1986:B6462,"5 1 1 3 2 12 31111 6 M59 20300 000132 0000R 00001 00132 015 2111100 2024 CP1DE415*")</f>
        <v>0</v>
      </c>
      <c r="E1985" s="54"/>
      <c r="F1985" s="83">
        <f>SUMIFS(F1986:F6462,K1986:K6462,"0",B1986:B6462,"5 1 1 3 2 12 31111 6 M59 20300 000132 0000R 00001 00132 015 2111100 2024 CP1DE415*")</f>
        <v>73455.53</v>
      </c>
      <c r="G1985" s="83">
        <f>SUMIFS(G1986:G6462,K1986:K6462,"0",B1986:B6462,"5 1 1 3 2 12 31111 6 M59 20300 000132 0000R 00001 00132 015 2111100 2024 CP1DE415*")</f>
        <v>0</v>
      </c>
      <c r="H1985" s="83">
        <f t="shared" si="31"/>
        <v>73455.53</v>
      </c>
      <c r="I1985" s="83"/>
      <c r="K1985" s="54" t="s">
        <v>15</v>
      </c>
    </row>
    <row r="1986" spans="2:11" ht="41.25" x14ac:dyDescent="0.2">
      <c r="B1986" s="82" t="s">
        <v>4205</v>
      </c>
      <c r="C1986" s="82" t="s">
        <v>282</v>
      </c>
      <c r="D1986" s="83">
        <f>SUMIFS(D1987:D6462,K1987:K6462,"0",B1987:B6462,"5 1 1 3 2 12 31111 6 M59 20300 000132 0000R 00001 00132 015 2111100 2024 CP1DE415 001*")-SUMIFS(E1987:E6462,K1987:K6462,"0",B1987:B6462,"5 1 1 3 2 12 31111 6 M59 20300 000132 0000R 00001 00132 015 2111100 2024 CP1DE415 001*")</f>
        <v>0</v>
      </c>
      <c r="E1986" s="54"/>
      <c r="F1986" s="83">
        <f>SUMIFS(F1987:F6462,K1987:K6462,"0",B1987:B6462,"5 1 1 3 2 12 31111 6 M59 20300 000132 0000R 00001 00132 015 2111100 2024 CP1DE415 001*")</f>
        <v>73455.53</v>
      </c>
      <c r="G1986" s="83">
        <f>SUMIFS(G1987:G6462,K1987:K6462,"0",B1987:B6462,"5 1 1 3 2 12 31111 6 M59 20300 000132 0000R 00001 00132 015 2111100 2024 CP1DE415 001*")</f>
        <v>0</v>
      </c>
      <c r="H1986" s="83">
        <f t="shared" si="31"/>
        <v>73455.53</v>
      </c>
      <c r="I1986" s="83"/>
      <c r="K1986" s="54" t="s">
        <v>15</v>
      </c>
    </row>
    <row r="1987" spans="2:11" ht="41.25" x14ac:dyDescent="0.2">
      <c r="B1987" s="84" t="s">
        <v>4206</v>
      </c>
      <c r="C1987" s="84" t="s">
        <v>1519</v>
      </c>
      <c r="D1987" s="85">
        <v>0</v>
      </c>
      <c r="E1987" s="85"/>
      <c r="F1987" s="85">
        <v>73455.53</v>
      </c>
      <c r="G1987" s="85">
        <v>0</v>
      </c>
      <c r="H1987" s="85">
        <f t="shared" si="31"/>
        <v>73455.53</v>
      </c>
      <c r="I1987" s="85"/>
      <c r="K1987" s="54" t="s">
        <v>38</v>
      </c>
    </row>
    <row r="1988" spans="2:11" ht="16.5" x14ac:dyDescent="0.2">
      <c r="B1988" s="82" t="s">
        <v>4207</v>
      </c>
      <c r="C1988" s="82" t="s">
        <v>3103</v>
      </c>
      <c r="D1988" s="83">
        <f>SUMIFS(D1989:D6462,K1989:K6462,"0",B1989:B6462,"5 1 1 3 2 12 31111 6 M59 20400*")-SUMIFS(E1989:E6462,K1989:K6462,"0",B1989:B6462,"5 1 1 3 2 12 31111 6 M59 20400*")</f>
        <v>0</v>
      </c>
      <c r="E1988" s="54"/>
      <c r="F1988" s="83">
        <f>SUMIFS(F1989:F6462,K1989:K6462,"0",B1989:B6462,"5 1 1 3 2 12 31111 6 M59 20400*")</f>
        <v>36410.620000000003</v>
      </c>
      <c r="G1988" s="83">
        <f>SUMIFS(G1989:G6462,K1989:K6462,"0",B1989:B6462,"5 1 1 3 2 12 31111 6 M59 20400*")</f>
        <v>0</v>
      </c>
      <c r="H1988" s="83">
        <f t="shared" si="31"/>
        <v>36410.620000000003</v>
      </c>
      <c r="I1988" s="83"/>
      <c r="K1988" s="54" t="s">
        <v>15</v>
      </c>
    </row>
    <row r="1989" spans="2:11" ht="16.5" x14ac:dyDescent="0.2">
      <c r="B1989" s="82" t="s">
        <v>4208</v>
      </c>
      <c r="C1989" s="82" t="s">
        <v>648</v>
      </c>
      <c r="D1989" s="83">
        <f>SUMIFS(D1990:D6462,K1990:K6462,"0",B1990:B6462,"5 1 1 3 2 12 31111 6 M59 20400 000132*")-SUMIFS(E1990:E6462,K1990:K6462,"0",B1990:B6462,"5 1 1 3 2 12 31111 6 M59 20400 000132*")</f>
        <v>0</v>
      </c>
      <c r="E1989" s="54"/>
      <c r="F1989" s="83">
        <f>SUMIFS(F1990:F6462,K1990:K6462,"0",B1990:B6462,"5 1 1 3 2 12 31111 6 M59 20400 000132*")</f>
        <v>36410.620000000003</v>
      </c>
      <c r="G1989" s="83">
        <f>SUMIFS(G1990:G6462,K1990:K6462,"0",B1990:B6462,"5 1 1 3 2 12 31111 6 M59 20400 000132*")</f>
        <v>0</v>
      </c>
      <c r="H1989" s="83">
        <f t="shared" si="31"/>
        <v>36410.620000000003</v>
      </c>
      <c r="I1989" s="83"/>
      <c r="K1989" s="54" t="s">
        <v>15</v>
      </c>
    </row>
    <row r="1990" spans="2:11" ht="24.75" x14ac:dyDescent="0.2">
      <c r="B1990" s="82" t="s">
        <v>4209</v>
      </c>
      <c r="C1990" s="82" t="s">
        <v>650</v>
      </c>
      <c r="D1990" s="83">
        <f>SUMIFS(D1991:D6462,K1991:K6462,"0",B1991:B6462,"5 1 1 3 2 12 31111 6 M59 20400 000132 0000R*")-SUMIFS(E1991:E6462,K1991:K6462,"0",B1991:B6462,"5 1 1 3 2 12 31111 6 M59 20400 000132 0000R*")</f>
        <v>0</v>
      </c>
      <c r="E1990" s="54"/>
      <c r="F1990" s="83">
        <f>SUMIFS(F1991:F6462,K1991:K6462,"0",B1991:B6462,"5 1 1 3 2 12 31111 6 M59 20400 000132 0000R*")</f>
        <v>36410.620000000003</v>
      </c>
      <c r="G1990" s="83">
        <f>SUMIFS(G1991:G6462,K1991:K6462,"0",B1991:B6462,"5 1 1 3 2 12 31111 6 M59 20400 000132 0000R*")</f>
        <v>0</v>
      </c>
      <c r="H1990" s="83">
        <f t="shared" si="31"/>
        <v>36410.620000000003</v>
      </c>
      <c r="I1990" s="83"/>
      <c r="K1990" s="54" t="s">
        <v>15</v>
      </c>
    </row>
    <row r="1991" spans="2:11" ht="24.75" x14ac:dyDescent="0.2">
      <c r="B1991" s="82" t="s">
        <v>4210</v>
      </c>
      <c r="C1991" s="82" t="s">
        <v>282</v>
      </c>
      <c r="D1991" s="83">
        <f>SUMIFS(D1992:D6462,K1992:K6462,"0",B1992:B6462,"5 1 1 3 2 12 31111 6 M59 20400 000132 0000R 00001*")-SUMIFS(E1992:E6462,K1992:K6462,"0",B1992:B6462,"5 1 1 3 2 12 31111 6 M59 20400 000132 0000R 00001*")</f>
        <v>0</v>
      </c>
      <c r="E1991" s="54"/>
      <c r="F1991" s="83">
        <f>SUMIFS(F1992:F6462,K1992:K6462,"0",B1992:B6462,"5 1 1 3 2 12 31111 6 M59 20400 000132 0000R 00001*")</f>
        <v>36410.620000000003</v>
      </c>
      <c r="G1991" s="83">
        <f>SUMIFS(G1992:G6462,K1992:K6462,"0",B1992:B6462,"5 1 1 3 2 12 31111 6 M59 20400 000132 0000R 00001*")</f>
        <v>0</v>
      </c>
      <c r="H1991" s="83">
        <f t="shared" si="31"/>
        <v>36410.620000000003</v>
      </c>
      <c r="I1991" s="83"/>
      <c r="K1991" s="54" t="s">
        <v>15</v>
      </c>
    </row>
    <row r="1992" spans="2:11" ht="24.75" x14ac:dyDescent="0.2">
      <c r="B1992" s="82" t="s">
        <v>4211</v>
      </c>
      <c r="C1992" s="82" t="s">
        <v>4041</v>
      </c>
      <c r="D1992" s="83">
        <f>SUMIFS(D1993:D6462,K1993:K6462,"0",B1993:B6462,"5 1 1 3 2 12 31111 6 M59 20400 000132 0000R 00001 00132*")-SUMIFS(E1993:E6462,K1993:K6462,"0",B1993:B6462,"5 1 1 3 2 12 31111 6 M59 20400 000132 0000R 00001 00132*")</f>
        <v>0</v>
      </c>
      <c r="E1992" s="54"/>
      <c r="F1992" s="83">
        <f>SUMIFS(F1993:F6462,K1993:K6462,"0",B1993:B6462,"5 1 1 3 2 12 31111 6 M59 20400 000132 0000R 00001 00132*")</f>
        <v>36410.620000000003</v>
      </c>
      <c r="G1992" s="83">
        <f>SUMIFS(G1993:G6462,K1993:K6462,"0",B1993:B6462,"5 1 1 3 2 12 31111 6 M59 20400 000132 0000R 00001 00132*")</f>
        <v>0</v>
      </c>
      <c r="H1992" s="83">
        <f t="shared" si="31"/>
        <v>36410.620000000003</v>
      </c>
      <c r="I1992" s="83"/>
      <c r="K1992" s="54" t="s">
        <v>15</v>
      </c>
    </row>
    <row r="1993" spans="2:11" ht="33" x14ac:dyDescent="0.2">
      <c r="B1993" s="82" t="s">
        <v>4212</v>
      </c>
      <c r="C1993" s="82" t="s">
        <v>1051</v>
      </c>
      <c r="D1993" s="83">
        <f>SUMIFS(D1994:D6462,K1994:K6462,"0",B1994:B6462,"5 1 1 3 2 12 31111 6 M59 20400 000132 0000R 00001 00132 015*")-SUMIFS(E1994:E6462,K1994:K6462,"0",B1994:B6462,"5 1 1 3 2 12 31111 6 M59 20400 000132 0000R 00001 00132 015*")</f>
        <v>0</v>
      </c>
      <c r="E1993" s="54"/>
      <c r="F1993" s="83">
        <f>SUMIFS(F1994:F6462,K1994:K6462,"0",B1994:B6462,"5 1 1 3 2 12 31111 6 M59 20400 000132 0000R 00001 00132 015*")</f>
        <v>36410.620000000003</v>
      </c>
      <c r="G1993" s="83">
        <f>SUMIFS(G1994:G6462,K1994:K6462,"0",B1994:B6462,"5 1 1 3 2 12 31111 6 M59 20400 000132 0000R 00001 00132 015*")</f>
        <v>0</v>
      </c>
      <c r="H1993" s="83">
        <f t="shared" si="31"/>
        <v>36410.620000000003</v>
      </c>
      <c r="I1993" s="83"/>
      <c r="K1993" s="54" t="s">
        <v>15</v>
      </c>
    </row>
    <row r="1994" spans="2:11" ht="33" x14ac:dyDescent="0.2">
      <c r="B1994" s="82" t="s">
        <v>4213</v>
      </c>
      <c r="C1994" s="82" t="s">
        <v>2927</v>
      </c>
      <c r="D1994" s="83">
        <f>SUMIFS(D1995:D6462,K1995:K6462,"0",B1995:B6462,"5 1 1 3 2 12 31111 6 M59 20400 000132 0000R 00001 00132 015 2111100*")-SUMIFS(E1995:E6462,K1995:K6462,"0",B1995:B6462,"5 1 1 3 2 12 31111 6 M59 20400 000132 0000R 00001 00132 015 2111100*")</f>
        <v>0</v>
      </c>
      <c r="E1994" s="54"/>
      <c r="F1994" s="83">
        <f>SUMIFS(F1995:F6462,K1995:K6462,"0",B1995:B6462,"5 1 1 3 2 12 31111 6 M59 20400 000132 0000R 00001 00132 015 2111100*")</f>
        <v>36410.620000000003</v>
      </c>
      <c r="G1994" s="83">
        <f>SUMIFS(G1995:G6462,K1995:K6462,"0",B1995:B6462,"5 1 1 3 2 12 31111 6 M59 20400 000132 0000R 00001 00132 015 2111100*")</f>
        <v>0</v>
      </c>
      <c r="H1994" s="83">
        <f t="shared" si="31"/>
        <v>36410.620000000003</v>
      </c>
      <c r="I1994" s="83"/>
      <c r="K1994" s="54" t="s">
        <v>15</v>
      </c>
    </row>
    <row r="1995" spans="2:11" ht="33" x14ac:dyDescent="0.2">
      <c r="B1995" s="82" t="s">
        <v>4214</v>
      </c>
      <c r="C1995" s="82" t="s">
        <v>660</v>
      </c>
      <c r="D1995" s="83">
        <f>SUMIFS(D1996:D6462,K1996:K6462,"0",B1996:B6462,"5 1 1 3 2 12 31111 6 M59 20400 000132 0000R 00001 00132 015 2111100 2024*")-SUMIFS(E1996:E6462,K1996:K6462,"0",B1996:B6462,"5 1 1 3 2 12 31111 6 M59 20400 000132 0000R 00001 00132 015 2111100 2024*")</f>
        <v>0</v>
      </c>
      <c r="E1995" s="54"/>
      <c r="F1995" s="83">
        <f>SUMIFS(F1996:F6462,K1996:K6462,"0",B1996:B6462,"5 1 1 3 2 12 31111 6 M59 20400 000132 0000R 00001 00132 015 2111100 2024*")</f>
        <v>36410.620000000003</v>
      </c>
      <c r="G1995" s="83">
        <f>SUMIFS(G1996:G6462,K1996:K6462,"0",B1996:B6462,"5 1 1 3 2 12 31111 6 M59 20400 000132 0000R 00001 00132 015 2111100 2024*")</f>
        <v>0</v>
      </c>
      <c r="H1995" s="83">
        <f t="shared" si="31"/>
        <v>36410.620000000003</v>
      </c>
      <c r="I1995" s="83"/>
      <c r="K1995" s="54" t="s">
        <v>15</v>
      </c>
    </row>
    <row r="1996" spans="2:11" ht="41.25" x14ac:dyDescent="0.2">
      <c r="B1996" s="82" t="s">
        <v>4215</v>
      </c>
      <c r="C1996" s="82" t="s">
        <v>1056</v>
      </c>
      <c r="D1996" s="83">
        <f>SUMIFS(D1997:D6462,K1997:K6462,"0",B1997:B6462,"5 1 1 3 2 12 31111 6 M59 20400 000132 0000R 00001 00132 015 2111100 2024 CP1PV404*")-SUMIFS(E1997:E6462,K1997:K6462,"0",B1997:B6462,"5 1 1 3 2 12 31111 6 M59 20400 000132 0000R 00001 00132 015 2111100 2024 CP1PV404*")</f>
        <v>0</v>
      </c>
      <c r="E1996" s="54"/>
      <c r="F1996" s="83">
        <f>SUMIFS(F1997:F6462,K1997:K6462,"0",B1997:B6462,"5 1 1 3 2 12 31111 6 M59 20400 000132 0000R 00001 00132 015 2111100 2024 CP1PV404*")</f>
        <v>36410.620000000003</v>
      </c>
      <c r="G1996" s="83">
        <f>SUMIFS(G1997:G6462,K1997:K6462,"0",B1997:B6462,"5 1 1 3 2 12 31111 6 M59 20400 000132 0000R 00001 00132 015 2111100 2024 CP1PV404*")</f>
        <v>0</v>
      </c>
      <c r="H1996" s="83">
        <f t="shared" si="31"/>
        <v>36410.620000000003</v>
      </c>
      <c r="I1996" s="83"/>
      <c r="K1996" s="54" t="s">
        <v>15</v>
      </c>
    </row>
    <row r="1997" spans="2:11" ht="41.25" x14ac:dyDescent="0.2">
      <c r="B1997" s="82" t="s">
        <v>4216</v>
      </c>
      <c r="C1997" s="82" t="s">
        <v>282</v>
      </c>
      <c r="D1997" s="83">
        <f>SUMIFS(D1998:D6462,K1998:K6462,"0",B1998:B6462,"5 1 1 3 2 12 31111 6 M59 20400 000132 0000R 00001 00132 015 2111100 2024 CP1PV404 001*")-SUMIFS(E1998:E6462,K1998:K6462,"0",B1998:B6462,"5 1 1 3 2 12 31111 6 M59 20400 000132 0000R 00001 00132 015 2111100 2024 CP1PV404 001*")</f>
        <v>0</v>
      </c>
      <c r="E1997" s="54"/>
      <c r="F1997" s="83">
        <f>SUMIFS(F1998:F6462,K1998:K6462,"0",B1998:B6462,"5 1 1 3 2 12 31111 6 M59 20400 000132 0000R 00001 00132 015 2111100 2024 CP1PV404 001*")</f>
        <v>36410.620000000003</v>
      </c>
      <c r="G1997" s="83">
        <f>SUMIFS(G1998:G6462,K1998:K6462,"0",B1998:B6462,"5 1 1 3 2 12 31111 6 M59 20400 000132 0000R 00001 00132 015 2111100 2024 CP1PV404 001*")</f>
        <v>0</v>
      </c>
      <c r="H1997" s="83">
        <f t="shared" si="31"/>
        <v>36410.620000000003</v>
      </c>
      <c r="I1997" s="83"/>
      <c r="K1997" s="54" t="s">
        <v>15</v>
      </c>
    </row>
    <row r="1998" spans="2:11" ht="41.25" x14ac:dyDescent="0.2">
      <c r="B1998" s="84" t="s">
        <v>4217</v>
      </c>
      <c r="C1998" s="84" t="s">
        <v>1519</v>
      </c>
      <c r="D1998" s="85">
        <v>0</v>
      </c>
      <c r="E1998" s="85"/>
      <c r="F1998" s="85">
        <v>36410.620000000003</v>
      </c>
      <c r="G1998" s="85">
        <v>0</v>
      </c>
      <c r="H1998" s="85">
        <f t="shared" si="31"/>
        <v>36410.620000000003</v>
      </c>
      <c r="I1998" s="85"/>
      <c r="K1998" s="54" t="s">
        <v>38</v>
      </c>
    </row>
    <row r="1999" spans="2:11" ht="16.5" x14ac:dyDescent="0.2">
      <c r="B1999" s="82" t="s">
        <v>4218</v>
      </c>
      <c r="C1999" s="82" t="s">
        <v>1079</v>
      </c>
      <c r="D1999" s="83">
        <f>SUMIFS(D2000:D6462,K2000:K6462,"0",B2000:B6462,"5 1 1 3 2 12 31111 6 M59 20500*")-SUMIFS(E2000:E6462,K2000:K6462,"0",B2000:B6462,"5 1 1 3 2 12 31111 6 M59 20500*")</f>
        <v>0</v>
      </c>
      <c r="E1999" s="54"/>
      <c r="F1999" s="83">
        <f>SUMIFS(F2000:F6462,K2000:K6462,"0",B2000:B6462,"5 1 1 3 2 12 31111 6 M59 20500*")</f>
        <v>70880.66</v>
      </c>
      <c r="G1999" s="83">
        <f>SUMIFS(G2000:G6462,K2000:K6462,"0",B2000:B6462,"5 1 1 3 2 12 31111 6 M59 20500*")</f>
        <v>0</v>
      </c>
      <c r="H1999" s="83">
        <f t="shared" si="31"/>
        <v>70880.66</v>
      </c>
      <c r="I1999" s="83"/>
      <c r="K1999" s="54" t="s">
        <v>15</v>
      </c>
    </row>
    <row r="2000" spans="2:11" ht="16.5" x14ac:dyDescent="0.2">
      <c r="B2000" s="82" t="s">
        <v>4219</v>
      </c>
      <c r="C2000" s="82" t="s">
        <v>648</v>
      </c>
      <c r="D2000" s="83">
        <f>SUMIFS(D2001:D6462,K2001:K6462,"0",B2001:B6462,"5 1 1 3 2 12 31111 6 M59 20500 000132*")-SUMIFS(E2001:E6462,K2001:K6462,"0",B2001:B6462,"5 1 1 3 2 12 31111 6 M59 20500 000132*")</f>
        <v>0</v>
      </c>
      <c r="E2000" s="54"/>
      <c r="F2000" s="83">
        <f>SUMIFS(F2001:F6462,K2001:K6462,"0",B2001:B6462,"5 1 1 3 2 12 31111 6 M59 20500 000132*")</f>
        <v>70880.66</v>
      </c>
      <c r="G2000" s="83">
        <f>SUMIFS(G2001:G6462,K2001:K6462,"0",B2001:B6462,"5 1 1 3 2 12 31111 6 M59 20500 000132*")</f>
        <v>0</v>
      </c>
      <c r="H2000" s="83">
        <f t="shared" si="31"/>
        <v>70880.66</v>
      </c>
      <c r="I2000" s="83"/>
      <c r="K2000" s="54" t="s">
        <v>15</v>
      </c>
    </row>
    <row r="2001" spans="2:11" ht="24.75" x14ac:dyDescent="0.2">
      <c r="B2001" s="82" t="s">
        <v>4220</v>
      </c>
      <c r="C2001" s="82" t="s">
        <v>650</v>
      </c>
      <c r="D2001" s="83">
        <f>SUMIFS(D2002:D6462,K2002:K6462,"0",B2002:B6462,"5 1 1 3 2 12 31111 6 M59 20500 000132 0000R*")-SUMIFS(E2002:E6462,K2002:K6462,"0",B2002:B6462,"5 1 1 3 2 12 31111 6 M59 20500 000132 0000R*")</f>
        <v>0</v>
      </c>
      <c r="E2001" s="54"/>
      <c r="F2001" s="83">
        <f>SUMIFS(F2002:F6462,K2002:K6462,"0",B2002:B6462,"5 1 1 3 2 12 31111 6 M59 20500 000132 0000R*")</f>
        <v>70880.66</v>
      </c>
      <c r="G2001" s="83">
        <f>SUMIFS(G2002:G6462,K2002:K6462,"0",B2002:B6462,"5 1 1 3 2 12 31111 6 M59 20500 000132 0000R*")</f>
        <v>0</v>
      </c>
      <c r="H2001" s="83">
        <f t="shared" si="31"/>
        <v>70880.66</v>
      </c>
      <c r="I2001" s="83"/>
      <c r="K2001" s="54" t="s">
        <v>15</v>
      </c>
    </row>
    <row r="2002" spans="2:11" ht="24.75" x14ac:dyDescent="0.2">
      <c r="B2002" s="82" t="s">
        <v>4221</v>
      </c>
      <c r="C2002" s="82" t="s">
        <v>282</v>
      </c>
      <c r="D2002" s="83">
        <f>SUMIFS(D2003:D6462,K2003:K6462,"0",B2003:B6462,"5 1 1 3 2 12 31111 6 M59 20500 000132 0000R 00001*")-SUMIFS(E2003:E6462,K2003:K6462,"0",B2003:B6462,"5 1 1 3 2 12 31111 6 M59 20500 000132 0000R 00001*")</f>
        <v>0</v>
      </c>
      <c r="E2002" s="54"/>
      <c r="F2002" s="83">
        <f>SUMIFS(F2003:F6462,K2003:K6462,"0",B2003:B6462,"5 1 1 3 2 12 31111 6 M59 20500 000132 0000R 00001*")</f>
        <v>70880.66</v>
      </c>
      <c r="G2002" s="83">
        <f>SUMIFS(G2003:G6462,K2003:K6462,"0",B2003:B6462,"5 1 1 3 2 12 31111 6 M59 20500 000132 0000R 00001*")</f>
        <v>0</v>
      </c>
      <c r="H2002" s="83">
        <f t="shared" si="31"/>
        <v>70880.66</v>
      </c>
      <c r="I2002" s="83"/>
      <c r="K2002" s="54" t="s">
        <v>15</v>
      </c>
    </row>
    <row r="2003" spans="2:11" ht="24.75" x14ac:dyDescent="0.2">
      <c r="B2003" s="82" t="s">
        <v>4222</v>
      </c>
      <c r="C2003" s="82" t="s">
        <v>4041</v>
      </c>
      <c r="D2003" s="83">
        <f>SUMIFS(D2004:D6462,K2004:K6462,"0",B2004:B6462,"5 1 1 3 2 12 31111 6 M59 20500 000132 0000R 00001 00132*")-SUMIFS(E2004:E6462,K2004:K6462,"0",B2004:B6462,"5 1 1 3 2 12 31111 6 M59 20500 000132 0000R 00001 00132*")</f>
        <v>0</v>
      </c>
      <c r="E2003" s="54"/>
      <c r="F2003" s="83">
        <f>SUMIFS(F2004:F6462,K2004:K6462,"0",B2004:B6462,"5 1 1 3 2 12 31111 6 M59 20500 000132 0000R 00001 00132*")</f>
        <v>70880.66</v>
      </c>
      <c r="G2003" s="83">
        <f>SUMIFS(G2004:G6462,K2004:K6462,"0",B2004:B6462,"5 1 1 3 2 12 31111 6 M59 20500 000132 0000R 00001 00132*")</f>
        <v>0</v>
      </c>
      <c r="H2003" s="83">
        <f t="shared" si="31"/>
        <v>70880.66</v>
      </c>
      <c r="I2003" s="83"/>
      <c r="K2003" s="54" t="s">
        <v>15</v>
      </c>
    </row>
    <row r="2004" spans="2:11" ht="33" x14ac:dyDescent="0.2">
      <c r="B2004" s="82" t="s">
        <v>4223</v>
      </c>
      <c r="C2004" s="82" t="s">
        <v>1051</v>
      </c>
      <c r="D2004" s="83">
        <f>SUMIFS(D2005:D6462,K2005:K6462,"0",B2005:B6462,"5 1 1 3 2 12 31111 6 M59 20500 000132 0000R 00001 00132 015*")-SUMIFS(E2005:E6462,K2005:K6462,"0",B2005:B6462,"5 1 1 3 2 12 31111 6 M59 20500 000132 0000R 00001 00132 015*")</f>
        <v>0</v>
      </c>
      <c r="E2004" s="54"/>
      <c r="F2004" s="83">
        <f>SUMIFS(F2005:F6462,K2005:K6462,"0",B2005:B6462,"5 1 1 3 2 12 31111 6 M59 20500 000132 0000R 00001 00132 015*")</f>
        <v>70880.66</v>
      </c>
      <c r="G2004" s="83">
        <f>SUMIFS(G2005:G6462,K2005:K6462,"0",B2005:B6462,"5 1 1 3 2 12 31111 6 M59 20500 000132 0000R 00001 00132 015*")</f>
        <v>0</v>
      </c>
      <c r="H2004" s="83">
        <f t="shared" si="31"/>
        <v>70880.66</v>
      </c>
      <c r="I2004" s="83"/>
      <c r="K2004" s="54" t="s">
        <v>15</v>
      </c>
    </row>
    <row r="2005" spans="2:11" ht="33" x14ac:dyDescent="0.2">
      <c r="B2005" s="82" t="s">
        <v>4224</v>
      </c>
      <c r="C2005" s="82" t="s">
        <v>2927</v>
      </c>
      <c r="D2005" s="83">
        <f>SUMIFS(D2006:D6462,K2006:K6462,"0",B2006:B6462,"5 1 1 3 2 12 31111 6 M59 20500 000132 0000R 00001 00132 015 2111100*")-SUMIFS(E2006:E6462,K2006:K6462,"0",B2006:B6462,"5 1 1 3 2 12 31111 6 M59 20500 000132 0000R 00001 00132 015 2111100*")</f>
        <v>0</v>
      </c>
      <c r="E2005" s="54"/>
      <c r="F2005" s="83">
        <f>SUMIFS(F2006:F6462,K2006:K6462,"0",B2006:B6462,"5 1 1 3 2 12 31111 6 M59 20500 000132 0000R 00001 00132 015 2111100*")</f>
        <v>70880.66</v>
      </c>
      <c r="G2005" s="83">
        <f>SUMIFS(G2006:G6462,K2006:K6462,"0",B2006:B6462,"5 1 1 3 2 12 31111 6 M59 20500 000132 0000R 00001 00132 015 2111100*")</f>
        <v>0</v>
      </c>
      <c r="H2005" s="83">
        <f t="shared" si="31"/>
        <v>70880.66</v>
      </c>
      <c r="I2005" s="83"/>
      <c r="K2005" s="54" t="s">
        <v>15</v>
      </c>
    </row>
    <row r="2006" spans="2:11" ht="33" x14ac:dyDescent="0.2">
      <c r="B2006" s="82" t="s">
        <v>4225</v>
      </c>
      <c r="C2006" s="82" t="s">
        <v>660</v>
      </c>
      <c r="D2006" s="83">
        <f>SUMIFS(D2007:D6462,K2007:K6462,"0",B2007:B6462,"5 1 1 3 2 12 31111 6 M59 20500 000132 0000R 00001 00132 015 2111100 2024*")-SUMIFS(E2007:E6462,K2007:K6462,"0",B2007:B6462,"5 1 1 3 2 12 31111 6 M59 20500 000132 0000R 00001 00132 015 2111100 2024*")</f>
        <v>0</v>
      </c>
      <c r="E2006" s="54"/>
      <c r="F2006" s="83">
        <f>SUMIFS(F2007:F6462,K2007:K6462,"0",B2007:B6462,"5 1 1 3 2 12 31111 6 M59 20500 000132 0000R 00001 00132 015 2111100 2024*")</f>
        <v>70880.66</v>
      </c>
      <c r="G2006" s="83">
        <f>SUMIFS(G2007:G6462,K2007:K6462,"0",B2007:B6462,"5 1 1 3 2 12 31111 6 M59 20500 000132 0000R 00001 00132 015 2111100 2024*")</f>
        <v>0</v>
      </c>
      <c r="H2006" s="83">
        <f t="shared" si="31"/>
        <v>70880.66</v>
      </c>
      <c r="I2006" s="83"/>
      <c r="K2006" s="54" t="s">
        <v>15</v>
      </c>
    </row>
    <row r="2007" spans="2:11" ht="41.25" x14ac:dyDescent="0.2">
      <c r="B2007" s="82" t="s">
        <v>4226</v>
      </c>
      <c r="C2007" s="82" t="s">
        <v>1056</v>
      </c>
      <c r="D2007" s="83">
        <f>SUMIFS(D2008:D6462,K2008:K6462,"0",B2008:B6462,"5 1 1 3 2 12 31111 6 M59 20500 000132 0000R 00001 00132 015 2111100 2024 CP1CP420*")-SUMIFS(E2008:E6462,K2008:K6462,"0",B2008:B6462,"5 1 1 3 2 12 31111 6 M59 20500 000132 0000R 00001 00132 015 2111100 2024 CP1CP420*")</f>
        <v>0</v>
      </c>
      <c r="E2007" s="54"/>
      <c r="F2007" s="83">
        <f>SUMIFS(F2008:F6462,K2008:K6462,"0",B2008:B6462,"5 1 1 3 2 12 31111 6 M59 20500 000132 0000R 00001 00132 015 2111100 2024 CP1CP420*")</f>
        <v>70880.66</v>
      </c>
      <c r="G2007" s="83">
        <f>SUMIFS(G2008:G6462,K2008:K6462,"0",B2008:B6462,"5 1 1 3 2 12 31111 6 M59 20500 000132 0000R 00001 00132 015 2111100 2024 CP1CP420*")</f>
        <v>0</v>
      </c>
      <c r="H2007" s="83">
        <f t="shared" si="31"/>
        <v>70880.66</v>
      </c>
      <c r="I2007" s="83"/>
      <c r="K2007" s="54" t="s">
        <v>15</v>
      </c>
    </row>
    <row r="2008" spans="2:11" ht="41.25" x14ac:dyDescent="0.2">
      <c r="B2008" s="82" t="s">
        <v>4227</v>
      </c>
      <c r="C2008" s="82" t="s">
        <v>282</v>
      </c>
      <c r="D2008" s="83">
        <f>SUMIFS(D2009:D6462,K2009:K6462,"0",B2009:B6462,"5 1 1 3 2 12 31111 6 M59 20500 000132 0000R 00001 00132 015 2111100 2024 CP1CP420 001*")-SUMIFS(E2009:E6462,K2009:K6462,"0",B2009:B6462,"5 1 1 3 2 12 31111 6 M59 20500 000132 0000R 00001 00132 015 2111100 2024 CP1CP420 001*")</f>
        <v>0</v>
      </c>
      <c r="E2008" s="54"/>
      <c r="F2008" s="83">
        <f>SUMIFS(F2009:F6462,K2009:K6462,"0",B2009:B6462,"5 1 1 3 2 12 31111 6 M59 20500 000132 0000R 00001 00132 015 2111100 2024 CP1CP420 001*")</f>
        <v>70880.66</v>
      </c>
      <c r="G2008" s="83">
        <f>SUMIFS(G2009:G6462,K2009:K6462,"0",B2009:B6462,"5 1 1 3 2 12 31111 6 M59 20500 000132 0000R 00001 00132 015 2111100 2024 CP1CP420 001*")</f>
        <v>0</v>
      </c>
      <c r="H2008" s="83">
        <f t="shared" si="31"/>
        <v>70880.66</v>
      </c>
      <c r="I2008" s="83"/>
      <c r="K2008" s="54" t="s">
        <v>15</v>
      </c>
    </row>
    <row r="2009" spans="2:11" ht="33" x14ac:dyDescent="0.2">
      <c r="B2009" s="84" t="s">
        <v>4228</v>
      </c>
      <c r="C2009" s="84" t="s">
        <v>1519</v>
      </c>
      <c r="D2009" s="85">
        <v>0</v>
      </c>
      <c r="E2009" s="85"/>
      <c r="F2009" s="85">
        <v>66754.33</v>
      </c>
      <c r="G2009" s="85">
        <v>0</v>
      </c>
      <c r="H2009" s="85">
        <f t="shared" si="31"/>
        <v>66754.33</v>
      </c>
      <c r="I2009" s="85"/>
      <c r="K2009" s="54" t="s">
        <v>38</v>
      </c>
    </row>
    <row r="2010" spans="2:11" ht="33" x14ac:dyDescent="0.2">
      <c r="B2010" s="84" t="s">
        <v>4229</v>
      </c>
      <c r="C2010" s="84" t="s">
        <v>4071</v>
      </c>
      <c r="D2010" s="85">
        <v>0</v>
      </c>
      <c r="E2010" s="85"/>
      <c r="F2010" s="85">
        <v>4126.33</v>
      </c>
      <c r="G2010" s="85">
        <v>0</v>
      </c>
      <c r="H2010" s="85">
        <f t="shared" si="31"/>
        <v>4126.33</v>
      </c>
      <c r="I2010" s="85"/>
      <c r="K2010" s="54" t="s">
        <v>38</v>
      </c>
    </row>
    <row r="2011" spans="2:11" ht="16.5" x14ac:dyDescent="0.2">
      <c r="B2011" s="82" t="s">
        <v>4230</v>
      </c>
      <c r="C2011" s="82" t="s">
        <v>3126</v>
      </c>
      <c r="D2011" s="83">
        <f>SUMIFS(D2012:D6462,K2012:K6462,"0",B2012:B6462,"5 1 1 3 2 12 31111 6 M59 20600*")-SUMIFS(E2012:E6462,K2012:K6462,"0",B2012:B6462,"5 1 1 3 2 12 31111 6 M59 20600*")</f>
        <v>0</v>
      </c>
      <c r="E2011" s="54"/>
      <c r="F2011" s="83">
        <f>SUMIFS(F2012:F6462,K2012:K6462,"0",B2012:B6462,"5 1 1 3 2 12 31111 6 M59 20600*")</f>
        <v>58175.88</v>
      </c>
      <c r="G2011" s="83">
        <f>SUMIFS(G2012:G6462,K2012:K6462,"0",B2012:B6462,"5 1 1 3 2 12 31111 6 M59 20600*")</f>
        <v>0</v>
      </c>
      <c r="H2011" s="83">
        <f t="shared" si="31"/>
        <v>58175.88</v>
      </c>
      <c r="I2011" s="83"/>
      <c r="K2011" s="54" t="s">
        <v>15</v>
      </c>
    </row>
    <row r="2012" spans="2:11" ht="16.5" x14ac:dyDescent="0.2">
      <c r="B2012" s="82" t="s">
        <v>4231</v>
      </c>
      <c r="C2012" s="82" t="s">
        <v>648</v>
      </c>
      <c r="D2012" s="83">
        <f>SUMIFS(D2013:D6462,K2013:K6462,"0",B2013:B6462,"5 1 1 3 2 12 31111 6 M59 20600 000132*")-SUMIFS(E2013:E6462,K2013:K6462,"0",B2013:B6462,"5 1 1 3 2 12 31111 6 M59 20600 000132*")</f>
        <v>0</v>
      </c>
      <c r="E2012" s="54"/>
      <c r="F2012" s="83">
        <f>SUMIFS(F2013:F6462,K2013:K6462,"0",B2013:B6462,"5 1 1 3 2 12 31111 6 M59 20600 000132*")</f>
        <v>58175.88</v>
      </c>
      <c r="G2012" s="83">
        <f>SUMIFS(G2013:G6462,K2013:K6462,"0",B2013:B6462,"5 1 1 3 2 12 31111 6 M59 20600 000132*")</f>
        <v>0</v>
      </c>
      <c r="H2012" s="83">
        <f t="shared" si="31"/>
        <v>58175.88</v>
      </c>
      <c r="I2012" s="83"/>
      <c r="K2012" s="54" t="s">
        <v>15</v>
      </c>
    </row>
    <row r="2013" spans="2:11" ht="24.75" x14ac:dyDescent="0.2">
      <c r="B2013" s="82" t="s">
        <v>4232</v>
      </c>
      <c r="C2013" s="82" t="s">
        <v>650</v>
      </c>
      <c r="D2013" s="83">
        <f>SUMIFS(D2014:D6462,K2014:K6462,"0",B2014:B6462,"5 1 1 3 2 12 31111 6 M59 20600 000132 0000R*")-SUMIFS(E2014:E6462,K2014:K6462,"0",B2014:B6462,"5 1 1 3 2 12 31111 6 M59 20600 000132 0000R*")</f>
        <v>0</v>
      </c>
      <c r="E2013" s="54"/>
      <c r="F2013" s="83">
        <f>SUMIFS(F2014:F6462,K2014:K6462,"0",B2014:B6462,"5 1 1 3 2 12 31111 6 M59 20600 000132 0000R*")</f>
        <v>58175.88</v>
      </c>
      <c r="G2013" s="83">
        <f>SUMIFS(G2014:G6462,K2014:K6462,"0",B2014:B6462,"5 1 1 3 2 12 31111 6 M59 20600 000132 0000R*")</f>
        <v>0</v>
      </c>
      <c r="H2013" s="83">
        <f t="shared" si="31"/>
        <v>58175.88</v>
      </c>
      <c r="I2013" s="83"/>
      <c r="K2013" s="54" t="s">
        <v>15</v>
      </c>
    </row>
    <row r="2014" spans="2:11" ht="24.75" x14ac:dyDescent="0.2">
      <c r="B2014" s="82" t="s">
        <v>4233</v>
      </c>
      <c r="C2014" s="82" t="s">
        <v>282</v>
      </c>
      <c r="D2014" s="83">
        <f>SUMIFS(D2015:D6462,K2015:K6462,"0",B2015:B6462,"5 1 1 3 2 12 31111 6 M59 20600 000132 0000R 00001*")-SUMIFS(E2015:E6462,K2015:K6462,"0",B2015:B6462,"5 1 1 3 2 12 31111 6 M59 20600 000132 0000R 00001*")</f>
        <v>0</v>
      </c>
      <c r="E2014" s="54"/>
      <c r="F2014" s="83">
        <f>SUMIFS(F2015:F6462,K2015:K6462,"0",B2015:B6462,"5 1 1 3 2 12 31111 6 M59 20600 000132 0000R 00001*")</f>
        <v>58175.88</v>
      </c>
      <c r="G2014" s="83">
        <f>SUMIFS(G2015:G6462,K2015:K6462,"0",B2015:B6462,"5 1 1 3 2 12 31111 6 M59 20600 000132 0000R 00001*")</f>
        <v>0</v>
      </c>
      <c r="H2014" s="83">
        <f t="shared" si="31"/>
        <v>58175.88</v>
      </c>
      <c r="I2014" s="83"/>
      <c r="K2014" s="54" t="s">
        <v>15</v>
      </c>
    </row>
    <row r="2015" spans="2:11" ht="24.75" x14ac:dyDescent="0.2">
      <c r="B2015" s="82" t="s">
        <v>4234</v>
      </c>
      <c r="C2015" s="82" t="s">
        <v>4041</v>
      </c>
      <c r="D2015" s="83">
        <f>SUMIFS(D2016:D6462,K2016:K6462,"0",B2016:B6462,"5 1 1 3 2 12 31111 6 M59 20600 000132 0000R 00001 00132*")-SUMIFS(E2016:E6462,K2016:K6462,"0",B2016:B6462,"5 1 1 3 2 12 31111 6 M59 20600 000132 0000R 00001 00132*")</f>
        <v>0</v>
      </c>
      <c r="E2015" s="54"/>
      <c r="F2015" s="83">
        <f>SUMIFS(F2016:F6462,K2016:K6462,"0",B2016:B6462,"5 1 1 3 2 12 31111 6 M59 20600 000132 0000R 00001 00132*")</f>
        <v>58175.88</v>
      </c>
      <c r="G2015" s="83">
        <f>SUMIFS(G2016:G6462,K2016:K6462,"0",B2016:B6462,"5 1 1 3 2 12 31111 6 M59 20600 000132 0000R 00001 00132*")</f>
        <v>0</v>
      </c>
      <c r="H2015" s="83">
        <f t="shared" si="31"/>
        <v>58175.88</v>
      </c>
      <c r="I2015" s="83"/>
      <c r="K2015" s="54" t="s">
        <v>15</v>
      </c>
    </row>
    <row r="2016" spans="2:11" ht="33" x14ac:dyDescent="0.2">
      <c r="B2016" s="82" t="s">
        <v>4235</v>
      </c>
      <c r="C2016" s="82" t="s">
        <v>1051</v>
      </c>
      <c r="D2016" s="83">
        <f>SUMIFS(D2017:D6462,K2017:K6462,"0",B2017:B6462,"5 1 1 3 2 12 31111 6 M59 20600 000132 0000R 00001 00132 015*")-SUMIFS(E2017:E6462,K2017:K6462,"0",B2017:B6462,"5 1 1 3 2 12 31111 6 M59 20600 000132 0000R 00001 00132 015*")</f>
        <v>0</v>
      </c>
      <c r="E2016" s="54"/>
      <c r="F2016" s="83">
        <f>SUMIFS(F2017:F6462,K2017:K6462,"0",B2017:B6462,"5 1 1 3 2 12 31111 6 M59 20600 000132 0000R 00001 00132 015*")</f>
        <v>58175.88</v>
      </c>
      <c r="G2016" s="83">
        <f>SUMIFS(G2017:G6462,K2017:K6462,"0",B2017:B6462,"5 1 1 3 2 12 31111 6 M59 20600 000132 0000R 00001 00132 015*")</f>
        <v>0</v>
      </c>
      <c r="H2016" s="83">
        <f t="shared" si="31"/>
        <v>58175.88</v>
      </c>
      <c r="I2016" s="83"/>
      <c r="K2016" s="54" t="s">
        <v>15</v>
      </c>
    </row>
    <row r="2017" spans="2:11" ht="33" x14ac:dyDescent="0.2">
      <c r="B2017" s="82" t="s">
        <v>4236</v>
      </c>
      <c r="C2017" s="82" t="s">
        <v>2927</v>
      </c>
      <c r="D2017" s="83">
        <f>SUMIFS(D2018:D6462,K2018:K6462,"0",B2018:B6462,"5 1 1 3 2 12 31111 6 M59 20600 000132 0000R 00001 00132 015 2111100*")-SUMIFS(E2018:E6462,K2018:K6462,"0",B2018:B6462,"5 1 1 3 2 12 31111 6 M59 20600 000132 0000R 00001 00132 015 2111100*")</f>
        <v>0</v>
      </c>
      <c r="E2017" s="54"/>
      <c r="F2017" s="83">
        <f>SUMIFS(F2018:F6462,K2018:K6462,"0",B2018:B6462,"5 1 1 3 2 12 31111 6 M59 20600 000132 0000R 00001 00132 015 2111100*")</f>
        <v>58175.88</v>
      </c>
      <c r="G2017" s="83">
        <f>SUMIFS(G2018:G6462,K2018:K6462,"0",B2018:B6462,"5 1 1 3 2 12 31111 6 M59 20600 000132 0000R 00001 00132 015 2111100*")</f>
        <v>0</v>
      </c>
      <c r="H2017" s="83">
        <f t="shared" si="31"/>
        <v>58175.88</v>
      </c>
      <c r="I2017" s="83"/>
      <c r="K2017" s="54" t="s">
        <v>15</v>
      </c>
    </row>
    <row r="2018" spans="2:11" ht="33" x14ac:dyDescent="0.2">
      <c r="B2018" s="82" t="s">
        <v>4237</v>
      </c>
      <c r="C2018" s="82" t="s">
        <v>660</v>
      </c>
      <c r="D2018" s="83">
        <f>SUMIFS(D2019:D6462,K2019:K6462,"0",B2019:B6462,"5 1 1 3 2 12 31111 6 M59 20600 000132 0000R 00001 00132 015 2111100 2024*")-SUMIFS(E2019:E6462,K2019:K6462,"0",B2019:B6462,"5 1 1 3 2 12 31111 6 M59 20600 000132 0000R 00001 00132 015 2111100 2024*")</f>
        <v>0</v>
      </c>
      <c r="E2018" s="54"/>
      <c r="F2018" s="83">
        <f>SUMIFS(F2019:F6462,K2019:K6462,"0",B2019:B6462,"5 1 1 3 2 12 31111 6 M59 20600 000132 0000R 00001 00132 015 2111100 2024*")</f>
        <v>58175.88</v>
      </c>
      <c r="G2018" s="83">
        <f>SUMIFS(G2019:G6462,K2019:K6462,"0",B2019:B6462,"5 1 1 3 2 12 31111 6 M59 20600 000132 0000R 00001 00132 015 2111100 2024*")</f>
        <v>0</v>
      </c>
      <c r="H2018" s="83">
        <f t="shared" si="31"/>
        <v>58175.88</v>
      </c>
      <c r="I2018" s="83"/>
      <c r="K2018" s="54" t="s">
        <v>15</v>
      </c>
    </row>
    <row r="2019" spans="2:11" ht="41.25" x14ac:dyDescent="0.2">
      <c r="B2019" s="82" t="s">
        <v>4238</v>
      </c>
      <c r="C2019" s="82" t="s">
        <v>1056</v>
      </c>
      <c r="D2019" s="83">
        <f>SUMIFS(D2020:D6462,K2020:K6462,"0",B2020:B6462,"5 1 1 3 2 12 31111 6 M59 20600 000132 0000R 00001 00132 015 2111100 2024 CP1CA380*")-SUMIFS(E2020:E6462,K2020:K6462,"0",B2020:B6462,"5 1 1 3 2 12 31111 6 M59 20600 000132 0000R 00001 00132 015 2111100 2024 CP1CA380*")</f>
        <v>0</v>
      </c>
      <c r="E2019" s="54"/>
      <c r="F2019" s="83">
        <f>SUMIFS(F2020:F6462,K2020:K6462,"0",B2020:B6462,"5 1 1 3 2 12 31111 6 M59 20600 000132 0000R 00001 00132 015 2111100 2024 CP1CA380*")</f>
        <v>58175.88</v>
      </c>
      <c r="G2019" s="83">
        <f>SUMIFS(G2020:G6462,K2020:K6462,"0",B2020:B6462,"5 1 1 3 2 12 31111 6 M59 20600 000132 0000R 00001 00132 015 2111100 2024 CP1CA380*")</f>
        <v>0</v>
      </c>
      <c r="H2019" s="83">
        <f t="shared" si="31"/>
        <v>58175.88</v>
      </c>
      <c r="I2019" s="83"/>
      <c r="K2019" s="54" t="s">
        <v>15</v>
      </c>
    </row>
    <row r="2020" spans="2:11" ht="41.25" x14ac:dyDescent="0.2">
      <c r="B2020" s="82" t="s">
        <v>4239</v>
      </c>
      <c r="C2020" s="82" t="s">
        <v>282</v>
      </c>
      <c r="D2020" s="83">
        <f>SUMIFS(D2021:D6462,K2021:K6462,"0",B2021:B6462,"5 1 1 3 2 12 31111 6 M59 20600 000132 0000R 00001 00132 015 2111100 2024 CP1CA380 001*")-SUMIFS(E2021:E6462,K2021:K6462,"0",B2021:B6462,"5 1 1 3 2 12 31111 6 M59 20600 000132 0000R 00001 00132 015 2111100 2024 CP1CA380 001*")</f>
        <v>0</v>
      </c>
      <c r="E2020" s="54"/>
      <c r="F2020" s="83">
        <f>SUMIFS(F2021:F6462,K2021:K6462,"0",B2021:B6462,"5 1 1 3 2 12 31111 6 M59 20600 000132 0000R 00001 00132 015 2111100 2024 CP1CA380 001*")</f>
        <v>58175.88</v>
      </c>
      <c r="G2020" s="83">
        <f>SUMIFS(G2021:G6462,K2021:K6462,"0",B2021:B6462,"5 1 1 3 2 12 31111 6 M59 20600 000132 0000R 00001 00132 015 2111100 2024 CP1CA380 001*")</f>
        <v>0</v>
      </c>
      <c r="H2020" s="83">
        <f t="shared" si="31"/>
        <v>58175.88</v>
      </c>
      <c r="I2020" s="83"/>
      <c r="K2020" s="54" t="s">
        <v>15</v>
      </c>
    </row>
    <row r="2021" spans="2:11" ht="41.25" x14ac:dyDescent="0.2">
      <c r="B2021" s="84" t="s">
        <v>4240</v>
      </c>
      <c r="C2021" s="84" t="s">
        <v>1519</v>
      </c>
      <c r="D2021" s="85">
        <v>0</v>
      </c>
      <c r="E2021" s="85"/>
      <c r="F2021" s="85">
        <v>56429.84</v>
      </c>
      <c r="G2021" s="85">
        <v>0</v>
      </c>
      <c r="H2021" s="85">
        <f t="shared" si="31"/>
        <v>56429.84</v>
      </c>
      <c r="I2021" s="85"/>
      <c r="K2021" s="54" t="s">
        <v>38</v>
      </c>
    </row>
    <row r="2022" spans="2:11" ht="41.25" x14ac:dyDescent="0.2">
      <c r="B2022" s="84" t="s">
        <v>4241</v>
      </c>
      <c r="C2022" s="84" t="s">
        <v>4071</v>
      </c>
      <c r="D2022" s="85">
        <v>0</v>
      </c>
      <c r="E2022" s="85"/>
      <c r="F2022" s="85">
        <v>1746.04</v>
      </c>
      <c r="G2022" s="85">
        <v>0</v>
      </c>
      <c r="H2022" s="85">
        <f t="shared" si="31"/>
        <v>1746.04</v>
      </c>
      <c r="I2022" s="85"/>
      <c r="K2022" s="54" t="s">
        <v>38</v>
      </c>
    </row>
    <row r="2023" spans="2:11" ht="16.5" x14ac:dyDescent="0.2">
      <c r="B2023" s="82" t="s">
        <v>4242</v>
      </c>
      <c r="C2023" s="82" t="s">
        <v>3138</v>
      </c>
      <c r="D2023" s="83">
        <f>SUMIFS(D2024:D6462,K2024:K6462,"0",B2024:B6462,"5 1 1 3 2 12 31111 6 M59 20700*")-SUMIFS(E2024:E6462,K2024:K6462,"0",B2024:B6462,"5 1 1 3 2 12 31111 6 M59 20700*")</f>
        <v>0</v>
      </c>
      <c r="E2023" s="54"/>
      <c r="F2023" s="83">
        <f>SUMIFS(F2024:F6462,K2024:K6462,"0",B2024:B6462,"5 1 1 3 2 12 31111 6 M59 20700*")</f>
        <v>59382.83</v>
      </c>
      <c r="G2023" s="83">
        <f>SUMIFS(G2024:G6462,K2024:K6462,"0",B2024:B6462,"5 1 1 3 2 12 31111 6 M59 20700*")</f>
        <v>0</v>
      </c>
      <c r="H2023" s="83">
        <f t="shared" si="31"/>
        <v>59382.83</v>
      </c>
      <c r="I2023" s="83"/>
      <c r="K2023" s="54" t="s">
        <v>15</v>
      </c>
    </row>
    <row r="2024" spans="2:11" ht="16.5" x14ac:dyDescent="0.2">
      <c r="B2024" s="82" t="s">
        <v>4243</v>
      </c>
      <c r="C2024" s="82" t="s">
        <v>648</v>
      </c>
      <c r="D2024" s="83">
        <f>SUMIFS(D2025:D6462,K2025:K6462,"0",B2025:B6462,"5 1 1 3 2 12 31111 6 M59 20700 000132*")-SUMIFS(E2025:E6462,K2025:K6462,"0",B2025:B6462,"5 1 1 3 2 12 31111 6 M59 20700 000132*")</f>
        <v>0</v>
      </c>
      <c r="E2024" s="54"/>
      <c r="F2024" s="83">
        <f>SUMIFS(F2025:F6462,K2025:K6462,"0",B2025:B6462,"5 1 1 3 2 12 31111 6 M59 20700 000132*")</f>
        <v>59382.83</v>
      </c>
      <c r="G2024" s="83">
        <f>SUMIFS(G2025:G6462,K2025:K6462,"0",B2025:B6462,"5 1 1 3 2 12 31111 6 M59 20700 000132*")</f>
        <v>0</v>
      </c>
      <c r="H2024" s="83">
        <f t="shared" si="31"/>
        <v>59382.83</v>
      </c>
      <c r="I2024" s="83"/>
      <c r="K2024" s="54" t="s">
        <v>15</v>
      </c>
    </row>
    <row r="2025" spans="2:11" ht="24.75" x14ac:dyDescent="0.2">
      <c r="B2025" s="82" t="s">
        <v>4244</v>
      </c>
      <c r="C2025" s="82" t="s">
        <v>650</v>
      </c>
      <c r="D2025" s="83">
        <f>SUMIFS(D2026:D6462,K2026:K6462,"0",B2026:B6462,"5 1 1 3 2 12 31111 6 M59 20700 000132 0000R*")-SUMIFS(E2026:E6462,K2026:K6462,"0",B2026:B6462,"5 1 1 3 2 12 31111 6 M59 20700 000132 0000R*")</f>
        <v>0</v>
      </c>
      <c r="E2025" s="54"/>
      <c r="F2025" s="83">
        <f>SUMIFS(F2026:F6462,K2026:K6462,"0",B2026:B6462,"5 1 1 3 2 12 31111 6 M59 20700 000132 0000R*")</f>
        <v>59382.83</v>
      </c>
      <c r="G2025" s="83">
        <f>SUMIFS(G2026:G6462,K2026:K6462,"0",B2026:B6462,"5 1 1 3 2 12 31111 6 M59 20700 000132 0000R*")</f>
        <v>0</v>
      </c>
      <c r="H2025" s="83">
        <f t="shared" si="31"/>
        <v>59382.83</v>
      </c>
      <c r="I2025" s="83"/>
      <c r="K2025" s="54" t="s">
        <v>15</v>
      </c>
    </row>
    <row r="2026" spans="2:11" ht="24.75" x14ac:dyDescent="0.2">
      <c r="B2026" s="82" t="s">
        <v>4245</v>
      </c>
      <c r="C2026" s="82" t="s">
        <v>282</v>
      </c>
      <c r="D2026" s="83">
        <f>SUMIFS(D2027:D6462,K2027:K6462,"0",B2027:B6462,"5 1 1 3 2 12 31111 6 M59 20700 000132 0000R 00001*")-SUMIFS(E2027:E6462,K2027:K6462,"0",B2027:B6462,"5 1 1 3 2 12 31111 6 M59 20700 000132 0000R 00001*")</f>
        <v>0</v>
      </c>
      <c r="E2026" s="54"/>
      <c r="F2026" s="83">
        <f>SUMIFS(F2027:F6462,K2027:K6462,"0",B2027:B6462,"5 1 1 3 2 12 31111 6 M59 20700 000132 0000R 00001*")</f>
        <v>59382.83</v>
      </c>
      <c r="G2026" s="83">
        <f>SUMIFS(G2027:G6462,K2027:K6462,"0",B2027:B6462,"5 1 1 3 2 12 31111 6 M59 20700 000132 0000R 00001*")</f>
        <v>0</v>
      </c>
      <c r="H2026" s="83">
        <f t="shared" si="31"/>
        <v>59382.83</v>
      </c>
      <c r="I2026" s="83"/>
      <c r="K2026" s="54" t="s">
        <v>15</v>
      </c>
    </row>
    <row r="2027" spans="2:11" ht="24.75" x14ac:dyDescent="0.2">
      <c r="B2027" s="82" t="s">
        <v>4246</v>
      </c>
      <c r="C2027" s="82" t="s">
        <v>4041</v>
      </c>
      <c r="D2027" s="83">
        <f>SUMIFS(D2028:D6462,K2028:K6462,"0",B2028:B6462,"5 1 1 3 2 12 31111 6 M59 20700 000132 0000R 00001 00132*")-SUMIFS(E2028:E6462,K2028:K6462,"0",B2028:B6462,"5 1 1 3 2 12 31111 6 M59 20700 000132 0000R 00001 00132*")</f>
        <v>0</v>
      </c>
      <c r="E2027" s="54"/>
      <c r="F2027" s="83">
        <f>SUMIFS(F2028:F6462,K2028:K6462,"0",B2028:B6462,"5 1 1 3 2 12 31111 6 M59 20700 000132 0000R 00001 00132*")</f>
        <v>59382.83</v>
      </c>
      <c r="G2027" s="83">
        <f>SUMIFS(G2028:G6462,K2028:K6462,"0",B2028:B6462,"5 1 1 3 2 12 31111 6 M59 20700 000132 0000R 00001 00132*")</f>
        <v>0</v>
      </c>
      <c r="H2027" s="83">
        <f t="shared" ref="H2027:H2090" si="32">D2027 + F2027 - G2027</f>
        <v>59382.83</v>
      </c>
      <c r="I2027" s="83"/>
      <c r="K2027" s="54" t="s">
        <v>15</v>
      </c>
    </row>
    <row r="2028" spans="2:11" ht="33" x14ac:dyDescent="0.2">
      <c r="B2028" s="82" t="s">
        <v>4247</v>
      </c>
      <c r="C2028" s="82" t="s">
        <v>1051</v>
      </c>
      <c r="D2028" s="83">
        <f>SUMIFS(D2029:D6462,K2029:K6462,"0",B2029:B6462,"5 1 1 3 2 12 31111 6 M59 20700 000132 0000R 00001 00132 015*")-SUMIFS(E2029:E6462,K2029:K6462,"0",B2029:B6462,"5 1 1 3 2 12 31111 6 M59 20700 000132 0000R 00001 00132 015*")</f>
        <v>0</v>
      </c>
      <c r="E2028" s="54"/>
      <c r="F2028" s="83">
        <f>SUMIFS(F2029:F6462,K2029:K6462,"0",B2029:B6462,"5 1 1 3 2 12 31111 6 M59 20700 000132 0000R 00001 00132 015*")</f>
        <v>59382.83</v>
      </c>
      <c r="G2028" s="83">
        <f>SUMIFS(G2029:G6462,K2029:K6462,"0",B2029:B6462,"5 1 1 3 2 12 31111 6 M59 20700 000132 0000R 00001 00132 015*")</f>
        <v>0</v>
      </c>
      <c r="H2028" s="83">
        <f t="shared" si="32"/>
        <v>59382.83</v>
      </c>
      <c r="I2028" s="83"/>
      <c r="K2028" s="54" t="s">
        <v>15</v>
      </c>
    </row>
    <row r="2029" spans="2:11" ht="33" x14ac:dyDescent="0.2">
      <c r="B2029" s="82" t="s">
        <v>4248</v>
      </c>
      <c r="C2029" s="82" t="s">
        <v>2927</v>
      </c>
      <c r="D2029" s="83">
        <f>SUMIFS(D2030:D6462,K2030:K6462,"0",B2030:B6462,"5 1 1 3 2 12 31111 6 M59 20700 000132 0000R 00001 00132 015 2111100*")-SUMIFS(E2030:E6462,K2030:K6462,"0",B2030:B6462,"5 1 1 3 2 12 31111 6 M59 20700 000132 0000R 00001 00132 015 2111100*")</f>
        <v>0</v>
      </c>
      <c r="E2029" s="54"/>
      <c r="F2029" s="83">
        <f>SUMIFS(F2030:F6462,K2030:K6462,"0",B2030:B6462,"5 1 1 3 2 12 31111 6 M59 20700 000132 0000R 00001 00132 015 2111100*")</f>
        <v>59382.83</v>
      </c>
      <c r="G2029" s="83">
        <f>SUMIFS(G2030:G6462,K2030:K6462,"0",B2030:B6462,"5 1 1 3 2 12 31111 6 M59 20700 000132 0000R 00001 00132 015 2111100*")</f>
        <v>0</v>
      </c>
      <c r="H2029" s="83">
        <f t="shared" si="32"/>
        <v>59382.83</v>
      </c>
      <c r="I2029" s="83"/>
      <c r="K2029" s="54" t="s">
        <v>15</v>
      </c>
    </row>
    <row r="2030" spans="2:11" ht="33" x14ac:dyDescent="0.2">
      <c r="B2030" s="82" t="s">
        <v>4249</v>
      </c>
      <c r="C2030" s="82" t="s">
        <v>660</v>
      </c>
      <c r="D2030" s="83">
        <f>SUMIFS(D2031:D6462,K2031:K6462,"0",B2031:B6462,"5 1 1 3 2 12 31111 6 M59 20700 000132 0000R 00001 00132 015 2111100 2024*")-SUMIFS(E2031:E6462,K2031:K6462,"0",B2031:B6462,"5 1 1 3 2 12 31111 6 M59 20700 000132 0000R 00001 00132 015 2111100 2024*")</f>
        <v>0</v>
      </c>
      <c r="E2030" s="54"/>
      <c r="F2030" s="83">
        <f>SUMIFS(F2031:F6462,K2031:K6462,"0",B2031:B6462,"5 1 1 3 2 12 31111 6 M59 20700 000132 0000R 00001 00132 015 2111100 2024*")</f>
        <v>59382.83</v>
      </c>
      <c r="G2030" s="83">
        <f>SUMIFS(G2031:G6462,K2031:K6462,"0",B2031:B6462,"5 1 1 3 2 12 31111 6 M59 20700 000132 0000R 00001 00132 015 2111100 2024*")</f>
        <v>0</v>
      </c>
      <c r="H2030" s="83">
        <f t="shared" si="32"/>
        <v>59382.83</v>
      </c>
      <c r="I2030" s="83"/>
      <c r="K2030" s="54" t="s">
        <v>15</v>
      </c>
    </row>
    <row r="2031" spans="2:11" ht="41.25" x14ac:dyDescent="0.2">
      <c r="B2031" s="82" t="s">
        <v>4250</v>
      </c>
      <c r="C2031" s="82" t="s">
        <v>662</v>
      </c>
      <c r="D2031" s="83">
        <f>SUMIFS(D2032:D6462,K2032:K6462,"0",B2032:B6462,"5 1 1 3 2 12 31111 6 M59 20700 000132 0000R 00001 00132 015 2111100 2024 CP1RM401*")-SUMIFS(E2032:E6462,K2032:K6462,"0",B2032:B6462,"5 1 1 3 2 12 31111 6 M59 20700 000132 0000R 00001 00132 015 2111100 2024 CP1RM401*")</f>
        <v>0</v>
      </c>
      <c r="E2031" s="54"/>
      <c r="F2031" s="83">
        <f>SUMIFS(F2032:F6462,K2032:K6462,"0",B2032:B6462,"5 1 1 3 2 12 31111 6 M59 20700 000132 0000R 00001 00132 015 2111100 2024 CP1RM401*")</f>
        <v>59382.83</v>
      </c>
      <c r="G2031" s="83">
        <f>SUMIFS(G2032:G6462,K2032:K6462,"0",B2032:B6462,"5 1 1 3 2 12 31111 6 M59 20700 000132 0000R 00001 00132 015 2111100 2024 CP1RM401*")</f>
        <v>0</v>
      </c>
      <c r="H2031" s="83">
        <f t="shared" si="32"/>
        <v>59382.83</v>
      </c>
      <c r="I2031" s="83"/>
      <c r="K2031" s="54" t="s">
        <v>15</v>
      </c>
    </row>
    <row r="2032" spans="2:11" ht="41.25" x14ac:dyDescent="0.2">
      <c r="B2032" s="82" t="s">
        <v>4251</v>
      </c>
      <c r="C2032" s="82" t="s">
        <v>282</v>
      </c>
      <c r="D2032" s="83">
        <f>SUMIFS(D2033:D6462,K2033:K6462,"0",B2033:B6462,"5 1 1 3 2 12 31111 6 M59 20700 000132 0000R 00001 00132 015 2111100 2024 CP1RM401 001*")-SUMIFS(E2033:E6462,K2033:K6462,"0",B2033:B6462,"5 1 1 3 2 12 31111 6 M59 20700 000132 0000R 00001 00132 015 2111100 2024 CP1RM401 001*")</f>
        <v>0</v>
      </c>
      <c r="E2032" s="54"/>
      <c r="F2032" s="83">
        <f>SUMIFS(F2033:F6462,K2033:K6462,"0",B2033:B6462,"5 1 1 3 2 12 31111 6 M59 20700 000132 0000R 00001 00132 015 2111100 2024 CP1RM401 001*")</f>
        <v>59382.83</v>
      </c>
      <c r="G2032" s="83">
        <f>SUMIFS(G2033:G6462,K2033:K6462,"0",B2033:B6462,"5 1 1 3 2 12 31111 6 M59 20700 000132 0000R 00001 00132 015 2111100 2024 CP1RM401 001*")</f>
        <v>0</v>
      </c>
      <c r="H2032" s="83">
        <f t="shared" si="32"/>
        <v>59382.83</v>
      </c>
      <c r="I2032" s="83"/>
      <c r="K2032" s="54" t="s">
        <v>15</v>
      </c>
    </row>
    <row r="2033" spans="2:11" ht="33" x14ac:dyDescent="0.2">
      <c r="B2033" s="84" t="s">
        <v>4252</v>
      </c>
      <c r="C2033" s="84" t="s">
        <v>1519</v>
      </c>
      <c r="D2033" s="85">
        <v>0</v>
      </c>
      <c r="E2033" s="85"/>
      <c r="F2033" s="85">
        <v>59382.83</v>
      </c>
      <c r="G2033" s="85">
        <v>0</v>
      </c>
      <c r="H2033" s="85">
        <f t="shared" si="32"/>
        <v>59382.83</v>
      </c>
      <c r="I2033" s="85"/>
      <c r="K2033" s="54" t="s">
        <v>38</v>
      </c>
    </row>
    <row r="2034" spans="2:11" ht="16.5" x14ac:dyDescent="0.2">
      <c r="B2034" s="82" t="s">
        <v>4253</v>
      </c>
      <c r="C2034" s="82" t="s">
        <v>3150</v>
      </c>
      <c r="D2034" s="83">
        <f>SUMIFS(D2035:D6462,K2035:K6462,"0",B2035:B6462,"5 1 1 3 2 12 31111 6 M59 20800*")-SUMIFS(E2035:E6462,K2035:K6462,"0",B2035:B6462,"5 1 1 3 2 12 31111 6 M59 20800*")</f>
        <v>0</v>
      </c>
      <c r="E2034" s="54"/>
      <c r="F2034" s="83">
        <f>SUMIFS(F2035:F6462,K2035:K6462,"0",B2035:B6462,"5 1 1 3 2 12 31111 6 M59 20800*")</f>
        <v>21781.040000000001</v>
      </c>
      <c r="G2034" s="83">
        <f>SUMIFS(G2035:G6462,K2035:K6462,"0",B2035:B6462,"5 1 1 3 2 12 31111 6 M59 20800*")</f>
        <v>0</v>
      </c>
      <c r="H2034" s="83">
        <f t="shared" si="32"/>
        <v>21781.040000000001</v>
      </c>
      <c r="I2034" s="83"/>
      <c r="K2034" s="54" t="s">
        <v>15</v>
      </c>
    </row>
    <row r="2035" spans="2:11" ht="24.75" x14ac:dyDescent="0.2">
      <c r="B2035" s="82" t="s">
        <v>4254</v>
      </c>
      <c r="C2035" s="82" t="s">
        <v>3152</v>
      </c>
      <c r="D2035" s="83">
        <f>SUMIFS(D2036:D6462,K2036:K6462,"0",B2036:B6462,"5 1 1 3 2 12 31111 6 M59 20800 000181*")-SUMIFS(E2036:E6462,K2036:K6462,"0",B2036:B6462,"5 1 1 3 2 12 31111 6 M59 20800 000181*")</f>
        <v>0</v>
      </c>
      <c r="E2035" s="54"/>
      <c r="F2035" s="83">
        <f>SUMIFS(F2036:F6462,K2036:K6462,"0",B2036:B6462,"5 1 1 3 2 12 31111 6 M59 20800 000181*")</f>
        <v>21781.040000000001</v>
      </c>
      <c r="G2035" s="83">
        <f>SUMIFS(G2036:G6462,K2036:K6462,"0",B2036:B6462,"5 1 1 3 2 12 31111 6 M59 20800 000181*")</f>
        <v>0</v>
      </c>
      <c r="H2035" s="83">
        <f t="shared" si="32"/>
        <v>21781.040000000001</v>
      </c>
      <c r="I2035" s="83"/>
      <c r="K2035" s="54" t="s">
        <v>15</v>
      </c>
    </row>
    <row r="2036" spans="2:11" ht="24.75" x14ac:dyDescent="0.2">
      <c r="B2036" s="82" t="s">
        <v>4255</v>
      </c>
      <c r="C2036" s="82" t="s">
        <v>650</v>
      </c>
      <c r="D2036" s="83">
        <f>SUMIFS(D2037:D6462,K2037:K6462,"0",B2037:B6462,"5 1 1 3 2 12 31111 6 M59 20800 000181 0000R*")-SUMIFS(E2037:E6462,K2037:K6462,"0",B2037:B6462,"5 1 1 3 2 12 31111 6 M59 20800 000181 0000R*")</f>
        <v>0</v>
      </c>
      <c r="E2036" s="54"/>
      <c r="F2036" s="83">
        <f>SUMIFS(F2037:F6462,K2037:K6462,"0",B2037:B6462,"5 1 1 3 2 12 31111 6 M59 20800 000181 0000R*")</f>
        <v>21781.040000000001</v>
      </c>
      <c r="G2036" s="83">
        <f>SUMIFS(G2037:G6462,K2037:K6462,"0",B2037:B6462,"5 1 1 3 2 12 31111 6 M59 20800 000181 0000R*")</f>
        <v>0</v>
      </c>
      <c r="H2036" s="83">
        <f t="shared" si="32"/>
        <v>21781.040000000001</v>
      </c>
      <c r="I2036" s="83"/>
      <c r="K2036" s="54" t="s">
        <v>15</v>
      </c>
    </row>
    <row r="2037" spans="2:11" ht="24.75" x14ac:dyDescent="0.2">
      <c r="B2037" s="82" t="s">
        <v>4256</v>
      </c>
      <c r="C2037" s="82" t="s">
        <v>282</v>
      </c>
      <c r="D2037" s="83">
        <f>SUMIFS(D2038:D6462,K2038:K6462,"0",B2038:B6462,"5 1 1 3 2 12 31111 6 M59 20800 000181 0000R 00001*")-SUMIFS(E2038:E6462,K2038:K6462,"0",B2038:B6462,"5 1 1 3 2 12 31111 6 M59 20800 000181 0000R 00001*")</f>
        <v>0</v>
      </c>
      <c r="E2037" s="54"/>
      <c r="F2037" s="83">
        <f>SUMIFS(F2038:F6462,K2038:K6462,"0",B2038:B6462,"5 1 1 3 2 12 31111 6 M59 20800 000181 0000R 00001*")</f>
        <v>21781.040000000001</v>
      </c>
      <c r="G2037" s="83">
        <f>SUMIFS(G2038:G6462,K2038:K6462,"0",B2038:B6462,"5 1 1 3 2 12 31111 6 M59 20800 000181 0000R 00001*")</f>
        <v>0</v>
      </c>
      <c r="H2037" s="83">
        <f t="shared" si="32"/>
        <v>21781.040000000001</v>
      </c>
      <c r="I2037" s="83"/>
      <c r="K2037" s="54" t="s">
        <v>15</v>
      </c>
    </row>
    <row r="2038" spans="2:11" ht="24.75" x14ac:dyDescent="0.2">
      <c r="B2038" s="82" t="s">
        <v>4257</v>
      </c>
      <c r="C2038" s="82" t="s">
        <v>4041</v>
      </c>
      <c r="D2038" s="83">
        <f>SUMIFS(D2039:D6462,K2039:K6462,"0",B2039:B6462,"5 1 1 3 2 12 31111 6 M59 20800 000181 0000R 00001 00132*")-SUMIFS(E2039:E6462,K2039:K6462,"0",B2039:B6462,"5 1 1 3 2 12 31111 6 M59 20800 000181 0000R 00001 00132*")</f>
        <v>0</v>
      </c>
      <c r="E2038" s="54"/>
      <c r="F2038" s="83">
        <f>SUMIFS(F2039:F6462,K2039:K6462,"0",B2039:B6462,"5 1 1 3 2 12 31111 6 M59 20800 000181 0000R 00001 00132*")</f>
        <v>21781.040000000001</v>
      </c>
      <c r="G2038" s="83">
        <f>SUMIFS(G2039:G6462,K2039:K6462,"0",B2039:B6462,"5 1 1 3 2 12 31111 6 M59 20800 000181 0000R 00001 00132*")</f>
        <v>0</v>
      </c>
      <c r="H2038" s="83">
        <f t="shared" si="32"/>
        <v>21781.040000000001</v>
      </c>
      <c r="I2038" s="83"/>
      <c r="K2038" s="54" t="s">
        <v>15</v>
      </c>
    </row>
    <row r="2039" spans="2:11" ht="33" x14ac:dyDescent="0.2">
      <c r="B2039" s="82" t="s">
        <v>4258</v>
      </c>
      <c r="C2039" s="82" t="s">
        <v>1051</v>
      </c>
      <c r="D2039" s="83">
        <f>SUMIFS(D2040:D6462,K2040:K6462,"0",B2040:B6462,"5 1 1 3 2 12 31111 6 M59 20800 000181 0000R 00001 00132 015*")-SUMIFS(E2040:E6462,K2040:K6462,"0",B2040:B6462,"5 1 1 3 2 12 31111 6 M59 20800 000181 0000R 00001 00132 015*")</f>
        <v>0</v>
      </c>
      <c r="E2039" s="54"/>
      <c r="F2039" s="83">
        <f>SUMIFS(F2040:F6462,K2040:K6462,"0",B2040:B6462,"5 1 1 3 2 12 31111 6 M59 20800 000181 0000R 00001 00132 015*")</f>
        <v>21781.040000000001</v>
      </c>
      <c r="G2039" s="83">
        <f>SUMIFS(G2040:G6462,K2040:K6462,"0",B2040:B6462,"5 1 1 3 2 12 31111 6 M59 20800 000181 0000R 00001 00132 015*")</f>
        <v>0</v>
      </c>
      <c r="H2039" s="83">
        <f t="shared" si="32"/>
        <v>21781.040000000001</v>
      </c>
      <c r="I2039" s="83"/>
      <c r="K2039" s="54" t="s">
        <v>15</v>
      </c>
    </row>
    <row r="2040" spans="2:11" ht="33" x14ac:dyDescent="0.2">
      <c r="B2040" s="82" t="s">
        <v>4259</v>
      </c>
      <c r="C2040" s="82" t="s">
        <v>2927</v>
      </c>
      <c r="D2040" s="83">
        <f>SUMIFS(D2041:D6462,K2041:K6462,"0",B2041:B6462,"5 1 1 3 2 12 31111 6 M59 20800 000181 0000R 00001 00132 015 2111100*")-SUMIFS(E2041:E6462,K2041:K6462,"0",B2041:B6462,"5 1 1 3 2 12 31111 6 M59 20800 000181 0000R 00001 00132 015 2111100*")</f>
        <v>0</v>
      </c>
      <c r="E2040" s="54"/>
      <c r="F2040" s="83">
        <f>SUMIFS(F2041:F6462,K2041:K6462,"0",B2041:B6462,"5 1 1 3 2 12 31111 6 M59 20800 000181 0000R 00001 00132 015 2111100*")</f>
        <v>21781.040000000001</v>
      </c>
      <c r="G2040" s="83">
        <f>SUMIFS(G2041:G6462,K2041:K6462,"0",B2041:B6462,"5 1 1 3 2 12 31111 6 M59 20800 000181 0000R 00001 00132 015 2111100*")</f>
        <v>0</v>
      </c>
      <c r="H2040" s="83">
        <f t="shared" si="32"/>
        <v>21781.040000000001</v>
      </c>
      <c r="I2040" s="83"/>
      <c r="K2040" s="54" t="s">
        <v>15</v>
      </c>
    </row>
    <row r="2041" spans="2:11" ht="33" x14ac:dyDescent="0.2">
      <c r="B2041" s="82" t="s">
        <v>4260</v>
      </c>
      <c r="C2041" s="82" t="s">
        <v>660</v>
      </c>
      <c r="D2041" s="83">
        <f>SUMIFS(D2042:D6462,K2042:K6462,"0",B2042:B6462,"5 1 1 3 2 12 31111 6 M59 20800 000181 0000R 00001 00132 015 2111100 2024*")-SUMIFS(E2042:E6462,K2042:K6462,"0",B2042:B6462,"5 1 1 3 2 12 31111 6 M59 20800 000181 0000R 00001 00132 015 2111100 2024*")</f>
        <v>0</v>
      </c>
      <c r="E2041" s="54"/>
      <c r="F2041" s="83">
        <f>SUMIFS(F2042:F6462,K2042:K6462,"0",B2042:B6462,"5 1 1 3 2 12 31111 6 M59 20800 000181 0000R 00001 00132 015 2111100 2024*")</f>
        <v>21781.040000000001</v>
      </c>
      <c r="G2041" s="83">
        <f>SUMIFS(G2042:G6462,K2042:K6462,"0",B2042:B6462,"5 1 1 3 2 12 31111 6 M59 20800 000181 0000R 00001 00132 015 2111100 2024*")</f>
        <v>0</v>
      </c>
      <c r="H2041" s="83">
        <f t="shared" si="32"/>
        <v>21781.040000000001</v>
      </c>
      <c r="I2041" s="83"/>
      <c r="K2041" s="54" t="s">
        <v>15</v>
      </c>
    </row>
    <row r="2042" spans="2:11" ht="41.25" x14ac:dyDescent="0.2">
      <c r="B2042" s="82" t="s">
        <v>4261</v>
      </c>
      <c r="C2042" s="82" t="s">
        <v>1056</v>
      </c>
      <c r="D2042" s="83">
        <f>SUMIFS(D2043:D6462,K2043:K6462,"0",B2043:B6462,"5 1 1 3 2 12 31111 6 M59 20800 000181 0000R 00001 00132 015 2111100 2024 CP1AA392*")-SUMIFS(E2043:E6462,K2043:K6462,"0",B2043:B6462,"5 1 1 3 2 12 31111 6 M59 20800 000181 0000R 00001 00132 015 2111100 2024 CP1AA392*")</f>
        <v>0</v>
      </c>
      <c r="E2042" s="54"/>
      <c r="F2042" s="83">
        <f>SUMIFS(F2043:F6462,K2043:K6462,"0",B2043:B6462,"5 1 1 3 2 12 31111 6 M59 20800 000181 0000R 00001 00132 015 2111100 2024 CP1AA392*")</f>
        <v>21781.040000000001</v>
      </c>
      <c r="G2042" s="83">
        <f>SUMIFS(G2043:G6462,K2043:K6462,"0",B2043:B6462,"5 1 1 3 2 12 31111 6 M59 20800 000181 0000R 00001 00132 015 2111100 2024 CP1AA392*")</f>
        <v>0</v>
      </c>
      <c r="H2042" s="83">
        <f t="shared" si="32"/>
        <v>21781.040000000001</v>
      </c>
      <c r="I2042" s="83"/>
      <c r="K2042" s="54" t="s">
        <v>15</v>
      </c>
    </row>
    <row r="2043" spans="2:11" ht="41.25" x14ac:dyDescent="0.2">
      <c r="B2043" s="82" t="s">
        <v>4262</v>
      </c>
      <c r="C2043" s="82" t="s">
        <v>282</v>
      </c>
      <c r="D2043" s="83">
        <f>SUMIFS(D2044:D6462,K2044:K6462,"0",B2044:B6462,"5 1 1 3 2 12 31111 6 M59 20800 000181 0000R 00001 00132 015 2111100 2024 CP1AA392 001*")-SUMIFS(E2044:E6462,K2044:K6462,"0",B2044:B6462,"5 1 1 3 2 12 31111 6 M59 20800 000181 0000R 00001 00132 015 2111100 2024 CP1AA392 001*")</f>
        <v>0</v>
      </c>
      <c r="E2043" s="54"/>
      <c r="F2043" s="83">
        <f>SUMIFS(F2044:F6462,K2044:K6462,"0",B2044:B6462,"5 1 1 3 2 12 31111 6 M59 20800 000181 0000R 00001 00132 015 2111100 2024 CP1AA392 001*")</f>
        <v>21781.040000000001</v>
      </c>
      <c r="G2043" s="83">
        <f>SUMIFS(G2044:G6462,K2044:K6462,"0",B2044:B6462,"5 1 1 3 2 12 31111 6 M59 20800 000181 0000R 00001 00132 015 2111100 2024 CP1AA392 001*")</f>
        <v>0</v>
      </c>
      <c r="H2043" s="83">
        <f t="shared" si="32"/>
        <v>21781.040000000001</v>
      </c>
      <c r="I2043" s="83"/>
      <c r="K2043" s="54" t="s">
        <v>15</v>
      </c>
    </row>
    <row r="2044" spans="2:11" ht="33" x14ac:dyDescent="0.2">
      <c r="B2044" s="84" t="s">
        <v>4263</v>
      </c>
      <c r="C2044" s="84" t="s">
        <v>1519</v>
      </c>
      <c r="D2044" s="85">
        <v>0</v>
      </c>
      <c r="E2044" s="85"/>
      <c r="F2044" s="85">
        <v>21781.040000000001</v>
      </c>
      <c r="G2044" s="85">
        <v>0</v>
      </c>
      <c r="H2044" s="85">
        <f t="shared" si="32"/>
        <v>21781.040000000001</v>
      </c>
      <c r="I2044" s="85"/>
      <c r="K2044" s="54" t="s">
        <v>38</v>
      </c>
    </row>
    <row r="2045" spans="2:11" ht="24.75" x14ac:dyDescent="0.2">
      <c r="B2045" s="82" t="s">
        <v>4264</v>
      </c>
      <c r="C2045" s="82" t="s">
        <v>3175</v>
      </c>
      <c r="D2045" s="83">
        <f>SUMIFS(D2046:D6462,K2046:K6462,"0",B2046:B6462,"5 1 1 3 2 12 31111 6 M59 22000*")-SUMIFS(E2046:E6462,K2046:K6462,"0",B2046:B6462,"5 1 1 3 2 12 31111 6 M59 22000*")</f>
        <v>0</v>
      </c>
      <c r="E2045" s="54"/>
      <c r="F2045" s="83">
        <f>SUMIFS(F2046:F6462,K2046:K6462,"0",B2046:B6462,"5 1 1 3 2 12 31111 6 M59 22000*")</f>
        <v>4588.12</v>
      </c>
      <c r="G2045" s="83">
        <f>SUMIFS(G2046:G6462,K2046:K6462,"0",B2046:B6462,"5 1 1 3 2 12 31111 6 M59 22000*")</f>
        <v>0</v>
      </c>
      <c r="H2045" s="83">
        <f t="shared" si="32"/>
        <v>4588.12</v>
      </c>
      <c r="I2045" s="83"/>
      <c r="K2045" s="54" t="s">
        <v>15</v>
      </c>
    </row>
    <row r="2046" spans="2:11" ht="16.5" x14ac:dyDescent="0.2">
      <c r="B2046" s="82" t="s">
        <v>4265</v>
      </c>
      <c r="C2046" s="82" t="s">
        <v>648</v>
      </c>
      <c r="D2046" s="83">
        <f>SUMIFS(D2047:D6462,K2047:K6462,"0",B2047:B6462,"5 1 1 3 2 12 31111 6 M59 22000 000132*")-SUMIFS(E2047:E6462,K2047:K6462,"0",B2047:B6462,"5 1 1 3 2 12 31111 6 M59 22000 000132*")</f>
        <v>0</v>
      </c>
      <c r="E2046" s="54"/>
      <c r="F2046" s="83">
        <f>SUMIFS(F2047:F6462,K2047:K6462,"0",B2047:B6462,"5 1 1 3 2 12 31111 6 M59 22000 000132*")</f>
        <v>4588.12</v>
      </c>
      <c r="G2046" s="83">
        <f>SUMIFS(G2047:G6462,K2047:K6462,"0",B2047:B6462,"5 1 1 3 2 12 31111 6 M59 22000 000132*")</f>
        <v>0</v>
      </c>
      <c r="H2046" s="83">
        <f t="shared" si="32"/>
        <v>4588.12</v>
      </c>
      <c r="I2046" s="83"/>
      <c r="K2046" s="54" t="s">
        <v>15</v>
      </c>
    </row>
    <row r="2047" spans="2:11" ht="24.75" x14ac:dyDescent="0.2">
      <c r="B2047" s="82" t="s">
        <v>4266</v>
      </c>
      <c r="C2047" s="82" t="s">
        <v>650</v>
      </c>
      <c r="D2047" s="83">
        <f>SUMIFS(D2048:D6462,K2048:K6462,"0",B2048:B6462,"5 1 1 3 2 12 31111 6 M59 22000 000132 0000R*")-SUMIFS(E2048:E6462,K2048:K6462,"0",B2048:B6462,"5 1 1 3 2 12 31111 6 M59 22000 000132 0000R*")</f>
        <v>0</v>
      </c>
      <c r="E2047" s="54"/>
      <c r="F2047" s="83">
        <f>SUMIFS(F2048:F6462,K2048:K6462,"0",B2048:B6462,"5 1 1 3 2 12 31111 6 M59 22000 000132 0000R*")</f>
        <v>4588.12</v>
      </c>
      <c r="G2047" s="83">
        <f>SUMIFS(G2048:G6462,K2048:K6462,"0",B2048:B6462,"5 1 1 3 2 12 31111 6 M59 22000 000132 0000R*")</f>
        <v>0</v>
      </c>
      <c r="H2047" s="83">
        <f t="shared" si="32"/>
        <v>4588.12</v>
      </c>
      <c r="I2047" s="83"/>
      <c r="K2047" s="54" t="s">
        <v>15</v>
      </c>
    </row>
    <row r="2048" spans="2:11" ht="24.75" x14ac:dyDescent="0.2">
      <c r="B2048" s="82" t="s">
        <v>4267</v>
      </c>
      <c r="C2048" s="82" t="s">
        <v>282</v>
      </c>
      <c r="D2048" s="83">
        <f>SUMIFS(D2049:D6462,K2049:K6462,"0",B2049:B6462,"5 1 1 3 2 12 31111 6 M59 22000 000132 0000R 00001*")-SUMIFS(E2049:E6462,K2049:K6462,"0",B2049:B6462,"5 1 1 3 2 12 31111 6 M59 22000 000132 0000R 00001*")</f>
        <v>0</v>
      </c>
      <c r="E2048" s="54"/>
      <c r="F2048" s="83">
        <f>SUMIFS(F2049:F6462,K2049:K6462,"0",B2049:B6462,"5 1 1 3 2 12 31111 6 M59 22000 000132 0000R 00001*")</f>
        <v>4588.12</v>
      </c>
      <c r="G2048" s="83">
        <f>SUMIFS(G2049:G6462,K2049:K6462,"0",B2049:B6462,"5 1 1 3 2 12 31111 6 M59 22000 000132 0000R 00001*")</f>
        <v>0</v>
      </c>
      <c r="H2048" s="83">
        <f t="shared" si="32"/>
        <v>4588.12</v>
      </c>
      <c r="I2048" s="83"/>
      <c r="K2048" s="54" t="s">
        <v>15</v>
      </c>
    </row>
    <row r="2049" spans="2:11" ht="24.75" x14ac:dyDescent="0.2">
      <c r="B2049" s="82" t="s">
        <v>4268</v>
      </c>
      <c r="C2049" s="82" t="s">
        <v>4041</v>
      </c>
      <c r="D2049" s="83">
        <f>SUMIFS(D2050:D6462,K2050:K6462,"0",B2050:B6462,"5 1 1 3 2 12 31111 6 M59 22000 000132 0000R 00001 00132*")-SUMIFS(E2050:E6462,K2050:K6462,"0",B2050:B6462,"5 1 1 3 2 12 31111 6 M59 22000 000132 0000R 00001 00132*")</f>
        <v>0</v>
      </c>
      <c r="E2049" s="54"/>
      <c r="F2049" s="83">
        <f>SUMIFS(F2050:F6462,K2050:K6462,"0",B2050:B6462,"5 1 1 3 2 12 31111 6 M59 22000 000132 0000R 00001 00132*")</f>
        <v>4588.12</v>
      </c>
      <c r="G2049" s="83">
        <f>SUMIFS(G2050:G6462,K2050:K6462,"0",B2050:B6462,"5 1 1 3 2 12 31111 6 M59 22000 000132 0000R 00001 00132*")</f>
        <v>0</v>
      </c>
      <c r="H2049" s="83">
        <f t="shared" si="32"/>
        <v>4588.12</v>
      </c>
      <c r="I2049" s="83"/>
      <c r="K2049" s="54" t="s">
        <v>15</v>
      </c>
    </row>
    <row r="2050" spans="2:11" ht="33" x14ac:dyDescent="0.2">
      <c r="B2050" s="82" t="s">
        <v>4269</v>
      </c>
      <c r="C2050" s="82" t="s">
        <v>1051</v>
      </c>
      <c r="D2050" s="83">
        <f>SUMIFS(D2051:D6462,K2051:K6462,"0",B2051:B6462,"5 1 1 3 2 12 31111 6 M59 22000 000132 0000R 00001 00132 015*")-SUMIFS(E2051:E6462,K2051:K6462,"0",B2051:B6462,"5 1 1 3 2 12 31111 6 M59 22000 000132 0000R 00001 00132 015*")</f>
        <v>0</v>
      </c>
      <c r="E2050" s="54"/>
      <c r="F2050" s="83">
        <f>SUMIFS(F2051:F6462,K2051:K6462,"0",B2051:B6462,"5 1 1 3 2 12 31111 6 M59 22000 000132 0000R 00001 00132 015*")</f>
        <v>4588.12</v>
      </c>
      <c r="G2050" s="83">
        <f>SUMIFS(G2051:G6462,K2051:K6462,"0",B2051:B6462,"5 1 1 3 2 12 31111 6 M59 22000 000132 0000R 00001 00132 015*")</f>
        <v>0</v>
      </c>
      <c r="H2050" s="83">
        <f t="shared" si="32"/>
        <v>4588.12</v>
      </c>
      <c r="I2050" s="83"/>
      <c r="K2050" s="54" t="s">
        <v>15</v>
      </c>
    </row>
    <row r="2051" spans="2:11" ht="33" x14ac:dyDescent="0.2">
      <c r="B2051" s="82" t="s">
        <v>4270</v>
      </c>
      <c r="C2051" s="82" t="s">
        <v>2927</v>
      </c>
      <c r="D2051" s="83">
        <f>SUMIFS(D2052:D6462,K2052:K6462,"0",B2052:B6462,"5 1 1 3 2 12 31111 6 M59 22000 000132 0000R 00001 00132 015 2111100*")-SUMIFS(E2052:E6462,K2052:K6462,"0",B2052:B6462,"5 1 1 3 2 12 31111 6 M59 22000 000132 0000R 00001 00132 015 2111100*")</f>
        <v>0</v>
      </c>
      <c r="E2051" s="54"/>
      <c r="F2051" s="83">
        <f>SUMIFS(F2052:F6462,K2052:K6462,"0",B2052:B6462,"5 1 1 3 2 12 31111 6 M59 22000 000132 0000R 00001 00132 015 2111100*")</f>
        <v>4588.12</v>
      </c>
      <c r="G2051" s="83">
        <f>SUMIFS(G2052:G6462,K2052:K6462,"0",B2052:B6462,"5 1 1 3 2 12 31111 6 M59 22000 000132 0000R 00001 00132 015 2111100*")</f>
        <v>0</v>
      </c>
      <c r="H2051" s="83">
        <f t="shared" si="32"/>
        <v>4588.12</v>
      </c>
      <c r="I2051" s="83"/>
      <c r="K2051" s="54" t="s">
        <v>15</v>
      </c>
    </row>
    <row r="2052" spans="2:11" ht="33" x14ac:dyDescent="0.2">
      <c r="B2052" s="82" t="s">
        <v>4271</v>
      </c>
      <c r="C2052" s="82" t="s">
        <v>660</v>
      </c>
      <c r="D2052" s="83">
        <f>SUMIFS(D2053:D6462,K2053:K6462,"0",B2053:B6462,"5 1 1 3 2 12 31111 6 M59 22000 000132 0000R 00001 00132 015 2111100 2024*")-SUMIFS(E2053:E6462,K2053:K6462,"0",B2053:B6462,"5 1 1 3 2 12 31111 6 M59 22000 000132 0000R 00001 00132 015 2111100 2024*")</f>
        <v>0</v>
      </c>
      <c r="E2052" s="54"/>
      <c r="F2052" s="83">
        <f>SUMIFS(F2053:F6462,K2053:K6462,"0",B2053:B6462,"5 1 1 3 2 12 31111 6 M59 22000 000132 0000R 00001 00132 015 2111100 2024*")</f>
        <v>4588.12</v>
      </c>
      <c r="G2052" s="83">
        <f>SUMIFS(G2053:G6462,K2053:K6462,"0",B2053:B6462,"5 1 1 3 2 12 31111 6 M59 22000 000132 0000R 00001 00132 015 2111100 2024*")</f>
        <v>0</v>
      </c>
      <c r="H2052" s="83">
        <f t="shared" si="32"/>
        <v>4588.12</v>
      </c>
      <c r="I2052" s="83"/>
      <c r="K2052" s="54" t="s">
        <v>15</v>
      </c>
    </row>
    <row r="2053" spans="2:11" ht="41.25" x14ac:dyDescent="0.2">
      <c r="B2053" s="82" t="s">
        <v>4272</v>
      </c>
      <c r="C2053" s="82" t="s">
        <v>1056</v>
      </c>
      <c r="D2053" s="83">
        <f>SUMIFS(D2054:D6462,K2054:K6462,"0",B2054:B6462,"5 1 1 3 2 12 31111 6 M59 22000 000132 0000R 00001 00132 015 2111100 2024 CP1PL384*")-SUMIFS(E2054:E6462,K2054:K6462,"0",B2054:B6462,"5 1 1 3 2 12 31111 6 M59 22000 000132 0000R 00001 00132 015 2111100 2024 CP1PL384*")</f>
        <v>0</v>
      </c>
      <c r="E2053" s="54"/>
      <c r="F2053" s="83">
        <f>SUMIFS(F2054:F6462,K2054:K6462,"0",B2054:B6462,"5 1 1 3 2 12 31111 6 M59 22000 000132 0000R 00001 00132 015 2111100 2024 CP1PL384*")</f>
        <v>4588.12</v>
      </c>
      <c r="G2053" s="83">
        <f>SUMIFS(G2054:G6462,K2054:K6462,"0",B2054:B6462,"5 1 1 3 2 12 31111 6 M59 22000 000132 0000R 00001 00132 015 2111100 2024 CP1PL384*")</f>
        <v>0</v>
      </c>
      <c r="H2053" s="83">
        <f t="shared" si="32"/>
        <v>4588.12</v>
      </c>
      <c r="I2053" s="83"/>
      <c r="K2053" s="54" t="s">
        <v>15</v>
      </c>
    </row>
    <row r="2054" spans="2:11" ht="41.25" x14ac:dyDescent="0.2">
      <c r="B2054" s="82" t="s">
        <v>4273</v>
      </c>
      <c r="C2054" s="82" t="s">
        <v>282</v>
      </c>
      <c r="D2054" s="83">
        <f>SUMIFS(D2055:D6462,K2055:K6462,"0",B2055:B6462,"5 1 1 3 2 12 31111 6 M59 22000 000132 0000R 00001 00132 015 2111100 2024 CP1PL384 001*")-SUMIFS(E2055:E6462,K2055:K6462,"0",B2055:B6462,"5 1 1 3 2 12 31111 6 M59 22000 000132 0000R 00001 00132 015 2111100 2024 CP1PL384 001*")</f>
        <v>0</v>
      </c>
      <c r="E2054" s="54"/>
      <c r="F2054" s="83">
        <f>SUMIFS(F2055:F6462,K2055:K6462,"0",B2055:B6462,"5 1 1 3 2 12 31111 6 M59 22000 000132 0000R 00001 00132 015 2111100 2024 CP1PL384 001*")</f>
        <v>4588.12</v>
      </c>
      <c r="G2054" s="83">
        <f>SUMIFS(G2055:G6462,K2055:K6462,"0",B2055:B6462,"5 1 1 3 2 12 31111 6 M59 22000 000132 0000R 00001 00132 015 2111100 2024 CP1PL384 001*")</f>
        <v>0</v>
      </c>
      <c r="H2054" s="83">
        <f t="shared" si="32"/>
        <v>4588.12</v>
      </c>
      <c r="I2054" s="83"/>
      <c r="K2054" s="54" t="s">
        <v>15</v>
      </c>
    </row>
    <row r="2055" spans="2:11" ht="41.25" x14ac:dyDescent="0.2">
      <c r="B2055" s="84" t="s">
        <v>4274</v>
      </c>
      <c r="C2055" s="84" t="s">
        <v>1519</v>
      </c>
      <c r="D2055" s="85">
        <v>0</v>
      </c>
      <c r="E2055" s="85"/>
      <c r="F2055" s="85">
        <v>4588.12</v>
      </c>
      <c r="G2055" s="85">
        <v>0</v>
      </c>
      <c r="H2055" s="85">
        <f t="shared" si="32"/>
        <v>4588.12</v>
      </c>
      <c r="I2055" s="85"/>
      <c r="K2055" s="54" t="s">
        <v>38</v>
      </c>
    </row>
    <row r="2056" spans="2:11" ht="16.5" x14ac:dyDescent="0.2">
      <c r="B2056" s="82" t="s">
        <v>4275</v>
      </c>
      <c r="C2056" s="82" t="s">
        <v>3187</v>
      </c>
      <c r="D2056" s="83">
        <f>SUMIFS(D2057:D6462,K2057:K6462,"0",B2057:B6462,"5 1 1 3 2 12 31111 6 M59 23000*")-SUMIFS(E2057:E6462,K2057:K6462,"0",B2057:B6462,"5 1 1 3 2 12 31111 6 M59 23000*")</f>
        <v>0</v>
      </c>
      <c r="E2056" s="54"/>
      <c r="F2056" s="83">
        <f>SUMIFS(F2057:F6462,K2057:K6462,"0",B2057:B6462,"5 1 1 3 2 12 31111 6 M59 23000*")</f>
        <v>10270.080000000002</v>
      </c>
      <c r="G2056" s="83">
        <f>SUMIFS(G2057:G6462,K2057:K6462,"0",B2057:B6462,"5 1 1 3 2 12 31111 6 M59 23000*")</f>
        <v>0</v>
      </c>
      <c r="H2056" s="83">
        <f t="shared" si="32"/>
        <v>10270.080000000002</v>
      </c>
      <c r="I2056" s="83"/>
      <c r="K2056" s="54" t="s">
        <v>15</v>
      </c>
    </row>
    <row r="2057" spans="2:11" ht="16.5" x14ac:dyDescent="0.2">
      <c r="B2057" s="82" t="s">
        <v>4276</v>
      </c>
      <c r="C2057" s="82" t="s">
        <v>648</v>
      </c>
      <c r="D2057" s="83">
        <f>SUMIFS(D2058:D6462,K2058:K6462,"0",B2058:B6462,"5 1 1 3 2 12 31111 6 M59 23000 000132*")-SUMIFS(E2058:E6462,K2058:K6462,"0",B2058:B6462,"5 1 1 3 2 12 31111 6 M59 23000 000132*")</f>
        <v>0</v>
      </c>
      <c r="E2057" s="54"/>
      <c r="F2057" s="83">
        <f>SUMIFS(F2058:F6462,K2058:K6462,"0",B2058:B6462,"5 1 1 3 2 12 31111 6 M59 23000 000132*")</f>
        <v>10270.080000000002</v>
      </c>
      <c r="G2057" s="83">
        <f>SUMIFS(G2058:G6462,K2058:K6462,"0",B2058:B6462,"5 1 1 3 2 12 31111 6 M59 23000 000132*")</f>
        <v>0</v>
      </c>
      <c r="H2057" s="83">
        <f t="shared" si="32"/>
        <v>10270.080000000002</v>
      </c>
      <c r="I2057" s="83"/>
      <c r="K2057" s="54" t="s">
        <v>15</v>
      </c>
    </row>
    <row r="2058" spans="2:11" ht="24.75" x14ac:dyDescent="0.2">
      <c r="B2058" s="82" t="s">
        <v>4277</v>
      </c>
      <c r="C2058" s="82" t="s">
        <v>650</v>
      </c>
      <c r="D2058" s="83">
        <f>SUMIFS(D2059:D6462,K2059:K6462,"0",B2059:B6462,"5 1 1 3 2 12 31111 6 M59 23000 000132 0000R*")-SUMIFS(E2059:E6462,K2059:K6462,"0",B2059:B6462,"5 1 1 3 2 12 31111 6 M59 23000 000132 0000R*")</f>
        <v>0</v>
      </c>
      <c r="E2058" s="54"/>
      <c r="F2058" s="83">
        <f>SUMIFS(F2059:F6462,K2059:K6462,"0",B2059:B6462,"5 1 1 3 2 12 31111 6 M59 23000 000132 0000R*")</f>
        <v>10270.080000000002</v>
      </c>
      <c r="G2058" s="83">
        <f>SUMIFS(G2059:G6462,K2059:K6462,"0",B2059:B6462,"5 1 1 3 2 12 31111 6 M59 23000 000132 0000R*")</f>
        <v>0</v>
      </c>
      <c r="H2058" s="83">
        <f t="shared" si="32"/>
        <v>10270.080000000002</v>
      </c>
      <c r="I2058" s="83"/>
      <c r="K2058" s="54" t="s">
        <v>15</v>
      </c>
    </row>
    <row r="2059" spans="2:11" ht="24.75" x14ac:dyDescent="0.2">
      <c r="B2059" s="82" t="s">
        <v>4278</v>
      </c>
      <c r="C2059" s="82" t="s">
        <v>282</v>
      </c>
      <c r="D2059" s="83">
        <f>SUMIFS(D2060:D6462,K2060:K6462,"0",B2060:B6462,"5 1 1 3 2 12 31111 6 M59 23000 000132 0000R 00001*")-SUMIFS(E2060:E6462,K2060:K6462,"0",B2060:B6462,"5 1 1 3 2 12 31111 6 M59 23000 000132 0000R 00001*")</f>
        <v>0</v>
      </c>
      <c r="E2059" s="54"/>
      <c r="F2059" s="83">
        <f>SUMIFS(F2060:F6462,K2060:K6462,"0",B2060:B6462,"5 1 1 3 2 12 31111 6 M59 23000 000132 0000R 00001*")</f>
        <v>10270.080000000002</v>
      </c>
      <c r="G2059" s="83">
        <f>SUMIFS(G2060:G6462,K2060:K6462,"0",B2060:B6462,"5 1 1 3 2 12 31111 6 M59 23000 000132 0000R 00001*")</f>
        <v>0</v>
      </c>
      <c r="H2059" s="83">
        <f t="shared" si="32"/>
        <v>10270.080000000002</v>
      </c>
      <c r="I2059" s="83"/>
      <c r="K2059" s="54" t="s">
        <v>15</v>
      </c>
    </row>
    <row r="2060" spans="2:11" ht="24.75" x14ac:dyDescent="0.2">
      <c r="B2060" s="82" t="s">
        <v>4279</v>
      </c>
      <c r="C2060" s="82" t="s">
        <v>4041</v>
      </c>
      <c r="D2060" s="83">
        <f>SUMIFS(D2061:D6462,K2061:K6462,"0",B2061:B6462,"5 1 1 3 2 12 31111 6 M59 23000 000132 0000R 00001 00132*")-SUMIFS(E2061:E6462,K2061:K6462,"0",B2061:B6462,"5 1 1 3 2 12 31111 6 M59 23000 000132 0000R 00001 00132*")</f>
        <v>0</v>
      </c>
      <c r="E2060" s="54"/>
      <c r="F2060" s="83">
        <f>SUMIFS(F2061:F6462,K2061:K6462,"0",B2061:B6462,"5 1 1 3 2 12 31111 6 M59 23000 000132 0000R 00001 00132*")</f>
        <v>10270.080000000002</v>
      </c>
      <c r="G2060" s="83">
        <f>SUMIFS(G2061:G6462,K2061:K6462,"0",B2061:B6462,"5 1 1 3 2 12 31111 6 M59 23000 000132 0000R 00001 00132*")</f>
        <v>0</v>
      </c>
      <c r="H2060" s="83">
        <f t="shared" si="32"/>
        <v>10270.080000000002</v>
      </c>
      <c r="I2060" s="83"/>
      <c r="K2060" s="54" t="s">
        <v>15</v>
      </c>
    </row>
    <row r="2061" spans="2:11" ht="33" x14ac:dyDescent="0.2">
      <c r="B2061" s="82" t="s">
        <v>4280</v>
      </c>
      <c r="C2061" s="82" t="s">
        <v>1051</v>
      </c>
      <c r="D2061" s="83">
        <f>SUMIFS(D2062:D6462,K2062:K6462,"0",B2062:B6462,"5 1 1 3 2 12 31111 6 M59 23000 000132 0000R 00001 00132 015*")-SUMIFS(E2062:E6462,K2062:K6462,"0",B2062:B6462,"5 1 1 3 2 12 31111 6 M59 23000 000132 0000R 00001 00132 015*")</f>
        <v>0</v>
      </c>
      <c r="E2061" s="54"/>
      <c r="F2061" s="83">
        <f>SUMIFS(F2062:F6462,K2062:K6462,"0",B2062:B6462,"5 1 1 3 2 12 31111 6 M59 23000 000132 0000R 00001 00132 015*")</f>
        <v>10270.080000000002</v>
      </c>
      <c r="G2061" s="83">
        <f>SUMIFS(G2062:G6462,K2062:K6462,"0",B2062:B6462,"5 1 1 3 2 12 31111 6 M59 23000 000132 0000R 00001 00132 015*")</f>
        <v>0</v>
      </c>
      <c r="H2061" s="83">
        <f t="shared" si="32"/>
        <v>10270.080000000002</v>
      </c>
      <c r="I2061" s="83"/>
      <c r="K2061" s="54" t="s">
        <v>15</v>
      </c>
    </row>
    <row r="2062" spans="2:11" ht="33" x14ac:dyDescent="0.2">
      <c r="B2062" s="82" t="s">
        <v>4281</v>
      </c>
      <c r="C2062" s="82" t="s">
        <v>2927</v>
      </c>
      <c r="D2062" s="83">
        <f>SUMIFS(D2063:D6462,K2063:K6462,"0",B2063:B6462,"5 1 1 3 2 12 31111 6 M59 23000 000132 0000R 00001 00132 015 2111100*")-SUMIFS(E2063:E6462,K2063:K6462,"0",B2063:B6462,"5 1 1 3 2 12 31111 6 M59 23000 000132 0000R 00001 00132 015 2111100*")</f>
        <v>0</v>
      </c>
      <c r="E2062" s="54"/>
      <c r="F2062" s="83">
        <f>SUMIFS(F2063:F6462,K2063:K6462,"0",B2063:B6462,"5 1 1 3 2 12 31111 6 M59 23000 000132 0000R 00001 00132 015 2111100*")</f>
        <v>10270.080000000002</v>
      </c>
      <c r="G2062" s="83">
        <f>SUMIFS(G2063:G6462,K2063:K6462,"0",B2063:B6462,"5 1 1 3 2 12 31111 6 M59 23000 000132 0000R 00001 00132 015 2111100*")</f>
        <v>0</v>
      </c>
      <c r="H2062" s="83">
        <f t="shared" si="32"/>
        <v>10270.080000000002</v>
      </c>
      <c r="I2062" s="83"/>
      <c r="K2062" s="54" t="s">
        <v>15</v>
      </c>
    </row>
    <row r="2063" spans="2:11" ht="33" x14ac:dyDescent="0.2">
      <c r="B2063" s="82" t="s">
        <v>4282</v>
      </c>
      <c r="C2063" s="82" t="s">
        <v>660</v>
      </c>
      <c r="D2063" s="83">
        <f>SUMIFS(D2064:D6462,K2064:K6462,"0",B2064:B6462,"5 1 1 3 2 12 31111 6 M59 23000 000132 0000R 00001 00132 015 2111100 2024*")-SUMIFS(E2064:E6462,K2064:K6462,"0",B2064:B6462,"5 1 1 3 2 12 31111 6 M59 23000 000132 0000R 00001 00132 015 2111100 2024*")</f>
        <v>0</v>
      </c>
      <c r="E2063" s="54"/>
      <c r="F2063" s="83">
        <f>SUMIFS(F2064:F6462,K2064:K6462,"0",B2064:B6462,"5 1 1 3 2 12 31111 6 M59 23000 000132 0000R 00001 00132 015 2111100 2024*")</f>
        <v>10270.080000000002</v>
      </c>
      <c r="G2063" s="83">
        <f>SUMIFS(G2064:G6462,K2064:K6462,"0",B2064:B6462,"5 1 1 3 2 12 31111 6 M59 23000 000132 0000R 00001 00132 015 2111100 2024*")</f>
        <v>0</v>
      </c>
      <c r="H2063" s="83">
        <f t="shared" si="32"/>
        <v>10270.080000000002</v>
      </c>
      <c r="I2063" s="83"/>
      <c r="K2063" s="54" t="s">
        <v>15</v>
      </c>
    </row>
    <row r="2064" spans="2:11" ht="41.25" x14ac:dyDescent="0.2">
      <c r="B2064" s="82" t="s">
        <v>4283</v>
      </c>
      <c r="C2064" s="82" t="s">
        <v>1056</v>
      </c>
      <c r="D2064" s="83">
        <f>SUMIFS(D2065:D6462,K2065:K6462,"0",B2065:B6462,"5 1 1 3 2 12 31111 6 M59 23000 000132 0000R 00001 00132 015 2111100 2024 CP1ST377*")-SUMIFS(E2065:E6462,K2065:K6462,"0",B2065:B6462,"5 1 1 3 2 12 31111 6 M59 23000 000132 0000R 00001 00132 015 2111100 2024 CP1ST377*")</f>
        <v>0</v>
      </c>
      <c r="E2064" s="54"/>
      <c r="F2064" s="83">
        <f>SUMIFS(F2065:F6462,K2065:K6462,"0",B2065:B6462,"5 1 1 3 2 12 31111 6 M59 23000 000132 0000R 00001 00132 015 2111100 2024 CP1ST377*")</f>
        <v>10270.080000000002</v>
      </c>
      <c r="G2064" s="83">
        <f>SUMIFS(G2065:G6462,K2065:K6462,"0",B2065:B6462,"5 1 1 3 2 12 31111 6 M59 23000 000132 0000R 00001 00132 015 2111100 2024 CP1ST377*")</f>
        <v>0</v>
      </c>
      <c r="H2064" s="83">
        <f t="shared" si="32"/>
        <v>10270.080000000002</v>
      </c>
      <c r="I2064" s="83"/>
      <c r="K2064" s="54" t="s">
        <v>15</v>
      </c>
    </row>
    <row r="2065" spans="2:11" ht="41.25" x14ac:dyDescent="0.2">
      <c r="B2065" s="82" t="s">
        <v>4284</v>
      </c>
      <c r="C2065" s="82" t="s">
        <v>282</v>
      </c>
      <c r="D2065" s="83">
        <f>SUMIFS(D2066:D6462,K2066:K6462,"0",B2066:B6462,"5 1 1 3 2 12 31111 6 M59 23000 000132 0000R 00001 00132 015 2111100 2024 CP1ST377 001*")-SUMIFS(E2066:E6462,K2066:K6462,"0",B2066:B6462,"5 1 1 3 2 12 31111 6 M59 23000 000132 0000R 00001 00132 015 2111100 2024 CP1ST377 001*")</f>
        <v>0</v>
      </c>
      <c r="E2065" s="54"/>
      <c r="F2065" s="83">
        <f>SUMIFS(F2066:F6462,K2066:K6462,"0",B2066:B6462,"5 1 1 3 2 12 31111 6 M59 23000 000132 0000R 00001 00132 015 2111100 2024 CP1ST377 001*")</f>
        <v>10270.080000000002</v>
      </c>
      <c r="G2065" s="83">
        <f>SUMIFS(G2066:G6462,K2066:K6462,"0",B2066:B6462,"5 1 1 3 2 12 31111 6 M59 23000 000132 0000R 00001 00132 015 2111100 2024 CP1ST377 001*")</f>
        <v>0</v>
      </c>
      <c r="H2065" s="83">
        <f t="shared" si="32"/>
        <v>10270.080000000002</v>
      </c>
      <c r="I2065" s="83"/>
      <c r="K2065" s="54" t="s">
        <v>15</v>
      </c>
    </row>
    <row r="2066" spans="2:11" ht="41.25" x14ac:dyDescent="0.2">
      <c r="B2066" s="84" t="s">
        <v>4285</v>
      </c>
      <c r="C2066" s="84" t="s">
        <v>1519</v>
      </c>
      <c r="D2066" s="85">
        <v>0</v>
      </c>
      <c r="E2066" s="85"/>
      <c r="F2066" s="85">
        <v>8517.7000000000007</v>
      </c>
      <c r="G2066" s="85">
        <v>0</v>
      </c>
      <c r="H2066" s="85">
        <f t="shared" si="32"/>
        <v>8517.7000000000007</v>
      </c>
      <c r="I2066" s="85"/>
      <c r="K2066" s="54" t="s">
        <v>38</v>
      </c>
    </row>
    <row r="2067" spans="2:11" ht="41.25" x14ac:dyDescent="0.2">
      <c r="B2067" s="84" t="s">
        <v>4286</v>
      </c>
      <c r="C2067" s="84" t="s">
        <v>4071</v>
      </c>
      <c r="D2067" s="85">
        <v>0</v>
      </c>
      <c r="E2067" s="85"/>
      <c r="F2067" s="85">
        <v>1752.38</v>
      </c>
      <c r="G2067" s="85">
        <v>0</v>
      </c>
      <c r="H2067" s="85">
        <f t="shared" si="32"/>
        <v>1752.38</v>
      </c>
      <c r="I2067" s="85"/>
      <c r="K2067" s="54" t="s">
        <v>38</v>
      </c>
    </row>
    <row r="2068" spans="2:11" ht="16.5" x14ac:dyDescent="0.2">
      <c r="B2068" s="82" t="s">
        <v>4287</v>
      </c>
      <c r="C2068" s="82" t="s">
        <v>3199</v>
      </c>
      <c r="D2068" s="83">
        <f>SUMIFS(D2069:D6462,K2069:K6462,"0",B2069:B6462,"5 1 1 3 2 12 31111 6 M59 30000*")-SUMIFS(E2069:E6462,K2069:K6462,"0",B2069:B6462,"5 1 1 3 2 12 31111 6 M59 30000*")</f>
        <v>0</v>
      </c>
      <c r="E2068" s="54"/>
      <c r="F2068" s="83">
        <f>SUMIFS(F2069:F6462,K2069:K6462,"0",B2069:B6462,"5 1 1 3 2 12 31111 6 M59 30000*")</f>
        <v>8381.19</v>
      </c>
      <c r="G2068" s="83">
        <f>SUMIFS(G2069:G6462,K2069:K6462,"0",B2069:B6462,"5 1 1 3 2 12 31111 6 M59 30000*")</f>
        <v>0</v>
      </c>
      <c r="H2068" s="83">
        <f t="shared" si="32"/>
        <v>8381.19</v>
      </c>
      <c r="I2068" s="83"/>
      <c r="K2068" s="54" t="s">
        <v>15</v>
      </c>
    </row>
    <row r="2069" spans="2:11" ht="16.5" x14ac:dyDescent="0.2">
      <c r="B2069" s="82" t="s">
        <v>4288</v>
      </c>
      <c r="C2069" s="82" t="s">
        <v>648</v>
      </c>
      <c r="D2069" s="83">
        <f>SUMIFS(D2070:D6462,K2070:K6462,"0",B2070:B6462,"5 1 1 3 2 12 31111 6 M59 30000 000132*")-SUMIFS(E2070:E6462,K2070:K6462,"0",B2070:B6462,"5 1 1 3 2 12 31111 6 M59 30000 000132*")</f>
        <v>0</v>
      </c>
      <c r="E2069" s="54"/>
      <c r="F2069" s="83">
        <f>SUMIFS(F2070:F6462,K2070:K6462,"0",B2070:B6462,"5 1 1 3 2 12 31111 6 M59 30000 000132*")</f>
        <v>8381.19</v>
      </c>
      <c r="G2069" s="83">
        <f>SUMIFS(G2070:G6462,K2070:K6462,"0",B2070:B6462,"5 1 1 3 2 12 31111 6 M59 30000 000132*")</f>
        <v>0</v>
      </c>
      <c r="H2069" s="83">
        <f t="shared" si="32"/>
        <v>8381.19</v>
      </c>
      <c r="I2069" s="83"/>
      <c r="K2069" s="54" t="s">
        <v>15</v>
      </c>
    </row>
    <row r="2070" spans="2:11" ht="24.75" x14ac:dyDescent="0.2">
      <c r="B2070" s="82" t="s">
        <v>4289</v>
      </c>
      <c r="C2070" s="82" t="s">
        <v>650</v>
      </c>
      <c r="D2070" s="83">
        <f>SUMIFS(D2071:D6462,K2071:K6462,"0",B2071:B6462,"5 1 1 3 2 12 31111 6 M59 30000 000132 0000R*")-SUMIFS(E2071:E6462,K2071:K6462,"0",B2071:B6462,"5 1 1 3 2 12 31111 6 M59 30000 000132 0000R*")</f>
        <v>0</v>
      </c>
      <c r="E2070" s="54"/>
      <c r="F2070" s="83">
        <f>SUMIFS(F2071:F6462,K2071:K6462,"0",B2071:B6462,"5 1 1 3 2 12 31111 6 M59 30000 000132 0000R*")</f>
        <v>8381.19</v>
      </c>
      <c r="G2070" s="83">
        <f>SUMIFS(G2071:G6462,K2071:K6462,"0",B2071:B6462,"5 1 1 3 2 12 31111 6 M59 30000 000132 0000R*")</f>
        <v>0</v>
      </c>
      <c r="H2070" s="83">
        <f t="shared" si="32"/>
        <v>8381.19</v>
      </c>
      <c r="I2070" s="83"/>
      <c r="K2070" s="54" t="s">
        <v>15</v>
      </c>
    </row>
    <row r="2071" spans="2:11" ht="24.75" x14ac:dyDescent="0.2">
      <c r="B2071" s="82" t="s">
        <v>4290</v>
      </c>
      <c r="C2071" s="82" t="s">
        <v>282</v>
      </c>
      <c r="D2071" s="83">
        <f>SUMIFS(D2072:D6462,K2072:K6462,"0",B2072:B6462,"5 1 1 3 2 12 31111 6 M59 30000 000132 0000R 00001*")-SUMIFS(E2072:E6462,K2072:K6462,"0",B2072:B6462,"5 1 1 3 2 12 31111 6 M59 30000 000132 0000R 00001*")</f>
        <v>0</v>
      </c>
      <c r="E2071" s="54"/>
      <c r="F2071" s="83">
        <f>SUMIFS(F2072:F6462,K2072:K6462,"0",B2072:B6462,"5 1 1 3 2 12 31111 6 M59 30000 000132 0000R 00001*")</f>
        <v>8381.19</v>
      </c>
      <c r="G2071" s="83">
        <f>SUMIFS(G2072:G6462,K2072:K6462,"0",B2072:B6462,"5 1 1 3 2 12 31111 6 M59 30000 000132 0000R 00001*")</f>
        <v>0</v>
      </c>
      <c r="H2071" s="83">
        <f t="shared" si="32"/>
        <v>8381.19</v>
      </c>
      <c r="I2071" s="83"/>
      <c r="K2071" s="54" t="s">
        <v>15</v>
      </c>
    </row>
    <row r="2072" spans="2:11" ht="24.75" x14ac:dyDescent="0.2">
      <c r="B2072" s="82" t="s">
        <v>4291</v>
      </c>
      <c r="C2072" s="82" t="s">
        <v>4041</v>
      </c>
      <c r="D2072" s="83">
        <f>SUMIFS(D2073:D6462,K2073:K6462,"0",B2073:B6462,"5 1 1 3 2 12 31111 6 M59 30000 000132 0000R 00001 00132*")-SUMIFS(E2073:E6462,K2073:K6462,"0",B2073:B6462,"5 1 1 3 2 12 31111 6 M59 30000 000132 0000R 00001 00132*")</f>
        <v>0</v>
      </c>
      <c r="E2072" s="54"/>
      <c r="F2072" s="83">
        <f>SUMIFS(F2073:F6462,K2073:K6462,"0",B2073:B6462,"5 1 1 3 2 12 31111 6 M59 30000 000132 0000R 00001 00132*")</f>
        <v>8381.19</v>
      </c>
      <c r="G2072" s="83">
        <f>SUMIFS(G2073:G6462,K2073:K6462,"0",B2073:B6462,"5 1 1 3 2 12 31111 6 M59 30000 000132 0000R 00001 00132*")</f>
        <v>0</v>
      </c>
      <c r="H2072" s="83">
        <f t="shared" si="32"/>
        <v>8381.19</v>
      </c>
      <c r="I2072" s="83"/>
      <c r="K2072" s="54" t="s">
        <v>15</v>
      </c>
    </row>
    <row r="2073" spans="2:11" ht="33" x14ac:dyDescent="0.2">
      <c r="B2073" s="82" t="s">
        <v>4292</v>
      </c>
      <c r="C2073" s="82" t="s">
        <v>1051</v>
      </c>
      <c r="D2073" s="83">
        <f>SUMIFS(D2074:D6462,K2074:K6462,"0",B2074:B6462,"5 1 1 3 2 12 31111 6 M59 30000 000132 0000R 00001 00132 015*")-SUMIFS(E2074:E6462,K2074:K6462,"0",B2074:B6462,"5 1 1 3 2 12 31111 6 M59 30000 000132 0000R 00001 00132 015*")</f>
        <v>0</v>
      </c>
      <c r="E2073" s="54"/>
      <c r="F2073" s="83">
        <f>SUMIFS(F2074:F6462,K2074:K6462,"0",B2074:B6462,"5 1 1 3 2 12 31111 6 M59 30000 000132 0000R 00001 00132 015*")</f>
        <v>8381.19</v>
      </c>
      <c r="G2073" s="83">
        <f>SUMIFS(G2074:G6462,K2074:K6462,"0",B2074:B6462,"5 1 1 3 2 12 31111 6 M59 30000 000132 0000R 00001 00132 015*")</f>
        <v>0</v>
      </c>
      <c r="H2073" s="83">
        <f t="shared" si="32"/>
        <v>8381.19</v>
      </c>
      <c r="I2073" s="83"/>
      <c r="K2073" s="54" t="s">
        <v>15</v>
      </c>
    </row>
    <row r="2074" spans="2:11" ht="33" x14ac:dyDescent="0.2">
      <c r="B2074" s="82" t="s">
        <v>4293</v>
      </c>
      <c r="C2074" s="82" t="s">
        <v>2927</v>
      </c>
      <c r="D2074" s="83">
        <f>SUMIFS(D2075:D6462,K2075:K6462,"0",B2075:B6462,"5 1 1 3 2 12 31111 6 M59 30000 000132 0000R 00001 00132 015 2111100*")-SUMIFS(E2075:E6462,K2075:K6462,"0",B2075:B6462,"5 1 1 3 2 12 31111 6 M59 30000 000132 0000R 00001 00132 015 2111100*")</f>
        <v>0</v>
      </c>
      <c r="E2074" s="54"/>
      <c r="F2074" s="83">
        <f>SUMIFS(F2075:F6462,K2075:K6462,"0",B2075:B6462,"5 1 1 3 2 12 31111 6 M59 30000 000132 0000R 00001 00132 015 2111100*")</f>
        <v>8381.19</v>
      </c>
      <c r="G2074" s="83">
        <f>SUMIFS(G2075:G6462,K2075:K6462,"0",B2075:B6462,"5 1 1 3 2 12 31111 6 M59 30000 000132 0000R 00001 00132 015 2111100*")</f>
        <v>0</v>
      </c>
      <c r="H2074" s="83">
        <f t="shared" si="32"/>
        <v>8381.19</v>
      </c>
      <c r="I2074" s="83"/>
      <c r="K2074" s="54" t="s">
        <v>15</v>
      </c>
    </row>
    <row r="2075" spans="2:11" ht="33" x14ac:dyDescent="0.2">
      <c r="B2075" s="82" t="s">
        <v>4294</v>
      </c>
      <c r="C2075" s="82" t="s">
        <v>660</v>
      </c>
      <c r="D2075" s="83">
        <f>SUMIFS(D2076:D6462,K2076:K6462,"0",B2076:B6462,"5 1 1 3 2 12 31111 6 M59 30000 000132 0000R 00001 00132 015 2111100 2024*")-SUMIFS(E2076:E6462,K2076:K6462,"0",B2076:B6462,"5 1 1 3 2 12 31111 6 M59 30000 000132 0000R 00001 00132 015 2111100 2024*")</f>
        <v>0</v>
      </c>
      <c r="E2075" s="54"/>
      <c r="F2075" s="83">
        <f>SUMIFS(F2076:F6462,K2076:K6462,"0",B2076:B6462,"5 1 1 3 2 12 31111 6 M59 30000 000132 0000R 00001 00132 015 2111100 2024*")</f>
        <v>8381.19</v>
      </c>
      <c r="G2075" s="83">
        <f>SUMIFS(G2076:G6462,K2076:K6462,"0",B2076:B6462,"5 1 1 3 2 12 31111 6 M59 30000 000132 0000R 00001 00132 015 2111100 2024*")</f>
        <v>0</v>
      </c>
      <c r="H2075" s="83">
        <f t="shared" si="32"/>
        <v>8381.19</v>
      </c>
      <c r="I2075" s="83"/>
      <c r="K2075" s="54" t="s">
        <v>15</v>
      </c>
    </row>
    <row r="2076" spans="2:11" ht="41.25" x14ac:dyDescent="0.2">
      <c r="B2076" s="82" t="s">
        <v>4295</v>
      </c>
      <c r="C2076" s="82" t="s">
        <v>1056</v>
      </c>
      <c r="D2076" s="83">
        <f>SUMIFS(D2077:D6462,K2077:K6462,"0",B2077:B6462,"5 1 1 3 2 12 31111 6 M59 30000 000132 0000R 00001 00132 015 2111100 2024 CP1DU385*")-SUMIFS(E2077:E6462,K2077:K6462,"0",B2077:B6462,"5 1 1 3 2 12 31111 6 M59 30000 000132 0000R 00001 00132 015 2111100 2024 CP1DU385*")</f>
        <v>0</v>
      </c>
      <c r="E2076" s="54"/>
      <c r="F2076" s="83">
        <f>SUMIFS(F2077:F6462,K2077:K6462,"0",B2077:B6462,"5 1 1 3 2 12 31111 6 M59 30000 000132 0000R 00001 00132 015 2111100 2024 CP1DU385*")</f>
        <v>8381.19</v>
      </c>
      <c r="G2076" s="83">
        <f>SUMIFS(G2077:G6462,K2077:K6462,"0",B2077:B6462,"5 1 1 3 2 12 31111 6 M59 30000 000132 0000R 00001 00132 015 2111100 2024 CP1DU385*")</f>
        <v>0</v>
      </c>
      <c r="H2076" s="83">
        <f t="shared" si="32"/>
        <v>8381.19</v>
      </c>
      <c r="I2076" s="83"/>
      <c r="K2076" s="54" t="s">
        <v>15</v>
      </c>
    </row>
    <row r="2077" spans="2:11" ht="41.25" x14ac:dyDescent="0.2">
      <c r="B2077" s="82" t="s">
        <v>4296</v>
      </c>
      <c r="C2077" s="82" t="s">
        <v>282</v>
      </c>
      <c r="D2077" s="83">
        <f>SUMIFS(D2078:D6462,K2078:K6462,"0",B2078:B6462,"5 1 1 3 2 12 31111 6 M59 30000 000132 0000R 00001 00132 015 2111100 2024 CP1DU385 001*")-SUMIFS(E2078:E6462,K2078:K6462,"0",B2078:B6462,"5 1 1 3 2 12 31111 6 M59 30000 000132 0000R 00001 00132 015 2111100 2024 CP1DU385 001*")</f>
        <v>0</v>
      </c>
      <c r="E2077" s="54"/>
      <c r="F2077" s="83">
        <f>SUMIFS(F2078:F6462,K2078:K6462,"0",B2078:B6462,"5 1 1 3 2 12 31111 6 M59 30000 000132 0000R 00001 00132 015 2111100 2024 CP1DU385 001*")</f>
        <v>8381.19</v>
      </c>
      <c r="G2077" s="83">
        <f>SUMIFS(G2078:G6462,K2078:K6462,"0",B2078:B6462,"5 1 1 3 2 12 31111 6 M59 30000 000132 0000R 00001 00132 015 2111100 2024 CP1DU385 001*")</f>
        <v>0</v>
      </c>
      <c r="H2077" s="83">
        <f t="shared" si="32"/>
        <v>8381.19</v>
      </c>
      <c r="I2077" s="83"/>
      <c r="K2077" s="54" t="s">
        <v>15</v>
      </c>
    </row>
    <row r="2078" spans="2:11" ht="41.25" x14ac:dyDescent="0.2">
      <c r="B2078" s="84" t="s">
        <v>4297</v>
      </c>
      <c r="C2078" s="84" t="s">
        <v>1519</v>
      </c>
      <c r="D2078" s="85">
        <v>0</v>
      </c>
      <c r="E2078" s="85"/>
      <c r="F2078" s="85">
        <v>8381.19</v>
      </c>
      <c r="G2078" s="85">
        <v>0</v>
      </c>
      <c r="H2078" s="85">
        <f t="shared" si="32"/>
        <v>8381.19</v>
      </c>
      <c r="I2078" s="85"/>
      <c r="K2078" s="54" t="s">
        <v>38</v>
      </c>
    </row>
    <row r="2079" spans="2:11" ht="16.5" x14ac:dyDescent="0.2">
      <c r="B2079" s="82" t="s">
        <v>4298</v>
      </c>
      <c r="C2079" s="82" t="s">
        <v>646</v>
      </c>
      <c r="D2079" s="83">
        <f>SUMIFS(D2080:D6462,K2080:K6462,"0",B2080:B6462,"5 1 1 3 2 12 31111 6 M59 30100*")-SUMIFS(E2080:E6462,K2080:K6462,"0",B2080:B6462,"5 1 1 3 2 12 31111 6 M59 30100*")</f>
        <v>0</v>
      </c>
      <c r="E2079" s="54"/>
      <c r="F2079" s="83">
        <f>SUMIFS(F2080:F6462,K2080:K6462,"0",B2080:B6462,"5 1 1 3 2 12 31111 6 M59 30100*")</f>
        <v>39340.83</v>
      </c>
      <c r="G2079" s="83">
        <f>SUMIFS(G2080:G6462,K2080:K6462,"0",B2080:B6462,"5 1 1 3 2 12 31111 6 M59 30100*")</f>
        <v>0</v>
      </c>
      <c r="H2079" s="83">
        <f t="shared" si="32"/>
        <v>39340.83</v>
      </c>
      <c r="I2079" s="83"/>
      <c r="K2079" s="54" t="s">
        <v>15</v>
      </c>
    </row>
    <row r="2080" spans="2:11" ht="16.5" x14ac:dyDescent="0.2">
      <c r="B2080" s="82" t="s">
        <v>4299</v>
      </c>
      <c r="C2080" s="82" t="s">
        <v>648</v>
      </c>
      <c r="D2080" s="83">
        <f>SUMIFS(D2081:D6462,K2081:K6462,"0",B2081:B6462,"5 1 1 3 2 12 31111 6 M59 30100 000132*")-SUMIFS(E2081:E6462,K2081:K6462,"0",B2081:B6462,"5 1 1 3 2 12 31111 6 M59 30100 000132*")</f>
        <v>0</v>
      </c>
      <c r="E2080" s="54"/>
      <c r="F2080" s="83">
        <f>SUMIFS(F2081:F6462,K2081:K6462,"0",B2081:B6462,"5 1 1 3 2 12 31111 6 M59 30100 000132*")</f>
        <v>39340.83</v>
      </c>
      <c r="G2080" s="83">
        <f>SUMIFS(G2081:G6462,K2081:K6462,"0",B2081:B6462,"5 1 1 3 2 12 31111 6 M59 30100 000132*")</f>
        <v>0</v>
      </c>
      <c r="H2080" s="83">
        <f t="shared" si="32"/>
        <v>39340.83</v>
      </c>
      <c r="I2080" s="83"/>
      <c r="K2080" s="54" t="s">
        <v>15</v>
      </c>
    </row>
    <row r="2081" spans="2:11" ht="24.75" x14ac:dyDescent="0.2">
      <c r="B2081" s="82" t="s">
        <v>4300</v>
      </c>
      <c r="C2081" s="82" t="s">
        <v>650</v>
      </c>
      <c r="D2081" s="83">
        <f>SUMIFS(D2082:D6462,K2082:K6462,"0",B2082:B6462,"5 1 1 3 2 12 31111 6 M59 30100 000132 0000R*")-SUMIFS(E2082:E6462,K2082:K6462,"0",B2082:B6462,"5 1 1 3 2 12 31111 6 M59 30100 000132 0000R*")</f>
        <v>0</v>
      </c>
      <c r="E2081" s="54"/>
      <c r="F2081" s="83">
        <f>SUMIFS(F2082:F6462,K2082:K6462,"0",B2082:B6462,"5 1 1 3 2 12 31111 6 M59 30100 000132 0000R*")</f>
        <v>39340.83</v>
      </c>
      <c r="G2081" s="83">
        <f>SUMIFS(G2082:G6462,K2082:K6462,"0",B2082:B6462,"5 1 1 3 2 12 31111 6 M59 30100 000132 0000R*")</f>
        <v>0</v>
      </c>
      <c r="H2081" s="83">
        <f t="shared" si="32"/>
        <v>39340.83</v>
      </c>
      <c r="I2081" s="83"/>
      <c r="K2081" s="54" t="s">
        <v>15</v>
      </c>
    </row>
    <row r="2082" spans="2:11" ht="24.75" x14ac:dyDescent="0.2">
      <c r="B2082" s="82" t="s">
        <v>4301</v>
      </c>
      <c r="C2082" s="82" t="s">
        <v>282</v>
      </c>
      <c r="D2082" s="83">
        <f>SUMIFS(D2083:D6462,K2083:K6462,"0",B2083:B6462,"5 1 1 3 2 12 31111 6 M59 30100 000132 0000R 00001*")-SUMIFS(E2083:E6462,K2083:K6462,"0",B2083:B6462,"5 1 1 3 2 12 31111 6 M59 30100 000132 0000R 00001*")</f>
        <v>0</v>
      </c>
      <c r="E2082" s="54"/>
      <c r="F2082" s="83">
        <f>SUMIFS(F2083:F6462,K2083:K6462,"0",B2083:B6462,"5 1 1 3 2 12 31111 6 M59 30100 000132 0000R 00001*")</f>
        <v>39340.83</v>
      </c>
      <c r="G2082" s="83">
        <f>SUMIFS(G2083:G6462,K2083:K6462,"0",B2083:B6462,"5 1 1 3 2 12 31111 6 M59 30100 000132 0000R 00001*")</f>
        <v>0</v>
      </c>
      <c r="H2082" s="83">
        <f t="shared" si="32"/>
        <v>39340.83</v>
      </c>
      <c r="I2082" s="83"/>
      <c r="K2082" s="54" t="s">
        <v>15</v>
      </c>
    </row>
    <row r="2083" spans="2:11" ht="24.75" x14ac:dyDescent="0.2">
      <c r="B2083" s="82" t="s">
        <v>4302</v>
      </c>
      <c r="C2083" s="82" t="s">
        <v>4041</v>
      </c>
      <c r="D2083" s="83">
        <f>SUMIFS(D2084:D6462,K2084:K6462,"0",B2084:B6462,"5 1 1 3 2 12 31111 6 M59 30100 000132 0000R 00001 00132*")-SUMIFS(E2084:E6462,K2084:K6462,"0",B2084:B6462,"5 1 1 3 2 12 31111 6 M59 30100 000132 0000R 00001 00132*")</f>
        <v>0</v>
      </c>
      <c r="E2083" s="54"/>
      <c r="F2083" s="83">
        <f>SUMIFS(F2084:F6462,K2084:K6462,"0",B2084:B6462,"5 1 1 3 2 12 31111 6 M59 30100 000132 0000R 00001 00132*")</f>
        <v>39340.83</v>
      </c>
      <c r="G2083" s="83">
        <f>SUMIFS(G2084:G6462,K2084:K6462,"0",B2084:B6462,"5 1 1 3 2 12 31111 6 M59 30100 000132 0000R 00001 00132*")</f>
        <v>0</v>
      </c>
      <c r="H2083" s="83">
        <f t="shared" si="32"/>
        <v>39340.83</v>
      </c>
      <c r="I2083" s="83"/>
      <c r="K2083" s="54" t="s">
        <v>15</v>
      </c>
    </row>
    <row r="2084" spans="2:11" ht="33" x14ac:dyDescent="0.2">
      <c r="B2084" s="82" t="s">
        <v>4303</v>
      </c>
      <c r="C2084" s="82" t="s">
        <v>1051</v>
      </c>
      <c r="D2084" s="83">
        <f>SUMIFS(D2085:D6462,K2085:K6462,"0",B2085:B6462,"5 1 1 3 2 12 31111 6 M59 30100 000132 0000R 00001 00132 015*")-SUMIFS(E2085:E6462,K2085:K6462,"0",B2085:B6462,"5 1 1 3 2 12 31111 6 M59 30100 000132 0000R 00001 00132 015*")</f>
        <v>0</v>
      </c>
      <c r="E2084" s="54"/>
      <c r="F2084" s="83">
        <f>SUMIFS(F2085:F6462,K2085:K6462,"0",B2085:B6462,"5 1 1 3 2 12 31111 6 M59 30100 000132 0000R 00001 00132 015*")</f>
        <v>39340.83</v>
      </c>
      <c r="G2084" s="83">
        <f>SUMIFS(G2085:G6462,K2085:K6462,"0",B2085:B6462,"5 1 1 3 2 12 31111 6 M59 30100 000132 0000R 00001 00132 015*")</f>
        <v>0</v>
      </c>
      <c r="H2084" s="83">
        <f t="shared" si="32"/>
        <v>39340.83</v>
      </c>
      <c r="I2084" s="83"/>
      <c r="K2084" s="54" t="s">
        <v>15</v>
      </c>
    </row>
    <row r="2085" spans="2:11" ht="33" x14ac:dyDescent="0.2">
      <c r="B2085" s="82" t="s">
        <v>4304</v>
      </c>
      <c r="C2085" s="82" t="s">
        <v>2927</v>
      </c>
      <c r="D2085" s="83">
        <f>SUMIFS(D2086:D6462,K2086:K6462,"0",B2086:B6462,"5 1 1 3 2 12 31111 6 M59 30100 000132 0000R 00001 00132 015 2111100*")-SUMIFS(E2086:E6462,K2086:K6462,"0",B2086:B6462,"5 1 1 3 2 12 31111 6 M59 30100 000132 0000R 00001 00132 015 2111100*")</f>
        <v>0</v>
      </c>
      <c r="E2085" s="54"/>
      <c r="F2085" s="83">
        <f>SUMIFS(F2086:F6462,K2086:K6462,"0",B2086:B6462,"5 1 1 3 2 12 31111 6 M59 30100 000132 0000R 00001 00132 015 2111100*")</f>
        <v>39340.83</v>
      </c>
      <c r="G2085" s="83">
        <f>SUMIFS(G2086:G6462,K2086:K6462,"0",B2086:B6462,"5 1 1 3 2 12 31111 6 M59 30100 000132 0000R 00001 00132 015 2111100*")</f>
        <v>0</v>
      </c>
      <c r="H2085" s="83">
        <f t="shared" si="32"/>
        <v>39340.83</v>
      </c>
      <c r="I2085" s="83"/>
      <c r="K2085" s="54" t="s">
        <v>15</v>
      </c>
    </row>
    <row r="2086" spans="2:11" ht="33" x14ac:dyDescent="0.2">
      <c r="B2086" s="82" t="s">
        <v>4305</v>
      </c>
      <c r="C2086" s="82" t="s">
        <v>660</v>
      </c>
      <c r="D2086" s="83">
        <f>SUMIFS(D2087:D6462,K2087:K6462,"0",B2087:B6462,"5 1 1 3 2 12 31111 6 M59 30100 000132 0000R 00001 00132 015 2111100 2024*")-SUMIFS(E2087:E6462,K2087:K6462,"0",B2087:B6462,"5 1 1 3 2 12 31111 6 M59 30100 000132 0000R 00001 00132 015 2111100 2024*")</f>
        <v>0</v>
      </c>
      <c r="E2086" s="54"/>
      <c r="F2086" s="83">
        <f>SUMIFS(F2087:F6462,K2087:K6462,"0",B2087:B6462,"5 1 1 3 2 12 31111 6 M59 30100 000132 0000R 00001 00132 015 2111100 2024*")</f>
        <v>39340.83</v>
      </c>
      <c r="G2086" s="83">
        <f>SUMIFS(G2087:G6462,K2087:K6462,"0",B2087:B6462,"5 1 1 3 2 12 31111 6 M59 30100 000132 0000R 00001 00132 015 2111100 2024*")</f>
        <v>0</v>
      </c>
      <c r="H2086" s="83">
        <f t="shared" si="32"/>
        <v>39340.83</v>
      </c>
      <c r="I2086" s="83"/>
      <c r="K2086" s="54" t="s">
        <v>15</v>
      </c>
    </row>
    <row r="2087" spans="2:11" ht="41.25" x14ac:dyDescent="0.2">
      <c r="B2087" s="82" t="s">
        <v>4306</v>
      </c>
      <c r="C2087" s="82" t="s">
        <v>662</v>
      </c>
      <c r="D2087" s="83">
        <f>SUMIFS(D2088:D6462,K2088:K6462,"0",B2088:B6462,"5 1 1 3 2 12 31111 6 M59 30100 000132 0000R 00001 00132 015 2111100 2024 CP1OP405*")-SUMIFS(E2088:E6462,K2088:K6462,"0",B2088:B6462,"5 1 1 3 2 12 31111 6 M59 30100 000132 0000R 00001 00132 015 2111100 2024 CP1OP405*")</f>
        <v>0</v>
      </c>
      <c r="E2087" s="54"/>
      <c r="F2087" s="83">
        <f>SUMIFS(F2088:F6462,K2088:K6462,"0",B2088:B6462,"5 1 1 3 2 12 31111 6 M59 30100 000132 0000R 00001 00132 015 2111100 2024 CP1OP405*")</f>
        <v>39340.83</v>
      </c>
      <c r="G2087" s="83">
        <f>SUMIFS(G2088:G6462,K2088:K6462,"0",B2088:B6462,"5 1 1 3 2 12 31111 6 M59 30100 000132 0000R 00001 00132 015 2111100 2024 CP1OP405*")</f>
        <v>0</v>
      </c>
      <c r="H2087" s="83">
        <f t="shared" si="32"/>
        <v>39340.83</v>
      </c>
      <c r="I2087" s="83"/>
      <c r="K2087" s="54" t="s">
        <v>15</v>
      </c>
    </row>
    <row r="2088" spans="2:11" ht="41.25" x14ac:dyDescent="0.2">
      <c r="B2088" s="82" t="s">
        <v>4307</v>
      </c>
      <c r="C2088" s="82" t="s">
        <v>282</v>
      </c>
      <c r="D2088" s="83">
        <f>SUMIFS(D2089:D6462,K2089:K6462,"0",B2089:B6462,"5 1 1 3 2 12 31111 6 M59 30100 000132 0000R 00001 00132 015 2111100 2024 CP1OP405 001*")-SUMIFS(E2089:E6462,K2089:K6462,"0",B2089:B6462,"5 1 1 3 2 12 31111 6 M59 30100 000132 0000R 00001 00132 015 2111100 2024 CP1OP405 001*")</f>
        <v>0</v>
      </c>
      <c r="E2088" s="54"/>
      <c r="F2088" s="83">
        <f>SUMIFS(F2089:F6462,K2089:K6462,"0",B2089:B6462,"5 1 1 3 2 12 31111 6 M59 30100 000132 0000R 00001 00132 015 2111100 2024 CP1OP405 001*")</f>
        <v>39340.83</v>
      </c>
      <c r="G2088" s="83">
        <f>SUMIFS(G2089:G6462,K2089:K6462,"0",B2089:B6462,"5 1 1 3 2 12 31111 6 M59 30100 000132 0000R 00001 00132 015 2111100 2024 CP1OP405 001*")</f>
        <v>0</v>
      </c>
      <c r="H2088" s="83">
        <f t="shared" si="32"/>
        <v>39340.83</v>
      </c>
      <c r="I2088" s="83"/>
      <c r="K2088" s="54" t="s">
        <v>15</v>
      </c>
    </row>
    <row r="2089" spans="2:11" ht="33" x14ac:dyDescent="0.2">
      <c r="B2089" s="84" t="s">
        <v>4308</v>
      </c>
      <c r="C2089" s="84" t="s">
        <v>1519</v>
      </c>
      <c r="D2089" s="85">
        <v>0</v>
      </c>
      <c r="E2089" s="85"/>
      <c r="F2089" s="85">
        <v>36778.85</v>
      </c>
      <c r="G2089" s="85">
        <v>0</v>
      </c>
      <c r="H2089" s="85">
        <f t="shared" si="32"/>
        <v>36778.85</v>
      </c>
      <c r="I2089" s="85"/>
      <c r="K2089" s="54" t="s">
        <v>38</v>
      </c>
    </row>
    <row r="2090" spans="2:11" ht="33" x14ac:dyDescent="0.2">
      <c r="B2090" s="84" t="s">
        <v>4309</v>
      </c>
      <c r="C2090" s="84" t="s">
        <v>4071</v>
      </c>
      <c r="D2090" s="85">
        <v>0</v>
      </c>
      <c r="E2090" s="85"/>
      <c r="F2090" s="85">
        <v>2561.98</v>
      </c>
      <c r="G2090" s="85">
        <v>0</v>
      </c>
      <c r="H2090" s="85">
        <f t="shared" si="32"/>
        <v>2561.98</v>
      </c>
      <c r="I2090" s="85"/>
      <c r="K2090" s="54" t="s">
        <v>38</v>
      </c>
    </row>
    <row r="2091" spans="2:11" ht="24.75" x14ac:dyDescent="0.2">
      <c r="B2091" s="82" t="s">
        <v>4310</v>
      </c>
      <c r="C2091" s="82" t="s">
        <v>3222</v>
      </c>
      <c r="D2091" s="83">
        <f>SUMIFS(D2092:D6462,K2092:K6462,"0",B2092:B6462,"5 1 1 3 2 12 31111 6 M59 30200*")-SUMIFS(E2092:E6462,K2092:K6462,"0",B2092:B6462,"5 1 1 3 2 12 31111 6 M59 30200*")</f>
        <v>0</v>
      </c>
      <c r="E2091" s="54"/>
      <c r="F2091" s="83">
        <f>SUMIFS(F2092:F6462,K2092:K6462,"0",B2092:B6462,"5 1 1 3 2 12 31111 6 M59 30200*")</f>
        <v>3353.02</v>
      </c>
      <c r="G2091" s="83">
        <f>SUMIFS(G2092:G6462,K2092:K6462,"0",B2092:B6462,"5 1 1 3 2 12 31111 6 M59 30200*")</f>
        <v>0</v>
      </c>
      <c r="H2091" s="83">
        <f t="shared" ref="H2091:H2154" si="33">D2091 + F2091 - G2091</f>
        <v>3353.02</v>
      </c>
      <c r="I2091" s="83"/>
      <c r="K2091" s="54" t="s">
        <v>15</v>
      </c>
    </row>
    <row r="2092" spans="2:11" ht="16.5" x14ac:dyDescent="0.2">
      <c r="B2092" s="82" t="s">
        <v>4311</v>
      </c>
      <c r="C2092" s="82" t="s">
        <v>648</v>
      </c>
      <c r="D2092" s="83">
        <f>SUMIFS(D2093:D6462,K2093:K6462,"0",B2093:B6462,"5 1 1 3 2 12 31111 6 M59 30200 000132*")-SUMIFS(E2093:E6462,K2093:K6462,"0",B2093:B6462,"5 1 1 3 2 12 31111 6 M59 30200 000132*")</f>
        <v>0</v>
      </c>
      <c r="E2092" s="54"/>
      <c r="F2092" s="83">
        <f>SUMIFS(F2093:F6462,K2093:K6462,"0",B2093:B6462,"5 1 1 3 2 12 31111 6 M59 30200 000132*")</f>
        <v>3353.02</v>
      </c>
      <c r="G2092" s="83">
        <f>SUMIFS(G2093:G6462,K2093:K6462,"0",B2093:B6462,"5 1 1 3 2 12 31111 6 M59 30200 000132*")</f>
        <v>0</v>
      </c>
      <c r="H2092" s="83">
        <f t="shared" si="33"/>
        <v>3353.02</v>
      </c>
      <c r="I2092" s="83"/>
      <c r="K2092" s="54" t="s">
        <v>15</v>
      </c>
    </row>
    <row r="2093" spans="2:11" ht="24.75" x14ac:dyDescent="0.2">
      <c r="B2093" s="82" t="s">
        <v>4312</v>
      </c>
      <c r="C2093" s="82" t="s">
        <v>650</v>
      </c>
      <c r="D2093" s="83">
        <f>SUMIFS(D2094:D6462,K2094:K6462,"0",B2094:B6462,"5 1 1 3 2 12 31111 6 M59 30200 000132 0000R*")-SUMIFS(E2094:E6462,K2094:K6462,"0",B2094:B6462,"5 1 1 3 2 12 31111 6 M59 30200 000132 0000R*")</f>
        <v>0</v>
      </c>
      <c r="E2093" s="54"/>
      <c r="F2093" s="83">
        <f>SUMIFS(F2094:F6462,K2094:K6462,"0",B2094:B6462,"5 1 1 3 2 12 31111 6 M59 30200 000132 0000R*")</f>
        <v>3353.02</v>
      </c>
      <c r="G2093" s="83">
        <f>SUMIFS(G2094:G6462,K2094:K6462,"0",B2094:B6462,"5 1 1 3 2 12 31111 6 M59 30200 000132 0000R*")</f>
        <v>0</v>
      </c>
      <c r="H2093" s="83">
        <f t="shared" si="33"/>
        <v>3353.02</v>
      </c>
      <c r="I2093" s="83"/>
      <c r="K2093" s="54" t="s">
        <v>15</v>
      </c>
    </row>
    <row r="2094" spans="2:11" ht="24.75" x14ac:dyDescent="0.2">
      <c r="B2094" s="82" t="s">
        <v>4313</v>
      </c>
      <c r="C2094" s="82" t="s">
        <v>282</v>
      </c>
      <c r="D2094" s="83">
        <f>SUMIFS(D2095:D6462,K2095:K6462,"0",B2095:B6462,"5 1 1 3 2 12 31111 6 M59 30200 000132 0000R 00001*")-SUMIFS(E2095:E6462,K2095:K6462,"0",B2095:B6462,"5 1 1 3 2 12 31111 6 M59 30200 000132 0000R 00001*")</f>
        <v>0</v>
      </c>
      <c r="E2094" s="54"/>
      <c r="F2094" s="83">
        <f>SUMIFS(F2095:F6462,K2095:K6462,"0",B2095:B6462,"5 1 1 3 2 12 31111 6 M59 30200 000132 0000R 00001*")</f>
        <v>3353.02</v>
      </c>
      <c r="G2094" s="83">
        <f>SUMIFS(G2095:G6462,K2095:K6462,"0",B2095:B6462,"5 1 1 3 2 12 31111 6 M59 30200 000132 0000R 00001*")</f>
        <v>0</v>
      </c>
      <c r="H2094" s="83">
        <f t="shared" si="33"/>
        <v>3353.02</v>
      </c>
      <c r="I2094" s="83"/>
      <c r="K2094" s="54" t="s">
        <v>15</v>
      </c>
    </row>
    <row r="2095" spans="2:11" ht="24.75" x14ac:dyDescent="0.2">
      <c r="B2095" s="82" t="s">
        <v>4314</v>
      </c>
      <c r="C2095" s="82" t="s">
        <v>4041</v>
      </c>
      <c r="D2095" s="83">
        <f>SUMIFS(D2096:D6462,K2096:K6462,"0",B2096:B6462,"5 1 1 3 2 12 31111 6 M59 30200 000132 0000R 00001 00132*")-SUMIFS(E2096:E6462,K2096:K6462,"0",B2096:B6462,"5 1 1 3 2 12 31111 6 M59 30200 000132 0000R 00001 00132*")</f>
        <v>0</v>
      </c>
      <c r="E2095" s="54"/>
      <c r="F2095" s="83">
        <f>SUMIFS(F2096:F6462,K2096:K6462,"0",B2096:B6462,"5 1 1 3 2 12 31111 6 M59 30200 000132 0000R 00001 00132*")</f>
        <v>3353.02</v>
      </c>
      <c r="G2095" s="83">
        <f>SUMIFS(G2096:G6462,K2096:K6462,"0",B2096:B6462,"5 1 1 3 2 12 31111 6 M59 30200 000132 0000R 00001 00132*")</f>
        <v>0</v>
      </c>
      <c r="H2095" s="83">
        <f t="shared" si="33"/>
        <v>3353.02</v>
      </c>
      <c r="I2095" s="83"/>
      <c r="K2095" s="54" t="s">
        <v>15</v>
      </c>
    </row>
    <row r="2096" spans="2:11" ht="33" x14ac:dyDescent="0.2">
      <c r="B2096" s="82" t="s">
        <v>4315</v>
      </c>
      <c r="C2096" s="82" t="s">
        <v>1051</v>
      </c>
      <c r="D2096" s="83">
        <f>SUMIFS(D2097:D6462,K2097:K6462,"0",B2097:B6462,"5 1 1 3 2 12 31111 6 M59 30200 000132 0000R 00001 00132 015*")-SUMIFS(E2097:E6462,K2097:K6462,"0",B2097:B6462,"5 1 1 3 2 12 31111 6 M59 30200 000132 0000R 00001 00132 015*")</f>
        <v>0</v>
      </c>
      <c r="E2096" s="54"/>
      <c r="F2096" s="83">
        <f>SUMIFS(F2097:F6462,K2097:K6462,"0",B2097:B6462,"5 1 1 3 2 12 31111 6 M59 30200 000132 0000R 00001 00132 015*")</f>
        <v>3353.02</v>
      </c>
      <c r="G2096" s="83">
        <f>SUMIFS(G2097:G6462,K2097:K6462,"0",B2097:B6462,"5 1 1 3 2 12 31111 6 M59 30200 000132 0000R 00001 00132 015*")</f>
        <v>0</v>
      </c>
      <c r="H2096" s="83">
        <f t="shared" si="33"/>
        <v>3353.02</v>
      </c>
      <c r="I2096" s="83"/>
      <c r="K2096" s="54" t="s">
        <v>15</v>
      </c>
    </row>
    <row r="2097" spans="2:11" ht="33" x14ac:dyDescent="0.2">
      <c r="B2097" s="82" t="s">
        <v>4316</v>
      </c>
      <c r="C2097" s="82" t="s">
        <v>2927</v>
      </c>
      <c r="D2097" s="83">
        <f>SUMIFS(D2098:D6462,K2098:K6462,"0",B2098:B6462,"5 1 1 3 2 12 31111 6 M59 30200 000132 0000R 00001 00132 015 2111100*")-SUMIFS(E2098:E6462,K2098:K6462,"0",B2098:B6462,"5 1 1 3 2 12 31111 6 M59 30200 000132 0000R 00001 00132 015 2111100*")</f>
        <v>0</v>
      </c>
      <c r="E2097" s="54"/>
      <c r="F2097" s="83">
        <f>SUMIFS(F2098:F6462,K2098:K6462,"0",B2098:B6462,"5 1 1 3 2 12 31111 6 M59 30200 000132 0000R 00001 00132 015 2111100*")</f>
        <v>3353.02</v>
      </c>
      <c r="G2097" s="83">
        <f>SUMIFS(G2098:G6462,K2098:K6462,"0",B2098:B6462,"5 1 1 3 2 12 31111 6 M59 30200 000132 0000R 00001 00132 015 2111100*")</f>
        <v>0</v>
      </c>
      <c r="H2097" s="83">
        <f t="shared" si="33"/>
        <v>3353.02</v>
      </c>
      <c r="I2097" s="83"/>
      <c r="K2097" s="54" t="s">
        <v>15</v>
      </c>
    </row>
    <row r="2098" spans="2:11" ht="33" x14ac:dyDescent="0.2">
      <c r="B2098" s="82" t="s">
        <v>4317</v>
      </c>
      <c r="C2098" s="82" t="s">
        <v>660</v>
      </c>
      <c r="D2098" s="83">
        <f>SUMIFS(D2099:D6462,K2099:K6462,"0",B2099:B6462,"5 1 1 3 2 12 31111 6 M59 30200 000132 0000R 00001 00132 015 2111100 2024*")-SUMIFS(E2099:E6462,K2099:K6462,"0",B2099:B6462,"5 1 1 3 2 12 31111 6 M59 30200 000132 0000R 00001 00132 015 2111100 2024*")</f>
        <v>0</v>
      </c>
      <c r="E2098" s="54"/>
      <c r="F2098" s="83">
        <f>SUMIFS(F2099:F6462,K2099:K6462,"0",B2099:B6462,"5 1 1 3 2 12 31111 6 M59 30200 000132 0000R 00001 00132 015 2111100 2024*")</f>
        <v>3353.02</v>
      </c>
      <c r="G2098" s="83">
        <f>SUMIFS(G2099:G6462,K2099:K6462,"0",B2099:B6462,"5 1 1 3 2 12 31111 6 M59 30200 000132 0000R 00001 00132 015 2111100 2024*")</f>
        <v>0</v>
      </c>
      <c r="H2098" s="83">
        <f t="shared" si="33"/>
        <v>3353.02</v>
      </c>
      <c r="I2098" s="83"/>
      <c r="K2098" s="54" t="s">
        <v>15</v>
      </c>
    </row>
    <row r="2099" spans="2:11" ht="41.25" x14ac:dyDescent="0.2">
      <c r="B2099" s="82" t="s">
        <v>4318</v>
      </c>
      <c r="C2099" s="82" t="s">
        <v>1056</v>
      </c>
      <c r="D2099" s="83">
        <f>SUMIFS(D2100:D6462,K2100:K6462,"0",B2100:B6462,"5 1 1 3 2 12 31111 6 M59 30200 000132 0000R 00001 00132 015 2111100 2024 CP1OT378*")-SUMIFS(E2100:E6462,K2100:K6462,"0",B2100:B6462,"5 1 1 3 2 12 31111 6 M59 30200 000132 0000R 00001 00132 015 2111100 2024 CP1OT378*")</f>
        <v>0</v>
      </c>
      <c r="E2099" s="54"/>
      <c r="F2099" s="83">
        <f>SUMIFS(F2100:F6462,K2100:K6462,"0",B2100:B6462,"5 1 1 3 2 12 31111 6 M59 30200 000132 0000R 00001 00132 015 2111100 2024 CP1OT378*")</f>
        <v>3353.02</v>
      </c>
      <c r="G2099" s="83">
        <f>SUMIFS(G2100:G6462,K2100:K6462,"0",B2100:B6462,"5 1 1 3 2 12 31111 6 M59 30200 000132 0000R 00001 00132 015 2111100 2024 CP1OT378*")</f>
        <v>0</v>
      </c>
      <c r="H2099" s="83">
        <f t="shared" si="33"/>
        <v>3353.02</v>
      </c>
      <c r="I2099" s="83"/>
      <c r="K2099" s="54" t="s">
        <v>15</v>
      </c>
    </row>
    <row r="2100" spans="2:11" ht="41.25" x14ac:dyDescent="0.2">
      <c r="B2100" s="82" t="s">
        <v>4319</v>
      </c>
      <c r="C2100" s="82" t="s">
        <v>282</v>
      </c>
      <c r="D2100" s="83">
        <f>SUMIFS(D2101:D6462,K2101:K6462,"0",B2101:B6462,"5 1 1 3 2 12 31111 6 M59 30200 000132 0000R 00001 00132 015 2111100 2024 CP1OT378 001*")-SUMIFS(E2101:E6462,K2101:K6462,"0",B2101:B6462,"5 1 1 3 2 12 31111 6 M59 30200 000132 0000R 00001 00132 015 2111100 2024 CP1OT378 001*")</f>
        <v>0</v>
      </c>
      <c r="E2100" s="54"/>
      <c r="F2100" s="83">
        <f>SUMIFS(F2101:F6462,K2101:K6462,"0",B2101:B6462,"5 1 1 3 2 12 31111 6 M59 30200 000132 0000R 00001 00132 015 2111100 2024 CP1OT378 001*")</f>
        <v>3353.02</v>
      </c>
      <c r="G2100" s="83">
        <f>SUMIFS(G2101:G6462,K2101:K6462,"0",B2101:B6462,"5 1 1 3 2 12 31111 6 M59 30200 000132 0000R 00001 00132 015 2111100 2024 CP1OT378 001*")</f>
        <v>0</v>
      </c>
      <c r="H2100" s="83">
        <f t="shared" si="33"/>
        <v>3353.02</v>
      </c>
      <c r="I2100" s="83"/>
      <c r="K2100" s="54" t="s">
        <v>15</v>
      </c>
    </row>
    <row r="2101" spans="2:11" ht="41.25" x14ac:dyDescent="0.2">
      <c r="B2101" s="84" t="s">
        <v>4320</v>
      </c>
      <c r="C2101" s="84" t="s">
        <v>1519</v>
      </c>
      <c r="D2101" s="85">
        <v>0</v>
      </c>
      <c r="E2101" s="85"/>
      <c r="F2101" s="85">
        <v>3353.02</v>
      </c>
      <c r="G2101" s="85">
        <v>0</v>
      </c>
      <c r="H2101" s="85">
        <f t="shared" si="33"/>
        <v>3353.02</v>
      </c>
      <c r="I2101" s="85"/>
      <c r="K2101" s="54" t="s">
        <v>38</v>
      </c>
    </row>
    <row r="2102" spans="2:11" ht="16.5" x14ac:dyDescent="0.2">
      <c r="B2102" s="82" t="s">
        <v>4366</v>
      </c>
      <c r="C2102" s="82" t="s">
        <v>3281</v>
      </c>
      <c r="D2102" s="83">
        <f>SUMIFS(D2103:D6462,K2103:K6462,"0",B2103:B6462,"5 1 1 3 2 12 31111 6 M59 50000*")-SUMIFS(E2103:E6462,K2103:K6462,"0",B2103:B6462,"5 1 1 3 2 12 31111 6 M59 50000*")</f>
        <v>0</v>
      </c>
      <c r="E2102" s="54"/>
      <c r="F2102" s="83">
        <f>SUMIFS(F2103:F6462,K2103:K6462,"0",B2103:B6462,"5 1 1 3 2 12 31111 6 M59 50000*")</f>
        <v>68164.7</v>
      </c>
      <c r="G2102" s="83">
        <f>SUMIFS(G2103:G6462,K2103:K6462,"0",B2103:B6462,"5 1 1 3 2 12 31111 6 M59 50000*")</f>
        <v>0</v>
      </c>
      <c r="H2102" s="83">
        <f t="shared" si="33"/>
        <v>68164.7</v>
      </c>
      <c r="I2102" s="83"/>
      <c r="K2102" s="54" t="s">
        <v>15</v>
      </c>
    </row>
    <row r="2103" spans="2:11" ht="16.5" x14ac:dyDescent="0.2">
      <c r="B2103" s="82" t="s">
        <v>4367</v>
      </c>
      <c r="C2103" s="82" t="s">
        <v>3283</v>
      </c>
      <c r="D2103" s="83">
        <f>SUMIFS(D2104:D6462,K2104:K6462,"0",B2104:B6462,"5 1 1 3 2 12 31111 6 M59 50000 000223*")-SUMIFS(E2104:E6462,K2104:K6462,"0",B2104:B6462,"5 1 1 3 2 12 31111 6 M59 50000 000223*")</f>
        <v>0</v>
      </c>
      <c r="E2103" s="54"/>
      <c r="F2103" s="83">
        <f>SUMIFS(F2104:F6462,K2104:K6462,"0",B2104:B6462,"5 1 1 3 2 12 31111 6 M59 50000 000223*")</f>
        <v>68164.7</v>
      </c>
      <c r="G2103" s="83">
        <f>SUMIFS(G2104:G6462,K2104:K6462,"0",B2104:B6462,"5 1 1 3 2 12 31111 6 M59 50000 000223*")</f>
        <v>0</v>
      </c>
      <c r="H2103" s="83">
        <f t="shared" si="33"/>
        <v>68164.7</v>
      </c>
      <c r="I2103" s="83"/>
      <c r="K2103" s="54" t="s">
        <v>15</v>
      </c>
    </row>
    <row r="2104" spans="2:11" ht="24.75" x14ac:dyDescent="0.2">
      <c r="B2104" s="82" t="s">
        <v>4368</v>
      </c>
      <c r="C2104" s="82" t="s">
        <v>1065</v>
      </c>
      <c r="D2104" s="83">
        <f>SUMIFS(D2105:D6462,K2105:K6462,"0",B2105:B6462,"5 1 1 3 2 12 31111 6 M59 50000 000223 0000E*")-SUMIFS(E2105:E6462,K2105:K6462,"0",B2105:B6462,"5 1 1 3 2 12 31111 6 M59 50000 000223 0000E*")</f>
        <v>0</v>
      </c>
      <c r="E2104" s="54"/>
      <c r="F2104" s="83">
        <f>SUMIFS(F2105:F6462,K2105:K6462,"0",B2105:B6462,"5 1 1 3 2 12 31111 6 M59 50000 000223 0000E*")</f>
        <v>68164.7</v>
      </c>
      <c r="G2104" s="83">
        <f>SUMIFS(G2105:G6462,K2105:K6462,"0",B2105:B6462,"5 1 1 3 2 12 31111 6 M59 50000 000223 0000E*")</f>
        <v>0</v>
      </c>
      <c r="H2104" s="83">
        <f t="shared" si="33"/>
        <v>68164.7</v>
      </c>
      <c r="I2104" s="83"/>
      <c r="K2104" s="54" t="s">
        <v>15</v>
      </c>
    </row>
    <row r="2105" spans="2:11" ht="24.75" x14ac:dyDescent="0.2">
      <c r="B2105" s="82" t="s">
        <v>4369</v>
      </c>
      <c r="C2105" s="82" t="s">
        <v>282</v>
      </c>
      <c r="D2105" s="83">
        <f>SUMIFS(D2106:D6462,K2106:K6462,"0",B2106:B6462,"5 1 1 3 2 12 31111 6 M59 50000 000223 0000E 00001*")-SUMIFS(E2106:E6462,K2106:K6462,"0",B2106:B6462,"5 1 1 3 2 12 31111 6 M59 50000 000223 0000E 00001*")</f>
        <v>0</v>
      </c>
      <c r="E2105" s="54"/>
      <c r="F2105" s="83">
        <f>SUMIFS(F2106:F6462,K2106:K6462,"0",B2106:B6462,"5 1 1 3 2 12 31111 6 M59 50000 000223 0000E 00001*")</f>
        <v>68164.7</v>
      </c>
      <c r="G2105" s="83">
        <f>SUMIFS(G2106:G6462,K2106:K6462,"0",B2106:B6462,"5 1 1 3 2 12 31111 6 M59 50000 000223 0000E 00001*")</f>
        <v>0</v>
      </c>
      <c r="H2105" s="83">
        <f t="shared" si="33"/>
        <v>68164.7</v>
      </c>
      <c r="I2105" s="83"/>
      <c r="K2105" s="54" t="s">
        <v>15</v>
      </c>
    </row>
    <row r="2106" spans="2:11" ht="24.75" x14ac:dyDescent="0.2">
      <c r="B2106" s="82" t="s">
        <v>4370</v>
      </c>
      <c r="C2106" s="82" t="s">
        <v>4041</v>
      </c>
      <c r="D2106" s="83">
        <f>SUMIFS(D2107:D6462,K2107:K6462,"0",B2107:B6462,"5 1 1 3 2 12 31111 6 M59 50000 000223 0000E 00001 00132*")-SUMIFS(E2107:E6462,K2107:K6462,"0",B2107:B6462,"5 1 1 3 2 12 31111 6 M59 50000 000223 0000E 00001 00132*")</f>
        <v>0</v>
      </c>
      <c r="E2106" s="54"/>
      <c r="F2106" s="83">
        <f>SUMIFS(F2107:F6462,K2107:K6462,"0",B2107:B6462,"5 1 1 3 2 12 31111 6 M59 50000 000223 0000E 00001 00132*")</f>
        <v>68164.7</v>
      </c>
      <c r="G2106" s="83">
        <f>SUMIFS(G2107:G6462,K2107:K6462,"0",B2107:B6462,"5 1 1 3 2 12 31111 6 M59 50000 000223 0000E 00001 00132*")</f>
        <v>0</v>
      </c>
      <c r="H2106" s="83">
        <f t="shared" si="33"/>
        <v>68164.7</v>
      </c>
      <c r="I2106" s="83"/>
      <c r="K2106" s="54" t="s">
        <v>15</v>
      </c>
    </row>
    <row r="2107" spans="2:11" ht="33" x14ac:dyDescent="0.2">
      <c r="B2107" s="82" t="s">
        <v>4371</v>
      </c>
      <c r="C2107" s="82" t="s">
        <v>1051</v>
      </c>
      <c r="D2107" s="83">
        <f>SUMIFS(D2108:D6462,K2108:K6462,"0",B2108:B6462,"5 1 1 3 2 12 31111 6 M59 50000 000223 0000E 00001 00132 015*")-SUMIFS(E2108:E6462,K2108:K6462,"0",B2108:B6462,"5 1 1 3 2 12 31111 6 M59 50000 000223 0000E 00001 00132 015*")</f>
        <v>0</v>
      </c>
      <c r="E2107" s="54"/>
      <c r="F2107" s="83">
        <f>SUMIFS(F2108:F6462,K2108:K6462,"0",B2108:B6462,"5 1 1 3 2 12 31111 6 M59 50000 000223 0000E 00001 00132 015*")</f>
        <v>68164.7</v>
      </c>
      <c r="G2107" s="83">
        <f>SUMIFS(G2108:G6462,K2108:K6462,"0",B2108:B6462,"5 1 1 3 2 12 31111 6 M59 50000 000223 0000E 00001 00132 015*")</f>
        <v>0</v>
      </c>
      <c r="H2107" s="83">
        <f t="shared" si="33"/>
        <v>68164.7</v>
      </c>
      <c r="I2107" s="83"/>
      <c r="K2107" s="54" t="s">
        <v>15</v>
      </c>
    </row>
    <row r="2108" spans="2:11" ht="33" x14ac:dyDescent="0.2">
      <c r="B2108" s="82" t="s">
        <v>4372</v>
      </c>
      <c r="C2108" s="82" t="s">
        <v>2927</v>
      </c>
      <c r="D2108" s="83">
        <f>SUMIFS(D2109:D6462,K2109:K6462,"0",B2109:B6462,"5 1 1 3 2 12 31111 6 M59 50000 000223 0000E 00001 00132 015 2111100*")-SUMIFS(E2109:E6462,K2109:K6462,"0",B2109:B6462,"5 1 1 3 2 12 31111 6 M59 50000 000223 0000E 00001 00132 015 2111100*")</f>
        <v>0</v>
      </c>
      <c r="E2108" s="54"/>
      <c r="F2108" s="83">
        <f>SUMIFS(F2109:F6462,K2109:K6462,"0",B2109:B6462,"5 1 1 3 2 12 31111 6 M59 50000 000223 0000E 00001 00132 015 2111100*")</f>
        <v>68164.7</v>
      </c>
      <c r="G2108" s="83">
        <f>SUMIFS(G2109:G6462,K2109:K6462,"0",B2109:B6462,"5 1 1 3 2 12 31111 6 M59 50000 000223 0000E 00001 00132 015 2111100*")</f>
        <v>0</v>
      </c>
      <c r="H2108" s="83">
        <f t="shared" si="33"/>
        <v>68164.7</v>
      </c>
      <c r="I2108" s="83"/>
      <c r="K2108" s="54" t="s">
        <v>15</v>
      </c>
    </row>
    <row r="2109" spans="2:11" ht="33" x14ac:dyDescent="0.2">
      <c r="B2109" s="82" t="s">
        <v>4373</v>
      </c>
      <c r="C2109" s="82" t="s">
        <v>660</v>
      </c>
      <c r="D2109" s="83">
        <f>SUMIFS(D2110:D6462,K2110:K6462,"0",B2110:B6462,"5 1 1 3 2 12 31111 6 M59 50000 000223 0000E 00001 00132 015 2111100 2024*")-SUMIFS(E2110:E6462,K2110:K6462,"0",B2110:B6462,"5 1 1 3 2 12 31111 6 M59 50000 000223 0000E 00001 00132 015 2111100 2024*")</f>
        <v>0</v>
      </c>
      <c r="E2109" s="54"/>
      <c r="F2109" s="83">
        <f>SUMIFS(F2110:F6462,K2110:K6462,"0",B2110:B6462,"5 1 1 3 2 12 31111 6 M59 50000 000223 0000E 00001 00132 015 2111100 2024*")</f>
        <v>68164.7</v>
      </c>
      <c r="G2109" s="83">
        <f>SUMIFS(G2110:G6462,K2110:K6462,"0",B2110:B6462,"5 1 1 3 2 12 31111 6 M59 50000 000223 0000E 00001 00132 015 2111100 2024*")</f>
        <v>0</v>
      </c>
      <c r="H2109" s="83">
        <f t="shared" si="33"/>
        <v>68164.7</v>
      </c>
      <c r="I2109" s="83"/>
      <c r="K2109" s="54" t="s">
        <v>15</v>
      </c>
    </row>
    <row r="2110" spans="2:11" ht="41.25" x14ac:dyDescent="0.2">
      <c r="B2110" s="82" t="s">
        <v>4374</v>
      </c>
      <c r="C2110" s="82" t="s">
        <v>662</v>
      </c>
      <c r="D2110" s="83">
        <f>SUMIFS(D2111:D6462,K2111:K6462,"0",B2111:B6462,"5 1 1 3 2 12 31111 6 M59 50000 000223 0000E 00001 00132 015 2111100 2024 CP1DA424*")-SUMIFS(E2111:E6462,K2111:K6462,"0",B2111:B6462,"5 1 1 3 2 12 31111 6 M59 50000 000223 0000E 00001 00132 015 2111100 2024 CP1DA424*")</f>
        <v>0</v>
      </c>
      <c r="E2110" s="54"/>
      <c r="F2110" s="83">
        <f>SUMIFS(F2111:F6462,K2111:K6462,"0",B2111:B6462,"5 1 1 3 2 12 31111 6 M59 50000 000223 0000E 00001 00132 015 2111100 2024 CP1DA424*")</f>
        <v>68164.7</v>
      </c>
      <c r="G2110" s="83">
        <f>SUMIFS(G2111:G6462,K2111:K6462,"0",B2111:B6462,"5 1 1 3 2 12 31111 6 M59 50000 000223 0000E 00001 00132 015 2111100 2024 CP1DA424*")</f>
        <v>0</v>
      </c>
      <c r="H2110" s="83">
        <f t="shared" si="33"/>
        <v>68164.7</v>
      </c>
      <c r="I2110" s="83"/>
      <c r="K2110" s="54" t="s">
        <v>15</v>
      </c>
    </row>
    <row r="2111" spans="2:11" ht="41.25" x14ac:dyDescent="0.2">
      <c r="B2111" s="82" t="s">
        <v>4375</v>
      </c>
      <c r="C2111" s="82" t="s">
        <v>282</v>
      </c>
      <c r="D2111" s="83">
        <f>SUMIFS(D2112:D6462,K2112:K6462,"0",B2112:B6462,"5 1 1 3 2 12 31111 6 M59 50000 000223 0000E 00001 00132 015 2111100 2024 CP1DA424 001*")-SUMIFS(E2112:E6462,K2112:K6462,"0",B2112:B6462,"5 1 1 3 2 12 31111 6 M59 50000 000223 0000E 00001 00132 015 2111100 2024 CP1DA424 001*")</f>
        <v>0</v>
      </c>
      <c r="E2111" s="54"/>
      <c r="F2111" s="83">
        <f>SUMIFS(F2112:F6462,K2112:K6462,"0",B2112:B6462,"5 1 1 3 2 12 31111 6 M59 50000 000223 0000E 00001 00132 015 2111100 2024 CP1DA424 001*")</f>
        <v>68164.7</v>
      </c>
      <c r="G2111" s="83">
        <f>SUMIFS(G2112:G6462,K2112:K6462,"0",B2112:B6462,"5 1 1 3 2 12 31111 6 M59 50000 000223 0000E 00001 00132 015 2111100 2024 CP1DA424 001*")</f>
        <v>0</v>
      </c>
      <c r="H2111" s="83">
        <f t="shared" si="33"/>
        <v>68164.7</v>
      </c>
      <c r="I2111" s="83"/>
      <c r="K2111" s="54" t="s">
        <v>15</v>
      </c>
    </row>
    <row r="2112" spans="2:11" ht="41.25" x14ac:dyDescent="0.2">
      <c r="B2112" s="84" t="s">
        <v>4376</v>
      </c>
      <c r="C2112" s="84" t="s">
        <v>1519</v>
      </c>
      <c r="D2112" s="85">
        <v>0</v>
      </c>
      <c r="E2112" s="85"/>
      <c r="F2112" s="85">
        <v>61282.34</v>
      </c>
      <c r="G2112" s="85">
        <v>0</v>
      </c>
      <c r="H2112" s="85">
        <f t="shared" si="33"/>
        <v>61282.34</v>
      </c>
      <c r="I2112" s="85"/>
      <c r="K2112" s="54" t="s">
        <v>38</v>
      </c>
    </row>
    <row r="2113" spans="2:11" ht="41.25" x14ac:dyDescent="0.2">
      <c r="B2113" s="84" t="s">
        <v>4377</v>
      </c>
      <c r="C2113" s="84" t="s">
        <v>4071</v>
      </c>
      <c r="D2113" s="85">
        <v>0</v>
      </c>
      <c r="E2113" s="85"/>
      <c r="F2113" s="85">
        <v>6882.36</v>
      </c>
      <c r="G2113" s="85">
        <v>0</v>
      </c>
      <c r="H2113" s="85">
        <f t="shared" si="33"/>
        <v>6882.36</v>
      </c>
      <c r="I2113" s="85"/>
      <c r="K2113" s="54" t="s">
        <v>38</v>
      </c>
    </row>
    <row r="2114" spans="2:11" ht="16.5" x14ac:dyDescent="0.2">
      <c r="B2114" s="82" t="s">
        <v>4378</v>
      </c>
      <c r="C2114" s="82" t="s">
        <v>3294</v>
      </c>
      <c r="D2114" s="83">
        <f>SUMIFS(D2115:D6462,K2115:K6462,"0",B2115:B6462,"5 1 1 3 2 12 31111 6 M59 50100*")-SUMIFS(E2115:E6462,K2115:K6462,"0",B2115:B6462,"5 1 1 3 2 12 31111 6 M59 50100*")</f>
        <v>0</v>
      </c>
      <c r="E2114" s="54"/>
      <c r="F2114" s="83">
        <f>SUMIFS(F2115:F6462,K2115:K6462,"0",B2115:B6462,"5 1 1 3 2 12 31111 6 M59 50100*")</f>
        <v>4240.47</v>
      </c>
      <c r="G2114" s="83">
        <f>SUMIFS(G2115:G6462,K2115:K6462,"0",B2115:B6462,"5 1 1 3 2 12 31111 6 M59 50100*")</f>
        <v>0</v>
      </c>
      <c r="H2114" s="83">
        <f t="shared" si="33"/>
        <v>4240.47</v>
      </c>
      <c r="I2114" s="83"/>
      <c r="K2114" s="54" t="s">
        <v>15</v>
      </c>
    </row>
    <row r="2115" spans="2:11" ht="16.5" x14ac:dyDescent="0.2">
      <c r="B2115" s="82" t="s">
        <v>4379</v>
      </c>
      <c r="C2115" s="82" t="s">
        <v>648</v>
      </c>
      <c r="D2115" s="83">
        <f>SUMIFS(D2116:D6462,K2116:K6462,"0",B2116:B6462,"5 1 1 3 2 12 31111 6 M59 50100 000132*")-SUMIFS(E2116:E6462,K2116:K6462,"0",B2116:B6462,"5 1 1 3 2 12 31111 6 M59 50100 000132*")</f>
        <v>0</v>
      </c>
      <c r="E2115" s="54"/>
      <c r="F2115" s="83">
        <f>SUMIFS(F2116:F6462,K2116:K6462,"0",B2116:B6462,"5 1 1 3 2 12 31111 6 M59 50100 000132*")</f>
        <v>4240.47</v>
      </c>
      <c r="G2115" s="83">
        <f>SUMIFS(G2116:G6462,K2116:K6462,"0",B2116:B6462,"5 1 1 3 2 12 31111 6 M59 50100 000132*")</f>
        <v>0</v>
      </c>
      <c r="H2115" s="83">
        <f t="shared" si="33"/>
        <v>4240.47</v>
      </c>
      <c r="I2115" s="83"/>
      <c r="K2115" s="54" t="s">
        <v>15</v>
      </c>
    </row>
    <row r="2116" spans="2:11" ht="24.75" x14ac:dyDescent="0.2">
      <c r="B2116" s="82" t="s">
        <v>4380</v>
      </c>
      <c r="C2116" s="82" t="s">
        <v>650</v>
      </c>
      <c r="D2116" s="83">
        <f>SUMIFS(D2117:D6462,K2117:K6462,"0",B2117:B6462,"5 1 1 3 2 12 31111 6 M59 50100 000132 0000R*")-SUMIFS(E2117:E6462,K2117:K6462,"0",B2117:B6462,"5 1 1 3 2 12 31111 6 M59 50100 000132 0000R*")</f>
        <v>0</v>
      </c>
      <c r="E2116" s="54"/>
      <c r="F2116" s="83">
        <f>SUMIFS(F2117:F6462,K2117:K6462,"0",B2117:B6462,"5 1 1 3 2 12 31111 6 M59 50100 000132 0000R*")</f>
        <v>4240.47</v>
      </c>
      <c r="G2116" s="83">
        <f>SUMIFS(G2117:G6462,K2117:K6462,"0",B2117:B6462,"5 1 1 3 2 12 31111 6 M59 50100 000132 0000R*")</f>
        <v>0</v>
      </c>
      <c r="H2116" s="83">
        <f t="shared" si="33"/>
        <v>4240.47</v>
      </c>
      <c r="I2116" s="83"/>
      <c r="K2116" s="54" t="s">
        <v>15</v>
      </c>
    </row>
    <row r="2117" spans="2:11" ht="24.75" x14ac:dyDescent="0.2">
      <c r="B2117" s="82" t="s">
        <v>4381</v>
      </c>
      <c r="C2117" s="82" t="s">
        <v>282</v>
      </c>
      <c r="D2117" s="83">
        <f>SUMIFS(D2118:D6462,K2118:K6462,"0",B2118:B6462,"5 1 1 3 2 12 31111 6 M59 50100 000132 0000R 00001*")-SUMIFS(E2118:E6462,K2118:K6462,"0",B2118:B6462,"5 1 1 3 2 12 31111 6 M59 50100 000132 0000R 00001*")</f>
        <v>0</v>
      </c>
      <c r="E2117" s="54"/>
      <c r="F2117" s="83">
        <f>SUMIFS(F2118:F6462,K2118:K6462,"0",B2118:B6462,"5 1 1 3 2 12 31111 6 M59 50100 000132 0000R 00001*")</f>
        <v>4240.47</v>
      </c>
      <c r="G2117" s="83">
        <f>SUMIFS(G2118:G6462,K2118:K6462,"0",B2118:B6462,"5 1 1 3 2 12 31111 6 M59 50100 000132 0000R 00001*")</f>
        <v>0</v>
      </c>
      <c r="H2117" s="83">
        <f t="shared" si="33"/>
        <v>4240.47</v>
      </c>
      <c r="I2117" s="83"/>
      <c r="K2117" s="54" t="s">
        <v>15</v>
      </c>
    </row>
    <row r="2118" spans="2:11" ht="24.75" x14ac:dyDescent="0.2">
      <c r="B2118" s="82" t="s">
        <v>4382</v>
      </c>
      <c r="C2118" s="82" t="s">
        <v>4041</v>
      </c>
      <c r="D2118" s="83">
        <f>SUMIFS(D2119:D6462,K2119:K6462,"0",B2119:B6462,"5 1 1 3 2 12 31111 6 M59 50100 000132 0000R 00001 00132*")-SUMIFS(E2119:E6462,K2119:K6462,"0",B2119:B6462,"5 1 1 3 2 12 31111 6 M59 50100 000132 0000R 00001 00132*")</f>
        <v>0</v>
      </c>
      <c r="E2118" s="54"/>
      <c r="F2118" s="83">
        <f>SUMIFS(F2119:F6462,K2119:K6462,"0",B2119:B6462,"5 1 1 3 2 12 31111 6 M59 50100 000132 0000R 00001 00132*")</f>
        <v>4240.47</v>
      </c>
      <c r="G2118" s="83">
        <f>SUMIFS(G2119:G6462,K2119:K6462,"0",B2119:B6462,"5 1 1 3 2 12 31111 6 M59 50100 000132 0000R 00001 00132*")</f>
        <v>0</v>
      </c>
      <c r="H2118" s="83">
        <f t="shared" si="33"/>
        <v>4240.47</v>
      </c>
      <c r="I2118" s="83"/>
      <c r="K2118" s="54" t="s">
        <v>15</v>
      </c>
    </row>
    <row r="2119" spans="2:11" ht="33" x14ac:dyDescent="0.2">
      <c r="B2119" s="82" t="s">
        <v>4383</v>
      </c>
      <c r="C2119" s="82" t="s">
        <v>1051</v>
      </c>
      <c r="D2119" s="83">
        <f>SUMIFS(D2120:D6462,K2120:K6462,"0",B2120:B6462,"5 1 1 3 2 12 31111 6 M59 50100 000132 0000R 00001 00132 015*")-SUMIFS(E2120:E6462,K2120:K6462,"0",B2120:B6462,"5 1 1 3 2 12 31111 6 M59 50100 000132 0000R 00001 00132 015*")</f>
        <v>0</v>
      </c>
      <c r="E2119" s="54"/>
      <c r="F2119" s="83">
        <f>SUMIFS(F2120:F6462,K2120:K6462,"0",B2120:B6462,"5 1 1 3 2 12 31111 6 M59 50100 000132 0000R 00001 00132 015*")</f>
        <v>4240.47</v>
      </c>
      <c r="G2119" s="83">
        <f>SUMIFS(G2120:G6462,K2120:K6462,"0",B2120:B6462,"5 1 1 3 2 12 31111 6 M59 50100 000132 0000R 00001 00132 015*")</f>
        <v>0</v>
      </c>
      <c r="H2119" s="83">
        <f t="shared" si="33"/>
        <v>4240.47</v>
      </c>
      <c r="I2119" s="83"/>
      <c r="K2119" s="54" t="s">
        <v>15</v>
      </c>
    </row>
    <row r="2120" spans="2:11" ht="33" x14ac:dyDescent="0.2">
      <c r="B2120" s="82" t="s">
        <v>4384</v>
      </c>
      <c r="C2120" s="82" t="s">
        <v>2927</v>
      </c>
      <c r="D2120" s="83">
        <f>SUMIFS(D2121:D6462,K2121:K6462,"0",B2121:B6462,"5 1 1 3 2 12 31111 6 M59 50100 000132 0000R 00001 00132 015 2111100*")-SUMIFS(E2121:E6462,K2121:K6462,"0",B2121:B6462,"5 1 1 3 2 12 31111 6 M59 50100 000132 0000R 00001 00132 015 2111100*")</f>
        <v>0</v>
      </c>
      <c r="E2120" s="54"/>
      <c r="F2120" s="83">
        <f>SUMIFS(F2121:F6462,K2121:K6462,"0",B2121:B6462,"5 1 1 3 2 12 31111 6 M59 50100 000132 0000R 00001 00132 015 2111100*")</f>
        <v>4240.47</v>
      </c>
      <c r="G2120" s="83">
        <f>SUMIFS(G2121:G6462,K2121:K6462,"0",B2121:B6462,"5 1 1 3 2 12 31111 6 M59 50100 000132 0000R 00001 00132 015 2111100*")</f>
        <v>0</v>
      </c>
      <c r="H2120" s="83">
        <f t="shared" si="33"/>
        <v>4240.47</v>
      </c>
      <c r="I2120" s="83"/>
      <c r="K2120" s="54" t="s">
        <v>15</v>
      </c>
    </row>
    <row r="2121" spans="2:11" ht="33" x14ac:dyDescent="0.2">
      <c r="B2121" s="82" t="s">
        <v>4385</v>
      </c>
      <c r="C2121" s="82" t="s">
        <v>660</v>
      </c>
      <c r="D2121" s="83">
        <f>SUMIFS(D2122:D6462,K2122:K6462,"0",B2122:B6462,"5 1 1 3 2 12 31111 6 M59 50100 000132 0000R 00001 00132 015 2111100 2024*")-SUMIFS(E2122:E6462,K2122:K6462,"0",B2122:B6462,"5 1 1 3 2 12 31111 6 M59 50100 000132 0000R 00001 00132 015 2111100 2024*")</f>
        <v>0</v>
      </c>
      <c r="E2121" s="54"/>
      <c r="F2121" s="83">
        <f>SUMIFS(F2122:F6462,K2122:K6462,"0",B2122:B6462,"5 1 1 3 2 12 31111 6 M59 50100 000132 0000R 00001 00132 015 2111100 2024*")</f>
        <v>4240.47</v>
      </c>
      <c r="G2121" s="83">
        <f>SUMIFS(G2122:G6462,K2122:K6462,"0",B2122:B6462,"5 1 1 3 2 12 31111 6 M59 50100 000132 0000R 00001 00132 015 2111100 2024*")</f>
        <v>0</v>
      </c>
      <c r="H2121" s="83">
        <f t="shared" si="33"/>
        <v>4240.47</v>
      </c>
      <c r="I2121" s="83"/>
      <c r="K2121" s="54" t="s">
        <v>15</v>
      </c>
    </row>
    <row r="2122" spans="2:11" ht="41.25" x14ac:dyDescent="0.2">
      <c r="B2122" s="82" t="s">
        <v>4386</v>
      </c>
      <c r="C2122" s="82" t="s">
        <v>1056</v>
      </c>
      <c r="D2122" s="83">
        <f>SUMIFS(D2123:D6462,K2123:K6462,"0",B2123:B6462,"5 1 1 3 2 12 31111 6 M59 50100 000132 0000R 00001 00132 015 2111100 2024 CP1AG431*")-SUMIFS(E2123:E6462,K2123:K6462,"0",B2123:B6462,"5 1 1 3 2 12 31111 6 M59 50100 000132 0000R 00001 00132 015 2111100 2024 CP1AG431*")</f>
        <v>0</v>
      </c>
      <c r="E2122" s="54"/>
      <c r="F2122" s="83">
        <f>SUMIFS(F2123:F6462,K2123:K6462,"0",B2123:B6462,"5 1 1 3 2 12 31111 6 M59 50100 000132 0000R 00001 00132 015 2111100 2024 CP1AG431*")</f>
        <v>4240.47</v>
      </c>
      <c r="G2122" s="83">
        <f>SUMIFS(G2123:G6462,K2123:K6462,"0",B2123:B6462,"5 1 1 3 2 12 31111 6 M59 50100 000132 0000R 00001 00132 015 2111100 2024 CP1AG431*")</f>
        <v>0</v>
      </c>
      <c r="H2122" s="83">
        <f t="shared" si="33"/>
        <v>4240.47</v>
      </c>
      <c r="I2122" s="83"/>
      <c r="K2122" s="54" t="s">
        <v>15</v>
      </c>
    </row>
    <row r="2123" spans="2:11" ht="41.25" x14ac:dyDescent="0.2">
      <c r="B2123" s="82" t="s">
        <v>4387</v>
      </c>
      <c r="C2123" s="82" t="s">
        <v>282</v>
      </c>
      <c r="D2123" s="83">
        <f>SUMIFS(D2124:D6462,K2124:K6462,"0",B2124:B6462,"5 1 1 3 2 12 31111 6 M59 50100 000132 0000R 00001 00132 015 2111100 2024 CP1AG431 001*")-SUMIFS(E2124:E6462,K2124:K6462,"0",B2124:B6462,"5 1 1 3 2 12 31111 6 M59 50100 000132 0000R 00001 00132 015 2111100 2024 CP1AG431 001*")</f>
        <v>0</v>
      </c>
      <c r="E2123" s="54"/>
      <c r="F2123" s="83">
        <f>SUMIFS(F2124:F6462,K2124:K6462,"0",B2124:B6462,"5 1 1 3 2 12 31111 6 M59 50100 000132 0000R 00001 00132 015 2111100 2024 CP1AG431 001*")</f>
        <v>4240.47</v>
      </c>
      <c r="G2123" s="83">
        <f>SUMIFS(G2124:G6462,K2124:K6462,"0",B2124:B6462,"5 1 1 3 2 12 31111 6 M59 50100 000132 0000R 00001 00132 015 2111100 2024 CP1AG431 001*")</f>
        <v>0</v>
      </c>
      <c r="H2123" s="83">
        <f t="shared" si="33"/>
        <v>4240.47</v>
      </c>
      <c r="I2123" s="83"/>
      <c r="K2123" s="54" t="s">
        <v>15</v>
      </c>
    </row>
    <row r="2124" spans="2:11" ht="33" x14ac:dyDescent="0.2">
      <c r="B2124" s="84" t="s">
        <v>4388</v>
      </c>
      <c r="C2124" s="84" t="s">
        <v>1519</v>
      </c>
      <c r="D2124" s="85">
        <v>0</v>
      </c>
      <c r="E2124" s="85"/>
      <c r="F2124" s="85">
        <v>4240.47</v>
      </c>
      <c r="G2124" s="85">
        <v>0</v>
      </c>
      <c r="H2124" s="85">
        <f t="shared" si="33"/>
        <v>4240.47</v>
      </c>
      <c r="I2124" s="85"/>
      <c r="K2124" s="54" t="s">
        <v>38</v>
      </c>
    </row>
    <row r="2125" spans="2:11" ht="16.5" x14ac:dyDescent="0.2">
      <c r="B2125" s="82" t="s">
        <v>4389</v>
      </c>
      <c r="C2125" s="82" t="s">
        <v>1269</v>
      </c>
      <c r="D2125" s="83">
        <f>SUMIFS(D2126:D6462,K2126:K6462,"0",B2126:B6462,"5 1 1 3 2 12 31111 6 M59 60100*")-SUMIFS(E2126:E6462,K2126:K6462,"0",B2126:B6462,"5 1 1 3 2 12 31111 6 M59 60100*")</f>
        <v>0</v>
      </c>
      <c r="E2125" s="54"/>
      <c r="F2125" s="83">
        <f>SUMIFS(F2126:F6462,K2126:K6462,"0",B2126:B6462,"5 1 1 3 2 12 31111 6 M59 60100*")</f>
        <v>94839.4</v>
      </c>
      <c r="G2125" s="83">
        <f>SUMIFS(G2126:G6462,K2126:K6462,"0",B2126:B6462,"5 1 1 3 2 12 31111 6 M59 60100*")</f>
        <v>0</v>
      </c>
      <c r="H2125" s="83">
        <f t="shared" si="33"/>
        <v>94839.4</v>
      </c>
      <c r="I2125" s="83"/>
      <c r="K2125" s="54" t="s">
        <v>15</v>
      </c>
    </row>
    <row r="2126" spans="2:11" ht="16.5" x14ac:dyDescent="0.2">
      <c r="B2126" s="82" t="s">
        <v>4390</v>
      </c>
      <c r="C2126" s="82" t="s">
        <v>648</v>
      </c>
      <c r="D2126" s="83">
        <f>SUMIFS(D2127:D6462,K2127:K6462,"0",B2127:B6462,"5 1 1 3 2 12 31111 6 M59 60100 000132*")-SUMIFS(E2127:E6462,K2127:K6462,"0",B2127:B6462,"5 1 1 3 2 12 31111 6 M59 60100 000132*")</f>
        <v>0</v>
      </c>
      <c r="E2126" s="54"/>
      <c r="F2126" s="83">
        <f>SUMIFS(F2127:F6462,K2127:K6462,"0",B2127:B6462,"5 1 1 3 2 12 31111 6 M59 60100 000132*")</f>
        <v>94839.4</v>
      </c>
      <c r="G2126" s="83">
        <f>SUMIFS(G2127:G6462,K2127:K6462,"0",B2127:B6462,"5 1 1 3 2 12 31111 6 M59 60100 000132*")</f>
        <v>0</v>
      </c>
      <c r="H2126" s="83">
        <f t="shared" si="33"/>
        <v>94839.4</v>
      </c>
      <c r="I2126" s="83"/>
      <c r="K2126" s="54" t="s">
        <v>15</v>
      </c>
    </row>
    <row r="2127" spans="2:11" ht="24.75" x14ac:dyDescent="0.2">
      <c r="B2127" s="82" t="s">
        <v>4391</v>
      </c>
      <c r="C2127" s="82" t="s">
        <v>650</v>
      </c>
      <c r="D2127" s="83">
        <f>SUMIFS(D2128:D6462,K2128:K6462,"0",B2128:B6462,"5 1 1 3 2 12 31111 6 M59 60100 000132 0000R*")-SUMIFS(E2128:E6462,K2128:K6462,"0",B2128:B6462,"5 1 1 3 2 12 31111 6 M59 60100 000132 0000R*")</f>
        <v>0</v>
      </c>
      <c r="E2127" s="54"/>
      <c r="F2127" s="83">
        <f>SUMIFS(F2128:F6462,K2128:K6462,"0",B2128:B6462,"5 1 1 3 2 12 31111 6 M59 60100 000132 0000R*")</f>
        <v>94839.4</v>
      </c>
      <c r="G2127" s="83">
        <f>SUMIFS(G2128:G6462,K2128:K6462,"0",B2128:B6462,"5 1 1 3 2 12 31111 6 M59 60100 000132 0000R*")</f>
        <v>0</v>
      </c>
      <c r="H2127" s="83">
        <f t="shared" si="33"/>
        <v>94839.4</v>
      </c>
      <c r="I2127" s="83"/>
      <c r="K2127" s="54" t="s">
        <v>15</v>
      </c>
    </row>
    <row r="2128" spans="2:11" ht="24.75" x14ac:dyDescent="0.2">
      <c r="B2128" s="82" t="s">
        <v>4392</v>
      </c>
      <c r="C2128" s="82" t="s">
        <v>282</v>
      </c>
      <c r="D2128" s="83">
        <f>SUMIFS(D2129:D6462,K2129:K6462,"0",B2129:B6462,"5 1 1 3 2 12 31111 6 M59 60100 000132 0000R 00001*")-SUMIFS(E2129:E6462,K2129:K6462,"0",B2129:B6462,"5 1 1 3 2 12 31111 6 M59 60100 000132 0000R 00001*")</f>
        <v>0</v>
      </c>
      <c r="E2128" s="54"/>
      <c r="F2128" s="83">
        <f>SUMIFS(F2129:F6462,K2129:K6462,"0",B2129:B6462,"5 1 1 3 2 12 31111 6 M59 60100 000132 0000R 00001*")</f>
        <v>94839.4</v>
      </c>
      <c r="G2128" s="83">
        <f>SUMIFS(G2129:G6462,K2129:K6462,"0",B2129:B6462,"5 1 1 3 2 12 31111 6 M59 60100 000132 0000R 00001*")</f>
        <v>0</v>
      </c>
      <c r="H2128" s="83">
        <f t="shared" si="33"/>
        <v>94839.4</v>
      </c>
      <c r="I2128" s="83"/>
      <c r="K2128" s="54" t="s">
        <v>15</v>
      </c>
    </row>
    <row r="2129" spans="2:11" ht="24.75" x14ac:dyDescent="0.2">
      <c r="B2129" s="82" t="s">
        <v>4393</v>
      </c>
      <c r="C2129" s="82" t="s">
        <v>4041</v>
      </c>
      <c r="D2129" s="83">
        <f>SUMIFS(D2130:D6462,K2130:K6462,"0",B2130:B6462,"5 1 1 3 2 12 31111 6 M59 60100 000132 0000R 00001 00132*")-SUMIFS(E2130:E6462,K2130:K6462,"0",B2130:B6462,"5 1 1 3 2 12 31111 6 M59 60100 000132 0000R 00001 00132*")</f>
        <v>0</v>
      </c>
      <c r="E2129" s="54"/>
      <c r="F2129" s="83">
        <f>SUMIFS(F2130:F6462,K2130:K6462,"0",B2130:B6462,"5 1 1 3 2 12 31111 6 M59 60100 000132 0000R 00001 00132*")</f>
        <v>94839.4</v>
      </c>
      <c r="G2129" s="83">
        <f>SUMIFS(G2130:G6462,K2130:K6462,"0",B2130:B6462,"5 1 1 3 2 12 31111 6 M59 60100 000132 0000R 00001 00132*")</f>
        <v>0</v>
      </c>
      <c r="H2129" s="83">
        <f t="shared" si="33"/>
        <v>94839.4</v>
      </c>
      <c r="I2129" s="83"/>
      <c r="K2129" s="54" t="s">
        <v>15</v>
      </c>
    </row>
    <row r="2130" spans="2:11" ht="33" x14ac:dyDescent="0.2">
      <c r="B2130" s="82" t="s">
        <v>4394</v>
      </c>
      <c r="C2130" s="82" t="s">
        <v>1051</v>
      </c>
      <c r="D2130" s="83">
        <f>SUMIFS(D2131:D6462,K2131:K6462,"0",B2131:B6462,"5 1 1 3 2 12 31111 6 M59 60100 000132 0000R 00001 00132 015*")-SUMIFS(E2131:E6462,K2131:K6462,"0",B2131:B6462,"5 1 1 3 2 12 31111 6 M59 60100 000132 0000R 00001 00132 015*")</f>
        <v>0</v>
      </c>
      <c r="E2130" s="54"/>
      <c r="F2130" s="83">
        <f>SUMIFS(F2131:F6462,K2131:K6462,"0",B2131:B6462,"5 1 1 3 2 12 31111 6 M59 60100 000132 0000R 00001 00132 015*")</f>
        <v>94839.4</v>
      </c>
      <c r="G2130" s="83">
        <f>SUMIFS(G2131:G6462,K2131:K6462,"0",B2131:B6462,"5 1 1 3 2 12 31111 6 M59 60100 000132 0000R 00001 00132 015*")</f>
        <v>0</v>
      </c>
      <c r="H2130" s="83">
        <f t="shared" si="33"/>
        <v>94839.4</v>
      </c>
      <c r="I2130" s="83"/>
      <c r="K2130" s="54" t="s">
        <v>15</v>
      </c>
    </row>
    <row r="2131" spans="2:11" ht="33" x14ac:dyDescent="0.2">
      <c r="B2131" s="82" t="s">
        <v>4395</v>
      </c>
      <c r="C2131" s="82" t="s">
        <v>2927</v>
      </c>
      <c r="D2131" s="83">
        <f>SUMIFS(D2132:D6462,K2132:K6462,"0",B2132:B6462,"5 1 1 3 2 12 31111 6 M59 60100 000132 0000R 00001 00132 015 2111100*")-SUMIFS(E2132:E6462,K2132:K6462,"0",B2132:B6462,"5 1 1 3 2 12 31111 6 M59 60100 000132 0000R 00001 00132 015 2111100*")</f>
        <v>0</v>
      </c>
      <c r="E2131" s="54"/>
      <c r="F2131" s="83">
        <f>SUMIFS(F2132:F6462,K2132:K6462,"0",B2132:B6462,"5 1 1 3 2 12 31111 6 M59 60100 000132 0000R 00001 00132 015 2111100*")</f>
        <v>94839.4</v>
      </c>
      <c r="G2131" s="83">
        <f>SUMIFS(G2132:G6462,K2132:K6462,"0",B2132:B6462,"5 1 1 3 2 12 31111 6 M59 60100 000132 0000R 00001 00132 015 2111100*")</f>
        <v>0</v>
      </c>
      <c r="H2131" s="83">
        <f t="shared" si="33"/>
        <v>94839.4</v>
      </c>
      <c r="I2131" s="83"/>
      <c r="K2131" s="54" t="s">
        <v>15</v>
      </c>
    </row>
    <row r="2132" spans="2:11" ht="33" x14ac:dyDescent="0.2">
      <c r="B2132" s="82" t="s">
        <v>4396</v>
      </c>
      <c r="C2132" s="82" t="s">
        <v>660</v>
      </c>
      <c r="D2132" s="83">
        <f>SUMIFS(D2133:D6462,K2133:K6462,"0",B2133:B6462,"5 1 1 3 2 12 31111 6 M59 60100 000132 0000R 00001 00132 015 2111100 2024*")-SUMIFS(E2133:E6462,K2133:K6462,"0",B2133:B6462,"5 1 1 3 2 12 31111 6 M59 60100 000132 0000R 00001 00132 015 2111100 2024*")</f>
        <v>0</v>
      </c>
      <c r="E2132" s="54"/>
      <c r="F2132" s="83">
        <f>SUMIFS(F2133:F6462,K2133:K6462,"0",B2133:B6462,"5 1 1 3 2 12 31111 6 M59 60100 000132 0000R 00001 00132 015 2111100 2024*")</f>
        <v>94839.4</v>
      </c>
      <c r="G2132" s="83">
        <f>SUMIFS(G2133:G6462,K2133:K6462,"0",B2133:B6462,"5 1 1 3 2 12 31111 6 M59 60100 000132 0000R 00001 00132 015 2111100 2024*")</f>
        <v>0</v>
      </c>
      <c r="H2132" s="83">
        <f t="shared" si="33"/>
        <v>94839.4</v>
      </c>
      <c r="I2132" s="83"/>
      <c r="K2132" s="54" t="s">
        <v>15</v>
      </c>
    </row>
    <row r="2133" spans="2:11" ht="41.25" x14ac:dyDescent="0.2">
      <c r="B2133" s="82" t="s">
        <v>4397</v>
      </c>
      <c r="C2133" s="82" t="s">
        <v>1056</v>
      </c>
      <c r="D2133" s="83">
        <f>SUMIFS(D2134:D6462,K2134:K6462,"0",B2134:B6462,"5 1 1 3 2 12 31111 6 M59 60100 000132 0000R 00001 00132 015 2111100 2024 CP1DM394*")-SUMIFS(E2134:E6462,K2134:K6462,"0",B2134:B6462,"5 1 1 3 2 12 31111 6 M59 60100 000132 0000R 00001 00132 015 2111100 2024 CP1DM394*")</f>
        <v>0</v>
      </c>
      <c r="E2133" s="54"/>
      <c r="F2133" s="83">
        <f>SUMIFS(F2134:F6462,K2134:K6462,"0",B2134:B6462,"5 1 1 3 2 12 31111 6 M59 60100 000132 0000R 00001 00132 015 2111100 2024 CP1DM394*")</f>
        <v>94839.4</v>
      </c>
      <c r="G2133" s="83">
        <f>SUMIFS(G2134:G6462,K2134:K6462,"0",B2134:B6462,"5 1 1 3 2 12 31111 6 M59 60100 000132 0000R 00001 00132 015 2111100 2024 CP1DM394*")</f>
        <v>0</v>
      </c>
      <c r="H2133" s="83">
        <f t="shared" si="33"/>
        <v>94839.4</v>
      </c>
      <c r="I2133" s="83"/>
      <c r="K2133" s="54" t="s">
        <v>15</v>
      </c>
    </row>
    <row r="2134" spans="2:11" ht="41.25" x14ac:dyDescent="0.2">
      <c r="B2134" s="82" t="s">
        <v>4398</v>
      </c>
      <c r="C2134" s="82" t="s">
        <v>282</v>
      </c>
      <c r="D2134" s="83">
        <f>SUMIFS(D2135:D6462,K2135:K6462,"0",B2135:B6462,"5 1 1 3 2 12 31111 6 M59 60100 000132 0000R 00001 00132 015 2111100 2024 CP1DM394 001*")-SUMIFS(E2135:E6462,K2135:K6462,"0",B2135:B6462,"5 1 1 3 2 12 31111 6 M59 60100 000132 0000R 00001 00132 015 2111100 2024 CP1DM394 001*")</f>
        <v>0</v>
      </c>
      <c r="E2134" s="54"/>
      <c r="F2134" s="83">
        <f>SUMIFS(F2135:F6462,K2135:K6462,"0",B2135:B6462,"5 1 1 3 2 12 31111 6 M59 60100 000132 0000R 00001 00132 015 2111100 2024 CP1DM394 001*")</f>
        <v>94839.4</v>
      </c>
      <c r="G2134" s="83">
        <f>SUMIFS(G2135:G6462,K2135:K6462,"0",B2135:B6462,"5 1 1 3 2 12 31111 6 M59 60100 000132 0000R 00001 00132 015 2111100 2024 CP1DM394 001*")</f>
        <v>0</v>
      </c>
      <c r="H2134" s="83">
        <f t="shared" si="33"/>
        <v>94839.4</v>
      </c>
      <c r="I2134" s="83"/>
      <c r="K2134" s="54" t="s">
        <v>15</v>
      </c>
    </row>
    <row r="2135" spans="2:11" ht="33" x14ac:dyDescent="0.2">
      <c r="B2135" s="84" t="s">
        <v>4399</v>
      </c>
      <c r="C2135" s="84" t="s">
        <v>1519</v>
      </c>
      <c r="D2135" s="85">
        <v>0</v>
      </c>
      <c r="E2135" s="85"/>
      <c r="F2135" s="85">
        <v>90856.65</v>
      </c>
      <c r="G2135" s="85">
        <v>0</v>
      </c>
      <c r="H2135" s="85">
        <f t="shared" si="33"/>
        <v>90856.65</v>
      </c>
      <c r="I2135" s="85"/>
      <c r="K2135" s="54" t="s">
        <v>38</v>
      </c>
    </row>
    <row r="2136" spans="2:11" ht="33" x14ac:dyDescent="0.2">
      <c r="B2136" s="84" t="s">
        <v>4400</v>
      </c>
      <c r="C2136" s="84" t="s">
        <v>4071</v>
      </c>
      <c r="D2136" s="85">
        <v>0</v>
      </c>
      <c r="E2136" s="85"/>
      <c r="F2136" s="85">
        <v>3982.75</v>
      </c>
      <c r="G2136" s="85">
        <v>0</v>
      </c>
      <c r="H2136" s="85">
        <f t="shared" si="33"/>
        <v>3982.75</v>
      </c>
      <c r="I2136" s="85"/>
      <c r="K2136" s="54" t="s">
        <v>38</v>
      </c>
    </row>
    <row r="2137" spans="2:11" ht="24.75" x14ac:dyDescent="0.2">
      <c r="B2137" s="82" t="s">
        <v>4401</v>
      </c>
      <c r="C2137" s="82" t="s">
        <v>3317</v>
      </c>
      <c r="D2137" s="83">
        <f>SUMIFS(D2138:D6462,K2138:K6462,"0",B2138:B6462,"5 1 1 3 2 12 31111 6 M59 61000*")-SUMIFS(E2138:E6462,K2138:K6462,"0",B2138:B6462,"5 1 1 3 2 12 31111 6 M59 61000*")</f>
        <v>0</v>
      </c>
      <c r="E2137" s="54"/>
      <c r="F2137" s="83">
        <f>SUMIFS(F2138:F6462,K2138:K6462,"0",B2138:B6462,"5 1 1 3 2 12 31111 6 M59 61000*")</f>
        <v>1726.81</v>
      </c>
      <c r="G2137" s="83">
        <f>SUMIFS(G2138:G6462,K2138:K6462,"0",B2138:B6462,"5 1 1 3 2 12 31111 6 M59 61000*")</f>
        <v>0</v>
      </c>
      <c r="H2137" s="83">
        <f t="shared" si="33"/>
        <v>1726.81</v>
      </c>
      <c r="I2137" s="83"/>
      <c r="K2137" s="54" t="s">
        <v>15</v>
      </c>
    </row>
    <row r="2138" spans="2:11" ht="16.5" x14ac:dyDescent="0.2">
      <c r="B2138" s="82" t="s">
        <v>4402</v>
      </c>
      <c r="C2138" s="82" t="s">
        <v>648</v>
      </c>
      <c r="D2138" s="83">
        <f>SUMIFS(D2139:D6462,K2139:K6462,"0",B2139:B6462,"5 1 1 3 2 12 31111 6 M59 61000 000132*")-SUMIFS(E2139:E6462,K2139:K6462,"0",B2139:B6462,"5 1 1 3 2 12 31111 6 M59 61000 000132*")</f>
        <v>0</v>
      </c>
      <c r="E2138" s="54"/>
      <c r="F2138" s="83">
        <f>SUMIFS(F2139:F6462,K2139:K6462,"0",B2139:B6462,"5 1 1 3 2 12 31111 6 M59 61000 000132*")</f>
        <v>1726.81</v>
      </c>
      <c r="G2138" s="83">
        <f>SUMIFS(G2139:G6462,K2139:K6462,"0",B2139:B6462,"5 1 1 3 2 12 31111 6 M59 61000 000132*")</f>
        <v>0</v>
      </c>
      <c r="H2138" s="83">
        <f t="shared" si="33"/>
        <v>1726.81</v>
      </c>
      <c r="I2138" s="83"/>
      <c r="K2138" s="54" t="s">
        <v>15</v>
      </c>
    </row>
    <row r="2139" spans="2:11" ht="24.75" x14ac:dyDescent="0.2">
      <c r="B2139" s="82" t="s">
        <v>4403</v>
      </c>
      <c r="C2139" s="82" t="s">
        <v>650</v>
      </c>
      <c r="D2139" s="83">
        <f>SUMIFS(D2140:D6462,K2140:K6462,"0",B2140:B6462,"5 1 1 3 2 12 31111 6 M59 61000 000132 0000R*")-SUMIFS(E2140:E6462,K2140:K6462,"0",B2140:B6462,"5 1 1 3 2 12 31111 6 M59 61000 000132 0000R*")</f>
        <v>0</v>
      </c>
      <c r="E2139" s="54"/>
      <c r="F2139" s="83">
        <f>SUMIFS(F2140:F6462,K2140:K6462,"0",B2140:B6462,"5 1 1 3 2 12 31111 6 M59 61000 000132 0000R*")</f>
        <v>1726.81</v>
      </c>
      <c r="G2139" s="83">
        <f>SUMIFS(G2140:G6462,K2140:K6462,"0",B2140:B6462,"5 1 1 3 2 12 31111 6 M59 61000 000132 0000R*")</f>
        <v>0</v>
      </c>
      <c r="H2139" s="83">
        <f t="shared" si="33"/>
        <v>1726.81</v>
      </c>
      <c r="I2139" s="83"/>
      <c r="K2139" s="54" t="s">
        <v>15</v>
      </c>
    </row>
    <row r="2140" spans="2:11" ht="24.75" x14ac:dyDescent="0.2">
      <c r="B2140" s="82" t="s">
        <v>4404</v>
      </c>
      <c r="C2140" s="82" t="s">
        <v>282</v>
      </c>
      <c r="D2140" s="83">
        <f>SUMIFS(D2141:D6462,K2141:K6462,"0",B2141:B6462,"5 1 1 3 2 12 31111 6 M59 61000 000132 0000R 00001*")-SUMIFS(E2141:E6462,K2141:K6462,"0",B2141:B6462,"5 1 1 3 2 12 31111 6 M59 61000 000132 0000R 00001*")</f>
        <v>0</v>
      </c>
      <c r="E2140" s="54"/>
      <c r="F2140" s="83">
        <f>SUMIFS(F2141:F6462,K2141:K6462,"0",B2141:B6462,"5 1 1 3 2 12 31111 6 M59 61000 000132 0000R 00001*")</f>
        <v>1726.81</v>
      </c>
      <c r="G2140" s="83">
        <f>SUMIFS(G2141:G6462,K2141:K6462,"0",B2141:B6462,"5 1 1 3 2 12 31111 6 M59 61000 000132 0000R 00001*")</f>
        <v>0</v>
      </c>
      <c r="H2140" s="83">
        <f t="shared" si="33"/>
        <v>1726.81</v>
      </c>
      <c r="I2140" s="83"/>
      <c r="K2140" s="54" t="s">
        <v>15</v>
      </c>
    </row>
    <row r="2141" spans="2:11" ht="24.75" x14ac:dyDescent="0.2">
      <c r="B2141" s="82" t="s">
        <v>4405</v>
      </c>
      <c r="C2141" s="82" t="s">
        <v>4041</v>
      </c>
      <c r="D2141" s="83">
        <f>SUMIFS(D2142:D6462,K2142:K6462,"0",B2142:B6462,"5 1 1 3 2 12 31111 6 M59 61000 000132 0000R 00001 00132*")-SUMIFS(E2142:E6462,K2142:K6462,"0",B2142:B6462,"5 1 1 3 2 12 31111 6 M59 61000 000132 0000R 00001 00132*")</f>
        <v>0</v>
      </c>
      <c r="E2141" s="54"/>
      <c r="F2141" s="83">
        <f>SUMIFS(F2142:F6462,K2142:K6462,"0",B2142:B6462,"5 1 1 3 2 12 31111 6 M59 61000 000132 0000R 00001 00132*")</f>
        <v>1726.81</v>
      </c>
      <c r="G2141" s="83">
        <f>SUMIFS(G2142:G6462,K2142:K6462,"0",B2142:B6462,"5 1 1 3 2 12 31111 6 M59 61000 000132 0000R 00001 00132*")</f>
        <v>0</v>
      </c>
      <c r="H2141" s="83">
        <f t="shared" si="33"/>
        <v>1726.81</v>
      </c>
      <c r="I2141" s="83"/>
      <c r="K2141" s="54" t="s">
        <v>15</v>
      </c>
    </row>
    <row r="2142" spans="2:11" ht="33" x14ac:dyDescent="0.2">
      <c r="B2142" s="82" t="s">
        <v>4406</v>
      </c>
      <c r="C2142" s="82" t="s">
        <v>1051</v>
      </c>
      <c r="D2142" s="83">
        <f>SUMIFS(D2143:D6462,K2143:K6462,"0",B2143:B6462,"5 1 1 3 2 12 31111 6 M59 61000 000132 0000R 00001 00132 015*")-SUMIFS(E2143:E6462,K2143:K6462,"0",B2143:B6462,"5 1 1 3 2 12 31111 6 M59 61000 000132 0000R 00001 00132 015*")</f>
        <v>0</v>
      </c>
      <c r="E2142" s="54"/>
      <c r="F2142" s="83">
        <f>SUMIFS(F2143:F6462,K2143:K6462,"0",B2143:B6462,"5 1 1 3 2 12 31111 6 M59 61000 000132 0000R 00001 00132 015*")</f>
        <v>1726.81</v>
      </c>
      <c r="G2142" s="83">
        <f>SUMIFS(G2143:G6462,K2143:K6462,"0",B2143:B6462,"5 1 1 3 2 12 31111 6 M59 61000 000132 0000R 00001 00132 015*")</f>
        <v>0</v>
      </c>
      <c r="H2142" s="83">
        <f t="shared" si="33"/>
        <v>1726.81</v>
      </c>
      <c r="I2142" s="83"/>
      <c r="K2142" s="54" t="s">
        <v>15</v>
      </c>
    </row>
    <row r="2143" spans="2:11" ht="33" x14ac:dyDescent="0.2">
      <c r="B2143" s="82" t="s">
        <v>4407</v>
      </c>
      <c r="C2143" s="82" t="s">
        <v>2927</v>
      </c>
      <c r="D2143" s="83">
        <f>SUMIFS(D2144:D6462,K2144:K6462,"0",B2144:B6462,"5 1 1 3 2 12 31111 6 M59 61000 000132 0000R 00001 00132 015 2111100*")-SUMIFS(E2144:E6462,K2144:K6462,"0",B2144:B6462,"5 1 1 3 2 12 31111 6 M59 61000 000132 0000R 00001 00132 015 2111100*")</f>
        <v>0</v>
      </c>
      <c r="E2143" s="54"/>
      <c r="F2143" s="83">
        <f>SUMIFS(F2144:F6462,K2144:K6462,"0",B2144:B6462,"5 1 1 3 2 12 31111 6 M59 61000 000132 0000R 00001 00132 015 2111100*")</f>
        <v>1726.81</v>
      </c>
      <c r="G2143" s="83">
        <f>SUMIFS(G2144:G6462,K2144:K6462,"0",B2144:B6462,"5 1 1 3 2 12 31111 6 M59 61000 000132 0000R 00001 00132 015 2111100*")</f>
        <v>0</v>
      </c>
      <c r="H2143" s="83">
        <f t="shared" si="33"/>
        <v>1726.81</v>
      </c>
      <c r="I2143" s="83"/>
      <c r="K2143" s="54" t="s">
        <v>15</v>
      </c>
    </row>
    <row r="2144" spans="2:11" ht="33" x14ac:dyDescent="0.2">
      <c r="B2144" s="82" t="s">
        <v>4408</v>
      </c>
      <c r="C2144" s="82" t="s">
        <v>660</v>
      </c>
      <c r="D2144" s="83">
        <f>SUMIFS(D2145:D6462,K2145:K6462,"0",B2145:B6462,"5 1 1 3 2 12 31111 6 M59 61000 000132 0000R 00001 00132 015 2111100 2024*")-SUMIFS(E2145:E6462,K2145:K6462,"0",B2145:B6462,"5 1 1 3 2 12 31111 6 M59 61000 000132 0000R 00001 00132 015 2111100 2024*")</f>
        <v>0</v>
      </c>
      <c r="E2144" s="54"/>
      <c r="F2144" s="83">
        <f>SUMIFS(F2145:F6462,K2145:K6462,"0",B2145:B6462,"5 1 1 3 2 12 31111 6 M59 61000 000132 0000R 00001 00132 015 2111100 2024*")</f>
        <v>1726.81</v>
      </c>
      <c r="G2144" s="83">
        <f>SUMIFS(G2145:G6462,K2145:K6462,"0",B2145:B6462,"5 1 1 3 2 12 31111 6 M59 61000 000132 0000R 00001 00132 015 2111100 2024*")</f>
        <v>0</v>
      </c>
      <c r="H2144" s="83">
        <f t="shared" si="33"/>
        <v>1726.81</v>
      </c>
      <c r="I2144" s="83"/>
      <c r="K2144" s="54" t="s">
        <v>15</v>
      </c>
    </row>
    <row r="2145" spans="2:11" ht="41.25" x14ac:dyDescent="0.2">
      <c r="B2145" s="82" t="s">
        <v>4409</v>
      </c>
      <c r="C2145" s="82" t="s">
        <v>1056</v>
      </c>
      <c r="D2145" s="83">
        <f>SUMIFS(D2146:D6462,K2146:K6462,"0",B2146:B6462,"5 1 1 3 2 12 31111 6 M59 61000 000132 0000R 00001 00132 015 2111100 2024 CP1MI406*")-SUMIFS(E2146:E6462,K2146:K6462,"0",B2146:B6462,"5 1 1 3 2 12 31111 6 M59 61000 000132 0000R 00001 00132 015 2111100 2024 CP1MI406*")</f>
        <v>0</v>
      </c>
      <c r="E2145" s="54"/>
      <c r="F2145" s="83">
        <f>SUMIFS(F2146:F6462,K2146:K6462,"0",B2146:B6462,"5 1 1 3 2 12 31111 6 M59 61000 000132 0000R 00001 00132 015 2111100 2024 CP1MI406*")</f>
        <v>1726.81</v>
      </c>
      <c r="G2145" s="83">
        <f>SUMIFS(G2146:G6462,K2146:K6462,"0",B2146:B6462,"5 1 1 3 2 12 31111 6 M59 61000 000132 0000R 00001 00132 015 2111100 2024 CP1MI406*")</f>
        <v>0</v>
      </c>
      <c r="H2145" s="83">
        <f t="shared" si="33"/>
        <v>1726.81</v>
      </c>
      <c r="I2145" s="83"/>
      <c r="K2145" s="54" t="s">
        <v>15</v>
      </c>
    </row>
    <row r="2146" spans="2:11" ht="41.25" x14ac:dyDescent="0.2">
      <c r="B2146" s="82" t="s">
        <v>4410</v>
      </c>
      <c r="C2146" s="82" t="s">
        <v>282</v>
      </c>
      <c r="D2146" s="83">
        <f>SUMIFS(D2147:D6462,K2147:K6462,"0",B2147:B6462,"5 1 1 3 2 12 31111 6 M59 61000 000132 0000R 00001 00132 015 2111100 2024 CP1MI406 001*")-SUMIFS(E2147:E6462,K2147:K6462,"0",B2147:B6462,"5 1 1 3 2 12 31111 6 M59 61000 000132 0000R 00001 00132 015 2111100 2024 CP1MI406 001*")</f>
        <v>0</v>
      </c>
      <c r="E2146" s="54"/>
      <c r="F2146" s="83">
        <f>SUMIFS(F2147:F6462,K2147:K6462,"0",B2147:B6462,"5 1 1 3 2 12 31111 6 M59 61000 000132 0000R 00001 00132 015 2111100 2024 CP1MI406 001*")</f>
        <v>1726.81</v>
      </c>
      <c r="G2146" s="83">
        <f>SUMIFS(G2147:G6462,K2147:K6462,"0",B2147:B6462,"5 1 1 3 2 12 31111 6 M59 61000 000132 0000R 00001 00132 015 2111100 2024 CP1MI406 001*")</f>
        <v>0</v>
      </c>
      <c r="H2146" s="83">
        <f t="shared" si="33"/>
        <v>1726.81</v>
      </c>
      <c r="I2146" s="83"/>
      <c r="K2146" s="54" t="s">
        <v>15</v>
      </c>
    </row>
    <row r="2147" spans="2:11" ht="33" x14ac:dyDescent="0.2">
      <c r="B2147" s="84" t="s">
        <v>4411</v>
      </c>
      <c r="C2147" s="84" t="s">
        <v>1519</v>
      </c>
      <c r="D2147" s="85">
        <v>0</v>
      </c>
      <c r="E2147" s="85"/>
      <c r="F2147" s="85">
        <v>1726.81</v>
      </c>
      <c r="G2147" s="85">
        <v>0</v>
      </c>
      <c r="H2147" s="85">
        <f t="shared" si="33"/>
        <v>1726.81</v>
      </c>
      <c r="I2147" s="85"/>
      <c r="K2147" s="54" t="s">
        <v>38</v>
      </c>
    </row>
    <row r="2148" spans="2:11" ht="16.5" x14ac:dyDescent="0.2">
      <c r="B2148" s="82" t="s">
        <v>4412</v>
      </c>
      <c r="C2148" s="82" t="s">
        <v>3329</v>
      </c>
      <c r="D2148" s="83">
        <f>SUMIFS(D2149:D6462,K2149:K6462,"0",B2149:B6462,"5 1 1 3 2 12 31111 6 M59 62000*")-SUMIFS(E2149:E6462,K2149:K6462,"0",B2149:B6462,"5 1 1 3 2 12 31111 6 M59 62000*")</f>
        <v>0</v>
      </c>
      <c r="E2148" s="54"/>
      <c r="F2148" s="83">
        <f>SUMIFS(F2149:F6462,K2149:K6462,"0",B2149:B6462,"5 1 1 3 2 12 31111 6 M59 62000*")</f>
        <v>2059.61</v>
      </c>
      <c r="G2148" s="83">
        <f>SUMIFS(G2149:G6462,K2149:K6462,"0",B2149:B6462,"5 1 1 3 2 12 31111 6 M59 62000*")</f>
        <v>0</v>
      </c>
      <c r="H2148" s="83">
        <f t="shared" si="33"/>
        <v>2059.61</v>
      </c>
      <c r="I2148" s="83"/>
      <c r="K2148" s="54" t="s">
        <v>15</v>
      </c>
    </row>
    <row r="2149" spans="2:11" ht="16.5" x14ac:dyDescent="0.2">
      <c r="B2149" s="82" t="s">
        <v>4413</v>
      </c>
      <c r="C2149" s="82" t="s">
        <v>648</v>
      </c>
      <c r="D2149" s="83">
        <f>SUMIFS(D2150:D6462,K2150:K6462,"0",B2150:B6462,"5 1 1 3 2 12 31111 6 M59 62000 000132*")-SUMIFS(E2150:E6462,K2150:K6462,"0",B2150:B6462,"5 1 1 3 2 12 31111 6 M59 62000 000132*")</f>
        <v>0</v>
      </c>
      <c r="E2149" s="54"/>
      <c r="F2149" s="83">
        <f>SUMIFS(F2150:F6462,K2150:K6462,"0",B2150:B6462,"5 1 1 3 2 12 31111 6 M59 62000 000132*")</f>
        <v>2059.61</v>
      </c>
      <c r="G2149" s="83">
        <f>SUMIFS(G2150:G6462,K2150:K6462,"0",B2150:B6462,"5 1 1 3 2 12 31111 6 M59 62000 000132*")</f>
        <v>0</v>
      </c>
      <c r="H2149" s="83">
        <f t="shared" si="33"/>
        <v>2059.61</v>
      </c>
      <c r="I2149" s="83"/>
      <c r="K2149" s="54" t="s">
        <v>15</v>
      </c>
    </row>
    <row r="2150" spans="2:11" ht="24.75" x14ac:dyDescent="0.2">
      <c r="B2150" s="82" t="s">
        <v>4414</v>
      </c>
      <c r="C2150" s="82" t="s">
        <v>650</v>
      </c>
      <c r="D2150" s="83">
        <f>SUMIFS(D2151:D6462,K2151:K6462,"0",B2151:B6462,"5 1 1 3 2 12 31111 6 M59 62000 000132 0000R*")-SUMIFS(E2151:E6462,K2151:K6462,"0",B2151:B6462,"5 1 1 3 2 12 31111 6 M59 62000 000132 0000R*")</f>
        <v>0</v>
      </c>
      <c r="E2150" s="54"/>
      <c r="F2150" s="83">
        <f>SUMIFS(F2151:F6462,K2151:K6462,"0",B2151:B6462,"5 1 1 3 2 12 31111 6 M59 62000 000132 0000R*")</f>
        <v>2059.61</v>
      </c>
      <c r="G2150" s="83">
        <f>SUMIFS(G2151:G6462,K2151:K6462,"0",B2151:B6462,"5 1 1 3 2 12 31111 6 M59 62000 000132 0000R*")</f>
        <v>0</v>
      </c>
      <c r="H2150" s="83">
        <f t="shared" si="33"/>
        <v>2059.61</v>
      </c>
      <c r="I2150" s="83"/>
      <c r="K2150" s="54" t="s">
        <v>15</v>
      </c>
    </row>
    <row r="2151" spans="2:11" ht="24.75" x14ac:dyDescent="0.2">
      <c r="B2151" s="82" t="s">
        <v>4415</v>
      </c>
      <c r="C2151" s="82" t="s">
        <v>282</v>
      </c>
      <c r="D2151" s="83">
        <f>SUMIFS(D2152:D6462,K2152:K6462,"0",B2152:B6462,"5 1 1 3 2 12 31111 6 M59 62000 000132 0000R 00001*")-SUMIFS(E2152:E6462,K2152:K6462,"0",B2152:B6462,"5 1 1 3 2 12 31111 6 M59 62000 000132 0000R 00001*")</f>
        <v>0</v>
      </c>
      <c r="E2151" s="54"/>
      <c r="F2151" s="83">
        <f>SUMIFS(F2152:F6462,K2152:K6462,"0",B2152:B6462,"5 1 1 3 2 12 31111 6 M59 62000 000132 0000R 00001*")</f>
        <v>2059.61</v>
      </c>
      <c r="G2151" s="83">
        <f>SUMIFS(G2152:G6462,K2152:K6462,"0",B2152:B6462,"5 1 1 3 2 12 31111 6 M59 62000 000132 0000R 00001*")</f>
        <v>0</v>
      </c>
      <c r="H2151" s="83">
        <f t="shared" si="33"/>
        <v>2059.61</v>
      </c>
      <c r="I2151" s="83"/>
      <c r="K2151" s="54" t="s">
        <v>15</v>
      </c>
    </row>
    <row r="2152" spans="2:11" ht="24.75" x14ac:dyDescent="0.2">
      <c r="B2152" s="82" t="s">
        <v>4416</v>
      </c>
      <c r="C2152" s="82" t="s">
        <v>4041</v>
      </c>
      <c r="D2152" s="83">
        <f>SUMIFS(D2153:D6462,K2153:K6462,"0",B2153:B6462,"5 1 1 3 2 12 31111 6 M59 62000 000132 0000R 00001 00132*")-SUMIFS(E2153:E6462,K2153:K6462,"0",B2153:B6462,"5 1 1 3 2 12 31111 6 M59 62000 000132 0000R 00001 00132*")</f>
        <v>0</v>
      </c>
      <c r="E2152" s="54"/>
      <c r="F2152" s="83">
        <f>SUMIFS(F2153:F6462,K2153:K6462,"0",B2153:B6462,"5 1 1 3 2 12 31111 6 M59 62000 000132 0000R 00001 00132*")</f>
        <v>2059.61</v>
      </c>
      <c r="G2152" s="83">
        <f>SUMIFS(G2153:G6462,K2153:K6462,"0",B2153:B6462,"5 1 1 3 2 12 31111 6 M59 62000 000132 0000R 00001 00132*")</f>
        <v>0</v>
      </c>
      <c r="H2152" s="83">
        <f t="shared" si="33"/>
        <v>2059.61</v>
      </c>
      <c r="I2152" s="83"/>
      <c r="K2152" s="54" t="s">
        <v>15</v>
      </c>
    </row>
    <row r="2153" spans="2:11" ht="33" x14ac:dyDescent="0.2">
      <c r="B2153" s="82" t="s">
        <v>4417</v>
      </c>
      <c r="C2153" s="82" t="s">
        <v>1051</v>
      </c>
      <c r="D2153" s="83">
        <f>SUMIFS(D2154:D6462,K2154:K6462,"0",B2154:B6462,"5 1 1 3 2 12 31111 6 M59 62000 000132 0000R 00001 00132 015*")-SUMIFS(E2154:E6462,K2154:K6462,"0",B2154:B6462,"5 1 1 3 2 12 31111 6 M59 62000 000132 0000R 00001 00132 015*")</f>
        <v>0</v>
      </c>
      <c r="E2153" s="54"/>
      <c r="F2153" s="83">
        <f>SUMIFS(F2154:F6462,K2154:K6462,"0",B2154:B6462,"5 1 1 3 2 12 31111 6 M59 62000 000132 0000R 00001 00132 015*")</f>
        <v>2059.61</v>
      </c>
      <c r="G2153" s="83">
        <f>SUMIFS(G2154:G6462,K2154:K6462,"0",B2154:B6462,"5 1 1 3 2 12 31111 6 M59 62000 000132 0000R 00001 00132 015*")</f>
        <v>0</v>
      </c>
      <c r="H2153" s="83">
        <f t="shared" si="33"/>
        <v>2059.61</v>
      </c>
      <c r="I2153" s="83"/>
      <c r="K2153" s="54" t="s">
        <v>15</v>
      </c>
    </row>
    <row r="2154" spans="2:11" ht="33" x14ac:dyDescent="0.2">
      <c r="B2154" s="82" t="s">
        <v>4418</v>
      </c>
      <c r="C2154" s="82" t="s">
        <v>2927</v>
      </c>
      <c r="D2154" s="83">
        <f>SUMIFS(D2155:D6462,K2155:K6462,"0",B2155:B6462,"5 1 1 3 2 12 31111 6 M59 62000 000132 0000R 00001 00132 015 2111100*")-SUMIFS(E2155:E6462,K2155:K6462,"0",B2155:B6462,"5 1 1 3 2 12 31111 6 M59 62000 000132 0000R 00001 00132 015 2111100*")</f>
        <v>0</v>
      </c>
      <c r="E2154" s="54"/>
      <c r="F2154" s="83">
        <f>SUMIFS(F2155:F6462,K2155:K6462,"0",B2155:B6462,"5 1 1 3 2 12 31111 6 M59 62000 000132 0000R 00001 00132 015 2111100*")</f>
        <v>2059.61</v>
      </c>
      <c r="G2154" s="83">
        <f>SUMIFS(G2155:G6462,K2155:K6462,"0",B2155:B6462,"5 1 1 3 2 12 31111 6 M59 62000 000132 0000R 00001 00132 015 2111100*")</f>
        <v>0</v>
      </c>
      <c r="H2154" s="83">
        <f t="shared" si="33"/>
        <v>2059.61</v>
      </c>
      <c r="I2154" s="83"/>
      <c r="K2154" s="54" t="s">
        <v>15</v>
      </c>
    </row>
    <row r="2155" spans="2:11" ht="33" x14ac:dyDescent="0.2">
      <c r="B2155" s="82" t="s">
        <v>4419</v>
      </c>
      <c r="C2155" s="82" t="s">
        <v>660</v>
      </c>
      <c r="D2155" s="83">
        <f>SUMIFS(D2156:D6462,K2156:K6462,"0",B2156:B6462,"5 1 1 3 2 12 31111 6 M59 62000 000132 0000R 00001 00132 015 2111100 2024*")-SUMIFS(E2156:E6462,K2156:K6462,"0",B2156:B6462,"5 1 1 3 2 12 31111 6 M59 62000 000132 0000R 00001 00132 015 2111100 2024*")</f>
        <v>0</v>
      </c>
      <c r="E2155" s="54"/>
      <c r="F2155" s="83">
        <f>SUMIFS(F2156:F6462,K2156:K6462,"0",B2156:B6462,"5 1 1 3 2 12 31111 6 M59 62000 000132 0000R 00001 00132 015 2111100 2024*")</f>
        <v>2059.61</v>
      </c>
      <c r="G2155" s="83">
        <f>SUMIFS(G2156:G6462,K2156:K6462,"0",B2156:B6462,"5 1 1 3 2 12 31111 6 M59 62000 000132 0000R 00001 00132 015 2111100 2024*")</f>
        <v>0</v>
      </c>
      <c r="H2155" s="83">
        <f t="shared" ref="H2155:H2218" si="34">D2155 + F2155 - G2155</f>
        <v>2059.61</v>
      </c>
      <c r="I2155" s="83"/>
      <c r="K2155" s="54" t="s">
        <v>15</v>
      </c>
    </row>
    <row r="2156" spans="2:11" ht="41.25" x14ac:dyDescent="0.2">
      <c r="B2156" s="82" t="s">
        <v>4420</v>
      </c>
      <c r="C2156" s="82" t="s">
        <v>1056</v>
      </c>
      <c r="D2156" s="83">
        <f>SUMIFS(D2157:D6462,K2157:K6462,"0",B2157:B6462,"5 1 1 3 2 12 31111 6 M59 62000 000132 0000R 00001 00132 015 2111100 2024 CP1AM426*")-SUMIFS(E2157:E6462,K2157:K6462,"0",B2157:B6462,"5 1 1 3 2 12 31111 6 M59 62000 000132 0000R 00001 00132 015 2111100 2024 CP1AM426*")</f>
        <v>0</v>
      </c>
      <c r="E2156" s="54"/>
      <c r="F2156" s="83">
        <f>SUMIFS(F2157:F6462,K2157:K6462,"0",B2157:B6462,"5 1 1 3 2 12 31111 6 M59 62000 000132 0000R 00001 00132 015 2111100 2024 CP1AM426*")</f>
        <v>2059.61</v>
      </c>
      <c r="G2156" s="83">
        <f>SUMIFS(G2157:G6462,K2157:K6462,"0",B2157:B6462,"5 1 1 3 2 12 31111 6 M59 62000 000132 0000R 00001 00132 015 2111100 2024 CP1AM426*")</f>
        <v>0</v>
      </c>
      <c r="H2156" s="83">
        <f t="shared" si="34"/>
        <v>2059.61</v>
      </c>
      <c r="I2156" s="83"/>
      <c r="K2156" s="54" t="s">
        <v>15</v>
      </c>
    </row>
    <row r="2157" spans="2:11" ht="41.25" x14ac:dyDescent="0.2">
      <c r="B2157" s="82" t="s">
        <v>4421</v>
      </c>
      <c r="C2157" s="82" t="s">
        <v>282</v>
      </c>
      <c r="D2157" s="83">
        <f>SUMIFS(D2158:D6462,K2158:K6462,"0",B2158:B6462,"5 1 1 3 2 12 31111 6 M59 62000 000132 0000R 00001 00132 015 2111100 2024 CP1AM426 001*")-SUMIFS(E2158:E6462,K2158:K6462,"0",B2158:B6462,"5 1 1 3 2 12 31111 6 M59 62000 000132 0000R 00001 00132 015 2111100 2024 CP1AM426 001*")</f>
        <v>0</v>
      </c>
      <c r="E2157" s="54"/>
      <c r="F2157" s="83">
        <f>SUMIFS(F2158:F6462,K2158:K6462,"0",B2158:B6462,"5 1 1 3 2 12 31111 6 M59 62000 000132 0000R 00001 00132 015 2111100 2024 CP1AM426 001*")</f>
        <v>2059.61</v>
      </c>
      <c r="G2157" s="83">
        <f>SUMIFS(G2158:G6462,K2158:K6462,"0",B2158:B6462,"5 1 1 3 2 12 31111 6 M59 62000 000132 0000R 00001 00132 015 2111100 2024 CP1AM426 001*")</f>
        <v>0</v>
      </c>
      <c r="H2157" s="83">
        <f t="shared" si="34"/>
        <v>2059.61</v>
      </c>
      <c r="I2157" s="83"/>
      <c r="K2157" s="54" t="s">
        <v>15</v>
      </c>
    </row>
    <row r="2158" spans="2:11" ht="41.25" x14ac:dyDescent="0.2">
      <c r="B2158" s="84" t="s">
        <v>4422</v>
      </c>
      <c r="C2158" s="84" t="s">
        <v>1519</v>
      </c>
      <c r="D2158" s="85">
        <v>0</v>
      </c>
      <c r="E2158" s="85"/>
      <c r="F2158" s="85">
        <v>2059.61</v>
      </c>
      <c r="G2158" s="85">
        <v>0</v>
      </c>
      <c r="H2158" s="85">
        <f t="shared" si="34"/>
        <v>2059.61</v>
      </c>
      <c r="I2158" s="85"/>
      <c r="K2158" s="54" t="s">
        <v>38</v>
      </c>
    </row>
    <row r="2159" spans="2:11" ht="16.5" x14ac:dyDescent="0.2">
      <c r="B2159" s="82" t="s">
        <v>4423</v>
      </c>
      <c r="C2159" s="82" t="s">
        <v>3377</v>
      </c>
      <c r="D2159" s="83">
        <f>SUMIFS(D2160:D6462,K2160:K6462,"0",B2160:B6462,"5 1 1 3 2 12 31111 6 M59 70000*")-SUMIFS(E2160:E6462,K2160:K6462,"0",B2160:B6462,"5 1 1 3 2 12 31111 6 M59 70000*")</f>
        <v>0</v>
      </c>
      <c r="E2159" s="54"/>
      <c r="F2159" s="83">
        <f>SUMIFS(F2160:F6462,K2160:K6462,"0",B2160:B6462,"5 1 1 3 2 12 31111 6 M59 70000*")</f>
        <v>13537.919999999998</v>
      </c>
      <c r="G2159" s="83">
        <f>SUMIFS(G2160:G6462,K2160:K6462,"0",B2160:B6462,"5 1 1 3 2 12 31111 6 M59 70000*")</f>
        <v>0</v>
      </c>
      <c r="H2159" s="83">
        <f t="shared" si="34"/>
        <v>13537.919999999998</v>
      </c>
      <c r="I2159" s="83"/>
      <c r="K2159" s="54" t="s">
        <v>15</v>
      </c>
    </row>
    <row r="2160" spans="2:11" ht="16.5" x14ac:dyDescent="0.2">
      <c r="B2160" s="82" t="s">
        <v>4424</v>
      </c>
      <c r="C2160" s="82" t="s">
        <v>648</v>
      </c>
      <c r="D2160" s="83">
        <f>SUMIFS(D2161:D6462,K2161:K6462,"0",B2161:B6462,"5 1 1 3 2 12 31111 6 M59 70000 000132*")-SUMIFS(E2161:E6462,K2161:K6462,"0",B2161:B6462,"5 1 1 3 2 12 31111 6 M59 70000 000132*")</f>
        <v>0</v>
      </c>
      <c r="E2160" s="54"/>
      <c r="F2160" s="83">
        <f>SUMIFS(F2161:F6462,K2161:K6462,"0",B2161:B6462,"5 1 1 3 2 12 31111 6 M59 70000 000132*")</f>
        <v>13537.919999999998</v>
      </c>
      <c r="G2160" s="83">
        <f>SUMIFS(G2161:G6462,K2161:K6462,"0",B2161:B6462,"5 1 1 3 2 12 31111 6 M59 70000 000132*")</f>
        <v>0</v>
      </c>
      <c r="H2160" s="83">
        <f t="shared" si="34"/>
        <v>13537.919999999998</v>
      </c>
      <c r="I2160" s="83"/>
      <c r="K2160" s="54" t="s">
        <v>15</v>
      </c>
    </row>
    <row r="2161" spans="2:11" ht="24.75" x14ac:dyDescent="0.2">
      <c r="B2161" s="82" t="s">
        <v>4425</v>
      </c>
      <c r="C2161" s="82" t="s">
        <v>650</v>
      </c>
      <c r="D2161" s="83">
        <f>SUMIFS(D2162:D6462,K2162:K6462,"0",B2162:B6462,"5 1 1 3 2 12 31111 6 M59 70000 000132 0000R*")-SUMIFS(E2162:E6462,K2162:K6462,"0",B2162:B6462,"5 1 1 3 2 12 31111 6 M59 70000 000132 0000R*")</f>
        <v>0</v>
      </c>
      <c r="E2161" s="54"/>
      <c r="F2161" s="83">
        <f>SUMIFS(F2162:F6462,K2162:K6462,"0",B2162:B6462,"5 1 1 3 2 12 31111 6 M59 70000 000132 0000R*")</f>
        <v>13537.919999999998</v>
      </c>
      <c r="G2161" s="83">
        <f>SUMIFS(G2162:G6462,K2162:K6462,"0",B2162:B6462,"5 1 1 3 2 12 31111 6 M59 70000 000132 0000R*")</f>
        <v>0</v>
      </c>
      <c r="H2161" s="83">
        <f t="shared" si="34"/>
        <v>13537.919999999998</v>
      </c>
      <c r="I2161" s="83"/>
      <c r="K2161" s="54" t="s">
        <v>15</v>
      </c>
    </row>
    <row r="2162" spans="2:11" ht="24.75" x14ac:dyDescent="0.2">
      <c r="B2162" s="82" t="s">
        <v>4426</v>
      </c>
      <c r="C2162" s="82" t="s">
        <v>282</v>
      </c>
      <c r="D2162" s="83">
        <f>SUMIFS(D2163:D6462,K2163:K6462,"0",B2163:B6462,"5 1 1 3 2 12 31111 6 M59 70000 000132 0000R 00001*")-SUMIFS(E2163:E6462,K2163:K6462,"0",B2163:B6462,"5 1 1 3 2 12 31111 6 M59 70000 000132 0000R 00001*")</f>
        <v>0</v>
      </c>
      <c r="E2162" s="54"/>
      <c r="F2162" s="83">
        <f>SUMIFS(F2163:F6462,K2163:K6462,"0",B2163:B6462,"5 1 1 3 2 12 31111 6 M59 70000 000132 0000R 00001*")</f>
        <v>13537.919999999998</v>
      </c>
      <c r="G2162" s="83">
        <f>SUMIFS(G2163:G6462,K2163:K6462,"0",B2163:B6462,"5 1 1 3 2 12 31111 6 M59 70000 000132 0000R 00001*")</f>
        <v>0</v>
      </c>
      <c r="H2162" s="83">
        <f t="shared" si="34"/>
        <v>13537.919999999998</v>
      </c>
      <c r="I2162" s="83"/>
      <c r="K2162" s="54" t="s">
        <v>15</v>
      </c>
    </row>
    <row r="2163" spans="2:11" ht="24.75" x14ac:dyDescent="0.2">
      <c r="B2163" s="82" t="s">
        <v>4427</v>
      </c>
      <c r="C2163" s="82" t="s">
        <v>4041</v>
      </c>
      <c r="D2163" s="83">
        <f>SUMIFS(D2164:D6462,K2164:K6462,"0",B2164:B6462,"5 1 1 3 2 12 31111 6 M59 70000 000132 0000R 00001 00132*")-SUMIFS(E2164:E6462,K2164:K6462,"0",B2164:B6462,"5 1 1 3 2 12 31111 6 M59 70000 000132 0000R 00001 00132*")</f>
        <v>0</v>
      </c>
      <c r="E2163" s="54"/>
      <c r="F2163" s="83">
        <f>SUMIFS(F2164:F6462,K2164:K6462,"0",B2164:B6462,"5 1 1 3 2 12 31111 6 M59 70000 000132 0000R 00001 00132*")</f>
        <v>13537.919999999998</v>
      </c>
      <c r="G2163" s="83">
        <f>SUMIFS(G2164:G6462,K2164:K6462,"0",B2164:B6462,"5 1 1 3 2 12 31111 6 M59 70000 000132 0000R 00001 00132*")</f>
        <v>0</v>
      </c>
      <c r="H2163" s="83">
        <f t="shared" si="34"/>
        <v>13537.919999999998</v>
      </c>
      <c r="I2163" s="83"/>
      <c r="K2163" s="54" t="s">
        <v>15</v>
      </c>
    </row>
    <row r="2164" spans="2:11" ht="33" x14ac:dyDescent="0.2">
      <c r="B2164" s="82" t="s">
        <v>4428</v>
      </c>
      <c r="C2164" s="82" t="s">
        <v>1051</v>
      </c>
      <c r="D2164" s="83">
        <f>SUMIFS(D2165:D6462,K2165:K6462,"0",B2165:B6462,"5 1 1 3 2 12 31111 6 M59 70000 000132 0000R 00001 00132 015*")-SUMIFS(E2165:E6462,K2165:K6462,"0",B2165:B6462,"5 1 1 3 2 12 31111 6 M59 70000 000132 0000R 00001 00132 015*")</f>
        <v>0</v>
      </c>
      <c r="E2164" s="54"/>
      <c r="F2164" s="83">
        <f>SUMIFS(F2165:F6462,K2165:K6462,"0",B2165:B6462,"5 1 1 3 2 12 31111 6 M59 70000 000132 0000R 00001 00132 015*")</f>
        <v>13537.919999999998</v>
      </c>
      <c r="G2164" s="83">
        <f>SUMIFS(G2165:G6462,K2165:K6462,"0",B2165:B6462,"5 1 1 3 2 12 31111 6 M59 70000 000132 0000R 00001 00132 015*")</f>
        <v>0</v>
      </c>
      <c r="H2164" s="83">
        <f t="shared" si="34"/>
        <v>13537.919999999998</v>
      </c>
      <c r="I2164" s="83"/>
      <c r="K2164" s="54" t="s">
        <v>15</v>
      </c>
    </row>
    <row r="2165" spans="2:11" ht="33" x14ac:dyDescent="0.2">
      <c r="B2165" s="82" t="s">
        <v>4429</v>
      </c>
      <c r="C2165" s="82" t="s">
        <v>2927</v>
      </c>
      <c r="D2165" s="83">
        <f>SUMIFS(D2166:D6462,K2166:K6462,"0",B2166:B6462,"5 1 1 3 2 12 31111 6 M59 70000 000132 0000R 00001 00132 015 2111100*")-SUMIFS(E2166:E6462,K2166:K6462,"0",B2166:B6462,"5 1 1 3 2 12 31111 6 M59 70000 000132 0000R 00001 00132 015 2111100*")</f>
        <v>0</v>
      </c>
      <c r="E2165" s="54"/>
      <c r="F2165" s="83">
        <f>SUMIFS(F2166:F6462,K2166:K6462,"0",B2166:B6462,"5 1 1 3 2 12 31111 6 M59 70000 000132 0000R 00001 00132 015 2111100*")</f>
        <v>13537.919999999998</v>
      </c>
      <c r="G2165" s="83">
        <f>SUMIFS(G2166:G6462,K2166:K6462,"0",B2166:B6462,"5 1 1 3 2 12 31111 6 M59 70000 000132 0000R 00001 00132 015 2111100*")</f>
        <v>0</v>
      </c>
      <c r="H2165" s="83">
        <f t="shared" si="34"/>
        <v>13537.919999999998</v>
      </c>
      <c r="I2165" s="83"/>
      <c r="K2165" s="54" t="s">
        <v>15</v>
      </c>
    </row>
    <row r="2166" spans="2:11" ht="33" x14ac:dyDescent="0.2">
      <c r="B2166" s="82" t="s">
        <v>4430</v>
      </c>
      <c r="C2166" s="82" t="s">
        <v>660</v>
      </c>
      <c r="D2166" s="83">
        <f>SUMIFS(D2167:D6462,K2167:K6462,"0",B2167:B6462,"5 1 1 3 2 12 31111 6 M59 70000 000132 0000R 00001 00132 015 2111100 2024*")-SUMIFS(E2167:E6462,K2167:K6462,"0",B2167:B6462,"5 1 1 3 2 12 31111 6 M59 70000 000132 0000R 00001 00132 015 2111100 2024*")</f>
        <v>0</v>
      </c>
      <c r="E2166" s="54"/>
      <c r="F2166" s="83">
        <f>SUMIFS(F2167:F6462,K2167:K6462,"0",B2167:B6462,"5 1 1 3 2 12 31111 6 M59 70000 000132 0000R 00001 00132 015 2111100 2024*")</f>
        <v>13537.919999999998</v>
      </c>
      <c r="G2166" s="83">
        <f>SUMIFS(G2167:G6462,K2167:K6462,"0",B2167:B6462,"5 1 1 3 2 12 31111 6 M59 70000 000132 0000R 00001 00132 015 2111100 2024*")</f>
        <v>0</v>
      </c>
      <c r="H2166" s="83">
        <f t="shared" si="34"/>
        <v>13537.919999999998</v>
      </c>
      <c r="I2166" s="83"/>
      <c r="K2166" s="54" t="s">
        <v>15</v>
      </c>
    </row>
    <row r="2167" spans="2:11" ht="41.25" x14ac:dyDescent="0.2">
      <c r="B2167" s="82" t="s">
        <v>4431</v>
      </c>
      <c r="C2167" s="82" t="s">
        <v>1056</v>
      </c>
      <c r="D2167" s="83">
        <f>SUMIFS(D2168:D6462,K2168:K6462,"0",B2168:B6462,"5 1 1 3 2 12 31111 6 M59 70000 000132 0000R 00001 00132 015 2111100 2024 CP1DS387*")-SUMIFS(E2168:E6462,K2168:K6462,"0",B2168:B6462,"5 1 1 3 2 12 31111 6 M59 70000 000132 0000R 00001 00132 015 2111100 2024 CP1DS387*")</f>
        <v>0</v>
      </c>
      <c r="E2167" s="54"/>
      <c r="F2167" s="83">
        <f>SUMIFS(F2168:F6462,K2168:K6462,"0",B2168:B6462,"5 1 1 3 2 12 31111 6 M59 70000 000132 0000R 00001 00132 015 2111100 2024 CP1DS387*")</f>
        <v>13537.919999999998</v>
      </c>
      <c r="G2167" s="83">
        <f>SUMIFS(G2168:G6462,K2168:K6462,"0",B2168:B6462,"5 1 1 3 2 12 31111 6 M59 70000 000132 0000R 00001 00132 015 2111100 2024 CP1DS387*")</f>
        <v>0</v>
      </c>
      <c r="H2167" s="83">
        <f t="shared" si="34"/>
        <v>13537.919999999998</v>
      </c>
      <c r="I2167" s="83"/>
      <c r="K2167" s="54" t="s">
        <v>15</v>
      </c>
    </row>
    <row r="2168" spans="2:11" ht="41.25" x14ac:dyDescent="0.2">
      <c r="B2168" s="82" t="s">
        <v>4432</v>
      </c>
      <c r="C2168" s="82" t="s">
        <v>282</v>
      </c>
      <c r="D2168" s="83">
        <f>SUMIFS(D2169:D6462,K2169:K6462,"0",B2169:B6462,"5 1 1 3 2 12 31111 6 M59 70000 000132 0000R 00001 00132 015 2111100 2024 CP1DS387 001*")-SUMIFS(E2169:E6462,K2169:K6462,"0",B2169:B6462,"5 1 1 3 2 12 31111 6 M59 70000 000132 0000R 00001 00132 015 2111100 2024 CP1DS387 001*")</f>
        <v>0</v>
      </c>
      <c r="E2168" s="54"/>
      <c r="F2168" s="83">
        <f>SUMIFS(F2169:F6462,K2169:K6462,"0",B2169:B6462,"5 1 1 3 2 12 31111 6 M59 70000 000132 0000R 00001 00132 015 2111100 2024 CP1DS387 001*")</f>
        <v>13537.919999999998</v>
      </c>
      <c r="G2168" s="83">
        <f>SUMIFS(G2169:G6462,K2169:K6462,"0",B2169:B6462,"5 1 1 3 2 12 31111 6 M59 70000 000132 0000R 00001 00132 015 2111100 2024 CP1DS387 001*")</f>
        <v>0</v>
      </c>
      <c r="H2168" s="83">
        <f t="shared" si="34"/>
        <v>13537.919999999998</v>
      </c>
      <c r="I2168" s="83"/>
      <c r="K2168" s="54" t="s">
        <v>15</v>
      </c>
    </row>
    <row r="2169" spans="2:11" ht="33" x14ac:dyDescent="0.2">
      <c r="B2169" s="84" t="s">
        <v>4433</v>
      </c>
      <c r="C2169" s="84" t="s">
        <v>1519</v>
      </c>
      <c r="D2169" s="85">
        <v>0</v>
      </c>
      <c r="E2169" s="85"/>
      <c r="F2169" s="85">
        <v>11788.71</v>
      </c>
      <c r="G2169" s="85">
        <v>0</v>
      </c>
      <c r="H2169" s="85">
        <f t="shared" si="34"/>
        <v>11788.71</v>
      </c>
      <c r="I2169" s="85"/>
      <c r="K2169" s="54" t="s">
        <v>38</v>
      </c>
    </row>
    <row r="2170" spans="2:11" ht="33" x14ac:dyDescent="0.2">
      <c r="B2170" s="84" t="s">
        <v>4434</v>
      </c>
      <c r="C2170" s="84" t="s">
        <v>4435</v>
      </c>
      <c r="D2170" s="85">
        <v>0</v>
      </c>
      <c r="E2170" s="85"/>
      <c r="F2170" s="85">
        <v>1749.21</v>
      </c>
      <c r="G2170" s="85">
        <v>0</v>
      </c>
      <c r="H2170" s="85">
        <f t="shared" si="34"/>
        <v>1749.21</v>
      </c>
      <c r="I2170" s="85"/>
      <c r="K2170" s="54" t="s">
        <v>38</v>
      </c>
    </row>
    <row r="2171" spans="2:11" ht="16.5" x14ac:dyDescent="0.2">
      <c r="B2171" s="82" t="s">
        <v>4436</v>
      </c>
      <c r="C2171" s="82" t="s">
        <v>3389</v>
      </c>
      <c r="D2171" s="83">
        <f>SUMIFS(D2172:D6462,K2172:K6462,"0",B2172:B6462,"5 1 1 3 2 12 31111 6 M59 70100*")-SUMIFS(E2172:E6462,K2172:K6462,"0",B2172:B6462,"5 1 1 3 2 12 31111 6 M59 70100*")</f>
        <v>0</v>
      </c>
      <c r="E2171" s="54"/>
      <c r="F2171" s="83">
        <f>SUMIFS(F2172:F6462,K2172:K6462,"0",B2172:B6462,"5 1 1 3 2 12 31111 6 M59 70100*")</f>
        <v>4907.1400000000003</v>
      </c>
      <c r="G2171" s="83">
        <f>SUMIFS(G2172:G6462,K2172:K6462,"0",B2172:B6462,"5 1 1 3 2 12 31111 6 M59 70100*")</f>
        <v>0</v>
      </c>
      <c r="H2171" s="83">
        <f t="shared" si="34"/>
        <v>4907.1400000000003</v>
      </c>
      <c r="I2171" s="83"/>
      <c r="K2171" s="54" t="s">
        <v>15</v>
      </c>
    </row>
    <row r="2172" spans="2:11" ht="16.5" x14ac:dyDescent="0.2">
      <c r="B2172" s="82" t="s">
        <v>4437</v>
      </c>
      <c r="C2172" s="82" t="s">
        <v>648</v>
      </c>
      <c r="D2172" s="83">
        <f>SUMIFS(D2173:D6462,K2173:K6462,"0",B2173:B6462,"5 1 1 3 2 12 31111 6 M59 70100 000132*")-SUMIFS(E2173:E6462,K2173:K6462,"0",B2173:B6462,"5 1 1 3 2 12 31111 6 M59 70100 000132*")</f>
        <v>0</v>
      </c>
      <c r="E2172" s="54"/>
      <c r="F2172" s="83">
        <f>SUMIFS(F2173:F6462,K2173:K6462,"0",B2173:B6462,"5 1 1 3 2 12 31111 6 M59 70100 000132*")</f>
        <v>4907.1400000000003</v>
      </c>
      <c r="G2172" s="83">
        <f>SUMIFS(G2173:G6462,K2173:K6462,"0",B2173:B6462,"5 1 1 3 2 12 31111 6 M59 70100 000132*")</f>
        <v>0</v>
      </c>
      <c r="H2172" s="83">
        <f t="shared" si="34"/>
        <v>4907.1400000000003</v>
      </c>
      <c r="I2172" s="83"/>
      <c r="K2172" s="54" t="s">
        <v>15</v>
      </c>
    </row>
    <row r="2173" spans="2:11" ht="24.75" x14ac:dyDescent="0.2">
      <c r="B2173" s="82" t="s">
        <v>4438</v>
      </c>
      <c r="C2173" s="82" t="s">
        <v>650</v>
      </c>
      <c r="D2173" s="83">
        <f>SUMIFS(D2174:D6462,K2174:K6462,"0",B2174:B6462,"5 1 1 3 2 12 31111 6 M59 70100 000132 0000R*")-SUMIFS(E2174:E6462,K2174:K6462,"0",B2174:B6462,"5 1 1 3 2 12 31111 6 M59 70100 000132 0000R*")</f>
        <v>0</v>
      </c>
      <c r="E2173" s="54"/>
      <c r="F2173" s="83">
        <f>SUMIFS(F2174:F6462,K2174:K6462,"0",B2174:B6462,"5 1 1 3 2 12 31111 6 M59 70100 000132 0000R*")</f>
        <v>4907.1400000000003</v>
      </c>
      <c r="G2173" s="83">
        <f>SUMIFS(G2174:G6462,K2174:K6462,"0",B2174:B6462,"5 1 1 3 2 12 31111 6 M59 70100 000132 0000R*")</f>
        <v>0</v>
      </c>
      <c r="H2173" s="83">
        <f t="shared" si="34"/>
        <v>4907.1400000000003</v>
      </c>
      <c r="I2173" s="83"/>
      <c r="K2173" s="54" t="s">
        <v>15</v>
      </c>
    </row>
    <row r="2174" spans="2:11" ht="24.75" x14ac:dyDescent="0.2">
      <c r="B2174" s="82" t="s">
        <v>4439</v>
      </c>
      <c r="C2174" s="82" t="s">
        <v>282</v>
      </c>
      <c r="D2174" s="83">
        <f>SUMIFS(D2175:D6462,K2175:K6462,"0",B2175:B6462,"5 1 1 3 2 12 31111 6 M59 70100 000132 0000R 00001*")-SUMIFS(E2175:E6462,K2175:K6462,"0",B2175:B6462,"5 1 1 3 2 12 31111 6 M59 70100 000132 0000R 00001*")</f>
        <v>0</v>
      </c>
      <c r="E2174" s="54"/>
      <c r="F2174" s="83">
        <f>SUMIFS(F2175:F6462,K2175:K6462,"0",B2175:B6462,"5 1 1 3 2 12 31111 6 M59 70100 000132 0000R 00001*")</f>
        <v>4907.1400000000003</v>
      </c>
      <c r="G2174" s="83">
        <f>SUMIFS(G2175:G6462,K2175:K6462,"0",B2175:B6462,"5 1 1 3 2 12 31111 6 M59 70100 000132 0000R 00001*")</f>
        <v>0</v>
      </c>
      <c r="H2174" s="83">
        <f t="shared" si="34"/>
        <v>4907.1400000000003</v>
      </c>
      <c r="I2174" s="83"/>
      <c r="K2174" s="54" t="s">
        <v>15</v>
      </c>
    </row>
    <row r="2175" spans="2:11" ht="24.75" x14ac:dyDescent="0.2">
      <c r="B2175" s="82" t="s">
        <v>4440</v>
      </c>
      <c r="C2175" s="82" t="s">
        <v>4041</v>
      </c>
      <c r="D2175" s="83">
        <f>SUMIFS(D2176:D6462,K2176:K6462,"0",B2176:B6462,"5 1 1 3 2 12 31111 6 M59 70100 000132 0000R 00001 00132*")-SUMIFS(E2176:E6462,K2176:K6462,"0",B2176:B6462,"5 1 1 3 2 12 31111 6 M59 70100 000132 0000R 00001 00132*")</f>
        <v>0</v>
      </c>
      <c r="E2175" s="54"/>
      <c r="F2175" s="83">
        <f>SUMIFS(F2176:F6462,K2176:K6462,"0",B2176:B6462,"5 1 1 3 2 12 31111 6 M59 70100 000132 0000R 00001 00132*")</f>
        <v>4907.1400000000003</v>
      </c>
      <c r="G2175" s="83">
        <f>SUMIFS(G2176:G6462,K2176:K6462,"0",B2176:B6462,"5 1 1 3 2 12 31111 6 M59 70100 000132 0000R 00001 00132*")</f>
        <v>0</v>
      </c>
      <c r="H2175" s="83">
        <f t="shared" si="34"/>
        <v>4907.1400000000003</v>
      </c>
      <c r="I2175" s="83"/>
      <c r="K2175" s="54" t="s">
        <v>15</v>
      </c>
    </row>
    <row r="2176" spans="2:11" ht="33" x14ac:dyDescent="0.2">
      <c r="B2176" s="82" t="s">
        <v>4441</v>
      </c>
      <c r="C2176" s="82" t="s">
        <v>1051</v>
      </c>
      <c r="D2176" s="83">
        <f>SUMIFS(D2177:D6462,K2177:K6462,"0",B2177:B6462,"5 1 1 3 2 12 31111 6 M59 70100 000132 0000R 00001 00132 015*")-SUMIFS(E2177:E6462,K2177:K6462,"0",B2177:B6462,"5 1 1 3 2 12 31111 6 M59 70100 000132 0000R 00001 00132 015*")</f>
        <v>0</v>
      </c>
      <c r="E2176" s="54"/>
      <c r="F2176" s="83">
        <f>SUMIFS(F2177:F6462,K2177:K6462,"0",B2177:B6462,"5 1 1 3 2 12 31111 6 M59 70100 000132 0000R 00001 00132 015*")</f>
        <v>4907.1400000000003</v>
      </c>
      <c r="G2176" s="83">
        <f>SUMIFS(G2177:G6462,K2177:K6462,"0",B2177:B6462,"5 1 1 3 2 12 31111 6 M59 70100 000132 0000R 00001 00132 015*")</f>
        <v>0</v>
      </c>
      <c r="H2176" s="83">
        <f t="shared" si="34"/>
        <v>4907.1400000000003</v>
      </c>
      <c r="I2176" s="83"/>
      <c r="K2176" s="54" t="s">
        <v>15</v>
      </c>
    </row>
    <row r="2177" spans="2:11" ht="33" x14ac:dyDescent="0.2">
      <c r="B2177" s="82" t="s">
        <v>4442</v>
      </c>
      <c r="C2177" s="82" t="s">
        <v>2927</v>
      </c>
      <c r="D2177" s="83">
        <f>SUMIFS(D2178:D6462,K2178:K6462,"0",B2178:B6462,"5 1 1 3 2 12 31111 6 M59 70100 000132 0000R 00001 00132 015 2111100*")-SUMIFS(E2178:E6462,K2178:K6462,"0",B2178:B6462,"5 1 1 3 2 12 31111 6 M59 70100 000132 0000R 00001 00132 015 2111100*")</f>
        <v>0</v>
      </c>
      <c r="E2177" s="54"/>
      <c r="F2177" s="83">
        <f>SUMIFS(F2178:F6462,K2178:K6462,"0",B2178:B6462,"5 1 1 3 2 12 31111 6 M59 70100 000132 0000R 00001 00132 015 2111100*")</f>
        <v>4907.1400000000003</v>
      </c>
      <c r="G2177" s="83">
        <f>SUMIFS(G2178:G6462,K2178:K6462,"0",B2178:B6462,"5 1 1 3 2 12 31111 6 M59 70100 000132 0000R 00001 00132 015 2111100*")</f>
        <v>0</v>
      </c>
      <c r="H2177" s="83">
        <f t="shared" si="34"/>
        <v>4907.1400000000003</v>
      </c>
      <c r="I2177" s="83"/>
      <c r="K2177" s="54" t="s">
        <v>15</v>
      </c>
    </row>
    <row r="2178" spans="2:11" ht="33" x14ac:dyDescent="0.2">
      <c r="B2178" s="82" t="s">
        <v>4443</v>
      </c>
      <c r="C2178" s="82" t="s">
        <v>660</v>
      </c>
      <c r="D2178" s="83">
        <f>SUMIFS(D2179:D6462,K2179:K6462,"0",B2179:B6462,"5 1 1 3 2 12 31111 6 M59 70100 000132 0000R 00001 00132 015 2111100 2024*")-SUMIFS(E2179:E6462,K2179:K6462,"0",B2179:B6462,"5 1 1 3 2 12 31111 6 M59 70100 000132 0000R 00001 00132 015 2111100 2024*")</f>
        <v>0</v>
      </c>
      <c r="E2178" s="54"/>
      <c r="F2178" s="83">
        <f>SUMIFS(F2179:F6462,K2179:K6462,"0",B2179:B6462,"5 1 1 3 2 12 31111 6 M59 70100 000132 0000R 00001 00132 015 2111100 2024*")</f>
        <v>4907.1400000000003</v>
      </c>
      <c r="G2178" s="83">
        <f>SUMIFS(G2179:G6462,K2179:K6462,"0",B2179:B6462,"5 1 1 3 2 12 31111 6 M59 70100 000132 0000R 00001 00132 015 2111100 2024*")</f>
        <v>0</v>
      </c>
      <c r="H2178" s="83">
        <f t="shared" si="34"/>
        <v>4907.1400000000003</v>
      </c>
      <c r="I2178" s="83"/>
      <c r="K2178" s="54" t="s">
        <v>15</v>
      </c>
    </row>
    <row r="2179" spans="2:11" ht="41.25" x14ac:dyDescent="0.2">
      <c r="B2179" s="82" t="s">
        <v>4444</v>
      </c>
      <c r="C2179" s="82" t="s">
        <v>1056</v>
      </c>
      <c r="D2179" s="83">
        <f>SUMIFS(D2180:D6462,K2180:K6462,"0",B2180:B6462,"5 1 1 3 2 12 31111 6 M59 70100 000132 0000R 00001 00132 015 2111100 2024 CP1MM393*")-SUMIFS(E2180:E6462,K2180:K6462,"0",B2180:B6462,"5 1 1 3 2 12 31111 6 M59 70100 000132 0000R 00001 00132 015 2111100 2024 CP1MM393*")</f>
        <v>0</v>
      </c>
      <c r="E2179" s="54"/>
      <c r="F2179" s="83">
        <f>SUMIFS(F2180:F6462,K2180:K6462,"0",B2180:B6462,"5 1 1 3 2 12 31111 6 M59 70100 000132 0000R 00001 00132 015 2111100 2024 CP1MM393*")</f>
        <v>4907.1400000000003</v>
      </c>
      <c r="G2179" s="83">
        <f>SUMIFS(G2180:G6462,K2180:K6462,"0",B2180:B6462,"5 1 1 3 2 12 31111 6 M59 70100 000132 0000R 00001 00132 015 2111100 2024 CP1MM393*")</f>
        <v>0</v>
      </c>
      <c r="H2179" s="83">
        <f t="shared" si="34"/>
        <v>4907.1400000000003</v>
      </c>
      <c r="I2179" s="83"/>
      <c r="K2179" s="54" t="s">
        <v>15</v>
      </c>
    </row>
    <row r="2180" spans="2:11" ht="41.25" x14ac:dyDescent="0.2">
      <c r="B2180" s="82" t="s">
        <v>4445</v>
      </c>
      <c r="C2180" s="82" t="s">
        <v>282</v>
      </c>
      <c r="D2180" s="83">
        <f>SUMIFS(D2181:D6462,K2181:K6462,"0",B2181:B6462,"5 1 1 3 2 12 31111 6 M59 70100 000132 0000R 00001 00132 015 2111100 2024 CP1MM393 001*")-SUMIFS(E2181:E6462,K2181:K6462,"0",B2181:B6462,"5 1 1 3 2 12 31111 6 M59 70100 000132 0000R 00001 00132 015 2111100 2024 CP1MM393 001*")</f>
        <v>0</v>
      </c>
      <c r="E2180" s="54"/>
      <c r="F2180" s="83">
        <f>SUMIFS(F2181:F6462,K2181:K6462,"0",B2181:B6462,"5 1 1 3 2 12 31111 6 M59 70100 000132 0000R 00001 00132 015 2111100 2024 CP1MM393 001*")</f>
        <v>4907.1400000000003</v>
      </c>
      <c r="G2180" s="83">
        <f>SUMIFS(G2181:G6462,K2181:K6462,"0",B2181:B6462,"5 1 1 3 2 12 31111 6 M59 70100 000132 0000R 00001 00132 015 2111100 2024 CP1MM393 001*")</f>
        <v>0</v>
      </c>
      <c r="H2180" s="83">
        <f t="shared" si="34"/>
        <v>4907.1400000000003</v>
      </c>
      <c r="I2180" s="83"/>
      <c r="K2180" s="54" t="s">
        <v>15</v>
      </c>
    </row>
    <row r="2181" spans="2:11" ht="33" x14ac:dyDescent="0.2">
      <c r="B2181" s="84" t="s">
        <v>4446</v>
      </c>
      <c r="C2181" s="84" t="s">
        <v>1519</v>
      </c>
      <c r="D2181" s="85">
        <v>0</v>
      </c>
      <c r="E2181" s="85"/>
      <c r="F2181" s="85">
        <v>4907.1400000000003</v>
      </c>
      <c r="G2181" s="85">
        <v>0</v>
      </c>
      <c r="H2181" s="85">
        <f t="shared" si="34"/>
        <v>4907.1400000000003</v>
      </c>
      <c r="I2181" s="85"/>
      <c r="K2181" s="54" t="s">
        <v>38</v>
      </c>
    </row>
    <row r="2182" spans="2:11" ht="16.5" x14ac:dyDescent="0.2">
      <c r="B2182" s="82" t="s">
        <v>4447</v>
      </c>
      <c r="C2182" s="82" t="s">
        <v>3401</v>
      </c>
      <c r="D2182" s="83">
        <f>SUMIFS(D2183:D6462,K2183:K6462,"0",B2183:B6462,"5 1 1 3 2 12 31111 6 M59 70200*")-SUMIFS(E2183:E6462,K2183:K6462,"0",B2183:B6462,"5 1 1 3 2 12 31111 6 M59 70200*")</f>
        <v>0</v>
      </c>
      <c r="E2182" s="54"/>
      <c r="F2182" s="83">
        <f>SUMIFS(F2183:F6462,K2183:K6462,"0",B2183:B6462,"5 1 1 3 2 12 31111 6 M59 70200*")</f>
        <v>2450.2199999999998</v>
      </c>
      <c r="G2182" s="83">
        <f>SUMIFS(G2183:G6462,K2183:K6462,"0",B2183:B6462,"5 1 1 3 2 12 31111 6 M59 70200*")</f>
        <v>0</v>
      </c>
      <c r="H2182" s="83">
        <f t="shared" si="34"/>
        <v>2450.2199999999998</v>
      </c>
      <c r="I2182" s="83"/>
      <c r="K2182" s="54" t="s">
        <v>15</v>
      </c>
    </row>
    <row r="2183" spans="2:11" ht="16.5" x14ac:dyDescent="0.2">
      <c r="B2183" s="82" t="s">
        <v>4448</v>
      </c>
      <c r="C2183" s="82" t="s">
        <v>648</v>
      </c>
      <c r="D2183" s="83">
        <f>SUMIFS(D2184:D6462,K2184:K6462,"0",B2184:B6462,"5 1 1 3 2 12 31111 6 M59 70200 000132*")-SUMIFS(E2184:E6462,K2184:K6462,"0",B2184:B6462,"5 1 1 3 2 12 31111 6 M59 70200 000132*")</f>
        <v>0</v>
      </c>
      <c r="E2183" s="54"/>
      <c r="F2183" s="83">
        <f>SUMIFS(F2184:F6462,K2184:K6462,"0",B2184:B6462,"5 1 1 3 2 12 31111 6 M59 70200 000132*")</f>
        <v>2450.2199999999998</v>
      </c>
      <c r="G2183" s="83">
        <f>SUMIFS(G2184:G6462,K2184:K6462,"0",B2184:B6462,"5 1 1 3 2 12 31111 6 M59 70200 000132*")</f>
        <v>0</v>
      </c>
      <c r="H2183" s="83">
        <f t="shared" si="34"/>
        <v>2450.2199999999998</v>
      </c>
      <c r="I2183" s="83"/>
      <c r="K2183" s="54" t="s">
        <v>15</v>
      </c>
    </row>
    <row r="2184" spans="2:11" ht="24.75" x14ac:dyDescent="0.2">
      <c r="B2184" s="82" t="s">
        <v>4449</v>
      </c>
      <c r="C2184" s="82" t="s">
        <v>650</v>
      </c>
      <c r="D2184" s="83">
        <f>SUMIFS(D2185:D6462,K2185:K6462,"0",B2185:B6462,"5 1 1 3 2 12 31111 6 M59 70200 000132 0000R*")-SUMIFS(E2185:E6462,K2185:K6462,"0",B2185:B6462,"5 1 1 3 2 12 31111 6 M59 70200 000132 0000R*")</f>
        <v>0</v>
      </c>
      <c r="E2184" s="54"/>
      <c r="F2184" s="83">
        <f>SUMIFS(F2185:F6462,K2185:K6462,"0",B2185:B6462,"5 1 1 3 2 12 31111 6 M59 70200 000132 0000R*")</f>
        <v>2450.2199999999998</v>
      </c>
      <c r="G2184" s="83">
        <f>SUMIFS(G2185:G6462,K2185:K6462,"0",B2185:B6462,"5 1 1 3 2 12 31111 6 M59 70200 000132 0000R*")</f>
        <v>0</v>
      </c>
      <c r="H2184" s="83">
        <f t="shared" si="34"/>
        <v>2450.2199999999998</v>
      </c>
      <c r="I2184" s="83"/>
      <c r="K2184" s="54" t="s">
        <v>15</v>
      </c>
    </row>
    <row r="2185" spans="2:11" ht="24.75" x14ac:dyDescent="0.2">
      <c r="B2185" s="82" t="s">
        <v>4450</v>
      </c>
      <c r="C2185" s="82" t="s">
        <v>282</v>
      </c>
      <c r="D2185" s="83">
        <f>SUMIFS(D2186:D6462,K2186:K6462,"0",B2186:B6462,"5 1 1 3 2 12 31111 6 M59 70200 000132 0000R 00001*")-SUMIFS(E2186:E6462,K2186:K6462,"0",B2186:B6462,"5 1 1 3 2 12 31111 6 M59 70200 000132 0000R 00001*")</f>
        <v>0</v>
      </c>
      <c r="E2185" s="54"/>
      <c r="F2185" s="83">
        <f>SUMIFS(F2186:F6462,K2186:K6462,"0",B2186:B6462,"5 1 1 3 2 12 31111 6 M59 70200 000132 0000R 00001*")</f>
        <v>2450.2199999999998</v>
      </c>
      <c r="G2185" s="83">
        <f>SUMIFS(G2186:G6462,K2186:K6462,"0",B2186:B6462,"5 1 1 3 2 12 31111 6 M59 70200 000132 0000R 00001*")</f>
        <v>0</v>
      </c>
      <c r="H2185" s="83">
        <f t="shared" si="34"/>
        <v>2450.2199999999998</v>
      </c>
      <c r="I2185" s="83"/>
      <c r="K2185" s="54" t="s">
        <v>15</v>
      </c>
    </row>
    <row r="2186" spans="2:11" ht="24.75" x14ac:dyDescent="0.2">
      <c r="B2186" s="82" t="s">
        <v>4451</v>
      </c>
      <c r="C2186" s="82" t="s">
        <v>4041</v>
      </c>
      <c r="D2186" s="83">
        <f>SUMIFS(D2187:D6462,K2187:K6462,"0",B2187:B6462,"5 1 1 3 2 12 31111 6 M59 70200 000132 0000R 00001 00132*")-SUMIFS(E2187:E6462,K2187:K6462,"0",B2187:B6462,"5 1 1 3 2 12 31111 6 M59 70200 000132 0000R 00001 00132*")</f>
        <v>0</v>
      </c>
      <c r="E2186" s="54"/>
      <c r="F2186" s="83">
        <f>SUMIFS(F2187:F6462,K2187:K6462,"0",B2187:B6462,"5 1 1 3 2 12 31111 6 M59 70200 000132 0000R 00001 00132*")</f>
        <v>2450.2199999999998</v>
      </c>
      <c r="G2186" s="83">
        <f>SUMIFS(G2187:G6462,K2187:K6462,"0",B2187:B6462,"5 1 1 3 2 12 31111 6 M59 70200 000132 0000R 00001 00132*")</f>
        <v>0</v>
      </c>
      <c r="H2186" s="83">
        <f t="shared" si="34"/>
        <v>2450.2199999999998</v>
      </c>
      <c r="I2186" s="83"/>
      <c r="K2186" s="54" t="s">
        <v>15</v>
      </c>
    </row>
    <row r="2187" spans="2:11" ht="33" x14ac:dyDescent="0.2">
      <c r="B2187" s="82" t="s">
        <v>4452</v>
      </c>
      <c r="C2187" s="82" t="s">
        <v>1051</v>
      </c>
      <c r="D2187" s="83">
        <f>SUMIFS(D2188:D6462,K2188:K6462,"0",B2188:B6462,"5 1 1 3 2 12 31111 6 M59 70200 000132 0000R 00001 00132 015*")-SUMIFS(E2188:E6462,K2188:K6462,"0",B2188:B6462,"5 1 1 3 2 12 31111 6 M59 70200 000132 0000R 00001 00132 015*")</f>
        <v>0</v>
      </c>
      <c r="E2187" s="54"/>
      <c r="F2187" s="83">
        <f>SUMIFS(F2188:F6462,K2188:K6462,"0",B2188:B6462,"5 1 1 3 2 12 31111 6 M59 70200 000132 0000R 00001 00132 015*")</f>
        <v>2450.2199999999998</v>
      </c>
      <c r="G2187" s="83">
        <f>SUMIFS(G2188:G6462,K2188:K6462,"0",B2188:B6462,"5 1 1 3 2 12 31111 6 M59 70200 000132 0000R 00001 00132 015*")</f>
        <v>0</v>
      </c>
      <c r="H2187" s="83">
        <f t="shared" si="34"/>
        <v>2450.2199999999998</v>
      </c>
      <c r="I2187" s="83"/>
      <c r="K2187" s="54" t="s">
        <v>15</v>
      </c>
    </row>
    <row r="2188" spans="2:11" ht="33" x14ac:dyDescent="0.2">
      <c r="B2188" s="82" t="s">
        <v>4453</v>
      </c>
      <c r="C2188" s="82" t="s">
        <v>2927</v>
      </c>
      <c r="D2188" s="83">
        <f>SUMIFS(D2189:D6462,K2189:K6462,"0",B2189:B6462,"5 1 1 3 2 12 31111 6 M59 70200 000132 0000R 00001 00132 015 2111100*")-SUMIFS(E2189:E6462,K2189:K6462,"0",B2189:B6462,"5 1 1 3 2 12 31111 6 M59 70200 000132 0000R 00001 00132 015 2111100*")</f>
        <v>0</v>
      </c>
      <c r="E2188" s="54"/>
      <c r="F2188" s="83">
        <f>SUMIFS(F2189:F6462,K2189:K6462,"0",B2189:B6462,"5 1 1 3 2 12 31111 6 M59 70200 000132 0000R 00001 00132 015 2111100*")</f>
        <v>2450.2199999999998</v>
      </c>
      <c r="G2188" s="83">
        <f>SUMIFS(G2189:G6462,K2189:K6462,"0",B2189:B6462,"5 1 1 3 2 12 31111 6 M59 70200 000132 0000R 00001 00132 015 2111100*")</f>
        <v>0</v>
      </c>
      <c r="H2188" s="83">
        <f t="shared" si="34"/>
        <v>2450.2199999999998</v>
      </c>
      <c r="I2188" s="83"/>
      <c r="K2188" s="54" t="s">
        <v>15</v>
      </c>
    </row>
    <row r="2189" spans="2:11" ht="33" x14ac:dyDescent="0.2">
      <c r="B2189" s="82" t="s">
        <v>4454</v>
      </c>
      <c r="C2189" s="82" t="s">
        <v>660</v>
      </c>
      <c r="D2189" s="83">
        <f>SUMIFS(D2190:D6462,K2190:K6462,"0",B2190:B6462,"5 1 1 3 2 12 31111 6 M59 70200 000132 0000R 00001 00132 015 2111100 2024*")-SUMIFS(E2190:E6462,K2190:K6462,"0",B2190:B6462,"5 1 1 3 2 12 31111 6 M59 70200 000132 0000R 00001 00132 015 2111100 2024*")</f>
        <v>0</v>
      </c>
      <c r="E2189" s="54"/>
      <c r="F2189" s="83">
        <f>SUMIFS(F2190:F6462,K2190:K6462,"0",B2190:B6462,"5 1 1 3 2 12 31111 6 M59 70200 000132 0000R 00001 00132 015 2111100 2024*")</f>
        <v>2450.2199999999998</v>
      </c>
      <c r="G2189" s="83">
        <f>SUMIFS(G2190:G6462,K2190:K6462,"0",B2190:B6462,"5 1 1 3 2 12 31111 6 M59 70200 000132 0000R 00001 00132 015 2111100 2024*")</f>
        <v>0</v>
      </c>
      <c r="H2189" s="83">
        <f t="shared" si="34"/>
        <v>2450.2199999999998</v>
      </c>
      <c r="I2189" s="83"/>
      <c r="K2189" s="54" t="s">
        <v>15</v>
      </c>
    </row>
    <row r="2190" spans="2:11" ht="41.25" x14ac:dyDescent="0.2">
      <c r="B2190" s="82" t="s">
        <v>4455</v>
      </c>
      <c r="C2190" s="82" t="s">
        <v>1056</v>
      </c>
      <c r="D2190" s="83">
        <f>SUMIFS(D2191:D6462,K2191:K6462,"0",B2191:B6462,"5 1 1 3 2 12 31111 6 M59 70200 000132 0000R 00001 00132 015 2111100 2024 CP1SE410*")-SUMIFS(E2191:E6462,K2191:K6462,"0",B2191:B6462,"5 1 1 3 2 12 31111 6 M59 70200 000132 0000R 00001 00132 015 2111100 2024 CP1SE410*")</f>
        <v>0</v>
      </c>
      <c r="E2190" s="54"/>
      <c r="F2190" s="83">
        <f>SUMIFS(F2191:F6462,K2191:K6462,"0",B2191:B6462,"5 1 1 3 2 12 31111 6 M59 70200 000132 0000R 00001 00132 015 2111100 2024 CP1SE410*")</f>
        <v>2450.2199999999998</v>
      </c>
      <c r="G2190" s="83">
        <f>SUMIFS(G2191:G6462,K2191:K6462,"0",B2191:B6462,"5 1 1 3 2 12 31111 6 M59 70200 000132 0000R 00001 00132 015 2111100 2024 CP1SE410*")</f>
        <v>0</v>
      </c>
      <c r="H2190" s="83">
        <f t="shared" si="34"/>
        <v>2450.2199999999998</v>
      </c>
      <c r="I2190" s="83"/>
      <c r="K2190" s="54" t="s">
        <v>15</v>
      </c>
    </row>
    <row r="2191" spans="2:11" ht="41.25" x14ac:dyDescent="0.2">
      <c r="B2191" s="82" t="s">
        <v>4456</v>
      </c>
      <c r="C2191" s="82" t="s">
        <v>282</v>
      </c>
      <c r="D2191" s="83">
        <f>SUMIFS(D2192:D6462,K2192:K6462,"0",B2192:B6462,"5 1 1 3 2 12 31111 6 M59 70200 000132 0000R 00001 00132 015 2111100 2024 CP1SE410 001*")-SUMIFS(E2192:E6462,K2192:K6462,"0",B2192:B6462,"5 1 1 3 2 12 31111 6 M59 70200 000132 0000R 00001 00132 015 2111100 2024 CP1SE410 001*")</f>
        <v>0</v>
      </c>
      <c r="E2191" s="54"/>
      <c r="F2191" s="83">
        <f>SUMIFS(F2192:F6462,K2192:K6462,"0",B2192:B6462,"5 1 1 3 2 12 31111 6 M59 70200 000132 0000R 00001 00132 015 2111100 2024 CP1SE410 001*")</f>
        <v>2450.2199999999998</v>
      </c>
      <c r="G2191" s="83">
        <f>SUMIFS(G2192:G6462,K2192:K6462,"0",B2192:B6462,"5 1 1 3 2 12 31111 6 M59 70200 000132 0000R 00001 00132 015 2111100 2024 CP1SE410 001*")</f>
        <v>0</v>
      </c>
      <c r="H2191" s="83">
        <f t="shared" si="34"/>
        <v>2450.2199999999998</v>
      </c>
      <c r="I2191" s="83"/>
      <c r="K2191" s="54" t="s">
        <v>15</v>
      </c>
    </row>
    <row r="2192" spans="2:11" ht="33" x14ac:dyDescent="0.2">
      <c r="B2192" s="84" t="s">
        <v>4457</v>
      </c>
      <c r="C2192" s="84" t="s">
        <v>1519</v>
      </c>
      <c r="D2192" s="85">
        <v>0</v>
      </c>
      <c r="E2192" s="85"/>
      <c r="F2192" s="85">
        <v>2450.2199999999998</v>
      </c>
      <c r="G2192" s="85">
        <v>0</v>
      </c>
      <c r="H2192" s="85">
        <f t="shared" si="34"/>
        <v>2450.2199999999998</v>
      </c>
      <c r="I2192" s="85"/>
      <c r="K2192" s="54" t="s">
        <v>38</v>
      </c>
    </row>
    <row r="2193" spans="2:11" ht="16.5" x14ac:dyDescent="0.2">
      <c r="B2193" s="82" t="s">
        <v>4458</v>
      </c>
      <c r="C2193" s="82" t="s">
        <v>3413</v>
      </c>
      <c r="D2193" s="83">
        <f>SUMIFS(D2194:D6462,K2194:K6462,"0",B2194:B6462,"5 1 1 3 2 12 31111 6 M59 70300*")-SUMIFS(E2194:E6462,K2194:K6462,"0",B2194:B6462,"5 1 1 3 2 12 31111 6 M59 70300*")</f>
        <v>0</v>
      </c>
      <c r="E2193" s="54"/>
      <c r="F2193" s="83">
        <f>SUMIFS(F2194:F6462,K2194:K6462,"0",B2194:B6462,"5 1 1 3 2 12 31111 6 M59 70300*")</f>
        <v>15670.49</v>
      </c>
      <c r="G2193" s="83">
        <f>SUMIFS(G2194:G6462,K2194:K6462,"0",B2194:B6462,"5 1 1 3 2 12 31111 6 M59 70300*")</f>
        <v>0</v>
      </c>
      <c r="H2193" s="83">
        <f t="shared" si="34"/>
        <v>15670.49</v>
      </c>
      <c r="I2193" s="83"/>
      <c r="K2193" s="54" t="s">
        <v>15</v>
      </c>
    </row>
    <row r="2194" spans="2:11" ht="16.5" x14ac:dyDescent="0.2">
      <c r="B2194" s="82" t="s">
        <v>4459</v>
      </c>
      <c r="C2194" s="82" t="s">
        <v>648</v>
      </c>
      <c r="D2194" s="83">
        <f>SUMIFS(D2195:D6462,K2195:K6462,"0",B2195:B6462,"5 1 1 3 2 12 31111 6 M59 70300 000132*")-SUMIFS(E2195:E6462,K2195:K6462,"0",B2195:B6462,"5 1 1 3 2 12 31111 6 M59 70300 000132*")</f>
        <v>0</v>
      </c>
      <c r="E2194" s="54"/>
      <c r="F2194" s="83">
        <f>SUMIFS(F2195:F6462,K2195:K6462,"0",B2195:B6462,"5 1 1 3 2 12 31111 6 M59 70300 000132*")</f>
        <v>15670.49</v>
      </c>
      <c r="G2194" s="83">
        <f>SUMIFS(G2195:G6462,K2195:K6462,"0",B2195:B6462,"5 1 1 3 2 12 31111 6 M59 70300 000132*")</f>
        <v>0</v>
      </c>
      <c r="H2194" s="83">
        <f t="shared" si="34"/>
        <v>15670.49</v>
      </c>
      <c r="I2194" s="83"/>
      <c r="K2194" s="54" t="s">
        <v>15</v>
      </c>
    </row>
    <row r="2195" spans="2:11" ht="24.75" x14ac:dyDescent="0.2">
      <c r="B2195" s="82" t="s">
        <v>4460</v>
      </c>
      <c r="C2195" s="82" t="s">
        <v>650</v>
      </c>
      <c r="D2195" s="83">
        <f>SUMIFS(D2196:D6462,K2196:K6462,"0",B2196:B6462,"5 1 1 3 2 12 31111 6 M59 70300 000132 0000R*")-SUMIFS(E2196:E6462,K2196:K6462,"0",B2196:B6462,"5 1 1 3 2 12 31111 6 M59 70300 000132 0000R*")</f>
        <v>0</v>
      </c>
      <c r="E2195" s="54"/>
      <c r="F2195" s="83">
        <f>SUMIFS(F2196:F6462,K2196:K6462,"0",B2196:B6462,"5 1 1 3 2 12 31111 6 M59 70300 000132 0000R*")</f>
        <v>15670.49</v>
      </c>
      <c r="G2195" s="83">
        <f>SUMIFS(G2196:G6462,K2196:K6462,"0",B2196:B6462,"5 1 1 3 2 12 31111 6 M59 70300 000132 0000R*")</f>
        <v>0</v>
      </c>
      <c r="H2195" s="83">
        <f t="shared" si="34"/>
        <v>15670.49</v>
      </c>
      <c r="I2195" s="83"/>
      <c r="K2195" s="54" t="s">
        <v>15</v>
      </c>
    </row>
    <row r="2196" spans="2:11" ht="24.75" x14ac:dyDescent="0.2">
      <c r="B2196" s="82" t="s">
        <v>4461</v>
      </c>
      <c r="C2196" s="82" t="s">
        <v>282</v>
      </c>
      <c r="D2196" s="83">
        <f>SUMIFS(D2197:D6462,K2197:K6462,"0",B2197:B6462,"5 1 1 3 2 12 31111 6 M59 70300 000132 0000R 00001*")-SUMIFS(E2197:E6462,K2197:K6462,"0",B2197:B6462,"5 1 1 3 2 12 31111 6 M59 70300 000132 0000R 00001*")</f>
        <v>0</v>
      </c>
      <c r="E2196" s="54"/>
      <c r="F2196" s="83">
        <f>SUMIFS(F2197:F6462,K2197:K6462,"0",B2197:B6462,"5 1 1 3 2 12 31111 6 M59 70300 000132 0000R 00001*")</f>
        <v>15670.49</v>
      </c>
      <c r="G2196" s="83">
        <f>SUMIFS(G2197:G6462,K2197:K6462,"0",B2197:B6462,"5 1 1 3 2 12 31111 6 M59 70300 000132 0000R 00001*")</f>
        <v>0</v>
      </c>
      <c r="H2196" s="83">
        <f t="shared" si="34"/>
        <v>15670.49</v>
      </c>
      <c r="I2196" s="83"/>
      <c r="K2196" s="54" t="s">
        <v>15</v>
      </c>
    </row>
    <row r="2197" spans="2:11" ht="24.75" x14ac:dyDescent="0.2">
      <c r="B2197" s="82" t="s">
        <v>4462</v>
      </c>
      <c r="C2197" s="82" t="s">
        <v>4041</v>
      </c>
      <c r="D2197" s="83">
        <f>SUMIFS(D2198:D6462,K2198:K6462,"0",B2198:B6462,"5 1 1 3 2 12 31111 6 M59 70300 000132 0000R 00001 00132*")-SUMIFS(E2198:E6462,K2198:K6462,"0",B2198:B6462,"5 1 1 3 2 12 31111 6 M59 70300 000132 0000R 00001 00132*")</f>
        <v>0</v>
      </c>
      <c r="E2197" s="54"/>
      <c r="F2197" s="83">
        <f>SUMIFS(F2198:F6462,K2198:K6462,"0",B2198:B6462,"5 1 1 3 2 12 31111 6 M59 70300 000132 0000R 00001 00132*")</f>
        <v>15670.49</v>
      </c>
      <c r="G2197" s="83">
        <f>SUMIFS(G2198:G6462,K2198:K6462,"0",B2198:B6462,"5 1 1 3 2 12 31111 6 M59 70300 000132 0000R 00001 00132*")</f>
        <v>0</v>
      </c>
      <c r="H2197" s="83">
        <f t="shared" si="34"/>
        <v>15670.49</v>
      </c>
      <c r="I2197" s="83"/>
      <c r="K2197" s="54" t="s">
        <v>15</v>
      </c>
    </row>
    <row r="2198" spans="2:11" ht="33" x14ac:dyDescent="0.2">
      <c r="B2198" s="82" t="s">
        <v>4463</v>
      </c>
      <c r="C2198" s="82" t="s">
        <v>1051</v>
      </c>
      <c r="D2198" s="83">
        <f>SUMIFS(D2199:D6462,K2199:K6462,"0",B2199:B6462,"5 1 1 3 2 12 31111 6 M59 70300 000132 0000R 00001 00132 015*")-SUMIFS(E2199:E6462,K2199:K6462,"0",B2199:B6462,"5 1 1 3 2 12 31111 6 M59 70300 000132 0000R 00001 00132 015*")</f>
        <v>0</v>
      </c>
      <c r="E2198" s="54"/>
      <c r="F2198" s="83">
        <f>SUMIFS(F2199:F6462,K2199:K6462,"0",B2199:B6462,"5 1 1 3 2 12 31111 6 M59 70300 000132 0000R 00001 00132 015*")</f>
        <v>15670.49</v>
      </c>
      <c r="G2198" s="83">
        <f>SUMIFS(G2199:G6462,K2199:K6462,"0",B2199:B6462,"5 1 1 3 2 12 31111 6 M59 70300 000132 0000R 00001 00132 015*")</f>
        <v>0</v>
      </c>
      <c r="H2198" s="83">
        <f t="shared" si="34"/>
        <v>15670.49</v>
      </c>
      <c r="I2198" s="83"/>
      <c r="K2198" s="54" t="s">
        <v>15</v>
      </c>
    </row>
    <row r="2199" spans="2:11" ht="33" x14ac:dyDescent="0.2">
      <c r="B2199" s="82" t="s">
        <v>4464</v>
      </c>
      <c r="C2199" s="82" t="s">
        <v>2927</v>
      </c>
      <c r="D2199" s="83">
        <f>SUMIFS(D2200:D6462,K2200:K6462,"0",B2200:B6462,"5 1 1 3 2 12 31111 6 M59 70300 000132 0000R 00001 00132 015 2111100*")-SUMIFS(E2200:E6462,K2200:K6462,"0",B2200:B6462,"5 1 1 3 2 12 31111 6 M59 70300 000132 0000R 00001 00132 015 2111100*")</f>
        <v>0</v>
      </c>
      <c r="E2199" s="54"/>
      <c r="F2199" s="83">
        <f>SUMIFS(F2200:F6462,K2200:K6462,"0",B2200:B6462,"5 1 1 3 2 12 31111 6 M59 70300 000132 0000R 00001 00132 015 2111100*")</f>
        <v>15670.49</v>
      </c>
      <c r="G2199" s="83">
        <f>SUMIFS(G2200:G6462,K2200:K6462,"0",B2200:B6462,"5 1 1 3 2 12 31111 6 M59 70300 000132 0000R 00001 00132 015 2111100*")</f>
        <v>0</v>
      </c>
      <c r="H2199" s="83">
        <f t="shared" si="34"/>
        <v>15670.49</v>
      </c>
      <c r="I2199" s="83"/>
      <c r="K2199" s="54" t="s">
        <v>15</v>
      </c>
    </row>
    <row r="2200" spans="2:11" ht="33" x14ac:dyDescent="0.2">
      <c r="B2200" s="82" t="s">
        <v>4465</v>
      </c>
      <c r="C2200" s="82" t="s">
        <v>660</v>
      </c>
      <c r="D2200" s="83">
        <f>SUMIFS(D2201:D6462,K2201:K6462,"0",B2201:B6462,"5 1 1 3 2 12 31111 6 M59 70300 000132 0000R 00001 00132 015 2111100 2024*")-SUMIFS(E2201:E6462,K2201:K6462,"0",B2201:B6462,"5 1 1 3 2 12 31111 6 M59 70300 000132 0000R 00001 00132 015 2111100 2024*")</f>
        <v>0</v>
      </c>
      <c r="E2200" s="54"/>
      <c r="F2200" s="83">
        <f>SUMIFS(F2201:F6462,K2201:K6462,"0",B2201:B6462,"5 1 1 3 2 12 31111 6 M59 70300 000132 0000R 00001 00132 015 2111100 2024*")</f>
        <v>15670.49</v>
      </c>
      <c r="G2200" s="83">
        <f>SUMIFS(G2201:G6462,K2201:K6462,"0",B2201:B6462,"5 1 1 3 2 12 31111 6 M59 70300 000132 0000R 00001 00132 015 2111100 2024*")</f>
        <v>0</v>
      </c>
      <c r="H2200" s="83">
        <f t="shared" si="34"/>
        <v>15670.49</v>
      </c>
      <c r="I2200" s="83"/>
      <c r="K2200" s="54" t="s">
        <v>15</v>
      </c>
    </row>
    <row r="2201" spans="2:11" ht="41.25" x14ac:dyDescent="0.2">
      <c r="B2201" s="82" t="s">
        <v>4466</v>
      </c>
      <c r="C2201" s="82" t="s">
        <v>1056</v>
      </c>
      <c r="D2201" s="83">
        <f>SUMIFS(D2202:D6462,K2202:K6462,"0",B2202:B6462,"5 1 1 3 2 12 31111 6 M59 70300 000132 0000R 00001 00132 015 2111100 2024 CP1CU419*")-SUMIFS(E2202:E6462,K2202:K6462,"0",B2202:B6462,"5 1 1 3 2 12 31111 6 M59 70300 000132 0000R 00001 00132 015 2111100 2024 CP1CU419*")</f>
        <v>0</v>
      </c>
      <c r="E2201" s="54"/>
      <c r="F2201" s="83">
        <f>SUMIFS(F2202:F6462,K2202:K6462,"0",B2202:B6462,"5 1 1 3 2 12 31111 6 M59 70300 000132 0000R 00001 00132 015 2111100 2024 CP1CU419*")</f>
        <v>15670.49</v>
      </c>
      <c r="G2201" s="83">
        <f>SUMIFS(G2202:G6462,K2202:K6462,"0",B2202:B6462,"5 1 1 3 2 12 31111 6 M59 70300 000132 0000R 00001 00132 015 2111100 2024 CP1CU419*")</f>
        <v>0</v>
      </c>
      <c r="H2201" s="83">
        <f t="shared" si="34"/>
        <v>15670.49</v>
      </c>
      <c r="I2201" s="83"/>
      <c r="K2201" s="54" t="s">
        <v>15</v>
      </c>
    </row>
    <row r="2202" spans="2:11" ht="41.25" x14ac:dyDescent="0.2">
      <c r="B2202" s="82" t="s">
        <v>4467</v>
      </c>
      <c r="C2202" s="82" t="s">
        <v>282</v>
      </c>
      <c r="D2202" s="83">
        <f>SUMIFS(D2203:D6462,K2203:K6462,"0",B2203:B6462,"5 1 1 3 2 12 31111 6 M59 70300 000132 0000R 00001 00132 015 2111100 2024 CP1CU419 001*")-SUMIFS(E2203:E6462,K2203:K6462,"0",B2203:B6462,"5 1 1 3 2 12 31111 6 M59 70300 000132 0000R 00001 00132 015 2111100 2024 CP1CU419 001*")</f>
        <v>0</v>
      </c>
      <c r="E2202" s="54"/>
      <c r="F2202" s="83">
        <f>SUMIFS(F2203:F6462,K2203:K6462,"0",B2203:B6462,"5 1 1 3 2 12 31111 6 M59 70300 000132 0000R 00001 00132 015 2111100 2024 CP1CU419 001*")</f>
        <v>15670.49</v>
      </c>
      <c r="G2202" s="83">
        <f>SUMIFS(G2203:G6462,K2203:K6462,"0",B2203:B6462,"5 1 1 3 2 12 31111 6 M59 70300 000132 0000R 00001 00132 015 2111100 2024 CP1CU419 001*")</f>
        <v>0</v>
      </c>
      <c r="H2202" s="83">
        <f t="shared" si="34"/>
        <v>15670.49</v>
      </c>
      <c r="I2202" s="83"/>
      <c r="K2202" s="54" t="s">
        <v>15</v>
      </c>
    </row>
    <row r="2203" spans="2:11" ht="33" x14ac:dyDescent="0.2">
      <c r="B2203" s="84" t="s">
        <v>4468</v>
      </c>
      <c r="C2203" s="84" t="s">
        <v>1519</v>
      </c>
      <c r="D2203" s="85">
        <v>0</v>
      </c>
      <c r="E2203" s="85"/>
      <c r="F2203" s="85">
        <v>15670.49</v>
      </c>
      <c r="G2203" s="85">
        <v>0</v>
      </c>
      <c r="H2203" s="85">
        <f t="shared" si="34"/>
        <v>15670.49</v>
      </c>
      <c r="I2203" s="85"/>
      <c r="K2203" s="54" t="s">
        <v>38</v>
      </c>
    </row>
    <row r="2204" spans="2:11" ht="16.5" x14ac:dyDescent="0.2">
      <c r="B2204" s="82" t="s">
        <v>4469</v>
      </c>
      <c r="C2204" s="82" t="s">
        <v>3425</v>
      </c>
      <c r="D2204" s="83">
        <f>SUMIFS(D2205:D6462,K2205:K6462,"0",B2205:B6462,"5 1 1 3 2 12 31111 6 M59 70400*")-SUMIFS(E2205:E6462,K2205:K6462,"0",B2205:B6462,"5 1 1 3 2 12 31111 6 M59 70400*")</f>
        <v>0</v>
      </c>
      <c r="E2204" s="54"/>
      <c r="F2204" s="83">
        <f>SUMIFS(F2205:F6462,K2205:K6462,"0",B2205:B6462,"5 1 1 3 2 12 31111 6 M59 70400*")</f>
        <v>7663.4</v>
      </c>
      <c r="G2204" s="83">
        <f>SUMIFS(G2205:G6462,K2205:K6462,"0",B2205:B6462,"5 1 1 3 2 12 31111 6 M59 70400*")</f>
        <v>0</v>
      </c>
      <c r="H2204" s="83">
        <f t="shared" si="34"/>
        <v>7663.4</v>
      </c>
      <c r="I2204" s="83"/>
      <c r="K2204" s="54" t="s">
        <v>15</v>
      </c>
    </row>
    <row r="2205" spans="2:11" ht="16.5" x14ac:dyDescent="0.2">
      <c r="B2205" s="82" t="s">
        <v>4470</v>
      </c>
      <c r="C2205" s="82" t="s">
        <v>3427</v>
      </c>
      <c r="D2205" s="83">
        <f>SUMIFS(D2206:D6462,K2206:K6462,"0",B2206:B6462,"5 1 1 3 2 12 31111 6 M59 70400 000241*")-SUMIFS(E2206:E6462,K2206:K6462,"0",B2206:B6462,"5 1 1 3 2 12 31111 6 M59 70400 000241*")</f>
        <v>0</v>
      </c>
      <c r="E2205" s="54"/>
      <c r="F2205" s="83">
        <f>SUMIFS(F2206:F6462,K2206:K6462,"0",B2206:B6462,"5 1 1 3 2 12 31111 6 M59 70400 000241*")</f>
        <v>7663.4</v>
      </c>
      <c r="G2205" s="83">
        <f>SUMIFS(G2206:G6462,K2206:K6462,"0",B2206:B6462,"5 1 1 3 2 12 31111 6 M59 70400 000241*")</f>
        <v>0</v>
      </c>
      <c r="H2205" s="83">
        <f t="shared" si="34"/>
        <v>7663.4</v>
      </c>
      <c r="I2205" s="83"/>
      <c r="K2205" s="54" t="s">
        <v>15</v>
      </c>
    </row>
    <row r="2206" spans="2:11" ht="24.75" x14ac:dyDescent="0.2">
      <c r="B2206" s="82" t="s">
        <v>4471</v>
      </c>
      <c r="C2206" s="82" t="s">
        <v>650</v>
      </c>
      <c r="D2206" s="83">
        <f>SUMIFS(D2207:D6462,K2207:K6462,"0",B2207:B6462,"5 1 1 3 2 12 31111 6 M59 70400 000241 0000R*")-SUMIFS(E2207:E6462,K2207:K6462,"0",B2207:B6462,"5 1 1 3 2 12 31111 6 M59 70400 000241 0000R*")</f>
        <v>0</v>
      </c>
      <c r="E2206" s="54"/>
      <c r="F2206" s="83">
        <f>SUMIFS(F2207:F6462,K2207:K6462,"0",B2207:B6462,"5 1 1 3 2 12 31111 6 M59 70400 000241 0000R*")</f>
        <v>7663.4</v>
      </c>
      <c r="G2206" s="83">
        <f>SUMIFS(G2207:G6462,K2207:K6462,"0",B2207:B6462,"5 1 1 3 2 12 31111 6 M59 70400 000241 0000R*")</f>
        <v>0</v>
      </c>
      <c r="H2206" s="83">
        <f t="shared" si="34"/>
        <v>7663.4</v>
      </c>
      <c r="I2206" s="83"/>
      <c r="K2206" s="54" t="s">
        <v>15</v>
      </c>
    </row>
    <row r="2207" spans="2:11" ht="24.75" x14ac:dyDescent="0.2">
      <c r="B2207" s="82" t="s">
        <v>4472</v>
      </c>
      <c r="C2207" s="82" t="s">
        <v>282</v>
      </c>
      <c r="D2207" s="83">
        <f>SUMIFS(D2208:D6462,K2208:K6462,"0",B2208:B6462,"5 1 1 3 2 12 31111 6 M59 70400 000241 0000R 00001*")-SUMIFS(E2208:E6462,K2208:K6462,"0",B2208:B6462,"5 1 1 3 2 12 31111 6 M59 70400 000241 0000R 00001*")</f>
        <v>0</v>
      </c>
      <c r="E2207" s="54"/>
      <c r="F2207" s="83">
        <f>SUMIFS(F2208:F6462,K2208:K6462,"0",B2208:B6462,"5 1 1 3 2 12 31111 6 M59 70400 000241 0000R 00001*")</f>
        <v>7663.4</v>
      </c>
      <c r="G2207" s="83">
        <f>SUMIFS(G2208:G6462,K2208:K6462,"0",B2208:B6462,"5 1 1 3 2 12 31111 6 M59 70400 000241 0000R 00001*")</f>
        <v>0</v>
      </c>
      <c r="H2207" s="83">
        <f t="shared" si="34"/>
        <v>7663.4</v>
      </c>
      <c r="I2207" s="83"/>
      <c r="K2207" s="54" t="s">
        <v>15</v>
      </c>
    </row>
    <row r="2208" spans="2:11" ht="24.75" x14ac:dyDescent="0.2">
      <c r="B2208" s="82" t="s">
        <v>4473</v>
      </c>
      <c r="C2208" s="82" t="s">
        <v>4041</v>
      </c>
      <c r="D2208" s="83">
        <f>SUMIFS(D2209:D6462,K2209:K6462,"0",B2209:B6462,"5 1 1 3 2 12 31111 6 M59 70400 000241 0000R 00001 00132*")-SUMIFS(E2209:E6462,K2209:K6462,"0",B2209:B6462,"5 1 1 3 2 12 31111 6 M59 70400 000241 0000R 00001 00132*")</f>
        <v>0</v>
      </c>
      <c r="E2208" s="54"/>
      <c r="F2208" s="83">
        <f>SUMIFS(F2209:F6462,K2209:K6462,"0",B2209:B6462,"5 1 1 3 2 12 31111 6 M59 70400 000241 0000R 00001 00132*")</f>
        <v>7663.4</v>
      </c>
      <c r="G2208" s="83">
        <f>SUMIFS(G2209:G6462,K2209:K6462,"0",B2209:B6462,"5 1 1 3 2 12 31111 6 M59 70400 000241 0000R 00001 00132*")</f>
        <v>0</v>
      </c>
      <c r="H2208" s="83">
        <f t="shared" si="34"/>
        <v>7663.4</v>
      </c>
      <c r="I2208" s="83"/>
      <c r="K2208" s="54" t="s">
        <v>15</v>
      </c>
    </row>
    <row r="2209" spans="2:11" ht="33" x14ac:dyDescent="0.2">
      <c r="B2209" s="82" t="s">
        <v>4474</v>
      </c>
      <c r="C2209" s="82" t="s">
        <v>1051</v>
      </c>
      <c r="D2209" s="83">
        <f>SUMIFS(D2210:D6462,K2210:K6462,"0",B2210:B6462,"5 1 1 3 2 12 31111 6 M59 70400 000241 0000R 00001 00132 015*")-SUMIFS(E2210:E6462,K2210:K6462,"0",B2210:B6462,"5 1 1 3 2 12 31111 6 M59 70400 000241 0000R 00001 00132 015*")</f>
        <v>0</v>
      </c>
      <c r="E2209" s="54"/>
      <c r="F2209" s="83">
        <f>SUMIFS(F2210:F6462,K2210:K6462,"0",B2210:B6462,"5 1 1 3 2 12 31111 6 M59 70400 000241 0000R 00001 00132 015*")</f>
        <v>7663.4</v>
      </c>
      <c r="G2209" s="83">
        <f>SUMIFS(G2210:G6462,K2210:K6462,"0",B2210:B6462,"5 1 1 3 2 12 31111 6 M59 70400 000241 0000R 00001 00132 015*")</f>
        <v>0</v>
      </c>
      <c r="H2209" s="83">
        <f t="shared" si="34"/>
        <v>7663.4</v>
      </c>
      <c r="I2209" s="83"/>
      <c r="K2209" s="54" t="s">
        <v>15</v>
      </c>
    </row>
    <row r="2210" spans="2:11" ht="33" x14ac:dyDescent="0.2">
      <c r="B2210" s="82" t="s">
        <v>4475</v>
      </c>
      <c r="C2210" s="82" t="s">
        <v>2927</v>
      </c>
      <c r="D2210" s="83">
        <f>SUMIFS(D2211:D6462,K2211:K6462,"0",B2211:B6462,"5 1 1 3 2 12 31111 6 M59 70400 000241 0000R 00001 00132 015 2111100*")-SUMIFS(E2211:E6462,K2211:K6462,"0",B2211:B6462,"5 1 1 3 2 12 31111 6 M59 70400 000241 0000R 00001 00132 015 2111100*")</f>
        <v>0</v>
      </c>
      <c r="E2210" s="54"/>
      <c r="F2210" s="83">
        <f>SUMIFS(F2211:F6462,K2211:K6462,"0",B2211:B6462,"5 1 1 3 2 12 31111 6 M59 70400 000241 0000R 00001 00132 015 2111100*")</f>
        <v>7663.4</v>
      </c>
      <c r="G2210" s="83">
        <f>SUMIFS(G2211:G6462,K2211:K6462,"0",B2211:B6462,"5 1 1 3 2 12 31111 6 M59 70400 000241 0000R 00001 00132 015 2111100*")</f>
        <v>0</v>
      </c>
      <c r="H2210" s="83">
        <f t="shared" si="34"/>
        <v>7663.4</v>
      </c>
      <c r="I2210" s="83"/>
      <c r="K2210" s="54" t="s">
        <v>15</v>
      </c>
    </row>
    <row r="2211" spans="2:11" ht="33" x14ac:dyDescent="0.2">
      <c r="B2211" s="82" t="s">
        <v>4476</v>
      </c>
      <c r="C2211" s="82" t="s">
        <v>660</v>
      </c>
      <c r="D2211" s="83">
        <f>SUMIFS(D2212:D6462,K2212:K6462,"0",B2212:B6462,"5 1 1 3 2 12 31111 6 M59 70400 000241 0000R 00001 00132 015 2111100 2024*")-SUMIFS(E2212:E6462,K2212:K6462,"0",B2212:B6462,"5 1 1 3 2 12 31111 6 M59 70400 000241 0000R 00001 00132 015 2111100 2024*")</f>
        <v>0</v>
      </c>
      <c r="E2211" s="54"/>
      <c r="F2211" s="83">
        <f>SUMIFS(F2212:F6462,K2212:K6462,"0",B2212:B6462,"5 1 1 3 2 12 31111 6 M59 70400 000241 0000R 00001 00132 015 2111100 2024*")</f>
        <v>7663.4</v>
      </c>
      <c r="G2211" s="83">
        <f>SUMIFS(G2212:G6462,K2212:K6462,"0",B2212:B6462,"5 1 1 3 2 12 31111 6 M59 70400 000241 0000R 00001 00132 015 2111100 2024*")</f>
        <v>0</v>
      </c>
      <c r="H2211" s="83">
        <f t="shared" si="34"/>
        <v>7663.4</v>
      </c>
      <c r="I2211" s="83"/>
      <c r="K2211" s="54" t="s">
        <v>15</v>
      </c>
    </row>
    <row r="2212" spans="2:11" ht="41.25" x14ac:dyDescent="0.2">
      <c r="B2212" s="82" t="s">
        <v>4477</v>
      </c>
      <c r="C2212" s="82" t="s">
        <v>662</v>
      </c>
      <c r="D2212" s="83">
        <f>SUMIFS(D2213:D6462,K2213:K6462,"0",B2213:B6462,"5 1 1 3 2 12 31111 6 M59 70400 000241 0000R 00001 00132 015 2111100 2024 CP1DD418*")-SUMIFS(E2213:E6462,K2213:K6462,"0",B2213:B6462,"5 1 1 3 2 12 31111 6 M59 70400 000241 0000R 00001 00132 015 2111100 2024 CP1DD418*")</f>
        <v>0</v>
      </c>
      <c r="E2212" s="54"/>
      <c r="F2212" s="83">
        <f>SUMIFS(F2213:F6462,K2213:K6462,"0",B2213:B6462,"5 1 1 3 2 12 31111 6 M59 70400 000241 0000R 00001 00132 015 2111100 2024 CP1DD418*")</f>
        <v>7663.4</v>
      </c>
      <c r="G2212" s="83">
        <f>SUMIFS(G2213:G6462,K2213:K6462,"0",B2213:B6462,"5 1 1 3 2 12 31111 6 M59 70400 000241 0000R 00001 00132 015 2111100 2024 CP1DD418*")</f>
        <v>0</v>
      </c>
      <c r="H2212" s="83">
        <f t="shared" si="34"/>
        <v>7663.4</v>
      </c>
      <c r="I2212" s="83"/>
      <c r="K2212" s="54" t="s">
        <v>15</v>
      </c>
    </row>
    <row r="2213" spans="2:11" ht="41.25" x14ac:dyDescent="0.2">
      <c r="B2213" s="82" t="s">
        <v>4478</v>
      </c>
      <c r="C2213" s="82" t="s">
        <v>282</v>
      </c>
      <c r="D2213" s="83">
        <f>SUMIFS(D2214:D6462,K2214:K6462,"0",B2214:B6462,"5 1 1 3 2 12 31111 6 M59 70400 000241 0000R 00001 00132 015 2111100 2024 CP1DD418 001*")-SUMIFS(E2214:E6462,K2214:K6462,"0",B2214:B6462,"5 1 1 3 2 12 31111 6 M59 70400 000241 0000R 00001 00132 015 2111100 2024 CP1DD418 001*")</f>
        <v>0</v>
      </c>
      <c r="E2213" s="54"/>
      <c r="F2213" s="83">
        <f>SUMIFS(F2214:F6462,K2214:K6462,"0",B2214:B6462,"5 1 1 3 2 12 31111 6 M59 70400 000241 0000R 00001 00132 015 2111100 2024 CP1DD418 001*")</f>
        <v>7663.4</v>
      </c>
      <c r="G2213" s="83">
        <f>SUMIFS(G2214:G6462,K2214:K6462,"0",B2214:B6462,"5 1 1 3 2 12 31111 6 M59 70400 000241 0000R 00001 00132 015 2111100 2024 CP1DD418 001*")</f>
        <v>0</v>
      </c>
      <c r="H2213" s="83">
        <f t="shared" si="34"/>
        <v>7663.4</v>
      </c>
      <c r="I2213" s="83"/>
      <c r="K2213" s="54" t="s">
        <v>15</v>
      </c>
    </row>
    <row r="2214" spans="2:11" ht="33" x14ac:dyDescent="0.2">
      <c r="B2214" s="84" t="s">
        <v>4479</v>
      </c>
      <c r="C2214" s="84" t="s">
        <v>1519</v>
      </c>
      <c r="D2214" s="85">
        <v>0</v>
      </c>
      <c r="E2214" s="85"/>
      <c r="F2214" s="85">
        <v>7663.4</v>
      </c>
      <c r="G2214" s="85">
        <v>0</v>
      </c>
      <c r="H2214" s="85">
        <f t="shared" si="34"/>
        <v>7663.4</v>
      </c>
      <c r="I2214" s="85"/>
      <c r="K2214" s="54" t="s">
        <v>38</v>
      </c>
    </row>
    <row r="2215" spans="2:11" ht="16.5" x14ac:dyDescent="0.2">
      <c r="B2215" s="82" t="s">
        <v>4480</v>
      </c>
      <c r="C2215" s="82" t="s">
        <v>3438</v>
      </c>
      <c r="D2215" s="83">
        <f>SUMIFS(D2216:D6462,K2216:K6462,"0",B2216:B6462,"5 1 1 3 2 12 31111 6 M59 70500*")-SUMIFS(E2216:E6462,K2216:K6462,"0",B2216:B6462,"5 1 1 3 2 12 31111 6 M59 70500*")</f>
        <v>0</v>
      </c>
      <c r="E2215" s="54"/>
      <c r="F2215" s="83">
        <f>SUMIFS(F2216:F6462,K2216:K6462,"0",B2216:B6462,"5 1 1 3 2 12 31111 6 M59 70500*")</f>
        <v>4588.13</v>
      </c>
      <c r="G2215" s="83">
        <f>SUMIFS(G2216:G6462,K2216:K6462,"0",B2216:B6462,"5 1 1 3 2 12 31111 6 M59 70500*")</f>
        <v>0</v>
      </c>
      <c r="H2215" s="83">
        <f t="shared" si="34"/>
        <v>4588.13</v>
      </c>
      <c r="I2215" s="83"/>
      <c r="K2215" s="54" t="s">
        <v>15</v>
      </c>
    </row>
    <row r="2216" spans="2:11" ht="16.5" x14ac:dyDescent="0.2">
      <c r="B2216" s="82" t="s">
        <v>4481</v>
      </c>
      <c r="C2216" s="82" t="s">
        <v>648</v>
      </c>
      <c r="D2216" s="83">
        <f>SUMIFS(D2217:D6462,K2217:K6462,"0",B2217:B6462,"5 1 1 3 2 12 31111 6 M59 70500 000132*")-SUMIFS(E2217:E6462,K2217:K6462,"0",B2217:B6462,"5 1 1 3 2 12 31111 6 M59 70500 000132*")</f>
        <v>0</v>
      </c>
      <c r="E2216" s="54"/>
      <c r="F2216" s="83">
        <f>SUMIFS(F2217:F6462,K2217:K6462,"0",B2217:B6462,"5 1 1 3 2 12 31111 6 M59 70500 000132*")</f>
        <v>4588.13</v>
      </c>
      <c r="G2216" s="83">
        <f>SUMIFS(G2217:G6462,K2217:K6462,"0",B2217:B6462,"5 1 1 3 2 12 31111 6 M59 70500 000132*")</f>
        <v>0</v>
      </c>
      <c r="H2216" s="83">
        <f t="shared" si="34"/>
        <v>4588.13</v>
      </c>
      <c r="I2216" s="83"/>
      <c r="K2216" s="54" t="s">
        <v>15</v>
      </c>
    </row>
    <row r="2217" spans="2:11" ht="24.75" x14ac:dyDescent="0.2">
      <c r="B2217" s="82" t="s">
        <v>4482</v>
      </c>
      <c r="C2217" s="82" t="s">
        <v>650</v>
      </c>
      <c r="D2217" s="83">
        <f>SUMIFS(D2218:D6462,K2218:K6462,"0",B2218:B6462,"5 1 1 3 2 12 31111 6 M59 70500 000132 0000R*")-SUMIFS(E2218:E6462,K2218:K6462,"0",B2218:B6462,"5 1 1 3 2 12 31111 6 M59 70500 000132 0000R*")</f>
        <v>0</v>
      </c>
      <c r="E2217" s="54"/>
      <c r="F2217" s="83">
        <f>SUMIFS(F2218:F6462,K2218:K6462,"0",B2218:B6462,"5 1 1 3 2 12 31111 6 M59 70500 000132 0000R*")</f>
        <v>4588.13</v>
      </c>
      <c r="G2217" s="83">
        <f>SUMIFS(G2218:G6462,K2218:K6462,"0",B2218:B6462,"5 1 1 3 2 12 31111 6 M59 70500 000132 0000R*")</f>
        <v>0</v>
      </c>
      <c r="H2217" s="83">
        <f t="shared" si="34"/>
        <v>4588.13</v>
      </c>
      <c r="I2217" s="83"/>
      <c r="K2217" s="54" t="s">
        <v>15</v>
      </c>
    </row>
    <row r="2218" spans="2:11" ht="24.75" x14ac:dyDescent="0.2">
      <c r="B2218" s="82" t="s">
        <v>4483</v>
      </c>
      <c r="C2218" s="82" t="s">
        <v>282</v>
      </c>
      <c r="D2218" s="83">
        <f>SUMIFS(D2219:D6462,K2219:K6462,"0",B2219:B6462,"5 1 1 3 2 12 31111 6 M59 70500 000132 0000R 00001*")-SUMIFS(E2219:E6462,K2219:K6462,"0",B2219:B6462,"5 1 1 3 2 12 31111 6 M59 70500 000132 0000R 00001*")</f>
        <v>0</v>
      </c>
      <c r="E2218" s="54"/>
      <c r="F2218" s="83">
        <f>SUMIFS(F2219:F6462,K2219:K6462,"0",B2219:B6462,"5 1 1 3 2 12 31111 6 M59 70500 000132 0000R 00001*")</f>
        <v>4588.13</v>
      </c>
      <c r="G2218" s="83">
        <f>SUMIFS(G2219:G6462,K2219:K6462,"0",B2219:B6462,"5 1 1 3 2 12 31111 6 M59 70500 000132 0000R 00001*")</f>
        <v>0</v>
      </c>
      <c r="H2218" s="83">
        <f t="shared" si="34"/>
        <v>4588.13</v>
      </c>
      <c r="I2218" s="83"/>
      <c r="K2218" s="54" t="s">
        <v>15</v>
      </c>
    </row>
    <row r="2219" spans="2:11" ht="24.75" x14ac:dyDescent="0.2">
      <c r="B2219" s="82" t="s">
        <v>4484</v>
      </c>
      <c r="C2219" s="82" t="s">
        <v>4041</v>
      </c>
      <c r="D2219" s="83">
        <f>SUMIFS(D2220:D6462,K2220:K6462,"0",B2220:B6462,"5 1 1 3 2 12 31111 6 M59 70500 000132 0000R 00001 00132*")-SUMIFS(E2220:E6462,K2220:K6462,"0",B2220:B6462,"5 1 1 3 2 12 31111 6 M59 70500 000132 0000R 00001 00132*")</f>
        <v>0</v>
      </c>
      <c r="E2219" s="54"/>
      <c r="F2219" s="83">
        <f>SUMIFS(F2220:F6462,K2220:K6462,"0",B2220:B6462,"5 1 1 3 2 12 31111 6 M59 70500 000132 0000R 00001 00132*")</f>
        <v>4588.13</v>
      </c>
      <c r="G2219" s="83">
        <f>SUMIFS(G2220:G6462,K2220:K6462,"0",B2220:B6462,"5 1 1 3 2 12 31111 6 M59 70500 000132 0000R 00001 00132*")</f>
        <v>0</v>
      </c>
      <c r="H2219" s="83">
        <f t="shared" ref="H2219:H2282" si="35">D2219 + F2219 - G2219</f>
        <v>4588.13</v>
      </c>
      <c r="I2219" s="83"/>
      <c r="K2219" s="54" t="s">
        <v>15</v>
      </c>
    </row>
    <row r="2220" spans="2:11" ht="33" x14ac:dyDescent="0.2">
      <c r="B2220" s="82" t="s">
        <v>4485</v>
      </c>
      <c r="C2220" s="82" t="s">
        <v>1051</v>
      </c>
      <c r="D2220" s="83">
        <f>SUMIFS(D2221:D6462,K2221:K6462,"0",B2221:B6462,"5 1 1 3 2 12 31111 6 M59 70500 000132 0000R 00001 00132 015*")-SUMIFS(E2221:E6462,K2221:K6462,"0",B2221:B6462,"5 1 1 3 2 12 31111 6 M59 70500 000132 0000R 00001 00132 015*")</f>
        <v>0</v>
      </c>
      <c r="E2220" s="54"/>
      <c r="F2220" s="83">
        <f>SUMIFS(F2221:F6462,K2221:K6462,"0",B2221:B6462,"5 1 1 3 2 12 31111 6 M59 70500 000132 0000R 00001 00132 015*")</f>
        <v>4588.13</v>
      </c>
      <c r="G2220" s="83">
        <f>SUMIFS(G2221:G6462,K2221:K6462,"0",B2221:B6462,"5 1 1 3 2 12 31111 6 M59 70500 000132 0000R 00001 00132 015*")</f>
        <v>0</v>
      </c>
      <c r="H2220" s="83">
        <f t="shared" si="35"/>
        <v>4588.13</v>
      </c>
      <c r="I2220" s="83"/>
      <c r="K2220" s="54" t="s">
        <v>15</v>
      </c>
    </row>
    <row r="2221" spans="2:11" ht="33" x14ac:dyDescent="0.2">
      <c r="B2221" s="82" t="s">
        <v>4486</v>
      </c>
      <c r="C2221" s="82" t="s">
        <v>2927</v>
      </c>
      <c r="D2221" s="83">
        <f>SUMIFS(D2222:D6462,K2222:K6462,"0",B2222:B6462,"5 1 1 3 2 12 31111 6 M59 70500 000132 0000R 00001 00132 015 2111100*")-SUMIFS(E2222:E6462,K2222:K6462,"0",B2222:B6462,"5 1 1 3 2 12 31111 6 M59 70500 000132 0000R 00001 00132 015 2111100*")</f>
        <v>0</v>
      </c>
      <c r="E2221" s="54"/>
      <c r="F2221" s="83">
        <f>SUMIFS(F2222:F6462,K2222:K6462,"0",B2222:B6462,"5 1 1 3 2 12 31111 6 M59 70500 000132 0000R 00001 00132 015 2111100*")</f>
        <v>4588.13</v>
      </c>
      <c r="G2221" s="83">
        <f>SUMIFS(G2222:G6462,K2222:K6462,"0",B2222:B6462,"5 1 1 3 2 12 31111 6 M59 70500 000132 0000R 00001 00132 015 2111100*")</f>
        <v>0</v>
      </c>
      <c r="H2221" s="83">
        <f t="shared" si="35"/>
        <v>4588.13</v>
      </c>
      <c r="I2221" s="83"/>
      <c r="K2221" s="54" t="s">
        <v>15</v>
      </c>
    </row>
    <row r="2222" spans="2:11" ht="33" x14ac:dyDescent="0.2">
      <c r="B2222" s="82" t="s">
        <v>4487</v>
      </c>
      <c r="C2222" s="82" t="s">
        <v>660</v>
      </c>
      <c r="D2222" s="83">
        <f>SUMIFS(D2223:D6462,K2223:K6462,"0",B2223:B6462,"5 1 1 3 2 12 31111 6 M59 70500 000132 0000R 00001 00132 015 2111100 2024*")-SUMIFS(E2223:E6462,K2223:K6462,"0",B2223:B6462,"5 1 1 3 2 12 31111 6 M59 70500 000132 0000R 00001 00132 015 2111100 2024*")</f>
        <v>0</v>
      </c>
      <c r="E2222" s="54"/>
      <c r="F2222" s="83">
        <f>SUMIFS(F2223:F6462,K2223:K6462,"0",B2223:B6462,"5 1 1 3 2 12 31111 6 M59 70500 000132 0000R 00001 00132 015 2111100 2024*")</f>
        <v>4588.13</v>
      </c>
      <c r="G2222" s="83">
        <f>SUMIFS(G2223:G6462,K2223:K6462,"0",B2223:B6462,"5 1 1 3 2 12 31111 6 M59 70500 000132 0000R 00001 00132 015 2111100 2024*")</f>
        <v>0</v>
      </c>
      <c r="H2222" s="83">
        <f t="shared" si="35"/>
        <v>4588.13</v>
      </c>
      <c r="I2222" s="83"/>
      <c r="K2222" s="54" t="s">
        <v>15</v>
      </c>
    </row>
    <row r="2223" spans="2:11" ht="41.25" x14ac:dyDescent="0.2">
      <c r="B2223" s="82" t="s">
        <v>4488</v>
      </c>
      <c r="C2223" s="82" t="s">
        <v>1056</v>
      </c>
      <c r="D2223" s="83">
        <f>SUMIFS(D2224:D6462,K2224:K6462,"0",B2224:B6462,"5 1 1 3 2 12 31111 6 M59 70500 000132 0000R 00001 00132 015 2111100 2024 CP1DT395*")-SUMIFS(E2224:E6462,K2224:K6462,"0",B2224:B6462,"5 1 1 3 2 12 31111 6 M59 70500 000132 0000R 00001 00132 015 2111100 2024 CP1DT395*")</f>
        <v>0</v>
      </c>
      <c r="E2223" s="54"/>
      <c r="F2223" s="83">
        <f>SUMIFS(F2224:F6462,K2224:K6462,"0",B2224:B6462,"5 1 1 3 2 12 31111 6 M59 70500 000132 0000R 00001 00132 015 2111100 2024 CP1DT395*")</f>
        <v>4588.13</v>
      </c>
      <c r="G2223" s="83">
        <f>SUMIFS(G2224:G6462,K2224:K6462,"0",B2224:B6462,"5 1 1 3 2 12 31111 6 M59 70500 000132 0000R 00001 00132 015 2111100 2024 CP1DT395*")</f>
        <v>0</v>
      </c>
      <c r="H2223" s="83">
        <f t="shared" si="35"/>
        <v>4588.13</v>
      </c>
      <c r="I2223" s="83"/>
      <c r="K2223" s="54" t="s">
        <v>15</v>
      </c>
    </row>
    <row r="2224" spans="2:11" ht="41.25" x14ac:dyDescent="0.2">
      <c r="B2224" s="82" t="s">
        <v>4489</v>
      </c>
      <c r="C2224" s="82" t="s">
        <v>282</v>
      </c>
      <c r="D2224" s="83">
        <f>SUMIFS(D2225:D6462,K2225:K6462,"0",B2225:B6462,"5 1 1 3 2 12 31111 6 M59 70500 000132 0000R 00001 00132 015 2111100 2024 CP1DT395 001*")-SUMIFS(E2225:E6462,K2225:K6462,"0",B2225:B6462,"5 1 1 3 2 12 31111 6 M59 70500 000132 0000R 00001 00132 015 2111100 2024 CP1DT395 001*")</f>
        <v>0</v>
      </c>
      <c r="E2224" s="54"/>
      <c r="F2224" s="83">
        <f>SUMIFS(F2225:F6462,K2225:K6462,"0",B2225:B6462,"5 1 1 3 2 12 31111 6 M59 70500 000132 0000R 00001 00132 015 2111100 2024 CP1DT395 001*")</f>
        <v>4588.13</v>
      </c>
      <c r="G2224" s="83">
        <f>SUMIFS(G2225:G6462,K2225:K6462,"0",B2225:B6462,"5 1 1 3 2 12 31111 6 M59 70500 000132 0000R 00001 00132 015 2111100 2024 CP1DT395 001*")</f>
        <v>0</v>
      </c>
      <c r="H2224" s="83">
        <f t="shared" si="35"/>
        <v>4588.13</v>
      </c>
      <c r="I2224" s="83"/>
      <c r="K2224" s="54" t="s">
        <v>15</v>
      </c>
    </row>
    <row r="2225" spans="2:11" ht="33" x14ac:dyDescent="0.2">
      <c r="B2225" s="84" t="s">
        <v>4490</v>
      </c>
      <c r="C2225" s="84" t="s">
        <v>1519</v>
      </c>
      <c r="D2225" s="85">
        <v>0</v>
      </c>
      <c r="E2225" s="85"/>
      <c r="F2225" s="85">
        <v>4588.13</v>
      </c>
      <c r="G2225" s="85">
        <v>0</v>
      </c>
      <c r="H2225" s="85">
        <f t="shared" si="35"/>
        <v>4588.13</v>
      </c>
      <c r="I2225" s="85"/>
      <c r="K2225" s="54" t="s">
        <v>38</v>
      </c>
    </row>
    <row r="2226" spans="2:11" ht="16.5" x14ac:dyDescent="0.2">
      <c r="B2226" s="82" t="s">
        <v>4491</v>
      </c>
      <c r="C2226" s="82" t="s">
        <v>3450</v>
      </c>
      <c r="D2226" s="83">
        <f>SUMIFS(D2227:D6462,K2227:K6462,"0",B2227:B6462,"5 1 1 3 2 12 31111 6 M59 70600*")-SUMIFS(E2227:E6462,K2227:K6462,"0",B2227:B6462,"5 1 1 3 2 12 31111 6 M59 70600*")</f>
        <v>0</v>
      </c>
      <c r="E2226" s="54"/>
      <c r="F2226" s="83">
        <f>SUMIFS(F2227:F6462,K2227:K6462,"0",B2227:B6462,"5 1 1 3 2 12 31111 6 M59 70600*")</f>
        <v>4119.22</v>
      </c>
      <c r="G2226" s="83">
        <f>SUMIFS(G2227:G6462,K2227:K6462,"0",B2227:B6462,"5 1 1 3 2 12 31111 6 M59 70600*")</f>
        <v>0</v>
      </c>
      <c r="H2226" s="83">
        <f t="shared" si="35"/>
        <v>4119.22</v>
      </c>
      <c r="I2226" s="83"/>
      <c r="K2226" s="54" t="s">
        <v>15</v>
      </c>
    </row>
    <row r="2227" spans="2:11" ht="16.5" x14ac:dyDescent="0.2">
      <c r="B2227" s="82" t="s">
        <v>4492</v>
      </c>
      <c r="C2227" s="82" t="s">
        <v>648</v>
      </c>
      <c r="D2227" s="83">
        <f>SUMIFS(D2228:D6462,K2228:K6462,"0",B2228:B6462,"5 1 1 3 2 12 31111 6 M59 70600 000132*")-SUMIFS(E2228:E6462,K2228:K6462,"0",B2228:B6462,"5 1 1 3 2 12 31111 6 M59 70600 000132*")</f>
        <v>0</v>
      </c>
      <c r="E2227" s="54"/>
      <c r="F2227" s="83">
        <f>SUMIFS(F2228:F6462,K2228:K6462,"0",B2228:B6462,"5 1 1 3 2 12 31111 6 M59 70600 000132*")</f>
        <v>4119.22</v>
      </c>
      <c r="G2227" s="83">
        <f>SUMIFS(G2228:G6462,K2228:K6462,"0",B2228:B6462,"5 1 1 3 2 12 31111 6 M59 70600 000132*")</f>
        <v>0</v>
      </c>
      <c r="H2227" s="83">
        <f t="shared" si="35"/>
        <v>4119.22</v>
      </c>
      <c r="I2227" s="83"/>
      <c r="K2227" s="54" t="s">
        <v>15</v>
      </c>
    </row>
    <row r="2228" spans="2:11" ht="24.75" x14ac:dyDescent="0.2">
      <c r="B2228" s="82" t="s">
        <v>4493</v>
      </c>
      <c r="C2228" s="82" t="s">
        <v>650</v>
      </c>
      <c r="D2228" s="83">
        <f>SUMIFS(D2229:D6462,K2229:K6462,"0",B2229:B6462,"5 1 1 3 2 12 31111 6 M59 70600 000132 0000R*")-SUMIFS(E2229:E6462,K2229:K6462,"0",B2229:B6462,"5 1 1 3 2 12 31111 6 M59 70600 000132 0000R*")</f>
        <v>0</v>
      </c>
      <c r="E2228" s="54"/>
      <c r="F2228" s="83">
        <f>SUMIFS(F2229:F6462,K2229:K6462,"0",B2229:B6462,"5 1 1 3 2 12 31111 6 M59 70600 000132 0000R*")</f>
        <v>4119.22</v>
      </c>
      <c r="G2228" s="83">
        <f>SUMIFS(G2229:G6462,K2229:K6462,"0",B2229:B6462,"5 1 1 3 2 12 31111 6 M59 70600 000132 0000R*")</f>
        <v>0</v>
      </c>
      <c r="H2228" s="83">
        <f t="shared" si="35"/>
        <v>4119.22</v>
      </c>
      <c r="I2228" s="83"/>
      <c r="K2228" s="54" t="s">
        <v>15</v>
      </c>
    </row>
    <row r="2229" spans="2:11" ht="24.75" x14ac:dyDescent="0.2">
      <c r="B2229" s="82" t="s">
        <v>4494</v>
      </c>
      <c r="C2229" s="82" t="s">
        <v>282</v>
      </c>
      <c r="D2229" s="83">
        <f>SUMIFS(D2230:D6462,K2230:K6462,"0",B2230:B6462,"5 1 1 3 2 12 31111 6 M59 70600 000132 0000R 00001*")-SUMIFS(E2230:E6462,K2230:K6462,"0",B2230:B6462,"5 1 1 3 2 12 31111 6 M59 70600 000132 0000R 00001*")</f>
        <v>0</v>
      </c>
      <c r="E2229" s="54"/>
      <c r="F2229" s="83">
        <f>SUMIFS(F2230:F6462,K2230:K6462,"0",B2230:B6462,"5 1 1 3 2 12 31111 6 M59 70600 000132 0000R 00001*")</f>
        <v>4119.22</v>
      </c>
      <c r="G2229" s="83">
        <f>SUMIFS(G2230:G6462,K2230:K6462,"0",B2230:B6462,"5 1 1 3 2 12 31111 6 M59 70600 000132 0000R 00001*")</f>
        <v>0</v>
      </c>
      <c r="H2229" s="83">
        <f t="shared" si="35"/>
        <v>4119.22</v>
      </c>
      <c r="I2229" s="83"/>
      <c r="K2229" s="54" t="s">
        <v>15</v>
      </c>
    </row>
    <row r="2230" spans="2:11" ht="24.75" x14ac:dyDescent="0.2">
      <c r="B2230" s="82" t="s">
        <v>4495</v>
      </c>
      <c r="C2230" s="82" t="s">
        <v>4041</v>
      </c>
      <c r="D2230" s="83">
        <f>SUMIFS(D2231:D6462,K2231:K6462,"0",B2231:B6462,"5 1 1 3 2 12 31111 6 M59 70600 000132 0000R 00001 00132*")-SUMIFS(E2231:E6462,K2231:K6462,"0",B2231:B6462,"5 1 1 3 2 12 31111 6 M59 70600 000132 0000R 00001 00132*")</f>
        <v>0</v>
      </c>
      <c r="E2230" s="54"/>
      <c r="F2230" s="83">
        <f>SUMIFS(F2231:F6462,K2231:K6462,"0",B2231:B6462,"5 1 1 3 2 12 31111 6 M59 70600 000132 0000R 00001 00132*")</f>
        <v>4119.22</v>
      </c>
      <c r="G2230" s="83">
        <f>SUMIFS(G2231:G6462,K2231:K6462,"0",B2231:B6462,"5 1 1 3 2 12 31111 6 M59 70600 000132 0000R 00001 00132*")</f>
        <v>0</v>
      </c>
      <c r="H2230" s="83">
        <f t="shared" si="35"/>
        <v>4119.22</v>
      </c>
      <c r="I2230" s="83"/>
      <c r="K2230" s="54" t="s">
        <v>15</v>
      </c>
    </row>
    <row r="2231" spans="2:11" ht="33" x14ac:dyDescent="0.2">
      <c r="B2231" s="82" t="s">
        <v>4496</v>
      </c>
      <c r="C2231" s="82" t="s">
        <v>1051</v>
      </c>
      <c r="D2231" s="83">
        <f>SUMIFS(D2232:D6462,K2232:K6462,"0",B2232:B6462,"5 1 1 3 2 12 31111 6 M59 70600 000132 0000R 00001 00132 015*")-SUMIFS(E2232:E6462,K2232:K6462,"0",B2232:B6462,"5 1 1 3 2 12 31111 6 M59 70600 000132 0000R 00001 00132 015*")</f>
        <v>0</v>
      </c>
      <c r="E2231" s="54"/>
      <c r="F2231" s="83">
        <f>SUMIFS(F2232:F6462,K2232:K6462,"0",B2232:B6462,"5 1 1 3 2 12 31111 6 M59 70600 000132 0000R 00001 00132 015*")</f>
        <v>4119.22</v>
      </c>
      <c r="G2231" s="83">
        <f>SUMIFS(G2232:G6462,K2232:K6462,"0",B2232:B6462,"5 1 1 3 2 12 31111 6 M59 70600 000132 0000R 00001 00132 015*")</f>
        <v>0</v>
      </c>
      <c r="H2231" s="83">
        <f t="shared" si="35"/>
        <v>4119.22</v>
      </c>
      <c r="I2231" s="83"/>
      <c r="K2231" s="54" t="s">
        <v>15</v>
      </c>
    </row>
    <row r="2232" spans="2:11" ht="33" x14ac:dyDescent="0.2">
      <c r="B2232" s="82" t="s">
        <v>4497</v>
      </c>
      <c r="C2232" s="82" t="s">
        <v>2927</v>
      </c>
      <c r="D2232" s="83">
        <f>SUMIFS(D2233:D6462,K2233:K6462,"0",B2233:B6462,"5 1 1 3 2 12 31111 6 M59 70600 000132 0000R 00001 00132 015 2111100*")-SUMIFS(E2233:E6462,K2233:K6462,"0",B2233:B6462,"5 1 1 3 2 12 31111 6 M59 70600 000132 0000R 00001 00132 015 2111100*")</f>
        <v>0</v>
      </c>
      <c r="E2232" s="54"/>
      <c r="F2232" s="83">
        <f>SUMIFS(F2233:F6462,K2233:K6462,"0",B2233:B6462,"5 1 1 3 2 12 31111 6 M59 70600 000132 0000R 00001 00132 015 2111100*")</f>
        <v>4119.22</v>
      </c>
      <c r="G2232" s="83">
        <f>SUMIFS(G2233:G6462,K2233:K6462,"0",B2233:B6462,"5 1 1 3 2 12 31111 6 M59 70600 000132 0000R 00001 00132 015 2111100*")</f>
        <v>0</v>
      </c>
      <c r="H2232" s="83">
        <f t="shared" si="35"/>
        <v>4119.22</v>
      </c>
      <c r="I2232" s="83"/>
      <c r="K2232" s="54" t="s">
        <v>15</v>
      </c>
    </row>
    <row r="2233" spans="2:11" ht="33" x14ac:dyDescent="0.2">
      <c r="B2233" s="82" t="s">
        <v>4498</v>
      </c>
      <c r="C2233" s="82" t="s">
        <v>660</v>
      </c>
      <c r="D2233" s="83">
        <f>SUMIFS(D2234:D6462,K2234:K6462,"0",B2234:B6462,"5 1 1 3 2 12 31111 6 M59 70600 000132 0000R 00001 00132 015 2111100 2024*")-SUMIFS(E2234:E6462,K2234:K6462,"0",B2234:B6462,"5 1 1 3 2 12 31111 6 M59 70600 000132 0000R 00001 00132 015 2111100 2024*")</f>
        <v>0</v>
      </c>
      <c r="E2233" s="54"/>
      <c r="F2233" s="83">
        <f>SUMIFS(F2234:F6462,K2234:K6462,"0",B2234:B6462,"5 1 1 3 2 12 31111 6 M59 70600 000132 0000R 00001 00132 015 2111100 2024*")</f>
        <v>4119.22</v>
      </c>
      <c r="G2233" s="83">
        <f>SUMIFS(G2234:G6462,K2234:K6462,"0",B2234:B6462,"5 1 1 3 2 12 31111 6 M59 70600 000132 0000R 00001 00132 015 2111100 2024*")</f>
        <v>0</v>
      </c>
      <c r="H2233" s="83">
        <f t="shared" si="35"/>
        <v>4119.22</v>
      </c>
      <c r="I2233" s="83"/>
      <c r="K2233" s="54" t="s">
        <v>15</v>
      </c>
    </row>
    <row r="2234" spans="2:11" ht="41.25" x14ac:dyDescent="0.2">
      <c r="B2234" s="82" t="s">
        <v>4499</v>
      </c>
      <c r="C2234" s="82" t="s">
        <v>1056</v>
      </c>
      <c r="D2234" s="83">
        <f>SUMIFS(D2235:D6462,K2235:K6462,"0",B2235:B6462,"5 1 1 3 2 12 31111 6 M59 70600 000132 0000R 00001 00132 015 2111100 2024 CP1DJ409*")-SUMIFS(E2235:E6462,K2235:K6462,"0",B2235:B6462,"5 1 1 3 2 12 31111 6 M59 70600 000132 0000R 00001 00132 015 2111100 2024 CP1DJ409*")</f>
        <v>0</v>
      </c>
      <c r="E2234" s="54"/>
      <c r="F2234" s="83">
        <f>SUMIFS(F2235:F6462,K2235:K6462,"0",B2235:B6462,"5 1 1 3 2 12 31111 6 M59 70600 000132 0000R 00001 00132 015 2111100 2024 CP1DJ409*")</f>
        <v>4119.22</v>
      </c>
      <c r="G2234" s="83">
        <f>SUMIFS(G2235:G6462,K2235:K6462,"0",B2235:B6462,"5 1 1 3 2 12 31111 6 M59 70600 000132 0000R 00001 00132 015 2111100 2024 CP1DJ409*")</f>
        <v>0</v>
      </c>
      <c r="H2234" s="83">
        <f t="shared" si="35"/>
        <v>4119.22</v>
      </c>
      <c r="I2234" s="83"/>
      <c r="K2234" s="54" t="s">
        <v>15</v>
      </c>
    </row>
    <row r="2235" spans="2:11" ht="41.25" x14ac:dyDescent="0.2">
      <c r="B2235" s="82" t="s">
        <v>4500</v>
      </c>
      <c r="C2235" s="82" t="s">
        <v>282</v>
      </c>
      <c r="D2235" s="83">
        <f>SUMIFS(D2236:D6462,K2236:K6462,"0",B2236:B6462,"5 1 1 3 2 12 31111 6 M59 70600 000132 0000R 00001 00132 015 2111100 2024 CP1DJ409 001*")-SUMIFS(E2236:E6462,K2236:K6462,"0",B2236:B6462,"5 1 1 3 2 12 31111 6 M59 70600 000132 0000R 00001 00132 015 2111100 2024 CP1DJ409 001*")</f>
        <v>0</v>
      </c>
      <c r="E2235" s="54"/>
      <c r="F2235" s="83">
        <f>SUMIFS(F2236:F6462,K2236:K6462,"0",B2236:B6462,"5 1 1 3 2 12 31111 6 M59 70600 000132 0000R 00001 00132 015 2111100 2024 CP1DJ409 001*")</f>
        <v>4119.22</v>
      </c>
      <c r="G2235" s="83">
        <f>SUMIFS(G2236:G6462,K2236:K6462,"0",B2236:B6462,"5 1 1 3 2 12 31111 6 M59 70600 000132 0000R 00001 00132 015 2111100 2024 CP1DJ409 001*")</f>
        <v>0</v>
      </c>
      <c r="H2235" s="83">
        <f t="shared" si="35"/>
        <v>4119.22</v>
      </c>
      <c r="I2235" s="83"/>
      <c r="K2235" s="54" t="s">
        <v>15</v>
      </c>
    </row>
    <row r="2236" spans="2:11" ht="33" x14ac:dyDescent="0.2">
      <c r="B2236" s="84" t="s">
        <v>4501</v>
      </c>
      <c r="C2236" s="84" t="s">
        <v>1519</v>
      </c>
      <c r="D2236" s="85">
        <v>0</v>
      </c>
      <c r="E2236" s="85"/>
      <c r="F2236" s="85">
        <v>4119.22</v>
      </c>
      <c r="G2236" s="85">
        <v>0</v>
      </c>
      <c r="H2236" s="85">
        <f t="shared" si="35"/>
        <v>4119.22</v>
      </c>
      <c r="I2236" s="85"/>
      <c r="K2236" s="54" t="s">
        <v>38</v>
      </c>
    </row>
    <row r="2237" spans="2:11" ht="16.5" x14ac:dyDescent="0.2">
      <c r="B2237" s="82" t="s">
        <v>4502</v>
      </c>
      <c r="C2237" s="82" t="s">
        <v>3462</v>
      </c>
      <c r="D2237" s="83">
        <f>SUMIFS(D2238:D6462,K2238:K6462,"0",B2238:B6462,"5 1 1 3 2 12 31111 6 M59 70700*")-SUMIFS(E2238:E6462,K2238:K6462,"0",B2238:B6462,"5 1 1 3 2 12 31111 6 M59 70700*")</f>
        <v>0</v>
      </c>
      <c r="E2237" s="54"/>
      <c r="F2237" s="83">
        <f>SUMIFS(F2238:F6462,K2238:K6462,"0",B2238:B6462,"5 1 1 3 2 12 31111 6 M59 70700*")</f>
        <v>4240.47</v>
      </c>
      <c r="G2237" s="83">
        <f>SUMIFS(G2238:G6462,K2238:K6462,"0",B2238:B6462,"5 1 1 3 2 12 31111 6 M59 70700*")</f>
        <v>0</v>
      </c>
      <c r="H2237" s="83">
        <f t="shared" si="35"/>
        <v>4240.47</v>
      </c>
      <c r="I2237" s="83"/>
      <c r="K2237" s="54" t="s">
        <v>15</v>
      </c>
    </row>
    <row r="2238" spans="2:11" ht="16.5" x14ac:dyDescent="0.2">
      <c r="B2238" s="82" t="s">
        <v>4503</v>
      </c>
      <c r="C2238" s="82" t="s">
        <v>648</v>
      </c>
      <c r="D2238" s="83">
        <f>SUMIFS(D2239:D6462,K2239:K6462,"0",B2239:B6462,"5 1 1 3 2 12 31111 6 M59 70700 000132*")-SUMIFS(E2239:E6462,K2239:K6462,"0",B2239:B6462,"5 1 1 3 2 12 31111 6 M59 70700 000132*")</f>
        <v>0</v>
      </c>
      <c r="E2238" s="54"/>
      <c r="F2238" s="83">
        <f>SUMIFS(F2239:F6462,K2239:K6462,"0",B2239:B6462,"5 1 1 3 2 12 31111 6 M59 70700 000132*")</f>
        <v>4240.47</v>
      </c>
      <c r="G2238" s="83">
        <f>SUMIFS(G2239:G6462,K2239:K6462,"0",B2239:B6462,"5 1 1 3 2 12 31111 6 M59 70700 000132*")</f>
        <v>0</v>
      </c>
      <c r="H2238" s="83">
        <f t="shared" si="35"/>
        <v>4240.47</v>
      </c>
      <c r="I2238" s="83"/>
      <c r="K2238" s="54" t="s">
        <v>15</v>
      </c>
    </row>
    <row r="2239" spans="2:11" ht="24.75" x14ac:dyDescent="0.2">
      <c r="B2239" s="82" t="s">
        <v>4504</v>
      </c>
      <c r="C2239" s="82" t="s">
        <v>650</v>
      </c>
      <c r="D2239" s="83">
        <f>SUMIFS(D2240:D6462,K2240:K6462,"0",B2240:B6462,"5 1 1 3 2 12 31111 6 M59 70700 000132 0000R*")-SUMIFS(E2240:E6462,K2240:K6462,"0",B2240:B6462,"5 1 1 3 2 12 31111 6 M59 70700 000132 0000R*")</f>
        <v>0</v>
      </c>
      <c r="E2239" s="54"/>
      <c r="F2239" s="83">
        <f>SUMIFS(F2240:F6462,K2240:K6462,"0",B2240:B6462,"5 1 1 3 2 12 31111 6 M59 70700 000132 0000R*")</f>
        <v>4240.47</v>
      </c>
      <c r="G2239" s="83">
        <f>SUMIFS(G2240:G6462,K2240:K6462,"0",B2240:B6462,"5 1 1 3 2 12 31111 6 M59 70700 000132 0000R*")</f>
        <v>0</v>
      </c>
      <c r="H2239" s="83">
        <f t="shared" si="35"/>
        <v>4240.47</v>
      </c>
      <c r="I2239" s="83"/>
      <c r="K2239" s="54" t="s">
        <v>15</v>
      </c>
    </row>
    <row r="2240" spans="2:11" ht="24.75" x14ac:dyDescent="0.2">
      <c r="B2240" s="82" t="s">
        <v>4505</v>
      </c>
      <c r="C2240" s="82" t="s">
        <v>282</v>
      </c>
      <c r="D2240" s="83">
        <f>SUMIFS(D2241:D6462,K2241:K6462,"0",B2241:B6462,"5 1 1 3 2 12 31111 6 M59 70700 000132 0000R 00001*")-SUMIFS(E2241:E6462,K2241:K6462,"0",B2241:B6462,"5 1 1 3 2 12 31111 6 M59 70700 000132 0000R 00001*")</f>
        <v>0</v>
      </c>
      <c r="E2240" s="54"/>
      <c r="F2240" s="83">
        <f>SUMIFS(F2241:F6462,K2241:K6462,"0",B2241:B6462,"5 1 1 3 2 12 31111 6 M59 70700 000132 0000R 00001*")</f>
        <v>4240.47</v>
      </c>
      <c r="G2240" s="83">
        <f>SUMIFS(G2241:G6462,K2241:K6462,"0",B2241:B6462,"5 1 1 3 2 12 31111 6 M59 70700 000132 0000R 00001*")</f>
        <v>0</v>
      </c>
      <c r="H2240" s="83">
        <f t="shared" si="35"/>
        <v>4240.47</v>
      </c>
      <c r="I2240" s="83"/>
      <c r="K2240" s="54" t="s">
        <v>15</v>
      </c>
    </row>
    <row r="2241" spans="2:11" ht="24.75" x14ac:dyDescent="0.2">
      <c r="B2241" s="82" t="s">
        <v>4506</v>
      </c>
      <c r="C2241" s="82" t="s">
        <v>4041</v>
      </c>
      <c r="D2241" s="83">
        <f>SUMIFS(D2242:D6462,K2242:K6462,"0",B2242:B6462,"5 1 1 3 2 12 31111 6 M59 70700 000132 0000R 00001 00132*")-SUMIFS(E2242:E6462,K2242:K6462,"0",B2242:B6462,"5 1 1 3 2 12 31111 6 M59 70700 000132 0000R 00001 00132*")</f>
        <v>0</v>
      </c>
      <c r="E2241" s="54"/>
      <c r="F2241" s="83">
        <f>SUMIFS(F2242:F6462,K2242:K6462,"0",B2242:B6462,"5 1 1 3 2 12 31111 6 M59 70700 000132 0000R 00001 00132*")</f>
        <v>4240.47</v>
      </c>
      <c r="G2241" s="83">
        <f>SUMIFS(G2242:G6462,K2242:K6462,"0",B2242:B6462,"5 1 1 3 2 12 31111 6 M59 70700 000132 0000R 00001 00132*")</f>
        <v>0</v>
      </c>
      <c r="H2241" s="83">
        <f t="shared" si="35"/>
        <v>4240.47</v>
      </c>
      <c r="I2241" s="83"/>
      <c r="K2241" s="54" t="s">
        <v>15</v>
      </c>
    </row>
    <row r="2242" spans="2:11" ht="33" x14ac:dyDescent="0.2">
      <c r="B2242" s="82" t="s">
        <v>4507</v>
      </c>
      <c r="C2242" s="82" t="s">
        <v>1051</v>
      </c>
      <c r="D2242" s="83">
        <f>SUMIFS(D2243:D6462,K2243:K6462,"0",B2243:B6462,"5 1 1 3 2 12 31111 6 M59 70700 000132 0000R 00001 00132 015*")-SUMIFS(E2243:E6462,K2243:K6462,"0",B2243:B6462,"5 1 1 3 2 12 31111 6 M59 70700 000132 0000R 00001 00132 015*")</f>
        <v>0</v>
      </c>
      <c r="E2242" s="54"/>
      <c r="F2242" s="83">
        <f>SUMIFS(F2243:F6462,K2243:K6462,"0",B2243:B6462,"5 1 1 3 2 12 31111 6 M59 70700 000132 0000R 00001 00132 015*")</f>
        <v>4240.47</v>
      </c>
      <c r="G2242" s="83">
        <f>SUMIFS(G2243:G6462,K2243:K6462,"0",B2243:B6462,"5 1 1 3 2 12 31111 6 M59 70700 000132 0000R 00001 00132 015*")</f>
        <v>0</v>
      </c>
      <c r="H2242" s="83">
        <f t="shared" si="35"/>
        <v>4240.47</v>
      </c>
      <c r="I2242" s="83"/>
      <c r="K2242" s="54" t="s">
        <v>15</v>
      </c>
    </row>
    <row r="2243" spans="2:11" ht="33" x14ac:dyDescent="0.2">
      <c r="B2243" s="82" t="s">
        <v>4508</v>
      </c>
      <c r="C2243" s="82" t="s">
        <v>2927</v>
      </c>
      <c r="D2243" s="83">
        <f>SUMIFS(D2244:D6462,K2244:K6462,"0",B2244:B6462,"5 1 1 3 2 12 31111 6 M59 70700 000132 0000R 00001 00132 015 2111100*")-SUMIFS(E2244:E6462,K2244:K6462,"0",B2244:B6462,"5 1 1 3 2 12 31111 6 M59 70700 000132 0000R 00001 00132 015 2111100*")</f>
        <v>0</v>
      </c>
      <c r="E2243" s="54"/>
      <c r="F2243" s="83">
        <f>SUMIFS(F2244:F6462,K2244:K6462,"0",B2244:B6462,"5 1 1 3 2 12 31111 6 M59 70700 000132 0000R 00001 00132 015 2111100*")</f>
        <v>4240.47</v>
      </c>
      <c r="G2243" s="83">
        <f>SUMIFS(G2244:G6462,K2244:K6462,"0",B2244:B6462,"5 1 1 3 2 12 31111 6 M59 70700 000132 0000R 00001 00132 015 2111100*")</f>
        <v>0</v>
      </c>
      <c r="H2243" s="83">
        <f t="shared" si="35"/>
        <v>4240.47</v>
      </c>
      <c r="I2243" s="83"/>
      <c r="K2243" s="54" t="s">
        <v>15</v>
      </c>
    </row>
    <row r="2244" spans="2:11" ht="33" x14ac:dyDescent="0.2">
      <c r="B2244" s="82" t="s">
        <v>4509</v>
      </c>
      <c r="C2244" s="82" t="s">
        <v>660</v>
      </c>
      <c r="D2244" s="83">
        <f>SUMIFS(D2245:D6462,K2245:K6462,"0",B2245:B6462,"5 1 1 3 2 12 31111 6 M59 70700 000132 0000R 00001 00132 015 2111100 2024*")-SUMIFS(E2245:E6462,K2245:K6462,"0",B2245:B6462,"5 1 1 3 2 12 31111 6 M59 70700 000132 0000R 00001 00132 015 2111100 2024*")</f>
        <v>0</v>
      </c>
      <c r="E2244" s="54"/>
      <c r="F2244" s="83">
        <f>SUMIFS(F2245:F6462,K2245:K6462,"0",B2245:B6462,"5 1 1 3 2 12 31111 6 M59 70700 000132 0000R 00001 00132 015 2111100 2024*")</f>
        <v>4240.47</v>
      </c>
      <c r="G2244" s="83">
        <f>SUMIFS(G2245:G6462,K2245:K6462,"0",B2245:B6462,"5 1 1 3 2 12 31111 6 M59 70700 000132 0000R 00001 00132 015 2111100 2024*")</f>
        <v>0</v>
      </c>
      <c r="H2244" s="83">
        <f t="shared" si="35"/>
        <v>4240.47</v>
      </c>
      <c r="I2244" s="83"/>
      <c r="K2244" s="54" t="s">
        <v>15</v>
      </c>
    </row>
    <row r="2245" spans="2:11" ht="41.25" x14ac:dyDescent="0.2">
      <c r="B2245" s="82" t="s">
        <v>4510</v>
      </c>
      <c r="C2245" s="82" t="s">
        <v>1056</v>
      </c>
      <c r="D2245" s="83">
        <f>SUMIFS(D2246:D6462,K2246:K6462,"0",B2246:B6462,"5 1 1 3 2 12 31111 6 M59 70700 000132 0000R 00001 00132 015 2111100 2024 CP1SA397*")-SUMIFS(E2246:E6462,K2246:K6462,"0",B2246:B6462,"5 1 1 3 2 12 31111 6 M59 70700 000132 0000R 00001 00132 015 2111100 2024 CP1SA397*")</f>
        <v>0</v>
      </c>
      <c r="E2245" s="54"/>
      <c r="F2245" s="83">
        <f>SUMIFS(F2246:F6462,K2246:K6462,"0",B2246:B6462,"5 1 1 3 2 12 31111 6 M59 70700 000132 0000R 00001 00132 015 2111100 2024 CP1SA397*")</f>
        <v>4240.47</v>
      </c>
      <c r="G2245" s="83">
        <f>SUMIFS(G2246:G6462,K2246:K6462,"0",B2246:B6462,"5 1 1 3 2 12 31111 6 M59 70700 000132 0000R 00001 00132 015 2111100 2024 CP1SA397*")</f>
        <v>0</v>
      </c>
      <c r="H2245" s="83">
        <f t="shared" si="35"/>
        <v>4240.47</v>
      </c>
      <c r="I2245" s="83"/>
      <c r="K2245" s="54" t="s">
        <v>15</v>
      </c>
    </row>
    <row r="2246" spans="2:11" ht="41.25" x14ac:dyDescent="0.2">
      <c r="B2246" s="82" t="s">
        <v>4511</v>
      </c>
      <c r="C2246" s="82" t="s">
        <v>282</v>
      </c>
      <c r="D2246" s="83">
        <f>SUMIFS(D2247:D6462,K2247:K6462,"0",B2247:B6462,"5 1 1 3 2 12 31111 6 M59 70700 000132 0000R 00001 00132 015 2111100 2024 CP1SA397 001*")-SUMIFS(E2247:E6462,K2247:K6462,"0",B2247:B6462,"5 1 1 3 2 12 31111 6 M59 70700 000132 0000R 00001 00132 015 2111100 2024 CP1SA397 001*")</f>
        <v>0</v>
      </c>
      <c r="E2246" s="54"/>
      <c r="F2246" s="83">
        <f>SUMIFS(F2247:F6462,K2247:K6462,"0",B2247:B6462,"5 1 1 3 2 12 31111 6 M59 70700 000132 0000R 00001 00132 015 2111100 2024 CP1SA397 001*")</f>
        <v>4240.47</v>
      </c>
      <c r="G2246" s="83">
        <f>SUMIFS(G2247:G6462,K2247:K6462,"0",B2247:B6462,"5 1 1 3 2 12 31111 6 M59 70700 000132 0000R 00001 00132 015 2111100 2024 CP1SA397 001*")</f>
        <v>0</v>
      </c>
      <c r="H2246" s="83">
        <f t="shared" si="35"/>
        <v>4240.47</v>
      </c>
      <c r="I2246" s="83"/>
      <c r="K2246" s="54" t="s">
        <v>15</v>
      </c>
    </row>
    <row r="2247" spans="2:11" ht="33" x14ac:dyDescent="0.2">
      <c r="B2247" s="84" t="s">
        <v>4512</v>
      </c>
      <c r="C2247" s="84" t="s">
        <v>1519</v>
      </c>
      <c r="D2247" s="85">
        <v>0</v>
      </c>
      <c r="E2247" s="85"/>
      <c r="F2247" s="85">
        <v>4240.47</v>
      </c>
      <c r="G2247" s="85">
        <v>0</v>
      </c>
      <c r="H2247" s="85">
        <f t="shared" si="35"/>
        <v>4240.47</v>
      </c>
      <c r="I2247" s="85"/>
      <c r="K2247" s="54" t="s">
        <v>38</v>
      </c>
    </row>
    <row r="2248" spans="2:11" ht="16.5" x14ac:dyDescent="0.2">
      <c r="B2248" s="82" t="s">
        <v>4513</v>
      </c>
      <c r="C2248" s="82" t="s">
        <v>3474</v>
      </c>
      <c r="D2248" s="83">
        <f>SUMIFS(D2249:D6462,K2249:K6462,"0",B2249:B6462,"5 1 1 3 2 12 31111 6 M59 70800*")-SUMIFS(E2249:E6462,K2249:K6462,"0",B2249:B6462,"5 1 1 3 2 12 31111 6 M59 70800*")</f>
        <v>0</v>
      </c>
      <c r="E2248" s="54"/>
      <c r="F2248" s="83">
        <f>SUMIFS(F2249:F6462,K2249:K6462,"0",B2249:B6462,"5 1 1 3 2 12 31111 6 M59 70800*")</f>
        <v>18286.32</v>
      </c>
      <c r="G2248" s="83">
        <f>SUMIFS(G2249:G6462,K2249:K6462,"0",B2249:B6462,"5 1 1 3 2 12 31111 6 M59 70800*")</f>
        <v>0</v>
      </c>
      <c r="H2248" s="83">
        <f t="shared" si="35"/>
        <v>18286.32</v>
      </c>
      <c r="I2248" s="83"/>
      <c r="K2248" s="54" t="s">
        <v>15</v>
      </c>
    </row>
    <row r="2249" spans="2:11" ht="16.5" x14ac:dyDescent="0.2">
      <c r="B2249" s="82" t="s">
        <v>4514</v>
      </c>
      <c r="C2249" s="82" t="s">
        <v>648</v>
      </c>
      <c r="D2249" s="83">
        <f>SUMIFS(D2250:D6462,K2250:K6462,"0",B2250:B6462,"5 1 1 3 2 12 31111 6 M59 70800 000132*")-SUMIFS(E2250:E6462,K2250:K6462,"0",B2250:B6462,"5 1 1 3 2 12 31111 6 M59 70800 000132*")</f>
        <v>0</v>
      </c>
      <c r="E2249" s="54"/>
      <c r="F2249" s="83">
        <f>SUMIFS(F2250:F6462,K2250:K6462,"0",B2250:B6462,"5 1 1 3 2 12 31111 6 M59 70800 000132*")</f>
        <v>18286.32</v>
      </c>
      <c r="G2249" s="83">
        <f>SUMIFS(G2250:G6462,K2250:K6462,"0",B2250:B6462,"5 1 1 3 2 12 31111 6 M59 70800 000132*")</f>
        <v>0</v>
      </c>
      <c r="H2249" s="83">
        <f t="shared" si="35"/>
        <v>18286.32</v>
      </c>
      <c r="I2249" s="83"/>
      <c r="K2249" s="54" t="s">
        <v>15</v>
      </c>
    </row>
    <row r="2250" spans="2:11" ht="24.75" x14ac:dyDescent="0.2">
      <c r="B2250" s="82" t="s">
        <v>4515</v>
      </c>
      <c r="C2250" s="82" t="s">
        <v>650</v>
      </c>
      <c r="D2250" s="83">
        <f>SUMIFS(D2251:D6462,K2251:K6462,"0",B2251:B6462,"5 1 1 3 2 12 31111 6 M59 70800 000132 0000R*")-SUMIFS(E2251:E6462,K2251:K6462,"0",B2251:B6462,"5 1 1 3 2 12 31111 6 M59 70800 000132 0000R*")</f>
        <v>0</v>
      </c>
      <c r="E2250" s="54"/>
      <c r="F2250" s="83">
        <f>SUMIFS(F2251:F6462,K2251:K6462,"0",B2251:B6462,"5 1 1 3 2 12 31111 6 M59 70800 000132 0000R*")</f>
        <v>18286.32</v>
      </c>
      <c r="G2250" s="83">
        <f>SUMIFS(G2251:G6462,K2251:K6462,"0",B2251:B6462,"5 1 1 3 2 12 31111 6 M59 70800 000132 0000R*")</f>
        <v>0</v>
      </c>
      <c r="H2250" s="83">
        <f t="shared" si="35"/>
        <v>18286.32</v>
      </c>
      <c r="I2250" s="83"/>
      <c r="K2250" s="54" t="s">
        <v>15</v>
      </c>
    </row>
    <row r="2251" spans="2:11" ht="24.75" x14ac:dyDescent="0.2">
      <c r="B2251" s="82" t="s">
        <v>4516</v>
      </c>
      <c r="C2251" s="82" t="s">
        <v>282</v>
      </c>
      <c r="D2251" s="83">
        <f>SUMIFS(D2252:D6462,K2252:K6462,"0",B2252:B6462,"5 1 1 3 2 12 31111 6 M59 70800 000132 0000R 00001*")-SUMIFS(E2252:E6462,K2252:K6462,"0",B2252:B6462,"5 1 1 3 2 12 31111 6 M59 70800 000132 0000R 00001*")</f>
        <v>0</v>
      </c>
      <c r="E2251" s="54"/>
      <c r="F2251" s="83">
        <f>SUMIFS(F2252:F6462,K2252:K6462,"0",B2252:B6462,"5 1 1 3 2 12 31111 6 M59 70800 000132 0000R 00001*")</f>
        <v>18286.32</v>
      </c>
      <c r="G2251" s="83">
        <f>SUMIFS(G2252:G6462,K2252:K6462,"0",B2252:B6462,"5 1 1 3 2 12 31111 6 M59 70800 000132 0000R 00001*")</f>
        <v>0</v>
      </c>
      <c r="H2251" s="83">
        <f t="shared" si="35"/>
        <v>18286.32</v>
      </c>
      <c r="I2251" s="83"/>
      <c r="K2251" s="54" t="s">
        <v>15</v>
      </c>
    </row>
    <row r="2252" spans="2:11" ht="24.75" x14ac:dyDescent="0.2">
      <c r="B2252" s="82" t="s">
        <v>4517</v>
      </c>
      <c r="C2252" s="82" t="s">
        <v>4041</v>
      </c>
      <c r="D2252" s="83">
        <f>SUMIFS(D2253:D6462,K2253:K6462,"0",B2253:B6462,"5 1 1 3 2 12 31111 6 M59 70800 000132 0000R 00001 00132*")-SUMIFS(E2253:E6462,K2253:K6462,"0",B2253:B6462,"5 1 1 3 2 12 31111 6 M59 70800 000132 0000R 00001 00132*")</f>
        <v>0</v>
      </c>
      <c r="E2252" s="54"/>
      <c r="F2252" s="83">
        <f>SUMIFS(F2253:F6462,K2253:K6462,"0",B2253:B6462,"5 1 1 3 2 12 31111 6 M59 70800 000132 0000R 00001 00132*")</f>
        <v>18286.32</v>
      </c>
      <c r="G2252" s="83">
        <f>SUMIFS(G2253:G6462,K2253:K6462,"0",B2253:B6462,"5 1 1 3 2 12 31111 6 M59 70800 000132 0000R 00001 00132*")</f>
        <v>0</v>
      </c>
      <c r="H2252" s="83">
        <f t="shared" si="35"/>
        <v>18286.32</v>
      </c>
      <c r="I2252" s="83"/>
      <c r="K2252" s="54" t="s">
        <v>15</v>
      </c>
    </row>
    <row r="2253" spans="2:11" ht="33" x14ac:dyDescent="0.2">
      <c r="B2253" s="82" t="s">
        <v>4518</v>
      </c>
      <c r="C2253" s="82" t="s">
        <v>1051</v>
      </c>
      <c r="D2253" s="83">
        <f>SUMIFS(D2254:D6462,K2254:K6462,"0",B2254:B6462,"5 1 1 3 2 12 31111 6 M59 70800 000132 0000R 00001 00132 015*")-SUMIFS(E2254:E6462,K2254:K6462,"0",B2254:B6462,"5 1 1 3 2 12 31111 6 M59 70800 000132 0000R 00001 00132 015*")</f>
        <v>0</v>
      </c>
      <c r="E2253" s="54"/>
      <c r="F2253" s="83">
        <f>SUMIFS(F2254:F6462,K2254:K6462,"0",B2254:B6462,"5 1 1 3 2 12 31111 6 M59 70800 000132 0000R 00001 00132 015*")</f>
        <v>18286.32</v>
      </c>
      <c r="G2253" s="83">
        <f>SUMIFS(G2254:G6462,K2254:K6462,"0",B2254:B6462,"5 1 1 3 2 12 31111 6 M59 70800 000132 0000R 00001 00132 015*")</f>
        <v>0</v>
      </c>
      <c r="H2253" s="83">
        <f t="shared" si="35"/>
        <v>18286.32</v>
      </c>
      <c r="I2253" s="83"/>
      <c r="K2253" s="54" t="s">
        <v>15</v>
      </c>
    </row>
    <row r="2254" spans="2:11" ht="33" x14ac:dyDescent="0.2">
      <c r="B2254" s="82" t="s">
        <v>4519</v>
      </c>
      <c r="C2254" s="82" t="s">
        <v>2927</v>
      </c>
      <c r="D2254" s="83">
        <f>SUMIFS(D2255:D6462,K2255:K6462,"0",B2255:B6462,"5 1 1 3 2 12 31111 6 M59 70800 000132 0000R 00001 00132 015 2111100*")-SUMIFS(E2255:E6462,K2255:K6462,"0",B2255:B6462,"5 1 1 3 2 12 31111 6 M59 70800 000132 0000R 00001 00132 015 2111100*")</f>
        <v>0</v>
      </c>
      <c r="E2254" s="54"/>
      <c r="F2254" s="83">
        <f>SUMIFS(F2255:F6462,K2255:K6462,"0",B2255:B6462,"5 1 1 3 2 12 31111 6 M59 70800 000132 0000R 00001 00132 015 2111100*")</f>
        <v>18286.32</v>
      </c>
      <c r="G2254" s="83">
        <f>SUMIFS(G2255:G6462,K2255:K6462,"0",B2255:B6462,"5 1 1 3 2 12 31111 6 M59 70800 000132 0000R 00001 00132 015 2111100*")</f>
        <v>0</v>
      </c>
      <c r="H2254" s="83">
        <f t="shared" si="35"/>
        <v>18286.32</v>
      </c>
      <c r="I2254" s="83"/>
      <c r="K2254" s="54" t="s">
        <v>15</v>
      </c>
    </row>
    <row r="2255" spans="2:11" ht="33" x14ac:dyDescent="0.2">
      <c r="B2255" s="82" t="s">
        <v>4520</v>
      </c>
      <c r="C2255" s="82" t="s">
        <v>660</v>
      </c>
      <c r="D2255" s="83">
        <f>SUMIFS(D2256:D6462,K2256:K6462,"0",B2256:B6462,"5 1 1 3 2 12 31111 6 M59 70800 000132 0000R 00001 00132 015 2111100 2024*")-SUMIFS(E2256:E6462,K2256:K6462,"0",B2256:B6462,"5 1 1 3 2 12 31111 6 M59 70800 000132 0000R 00001 00132 015 2111100 2024*")</f>
        <v>0</v>
      </c>
      <c r="E2255" s="54"/>
      <c r="F2255" s="83">
        <f>SUMIFS(F2256:F6462,K2256:K6462,"0",B2256:B6462,"5 1 1 3 2 12 31111 6 M59 70800 000132 0000R 00001 00132 015 2111100 2024*")</f>
        <v>18286.32</v>
      </c>
      <c r="G2255" s="83">
        <f>SUMIFS(G2256:G6462,K2256:K6462,"0",B2256:B6462,"5 1 1 3 2 12 31111 6 M59 70800 000132 0000R 00001 00132 015 2111100 2024*")</f>
        <v>0</v>
      </c>
      <c r="H2255" s="83">
        <f t="shared" si="35"/>
        <v>18286.32</v>
      </c>
      <c r="I2255" s="83"/>
      <c r="K2255" s="54" t="s">
        <v>15</v>
      </c>
    </row>
    <row r="2256" spans="2:11" ht="41.25" x14ac:dyDescent="0.2">
      <c r="B2256" s="82" t="s">
        <v>4521</v>
      </c>
      <c r="C2256" s="82" t="s">
        <v>662</v>
      </c>
      <c r="D2256" s="83">
        <f>SUMIFS(D2257:D6462,K2257:K6462,"0",B2257:B6462,"5 1 1 3 2 12 31111 6 M59 70800 000132 0000R 00001 00132 015 2111100 2024 CP1ED416*")-SUMIFS(E2257:E6462,K2257:K6462,"0",B2257:B6462,"5 1 1 3 2 12 31111 6 M59 70800 000132 0000R 00001 00132 015 2111100 2024 CP1ED416*")</f>
        <v>0</v>
      </c>
      <c r="E2256" s="54"/>
      <c r="F2256" s="83">
        <f>SUMIFS(F2257:F6462,K2257:K6462,"0",B2257:B6462,"5 1 1 3 2 12 31111 6 M59 70800 000132 0000R 00001 00132 015 2111100 2024 CP1ED416*")</f>
        <v>18286.32</v>
      </c>
      <c r="G2256" s="83">
        <f>SUMIFS(G2257:G6462,K2257:K6462,"0",B2257:B6462,"5 1 1 3 2 12 31111 6 M59 70800 000132 0000R 00001 00132 015 2111100 2024 CP1ED416*")</f>
        <v>0</v>
      </c>
      <c r="H2256" s="83">
        <f t="shared" si="35"/>
        <v>18286.32</v>
      </c>
      <c r="I2256" s="83"/>
      <c r="K2256" s="54" t="s">
        <v>15</v>
      </c>
    </row>
    <row r="2257" spans="2:11" ht="41.25" x14ac:dyDescent="0.2">
      <c r="B2257" s="82" t="s">
        <v>4522</v>
      </c>
      <c r="C2257" s="82" t="s">
        <v>282</v>
      </c>
      <c r="D2257" s="83">
        <f>SUMIFS(D2258:D6462,K2258:K6462,"0",B2258:B6462,"5 1 1 3 2 12 31111 6 M59 70800 000132 0000R 00001 00132 015 2111100 2024 CP1ED416 001*")-SUMIFS(E2258:E6462,K2258:K6462,"0",B2258:B6462,"5 1 1 3 2 12 31111 6 M59 70800 000132 0000R 00001 00132 015 2111100 2024 CP1ED416 001*")</f>
        <v>0</v>
      </c>
      <c r="E2257" s="54"/>
      <c r="F2257" s="83">
        <f>SUMIFS(F2258:F6462,K2258:K6462,"0",B2258:B6462,"5 1 1 3 2 12 31111 6 M59 70800 000132 0000R 00001 00132 015 2111100 2024 CP1ED416 001*")</f>
        <v>18286.32</v>
      </c>
      <c r="G2257" s="83">
        <f>SUMIFS(G2258:G6462,K2258:K6462,"0",B2258:B6462,"5 1 1 3 2 12 31111 6 M59 70800 000132 0000R 00001 00132 015 2111100 2024 CP1ED416 001*")</f>
        <v>0</v>
      </c>
      <c r="H2257" s="83">
        <f t="shared" si="35"/>
        <v>18286.32</v>
      </c>
      <c r="I2257" s="83"/>
      <c r="K2257" s="54" t="s">
        <v>15</v>
      </c>
    </row>
    <row r="2258" spans="2:11" ht="33" x14ac:dyDescent="0.2">
      <c r="B2258" s="84" t="s">
        <v>4523</v>
      </c>
      <c r="C2258" s="84" t="s">
        <v>1519</v>
      </c>
      <c r="D2258" s="85">
        <v>0</v>
      </c>
      <c r="E2258" s="85"/>
      <c r="F2258" s="85">
        <v>16703.18</v>
      </c>
      <c r="G2258" s="85">
        <v>0</v>
      </c>
      <c r="H2258" s="85">
        <f t="shared" si="35"/>
        <v>16703.18</v>
      </c>
      <c r="I2258" s="85"/>
      <c r="K2258" s="54" t="s">
        <v>38</v>
      </c>
    </row>
    <row r="2259" spans="2:11" ht="33" x14ac:dyDescent="0.2">
      <c r="B2259" s="84" t="s">
        <v>4524</v>
      </c>
      <c r="C2259" s="84" t="s">
        <v>4071</v>
      </c>
      <c r="D2259" s="85">
        <v>0</v>
      </c>
      <c r="E2259" s="85"/>
      <c r="F2259" s="85">
        <v>1583.14</v>
      </c>
      <c r="G2259" s="85">
        <v>0</v>
      </c>
      <c r="H2259" s="85">
        <f t="shared" si="35"/>
        <v>1583.14</v>
      </c>
      <c r="I2259" s="85"/>
      <c r="K2259" s="54" t="s">
        <v>38</v>
      </c>
    </row>
    <row r="2260" spans="2:11" ht="16.5" x14ac:dyDescent="0.2">
      <c r="B2260" s="82" t="s">
        <v>4525</v>
      </c>
      <c r="C2260" s="82" t="s">
        <v>3486</v>
      </c>
      <c r="D2260" s="83">
        <f>SUMIFS(D2261:D6462,K2261:K6462,"0",B2261:B6462,"5 1 1 3 2 12 31111 6 M59 70900*")-SUMIFS(E2261:E6462,K2261:K6462,"0",B2261:B6462,"5 1 1 3 2 12 31111 6 M59 70900*")</f>
        <v>0</v>
      </c>
      <c r="E2260" s="54"/>
      <c r="F2260" s="83">
        <f>SUMIFS(F2261:F6462,K2261:K6462,"0",B2261:B6462,"5 1 1 3 2 12 31111 6 M59 70900*")</f>
        <v>3016.4</v>
      </c>
      <c r="G2260" s="83">
        <f>SUMIFS(G2261:G6462,K2261:K6462,"0",B2261:B6462,"5 1 1 3 2 12 31111 6 M59 70900*")</f>
        <v>0</v>
      </c>
      <c r="H2260" s="83">
        <f t="shared" si="35"/>
        <v>3016.4</v>
      </c>
      <c r="I2260" s="83"/>
      <c r="K2260" s="54" t="s">
        <v>15</v>
      </c>
    </row>
    <row r="2261" spans="2:11" ht="24.75" x14ac:dyDescent="0.2">
      <c r="B2261" s="82" t="s">
        <v>4526</v>
      </c>
      <c r="C2261" s="82" t="s">
        <v>3152</v>
      </c>
      <c r="D2261" s="83">
        <f>SUMIFS(D2262:D6462,K2262:K6462,"0",B2262:B6462,"5 1 1 3 2 12 31111 6 M59 70900 000181*")-SUMIFS(E2262:E6462,K2262:K6462,"0",B2262:B6462,"5 1 1 3 2 12 31111 6 M59 70900 000181*")</f>
        <v>0</v>
      </c>
      <c r="E2261" s="54"/>
      <c r="F2261" s="83">
        <f>SUMIFS(F2262:F6462,K2262:K6462,"0",B2262:B6462,"5 1 1 3 2 12 31111 6 M59 70900 000181*")</f>
        <v>3016.4</v>
      </c>
      <c r="G2261" s="83">
        <f>SUMIFS(G2262:G6462,K2262:K6462,"0",B2262:B6462,"5 1 1 3 2 12 31111 6 M59 70900 000181*")</f>
        <v>0</v>
      </c>
      <c r="H2261" s="83">
        <f t="shared" si="35"/>
        <v>3016.4</v>
      </c>
      <c r="I2261" s="83"/>
      <c r="K2261" s="54" t="s">
        <v>15</v>
      </c>
    </row>
    <row r="2262" spans="2:11" ht="24.75" x14ac:dyDescent="0.2">
      <c r="B2262" s="82" t="s">
        <v>4527</v>
      </c>
      <c r="C2262" s="82" t="s">
        <v>650</v>
      </c>
      <c r="D2262" s="83">
        <f>SUMIFS(D2263:D6462,K2263:K6462,"0",B2263:B6462,"5 1 1 3 2 12 31111 6 M59 70900 000181 0000R*")-SUMIFS(E2263:E6462,K2263:K6462,"0",B2263:B6462,"5 1 1 3 2 12 31111 6 M59 70900 000181 0000R*")</f>
        <v>0</v>
      </c>
      <c r="E2262" s="54"/>
      <c r="F2262" s="83">
        <f>SUMIFS(F2263:F6462,K2263:K6462,"0",B2263:B6462,"5 1 1 3 2 12 31111 6 M59 70900 000181 0000R*")</f>
        <v>3016.4</v>
      </c>
      <c r="G2262" s="83">
        <f>SUMIFS(G2263:G6462,K2263:K6462,"0",B2263:B6462,"5 1 1 3 2 12 31111 6 M59 70900 000181 0000R*")</f>
        <v>0</v>
      </c>
      <c r="H2262" s="83">
        <f t="shared" si="35"/>
        <v>3016.4</v>
      </c>
      <c r="I2262" s="83"/>
      <c r="K2262" s="54" t="s">
        <v>15</v>
      </c>
    </row>
    <row r="2263" spans="2:11" ht="24.75" x14ac:dyDescent="0.2">
      <c r="B2263" s="82" t="s">
        <v>4528</v>
      </c>
      <c r="C2263" s="82" t="s">
        <v>282</v>
      </c>
      <c r="D2263" s="83">
        <f>SUMIFS(D2264:D6462,K2264:K6462,"0",B2264:B6462,"5 1 1 3 2 12 31111 6 M59 70900 000181 0000R 00001*")-SUMIFS(E2264:E6462,K2264:K6462,"0",B2264:B6462,"5 1 1 3 2 12 31111 6 M59 70900 000181 0000R 00001*")</f>
        <v>0</v>
      </c>
      <c r="E2263" s="54"/>
      <c r="F2263" s="83">
        <f>SUMIFS(F2264:F6462,K2264:K6462,"0",B2264:B6462,"5 1 1 3 2 12 31111 6 M59 70900 000181 0000R 00001*")</f>
        <v>3016.4</v>
      </c>
      <c r="G2263" s="83">
        <f>SUMIFS(G2264:G6462,K2264:K6462,"0",B2264:B6462,"5 1 1 3 2 12 31111 6 M59 70900 000181 0000R 00001*")</f>
        <v>0</v>
      </c>
      <c r="H2263" s="83">
        <f t="shared" si="35"/>
        <v>3016.4</v>
      </c>
      <c r="I2263" s="83"/>
      <c r="K2263" s="54" t="s">
        <v>15</v>
      </c>
    </row>
    <row r="2264" spans="2:11" ht="24.75" x14ac:dyDescent="0.2">
      <c r="B2264" s="82" t="s">
        <v>4529</v>
      </c>
      <c r="C2264" s="82" t="s">
        <v>4041</v>
      </c>
      <c r="D2264" s="83">
        <f>SUMIFS(D2265:D6462,K2265:K6462,"0",B2265:B6462,"5 1 1 3 2 12 31111 6 M59 70900 000181 0000R 00001 00132*")-SUMIFS(E2265:E6462,K2265:K6462,"0",B2265:B6462,"5 1 1 3 2 12 31111 6 M59 70900 000181 0000R 00001 00132*")</f>
        <v>0</v>
      </c>
      <c r="E2264" s="54"/>
      <c r="F2264" s="83">
        <f>SUMIFS(F2265:F6462,K2265:K6462,"0",B2265:B6462,"5 1 1 3 2 12 31111 6 M59 70900 000181 0000R 00001 00132*")</f>
        <v>3016.4</v>
      </c>
      <c r="G2264" s="83">
        <f>SUMIFS(G2265:G6462,K2265:K6462,"0",B2265:B6462,"5 1 1 3 2 12 31111 6 M59 70900 000181 0000R 00001 00132*")</f>
        <v>0</v>
      </c>
      <c r="H2264" s="83">
        <f t="shared" si="35"/>
        <v>3016.4</v>
      </c>
      <c r="I2264" s="83"/>
      <c r="K2264" s="54" t="s">
        <v>15</v>
      </c>
    </row>
    <row r="2265" spans="2:11" ht="33" x14ac:dyDescent="0.2">
      <c r="B2265" s="82" t="s">
        <v>4530</v>
      </c>
      <c r="C2265" s="82" t="s">
        <v>1051</v>
      </c>
      <c r="D2265" s="83">
        <f>SUMIFS(D2266:D6462,K2266:K6462,"0",B2266:B6462,"5 1 1 3 2 12 31111 6 M59 70900 000181 0000R 00001 00132 015*")-SUMIFS(E2266:E6462,K2266:K6462,"0",B2266:B6462,"5 1 1 3 2 12 31111 6 M59 70900 000181 0000R 00001 00132 015*")</f>
        <v>0</v>
      </c>
      <c r="E2265" s="54"/>
      <c r="F2265" s="83">
        <f>SUMIFS(F2266:F6462,K2266:K6462,"0",B2266:B6462,"5 1 1 3 2 12 31111 6 M59 70900 000181 0000R 00001 00132 015*")</f>
        <v>3016.4</v>
      </c>
      <c r="G2265" s="83">
        <f>SUMIFS(G2266:G6462,K2266:K6462,"0",B2266:B6462,"5 1 1 3 2 12 31111 6 M59 70900 000181 0000R 00001 00132 015*")</f>
        <v>0</v>
      </c>
      <c r="H2265" s="83">
        <f t="shared" si="35"/>
        <v>3016.4</v>
      </c>
      <c r="I2265" s="83"/>
      <c r="K2265" s="54" t="s">
        <v>15</v>
      </c>
    </row>
    <row r="2266" spans="2:11" ht="33" x14ac:dyDescent="0.2">
      <c r="B2266" s="82" t="s">
        <v>4531</v>
      </c>
      <c r="C2266" s="82" t="s">
        <v>2927</v>
      </c>
      <c r="D2266" s="83">
        <f>SUMIFS(D2267:D6462,K2267:K6462,"0",B2267:B6462,"5 1 1 3 2 12 31111 6 M59 70900 000181 0000R 00001 00132 015 2111100*")-SUMIFS(E2267:E6462,K2267:K6462,"0",B2267:B6462,"5 1 1 3 2 12 31111 6 M59 70900 000181 0000R 00001 00132 015 2111100*")</f>
        <v>0</v>
      </c>
      <c r="E2266" s="54"/>
      <c r="F2266" s="83">
        <f>SUMIFS(F2267:F6462,K2267:K6462,"0",B2267:B6462,"5 1 1 3 2 12 31111 6 M59 70900 000181 0000R 00001 00132 015 2111100*")</f>
        <v>3016.4</v>
      </c>
      <c r="G2266" s="83">
        <f>SUMIFS(G2267:G6462,K2267:K6462,"0",B2267:B6462,"5 1 1 3 2 12 31111 6 M59 70900 000181 0000R 00001 00132 015 2111100*")</f>
        <v>0</v>
      </c>
      <c r="H2266" s="83">
        <f t="shared" si="35"/>
        <v>3016.4</v>
      </c>
      <c r="I2266" s="83"/>
      <c r="K2266" s="54" t="s">
        <v>15</v>
      </c>
    </row>
    <row r="2267" spans="2:11" ht="33" x14ac:dyDescent="0.2">
      <c r="B2267" s="82" t="s">
        <v>4532</v>
      </c>
      <c r="C2267" s="82" t="s">
        <v>660</v>
      </c>
      <c r="D2267" s="83">
        <f>SUMIFS(D2268:D6462,K2268:K6462,"0",B2268:B6462,"5 1 1 3 2 12 31111 6 M59 70900 000181 0000R 00001 00132 015 2111100 2024*")-SUMIFS(E2268:E6462,K2268:K6462,"0",B2268:B6462,"5 1 1 3 2 12 31111 6 M59 70900 000181 0000R 00001 00132 015 2111100 2024*")</f>
        <v>0</v>
      </c>
      <c r="E2267" s="54"/>
      <c r="F2267" s="83">
        <f>SUMIFS(F2268:F6462,K2268:K6462,"0",B2268:B6462,"5 1 1 3 2 12 31111 6 M59 70900 000181 0000R 00001 00132 015 2111100 2024*")</f>
        <v>3016.4</v>
      </c>
      <c r="G2267" s="83">
        <f>SUMIFS(G2268:G6462,K2268:K6462,"0",B2268:B6462,"5 1 1 3 2 12 31111 6 M59 70900 000181 0000R 00001 00132 015 2111100 2024*")</f>
        <v>0</v>
      </c>
      <c r="H2267" s="83">
        <f t="shared" si="35"/>
        <v>3016.4</v>
      </c>
      <c r="I2267" s="83"/>
      <c r="K2267" s="54" t="s">
        <v>15</v>
      </c>
    </row>
    <row r="2268" spans="2:11" ht="41.25" x14ac:dyDescent="0.2">
      <c r="B2268" s="82" t="s">
        <v>4533</v>
      </c>
      <c r="C2268" s="82" t="s">
        <v>3495</v>
      </c>
      <c r="D2268" s="83">
        <f>SUMIFS(D2269:D6462,K2269:K6462,"0",B2269:B6462,"5 1 1 3 2 12 31111 6 M59 70900 000181 0000R 00001 00132 015 2111100 2024 CP1EM392*")-SUMIFS(E2269:E6462,K2269:K6462,"0",B2269:B6462,"5 1 1 3 2 12 31111 6 M59 70900 000181 0000R 00001 00132 015 2111100 2024 CP1EM392*")</f>
        <v>0</v>
      </c>
      <c r="E2268" s="54"/>
      <c r="F2268" s="83">
        <f>SUMIFS(F2269:F6462,K2269:K6462,"0",B2269:B6462,"5 1 1 3 2 12 31111 6 M59 70900 000181 0000R 00001 00132 015 2111100 2024 CP1EM392*")</f>
        <v>3016.4</v>
      </c>
      <c r="G2268" s="83">
        <f>SUMIFS(G2269:G6462,K2269:K6462,"0",B2269:B6462,"5 1 1 3 2 12 31111 6 M59 70900 000181 0000R 00001 00132 015 2111100 2024 CP1EM392*")</f>
        <v>0</v>
      </c>
      <c r="H2268" s="83">
        <f t="shared" si="35"/>
        <v>3016.4</v>
      </c>
      <c r="I2268" s="83"/>
      <c r="K2268" s="54" t="s">
        <v>15</v>
      </c>
    </row>
    <row r="2269" spans="2:11" ht="41.25" x14ac:dyDescent="0.2">
      <c r="B2269" s="82" t="s">
        <v>4534</v>
      </c>
      <c r="C2269" s="82" t="s">
        <v>282</v>
      </c>
      <c r="D2269" s="83">
        <f>SUMIFS(D2270:D6462,K2270:K6462,"0",B2270:B6462,"5 1 1 3 2 12 31111 6 M59 70900 000181 0000R 00001 00132 015 2111100 2024 CP1EM392 001*")-SUMIFS(E2270:E6462,K2270:K6462,"0",B2270:B6462,"5 1 1 3 2 12 31111 6 M59 70900 000181 0000R 00001 00132 015 2111100 2024 CP1EM392 001*")</f>
        <v>0</v>
      </c>
      <c r="E2269" s="54"/>
      <c r="F2269" s="83">
        <f>SUMIFS(F2270:F6462,K2270:K6462,"0",B2270:B6462,"5 1 1 3 2 12 31111 6 M59 70900 000181 0000R 00001 00132 015 2111100 2024 CP1EM392 001*")</f>
        <v>3016.4</v>
      </c>
      <c r="G2269" s="83">
        <f>SUMIFS(G2270:G6462,K2270:K6462,"0",B2270:B6462,"5 1 1 3 2 12 31111 6 M59 70900 000181 0000R 00001 00132 015 2111100 2024 CP1EM392 001*")</f>
        <v>0</v>
      </c>
      <c r="H2269" s="83">
        <f t="shared" si="35"/>
        <v>3016.4</v>
      </c>
      <c r="I2269" s="83"/>
      <c r="K2269" s="54" t="s">
        <v>15</v>
      </c>
    </row>
    <row r="2270" spans="2:11" ht="33" x14ac:dyDescent="0.2">
      <c r="B2270" s="84" t="s">
        <v>4535</v>
      </c>
      <c r="C2270" s="84" t="s">
        <v>1519</v>
      </c>
      <c r="D2270" s="85">
        <v>0</v>
      </c>
      <c r="E2270" s="85"/>
      <c r="F2270" s="85">
        <v>3016.4</v>
      </c>
      <c r="G2270" s="85">
        <v>0</v>
      </c>
      <c r="H2270" s="85">
        <f t="shared" si="35"/>
        <v>3016.4</v>
      </c>
      <c r="I2270" s="85"/>
      <c r="K2270" s="54" t="s">
        <v>38</v>
      </c>
    </row>
    <row r="2271" spans="2:11" ht="16.5" x14ac:dyDescent="0.2">
      <c r="B2271" s="82" t="s">
        <v>4536</v>
      </c>
      <c r="C2271" s="82" t="s">
        <v>3499</v>
      </c>
      <c r="D2271" s="83">
        <f>SUMIFS(D2272:D6462,K2272:K6462,"0",B2272:B6462,"5 1 1 3 2 12 31111 6 M59 71000*")-SUMIFS(E2272:E6462,K2272:K6462,"0",B2272:B6462,"5 1 1 3 2 12 31111 6 M59 71000*")</f>
        <v>0</v>
      </c>
      <c r="E2271" s="54"/>
      <c r="F2271" s="83">
        <f>SUMIFS(F2272:F6462,K2272:K6462,"0",B2272:B6462,"5 1 1 3 2 12 31111 6 M59 71000*")</f>
        <v>3316.44</v>
      </c>
      <c r="G2271" s="83">
        <f>SUMIFS(G2272:G6462,K2272:K6462,"0",B2272:B6462,"5 1 1 3 2 12 31111 6 M59 71000*")</f>
        <v>0</v>
      </c>
      <c r="H2271" s="83">
        <f t="shared" si="35"/>
        <v>3316.44</v>
      </c>
      <c r="I2271" s="83"/>
      <c r="K2271" s="54" t="s">
        <v>15</v>
      </c>
    </row>
    <row r="2272" spans="2:11" ht="16.5" x14ac:dyDescent="0.2">
      <c r="B2272" s="82" t="s">
        <v>4537</v>
      </c>
      <c r="C2272" s="82" t="s">
        <v>648</v>
      </c>
      <c r="D2272" s="83">
        <f>SUMIFS(D2273:D6462,K2273:K6462,"0",B2273:B6462,"5 1 1 3 2 12 31111 6 M59 71000 000132*")-SUMIFS(E2273:E6462,K2273:K6462,"0",B2273:B6462,"5 1 1 3 2 12 31111 6 M59 71000 000132*")</f>
        <v>0</v>
      </c>
      <c r="E2272" s="54"/>
      <c r="F2272" s="83">
        <f>SUMIFS(F2273:F6462,K2273:K6462,"0",B2273:B6462,"5 1 1 3 2 12 31111 6 M59 71000 000132*")</f>
        <v>3316.44</v>
      </c>
      <c r="G2272" s="83">
        <f>SUMIFS(G2273:G6462,K2273:K6462,"0",B2273:B6462,"5 1 1 3 2 12 31111 6 M59 71000 000132*")</f>
        <v>0</v>
      </c>
      <c r="H2272" s="83">
        <f t="shared" si="35"/>
        <v>3316.44</v>
      </c>
      <c r="I2272" s="83"/>
      <c r="K2272" s="54" t="s">
        <v>15</v>
      </c>
    </row>
    <row r="2273" spans="2:11" ht="24.75" x14ac:dyDescent="0.2">
      <c r="B2273" s="82" t="s">
        <v>4538</v>
      </c>
      <c r="C2273" s="82" t="s">
        <v>650</v>
      </c>
      <c r="D2273" s="83">
        <f>SUMIFS(D2274:D6462,K2274:K6462,"0",B2274:B6462,"5 1 1 3 2 12 31111 6 M59 71000 000132 0000R*")-SUMIFS(E2274:E6462,K2274:K6462,"0",B2274:B6462,"5 1 1 3 2 12 31111 6 M59 71000 000132 0000R*")</f>
        <v>0</v>
      </c>
      <c r="E2273" s="54"/>
      <c r="F2273" s="83">
        <f>SUMIFS(F2274:F6462,K2274:K6462,"0",B2274:B6462,"5 1 1 3 2 12 31111 6 M59 71000 000132 0000R*")</f>
        <v>3316.44</v>
      </c>
      <c r="G2273" s="83">
        <f>SUMIFS(G2274:G6462,K2274:K6462,"0",B2274:B6462,"5 1 1 3 2 12 31111 6 M59 71000 000132 0000R*")</f>
        <v>0</v>
      </c>
      <c r="H2273" s="83">
        <f t="shared" si="35"/>
        <v>3316.44</v>
      </c>
      <c r="I2273" s="83"/>
      <c r="K2273" s="54" t="s">
        <v>15</v>
      </c>
    </row>
    <row r="2274" spans="2:11" ht="24.75" x14ac:dyDescent="0.2">
      <c r="B2274" s="82" t="s">
        <v>4539</v>
      </c>
      <c r="C2274" s="82" t="s">
        <v>282</v>
      </c>
      <c r="D2274" s="83">
        <f>SUMIFS(D2275:D6462,K2275:K6462,"0",B2275:B6462,"5 1 1 3 2 12 31111 6 M59 71000 000132 0000R 00001*")-SUMIFS(E2275:E6462,K2275:K6462,"0",B2275:B6462,"5 1 1 3 2 12 31111 6 M59 71000 000132 0000R 00001*")</f>
        <v>0</v>
      </c>
      <c r="E2274" s="54"/>
      <c r="F2274" s="83">
        <f>SUMIFS(F2275:F6462,K2275:K6462,"0",B2275:B6462,"5 1 1 3 2 12 31111 6 M59 71000 000132 0000R 00001*")</f>
        <v>3316.44</v>
      </c>
      <c r="G2274" s="83">
        <f>SUMIFS(G2275:G6462,K2275:K6462,"0",B2275:B6462,"5 1 1 3 2 12 31111 6 M59 71000 000132 0000R 00001*")</f>
        <v>0</v>
      </c>
      <c r="H2274" s="83">
        <f t="shared" si="35"/>
        <v>3316.44</v>
      </c>
      <c r="I2274" s="83"/>
      <c r="K2274" s="54" t="s">
        <v>15</v>
      </c>
    </row>
    <row r="2275" spans="2:11" ht="24.75" x14ac:dyDescent="0.2">
      <c r="B2275" s="82" t="s">
        <v>4540</v>
      </c>
      <c r="C2275" s="82" t="s">
        <v>4041</v>
      </c>
      <c r="D2275" s="83">
        <f>SUMIFS(D2276:D6462,K2276:K6462,"0",B2276:B6462,"5 1 1 3 2 12 31111 6 M59 71000 000132 0000R 00001 00132*")-SUMIFS(E2276:E6462,K2276:K6462,"0",B2276:B6462,"5 1 1 3 2 12 31111 6 M59 71000 000132 0000R 00001 00132*")</f>
        <v>0</v>
      </c>
      <c r="E2275" s="54"/>
      <c r="F2275" s="83">
        <f>SUMIFS(F2276:F6462,K2276:K6462,"0",B2276:B6462,"5 1 1 3 2 12 31111 6 M59 71000 000132 0000R 00001 00132*")</f>
        <v>3316.44</v>
      </c>
      <c r="G2275" s="83">
        <f>SUMIFS(G2276:G6462,K2276:K6462,"0",B2276:B6462,"5 1 1 3 2 12 31111 6 M59 71000 000132 0000R 00001 00132*")</f>
        <v>0</v>
      </c>
      <c r="H2275" s="83">
        <f t="shared" si="35"/>
        <v>3316.44</v>
      </c>
      <c r="I2275" s="83"/>
      <c r="K2275" s="54" t="s">
        <v>15</v>
      </c>
    </row>
    <row r="2276" spans="2:11" ht="33" x14ac:dyDescent="0.2">
      <c r="B2276" s="82" t="s">
        <v>4541</v>
      </c>
      <c r="C2276" s="82" t="s">
        <v>1051</v>
      </c>
      <c r="D2276" s="83">
        <f>SUMIFS(D2277:D6462,K2277:K6462,"0",B2277:B6462,"5 1 1 3 2 12 31111 6 M59 71000 000132 0000R 00001 00132 015*")-SUMIFS(E2277:E6462,K2277:K6462,"0",B2277:B6462,"5 1 1 3 2 12 31111 6 M59 71000 000132 0000R 00001 00132 015*")</f>
        <v>0</v>
      </c>
      <c r="E2276" s="54"/>
      <c r="F2276" s="83">
        <f>SUMIFS(F2277:F6462,K2277:K6462,"0",B2277:B6462,"5 1 1 3 2 12 31111 6 M59 71000 000132 0000R 00001 00132 015*")</f>
        <v>3316.44</v>
      </c>
      <c r="G2276" s="83">
        <f>SUMIFS(G2277:G6462,K2277:K6462,"0",B2277:B6462,"5 1 1 3 2 12 31111 6 M59 71000 000132 0000R 00001 00132 015*")</f>
        <v>0</v>
      </c>
      <c r="H2276" s="83">
        <f t="shared" si="35"/>
        <v>3316.44</v>
      </c>
      <c r="I2276" s="83"/>
      <c r="K2276" s="54" t="s">
        <v>15</v>
      </c>
    </row>
    <row r="2277" spans="2:11" ht="33" x14ac:dyDescent="0.2">
      <c r="B2277" s="82" t="s">
        <v>4542</v>
      </c>
      <c r="C2277" s="82" t="s">
        <v>2927</v>
      </c>
      <c r="D2277" s="83">
        <f>SUMIFS(D2278:D6462,K2278:K6462,"0",B2278:B6462,"5 1 1 3 2 12 31111 6 M59 71000 000132 0000R 00001 00132 015 2111100*")-SUMIFS(E2278:E6462,K2278:K6462,"0",B2278:B6462,"5 1 1 3 2 12 31111 6 M59 71000 000132 0000R 00001 00132 015 2111100*")</f>
        <v>0</v>
      </c>
      <c r="E2277" s="54"/>
      <c r="F2277" s="83">
        <f>SUMIFS(F2278:F6462,K2278:K6462,"0",B2278:B6462,"5 1 1 3 2 12 31111 6 M59 71000 000132 0000R 00001 00132 015 2111100*")</f>
        <v>3316.44</v>
      </c>
      <c r="G2277" s="83">
        <f>SUMIFS(G2278:G6462,K2278:K6462,"0",B2278:B6462,"5 1 1 3 2 12 31111 6 M59 71000 000132 0000R 00001 00132 015 2111100*")</f>
        <v>0</v>
      </c>
      <c r="H2277" s="83">
        <f t="shared" si="35"/>
        <v>3316.44</v>
      </c>
      <c r="I2277" s="83"/>
      <c r="K2277" s="54" t="s">
        <v>15</v>
      </c>
    </row>
    <row r="2278" spans="2:11" ht="33" x14ac:dyDescent="0.2">
      <c r="B2278" s="82" t="s">
        <v>4543</v>
      </c>
      <c r="C2278" s="82" t="s">
        <v>660</v>
      </c>
      <c r="D2278" s="83">
        <f>SUMIFS(D2279:D6462,K2279:K6462,"0",B2279:B6462,"5 1 1 3 2 12 31111 6 M59 71000 000132 0000R 00001 00132 015 2111100 2024*")-SUMIFS(E2279:E6462,K2279:K6462,"0",B2279:B6462,"5 1 1 3 2 12 31111 6 M59 71000 000132 0000R 00001 00132 015 2111100 2024*")</f>
        <v>0</v>
      </c>
      <c r="E2278" s="54"/>
      <c r="F2278" s="83">
        <f>SUMIFS(F2279:F6462,K2279:K6462,"0",B2279:B6462,"5 1 1 3 2 12 31111 6 M59 71000 000132 0000R 00001 00132 015 2111100 2024*")</f>
        <v>3316.44</v>
      </c>
      <c r="G2278" s="83">
        <f>SUMIFS(G2279:G6462,K2279:K6462,"0",B2279:B6462,"5 1 1 3 2 12 31111 6 M59 71000 000132 0000R 00001 00132 015 2111100 2024*")</f>
        <v>0</v>
      </c>
      <c r="H2278" s="83">
        <f t="shared" si="35"/>
        <v>3316.44</v>
      </c>
      <c r="I2278" s="83"/>
      <c r="K2278" s="54" t="s">
        <v>15</v>
      </c>
    </row>
    <row r="2279" spans="2:11" ht="41.25" x14ac:dyDescent="0.2">
      <c r="B2279" s="82" t="s">
        <v>4544</v>
      </c>
      <c r="C2279" s="82" t="s">
        <v>662</v>
      </c>
      <c r="D2279" s="83">
        <f>SUMIFS(D2280:D6462,K2280:K6462,"0",B2280:B6462,"5 1 1 3 2 12 31111 6 M59 71000 000132 0000R 00001 00132 015 2111100 2024 CP1AP422*")-SUMIFS(E2280:E6462,K2280:K6462,"0",B2280:B6462,"5 1 1 3 2 12 31111 6 M59 71000 000132 0000R 00001 00132 015 2111100 2024 CP1AP422*")</f>
        <v>0</v>
      </c>
      <c r="E2279" s="54"/>
      <c r="F2279" s="83">
        <f>SUMIFS(F2280:F6462,K2280:K6462,"0",B2280:B6462,"5 1 1 3 2 12 31111 6 M59 71000 000132 0000R 00001 00132 015 2111100 2024 CP1AP422*")</f>
        <v>3316.44</v>
      </c>
      <c r="G2279" s="83">
        <f>SUMIFS(G2280:G6462,K2280:K6462,"0",B2280:B6462,"5 1 1 3 2 12 31111 6 M59 71000 000132 0000R 00001 00132 015 2111100 2024 CP1AP422*")</f>
        <v>0</v>
      </c>
      <c r="H2279" s="83">
        <f t="shared" si="35"/>
        <v>3316.44</v>
      </c>
      <c r="I2279" s="83"/>
      <c r="K2279" s="54" t="s">
        <v>15</v>
      </c>
    </row>
    <row r="2280" spans="2:11" ht="41.25" x14ac:dyDescent="0.2">
      <c r="B2280" s="82" t="s">
        <v>4545</v>
      </c>
      <c r="C2280" s="82" t="s">
        <v>282</v>
      </c>
      <c r="D2280" s="83">
        <f>SUMIFS(D2281:D6462,K2281:K6462,"0",B2281:B6462,"5 1 1 3 2 12 31111 6 M59 71000 000132 0000R 00001 00132 015 2111100 2024 CP1AP422 001*")-SUMIFS(E2281:E6462,K2281:K6462,"0",B2281:B6462,"5 1 1 3 2 12 31111 6 M59 71000 000132 0000R 00001 00132 015 2111100 2024 CP1AP422 001*")</f>
        <v>0</v>
      </c>
      <c r="E2280" s="54"/>
      <c r="F2280" s="83">
        <f>SUMIFS(F2281:F6462,K2281:K6462,"0",B2281:B6462,"5 1 1 3 2 12 31111 6 M59 71000 000132 0000R 00001 00132 015 2111100 2024 CP1AP422 001*")</f>
        <v>3316.44</v>
      </c>
      <c r="G2280" s="83">
        <f>SUMIFS(G2281:G6462,K2281:K6462,"0",B2281:B6462,"5 1 1 3 2 12 31111 6 M59 71000 000132 0000R 00001 00132 015 2111100 2024 CP1AP422 001*")</f>
        <v>0</v>
      </c>
      <c r="H2280" s="83">
        <f t="shared" si="35"/>
        <v>3316.44</v>
      </c>
      <c r="I2280" s="83"/>
      <c r="K2280" s="54" t="s">
        <v>15</v>
      </c>
    </row>
    <row r="2281" spans="2:11" ht="33" x14ac:dyDescent="0.2">
      <c r="B2281" s="84" t="s">
        <v>4546</v>
      </c>
      <c r="C2281" s="84" t="s">
        <v>1519</v>
      </c>
      <c r="D2281" s="85">
        <v>0</v>
      </c>
      <c r="E2281" s="85"/>
      <c r="F2281" s="85">
        <v>3316.44</v>
      </c>
      <c r="G2281" s="85">
        <v>0</v>
      </c>
      <c r="H2281" s="85">
        <f t="shared" si="35"/>
        <v>3316.44</v>
      </c>
      <c r="I2281" s="85"/>
      <c r="K2281" s="54" t="s">
        <v>38</v>
      </c>
    </row>
    <row r="2282" spans="2:11" ht="16.5" x14ac:dyDescent="0.2">
      <c r="B2282" s="82" t="s">
        <v>4547</v>
      </c>
      <c r="C2282" s="82" t="s">
        <v>3523</v>
      </c>
      <c r="D2282" s="83">
        <f>SUMIFS(D2283:D6462,K2283:K6462,"0",B2283:B6462,"5 1 1 3 2 12 31111 6 M59 80000*")-SUMIFS(E2283:E6462,K2283:K6462,"0",B2283:B6462,"5 1 1 3 2 12 31111 6 M59 80000*")</f>
        <v>0</v>
      </c>
      <c r="E2282" s="54"/>
      <c r="F2282" s="83">
        <f>SUMIFS(F2283:F6462,K2283:K6462,"0",B2283:B6462,"5 1 1 3 2 12 31111 6 M59 80000*")</f>
        <v>10297.6</v>
      </c>
      <c r="G2282" s="83">
        <f>SUMIFS(G2283:G6462,K2283:K6462,"0",B2283:B6462,"5 1 1 3 2 12 31111 6 M59 80000*")</f>
        <v>0</v>
      </c>
      <c r="H2282" s="83">
        <f t="shared" si="35"/>
        <v>10297.6</v>
      </c>
      <c r="I2282" s="83"/>
      <c r="K2282" s="54" t="s">
        <v>15</v>
      </c>
    </row>
    <row r="2283" spans="2:11" ht="16.5" x14ac:dyDescent="0.2">
      <c r="B2283" s="82" t="s">
        <v>4548</v>
      </c>
      <c r="C2283" s="82" t="s">
        <v>648</v>
      </c>
      <c r="D2283" s="83">
        <f>SUMIFS(D2284:D6462,K2284:K6462,"0",B2284:B6462,"5 1 1 3 2 12 31111 6 M59 80000 000132*")-SUMIFS(E2284:E6462,K2284:K6462,"0",B2284:B6462,"5 1 1 3 2 12 31111 6 M59 80000 000132*")</f>
        <v>0</v>
      </c>
      <c r="E2283" s="54"/>
      <c r="F2283" s="83">
        <f>SUMIFS(F2284:F6462,K2284:K6462,"0",B2284:B6462,"5 1 1 3 2 12 31111 6 M59 80000 000132*")</f>
        <v>10297.6</v>
      </c>
      <c r="G2283" s="83">
        <f>SUMIFS(G2284:G6462,K2284:K6462,"0",B2284:B6462,"5 1 1 3 2 12 31111 6 M59 80000 000132*")</f>
        <v>0</v>
      </c>
      <c r="H2283" s="83">
        <f t="shared" ref="H2283:H2346" si="36">D2283 + F2283 - G2283</f>
        <v>10297.6</v>
      </c>
      <c r="I2283" s="83"/>
      <c r="K2283" s="54" t="s">
        <v>15</v>
      </c>
    </row>
    <row r="2284" spans="2:11" ht="24.75" x14ac:dyDescent="0.2">
      <c r="B2284" s="82" t="s">
        <v>4549</v>
      </c>
      <c r="C2284" s="82" t="s">
        <v>650</v>
      </c>
      <c r="D2284" s="83">
        <f>SUMIFS(D2285:D6462,K2285:K6462,"0",B2285:B6462,"5 1 1 3 2 12 31111 6 M59 80000 000132 0000R*")-SUMIFS(E2285:E6462,K2285:K6462,"0",B2285:B6462,"5 1 1 3 2 12 31111 6 M59 80000 000132 0000R*")</f>
        <v>0</v>
      </c>
      <c r="E2284" s="54"/>
      <c r="F2284" s="83">
        <f>SUMIFS(F2285:F6462,K2285:K6462,"0",B2285:B6462,"5 1 1 3 2 12 31111 6 M59 80000 000132 0000R*")</f>
        <v>10297.6</v>
      </c>
      <c r="G2284" s="83">
        <f>SUMIFS(G2285:G6462,K2285:K6462,"0",B2285:B6462,"5 1 1 3 2 12 31111 6 M59 80000 000132 0000R*")</f>
        <v>0</v>
      </c>
      <c r="H2284" s="83">
        <f t="shared" si="36"/>
        <v>10297.6</v>
      </c>
      <c r="I2284" s="83"/>
      <c r="K2284" s="54" t="s">
        <v>15</v>
      </c>
    </row>
    <row r="2285" spans="2:11" ht="24.75" x14ac:dyDescent="0.2">
      <c r="B2285" s="82" t="s">
        <v>4550</v>
      </c>
      <c r="C2285" s="82" t="s">
        <v>282</v>
      </c>
      <c r="D2285" s="83">
        <f>SUMIFS(D2286:D6462,K2286:K6462,"0",B2286:B6462,"5 1 1 3 2 12 31111 6 M59 80000 000132 0000R 00001*")-SUMIFS(E2286:E6462,K2286:K6462,"0",B2286:B6462,"5 1 1 3 2 12 31111 6 M59 80000 000132 0000R 00001*")</f>
        <v>0</v>
      </c>
      <c r="E2285" s="54"/>
      <c r="F2285" s="83">
        <f>SUMIFS(F2286:F6462,K2286:K6462,"0",B2286:B6462,"5 1 1 3 2 12 31111 6 M59 80000 000132 0000R 00001*")</f>
        <v>10297.6</v>
      </c>
      <c r="G2285" s="83">
        <f>SUMIFS(G2286:G6462,K2286:K6462,"0",B2286:B6462,"5 1 1 3 2 12 31111 6 M59 80000 000132 0000R 00001*")</f>
        <v>0</v>
      </c>
      <c r="H2285" s="83">
        <f t="shared" si="36"/>
        <v>10297.6</v>
      </c>
      <c r="I2285" s="83"/>
      <c r="K2285" s="54" t="s">
        <v>15</v>
      </c>
    </row>
    <row r="2286" spans="2:11" ht="24.75" x14ac:dyDescent="0.2">
      <c r="B2286" s="82" t="s">
        <v>4551</v>
      </c>
      <c r="C2286" s="82" t="s">
        <v>4041</v>
      </c>
      <c r="D2286" s="83">
        <f>SUMIFS(D2287:D6462,K2287:K6462,"0",B2287:B6462,"5 1 1 3 2 12 31111 6 M59 80000 000132 0000R 00001 00132*")-SUMIFS(E2287:E6462,K2287:K6462,"0",B2287:B6462,"5 1 1 3 2 12 31111 6 M59 80000 000132 0000R 00001 00132*")</f>
        <v>0</v>
      </c>
      <c r="E2286" s="54"/>
      <c r="F2286" s="83">
        <f>SUMIFS(F2287:F6462,K2287:K6462,"0",B2287:B6462,"5 1 1 3 2 12 31111 6 M59 80000 000132 0000R 00001 00132*")</f>
        <v>10297.6</v>
      </c>
      <c r="G2286" s="83">
        <f>SUMIFS(G2287:G6462,K2287:K6462,"0",B2287:B6462,"5 1 1 3 2 12 31111 6 M59 80000 000132 0000R 00001 00132*")</f>
        <v>0</v>
      </c>
      <c r="H2286" s="83">
        <f t="shared" si="36"/>
        <v>10297.6</v>
      </c>
      <c r="I2286" s="83"/>
      <c r="K2286" s="54" t="s">
        <v>15</v>
      </c>
    </row>
    <row r="2287" spans="2:11" ht="33" x14ac:dyDescent="0.2">
      <c r="B2287" s="82" t="s">
        <v>4552</v>
      </c>
      <c r="C2287" s="82" t="s">
        <v>1051</v>
      </c>
      <c r="D2287" s="83">
        <f>SUMIFS(D2288:D6462,K2288:K6462,"0",B2288:B6462,"5 1 1 3 2 12 31111 6 M59 80000 000132 0000R 00001 00132 015*")-SUMIFS(E2288:E6462,K2288:K6462,"0",B2288:B6462,"5 1 1 3 2 12 31111 6 M59 80000 000132 0000R 00001 00132 015*")</f>
        <v>0</v>
      </c>
      <c r="E2287" s="54"/>
      <c r="F2287" s="83">
        <f>SUMIFS(F2288:F6462,K2288:K6462,"0",B2288:B6462,"5 1 1 3 2 12 31111 6 M59 80000 000132 0000R 00001 00132 015*")</f>
        <v>10297.6</v>
      </c>
      <c r="G2287" s="83">
        <f>SUMIFS(G2288:G6462,K2288:K6462,"0",B2288:B6462,"5 1 1 3 2 12 31111 6 M59 80000 000132 0000R 00001 00132 015*")</f>
        <v>0</v>
      </c>
      <c r="H2287" s="83">
        <f t="shared" si="36"/>
        <v>10297.6</v>
      </c>
      <c r="I2287" s="83"/>
      <c r="K2287" s="54" t="s">
        <v>15</v>
      </c>
    </row>
    <row r="2288" spans="2:11" ht="33" x14ac:dyDescent="0.2">
      <c r="B2288" s="82" t="s">
        <v>4553</v>
      </c>
      <c r="C2288" s="82" t="s">
        <v>2927</v>
      </c>
      <c r="D2288" s="83">
        <f>SUMIFS(D2289:D6462,K2289:K6462,"0",B2289:B6462,"5 1 1 3 2 12 31111 6 M59 80000 000132 0000R 00001 00132 015 2111100*")-SUMIFS(E2289:E6462,K2289:K6462,"0",B2289:B6462,"5 1 1 3 2 12 31111 6 M59 80000 000132 0000R 00001 00132 015 2111100*")</f>
        <v>0</v>
      </c>
      <c r="E2288" s="54"/>
      <c r="F2288" s="83">
        <f>SUMIFS(F2289:F6462,K2289:K6462,"0",B2289:B6462,"5 1 1 3 2 12 31111 6 M59 80000 000132 0000R 00001 00132 015 2111100*")</f>
        <v>10297.6</v>
      </c>
      <c r="G2288" s="83">
        <f>SUMIFS(G2289:G6462,K2289:K6462,"0",B2289:B6462,"5 1 1 3 2 12 31111 6 M59 80000 000132 0000R 00001 00132 015 2111100*")</f>
        <v>0</v>
      </c>
      <c r="H2288" s="83">
        <f t="shared" si="36"/>
        <v>10297.6</v>
      </c>
      <c r="I2288" s="83"/>
      <c r="K2288" s="54" t="s">
        <v>15</v>
      </c>
    </row>
    <row r="2289" spans="2:11" ht="33" x14ac:dyDescent="0.2">
      <c r="B2289" s="82" t="s">
        <v>4554</v>
      </c>
      <c r="C2289" s="82" t="s">
        <v>660</v>
      </c>
      <c r="D2289" s="83">
        <f>SUMIFS(D2290:D6462,K2290:K6462,"0",B2290:B6462,"5 1 1 3 2 12 31111 6 M59 80000 000132 0000R 00001 00132 015 2111100 2024*")-SUMIFS(E2290:E6462,K2290:K6462,"0",B2290:B6462,"5 1 1 3 2 12 31111 6 M59 80000 000132 0000R 00001 00132 015 2111100 2024*")</f>
        <v>0</v>
      </c>
      <c r="E2289" s="54"/>
      <c r="F2289" s="83">
        <f>SUMIFS(F2290:F6462,K2290:K6462,"0",B2290:B6462,"5 1 1 3 2 12 31111 6 M59 80000 000132 0000R 00001 00132 015 2111100 2024*")</f>
        <v>10297.6</v>
      </c>
      <c r="G2289" s="83">
        <f>SUMIFS(G2290:G6462,K2290:K6462,"0",B2290:B6462,"5 1 1 3 2 12 31111 6 M59 80000 000132 0000R 00001 00132 015 2111100 2024*")</f>
        <v>0</v>
      </c>
      <c r="H2289" s="83">
        <f t="shared" si="36"/>
        <v>10297.6</v>
      </c>
      <c r="I2289" s="83"/>
      <c r="K2289" s="54" t="s">
        <v>15</v>
      </c>
    </row>
    <row r="2290" spans="2:11" ht="41.25" x14ac:dyDescent="0.2">
      <c r="B2290" s="82" t="s">
        <v>4555</v>
      </c>
      <c r="C2290" s="82" t="s">
        <v>1056</v>
      </c>
      <c r="D2290" s="83">
        <f>SUMIFS(D2291:D6462,K2291:K6462,"0",B2291:B6462,"5 1 1 3 2 12 31111 6 M59 80000 000132 0000R 00001 00132 015 2111100 2024 CP1DR388*")-SUMIFS(E2291:E6462,K2291:K6462,"0",B2291:B6462,"5 1 1 3 2 12 31111 6 M59 80000 000132 0000R 00001 00132 015 2111100 2024 CP1DR388*")</f>
        <v>0</v>
      </c>
      <c r="E2290" s="54"/>
      <c r="F2290" s="83">
        <f>SUMIFS(F2291:F6462,K2291:K6462,"0",B2291:B6462,"5 1 1 3 2 12 31111 6 M59 80000 000132 0000R 00001 00132 015 2111100 2024 CP1DR388*")</f>
        <v>10297.6</v>
      </c>
      <c r="G2290" s="83">
        <f>SUMIFS(G2291:G6462,K2291:K6462,"0",B2291:B6462,"5 1 1 3 2 12 31111 6 M59 80000 000132 0000R 00001 00132 015 2111100 2024 CP1DR388*")</f>
        <v>0</v>
      </c>
      <c r="H2290" s="83">
        <f t="shared" si="36"/>
        <v>10297.6</v>
      </c>
      <c r="I2290" s="83"/>
      <c r="K2290" s="54" t="s">
        <v>15</v>
      </c>
    </row>
    <row r="2291" spans="2:11" ht="41.25" x14ac:dyDescent="0.2">
      <c r="B2291" s="82" t="s">
        <v>4556</v>
      </c>
      <c r="C2291" s="82" t="s">
        <v>282</v>
      </c>
      <c r="D2291" s="83">
        <f>SUMIFS(D2292:D6462,K2292:K6462,"0",B2292:B6462,"5 1 1 3 2 12 31111 6 M59 80000 000132 0000R 00001 00132 015 2111100 2024 CP1DR388 001*")-SUMIFS(E2292:E6462,K2292:K6462,"0",B2292:B6462,"5 1 1 3 2 12 31111 6 M59 80000 000132 0000R 00001 00132 015 2111100 2024 CP1DR388 001*")</f>
        <v>0</v>
      </c>
      <c r="E2291" s="54"/>
      <c r="F2291" s="83">
        <f>SUMIFS(F2292:F6462,K2292:K6462,"0",B2292:B6462,"5 1 1 3 2 12 31111 6 M59 80000 000132 0000R 00001 00132 015 2111100 2024 CP1DR388 001*")</f>
        <v>10297.6</v>
      </c>
      <c r="G2291" s="83">
        <f>SUMIFS(G2292:G6462,K2292:K6462,"0",B2292:B6462,"5 1 1 3 2 12 31111 6 M59 80000 000132 0000R 00001 00132 015 2111100 2024 CP1DR388 001*")</f>
        <v>0</v>
      </c>
      <c r="H2291" s="83">
        <f t="shared" si="36"/>
        <v>10297.6</v>
      </c>
      <c r="I2291" s="83"/>
      <c r="K2291" s="54" t="s">
        <v>15</v>
      </c>
    </row>
    <row r="2292" spans="2:11" ht="41.25" x14ac:dyDescent="0.2">
      <c r="B2292" s="84" t="s">
        <v>4557</v>
      </c>
      <c r="C2292" s="84" t="s">
        <v>1519</v>
      </c>
      <c r="D2292" s="85">
        <v>0</v>
      </c>
      <c r="E2292" s="85"/>
      <c r="F2292" s="85">
        <v>10297.6</v>
      </c>
      <c r="G2292" s="85">
        <v>0</v>
      </c>
      <c r="H2292" s="85">
        <f t="shared" si="36"/>
        <v>10297.6</v>
      </c>
      <c r="I2292" s="85"/>
      <c r="K2292" s="54" t="s">
        <v>38</v>
      </c>
    </row>
    <row r="2293" spans="2:11" ht="16.5" x14ac:dyDescent="0.2">
      <c r="B2293" s="82" t="s">
        <v>4558</v>
      </c>
      <c r="C2293" s="82" t="s">
        <v>3535</v>
      </c>
      <c r="D2293" s="83">
        <f>SUMIFS(D2294:D6462,K2294:K6462,"0",B2294:B6462,"5 1 1 3 2 12 31111 6 M59 80100*")-SUMIFS(E2294:E6462,K2294:K6462,"0",B2294:B6462,"5 1 1 3 2 12 31111 6 M59 80100*")</f>
        <v>0</v>
      </c>
      <c r="E2293" s="54"/>
      <c r="F2293" s="83">
        <f>SUMIFS(F2294:F6462,K2294:K6462,"0",B2294:B6462,"5 1 1 3 2 12 31111 6 M59 80100*")</f>
        <v>3519.12</v>
      </c>
      <c r="G2293" s="83">
        <f>SUMIFS(G2294:G6462,K2294:K6462,"0",B2294:B6462,"5 1 1 3 2 12 31111 6 M59 80100*")</f>
        <v>0</v>
      </c>
      <c r="H2293" s="83">
        <f t="shared" si="36"/>
        <v>3519.12</v>
      </c>
      <c r="I2293" s="83"/>
      <c r="K2293" s="54" t="s">
        <v>15</v>
      </c>
    </row>
    <row r="2294" spans="2:11" ht="16.5" x14ac:dyDescent="0.2">
      <c r="B2294" s="82" t="s">
        <v>4559</v>
      </c>
      <c r="C2294" s="82" t="s">
        <v>648</v>
      </c>
      <c r="D2294" s="83">
        <f>SUMIFS(D2295:D6462,K2295:K6462,"0",B2295:B6462,"5 1 1 3 2 12 31111 6 M59 80100 000132*")-SUMIFS(E2295:E6462,K2295:K6462,"0",B2295:B6462,"5 1 1 3 2 12 31111 6 M59 80100 000132*")</f>
        <v>0</v>
      </c>
      <c r="E2294" s="54"/>
      <c r="F2294" s="83">
        <f>SUMIFS(F2295:F6462,K2295:K6462,"0",B2295:B6462,"5 1 1 3 2 12 31111 6 M59 80100 000132*")</f>
        <v>3519.12</v>
      </c>
      <c r="G2294" s="83">
        <f>SUMIFS(G2295:G6462,K2295:K6462,"0",B2295:B6462,"5 1 1 3 2 12 31111 6 M59 80100 000132*")</f>
        <v>0</v>
      </c>
      <c r="H2294" s="83">
        <f t="shared" si="36"/>
        <v>3519.12</v>
      </c>
      <c r="I2294" s="83"/>
      <c r="K2294" s="54" t="s">
        <v>15</v>
      </c>
    </row>
    <row r="2295" spans="2:11" ht="24.75" x14ac:dyDescent="0.2">
      <c r="B2295" s="82" t="s">
        <v>4560</v>
      </c>
      <c r="C2295" s="82" t="s">
        <v>650</v>
      </c>
      <c r="D2295" s="83">
        <f>SUMIFS(D2296:D6462,K2296:K6462,"0",B2296:B6462,"5 1 1 3 2 12 31111 6 M59 80100 000132 0000R*")-SUMIFS(E2296:E6462,K2296:K6462,"0",B2296:B6462,"5 1 1 3 2 12 31111 6 M59 80100 000132 0000R*")</f>
        <v>0</v>
      </c>
      <c r="E2295" s="54"/>
      <c r="F2295" s="83">
        <f>SUMIFS(F2296:F6462,K2296:K6462,"0",B2296:B6462,"5 1 1 3 2 12 31111 6 M59 80100 000132 0000R*")</f>
        <v>3519.12</v>
      </c>
      <c r="G2295" s="83">
        <f>SUMIFS(G2296:G6462,K2296:K6462,"0",B2296:B6462,"5 1 1 3 2 12 31111 6 M59 80100 000132 0000R*")</f>
        <v>0</v>
      </c>
      <c r="H2295" s="83">
        <f t="shared" si="36"/>
        <v>3519.12</v>
      </c>
      <c r="I2295" s="83"/>
      <c r="K2295" s="54" t="s">
        <v>15</v>
      </c>
    </row>
    <row r="2296" spans="2:11" ht="24.75" x14ac:dyDescent="0.2">
      <c r="B2296" s="82" t="s">
        <v>4561</v>
      </c>
      <c r="C2296" s="82" t="s">
        <v>282</v>
      </c>
      <c r="D2296" s="83">
        <f>SUMIFS(D2297:D6462,K2297:K6462,"0",B2297:B6462,"5 1 1 3 2 12 31111 6 M59 80100 000132 0000R 00001*")-SUMIFS(E2297:E6462,K2297:K6462,"0",B2297:B6462,"5 1 1 3 2 12 31111 6 M59 80100 000132 0000R 00001*")</f>
        <v>0</v>
      </c>
      <c r="E2296" s="54"/>
      <c r="F2296" s="83">
        <f>SUMIFS(F2297:F6462,K2297:K6462,"0",B2297:B6462,"5 1 1 3 2 12 31111 6 M59 80100 000132 0000R 00001*")</f>
        <v>3519.12</v>
      </c>
      <c r="G2296" s="83">
        <f>SUMIFS(G2297:G6462,K2297:K6462,"0",B2297:B6462,"5 1 1 3 2 12 31111 6 M59 80100 000132 0000R 00001*")</f>
        <v>0</v>
      </c>
      <c r="H2296" s="83">
        <f t="shared" si="36"/>
        <v>3519.12</v>
      </c>
      <c r="I2296" s="83"/>
      <c r="K2296" s="54" t="s">
        <v>15</v>
      </c>
    </row>
    <row r="2297" spans="2:11" ht="24.75" x14ac:dyDescent="0.2">
      <c r="B2297" s="82" t="s">
        <v>4562</v>
      </c>
      <c r="C2297" s="82" t="s">
        <v>4041</v>
      </c>
      <c r="D2297" s="83">
        <f>SUMIFS(D2298:D6462,K2298:K6462,"0",B2298:B6462,"5 1 1 3 2 12 31111 6 M59 80100 000132 0000R 00001 00132*")-SUMIFS(E2298:E6462,K2298:K6462,"0",B2298:B6462,"5 1 1 3 2 12 31111 6 M59 80100 000132 0000R 00001 00132*")</f>
        <v>0</v>
      </c>
      <c r="E2297" s="54"/>
      <c r="F2297" s="83">
        <f>SUMIFS(F2298:F6462,K2298:K6462,"0",B2298:B6462,"5 1 1 3 2 12 31111 6 M59 80100 000132 0000R 00001 00132*")</f>
        <v>3519.12</v>
      </c>
      <c r="G2297" s="83">
        <f>SUMIFS(G2298:G6462,K2298:K6462,"0",B2298:B6462,"5 1 1 3 2 12 31111 6 M59 80100 000132 0000R 00001 00132*")</f>
        <v>0</v>
      </c>
      <c r="H2297" s="83">
        <f t="shared" si="36"/>
        <v>3519.12</v>
      </c>
      <c r="I2297" s="83"/>
      <c r="K2297" s="54" t="s">
        <v>15</v>
      </c>
    </row>
    <row r="2298" spans="2:11" ht="33" x14ac:dyDescent="0.2">
      <c r="B2298" s="82" t="s">
        <v>4563</v>
      </c>
      <c r="C2298" s="82" t="s">
        <v>1051</v>
      </c>
      <c r="D2298" s="83">
        <f>SUMIFS(D2299:D6462,K2299:K6462,"0",B2299:B6462,"5 1 1 3 2 12 31111 6 M59 80100 000132 0000R 00001 00132 015*")-SUMIFS(E2299:E6462,K2299:K6462,"0",B2299:B6462,"5 1 1 3 2 12 31111 6 M59 80100 000132 0000R 00001 00132 015*")</f>
        <v>0</v>
      </c>
      <c r="E2298" s="54"/>
      <c r="F2298" s="83">
        <f>SUMIFS(F2299:F6462,K2299:K6462,"0",B2299:B6462,"5 1 1 3 2 12 31111 6 M59 80100 000132 0000R 00001 00132 015*")</f>
        <v>3519.12</v>
      </c>
      <c r="G2298" s="83">
        <f>SUMIFS(G2299:G6462,K2299:K6462,"0",B2299:B6462,"5 1 1 3 2 12 31111 6 M59 80100 000132 0000R 00001 00132 015*")</f>
        <v>0</v>
      </c>
      <c r="H2298" s="83">
        <f t="shared" si="36"/>
        <v>3519.12</v>
      </c>
      <c r="I2298" s="83"/>
      <c r="K2298" s="54" t="s">
        <v>15</v>
      </c>
    </row>
    <row r="2299" spans="2:11" ht="33" x14ac:dyDescent="0.2">
      <c r="B2299" s="82" t="s">
        <v>4564</v>
      </c>
      <c r="C2299" s="82" t="s">
        <v>2927</v>
      </c>
      <c r="D2299" s="83">
        <f>SUMIFS(D2300:D6462,K2300:K6462,"0",B2300:B6462,"5 1 1 3 2 12 31111 6 M59 80100 000132 0000R 00001 00132 015 2111100*")-SUMIFS(E2300:E6462,K2300:K6462,"0",B2300:B6462,"5 1 1 3 2 12 31111 6 M59 80100 000132 0000R 00001 00132 015 2111100*")</f>
        <v>0</v>
      </c>
      <c r="E2299" s="54"/>
      <c r="F2299" s="83">
        <f>SUMIFS(F2300:F6462,K2300:K6462,"0",B2300:B6462,"5 1 1 3 2 12 31111 6 M59 80100 000132 0000R 00001 00132 015 2111100*")</f>
        <v>3519.12</v>
      </c>
      <c r="G2299" s="83">
        <f>SUMIFS(G2300:G6462,K2300:K6462,"0",B2300:B6462,"5 1 1 3 2 12 31111 6 M59 80100 000132 0000R 00001 00132 015 2111100*")</f>
        <v>0</v>
      </c>
      <c r="H2299" s="83">
        <f t="shared" si="36"/>
        <v>3519.12</v>
      </c>
      <c r="I2299" s="83"/>
      <c r="K2299" s="54" t="s">
        <v>15</v>
      </c>
    </row>
    <row r="2300" spans="2:11" ht="33" x14ac:dyDescent="0.2">
      <c r="B2300" s="82" t="s">
        <v>4565</v>
      </c>
      <c r="C2300" s="82" t="s">
        <v>660</v>
      </c>
      <c r="D2300" s="83">
        <f>SUMIFS(D2301:D6462,K2301:K6462,"0",B2301:B6462,"5 1 1 3 2 12 31111 6 M59 80100 000132 0000R 00001 00132 015 2111100 2024*")-SUMIFS(E2301:E6462,K2301:K6462,"0",B2301:B6462,"5 1 1 3 2 12 31111 6 M59 80100 000132 0000R 00001 00132 015 2111100 2024*")</f>
        <v>0</v>
      </c>
      <c r="E2300" s="54"/>
      <c r="F2300" s="83">
        <f>SUMIFS(F2301:F6462,K2301:K6462,"0",B2301:B6462,"5 1 1 3 2 12 31111 6 M59 80100 000132 0000R 00001 00132 015 2111100 2024*")</f>
        <v>3519.12</v>
      </c>
      <c r="G2300" s="83">
        <f>SUMIFS(G2301:G6462,K2301:K6462,"0",B2301:B6462,"5 1 1 3 2 12 31111 6 M59 80100 000132 0000R 00001 00132 015 2111100 2024*")</f>
        <v>0</v>
      </c>
      <c r="H2300" s="83">
        <f t="shared" si="36"/>
        <v>3519.12</v>
      </c>
      <c r="I2300" s="83"/>
      <c r="K2300" s="54" t="s">
        <v>15</v>
      </c>
    </row>
    <row r="2301" spans="2:11" ht="41.25" x14ac:dyDescent="0.2">
      <c r="B2301" s="82" t="s">
        <v>4566</v>
      </c>
      <c r="C2301" s="82" t="s">
        <v>1056</v>
      </c>
      <c r="D2301" s="83">
        <f>SUMIFS(D2302:D6462,K2302:K6462,"0",B2302:B6462,"5 1 1 3 2 12 31111 6 M59 80100 000132 0000R 00001 00132 015 2111100 2024 CP1AC425*")-SUMIFS(E2302:E6462,K2302:K6462,"0",B2302:B6462,"5 1 1 3 2 12 31111 6 M59 80100 000132 0000R 00001 00132 015 2111100 2024 CP1AC425*")</f>
        <v>0</v>
      </c>
      <c r="E2301" s="54"/>
      <c r="F2301" s="83">
        <f>SUMIFS(F2302:F6462,K2302:K6462,"0",B2302:B6462,"5 1 1 3 2 12 31111 6 M59 80100 000132 0000R 00001 00132 015 2111100 2024 CP1AC425*")</f>
        <v>3519.12</v>
      </c>
      <c r="G2301" s="83">
        <f>SUMIFS(G2302:G6462,K2302:K6462,"0",B2302:B6462,"5 1 1 3 2 12 31111 6 M59 80100 000132 0000R 00001 00132 015 2111100 2024 CP1AC425*")</f>
        <v>0</v>
      </c>
      <c r="H2301" s="83">
        <f t="shared" si="36"/>
        <v>3519.12</v>
      </c>
      <c r="I2301" s="83"/>
      <c r="K2301" s="54" t="s">
        <v>15</v>
      </c>
    </row>
    <row r="2302" spans="2:11" ht="41.25" x14ac:dyDescent="0.2">
      <c r="B2302" s="82" t="s">
        <v>4567</v>
      </c>
      <c r="C2302" s="82" t="s">
        <v>282</v>
      </c>
      <c r="D2302" s="83">
        <f>SUMIFS(D2303:D6462,K2303:K6462,"0",B2303:B6462,"5 1 1 3 2 12 31111 6 M59 80100 000132 0000R 00001 00132 015 2111100 2024 CP1AC425 001*")-SUMIFS(E2303:E6462,K2303:K6462,"0",B2303:B6462,"5 1 1 3 2 12 31111 6 M59 80100 000132 0000R 00001 00132 015 2111100 2024 CP1AC425 001*")</f>
        <v>0</v>
      </c>
      <c r="E2302" s="54"/>
      <c r="F2302" s="83">
        <f>SUMIFS(F2303:F6462,K2303:K6462,"0",B2303:B6462,"5 1 1 3 2 12 31111 6 M59 80100 000132 0000R 00001 00132 015 2111100 2024 CP1AC425 001*")</f>
        <v>3519.12</v>
      </c>
      <c r="G2302" s="83">
        <f>SUMIFS(G2303:G6462,K2303:K6462,"0",B2303:B6462,"5 1 1 3 2 12 31111 6 M59 80100 000132 0000R 00001 00132 015 2111100 2024 CP1AC425 001*")</f>
        <v>0</v>
      </c>
      <c r="H2302" s="83">
        <f t="shared" si="36"/>
        <v>3519.12</v>
      </c>
      <c r="I2302" s="83"/>
      <c r="K2302" s="54" t="s">
        <v>15</v>
      </c>
    </row>
    <row r="2303" spans="2:11" ht="33" x14ac:dyDescent="0.2">
      <c r="B2303" s="84" t="s">
        <v>4568</v>
      </c>
      <c r="C2303" s="84" t="s">
        <v>1519</v>
      </c>
      <c r="D2303" s="85">
        <v>0</v>
      </c>
      <c r="E2303" s="85"/>
      <c r="F2303" s="85">
        <v>3519.12</v>
      </c>
      <c r="G2303" s="85">
        <v>0</v>
      </c>
      <c r="H2303" s="85">
        <f t="shared" si="36"/>
        <v>3519.12</v>
      </c>
      <c r="I2303" s="85"/>
      <c r="K2303" s="54" t="s">
        <v>38</v>
      </c>
    </row>
    <row r="2304" spans="2:11" ht="16.5" x14ac:dyDescent="0.2">
      <c r="B2304" s="82" t="s">
        <v>4569</v>
      </c>
      <c r="C2304" s="82" t="s">
        <v>3547</v>
      </c>
      <c r="D2304" s="83">
        <f>SUMIFS(D2305:D6462,K2305:K6462,"0",B2305:B6462,"5 1 1 3 2 12 31111 6 M59 80300*")-SUMIFS(E2305:E6462,K2305:K6462,"0",B2305:B6462,"5 1 1 3 2 12 31111 6 M59 80300*")</f>
        <v>0</v>
      </c>
      <c r="E2304" s="54"/>
      <c r="F2304" s="83">
        <f>SUMIFS(F2305:F6462,K2305:K6462,"0",B2305:B6462,"5 1 1 3 2 12 31111 6 M59 80300*")</f>
        <v>3567.81</v>
      </c>
      <c r="G2304" s="83">
        <f>SUMIFS(G2305:G6462,K2305:K6462,"0",B2305:B6462,"5 1 1 3 2 12 31111 6 M59 80300*")</f>
        <v>0</v>
      </c>
      <c r="H2304" s="83">
        <f t="shared" si="36"/>
        <v>3567.81</v>
      </c>
      <c r="I2304" s="83"/>
      <c r="K2304" s="54" t="s">
        <v>15</v>
      </c>
    </row>
    <row r="2305" spans="2:11" ht="16.5" x14ac:dyDescent="0.2">
      <c r="B2305" s="82" t="s">
        <v>4570</v>
      </c>
      <c r="C2305" s="82" t="s">
        <v>648</v>
      </c>
      <c r="D2305" s="83">
        <f>SUMIFS(D2306:D6462,K2306:K6462,"0",B2306:B6462,"5 1 1 3 2 12 31111 6 M59 80300 000132*")-SUMIFS(E2306:E6462,K2306:K6462,"0",B2306:B6462,"5 1 1 3 2 12 31111 6 M59 80300 000132*")</f>
        <v>0</v>
      </c>
      <c r="E2305" s="54"/>
      <c r="F2305" s="83">
        <f>SUMIFS(F2306:F6462,K2306:K6462,"0",B2306:B6462,"5 1 1 3 2 12 31111 6 M59 80300 000132*")</f>
        <v>3567.81</v>
      </c>
      <c r="G2305" s="83">
        <f>SUMIFS(G2306:G6462,K2306:K6462,"0",B2306:B6462,"5 1 1 3 2 12 31111 6 M59 80300 000132*")</f>
        <v>0</v>
      </c>
      <c r="H2305" s="83">
        <f t="shared" si="36"/>
        <v>3567.81</v>
      </c>
      <c r="I2305" s="83"/>
      <c r="K2305" s="54" t="s">
        <v>15</v>
      </c>
    </row>
    <row r="2306" spans="2:11" ht="24.75" x14ac:dyDescent="0.2">
      <c r="B2306" s="82" t="s">
        <v>4571</v>
      </c>
      <c r="C2306" s="82" t="s">
        <v>650</v>
      </c>
      <c r="D2306" s="83">
        <f>SUMIFS(D2307:D6462,K2307:K6462,"0",B2307:B6462,"5 1 1 3 2 12 31111 6 M59 80300 000132 0000R*")-SUMIFS(E2307:E6462,K2307:K6462,"0",B2307:B6462,"5 1 1 3 2 12 31111 6 M59 80300 000132 0000R*")</f>
        <v>0</v>
      </c>
      <c r="E2306" s="54"/>
      <c r="F2306" s="83">
        <f>SUMIFS(F2307:F6462,K2307:K6462,"0",B2307:B6462,"5 1 1 3 2 12 31111 6 M59 80300 000132 0000R*")</f>
        <v>3567.81</v>
      </c>
      <c r="G2306" s="83">
        <f>SUMIFS(G2307:G6462,K2307:K6462,"0",B2307:B6462,"5 1 1 3 2 12 31111 6 M59 80300 000132 0000R*")</f>
        <v>0</v>
      </c>
      <c r="H2306" s="83">
        <f t="shared" si="36"/>
        <v>3567.81</v>
      </c>
      <c r="I2306" s="83"/>
      <c r="K2306" s="54" t="s">
        <v>15</v>
      </c>
    </row>
    <row r="2307" spans="2:11" ht="24.75" x14ac:dyDescent="0.2">
      <c r="B2307" s="82" t="s">
        <v>4572</v>
      </c>
      <c r="C2307" s="82" t="s">
        <v>282</v>
      </c>
      <c r="D2307" s="83">
        <f>SUMIFS(D2308:D6462,K2308:K6462,"0",B2308:B6462,"5 1 1 3 2 12 31111 6 M59 80300 000132 0000R 00001*")-SUMIFS(E2308:E6462,K2308:K6462,"0",B2308:B6462,"5 1 1 3 2 12 31111 6 M59 80300 000132 0000R 00001*")</f>
        <v>0</v>
      </c>
      <c r="E2307" s="54"/>
      <c r="F2307" s="83">
        <f>SUMIFS(F2308:F6462,K2308:K6462,"0",B2308:B6462,"5 1 1 3 2 12 31111 6 M59 80300 000132 0000R 00001*")</f>
        <v>3567.81</v>
      </c>
      <c r="G2307" s="83">
        <f>SUMIFS(G2308:G6462,K2308:K6462,"0",B2308:B6462,"5 1 1 3 2 12 31111 6 M59 80300 000132 0000R 00001*")</f>
        <v>0</v>
      </c>
      <c r="H2307" s="83">
        <f t="shared" si="36"/>
        <v>3567.81</v>
      </c>
      <c r="I2307" s="83"/>
      <c r="K2307" s="54" t="s">
        <v>15</v>
      </c>
    </row>
    <row r="2308" spans="2:11" ht="24.75" x14ac:dyDescent="0.2">
      <c r="B2308" s="82" t="s">
        <v>4573</v>
      </c>
      <c r="C2308" s="82" t="s">
        <v>4041</v>
      </c>
      <c r="D2308" s="83">
        <f>SUMIFS(D2309:D6462,K2309:K6462,"0",B2309:B6462,"5 1 1 3 2 12 31111 6 M59 80300 000132 0000R 00001 00132*")-SUMIFS(E2309:E6462,K2309:K6462,"0",B2309:B6462,"5 1 1 3 2 12 31111 6 M59 80300 000132 0000R 00001 00132*")</f>
        <v>0</v>
      </c>
      <c r="E2308" s="54"/>
      <c r="F2308" s="83">
        <f>SUMIFS(F2309:F6462,K2309:K6462,"0",B2309:B6462,"5 1 1 3 2 12 31111 6 M59 80300 000132 0000R 00001 00132*")</f>
        <v>3567.81</v>
      </c>
      <c r="G2308" s="83">
        <f>SUMIFS(G2309:G6462,K2309:K6462,"0",B2309:B6462,"5 1 1 3 2 12 31111 6 M59 80300 000132 0000R 00001 00132*")</f>
        <v>0</v>
      </c>
      <c r="H2308" s="83">
        <f t="shared" si="36"/>
        <v>3567.81</v>
      </c>
      <c r="I2308" s="83"/>
      <c r="K2308" s="54" t="s">
        <v>15</v>
      </c>
    </row>
    <row r="2309" spans="2:11" ht="33" x14ac:dyDescent="0.2">
      <c r="B2309" s="82" t="s">
        <v>4574</v>
      </c>
      <c r="C2309" s="82" t="s">
        <v>1051</v>
      </c>
      <c r="D2309" s="83">
        <f>SUMIFS(D2310:D6462,K2310:K6462,"0",B2310:B6462,"5 1 1 3 2 12 31111 6 M59 80300 000132 0000R 00001 00132 015*")-SUMIFS(E2310:E6462,K2310:K6462,"0",B2310:B6462,"5 1 1 3 2 12 31111 6 M59 80300 000132 0000R 00001 00132 015*")</f>
        <v>0</v>
      </c>
      <c r="E2309" s="54"/>
      <c r="F2309" s="83">
        <f>SUMIFS(F2310:F6462,K2310:K6462,"0",B2310:B6462,"5 1 1 3 2 12 31111 6 M59 80300 000132 0000R 00001 00132 015*")</f>
        <v>3567.81</v>
      </c>
      <c r="G2309" s="83">
        <f>SUMIFS(G2310:G6462,K2310:K6462,"0",B2310:B6462,"5 1 1 3 2 12 31111 6 M59 80300 000132 0000R 00001 00132 015*")</f>
        <v>0</v>
      </c>
      <c r="H2309" s="83">
        <f t="shared" si="36"/>
        <v>3567.81</v>
      </c>
      <c r="I2309" s="83"/>
      <c r="K2309" s="54" t="s">
        <v>15</v>
      </c>
    </row>
    <row r="2310" spans="2:11" ht="33" x14ac:dyDescent="0.2">
      <c r="B2310" s="82" t="s">
        <v>4575</v>
      </c>
      <c r="C2310" s="82" t="s">
        <v>2927</v>
      </c>
      <c r="D2310" s="83">
        <f>SUMIFS(D2311:D6462,K2311:K6462,"0",B2311:B6462,"5 1 1 3 2 12 31111 6 M59 80300 000132 0000R 00001 00132 015 2111100*")-SUMIFS(E2311:E6462,K2311:K6462,"0",B2311:B6462,"5 1 1 3 2 12 31111 6 M59 80300 000132 0000R 00001 00132 015 2111100*")</f>
        <v>0</v>
      </c>
      <c r="E2310" s="54"/>
      <c r="F2310" s="83">
        <f>SUMIFS(F2311:F6462,K2311:K6462,"0",B2311:B6462,"5 1 1 3 2 12 31111 6 M59 80300 000132 0000R 00001 00132 015 2111100*")</f>
        <v>3567.81</v>
      </c>
      <c r="G2310" s="83">
        <f>SUMIFS(G2311:G6462,K2311:K6462,"0",B2311:B6462,"5 1 1 3 2 12 31111 6 M59 80300 000132 0000R 00001 00132 015 2111100*")</f>
        <v>0</v>
      </c>
      <c r="H2310" s="83">
        <f t="shared" si="36"/>
        <v>3567.81</v>
      </c>
      <c r="I2310" s="83"/>
      <c r="K2310" s="54" t="s">
        <v>15</v>
      </c>
    </row>
    <row r="2311" spans="2:11" ht="33" x14ac:dyDescent="0.2">
      <c r="B2311" s="82" t="s">
        <v>4576</v>
      </c>
      <c r="C2311" s="82" t="s">
        <v>660</v>
      </c>
      <c r="D2311" s="83">
        <f>SUMIFS(D2312:D6462,K2312:K6462,"0",B2312:B6462,"5 1 1 3 2 12 31111 6 M59 80300 000132 0000R 00001 00132 015 2111100 2024*")-SUMIFS(E2312:E6462,K2312:K6462,"0",B2312:B6462,"5 1 1 3 2 12 31111 6 M59 80300 000132 0000R 00001 00132 015 2111100 2024*")</f>
        <v>0</v>
      </c>
      <c r="E2311" s="54"/>
      <c r="F2311" s="83">
        <f>SUMIFS(F2312:F6462,K2312:K6462,"0",B2312:B6462,"5 1 1 3 2 12 31111 6 M59 80300 000132 0000R 00001 00132 015 2111100 2024*")</f>
        <v>3567.81</v>
      </c>
      <c r="G2311" s="83">
        <f>SUMIFS(G2312:G6462,K2312:K6462,"0",B2312:B6462,"5 1 1 3 2 12 31111 6 M59 80300 000132 0000R 00001 00132 015 2111100 2024*")</f>
        <v>0</v>
      </c>
      <c r="H2311" s="83">
        <f t="shared" si="36"/>
        <v>3567.81</v>
      </c>
      <c r="I2311" s="83"/>
      <c r="K2311" s="54" t="s">
        <v>15</v>
      </c>
    </row>
    <row r="2312" spans="2:11" ht="41.25" x14ac:dyDescent="0.2">
      <c r="B2312" s="82" t="s">
        <v>4577</v>
      </c>
      <c r="C2312" s="82" t="s">
        <v>1056</v>
      </c>
      <c r="D2312" s="83">
        <f>SUMIFS(D2313:D6462,K2313:K6462,"0",B2313:B6462,"5 1 1 3 2 12 31111 6 M59 80300 000132 0000R 00001 00132 015 2111100 2024 CP1GA414*")-SUMIFS(E2313:E6462,K2313:K6462,"0",B2313:B6462,"5 1 1 3 2 12 31111 6 M59 80300 000132 0000R 00001 00132 015 2111100 2024 CP1GA414*")</f>
        <v>0</v>
      </c>
      <c r="E2312" s="54"/>
      <c r="F2312" s="83">
        <f>SUMIFS(F2313:F6462,K2313:K6462,"0",B2313:B6462,"5 1 1 3 2 12 31111 6 M59 80300 000132 0000R 00001 00132 015 2111100 2024 CP1GA414*")</f>
        <v>3567.81</v>
      </c>
      <c r="G2312" s="83">
        <f>SUMIFS(G2313:G6462,K2313:K6462,"0",B2313:B6462,"5 1 1 3 2 12 31111 6 M59 80300 000132 0000R 00001 00132 015 2111100 2024 CP1GA414*")</f>
        <v>0</v>
      </c>
      <c r="H2312" s="83">
        <f t="shared" si="36"/>
        <v>3567.81</v>
      </c>
      <c r="I2312" s="83"/>
      <c r="K2312" s="54" t="s">
        <v>15</v>
      </c>
    </row>
    <row r="2313" spans="2:11" ht="41.25" x14ac:dyDescent="0.2">
      <c r="B2313" s="82" t="s">
        <v>4578</v>
      </c>
      <c r="C2313" s="82" t="s">
        <v>282</v>
      </c>
      <c r="D2313" s="83">
        <f>SUMIFS(D2314:D6462,K2314:K6462,"0",B2314:B6462,"5 1 1 3 2 12 31111 6 M59 80300 000132 0000R 00001 00132 015 2111100 2024 CP1GA414 001*")-SUMIFS(E2314:E6462,K2314:K6462,"0",B2314:B6462,"5 1 1 3 2 12 31111 6 M59 80300 000132 0000R 00001 00132 015 2111100 2024 CP1GA414 001*")</f>
        <v>0</v>
      </c>
      <c r="E2313" s="54"/>
      <c r="F2313" s="83">
        <f>SUMIFS(F2314:F6462,K2314:K6462,"0",B2314:B6462,"5 1 1 3 2 12 31111 6 M59 80300 000132 0000R 00001 00132 015 2111100 2024 CP1GA414 001*")</f>
        <v>3567.81</v>
      </c>
      <c r="G2313" s="83">
        <f>SUMIFS(G2314:G6462,K2314:K6462,"0",B2314:B6462,"5 1 1 3 2 12 31111 6 M59 80300 000132 0000R 00001 00132 015 2111100 2024 CP1GA414 001*")</f>
        <v>0</v>
      </c>
      <c r="H2313" s="83">
        <f t="shared" si="36"/>
        <v>3567.81</v>
      </c>
      <c r="I2313" s="83"/>
      <c r="K2313" s="54" t="s">
        <v>15</v>
      </c>
    </row>
    <row r="2314" spans="2:11" ht="41.25" x14ac:dyDescent="0.2">
      <c r="B2314" s="84" t="s">
        <v>4579</v>
      </c>
      <c r="C2314" s="84" t="s">
        <v>1519</v>
      </c>
      <c r="D2314" s="85">
        <v>0</v>
      </c>
      <c r="E2314" s="85"/>
      <c r="F2314" s="85">
        <v>3567.81</v>
      </c>
      <c r="G2314" s="85">
        <v>0</v>
      </c>
      <c r="H2314" s="85">
        <f t="shared" si="36"/>
        <v>3567.81</v>
      </c>
      <c r="I2314" s="85"/>
      <c r="K2314" s="54" t="s">
        <v>38</v>
      </c>
    </row>
    <row r="2315" spans="2:11" ht="16.5" x14ac:dyDescent="0.2">
      <c r="B2315" s="82" t="s">
        <v>4580</v>
      </c>
      <c r="C2315" s="82" t="s">
        <v>3559</v>
      </c>
      <c r="D2315" s="83">
        <f>SUMIFS(D2316:D6462,K2316:K6462,"0",B2316:B6462,"5 1 1 3 2 12 31111 6 M59 80400*")-SUMIFS(E2316:E6462,K2316:K6462,"0",B2316:B6462,"5 1 1 3 2 12 31111 6 M59 80400*")</f>
        <v>0</v>
      </c>
      <c r="E2315" s="54"/>
      <c r="F2315" s="83">
        <f>SUMIFS(F2316:F6462,K2316:K6462,"0",B2316:B6462,"5 1 1 3 2 12 31111 6 M59 80400*")</f>
        <v>16549.63</v>
      </c>
      <c r="G2315" s="83">
        <f>SUMIFS(G2316:G6462,K2316:K6462,"0",B2316:B6462,"5 1 1 3 2 12 31111 6 M59 80400*")</f>
        <v>0</v>
      </c>
      <c r="H2315" s="83">
        <f t="shared" si="36"/>
        <v>16549.63</v>
      </c>
      <c r="I2315" s="83"/>
      <c r="K2315" s="54" t="s">
        <v>15</v>
      </c>
    </row>
    <row r="2316" spans="2:11" ht="16.5" x14ac:dyDescent="0.2">
      <c r="B2316" s="82" t="s">
        <v>4581</v>
      </c>
      <c r="C2316" s="82" t="s">
        <v>648</v>
      </c>
      <c r="D2316" s="83">
        <f>SUMIFS(D2317:D6462,K2317:K6462,"0",B2317:B6462,"5 1 1 3 2 12 31111 6 M59 80400 000132*")-SUMIFS(E2317:E6462,K2317:K6462,"0",B2317:B6462,"5 1 1 3 2 12 31111 6 M59 80400 000132*")</f>
        <v>0</v>
      </c>
      <c r="E2316" s="54"/>
      <c r="F2316" s="83">
        <f>SUMIFS(F2317:F6462,K2317:K6462,"0",B2317:B6462,"5 1 1 3 2 12 31111 6 M59 80400 000132*")</f>
        <v>16549.63</v>
      </c>
      <c r="G2316" s="83">
        <f>SUMIFS(G2317:G6462,K2317:K6462,"0",B2317:B6462,"5 1 1 3 2 12 31111 6 M59 80400 000132*")</f>
        <v>0</v>
      </c>
      <c r="H2316" s="83">
        <f t="shared" si="36"/>
        <v>16549.63</v>
      </c>
      <c r="I2316" s="83"/>
      <c r="K2316" s="54" t="s">
        <v>15</v>
      </c>
    </row>
    <row r="2317" spans="2:11" ht="24.75" x14ac:dyDescent="0.2">
      <c r="B2317" s="82" t="s">
        <v>4582</v>
      </c>
      <c r="C2317" s="82" t="s">
        <v>650</v>
      </c>
      <c r="D2317" s="83">
        <f>SUMIFS(D2318:D6462,K2318:K6462,"0",B2318:B6462,"5 1 1 3 2 12 31111 6 M59 80400 000132 0000R*")-SUMIFS(E2318:E6462,K2318:K6462,"0",B2318:B6462,"5 1 1 3 2 12 31111 6 M59 80400 000132 0000R*")</f>
        <v>0</v>
      </c>
      <c r="E2317" s="54"/>
      <c r="F2317" s="83">
        <f>SUMIFS(F2318:F6462,K2318:K6462,"0",B2318:B6462,"5 1 1 3 2 12 31111 6 M59 80400 000132 0000R*")</f>
        <v>16549.63</v>
      </c>
      <c r="G2317" s="83">
        <f>SUMIFS(G2318:G6462,K2318:K6462,"0",B2318:B6462,"5 1 1 3 2 12 31111 6 M59 80400 000132 0000R*")</f>
        <v>0</v>
      </c>
      <c r="H2317" s="83">
        <f t="shared" si="36"/>
        <v>16549.63</v>
      </c>
      <c r="I2317" s="83"/>
      <c r="K2317" s="54" t="s">
        <v>15</v>
      </c>
    </row>
    <row r="2318" spans="2:11" ht="24.75" x14ac:dyDescent="0.2">
      <c r="B2318" s="82" t="s">
        <v>4583</v>
      </c>
      <c r="C2318" s="82" t="s">
        <v>282</v>
      </c>
      <c r="D2318" s="83">
        <f>SUMIFS(D2319:D6462,K2319:K6462,"0",B2319:B6462,"5 1 1 3 2 12 31111 6 M59 80400 000132 0000R 00001*")-SUMIFS(E2319:E6462,K2319:K6462,"0",B2319:B6462,"5 1 1 3 2 12 31111 6 M59 80400 000132 0000R 00001*")</f>
        <v>0</v>
      </c>
      <c r="E2318" s="54"/>
      <c r="F2318" s="83">
        <f>SUMIFS(F2319:F6462,K2319:K6462,"0",B2319:B6462,"5 1 1 3 2 12 31111 6 M59 80400 000132 0000R 00001*")</f>
        <v>16549.63</v>
      </c>
      <c r="G2318" s="83">
        <f>SUMIFS(G2319:G6462,K2319:K6462,"0",B2319:B6462,"5 1 1 3 2 12 31111 6 M59 80400 000132 0000R 00001*")</f>
        <v>0</v>
      </c>
      <c r="H2318" s="83">
        <f t="shared" si="36"/>
        <v>16549.63</v>
      </c>
      <c r="I2318" s="83"/>
      <c r="K2318" s="54" t="s">
        <v>15</v>
      </c>
    </row>
    <row r="2319" spans="2:11" ht="24.75" x14ac:dyDescent="0.2">
      <c r="B2319" s="82" t="s">
        <v>4584</v>
      </c>
      <c r="C2319" s="82" t="s">
        <v>4041</v>
      </c>
      <c r="D2319" s="83">
        <f>SUMIFS(D2320:D6462,K2320:K6462,"0",B2320:B6462,"5 1 1 3 2 12 31111 6 M59 80400 000132 0000R 00001 00132*")-SUMIFS(E2320:E6462,K2320:K6462,"0",B2320:B6462,"5 1 1 3 2 12 31111 6 M59 80400 000132 0000R 00001 00132*")</f>
        <v>0</v>
      </c>
      <c r="E2319" s="54"/>
      <c r="F2319" s="83">
        <f>SUMIFS(F2320:F6462,K2320:K6462,"0",B2320:B6462,"5 1 1 3 2 12 31111 6 M59 80400 000132 0000R 00001 00132*")</f>
        <v>16549.63</v>
      </c>
      <c r="G2319" s="83">
        <f>SUMIFS(G2320:G6462,K2320:K6462,"0",B2320:B6462,"5 1 1 3 2 12 31111 6 M59 80400 000132 0000R 00001 00132*")</f>
        <v>0</v>
      </c>
      <c r="H2319" s="83">
        <f t="shared" si="36"/>
        <v>16549.63</v>
      </c>
      <c r="I2319" s="83"/>
      <c r="K2319" s="54" t="s">
        <v>15</v>
      </c>
    </row>
    <row r="2320" spans="2:11" ht="33" x14ac:dyDescent="0.2">
      <c r="B2320" s="82" t="s">
        <v>4585</v>
      </c>
      <c r="C2320" s="82" t="s">
        <v>1051</v>
      </c>
      <c r="D2320" s="83">
        <f>SUMIFS(D2321:D6462,K2321:K6462,"0",B2321:B6462,"5 1 1 3 2 12 31111 6 M59 80400 000132 0000R 00001 00132 015*")-SUMIFS(E2321:E6462,K2321:K6462,"0",B2321:B6462,"5 1 1 3 2 12 31111 6 M59 80400 000132 0000R 00001 00132 015*")</f>
        <v>0</v>
      </c>
      <c r="E2320" s="54"/>
      <c r="F2320" s="83">
        <f>SUMIFS(F2321:F6462,K2321:K6462,"0",B2321:B6462,"5 1 1 3 2 12 31111 6 M59 80400 000132 0000R 00001 00132 015*")</f>
        <v>16549.63</v>
      </c>
      <c r="G2320" s="83">
        <f>SUMIFS(G2321:G6462,K2321:K6462,"0",B2321:B6462,"5 1 1 3 2 12 31111 6 M59 80400 000132 0000R 00001 00132 015*")</f>
        <v>0</v>
      </c>
      <c r="H2320" s="83">
        <f t="shared" si="36"/>
        <v>16549.63</v>
      </c>
      <c r="I2320" s="83"/>
      <c r="K2320" s="54" t="s">
        <v>15</v>
      </c>
    </row>
    <row r="2321" spans="2:11" ht="33" x14ac:dyDescent="0.2">
      <c r="B2321" s="82" t="s">
        <v>4586</v>
      </c>
      <c r="C2321" s="82" t="s">
        <v>2927</v>
      </c>
      <c r="D2321" s="83">
        <f>SUMIFS(D2322:D6462,K2322:K6462,"0",B2322:B6462,"5 1 1 3 2 12 31111 6 M59 80400 000132 0000R 00001 00132 015 2111100*")-SUMIFS(E2322:E6462,K2322:K6462,"0",B2322:B6462,"5 1 1 3 2 12 31111 6 M59 80400 000132 0000R 00001 00132 015 2111100*")</f>
        <v>0</v>
      </c>
      <c r="E2321" s="54"/>
      <c r="F2321" s="83">
        <f>SUMIFS(F2322:F6462,K2322:K6462,"0",B2322:B6462,"5 1 1 3 2 12 31111 6 M59 80400 000132 0000R 00001 00132 015 2111100*")</f>
        <v>16549.63</v>
      </c>
      <c r="G2321" s="83">
        <f>SUMIFS(G2322:G6462,K2322:K6462,"0",B2322:B6462,"5 1 1 3 2 12 31111 6 M59 80400 000132 0000R 00001 00132 015 2111100*")</f>
        <v>0</v>
      </c>
      <c r="H2321" s="83">
        <f t="shared" si="36"/>
        <v>16549.63</v>
      </c>
      <c r="I2321" s="83"/>
      <c r="K2321" s="54" t="s">
        <v>15</v>
      </c>
    </row>
    <row r="2322" spans="2:11" ht="33" x14ac:dyDescent="0.2">
      <c r="B2322" s="82" t="s">
        <v>4587</v>
      </c>
      <c r="C2322" s="82" t="s">
        <v>660</v>
      </c>
      <c r="D2322" s="83">
        <f>SUMIFS(D2323:D6462,K2323:K6462,"0",B2323:B6462,"5 1 1 3 2 12 31111 6 M59 80400 000132 0000R 00001 00132 015 2111100 2024*")-SUMIFS(E2323:E6462,K2323:K6462,"0",B2323:B6462,"5 1 1 3 2 12 31111 6 M59 80400 000132 0000R 00001 00132 015 2111100 2024*")</f>
        <v>0</v>
      </c>
      <c r="E2322" s="54"/>
      <c r="F2322" s="83">
        <f>SUMIFS(F2323:F6462,K2323:K6462,"0",B2323:B6462,"5 1 1 3 2 12 31111 6 M59 80400 000132 0000R 00001 00132 015 2111100 2024*")</f>
        <v>16549.63</v>
      </c>
      <c r="G2322" s="83">
        <f>SUMIFS(G2323:G6462,K2323:K6462,"0",B2323:B6462,"5 1 1 3 2 12 31111 6 M59 80400 000132 0000R 00001 00132 015 2111100 2024*")</f>
        <v>0</v>
      </c>
      <c r="H2322" s="83">
        <f t="shared" si="36"/>
        <v>16549.63</v>
      </c>
      <c r="I2322" s="83"/>
      <c r="K2322" s="54" t="s">
        <v>15</v>
      </c>
    </row>
    <row r="2323" spans="2:11" ht="41.25" x14ac:dyDescent="0.2">
      <c r="B2323" s="82" t="s">
        <v>4588</v>
      </c>
      <c r="C2323" s="82" t="s">
        <v>1056</v>
      </c>
      <c r="D2323" s="83">
        <f>SUMIFS(D2324:D6462,K2324:K6462,"0",B2324:B6462,"5 1 1 3 2 12 31111 6 M59 80400 000132 0000R 00001 00132 015 2111100 2024 CP1DP403*")-SUMIFS(E2324:E6462,K2324:K6462,"0",B2324:B6462,"5 1 1 3 2 12 31111 6 M59 80400 000132 0000R 00001 00132 015 2111100 2024 CP1DP403*")</f>
        <v>0</v>
      </c>
      <c r="E2323" s="54"/>
      <c r="F2323" s="83">
        <f>SUMIFS(F2324:F6462,K2324:K6462,"0",B2324:B6462,"5 1 1 3 2 12 31111 6 M59 80400 000132 0000R 00001 00132 015 2111100 2024 CP1DP403*")</f>
        <v>16549.63</v>
      </c>
      <c r="G2323" s="83">
        <f>SUMIFS(G2324:G6462,K2324:K6462,"0",B2324:B6462,"5 1 1 3 2 12 31111 6 M59 80400 000132 0000R 00001 00132 015 2111100 2024 CP1DP403*")</f>
        <v>0</v>
      </c>
      <c r="H2323" s="83">
        <f t="shared" si="36"/>
        <v>16549.63</v>
      </c>
      <c r="I2323" s="83"/>
      <c r="K2323" s="54" t="s">
        <v>15</v>
      </c>
    </row>
    <row r="2324" spans="2:11" ht="41.25" x14ac:dyDescent="0.2">
      <c r="B2324" s="82" t="s">
        <v>4589</v>
      </c>
      <c r="C2324" s="82" t="s">
        <v>282</v>
      </c>
      <c r="D2324" s="83">
        <f>SUMIFS(D2325:D6462,K2325:K6462,"0",B2325:B6462,"5 1 1 3 2 12 31111 6 M59 80400 000132 0000R 00001 00132 015 2111100 2024 CP1DP403 001*")-SUMIFS(E2325:E6462,K2325:K6462,"0",B2325:B6462,"5 1 1 3 2 12 31111 6 M59 80400 000132 0000R 00001 00132 015 2111100 2024 CP1DP403 001*")</f>
        <v>0</v>
      </c>
      <c r="E2324" s="54"/>
      <c r="F2324" s="83">
        <f>SUMIFS(F2325:F6462,K2325:K6462,"0",B2325:B6462,"5 1 1 3 2 12 31111 6 M59 80400 000132 0000R 00001 00132 015 2111100 2024 CP1DP403 001*")</f>
        <v>16549.63</v>
      </c>
      <c r="G2324" s="83">
        <f>SUMIFS(G2325:G6462,K2325:K6462,"0",B2325:B6462,"5 1 1 3 2 12 31111 6 M59 80400 000132 0000R 00001 00132 015 2111100 2024 CP1DP403 001*")</f>
        <v>0</v>
      </c>
      <c r="H2324" s="83">
        <f t="shared" si="36"/>
        <v>16549.63</v>
      </c>
      <c r="I2324" s="83"/>
      <c r="K2324" s="54" t="s">
        <v>15</v>
      </c>
    </row>
    <row r="2325" spans="2:11" ht="41.25" x14ac:dyDescent="0.2">
      <c r="B2325" s="84" t="s">
        <v>4590</v>
      </c>
      <c r="C2325" s="84" t="s">
        <v>1519</v>
      </c>
      <c r="D2325" s="85">
        <v>0</v>
      </c>
      <c r="E2325" s="85"/>
      <c r="F2325" s="85">
        <v>14693.64</v>
      </c>
      <c r="G2325" s="85">
        <v>0</v>
      </c>
      <c r="H2325" s="85">
        <f t="shared" si="36"/>
        <v>14693.64</v>
      </c>
      <c r="I2325" s="85"/>
      <c r="K2325" s="54" t="s">
        <v>38</v>
      </c>
    </row>
    <row r="2326" spans="2:11" ht="41.25" x14ac:dyDescent="0.2">
      <c r="B2326" s="84" t="s">
        <v>4591</v>
      </c>
      <c r="C2326" s="84" t="s">
        <v>4071</v>
      </c>
      <c r="D2326" s="85">
        <v>0</v>
      </c>
      <c r="E2326" s="85"/>
      <c r="F2326" s="85">
        <v>1855.99</v>
      </c>
      <c r="G2326" s="85">
        <v>0</v>
      </c>
      <c r="H2326" s="85">
        <f t="shared" si="36"/>
        <v>1855.99</v>
      </c>
      <c r="I2326" s="85"/>
      <c r="K2326" s="54" t="s">
        <v>38</v>
      </c>
    </row>
    <row r="2327" spans="2:11" ht="24.75" x14ac:dyDescent="0.2">
      <c r="B2327" s="82" t="s">
        <v>4592</v>
      </c>
      <c r="C2327" s="82" t="s">
        <v>3571</v>
      </c>
      <c r="D2327" s="83">
        <f>SUMIFS(D2328:D6462,K2328:K6462,"0",B2328:B6462,"5 1 1 3 2 12 31111 6 M59 80500*")-SUMIFS(E2328:E6462,K2328:K6462,"0",B2328:B6462,"5 1 1 3 2 12 31111 6 M59 80500*")</f>
        <v>0</v>
      </c>
      <c r="E2327" s="54"/>
      <c r="F2327" s="83">
        <f>SUMIFS(F2328:F6462,K2328:K6462,"0",B2328:B6462,"5 1 1 3 2 12 31111 6 M59 80500*")</f>
        <v>27665.920000000002</v>
      </c>
      <c r="G2327" s="83">
        <f>SUMIFS(G2328:G6462,K2328:K6462,"0",B2328:B6462,"5 1 1 3 2 12 31111 6 M59 80500*")</f>
        <v>0</v>
      </c>
      <c r="H2327" s="83">
        <f t="shared" si="36"/>
        <v>27665.920000000002</v>
      </c>
      <c r="I2327" s="83"/>
      <c r="K2327" s="54" t="s">
        <v>15</v>
      </c>
    </row>
    <row r="2328" spans="2:11" ht="16.5" x14ac:dyDescent="0.2">
      <c r="B2328" s="82" t="s">
        <v>4593</v>
      </c>
      <c r="C2328" s="82" t="s">
        <v>3573</v>
      </c>
      <c r="D2328" s="83">
        <f>SUMIFS(D2329:D6462,K2329:K6462,"0",B2329:B6462,"5 1 1 3 2 12 31111 6 M59 80500 000216*")-SUMIFS(E2329:E6462,K2329:K6462,"0",B2329:B6462,"5 1 1 3 2 12 31111 6 M59 80500 000216*")</f>
        <v>0</v>
      </c>
      <c r="E2328" s="54"/>
      <c r="F2328" s="83">
        <f>SUMIFS(F2329:F6462,K2329:K6462,"0",B2329:B6462,"5 1 1 3 2 12 31111 6 M59 80500 000216*")</f>
        <v>27665.920000000002</v>
      </c>
      <c r="G2328" s="83">
        <f>SUMIFS(G2329:G6462,K2329:K6462,"0",B2329:B6462,"5 1 1 3 2 12 31111 6 M59 80500 000216*")</f>
        <v>0</v>
      </c>
      <c r="H2328" s="83">
        <f t="shared" si="36"/>
        <v>27665.920000000002</v>
      </c>
      <c r="I2328" s="83"/>
      <c r="K2328" s="54" t="s">
        <v>15</v>
      </c>
    </row>
    <row r="2329" spans="2:11" ht="24.75" x14ac:dyDescent="0.2">
      <c r="B2329" s="82" t="s">
        <v>4594</v>
      </c>
      <c r="C2329" s="82" t="s">
        <v>650</v>
      </c>
      <c r="D2329" s="83">
        <f>SUMIFS(D2330:D6462,K2330:K6462,"0",B2330:B6462,"5 1 1 3 2 12 31111 6 M59 80500 000216 0000R*")-SUMIFS(E2330:E6462,K2330:K6462,"0",B2330:B6462,"5 1 1 3 2 12 31111 6 M59 80500 000216 0000R*")</f>
        <v>0</v>
      </c>
      <c r="E2329" s="54"/>
      <c r="F2329" s="83">
        <f>SUMIFS(F2330:F6462,K2330:K6462,"0",B2330:B6462,"5 1 1 3 2 12 31111 6 M59 80500 000216 0000R*")</f>
        <v>27665.920000000002</v>
      </c>
      <c r="G2329" s="83">
        <f>SUMIFS(G2330:G6462,K2330:K6462,"0",B2330:B6462,"5 1 1 3 2 12 31111 6 M59 80500 000216 0000R*")</f>
        <v>0</v>
      </c>
      <c r="H2329" s="83">
        <f t="shared" si="36"/>
        <v>27665.920000000002</v>
      </c>
      <c r="I2329" s="83"/>
      <c r="K2329" s="54" t="s">
        <v>15</v>
      </c>
    </row>
    <row r="2330" spans="2:11" ht="24.75" x14ac:dyDescent="0.2">
      <c r="B2330" s="82" t="s">
        <v>4595</v>
      </c>
      <c r="C2330" s="82" t="s">
        <v>282</v>
      </c>
      <c r="D2330" s="83">
        <f>SUMIFS(D2331:D6462,K2331:K6462,"0",B2331:B6462,"5 1 1 3 2 12 31111 6 M59 80500 000216 0000R 00001*")-SUMIFS(E2331:E6462,K2331:K6462,"0",B2331:B6462,"5 1 1 3 2 12 31111 6 M59 80500 000216 0000R 00001*")</f>
        <v>0</v>
      </c>
      <c r="E2330" s="54"/>
      <c r="F2330" s="83">
        <f>SUMIFS(F2331:F6462,K2331:K6462,"0",B2331:B6462,"5 1 1 3 2 12 31111 6 M59 80500 000216 0000R 00001*")</f>
        <v>27665.920000000002</v>
      </c>
      <c r="G2330" s="83">
        <f>SUMIFS(G2331:G6462,K2331:K6462,"0",B2331:B6462,"5 1 1 3 2 12 31111 6 M59 80500 000216 0000R 00001*")</f>
        <v>0</v>
      </c>
      <c r="H2330" s="83">
        <f t="shared" si="36"/>
        <v>27665.920000000002</v>
      </c>
      <c r="I2330" s="83"/>
      <c r="K2330" s="54" t="s">
        <v>15</v>
      </c>
    </row>
    <row r="2331" spans="2:11" ht="24.75" x14ac:dyDescent="0.2">
      <c r="B2331" s="82" t="s">
        <v>4596</v>
      </c>
      <c r="C2331" s="82" t="s">
        <v>4041</v>
      </c>
      <c r="D2331" s="83">
        <f>SUMIFS(D2332:D6462,K2332:K6462,"0",B2332:B6462,"5 1 1 3 2 12 31111 6 M59 80500 000216 0000R 00001 00132*")-SUMIFS(E2332:E6462,K2332:K6462,"0",B2332:B6462,"5 1 1 3 2 12 31111 6 M59 80500 000216 0000R 00001 00132*")</f>
        <v>0</v>
      </c>
      <c r="E2331" s="54"/>
      <c r="F2331" s="83">
        <f>SUMIFS(F2332:F6462,K2332:K6462,"0",B2332:B6462,"5 1 1 3 2 12 31111 6 M59 80500 000216 0000R 00001 00132*")</f>
        <v>27665.920000000002</v>
      </c>
      <c r="G2331" s="83">
        <f>SUMIFS(G2332:G6462,K2332:K6462,"0",B2332:B6462,"5 1 1 3 2 12 31111 6 M59 80500 000216 0000R 00001 00132*")</f>
        <v>0</v>
      </c>
      <c r="H2331" s="83">
        <f t="shared" si="36"/>
        <v>27665.920000000002</v>
      </c>
      <c r="I2331" s="83"/>
      <c r="K2331" s="54" t="s">
        <v>15</v>
      </c>
    </row>
    <row r="2332" spans="2:11" ht="33" x14ac:dyDescent="0.2">
      <c r="B2332" s="82" t="s">
        <v>4597</v>
      </c>
      <c r="C2332" s="82" t="s">
        <v>1051</v>
      </c>
      <c r="D2332" s="83">
        <f>SUMIFS(D2333:D6462,K2333:K6462,"0",B2333:B6462,"5 1 1 3 2 12 31111 6 M59 80500 000216 0000R 00001 00132 015*")-SUMIFS(E2333:E6462,K2333:K6462,"0",B2333:B6462,"5 1 1 3 2 12 31111 6 M59 80500 000216 0000R 00001 00132 015*")</f>
        <v>0</v>
      </c>
      <c r="E2332" s="54"/>
      <c r="F2332" s="83">
        <f>SUMIFS(F2333:F6462,K2333:K6462,"0",B2333:B6462,"5 1 1 3 2 12 31111 6 M59 80500 000216 0000R 00001 00132 015*")</f>
        <v>27665.920000000002</v>
      </c>
      <c r="G2332" s="83">
        <f>SUMIFS(G2333:G6462,K2333:K6462,"0",B2333:B6462,"5 1 1 3 2 12 31111 6 M59 80500 000216 0000R 00001 00132 015*")</f>
        <v>0</v>
      </c>
      <c r="H2332" s="83">
        <f t="shared" si="36"/>
        <v>27665.920000000002</v>
      </c>
      <c r="I2332" s="83"/>
      <c r="K2332" s="54" t="s">
        <v>15</v>
      </c>
    </row>
    <row r="2333" spans="2:11" ht="33" x14ac:dyDescent="0.2">
      <c r="B2333" s="82" t="s">
        <v>4598</v>
      </c>
      <c r="C2333" s="82" t="s">
        <v>2927</v>
      </c>
      <c r="D2333" s="83">
        <f>SUMIFS(D2334:D6462,K2334:K6462,"0",B2334:B6462,"5 1 1 3 2 12 31111 6 M59 80500 000216 0000R 00001 00132 015 2111100*")-SUMIFS(E2334:E6462,K2334:K6462,"0",B2334:B6462,"5 1 1 3 2 12 31111 6 M59 80500 000216 0000R 00001 00132 015 2111100*")</f>
        <v>0</v>
      </c>
      <c r="E2333" s="54"/>
      <c r="F2333" s="83">
        <f>SUMIFS(F2334:F6462,K2334:K6462,"0",B2334:B6462,"5 1 1 3 2 12 31111 6 M59 80500 000216 0000R 00001 00132 015 2111100*")</f>
        <v>27665.920000000002</v>
      </c>
      <c r="G2333" s="83">
        <f>SUMIFS(G2334:G6462,K2334:K6462,"0",B2334:B6462,"5 1 1 3 2 12 31111 6 M59 80500 000216 0000R 00001 00132 015 2111100*")</f>
        <v>0</v>
      </c>
      <c r="H2333" s="83">
        <f t="shared" si="36"/>
        <v>27665.920000000002</v>
      </c>
      <c r="I2333" s="83"/>
      <c r="K2333" s="54" t="s">
        <v>15</v>
      </c>
    </row>
    <row r="2334" spans="2:11" ht="33" x14ac:dyDescent="0.2">
      <c r="B2334" s="82" t="s">
        <v>4599</v>
      </c>
      <c r="C2334" s="82" t="s">
        <v>660</v>
      </c>
      <c r="D2334" s="83">
        <f>SUMIFS(D2335:D6462,K2335:K6462,"0",B2335:B6462,"5 1 1 3 2 12 31111 6 M59 80500 000216 0000R 00001 00132 015 2111100 2024*")-SUMIFS(E2335:E6462,K2335:K6462,"0",B2335:B6462,"5 1 1 3 2 12 31111 6 M59 80500 000216 0000R 00001 00132 015 2111100 2024*")</f>
        <v>0</v>
      </c>
      <c r="E2334" s="54"/>
      <c r="F2334" s="83">
        <f>SUMIFS(F2335:F6462,K2335:K6462,"0",B2335:B6462,"5 1 1 3 2 12 31111 6 M59 80500 000216 0000R 00001 00132 015 2111100 2024*")</f>
        <v>27665.920000000002</v>
      </c>
      <c r="G2334" s="83">
        <f>SUMIFS(G2335:G6462,K2335:K6462,"0",B2335:B6462,"5 1 1 3 2 12 31111 6 M59 80500 000216 0000R 00001 00132 015 2111100 2024*")</f>
        <v>0</v>
      </c>
      <c r="H2334" s="83">
        <f t="shared" si="36"/>
        <v>27665.920000000002</v>
      </c>
      <c r="I2334" s="83"/>
      <c r="K2334" s="54" t="s">
        <v>15</v>
      </c>
    </row>
    <row r="2335" spans="2:11" ht="41.25" x14ac:dyDescent="0.2">
      <c r="B2335" s="82" t="s">
        <v>4600</v>
      </c>
      <c r="C2335" s="82" t="s">
        <v>1056</v>
      </c>
      <c r="D2335" s="83">
        <f>SUMIFS(D2336:D6462,K2336:K6462,"0",B2336:B6462,"5 1 1 3 2 12 31111 6 M59 80500 000216 0000R 00001 00132 015 2111100 2024 CP1MA417*")-SUMIFS(E2336:E6462,K2336:K6462,"0",B2336:B6462,"5 1 1 3 2 12 31111 6 M59 80500 000216 0000R 00001 00132 015 2111100 2024 CP1MA417*")</f>
        <v>0</v>
      </c>
      <c r="E2335" s="54"/>
      <c r="F2335" s="83">
        <f>SUMIFS(F2336:F6462,K2336:K6462,"0",B2336:B6462,"5 1 1 3 2 12 31111 6 M59 80500 000216 0000R 00001 00132 015 2111100 2024 CP1MA417*")</f>
        <v>27665.920000000002</v>
      </c>
      <c r="G2335" s="83">
        <f>SUMIFS(G2336:G6462,K2336:K6462,"0",B2336:B6462,"5 1 1 3 2 12 31111 6 M59 80500 000216 0000R 00001 00132 015 2111100 2024 CP1MA417*")</f>
        <v>0</v>
      </c>
      <c r="H2335" s="83">
        <f t="shared" si="36"/>
        <v>27665.920000000002</v>
      </c>
      <c r="I2335" s="83"/>
      <c r="K2335" s="54" t="s">
        <v>15</v>
      </c>
    </row>
    <row r="2336" spans="2:11" ht="41.25" x14ac:dyDescent="0.2">
      <c r="B2336" s="82" t="s">
        <v>4601</v>
      </c>
      <c r="C2336" s="82" t="s">
        <v>282</v>
      </c>
      <c r="D2336" s="83">
        <f>SUMIFS(D2337:D6462,K2337:K6462,"0",B2337:B6462,"5 1 1 3 2 12 31111 6 M59 80500 000216 0000R 00001 00132 015 2111100 2024 CP1MA417 001*")-SUMIFS(E2337:E6462,K2337:K6462,"0",B2337:B6462,"5 1 1 3 2 12 31111 6 M59 80500 000216 0000R 00001 00132 015 2111100 2024 CP1MA417 001*")</f>
        <v>0</v>
      </c>
      <c r="E2336" s="54"/>
      <c r="F2336" s="83">
        <f>SUMIFS(F2337:F6462,K2337:K6462,"0",B2337:B6462,"5 1 1 3 2 12 31111 6 M59 80500 000216 0000R 00001 00132 015 2111100 2024 CP1MA417 001*")</f>
        <v>27665.920000000002</v>
      </c>
      <c r="G2336" s="83">
        <f>SUMIFS(G2337:G6462,K2337:K6462,"0",B2337:B6462,"5 1 1 3 2 12 31111 6 M59 80500 000216 0000R 00001 00132 015 2111100 2024 CP1MA417 001*")</f>
        <v>0</v>
      </c>
      <c r="H2336" s="83">
        <f t="shared" si="36"/>
        <v>27665.920000000002</v>
      </c>
      <c r="I2336" s="83"/>
      <c r="K2336" s="54" t="s">
        <v>15</v>
      </c>
    </row>
    <row r="2337" spans="2:11" ht="33" x14ac:dyDescent="0.2">
      <c r="B2337" s="84" t="s">
        <v>4602</v>
      </c>
      <c r="C2337" s="84" t="s">
        <v>1519</v>
      </c>
      <c r="D2337" s="85">
        <v>0</v>
      </c>
      <c r="E2337" s="85"/>
      <c r="F2337" s="85">
        <v>23276.33</v>
      </c>
      <c r="G2337" s="85">
        <v>0</v>
      </c>
      <c r="H2337" s="85">
        <f t="shared" si="36"/>
        <v>23276.33</v>
      </c>
      <c r="I2337" s="85"/>
      <c r="K2337" s="54" t="s">
        <v>38</v>
      </c>
    </row>
    <row r="2338" spans="2:11" ht="33" x14ac:dyDescent="0.2">
      <c r="B2338" s="84" t="s">
        <v>4603</v>
      </c>
      <c r="C2338" s="84" t="s">
        <v>4071</v>
      </c>
      <c r="D2338" s="85">
        <v>0</v>
      </c>
      <c r="E2338" s="85"/>
      <c r="F2338" s="85">
        <v>4389.59</v>
      </c>
      <c r="G2338" s="85">
        <v>0</v>
      </c>
      <c r="H2338" s="85">
        <f t="shared" si="36"/>
        <v>4389.59</v>
      </c>
      <c r="I2338" s="85"/>
      <c r="K2338" s="54" t="s">
        <v>38</v>
      </c>
    </row>
    <row r="2339" spans="2:11" ht="16.5" x14ac:dyDescent="0.2">
      <c r="B2339" s="82" t="s">
        <v>4604</v>
      </c>
      <c r="C2339" s="82" t="s">
        <v>3596</v>
      </c>
      <c r="D2339" s="83">
        <f>SUMIFS(D2340:D6462,K2340:K6462,"0",B2340:B6462,"5 1 1 3 2 12 31111 6 M59 90000*")-SUMIFS(E2340:E6462,K2340:K6462,"0",B2340:B6462,"5 1 1 3 2 12 31111 6 M59 90000*")</f>
        <v>0</v>
      </c>
      <c r="E2339" s="54"/>
      <c r="F2339" s="83">
        <f>SUMIFS(F2340:F6462,K2340:K6462,"0",B2340:B6462,"5 1 1 3 2 12 31111 6 M59 90000*")</f>
        <v>47713.97</v>
      </c>
      <c r="G2339" s="83">
        <f>SUMIFS(G2340:G6462,K2340:K6462,"0",B2340:B6462,"5 1 1 3 2 12 31111 6 M59 90000*")</f>
        <v>0</v>
      </c>
      <c r="H2339" s="83">
        <f t="shared" si="36"/>
        <v>47713.97</v>
      </c>
      <c r="I2339" s="83"/>
      <c r="K2339" s="54" t="s">
        <v>15</v>
      </c>
    </row>
    <row r="2340" spans="2:11" ht="16.5" x14ac:dyDescent="0.2">
      <c r="B2340" s="82" t="s">
        <v>4605</v>
      </c>
      <c r="C2340" s="82" t="s">
        <v>648</v>
      </c>
      <c r="D2340" s="83">
        <f>SUMIFS(D2341:D6462,K2341:K6462,"0",B2341:B6462,"5 1 1 3 2 12 31111 6 M59 90000 000132*")-SUMIFS(E2341:E6462,K2341:K6462,"0",B2341:B6462,"5 1 1 3 2 12 31111 6 M59 90000 000132*")</f>
        <v>0</v>
      </c>
      <c r="E2340" s="54"/>
      <c r="F2340" s="83">
        <f>SUMIFS(F2341:F6462,K2341:K6462,"0",B2341:B6462,"5 1 1 3 2 12 31111 6 M59 90000 000132*")</f>
        <v>47713.97</v>
      </c>
      <c r="G2340" s="83">
        <f>SUMIFS(G2341:G6462,K2341:K6462,"0",B2341:B6462,"5 1 1 3 2 12 31111 6 M59 90000 000132*")</f>
        <v>0</v>
      </c>
      <c r="H2340" s="83">
        <f t="shared" si="36"/>
        <v>47713.97</v>
      </c>
      <c r="I2340" s="83"/>
      <c r="K2340" s="54" t="s">
        <v>15</v>
      </c>
    </row>
    <row r="2341" spans="2:11" ht="24.75" x14ac:dyDescent="0.2">
      <c r="B2341" s="82" t="s">
        <v>4606</v>
      </c>
      <c r="C2341" s="82" t="s">
        <v>650</v>
      </c>
      <c r="D2341" s="83">
        <f>SUMIFS(D2342:D6462,K2342:K6462,"0",B2342:B6462,"5 1 1 3 2 12 31111 6 M59 90000 000132 0000R*")-SUMIFS(E2342:E6462,K2342:K6462,"0",B2342:B6462,"5 1 1 3 2 12 31111 6 M59 90000 000132 0000R*")</f>
        <v>0</v>
      </c>
      <c r="E2341" s="54"/>
      <c r="F2341" s="83">
        <f>SUMIFS(F2342:F6462,K2342:K6462,"0",B2342:B6462,"5 1 1 3 2 12 31111 6 M59 90000 000132 0000R*")</f>
        <v>47713.97</v>
      </c>
      <c r="G2341" s="83">
        <f>SUMIFS(G2342:G6462,K2342:K6462,"0",B2342:B6462,"5 1 1 3 2 12 31111 6 M59 90000 000132 0000R*")</f>
        <v>0</v>
      </c>
      <c r="H2341" s="83">
        <f t="shared" si="36"/>
        <v>47713.97</v>
      </c>
      <c r="I2341" s="83"/>
      <c r="K2341" s="54" t="s">
        <v>15</v>
      </c>
    </row>
    <row r="2342" spans="2:11" ht="24.75" x14ac:dyDescent="0.2">
      <c r="B2342" s="82" t="s">
        <v>4607</v>
      </c>
      <c r="C2342" s="82" t="s">
        <v>282</v>
      </c>
      <c r="D2342" s="83">
        <f>SUMIFS(D2343:D6462,K2343:K6462,"0",B2343:B6462,"5 1 1 3 2 12 31111 6 M59 90000 000132 0000R 00001*")-SUMIFS(E2343:E6462,K2343:K6462,"0",B2343:B6462,"5 1 1 3 2 12 31111 6 M59 90000 000132 0000R 00001*")</f>
        <v>0</v>
      </c>
      <c r="E2342" s="54"/>
      <c r="F2342" s="83">
        <f>SUMIFS(F2343:F6462,K2343:K6462,"0",B2343:B6462,"5 1 1 3 2 12 31111 6 M59 90000 000132 0000R 00001*")</f>
        <v>47713.97</v>
      </c>
      <c r="G2342" s="83">
        <f>SUMIFS(G2343:G6462,K2343:K6462,"0",B2343:B6462,"5 1 1 3 2 12 31111 6 M59 90000 000132 0000R 00001*")</f>
        <v>0</v>
      </c>
      <c r="H2342" s="83">
        <f t="shared" si="36"/>
        <v>47713.97</v>
      </c>
      <c r="I2342" s="83"/>
      <c r="K2342" s="54" t="s">
        <v>15</v>
      </c>
    </row>
    <row r="2343" spans="2:11" ht="24.75" x14ac:dyDescent="0.2">
      <c r="B2343" s="82" t="s">
        <v>4608</v>
      </c>
      <c r="C2343" s="82" t="s">
        <v>4041</v>
      </c>
      <c r="D2343" s="83">
        <f>SUMIFS(D2344:D6462,K2344:K6462,"0",B2344:B6462,"5 1 1 3 2 12 31111 6 M59 90000 000132 0000R 00001 00132*")-SUMIFS(E2344:E6462,K2344:K6462,"0",B2344:B6462,"5 1 1 3 2 12 31111 6 M59 90000 000132 0000R 00001 00132*")</f>
        <v>0</v>
      </c>
      <c r="E2343" s="54"/>
      <c r="F2343" s="83">
        <f>SUMIFS(F2344:F6462,K2344:K6462,"0",B2344:B6462,"5 1 1 3 2 12 31111 6 M59 90000 000132 0000R 00001 00132*")</f>
        <v>47713.97</v>
      </c>
      <c r="G2343" s="83">
        <f>SUMIFS(G2344:G6462,K2344:K6462,"0",B2344:B6462,"5 1 1 3 2 12 31111 6 M59 90000 000132 0000R 00001 00132*")</f>
        <v>0</v>
      </c>
      <c r="H2343" s="83">
        <f t="shared" si="36"/>
        <v>47713.97</v>
      </c>
      <c r="I2343" s="83"/>
      <c r="K2343" s="54" t="s">
        <v>15</v>
      </c>
    </row>
    <row r="2344" spans="2:11" ht="33" x14ac:dyDescent="0.2">
      <c r="B2344" s="82" t="s">
        <v>4609</v>
      </c>
      <c r="C2344" s="82" t="s">
        <v>1051</v>
      </c>
      <c r="D2344" s="83">
        <f>SUMIFS(D2345:D6462,K2345:K6462,"0",B2345:B6462,"5 1 1 3 2 12 31111 6 M59 90000 000132 0000R 00001 00132 015*")-SUMIFS(E2345:E6462,K2345:K6462,"0",B2345:B6462,"5 1 1 3 2 12 31111 6 M59 90000 000132 0000R 00001 00132 015*")</f>
        <v>0</v>
      </c>
      <c r="E2344" s="54"/>
      <c r="F2344" s="83">
        <f>SUMIFS(F2345:F6462,K2345:K6462,"0",B2345:B6462,"5 1 1 3 2 12 31111 6 M59 90000 000132 0000R 00001 00132 015*")</f>
        <v>47713.97</v>
      </c>
      <c r="G2344" s="83">
        <f>SUMIFS(G2345:G6462,K2345:K6462,"0",B2345:B6462,"5 1 1 3 2 12 31111 6 M59 90000 000132 0000R 00001 00132 015*")</f>
        <v>0</v>
      </c>
      <c r="H2344" s="83">
        <f t="shared" si="36"/>
        <v>47713.97</v>
      </c>
      <c r="I2344" s="83"/>
      <c r="K2344" s="54" t="s">
        <v>15</v>
      </c>
    </row>
    <row r="2345" spans="2:11" ht="33" x14ac:dyDescent="0.2">
      <c r="B2345" s="82" t="s">
        <v>4610</v>
      </c>
      <c r="C2345" s="82" t="s">
        <v>2927</v>
      </c>
      <c r="D2345" s="83">
        <f>SUMIFS(D2346:D6462,K2346:K6462,"0",B2346:B6462,"5 1 1 3 2 12 31111 6 M59 90000 000132 0000R 00001 00132 015 2111100*")-SUMIFS(E2346:E6462,K2346:K6462,"0",B2346:B6462,"5 1 1 3 2 12 31111 6 M59 90000 000132 0000R 00001 00132 015 2111100*")</f>
        <v>0</v>
      </c>
      <c r="E2345" s="54"/>
      <c r="F2345" s="83">
        <f>SUMIFS(F2346:F6462,K2346:K6462,"0",B2346:B6462,"5 1 1 3 2 12 31111 6 M59 90000 000132 0000R 00001 00132 015 2111100*")</f>
        <v>47713.97</v>
      </c>
      <c r="G2345" s="83">
        <f>SUMIFS(G2346:G6462,K2346:K6462,"0",B2346:B6462,"5 1 1 3 2 12 31111 6 M59 90000 000132 0000R 00001 00132 015 2111100*")</f>
        <v>0</v>
      </c>
      <c r="H2345" s="83">
        <f t="shared" si="36"/>
        <v>47713.97</v>
      </c>
      <c r="I2345" s="83"/>
      <c r="K2345" s="54" t="s">
        <v>15</v>
      </c>
    </row>
    <row r="2346" spans="2:11" ht="33" x14ac:dyDescent="0.2">
      <c r="B2346" s="82" t="s">
        <v>4611</v>
      </c>
      <c r="C2346" s="82" t="s">
        <v>660</v>
      </c>
      <c r="D2346" s="83">
        <f>SUMIFS(D2347:D6462,K2347:K6462,"0",B2347:B6462,"5 1 1 3 2 12 31111 6 M59 90000 000132 0000R 00001 00132 015 2111100 2024*")-SUMIFS(E2347:E6462,K2347:K6462,"0",B2347:B6462,"5 1 1 3 2 12 31111 6 M59 90000 000132 0000R 00001 00132 015 2111100 2024*")</f>
        <v>0</v>
      </c>
      <c r="E2346" s="54"/>
      <c r="F2346" s="83">
        <f>SUMIFS(F2347:F6462,K2347:K6462,"0",B2347:B6462,"5 1 1 3 2 12 31111 6 M59 90000 000132 0000R 00001 00132 015 2111100 2024*")</f>
        <v>47713.97</v>
      </c>
      <c r="G2346" s="83">
        <f>SUMIFS(G2347:G6462,K2347:K6462,"0",B2347:B6462,"5 1 1 3 2 12 31111 6 M59 90000 000132 0000R 00001 00132 015 2111100 2024*")</f>
        <v>0</v>
      </c>
      <c r="H2346" s="83">
        <f t="shared" si="36"/>
        <v>47713.97</v>
      </c>
      <c r="I2346" s="83"/>
      <c r="K2346" s="54" t="s">
        <v>15</v>
      </c>
    </row>
    <row r="2347" spans="2:11" ht="41.25" x14ac:dyDescent="0.2">
      <c r="B2347" s="82" t="s">
        <v>4612</v>
      </c>
      <c r="C2347" s="82" t="s">
        <v>1056</v>
      </c>
      <c r="D2347" s="83">
        <f>SUMIFS(D2348:D6462,K2348:K6462,"0",B2348:B6462,"5 1 1 3 2 12 31111 6 M59 90000 000132 0000R 00001 00132 015 2111100 2024 CP1SG383*")-SUMIFS(E2348:E6462,K2348:K6462,"0",B2348:B6462,"5 1 1 3 2 12 31111 6 M59 90000 000132 0000R 00001 00132 015 2111100 2024 CP1SG383*")</f>
        <v>0</v>
      </c>
      <c r="E2347" s="54"/>
      <c r="F2347" s="83">
        <f>SUMIFS(F2348:F6462,K2348:K6462,"0",B2348:B6462,"5 1 1 3 2 12 31111 6 M59 90000 000132 0000R 00001 00132 015 2111100 2024 CP1SG383*")</f>
        <v>47713.97</v>
      </c>
      <c r="G2347" s="83">
        <f>SUMIFS(G2348:G6462,K2348:K6462,"0",B2348:B6462,"5 1 1 3 2 12 31111 6 M59 90000 000132 0000R 00001 00132 015 2111100 2024 CP1SG383*")</f>
        <v>0</v>
      </c>
      <c r="H2347" s="83">
        <f t="shared" ref="H2347:H2410" si="37">D2347 + F2347 - G2347</f>
        <v>47713.97</v>
      </c>
      <c r="I2347" s="83"/>
      <c r="K2347" s="54" t="s">
        <v>15</v>
      </c>
    </row>
    <row r="2348" spans="2:11" ht="41.25" x14ac:dyDescent="0.2">
      <c r="B2348" s="82" t="s">
        <v>4613</v>
      </c>
      <c r="C2348" s="82" t="s">
        <v>282</v>
      </c>
      <c r="D2348" s="83">
        <f>SUMIFS(D2349:D6462,K2349:K6462,"0",B2349:B6462,"5 1 1 3 2 12 31111 6 M59 90000 000132 0000R 00001 00132 015 2111100 2024 CP1SG383 001*")-SUMIFS(E2349:E6462,K2349:K6462,"0",B2349:B6462,"5 1 1 3 2 12 31111 6 M59 90000 000132 0000R 00001 00132 015 2111100 2024 CP1SG383 001*")</f>
        <v>0</v>
      </c>
      <c r="E2348" s="54"/>
      <c r="F2348" s="83">
        <f>SUMIFS(F2349:F6462,K2349:K6462,"0",B2349:B6462,"5 1 1 3 2 12 31111 6 M59 90000 000132 0000R 00001 00132 015 2111100 2024 CP1SG383 001*")</f>
        <v>47713.97</v>
      </c>
      <c r="G2348" s="83">
        <f>SUMIFS(G2349:G6462,K2349:K6462,"0",B2349:B6462,"5 1 1 3 2 12 31111 6 M59 90000 000132 0000R 00001 00132 015 2111100 2024 CP1SG383 001*")</f>
        <v>0</v>
      </c>
      <c r="H2348" s="83">
        <f t="shared" si="37"/>
        <v>47713.97</v>
      </c>
      <c r="I2348" s="83"/>
      <c r="K2348" s="54" t="s">
        <v>15</v>
      </c>
    </row>
    <row r="2349" spans="2:11" ht="41.25" x14ac:dyDescent="0.2">
      <c r="B2349" s="84" t="s">
        <v>4614</v>
      </c>
      <c r="C2349" s="84" t="s">
        <v>1519</v>
      </c>
      <c r="D2349" s="85">
        <v>0</v>
      </c>
      <c r="E2349" s="85"/>
      <c r="F2349" s="85">
        <v>44116.46</v>
      </c>
      <c r="G2349" s="85">
        <v>0</v>
      </c>
      <c r="H2349" s="85">
        <f t="shared" si="37"/>
        <v>44116.46</v>
      </c>
      <c r="I2349" s="85"/>
      <c r="K2349" s="54" t="s">
        <v>38</v>
      </c>
    </row>
    <row r="2350" spans="2:11" ht="41.25" x14ac:dyDescent="0.2">
      <c r="B2350" s="84" t="s">
        <v>4615</v>
      </c>
      <c r="C2350" s="84" t="s">
        <v>4435</v>
      </c>
      <c r="D2350" s="85">
        <v>0</v>
      </c>
      <c r="E2350" s="85"/>
      <c r="F2350" s="85">
        <v>3597.51</v>
      </c>
      <c r="G2350" s="85">
        <v>0</v>
      </c>
      <c r="H2350" s="85">
        <f t="shared" si="37"/>
        <v>3597.51</v>
      </c>
      <c r="I2350" s="85"/>
      <c r="K2350" s="54" t="s">
        <v>38</v>
      </c>
    </row>
    <row r="2351" spans="2:11" ht="16.5" x14ac:dyDescent="0.2">
      <c r="B2351" s="82" t="s">
        <v>4616</v>
      </c>
      <c r="C2351" s="82" t="s">
        <v>3608</v>
      </c>
      <c r="D2351" s="83">
        <f>SUMIFS(D2352:D6462,K2352:K6462,"0",B2352:B6462,"5 1 1 3 2 12 31111 6 M59 91000*")-SUMIFS(E2352:E6462,K2352:K6462,"0",B2352:B6462,"5 1 1 3 2 12 31111 6 M59 91000*")</f>
        <v>0</v>
      </c>
      <c r="E2351" s="54"/>
      <c r="F2351" s="83">
        <f>SUMIFS(F2352:F6462,K2352:K6462,"0",B2352:B6462,"5 1 1 3 2 12 31111 6 M59 91000*")</f>
        <v>18985.960000000003</v>
      </c>
      <c r="G2351" s="83">
        <f>SUMIFS(G2352:G6462,K2352:K6462,"0",B2352:B6462,"5 1 1 3 2 12 31111 6 M59 91000*")</f>
        <v>0</v>
      </c>
      <c r="H2351" s="83">
        <f t="shared" si="37"/>
        <v>18985.960000000003</v>
      </c>
      <c r="I2351" s="83"/>
      <c r="K2351" s="54" t="s">
        <v>15</v>
      </c>
    </row>
    <row r="2352" spans="2:11" ht="16.5" x14ac:dyDescent="0.2">
      <c r="B2352" s="82" t="s">
        <v>4617</v>
      </c>
      <c r="C2352" s="82" t="s">
        <v>648</v>
      </c>
      <c r="D2352" s="83">
        <f>SUMIFS(D2353:D6462,K2353:K6462,"0",B2353:B6462,"5 1 1 3 2 12 31111 6 M59 91000 000132*")-SUMIFS(E2353:E6462,K2353:K6462,"0",B2353:B6462,"5 1 1 3 2 12 31111 6 M59 91000 000132*")</f>
        <v>0</v>
      </c>
      <c r="E2352" s="54"/>
      <c r="F2352" s="83">
        <f>SUMIFS(F2353:F6462,K2353:K6462,"0",B2353:B6462,"5 1 1 3 2 12 31111 6 M59 91000 000132*")</f>
        <v>18985.960000000003</v>
      </c>
      <c r="G2352" s="83">
        <f>SUMIFS(G2353:G6462,K2353:K6462,"0",B2353:B6462,"5 1 1 3 2 12 31111 6 M59 91000 000132*")</f>
        <v>0</v>
      </c>
      <c r="H2352" s="83">
        <f t="shared" si="37"/>
        <v>18985.960000000003</v>
      </c>
      <c r="I2352" s="83"/>
      <c r="K2352" s="54" t="s">
        <v>15</v>
      </c>
    </row>
    <row r="2353" spans="2:11" ht="24.75" x14ac:dyDescent="0.2">
      <c r="B2353" s="82" t="s">
        <v>4618</v>
      </c>
      <c r="C2353" s="82" t="s">
        <v>650</v>
      </c>
      <c r="D2353" s="83">
        <f>SUMIFS(D2354:D6462,K2354:K6462,"0",B2354:B6462,"5 1 1 3 2 12 31111 6 M59 91000 000132 0000R*")-SUMIFS(E2354:E6462,K2354:K6462,"0",B2354:B6462,"5 1 1 3 2 12 31111 6 M59 91000 000132 0000R*")</f>
        <v>0</v>
      </c>
      <c r="E2353" s="54"/>
      <c r="F2353" s="83">
        <f>SUMIFS(F2354:F6462,K2354:K6462,"0",B2354:B6462,"5 1 1 3 2 12 31111 6 M59 91000 000132 0000R*")</f>
        <v>18985.960000000003</v>
      </c>
      <c r="G2353" s="83">
        <f>SUMIFS(G2354:G6462,K2354:K6462,"0",B2354:B6462,"5 1 1 3 2 12 31111 6 M59 91000 000132 0000R*")</f>
        <v>0</v>
      </c>
      <c r="H2353" s="83">
        <f t="shared" si="37"/>
        <v>18985.960000000003</v>
      </c>
      <c r="I2353" s="83"/>
      <c r="K2353" s="54" t="s">
        <v>15</v>
      </c>
    </row>
    <row r="2354" spans="2:11" ht="24.75" x14ac:dyDescent="0.2">
      <c r="B2354" s="82" t="s">
        <v>4619</v>
      </c>
      <c r="C2354" s="82" t="s">
        <v>282</v>
      </c>
      <c r="D2354" s="83">
        <f>SUMIFS(D2355:D6462,K2355:K6462,"0",B2355:B6462,"5 1 1 3 2 12 31111 6 M59 91000 000132 0000R 00001*")-SUMIFS(E2355:E6462,K2355:K6462,"0",B2355:B6462,"5 1 1 3 2 12 31111 6 M59 91000 000132 0000R 00001*")</f>
        <v>0</v>
      </c>
      <c r="E2354" s="54"/>
      <c r="F2354" s="83">
        <f>SUMIFS(F2355:F6462,K2355:K6462,"0",B2355:B6462,"5 1 1 3 2 12 31111 6 M59 91000 000132 0000R 00001*")</f>
        <v>18985.960000000003</v>
      </c>
      <c r="G2354" s="83">
        <f>SUMIFS(G2355:G6462,K2355:K6462,"0",B2355:B6462,"5 1 1 3 2 12 31111 6 M59 91000 000132 0000R 00001*")</f>
        <v>0</v>
      </c>
      <c r="H2354" s="83">
        <f t="shared" si="37"/>
        <v>18985.960000000003</v>
      </c>
      <c r="I2354" s="83"/>
      <c r="K2354" s="54" t="s">
        <v>15</v>
      </c>
    </row>
    <row r="2355" spans="2:11" ht="24.75" x14ac:dyDescent="0.2">
      <c r="B2355" s="82" t="s">
        <v>4620</v>
      </c>
      <c r="C2355" s="82" t="s">
        <v>4041</v>
      </c>
      <c r="D2355" s="83">
        <f>SUMIFS(D2356:D6462,K2356:K6462,"0",B2356:B6462,"5 1 1 3 2 12 31111 6 M59 91000 000132 0000R 00001 00132*")-SUMIFS(E2356:E6462,K2356:K6462,"0",B2356:B6462,"5 1 1 3 2 12 31111 6 M59 91000 000132 0000R 00001 00132*")</f>
        <v>0</v>
      </c>
      <c r="E2355" s="54"/>
      <c r="F2355" s="83">
        <f>SUMIFS(F2356:F6462,K2356:K6462,"0",B2356:B6462,"5 1 1 3 2 12 31111 6 M59 91000 000132 0000R 00001 00132*")</f>
        <v>18985.960000000003</v>
      </c>
      <c r="G2355" s="83">
        <f>SUMIFS(G2356:G6462,K2356:K6462,"0",B2356:B6462,"5 1 1 3 2 12 31111 6 M59 91000 000132 0000R 00001 00132*")</f>
        <v>0</v>
      </c>
      <c r="H2355" s="83">
        <f t="shared" si="37"/>
        <v>18985.960000000003</v>
      </c>
      <c r="I2355" s="83"/>
      <c r="K2355" s="54" t="s">
        <v>15</v>
      </c>
    </row>
    <row r="2356" spans="2:11" ht="33" x14ac:dyDescent="0.2">
      <c r="B2356" s="82" t="s">
        <v>4621</v>
      </c>
      <c r="C2356" s="82" t="s">
        <v>1051</v>
      </c>
      <c r="D2356" s="83">
        <f>SUMIFS(D2357:D6462,K2357:K6462,"0",B2357:B6462,"5 1 1 3 2 12 31111 6 M59 91000 000132 0000R 00001 00132 015*")-SUMIFS(E2357:E6462,K2357:K6462,"0",B2357:B6462,"5 1 1 3 2 12 31111 6 M59 91000 000132 0000R 00001 00132 015*")</f>
        <v>0</v>
      </c>
      <c r="E2356" s="54"/>
      <c r="F2356" s="83">
        <f>SUMIFS(F2357:F6462,K2357:K6462,"0",B2357:B6462,"5 1 1 3 2 12 31111 6 M59 91000 000132 0000R 00001 00132 015*")</f>
        <v>18985.960000000003</v>
      </c>
      <c r="G2356" s="83">
        <f>SUMIFS(G2357:G6462,K2357:K6462,"0",B2357:B6462,"5 1 1 3 2 12 31111 6 M59 91000 000132 0000R 00001 00132 015*")</f>
        <v>0</v>
      </c>
      <c r="H2356" s="83">
        <f t="shared" si="37"/>
        <v>18985.960000000003</v>
      </c>
      <c r="I2356" s="83"/>
      <c r="K2356" s="54" t="s">
        <v>15</v>
      </c>
    </row>
    <row r="2357" spans="2:11" ht="33" x14ac:dyDescent="0.2">
      <c r="B2357" s="82" t="s">
        <v>4622</v>
      </c>
      <c r="C2357" s="82" t="s">
        <v>2927</v>
      </c>
      <c r="D2357" s="83">
        <f>SUMIFS(D2358:D6462,K2358:K6462,"0",B2358:B6462,"5 1 1 3 2 12 31111 6 M59 91000 000132 0000R 00001 00132 015 2111100*")-SUMIFS(E2358:E6462,K2358:K6462,"0",B2358:B6462,"5 1 1 3 2 12 31111 6 M59 91000 000132 0000R 00001 00132 015 2111100*")</f>
        <v>0</v>
      </c>
      <c r="E2357" s="54"/>
      <c r="F2357" s="83">
        <f>SUMIFS(F2358:F6462,K2358:K6462,"0",B2358:B6462,"5 1 1 3 2 12 31111 6 M59 91000 000132 0000R 00001 00132 015 2111100*")</f>
        <v>18985.960000000003</v>
      </c>
      <c r="G2357" s="83">
        <f>SUMIFS(G2358:G6462,K2358:K6462,"0",B2358:B6462,"5 1 1 3 2 12 31111 6 M59 91000 000132 0000R 00001 00132 015 2111100*")</f>
        <v>0</v>
      </c>
      <c r="H2357" s="83">
        <f t="shared" si="37"/>
        <v>18985.960000000003</v>
      </c>
      <c r="I2357" s="83"/>
      <c r="K2357" s="54" t="s">
        <v>15</v>
      </c>
    </row>
    <row r="2358" spans="2:11" ht="33" x14ac:dyDescent="0.2">
      <c r="B2358" s="82" t="s">
        <v>4623</v>
      </c>
      <c r="C2358" s="82" t="s">
        <v>660</v>
      </c>
      <c r="D2358" s="83">
        <f>SUMIFS(D2359:D6462,K2359:K6462,"0",B2359:B6462,"5 1 1 3 2 12 31111 6 M59 91000 000132 0000R 00001 00132 015 2111100 2024*")-SUMIFS(E2359:E6462,K2359:K6462,"0",B2359:B6462,"5 1 1 3 2 12 31111 6 M59 91000 000132 0000R 00001 00132 015 2111100 2024*")</f>
        <v>0</v>
      </c>
      <c r="E2358" s="54"/>
      <c r="F2358" s="83">
        <f>SUMIFS(F2359:F6462,K2359:K6462,"0",B2359:B6462,"5 1 1 3 2 12 31111 6 M59 91000 000132 0000R 00001 00132 015 2111100 2024*")</f>
        <v>18985.960000000003</v>
      </c>
      <c r="G2358" s="83">
        <f>SUMIFS(G2359:G6462,K2359:K6462,"0",B2359:B6462,"5 1 1 3 2 12 31111 6 M59 91000 000132 0000R 00001 00132 015 2111100 2024*")</f>
        <v>0</v>
      </c>
      <c r="H2358" s="83">
        <f t="shared" si="37"/>
        <v>18985.960000000003</v>
      </c>
      <c r="I2358" s="83"/>
      <c r="K2358" s="54" t="s">
        <v>15</v>
      </c>
    </row>
    <row r="2359" spans="2:11" ht="41.25" x14ac:dyDescent="0.2">
      <c r="B2359" s="82" t="s">
        <v>4624</v>
      </c>
      <c r="C2359" s="82" t="s">
        <v>1056</v>
      </c>
      <c r="D2359" s="83">
        <f>SUMIFS(D2360:D6462,K2360:K6462,"0",B2360:B6462,"5 1 1 3 2 12 31111 6 M59 91000 000132 0000R 00001 00132 015 2111100 2024 CP1RE398*")-SUMIFS(E2360:E6462,K2360:K6462,"0",B2360:B6462,"5 1 1 3 2 12 31111 6 M59 91000 000132 0000R 00001 00132 015 2111100 2024 CP1RE398*")</f>
        <v>0</v>
      </c>
      <c r="E2359" s="54"/>
      <c r="F2359" s="83">
        <f>SUMIFS(F2360:F6462,K2360:K6462,"0",B2360:B6462,"5 1 1 3 2 12 31111 6 M59 91000 000132 0000R 00001 00132 015 2111100 2024 CP1RE398*")</f>
        <v>18985.960000000003</v>
      </c>
      <c r="G2359" s="83">
        <f>SUMIFS(G2360:G6462,K2360:K6462,"0",B2360:B6462,"5 1 1 3 2 12 31111 6 M59 91000 000132 0000R 00001 00132 015 2111100 2024 CP1RE398*")</f>
        <v>0</v>
      </c>
      <c r="H2359" s="83">
        <f t="shared" si="37"/>
        <v>18985.960000000003</v>
      </c>
      <c r="I2359" s="83"/>
      <c r="K2359" s="54" t="s">
        <v>15</v>
      </c>
    </row>
    <row r="2360" spans="2:11" ht="41.25" x14ac:dyDescent="0.2">
      <c r="B2360" s="82" t="s">
        <v>4625</v>
      </c>
      <c r="C2360" s="82" t="s">
        <v>282</v>
      </c>
      <c r="D2360" s="83">
        <f>SUMIFS(D2361:D6462,K2361:K6462,"0",B2361:B6462,"5 1 1 3 2 12 31111 6 M59 91000 000132 0000R 00001 00132 015 2111100 2024 CP1RE398 001*")-SUMIFS(E2361:E6462,K2361:K6462,"0",B2361:B6462,"5 1 1 3 2 12 31111 6 M59 91000 000132 0000R 00001 00132 015 2111100 2024 CP1RE398 001*")</f>
        <v>0</v>
      </c>
      <c r="E2360" s="54"/>
      <c r="F2360" s="83">
        <f>SUMIFS(F2361:F6462,K2361:K6462,"0",B2361:B6462,"5 1 1 3 2 12 31111 6 M59 91000 000132 0000R 00001 00132 015 2111100 2024 CP1RE398 001*")</f>
        <v>18985.960000000003</v>
      </c>
      <c r="G2360" s="83">
        <f>SUMIFS(G2361:G6462,K2361:K6462,"0",B2361:B6462,"5 1 1 3 2 12 31111 6 M59 91000 000132 0000R 00001 00132 015 2111100 2024 CP1RE398 001*")</f>
        <v>0</v>
      </c>
      <c r="H2360" s="83">
        <f t="shared" si="37"/>
        <v>18985.960000000003</v>
      </c>
      <c r="I2360" s="83"/>
      <c r="K2360" s="54" t="s">
        <v>15</v>
      </c>
    </row>
    <row r="2361" spans="2:11" ht="33" x14ac:dyDescent="0.2">
      <c r="B2361" s="84" t="s">
        <v>4626</v>
      </c>
      <c r="C2361" s="84" t="s">
        <v>1519</v>
      </c>
      <c r="D2361" s="85">
        <v>0</v>
      </c>
      <c r="E2361" s="85"/>
      <c r="F2361" s="85">
        <v>17466.22</v>
      </c>
      <c r="G2361" s="85">
        <v>0</v>
      </c>
      <c r="H2361" s="85">
        <f t="shared" si="37"/>
        <v>17466.22</v>
      </c>
      <c r="I2361" s="85"/>
      <c r="K2361" s="54" t="s">
        <v>38</v>
      </c>
    </row>
    <row r="2362" spans="2:11" ht="33" x14ac:dyDescent="0.2">
      <c r="B2362" s="84" t="s">
        <v>4627</v>
      </c>
      <c r="C2362" s="84" t="s">
        <v>4435</v>
      </c>
      <c r="D2362" s="85">
        <v>0</v>
      </c>
      <c r="E2362" s="85"/>
      <c r="F2362" s="85">
        <v>1519.74</v>
      </c>
      <c r="G2362" s="85">
        <v>0</v>
      </c>
      <c r="H2362" s="85">
        <f t="shared" si="37"/>
        <v>1519.74</v>
      </c>
      <c r="I2362" s="85"/>
      <c r="K2362" s="54" t="s">
        <v>38</v>
      </c>
    </row>
    <row r="2363" spans="2:11" ht="16.5" x14ac:dyDescent="0.2">
      <c r="B2363" s="82" t="s">
        <v>4628</v>
      </c>
      <c r="C2363" s="82" t="s">
        <v>3620</v>
      </c>
      <c r="D2363" s="83">
        <f>SUMIFS(D2364:D6462,K2364:K6462,"0",B2364:B6462,"5 1 1 3 2 12 31111 6 M59 92000*")-SUMIFS(E2364:E6462,K2364:K6462,"0",B2364:B6462,"5 1 1 3 2 12 31111 6 M59 92000*")</f>
        <v>0</v>
      </c>
      <c r="E2363" s="54"/>
      <c r="F2363" s="83">
        <f>SUMIFS(F2364:F6462,K2364:K6462,"0",B2364:B6462,"5 1 1 3 2 12 31111 6 M59 92000*")</f>
        <v>27263.43</v>
      </c>
      <c r="G2363" s="83">
        <f>SUMIFS(G2364:G6462,K2364:K6462,"0",B2364:B6462,"5 1 1 3 2 12 31111 6 M59 92000*")</f>
        <v>0</v>
      </c>
      <c r="H2363" s="83">
        <f t="shared" si="37"/>
        <v>27263.43</v>
      </c>
      <c r="I2363" s="83"/>
      <c r="K2363" s="54" t="s">
        <v>15</v>
      </c>
    </row>
    <row r="2364" spans="2:11" ht="24.75" x14ac:dyDescent="0.2">
      <c r="B2364" s="82" t="s">
        <v>4629</v>
      </c>
      <c r="C2364" s="82" t="s">
        <v>3152</v>
      </c>
      <c r="D2364" s="83">
        <f>SUMIFS(D2365:D6462,K2365:K6462,"0",B2365:B6462,"5 1 1 3 2 12 31111 6 M59 92000 000181*")-SUMIFS(E2365:E6462,K2365:K6462,"0",B2365:B6462,"5 1 1 3 2 12 31111 6 M59 92000 000181*")</f>
        <v>0</v>
      </c>
      <c r="E2364" s="54"/>
      <c r="F2364" s="83">
        <f>SUMIFS(F2365:F6462,K2365:K6462,"0",B2365:B6462,"5 1 1 3 2 12 31111 6 M59 92000 000181*")</f>
        <v>27263.43</v>
      </c>
      <c r="G2364" s="83">
        <f>SUMIFS(G2365:G6462,K2365:K6462,"0",B2365:B6462,"5 1 1 3 2 12 31111 6 M59 92000 000181*")</f>
        <v>0</v>
      </c>
      <c r="H2364" s="83">
        <f t="shared" si="37"/>
        <v>27263.43</v>
      </c>
      <c r="I2364" s="83"/>
      <c r="K2364" s="54" t="s">
        <v>15</v>
      </c>
    </row>
    <row r="2365" spans="2:11" ht="24.75" x14ac:dyDescent="0.2">
      <c r="B2365" s="82" t="s">
        <v>4630</v>
      </c>
      <c r="C2365" s="82" t="s">
        <v>1065</v>
      </c>
      <c r="D2365" s="83">
        <f>SUMIFS(D2366:D6462,K2366:K6462,"0",B2366:B6462,"5 1 1 3 2 12 31111 6 M59 92000 000181 0000E*")-SUMIFS(E2366:E6462,K2366:K6462,"0",B2366:B6462,"5 1 1 3 2 12 31111 6 M59 92000 000181 0000E*")</f>
        <v>0</v>
      </c>
      <c r="E2365" s="54"/>
      <c r="F2365" s="83">
        <f>SUMIFS(F2366:F6462,K2366:K6462,"0",B2366:B6462,"5 1 1 3 2 12 31111 6 M59 92000 000181 0000E*")</f>
        <v>27263.43</v>
      </c>
      <c r="G2365" s="83">
        <f>SUMIFS(G2366:G6462,K2366:K6462,"0",B2366:B6462,"5 1 1 3 2 12 31111 6 M59 92000 000181 0000E*")</f>
        <v>0</v>
      </c>
      <c r="H2365" s="83">
        <f t="shared" si="37"/>
        <v>27263.43</v>
      </c>
      <c r="I2365" s="83"/>
      <c r="K2365" s="54" t="s">
        <v>15</v>
      </c>
    </row>
    <row r="2366" spans="2:11" ht="24.75" x14ac:dyDescent="0.2">
      <c r="B2366" s="82" t="s">
        <v>4631</v>
      </c>
      <c r="C2366" s="82" t="s">
        <v>282</v>
      </c>
      <c r="D2366" s="83">
        <f>SUMIFS(D2367:D6462,K2367:K6462,"0",B2367:B6462,"5 1 1 3 2 12 31111 6 M59 92000 000181 0000E 00001*")-SUMIFS(E2367:E6462,K2367:K6462,"0",B2367:B6462,"5 1 1 3 2 12 31111 6 M59 92000 000181 0000E 00001*")</f>
        <v>0</v>
      </c>
      <c r="E2366" s="54"/>
      <c r="F2366" s="83">
        <f>SUMIFS(F2367:F6462,K2367:K6462,"0",B2367:B6462,"5 1 1 3 2 12 31111 6 M59 92000 000181 0000E 00001*")</f>
        <v>27263.43</v>
      </c>
      <c r="G2366" s="83">
        <f>SUMIFS(G2367:G6462,K2367:K6462,"0",B2367:B6462,"5 1 1 3 2 12 31111 6 M59 92000 000181 0000E 00001*")</f>
        <v>0</v>
      </c>
      <c r="H2366" s="83">
        <f t="shared" si="37"/>
        <v>27263.43</v>
      </c>
      <c r="I2366" s="83"/>
      <c r="K2366" s="54" t="s">
        <v>15</v>
      </c>
    </row>
    <row r="2367" spans="2:11" ht="24.75" x14ac:dyDescent="0.2">
      <c r="B2367" s="82" t="s">
        <v>4632</v>
      </c>
      <c r="C2367" s="82" t="s">
        <v>4041</v>
      </c>
      <c r="D2367" s="83">
        <f>SUMIFS(D2368:D6462,K2368:K6462,"0",B2368:B6462,"5 1 1 3 2 12 31111 6 M59 92000 000181 0000E 00001 00132*")-SUMIFS(E2368:E6462,K2368:K6462,"0",B2368:B6462,"5 1 1 3 2 12 31111 6 M59 92000 000181 0000E 00001 00132*")</f>
        <v>0</v>
      </c>
      <c r="E2367" s="54"/>
      <c r="F2367" s="83">
        <f>SUMIFS(F2368:F6462,K2368:K6462,"0",B2368:B6462,"5 1 1 3 2 12 31111 6 M59 92000 000181 0000E 00001 00132*")</f>
        <v>27263.43</v>
      </c>
      <c r="G2367" s="83">
        <f>SUMIFS(G2368:G6462,K2368:K6462,"0",B2368:B6462,"5 1 1 3 2 12 31111 6 M59 92000 000181 0000E 00001 00132*")</f>
        <v>0</v>
      </c>
      <c r="H2367" s="83">
        <f t="shared" si="37"/>
        <v>27263.43</v>
      </c>
      <c r="I2367" s="83"/>
      <c r="K2367" s="54" t="s">
        <v>15</v>
      </c>
    </row>
    <row r="2368" spans="2:11" ht="33" x14ac:dyDescent="0.2">
      <c r="B2368" s="82" t="s">
        <v>4633</v>
      </c>
      <c r="C2368" s="82" t="s">
        <v>1051</v>
      </c>
      <c r="D2368" s="83">
        <f>SUMIFS(D2369:D6462,K2369:K6462,"0",B2369:B6462,"5 1 1 3 2 12 31111 6 M59 92000 000181 0000E 00001 00132 015*")-SUMIFS(E2369:E6462,K2369:K6462,"0",B2369:B6462,"5 1 1 3 2 12 31111 6 M59 92000 000181 0000E 00001 00132 015*")</f>
        <v>0</v>
      </c>
      <c r="E2368" s="54"/>
      <c r="F2368" s="83">
        <f>SUMIFS(F2369:F6462,K2369:K6462,"0",B2369:B6462,"5 1 1 3 2 12 31111 6 M59 92000 000181 0000E 00001 00132 015*")</f>
        <v>27263.43</v>
      </c>
      <c r="G2368" s="83">
        <f>SUMIFS(G2369:G6462,K2369:K6462,"0",B2369:B6462,"5 1 1 3 2 12 31111 6 M59 92000 000181 0000E 00001 00132 015*")</f>
        <v>0</v>
      </c>
      <c r="H2368" s="83">
        <f t="shared" si="37"/>
        <v>27263.43</v>
      </c>
      <c r="I2368" s="83"/>
      <c r="K2368" s="54" t="s">
        <v>15</v>
      </c>
    </row>
    <row r="2369" spans="2:11" ht="33" x14ac:dyDescent="0.2">
      <c r="B2369" s="82" t="s">
        <v>4634</v>
      </c>
      <c r="C2369" s="82" t="s">
        <v>2927</v>
      </c>
      <c r="D2369" s="83">
        <f>SUMIFS(D2370:D6462,K2370:K6462,"0",B2370:B6462,"5 1 1 3 2 12 31111 6 M59 92000 000181 0000E 00001 00132 015 2111100*")-SUMIFS(E2370:E6462,K2370:K6462,"0",B2370:B6462,"5 1 1 3 2 12 31111 6 M59 92000 000181 0000E 00001 00132 015 2111100*")</f>
        <v>0</v>
      </c>
      <c r="E2369" s="54"/>
      <c r="F2369" s="83">
        <f>SUMIFS(F2370:F6462,K2370:K6462,"0",B2370:B6462,"5 1 1 3 2 12 31111 6 M59 92000 000181 0000E 00001 00132 015 2111100*")</f>
        <v>27263.43</v>
      </c>
      <c r="G2369" s="83">
        <f>SUMIFS(G2370:G6462,K2370:K6462,"0",B2370:B6462,"5 1 1 3 2 12 31111 6 M59 92000 000181 0000E 00001 00132 015 2111100*")</f>
        <v>0</v>
      </c>
      <c r="H2369" s="83">
        <f t="shared" si="37"/>
        <v>27263.43</v>
      </c>
      <c r="I2369" s="83"/>
      <c r="K2369" s="54" t="s">
        <v>15</v>
      </c>
    </row>
    <row r="2370" spans="2:11" ht="33" x14ac:dyDescent="0.2">
      <c r="B2370" s="82" t="s">
        <v>4635</v>
      </c>
      <c r="C2370" s="82" t="s">
        <v>660</v>
      </c>
      <c r="D2370" s="83">
        <f>SUMIFS(D2371:D6462,K2371:K6462,"0",B2371:B6462,"5 1 1 3 2 12 31111 6 M59 92000 000181 0000E 00001 00132 015 2111100 2024*")-SUMIFS(E2371:E6462,K2371:K6462,"0",B2371:B6462,"5 1 1 3 2 12 31111 6 M59 92000 000181 0000E 00001 00132 015 2111100 2024*")</f>
        <v>0</v>
      </c>
      <c r="E2370" s="54"/>
      <c r="F2370" s="83">
        <f>SUMIFS(F2371:F6462,K2371:K6462,"0",B2371:B6462,"5 1 1 3 2 12 31111 6 M59 92000 000181 0000E 00001 00132 015 2111100 2024*")</f>
        <v>27263.43</v>
      </c>
      <c r="G2370" s="83">
        <f>SUMIFS(G2371:G6462,K2371:K6462,"0",B2371:B6462,"5 1 1 3 2 12 31111 6 M59 92000 000181 0000E 00001 00132 015 2111100 2024*")</f>
        <v>0</v>
      </c>
      <c r="H2370" s="83">
        <f t="shared" si="37"/>
        <v>27263.43</v>
      </c>
      <c r="I2370" s="83"/>
      <c r="K2370" s="54" t="s">
        <v>15</v>
      </c>
    </row>
    <row r="2371" spans="2:11" ht="41.25" x14ac:dyDescent="0.2">
      <c r="B2371" s="82" t="s">
        <v>4636</v>
      </c>
      <c r="C2371" s="82" t="s">
        <v>1056</v>
      </c>
      <c r="D2371" s="83">
        <f>SUMIFS(D2372:D6462,K2372:K6462,"0",B2372:B6462,"5 1 1 3 2 12 31111 6 M59 92000 000181 0000E 00001 00132 015 2111100 2024 CP1RC399*")-SUMIFS(E2372:E6462,K2372:K6462,"0",B2372:B6462,"5 1 1 3 2 12 31111 6 M59 92000 000181 0000E 00001 00132 015 2111100 2024 CP1RC399*")</f>
        <v>0</v>
      </c>
      <c r="E2371" s="54"/>
      <c r="F2371" s="83">
        <f>SUMIFS(F2372:F6462,K2372:K6462,"0",B2372:B6462,"5 1 1 3 2 12 31111 6 M59 92000 000181 0000E 00001 00132 015 2111100 2024 CP1RC399*")</f>
        <v>27263.43</v>
      </c>
      <c r="G2371" s="83">
        <f>SUMIFS(G2372:G6462,K2372:K6462,"0",B2372:B6462,"5 1 1 3 2 12 31111 6 M59 92000 000181 0000E 00001 00132 015 2111100 2024 CP1RC399*")</f>
        <v>0</v>
      </c>
      <c r="H2371" s="83">
        <f t="shared" si="37"/>
        <v>27263.43</v>
      </c>
      <c r="I2371" s="83"/>
      <c r="K2371" s="54" t="s">
        <v>15</v>
      </c>
    </row>
    <row r="2372" spans="2:11" ht="41.25" x14ac:dyDescent="0.2">
      <c r="B2372" s="82" t="s">
        <v>4637</v>
      </c>
      <c r="C2372" s="82" t="s">
        <v>282</v>
      </c>
      <c r="D2372" s="83">
        <f>SUMIFS(D2373:D6462,K2373:K6462,"0",B2373:B6462,"5 1 1 3 2 12 31111 6 M59 92000 000181 0000E 00001 00132 015 2111100 2024 CP1RC399 001*")-SUMIFS(E2373:E6462,K2373:K6462,"0",B2373:B6462,"5 1 1 3 2 12 31111 6 M59 92000 000181 0000E 00001 00132 015 2111100 2024 CP1RC399 001*")</f>
        <v>0</v>
      </c>
      <c r="E2372" s="54"/>
      <c r="F2372" s="83">
        <f>SUMIFS(F2373:F6462,K2373:K6462,"0",B2373:B6462,"5 1 1 3 2 12 31111 6 M59 92000 000181 0000E 00001 00132 015 2111100 2024 CP1RC399 001*")</f>
        <v>27263.43</v>
      </c>
      <c r="G2372" s="83">
        <f>SUMIFS(G2373:G6462,K2373:K6462,"0",B2373:B6462,"5 1 1 3 2 12 31111 6 M59 92000 000181 0000E 00001 00132 015 2111100 2024 CP1RC399 001*")</f>
        <v>0</v>
      </c>
      <c r="H2372" s="83">
        <f t="shared" si="37"/>
        <v>27263.43</v>
      </c>
      <c r="I2372" s="83"/>
      <c r="K2372" s="54" t="s">
        <v>15</v>
      </c>
    </row>
    <row r="2373" spans="2:11" ht="33" x14ac:dyDescent="0.2">
      <c r="B2373" s="84" t="s">
        <v>4638</v>
      </c>
      <c r="C2373" s="84" t="s">
        <v>1519</v>
      </c>
      <c r="D2373" s="85">
        <v>0</v>
      </c>
      <c r="E2373" s="85"/>
      <c r="F2373" s="85">
        <v>24848.2</v>
      </c>
      <c r="G2373" s="85">
        <v>0</v>
      </c>
      <c r="H2373" s="85">
        <f t="shared" si="37"/>
        <v>24848.2</v>
      </c>
      <c r="I2373" s="85"/>
      <c r="K2373" s="54" t="s">
        <v>38</v>
      </c>
    </row>
    <row r="2374" spans="2:11" ht="33" x14ac:dyDescent="0.2">
      <c r="B2374" s="84" t="s">
        <v>4639</v>
      </c>
      <c r="C2374" s="84" t="s">
        <v>4435</v>
      </c>
      <c r="D2374" s="85">
        <v>0</v>
      </c>
      <c r="E2374" s="85"/>
      <c r="F2374" s="85">
        <v>2415.23</v>
      </c>
      <c r="G2374" s="85">
        <v>0</v>
      </c>
      <c r="H2374" s="85">
        <f t="shared" si="37"/>
        <v>2415.23</v>
      </c>
      <c r="I2374" s="85"/>
      <c r="K2374" s="54" t="s">
        <v>38</v>
      </c>
    </row>
    <row r="2375" spans="2:11" ht="24.75" x14ac:dyDescent="0.2">
      <c r="B2375" s="82" t="s">
        <v>4640</v>
      </c>
      <c r="C2375" s="82" t="s">
        <v>3632</v>
      </c>
      <c r="D2375" s="83">
        <f>SUMIFS(D2376:D6462,K2376:K6462,"0",B2376:B6462,"5 1 1 3 2 12 31111 6 M59 93000*")-SUMIFS(E2376:E6462,K2376:K6462,"0",B2376:B6462,"5 1 1 3 2 12 31111 6 M59 93000*")</f>
        <v>0</v>
      </c>
      <c r="E2375" s="54"/>
      <c r="F2375" s="83">
        <f>SUMIFS(F2376:F6462,K2376:K6462,"0",B2376:B6462,"5 1 1 3 2 12 31111 6 M59 93000*")</f>
        <v>3416.99</v>
      </c>
      <c r="G2375" s="83">
        <f>SUMIFS(G2376:G6462,K2376:K6462,"0",B2376:B6462,"5 1 1 3 2 12 31111 6 M59 93000*")</f>
        <v>0</v>
      </c>
      <c r="H2375" s="83">
        <f t="shared" si="37"/>
        <v>3416.99</v>
      </c>
      <c r="I2375" s="83"/>
      <c r="K2375" s="54" t="s">
        <v>15</v>
      </c>
    </row>
    <row r="2376" spans="2:11" ht="16.5" x14ac:dyDescent="0.2">
      <c r="B2376" s="82" t="s">
        <v>4641</v>
      </c>
      <c r="C2376" s="82" t="s">
        <v>648</v>
      </c>
      <c r="D2376" s="83">
        <f>SUMIFS(D2377:D6462,K2377:K6462,"0",B2377:B6462,"5 1 1 3 2 12 31111 6 M59 93000 000132*")-SUMIFS(E2377:E6462,K2377:K6462,"0",B2377:B6462,"5 1 1 3 2 12 31111 6 M59 93000 000132*")</f>
        <v>0</v>
      </c>
      <c r="E2376" s="54"/>
      <c r="F2376" s="83">
        <f>SUMIFS(F2377:F6462,K2377:K6462,"0",B2377:B6462,"5 1 1 3 2 12 31111 6 M59 93000 000132*")</f>
        <v>3416.99</v>
      </c>
      <c r="G2376" s="83">
        <f>SUMIFS(G2377:G6462,K2377:K6462,"0",B2377:B6462,"5 1 1 3 2 12 31111 6 M59 93000 000132*")</f>
        <v>0</v>
      </c>
      <c r="H2376" s="83">
        <f t="shared" si="37"/>
        <v>3416.99</v>
      </c>
      <c r="I2376" s="83"/>
      <c r="K2376" s="54" t="s">
        <v>15</v>
      </c>
    </row>
    <row r="2377" spans="2:11" ht="24.75" x14ac:dyDescent="0.2">
      <c r="B2377" s="82" t="s">
        <v>4642</v>
      </c>
      <c r="C2377" s="82" t="s">
        <v>650</v>
      </c>
      <c r="D2377" s="83">
        <f>SUMIFS(D2378:D6462,K2378:K6462,"0",B2378:B6462,"5 1 1 3 2 12 31111 6 M59 93000 000132 0000R*")-SUMIFS(E2378:E6462,K2378:K6462,"0",B2378:B6462,"5 1 1 3 2 12 31111 6 M59 93000 000132 0000R*")</f>
        <v>0</v>
      </c>
      <c r="E2377" s="54"/>
      <c r="F2377" s="83">
        <f>SUMIFS(F2378:F6462,K2378:K6462,"0",B2378:B6462,"5 1 1 3 2 12 31111 6 M59 93000 000132 0000R*")</f>
        <v>3416.99</v>
      </c>
      <c r="G2377" s="83">
        <f>SUMIFS(G2378:G6462,K2378:K6462,"0",B2378:B6462,"5 1 1 3 2 12 31111 6 M59 93000 000132 0000R*")</f>
        <v>0</v>
      </c>
      <c r="H2377" s="83">
        <f t="shared" si="37"/>
        <v>3416.99</v>
      </c>
      <c r="I2377" s="83"/>
      <c r="K2377" s="54" t="s">
        <v>15</v>
      </c>
    </row>
    <row r="2378" spans="2:11" ht="24.75" x14ac:dyDescent="0.2">
      <c r="B2378" s="82" t="s">
        <v>4643</v>
      </c>
      <c r="C2378" s="82" t="s">
        <v>282</v>
      </c>
      <c r="D2378" s="83">
        <f>SUMIFS(D2379:D6462,K2379:K6462,"0",B2379:B6462,"5 1 1 3 2 12 31111 6 M59 93000 000132 0000R 00001*")-SUMIFS(E2379:E6462,K2379:K6462,"0",B2379:B6462,"5 1 1 3 2 12 31111 6 M59 93000 000132 0000R 00001*")</f>
        <v>0</v>
      </c>
      <c r="E2378" s="54"/>
      <c r="F2378" s="83">
        <f>SUMIFS(F2379:F6462,K2379:K6462,"0",B2379:B6462,"5 1 1 3 2 12 31111 6 M59 93000 000132 0000R 00001*")</f>
        <v>3416.99</v>
      </c>
      <c r="G2378" s="83">
        <f>SUMIFS(G2379:G6462,K2379:K6462,"0",B2379:B6462,"5 1 1 3 2 12 31111 6 M59 93000 000132 0000R 00001*")</f>
        <v>0</v>
      </c>
      <c r="H2378" s="83">
        <f t="shared" si="37"/>
        <v>3416.99</v>
      </c>
      <c r="I2378" s="83"/>
      <c r="K2378" s="54" t="s">
        <v>15</v>
      </c>
    </row>
    <row r="2379" spans="2:11" ht="24.75" x14ac:dyDescent="0.2">
      <c r="B2379" s="82" t="s">
        <v>4644</v>
      </c>
      <c r="C2379" s="82" t="s">
        <v>4041</v>
      </c>
      <c r="D2379" s="83">
        <f>SUMIFS(D2380:D6462,K2380:K6462,"0",B2380:B6462,"5 1 1 3 2 12 31111 6 M59 93000 000132 0000R 00001 00132*")-SUMIFS(E2380:E6462,K2380:K6462,"0",B2380:B6462,"5 1 1 3 2 12 31111 6 M59 93000 000132 0000R 00001 00132*")</f>
        <v>0</v>
      </c>
      <c r="E2379" s="54"/>
      <c r="F2379" s="83">
        <f>SUMIFS(F2380:F6462,K2380:K6462,"0",B2380:B6462,"5 1 1 3 2 12 31111 6 M59 93000 000132 0000R 00001 00132*")</f>
        <v>3416.99</v>
      </c>
      <c r="G2379" s="83">
        <f>SUMIFS(G2380:G6462,K2380:K6462,"0",B2380:B6462,"5 1 1 3 2 12 31111 6 M59 93000 000132 0000R 00001 00132*")</f>
        <v>0</v>
      </c>
      <c r="H2379" s="83">
        <f t="shared" si="37"/>
        <v>3416.99</v>
      </c>
      <c r="I2379" s="83"/>
      <c r="K2379" s="54" t="s">
        <v>15</v>
      </c>
    </row>
    <row r="2380" spans="2:11" ht="33" x14ac:dyDescent="0.2">
      <c r="B2380" s="82" t="s">
        <v>4645</v>
      </c>
      <c r="C2380" s="82" t="s">
        <v>1051</v>
      </c>
      <c r="D2380" s="83">
        <f>SUMIFS(D2381:D6462,K2381:K6462,"0",B2381:B6462,"5 1 1 3 2 12 31111 6 M59 93000 000132 0000R 00001 00132 015*")-SUMIFS(E2381:E6462,K2381:K6462,"0",B2381:B6462,"5 1 1 3 2 12 31111 6 M59 93000 000132 0000R 00001 00132 015*")</f>
        <v>0</v>
      </c>
      <c r="E2380" s="54"/>
      <c r="F2380" s="83">
        <f>SUMIFS(F2381:F6462,K2381:K6462,"0",B2381:B6462,"5 1 1 3 2 12 31111 6 M59 93000 000132 0000R 00001 00132 015*")</f>
        <v>3416.99</v>
      </c>
      <c r="G2380" s="83">
        <f>SUMIFS(G2381:G6462,K2381:K6462,"0",B2381:B6462,"5 1 1 3 2 12 31111 6 M59 93000 000132 0000R 00001 00132 015*")</f>
        <v>0</v>
      </c>
      <c r="H2380" s="83">
        <f t="shared" si="37"/>
        <v>3416.99</v>
      </c>
      <c r="I2380" s="83"/>
      <c r="K2380" s="54" t="s">
        <v>15</v>
      </c>
    </row>
    <row r="2381" spans="2:11" ht="33" x14ac:dyDescent="0.2">
      <c r="B2381" s="82" t="s">
        <v>4646</v>
      </c>
      <c r="C2381" s="82" t="s">
        <v>2927</v>
      </c>
      <c r="D2381" s="83">
        <f>SUMIFS(D2382:D6462,K2382:K6462,"0",B2382:B6462,"5 1 1 3 2 12 31111 6 M59 93000 000132 0000R 00001 00132 015 2111100*")-SUMIFS(E2382:E6462,K2382:K6462,"0",B2382:B6462,"5 1 1 3 2 12 31111 6 M59 93000 000132 0000R 00001 00132 015 2111100*")</f>
        <v>0</v>
      </c>
      <c r="E2381" s="54"/>
      <c r="F2381" s="83">
        <f>SUMIFS(F2382:F6462,K2382:K6462,"0",B2382:B6462,"5 1 1 3 2 12 31111 6 M59 93000 000132 0000R 00001 00132 015 2111100*")</f>
        <v>3416.99</v>
      </c>
      <c r="G2381" s="83">
        <f>SUMIFS(G2382:G6462,K2382:K6462,"0",B2382:B6462,"5 1 1 3 2 12 31111 6 M59 93000 000132 0000R 00001 00132 015 2111100*")</f>
        <v>0</v>
      </c>
      <c r="H2381" s="83">
        <f t="shared" si="37"/>
        <v>3416.99</v>
      </c>
      <c r="I2381" s="83"/>
      <c r="K2381" s="54" t="s">
        <v>15</v>
      </c>
    </row>
    <row r="2382" spans="2:11" ht="33" x14ac:dyDescent="0.2">
      <c r="B2382" s="82" t="s">
        <v>4647</v>
      </c>
      <c r="C2382" s="82" t="s">
        <v>660</v>
      </c>
      <c r="D2382" s="83">
        <f>SUMIFS(D2383:D6462,K2383:K6462,"0",B2383:B6462,"5 1 1 3 2 12 31111 6 M59 93000 000132 0000R 00001 00132 015 2111100 2024*")-SUMIFS(E2383:E6462,K2383:K6462,"0",B2383:B6462,"5 1 1 3 2 12 31111 6 M59 93000 000132 0000R 00001 00132 015 2111100 2024*")</f>
        <v>0</v>
      </c>
      <c r="E2382" s="54"/>
      <c r="F2382" s="83">
        <f>SUMIFS(F2383:F6462,K2383:K6462,"0",B2383:B6462,"5 1 1 3 2 12 31111 6 M59 93000 000132 0000R 00001 00132 015 2111100 2024*")</f>
        <v>3416.99</v>
      </c>
      <c r="G2382" s="83">
        <f>SUMIFS(G2383:G6462,K2383:K6462,"0",B2383:B6462,"5 1 1 3 2 12 31111 6 M59 93000 000132 0000R 00001 00132 015 2111100 2024*")</f>
        <v>0</v>
      </c>
      <c r="H2382" s="83">
        <f t="shared" si="37"/>
        <v>3416.99</v>
      </c>
      <c r="I2382" s="83"/>
      <c r="K2382" s="54" t="s">
        <v>15</v>
      </c>
    </row>
    <row r="2383" spans="2:11" ht="41.25" x14ac:dyDescent="0.2">
      <c r="B2383" s="82" t="s">
        <v>4648</v>
      </c>
      <c r="C2383" s="82" t="s">
        <v>1056</v>
      </c>
      <c r="D2383" s="83">
        <f>SUMIFS(D2384:D6462,K2384:K6462,"0",B2384:B6462,"5 1 1 3 2 12 31111 6 M59 93000 000132 0000R 00001 00132 015 2111100 2024 CP1RS429*")-SUMIFS(E2384:E6462,K2384:K6462,"0",B2384:B6462,"5 1 1 3 2 12 31111 6 M59 93000 000132 0000R 00001 00132 015 2111100 2024 CP1RS429*")</f>
        <v>0</v>
      </c>
      <c r="E2383" s="54"/>
      <c r="F2383" s="83">
        <f>SUMIFS(F2384:F6462,K2384:K6462,"0",B2384:B6462,"5 1 1 3 2 12 31111 6 M59 93000 000132 0000R 00001 00132 015 2111100 2024 CP1RS429*")</f>
        <v>3416.99</v>
      </c>
      <c r="G2383" s="83">
        <f>SUMIFS(G2384:G6462,K2384:K6462,"0",B2384:B6462,"5 1 1 3 2 12 31111 6 M59 93000 000132 0000R 00001 00132 015 2111100 2024 CP1RS429*")</f>
        <v>0</v>
      </c>
      <c r="H2383" s="83">
        <f t="shared" si="37"/>
        <v>3416.99</v>
      </c>
      <c r="I2383" s="83"/>
      <c r="K2383" s="54" t="s">
        <v>15</v>
      </c>
    </row>
    <row r="2384" spans="2:11" ht="41.25" x14ac:dyDescent="0.2">
      <c r="B2384" s="82" t="s">
        <v>4649</v>
      </c>
      <c r="C2384" s="82" t="s">
        <v>282</v>
      </c>
      <c r="D2384" s="83">
        <f>SUMIFS(D2385:D6462,K2385:K6462,"0",B2385:B6462,"5 1 1 3 2 12 31111 6 M59 93000 000132 0000R 00001 00132 015 2111100 2024 CP1RS429 001*")-SUMIFS(E2385:E6462,K2385:K6462,"0",B2385:B6462,"5 1 1 3 2 12 31111 6 M59 93000 000132 0000R 00001 00132 015 2111100 2024 CP1RS429 001*")</f>
        <v>0</v>
      </c>
      <c r="E2384" s="54"/>
      <c r="F2384" s="83">
        <f>SUMIFS(F2385:F6462,K2385:K6462,"0",B2385:B6462,"5 1 1 3 2 12 31111 6 M59 93000 000132 0000R 00001 00132 015 2111100 2024 CP1RS429 001*")</f>
        <v>3416.99</v>
      </c>
      <c r="G2384" s="83">
        <f>SUMIFS(G2385:G6462,K2385:K6462,"0",B2385:B6462,"5 1 1 3 2 12 31111 6 M59 93000 000132 0000R 00001 00132 015 2111100 2024 CP1RS429 001*")</f>
        <v>0</v>
      </c>
      <c r="H2384" s="83">
        <f t="shared" si="37"/>
        <v>3416.99</v>
      </c>
      <c r="I2384" s="83"/>
      <c r="K2384" s="54" t="s">
        <v>15</v>
      </c>
    </row>
    <row r="2385" spans="2:11" ht="41.25" x14ac:dyDescent="0.2">
      <c r="B2385" s="84" t="s">
        <v>4650</v>
      </c>
      <c r="C2385" s="84" t="s">
        <v>1519</v>
      </c>
      <c r="D2385" s="85">
        <v>0</v>
      </c>
      <c r="E2385" s="85"/>
      <c r="F2385" s="85">
        <v>3416.99</v>
      </c>
      <c r="G2385" s="85">
        <v>0</v>
      </c>
      <c r="H2385" s="85">
        <f t="shared" si="37"/>
        <v>3416.99</v>
      </c>
      <c r="I2385" s="85"/>
      <c r="K2385" s="54" t="s">
        <v>38</v>
      </c>
    </row>
    <row r="2386" spans="2:11" ht="16.5" x14ac:dyDescent="0.2">
      <c r="B2386" s="82" t="s">
        <v>4651</v>
      </c>
      <c r="C2386" s="82" t="s">
        <v>3644</v>
      </c>
      <c r="D2386" s="83">
        <f>SUMIFS(D2387:D6462,K2387:K6462,"0",B2387:B6462,"5 1 1 3 2 12 31111 6 M59 94000*")-SUMIFS(E2387:E6462,K2387:K6462,"0",B2387:B6462,"5 1 1 3 2 12 31111 6 M59 94000*")</f>
        <v>0</v>
      </c>
      <c r="E2386" s="54"/>
      <c r="F2386" s="83">
        <f>SUMIFS(F2387:F6462,K2387:K6462,"0",B2387:B6462,"5 1 1 3 2 12 31111 6 M59 94000*")</f>
        <v>12647.28</v>
      </c>
      <c r="G2386" s="83">
        <f>SUMIFS(G2387:G6462,K2387:K6462,"0",B2387:B6462,"5 1 1 3 2 12 31111 6 M59 94000*")</f>
        <v>0</v>
      </c>
      <c r="H2386" s="83">
        <f t="shared" si="37"/>
        <v>12647.28</v>
      </c>
      <c r="I2386" s="83"/>
      <c r="K2386" s="54" t="s">
        <v>15</v>
      </c>
    </row>
    <row r="2387" spans="2:11" ht="24.75" x14ac:dyDescent="0.2">
      <c r="B2387" s="82" t="s">
        <v>4652</v>
      </c>
      <c r="C2387" s="82" t="s">
        <v>3152</v>
      </c>
      <c r="D2387" s="83">
        <f>SUMIFS(D2388:D6462,K2388:K6462,"0",B2388:B6462,"5 1 1 3 2 12 31111 6 M59 94000 000181*")-SUMIFS(E2388:E6462,K2388:K6462,"0",B2388:B6462,"5 1 1 3 2 12 31111 6 M59 94000 000181*")</f>
        <v>0</v>
      </c>
      <c r="E2387" s="54"/>
      <c r="F2387" s="83">
        <f>SUMIFS(F2388:F6462,K2388:K6462,"0",B2388:B6462,"5 1 1 3 2 12 31111 6 M59 94000 000181*")</f>
        <v>12647.28</v>
      </c>
      <c r="G2387" s="83">
        <f>SUMIFS(G2388:G6462,K2388:K6462,"0",B2388:B6462,"5 1 1 3 2 12 31111 6 M59 94000 000181*")</f>
        <v>0</v>
      </c>
      <c r="H2387" s="83">
        <f t="shared" si="37"/>
        <v>12647.28</v>
      </c>
      <c r="I2387" s="83"/>
      <c r="K2387" s="54" t="s">
        <v>15</v>
      </c>
    </row>
    <row r="2388" spans="2:11" ht="24.75" x14ac:dyDescent="0.2">
      <c r="B2388" s="82" t="s">
        <v>4653</v>
      </c>
      <c r="C2388" s="82" t="s">
        <v>650</v>
      </c>
      <c r="D2388" s="83">
        <f>SUMIFS(D2389:D6462,K2389:K6462,"0",B2389:B6462,"5 1 1 3 2 12 31111 6 M59 94000 000181 0000R*")-SUMIFS(E2389:E6462,K2389:K6462,"0",B2389:B6462,"5 1 1 3 2 12 31111 6 M59 94000 000181 0000R*")</f>
        <v>0</v>
      </c>
      <c r="E2388" s="54"/>
      <c r="F2388" s="83">
        <f>SUMIFS(F2389:F6462,K2389:K6462,"0",B2389:B6462,"5 1 1 3 2 12 31111 6 M59 94000 000181 0000R*")</f>
        <v>12647.28</v>
      </c>
      <c r="G2388" s="83">
        <f>SUMIFS(G2389:G6462,K2389:K6462,"0",B2389:B6462,"5 1 1 3 2 12 31111 6 M59 94000 000181 0000R*")</f>
        <v>0</v>
      </c>
      <c r="H2388" s="83">
        <f t="shared" si="37"/>
        <v>12647.28</v>
      </c>
      <c r="I2388" s="83"/>
      <c r="K2388" s="54" t="s">
        <v>15</v>
      </c>
    </row>
    <row r="2389" spans="2:11" ht="24.75" x14ac:dyDescent="0.2">
      <c r="B2389" s="82" t="s">
        <v>4654</v>
      </c>
      <c r="C2389" s="82" t="s">
        <v>282</v>
      </c>
      <c r="D2389" s="83">
        <f>SUMIFS(D2390:D6462,K2390:K6462,"0",B2390:B6462,"5 1 1 3 2 12 31111 6 M59 94000 000181 0000R 00001*")-SUMIFS(E2390:E6462,K2390:K6462,"0",B2390:B6462,"5 1 1 3 2 12 31111 6 M59 94000 000181 0000R 00001*")</f>
        <v>0</v>
      </c>
      <c r="E2389" s="54"/>
      <c r="F2389" s="83">
        <f>SUMIFS(F2390:F6462,K2390:K6462,"0",B2390:B6462,"5 1 1 3 2 12 31111 6 M59 94000 000181 0000R 00001*")</f>
        <v>12647.28</v>
      </c>
      <c r="G2389" s="83">
        <f>SUMIFS(G2390:G6462,K2390:K6462,"0",B2390:B6462,"5 1 1 3 2 12 31111 6 M59 94000 000181 0000R 00001*")</f>
        <v>0</v>
      </c>
      <c r="H2389" s="83">
        <f t="shared" si="37"/>
        <v>12647.28</v>
      </c>
      <c r="I2389" s="83"/>
      <c r="K2389" s="54" t="s">
        <v>15</v>
      </c>
    </row>
    <row r="2390" spans="2:11" ht="24.75" x14ac:dyDescent="0.2">
      <c r="B2390" s="82" t="s">
        <v>4655</v>
      </c>
      <c r="C2390" s="82" t="s">
        <v>4041</v>
      </c>
      <c r="D2390" s="83">
        <f>SUMIFS(D2391:D6462,K2391:K6462,"0",B2391:B6462,"5 1 1 3 2 12 31111 6 M59 94000 000181 0000R 00001 00132*")-SUMIFS(E2391:E6462,K2391:K6462,"0",B2391:B6462,"5 1 1 3 2 12 31111 6 M59 94000 000181 0000R 00001 00132*")</f>
        <v>0</v>
      </c>
      <c r="E2390" s="54"/>
      <c r="F2390" s="83">
        <f>SUMIFS(F2391:F6462,K2391:K6462,"0",B2391:B6462,"5 1 1 3 2 12 31111 6 M59 94000 000181 0000R 00001 00132*")</f>
        <v>12647.28</v>
      </c>
      <c r="G2390" s="83">
        <f>SUMIFS(G2391:G6462,K2391:K6462,"0",B2391:B6462,"5 1 1 3 2 12 31111 6 M59 94000 000181 0000R 00001 00132*")</f>
        <v>0</v>
      </c>
      <c r="H2390" s="83">
        <f t="shared" si="37"/>
        <v>12647.28</v>
      </c>
      <c r="I2390" s="83"/>
      <c r="K2390" s="54" t="s">
        <v>15</v>
      </c>
    </row>
    <row r="2391" spans="2:11" ht="33" x14ac:dyDescent="0.2">
      <c r="B2391" s="82" t="s">
        <v>4656</v>
      </c>
      <c r="C2391" s="82" t="s">
        <v>1051</v>
      </c>
      <c r="D2391" s="83">
        <f>SUMIFS(D2392:D6462,K2392:K6462,"0",B2392:B6462,"5 1 1 3 2 12 31111 6 M59 94000 000181 0000R 00001 00132 015*")-SUMIFS(E2392:E6462,K2392:K6462,"0",B2392:B6462,"5 1 1 3 2 12 31111 6 M59 94000 000181 0000R 00001 00132 015*")</f>
        <v>0</v>
      </c>
      <c r="E2391" s="54"/>
      <c r="F2391" s="83">
        <f>SUMIFS(F2392:F6462,K2392:K6462,"0",B2392:B6462,"5 1 1 3 2 12 31111 6 M59 94000 000181 0000R 00001 00132 015*")</f>
        <v>12647.28</v>
      </c>
      <c r="G2391" s="83">
        <f>SUMIFS(G2392:G6462,K2392:K6462,"0",B2392:B6462,"5 1 1 3 2 12 31111 6 M59 94000 000181 0000R 00001 00132 015*")</f>
        <v>0</v>
      </c>
      <c r="H2391" s="83">
        <f t="shared" si="37"/>
        <v>12647.28</v>
      </c>
      <c r="I2391" s="83"/>
      <c r="K2391" s="54" t="s">
        <v>15</v>
      </c>
    </row>
    <row r="2392" spans="2:11" ht="33" x14ac:dyDescent="0.2">
      <c r="B2392" s="82" t="s">
        <v>4657</v>
      </c>
      <c r="C2392" s="82" t="s">
        <v>2927</v>
      </c>
      <c r="D2392" s="83">
        <f>SUMIFS(D2393:D6462,K2393:K6462,"0",B2393:B6462,"5 1 1 3 2 12 31111 6 M59 94000 000181 0000R 00001 00132 015 2111100*")-SUMIFS(E2393:E6462,K2393:K6462,"0",B2393:B6462,"5 1 1 3 2 12 31111 6 M59 94000 000181 0000R 00001 00132 015 2111100*")</f>
        <v>0</v>
      </c>
      <c r="E2392" s="54"/>
      <c r="F2392" s="83">
        <f>SUMIFS(F2393:F6462,K2393:K6462,"0",B2393:B6462,"5 1 1 3 2 12 31111 6 M59 94000 000181 0000R 00001 00132 015 2111100*")</f>
        <v>12647.28</v>
      </c>
      <c r="G2392" s="83">
        <f>SUMIFS(G2393:G6462,K2393:K6462,"0",B2393:B6462,"5 1 1 3 2 12 31111 6 M59 94000 000181 0000R 00001 00132 015 2111100*")</f>
        <v>0</v>
      </c>
      <c r="H2392" s="83">
        <f t="shared" si="37"/>
        <v>12647.28</v>
      </c>
      <c r="I2392" s="83"/>
      <c r="K2392" s="54" t="s">
        <v>15</v>
      </c>
    </row>
    <row r="2393" spans="2:11" ht="33" x14ac:dyDescent="0.2">
      <c r="B2393" s="82" t="s">
        <v>4658</v>
      </c>
      <c r="C2393" s="82" t="s">
        <v>660</v>
      </c>
      <c r="D2393" s="83">
        <f>SUMIFS(D2394:D6462,K2394:K6462,"0",B2394:B6462,"5 1 1 3 2 12 31111 6 M59 94000 000181 0000R 00001 00132 015 2111100 2024*")-SUMIFS(E2394:E6462,K2394:K6462,"0",B2394:B6462,"5 1 1 3 2 12 31111 6 M59 94000 000181 0000R 00001 00132 015 2111100 2024*")</f>
        <v>0</v>
      </c>
      <c r="E2393" s="54"/>
      <c r="F2393" s="83">
        <f>SUMIFS(F2394:F6462,K2394:K6462,"0",B2394:B6462,"5 1 1 3 2 12 31111 6 M59 94000 000181 0000R 00001 00132 015 2111100 2024*")</f>
        <v>12647.28</v>
      </c>
      <c r="G2393" s="83">
        <f>SUMIFS(G2394:G6462,K2394:K6462,"0",B2394:B6462,"5 1 1 3 2 12 31111 6 M59 94000 000181 0000R 00001 00132 015 2111100 2024*")</f>
        <v>0</v>
      </c>
      <c r="H2393" s="83">
        <f t="shared" si="37"/>
        <v>12647.28</v>
      </c>
      <c r="I2393" s="83"/>
      <c r="K2393" s="54" t="s">
        <v>15</v>
      </c>
    </row>
    <row r="2394" spans="2:11" ht="41.25" x14ac:dyDescent="0.2">
      <c r="B2394" s="82" t="s">
        <v>4659</v>
      </c>
      <c r="C2394" s="82" t="s">
        <v>1056</v>
      </c>
      <c r="D2394" s="83">
        <f>SUMIFS(D2395:D6462,K2395:K6462,"0",B2395:B6462,"5 1 1 3 2 12 31111 6 M59 94000 000181 0000R 00001 00132 015 2111100 2024 CP1OM392*")-SUMIFS(E2395:E6462,K2395:K6462,"0",B2395:B6462,"5 1 1 3 2 12 31111 6 M59 94000 000181 0000R 00001 00132 015 2111100 2024 CP1OM392*")</f>
        <v>0</v>
      </c>
      <c r="E2394" s="54"/>
      <c r="F2394" s="83">
        <f>SUMIFS(F2395:F6462,K2395:K6462,"0",B2395:B6462,"5 1 1 3 2 12 31111 6 M59 94000 000181 0000R 00001 00132 015 2111100 2024 CP1OM392*")</f>
        <v>12647.28</v>
      </c>
      <c r="G2394" s="83">
        <f>SUMIFS(G2395:G6462,K2395:K6462,"0",B2395:B6462,"5 1 1 3 2 12 31111 6 M59 94000 000181 0000R 00001 00132 015 2111100 2024 CP1OM392*")</f>
        <v>0</v>
      </c>
      <c r="H2394" s="83">
        <f t="shared" si="37"/>
        <v>12647.28</v>
      </c>
      <c r="I2394" s="83"/>
      <c r="K2394" s="54" t="s">
        <v>15</v>
      </c>
    </row>
    <row r="2395" spans="2:11" ht="41.25" x14ac:dyDescent="0.2">
      <c r="B2395" s="82" t="s">
        <v>4660</v>
      </c>
      <c r="C2395" s="82" t="s">
        <v>282</v>
      </c>
      <c r="D2395" s="83">
        <f>SUMIFS(D2396:D6462,K2396:K6462,"0",B2396:B6462,"5 1 1 3 2 12 31111 6 M59 94000 000181 0000R 00001 00132 015 2111100 2024 CP1OM392 001*")-SUMIFS(E2396:E6462,K2396:K6462,"0",B2396:B6462,"5 1 1 3 2 12 31111 6 M59 94000 000181 0000R 00001 00132 015 2111100 2024 CP1OM392 001*")</f>
        <v>0</v>
      </c>
      <c r="E2395" s="54"/>
      <c r="F2395" s="83">
        <f>SUMIFS(F2396:F6462,K2396:K6462,"0",B2396:B6462,"5 1 1 3 2 12 31111 6 M59 94000 000181 0000R 00001 00132 015 2111100 2024 CP1OM392 001*")</f>
        <v>12647.28</v>
      </c>
      <c r="G2395" s="83">
        <f>SUMIFS(G2396:G6462,K2396:K6462,"0",B2396:B6462,"5 1 1 3 2 12 31111 6 M59 94000 000181 0000R 00001 00132 015 2111100 2024 CP1OM392 001*")</f>
        <v>0</v>
      </c>
      <c r="H2395" s="83">
        <f t="shared" si="37"/>
        <v>12647.28</v>
      </c>
      <c r="I2395" s="83"/>
      <c r="K2395" s="54" t="s">
        <v>15</v>
      </c>
    </row>
    <row r="2396" spans="2:11" ht="33" x14ac:dyDescent="0.2">
      <c r="B2396" s="84" t="s">
        <v>4661</v>
      </c>
      <c r="C2396" s="84" t="s">
        <v>1519</v>
      </c>
      <c r="D2396" s="85">
        <v>0</v>
      </c>
      <c r="E2396" s="85"/>
      <c r="F2396" s="85">
        <v>11663.92</v>
      </c>
      <c r="G2396" s="85">
        <v>0</v>
      </c>
      <c r="H2396" s="85">
        <f t="shared" si="37"/>
        <v>11663.92</v>
      </c>
      <c r="I2396" s="85"/>
      <c r="K2396" s="54" t="s">
        <v>38</v>
      </c>
    </row>
    <row r="2397" spans="2:11" ht="33" x14ac:dyDescent="0.2">
      <c r="B2397" s="84" t="s">
        <v>4662</v>
      </c>
      <c r="C2397" s="84" t="s">
        <v>4435</v>
      </c>
      <c r="D2397" s="85">
        <v>0</v>
      </c>
      <c r="E2397" s="85"/>
      <c r="F2397" s="85">
        <v>983.36</v>
      </c>
      <c r="G2397" s="85">
        <v>0</v>
      </c>
      <c r="H2397" s="85">
        <f t="shared" si="37"/>
        <v>983.36</v>
      </c>
      <c r="I2397" s="85"/>
      <c r="K2397" s="54" t="s">
        <v>38</v>
      </c>
    </row>
    <row r="2398" spans="2:11" ht="16.5" x14ac:dyDescent="0.2">
      <c r="B2398" s="82" t="s">
        <v>4663</v>
      </c>
      <c r="C2398" s="82" t="s">
        <v>3656</v>
      </c>
      <c r="D2398" s="83">
        <f>SUMIFS(D2399:D6462,K2399:K6462,"0",B2399:B6462,"5 1 1 3 2 12 31111 6 M59 94100*")-SUMIFS(E2399:E6462,K2399:K6462,"0",B2399:B6462,"5 1 1 3 2 12 31111 6 M59 94100*")</f>
        <v>0</v>
      </c>
      <c r="E2398" s="54"/>
      <c r="F2398" s="83">
        <f>SUMIFS(F2399:F6462,K2399:K6462,"0",B2399:B6462,"5 1 1 3 2 12 31111 6 M59 94100*")</f>
        <v>3331.86</v>
      </c>
      <c r="G2398" s="83">
        <f>SUMIFS(G2399:G6462,K2399:K6462,"0",B2399:B6462,"5 1 1 3 2 12 31111 6 M59 94100*")</f>
        <v>0</v>
      </c>
      <c r="H2398" s="83">
        <f t="shared" si="37"/>
        <v>3331.86</v>
      </c>
      <c r="I2398" s="83"/>
      <c r="K2398" s="54" t="s">
        <v>15</v>
      </c>
    </row>
    <row r="2399" spans="2:11" ht="16.5" x14ac:dyDescent="0.2">
      <c r="B2399" s="82" t="s">
        <v>4664</v>
      </c>
      <c r="C2399" s="82" t="s">
        <v>648</v>
      </c>
      <c r="D2399" s="83">
        <f>SUMIFS(D2400:D6462,K2400:K6462,"0",B2400:B6462,"5 1 1 3 2 12 31111 6 M59 94100 000132*")-SUMIFS(E2400:E6462,K2400:K6462,"0",B2400:B6462,"5 1 1 3 2 12 31111 6 M59 94100 000132*")</f>
        <v>0</v>
      </c>
      <c r="E2399" s="54"/>
      <c r="F2399" s="83">
        <f>SUMIFS(F2400:F6462,K2400:K6462,"0",B2400:B6462,"5 1 1 3 2 12 31111 6 M59 94100 000132*")</f>
        <v>3331.86</v>
      </c>
      <c r="G2399" s="83">
        <f>SUMIFS(G2400:G6462,K2400:K6462,"0",B2400:B6462,"5 1 1 3 2 12 31111 6 M59 94100 000132*")</f>
        <v>0</v>
      </c>
      <c r="H2399" s="83">
        <f t="shared" si="37"/>
        <v>3331.86</v>
      </c>
      <c r="I2399" s="83"/>
      <c r="K2399" s="54" t="s">
        <v>15</v>
      </c>
    </row>
    <row r="2400" spans="2:11" ht="24.75" x14ac:dyDescent="0.2">
      <c r="B2400" s="82" t="s">
        <v>4665</v>
      </c>
      <c r="C2400" s="82" t="s">
        <v>650</v>
      </c>
      <c r="D2400" s="83">
        <f>SUMIFS(D2401:D6462,K2401:K6462,"0",B2401:B6462,"5 1 1 3 2 12 31111 6 M59 94100 000132 0000R*")-SUMIFS(E2401:E6462,K2401:K6462,"0",B2401:B6462,"5 1 1 3 2 12 31111 6 M59 94100 000132 0000R*")</f>
        <v>0</v>
      </c>
      <c r="E2400" s="54"/>
      <c r="F2400" s="83">
        <f>SUMIFS(F2401:F6462,K2401:K6462,"0",B2401:B6462,"5 1 1 3 2 12 31111 6 M59 94100 000132 0000R*")</f>
        <v>3331.86</v>
      </c>
      <c r="G2400" s="83">
        <f>SUMIFS(G2401:G6462,K2401:K6462,"0",B2401:B6462,"5 1 1 3 2 12 31111 6 M59 94100 000132 0000R*")</f>
        <v>0</v>
      </c>
      <c r="H2400" s="83">
        <f t="shared" si="37"/>
        <v>3331.86</v>
      </c>
      <c r="I2400" s="83"/>
      <c r="K2400" s="54" t="s">
        <v>15</v>
      </c>
    </row>
    <row r="2401" spans="2:11" ht="24.75" x14ac:dyDescent="0.2">
      <c r="B2401" s="82" t="s">
        <v>4666</v>
      </c>
      <c r="C2401" s="82" t="s">
        <v>282</v>
      </c>
      <c r="D2401" s="83">
        <f>SUMIFS(D2402:D6462,K2402:K6462,"0",B2402:B6462,"5 1 1 3 2 12 31111 6 M59 94100 000132 0000R 00001*")-SUMIFS(E2402:E6462,K2402:K6462,"0",B2402:B6462,"5 1 1 3 2 12 31111 6 M59 94100 000132 0000R 00001*")</f>
        <v>0</v>
      </c>
      <c r="E2401" s="54"/>
      <c r="F2401" s="83">
        <f>SUMIFS(F2402:F6462,K2402:K6462,"0",B2402:B6462,"5 1 1 3 2 12 31111 6 M59 94100 000132 0000R 00001*")</f>
        <v>3331.86</v>
      </c>
      <c r="G2401" s="83">
        <f>SUMIFS(G2402:G6462,K2402:K6462,"0",B2402:B6462,"5 1 1 3 2 12 31111 6 M59 94100 000132 0000R 00001*")</f>
        <v>0</v>
      </c>
      <c r="H2401" s="83">
        <f t="shared" si="37"/>
        <v>3331.86</v>
      </c>
      <c r="I2401" s="83"/>
      <c r="K2401" s="54" t="s">
        <v>15</v>
      </c>
    </row>
    <row r="2402" spans="2:11" ht="24.75" x14ac:dyDescent="0.2">
      <c r="B2402" s="82" t="s">
        <v>4667</v>
      </c>
      <c r="C2402" s="82" t="s">
        <v>4041</v>
      </c>
      <c r="D2402" s="83">
        <f>SUMIFS(D2403:D6462,K2403:K6462,"0",B2403:B6462,"5 1 1 3 2 12 31111 6 M59 94100 000132 0000R 00001 00132*")-SUMIFS(E2403:E6462,K2403:K6462,"0",B2403:B6462,"5 1 1 3 2 12 31111 6 M59 94100 000132 0000R 00001 00132*")</f>
        <v>0</v>
      </c>
      <c r="E2402" s="54"/>
      <c r="F2402" s="83">
        <f>SUMIFS(F2403:F6462,K2403:K6462,"0",B2403:B6462,"5 1 1 3 2 12 31111 6 M59 94100 000132 0000R 00001 00132*")</f>
        <v>3331.86</v>
      </c>
      <c r="G2402" s="83">
        <f>SUMIFS(G2403:G6462,K2403:K6462,"0",B2403:B6462,"5 1 1 3 2 12 31111 6 M59 94100 000132 0000R 00001 00132*")</f>
        <v>0</v>
      </c>
      <c r="H2402" s="83">
        <f t="shared" si="37"/>
        <v>3331.86</v>
      </c>
      <c r="I2402" s="83"/>
      <c r="K2402" s="54" t="s">
        <v>15</v>
      </c>
    </row>
    <row r="2403" spans="2:11" ht="33" x14ac:dyDescent="0.2">
      <c r="B2403" s="82" t="s">
        <v>4668</v>
      </c>
      <c r="C2403" s="82" t="s">
        <v>1051</v>
      </c>
      <c r="D2403" s="83">
        <f>SUMIFS(D2404:D6462,K2404:K6462,"0",B2404:B6462,"5 1 1 3 2 12 31111 6 M59 94100 000132 0000R 00001 00132 015*")-SUMIFS(E2404:E6462,K2404:K6462,"0",B2404:B6462,"5 1 1 3 2 12 31111 6 M59 94100 000132 0000R 00001 00132 015*")</f>
        <v>0</v>
      </c>
      <c r="E2403" s="54"/>
      <c r="F2403" s="83">
        <f>SUMIFS(F2404:F6462,K2404:K6462,"0",B2404:B6462,"5 1 1 3 2 12 31111 6 M59 94100 000132 0000R 00001 00132 015*")</f>
        <v>3331.86</v>
      </c>
      <c r="G2403" s="83">
        <f>SUMIFS(G2404:G6462,K2404:K6462,"0",B2404:B6462,"5 1 1 3 2 12 31111 6 M59 94100 000132 0000R 00001 00132 015*")</f>
        <v>0</v>
      </c>
      <c r="H2403" s="83">
        <f t="shared" si="37"/>
        <v>3331.86</v>
      </c>
      <c r="I2403" s="83"/>
      <c r="K2403" s="54" t="s">
        <v>15</v>
      </c>
    </row>
    <row r="2404" spans="2:11" ht="33" x14ac:dyDescent="0.2">
      <c r="B2404" s="82" t="s">
        <v>4669</v>
      </c>
      <c r="C2404" s="82" t="s">
        <v>2927</v>
      </c>
      <c r="D2404" s="83">
        <f>SUMIFS(D2405:D6462,K2405:K6462,"0",B2405:B6462,"5 1 1 3 2 12 31111 6 M59 94100 000132 0000R 00001 00132 015 2111100*")-SUMIFS(E2405:E6462,K2405:K6462,"0",B2405:B6462,"5 1 1 3 2 12 31111 6 M59 94100 000132 0000R 00001 00132 015 2111100*")</f>
        <v>0</v>
      </c>
      <c r="E2404" s="54"/>
      <c r="F2404" s="83">
        <f>SUMIFS(F2405:F6462,K2405:K6462,"0",B2405:B6462,"5 1 1 3 2 12 31111 6 M59 94100 000132 0000R 00001 00132 015 2111100*")</f>
        <v>3331.86</v>
      </c>
      <c r="G2404" s="83">
        <f>SUMIFS(G2405:G6462,K2405:K6462,"0",B2405:B6462,"5 1 1 3 2 12 31111 6 M59 94100 000132 0000R 00001 00132 015 2111100*")</f>
        <v>0</v>
      </c>
      <c r="H2404" s="83">
        <f t="shared" si="37"/>
        <v>3331.86</v>
      </c>
      <c r="I2404" s="83"/>
      <c r="K2404" s="54" t="s">
        <v>15</v>
      </c>
    </row>
    <row r="2405" spans="2:11" ht="33" x14ac:dyDescent="0.2">
      <c r="B2405" s="82" t="s">
        <v>4670</v>
      </c>
      <c r="C2405" s="82" t="s">
        <v>660</v>
      </c>
      <c r="D2405" s="83">
        <f>SUMIFS(D2406:D6462,K2406:K6462,"0",B2406:B6462,"5 1 1 3 2 12 31111 6 M59 94100 000132 0000R 00001 00132 015 2111100 2024*")-SUMIFS(E2406:E6462,K2406:K6462,"0",B2406:B6462,"5 1 1 3 2 12 31111 6 M59 94100 000132 0000R 00001 00132 015 2111100 2024*")</f>
        <v>0</v>
      </c>
      <c r="E2405" s="54"/>
      <c r="F2405" s="83">
        <f>SUMIFS(F2406:F6462,K2406:K6462,"0",B2406:B6462,"5 1 1 3 2 12 31111 6 M59 94100 000132 0000R 00001 00132 015 2111100 2024*")</f>
        <v>3331.86</v>
      </c>
      <c r="G2405" s="83">
        <f>SUMIFS(G2406:G6462,K2406:K6462,"0",B2406:B6462,"5 1 1 3 2 12 31111 6 M59 94100 000132 0000R 00001 00132 015 2111100 2024*")</f>
        <v>0</v>
      </c>
      <c r="H2405" s="83">
        <f t="shared" si="37"/>
        <v>3331.86</v>
      </c>
      <c r="I2405" s="83"/>
      <c r="K2405" s="54" t="s">
        <v>15</v>
      </c>
    </row>
    <row r="2406" spans="2:11" ht="41.25" x14ac:dyDescent="0.2">
      <c r="B2406" s="82" t="s">
        <v>4671</v>
      </c>
      <c r="C2406" s="82" t="s">
        <v>1056</v>
      </c>
      <c r="D2406" s="83">
        <f>SUMIFS(D2407:D6462,K2407:K6462,"0",B2407:B6462,"5 1 1 3 2 12 31111 6 M59 94100 000132 0000R 00001 00132 015 2111100 2024 CP1AT427*")-SUMIFS(E2407:E6462,K2407:K6462,"0",B2407:B6462,"5 1 1 3 2 12 31111 6 M59 94100 000132 0000R 00001 00132 015 2111100 2024 CP1AT427*")</f>
        <v>0</v>
      </c>
      <c r="E2406" s="54"/>
      <c r="F2406" s="83">
        <f>SUMIFS(F2407:F6462,K2407:K6462,"0",B2407:B6462,"5 1 1 3 2 12 31111 6 M59 94100 000132 0000R 00001 00132 015 2111100 2024 CP1AT427*")</f>
        <v>3331.86</v>
      </c>
      <c r="G2406" s="83">
        <f>SUMIFS(G2407:G6462,K2407:K6462,"0",B2407:B6462,"5 1 1 3 2 12 31111 6 M59 94100 000132 0000R 00001 00132 015 2111100 2024 CP1AT427*")</f>
        <v>0</v>
      </c>
      <c r="H2406" s="83">
        <f t="shared" si="37"/>
        <v>3331.86</v>
      </c>
      <c r="I2406" s="83"/>
      <c r="K2406" s="54" t="s">
        <v>15</v>
      </c>
    </row>
    <row r="2407" spans="2:11" ht="41.25" x14ac:dyDescent="0.2">
      <c r="B2407" s="82" t="s">
        <v>4672</v>
      </c>
      <c r="C2407" s="82" t="s">
        <v>282</v>
      </c>
      <c r="D2407" s="83">
        <f>SUMIFS(D2408:D6462,K2408:K6462,"0",B2408:B6462,"5 1 1 3 2 12 31111 6 M59 94100 000132 0000R 00001 00132 015 2111100 2024 CP1AT427 001*")-SUMIFS(E2408:E6462,K2408:K6462,"0",B2408:B6462,"5 1 1 3 2 12 31111 6 M59 94100 000132 0000R 00001 00132 015 2111100 2024 CP1AT427 001*")</f>
        <v>0</v>
      </c>
      <c r="E2407" s="54"/>
      <c r="F2407" s="83">
        <f>SUMIFS(F2408:F6462,K2408:K6462,"0",B2408:B6462,"5 1 1 3 2 12 31111 6 M59 94100 000132 0000R 00001 00132 015 2111100 2024 CP1AT427 001*")</f>
        <v>3331.86</v>
      </c>
      <c r="G2407" s="83">
        <f>SUMIFS(G2408:G6462,K2408:K6462,"0",B2408:B6462,"5 1 1 3 2 12 31111 6 M59 94100 000132 0000R 00001 00132 015 2111100 2024 CP1AT427 001*")</f>
        <v>0</v>
      </c>
      <c r="H2407" s="83">
        <f t="shared" si="37"/>
        <v>3331.86</v>
      </c>
      <c r="I2407" s="83"/>
      <c r="K2407" s="54" t="s">
        <v>15</v>
      </c>
    </row>
    <row r="2408" spans="2:11" ht="33" x14ac:dyDescent="0.2">
      <c r="B2408" s="84" t="s">
        <v>4673</v>
      </c>
      <c r="C2408" s="84" t="s">
        <v>1519</v>
      </c>
      <c r="D2408" s="85">
        <v>0</v>
      </c>
      <c r="E2408" s="85"/>
      <c r="F2408" s="85">
        <v>3331.86</v>
      </c>
      <c r="G2408" s="85">
        <v>0</v>
      </c>
      <c r="H2408" s="85">
        <f t="shared" si="37"/>
        <v>3331.86</v>
      </c>
      <c r="I2408" s="85"/>
      <c r="K2408" s="54" t="s">
        <v>38</v>
      </c>
    </row>
    <row r="2409" spans="2:11" ht="16.5" x14ac:dyDescent="0.2">
      <c r="B2409" s="82" t="s">
        <v>4674</v>
      </c>
      <c r="C2409" s="82" t="s">
        <v>3668</v>
      </c>
      <c r="D2409" s="83">
        <f>SUMIFS(D2410:D6462,K2410:K6462,"0",B2410:B6462,"5 1 1 3 2 12 31111 6 M59 95000*")-SUMIFS(E2410:E6462,K2410:K6462,"0",B2410:B6462,"5 1 1 3 2 12 31111 6 M59 95000*")</f>
        <v>0</v>
      </c>
      <c r="E2409" s="54"/>
      <c r="F2409" s="83">
        <f>SUMIFS(F2410:F6462,K2410:K6462,"0",B2410:B6462,"5 1 1 3 2 12 31111 6 M59 95000*")</f>
        <v>9607.4500000000007</v>
      </c>
      <c r="G2409" s="83">
        <f>SUMIFS(G2410:G6462,K2410:K6462,"0",B2410:B6462,"5 1 1 3 2 12 31111 6 M59 95000*")</f>
        <v>0</v>
      </c>
      <c r="H2409" s="83">
        <f t="shared" si="37"/>
        <v>9607.4500000000007</v>
      </c>
      <c r="I2409" s="83"/>
      <c r="K2409" s="54" t="s">
        <v>15</v>
      </c>
    </row>
    <row r="2410" spans="2:11" ht="16.5" x14ac:dyDescent="0.2">
      <c r="B2410" s="82" t="s">
        <v>4675</v>
      </c>
      <c r="C2410" s="82" t="s">
        <v>1063</v>
      </c>
      <c r="D2410" s="83">
        <f>SUMIFS(D2411:D6462,K2411:K6462,"0",B2411:B6462,"5 1 1 3 2 12 31111 6 M59 95000 000139*")-SUMIFS(E2411:E6462,K2411:K6462,"0",B2411:B6462,"5 1 1 3 2 12 31111 6 M59 95000 000139*")</f>
        <v>0</v>
      </c>
      <c r="E2410" s="54"/>
      <c r="F2410" s="83">
        <f>SUMIFS(F2411:F6462,K2411:K6462,"0",B2411:B6462,"5 1 1 3 2 12 31111 6 M59 95000 000139*")</f>
        <v>9607.4500000000007</v>
      </c>
      <c r="G2410" s="83">
        <f>SUMIFS(G2411:G6462,K2411:K6462,"0",B2411:B6462,"5 1 1 3 2 12 31111 6 M59 95000 000139*")</f>
        <v>0</v>
      </c>
      <c r="H2410" s="83">
        <f t="shared" si="37"/>
        <v>9607.4500000000007</v>
      </c>
      <c r="I2410" s="83"/>
      <c r="K2410" s="54" t="s">
        <v>15</v>
      </c>
    </row>
    <row r="2411" spans="2:11" ht="24.75" x14ac:dyDescent="0.2">
      <c r="B2411" s="82" t="s">
        <v>4676</v>
      </c>
      <c r="C2411" s="82" t="s">
        <v>3671</v>
      </c>
      <c r="D2411" s="83">
        <f>SUMIFS(D2412:D6462,K2412:K6462,"0",B2412:B6462,"5 1 1 3 2 12 31111 6 M59 95000 000139 0000L*")-SUMIFS(E2412:E6462,K2412:K6462,"0",B2412:B6462,"5 1 1 3 2 12 31111 6 M59 95000 000139 0000L*")</f>
        <v>0</v>
      </c>
      <c r="E2411" s="54"/>
      <c r="F2411" s="83">
        <f>SUMIFS(F2412:F6462,K2412:K6462,"0",B2412:B6462,"5 1 1 3 2 12 31111 6 M59 95000 000139 0000L*")</f>
        <v>9607.4500000000007</v>
      </c>
      <c r="G2411" s="83">
        <f>SUMIFS(G2412:G6462,K2412:K6462,"0",B2412:B6462,"5 1 1 3 2 12 31111 6 M59 95000 000139 0000L*")</f>
        <v>0</v>
      </c>
      <c r="H2411" s="83">
        <f t="shared" ref="H2411:H2474" si="38">D2411 + F2411 - G2411</f>
        <v>9607.4500000000007</v>
      </c>
      <c r="I2411" s="83"/>
      <c r="K2411" s="54" t="s">
        <v>15</v>
      </c>
    </row>
    <row r="2412" spans="2:11" ht="24.75" x14ac:dyDescent="0.2">
      <c r="B2412" s="82" t="s">
        <v>4677</v>
      </c>
      <c r="C2412" s="82" t="s">
        <v>282</v>
      </c>
      <c r="D2412" s="83">
        <f>SUMIFS(D2413:D6462,K2413:K6462,"0",B2413:B6462,"5 1 1 3 2 12 31111 6 M59 95000 000139 0000L 00001*")-SUMIFS(E2413:E6462,K2413:K6462,"0",B2413:B6462,"5 1 1 3 2 12 31111 6 M59 95000 000139 0000L 00001*")</f>
        <v>0</v>
      </c>
      <c r="E2412" s="54"/>
      <c r="F2412" s="83">
        <f>SUMIFS(F2413:F6462,K2413:K6462,"0",B2413:B6462,"5 1 1 3 2 12 31111 6 M59 95000 000139 0000L 00001*")</f>
        <v>9607.4500000000007</v>
      </c>
      <c r="G2412" s="83">
        <f>SUMIFS(G2413:G6462,K2413:K6462,"0",B2413:B6462,"5 1 1 3 2 12 31111 6 M59 95000 000139 0000L 00001*")</f>
        <v>0</v>
      </c>
      <c r="H2412" s="83">
        <f t="shared" si="38"/>
        <v>9607.4500000000007</v>
      </c>
      <c r="I2412" s="83"/>
      <c r="K2412" s="54" t="s">
        <v>15</v>
      </c>
    </row>
    <row r="2413" spans="2:11" ht="24.75" x14ac:dyDescent="0.2">
      <c r="B2413" s="82" t="s">
        <v>4678</v>
      </c>
      <c r="C2413" s="82" t="s">
        <v>4041</v>
      </c>
      <c r="D2413" s="83">
        <f>SUMIFS(D2414:D6462,K2414:K6462,"0",B2414:B6462,"5 1 1 3 2 12 31111 6 M59 95000 000139 0000L 00001 00132*")-SUMIFS(E2414:E6462,K2414:K6462,"0",B2414:B6462,"5 1 1 3 2 12 31111 6 M59 95000 000139 0000L 00001 00132*")</f>
        <v>0</v>
      </c>
      <c r="E2413" s="54"/>
      <c r="F2413" s="83">
        <f>SUMIFS(F2414:F6462,K2414:K6462,"0",B2414:B6462,"5 1 1 3 2 12 31111 6 M59 95000 000139 0000L 00001 00132*")</f>
        <v>9607.4500000000007</v>
      </c>
      <c r="G2413" s="83">
        <f>SUMIFS(G2414:G6462,K2414:K6462,"0",B2414:B6462,"5 1 1 3 2 12 31111 6 M59 95000 000139 0000L 00001 00132*")</f>
        <v>0</v>
      </c>
      <c r="H2413" s="83">
        <f t="shared" si="38"/>
        <v>9607.4500000000007</v>
      </c>
      <c r="I2413" s="83"/>
      <c r="K2413" s="54" t="s">
        <v>15</v>
      </c>
    </row>
    <row r="2414" spans="2:11" ht="33" x14ac:dyDescent="0.2">
      <c r="B2414" s="82" t="s">
        <v>4679</v>
      </c>
      <c r="C2414" s="82" t="s">
        <v>1051</v>
      </c>
      <c r="D2414" s="83">
        <f>SUMIFS(D2415:D6462,K2415:K6462,"0",B2415:B6462,"5 1 1 3 2 12 31111 6 M59 95000 000139 0000L 00001 00132 015*")-SUMIFS(E2415:E6462,K2415:K6462,"0",B2415:B6462,"5 1 1 3 2 12 31111 6 M59 95000 000139 0000L 00001 00132 015*")</f>
        <v>0</v>
      </c>
      <c r="E2414" s="54"/>
      <c r="F2414" s="83">
        <f>SUMIFS(F2415:F6462,K2415:K6462,"0",B2415:B6462,"5 1 1 3 2 12 31111 6 M59 95000 000139 0000L 00001 00132 015*")</f>
        <v>9607.4500000000007</v>
      </c>
      <c r="G2414" s="83">
        <f>SUMIFS(G2415:G6462,K2415:K6462,"0",B2415:B6462,"5 1 1 3 2 12 31111 6 M59 95000 000139 0000L 00001 00132 015*")</f>
        <v>0</v>
      </c>
      <c r="H2414" s="83">
        <f t="shared" si="38"/>
        <v>9607.4500000000007</v>
      </c>
      <c r="I2414" s="83"/>
      <c r="K2414" s="54" t="s">
        <v>15</v>
      </c>
    </row>
    <row r="2415" spans="2:11" ht="33" x14ac:dyDescent="0.2">
      <c r="B2415" s="82" t="s">
        <v>4680</v>
      </c>
      <c r="C2415" s="82" t="s">
        <v>2927</v>
      </c>
      <c r="D2415" s="83">
        <f>SUMIFS(D2416:D6462,K2416:K6462,"0",B2416:B6462,"5 1 1 3 2 12 31111 6 M59 95000 000139 0000L 00001 00132 015 2111100*")-SUMIFS(E2416:E6462,K2416:K6462,"0",B2416:B6462,"5 1 1 3 2 12 31111 6 M59 95000 000139 0000L 00001 00132 015 2111100*")</f>
        <v>0</v>
      </c>
      <c r="E2415" s="54"/>
      <c r="F2415" s="83">
        <f>SUMIFS(F2416:F6462,K2416:K6462,"0",B2416:B6462,"5 1 1 3 2 12 31111 6 M59 95000 000139 0000L 00001 00132 015 2111100*")</f>
        <v>9607.4500000000007</v>
      </c>
      <c r="G2415" s="83">
        <f>SUMIFS(G2416:G6462,K2416:K6462,"0",B2416:B6462,"5 1 1 3 2 12 31111 6 M59 95000 000139 0000L 00001 00132 015 2111100*")</f>
        <v>0</v>
      </c>
      <c r="H2415" s="83">
        <f t="shared" si="38"/>
        <v>9607.4500000000007</v>
      </c>
      <c r="I2415" s="83"/>
      <c r="K2415" s="54" t="s">
        <v>15</v>
      </c>
    </row>
    <row r="2416" spans="2:11" ht="33" x14ac:dyDescent="0.2">
      <c r="B2416" s="82" t="s">
        <v>4681</v>
      </c>
      <c r="C2416" s="82" t="s">
        <v>660</v>
      </c>
      <c r="D2416" s="83">
        <f>SUMIFS(D2417:D6462,K2417:K6462,"0",B2417:B6462,"5 1 1 3 2 12 31111 6 M59 95000 000139 0000L 00001 00132 015 2111100 2024*")-SUMIFS(E2417:E6462,K2417:K6462,"0",B2417:B6462,"5 1 1 3 2 12 31111 6 M59 95000 000139 0000L 00001 00132 015 2111100 2024*")</f>
        <v>0</v>
      </c>
      <c r="E2416" s="54"/>
      <c r="F2416" s="83">
        <f>SUMIFS(F2417:F6462,K2417:K6462,"0",B2417:B6462,"5 1 1 3 2 12 31111 6 M59 95000 000139 0000L 00001 00132 015 2111100 2024*")</f>
        <v>9607.4500000000007</v>
      </c>
      <c r="G2416" s="83">
        <f>SUMIFS(G2417:G6462,K2417:K6462,"0",B2417:B6462,"5 1 1 3 2 12 31111 6 M59 95000 000139 0000L 00001 00132 015 2111100 2024*")</f>
        <v>0</v>
      </c>
      <c r="H2416" s="83">
        <f t="shared" si="38"/>
        <v>9607.4500000000007</v>
      </c>
      <c r="I2416" s="83"/>
      <c r="K2416" s="54" t="s">
        <v>15</v>
      </c>
    </row>
    <row r="2417" spans="2:11" ht="41.25" x14ac:dyDescent="0.2">
      <c r="B2417" s="82" t="s">
        <v>4682</v>
      </c>
      <c r="C2417" s="82" t="s">
        <v>1056</v>
      </c>
      <c r="D2417" s="83">
        <f>SUMIFS(D2418:D6462,K2418:K6462,"0",B2418:B6462,"5 1 1 3 2 12 31111 6 M59 95000 000139 0000L 00001 00132 015 2111100 2024 CP1AJ437*")-SUMIFS(E2418:E6462,K2418:K6462,"0",B2418:B6462,"5 1 1 3 2 12 31111 6 M59 95000 000139 0000L 00001 00132 015 2111100 2024 CP1AJ437*")</f>
        <v>0</v>
      </c>
      <c r="E2417" s="54"/>
      <c r="F2417" s="83">
        <f>SUMIFS(F2418:F6462,K2418:K6462,"0",B2418:B6462,"5 1 1 3 2 12 31111 6 M59 95000 000139 0000L 00001 00132 015 2111100 2024 CP1AJ437*")</f>
        <v>9607.4500000000007</v>
      </c>
      <c r="G2417" s="83">
        <f>SUMIFS(G2418:G6462,K2418:K6462,"0",B2418:B6462,"5 1 1 3 2 12 31111 6 M59 95000 000139 0000L 00001 00132 015 2111100 2024 CP1AJ437*")</f>
        <v>0</v>
      </c>
      <c r="H2417" s="83">
        <f t="shared" si="38"/>
        <v>9607.4500000000007</v>
      </c>
      <c r="I2417" s="83"/>
      <c r="K2417" s="54" t="s">
        <v>15</v>
      </c>
    </row>
    <row r="2418" spans="2:11" ht="41.25" x14ac:dyDescent="0.2">
      <c r="B2418" s="82" t="s">
        <v>4683</v>
      </c>
      <c r="C2418" s="82" t="s">
        <v>282</v>
      </c>
      <c r="D2418" s="83">
        <f>SUMIFS(D2419:D6462,K2419:K6462,"0",B2419:B6462,"5 1 1 3 2 12 31111 6 M59 95000 000139 0000L 00001 00132 015 2111100 2024 CP1AJ437 001*")-SUMIFS(E2419:E6462,K2419:K6462,"0",B2419:B6462,"5 1 1 3 2 12 31111 6 M59 95000 000139 0000L 00001 00132 015 2111100 2024 CP1AJ437 001*")</f>
        <v>0</v>
      </c>
      <c r="E2418" s="54"/>
      <c r="F2418" s="83">
        <f>SUMIFS(F2419:F6462,K2419:K6462,"0",B2419:B6462,"5 1 1 3 2 12 31111 6 M59 95000 000139 0000L 00001 00132 015 2111100 2024 CP1AJ437 001*")</f>
        <v>9607.4500000000007</v>
      </c>
      <c r="G2418" s="83">
        <f>SUMIFS(G2419:G6462,K2419:K6462,"0",B2419:B6462,"5 1 1 3 2 12 31111 6 M59 95000 000139 0000L 00001 00132 015 2111100 2024 CP1AJ437 001*")</f>
        <v>0</v>
      </c>
      <c r="H2418" s="83">
        <f t="shared" si="38"/>
        <v>9607.4500000000007</v>
      </c>
      <c r="I2418" s="83"/>
      <c r="K2418" s="54" t="s">
        <v>15</v>
      </c>
    </row>
    <row r="2419" spans="2:11" ht="33" x14ac:dyDescent="0.2">
      <c r="B2419" s="84" t="s">
        <v>4684</v>
      </c>
      <c r="C2419" s="84" t="s">
        <v>1519</v>
      </c>
      <c r="D2419" s="85">
        <v>0</v>
      </c>
      <c r="E2419" s="85"/>
      <c r="F2419" s="85">
        <v>9607.4500000000007</v>
      </c>
      <c r="G2419" s="85">
        <v>0</v>
      </c>
      <c r="H2419" s="85">
        <f t="shared" si="38"/>
        <v>9607.4500000000007</v>
      </c>
      <c r="I2419" s="85"/>
      <c r="K2419" s="54" t="s">
        <v>38</v>
      </c>
    </row>
    <row r="2420" spans="2:11" ht="16.5" x14ac:dyDescent="0.2">
      <c r="B2420" s="82" t="s">
        <v>4685</v>
      </c>
      <c r="C2420" s="82" t="s">
        <v>3681</v>
      </c>
      <c r="D2420" s="83">
        <f>SUMIFS(D2421:D6462,K2421:K6462,"0",B2421:B6462,"5 1 1 3 2 12 31111 6 M59 96000*")-SUMIFS(E2421:E6462,K2421:K6462,"0",B2421:B6462,"5 1 1 3 2 12 31111 6 M59 96000*")</f>
        <v>0</v>
      </c>
      <c r="E2420" s="54"/>
      <c r="F2420" s="83">
        <f>SUMIFS(F2421:F6462,K2421:K6462,"0",B2421:B6462,"5 1 1 3 2 12 31111 6 M59 96000*")</f>
        <v>6934.51</v>
      </c>
      <c r="G2420" s="83">
        <f>SUMIFS(G2421:G6462,K2421:K6462,"0",B2421:B6462,"5 1 1 3 2 12 31111 6 M59 96000*")</f>
        <v>0</v>
      </c>
      <c r="H2420" s="83">
        <f t="shared" si="38"/>
        <v>6934.51</v>
      </c>
      <c r="I2420" s="83"/>
      <c r="K2420" s="54" t="s">
        <v>15</v>
      </c>
    </row>
    <row r="2421" spans="2:11" ht="16.5" x14ac:dyDescent="0.2">
      <c r="B2421" s="82" t="s">
        <v>4686</v>
      </c>
      <c r="C2421" s="82" t="s">
        <v>648</v>
      </c>
      <c r="D2421" s="83">
        <f>SUMIFS(D2422:D6462,K2422:K6462,"0",B2422:B6462,"5 1 1 3 2 12 31111 6 M59 96000 000132*")-SUMIFS(E2422:E6462,K2422:K6462,"0",B2422:B6462,"5 1 1 3 2 12 31111 6 M59 96000 000132*")</f>
        <v>0</v>
      </c>
      <c r="E2421" s="54"/>
      <c r="F2421" s="83">
        <f>SUMIFS(F2422:F6462,K2422:K6462,"0",B2422:B6462,"5 1 1 3 2 12 31111 6 M59 96000 000132*")</f>
        <v>6934.51</v>
      </c>
      <c r="G2421" s="83">
        <f>SUMIFS(G2422:G6462,K2422:K6462,"0",B2422:B6462,"5 1 1 3 2 12 31111 6 M59 96000 000132*")</f>
        <v>0</v>
      </c>
      <c r="H2421" s="83">
        <f t="shared" si="38"/>
        <v>6934.51</v>
      </c>
      <c r="I2421" s="83"/>
      <c r="K2421" s="54" t="s">
        <v>15</v>
      </c>
    </row>
    <row r="2422" spans="2:11" ht="24.75" x14ac:dyDescent="0.2">
      <c r="B2422" s="82" t="s">
        <v>4687</v>
      </c>
      <c r="C2422" s="82" t="s">
        <v>650</v>
      </c>
      <c r="D2422" s="83">
        <f>SUMIFS(D2423:D6462,K2423:K6462,"0",B2423:B6462,"5 1 1 3 2 12 31111 6 M59 96000 000132 0000R*")-SUMIFS(E2423:E6462,K2423:K6462,"0",B2423:B6462,"5 1 1 3 2 12 31111 6 M59 96000 000132 0000R*")</f>
        <v>0</v>
      </c>
      <c r="E2422" s="54"/>
      <c r="F2422" s="83">
        <f>SUMIFS(F2423:F6462,K2423:K6462,"0",B2423:B6462,"5 1 1 3 2 12 31111 6 M59 96000 000132 0000R*")</f>
        <v>6934.51</v>
      </c>
      <c r="G2422" s="83">
        <f>SUMIFS(G2423:G6462,K2423:K6462,"0",B2423:B6462,"5 1 1 3 2 12 31111 6 M59 96000 000132 0000R*")</f>
        <v>0</v>
      </c>
      <c r="H2422" s="83">
        <f t="shared" si="38"/>
        <v>6934.51</v>
      </c>
      <c r="I2422" s="83"/>
      <c r="K2422" s="54" t="s">
        <v>15</v>
      </c>
    </row>
    <row r="2423" spans="2:11" ht="24.75" x14ac:dyDescent="0.2">
      <c r="B2423" s="82" t="s">
        <v>4688</v>
      </c>
      <c r="C2423" s="82" t="s">
        <v>282</v>
      </c>
      <c r="D2423" s="83">
        <f>SUMIFS(D2424:D6462,K2424:K6462,"0",B2424:B6462,"5 1 1 3 2 12 31111 6 M59 96000 000132 0000R 00001*")-SUMIFS(E2424:E6462,K2424:K6462,"0",B2424:B6462,"5 1 1 3 2 12 31111 6 M59 96000 000132 0000R 00001*")</f>
        <v>0</v>
      </c>
      <c r="E2423" s="54"/>
      <c r="F2423" s="83">
        <f>SUMIFS(F2424:F6462,K2424:K6462,"0",B2424:B6462,"5 1 1 3 2 12 31111 6 M59 96000 000132 0000R 00001*")</f>
        <v>6934.51</v>
      </c>
      <c r="G2423" s="83">
        <f>SUMIFS(G2424:G6462,K2424:K6462,"0",B2424:B6462,"5 1 1 3 2 12 31111 6 M59 96000 000132 0000R 00001*")</f>
        <v>0</v>
      </c>
      <c r="H2423" s="83">
        <f t="shared" si="38"/>
        <v>6934.51</v>
      </c>
      <c r="I2423" s="83"/>
      <c r="K2423" s="54" t="s">
        <v>15</v>
      </c>
    </row>
    <row r="2424" spans="2:11" ht="24.75" x14ac:dyDescent="0.2">
      <c r="B2424" s="82" t="s">
        <v>4689</v>
      </c>
      <c r="C2424" s="82" t="s">
        <v>4041</v>
      </c>
      <c r="D2424" s="83">
        <f>SUMIFS(D2425:D6462,K2425:K6462,"0",B2425:B6462,"5 1 1 3 2 12 31111 6 M59 96000 000132 0000R 00001 00132*")-SUMIFS(E2425:E6462,K2425:K6462,"0",B2425:B6462,"5 1 1 3 2 12 31111 6 M59 96000 000132 0000R 00001 00132*")</f>
        <v>0</v>
      </c>
      <c r="E2424" s="54"/>
      <c r="F2424" s="83">
        <f>SUMIFS(F2425:F6462,K2425:K6462,"0",B2425:B6462,"5 1 1 3 2 12 31111 6 M59 96000 000132 0000R 00001 00132*")</f>
        <v>6934.51</v>
      </c>
      <c r="G2424" s="83">
        <f>SUMIFS(G2425:G6462,K2425:K6462,"0",B2425:B6462,"5 1 1 3 2 12 31111 6 M59 96000 000132 0000R 00001 00132*")</f>
        <v>0</v>
      </c>
      <c r="H2424" s="83">
        <f t="shared" si="38"/>
        <v>6934.51</v>
      </c>
      <c r="I2424" s="83"/>
      <c r="K2424" s="54" t="s">
        <v>15</v>
      </c>
    </row>
    <row r="2425" spans="2:11" ht="33" x14ac:dyDescent="0.2">
      <c r="B2425" s="82" t="s">
        <v>4690</v>
      </c>
      <c r="C2425" s="82" t="s">
        <v>1051</v>
      </c>
      <c r="D2425" s="83">
        <f>SUMIFS(D2426:D6462,K2426:K6462,"0",B2426:B6462,"5 1 1 3 2 12 31111 6 M59 96000 000132 0000R 00001 00132 015*")-SUMIFS(E2426:E6462,K2426:K6462,"0",B2426:B6462,"5 1 1 3 2 12 31111 6 M59 96000 000132 0000R 00001 00132 015*")</f>
        <v>0</v>
      </c>
      <c r="E2425" s="54"/>
      <c r="F2425" s="83">
        <f>SUMIFS(F2426:F6462,K2426:K6462,"0",B2426:B6462,"5 1 1 3 2 12 31111 6 M59 96000 000132 0000R 00001 00132 015*")</f>
        <v>6934.51</v>
      </c>
      <c r="G2425" s="83">
        <f>SUMIFS(G2426:G6462,K2426:K6462,"0",B2426:B6462,"5 1 1 3 2 12 31111 6 M59 96000 000132 0000R 00001 00132 015*")</f>
        <v>0</v>
      </c>
      <c r="H2425" s="83">
        <f t="shared" si="38"/>
        <v>6934.51</v>
      </c>
      <c r="I2425" s="83"/>
      <c r="K2425" s="54" t="s">
        <v>15</v>
      </c>
    </row>
    <row r="2426" spans="2:11" ht="33" x14ac:dyDescent="0.2">
      <c r="B2426" s="82" t="s">
        <v>4691</v>
      </c>
      <c r="C2426" s="82" t="s">
        <v>2927</v>
      </c>
      <c r="D2426" s="83">
        <f>SUMIFS(D2427:D6462,K2427:K6462,"0",B2427:B6462,"5 1 1 3 2 12 31111 6 M59 96000 000132 0000R 00001 00132 015 2111100*")-SUMIFS(E2427:E6462,K2427:K6462,"0",B2427:B6462,"5 1 1 3 2 12 31111 6 M59 96000 000132 0000R 00001 00132 015 2111100*")</f>
        <v>0</v>
      </c>
      <c r="E2426" s="54"/>
      <c r="F2426" s="83">
        <f>SUMIFS(F2427:F6462,K2427:K6462,"0",B2427:B6462,"5 1 1 3 2 12 31111 6 M59 96000 000132 0000R 00001 00132 015 2111100*")</f>
        <v>6934.51</v>
      </c>
      <c r="G2426" s="83">
        <f>SUMIFS(G2427:G6462,K2427:K6462,"0",B2427:B6462,"5 1 1 3 2 12 31111 6 M59 96000 000132 0000R 00001 00132 015 2111100*")</f>
        <v>0</v>
      </c>
      <c r="H2426" s="83">
        <f t="shared" si="38"/>
        <v>6934.51</v>
      </c>
      <c r="I2426" s="83"/>
      <c r="K2426" s="54" t="s">
        <v>15</v>
      </c>
    </row>
    <row r="2427" spans="2:11" ht="33" x14ac:dyDescent="0.2">
      <c r="B2427" s="82" t="s">
        <v>4692</v>
      </c>
      <c r="C2427" s="82" t="s">
        <v>660</v>
      </c>
      <c r="D2427" s="83">
        <f>SUMIFS(D2428:D6462,K2428:K6462,"0",B2428:B6462,"5 1 1 3 2 12 31111 6 M59 96000 000132 0000R 00001 00132 015 2111100 2024*")-SUMIFS(E2428:E6462,K2428:K6462,"0",B2428:B6462,"5 1 1 3 2 12 31111 6 M59 96000 000132 0000R 00001 00132 015 2111100 2024*")</f>
        <v>0</v>
      </c>
      <c r="E2427" s="54"/>
      <c r="F2427" s="83">
        <f>SUMIFS(F2428:F6462,K2428:K6462,"0",B2428:B6462,"5 1 1 3 2 12 31111 6 M59 96000 000132 0000R 00001 00132 015 2111100 2024*")</f>
        <v>6934.51</v>
      </c>
      <c r="G2427" s="83">
        <f>SUMIFS(G2428:G6462,K2428:K6462,"0",B2428:B6462,"5 1 1 3 2 12 31111 6 M59 96000 000132 0000R 00001 00132 015 2111100 2024*")</f>
        <v>0</v>
      </c>
      <c r="H2427" s="83">
        <f t="shared" si="38"/>
        <v>6934.51</v>
      </c>
      <c r="I2427" s="83"/>
      <c r="K2427" s="54" t="s">
        <v>15</v>
      </c>
    </row>
    <row r="2428" spans="2:11" ht="41.25" x14ac:dyDescent="0.2">
      <c r="B2428" s="82" t="s">
        <v>4693</v>
      </c>
      <c r="C2428" s="82" t="s">
        <v>662</v>
      </c>
      <c r="D2428" s="83">
        <f>SUMIFS(D2429:D6462,K2429:K6462,"0",B2429:B6462,"5 1 1 3 2 12 31111 6 M59 96000 000132 0000R 00001 00132 015 2111100 2024 CP1PA379*")-SUMIFS(E2429:E6462,K2429:K6462,"0",B2429:B6462,"5 1 1 3 2 12 31111 6 M59 96000 000132 0000R 00001 00132 015 2111100 2024 CP1PA379*")</f>
        <v>0</v>
      </c>
      <c r="E2428" s="54"/>
      <c r="F2428" s="83">
        <f>SUMIFS(F2429:F6462,K2429:K6462,"0",B2429:B6462,"5 1 1 3 2 12 31111 6 M59 96000 000132 0000R 00001 00132 015 2111100 2024 CP1PA379*")</f>
        <v>6934.51</v>
      </c>
      <c r="G2428" s="83">
        <f>SUMIFS(G2429:G6462,K2429:K6462,"0",B2429:B6462,"5 1 1 3 2 12 31111 6 M59 96000 000132 0000R 00001 00132 015 2111100 2024 CP1PA379*")</f>
        <v>0</v>
      </c>
      <c r="H2428" s="83">
        <f t="shared" si="38"/>
        <v>6934.51</v>
      </c>
      <c r="I2428" s="83"/>
      <c r="K2428" s="54" t="s">
        <v>15</v>
      </c>
    </row>
    <row r="2429" spans="2:11" ht="41.25" x14ac:dyDescent="0.2">
      <c r="B2429" s="82" t="s">
        <v>4694</v>
      </c>
      <c r="C2429" s="82" t="s">
        <v>282</v>
      </c>
      <c r="D2429" s="83">
        <f>SUMIFS(D2430:D6462,K2430:K6462,"0",B2430:B6462,"5 1 1 3 2 12 31111 6 M59 96000 000132 0000R 00001 00132 015 2111100 2024 CP1PA379 001*")-SUMIFS(E2430:E6462,K2430:K6462,"0",B2430:B6462,"5 1 1 3 2 12 31111 6 M59 96000 000132 0000R 00001 00132 015 2111100 2024 CP1PA379 001*")</f>
        <v>0</v>
      </c>
      <c r="E2429" s="54"/>
      <c r="F2429" s="83">
        <f>SUMIFS(F2430:F6462,K2430:K6462,"0",B2430:B6462,"5 1 1 3 2 12 31111 6 M59 96000 000132 0000R 00001 00132 015 2111100 2024 CP1PA379 001*")</f>
        <v>6934.51</v>
      </c>
      <c r="G2429" s="83">
        <f>SUMIFS(G2430:G6462,K2430:K6462,"0",B2430:B6462,"5 1 1 3 2 12 31111 6 M59 96000 000132 0000R 00001 00132 015 2111100 2024 CP1PA379 001*")</f>
        <v>0</v>
      </c>
      <c r="H2429" s="83">
        <f t="shared" si="38"/>
        <v>6934.51</v>
      </c>
      <c r="I2429" s="83"/>
      <c r="K2429" s="54" t="s">
        <v>15</v>
      </c>
    </row>
    <row r="2430" spans="2:11" ht="41.25" x14ac:dyDescent="0.2">
      <c r="B2430" s="84" t="s">
        <v>4695</v>
      </c>
      <c r="C2430" s="84" t="s">
        <v>1519</v>
      </c>
      <c r="D2430" s="85">
        <v>0</v>
      </c>
      <c r="E2430" s="85"/>
      <c r="F2430" s="85">
        <v>6934.51</v>
      </c>
      <c r="G2430" s="85">
        <v>0</v>
      </c>
      <c r="H2430" s="85">
        <f t="shared" si="38"/>
        <v>6934.51</v>
      </c>
      <c r="I2430" s="85"/>
      <c r="K2430" s="54" t="s">
        <v>38</v>
      </c>
    </row>
    <row r="2431" spans="2:11" ht="16.5" x14ac:dyDescent="0.2">
      <c r="B2431" s="82" t="s">
        <v>4696</v>
      </c>
      <c r="C2431" s="82" t="s">
        <v>3693</v>
      </c>
      <c r="D2431" s="83">
        <f>SUMIFS(D2432:D6462,K2432:K6462,"0",B2432:B6462,"5 1 1 3 2 12 31111 6 M59 96100*")-SUMIFS(E2432:E6462,K2432:K6462,"0",B2432:B6462,"5 1 1 3 2 12 31111 6 M59 96100*")</f>
        <v>0</v>
      </c>
      <c r="E2431" s="54"/>
      <c r="F2431" s="83">
        <f>SUMIFS(F2432:F6462,K2432:K6462,"0",B2432:B6462,"5 1 1 3 2 12 31111 6 M59 96100*")</f>
        <v>55820.5</v>
      </c>
      <c r="G2431" s="83">
        <f>SUMIFS(G2432:G6462,K2432:K6462,"0",B2432:B6462,"5 1 1 3 2 12 31111 6 M59 96100*")</f>
        <v>0</v>
      </c>
      <c r="H2431" s="83">
        <f t="shared" si="38"/>
        <v>55820.5</v>
      </c>
      <c r="I2431" s="83"/>
      <c r="K2431" s="54" t="s">
        <v>15</v>
      </c>
    </row>
    <row r="2432" spans="2:11" ht="16.5" x14ac:dyDescent="0.2">
      <c r="B2432" s="82" t="s">
        <v>4697</v>
      </c>
      <c r="C2432" s="82" t="s">
        <v>1310</v>
      </c>
      <c r="D2432" s="83">
        <f>SUMIFS(D2433:D6462,K2433:K6462,"0",B2433:B6462,"5 1 1 3 2 12 31111 6 M59 96100 000211*")-SUMIFS(E2433:E6462,K2433:K6462,"0",B2433:B6462,"5 1 1 3 2 12 31111 6 M59 96100 000211*")</f>
        <v>0</v>
      </c>
      <c r="E2432" s="54"/>
      <c r="F2432" s="83">
        <f>SUMIFS(F2433:F6462,K2433:K6462,"0",B2433:B6462,"5 1 1 3 2 12 31111 6 M59 96100 000211*")</f>
        <v>55820.5</v>
      </c>
      <c r="G2432" s="83">
        <f>SUMIFS(G2433:G6462,K2433:K6462,"0",B2433:B6462,"5 1 1 3 2 12 31111 6 M59 96100 000211*")</f>
        <v>0</v>
      </c>
      <c r="H2432" s="83">
        <f t="shared" si="38"/>
        <v>55820.5</v>
      </c>
      <c r="I2432" s="83"/>
      <c r="K2432" s="54" t="s">
        <v>15</v>
      </c>
    </row>
    <row r="2433" spans="2:11" ht="24.75" x14ac:dyDescent="0.2">
      <c r="B2433" s="82" t="s">
        <v>4698</v>
      </c>
      <c r="C2433" s="82" t="s">
        <v>3696</v>
      </c>
      <c r="D2433" s="83">
        <f>SUMIFS(D2434:D6462,K2434:K6462,"0",B2434:B6462,"5 1 1 3 2 12 31111 6 M59 96100 000211 0000U*")-SUMIFS(E2434:E6462,K2434:K6462,"0",B2434:B6462,"5 1 1 3 2 12 31111 6 M59 96100 000211 0000U*")</f>
        <v>0</v>
      </c>
      <c r="E2433" s="54"/>
      <c r="F2433" s="83">
        <f>SUMIFS(F2434:F6462,K2434:K6462,"0",B2434:B6462,"5 1 1 3 2 12 31111 6 M59 96100 000211 0000U*")</f>
        <v>55820.5</v>
      </c>
      <c r="G2433" s="83">
        <f>SUMIFS(G2434:G6462,K2434:K6462,"0",B2434:B6462,"5 1 1 3 2 12 31111 6 M59 96100 000211 0000U*")</f>
        <v>0</v>
      </c>
      <c r="H2433" s="83">
        <f t="shared" si="38"/>
        <v>55820.5</v>
      </c>
      <c r="I2433" s="83"/>
      <c r="K2433" s="54" t="s">
        <v>15</v>
      </c>
    </row>
    <row r="2434" spans="2:11" ht="24.75" x14ac:dyDescent="0.2">
      <c r="B2434" s="82" t="s">
        <v>4699</v>
      </c>
      <c r="C2434" s="82" t="s">
        <v>282</v>
      </c>
      <c r="D2434" s="83">
        <f>SUMIFS(D2435:D6462,K2435:K6462,"0",B2435:B6462,"5 1 1 3 2 12 31111 6 M59 96100 000211 0000U 00001*")-SUMIFS(E2435:E6462,K2435:K6462,"0",B2435:B6462,"5 1 1 3 2 12 31111 6 M59 96100 000211 0000U 00001*")</f>
        <v>0</v>
      </c>
      <c r="E2434" s="54"/>
      <c r="F2434" s="83">
        <f>SUMIFS(F2435:F6462,K2435:K6462,"0",B2435:B6462,"5 1 1 3 2 12 31111 6 M59 96100 000211 0000U 00001*")</f>
        <v>55820.5</v>
      </c>
      <c r="G2434" s="83">
        <f>SUMIFS(G2435:G6462,K2435:K6462,"0",B2435:B6462,"5 1 1 3 2 12 31111 6 M59 96100 000211 0000U 00001*")</f>
        <v>0</v>
      </c>
      <c r="H2434" s="83">
        <f t="shared" si="38"/>
        <v>55820.5</v>
      </c>
      <c r="I2434" s="83"/>
      <c r="K2434" s="54" t="s">
        <v>15</v>
      </c>
    </row>
    <row r="2435" spans="2:11" ht="24.75" x14ac:dyDescent="0.2">
      <c r="B2435" s="82" t="s">
        <v>4700</v>
      </c>
      <c r="C2435" s="82" t="s">
        <v>4041</v>
      </c>
      <c r="D2435" s="83">
        <f>SUMIFS(D2436:D6462,K2436:K6462,"0",B2436:B6462,"5 1 1 3 2 12 31111 6 M59 96100 000211 0000U 00001 00132*")-SUMIFS(E2436:E6462,K2436:K6462,"0",B2436:B6462,"5 1 1 3 2 12 31111 6 M59 96100 000211 0000U 00001 00132*")</f>
        <v>0</v>
      </c>
      <c r="E2435" s="54"/>
      <c r="F2435" s="83">
        <f>SUMIFS(F2436:F6462,K2436:K6462,"0",B2436:B6462,"5 1 1 3 2 12 31111 6 M59 96100 000211 0000U 00001 00132*")</f>
        <v>55820.5</v>
      </c>
      <c r="G2435" s="83">
        <f>SUMIFS(G2436:G6462,K2436:K6462,"0",B2436:B6462,"5 1 1 3 2 12 31111 6 M59 96100 000211 0000U 00001 00132*")</f>
        <v>0</v>
      </c>
      <c r="H2435" s="83">
        <f t="shared" si="38"/>
        <v>55820.5</v>
      </c>
      <c r="I2435" s="83"/>
      <c r="K2435" s="54" t="s">
        <v>15</v>
      </c>
    </row>
    <row r="2436" spans="2:11" ht="33" x14ac:dyDescent="0.2">
      <c r="B2436" s="82" t="s">
        <v>4701</v>
      </c>
      <c r="C2436" s="82" t="s">
        <v>1051</v>
      </c>
      <c r="D2436" s="83">
        <f>SUMIFS(D2437:D6462,K2437:K6462,"0",B2437:B6462,"5 1 1 3 2 12 31111 6 M59 96100 000211 0000U 00001 00132 015*")-SUMIFS(E2437:E6462,K2437:K6462,"0",B2437:B6462,"5 1 1 3 2 12 31111 6 M59 96100 000211 0000U 00001 00132 015*")</f>
        <v>0</v>
      </c>
      <c r="E2436" s="54"/>
      <c r="F2436" s="83">
        <f>SUMIFS(F2437:F6462,K2437:K6462,"0",B2437:B6462,"5 1 1 3 2 12 31111 6 M59 96100 000211 0000U 00001 00132 015*")</f>
        <v>55820.5</v>
      </c>
      <c r="G2436" s="83">
        <f>SUMIFS(G2437:G6462,K2437:K6462,"0",B2437:B6462,"5 1 1 3 2 12 31111 6 M59 96100 000211 0000U 00001 00132 015*")</f>
        <v>0</v>
      </c>
      <c r="H2436" s="83">
        <f t="shared" si="38"/>
        <v>55820.5</v>
      </c>
      <c r="I2436" s="83"/>
      <c r="K2436" s="54" t="s">
        <v>15</v>
      </c>
    </row>
    <row r="2437" spans="2:11" ht="33" x14ac:dyDescent="0.2">
      <c r="B2437" s="82" t="s">
        <v>4702</v>
      </c>
      <c r="C2437" s="82" t="s">
        <v>2927</v>
      </c>
      <c r="D2437" s="83">
        <f>SUMIFS(D2438:D6462,K2438:K6462,"0",B2438:B6462,"5 1 1 3 2 12 31111 6 M59 96100 000211 0000U 00001 00132 015 2111100*")-SUMIFS(E2438:E6462,K2438:K6462,"0",B2438:B6462,"5 1 1 3 2 12 31111 6 M59 96100 000211 0000U 00001 00132 015 2111100*")</f>
        <v>0</v>
      </c>
      <c r="E2437" s="54"/>
      <c r="F2437" s="83">
        <f>SUMIFS(F2438:F6462,K2438:K6462,"0",B2438:B6462,"5 1 1 3 2 12 31111 6 M59 96100 000211 0000U 00001 00132 015 2111100*")</f>
        <v>55820.5</v>
      </c>
      <c r="G2437" s="83">
        <f>SUMIFS(G2438:G6462,K2438:K6462,"0",B2438:B6462,"5 1 1 3 2 12 31111 6 M59 96100 000211 0000U 00001 00132 015 2111100*")</f>
        <v>0</v>
      </c>
      <c r="H2437" s="83">
        <f t="shared" si="38"/>
        <v>55820.5</v>
      </c>
      <c r="I2437" s="83"/>
      <c r="K2437" s="54" t="s">
        <v>15</v>
      </c>
    </row>
    <row r="2438" spans="2:11" ht="33" x14ac:dyDescent="0.2">
      <c r="B2438" s="82" t="s">
        <v>4703</v>
      </c>
      <c r="C2438" s="82" t="s">
        <v>660</v>
      </c>
      <c r="D2438" s="83">
        <f>SUMIFS(D2439:D6462,K2439:K6462,"0",B2439:B6462,"5 1 1 3 2 12 31111 6 M59 96100 000211 0000U 00001 00132 015 2111100 2024*")-SUMIFS(E2439:E6462,K2439:K6462,"0",B2439:B6462,"5 1 1 3 2 12 31111 6 M59 96100 000211 0000U 00001 00132 015 2111100 2024*")</f>
        <v>0</v>
      </c>
      <c r="E2438" s="54"/>
      <c r="F2438" s="83">
        <f>SUMIFS(F2439:F6462,K2439:K6462,"0",B2439:B6462,"5 1 1 3 2 12 31111 6 M59 96100 000211 0000U 00001 00132 015 2111100 2024*")</f>
        <v>55820.5</v>
      </c>
      <c r="G2438" s="83">
        <f>SUMIFS(G2439:G6462,K2439:K6462,"0",B2439:B6462,"5 1 1 3 2 12 31111 6 M59 96100 000211 0000U 00001 00132 015 2111100 2024*")</f>
        <v>0</v>
      </c>
      <c r="H2438" s="83">
        <f t="shared" si="38"/>
        <v>55820.5</v>
      </c>
      <c r="I2438" s="83"/>
      <c r="K2438" s="54" t="s">
        <v>15</v>
      </c>
    </row>
    <row r="2439" spans="2:11" ht="41.25" x14ac:dyDescent="0.2">
      <c r="B2439" s="82" t="s">
        <v>4704</v>
      </c>
      <c r="C2439" s="82" t="s">
        <v>1056</v>
      </c>
      <c r="D2439" s="83">
        <f>SUMIFS(D2440:D6462,K2440:K6462,"0",B2440:B6462,"5 1 1 3 2 12 31111 6 M59 96100 000211 0000U 00001 00132 015 2111100 2024 CP1IU412*")-SUMIFS(E2440:E6462,K2440:K6462,"0",B2440:B6462,"5 1 1 3 2 12 31111 6 M59 96100 000211 0000U 00001 00132 015 2111100 2024 CP1IU412*")</f>
        <v>0</v>
      </c>
      <c r="E2439" s="54"/>
      <c r="F2439" s="83">
        <f>SUMIFS(F2440:F6462,K2440:K6462,"0",B2440:B6462,"5 1 1 3 2 12 31111 6 M59 96100 000211 0000U 00001 00132 015 2111100 2024 CP1IU412*")</f>
        <v>55820.5</v>
      </c>
      <c r="G2439" s="83">
        <f>SUMIFS(G2440:G6462,K2440:K6462,"0",B2440:B6462,"5 1 1 3 2 12 31111 6 M59 96100 000211 0000U 00001 00132 015 2111100 2024 CP1IU412*")</f>
        <v>0</v>
      </c>
      <c r="H2439" s="83">
        <f t="shared" si="38"/>
        <v>55820.5</v>
      </c>
      <c r="I2439" s="83"/>
      <c r="K2439" s="54" t="s">
        <v>15</v>
      </c>
    </row>
    <row r="2440" spans="2:11" ht="41.25" x14ac:dyDescent="0.2">
      <c r="B2440" s="82" t="s">
        <v>4705</v>
      </c>
      <c r="C2440" s="82" t="s">
        <v>282</v>
      </c>
      <c r="D2440" s="83">
        <f>SUMIFS(D2441:D6462,K2441:K6462,"0",B2441:B6462,"5 1 1 3 2 12 31111 6 M59 96100 000211 0000U 00001 00132 015 2111100 2024 CP1IU412 001*")-SUMIFS(E2441:E6462,K2441:K6462,"0",B2441:B6462,"5 1 1 3 2 12 31111 6 M59 96100 000211 0000U 00001 00132 015 2111100 2024 CP1IU412 001*")</f>
        <v>0</v>
      </c>
      <c r="E2440" s="54"/>
      <c r="F2440" s="83">
        <f>SUMIFS(F2441:F6462,K2441:K6462,"0",B2441:B6462,"5 1 1 3 2 12 31111 6 M59 96100 000211 0000U 00001 00132 015 2111100 2024 CP1IU412 001*")</f>
        <v>55820.5</v>
      </c>
      <c r="G2440" s="83">
        <f>SUMIFS(G2441:G6462,K2441:K6462,"0",B2441:B6462,"5 1 1 3 2 12 31111 6 M59 96100 000211 0000U 00001 00132 015 2111100 2024 CP1IU412 001*")</f>
        <v>0</v>
      </c>
      <c r="H2440" s="83">
        <f t="shared" si="38"/>
        <v>55820.5</v>
      </c>
      <c r="I2440" s="83"/>
      <c r="K2440" s="54" t="s">
        <v>15</v>
      </c>
    </row>
    <row r="2441" spans="2:11" ht="33" x14ac:dyDescent="0.2">
      <c r="B2441" s="84" t="s">
        <v>4706</v>
      </c>
      <c r="C2441" s="84" t="s">
        <v>1519</v>
      </c>
      <c r="D2441" s="85">
        <v>0</v>
      </c>
      <c r="E2441" s="85"/>
      <c r="F2441" s="85">
        <v>47290.39</v>
      </c>
      <c r="G2441" s="85">
        <v>0</v>
      </c>
      <c r="H2441" s="85">
        <f t="shared" si="38"/>
        <v>47290.39</v>
      </c>
      <c r="I2441" s="85"/>
      <c r="K2441" s="54" t="s">
        <v>38</v>
      </c>
    </row>
    <row r="2442" spans="2:11" ht="33" x14ac:dyDescent="0.2">
      <c r="B2442" s="84" t="s">
        <v>4707</v>
      </c>
      <c r="C2442" s="84" t="s">
        <v>4435</v>
      </c>
      <c r="D2442" s="85">
        <v>0</v>
      </c>
      <c r="E2442" s="85"/>
      <c r="F2442" s="85">
        <v>8530.11</v>
      </c>
      <c r="G2442" s="85">
        <v>0</v>
      </c>
      <c r="H2442" s="85">
        <f t="shared" si="38"/>
        <v>8530.11</v>
      </c>
      <c r="I2442" s="85"/>
      <c r="K2442" s="54" t="s">
        <v>38</v>
      </c>
    </row>
    <row r="2443" spans="2:11" ht="16.5" x14ac:dyDescent="0.2">
      <c r="B2443" s="82" t="s">
        <v>4708</v>
      </c>
      <c r="C2443" s="82" t="s">
        <v>3706</v>
      </c>
      <c r="D2443" s="83">
        <f>SUMIFS(D2444:D6462,K2444:K6462,"0",B2444:B6462,"5 1 1 3 2 12 31111 6 M59 96200*")-SUMIFS(E2444:E6462,K2444:K6462,"0",B2444:B6462,"5 1 1 3 2 12 31111 6 M59 96200*")</f>
        <v>0</v>
      </c>
      <c r="E2443" s="54"/>
      <c r="F2443" s="83">
        <f>SUMIFS(F2444:F6462,K2444:K6462,"0",B2444:B6462,"5 1 1 3 2 12 31111 6 M59 96200*")</f>
        <v>13637.29</v>
      </c>
      <c r="G2443" s="83">
        <f>SUMIFS(G2444:G6462,K2444:K6462,"0",B2444:B6462,"5 1 1 3 2 12 31111 6 M59 96200*")</f>
        <v>0</v>
      </c>
      <c r="H2443" s="83">
        <f t="shared" si="38"/>
        <v>13637.29</v>
      </c>
      <c r="I2443" s="83"/>
      <c r="K2443" s="54" t="s">
        <v>15</v>
      </c>
    </row>
    <row r="2444" spans="2:11" ht="16.5" x14ac:dyDescent="0.2">
      <c r="B2444" s="82" t="s">
        <v>4709</v>
      </c>
      <c r="C2444" s="82" t="s">
        <v>648</v>
      </c>
      <c r="D2444" s="83">
        <f>SUMIFS(D2445:D6462,K2445:K6462,"0",B2445:B6462,"5 1 1 3 2 12 31111 6 M59 96200 000132*")-SUMIFS(E2445:E6462,K2445:K6462,"0",B2445:B6462,"5 1 1 3 2 12 31111 6 M59 96200 000132*")</f>
        <v>0</v>
      </c>
      <c r="E2444" s="54"/>
      <c r="F2444" s="83">
        <f>SUMIFS(F2445:F6462,K2445:K6462,"0",B2445:B6462,"5 1 1 3 2 12 31111 6 M59 96200 000132*")</f>
        <v>13637.29</v>
      </c>
      <c r="G2444" s="83">
        <f>SUMIFS(G2445:G6462,K2445:K6462,"0",B2445:B6462,"5 1 1 3 2 12 31111 6 M59 96200 000132*")</f>
        <v>0</v>
      </c>
      <c r="H2444" s="83">
        <f t="shared" si="38"/>
        <v>13637.29</v>
      </c>
      <c r="I2444" s="83"/>
      <c r="K2444" s="54" t="s">
        <v>15</v>
      </c>
    </row>
    <row r="2445" spans="2:11" ht="24.75" x14ac:dyDescent="0.2">
      <c r="B2445" s="82" t="s">
        <v>4710</v>
      </c>
      <c r="C2445" s="82" t="s">
        <v>650</v>
      </c>
      <c r="D2445" s="83">
        <f>SUMIFS(D2446:D6462,K2446:K6462,"0",B2446:B6462,"5 1 1 3 2 12 31111 6 M59 96200 000132 0000R*")-SUMIFS(E2446:E6462,K2446:K6462,"0",B2446:B6462,"5 1 1 3 2 12 31111 6 M59 96200 000132 0000R*")</f>
        <v>0</v>
      </c>
      <c r="E2445" s="54"/>
      <c r="F2445" s="83">
        <f>SUMIFS(F2446:F6462,K2446:K6462,"0",B2446:B6462,"5 1 1 3 2 12 31111 6 M59 96200 000132 0000R*")</f>
        <v>13637.29</v>
      </c>
      <c r="G2445" s="83">
        <f>SUMIFS(G2446:G6462,K2446:K6462,"0",B2446:B6462,"5 1 1 3 2 12 31111 6 M59 96200 000132 0000R*")</f>
        <v>0</v>
      </c>
      <c r="H2445" s="83">
        <f t="shared" si="38"/>
        <v>13637.29</v>
      </c>
      <c r="I2445" s="83"/>
      <c r="K2445" s="54" t="s">
        <v>15</v>
      </c>
    </row>
    <row r="2446" spans="2:11" ht="24.75" x14ac:dyDescent="0.2">
      <c r="B2446" s="82" t="s">
        <v>4711</v>
      </c>
      <c r="C2446" s="82" t="s">
        <v>282</v>
      </c>
      <c r="D2446" s="83">
        <f>SUMIFS(D2447:D6462,K2447:K6462,"0",B2447:B6462,"5 1 1 3 2 12 31111 6 M59 96200 000132 0000R 00001*")-SUMIFS(E2447:E6462,K2447:K6462,"0",B2447:B6462,"5 1 1 3 2 12 31111 6 M59 96200 000132 0000R 00001*")</f>
        <v>0</v>
      </c>
      <c r="E2446" s="54"/>
      <c r="F2446" s="83">
        <f>SUMIFS(F2447:F6462,K2447:K6462,"0",B2447:B6462,"5 1 1 3 2 12 31111 6 M59 96200 000132 0000R 00001*")</f>
        <v>13637.29</v>
      </c>
      <c r="G2446" s="83">
        <f>SUMIFS(G2447:G6462,K2447:K6462,"0",B2447:B6462,"5 1 1 3 2 12 31111 6 M59 96200 000132 0000R 00001*")</f>
        <v>0</v>
      </c>
      <c r="H2446" s="83">
        <f t="shared" si="38"/>
        <v>13637.29</v>
      </c>
      <c r="I2446" s="83"/>
      <c r="K2446" s="54" t="s">
        <v>15</v>
      </c>
    </row>
    <row r="2447" spans="2:11" ht="24.75" x14ac:dyDescent="0.2">
      <c r="B2447" s="82" t="s">
        <v>4712</v>
      </c>
      <c r="C2447" s="82" t="s">
        <v>4041</v>
      </c>
      <c r="D2447" s="83">
        <f>SUMIFS(D2448:D6462,K2448:K6462,"0",B2448:B6462,"5 1 1 3 2 12 31111 6 M59 96200 000132 0000R 00001 00132*")-SUMIFS(E2448:E6462,K2448:K6462,"0",B2448:B6462,"5 1 1 3 2 12 31111 6 M59 96200 000132 0000R 00001 00132*")</f>
        <v>0</v>
      </c>
      <c r="E2447" s="54"/>
      <c r="F2447" s="83">
        <f>SUMIFS(F2448:F6462,K2448:K6462,"0",B2448:B6462,"5 1 1 3 2 12 31111 6 M59 96200 000132 0000R 00001 00132*")</f>
        <v>13637.29</v>
      </c>
      <c r="G2447" s="83">
        <f>SUMIFS(G2448:G6462,K2448:K6462,"0",B2448:B6462,"5 1 1 3 2 12 31111 6 M59 96200 000132 0000R 00001 00132*")</f>
        <v>0</v>
      </c>
      <c r="H2447" s="83">
        <f t="shared" si="38"/>
        <v>13637.29</v>
      </c>
      <c r="I2447" s="83"/>
      <c r="K2447" s="54" t="s">
        <v>15</v>
      </c>
    </row>
    <row r="2448" spans="2:11" ht="33" x14ac:dyDescent="0.2">
      <c r="B2448" s="82" t="s">
        <v>4713</v>
      </c>
      <c r="C2448" s="82" t="s">
        <v>1051</v>
      </c>
      <c r="D2448" s="83">
        <f>SUMIFS(D2449:D6462,K2449:K6462,"0",B2449:B6462,"5 1 1 3 2 12 31111 6 M59 96200 000132 0000R 00001 00132 015*")-SUMIFS(E2449:E6462,K2449:K6462,"0",B2449:B6462,"5 1 1 3 2 12 31111 6 M59 96200 000132 0000R 00001 00132 015*")</f>
        <v>0</v>
      </c>
      <c r="E2448" s="54"/>
      <c r="F2448" s="83">
        <f>SUMIFS(F2449:F6462,K2449:K6462,"0",B2449:B6462,"5 1 1 3 2 12 31111 6 M59 96200 000132 0000R 00001 00132 015*")</f>
        <v>13637.29</v>
      </c>
      <c r="G2448" s="83">
        <f>SUMIFS(G2449:G6462,K2449:K6462,"0",B2449:B6462,"5 1 1 3 2 12 31111 6 M59 96200 000132 0000R 00001 00132 015*")</f>
        <v>0</v>
      </c>
      <c r="H2448" s="83">
        <f t="shared" si="38"/>
        <v>13637.29</v>
      </c>
      <c r="I2448" s="83"/>
      <c r="K2448" s="54" t="s">
        <v>15</v>
      </c>
    </row>
    <row r="2449" spans="2:11" ht="33" x14ac:dyDescent="0.2">
      <c r="B2449" s="82" t="s">
        <v>4714</v>
      </c>
      <c r="C2449" s="82" t="s">
        <v>2927</v>
      </c>
      <c r="D2449" s="83">
        <f>SUMIFS(D2450:D6462,K2450:K6462,"0",B2450:B6462,"5 1 1 3 2 12 31111 6 M59 96200 000132 0000R 00001 00132 015 2111100*")-SUMIFS(E2450:E6462,K2450:K6462,"0",B2450:B6462,"5 1 1 3 2 12 31111 6 M59 96200 000132 0000R 00001 00132 015 2111100*")</f>
        <v>0</v>
      </c>
      <c r="E2449" s="54"/>
      <c r="F2449" s="83">
        <f>SUMIFS(F2450:F6462,K2450:K6462,"0",B2450:B6462,"5 1 1 3 2 12 31111 6 M59 96200 000132 0000R 00001 00132 015 2111100*")</f>
        <v>13637.29</v>
      </c>
      <c r="G2449" s="83">
        <f>SUMIFS(G2450:G6462,K2450:K6462,"0",B2450:B6462,"5 1 1 3 2 12 31111 6 M59 96200 000132 0000R 00001 00132 015 2111100*")</f>
        <v>0</v>
      </c>
      <c r="H2449" s="83">
        <f t="shared" si="38"/>
        <v>13637.29</v>
      </c>
      <c r="I2449" s="83"/>
      <c r="K2449" s="54" t="s">
        <v>15</v>
      </c>
    </row>
    <row r="2450" spans="2:11" ht="33" x14ac:dyDescent="0.2">
      <c r="B2450" s="82" t="s">
        <v>4715</v>
      </c>
      <c r="C2450" s="82" t="s">
        <v>660</v>
      </c>
      <c r="D2450" s="83">
        <f>SUMIFS(D2451:D6462,K2451:K6462,"0",B2451:B6462,"5 1 1 3 2 12 31111 6 M59 96200 000132 0000R 00001 00132 015 2111100 2024*")-SUMIFS(E2451:E6462,K2451:K6462,"0",B2451:B6462,"5 1 1 3 2 12 31111 6 M59 96200 000132 0000R 00001 00132 015 2111100 2024*")</f>
        <v>0</v>
      </c>
      <c r="E2450" s="54"/>
      <c r="F2450" s="83">
        <f>SUMIFS(F2451:F6462,K2451:K6462,"0",B2451:B6462,"5 1 1 3 2 12 31111 6 M59 96200 000132 0000R 00001 00132 015 2111100 2024*")</f>
        <v>13637.29</v>
      </c>
      <c r="G2450" s="83">
        <f>SUMIFS(G2451:G6462,K2451:K6462,"0",B2451:B6462,"5 1 1 3 2 12 31111 6 M59 96200 000132 0000R 00001 00132 015 2111100 2024*")</f>
        <v>0</v>
      </c>
      <c r="H2450" s="83">
        <f t="shared" si="38"/>
        <v>13637.29</v>
      </c>
      <c r="I2450" s="83"/>
      <c r="K2450" s="54" t="s">
        <v>15</v>
      </c>
    </row>
    <row r="2451" spans="2:11" ht="41.25" x14ac:dyDescent="0.2">
      <c r="B2451" s="82" t="s">
        <v>4716</v>
      </c>
      <c r="C2451" s="82" t="s">
        <v>662</v>
      </c>
      <c r="D2451" s="83">
        <f>SUMIFS(D2452:D6462,K2452:K6462,"0",B2452:B6462,"5 1 1 3 2 12 31111 6 M59 96200 000132 0000R 00001 00132 015 2111100 2024 CP1AL423*")-SUMIFS(E2452:E6462,K2452:K6462,"0",B2452:B6462,"5 1 1 3 2 12 31111 6 M59 96200 000132 0000R 00001 00132 015 2111100 2024 CP1AL423*")</f>
        <v>0</v>
      </c>
      <c r="E2451" s="54"/>
      <c r="F2451" s="83">
        <f>SUMIFS(F2452:F6462,K2452:K6462,"0",B2452:B6462,"5 1 1 3 2 12 31111 6 M59 96200 000132 0000R 00001 00132 015 2111100 2024 CP1AL423*")</f>
        <v>13637.29</v>
      </c>
      <c r="G2451" s="83">
        <f>SUMIFS(G2452:G6462,K2452:K6462,"0",B2452:B6462,"5 1 1 3 2 12 31111 6 M59 96200 000132 0000R 00001 00132 015 2111100 2024 CP1AL423*")</f>
        <v>0</v>
      </c>
      <c r="H2451" s="83">
        <f t="shared" si="38"/>
        <v>13637.29</v>
      </c>
      <c r="I2451" s="83"/>
      <c r="K2451" s="54" t="s">
        <v>15</v>
      </c>
    </row>
    <row r="2452" spans="2:11" ht="41.25" x14ac:dyDescent="0.2">
      <c r="B2452" s="82" t="s">
        <v>4717</v>
      </c>
      <c r="C2452" s="82" t="s">
        <v>282</v>
      </c>
      <c r="D2452" s="83">
        <f>SUMIFS(D2453:D6462,K2453:K6462,"0",B2453:B6462,"5 1 1 3 2 12 31111 6 M59 96200 000132 0000R 00001 00132 015 2111100 2024 CP1AL423 001*")-SUMIFS(E2453:E6462,K2453:K6462,"0",B2453:B6462,"5 1 1 3 2 12 31111 6 M59 96200 000132 0000R 00001 00132 015 2111100 2024 CP1AL423 001*")</f>
        <v>0</v>
      </c>
      <c r="E2452" s="54"/>
      <c r="F2452" s="83">
        <f>SUMIFS(F2453:F6462,K2453:K6462,"0",B2453:B6462,"5 1 1 3 2 12 31111 6 M59 96200 000132 0000R 00001 00132 015 2111100 2024 CP1AL423 001*")</f>
        <v>13637.29</v>
      </c>
      <c r="G2452" s="83">
        <f>SUMIFS(G2453:G6462,K2453:K6462,"0",B2453:B6462,"5 1 1 3 2 12 31111 6 M59 96200 000132 0000R 00001 00132 015 2111100 2024 CP1AL423 001*")</f>
        <v>0</v>
      </c>
      <c r="H2452" s="83">
        <f t="shared" si="38"/>
        <v>13637.29</v>
      </c>
      <c r="I2452" s="83"/>
      <c r="K2452" s="54" t="s">
        <v>15</v>
      </c>
    </row>
    <row r="2453" spans="2:11" ht="41.25" x14ac:dyDescent="0.2">
      <c r="B2453" s="84" t="s">
        <v>4718</v>
      </c>
      <c r="C2453" s="84" t="s">
        <v>1519</v>
      </c>
      <c r="D2453" s="85">
        <v>0</v>
      </c>
      <c r="E2453" s="85"/>
      <c r="F2453" s="85">
        <v>13637.29</v>
      </c>
      <c r="G2453" s="85">
        <v>0</v>
      </c>
      <c r="H2453" s="85">
        <f t="shared" si="38"/>
        <v>13637.29</v>
      </c>
      <c r="I2453" s="85"/>
      <c r="K2453" s="54" t="s">
        <v>38</v>
      </c>
    </row>
    <row r="2454" spans="2:11" ht="16.5" x14ac:dyDescent="0.2">
      <c r="B2454" s="82" t="s">
        <v>4719</v>
      </c>
      <c r="C2454" s="82" t="s">
        <v>1308</v>
      </c>
      <c r="D2454" s="83">
        <f>SUMIFS(D2455:D6462,K2455:K6462,"0",B2455:B6462,"5 1 1 3 2 12 31111 6 M59 96300*")-SUMIFS(E2455:E6462,K2455:K6462,"0",B2455:B6462,"5 1 1 3 2 12 31111 6 M59 96300*")</f>
        <v>0</v>
      </c>
      <c r="E2454" s="54"/>
      <c r="F2454" s="83">
        <f>SUMIFS(F2455:F6462,K2455:K6462,"0",B2455:B6462,"5 1 1 3 2 12 31111 6 M59 96300*")</f>
        <v>100815.06</v>
      </c>
      <c r="G2454" s="83">
        <f>SUMIFS(G2455:G6462,K2455:K6462,"0",B2455:B6462,"5 1 1 3 2 12 31111 6 M59 96300*")</f>
        <v>0</v>
      </c>
      <c r="H2454" s="83">
        <f t="shared" si="38"/>
        <v>100815.06</v>
      </c>
      <c r="I2454" s="83"/>
      <c r="K2454" s="54" t="s">
        <v>15</v>
      </c>
    </row>
    <row r="2455" spans="2:11" ht="16.5" x14ac:dyDescent="0.2">
      <c r="B2455" s="82" t="s">
        <v>4720</v>
      </c>
      <c r="C2455" s="82" t="s">
        <v>1310</v>
      </c>
      <c r="D2455" s="83">
        <f>SUMIFS(D2456:D6462,K2456:K6462,"0",B2456:B6462,"5 1 1 3 2 12 31111 6 M59 96300 000211*")-SUMIFS(E2456:E6462,K2456:K6462,"0",B2456:B6462,"5 1 1 3 2 12 31111 6 M59 96300 000211*")</f>
        <v>0</v>
      </c>
      <c r="E2455" s="54"/>
      <c r="F2455" s="83">
        <f>SUMIFS(F2456:F6462,K2456:K6462,"0",B2456:B6462,"5 1 1 3 2 12 31111 6 M59 96300 000211*")</f>
        <v>100815.06</v>
      </c>
      <c r="G2455" s="83">
        <f>SUMIFS(G2456:G6462,K2456:K6462,"0",B2456:B6462,"5 1 1 3 2 12 31111 6 M59 96300 000211*")</f>
        <v>0</v>
      </c>
      <c r="H2455" s="83">
        <f t="shared" si="38"/>
        <v>100815.06</v>
      </c>
      <c r="I2455" s="83"/>
      <c r="K2455" s="54" t="s">
        <v>15</v>
      </c>
    </row>
    <row r="2456" spans="2:11" ht="24.75" x14ac:dyDescent="0.2">
      <c r="B2456" s="82" t="s">
        <v>4721</v>
      </c>
      <c r="C2456" s="82" t="s">
        <v>1065</v>
      </c>
      <c r="D2456" s="83">
        <f>SUMIFS(D2457:D6462,K2457:K6462,"0",B2457:B6462,"5 1 1 3 2 12 31111 6 M59 96300 000211 0000E*")-SUMIFS(E2457:E6462,K2457:K6462,"0",B2457:B6462,"5 1 1 3 2 12 31111 6 M59 96300 000211 0000E*")</f>
        <v>0</v>
      </c>
      <c r="E2456" s="54"/>
      <c r="F2456" s="83">
        <f>SUMIFS(F2457:F6462,K2457:K6462,"0",B2457:B6462,"5 1 1 3 2 12 31111 6 M59 96300 000211 0000E*")</f>
        <v>100815.06</v>
      </c>
      <c r="G2456" s="83">
        <f>SUMIFS(G2457:G6462,K2457:K6462,"0",B2457:B6462,"5 1 1 3 2 12 31111 6 M59 96300 000211 0000E*")</f>
        <v>0</v>
      </c>
      <c r="H2456" s="83">
        <f t="shared" si="38"/>
        <v>100815.06</v>
      </c>
      <c r="I2456" s="83"/>
      <c r="K2456" s="54" t="s">
        <v>15</v>
      </c>
    </row>
    <row r="2457" spans="2:11" ht="24.75" x14ac:dyDescent="0.2">
      <c r="B2457" s="82" t="s">
        <v>4722</v>
      </c>
      <c r="C2457" s="82" t="s">
        <v>282</v>
      </c>
      <c r="D2457" s="83">
        <f>SUMIFS(D2458:D6462,K2458:K6462,"0",B2458:B6462,"5 1 1 3 2 12 31111 6 M59 96300 000211 0000E 00001*")-SUMIFS(E2458:E6462,K2458:K6462,"0",B2458:B6462,"5 1 1 3 2 12 31111 6 M59 96300 000211 0000E 00001*")</f>
        <v>0</v>
      </c>
      <c r="E2457" s="54"/>
      <c r="F2457" s="83">
        <f>SUMIFS(F2458:F6462,K2458:K6462,"0",B2458:B6462,"5 1 1 3 2 12 31111 6 M59 96300 000211 0000E 00001*")</f>
        <v>100815.06</v>
      </c>
      <c r="G2457" s="83">
        <f>SUMIFS(G2458:G6462,K2458:K6462,"0",B2458:B6462,"5 1 1 3 2 12 31111 6 M59 96300 000211 0000E 00001*")</f>
        <v>0</v>
      </c>
      <c r="H2457" s="83">
        <f t="shared" si="38"/>
        <v>100815.06</v>
      </c>
      <c r="I2457" s="83"/>
      <c r="K2457" s="54" t="s">
        <v>15</v>
      </c>
    </row>
    <row r="2458" spans="2:11" ht="24.75" x14ac:dyDescent="0.2">
      <c r="B2458" s="82" t="s">
        <v>4723</v>
      </c>
      <c r="C2458" s="82" t="s">
        <v>4041</v>
      </c>
      <c r="D2458" s="83">
        <f>SUMIFS(D2459:D6462,K2459:K6462,"0",B2459:B6462,"5 1 1 3 2 12 31111 6 M59 96300 000211 0000E 00001 00132*")-SUMIFS(E2459:E6462,K2459:K6462,"0",B2459:B6462,"5 1 1 3 2 12 31111 6 M59 96300 000211 0000E 00001 00132*")</f>
        <v>0</v>
      </c>
      <c r="E2458" s="54"/>
      <c r="F2458" s="83">
        <f>SUMIFS(F2459:F6462,K2459:K6462,"0",B2459:B6462,"5 1 1 3 2 12 31111 6 M59 96300 000211 0000E 00001 00132*")</f>
        <v>100815.06</v>
      </c>
      <c r="G2458" s="83">
        <f>SUMIFS(G2459:G6462,K2459:K6462,"0",B2459:B6462,"5 1 1 3 2 12 31111 6 M59 96300 000211 0000E 00001 00132*")</f>
        <v>0</v>
      </c>
      <c r="H2458" s="83">
        <f t="shared" si="38"/>
        <v>100815.06</v>
      </c>
      <c r="I2458" s="83"/>
      <c r="K2458" s="54" t="s">
        <v>15</v>
      </c>
    </row>
    <row r="2459" spans="2:11" ht="33" x14ac:dyDescent="0.2">
      <c r="B2459" s="82" t="s">
        <v>4724</v>
      </c>
      <c r="C2459" s="82" t="s">
        <v>1051</v>
      </c>
      <c r="D2459" s="83">
        <f>SUMIFS(D2460:D6462,K2460:K6462,"0",B2460:B6462,"5 1 1 3 2 12 31111 6 M59 96300 000211 0000E 00001 00132 015*")-SUMIFS(E2460:E6462,K2460:K6462,"0",B2460:B6462,"5 1 1 3 2 12 31111 6 M59 96300 000211 0000E 00001 00132 015*")</f>
        <v>0</v>
      </c>
      <c r="E2459" s="54"/>
      <c r="F2459" s="83">
        <f>SUMIFS(F2460:F6462,K2460:K6462,"0",B2460:B6462,"5 1 1 3 2 12 31111 6 M59 96300 000211 0000E 00001 00132 015*")</f>
        <v>100815.06</v>
      </c>
      <c r="G2459" s="83">
        <f>SUMIFS(G2460:G6462,K2460:K6462,"0",B2460:B6462,"5 1 1 3 2 12 31111 6 M59 96300 000211 0000E 00001 00132 015*")</f>
        <v>0</v>
      </c>
      <c r="H2459" s="83">
        <f t="shared" si="38"/>
        <v>100815.06</v>
      </c>
      <c r="I2459" s="83"/>
      <c r="K2459" s="54" t="s">
        <v>15</v>
      </c>
    </row>
    <row r="2460" spans="2:11" ht="33" x14ac:dyDescent="0.2">
      <c r="B2460" s="82" t="s">
        <v>4725</v>
      </c>
      <c r="C2460" s="82" t="s">
        <v>2927</v>
      </c>
      <c r="D2460" s="83">
        <f>SUMIFS(D2461:D6462,K2461:K6462,"0",B2461:B6462,"5 1 1 3 2 12 31111 6 M59 96300 000211 0000E 00001 00132 015 2111100*")-SUMIFS(E2461:E6462,K2461:K6462,"0",B2461:B6462,"5 1 1 3 2 12 31111 6 M59 96300 000211 0000E 00001 00132 015 2111100*")</f>
        <v>0</v>
      </c>
      <c r="E2460" s="54"/>
      <c r="F2460" s="83">
        <f>SUMIFS(F2461:F6462,K2461:K6462,"0",B2461:B6462,"5 1 1 3 2 12 31111 6 M59 96300 000211 0000E 00001 00132 015 2111100*")</f>
        <v>100815.06</v>
      </c>
      <c r="G2460" s="83">
        <f>SUMIFS(G2461:G6462,K2461:K6462,"0",B2461:B6462,"5 1 1 3 2 12 31111 6 M59 96300 000211 0000E 00001 00132 015 2111100*")</f>
        <v>0</v>
      </c>
      <c r="H2460" s="83">
        <f t="shared" si="38"/>
        <v>100815.06</v>
      </c>
      <c r="I2460" s="83"/>
      <c r="K2460" s="54" t="s">
        <v>15</v>
      </c>
    </row>
    <row r="2461" spans="2:11" ht="33" x14ac:dyDescent="0.2">
      <c r="B2461" s="82" t="s">
        <v>4726</v>
      </c>
      <c r="C2461" s="82" t="s">
        <v>660</v>
      </c>
      <c r="D2461" s="83">
        <f>SUMIFS(D2462:D6462,K2462:K6462,"0",B2462:B6462,"5 1 1 3 2 12 31111 6 M59 96300 000211 0000E 00001 00132 015 2111100 2024*")-SUMIFS(E2462:E6462,K2462:K6462,"0",B2462:B6462,"5 1 1 3 2 12 31111 6 M59 96300 000211 0000E 00001 00132 015 2111100 2024*")</f>
        <v>0</v>
      </c>
      <c r="E2461" s="54"/>
      <c r="F2461" s="83">
        <f>SUMIFS(F2462:F6462,K2462:K6462,"0",B2462:B6462,"5 1 1 3 2 12 31111 6 M59 96300 000211 0000E 00001 00132 015 2111100 2024*")</f>
        <v>100815.06</v>
      </c>
      <c r="G2461" s="83">
        <f>SUMIFS(G2462:G6462,K2462:K6462,"0",B2462:B6462,"5 1 1 3 2 12 31111 6 M59 96300 000211 0000E 00001 00132 015 2111100 2024*")</f>
        <v>0</v>
      </c>
      <c r="H2461" s="83">
        <f t="shared" si="38"/>
        <v>100815.06</v>
      </c>
      <c r="I2461" s="83"/>
      <c r="K2461" s="54" t="s">
        <v>15</v>
      </c>
    </row>
    <row r="2462" spans="2:11" ht="41.25" x14ac:dyDescent="0.2">
      <c r="B2462" s="82" t="s">
        <v>4727</v>
      </c>
      <c r="C2462" s="82" t="s">
        <v>1056</v>
      </c>
      <c r="D2462" s="83">
        <f>SUMIFS(D2463:D6462,K2463:K6462,"0",B2463:B6462,"5 1 1 3 2 12 31111 6 M59 96300 000211 0000E 00001 00132 015 2111100 2024 CP1SB396*")-SUMIFS(E2463:E6462,K2463:K6462,"0",B2463:B6462,"5 1 1 3 2 12 31111 6 M59 96300 000211 0000E 00001 00132 015 2111100 2024 CP1SB396*")</f>
        <v>0</v>
      </c>
      <c r="E2462" s="54"/>
      <c r="F2462" s="83">
        <f>SUMIFS(F2463:F6462,K2463:K6462,"0",B2463:B6462,"5 1 1 3 2 12 31111 6 M59 96300 000211 0000E 00001 00132 015 2111100 2024 CP1SB396*")</f>
        <v>100815.06</v>
      </c>
      <c r="G2462" s="83">
        <f>SUMIFS(G2463:G6462,K2463:K6462,"0",B2463:B6462,"5 1 1 3 2 12 31111 6 M59 96300 000211 0000E 00001 00132 015 2111100 2024 CP1SB396*")</f>
        <v>0</v>
      </c>
      <c r="H2462" s="83">
        <f t="shared" si="38"/>
        <v>100815.06</v>
      </c>
      <c r="I2462" s="83"/>
      <c r="K2462" s="54" t="s">
        <v>15</v>
      </c>
    </row>
    <row r="2463" spans="2:11" ht="41.25" x14ac:dyDescent="0.2">
      <c r="B2463" s="82" t="s">
        <v>4728</v>
      </c>
      <c r="C2463" s="82" t="s">
        <v>282</v>
      </c>
      <c r="D2463" s="83">
        <f>SUMIFS(D2464:D6462,K2464:K6462,"0",B2464:B6462,"5 1 1 3 2 12 31111 6 M59 96300 000211 0000E 00001 00132 015 2111100 2024 CP1SB396 001*")-SUMIFS(E2464:E6462,K2464:K6462,"0",B2464:B6462,"5 1 1 3 2 12 31111 6 M59 96300 000211 0000E 00001 00132 015 2111100 2024 CP1SB396 001*")</f>
        <v>0</v>
      </c>
      <c r="E2463" s="54"/>
      <c r="F2463" s="83">
        <f>SUMIFS(F2464:F6462,K2464:K6462,"0",B2464:B6462,"5 1 1 3 2 12 31111 6 M59 96300 000211 0000E 00001 00132 015 2111100 2024 CP1SB396 001*")</f>
        <v>100815.06</v>
      </c>
      <c r="G2463" s="83">
        <f>SUMIFS(G2464:G6462,K2464:K6462,"0",B2464:B6462,"5 1 1 3 2 12 31111 6 M59 96300 000211 0000E 00001 00132 015 2111100 2024 CP1SB396 001*")</f>
        <v>0</v>
      </c>
      <c r="H2463" s="83">
        <f t="shared" si="38"/>
        <v>100815.06</v>
      </c>
      <c r="I2463" s="83"/>
      <c r="K2463" s="54" t="s">
        <v>15</v>
      </c>
    </row>
    <row r="2464" spans="2:11" ht="33" x14ac:dyDescent="0.2">
      <c r="B2464" s="84" t="s">
        <v>4729</v>
      </c>
      <c r="C2464" s="84" t="s">
        <v>1519</v>
      </c>
      <c r="D2464" s="85">
        <v>0</v>
      </c>
      <c r="E2464" s="85"/>
      <c r="F2464" s="85">
        <v>94732.160000000003</v>
      </c>
      <c r="G2464" s="85">
        <v>0</v>
      </c>
      <c r="H2464" s="85">
        <f t="shared" si="38"/>
        <v>94732.160000000003</v>
      </c>
      <c r="I2464" s="85"/>
      <c r="K2464" s="54" t="s">
        <v>38</v>
      </c>
    </row>
    <row r="2465" spans="2:11" ht="33" x14ac:dyDescent="0.2">
      <c r="B2465" s="84" t="s">
        <v>4730</v>
      </c>
      <c r="C2465" s="84" t="s">
        <v>4435</v>
      </c>
      <c r="D2465" s="85">
        <v>0</v>
      </c>
      <c r="E2465" s="85"/>
      <c r="F2465" s="85">
        <v>6082.9</v>
      </c>
      <c r="G2465" s="85">
        <v>0</v>
      </c>
      <c r="H2465" s="85">
        <f t="shared" si="38"/>
        <v>6082.9</v>
      </c>
      <c r="I2465" s="85"/>
      <c r="K2465" s="54" t="s">
        <v>38</v>
      </c>
    </row>
    <row r="2466" spans="2:11" ht="16.5" x14ac:dyDescent="0.2">
      <c r="B2466" s="82" t="s">
        <v>4731</v>
      </c>
      <c r="C2466" s="82" t="s">
        <v>3729</v>
      </c>
      <c r="D2466" s="83">
        <f>SUMIFS(D2467:D6462,K2467:K6462,"0",B2467:B6462,"5 1 1 3 2 12 31111 6 M59 97000*")-SUMIFS(E2467:E6462,K2467:K6462,"0",B2467:B6462,"5 1 1 3 2 12 31111 6 M59 97000*")</f>
        <v>0</v>
      </c>
      <c r="E2466" s="54"/>
      <c r="F2466" s="83">
        <f>SUMIFS(F2467:F6462,K2467:K6462,"0",B2467:B6462,"5 1 1 3 2 12 31111 6 M59 97000*")</f>
        <v>10447.93</v>
      </c>
      <c r="G2466" s="83">
        <f>SUMIFS(G2467:G6462,K2467:K6462,"0",B2467:B6462,"5 1 1 3 2 12 31111 6 M59 97000*")</f>
        <v>0</v>
      </c>
      <c r="H2466" s="83">
        <f t="shared" si="38"/>
        <v>10447.93</v>
      </c>
      <c r="I2466" s="83"/>
      <c r="K2466" s="54" t="s">
        <v>15</v>
      </c>
    </row>
    <row r="2467" spans="2:11" ht="16.5" x14ac:dyDescent="0.2">
      <c r="B2467" s="82" t="s">
        <v>4732</v>
      </c>
      <c r="C2467" s="82" t="s">
        <v>648</v>
      </c>
      <c r="D2467" s="83">
        <f>SUMIFS(D2468:D6462,K2468:K6462,"0",B2468:B6462,"5 1 1 3 2 12 31111 6 M59 97000 000132*")-SUMIFS(E2468:E6462,K2468:K6462,"0",B2468:B6462,"5 1 1 3 2 12 31111 6 M59 97000 000132*")</f>
        <v>0</v>
      </c>
      <c r="E2467" s="54"/>
      <c r="F2467" s="83">
        <f>SUMIFS(F2468:F6462,K2468:K6462,"0",B2468:B6462,"5 1 1 3 2 12 31111 6 M59 97000 000132*")</f>
        <v>10447.93</v>
      </c>
      <c r="G2467" s="83">
        <f>SUMIFS(G2468:G6462,K2468:K6462,"0",B2468:B6462,"5 1 1 3 2 12 31111 6 M59 97000 000132*")</f>
        <v>0</v>
      </c>
      <c r="H2467" s="83">
        <f t="shared" si="38"/>
        <v>10447.93</v>
      </c>
      <c r="I2467" s="83"/>
      <c r="K2467" s="54" t="s">
        <v>15</v>
      </c>
    </row>
    <row r="2468" spans="2:11" ht="24.75" x14ac:dyDescent="0.2">
      <c r="B2468" s="82" t="s">
        <v>4733</v>
      </c>
      <c r="C2468" s="82" t="s">
        <v>650</v>
      </c>
      <c r="D2468" s="83">
        <f>SUMIFS(D2469:D6462,K2469:K6462,"0",B2469:B6462,"5 1 1 3 2 12 31111 6 M59 97000 000132 0000R*")-SUMIFS(E2469:E6462,K2469:K6462,"0",B2469:B6462,"5 1 1 3 2 12 31111 6 M59 97000 000132 0000R*")</f>
        <v>0</v>
      </c>
      <c r="E2468" s="54"/>
      <c r="F2468" s="83">
        <f>SUMIFS(F2469:F6462,K2469:K6462,"0",B2469:B6462,"5 1 1 3 2 12 31111 6 M59 97000 000132 0000R*")</f>
        <v>10447.93</v>
      </c>
      <c r="G2468" s="83">
        <f>SUMIFS(G2469:G6462,K2469:K6462,"0",B2469:B6462,"5 1 1 3 2 12 31111 6 M59 97000 000132 0000R*")</f>
        <v>0</v>
      </c>
      <c r="H2468" s="83">
        <f t="shared" si="38"/>
        <v>10447.93</v>
      </c>
      <c r="I2468" s="83"/>
      <c r="K2468" s="54" t="s">
        <v>15</v>
      </c>
    </row>
    <row r="2469" spans="2:11" ht="24.75" x14ac:dyDescent="0.2">
      <c r="B2469" s="82" t="s">
        <v>4734</v>
      </c>
      <c r="C2469" s="82" t="s">
        <v>282</v>
      </c>
      <c r="D2469" s="83">
        <f>SUMIFS(D2470:D6462,K2470:K6462,"0",B2470:B6462,"5 1 1 3 2 12 31111 6 M59 97000 000132 0000R 00001*")-SUMIFS(E2470:E6462,K2470:K6462,"0",B2470:B6462,"5 1 1 3 2 12 31111 6 M59 97000 000132 0000R 00001*")</f>
        <v>0</v>
      </c>
      <c r="E2469" s="54"/>
      <c r="F2469" s="83">
        <f>SUMIFS(F2470:F6462,K2470:K6462,"0",B2470:B6462,"5 1 1 3 2 12 31111 6 M59 97000 000132 0000R 00001*")</f>
        <v>10447.93</v>
      </c>
      <c r="G2469" s="83">
        <f>SUMIFS(G2470:G6462,K2470:K6462,"0",B2470:B6462,"5 1 1 3 2 12 31111 6 M59 97000 000132 0000R 00001*")</f>
        <v>0</v>
      </c>
      <c r="H2469" s="83">
        <f t="shared" si="38"/>
        <v>10447.93</v>
      </c>
      <c r="I2469" s="83"/>
      <c r="K2469" s="54" t="s">
        <v>15</v>
      </c>
    </row>
    <row r="2470" spans="2:11" ht="24.75" x14ac:dyDescent="0.2">
      <c r="B2470" s="82" t="s">
        <v>4735</v>
      </c>
      <c r="C2470" s="82" t="s">
        <v>4041</v>
      </c>
      <c r="D2470" s="83">
        <f>SUMIFS(D2471:D6462,K2471:K6462,"0",B2471:B6462,"5 1 1 3 2 12 31111 6 M59 97000 000132 0000R 00001 00132*")-SUMIFS(E2471:E6462,K2471:K6462,"0",B2471:B6462,"5 1 1 3 2 12 31111 6 M59 97000 000132 0000R 00001 00132*")</f>
        <v>0</v>
      </c>
      <c r="E2470" s="54"/>
      <c r="F2470" s="83">
        <f>SUMIFS(F2471:F6462,K2471:K6462,"0",B2471:B6462,"5 1 1 3 2 12 31111 6 M59 97000 000132 0000R 00001 00132*")</f>
        <v>10447.93</v>
      </c>
      <c r="G2470" s="83">
        <f>SUMIFS(G2471:G6462,K2471:K6462,"0",B2471:B6462,"5 1 1 3 2 12 31111 6 M59 97000 000132 0000R 00001 00132*")</f>
        <v>0</v>
      </c>
      <c r="H2470" s="83">
        <f t="shared" si="38"/>
        <v>10447.93</v>
      </c>
      <c r="I2470" s="83"/>
      <c r="K2470" s="54" t="s">
        <v>15</v>
      </c>
    </row>
    <row r="2471" spans="2:11" ht="33" x14ac:dyDescent="0.2">
      <c r="B2471" s="82" t="s">
        <v>4736</v>
      </c>
      <c r="C2471" s="82" t="s">
        <v>1051</v>
      </c>
      <c r="D2471" s="83">
        <f>SUMIFS(D2472:D6462,K2472:K6462,"0",B2472:B6462,"5 1 1 3 2 12 31111 6 M59 97000 000132 0000R 00001 00132 015*")-SUMIFS(E2472:E6462,K2472:K6462,"0",B2472:B6462,"5 1 1 3 2 12 31111 6 M59 97000 000132 0000R 00001 00132 015*")</f>
        <v>0</v>
      </c>
      <c r="E2471" s="54"/>
      <c r="F2471" s="83">
        <f>SUMIFS(F2472:F6462,K2472:K6462,"0",B2472:B6462,"5 1 1 3 2 12 31111 6 M59 97000 000132 0000R 00001 00132 015*")</f>
        <v>10447.93</v>
      </c>
      <c r="G2471" s="83">
        <f>SUMIFS(G2472:G6462,K2472:K6462,"0",B2472:B6462,"5 1 1 3 2 12 31111 6 M59 97000 000132 0000R 00001 00132 015*")</f>
        <v>0</v>
      </c>
      <c r="H2471" s="83">
        <f t="shared" si="38"/>
        <v>10447.93</v>
      </c>
      <c r="I2471" s="83"/>
      <c r="K2471" s="54" t="s">
        <v>15</v>
      </c>
    </row>
    <row r="2472" spans="2:11" ht="33" x14ac:dyDescent="0.2">
      <c r="B2472" s="82" t="s">
        <v>4737</v>
      </c>
      <c r="C2472" s="82" t="s">
        <v>2927</v>
      </c>
      <c r="D2472" s="83">
        <f>SUMIFS(D2473:D6462,K2473:K6462,"0",B2473:B6462,"5 1 1 3 2 12 31111 6 M59 97000 000132 0000R 00001 00132 015 2111100*")-SUMIFS(E2473:E6462,K2473:K6462,"0",B2473:B6462,"5 1 1 3 2 12 31111 6 M59 97000 000132 0000R 00001 00132 015 2111100*")</f>
        <v>0</v>
      </c>
      <c r="E2472" s="54"/>
      <c r="F2472" s="83">
        <f>SUMIFS(F2473:F6462,K2473:K6462,"0",B2473:B6462,"5 1 1 3 2 12 31111 6 M59 97000 000132 0000R 00001 00132 015 2111100*")</f>
        <v>10447.93</v>
      </c>
      <c r="G2472" s="83">
        <f>SUMIFS(G2473:G6462,K2473:K6462,"0",B2473:B6462,"5 1 1 3 2 12 31111 6 M59 97000 000132 0000R 00001 00132 015 2111100*")</f>
        <v>0</v>
      </c>
      <c r="H2472" s="83">
        <f t="shared" si="38"/>
        <v>10447.93</v>
      </c>
      <c r="I2472" s="83"/>
      <c r="K2472" s="54" t="s">
        <v>15</v>
      </c>
    </row>
    <row r="2473" spans="2:11" ht="33" x14ac:dyDescent="0.2">
      <c r="B2473" s="82" t="s">
        <v>4738</v>
      </c>
      <c r="C2473" s="82" t="s">
        <v>660</v>
      </c>
      <c r="D2473" s="83">
        <f>SUMIFS(D2474:D6462,K2474:K6462,"0",B2474:B6462,"5 1 1 3 2 12 31111 6 M59 97000 000132 0000R 00001 00132 015 2111100 2024*")-SUMIFS(E2474:E6462,K2474:K6462,"0",B2474:B6462,"5 1 1 3 2 12 31111 6 M59 97000 000132 0000R 00001 00132 015 2111100 2024*")</f>
        <v>0</v>
      </c>
      <c r="E2473" s="54"/>
      <c r="F2473" s="83">
        <f>SUMIFS(F2474:F6462,K2474:K6462,"0",B2474:B6462,"5 1 1 3 2 12 31111 6 M59 97000 000132 0000R 00001 00132 015 2111100 2024*")</f>
        <v>10447.93</v>
      </c>
      <c r="G2473" s="83">
        <f>SUMIFS(G2474:G6462,K2474:K6462,"0",B2474:B6462,"5 1 1 3 2 12 31111 6 M59 97000 000132 0000R 00001 00132 015 2111100 2024*")</f>
        <v>0</v>
      </c>
      <c r="H2473" s="83">
        <f t="shared" si="38"/>
        <v>10447.93</v>
      </c>
      <c r="I2473" s="83"/>
      <c r="K2473" s="54" t="s">
        <v>15</v>
      </c>
    </row>
    <row r="2474" spans="2:11" ht="41.25" x14ac:dyDescent="0.2">
      <c r="B2474" s="82" t="s">
        <v>4739</v>
      </c>
      <c r="C2474" s="82" t="s">
        <v>1056</v>
      </c>
      <c r="D2474" s="83">
        <f>SUMIFS(D2475:D6462,K2475:K6462,"0",B2475:B6462,"5 1 1 3 2 12 31111 6 M59 97000 000132 0000R 00001 00132 015 2111100 2024 CP1SP428*")-SUMIFS(E2475:E6462,K2475:K6462,"0",B2475:B6462,"5 1 1 3 2 12 31111 6 M59 97000 000132 0000R 00001 00132 015 2111100 2024 CP1SP428*")</f>
        <v>0</v>
      </c>
      <c r="E2474" s="54"/>
      <c r="F2474" s="83">
        <f>SUMIFS(F2475:F6462,K2475:K6462,"0",B2475:B6462,"5 1 1 3 2 12 31111 6 M59 97000 000132 0000R 00001 00132 015 2111100 2024 CP1SP428*")</f>
        <v>10447.93</v>
      </c>
      <c r="G2474" s="83">
        <f>SUMIFS(G2475:G6462,K2475:K6462,"0",B2475:B6462,"5 1 1 3 2 12 31111 6 M59 97000 000132 0000R 00001 00132 015 2111100 2024 CP1SP428*")</f>
        <v>0</v>
      </c>
      <c r="H2474" s="83">
        <f t="shared" si="38"/>
        <v>10447.93</v>
      </c>
      <c r="I2474" s="83"/>
      <c r="K2474" s="54" t="s">
        <v>15</v>
      </c>
    </row>
    <row r="2475" spans="2:11" ht="41.25" x14ac:dyDescent="0.2">
      <c r="B2475" s="82" t="s">
        <v>4740</v>
      </c>
      <c r="C2475" s="82" t="s">
        <v>282</v>
      </c>
      <c r="D2475" s="83">
        <f>SUMIFS(D2476:D6462,K2476:K6462,"0",B2476:B6462,"5 1 1 3 2 12 31111 6 M59 97000 000132 0000R 00001 00132 015 2111100 2024 CP1SP428 001*")-SUMIFS(E2476:E6462,K2476:K6462,"0",B2476:B6462,"5 1 1 3 2 12 31111 6 M59 97000 000132 0000R 00001 00132 015 2111100 2024 CP1SP428 001*")</f>
        <v>0</v>
      </c>
      <c r="E2475" s="54"/>
      <c r="F2475" s="83">
        <f>SUMIFS(F2476:F6462,K2476:K6462,"0",B2476:B6462,"5 1 1 3 2 12 31111 6 M59 97000 000132 0000R 00001 00132 015 2111100 2024 CP1SP428 001*")</f>
        <v>10447.93</v>
      </c>
      <c r="G2475" s="83">
        <f>SUMIFS(G2476:G6462,K2476:K6462,"0",B2476:B6462,"5 1 1 3 2 12 31111 6 M59 97000 000132 0000R 00001 00132 015 2111100 2024 CP1SP428 001*")</f>
        <v>0</v>
      </c>
      <c r="H2475" s="83">
        <f t="shared" ref="H2475:H2538" si="39">D2475 + F2475 - G2475</f>
        <v>10447.93</v>
      </c>
      <c r="I2475" s="83"/>
      <c r="K2475" s="54" t="s">
        <v>15</v>
      </c>
    </row>
    <row r="2476" spans="2:11" ht="33" x14ac:dyDescent="0.2">
      <c r="B2476" s="84" t="s">
        <v>4741</v>
      </c>
      <c r="C2476" s="84" t="s">
        <v>1519</v>
      </c>
      <c r="D2476" s="85">
        <v>0</v>
      </c>
      <c r="E2476" s="85"/>
      <c r="F2476" s="85">
        <v>8911.35</v>
      </c>
      <c r="G2476" s="85">
        <v>0</v>
      </c>
      <c r="H2476" s="85">
        <f t="shared" si="39"/>
        <v>8911.35</v>
      </c>
      <c r="I2476" s="85"/>
      <c r="K2476" s="54" t="s">
        <v>38</v>
      </c>
    </row>
    <row r="2477" spans="2:11" ht="33" x14ac:dyDescent="0.2">
      <c r="B2477" s="84" t="s">
        <v>4742</v>
      </c>
      <c r="C2477" s="84" t="s">
        <v>4435</v>
      </c>
      <c r="D2477" s="85">
        <v>0</v>
      </c>
      <c r="E2477" s="85"/>
      <c r="F2477" s="85">
        <v>1536.58</v>
      </c>
      <c r="G2477" s="85">
        <v>0</v>
      </c>
      <c r="H2477" s="85">
        <f t="shared" si="39"/>
        <v>1536.58</v>
      </c>
      <c r="I2477" s="85"/>
      <c r="K2477" s="54" t="s">
        <v>38</v>
      </c>
    </row>
    <row r="2478" spans="2:11" ht="16.5" x14ac:dyDescent="0.2">
      <c r="B2478" s="82" t="s">
        <v>4743</v>
      </c>
      <c r="C2478" s="82" t="s">
        <v>3741</v>
      </c>
      <c r="D2478" s="83">
        <f>SUMIFS(D2479:D6462,K2479:K6462,"0",B2479:B6462,"5 1 1 3 2 12 31111 6 M59 98000*")-SUMIFS(E2479:E6462,K2479:K6462,"0",B2479:B6462,"5 1 1 3 2 12 31111 6 M59 98000*")</f>
        <v>0</v>
      </c>
      <c r="E2478" s="54"/>
      <c r="F2478" s="83">
        <f>SUMIFS(F2479:F6462,K2479:K6462,"0",B2479:B6462,"5 1 1 3 2 12 31111 6 M59 98000*")</f>
        <v>3331.86</v>
      </c>
      <c r="G2478" s="83">
        <f>SUMIFS(G2479:G6462,K2479:K6462,"0",B2479:B6462,"5 1 1 3 2 12 31111 6 M59 98000*")</f>
        <v>0</v>
      </c>
      <c r="H2478" s="83">
        <f t="shared" si="39"/>
        <v>3331.86</v>
      </c>
      <c r="I2478" s="83"/>
      <c r="K2478" s="54" t="s">
        <v>15</v>
      </c>
    </row>
    <row r="2479" spans="2:11" ht="24.75" x14ac:dyDescent="0.2">
      <c r="B2479" s="82" t="s">
        <v>4744</v>
      </c>
      <c r="C2479" s="82" t="s">
        <v>3152</v>
      </c>
      <c r="D2479" s="83">
        <f>SUMIFS(D2480:D6462,K2480:K6462,"0",B2480:B6462,"5 1 1 3 2 12 31111 6 M59 98000 000181*")-SUMIFS(E2480:E6462,K2480:K6462,"0",B2480:B6462,"5 1 1 3 2 12 31111 6 M59 98000 000181*")</f>
        <v>0</v>
      </c>
      <c r="E2479" s="54"/>
      <c r="F2479" s="83">
        <f>SUMIFS(F2480:F6462,K2480:K6462,"0",B2480:B6462,"5 1 1 3 2 12 31111 6 M59 98000 000181*")</f>
        <v>3331.86</v>
      </c>
      <c r="G2479" s="83">
        <f>SUMIFS(G2480:G6462,K2480:K6462,"0",B2480:B6462,"5 1 1 3 2 12 31111 6 M59 98000 000181*")</f>
        <v>0</v>
      </c>
      <c r="H2479" s="83">
        <f t="shared" si="39"/>
        <v>3331.86</v>
      </c>
      <c r="I2479" s="83"/>
      <c r="K2479" s="54" t="s">
        <v>15</v>
      </c>
    </row>
    <row r="2480" spans="2:11" ht="24.75" x14ac:dyDescent="0.2">
      <c r="B2480" s="82" t="s">
        <v>4745</v>
      </c>
      <c r="C2480" s="82" t="s">
        <v>650</v>
      </c>
      <c r="D2480" s="83">
        <f>SUMIFS(D2481:D6462,K2481:K6462,"0",B2481:B6462,"5 1 1 3 2 12 31111 6 M59 98000 000181 0000R*")-SUMIFS(E2481:E6462,K2481:K6462,"0",B2481:B6462,"5 1 1 3 2 12 31111 6 M59 98000 000181 0000R*")</f>
        <v>0</v>
      </c>
      <c r="E2480" s="54"/>
      <c r="F2480" s="83">
        <f>SUMIFS(F2481:F6462,K2481:K6462,"0",B2481:B6462,"5 1 1 3 2 12 31111 6 M59 98000 000181 0000R*")</f>
        <v>3331.86</v>
      </c>
      <c r="G2480" s="83">
        <f>SUMIFS(G2481:G6462,K2481:K6462,"0",B2481:B6462,"5 1 1 3 2 12 31111 6 M59 98000 000181 0000R*")</f>
        <v>0</v>
      </c>
      <c r="H2480" s="83">
        <f t="shared" si="39"/>
        <v>3331.86</v>
      </c>
      <c r="I2480" s="83"/>
      <c r="K2480" s="54" t="s">
        <v>15</v>
      </c>
    </row>
    <row r="2481" spans="2:11" ht="24.75" x14ac:dyDescent="0.2">
      <c r="B2481" s="82" t="s">
        <v>4746</v>
      </c>
      <c r="C2481" s="82" t="s">
        <v>282</v>
      </c>
      <c r="D2481" s="83">
        <f>SUMIFS(D2482:D6462,K2482:K6462,"0",B2482:B6462,"5 1 1 3 2 12 31111 6 M59 98000 000181 0000R 00001*")-SUMIFS(E2482:E6462,K2482:K6462,"0",B2482:B6462,"5 1 1 3 2 12 31111 6 M59 98000 000181 0000R 00001*")</f>
        <v>0</v>
      </c>
      <c r="E2481" s="54"/>
      <c r="F2481" s="83">
        <f>SUMIFS(F2482:F6462,K2482:K6462,"0",B2482:B6462,"5 1 1 3 2 12 31111 6 M59 98000 000181 0000R 00001*")</f>
        <v>3331.86</v>
      </c>
      <c r="G2481" s="83">
        <f>SUMIFS(G2482:G6462,K2482:K6462,"0",B2482:B6462,"5 1 1 3 2 12 31111 6 M59 98000 000181 0000R 00001*")</f>
        <v>0</v>
      </c>
      <c r="H2481" s="83">
        <f t="shared" si="39"/>
        <v>3331.86</v>
      </c>
      <c r="I2481" s="83"/>
      <c r="K2481" s="54" t="s">
        <v>15</v>
      </c>
    </row>
    <row r="2482" spans="2:11" ht="24.75" x14ac:dyDescent="0.2">
      <c r="B2482" s="82" t="s">
        <v>4747</v>
      </c>
      <c r="C2482" s="82" t="s">
        <v>4041</v>
      </c>
      <c r="D2482" s="83">
        <f>SUMIFS(D2483:D6462,K2483:K6462,"0",B2483:B6462,"5 1 1 3 2 12 31111 6 M59 98000 000181 0000R 00001 00132*")-SUMIFS(E2483:E6462,K2483:K6462,"0",B2483:B6462,"5 1 1 3 2 12 31111 6 M59 98000 000181 0000R 00001 00132*")</f>
        <v>0</v>
      </c>
      <c r="E2482" s="54"/>
      <c r="F2482" s="83">
        <f>SUMIFS(F2483:F6462,K2483:K6462,"0",B2483:B6462,"5 1 1 3 2 12 31111 6 M59 98000 000181 0000R 00001 00132*")</f>
        <v>3331.86</v>
      </c>
      <c r="G2482" s="83">
        <f>SUMIFS(G2483:G6462,K2483:K6462,"0",B2483:B6462,"5 1 1 3 2 12 31111 6 M59 98000 000181 0000R 00001 00132*")</f>
        <v>0</v>
      </c>
      <c r="H2482" s="83">
        <f t="shared" si="39"/>
        <v>3331.86</v>
      </c>
      <c r="I2482" s="83"/>
      <c r="K2482" s="54" t="s">
        <v>15</v>
      </c>
    </row>
    <row r="2483" spans="2:11" ht="33" x14ac:dyDescent="0.2">
      <c r="B2483" s="82" t="s">
        <v>4748</v>
      </c>
      <c r="C2483" s="82" t="s">
        <v>1051</v>
      </c>
      <c r="D2483" s="83">
        <f>SUMIFS(D2484:D6462,K2484:K6462,"0",B2484:B6462,"5 1 1 3 2 12 31111 6 M59 98000 000181 0000R 00001 00132 015*")-SUMIFS(E2484:E6462,K2484:K6462,"0",B2484:B6462,"5 1 1 3 2 12 31111 6 M59 98000 000181 0000R 00001 00132 015*")</f>
        <v>0</v>
      </c>
      <c r="E2483" s="54"/>
      <c r="F2483" s="83">
        <f>SUMIFS(F2484:F6462,K2484:K6462,"0",B2484:B6462,"5 1 1 3 2 12 31111 6 M59 98000 000181 0000R 00001 00132 015*")</f>
        <v>3331.86</v>
      </c>
      <c r="G2483" s="83">
        <f>SUMIFS(G2484:G6462,K2484:K6462,"0",B2484:B6462,"5 1 1 3 2 12 31111 6 M59 98000 000181 0000R 00001 00132 015*")</f>
        <v>0</v>
      </c>
      <c r="H2483" s="83">
        <f t="shared" si="39"/>
        <v>3331.86</v>
      </c>
      <c r="I2483" s="83"/>
      <c r="K2483" s="54" t="s">
        <v>15</v>
      </c>
    </row>
    <row r="2484" spans="2:11" ht="33" x14ac:dyDescent="0.2">
      <c r="B2484" s="82" t="s">
        <v>4749</v>
      </c>
      <c r="C2484" s="82" t="s">
        <v>2927</v>
      </c>
      <c r="D2484" s="83">
        <f>SUMIFS(D2485:D6462,K2485:K6462,"0",B2485:B6462,"5 1 1 3 2 12 31111 6 M59 98000 000181 0000R 00001 00132 015 2111100*")-SUMIFS(E2485:E6462,K2485:K6462,"0",B2485:B6462,"5 1 1 3 2 12 31111 6 M59 98000 000181 0000R 00001 00132 015 2111100*")</f>
        <v>0</v>
      </c>
      <c r="E2484" s="54"/>
      <c r="F2484" s="83">
        <f>SUMIFS(F2485:F6462,K2485:K6462,"0",B2485:B6462,"5 1 1 3 2 12 31111 6 M59 98000 000181 0000R 00001 00132 015 2111100*")</f>
        <v>3331.86</v>
      </c>
      <c r="G2484" s="83">
        <f>SUMIFS(G2485:G6462,K2485:K6462,"0",B2485:B6462,"5 1 1 3 2 12 31111 6 M59 98000 000181 0000R 00001 00132 015 2111100*")</f>
        <v>0</v>
      </c>
      <c r="H2484" s="83">
        <f t="shared" si="39"/>
        <v>3331.86</v>
      </c>
      <c r="I2484" s="83"/>
      <c r="K2484" s="54" t="s">
        <v>15</v>
      </c>
    </row>
    <row r="2485" spans="2:11" ht="33" x14ac:dyDescent="0.2">
      <c r="B2485" s="82" t="s">
        <v>4750</v>
      </c>
      <c r="C2485" s="82" t="s">
        <v>660</v>
      </c>
      <c r="D2485" s="83">
        <f>SUMIFS(D2486:D6462,K2486:K6462,"0",B2486:B6462,"5 1 1 3 2 12 31111 6 M59 98000 000181 0000R 00001 00132 015 2111100 2024*")-SUMIFS(E2486:E6462,K2486:K6462,"0",B2486:B6462,"5 1 1 3 2 12 31111 6 M59 98000 000181 0000R 00001 00132 015 2111100 2024*")</f>
        <v>0</v>
      </c>
      <c r="E2485" s="54"/>
      <c r="F2485" s="83">
        <f>SUMIFS(F2486:F6462,K2486:K6462,"0",B2486:B6462,"5 1 1 3 2 12 31111 6 M59 98000 000181 0000R 00001 00132 015 2111100 2024*")</f>
        <v>3331.86</v>
      </c>
      <c r="G2485" s="83">
        <f>SUMIFS(G2486:G6462,K2486:K6462,"0",B2486:B6462,"5 1 1 3 2 12 31111 6 M59 98000 000181 0000R 00001 00132 015 2111100 2024*")</f>
        <v>0</v>
      </c>
      <c r="H2485" s="83">
        <f t="shared" si="39"/>
        <v>3331.86</v>
      </c>
      <c r="I2485" s="83"/>
      <c r="K2485" s="54" t="s">
        <v>15</v>
      </c>
    </row>
    <row r="2486" spans="2:11" ht="41.25" x14ac:dyDescent="0.2">
      <c r="B2486" s="82" t="s">
        <v>4751</v>
      </c>
      <c r="C2486" s="82" t="s">
        <v>3495</v>
      </c>
      <c r="D2486" s="83">
        <f>SUMIFS(D2487:D6462,K2487:K6462,"0",B2487:B6462,"5 1 1 3 2 12 31111 6 M59 98000 000181 0000R 00001 00132 015 2111100 2024 CP1RH392*")-SUMIFS(E2487:E6462,K2487:K6462,"0",B2487:B6462,"5 1 1 3 2 12 31111 6 M59 98000 000181 0000R 00001 00132 015 2111100 2024 CP1RH392*")</f>
        <v>0</v>
      </c>
      <c r="E2486" s="54"/>
      <c r="F2486" s="83">
        <f>SUMIFS(F2487:F6462,K2487:K6462,"0",B2487:B6462,"5 1 1 3 2 12 31111 6 M59 98000 000181 0000R 00001 00132 015 2111100 2024 CP1RH392*")</f>
        <v>3331.86</v>
      </c>
      <c r="G2486" s="83">
        <f>SUMIFS(G2487:G6462,K2487:K6462,"0",B2487:B6462,"5 1 1 3 2 12 31111 6 M59 98000 000181 0000R 00001 00132 015 2111100 2024 CP1RH392*")</f>
        <v>0</v>
      </c>
      <c r="H2486" s="83">
        <f t="shared" si="39"/>
        <v>3331.86</v>
      </c>
      <c r="I2486" s="83"/>
      <c r="K2486" s="54" t="s">
        <v>15</v>
      </c>
    </row>
    <row r="2487" spans="2:11" ht="41.25" x14ac:dyDescent="0.2">
      <c r="B2487" s="82" t="s">
        <v>4752</v>
      </c>
      <c r="C2487" s="82" t="s">
        <v>282</v>
      </c>
      <c r="D2487" s="83">
        <f>SUMIFS(D2488:D6462,K2488:K6462,"0",B2488:B6462,"5 1 1 3 2 12 31111 6 M59 98000 000181 0000R 00001 00132 015 2111100 2024 CP1RH392 001*")-SUMIFS(E2488:E6462,K2488:K6462,"0",B2488:B6462,"5 1 1 3 2 12 31111 6 M59 98000 000181 0000R 00001 00132 015 2111100 2024 CP1RH392 001*")</f>
        <v>0</v>
      </c>
      <c r="E2487" s="54"/>
      <c r="F2487" s="83">
        <f>SUMIFS(F2488:F6462,K2488:K6462,"0",B2488:B6462,"5 1 1 3 2 12 31111 6 M59 98000 000181 0000R 00001 00132 015 2111100 2024 CP1RH392 001*")</f>
        <v>3331.86</v>
      </c>
      <c r="G2487" s="83">
        <f>SUMIFS(G2488:G6462,K2488:K6462,"0",B2488:B6462,"5 1 1 3 2 12 31111 6 M59 98000 000181 0000R 00001 00132 015 2111100 2024 CP1RH392 001*")</f>
        <v>0</v>
      </c>
      <c r="H2487" s="83">
        <f t="shared" si="39"/>
        <v>3331.86</v>
      </c>
      <c r="I2487" s="83"/>
      <c r="K2487" s="54" t="s">
        <v>15</v>
      </c>
    </row>
    <row r="2488" spans="2:11" ht="33" x14ac:dyDescent="0.2">
      <c r="B2488" s="84" t="s">
        <v>4753</v>
      </c>
      <c r="C2488" s="84" t="s">
        <v>1519</v>
      </c>
      <c r="D2488" s="85">
        <v>0</v>
      </c>
      <c r="E2488" s="85"/>
      <c r="F2488" s="85">
        <v>3331.86</v>
      </c>
      <c r="G2488" s="85">
        <v>0</v>
      </c>
      <c r="H2488" s="85">
        <f t="shared" si="39"/>
        <v>3331.86</v>
      </c>
      <c r="I2488" s="85"/>
      <c r="K2488" s="54" t="s">
        <v>38</v>
      </c>
    </row>
    <row r="2489" spans="2:11" ht="16.5" x14ac:dyDescent="0.2">
      <c r="B2489" s="82" t="s">
        <v>4754</v>
      </c>
      <c r="C2489" s="82" t="s">
        <v>3754</v>
      </c>
      <c r="D2489" s="83">
        <f>SUMIFS(D2490:D6462,K2490:K6462,"0",B2490:B6462,"5 1 1 3 2 12 31111 6 M59 99000*")-SUMIFS(E2490:E6462,K2490:K6462,"0",B2490:B6462,"5 1 1 3 2 12 31111 6 M59 99000*")</f>
        <v>0</v>
      </c>
      <c r="E2489" s="54"/>
      <c r="F2489" s="83">
        <f>SUMIFS(F2490:F6462,K2490:K6462,"0",B2490:B6462,"5 1 1 3 2 12 31111 6 M59 99000*")</f>
        <v>5076.01</v>
      </c>
      <c r="G2489" s="83">
        <f>SUMIFS(G2490:G6462,K2490:K6462,"0",B2490:B6462,"5 1 1 3 2 12 31111 6 M59 99000*")</f>
        <v>0</v>
      </c>
      <c r="H2489" s="83">
        <f t="shared" si="39"/>
        <v>5076.01</v>
      </c>
      <c r="I2489" s="83"/>
      <c r="K2489" s="54" t="s">
        <v>15</v>
      </c>
    </row>
    <row r="2490" spans="2:11" ht="16.5" x14ac:dyDescent="0.2">
      <c r="B2490" s="82" t="s">
        <v>4755</v>
      </c>
      <c r="C2490" s="82" t="s">
        <v>648</v>
      </c>
      <c r="D2490" s="83">
        <f>SUMIFS(D2491:D6462,K2491:K6462,"0",B2491:B6462,"5 1 1 3 2 12 31111 6 M59 99000 000132*")-SUMIFS(E2491:E6462,K2491:K6462,"0",B2491:B6462,"5 1 1 3 2 12 31111 6 M59 99000 000132*")</f>
        <v>0</v>
      </c>
      <c r="E2490" s="54"/>
      <c r="F2490" s="83">
        <f>SUMIFS(F2491:F6462,K2491:K6462,"0",B2491:B6462,"5 1 1 3 2 12 31111 6 M59 99000 000132*")</f>
        <v>5076.01</v>
      </c>
      <c r="G2490" s="83">
        <f>SUMIFS(G2491:G6462,K2491:K6462,"0",B2491:B6462,"5 1 1 3 2 12 31111 6 M59 99000 000132*")</f>
        <v>0</v>
      </c>
      <c r="H2490" s="83">
        <f t="shared" si="39"/>
        <v>5076.01</v>
      </c>
      <c r="I2490" s="83"/>
      <c r="K2490" s="54" t="s">
        <v>15</v>
      </c>
    </row>
    <row r="2491" spans="2:11" ht="24.75" x14ac:dyDescent="0.2">
      <c r="B2491" s="82" t="s">
        <v>4756</v>
      </c>
      <c r="C2491" s="82" t="s">
        <v>650</v>
      </c>
      <c r="D2491" s="83">
        <f>SUMIFS(D2492:D6462,K2492:K6462,"0",B2492:B6462,"5 1 1 3 2 12 31111 6 M59 99000 000132 0000R*")-SUMIFS(E2492:E6462,K2492:K6462,"0",B2492:B6462,"5 1 1 3 2 12 31111 6 M59 99000 000132 0000R*")</f>
        <v>0</v>
      </c>
      <c r="E2491" s="54"/>
      <c r="F2491" s="83">
        <f>SUMIFS(F2492:F6462,K2492:K6462,"0",B2492:B6462,"5 1 1 3 2 12 31111 6 M59 99000 000132 0000R*")</f>
        <v>5076.01</v>
      </c>
      <c r="G2491" s="83">
        <f>SUMIFS(G2492:G6462,K2492:K6462,"0",B2492:B6462,"5 1 1 3 2 12 31111 6 M59 99000 000132 0000R*")</f>
        <v>0</v>
      </c>
      <c r="H2491" s="83">
        <f t="shared" si="39"/>
        <v>5076.01</v>
      </c>
      <c r="I2491" s="83"/>
      <c r="K2491" s="54" t="s">
        <v>15</v>
      </c>
    </row>
    <row r="2492" spans="2:11" ht="24.75" x14ac:dyDescent="0.2">
      <c r="B2492" s="82" t="s">
        <v>4757</v>
      </c>
      <c r="C2492" s="82" t="s">
        <v>282</v>
      </c>
      <c r="D2492" s="83">
        <f>SUMIFS(D2493:D6462,K2493:K6462,"0",B2493:B6462,"5 1 1 3 2 12 31111 6 M59 99000 000132 0000R 00001*")-SUMIFS(E2493:E6462,K2493:K6462,"0",B2493:B6462,"5 1 1 3 2 12 31111 6 M59 99000 000132 0000R 00001*")</f>
        <v>0</v>
      </c>
      <c r="E2492" s="54"/>
      <c r="F2492" s="83">
        <f>SUMIFS(F2493:F6462,K2493:K6462,"0",B2493:B6462,"5 1 1 3 2 12 31111 6 M59 99000 000132 0000R 00001*")</f>
        <v>5076.01</v>
      </c>
      <c r="G2492" s="83">
        <f>SUMIFS(G2493:G6462,K2493:K6462,"0",B2493:B6462,"5 1 1 3 2 12 31111 6 M59 99000 000132 0000R 00001*")</f>
        <v>0</v>
      </c>
      <c r="H2492" s="83">
        <f t="shared" si="39"/>
        <v>5076.01</v>
      </c>
      <c r="I2492" s="83"/>
      <c r="K2492" s="54" t="s">
        <v>15</v>
      </c>
    </row>
    <row r="2493" spans="2:11" ht="24.75" x14ac:dyDescent="0.2">
      <c r="B2493" s="82" t="s">
        <v>4758</v>
      </c>
      <c r="C2493" s="82" t="s">
        <v>4041</v>
      </c>
      <c r="D2493" s="83">
        <f>SUMIFS(D2494:D6462,K2494:K6462,"0",B2494:B6462,"5 1 1 3 2 12 31111 6 M59 99000 000132 0000R 00001 00132*")-SUMIFS(E2494:E6462,K2494:K6462,"0",B2494:B6462,"5 1 1 3 2 12 31111 6 M59 99000 000132 0000R 00001 00132*")</f>
        <v>0</v>
      </c>
      <c r="E2493" s="54"/>
      <c r="F2493" s="83">
        <f>SUMIFS(F2494:F6462,K2494:K6462,"0",B2494:B6462,"5 1 1 3 2 12 31111 6 M59 99000 000132 0000R 00001 00132*")</f>
        <v>5076.01</v>
      </c>
      <c r="G2493" s="83">
        <f>SUMIFS(G2494:G6462,K2494:K6462,"0",B2494:B6462,"5 1 1 3 2 12 31111 6 M59 99000 000132 0000R 00001 00132*")</f>
        <v>0</v>
      </c>
      <c r="H2493" s="83">
        <f t="shared" si="39"/>
        <v>5076.01</v>
      </c>
      <c r="I2493" s="83"/>
      <c r="K2493" s="54" t="s">
        <v>15</v>
      </c>
    </row>
    <row r="2494" spans="2:11" ht="33" x14ac:dyDescent="0.2">
      <c r="B2494" s="82" t="s">
        <v>4759</v>
      </c>
      <c r="C2494" s="82" t="s">
        <v>1051</v>
      </c>
      <c r="D2494" s="83">
        <f>SUMIFS(D2495:D6462,K2495:K6462,"0",B2495:B6462,"5 1 1 3 2 12 31111 6 M59 99000 000132 0000R 00001 00132 015*")-SUMIFS(E2495:E6462,K2495:K6462,"0",B2495:B6462,"5 1 1 3 2 12 31111 6 M59 99000 000132 0000R 00001 00132 015*")</f>
        <v>0</v>
      </c>
      <c r="E2494" s="54"/>
      <c r="F2494" s="83">
        <f>SUMIFS(F2495:F6462,K2495:K6462,"0",B2495:B6462,"5 1 1 3 2 12 31111 6 M59 99000 000132 0000R 00001 00132 015*")</f>
        <v>5076.01</v>
      </c>
      <c r="G2494" s="83">
        <f>SUMIFS(G2495:G6462,K2495:K6462,"0",B2495:B6462,"5 1 1 3 2 12 31111 6 M59 99000 000132 0000R 00001 00132 015*")</f>
        <v>0</v>
      </c>
      <c r="H2494" s="83">
        <f t="shared" si="39"/>
        <v>5076.01</v>
      </c>
      <c r="I2494" s="83"/>
      <c r="K2494" s="54" t="s">
        <v>15</v>
      </c>
    </row>
    <row r="2495" spans="2:11" ht="33" x14ac:dyDescent="0.2">
      <c r="B2495" s="82" t="s">
        <v>4760</v>
      </c>
      <c r="C2495" s="82" t="s">
        <v>2927</v>
      </c>
      <c r="D2495" s="83">
        <f>SUMIFS(D2496:D6462,K2496:K6462,"0",B2496:B6462,"5 1 1 3 2 12 31111 6 M59 99000 000132 0000R 00001 00132 015 2111100*")-SUMIFS(E2496:E6462,K2496:K6462,"0",B2496:B6462,"5 1 1 3 2 12 31111 6 M59 99000 000132 0000R 00001 00132 015 2111100*")</f>
        <v>0</v>
      </c>
      <c r="E2495" s="54"/>
      <c r="F2495" s="83">
        <f>SUMIFS(F2496:F6462,K2496:K6462,"0",B2496:B6462,"5 1 1 3 2 12 31111 6 M59 99000 000132 0000R 00001 00132 015 2111100*")</f>
        <v>5076.01</v>
      </c>
      <c r="G2495" s="83">
        <f>SUMIFS(G2496:G6462,K2496:K6462,"0",B2496:B6462,"5 1 1 3 2 12 31111 6 M59 99000 000132 0000R 00001 00132 015 2111100*")</f>
        <v>0</v>
      </c>
      <c r="H2495" s="83">
        <f t="shared" si="39"/>
        <v>5076.01</v>
      </c>
      <c r="I2495" s="83"/>
      <c r="K2495" s="54" t="s">
        <v>15</v>
      </c>
    </row>
    <row r="2496" spans="2:11" ht="33" x14ac:dyDescent="0.2">
      <c r="B2496" s="82" t="s">
        <v>4761</v>
      </c>
      <c r="C2496" s="82" t="s">
        <v>660</v>
      </c>
      <c r="D2496" s="83">
        <f>SUMIFS(D2497:D6462,K2497:K6462,"0",B2497:B6462,"5 1 1 3 2 12 31111 6 M59 99000 000132 0000R 00001 00132 015 2111100 2024*")-SUMIFS(E2497:E6462,K2497:K6462,"0",B2497:B6462,"5 1 1 3 2 12 31111 6 M59 99000 000132 0000R 00001 00132 015 2111100 2024*")</f>
        <v>0</v>
      </c>
      <c r="E2496" s="54"/>
      <c r="F2496" s="83">
        <f>SUMIFS(F2497:F6462,K2497:K6462,"0",B2497:B6462,"5 1 1 3 2 12 31111 6 M59 99000 000132 0000R 00001 00132 015 2111100 2024*")</f>
        <v>5076.01</v>
      </c>
      <c r="G2496" s="83">
        <f>SUMIFS(G2497:G6462,K2497:K6462,"0",B2497:B6462,"5 1 1 3 2 12 31111 6 M59 99000 000132 0000R 00001 00132 015 2111100 2024*")</f>
        <v>0</v>
      </c>
      <c r="H2496" s="83">
        <f t="shared" si="39"/>
        <v>5076.01</v>
      </c>
      <c r="I2496" s="83"/>
      <c r="K2496" s="54" t="s">
        <v>15</v>
      </c>
    </row>
    <row r="2497" spans="2:11" ht="41.25" x14ac:dyDescent="0.2">
      <c r="B2497" s="82" t="s">
        <v>4762</v>
      </c>
      <c r="C2497" s="82" t="s">
        <v>1056</v>
      </c>
      <c r="D2497" s="83">
        <f>SUMIFS(D2498:D6462,K2498:K6462,"0",B2498:B6462,"5 1 1 3 2 12 31111 6 M59 99000 000132 0000R 00001 00132 015 2111100 2024 CP1MG408*")-SUMIFS(E2498:E6462,K2498:K6462,"0",B2498:B6462,"5 1 1 3 2 12 31111 6 M59 99000 000132 0000R 00001 00132 015 2111100 2024 CP1MG408*")</f>
        <v>0</v>
      </c>
      <c r="E2497" s="54"/>
      <c r="F2497" s="83">
        <f>SUMIFS(F2498:F6462,K2498:K6462,"0",B2498:B6462,"5 1 1 3 2 12 31111 6 M59 99000 000132 0000R 00001 00132 015 2111100 2024 CP1MG408*")</f>
        <v>5076.01</v>
      </c>
      <c r="G2497" s="83">
        <f>SUMIFS(G2498:G6462,K2498:K6462,"0",B2498:B6462,"5 1 1 3 2 12 31111 6 M59 99000 000132 0000R 00001 00132 015 2111100 2024 CP1MG408*")</f>
        <v>0</v>
      </c>
      <c r="H2497" s="83">
        <f t="shared" si="39"/>
        <v>5076.01</v>
      </c>
      <c r="I2497" s="83"/>
      <c r="K2497" s="54" t="s">
        <v>15</v>
      </c>
    </row>
    <row r="2498" spans="2:11" ht="41.25" x14ac:dyDescent="0.2">
      <c r="B2498" s="82" t="s">
        <v>4763</v>
      </c>
      <c r="C2498" s="82" t="s">
        <v>282</v>
      </c>
      <c r="D2498" s="83">
        <f>SUMIFS(D2499:D6462,K2499:K6462,"0",B2499:B6462,"5 1 1 3 2 12 31111 6 M59 99000 000132 0000R 00001 00132 015 2111100 2024 CP1MG408 001*")-SUMIFS(E2499:E6462,K2499:K6462,"0",B2499:B6462,"5 1 1 3 2 12 31111 6 M59 99000 000132 0000R 00001 00132 015 2111100 2024 CP1MG408 001*")</f>
        <v>0</v>
      </c>
      <c r="E2498" s="54"/>
      <c r="F2498" s="83">
        <f>SUMIFS(F2499:F6462,K2499:K6462,"0",B2499:B6462,"5 1 1 3 2 12 31111 6 M59 99000 000132 0000R 00001 00132 015 2111100 2024 CP1MG408 001*")</f>
        <v>5076.01</v>
      </c>
      <c r="G2498" s="83">
        <f>SUMIFS(G2499:G6462,K2499:K6462,"0",B2499:B6462,"5 1 1 3 2 12 31111 6 M59 99000 000132 0000R 00001 00132 015 2111100 2024 CP1MG408 001*")</f>
        <v>0</v>
      </c>
      <c r="H2498" s="83">
        <f t="shared" si="39"/>
        <v>5076.01</v>
      </c>
      <c r="I2498" s="83"/>
      <c r="K2498" s="54" t="s">
        <v>15</v>
      </c>
    </row>
    <row r="2499" spans="2:11" ht="41.25" x14ac:dyDescent="0.2">
      <c r="B2499" s="84" t="s">
        <v>4764</v>
      </c>
      <c r="C2499" s="84" t="s">
        <v>1519</v>
      </c>
      <c r="D2499" s="85">
        <v>0</v>
      </c>
      <c r="E2499" s="85"/>
      <c r="F2499" s="85">
        <v>5076.01</v>
      </c>
      <c r="G2499" s="85">
        <v>0</v>
      </c>
      <c r="H2499" s="85">
        <f t="shared" si="39"/>
        <v>5076.01</v>
      </c>
      <c r="I2499" s="85"/>
      <c r="K2499" s="54" t="s">
        <v>38</v>
      </c>
    </row>
    <row r="2500" spans="2:11" ht="12.75" x14ac:dyDescent="0.2">
      <c r="B2500" s="82" t="s">
        <v>4765</v>
      </c>
      <c r="C2500" s="82" t="s">
        <v>4766</v>
      </c>
      <c r="D2500" s="83">
        <f>SUMIFS(D2501:D6462,K2501:K6462,"0",B2501:B6462,"5 1 1 3 4*")-SUMIFS(E2501:E6462,K2501:K6462,"0",B2501:B6462,"5 1 1 3 4*")</f>
        <v>0</v>
      </c>
      <c r="E2500" s="54"/>
      <c r="F2500" s="83">
        <f>SUMIFS(F2501:F6462,K2501:K6462,"0",B2501:B6462,"5 1 1 3 4*")</f>
        <v>2696839.2299999995</v>
      </c>
      <c r="G2500" s="83">
        <f>SUMIFS(G2501:G6462,K2501:K6462,"0",B2501:B6462,"5 1 1 3 4*")</f>
        <v>0</v>
      </c>
      <c r="H2500" s="83">
        <f t="shared" si="39"/>
        <v>2696839.2299999995</v>
      </c>
      <c r="I2500" s="83"/>
      <c r="K2500" s="54" t="s">
        <v>15</v>
      </c>
    </row>
    <row r="2501" spans="2:11" ht="12.75" x14ac:dyDescent="0.2">
      <c r="B2501" s="82" t="s">
        <v>4767</v>
      </c>
      <c r="C2501" s="82" t="s">
        <v>26</v>
      </c>
      <c r="D2501" s="83">
        <f>SUMIFS(D2502:D6462,K2502:K6462,"0",B2502:B6462,"5 1 1 3 4 12*")-SUMIFS(E2502:E6462,K2502:K6462,"0",B2502:B6462,"5 1 1 3 4 12*")</f>
        <v>0</v>
      </c>
      <c r="E2501" s="54"/>
      <c r="F2501" s="83">
        <f>SUMIFS(F2502:F6462,K2502:K6462,"0",B2502:B6462,"5 1 1 3 4 12*")</f>
        <v>2696839.2299999995</v>
      </c>
      <c r="G2501" s="83">
        <f>SUMIFS(G2502:G6462,K2502:K6462,"0",B2502:B6462,"5 1 1 3 4 12*")</f>
        <v>0</v>
      </c>
      <c r="H2501" s="83">
        <f t="shared" si="39"/>
        <v>2696839.2299999995</v>
      </c>
      <c r="I2501" s="83"/>
      <c r="K2501" s="54" t="s">
        <v>15</v>
      </c>
    </row>
    <row r="2502" spans="2:11" ht="16.5" x14ac:dyDescent="0.2">
      <c r="B2502" s="82" t="s">
        <v>4768</v>
      </c>
      <c r="C2502" s="82" t="s">
        <v>28</v>
      </c>
      <c r="D2502" s="83">
        <f>SUMIFS(D2503:D6462,K2503:K6462,"0",B2503:B6462,"5 1 1 3 4 12 31111*")-SUMIFS(E2503:E6462,K2503:K6462,"0",B2503:B6462,"5 1 1 3 4 12 31111*")</f>
        <v>0</v>
      </c>
      <c r="E2502" s="54"/>
      <c r="F2502" s="83">
        <f>SUMIFS(F2503:F6462,K2503:K6462,"0",B2503:B6462,"5 1 1 3 4 12 31111*")</f>
        <v>2696839.2299999995</v>
      </c>
      <c r="G2502" s="83">
        <f>SUMIFS(G2503:G6462,K2503:K6462,"0",B2503:B6462,"5 1 1 3 4 12 31111*")</f>
        <v>0</v>
      </c>
      <c r="H2502" s="83">
        <f t="shared" si="39"/>
        <v>2696839.2299999995</v>
      </c>
      <c r="I2502" s="83"/>
      <c r="K2502" s="54" t="s">
        <v>15</v>
      </c>
    </row>
    <row r="2503" spans="2:11" ht="12.75" x14ac:dyDescent="0.2">
      <c r="B2503" s="82" t="s">
        <v>4769</v>
      </c>
      <c r="C2503" s="82" t="s">
        <v>30</v>
      </c>
      <c r="D2503" s="83">
        <f>SUMIFS(D2504:D6462,K2504:K6462,"0",B2504:B6462,"5 1 1 3 4 12 31111 6*")-SUMIFS(E2504:E6462,K2504:K6462,"0",B2504:B6462,"5 1 1 3 4 12 31111 6*")</f>
        <v>0</v>
      </c>
      <c r="E2503" s="54"/>
      <c r="F2503" s="83">
        <f>SUMIFS(F2504:F6462,K2504:K6462,"0",B2504:B6462,"5 1 1 3 4 12 31111 6*")</f>
        <v>2696839.2299999995</v>
      </c>
      <c r="G2503" s="83">
        <f>SUMIFS(G2504:G6462,K2504:K6462,"0",B2504:B6462,"5 1 1 3 4 12 31111 6*")</f>
        <v>0</v>
      </c>
      <c r="H2503" s="83">
        <f t="shared" si="39"/>
        <v>2696839.2299999995</v>
      </c>
      <c r="I2503" s="83"/>
      <c r="K2503" s="54" t="s">
        <v>15</v>
      </c>
    </row>
    <row r="2504" spans="2:11" ht="16.5" x14ac:dyDescent="0.2">
      <c r="B2504" s="82" t="s">
        <v>4770</v>
      </c>
      <c r="C2504" s="82" t="s">
        <v>2284</v>
      </c>
      <c r="D2504" s="83">
        <f>SUMIFS(D2505:D6462,K2505:K6462,"0",B2505:B6462,"5 1 1 3 4 12 31111 6 M59*")-SUMIFS(E2505:E6462,K2505:K6462,"0",B2505:B6462,"5 1 1 3 4 12 31111 6 M59*")</f>
        <v>0</v>
      </c>
      <c r="E2504" s="54"/>
      <c r="F2504" s="83">
        <f>SUMIFS(F2505:F6462,K2505:K6462,"0",B2505:B6462,"5 1 1 3 4 12 31111 6 M59*")</f>
        <v>2696839.2299999995</v>
      </c>
      <c r="G2504" s="83">
        <f>SUMIFS(G2505:G6462,K2505:K6462,"0",B2505:B6462,"5 1 1 3 4 12 31111 6 M59*")</f>
        <v>0</v>
      </c>
      <c r="H2504" s="83">
        <f t="shared" si="39"/>
        <v>2696839.2299999995</v>
      </c>
      <c r="I2504" s="83"/>
      <c r="K2504" s="54" t="s">
        <v>15</v>
      </c>
    </row>
    <row r="2505" spans="2:11" ht="16.5" x14ac:dyDescent="0.2">
      <c r="B2505" s="82" t="s">
        <v>4771</v>
      </c>
      <c r="C2505" s="82" t="s">
        <v>1243</v>
      </c>
      <c r="D2505" s="83">
        <f>SUMIFS(D2506:D6462,K2506:K6462,"0",B2506:B6462,"5 1 1 3 4 12 31111 6 M59 10000*")-SUMIFS(E2506:E6462,K2506:K6462,"0",B2506:B6462,"5 1 1 3 4 12 31111 6 M59 10000*")</f>
        <v>0</v>
      </c>
      <c r="E2505" s="54"/>
      <c r="F2505" s="83">
        <f>SUMIFS(F2506:F6462,K2506:K6462,"0",B2506:B6462,"5 1 1 3 4 12 31111 6 M59 10000*")</f>
        <v>182052.96</v>
      </c>
      <c r="G2505" s="83">
        <f>SUMIFS(G2506:G6462,K2506:K6462,"0",B2506:B6462,"5 1 1 3 4 12 31111 6 M59 10000*")</f>
        <v>0</v>
      </c>
      <c r="H2505" s="83">
        <f t="shared" si="39"/>
        <v>182052.96</v>
      </c>
      <c r="I2505" s="83"/>
      <c r="K2505" s="54" t="s">
        <v>15</v>
      </c>
    </row>
    <row r="2506" spans="2:11" ht="16.5" x14ac:dyDescent="0.2">
      <c r="B2506" s="82" t="s">
        <v>4772</v>
      </c>
      <c r="C2506" s="82" t="s">
        <v>648</v>
      </c>
      <c r="D2506" s="83">
        <f>SUMIFS(D2507:D6462,K2507:K6462,"0",B2507:B6462,"5 1 1 3 4 12 31111 6 M59 10000 000132*")-SUMIFS(E2507:E6462,K2507:K6462,"0",B2507:B6462,"5 1 1 3 4 12 31111 6 M59 10000 000132*")</f>
        <v>0</v>
      </c>
      <c r="E2506" s="54"/>
      <c r="F2506" s="83">
        <f>SUMIFS(F2507:F6462,K2507:K6462,"0",B2507:B6462,"5 1 1 3 4 12 31111 6 M59 10000 000132*")</f>
        <v>182052.96</v>
      </c>
      <c r="G2506" s="83">
        <f>SUMIFS(G2507:G6462,K2507:K6462,"0",B2507:B6462,"5 1 1 3 4 12 31111 6 M59 10000 000132*")</f>
        <v>0</v>
      </c>
      <c r="H2506" s="83">
        <f t="shared" si="39"/>
        <v>182052.96</v>
      </c>
      <c r="I2506" s="83"/>
      <c r="K2506" s="54" t="s">
        <v>15</v>
      </c>
    </row>
    <row r="2507" spans="2:11" ht="24.75" x14ac:dyDescent="0.2">
      <c r="B2507" s="82" t="s">
        <v>4773</v>
      </c>
      <c r="C2507" s="82" t="s">
        <v>650</v>
      </c>
      <c r="D2507" s="83">
        <f>SUMIFS(D2508:D6462,K2508:K6462,"0",B2508:B6462,"5 1 1 3 4 12 31111 6 M59 10000 000132 0000R*")-SUMIFS(E2508:E6462,K2508:K6462,"0",B2508:B6462,"5 1 1 3 4 12 31111 6 M59 10000 000132 0000R*")</f>
        <v>0</v>
      </c>
      <c r="E2507" s="54"/>
      <c r="F2507" s="83">
        <f>SUMIFS(F2508:F6462,K2508:K6462,"0",B2508:B6462,"5 1 1 3 4 12 31111 6 M59 10000 000132 0000R*")</f>
        <v>182052.96</v>
      </c>
      <c r="G2507" s="83">
        <f>SUMIFS(G2508:G6462,K2508:K6462,"0",B2508:B6462,"5 1 1 3 4 12 31111 6 M59 10000 000132 0000R*")</f>
        <v>0</v>
      </c>
      <c r="H2507" s="83">
        <f t="shared" si="39"/>
        <v>182052.96</v>
      </c>
      <c r="I2507" s="83"/>
      <c r="K2507" s="54" t="s">
        <v>15</v>
      </c>
    </row>
    <row r="2508" spans="2:11" ht="24.75" x14ac:dyDescent="0.2">
      <c r="B2508" s="82" t="s">
        <v>4774</v>
      </c>
      <c r="C2508" s="82" t="s">
        <v>282</v>
      </c>
      <c r="D2508" s="83">
        <f>SUMIFS(D2509:D6462,K2509:K6462,"0",B2509:B6462,"5 1 1 3 4 12 31111 6 M59 10000 000132 0000R 00001*")-SUMIFS(E2509:E6462,K2509:K6462,"0",B2509:B6462,"5 1 1 3 4 12 31111 6 M59 10000 000132 0000R 00001*")</f>
        <v>0</v>
      </c>
      <c r="E2508" s="54"/>
      <c r="F2508" s="83">
        <f>SUMIFS(F2509:F6462,K2509:K6462,"0",B2509:B6462,"5 1 1 3 4 12 31111 6 M59 10000 000132 0000R 00001*")</f>
        <v>182052.96</v>
      </c>
      <c r="G2508" s="83">
        <f>SUMIFS(G2509:G6462,K2509:K6462,"0",B2509:B6462,"5 1 1 3 4 12 31111 6 M59 10000 000132 0000R 00001*")</f>
        <v>0</v>
      </c>
      <c r="H2508" s="83">
        <f t="shared" si="39"/>
        <v>182052.96</v>
      </c>
      <c r="I2508" s="83"/>
      <c r="K2508" s="54" t="s">
        <v>15</v>
      </c>
    </row>
    <row r="2509" spans="2:11" ht="24.75" x14ac:dyDescent="0.2">
      <c r="B2509" s="82" t="s">
        <v>4775</v>
      </c>
      <c r="C2509" s="82" t="s">
        <v>4776</v>
      </c>
      <c r="D2509" s="83">
        <f>SUMIFS(D2510:D6462,K2510:K6462,"0",B2510:B6462,"5 1 1 3 4 12 31111 6 M59 10000 000132 0000R 00001 00134*")-SUMIFS(E2510:E6462,K2510:K6462,"0",B2510:B6462,"5 1 1 3 4 12 31111 6 M59 10000 000132 0000R 00001 00134*")</f>
        <v>0</v>
      </c>
      <c r="E2509" s="54"/>
      <c r="F2509" s="83">
        <f>SUMIFS(F2510:F6462,K2510:K6462,"0",B2510:B6462,"5 1 1 3 4 12 31111 6 M59 10000 000132 0000R 00001 00134*")</f>
        <v>182052.96</v>
      </c>
      <c r="G2509" s="83">
        <f>SUMIFS(G2510:G6462,K2510:K6462,"0",B2510:B6462,"5 1 1 3 4 12 31111 6 M59 10000 000132 0000R 00001 00134*")</f>
        <v>0</v>
      </c>
      <c r="H2509" s="83">
        <f t="shared" si="39"/>
        <v>182052.96</v>
      </c>
      <c r="I2509" s="83"/>
      <c r="K2509" s="54" t="s">
        <v>15</v>
      </c>
    </row>
    <row r="2510" spans="2:11" ht="33" x14ac:dyDescent="0.2">
      <c r="B2510" s="82" t="s">
        <v>4777</v>
      </c>
      <c r="C2510" s="82" t="s">
        <v>1051</v>
      </c>
      <c r="D2510" s="83">
        <f>SUMIFS(D2511:D6462,K2511:K6462,"0",B2511:B6462,"5 1 1 3 4 12 31111 6 M59 10000 000132 0000R 00001 00134 015*")-SUMIFS(E2511:E6462,K2511:K6462,"0",B2511:B6462,"5 1 1 3 4 12 31111 6 M59 10000 000132 0000R 00001 00134 015*")</f>
        <v>0</v>
      </c>
      <c r="E2510" s="54"/>
      <c r="F2510" s="83">
        <f>SUMIFS(F2511:F6462,K2511:K6462,"0",B2511:B6462,"5 1 1 3 4 12 31111 6 M59 10000 000132 0000R 00001 00134 015*")</f>
        <v>182052.96</v>
      </c>
      <c r="G2510" s="83">
        <f>SUMIFS(G2511:G6462,K2511:K6462,"0",B2511:B6462,"5 1 1 3 4 12 31111 6 M59 10000 000132 0000R 00001 00134 015*")</f>
        <v>0</v>
      </c>
      <c r="H2510" s="83">
        <f t="shared" si="39"/>
        <v>182052.96</v>
      </c>
      <c r="I2510" s="83"/>
      <c r="K2510" s="54" t="s">
        <v>15</v>
      </c>
    </row>
    <row r="2511" spans="2:11" ht="33" x14ac:dyDescent="0.2">
      <c r="B2511" s="82" t="s">
        <v>4778</v>
      </c>
      <c r="C2511" s="82" t="s">
        <v>2927</v>
      </c>
      <c r="D2511" s="83">
        <f>SUMIFS(D2512:D6462,K2512:K6462,"0",B2512:B6462,"5 1 1 3 4 12 31111 6 M59 10000 000132 0000R 00001 00134 015 2111100*")-SUMIFS(E2512:E6462,K2512:K6462,"0",B2512:B6462,"5 1 1 3 4 12 31111 6 M59 10000 000132 0000R 00001 00134 015 2111100*")</f>
        <v>0</v>
      </c>
      <c r="E2511" s="54"/>
      <c r="F2511" s="83">
        <f>SUMIFS(F2512:F6462,K2512:K6462,"0",B2512:B6462,"5 1 1 3 4 12 31111 6 M59 10000 000132 0000R 00001 00134 015 2111100*")</f>
        <v>182052.96</v>
      </c>
      <c r="G2511" s="83">
        <f>SUMIFS(G2512:G6462,K2512:K6462,"0",B2512:B6462,"5 1 1 3 4 12 31111 6 M59 10000 000132 0000R 00001 00134 015 2111100*")</f>
        <v>0</v>
      </c>
      <c r="H2511" s="83">
        <f t="shared" si="39"/>
        <v>182052.96</v>
      </c>
      <c r="I2511" s="83"/>
      <c r="K2511" s="54" t="s">
        <v>15</v>
      </c>
    </row>
    <row r="2512" spans="2:11" ht="33" x14ac:dyDescent="0.2">
      <c r="B2512" s="82" t="s">
        <v>4779</v>
      </c>
      <c r="C2512" s="82" t="s">
        <v>660</v>
      </c>
      <c r="D2512" s="83">
        <f>SUMIFS(D2513:D6462,K2513:K6462,"0",B2513:B6462,"5 1 1 3 4 12 31111 6 M59 10000 000132 0000R 00001 00134 015 2111100 2024*")-SUMIFS(E2513:E6462,K2513:K6462,"0",B2513:B6462,"5 1 1 3 4 12 31111 6 M59 10000 000132 0000R 00001 00134 015 2111100 2024*")</f>
        <v>0</v>
      </c>
      <c r="E2512" s="54"/>
      <c r="F2512" s="83">
        <f>SUMIFS(F2513:F6462,K2513:K6462,"0",B2513:B6462,"5 1 1 3 4 12 31111 6 M59 10000 000132 0000R 00001 00134 015 2111100 2024*")</f>
        <v>182052.96</v>
      </c>
      <c r="G2512" s="83">
        <f>SUMIFS(G2513:G6462,K2513:K6462,"0",B2513:B6462,"5 1 1 3 4 12 31111 6 M59 10000 000132 0000R 00001 00134 015 2111100 2024*")</f>
        <v>0</v>
      </c>
      <c r="H2512" s="83">
        <f t="shared" si="39"/>
        <v>182052.96</v>
      </c>
      <c r="I2512" s="83"/>
      <c r="K2512" s="54" t="s">
        <v>15</v>
      </c>
    </row>
    <row r="2513" spans="2:11" ht="41.25" x14ac:dyDescent="0.2">
      <c r="B2513" s="82" t="s">
        <v>4780</v>
      </c>
      <c r="C2513" s="82" t="s">
        <v>662</v>
      </c>
      <c r="D2513" s="83">
        <f>SUMIFS(D2514:D6462,K2514:K6462,"0",B2514:B6462,"5 1 1 3 4 12 31111 6 M59 10000 000132 0000R 00001 00134 015 2111100 2024 CP1PM439*")-SUMIFS(E2514:E6462,K2514:K6462,"0",B2514:B6462,"5 1 1 3 4 12 31111 6 M59 10000 000132 0000R 00001 00134 015 2111100 2024 CP1PM439*")</f>
        <v>0</v>
      </c>
      <c r="E2513" s="54"/>
      <c r="F2513" s="83">
        <f>SUMIFS(F2514:F6462,K2514:K6462,"0",B2514:B6462,"5 1 1 3 4 12 31111 6 M59 10000 000132 0000R 00001 00134 015 2111100 2024 CP1PM439*")</f>
        <v>182052.96</v>
      </c>
      <c r="G2513" s="83">
        <f>SUMIFS(G2514:G6462,K2514:K6462,"0",B2514:B6462,"5 1 1 3 4 12 31111 6 M59 10000 000132 0000R 00001 00134 015 2111100 2024 CP1PM439*")</f>
        <v>0</v>
      </c>
      <c r="H2513" s="83">
        <f t="shared" si="39"/>
        <v>182052.96</v>
      </c>
      <c r="I2513" s="83"/>
      <c r="K2513" s="54" t="s">
        <v>15</v>
      </c>
    </row>
    <row r="2514" spans="2:11" ht="41.25" x14ac:dyDescent="0.2">
      <c r="B2514" s="82" t="s">
        <v>4781</v>
      </c>
      <c r="C2514" s="82" t="s">
        <v>282</v>
      </c>
      <c r="D2514" s="83">
        <f>SUMIFS(D2515:D6462,K2515:K6462,"0",B2515:B6462,"5 1 1 3 4 12 31111 6 M59 10000 000132 0000R 00001 00134 015 2111100 2024 CP1PM439 001*")-SUMIFS(E2515:E6462,K2515:K6462,"0",B2515:B6462,"5 1 1 3 4 12 31111 6 M59 10000 000132 0000R 00001 00134 015 2111100 2024 CP1PM439 001*")</f>
        <v>0</v>
      </c>
      <c r="E2514" s="54"/>
      <c r="F2514" s="83">
        <f>SUMIFS(F2515:F6462,K2515:K6462,"0",B2515:B6462,"5 1 1 3 4 12 31111 6 M59 10000 000132 0000R 00001 00134 015 2111100 2024 CP1PM439 001*")</f>
        <v>182052.96</v>
      </c>
      <c r="G2514" s="83">
        <f>SUMIFS(G2515:G6462,K2515:K6462,"0",B2515:B6462,"5 1 1 3 4 12 31111 6 M59 10000 000132 0000R 00001 00134 015 2111100 2024 CP1PM439 001*")</f>
        <v>0</v>
      </c>
      <c r="H2514" s="83">
        <f t="shared" si="39"/>
        <v>182052.96</v>
      </c>
      <c r="I2514" s="83"/>
      <c r="K2514" s="54" t="s">
        <v>15</v>
      </c>
    </row>
    <row r="2515" spans="2:11" ht="33" x14ac:dyDescent="0.2">
      <c r="B2515" s="84" t="s">
        <v>4782</v>
      </c>
      <c r="C2515" s="84" t="s">
        <v>4783</v>
      </c>
      <c r="D2515" s="85">
        <v>0</v>
      </c>
      <c r="E2515" s="85"/>
      <c r="F2515" s="85">
        <v>182052.96</v>
      </c>
      <c r="G2515" s="85">
        <v>0</v>
      </c>
      <c r="H2515" s="85">
        <f t="shared" si="39"/>
        <v>182052.96</v>
      </c>
      <c r="I2515" s="85"/>
      <c r="K2515" s="54" t="s">
        <v>38</v>
      </c>
    </row>
    <row r="2516" spans="2:11" ht="16.5" x14ac:dyDescent="0.2">
      <c r="B2516" s="82" t="s">
        <v>4784</v>
      </c>
      <c r="C2516" s="82" t="s">
        <v>2934</v>
      </c>
      <c r="D2516" s="83">
        <f>SUMIFS(D2517:D6462,K2517:K6462,"0",B2517:B6462,"5 1 1 3 4 12 31111 6 M59 10100*")-SUMIFS(E2517:E6462,K2517:K6462,"0",B2517:B6462,"5 1 1 3 4 12 31111 6 M59 10100*")</f>
        <v>0</v>
      </c>
      <c r="E2516" s="54"/>
      <c r="F2516" s="83">
        <f>SUMIFS(F2517:F6462,K2517:K6462,"0",B2517:B6462,"5 1 1 3 4 12 31111 6 M59 10100*")</f>
        <v>104748.08</v>
      </c>
      <c r="G2516" s="83">
        <f>SUMIFS(G2517:G6462,K2517:K6462,"0",B2517:B6462,"5 1 1 3 4 12 31111 6 M59 10100*")</f>
        <v>0</v>
      </c>
      <c r="H2516" s="83">
        <f t="shared" si="39"/>
        <v>104748.08</v>
      </c>
      <c r="I2516" s="83"/>
      <c r="K2516" s="54" t="s">
        <v>15</v>
      </c>
    </row>
    <row r="2517" spans="2:11" ht="16.5" x14ac:dyDescent="0.2">
      <c r="B2517" s="82" t="s">
        <v>4785</v>
      </c>
      <c r="C2517" s="82" t="s">
        <v>648</v>
      </c>
      <c r="D2517" s="83">
        <f>SUMIFS(D2518:D6462,K2518:K6462,"0",B2518:B6462,"5 1 1 3 4 12 31111 6 M59 10100 000132*")-SUMIFS(E2518:E6462,K2518:K6462,"0",B2518:B6462,"5 1 1 3 4 12 31111 6 M59 10100 000132*")</f>
        <v>0</v>
      </c>
      <c r="E2517" s="54"/>
      <c r="F2517" s="83">
        <f>SUMIFS(F2518:F6462,K2518:K6462,"0",B2518:B6462,"5 1 1 3 4 12 31111 6 M59 10100 000132*")</f>
        <v>104748.08</v>
      </c>
      <c r="G2517" s="83">
        <f>SUMIFS(G2518:G6462,K2518:K6462,"0",B2518:B6462,"5 1 1 3 4 12 31111 6 M59 10100 000132*")</f>
        <v>0</v>
      </c>
      <c r="H2517" s="83">
        <f t="shared" si="39"/>
        <v>104748.08</v>
      </c>
      <c r="I2517" s="83"/>
      <c r="K2517" s="54" t="s">
        <v>15</v>
      </c>
    </row>
    <row r="2518" spans="2:11" ht="24.75" x14ac:dyDescent="0.2">
      <c r="B2518" s="82" t="s">
        <v>4786</v>
      </c>
      <c r="C2518" s="82" t="s">
        <v>650</v>
      </c>
      <c r="D2518" s="83">
        <f>SUMIFS(D2519:D6462,K2519:K6462,"0",B2519:B6462,"5 1 1 3 4 12 31111 6 M59 10100 000132 0000R*")-SUMIFS(E2519:E6462,K2519:K6462,"0",B2519:B6462,"5 1 1 3 4 12 31111 6 M59 10100 000132 0000R*")</f>
        <v>0</v>
      </c>
      <c r="E2518" s="54"/>
      <c r="F2518" s="83">
        <f>SUMIFS(F2519:F6462,K2519:K6462,"0",B2519:B6462,"5 1 1 3 4 12 31111 6 M59 10100 000132 0000R*")</f>
        <v>104748.08</v>
      </c>
      <c r="G2518" s="83">
        <f>SUMIFS(G2519:G6462,K2519:K6462,"0",B2519:B6462,"5 1 1 3 4 12 31111 6 M59 10100 000132 0000R*")</f>
        <v>0</v>
      </c>
      <c r="H2518" s="83">
        <f t="shared" si="39"/>
        <v>104748.08</v>
      </c>
      <c r="I2518" s="83"/>
      <c r="K2518" s="54" t="s">
        <v>15</v>
      </c>
    </row>
    <row r="2519" spans="2:11" ht="24.75" x14ac:dyDescent="0.2">
      <c r="B2519" s="82" t="s">
        <v>4787</v>
      </c>
      <c r="C2519" s="82" t="s">
        <v>282</v>
      </c>
      <c r="D2519" s="83">
        <f>SUMIFS(D2520:D6462,K2520:K6462,"0",B2520:B6462,"5 1 1 3 4 12 31111 6 M59 10100 000132 0000R 00001*")-SUMIFS(E2520:E6462,K2520:K6462,"0",B2520:B6462,"5 1 1 3 4 12 31111 6 M59 10100 000132 0000R 00001*")</f>
        <v>0</v>
      </c>
      <c r="E2519" s="54"/>
      <c r="F2519" s="83">
        <f>SUMIFS(F2520:F6462,K2520:K6462,"0",B2520:B6462,"5 1 1 3 4 12 31111 6 M59 10100 000132 0000R 00001*")</f>
        <v>104748.08</v>
      </c>
      <c r="G2519" s="83">
        <f>SUMIFS(G2520:G6462,K2520:K6462,"0",B2520:B6462,"5 1 1 3 4 12 31111 6 M59 10100 000132 0000R 00001*")</f>
        <v>0</v>
      </c>
      <c r="H2519" s="83">
        <f t="shared" si="39"/>
        <v>104748.08</v>
      </c>
      <c r="I2519" s="83"/>
      <c r="K2519" s="54" t="s">
        <v>15</v>
      </c>
    </row>
    <row r="2520" spans="2:11" ht="24.75" x14ac:dyDescent="0.2">
      <c r="B2520" s="82" t="s">
        <v>4788</v>
      </c>
      <c r="C2520" s="82" t="s">
        <v>4776</v>
      </c>
      <c r="D2520" s="83">
        <f>SUMIFS(D2521:D6462,K2521:K6462,"0",B2521:B6462,"5 1 1 3 4 12 31111 6 M59 10100 000132 0000R 00001 00134*")-SUMIFS(E2521:E6462,K2521:K6462,"0",B2521:B6462,"5 1 1 3 4 12 31111 6 M59 10100 000132 0000R 00001 00134*")</f>
        <v>0</v>
      </c>
      <c r="E2520" s="54"/>
      <c r="F2520" s="83">
        <f>SUMIFS(F2521:F6462,K2521:K6462,"0",B2521:B6462,"5 1 1 3 4 12 31111 6 M59 10100 000132 0000R 00001 00134*")</f>
        <v>104748.08</v>
      </c>
      <c r="G2520" s="83">
        <f>SUMIFS(G2521:G6462,K2521:K6462,"0",B2521:B6462,"5 1 1 3 4 12 31111 6 M59 10100 000132 0000R 00001 00134*")</f>
        <v>0</v>
      </c>
      <c r="H2520" s="83">
        <f t="shared" si="39"/>
        <v>104748.08</v>
      </c>
      <c r="I2520" s="83"/>
      <c r="K2520" s="54" t="s">
        <v>15</v>
      </c>
    </row>
    <row r="2521" spans="2:11" ht="33" x14ac:dyDescent="0.2">
      <c r="B2521" s="82" t="s">
        <v>4789</v>
      </c>
      <c r="C2521" s="82" t="s">
        <v>1051</v>
      </c>
      <c r="D2521" s="83">
        <f>SUMIFS(D2522:D6462,K2522:K6462,"0",B2522:B6462,"5 1 1 3 4 12 31111 6 M59 10100 000132 0000R 00001 00134 015*")-SUMIFS(E2522:E6462,K2522:K6462,"0",B2522:B6462,"5 1 1 3 4 12 31111 6 M59 10100 000132 0000R 00001 00134 015*")</f>
        <v>0</v>
      </c>
      <c r="E2521" s="54"/>
      <c r="F2521" s="83">
        <f>SUMIFS(F2522:F6462,K2522:K6462,"0",B2522:B6462,"5 1 1 3 4 12 31111 6 M59 10100 000132 0000R 00001 00134 015*")</f>
        <v>104748.08</v>
      </c>
      <c r="G2521" s="83">
        <f>SUMIFS(G2522:G6462,K2522:K6462,"0",B2522:B6462,"5 1 1 3 4 12 31111 6 M59 10100 000132 0000R 00001 00134 015*")</f>
        <v>0</v>
      </c>
      <c r="H2521" s="83">
        <f t="shared" si="39"/>
        <v>104748.08</v>
      </c>
      <c r="I2521" s="83"/>
      <c r="K2521" s="54" t="s">
        <v>15</v>
      </c>
    </row>
    <row r="2522" spans="2:11" ht="33" x14ac:dyDescent="0.2">
      <c r="B2522" s="82" t="s">
        <v>4790</v>
      </c>
      <c r="C2522" s="82" t="s">
        <v>2927</v>
      </c>
      <c r="D2522" s="83">
        <f>SUMIFS(D2523:D6462,K2523:K6462,"0",B2523:B6462,"5 1 1 3 4 12 31111 6 M59 10100 000132 0000R 00001 00134 015 2111100*")-SUMIFS(E2523:E6462,K2523:K6462,"0",B2523:B6462,"5 1 1 3 4 12 31111 6 M59 10100 000132 0000R 00001 00134 015 2111100*")</f>
        <v>0</v>
      </c>
      <c r="E2522" s="54"/>
      <c r="F2522" s="83">
        <f>SUMIFS(F2523:F6462,K2523:K6462,"0",B2523:B6462,"5 1 1 3 4 12 31111 6 M59 10100 000132 0000R 00001 00134 015 2111100*")</f>
        <v>104748.08</v>
      </c>
      <c r="G2522" s="83">
        <f>SUMIFS(G2523:G6462,K2523:K6462,"0",B2523:B6462,"5 1 1 3 4 12 31111 6 M59 10100 000132 0000R 00001 00134 015 2111100*")</f>
        <v>0</v>
      </c>
      <c r="H2522" s="83">
        <f t="shared" si="39"/>
        <v>104748.08</v>
      </c>
      <c r="I2522" s="83"/>
      <c r="K2522" s="54" t="s">
        <v>15</v>
      </c>
    </row>
    <row r="2523" spans="2:11" ht="33" x14ac:dyDescent="0.2">
      <c r="B2523" s="82" t="s">
        <v>4791</v>
      </c>
      <c r="C2523" s="82" t="s">
        <v>660</v>
      </c>
      <c r="D2523" s="83">
        <f>SUMIFS(D2524:D6462,K2524:K6462,"0",B2524:B6462,"5 1 1 3 4 12 31111 6 M59 10100 000132 0000R 00001 00134 015 2111100 2024*")-SUMIFS(E2524:E6462,K2524:K6462,"0",B2524:B6462,"5 1 1 3 4 12 31111 6 M59 10100 000132 0000R 00001 00134 015 2111100 2024*")</f>
        <v>0</v>
      </c>
      <c r="E2523" s="54"/>
      <c r="F2523" s="83">
        <f>SUMIFS(F2524:F6462,K2524:K6462,"0",B2524:B6462,"5 1 1 3 4 12 31111 6 M59 10100 000132 0000R 00001 00134 015 2111100 2024*")</f>
        <v>104748.08</v>
      </c>
      <c r="G2523" s="83">
        <f>SUMIFS(G2524:G6462,K2524:K6462,"0",B2524:B6462,"5 1 1 3 4 12 31111 6 M59 10100 000132 0000R 00001 00134 015 2111100 2024*")</f>
        <v>0</v>
      </c>
      <c r="H2523" s="83">
        <f t="shared" si="39"/>
        <v>104748.08</v>
      </c>
      <c r="I2523" s="83"/>
      <c r="K2523" s="54" t="s">
        <v>15</v>
      </c>
    </row>
    <row r="2524" spans="2:11" ht="41.25" x14ac:dyDescent="0.2">
      <c r="B2524" s="82" t="s">
        <v>4792</v>
      </c>
      <c r="C2524" s="82" t="s">
        <v>1056</v>
      </c>
      <c r="D2524" s="83">
        <f>SUMIFS(D2525:D6462,K2525:K6462,"0",B2525:B6462,"5 1 1 3 4 12 31111 6 M59 10100 000132 0000R 00001 00134 015 2111100 2024 CP1CO438*")-SUMIFS(E2525:E6462,K2525:K6462,"0",B2525:B6462,"5 1 1 3 4 12 31111 6 M59 10100 000132 0000R 00001 00134 015 2111100 2024 CP1CO438*")</f>
        <v>0</v>
      </c>
      <c r="E2524" s="54"/>
      <c r="F2524" s="83">
        <f>SUMIFS(F2525:F6462,K2525:K6462,"0",B2525:B6462,"5 1 1 3 4 12 31111 6 M59 10100 000132 0000R 00001 00134 015 2111100 2024 CP1CO438*")</f>
        <v>104748.08</v>
      </c>
      <c r="G2524" s="83">
        <f>SUMIFS(G2525:G6462,K2525:K6462,"0",B2525:B6462,"5 1 1 3 4 12 31111 6 M59 10100 000132 0000R 00001 00134 015 2111100 2024 CP1CO438*")</f>
        <v>0</v>
      </c>
      <c r="H2524" s="83">
        <f t="shared" si="39"/>
        <v>104748.08</v>
      </c>
      <c r="I2524" s="83"/>
      <c r="K2524" s="54" t="s">
        <v>15</v>
      </c>
    </row>
    <row r="2525" spans="2:11" ht="41.25" x14ac:dyDescent="0.2">
      <c r="B2525" s="82" t="s">
        <v>4793</v>
      </c>
      <c r="C2525" s="82" t="s">
        <v>282</v>
      </c>
      <c r="D2525" s="83">
        <f>SUMIFS(D2526:D6462,K2526:K6462,"0",B2526:B6462,"5 1 1 3 4 12 31111 6 M59 10100 000132 0000R 00001 00134 015 2111100 2024 CP1CO438 001*")-SUMIFS(E2526:E6462,K2526:K6462,"0",B2526:B6462,"5 1 1 3 4 12 31111 6 M59 10100 000132 0000R 00001 00134 015 2111100 2024 CP1CO438 001*")</f>
        <v>0</v>
      </c>
      <c r="E2525" s="54"/>
      <c r="F2525" s="83">
        <f>SUMIFS(F2526:F6462,K2526:K6462,"0",B2526:B6462,"5 1 1 3 4 12 31111 6 M59 10100 000132 0000R 00001 00134 015 2111100 2024 CP1CO438 001*")</f>
        <v>104748.08</v>
      </c>
      <c r="G2525" s="83">
        <f>SUMIFS(G2526:G6462,K2526:K6462,"0",B2526:B6462,"5 1 1 3 4 12 31111 6 M59 10100 000132 0000R 00001 00134 015 2111100 2024 CP1CO438 001*")</f>
        <v>0</v>
      </c>
      <c r="H2525" s="83">
        <f t="shared" si="39"/>
        <v>104748.08</v>
      </c>
      <c r="I2525" s="83"/>
      <c r="K2525" s="54" t="s">
        <v>15</v>
      </c>
    </row>
    <row r="2526" spans="2:11" ht="33" x14ac:dyDescent="0.2">
      <c r="B2526" s="84" t="s">
        <v>4794</v>
      </c>
      <c r="C2526" s="84" t="s">
        <v>4783</v>
      </c>
      <c r="D2526" s="85">
        <v>0</v>
      </c>
      <c r="E2526" s="85"/>
      <c r="F2526" s="85">
        <v>104748.08</v>
      </c>
      <c r="G2526" s="85">
        <v>0</v>
      </c>
      <c r="H2526" s="85">
        <f t="shared" si="39"/>
        <v>104748.08</v>
      </c>
      <c r="I2526" s="85"/>
      <c r="K2526" s="54" t="s">
        <v>38</v>
      </c>
    </row>
    <row r="2527" spans="2:11" ht="16.5" x14ac:dyDescent="0.2">
      <c r="B2527" s="82" t="s">
        <v>4795</v>
      </c>
      <c r="C2527" s="82" t="s">
        <v>2946</v>
      </c>
      <c r="D2527" s="83">
        <f>SUMIFS(D2528:D6462,K2528:K6462,"0",B2528:B6462,"5 1 1 3 4 12 31111 6 M59 10300*")-SUMIFS(E2528:E6462,K2528:K6462,"0",B2528:B6462,"5 1 1 3 4 12 31111 6 M59 10300*")</f>
        <v>0</v>
      </c>
      <c r="E2527" s="54"/>
      <c r="F2527" s="83">
        <f>SUMIFS(F2528:F6462,K2528:K6462,"0",B2528:B6462,"5 1 1 3 4 12 31111 6 M59 10300*")</f>
        <v>1500</v>
      </c>
      <c r="G2527" s="83">
        <f>SUMIFS(G2528:G6462,K2528:K6462,"0",B2528:B6462,"5 1 1 3 4 12 31111 6 M59 10300*")</f>
        <v>0</v>
      </c>
      <c r="H2527" s="83">
        <f t="shared" si="39"/>
        <v>1500</v>
      </c>
      <c r="I2527" s="83"/>
      <c r="K2527" s="54" t="s">
        <v>15</v>
      </c>
    </row>
    <row r="2528" spans="2:11" ht="16.5" x14ac:dyDescent="0.2">
      <c r="B2528" s="82" t="s">
        <v>4796</v>
      </c>
      <c r="C2528" s="82" t="s">
        <v>648</v>
      </c>
      <c r="D2528" s="83">
        <f>SUMIFS(D2529:D6462,K2529:K6462,"0",B2529:B6462,"5 1 1 3 4 12 31111 6 M59 10300 000132*")-SUMIFS(E2529:E6462,K2529:K6462,"0",B2529:B6462,"5 1 1 3 4 12 31111 6 M59 10300 000132*")</f>
        <v>0</v>
      </c>
      <c r="E2528" s="54"/>
      <c r="F2528" s="83">
        <f>SUMIFS(F2529:F6462,K2529:K6462,"0",B2529:B6462,"5 1 1 3 4 12 31111 6 M59 10300 000132*")</f>
        <v>1500</v>
      </c>
      <c r="G2528" s="83">
        <f>SUMIFS(G2529:G6462,K2529:K6462,"0",B2529:B6462,"5 1 1 3 4 12 31111 6 M59 10300 000132*")</f>
        <v>0</v>
      </c>
      <c r="H2528" s="83">
        <f t="shared" si="39"/>
        <v>1500</v>
      </c>
      <c r="I2528" s="83"/>
      <c r="K2528" s="54" t="s">
        <v>15</v>
      </c>
    </row>
    <row r="2529" spans="2:11" ht="24.75" x14ac:dyDescent="0.2">
      <c r="B2529" s="82" t="s">
        <v>4797</v>
      </c>
      <c r="C2529" s="82" t="s">
        <v>650</v>
      </c>
      <c r="D2529" s="83">
        <f>SUMIFS(D2530:D6462,K2530:K6462,"0",B2530:B6462,"5 1 1 3 4 12 31111 6 M59 10300 000132 0000R*")-SUMIFS(E2530:E6462,K2530:K6462,"0",B2530:B6462,"5 1 1 3 4 12 31111 6 M59 10300 000132 0000R*")</f>
        <v>0</v>
      </c>
      <c r="E2529" s="54"/>
      <c r="F2529" s="83">
        <f>SUMIFS(F2530:F6462,K2530:K6462,"0",B2530:B6462,"5 1 1 3 4 12 31111 6 M59 10300 000132 0000R*")</f>
        <v>1500</v>
      </c>
      <c r="G2529" s="83">
        <f>SUMIFS(G2530:G6462,K2530:K6462,"0",B2530:B6462,"5 1 1 3 4 12 31111 6 M59 10300 000132 0000R*")</f>
        <v>0</v>
      </c>
      <c r="H2529" s="83">
        <f t="shared" si="39"/>
        <v>1500</v>
      </c>
      <c r="I2529" s="83"/>
      <c r="K2529" s="54" t="s">
        <v>15</v>
      </c>
    </row>
    <row r="2530" spans="2:11" ht="24.75" x14ac:dyDescent="0.2">
      <c r="B2530" s="82" t="s">
        <v>4798</v>
      </c>
      <c r="C2530" s="82" t="s">
        <v>282</v>
      </c>
      <c r="D2530" s="83">
        <f>SUMIFS(D2531:D6462,K2531:K6462,"0",B2531:B6462,"5 1 1 3 4 12 31111 6 M59 10300 000132 0000R 00001*")-SUMIFS(E2531:E6462,K2531:K6462,"0",B2531:B6462,"5 1 1 3 4 12 31111 6 M59 10300 000132 0000R 00001*")</f>
        <v>0</v>
      </c>
      <c r="E2530" s="54"/>
      <c r="F2530" s="83">
        <f>SUMIFS(F2531:F6462,K2531:K6462,"0",B2531:B6462,"5 1 1 3 4 12 31111 6 M59 10300 000132 0000R 00001*")</f>
        <v>1500</v>
      </c>
      <c r="G2530" s="83">
        <f>SUMIFS(G2531:G6462,K2531:K6462,"0",B2531:B6462,"5 1 1 3 4 12 31111 6 M59 10300 000132 0000R 00001*")</f>
        <v>0</v>
      </c>
      <c r="H2530" s="83">
        <f t="shared" si="39"/>
        <v>1500</v>
      </c>
      <c r="I2530" s="83"/>
      <c r="K2530" s="54" t="s">
        <v>15</v>
      </c>
    </row>
    <row r="2531" spans="2:11" ht="24.75" x14ac:dyDescent="0.2">
      <c r="B2531" s="82" t="s">
        <v>4799</v>
      </c>
      <c r="C2531" s="82" t="s">
        <v>4776</v>
      </c>
      <c r="D2531" s="83">
        <f>SUMIFS(D2532:D6462,K2532:K6462,"0",B2532:B6462,"5 1 1 3 4 12 31111 6 M59 10300 000132 0000R 00001 00134*")-SUMIFS(E2532:E6462,K2532:K6462,"0",B2532:B6462,"5 1 1 3 4 12 31111 6 M59 10300 000132 0000R 00001 00134*")</f>
        <v>0</v>
      </c>
      <c r="E2531" s="54"/>
      <c r="F2531" s="83">
        <f>SUMIFS(F2532:F6462,K2532:K6462,"0",B2532:B6462,"5 1 1 3 4 12 31111 6 M59 10300 000132 0000R 00001 00134*")</f>
        <v>1500</v>
      </c>
      <c r="G2531" s="83">
        <f>SUMIFS(G2532:G6462,K2532:K6462,"0",B2532:B6462,"5 1 1 3 4 12 31111 6 M59 10300 000132 0000R 00001 00134*")</f>
        <v>0</v>
      </c>
      <c r="H2531" s="83">
        <f t="shared" si="39"/>
        <v>1500</v>
      </c>
      <c r="I2531" s="83"/>
      <c r="K2531" s="54" t="s">
        <v>15</v>
      </c>
    </row>
    <row r="2532" spans="2:11" ht="33" x14ac:dyDescent="0.2">
      <c r="B2532" s="82" t="s">
        <v>4800</v>
      </c>
      <c r="C2532" s="82" t="s">
        <v>1051</v>
      </c>
      <c r="D2532" s="83">
        <f>SUMIFS(D2533:D6462,K2533:K6462,"0",B2533:B6462,"5 1 1 3 4 12 31111 6 M59 10300 000132 0000R 00001 00134 015*")-SUMIFS(E2533:E6462,K2533:K6462,"0",B2533:B6462,"5 1 1 3 4 12 31111 6 M59 10300 000132 0000R 00001 00134 015*")</f>
        <v>0</v>
      </c>
      <c r="E2532" s="54"/>
      <c r="F2532" s="83">
        <f>SUMIFS(F2533:F6462,K2533:K6462,"0",B2533:B6462,"5 1 1 3 4 12 31111 6 M59 10300 000132 0000R 00001 00134 015*")</f>
        <v>1500</v>
      </c>
      <c r="G2532" s="83">
        <f>SUMIFS(G2533:G6462,K2533:K6462,"0",B2533:B6462,"5 1 1 3 4 12 31111 6 M59 10300 000132 0000R 00001 00134 015*")</f>
        <v>0</v>
      </c>
      <c r="H2532" s="83">
        <f t="shared" si="39"/>
        <v>1500</v>
      </c>
      <c r="I2532" s="83"/>
      <c r="K2532" s="54" t="s">
        <v>15</v>
      </c>
    </row>
    <row r="2533" spans="2:11" ht="33" x14ac:dyDescent="0.2">
      <c r="B2533" s="82" t="s">
        <v>4801</v>
      </c>
      <c r="C2533" s="82" t="s">
        <v>2927</v>
      </c>
      <c r="D2533" s="83">
        <f>SUMIFS(D2534:D6462,K2534:K6462,"0",B2534:B6462,"5 1 1 3 4 12 31111 6 M59 10300 000132 0000R 00001 00134 015 2111100*")-SUMIFS(E2534:E6462,K2534:K6462,"0",B2534:B6462,"5 1 1 3 4 12 31111 6 M59 10300 000132 0000R 00001 00134 015 2111100*")</f>
        <v>0</v>
      </c>
      <c r="E2533" s="54"/>
      <c r="F2533" s="83">
        <f>SUMIFS(F2534:F6462,K2534:K6462,"0",B2534:B6462,"5 1 1 3 4 12 31111 6 M59 10300 000132 0000R 00001 00134 015 2111100*")</f>
        <v>1500</v>
      </c>
      <c r="G2533" s="83">
        <f>SUMIFS(G2534:G6462,K2534:K6462,"0",B2534:B6462,"5 1 1 3 4 12 31111 6 M59 10300 000132 0000R 00001 00134 015 2111100*")</f>
        <v>0</v>
      </c>
      <c r="H2533" s="83">
        <f t="shared" si="39"/>
        <v>1500</v>
      </c>
      <c r="I2533" s="83"/>
      <c r="K2533" s="54" t="s">
        <v>15</v>
      </c>
    </row>
    <row r="2534" spans="2:11" ht="33" x14ac:dyDescent="0.2">
      <c r="B2534" s="82" t="s">
        <v>4802</v>
      </c>
      <c r="C2534" s="82" t="s">
        <v>660</v>
      </c>
      <c r="D2534" s="83">
        <f>SUMIFS(D2535:D6462,K2535:K6462,"0",B2535:B6462,"5 1 1 3 4 12 31111 6 M59 10300 000132 0000R 00001 00134 015 2111100 2024*")-SUMIFS(E2535:E6462,K2535:K6462,"0",B2535:B6462,"5 1 1 3 4 12 31111 6 M59 10300 000132 0000R 00001 00134 015 2111100 2024*")</f>
        <v>0</v>
      </c>
      <c r="E2534" s="54"/>
      <c r="F2534" s="83">
        <f>SUMIFS(F2535:F6462,K2535:K6462,"0",B2535:B6462,"5 1 1 3 4 12 31111 6 M59 10300 000132 0000R 00001 00134 015 2111100 2024*")</f>
        <v>1500</v>
      </c>
      <c r="G2534" s="83">
        <f>SUMIFS(G2535:G6462,K2535:K6462,"0",B2535:B6462,"5 1 1 3 4 12 31111 6 M59 10300 000132 0000R 00001 00134 015 2111100 2024*")</f>
        <v>0</v>
      </c>
      <c r="H2534" s="83">
        <f t="shared" si="39"/>
        <v>1500</v>
      </c>
      <c r="I2534" s="83"/>
      <c r="K2534" s="54" t="s">
        <v>15</v>
      </c>
    </row>
    <row r="2535" spans="2:11" ht="41.25" x14ac:dyDescent="0.2">
      <c r="B2535" s="82" t="s">
        <v>4803</v>
      </c>
      <c r="C2535" s="82" t="s">
        <v>2955</v>
      </c>
      <c r="D2535" s="83">
        <f>SUMIFS(D2536:D6462,K2536:K6462,"0",B2536:B6462,"5 1 1 3 4 12 31111 6 M59 10300 000132 0000R 00001 00134 015 2111100 2024 CP1GE413*")-SUMIFS(E2536:E6462,K2536:K6462,"0",B2536:B6462,"5 1 1 3 4 12 31111 6 M59 10300 000132 0000R 00001 00134 015 2111100 2024 CP1GE413*")</f>
        <v>0</v>
      </c>
      <c r="E2535" s="54"/>
      <c r="F2535" s="83">
        <f>SUMIFS(F2536:F6462,K2536:K6462,"0",B2536:B6462,"5 1 1 3 4 12 31111 6 M59 10300 000132 0000R 00001 00134 015 2111100 2024 CP1GE413*")</f>
        <v>1500</v>
      </c>
      <c r="G2535" s="83">
        <f>SUMIFS(G2536:G6462,K2536:K6462,"0",B2536:B6462,"5 1 1 3 4 12 31111 6 M59 10300 000132 0000R 00001 00134 015 2111100 2024 CP1GE413*")</f>
        <v>0</v>
      </c>
      <c r="H2535" s="83">
        <f t="shared" si="39"/>
        <v>1500</v>
      </c>
      <c r="I2535" s="83"/>
      <c r="K2535" s="54" t="s">
        <v>15</v>
      </c>
    </row>
    <row r="2536" spans="2:11" ht="41.25" x14ac:dyDescent="0.2">
      <c r="B2536" s="82" t="s">
        <v>4804</v>
      </c>
      <c r="C2536" s="82" t="s">
        <v>282</v>
      </c>
      <c r="D2536" s="83">
        <f>SUMIFS(D2537:D6462,K2537:K6462,"0",B2537:B6462,"5 1 1 3 4 12 31111 6 M59 10300 000132 0000R 00001 00134 015 2111100 2024 CP1GE413 001*")-SUMIFS(E2537:E6462,K2537:K6462,"0",B2537:B6462,"5 1 1 3 4 12 31111 6 M59 10300 000132 0000R 00001 00134 015 2111100 2024 CP1GE413 001*")</f>
        <v>0</v>
      </c>
      <c r="E2536" s="54"/>
      <c r="F2536" s="83">
        <f>SUMIFS(F2537:F6462,K2537:K6462,"0",B2537:B6462,"5 1 1 3 4 12 31111 6 M59 10300 000132 0000R 00001 00134 015 2111100 2024 CP1GE413 001*")</f>
        <v>1500</v>
      </c>
      <c r="G2536" s="83">
        <f>SUMIFS(G2537:G6462,K2537:K6462,"0",B2537:B6462,"5 1 1 3 4 12 31111 6 M59 10300 000132 0000R 00001 00134 015 2111100 2024 CP1GE413 001*")</f>
        <v>0</v>
      </c>
      <c r="H2536" s="83">
        <f t="shared" si="39"/>
        <v>1500</v>
      </c>
      <c r="I2536" s="83"/>
      <c r="K2536" s="54" t="s">
        <v>15</v>
      </c>
    </row>
    <row r="2537" spans="2:11" ht="33" x14ac:dyDescent="0.2">
      <c r="B2537" s="84" t="s">
        <v>4805</v>
      </c>
      <c r="C2537" s="84" t="s">
        <v>4806</v>
      </c>
      <c r="D2537" s="85">
        <v>0</v>
      </c>
      <c r="E2537" s="85"/>
      <c r="F2537" s="85">
        <v>1500</v>
      </c>
      <c r="G2537" s="85">
        <v>0</v>
      </c>
      <c r="H2537" s="85">
        <f t="shared" si="39"/>
        <v>1500</v>
      </c>
      <c r="I2537" s="85"/>
      <c r="K2537" s="54" t="s">
        <v>38</v>
      </c>
    </row>
    <row r="2538" spans="2:11" ht="16.5" x14ac:dyDescent="0.2">
      <c r="B2538" s="82" t="s">
        <v>4807</v>
      </c>
      <c r="C2538" s="82" t="s">
        <v>2971</v>
      </c>
      <c r="D2538" s="83">
        <f>SUMIFS(D2539:D6462,K2539:K6462,"0",B2539:B6462,"5 1 1 3 4 12 31111 6 M59 10500*")-SUMIFS(E2539:E6462,K2539:K6462,"0",B2539:B6462,"5 1 1 3 4 12 31111 6 M59 10500*")</f>
        <v>0</v>
      </c>
      <c r="E2538" s="54"/>
      <c r="F2538" s="83">
        <f>SUMIFS(F2539:F6462,K2539:K6462,"0",B2539:B6462,"5 1 1 3 4 12 31111 6 M59 10500*")</f>
        <v>107103.36</v>
      </c>
      <c r="G2538" s="83">
        <f>SUMIFS(G2539:G6462,K2539:K6462,"0",B2539:B6462,"5 1 1 3 4 12 31111 6 M59 10500*")</f>
        <v>0</v>
      </c>
      <c r="H2538" s="83">
        <f t="shared" si="39"/>
        <v>107103.36</v>
      </c>
      <c r="I2538" s="83"/>
      <c r="K2538" s="54" t="s">
        <v>15</v>
      </c>
    </row>
    <row r="2539" spans="2:11" ht="16.5" x14ac:dyDescent="0.2">
      <c r="B2539" s="82" t="s">
        <v>4808</v>
      </c>
      <c r="C2539" s="82" t="s">
        <v>648</v>
      </c>
      <c r="D2539" s="83">
        <f>SUMIFS(D2540:D6462,K2540:K6462,"0",B2540:B6462,"5 1 1 3 4 12 31111 6 M59 10500 000132*")-SUMIFS(E2540:E6462,K2540:K6462,"0",B2540:B6462,"5 1 1 3 4 12 31111 6 M59 10500 000132*")</f>
        <v>0</v>
      </c>
      <c r="E2539" s="54"/>
      <c r="F2539" s="83">
        <f>SUMIFS(F2540:F6462,K2540:K6462,"0",B2540:B6462,"5 1 1 3 4 12 31111 6 M59 10500 000132*")</f>
        <v>107103.36</v>
      </c>
      <c r="G2539" s="83">
        <f>SUMIFS(G2540:G6462,K2540:K6462,"0",B2540:B6462,"5 1 1 3 4 12 31111 6 M59 10500 000132*")</f>
        <v>0</v>
      </c>
      <c r="H2539" s="83">
        <f t="shared" ref="H2539:H2602" si="40">D2539 + F2539 - G2539</f>
        <v>107103.36</v>
      </c>
      <c r="I2539" s="83"/>
      <c r="K2539" s="54" t="s">
        <v>15</v>
      </c>
    </row>
    <row r="2540" spans="2:11" ht="24.75" x14ac:dyDescent="0.2">
      <c r="B2540" s="82" t="s">
        <v>4809</v>
      </c>
      <c r="C2540" s="82" t="s">
        <v>650</v>
      </c>
      <c r="D2540" s="83">
        <f>SUMIFS(D2541:D6462,K2541:K6462,"0",B2541:B6462,"5 1 1 3 4 12 31111 6 M59 10500 000132 0000R*")-SUMIFS(E2541:E6462,K2541:K6462,"0",B2541:B6462,"5 1 1 3 4 12 31111 6 M59 10500 000132 0000R*")</f>
        <v>0</v>
      </c>
      <c r="E2540" s="54"/>
      <c r="F2540" s="83">
        <f>SUMIFS(F2541:F6462,K2541:K6462,"0",B2541:B6462,"5 1 1 3 4 12 31111 6 M59 10500 000132 0000R*")</f>
        <v>107103.36</v>
      </c>
      <c r="G2540" s="83">
        <f>SUMIFS(G2541:G6462,K2541:K6462,"0",B2541:B6462,"5 1 1 3 4 12 31111 6 M59 10500 000132 0000R*")</f>
        <v>0</v>
      </c>
      <c r="H2540" s="83">
        <f t="shared" si="40"/>
        <v>107103.36</v>
      </c>
      <c r="I2540" s="83"/>
      <c r="K2540" s="54" t="s">
        <v>15</v>
      </c>
    </row>
    <row r="2541" spans="2:11" ht="24.75" x14ac:dyDescent="0.2">
      <c r="B2541" s="82" t="s">
        <v>4810</v>
      </c>
      <c r="C2541" s="82" t="s">
        <v>282</v>
      </c>
      <c r="D2541" s="83">
        <f>SUMIFS(D2542:D6462,K2542:K6462,"0",B2542:B6462,"5 1 1 3 4 12 31111 6 M59 10500 000132 0000R 00001*")-SUMIFS(E2542:E6462,K2542:K6462,"0",B2542:B6462,"5 1 1 3 4 12 31111 6 M59 10500 000132 0000R 00001*")</f>
        <v>0</v>
      </c>
      <c r="E2541" s="54"/>
      <c r="F2541" s="83">
        <f>SUMIFS(F2542:F6462,K2542:K6462,"0",B2542:B6462,"5 1 1 3 4 12 31111 6 M59 10500 000132 0000R 00001*")</f>
        <v>107103.36</v>
      </c>
      <c r="G2541" s="83">
        <f>SUMIFS(G2542:G6462,K2542:K6462,"0",B2542:B6462,"5 1 1 3 4 12 31111 6 M59 10500 000132 0000R 00001*")</f>
        <v>0</v>
      </c>
      <c r="H2541" s="83">
        <f t="shared" si="40"/>
        <v>107103.36</v>
      </c>
      <c r="I2541" s="83"/>
      <c r="K2541" s="54" t="s">
        <v>15</v>
      </c>
    </row>
    <row r="2542" spans="2:11" ht="24.75" x14ac:dyDescent="0.2">
      <c r="B2542" s="82" t="s">
        <v>4811</v>
      </c>
      <c r="C2542" s="82" t="s">
        <v>4776</v>
      </c>
      <c r="D2542" s="83">
        <f>SUMIFS(D2543:D6462,K2543:K6462,"0",B2543:B6462,"5 1 1 3 4 12 31111 6 M59 10500 000132 0000R 00001 00134*")-SUMIFS(E2543:E6462,K2543:K6462,"0",B2543:B6462,"5 1 1 3 4 12 31111 6 M59 10500 000132 0000R 00001 00134*")</f>
        <v>0</v>
      </c>
      <c r="E2542" s="54"/>
      <c r="F2542" s="83">
        <f>SUMIFS(F2543:F6462,K2543:K6462,"0",B2543:B6462,"5 1 1 3 4 12 31111 6 M59 10500 000132 0000R 00001 00134*")</f>
        <v>107103.36</v>
      </c>
      <c r="G2542" s="83">
        <f>SUMIFS(G2543:G6462,K2543:K6462,"0",B2543:B6462,"5 1 1 3 4 12 31111 6 M59 10500 000132 0000R 00001 00134*")</f>
        <v>0</v>
      </c>
      <c r="H2542" s="83">
        <f t="shared" si="40"/>
        <v>107103.36</v>
      </c>
      <c r="I2542" s="83"/>
      <c r="K2542" s="54" t="s">
        <v>15</v>
      </c>
    </row>
    <row r="2543" spans="2:11" ht="33" x14ac:dyDescent="0.2">
      <c r="B2543" s="82" t="s">
        <v>4812</v>
      </c>
      <c r="C2543" s="82" t="s">
        <v>1051</v>
      </c>
      <c r="D2543" s="83">
        <f>SUMIFS(D2544:D6462,K2544:K6462,"0",B2544:B6462,"5 1 1 3 4 12 31111 6 M59 10500 000132 0000R 00001 00134 015*")-SUMIFS(E2544:E6462,K2544:K6462,"0",B2544:B6462,"5 1 1 3 4 12 31111 6 M59 10500 000132 0000R 00001 00134 015*")</f>
        <v>0</v>
      </c>
      <c r="E2543" s="54"/>
      <c r="F2543" s="83">
        <f>SUMIFS(F2544:F6462,K2544:K6462,"0",B2544:B6462,"5 1 1 3 4 12 31111 6 M59 10500 000132 0000R 00001 00134 015*")</f>
        <v>107103.36</v>
      </c>
      <c r="G2543" s="83">
        <f>SUMIFS(G2544:G6462,K2544:K6462,"0",B2544:B6462,"5 1 1 3 4 12 31111 6 M59 10500 000132 0000R 00001 00134 015*")</f>
        <v>0</v>
      </c>
      <c r="H2543" s="83">
        <f t="shared" si="40"/>
        <v>107103.36</v>
      </c>
      <c r="I2543" s="83"/>
      <c r="K2543" s="54" t="s">
        <v>15</v>
      </c>
    </row>
    <row r="2544" spans="2:11" ht="33" x14ac:dyDescent="0.2">
      <c r="B2544" s="82" t="s">
        <v>4813</v>
      </c>
      <c r="C2544" s="82" t="s">
        <v>2927</v>
      </c>
      <c r="D2544" s="83">
        <f>SUMIFS(D2545:D6462,K2545:K6462,"0",B2545:B6462,"5 1 1 3 4 12 31111 6 M59 10500 000132 0000R 00001 00134 015 2111100*")-SUMIFS(E2545:E6462,K2545:K6462,"0",B2545:B6462,"5 1 1 3 4 12 31111 6 M59 10500 000132 0000R 00001 00134 015 2111100*")</f>
        <v>0</v>
      </c>
      <c r="E2544" s="54"/>
      <c r="F2544" s="83">
        <f>SUMIFS(F2545:F6462,K2545:K6462,"0",B2545:B6462,"5 1 1 3 4 12 31111 6 M59 10500 000132 0000R 00001 00134 015 2111100*")</f>
        <v>107103.36</v>
      </c>
      <c r="G2544" s="83">
        <f>SUMIFS(G2545:G6462,K2545:K6462,"0",B2545:B6462,"5 1 1 3 4 12 31111 6 M59 10500 000132 0000R 00001 00134 015 2111100*")</f>
        <v>0</v>
      </c>
      <c r="H2544" s="83">
        <f t="shared" si="40"/>
        <v>107103.36</v>
      </c>
      <c r="I2544" s="83"/>
      <c r="K2544" s="54" t="s">
        <v>15</v>
      </c>
    </row>
    <row r="2545" spans="2:11" ht="33" x14ac:dyDescent="0.2">
      <c r="B2545" s="82" t="s">
        <v>4814</v>
      </c>
      <c r="C2545" s="82" t="s">
        <v>660</v>
      </c>
      <c r="D2545" s="83">
        <f>SUMIFS(D2546:D6462,K2546:K6462,"0",B2546:B6462,"5 1 1 3 4 12 31111 6 M59 10500 000132 0000R 00001 00134 015 2111100 2024*")-SUMIFS(E2546:E6462,K2546:K6462,"0",B2546:B6462,"5 1 1 3 4 12 31111 6 M59 10500 000132 0000R 00001 00134 015 2111100 2024*")</f>
        <v>0</v>
      </c>
      <c r="E2545" s="54"/>
      <c r="F2545" s="83">
        <f>SUMIFS(F2546:F6462,K2546:K6462,"0",B2546:B6462,"5 1 1 3 4 12 31111 6 M59 10500 000132 0000R 00001 00134 015 2111100 2024*")</f>
        <v>107103.36</v>
      </c>
      <c r="G2545" s="83">
        <f>SUMIFS(G2546:G6462,K2546:K6462,"0",B2546:B6462,"5 1 1 3 4 12 31111 6 M59 10500 000132 0000R 00001 00134 015 2111100 2024*")</f>
        <v>0</v>
      </c>
      <c r="H2545" s="83">
        <f t="shared" si="40"/>
        <v>107103.36</v>
      </c>
      <c r="I2545" s="83"/>
      <c r="K2545" s="54" t="s">
        <v>15</v>
      </c>
    </row>
    <row r="2546" spans="2:11" ht="41.25" x14ac:dyDescent="0.2">
      <c r="B2546" s="82" t="s">
        <v>4815</v>
      </c>
      <c r="C2546" s="82" t="s">
        <v>1056</v>
      </c>
      <c r="D2546" s="83">
        <f>SUMIFS(D2547:D6462,K2547:K6462,"0",B2547:B6462,"5 1 1 3 4 12 31111 6 M59 10500 000132 0000R 00001 00134 015 2111100 2024 CP1CS421*")-SUMIFS(E2547:E6462,K2547:K6462,"0",B2547:B6462,"5 1 1 3 4 12 31111 6 M59 10500 000132 0000R 00001 00134 015 2111100 2024 CP1CS421*")</f>
        <v>0</v>
      </c>
      <c r="E2546" s="54"/>
      <c r="F2546" s="83">
        <f>SUMIFS(F2547:F6462,K2547:K6462,"0",B2547:B6462,"5 1 1 3 4 12 31111 6 M59 10500 000132 0000R 00001 00134 015 2111100 2024 CP1CS421*")</f>
        <v>107103.36</v>
      </c>
      <c r="G2546" s="83">
        <f>SUMIFS(G2547:G6462,K2547:K6462,"0",B2547:B6462,"5 1 1 3 4 12 31111 6 M59 10500 000132 0000R 00001 00134 015 2111100 2024 CP1CS421*")</f>
        <v>0</v>
      </c>
      <c r="H2546" s="83">
        <f t="shared" si="40"/>
        <v>107103.36</v>
      </c>
      <c r="I2546" s="83"/>
      <c r="K2546" s="54" t="s">
        <v>15</v>
      </c>
    </row>
    <row r="2547" spans="2:11" ht="41.25" x14ac:dyDescent="0.2">
      <c r="B2547" s="82" t="s">
        <v>4816</v>
      </c>
      <c r="C2547" s="82" t="s">
        <v>282</v>
      </c>
      <c r="D2547" s="83">
        <f>SUMIFS(D2548:D6462,K2548:K6462,"0",B2548:B6462,"5 1 1 3 4 12 31111 6 M59 10500 000132 0000R 00001 00134 015 2111100 2024 CP1CS421 001*")-SUMIFS(E2548:E6462,K2548:K6462,"0",B2548:B6462,"5 1 1 3 4 12 31111 6 M59 10500 000132 0000R 00001 00134 015 2111100 2024 CP1CS421 001*")</f>
        <v>0</v>
      </c>
      <c r="E2547" s="54"/>
      <c r="F2547" s="83">
        <f>SUMIFS(F2548:F6462,K2548:K6462,"0",B2548:B6462,"5 1 1 3 4 12 31111 6 M59 10500 000132 0000R 00001 00134 015 2111100 2024 CP1CS421 001*")</f>
        <v>107103.36</v>
      </c>
      <c r="G2547" s="83">
        <f>SUMIFS(G2548:G6462,K2548:K6462,"0",B2548:B6462,"5 1 1 3 4 12 31111 6 M59 10500 000132 0000R 00001 00134 015 2111100 2024 CP1CS421 001*")</f>
        <v>0</v>
      </c>
      <c r="H2547" s="83">
        <f t="shared" si="40"/>
        <v>107103.36</v>
      </c>
      <c r="I2547" s="83"/>
      <c r="K2547" s="54" t="s">
        <v>15</v>
      </c>
    </row>
    <row r="2548" spans="2:11" ht="33" x14ac:dyDescent="0.2">
      <c r="B2548" s="84" t="s">
        <v>4817</v>
      </c>
      <c r="C2548" s="84" t="s">
        <v>4783</v>
      </c>
      <c r="D2548" s="85">
        <v>0</v>
      </c>
      <c r="E2548" s="85"/>
      <c r="F2548" s="85">
        <v>107103.36</v>
      </c>
      <c r="G2548" s="85">
        <v>0</v>
      </c>
      <c r="H2548" s="85">
        <f t="shared" si="40"/>
        <v>107103.36</v>
      </c>
      <c r="I2548" s="85"/>
      <c r="K2548" s="54" t="s">
        <v>38</v>
      </c>
    </row>
    <row r="2549" spans="2:11" ht="16.5" x14ac:dyDescent="0.2">
      <c r="B2549" s="82" t="s">
        <v>4818</v>
      </c>
      <c r="C2549" s="82" t="s">
        <v>2996</v>
      </c>
      <c r="D2549" s="83">
        <f>SUMIFS(D2550:D6462,K2550:K6462,"0",B2550:B6462,"5 1 1 3 4 12 31111 6 M59 10700*")-SUMIFS(E2550:E6462,K2550:K6462,"0",B2550:B6462,"5 1 1 3 4 12 31111 6 M59 10700*")</f>
        <v>0</v>
      </c>
      <c r="E2549" s="54"/>
      <c r="F2549" s="83">
        <f>SUMIFS(F2550:F6462,K2550:K6462,"0",B2550:B6462,"5 1 1 3 4 12 31111 6 M59 10700*")</f>
        <v>117100</v>
      </c>
      <c r="G2549" s="83">
        <f>SUMIFS(G2550:G6462,K2550:K6462,"0",B2550:B6462,"5 1 1 3 4 12 31111 6 M59 10700*")</f>
        <v>0</v>
      </c>
      <c r="H2549" s="83">
        <f t="shared" si="40"/>
        <v>117100</v>
      </c>
      <c r="I2549" s="83"/>
      <c r="K2549" s="54" t="s">
        <v>15</v>
      </c>
    </row>
    <row r="2550" spans="2:11" ht="16.5" x14ac:dyDescent="0.2">
      <c r="B2550" s="82" t="s">
        <v>4819</v>
      </c>
      <c r="C2550" s="82" t="s">
        <v>648</v>
      </c>
      <c r="D2550" s="83">
        <f>SUMIFS(D2551:D6462,K2551:K6462,"0",B2551:B6462,"5 1 1 3 4 12 31111 6 M59 10700 000132*")-SUMIFS(E2551:E6462,K2551:K6462,"0",B2551:B6462,"5 1 1 3 4 12 31111 6 M59 10700 000132*")</f>
        <v>0</v>
      </c>
      <c r="E2550" s="54"/>
      <c r="F2550" s="83">
        <f>SUMIFS(F2551:F6462,K2551:K6462,"0",B2551:B6462,"5 1 1 3 4 12 31111 6 M59 10700 000132*")</f>
        <v>117100</v>
      </c>
      <c r="G2550" s="83">
        <f>SUMIFS(G2551:G6462,K2551:K6462,"0",B2551:B6462,"5 1 1 3 4 12 31111 6 M59 10700 000132*")</f>
        <v>0</v>
      </c>
      <c r="H2550" s="83">
        <f t="shared" si="40"/>
        <v>117100</v>
      </c>
      <c r="I2550" s="83"/>
      <c r="K2550" s="54" t="s">
        <v>15</v>
      </c>
    </row>
    <row r="2551" spans="2:11" ht="24.75" x14ac:dyDescent="0.2">
      <c r="B2551" s="82" t="s">
        <v>4820</v>
      </c>
      <c r="C2551" s="82" t="s">
        <v>650</v>
      </c>
      <c r="D2551" s="83">
        <f>SUMIFS(D2552:D6462,K2552:K6462,"0",B2552:B6462,"5 1 1 3 4 12 31111 6 M59 10700 000132 0000R*")-SUMIFS(E2552:E6462,K2552:K6462,"0",B2552:B6462,"5 1 1 3 4 12 31111 6 M59 10700 000132 0000R*")</f>
        <v>0</v>
      </c>
      <c r="E2551" s="54"/>
      <c r="F2551" s="83">
        <f>SUMIFS(F2552:F6462,K2552:K6462,"0",B2552:B6462,"5 1 1 3 4 12 31111 6 M59 10700 000132 0000R*")</f>
        <v>117100</v>
      </c>
      <c r="G2551" s="83">
        <f>SUMIFS(G2552:G6462,K2552:K6462,"0",B2552:B6462,"5 1 1 3 4 12 31111 6 M59 10700 000132 0000R*")</f>
        <v>0</v>
      </c>
      <c r="H2551" s="83">
        <f t="shared" si="40"/>
        <v>117100</v>
      </c>
      <c r="I2551" s="83"/>
      <c r="K2551" s="54" t="s">
        <v>15</v>
      </c>
    </row>
    <row r="2552" spans="2:11" ht="24.75" x14ac:dyDescent="0.2">
      <c r="B2552" s="82" t="s">
        <v>4821</v>
      </c>
      <c r="C2552" s="82" t="s">
        <v>282</v>
      </c>
      <c r="D2552" s="83">
        <f>SUMIFS(D2553:D6462,K2553:K6462,"0",B2553:B6462,"5 1 1 3 4 12 31111 6 M59 10700 000132 0000R 00001*")-SUMIFS(E2553:E6462,K2553:K6462,"0",B2553:B6462,"5 1 1 3 4 12 31111 6 M59 10700 000132 0000R 00001*")</f>
        <v>0</v>
      </c>
      <c r="E2552" s="54"/>
      <c r="F2552" s="83">
        <f>SUMIFS(F2553:F6462,K2553:K6462,"0",B2553:B6462,"5 1 1 3 4 12 31111 6 M59 10700 000132 0000R 00001*")</f>
        <v>117100</v>
      </c>
      <c r="G2552" s="83">
        <f>SUMIFS(G2553:G6462,K2553:K6462,"0",B2553:B6462,"5 1 1 3 4 12 31111 6 M59 10700 000132 0000R 00001*")</f>
        <v>0</v>
      </c>
      <c r="H2552" s="83">
        <f t="shared" si="40"/>
        <v>117100</v>
      </c>
      <c r="I2552" s="83"/>
      <c r="K2552" s="54" t="s">
        <v>15</v>
      </c>
    </row>
    <row r="2553" spans="2:11" ht="24.75" x14ac:dyDescent="0.2">
      <c r="B2553" s="82" t="s">
        <v>4822</v>
      </c>
      <c r="C2553" s="82" t="s">
        <v>4776</v>
      </c>
      <c r="D2553" s="83">
        <f>SUMIFS(D2554:D6462,K2554:K6462,"0",B2554:B6462,"5 1 1 3 4 12 31111 6 M59 10700 000132 0000R 00001 00134*")-SUMIFS(E2554:E6462,K2554:K6462,"0",B2554:B6462,"5 1 1 3 4 12 31111 6 M59 10700 000132 0000R 00001 00134*")</f>
        <v>0</v>
      </c>
      <c r="E2553" s="54"/>
      <c r="F2553" s="83">
        <f>SUMIFS(F2554:F6462,K2554:K6462,"0",B2554:B6462,"5 1 1 3 4 12 31111 6 M59 10700 000132 0000R 00001 00134*")</f>
        <v>117100</v>
      </c>
      <c r="G2553" s="83">
        <f>SUMIFS(G2554:G6462,K2554:K6462,"0",B2554:B6462,"5 1 1 3 4 12 31111 6 M59 10700 000132 0000R 00001 00134*")</f>
        <v>0</v>
      </c>
      <c r="H2553" s="83">
        <f t="shared" si="40"/>
        <v>117100</v>
      </c>
      <c r="I2553" s="83"/>
      <c r="K2553" s="54" t="s">
        <v>15</v>
      </c>
    </row>
    <row r="2554" spans="2:11" ht="33" x14ac:dyDescent="0.2">
      <c r="B2554" s="82" t="s">
        <v>4823</v>
      </c>
      <c r="C2554" s="82" t="s">
        <v>1051</v>
      </c>
      <c r="D2554" s="83">
        <f>SUMIFS(D2555:D6462,K2555:K6462,"0",B2555:B6462,"5 1 1 3 4 12 31111 6 M59 10700 000132 0000R 00001 00134 015*")-SUMIFS(E2555:E6462,K2555:K6462,"0",B2555:B6462,"5 1 1 3 4 12 31111 6 M59 10700 000132 0000R 00001 00134 015*")</f>
        <v>0</v>
      </c>
      <c r="E2554" s="54"/>
      <c r="F2554" s="83">
        <f>SUMIFS(F2555:F6462,K2555:K6462,"0",B2555:B6462,"5 1 1 3 4 12 31111 6 M59 10700 000132 0000R 00001 00134 015*")</f>
        <v>117100</v>
      </c>
      <c r="G2554" s="83">
        <f>SUMIFS(G2555:G6462,K2555:K6462,"0",B2555:B6462,"5 1 1 3 4 12 31111 6 M59 10700 000132 0000R 00001 00134 015*")</f>
        <v>0</v>
      </c>
      <c r="H2554" s="83">
        <f t="shared" si="40"/>
        <v>117100</v>
      </c>
      <c r="I2554" s="83"/>
      <c r="K2554" s="54" t="s">
        <v>15</v>
      </c>
    </row>
    <row r="2555" spans="2:11" ht="33" x14ac:dyDescent="0.2">
      <c r="B2555" s="82" t="s">
        <v>4824</v>
      </c>
      <c r="C2555" s="82" t="s">
        <v>2927</v>
      </c>
      <c r="D2555" s="83">
        <f>SUMIFS(D2556:D6462,K2556:K6462,"0",B2556:B6462,"5 1 1 3 4 12 31111 6 M59 10700 000132 0000R 00001 00134 015 2111100*")-SUMIFS(E2556:E6462,K2556:K6462,"0",B2556:B6462,"5 1 1 3 4 12 31111 6 M59 10700 000132 0000R 00001 00134 015 2111100*")</f>
        <v>0</v>
      </c>
      <c r="E2555" s="54"/>
      <c r="F2555" s="83">
        <f>SUMIFS(F2556:F6462,K2556:K6462,"0",B2556:B6462,"5 1 1 3 4 12 31111 6 M59 10700 000132 0000R 00001 00134 015 2111100*")</f>
        <v>117100</v>
      </c>
      <c r="G2555" s="83">
        <f>SUMIFS(G2556:G6462,K2556:K6462,"0",B2556:B6462,"5 1 1 3 4 12 31111 6 M59 10700 000132 0000R 00001 00134 015 2111100*")</f>
        <v>0</v>
      </c>
      <c r="H2555" s="83">
        <f t="shared" si="40"/>
        <v>117100</v>
      </c>
      <c r="I2555" s="83"/>
      <c r="K2555" s="54" t="s">
        <v>15</v>
      </c>
    </row>
    <row r="2556" spans="2:11" ht="33" x14ac:dyDescent="0.2">
      <c r="B2556" s="82" t="s">
        <v>4825</v>
      </c>
      <c r="C2556" s="82" t="s">
        <v>660</v>
      </c>
      <c r="D2556" s="83">
        <f>SUMIFS(D2557:D6462,K2557:K6462,"0",B2557:B6462,"5 1 1 3 4 12 31111 6 M59 10700 000132 0000R 00001 00134 015 2111100 2024*")-SUMIFS(E2557:E6462,K2557:K6462,"0",B2557:B6462,"5 1 1 3 4 12 31111 6 M59 10700 000132 0000R 00001 00134 015 2111100 2024*")</f>
        <v>0</v>
      </c>
      <c r="E2556" s="54"/>
      <c r="F2556" s="83">
        <f>SUMIFS(F2557:F6462,K2557:K6462,"0",B2557:B6462,"5 1 1 3 4 12 31111 6 M59 10700 000132 0000R 00001 00134 015 2111100 2024*")</f>
        <v>117100</v>
      </c>
      <c r="G2556" s="83">
        <f>SUMIFS(G2557:G6462,K2557:K6462,"0",B2557:B6462,"5 1 1 3 4 12 31111 6 M59 10700 000132 0000R 00001 00134 015 2111100 2024*")</f>
        <v>0</v>
      </c>
      <c r="H2556" s="83">
        <f t="shared" si="40"/>
        <v>117100</v>
      </c>
      <c r="I2556" s="83"/>
      <c r="K2556" s="54" t="s">
        <v>15</v>
      </c>
    </row>
    <row r="2557" spans="2:11" ht="41.25" x14ac:dyDescent="0.2">
      <c r="B2557" s="82" t="s">
        <v>4826</v>
      </c>
      <c r="C2557" s="82" t="s">
        <v>1056</v>
      </c>
      <c r="D2557" s="83">
        <f>SUMIFS(D2558:D6462,K2558:K6462,"0",B2558:B6462,"5 1 1 3 4 12 31111 6 M59 10700 000132 0000R 00001 00134 015 2111100 2024 CP1GB435*")-SUMIFS(E2558:E6462,K2558:K6462,"0",B2558:B6462,"5 1 1 3 4 12 31111 6 M59 10700 000132 0000R 00001 00134 015 2111100 2024 CP1GB435*")</f>
        <v>0</v>
      </c>
      <c r="E2557" s="54"/>
      <c r="F2557" s="83">
        <f>SUMIFS(F2558:F6462,K2558:K6462,"0",B2558:B6462,"5 1 1 3 4 12 31111 6 M59 10700 000132 0000R 00001 00134 015 2111100 2024 CP1GB435*")</f>
        <v>117100</v>
      </c>
      <c r="G2557" s="83">
        <f>SUMIFS(G2558:G6462,K2558:K6462,"0",B2558:B6462,"5 1 1 3 4 12 31111 6 M59 10700 000132 0000R 00001 00134 015 2111100 2024 CP1GB435*")</f>
        <v>0</v>
      </c>
      <c r="H2557" s="83">
        <f t="shared" si="40"/>
        <v>117100</v>
      </c>
      <c r="I2557" s="83"/>
      <c r="K2557" s="54" t="s">
        <v>15</v>
      </c>
    </row>
    <row r="2558" spans="2:11" ht="41.25" x14ac:dyDescent="0.2">
      <c r="B2558" s="82" t="s">
        <v>4827</v>
      </c>
      <c r="C2558" s="82" t="s">
        <v>282</v>
      </c>
      <c r="D2558" s="83">
        <f>SUMIFS(D2559:D6462,K2559:K6462,"0",B2559:B6462,"5 1 1 3 4 12 31111 6 M59 10700 000132 0000R 00001 00134 015 2111100 2024 CP1GB435 001*")-SUMIFS(E2559:E6462,K2559:K6462,"0",B2559:B6462,"5 1 1 3 4 12 31111 6 M59 10700 000132 0000R 00001 00134 015 2111100 2024 CP1GB435 001*")</f>
        <v>0</v>
      </c>
      <c r="E2558" s="54"/>
      <c r="F2558" s="83">
        <f>SUMIFS(F2559:F6462,K2559:K6462,"0",B2559:B6462,"5 1 1 3 4 12 31111 6 M59 10700 000132 0000R 00001 00134 015 2111100 2024 CP1GB435 001*")</f>
        <v>117100</v>
      </c>
      <c r="G2558" s="83">
        <f>SUMIFS(G2559:G6462,K2559:K6462,"0",B2559:B6462,"5 1 1 3 4 12 31111 6 M59 10700 000132 0000R 00001 00134 015 2111100 2024 CP1GB435 001*")</f>
        <v>0</v>
      </c>
      <c r="H2558" s="83">
        <f t="shared" si="40"/>
        <v>117100</v>
      </c>
      <c r="I2558" s="83"/>
      <c r="K2558" s="54" t="s">
        <v>15</v>
      </c>
    </row>
    <row r="2559" spans="2:11" ht="33" x14ac:dyDescent="0.2">
      <c r="B2559" s="84" t="s">
        <v>4828</v>
      </c>
      <c r="C2559" s="84" t="s">
        <v>4783</v>
      </c>
      <c r="D2559" s="85">
        <v>0</v>
      </c>
      <c r="E2559" s="85"/>
      <c r="F2559" s="85">
        <v>117100</v>
      </c>
      <c r="G2559" s="85">
        <v>0</v>
      </c>
      <c r="H2559" s="85">
        <f t="shared" si="40"/>
        <v>117100</v>
      </c>
      <c r="I2559" s="85"/>
      <c r="K2559" s="54" t="s">
        <v>38</v>
      </c>
    </row>
    <row r="2560" spans="2:11" ht="16.5" x14ac:dyDescent="0.2">
      <c r="B2560" s="82" t="s">
        <v>4829</v>
      </c>
      <c r="C2560" s="82" t="s">
        <v>3008</v>
      </c>
      <c r="D2560" s="83">
        <f>SUMIFS(D2561:D6462,K2561:K6462,"0",B2561:B6462,"5 1 1 3 4 12 31111 6 M59 10800*")-SUMIFS(E2561:E6462,K2561:K6462,"0",B2561:B6462,"5 1 1 3 4 12 31111 6 M59 10800*")</f>
        <v>0</v>
      </c>
      <c r="E2560" s="54"/>
      <c r="F2560" s="83">
        <f>SUMIFS(F2561:F6462,K2561:K6462,"0",B2561:B6462,"5 1 1 3 4 12 31111 6 M59 10800*")</f>
        <v>148000</v>
      </c>
      <c r="G2560" s="83">
        <f>SUMIFS(G2561:G6462,K2561:K6462,"0",B2561:B6462,"5 1 1 3 4 12 31111 6 M59 10800*")</f>
        <v>0</v>
      </c>
      <c r="H2560" s="83">
        <f t="shared" si="40"/>
        <v>148000</v>
      </c>
      <c r="I2560" s="83"/>
      <c r="K2560" s="54" t="s">
        <v>15</v>
      </c>
    </row>
    <row r="2561" spans="2:11" ht="16.5" x14ac:dyDescent="0.2">
      <c r="B2561" s="82" t="s">
        <v>4830</v>
      </c>
      <c r="C2561" s="82" t="s">
        <v>648</v>
      </c>
      <c r="D2561" s="83">
        <f>SUMIFS(D2562:D6462,K2562:K6462,"0",B2562:B6462,"5 1 1 3 4 12 31111 6 M59 10800 000132*")-SUMIFS(E2562:E6462,K2562:K6462,"0",B2562:B6462,"5 1 1 3 4 12 31111 6 M59 10800 000132*")</f>
        <v>0</v>
      </c>
      <c r="E2561" s="54"/>
      <c r="F2561" s="83">
        <f>SUMIFS(F2562:F6462,K2562:K6462,"0",B2562:B6462,"5 1 1 3 4 12 31111 6 M59 10800 000132*")</f>
        <v>148000</v>
      </c>
      <c r="G2561" s="83">
        <f>SUMIFS(G2562:G6462,K2562:K6462,"0",B2562:B6462,"5 1 1 3 4 12 31111 6 M59 10800 000132*")</f>
        <v>0</v>
      </c>
      <c r="H2561" s="83">
        <f t="shared" si="40"/>
        <v>148000</v>
      </c>
      <c r="I2561" s="83"/>
      <c r="K2561" s="54" t="s">
        <v>15</v>
      </c>
    </row>
    <row r="2562" spans="2:11" ht="24.75" x14ac:dyDescent="0.2">
      <c r="B2562" s="82" t="s">
        <v>4831</v>
      </c>
      <c r="C2562" s="82" t="s">
        <v>650</v>
      </c>
      <c r="D2562" s="83">
        <f>SUMIFS(D2563:D6462,K2563:K6462,"0",B2563:B6462,"5 1 1 3 4 12 31111 6 M59 10800 000132 0000R*")-SUMIFS(E2563:E6462,K2563:K6462,"0",B2563:B6462,"5 1 1 3 4 12 31111 6 M59 10800 000132 0000R*")</f>
        <v>0</v>
      </c>
      <c r="E2562" s="54"/>
      <c r="F2562" s="83">
        <f>SUMIFS(F2563:F6462,K2563:K6462,"0",B2563:B6462,"5 1 1 3 4 12 31111 6 M59 10800 000132 0000R*")</f>
        <v>148000</v>
      </c>
      <c r="G2562" s="83">
        <f>SUMIFS(G2563:G6462,K2563:K6462,"0",B2563:B6462,"5 1 1 3 4 12 31111 6 M59 10800 000132 0000R*")</f>
        <v>0</v>
      </c>
      <c r="H2562" s="83">
        <f t="shared" si="40"/>
        <v>148000</v>
      </c>
      <c r="I2562" s="83"/>
      <c r="K2562" s="54" t="s">
        <v>15</v>
      </c>
    </row>
    <row r="2563" spans="2:11" ht="24.75" x14ac:dyDescent="0.2">
      <c r="B2563" s="82" t="s">
        <v>4832</v>
      </c>
      <c r="C2563" s="82" t="s">
        <v>282</v>
      </c>
      <c r="D2563" s="83">
        <f>SUMIFS(D2564:D6462,K2564:K6462,"0",B2564:B6462,"5 1 1 3 4 12 31111 6 M59 10800 000132 0000R 00001*")-SUMIFS(E2564:E6462,K2564:K6462,"0",B2564:B6462,"5 1 1 3 4 12 31111 6 M59 10800 000132 0000R 00001*")</f>
        <v>0</v>
      </c>
      <c r="E2563" s="54"/>
      <c r="F2563" s="83">
        <f>SUMIFS(F2564:F6462,K2564:K6462,"0",B2564:B6462,"5 1 1 3 4 12 31111 6 M59 10800 000132 0000R 00001*")</f>
        <v>148000</v>
      </c>
      <c r="G2563" s="83">
        <f>SUMIFS(G2564:G6462,K2564:K6462,"0",B2564:B6462,"5 1 1 3 4 12 31111 6 M59 10800 000132 0000R 00001*")</f>
        <v>0</v>
      </c>
      <c r="H2563" s="83">
        <f t="shared" si="40"/>
        <v>148000</v>
      </c>
      <c r="I2563" s="83"/>
      <c r="K2563" s="54" t="s">
        <v>15</v>
      </c>
    </row>
    <row r="2564" spans="2:11" ht="24.75" x14ac:dyDescent="0.2">
      <c r="B2564" s="82" t="s">
        <v>4833</v>
      </c>
      <c r="C2564" s="82" t="s">
        <v>4776</v>
      </c>
      <c r="D2564" s="83">
        <f>SUMIFS(D2565:D6462,K2565:K6462,"0",B2565:B6462,"5 1 1 3 4 12 31111 6 M59 10800 000132 0000R 00001 00134*")-SUMIFS(E2565:E6462,K2565:K6462,"0",B2565:B6462,"5 1 1 3 4 12 31111 6 M59 10800 000132 0000R 00001 00134*")</f>
        <v>0</v>
      </c>
      <c r="E2564" s="54"/>
      <c r="F2564" s="83">
        <f>SUMIFS(F2565:F6462,K2565:K6462,"0",B2565:B6462,"5 1 1 3 4 12 31111 6 M59 10800 000132 0000R 00001 00134*")</f>
        <v>148000</v>
      </c>
      <c r="G2564" s="83">
        <f>SUMIFS(G2565:G6462,K2565:K6462,"0",B2565:B6462,"5 1 1 3 4 12 31111 6 M59 10800 000132 0000R 00001 00134*")</f>
        <v>0</v>
      </c>
      <c r="H2564" s="83">
        <f t="shared" si="40"/>
        <v>148000</v>
      </c>
      <c r="I2564" s="83"/>
      <c r="K2564" s="54" t="s">
        <v>15</v>
      </c>
    </row>
    <row r="2565" spans="2:11" ht="33" x14ac:dyDescent="0.2">
      <c r="B2565" s="82" t="s">
        <v>4834</v>
      </c>
      <c r="C2565" s="82" t="s">
        <v>1051</v>
      </c>
      <c r="D2565" s="83">
        <f>SUMIFS(D2566:D6462,K2566:K6462,"0",B2566:B6462,"5 1 1 3 4 12 31111 6 M59 10800 000132 0000R 00001 00134 015*")-SUMIFS(E2566:E6462,K2566:K6462,"0",B2566:B6462,"5 1 1 3 4 12 31111 6 M59 10800 000132 0000R 00001 00134 015*")</f>
        <v>0</v>
      </c>
      <c r="E2565" s="54"/>
      <c r="F2565" s="83">
        <f>SUMIFS(F2566:F6462,K2566:K6462,"0",B2566:B6462,"5 1 1 3 4 12 31111 6 M59 10800 000132 0000R 00001 00134 015*")</f>
        <v>148000</v>
      </c>
      <c r="G2565" s="83">
        <f>SUMIFS(G2566:G6462,K2566:K6462,"0",B2566:B6462,"5 1 1 3 4 12 31111 6 M59 10800 000132 0000R 00001 00134 015*")</f>
        <v>0</v>
      </c>
      <c r="H2565" s="83">
        <f t="shared" si="40"/>
        <v>148000</v>
      </c>
      <c r="I2565" s="83"/>
      <c r="K2565" s="54" t="s">
        <v>15</v>
      </c>
    </row>
    <row r="2566" spans="2:11" ht="33" x14ac:dyDescent="0.2">
      <c r="B2566" s="82" t="s">
        <v>4835</v>
      </c>
      <c r="C2566" s="82" t="s">
        <v>2927</v>
      </c>
      <c r="D2566" s="83">
        <f>SUMIFS(D2567:D6462,K2567:K6462,"0",B2567:B6462,"5 1 1 3 4 12 31111 6 M59 10800 000132 0000R 00001 00134 015 2111100*")-SUMIFS(E2567:E6462,K2567:K6462,"0",B2567:B6462,"5 1 1 3 4 12 31111 6 M59 10800 000132 0000R 00001 00134 015 2111100*")</f>
        <v>0</v>
      </c>
      <c r="E2566" s="54"/>
      <c r="F2566" s="83">
        <f>SUMIFS(F2567:F6462,K2567:K6462,"0",B2567:B6462,"5 1 1 3 4 12 31111 6 M59 10800 000132 0000R 00001 00134 015 2111100*")</f>
        <v>148000</v>
      </c>
      <c r="G2566" s="83">
        <f>SUMIFS(G2567:G6462,K2567:K6462,"0",B2567:B6462,"5 1 1 3 4 12 31111 6 M59 10800 000132 0000R 00001 00134 015 2111100*")</f>
        <v>0</v>
      </c>
      <c r="H2566" s="83">
        <f t="shared" si="40"/>
        <v>148000</v>
      </c>
      <c r="I2566" s="83"/>
      <c r="K2566" s="54" t="s">
        <v>15</v>
      </c>
    </row>
    <row r="2567" spans="2:11" ht="33" x14ac:dyDescent="0.2">
      <c r="B2567" s="82" t="s">
        <v>4836</v>
      </c>
      <c r="C2567" s="82" t="s">
        <v>660</v>
      </c>
      <c r="D2567" s="83">
        <f>SUMIFS(D2568:D6462,K2568:K6462,"0",B2568:B6462,"5 1 1 3 4 12 31111 6 M59 10800 000132 0000R 00001 00134 015 2111100 2024*")-SUMIFS(E2568:E6462,K2568:K6462,"0",B2568:B6462,"5 1 1 3 4 12 31111 6 M59 10800 000132 0000R 00001 00134 015 2111100 2024*")</f>
        <v>0</v>
      </c>
      <c r="E2567" s="54"/>
      <c r="F2567" s="83">
        <f>SUMIFS(F2568:F6462,K2568:K6462,"0",B2568:B6462,"5 1 1 3 4 12 31111 6 M59 10800 000132 0000R 00001 00134 015 2111100 2024*")</f>
        <v>148000</v>
      </c>
      <c r="G2567" s="83">
        <f>SUMIFS(G2568:G6462,K2568:K6462,"0",B2568:B6462,"5 1 1 3 4 12 31111 6 M59 10800 000132 0000R 00001 00134 015 2111100 2024*")</f>
        <v>0</v>
      </c>
      <c r="H2567" s="83">
        <f t="shared" si="40"/>
        <v>148000</v>
      </c>
      <c r="I2567" s="83"/>
      <c r="K2567" s="54" t="s">
        <v>15</v>
      </c>
    </row>
    <row r="2568" spans="2:11" ht="41.25" x14ac:dyDescent="0.2">
      <c r="B2568" s="82" t="s">
        <v>4837</v>
      </c>
      <c r="C2568" s="82" t="s">
        <v>662</v>
      </c>
      <c r="D2568" s="83">
        <f>SUMIFS(D2569:D6462,K2569:K6462,"0",B2569:B6462,"5 1 1 3 4 12 31111 6 M59 10800 000132 0000R 00001 00134 015 2111100 2024 CP1SR390*")-SUMIFS(E2569:E6462,K2569:K6462,"0",B2569:B6462,"5 1 1 3 4 12 31111 6 M59 10800 000132 0000R 00001 00134 015 2111100 2024 CP1SR390*")</f>
        <v>0</v>
      </c>
      <c r="E2568" s="54"/>
      <c r="F2568" s="83">
        <f>SUMIFS(F2569:F6462,K2569:K6462,"0",B2569:B6462,"5 1 1 3 4 12 31111 6 M59 10800 000132 0000R 00001 00134 015 2111100 2024 CP1SR390*")</f>
        <v>148000</v>
      </c>
      <c r="G2568" s="83">
        <f>SUMIFS(G2569:G6462,K2569:K6462,"0",B2569:B6462,"5 1 1 3 4 12 31111 6 M59 10800 000132 0000R 00001 00134 015 2111100 2024 CP1SR390*")</f>
        <v>0</v>
      </c>
      <c r="H2568" s="83">
        <f t="shared" si="40"/>
        <v>148000</v>
      </c>
      <c r="I2568" s="83"/>
      <c r="K2568" s="54" t="s">
        <v>15</v>
      </c>
    </row>
    <row r="2569" spans="2:11" ht="41.25" x14ac:dyDescent="0.2">
      <c r="B2569" s="82" t="s">
        <v>4838</v>
      </c>
      <c r="C2569" s="82" t="s">
        <v>282</v>
      </c>
      <c r="D2569" s="83">
        <f>SUMIFS(D2570:D6462,K2570:K6462,"0",B2570:B6462,"5 1 1 3 4 12 31111 6 M59 10800 000132 0000R 00001 00134 015 2111100 2024 CP1SR390 001*")-SUMIFS(E2570:E6462,K2570:K6462,"0",B2570:B6462,"5 1 1 3 4 12 31111 6 M59 10800 000132 0000R 00001 00134 015 2111100 2024 CP1SR390 001*")</f>
        <v>0</v>
      </c>
      <c r="E2569" s="54"/>
      <c r="F2569" s="83">
        <f>SUMIFS(F2570:F6462,K2570:K6462,"0",B2570:B6462,"5 1 1 3 4 12 31111 6 M59 10800 000132 0000R 00001 00134 015 2111100 2024 CP1SR390 001*")</f>
        <v>148000</v>
      </c>
      <c r="G2569" s="83">
        <f>SUMIFS(G2570:G6462,K2570:K6462,"0",B2570:B6462,"5 1 1 3 4 12 31111 6 M59 10800 000132 0000R 00001 00134 015 2111100 2024 CP1SR390 001*")</f>
        <v>0</v>
      </c>
      <c r="H2569" s="83">
        <f t="shared" si="40"/>
        <v>148000</v>
      </c>
      <c r="I2569" s="83"/>
      <c r="K2569" s="54" t="s">
        <v>15</v>
      </c>
    </row>
    <row r="2570" spans="2:11" ht="33" x14ac:dyDescent="0.2">
      <c r="B2570" s="84" t="s">
        <v>4839</v>
      </c>
      <c r="C2570" s="84" t="s">
        <v>4840</v>
      </c>
      <c r="D2570" s="85">
        <v>0</v>
      </c>
      <c r="E2570" s="85"/>
      <c r="F2570" s="85">
        <v>148000</v>
      </c>
      <c r="G2570" s="85">
        <v>0</v>
      </c>
      <c r="H2570" s="85">
        <f t="shared" si="40"/>
        <v>148000</v>
      </c>
      <c r="I2570" s="85"/>
      <c r="K2570" s="54" t="s">
        <v>38</v>
      </c>
    </row>
    <row r="2571" spans="2:11" ht="16.5" x14ac:dyDescent="0.2">
      <c r="B2571" s="82" t="s">
        <v>4841</v>
      </c>
      <c r="C2571" s="82" t="s">
        <v>3020</v>
      </c>
      <c r="D2571" s="83">
        <f>SUMIFS(D2572:D6462,K2572:K6462,"0",B2572:B6462,"5 1 1 3 4 12 31111 6 M59 11000*")-SUMIFS(E2572:E6462,K2572:K6462,"0",B2572:B6462,"5 1 1 3 4 12 31111 6 M59 11000*")</f>
        <v>0</v>
      </c>
      <c r="E2571" s="54"/>
      <c r="F2571" s="83">
        <f>SUMIFS(F2572:F6462,K2572:K6462,"0",B2572:B6462,"5 1 1 3 4 12 31111 6 M59 11000*")</f>
        <v>84000</v>
      </c>
      <c r="G2571" s="83">
        <f>SUMIFS(G2572:G6462,K2572:K6462,"0",B2572:B6462,"5 1 1 3 4 12 31111 6 M59 11000*")</f>
        <v>0</v>
      </c>
      <c r="H2571" s="83">
        <f t="shared" si="40"/>
        <v>84000</v>
      </c>
      <c r="I2571" s="83"/>
      <c r="K2571" s="54" t="s">
        <v>15</v>
      </c>
    </row>
    <row r="2572" spans="2:11" ht="16.5" x14ac:dyDescent="0.2">
      <c r="B2572" s="82" t="s">
        <v>4842</v>
      </c>
      <c r="C2572" s="82" t="s">
        <v>648</v>
      </c>
      <c r="D2572" s="83">
        <f>SUMIFS(D2573:D6462,K2573:K6462,"0",B2573:B6462,"5 1 1 3 4 12 31111 6 M59 11000 000132*")-SUMIFS(E2573:E6462,K2573:K6462,"0",B2573:B6462,"5 1 1 3 4 12 31111 6 M59 11000 000132*")</f>
        <v>0</v>
      </c>
      <c r="E2572" s="54"/>
      <c r="F2572" s="83">
        <f>SUMIFS(F2573:F6462,K2573:K6462,"0",B2573:B6462,"5 1 1 3 4 12 31111 6 M59 11000 000132*")</f>
        <v>84000</v>
      </c>
      <c r="G2572" s="83">
        <f>SUMIFS(G2573:G6462,K2573:K6462,"0",B2573:B6462,"5 1 1 3 4 12 31111 6 M59 11000 000132*")</f>
        <v>0</v>
      </c>
      <c r="H2572" s="83">
        <f t="shared" si="40"/>
        <v>84000</v>
      </c>
      <c r="I2572" s="83"/>
      <c r="K2572" s="54" t="s">
        <v>15</v>
      </c>
    </row>
    <row r="2573" spans="2:11" ht="24.75" x14ac:dyDescent="0.2">
      <c r="B2573" s="82" t="s">
        <v>4843</v>
      </c>
      <c r="C2573" s="82" t="s">
        <v>650</v>
      </c>
      <c r="D2573" s="83">
        <f>SUMIFS(D2574:D6462,K2574:K6462,"0",B2574:B6462,"5 1 1 3 4 12 31111 6 M59 11000 000132 0000R*")-SUMIFS(E2574:E6462,K2574:K6462,"0",B2574:B6462,"5 1 1 3 4 12 31111 6 M59 11000 000132 0000R*")</f>
        <v>0</v>
      </c>
      <c r="E2573" s="54"/>
      <c r="F2573" s="83">
        <f>SUMIFS(F2574:F6462,K2574:K6462,"0",B2574:B6462,"5 1 1 3 4 12 31111 6 M59 11000 000132 0000R*")</f>
        <v>84000</v>
      </c>
      <c r="G2573" s="83">
        <f>SUMIFS(G2574:G6462,K2574:K6462,"0",B2574:B6462,"5 1 1 3 4 12 31111 6 M59 11000 000132 0000R*")</f>
        <v>0</v>
      </c>
      <c r="H2573" s="83">
        <f t="shared" si="40"/>
        <v>84000</v>
      </c>
      <c r="I2573" s="83"/>
      <c r="K2573" s="54" t="s">
        <v>15</v>
      </c>
    </row>
    <row r="2574" spans="2:11" ht="24.75" x14ac:dyDescent="0.2">
      <c r="B2574" s="82" t="s">
        <v>4844</v>
      </c>
      <c r="C2574" s="82" t="s">
        <v>282</v>
      </c>
      <c r="D2574" s="83">
        <f>SUMIFS(D2575:D6462,K2575:K6462,"0",B2575:B6462,"5 1 1 3 4 12 31111 6 M59 11000 000132 0000R 00001*")-SUMIFS(E2575:E6462,K2575:K6462,"0",B2575:B6462,"5 1 1 3 4 12 31111 6 M59 11000 000132 0000R 00001*")</f>
        <v>0</v>
      </c>
      <c r="E2574" s="54"/>
      <c r="F2574" s="83">
        <f>SUMIFS(F2575:F6462,K2575:K6462,"0",B2575:B6462,"5 1 1 3 4 12 31111 6 M59 11000 000132 0000R 00001*")</f>
        <v>84000</v>
      </c>
      <c r="G2574" s="83">
        <f>SUMIFS(G2575:G6462,K2575:K6462,"0",B2575:B6462,"5 1 1 3 4 12 31111 6 M59 11000 000132 0000R 00001*")</f>
        <v>0</v>
      </c>
      <c r="H2574" s="83">
        <f t="shared" si="40"/>
        <v>84000</v>
      </c>
      <c r="I2574" s="83"/>
      <c r="K2574" s="54" t="s">
        <v>15</v>
      </c>
    </row>
    <row r="2575" spans="2:11" ht="24.75" x14ac:dyDescent="0.2">
      <c r="B2575" s="82" t="s">
        <v>4845</v>
      </c>
      <c r="C2575" s="82" t="s">
        <v>4776</v>
      </c>
      <c r="D2575" s="83">
        <f>SUMIFS(D2576:D6462,K2576:K6462,"0",B2576:B6462,"5 1 1 3 4 12 31111 6 M59 11000 000132 0000R 00001 00134*")-SUMIFS(E2576:E6462,K2576:K6462,"0",B2576:B6462,"5 1 1 3 4 12 31111 6 M59 11000 000132 0000R 00001 00134*")</f>
        <v>0</v>
      </c>
      <c r="E2575" s="54"/>
      <c r="F2575" s="83">
        <f>SUMIFS(F2576:F6462,K2576:K6462,"0",B2576:B6462,"5 1 1 3 4 12 31111 6 M59 11000 000132 0000R 00001 00134*")</f>
        <v>84000</v>
      </c>
      <c r="G2575" s="83">
        <f>SUMIFS(G2576:G6462,K2576:K6462,"0",B2576:B6462,"5 1 1 3 4 12 31111 6 M59 11000 000132 0000R 00001 00134*")</f>
        <v>0</v>
      </c>
      <c r="H2575" s="83">
        <f t="shared" si="40"/>
        <v>84000</v>
      </c>
      <c r="I2575" s="83"/>
      <c r="K2575" s="54" t="s">
        <v>15</v>
      </c>
    </row>
    <row r="2576" spans="2:11" ht="33" x14ac:dyDescent="0.2">
      <c r="B2576" s="82" t="s">
        <v>4846</v>
      </c>
      <c r="C2576" s="82" t="s">
        <v>1051</v>
      </c>
      <c r="D2576" s="83">
        <f>SUMIFS(D2577:D6462,K2577:K6462,"0",B2577:B6462,"5 1 1 3 4 12 31111 6 M59 11000 000132 0000R 00001 00134 015*")-SUMIFS(E2577:E6462,K2577:K6462,"0",B2577:B6462,"5 1 1 3 4 12 31111 6 M59 11000 000132 0000R 00001 00134 015*")</f>
        <v>0</v>
      </c>
      <c r="E2576" s="54"/>
      <c r="F2576" s="83">
        <f>SUMIFS(F2577:F6462,K2577:K6462,"0",B2577:B6462,"5 1 1 3 4 12 31111 6 M59 11000 000132 0000R 00001 00134 015*")</f>
        <v>84000</v>
      </c>
      <c r="G2576" s="83">
        <f>SUMIFS(G2577:G6462,K2577:K6462,"0",B2577:B6462,"5 1 1 3 4 12 31111 6 M59 11000 000132 0000R 00001 00134 015*")</f>
        <v>0</v>
      </c>
      <c r="H2576" s="83">
        <f t="shared" si="40"/>
        <v>84000</v>
      </c>
      <c r="I2576" s="83"/>
      <c r="K2576" s="54" t="s">
        <v>15</v>
      </c>
    </row>
    <row r="2577" spans="2:11" ht="33" x14ac:dyDescent="0.2">
      <c r="B2577" s="82" t="s">
        <v>4847</v>
      </c>
      <c r="C2577" s="82" t="s">
        <v>2927</v>
      </c>
      <c r="D2577" s="83">
        <f>SUMIFS(D2578:D6462,K2578:K6462,"0",B2578:B6462,"5 1 1 3 4 12 31111 6 M59 11000 000132 0000R 00001 00134 015 2111100*")-SUMIFS(E2578:E6462,K2578:K6462,"0",B2578:B6462,"5 1 1 3 4 12 31111 6 M59 11000 000132 0000R 00001 00134 015 2111100*")</f>
        <v>0</v>
      </c>
      <c r="E2577" s="54"/>
      <c r="F2577" s="83">
        <f>SUMIFS(F2578:F6462,K2578:K6462,"0",B2578:B6462,"5 1 1 3 4 12 31111 6 M59 11000 000132 0000R 00001 00134 015 2111100*")</f>
        <v>84000</v>
      </c>
      <c r="G2577" s="83">
        <f>SUMIFS(G2578:G6462,K2578:K6462,"0",B2578:B6462,"5 1 1 3 4 12 31111 6 M59 11000 000132 0000R 00001 00134 015 2111100*")</f>
        <v>0</v>
      </c>
      <c r="H2577" s="83">
        <f t="shared" si="40"/>
        <v>84000</v>
      </c>
      <c r="I2577" s="83"/>
      <c r="K2577" s="54" t="s">
        <v>15</v>
      </c>
    </row>
    <row r="2578" spans="2:11" ht="33" x14ac:dyDescent="0.2">
      <c r="B2578" s="82" t="s">
        <v>4848</v>
      </c>
      <c r="C2578" s="82" t="s">
        <v>660</v>
      </c>
      <c r="D2578" s="83">
        <f>SUMIFS(D2579:D6462,K2579:K6462,"0",B2579:B6462,"5 1 1 3 4 12 31111 6 M59 11000 000132 0000R 00001 00134 015 2111100 2024*")-SUMIFS(E2579:E6462,K2579:K6462,"0",B2579:B6462,"5 1 1 3 4 12 31111 6 M59 11000 000132 0000R 00001 00134 015 2111100 2024*")</f>
        <v>0</v>
      </c>
      <c r="E2578" s="54"/>
      <c r="F2578" s="83">
        <f>SUMIFS(F2579:F6462,K2579:K6462,"0",B2579:B6462,"5 1 1 3 4 12 31111 6 M59 11000 000132 0000R 00001 00134 015 2111100 2024*")</f>
        <v>84000</v>
      </c>
      <c r="G2578" s="83">
        <f>SUMIFS(G2579:G6462,K2579:K6462,"0",B2579:B6462,"5 1 1 3 4 12 31111 6 M59 11000 000132 0000R 00001 00134 015 2111100 2024*")</f>
        <v>0</v>
      </c>
      <c r="H2578" s="83">
        <f t="shared" si="40"/>
        <v>84000</v>
      </c>
      <c r="I2578" s="83"/>
      <c r="K2578" s="54" t="s">
        <v>15</v>
      </c>
    </row>
    <row r="2579" spans="2:11" ht="41.25" x14ac:dyDescent="0.2">
      <c r="B2579" s="82" t="s">
        <v>4849</v>
      </c>
      <c r="C2579" s="82" t="s">
        <v>1056</v>
      </c>
      <c r="D2579" s="83">
        <f>SUMIFS(D2580:D6462,K2580:K6462,"0",B2580:B6462,"5 1 1 3 4 12 31111 6 M59 11000 000132 0000R 00001 00134 015 2111100 2024 CP1SM382*")-SUMIFS(E2580:E6462,K2580:K6462,"0",B2580:B6462,"5 1 1 3 4 12 31111 6 M59 11000 000132 0000R 00001 00134 015 2111100 2024 CP1SM382*")</f>
        <v>0</v>
      </c>
      <c r="E2579" s="54"/>
      <c r="F2579" s="83">
        <f>SUMIFS(F2580:F6462,K2580:K6462,"0",B2580:B6462,"5 1 1 3 4 12 31111 6 M59 11000 000132 0000R 00001 00134 015 2111100 2024 CP1SM382*")</f>
        <v>84000</v>
      </c>
      <c r="G2579" s="83">
        <f>SUMIFS(G2580:G6462,K2580:K6462,"0",B2580:B6462,"5 1 1 3 4 12 31111 6 M59 11000 000132 0000R 00001 00134 015 2111100 2024 CP1SM382*")</f>
        <v>0</v>
      </c>
      <c r="H2579" s="83">
        <f t="shared" si="40"/>
        <v>84000</v>
      </c>
      <c r="I2579" s="83"/>
      <c r="K2579" s="54" t="s">
        <v>15</v>
      </c>
    </row>
    <row r="2580" spans="2:11" ht="41.25" x14ac:dyDescent="0.2">
      <c r="B2580" s="82" t="s">
        <v>4850</v>
      </c>
      <c r="C2580" s="82" t="s">
        <v>282</v>
      </c>
      <c r="D2580" s="83">
        <f>SUMIFS(D2581:D6462,K2581:K6462,"0",B2581:B6462,"5 1 1 3 4 12 31111 6 M59 11000 000132 0000R 00001 00134 015 2111100 2024 CP1SM382 001*")-SUMIFS(E2581:E6462,K2581:K6462,"0",B2581:B6462,"5 1 1 3 4 12 31111 6 M59 11000 000132 0000R 00001 00134 015 2111100 2024 CP1SM382 001*")</f>
        <v>0</v>
      </c>
      <c r="E2580" s="54"/>
      <c r="F2580" s="83">
        <f>SUMIFS(F2581:F6462,K2581:K6462,"0",B2581:B6462,"5 1 1 3 4 12 31111 6 M59 11000 000132 0000R 00001 00134 015 2111100 2024 CP1SM382 001*")</f>
        <v>84000</v>
      </c>
      <c r="G2580" s="83">
        <f>SUMIFS(G2581:G6462,K2581:K6462,"0",B2581:B6462,"5 1 1 3 4 12 31111 6 M59 11000 000132 0000R 00001 00134 015 2111100 2024 CP1SM382 001*")</f>
        <v>0</v>
      </c>
      <c r="H2580" s="83">
        <f t="shared" si="40"/>
        <v>84000</v>
      </c>
      <c r="I2580" s="83"/>
      <c r="K2580" s="54" t="s">
        <v>15</v>
      </c>
    </row>
    <row r="2581" spans="2:11" ht="33" x14ac:dyDescent="0.2">
      <c r="B2581" s="84" t="s">
        <v>4851</v>
      </c>
      <c r="C2581" s="84" t="s">
        <v>4840</v>
      </c>
      <c r="D2581" s="85">
        <v>0</v>
      </c>
      <c r="E2581" s="85"/>
      <c r="F2581" s="85">
        <v>84000</v>
      </c>
      <c r="G2581" s="85">
        <v>0</v>
      </c>
      <c r="H2581" s="85">
        <f t="shared" si="40"/>
        <v>84000</v>
      </c>
      <c r="I2581" s="85"/>
      <c r="K2581" s="54" t="s">
        <v>38</v>
      </c>
    </row>
    <row r="2582" spans="2:11" ht="16.5" x14ac:dyDescent="0.2">
      <c r="B2582" s="82" t="s">
        <v>4852</v>
      </c>
      <c r="C2582" s="82" t="s">
        <v>3032</v>
      </c>
      <c r="D2582" s="83">
        <f>SUMIFS(D2583:D6462,K2583:K6462,"0",B2583:B6462,"5 1 1 3 4 12 31111 6 M59 12000*")-SUMIFS(E2583:E6462,K2583:K6462,"0",B2583:B6462,"5 1 1 3 4 12 31111 6 M59 12000*")</f>
        <v>0</v>
      </c>
      <c r="E2582" s="54"/>
      <c r="F2582" s="83">
        <f>SUMIFS(F2583:F6462,K2583:K6462,"0",B2583:B6462,"5 1 1 3 4 12 31111 6 M59 12000*")</f>
        <v>99000</v>
      </c>
      <c r="G2582" s="83">
        <f>SUMIFS(G2583:G6462,K2583:K6462,"0",B2583:B6462,"5 1 1 3 4 12 31111 6 M59 12000*")</f>
        <v>0</v>
      </c>
      <c r="H2582" s="83">
        <f t="shared" si="40"/>
        <v>99000</v>
      </c>
      <c r="I2582" s="83"/>
      <c r="K2582" s="54" t="s">
        <v>15</v>
      </c>
    </row>
    <row r="2583" spans="2:11" ht="16.5" x14ac:dyDescent="0.2">
      <c r="B2583" s="82" t="s">
        <v>4853</v>
      </c>
      <c r="C2583" s="82" t="s">
        <v>3034</v>
      </c>
      <c r="D2583" s="83">
        <f>SUMIFS(D2584:D6462,K2584:K6462,"0",B2584:B6462,"5 1 1 3 4 12 31111 6 M59 12000 000121*")-SUMIFS(E2584:E6462,K2584:K6462,"0",B2584:B6462,"5 1 1 3 4 12 31111 6 M59 12000 000121*")</f>
        <v>0</v>
      </c>
      <c r="E2583" s="54"/>
      <c r="F2583" s="83">
        <f>SUMIFS(F2584:F6462,K2584:K6462,"0",B2584:B6462,"5 1 1 3 4 12 31111 6 M59 12000 000121*")</f>
        <v>99000</v>
      </c>
      <c r="G2583" s="83">
        <f>SUMIFS(G2584:G6462,K2584:K6462,"0",B2584:B6462,"5 1 1 3 4 12 31111 6 M59 12000 000121*")</f>
        <v>0</v>
      </c>
      <c r="H2583" s="83">
        <f t="shared" si="40"/>
        <v>99000</v>
      </c>
      <c r="I2583" s="83"/>
      <c r="K2583" s="54" t="s">
        <v>15</v>
      </c>
    </row>
    <row r="2584" spans="2:11" ht="24.75" x14ac:dyDescent="0.2">
      <c r="B2584" s="82" t="s">
        <v>4854</v>
      </c>
      <c r="C2584" s="82" t="s">
        <v>1065</v>
      </c>
      <c r="D2584" s="83">
        <f>SUMIFS(D2585:D6462,K2585:K6462,"0",B2585:B6462,"5 1 1 3 4 12 31111 6 M59 12000 000121 0000E*")-SUMIFS(E2585:E6462,K2585:K6462,"0",B2585:B6462,"5 1 1 3 4 12 31111 6 M59 12000 000121 0000E*")</f>
        <v>0</v>
      </c>
      <c r="E2584" s="54"/>
      <c r="F2584" s="83">
        <f>SUMIFS(F2585:F6462,K2585:K6462,"0",B2585:B6462,"5 1 1 3 4 12 31111 6 M59 12000 000121 0000E*")</f>
        <v>99000</v>
      </c>
      <c r="G2584" s="83">
        <f>SUMIFS(G2585:G6462,K2585:K6462,"0",B2585:B6462,"5 1 1 3 4 12 31111 6 M59 12000 000121 0000E*")</f>
        <v>0</v>
      </c>
      <c r="H2584" s="83">
        <f t="shared" si="40"/>
        <v>99000</v>
      </c>
      <c r="I2584" s="83"/>
      <c r="K2584" s="54" t="s">
        <v>15</v>
      </c>
    </row>
    <row r="2585" spans="2:11" ht="24.75" x14ac:dyDescent="0.2">
      <c r="B2585" s="82" t="s">
        <v>4855</v>
      </c>
      <c r="C2585" s="82" t="s">
        <v>282</v>
      </c>
      <c r="D2585" s="83">
        <f>SUMIFS(D2586:D6462,K2586:K6462,"0",B2586:B6462,"5 1 1 3 4 12 31111 6 M59 12000 000121 0000E 00001*")-SUMIFS(E2586:E6462,K2586:K6462,"0",B2586:B6462,"5 1 1 3 4 12 31111 6 M59 12000 000121 0000E 00001*")</f>
        <v>0</v>
      </c>
      <c r="E2585" s="54"/>
      <c r="F2585" s="83">
        <f>SUMIFS(F2586:F6462,K2586:K6462,"0",B2586:B6462,"5 1 1 3 4 12 31111 6 M59 12000 000121 0000E 00001*")</f>
        <v>99000</v>
      </c>
      <c r="G2585" s="83">
        <f>SUMIFS(G2586:G6462,K2586:K6462,"0",B2586:B6462,"5 1 1 3 4 12 31111 6 M59 12000 000121 0000E 00001*")</f>
        <v>0</v>
      </c>
      <c r="H2585" s="83">
        <f t="shared" si="40"/>
        <v>99000</v>
      </c>
      <c r="I2585" s="83"/>
      <c r="K2585" s="54" t="s">
        <v>15</v>
      </c>
    </row>
    <row r="2586" spans="2:11" ht="24.75" x14ac:dyDescent="0.2">
      <c r="B2586" s="82" t="s">
        <v>4856</v>
      </c>
      <c r="C2586" s="82" t="s">
        <v>4776</v>
      </c>
      <c r="D2586" s="83">
        <f>SUMIFS(D2587:D6462,K2587:K6462,"0",B2587:B6462,"5 1 1 3 4 12 31111 6 M59 12000 000121 0000E 00001 00134*")-SUMIFS(E2587:E6462,K2587:K6462,"0",B2587:B6462,"5 1 1 3 4 12 31111 6 M59 12000 000121 0000E 00001 00134*")</f>
        <v>0</v>
      </c>
      <c r="E2586" s="54"/>
      <c r="F2586" s="83">
        <f>SUMIFS(F2587:F6462,K2587:K6462,"0",B2587:B6462,"5 1 1 3 4 12 31111 6 M59 12000 000121 0000E 00001 00134*")</f>
        <v>99000</v>
      </c>
      <c r="G2586" s="83">
        <f>SUMIFS(G2587:G6462,K2587:K6462,"0",B2587:B6462,"5 1 1 3 4 12 31111 6 M59 12000 000121 0000E 00001 00134*")</f>
        <v>0</v>
      </c>
      <c r="H2586" s="83">
        <f t="shared" si="40"/>
        <v>99000</v>
      </c>
      <c r="I2586" s="83"/>
      <c r="K2586" s="54" t="s">
        <v>15</v>
      </c>
    </row>
    <row r="2587" spans="2:11" ht="33" x14ac:dyDescent="0.2">
      <c r="B2587" s="82" t="s">
        <v>4857</v>
      </c>
      <c r="C2587" s="82" t="s">
        <v>1051</v>
      </c>
      <c r="D2587" s="83">
        <f>SUMIFS(D2588:D6462,K2588:K6462,"0",B2588:B6462,"5 1 1 3 4 12 31111 6 M59 12000 000121 0000E 00001 00134 015*")-SUMIFS(E2588:E6462,K2588:K6462,"0",B2588:B6462,"5 1 1 3 4 12 31111 6 M59 12000 000121 0000E 00001 00134 015*")</f>
        <v>0</v>
      </c>
      <c r="E2587" s="54"/>
      <c r="F2587" s="83">
        <f>SUMIFS(F2588:F6462,K2588:K6462,"0",B2588:B6462,"5 1 1 3 4 12 31111 6 M59 12000 000121 0000E 00001 00134 015*")</f>
        <v>99000</v>
      </c>
      <c r="G2587" s="83">
        <f>SUMIFS(G2588:G6462,K2588:K6462,"0",B2588:B6462,"5 1 1 3 4 12 31111 6 M59 12000 000121 0000E 00001 00134 015*")</f>
        <v>0</v>
      </c>
      <c r="H2587" s="83">
        <f t="shared" si="40"/>
        <v>99000</v>
      </c>
      <c r="I2587" s="83"/>
      <c r="K2587" s="54" t="s">
        <v>15</v>
      </c>
    </row>
    <row r="2588" spans="2:11" ht="33" x14ac:dyDescent="0.2">
      <c r="B2588" s="82" t="s">
        <v>4858</v>
      </c>
      <c r="C2588" s="82" t="s">
        <v>2927</v>
      </c>
      <c r="D2588" s="83">
        <f>SUMIFS(D2589:D6462,K2589:K6462,"0",B2589:B6462,"5 1 1 3 4 12 31111 6 M59 12000 000121 0000E 00001 00134 015 2111100*")-SUMIFS(E2589:E6462,K2589:K6462,"0",B2589:B6462,"5 1 1 3 4 12 31111 6 M59 12000 000121 0000E 00001 00134 015 2111100*")</f>
        <v>0</v>
      </c>
      <c r="E2588" s="54"/>
      <c r="F2588" s="83">
        <f>SUMIFS(F2589:F6462,K2589:K6462,"0",B2589:B6462,"5 1 1 3 4 12 31111 6 M59 12000 000121 0000E 00001 00134 015 2111100*")</f>
        <v>99000</v>
      </c>
      <c r="G2588" s="83">
        <f>SUMIFS(G2589:G6462,K2589:K6462,"0",B2589:B6462,"5 1 1 3 4 12 31111 6 M59 12000 000121 0000E 00001 00134 015 2111100*")</f>
        <v>0</v>
      </c>
      <c r="H2588" s="83">
        <f t="shared" si="40"/>
        <v>99000</v>
      </c>
      <c r="I2588" s="83"/>
      <c r="K2588" s="54" t="s">
        <v>15</v>
      </c>
    </row>
    <row r="2589" spans="2:11" ht="33" x14ac:dyDescent="0.2">
      <c r="B2589" s="82" t="s">
        <v>4859</v>
      </c>
      <c r="C2589" s="82" t="s">
        <v>660</v>
      </c>
      <c r="D2589" s="83">
        <f>SUMIFS(D2590:D6462,K2590:K6462,"0",B2590:B6462,"5 1 1 3 4 12 31111 6 M59 12000 000121 0000E 00001 00134 015 2111100 2024*")-SUMIFS(E2590:E6462,K2590:K6462,"0",B2590:B6462,"5 1 1 3 4 12 31111 6 M59 12000 000121 0000E 00001 00134 015 2111100 2024*")</f>
        <v>0</v>
      </c>
      <c r="E2589" s="54"/>
      <c r="F2589" s="83">
        <f>SUMIFS(F2590:F6462,K2590:K6462,"0",B2590:B6462,"5 1 1 3 4 12 31111 6 M59 12000 000121 0000E 00001 00134 015 2111100 2024*")</f>
        <v>99000</v>
      </c>
      <c r="G2589" s="83">
        <f>SUMIFS(G2590:G6462,K2590:K6462,"0",B2590:B6462,"5 1 1 3 4 12 31111 6 M59 12000 000121 0000E 00001 00134 015 2111100 2024*")</f>
        <v>0</v>
      </c>
      <c r="H2589" s="83">
        <f t="shared" si="40"/>
        <v>99000</v>
      </c>
      <c r="I2589" s="83"/>
      <c r="K2589" s="54" t="s">
        <v>15</v>
      </c>
    </row>
    <row r="2590" spans="2:11" ht="41.25" x14ac:dyDescent="0.2">
      <c r="B2590" s="82" t="s">
        <v>4860</v>
      </c>
      <c r="C2590" s="82" t="s">
        <v>662</v>
      </c>
      <c r="D2590" s="83">
        <f>SUMIFS(D2591:D6462,K2591:K6462,"0",B2591:B6462,"5 1 1 3 4 12 31111 6 M59 12000 000121 0000E 00001 00134 015 2111100 2024 CP1CI591*")-SUMIFS(E2591:E6462,K2591:K6462,"0",B2591:B6462,"5 1 1 3 4 12 31111 6 M59 12000 000121 0000E 00001 00134 015 2111100 2024 CP1CI591*")</f>
        <v>0</v>
      </c>
      <c r="E2590" s="54"/>
      <c r="F2590" s="83">
        <f>SUMIFS(F2591:F6462,K2591:K6462,"0",B2591:B6462,"5 1 1 3 4 12 31111 6 M59 12000 000121 0000E 00001 00134 015 2111100 2024 CP1CI591*")</f>
        <v>99000</v>
      </c>
      <c r="G2590" s="83">
        <f>SUMIFS(G2591:G6462,K2591:K6462,"0",B2591:B6462,"5 1 1 3 4 12 31111 6 M59 12000 000121 0000E 00001 00134 015 2111100 2024 CP1CI591*")</f>
        <v>0</v>
      </c>
      <c r="H2590" s="83">
        <f t="shared" si="40"/>
        <v>99000</v>
      </c>
      <c r="I2590" s="83"/>
      <c r="K2590" s="54" t="s">
        <v>15</v>
      </c>
    </row>
    <row r="2591" spans="2:11" ht="41.25" x14ac:dyDescent="0.2">
      <c r="B2591" s="82" t="s">
        <v>4861</v>
      </c>
      <c r="C2591" s="82" t="s">
        <v>282</v>
      </c>
      <c r="D2591" s="83">
        <f>SUMIFS(D2592:D6462,K2592:K6462,"0",B2592:B6462,"5 1 1 3 4 12 31111 6 M59 12000 000121 0000E 00001 00134 015 2111100 2024 CP1CI591 001*")-SUMIFS(E2592:E6462,K2592:K6462,"0",B2592:B6462,"5 1 1 3 4 12 31111 6 M59 12000 000121 0000E 00001 00134 015 2111100 2024 CP1CI591 001*")</f>
        <v>0</v>
      </c>
      <c r="E2591" s="54"/>
      <c r="F2591" s="83">
        <f>SUMIFS(F2592:F6462,K2592:K6462,"0",B2592:B6462,"5 1 1 3 4 12 31111 6 M59 12000 000121 0000E 00001 00134 015 2111100 2024 CP1CI591 001*")</f>
        <v>99000</v>
      </c>
      <c r="G2591" s="83">
        <f>SUMIFS(G2592:G6462,K2592:K6462,"0",B2592:B6462,"5 1 1 3 4 12 31111 6 M59 12000 000121 0000E 00001 00134 015 2111100 2024 CP1CI591 001*")</f>
        <v>0</v>
      </c>
      <c r="H2591" s="83">
        <f t="shared" si="40"/>
        <v>99000</v>
      </c>
      <c r="I2591" s="83"/>
      <c r="K2591" s="54" t="s">
        <v>15</v>
      </c>
    </row>
    <row r="2592" spans="2:11" ht="33" x14ac:dyDescent="0.2">
      <c r="B2592" s="84" t="s">
        <v>4862</v>
      </c>
      <c r="C2592" s="84" t="s">
        <v>4840</v>
      </c>
      <c r="D2592" s="85">
        <v>0</v>
      </c>
      <c r="E2592" s="85"/>
      <c r="F2592" s="85">
        <v>99000</v>
      </c>
      <c r="G2592" s="85">
        <v>0</v>
      </c>
      <c r="H2592" s="85">
        <f t="shared" si="40"/>
        <v>99000</v>
      </c>
      <c r="I2592" s="85"/>
      <c r="K2592" s="54" t="s">
        <v>38</v>
      </c>
    </row>
    <row r="2593" spans="2:11" ht="16.5" x14ac:dyDescent="0.2">
      <c r="B2593" s="82" t="s">
        <v>4863</v>
      </c>
      <c r="C2593" s="82" t="s">
        <v>1044</v>
      </c>
      <c r="D2593" s="83">
        <f>SUMIFS(D2594:D6462,K2594:K6462,"0",B2594:B6462,"5 1 1 3 4 12 31111 6 M59 19000*")-SUMIFS(E2594:E6462,K2594:K6462,"0",B2594:B6462,"5 1 1 3 4 12 31111 6 M59 19000*")</f>
        <v>0</v>
      </c>
      <c r="E2593" s="54"/>
      <c r="F2593" s="83">
        <f>SUMIFS(F2594:F6462,K2594:K6462,"0",B2594:B6462,"5 1 1 3 4 12 31111 6 M59 19000*")</f>
        <v>215500</v>
      </c>
      <c r="G2593" s="83">
        <f>SUMIFS(G2594:G6462,K2594:K6462,"0",B2594:B6462,"5 1 1 3 4 12 31111 6 M59 19000*")</f>
        <v>0</v>
      </c>
      <c r="H2593" s="83">
        <f t="shared" si="40"/>
        <v>215500</v>
      </c>
      <c r="I2593" s="83"/>
      <c r="K2593" s="54" t="s">
        <v>15</v>
      </c>
    </row>
    <row r="2594" spans="2:11" ht="16.5" x14ac:dyDescent="0.2">
      <c r="B2594" s="82" t="s">
        <v>4864</v>
      </c>
      <c r="C2594" s="82" t="s">
        <v>648</v>
      </c>
      <c r="D2594" s="83">
        <f>SUMIFS(D2595:D6462,K2595:K6462,"0",B2595:B6462,"5 1 1 3 4 12 31111 6 M59 19000 000132*")-SUMIFS(E2595:E6462,K2595:K6462,"0",B2595:B6462,"5 1 1 3 4 12 31111 6 M59 19000 000132*")</f>
        <v>0</v>
      </c>
      <c r="E2594" s="54"/>
      <c r="F2594" s="83">
        <f>SUMIFS(F2595:F6462,K2595:K6462,"0",B2595:B6462,"5 1 1 3 4 12 31111 6 M59 19000 000132*")</f>
        <v>215500</v>
      </c>
      <c r="G2594" s="83">
        <f>SUMIFS(G2595:G6462,K2595:K6462,"0",B2595:B6462,"5 1 1 3 4 12 31111 6 M59 19000 000132*")</f>
        <v>0</v>
      </c>
      <c r="H2594" s="83">
        <f t="shared" si="40"/>
        <v>215500</v>
      </c>
      <c r="I2594" s="83"/>
      <c r="K2594" s="54" t="s">
        <v>15</v>
      </c>
    </row>
    <row r="2595" spans="2:11" ht="24.75" x14ac:dyDescent="0.2">
      <c r="B2595" s="82" t="s">
        <v>4865</v>
      </c>
      <c r="C2595" s="82" t="s">
        <v>650</v>
      </c>
      <c r="D2595" s="83">
        <f>SUMIFS(D2596:D6462,K2596:K6462,"0",B2596:B6462,"5 1 1 3 4 12 31111 6 M59 19000 000132 0000R*")-SUMIFS(E2596:E6462,K2596:K6462,"0",B2596:B6462,"5 1 1 3 4 12 31111 6 M59 19000 000132 0000R*")</f>
        <v>0</v>
      </c>
      <c r="E2595" s="54"/>
      <c r="F2595" s="83">
        <f>SUMIFS(F2596:F6462,K2596:K6462,"0",B2596:B6462,"5 1 1 3 4 12 31111 6 M59 19000 000132 0000R*")</f>
        <v>215500</v>
      </c>
      <c r="G2595" s="83">
        <f>SUMIFS(G2596:G6462,K2596:K6462,"0",B2596:B6462,"5 1 1 3 4 12 31111 6 M59 19000 000132 0000R*")</f>
        <v>0</v>
      </c>
      <c r="H2595" s="83">
        <f t="shared" si="40"/>
        <v>215500</v>
      </c>
      <c r="I2595" s="83"/>
      <c r="K2595" s="54" t="s">
        <v>15</v>
      </c>
    </row>
    <row r="2596" spans="2:11" ht="24.75" x14ac:dyDescent="0.2">
      <c r="B2596" s="82" t="s">
        <v>4866</v>
      </c>
      <c r="C2596" s="82" t="s">
        <v>282</v>
      </c>
      <c r="D2596" s="83">
        <f>SUMIFS(D2597:D6462,K2597:K6462,"0",B2597:B6462,"5 1 1 3 4 12 31111 6 M59 19000 000132 0000R 00001*")-SUMIFS(E2597:E6462,K2597:K6462,"0",B2597:B6462,"5 1 1 3 4 12 31111 6 M59 19000 000132 0000R 00001*")</f>
        <v>0</v>
      </c>
      <c r="E2596" s="54"/>
      <c r="F2596" s="83">
        <f>SUMIFS(F2597:F6462,K2597:K6462,"0",B2597:B6462,"5 1 1 3 4 12 31111 6 M59 19000 000132 0000R 00001*")</f>
        <v>215500</v>
      </c>
      <c r="G2596" s="83">
        <f>SUMIFS(G2597:G6462,K2597:K6462,"0",B2597:B6462,"5 1 1 3 4 12 31111 6 M59 19000 000132 0000R 00001*")</f>
        <v>0</v>
      </c>
      <c r="H2596" s="83">
        <f t="shared" si="40"/>
        <v>215500</v>
      </c>
      <c r="I2596" s="83"/>
      <c r="K2596" s="54" t="s">
        <v>15</v>
      </c>
    </row>
    <row r="2597" spans="2:11" ht="24.75" x14ac:dyDescent="0.2">
      <c r="B2597" s="82" t="s">
        <v>4867</v>
      </c>
      <c r="C2597" s="82" t="s">
        <v>4776</v>
      </c>
      <c r="D2597" s="83">
        <f>SUMIFS(D2598:D6462,K2598:K6462,"0",B2598:B6462,"5 1 1 3 4 12 31111 6 M59 19000 000132 0000R 00001 00134*")-SUMIFS(E2598:E6462,K2598:K6462,"0",B2598:B6462,"5 1 1 3 4 12 31111 6 M59 19000 000132 0000R 00001 00134*")</f>
        <v>0</v>
      </c>
      <c r="E2597" s="54"/>
      <c r="F2597" s="83">
        <f>SUMIFS(F2598:F6462,K2598:K6462,"0",B2598:B6462,"5 1 1 3 4 12 31111 6 M59 19000 000132 0000R 00001 00134*")</f>
        <v>215500</v>
      </c>
      <c r="G2597" s="83">
        <f>SUMIFS(G2598:G6462,K2598:K6462,"0",B2598:B6462,"5 1 1 3 4 12 31111 6 M59 19000 000132 0000R 00001 00134*")</f>
        <v>0</v>
      </c>
      <c r="H2597" s="83">
        <f t="shared" si="40"/>
        <v>215500</v>
      </c>
      <c r="I2597" s="83"/>
      <c r="K2597" s="54" t="s">
        <v>15</v>
      </c>
    </row>
    <row r="2598" spans="2:11" ht="33" x14ac:dyDescent="0.2">
      <c r="B2598" s="82" t="s">
        <v>4868</v>
      </c>
      <c r="C2598" s="82" t="s">
        <v>1051</v>
      </c>
      <c r="D2598" s="83">
        <f>SUMIFS(D2599:D6462,K2599:K6462,"0",B2599:B6462,"5 1 1 3 4 12 31111 6 M59 19000 000132 0000R 00001 00134 015*")-SUMIFS(E2599:E6462,K2599:K6462,"0",B2599:B6462,"5 1 1 3 4 12 31111 6 M59 19000 000132 0000R 00001 00134 015*")</f>
        <v>0</v>
      </c>
      <c r="E2598" s="54"/>
      <c r="F2598" s="83">
        <f>SUMIFS(F2599:F6462,K2599:K6462,"0",B2599:B6462,"5 1 1 3 4 12 31111 6 M59 19000 000132 0000R 00001 00134 015*")</f>
        <v>215500</v>
      </c>
      <c r="G2598" s="83">
        <f>SUMIFS(G2599:G6462,K2599:K6462,"0",B2599:B6462,"5 1 1 3 4 12 31111 6 M59 19000 000132 0000R 00001 00134 015*")</f>
        <v>0</v>
      </c>
      <c r="H2598" s="83">
        <f t="shared" si="40"/>
        <v>215500</v>
      </c>
      <c r="I2598" s="83"/>
      <c r="K2598" s="54" t="s">
        <v>15</v>
      </c>
    </row>
    <row r="2599" spans="2:11" ht="33" x14ac:dyDescent="0.2">
      <c r="B2599" s="82" t="s">
        <v>4869</v>
      </c>
      <c r="C2599" s="82" t="s">
        <v>2927</v>
      </c>
      <c r="D2599" s="83">
        <f>SUMIFS(D2600:D6462,K2600:K6462,"0",B2600:B6462,"5 1 1 3 4 12 31111 6 M59 19000 000132 0000R 00001 00134 015 2111100*")-SUMIFS(E2600:E6462,K2600:K6462,"0",B2600:B6462,"5 1 1 3 4 12 31111 6 M59 19000 000132 0000R 00001 00134 015 2111100*")</f>
        <v>0</v>
      </c>
      <c r="E2599" s="54"/>
      <c r="F2599" s="83">
        <f>SUMIFS(F2600:F6462,K2600:K6462,"0",B2600:B6462,"5 1 1 3 4 12 31111 6 M59 19000 000132 0000R 00001 00134 015 2111100*")</f>
        <v>215500</v>
      </c>
      <c r="G2599" s="83">
        <f>SUMIFS(G2600:G6462,K2600:K6462,"0",B2600:B6462,"5 1 1 3 4 12 31111 6 M59 19000 000132 0000R 00001 00134 015 2111100*")</f>
        <v>0</v>
      </c>
      <c r="H2599" s="83">
        <f t="shared" si="40"/>
        <v>215500</v>
      </c>
      <c r="I2599" s="83"/>
      <c r="K2599" s="54" t="s">
        <v>15</v>
      </c>
    </row>
    <row r="2600" spans="2:11" ht="33" x14ac:dyDescent="0.2">
      <c r="B2600" s="82" t="s">
        <v>4870</v>
      </c>
      <c r="C2600" s="82" t="s">
        <v>660</v>
      </c>
      <c r="D2600" s="83">
        <f>SUMIFS(D2601:D6462,K2601:K6462,"0",B2601:B6462,"5 1 1 3 4 12 31111 6 M59 19000 000132 0000R 00001 00134 015 2111100 2024*")-SUMIFS(E2601:E6462,K2601:K6462,"0",B2601:B6462,"5 1 1 3 4 12 31111 6 M59 19000 000132 0000R 00001 00134 015 2111100 2024*")</f>
        <v>0</v>
      </c>
      <c r="E2600" s="54"/>
      <c r="F2600" s="83">
        <f>SUMIFS(F2601:F6462,K2601:K6462,"0",B2601:B6462,"5 1 1 3 4 12 31111 6 M59 19000 000132 0000R 00001 00134 015 2111100 2024*")</f>
        <v>215500</v>
      </c>
      <c r="G2600" s="83">
        <f>SUMIFS(G2601:G6462,K2601:K6462,"0",B2601:B6462,"5 1 1 3 4 12 31111 6 M59 19000 000132 0000R 00001 00134 015 2111100 2024*")</f>
        <v>0</v>
      </c>
      <c r="H2600" s="83">
        <f t="shared" si="40"/>
        <v>215500</v>
      </c>
      <c r="I2600" s="83"/>
      <c r="K2600" s="54" t="s">
        <v>15</v>
      </c>
    </row>
    <row r="2601" spans="2:11" ht="41.25" x14ac:dyDescent="0.2">
      <c r="B2601" s="82" t="s">
        <v>4871</v>
      </c>
      <c r="C2601" s="82" t="s">
        <v>662</v>
      </c>
      <c r="D2601" s="83">
        <f>SUMIFS(D2602:D6462,K2602:K6462,"0",B2602:B6462,"5 1 1 3 4 12 31111 6 M59 19000 000132 0000R 00001 00134 015 2111100 2024 CP1TM440*")-SUMIFS(E2602:E6462,K2602:K6462,"0",B2602:B6462,"5 1 1 3 4 12 31111 6 M59 19000 000132 0000R 00001 00134 015 2111100 2024 CP1TM440*")</f>
        <v>0</v>
      </c>
      <c r="E2601" s="54"/>
      <c r="F2601" s="83">
        <f>SUMIFS(F2602:F6462,K2602:K6462,"0",B2602:B6462,"5 1 1 3 4 12 31111 6 M59 19000 000132 0000R 00001 00134 015 2111100 2024 CP1TM440*")</f>
        <v>215500</v>
      </c>
      <c r="G2601" s="83">
        <f>SUMIFS(G2602:G6462,K2602:K6462,"0",B2602:B6462,"5 1 1 3 4 12 31111 6 M59 19000 000132 0000R 00001 00134 015 2111100 2024 CP1TM440*")</f>
        <v>0</v>
      </c>
      <c r="H2601" s="83">
        <f t="shared" si="40"/>
        <v>215500</v>
      </c>
      <c r="I2601" s="83"/>
      <c r="K2601" s="54" t="s">
        <v>15</v>
      </c>
    </row>
    <row r="2602" spans="2:11" ht="41.25" x14ac:dyDescent="0.2">
      <c r="B2602" s="82" t="s">
        <v>4872</v>
      </c>
      <c r="C2602" s="82" t="s">
        <v>282</v>
      </c>
      <c r="D2602" s="83">
        <f>SUMIFS(D2603:D6462,K2603:K6462,"0",B2603:B6462,"5 1 1 3 4 12 31111 6 M59 19000 000132 0000R 00001 00134 015 2111100 2024 CP1TM440 001*")-SUMIFS(E2603:E6462,K2603:K6462,"0",B2603:B6462,"5 1 1 3 4 12 31111 6 M59 19000 000132 0000R 00001 00134 015 2111100 2024 CP1TM440 001*")</f>
        <v>0</v>
      </c>
      <c r="E2602" s="54"/>
      <c r="F2602" s="83">
        <f>SUMIFS(F2603:F6462,K2603:K6462,"0",B2603:B6462,"5 1 1 3 4 12 31111 6 M59 19000 000132 0000R 00001 00134 015 2111100 2024 CP1TM440 001*")</f>
        <v>215500</v>
      </c>
      <c r="G2602" s="83">
        <f>SUMIFS(G2603:G6462,K2603:K6462,"0",B2603:B6462,"5 1 1 3 4 12 31111 6 M59 19000 000132 0000R 00001 00134 015 2111100 2024 CP1TM440 001*")</f>
        <v>0</v>
      </c>
      <c r="H2602" s="83">
        <f t="shared" si="40"/>
        <v>215500</v>
      </c>
      <c r="I2602" s="83"/>
      <c r="K2602" s="54" t="s">
        <v>15</v>
      </c>
    </row>
    <row r="2603" spans="2:11" ht="33" x14ac:dyDescent="0.2">
      <c r="B2603" s="84" t="s">
        <v>4873</v>
      </c>
      <c r="C2603" s="84" t="s">
        <v>4766</v>
      </c>
      <c r="D2603" s="85">
        <v>0</v>
      </c>
      <c r="E2603" s="85"/>
      <c r="F2603" s="85">
        <v>215500</v>
      </c>
      <c r="G2603" s="85">
        <v>0</v>
      </c>
      <c r="H2603" s="85">
        <f t="shared" ref="H2603:H2666" si="41">D2603 + F2603 - G2603</f>
        <v>215500</v>
      </c>
      <c r="I2603" s="85"/>
      <c r="K2603" s="54" t="s">
        <v>38</v>
      </c>
    </row>
    <row r="2604" spans="2:11" ht="16.5" x14ac:dyDescent="0.2">
      <c r="B2604" s="82" t="s">
        <v>4874</v>
      </c>
      <c r="C2604" s="82" t="s">
        <v>3080</v>
      </c>
      <c r="D2604" s="83">
        <f>SUMIFS(D2605:D6462,K2605:K6462,"0",B2605:B6462,"5 1 1 3 4 12 31111 6 M59 20200*")-SUMIFS(E2605:E6462,K2605:K6462,"0",B2605:B6462,"5 1 1 3 4 12 31111 6 M59 20200*")</f>
        <v>0</v>
      </c>
      <c r="E2604" s="54"/>
      <c r="F2604" s="83">
        <f>SUMIFS(F2605:F6462,K2605:K6462,"0",B2605:B6462,"5 1 1 3 4 12 31111 6 M59 20200*")</f>
        <v>120192.64</v>
      </c>
      <c r="G2604" s="83">
        <f>SUMIFS(G2605:G6462,K2605:K6462,"0",B2605:B6462,"5 1 1 3 4 12 31111 6 M59 20200*")</f>
        <v>0</v>
      </c>
      <c r="H2604" s="83">
        <f t="shared" si="41"/>
        <v>120192.64</v>
      </c>
      <c r="I2604" s="83"/>
      <c r="K2604" s="54" t="s">
        <v>15</v>
      </c>
    </row>
    <row r="2605" spans="2:11" ht="16.5" x14ac:dyDescent="0.2">
      <c r="B2605" s="82" t="s">
        <v>4875</v>
      </c>
      <c r="C2605" s="82" t="s">
        <v>648</v>
      </c>
      <c r="D2605" s="83">
        <f>SUMIFS(D2606:D6462,K2606:K6462,"0",B2606:B6462,"5 1 1 3 4 12 31111 6 M59 20200 000132*")-SUMIFS(E2606:E6462,K2606:K6462,"0",B2606:B6462,"5 1 1 3 4 12 31111 6 M59 20200 000132*")</f>
        <v>0</v>
      </c>
      <c r="E2605" s="54"/>
      <c r="F2605" s="83">
        <f>SUMIFS(F2606:F6462,K2606:K6462,"0",B2606:B6462,"5 1 1 3 4 12 31111 6 M59 20200 000132*")</f>
        <v>120192.64</v>
      </c>
      <c r="G2605" s="83">
        <f>SUMIFS(G2606:G6462,K2606:K6462,"0",B2606:B6462,"5 1 1 3 4 12 31111 6 M59 20200 000132*")</f>
        <v>0</v>
      </c>
      <c r="H2605" s="83">
        <f t="shared" si="41"/>
        <v>120192.64</v>
      </c>
      <c r="I2605" s="83"/>
      <c r="K2605" s="54" t="s">
        <v>15</v>
      </c>
    </row>
    <row r="2606" spans="2:11" ht="24.75" x14ac:dyDescent="0.2">
      <c r="B2606" s="82" t="s">
        <v>4876</v>
      </c>
      <c r="C2606" s="82" t="s">
        <v>650</v>
      </c>
      <c r="D2606" s="83">
        <f>SUMIFS(D2607:D6462,K2607:K6462,"0",B2607:B6462,"5 1 1 3 4 12 31111 6 M59 20200 000132 0000R*")-SUMIFS(E2607:E6462,K2607:K6462,"0",B2607:B6462,"5 1 1 3 4 12 31111 6 M59 20200 000132 0000R*")</f>
        <v>0</v>
      </c>
      <c r="E2606" s="54"/>
      <c r="F2606" s="83">
        <f>SUMIFS(F2607:F6462,K2607:K6462,"0",B2607:B6462,"5 1 1 3 4 12 31111 6 M59 20200 000132 0000R*")</f>
        <v>120192.64</v>
      </c>
      <c r="G2606" s="83">
        <f>SUMIFS(G2607:G6462,K2607:K6462,"0",B2607:B6462,"5 1 1 3 4 12 31111 6 M59 20200 000132 0000R*")</f>
        <v>0</v>
      </c>
      <c r="H2606" s="83">
        <f t="shared" si="41"/>
        <v>120192.64</v>
      </c>
      <c r="I2606" s="83"/>
      <c r="K2606" s="54" t="s">
        <v>15</v>
      </c>
    </row>
    <row r="2607" spans="2:11" ht="24.75" x14ac:dyDescent="0.2">
      <c r="B2607" s="82" t="s">
        <v>4877</v>
      </c>
      <c r="C2607" s="82" t="s">
        <v>282</v>
      </c>
      <c r="D2607" s="83">
        <f>SUMIFS(D2608:D6462,K2608:K6462,"0",B2608:B6462,"5 1 1 3 4 12 31111 6 M59 20200 000132 0000R 00001*")-SUMIFS(E2608:E6462,K2608:K6462,"0",B2608:B6462,"5 1 1 3 4 12 31111 6 M59 20200 000132 0000R 00001*")</f>
        <v>0</v>
      </c>
      <c r="E2607" s="54"/>
      <c r="F2607" s="83">
        <f>SUMIFS(F2608:F6462,K2608:K6462,"0",B2608:B6462,"5 1 1 3 4 12 31111 6 M59 20200 000132 0000R 00001*")</f>
        <v>120192.64</v>
      </c>
      <c r="G2607" s="83">
        <f>SUMIFS(G2608:G6462,K2608:K6462,"0",B2608:B6462,"5 1 1 3 4 12 31111 6 M59 20200 000132 0000R 00001*")</f>
        <v>0</v>
      </c>
      <c r="H2607" s="83">
        <f t="shared" si="41"/>
        <v>120192.64</v>
      </c>
      <c r="I2607" s="83"/>
      <c r="K2607" s="54" t="s">
        <v>15</v>
      </c>
    </row>
    <row r="2608" spans="2:11" ht="24.75" x14ac:dyDescent="0.2">
      <c r="B2608" s="82" t="s">
        <v>4878</v>
      </c>
      <c r="C2608" s="82" t="s">
        <v>4776</v>
      </c>
      <c r="D2608" s="83">
        <f>SUMIFS(D2609:D6462,K2609:K6462,"0",B2609:B6462,"5 1 1 3 4 12 31111 6 M59 20200 000132 0000R 00001 00134*")-SUMIFS(E2609:E6462,K2609:K6462,"0",B2609:B6462,"5 1 1 3 4 12 31111 6 M59 20200 000132 0000R 00001 00134*")</f>
        <v>0</v>
      </c>
      <c r="E2608" s="54"/>
      <c r="F2608" s="83">
        <f>SUMIFS(F2609:F6462,K2609:K6462,"0",B2609:B6462,"5 1 1 3 4 12 31111 6 M59 20200 000132 0000R 00001 00134*")</f>
        <v>120192.64</v>
      </c>
      <c r="G2608" s="83">
        <f>SUMIFS(G2609:G6462,K2609:K6462,"0",B2609:B6462,"5 1 1 3 4 12 31111 6 M59 20200 000132 0000R 00001 00134*")</f>
        <v>0</v>
      </c>
      <c r="H2608" s="83">
        <f t="shared" si="41"/>
        <v>120192.64</v>
      </c>
      <c r="I2608" s="83"/>
      <c r="K2608" s="54" t="s">
        <v>15</v>
      </c>
    </row>
    <row r="2609" spans="2:11" ht="33" x14ac:dyDescent="0.2">
      <c r="B2609" s="82" t="s">
        <v>4879</v>
      </c>
      <c r="C2609" s="82" t="s">
        <v>1051</v>
      </c>
      <c r="D2609" s="83">
        <f>SUMIFS(D2610:D6462,K2610:K6462,"0",B2610:B6462,"5 1 1 3 4 12 31111 6 M59 20200 000132 0000R 00001 00134 015*")-SUMIFS(E2610:E6462,K2610:K6462,"0",B2610:B6462,"5 1 1 3 4 12 31111 6 M59 20200 000132 0000R 00001 00134 015*")</f>
        <v>0</v>
      </c>
      <c r="E2609" s="54"/>
      <c r="F2609" s="83">
        <f>SUMIFS(F2610:F6462,K2610:K6462,"0",B2610:B6462,"5 1 1 3 4 12 31111 6 M59 20200 000132 0000R 00001 00134 015*")</f>
        <v>120192.64</v>
      </c>
      <c r="G2609" s="83">
        <f>SUMIFS(G2610:G6462,K2610:K6462,"0",B2610:B6462,"5 1 1 3 4 12 31111 6 M59 20200 000132 0000R 00001 00134 015*")</f>
        <v>0</v>
      </c>
      <c r="H2609" s="83">
        <f t="shared" si="41"/>
        <v>120192.64</v>
      </c>
      <c r="I2609" s="83"/>
      <c r="K2609" s="54" t="s">
        <v>15</v>
      </c>
    </row>
    <row r="2610" spans="2:11" ht="33" x14ac:dyDescent="0.2">
      <c r="B2610" s="82" t="s">
        <v>4880</v>
      </c>
      <c r="C2610" s="82" t="s">
        <v>2927</v>
      </c>
      <c r="D2610" s="83">
        <f>SUMIFS(D2611:D6462,K2611:K6462,"0",B2611:B6462,"5 1 1 3 4 12 31111 6 M59 20200 000132 0000R 00001 00134 015 2111100*")-SUMIFS(E2611:E6462,K2611:K6462,"0",B2611:B6462,"5 1 1 3 4 12 31111 6 M59 20200 000132 0000R 00001 00134 015 2111100*")</f>
        <v>0</v>
      </c>
      <c r="E2610" s="54"/>
      <c r="F2610" s="83">
        <f>SUMIFS(F2611:F6462,K2611:K6462,"0",B2611:B6462,"5 1 1 3 4 12 31111 6 M59 20200 000132 0000R 00001 00134 015 2111100*")</f>
        <v>120192.64</v>
      </c>
      <c r="G2610" s="83">
        <f>SUMIFS(G2611:G6462,K2611:K6462,"0",B2611:B6462,"5 1 1 3 4 12 31111 6 M59 20200 000132 0000R 00001 00134 015 2111100*")</f>
        <v>0</v>
      </c>
      <c r="H2610" s="83">
        <f t="shared" si="41"/>
        <v>120192.64</v>
      </c>
      <c r="I2610" s="83"/>
      <c r="K2610" s="54" t="s">
        <v>15</v>
      </c>
    </row>
    <row r="2611" spans="2:11" ht="33" x14ac:dyDescent="0.2">
      <c r="B2611" s="82" t="s">
        <v>4881</v>
      </c>
      <c r="C2611" s="82" t="s">
        <v>660</v>
      </c>
      <c r="D2611" s="83">
        <f>SUMIFS(D2612:D6462,K2612:K6462,"0",B2612:B6462,"5 1 1 3 4 12 31111 6 M59 20200 000132 0000R 00001 00134 015 2111100 2024*")-SUMIFS(E2612:E6462,K2612:K6462,"0",B2612:B6462,"5 1 1 3 4 12 31111 6 M59 20200 000132 0000R 00001 00134 015 2111100 2024*")</f>
        <v>0</v>
      </c>
      <c r="E2611" s="54"/>
      <c r="F2611" s="83">
        <f>SUMIFS(F2612:F6462,K2612:K6462,"0",B2612:B6462,"5 1 1 3 4 12 31111 6 M59 20200 000132 0000R 00001 00134 015 2111100 2024*")</f>
        <v>120192.64</v>
      </c>
      <c r="G2611" s="83">
        <f>SUMIFS(G2612:G6462,K2612:K6462,"0",B2612:B6462,"5 1 1 3 4 12 31111 6 M59 20200 000132 0000R 00001 00134 015 2111100 2024*")</f>
        <v>0</v>
      </c>
      <c r="H2611" s="83">
        <f t="shared" si="41"/>
        <v>120192.64</v>
      </c>
      <c r="I2611" s="83"/>
      <c r="K2611" s="54" t="s">
        <v>15</v>
      </c>
    </row>
    <row r="2612" spans="2:11" ht="41.25" x14ac:dyDescent="0.2">
      <c r="B2612" s="82" t="s">
        <v>4882</v>
      </c>
      <c r="C2612" s="82" t="s">
        <v>662</v>
      </c>
      <c r="D2612" s="83">
        <f>SUMIFS(D2613:D6462,K2613:K6462,"0",B2613:B6462,"5 1 1 3 4 12 31111 6 M59 20200 000132 0000R 00001 00134 015 2111100 2024 CP1DI411*")-SUMIFS(E2613:E6462,K2613:K6462,"0",B2613:B6462,"5 1 1 3 4 12 31111 6 M59 20200 000132 0000R 00001 00134 015 2111100 2024 CP1DI411*")</f>
        <v>0</v>
      </c>
      <c r="E2612" s="54"/>
      <c r="F2612" s="83">
        <f>SUMIFS(F2613:F6462,K2613:K6462,"0",B2613:B6462,"5 1 1 3 4 12 31111 6 M59 20200 000132 0000R 00001 00134 015 2111100 2024 CP1DI411*")</f>
        <v>120192.64</v>
      </c>
      <c r="G2612" s="83">
        <f>SUMIFS(G2613:G6462,K2613:K6462,"0",B2613:B6462,"5 1 1 3 4 12 31111 6 M59 20200 000132 0000R 00001 00134 015 2111100 2024 CP1DI411*")</f>
        <v>0</v>
      </c>
      <c r="H2612" s="83">
        <f t="shared" si="41"/>
        <v>120192.64</v>
      </c>
      <c r="I2612" s="83"/>
      <c r="K2612" s="54" t="s">
        <v>15</v>
      </c>
    </row>
    <row r="2613" spans="2:11" ht="41.25" x14ac:dyDescent="0.2">
      <c r="B2613" s="82" t="s">
        <v>4883</v>
      </c>
      <c r="C2613" s="82" t="s">
        <v>282</v>
      </c>
      <c r="D2613" s="83">
        <f>SUMIFS(D2614:D6462,K2614:K6462,"0",B2614:B6462,"5 1 1 3 4 12 31111 6 M59 20200 000132 0000R 00001 00134 015 2111100 2024 CP1DI411 001*")-SUMIFS(E2614:E6462,K2614:K6462,"0",B2614:B6462,"5 1 1 3 4 12 31111 6 M59 20200 000132 0000R 00001 00134 015 2111100 2024 CP1DI411 001*")</f>
        <v>0</v>
      </c>
      <c r="E2613" s="54"/>
      <c r="F2613" s="83">
        <f>SUMIFS(F2614:F6462,K2614:K6462,"0",B2614:B6462,"5 1 1 3 4 12 31111 6 M59 20200 000132 0000R 00001 00134 015 2111100 2024 CP1DI411 001*")</f>
        <v>120192.64</v>
      </c>
      <c r="G2613" s="83">
        <f>SUMIFS(G2614:G6462,K2614:K6462,"0",B2614:B6462,"5 1 1 3 4 12 31111 6 M59 20200 000132 0000R 00001 00134 015 2111100 2024 CP1DI411 001*")</f>
        <v>0</v>
      </c>
      <c r="H2613" s="83">
        <f t="shared" si="41"/>
        <v>120192.64</v>
      </c>
      <c r="I2613" s="83"/>
      <c r="K2613" s="54" t="s">
        <v>15</v>
      </c>
    </row>
    <row r="2614" spans="2:11" ht="33" x14ac:dyDescent="0.2">
      <c r="B2614" s="84" t="s">
        <v>4884</v>
      </c>
      <c r="C2614" s="84" t="s">
        <v>4783</v>
      </c>
      <c r="D2614" s="85">
        <v>0</v>
      </c>
      <c r="E2614" s="85"/>
      <c r="F2614" s="85">
        <v>120192.64</v>
      </c>
      <c r="G2614" s="85">
        <v>0</v>
      </c>
      <c r="H2614" s="85">
        <f t="shared" si="41"/>
        <v>120192.64</v>
      </c>
      <c r="I2614" s="85"/>
      <c r="K2614" s="54" t="s">
        <v>38</v>
      </c>
    </row>
    <row r="2615" spans="2:11" ht="16.5" x14ac:dyDescent="0.2">
      <c r="B2615" s="82" t="s">
        <v>4885</v>
      </c>
      <c r="C2615" s="82" t="s">
        <v>1061</v>
      </c>
      <c r="D2615" s="83">
        <f>SUMIFS(D2616:D6462,K2616:K6462,"0",B2616:B6462,"5 1 1 3 4 12 31111 6 M59 20300*")-SUMIFS(E2616:E6462,K2616:K6462,"0",B2616:B6462,"5 1 1 3 4 12 31111 6 M59 20300*")</f>
        <v>0</v>
      </c>
      <c r="E2615" s="54"/>
      <c r="F2615" s="83">
        <f>SUMIFS(F2616:F6462,K2616:K6462,"0",B2616:B6462,"5 1 1 3 4 12 31111 6 M59 20300*")</f>
        <v>273899.03999999998</v>
      </c>
      <c r="G2615" s="83">
        <f>SUMIFS(G2616:G6462,K2616:K6462,"0",B2616:B6462,"5 1 1 3 4 12 31111 6 M59 20300*")</f>
        <v>0</v>
      </c>
      <c r="H2615" s="83">
        <f t="shared" si="41"/>
        <v>273899.03999999998</v>
      </c>
      <c r="I2615" s="83"/>
      <c r="K2615" s="54" t="s">
        <v>15</v>
      </c>
    </row>
    <row r="2616" spans="2:11" ht="16.5" x14ac:dyDescent="0.2">
      <c r="B2616" s="82" t="s">
        <v>4886</v>
      </c>
      <c r="C2616" s="82" t="s">
        <v>648</v>
      </c>
      <c r="D2616" s="83">
        <f>SUMIFS(D2617:D6462,K2617:K6462,"0",B2617:B6462,"5 1 1 3 4 12 31111 6 M59 20300 000132*")-SUMIFS(E2617:E6462,K2617:K6462,"0",B2617:B6462,"5 1 1 3 4 12 31111 6 M59 20300 000132*")</f>
        <v>0</v>
      </c>
      <c r="E2616" s="54"/>
      <c r="F2616" s="83">
        <f>SUMIFS(F2617:F6462,K2617:K6462,"0",B2617:B6462,"5 1 1 3 4 12 31111 6 M59 20300 000132*")</f>
        <v>273899.03999999998</v>
      </c>
      <c r="G2616" s="83">
        <f>SUMIFS(G2617:G6462,K2617:K6462,"0",B2617:B6462,"5 1 1 3 4 12 31111 6 M59 20300 000132*")</f>
        <v>0</v>
      </c>
      <c r="H2616" s="83">
        <f t="shared" si="41"/>
        <v>273899.03999999998</v>
      </c>
      <c r="I2616" s="83"/>
      <c r="K2616" s="54" t="s">
        <v>15</v>
      </c>
    </row>
    <row r="2617" spans="2:11" ht="24.75" x14ac:dyDescent="0.2">
      <c r="B2617" s="82" t="s">
        <v>4887</v>
      </c>
      <c r="C2617" s="82" t="s">
        <v>650</v>
      </c>
      <c r="D2617" s="83">
        <f>SUMIFS(D2618:D6462,K2618:K6462,"0",B2618:B6462,"5 1 1 3 4 12 31111 6 M59 20300 000132 0000R*")-SUMIFS(E2618:E6462,K2618:K6462,"0",B2618:B6462,"5 1 1 3 4 12 31111 6 M59 20300 000132 0000R*")</f>
        <v>0</v>
      </c>
      <c r="E2617" s="54"/>
      <c r="F2617" s="83">
        <f>SUMIFS(F2618:F6462,K2618:K6462,"0",B2618:B6462,"5 1 1 3 4 12 31111 6 M59 20300 000132 0000R*")</f>
        <v>273899.03999999998</v>
      </c>
      <c r="G2617" s="83">
        <f>SUMIFS(G2618:G6462,K2618:K6462,"0",B2618:B6462,"5 1 1 3 4 12 31111 6 M59 20300 000132 0000R*")</f>
        <v>0</v>
      </c>
      <c r="H2617" s="83">
        <f t="shared" si="41"/>
        <v>273899.03999999998</v>
      </c>
      <c r="I2617" s="83"/>
      <c r="K2617" s="54" t="s">
        <v>15</v>
      </c>
    </row>
    <row r="2618" spans="2:11" ht="24.75" x14ac:dyDescent="0.2">
      <c r="B2618" s="82" t="s">
        <v>4888</v>
      </c>
      <c r="C2618" s="82" t="s">
        <v>282</v>
      </c>
      <c r="D2618" s="83">
        <f>SUMIFS(D2619:D6462,K2619:K6462,"0",B2619:B6462,"5 1 1 3 4 12 31111 6 M59 20300 000132 0000R 00001*")-SUMIFS(E2619:E6462,K2619:K6462,"0",B2619:B6462,"5 1 1 3 4 12 31111 6 M59 20300 000132 0000R 00001*")</f>
        <v>0</v>
      </c>
      <c r="E2618" s="54"/>
      <c r="F2618" s="83">
        <f>SUMIFS(F2619:F6462,K2619:K6462,"0",B2619:B6462,"5 1 1 3 4 12 31111 6 M59 20300 000132 0000R 00001*")</f>
        <v>273899.03999999998</v>
      </c>
      <c r="G2618" s="83">
        <f>SUMIFS(G2619:G6462,K2619:K6462,"0",B2619:B6462,"5 1 1 3 4 12 31111 6 M59 20300 000132 0000R 00001*")</f>
        <v>0</v>
      </c>
      <c r="H2618" s="83">
        <f t="shared" si="41"/>
        <v>273899.03999999998</v>
      </c>
      <c r="I2618" s="83"/>
      <c r="K2618" s="54" t="s">
        <v>15</v>
      </c>
    </row>
    <row r="2619" spans="2:11" ht="24.75" x14ac:dyDescent="0.2">
      <c r="B2619" s="82" t="s">
        <v>4889</v>
      </c>
      <c r="C2619" s="82" t="s">
        <v>4776</v>
      </c>
      <c r="D2619" s="83">
        <f>SUMIFS(D2620:D6462,K2620:K6462,"0",B2620:B6462,"5 1 1 3 4 12 31111 6 M59 20300 000132 0000R 00001 00134*")-SUMIFS(E2620:E6462,K2620:K6462,"0",B2620:B6462,"5 1 1 3 4 12 31111 6 M59 20300 000132 0000R 00001 00134*")</f>
        <v>0</v>
      </c>
      <c r="E2619" s="54"/>
      <c r="F2619" s="83">
        <f>SUMIFS(F2620:F6462,K2620:K6462,"0",B2620:B6462,"5 1 1 3 4 12 31111 6 M59 20300 000132 0000R 00001 00134*")</f>
        <v>273899.03999999998</v>
      </c>
      <c r="G2619" s="83">
        <f>SUMIFS(G2620:G6462,K2620:K6462,"0",B2620:B6462,"5 1 1 3 4 12 31111 6 M59 20300 000132 0000R 00001 00134*")</f>
        <v>0</v>
      </c>
      <c r="H2619" s="83">
        <f t="shared" si="41"/>
        <v>273899.03999999998</v>
      </c>
      <c r="I2619" s="83"/>
      <c r="K2619" s="54" t="s">
        <v>15</v>
      </c>
    </row>
    <row r="2620" spans="2:11" ht="33" x14ac:dyDescent="0.2">
      <c r="B2620" s="82" t="s">
        <v>4890</v>
      </c>
      <c r="C2620" s="82" t="s">
        <v>1051</v>
      </c>
      <c r="D2620" s="83">
        <f>SUMIFS(D2621:D6462,K2621:K6462,"0",B2621:B6462,"5 1 1 3 4 12 31111 6 M59 20300 000132 0000R 00001 00134 015*")-SUMIFS(E2621:E6462,K2621:K6462,"0",B2621:B6462,"5 1 1 3 4 12 31111 6 M59 20300 000132 0000R 00001 00134 015*")</f>
        <v>0</v>
      </c>
      <c r="E2620" s="54"/>
      <c r="F2620" s="83">
        <f>SUMIFS(F2621:F6462,K2621:K6462,"0",B2621:B6462,"5 1 1 3 4 12 31111 6 M59 20300 000132 0000R 00001 00134 015*")</f>
        <v>273899.03999999998</v>
      </c>
      <c r="G2620" s="83">
        <f>SUMIFS(G2621:G6462,K2621:K6462,"0",B2621:B6462,"5 1 1 3 4 12 31111 6 M59 20300 000132 0000R 00001 00134 015*")</f>
        <v>0</v>
      </c>
      <c r="H2620" s="83">
        <f t="shared" si="41"/>
        <v>273899.03999999998</v>
      </c>
      <c r="I2620" s="83"/>
      <c r="K2620" s="54" t="s">
        <v>15</v>
      </c>
    </row>
    <row r="2621" spans="2:11" ht="33" x14ac:dyDescent="0.2">
      <c r="B2621" s="82" t="s">
        <v>4891</v>
      </c>
      <c r="C2621" s="82" t="s">
        <v>2927</v>
      </c>
      <c r="D2621" s="83">
        <f>SUMIFS(D2622:D6462,K2622:K6462,"0",B2622:B6462,"5 1 1 3 4 12 31111 6 M59 20300 000132 0000R 00001 00134 015 2111100*")-SUMIFS(E2622:E6462,K2622:K6462,"0",B2622:B6462,"5 1 1 3 4 12 31111 6 M59 20300 000132 0000R 00001 00134 015 2111100*")</f>
        <v>0</v>
      </c>
      <c r="E2621" s="54"/>
      <c r="F2621" s="83">
        <f>SUMIFS(F2622:F6462,K2622:K6462,"0",B2622:B6462,"5 1 1 3 4 12 31111 6 M59 20300 000132 0000R 00001 00134 015 2111100*")</f>
        <v>273899.03999999998</v>
      </c>
      <c r="G2621" s="83">
        <f>SUMIFS(G2622:G6462,K2622:K6462,"0",B2622:B6462,"5 1 1 3 4 12 31111 6 M59 20300 000132 0000R 00001 00134 015 2111100*")</f>
        <v>0</v>
      </c>
      <c r="H2621" s="83">
        <f t="shared" si="41"/>
        <v>273899.03999999998</v>
      </c>
      <c r="I2621" s="83"/>
      <c r="K2621" s="54" t="s">
        <v>15</v>
      </c>
    </row>
    <row r="2622" spans="2:11" ht="33" x14ac:dyDescent="0.2">
      <c r="B2622" s="82" t="s">
        <v>4892</v>
      </c>
      <c r="C2622" s="82" t="s">
        <v>660</v>
      </c>
      <c r="D2622" s="83">
        <f>SUMIFS(D2623:D6462,K2623:K6462,"0",B2623:B6462,"5 1 1 3 4 12 31111 6 M59 20300 000132 0000R 00001 00134 015 2111100 2024*")-SUMIFS(E2623:E6462,K2623:K6462,"0",B2623:B6462,"5 1 1 3 4 12 31111 6 M59 20300 000132 0000R 00001 00134 015 2111100 2024*")</f>
        <v>0</v>
      </c>
      <c r="E2622" s="54"/>
      <c r="F2622" s="83">
        <f>SUMIFS(F2623:F6462,K2623:K6462,"0",B2623:B6462,"5 1 1 3 4 12 31111 6 M59 20300 000132 0000R 00001 00134 015 2111100 2024*")</f>
        <v>273899.03999999998</v>
      </c>
      <c r="G2622" s="83">
        <f>SUMIFS(G2623:G6462,K2623:K6462,"0",B2623:B6462,"5 1 1 3 4 12 31111 6 M59 20300 000132 0000R 00001 00134 015 2111100 2024*")</f>
        <v>0</v>
      </c>
      <c r="H2622" s="83">
        <f t="shared" si="41"/>
        <v>273899.03999999998</v>
      </c>
      <c r="I2622" s="83"/>
      <c r="K2622" s="54" t="s">
        <v>15</v>
      </c>
    </row>
    <row r="2623" spans="2:11" ht="41.25" x14ac:dyDescent="0.2">
      <c r="B2623" s="82" t="s">
        <v>4893</v>
      </c>
      <c r="C2623" s="82" t="s">
        <v>662</v>
      </c>
      <c r="D2623" s="83">
        <f>SUMIFS(D2624:D6462,K2624:K6462,"0",B2624:B6462,"5 1 1 3 4 12 31111 6 M59 20300 000132 0000R 00001 00134 015 2111100 2024 CP1DE415*")-SUMIFS(E2624:E6462,K2624:K6462,"0",B2624:B6462,"5 1 1 3 4 12 31111 6 M59 20300 000132 0000R 00001 00134 015 2111100 2024 CP1DE415*")</f>
        <v>0</v>
      </c>
      <c r="E2623" s="54"/>
      <c r="F2623" s="83">
        <f>SUMIFS(F2624:F6462,K2624:K6462,"0",B2624:B6462,"5 1 1 3 4 12 31111 6 M59 20300 000132 0000R 00001 00134 015 2111100 2024 CP1DE415*")</f>
        <v>273899.03999999998</v>
      </c>
      <c r="G2623" s="83">
        <f>SUMIFS(G2624:G6462,K2624:K6462,"0",B2624:B6462,"5 1 1 3 4 12 31111 6 M59 20300 000132 0000R 00001 00134 015 2111100 2024 CP1DE415*")</f>
        <v>0</v>
      </c>
      <c r="H2623" s="83">
        <f t="shared" si="41"/>
        <v>273899.03999999998</v>
      </c>
      <c r="I2623" s="83"/>
      <c r="K2623" s="54" t="s">
        <v>15</v>
      </c>
    </row>
    <row r="2624" spans="2:11" ht="41.25" x14ac:dyDescent="0.2">
      <c r="B2624" s="82" t="s">
        <v>4894</v>
      </c>
      <c r="C2624" s="82" t="s">
        <v>282</v>
      </c>
      <c r="D2624" s="83">
        <f>SUMIFS(D2625:D6462,K2625:K6462,"0",B2625:B6462,"5 1 1 3 4 12 31111 6 M59 20300 000132 0000R 00001 00134 015 2111100 2024 CP1DE415 001*")-SUMIFS(E2625:E6462,K2625:K6462,"0",B2625:B6462,"5 1 1 3 4 12 31111 6 M59 20300 000132 0000R 00001 00134 015 2111100 2024 CP1DE415 001*")</f>
        <v>0</v>
      </c>
      <c r="E2624" s="54"/>
      <c r="F2624" s="83">
        <f>SUMIFS(F2625:F6462,K2625:K6462,"0",B2625:B6462,"5 1 1 3 4 12 31111 6 M59 20300 000132 0000R 00001 00134 015 2111100 2024 CP1DE415 001*")</f>
        <v>273899.03999999998</v>
      </c>
      <c r="G2624" s="83">
        <f>SUMIFS(G2625:G6462,K2625:K6462,"0",B2625:B6462,"5 1 1 3 4 12 31111 6 M59 20300 000132 0000R 00001 00134 015 2111100 2024 CP1DE415 001*")</f>
        <v>0</v>
      </c>
      <c r="H2624" s="83">
        <f t="shared" si="41"/>
        <v>273899.03999999998</v>
      </c>
      <c r="I2624" s="83"/>
      <c r="K2624" s="54" t="s">
        <v>15</v>
      </c>
    </row>
    <row r="2625" spans="2:11" ht="41.25" x14ac:dyDescent="0.2">
      <c r="B2625" s="84" t="s">
        <v>4895</v>
      </c>
      <c r="C2625" s="84" t="s">
        <v>4783</v>
      </c>
      <c r="D2625" s="85">
        <v>0</v>
      </c>
      <c r="E2625" s="85"/>
      <c r="F2625" s="85">
        <v>273899.03999999998</v>
      </c>
      <c r="G2625" s="85">
        <v>0</v>
      </c>
      <c r="H2625" s="85">
        <f t="shared" si="41"/>
        <v>273899.03999999998</v>
      </c>
      <c r="I2625" s="85"/>
      <c r="K2625" s="54" t="s">
        <v>38</v>
      </c>
    </row>
    <row r="2626" spans="2:11" ht="16.5" x14ac:dyDescent="0.2">
      <c r="B2626" s="82" t="s">
        <v>4896</v>
      </c>
      <c r="C2626" s="82" t="s">
        <v>3126</v>
      </c>
      <c r="D2626" s="83">
        <f>SUMIFS(D2627:D6462,K2627:K6462,"0",B2627:B6462,"5 1 1 3 4 12 31111 6 M59 20600*")-SUMIFS(E2627:E6462,K2627:K6462,"0",B2627:B6462,"5 1 1 3 4 12 31111 6 M59 20600*")</f>
        <v>0</v>
      </c>
      <c r="E2626" s="54"/>
      <c r="F2626" s="83">
        <f>SUMIFS(F2627:F6462,K2627:K6462,"0",B2627:B6462,"5 1 1 3 4 12 31111 6 M59 20600*")</f>
        <v>46798.8</v>
      </c>
      <c r="G2626" s="83">
        <f>SUMIFS(G2627:G6462,K2627:K6462,"0",B2627:B6462,"5 1 1 3 4 12 31111 6 M59 20600*")</f>
        <v>0</v>
      </c>
      <c r="H2626" s="83">
        <f t="shared" si="41"/>
        <v>46798.8</v>
      </c>
      <c r="I2626" s="83"/>
      <c r="K2626" s="54" t="s">
        <v>15</v>
      </c>
    </row>
    <row r="2627" spans="2:11" ht="16.5" x14ac:dyDescent="0.2">
      <c r="B2627" s="82" t="s">
        <v>4897</v>
      </c>
      <c r="C2627" s="82" t="s">
        <v>648</v>
      </c>
      <c r="D2627" s="83">
        <f>SUMIFS(D2628:D6462,K2628:K6462,"0",B2628:B6462,"5 1 1 3 4 12 31111 6 M59 20600 000132*")-SUMIFS(E2628:E6462,K2628:K6462,"0",B2628:B6462,"5 1 1 3 4 12 31111 6 M59 20600 000132*")</f>
        <v>0</v>
      </c>
      <c r="E2627" s="54"/>
      <c r="F2627" s="83">
        <f>SUMIFS(F2628:F6462,K2628:K6462,"0",B2628:B6462,"5 1 1 3 4 12 31111 6 M59 20600 000132*")</f>
        <v>46798.8</v>
      </c>
      <c r="G2627" s="83">
        <f>SUMIFS(G2628:G6462,K2628:K6462,"0",B2628:B6462,"5 1 1 3 4 12 31111 6 M59 20600 000132*")</f>
        <v>0</v>
      </c>
      <c r="H2627" s="83">
        <f t="shared" si="41"/>
        <v>46798.8</v>
      </c>
      <c r="I2627" s="83"/>
      <c r="K2627" s="54" t="s">
        <v>15</v>
      </c>
    </row>
    <row r="2628" spans="2:11" ht="24.75" x14ac:dyDescent="0.2">
      <c r="B2628" s="82" t="s">
        <v>4898</v>
      </c>
      <c r="C2628" s="82" t="s">
        <v>650</v>
      </c>
      <c r="D2628" s="83">
        <f>SUMIFS(D2629:D6462,K2629:K6462,"0",B2629:B6462,"5 1 1 3 4 12 31111 6 M59 20600 000132 0000R*")-SUMIFS(E2629:E6462,K2629:K6462,"0",B2629:B6462,"5 1 1 3 4 12 31111 6 M59 20600 000132 0000R*")</f>
        <v>0</v>
      </c>
      <c r="E2628" s="54"/>
      <c r="F2628" s="83">
        <f>SUMIFS(F2629:F6462,K2629:K6462,"0",B2629:B6462,"5 1 1 3 4 12 31111 6 M59 20600 000132 0000R*")</f>
        <v>46798.8</v>
      </c>
      <c r="G2628" s="83">
        <f>SUMIFS(G2629:G6462,K2629:K6462,"0",B2629:B6462,"5 1 1 3 4 12 31111 6 M59 20600 000132 0000R*")</f>
        <v>0</v>
      </c>
      <c r="H2628" s="83">
        <f t="shared" si="41"/>
        <v>46798.8</v>
      </c>
      <c r="I2628" s="83"/>
      <c r="K2628" s="54" t="s">
        <v>15</v>
      </c>
    </row>
    <row r="2629" spans="2:11" ht="24.75" x14ac:dyDescent="0.2">
      <c r="B2629" s="82" t="s">
        <v>4899</v>
      </c>
      <c r="C2629" s="82" t="s">
        <v>282</v>
      </c>
      <c r="D2629" s="83">
        <f>SUMIFS(D2630:D6462,K2630:K6462,"0",B2630:B6462,"5 1 1 3 4 12 31111 6 M59 20600 000132 0000R 00001*")-SUMIFS(E2630:E6462,K2630:K6462,"0",B2630:B6462,"5 1 1 3 4 12 31111 6 M59 20600 000132 0000R 00001*")</f>
        <v>0</v>
      </c>
      <c r="E2629" s="54"/>
      <c r="F2629" s="83">
        <f>SUMIFS(F2630:F6462,K2630:K6462,"0",B2630:B6462,"5 1 1 3 4 12 31111 6 M59 20600 000132 0000R 00001*")</f>
        <v>46798.8</v>
      </c>
      <c r="G2629" s="83">
        <f>SUMIFS(G2630:G6462,K2630:K6462,"0",B2630:B6462,"5 1 1 3 4 12 31111 6 M59 20600 000132 0000R 00001*")</f>
        <v>0</v>
      </c>
      <c r="H2629" s="83">
        <f t="shared" si="41"/>
        <v>46798.8</v>
      </c>
      <c r="I2629" s="83"/>
      <c r="K2629" s="54" t="s">
        <v>15</v>
      </c>
    </row>
    <row r="2630" spans="2:11" ht="24.75" x14ac:dyDescent="0.2">
      <c r="B2630" s="82" t="s">
        <v>4900</v>
      </c>
      <c r="C2630" s="82" t="s">
        <v>4776</v>
      </c>
      <c r="D2630" s="83">
        <f>SUMIFS(D2631:D6462,K2631:K6462,"0",B2631:B6462,"5 1 1 3 4 12 31111 6 M59 20600 000132 0000R 00001 00134*")-SUMIFS(E2631:E6462,K2631:K6462,"0",B2631:B6462,"5 1 1 3 4 12 31111 6 M59 20600 000132 0000R 00001 00134*")</f>
        <v>0</v>
      </c>
      <c r="E2630" s="54"/>
      <c r="F2630" s="83">
        <f>SUMIFS(F2631:F6462,K2631:K6462,"0",B2631:B6462,"5 1 1 3 4 12 31111 6 M59 20600 000132 0000R 00001 00134*")</f>
        <v>46798.8</v>
      </c>
      <c r="G2630" s="83">
        <f>SUMIFS(G2631:G6462,K2631:K6462,"0",B2631:B6462,"5 1 1 3 4 12 31111 6 M59 20600 000132 0000R 00001 00134*")</f>
        <v>0</v>
      </c>
      <c r="H2630" s="83">
        <f t="shared" si="41"/>
        <v>46798.8</v>
      </c>
      <c r="I2630" s="83"/>
      <c r="K2630" s="54" t="s">
        <v>15</v>
      </c>
    </row>
    <row r="2631" spans="2:11" ht="33" x14ac:dyDescent="0.2">
      <c r="B2631" s="82" t="s">
        <v>4901</v>
      </c>
      <c r="C2631" s="82" t="s">
        <v>1051</v>
      </c>
      <c r="D2631" s="83">
        <f>SUMIFS(D2632:D6462,K2632:K6462,"0",B2632:B6462,"5 1 1 3 4 12 31111 6 M59 20600 000132 0000R 00001 00134 015*")-SUMIFS(E2632:E6462,K2632:K6462,"0",B2632:B6462,"5 1 1 3 4 12 31111 6 M59 20600 000132 0000R 00001 00134 015*")</f>
        <v>0</v>
      </c>
      <c r="E2631" s="54"/>
      <c r="F2631" s="83">
        <f>SUMIFS(F2632:F6462,K2632:K6462,"0",B2632:B6462,"5 1 1 3 4 12 31111 6 M59 20600 000132 0000R 00001 00134 015*")</f>
        <v>46798.8</v>
      </c>
      <c r="G2631" s="83">
        <f>SUMIFS(G2632:G6462,K2632:K6462,"0",B2632:B6462,"5 1 1 3 4 12 31111 6 M59 20600 000132 0000R 00001 00134 015*")</f>
        <v>0</v>
      </c>
      <c r="H2631" s="83">
        <f t="shared" si="41"/>
        <v>46798.8</v>
      </c>
      <c r="I2631" s="83"/>
      <c r="K2631" s="54" t="s">
        <v>15</v>
      </c>
    </row>
    <row r="2632" spans="2:11" ht="33" x14ac:dyDescent="0.2">
      <c r="B2632" s="82" t="s">
        <v>4902</v>
      </c>
      <c r="C2632" s="82" t="s">
        <v>2927</v>
      </c>
      <c r="D2632" s="83">
        <f>SUMIFS(D2633:D6462,K2633:K6462,"0",B2633:B6462,"5 1 1 3 4 12 31111 6 M59 20600 000132 0000R 00001 00134 015 2111100*")-SUMIFS(E2633:E6462,K2633:K6462,"0",B2633:B6462,"5 1 1 3 4 12 31111 6 M59 20600 000132 0000R 00001 00134 015 2111100*")</f>
        <v>0</v>
      </c>
      <c r="E2632" s="54"/>
      <c r="F2632" s="83">
        <f>SUMIFS(F2633:F6462,K2633:K6462,"0",B2633:B6462,"5 1 1 3 4 12 31111 6 M59 20600 000132 0000R 00001 00134 015 2111100*")</f>
        <v>46798.8</v>
      </c>
      <c r="G2632" s="83">
        <f>SUMIFS(G2633:G6462,K2633:K6462,"0",B2633:B6462,"5 1 1 3 4 12 31111 6 M59 20600 000132 0000R 00001 00134 015 2111100*")</f>
        <v>0</v>
      </c>
      <c r="H2632" s="83">
        <f t="shared" si="41"/>
        <v>46798.8</v>
      </c>
      <c r="I2632" s="83"/>
      <c r="K2632" s="54" t="s">
        <v>15</v>
      </c>
    </row>
    <row r="2633" spans="2:11" ht="33" x14ac:dyDescent="0.2">
      <c r="B2633" s="82" t="s">
        <v>4903</v>
      </c>
      <c r="C2633" s="82" t="s">
        <v>660</v>
      </c>
      <c r="D2633" s="83">
        <f>SUMIFS(D2634:D6462,K2634:K6462,"0",B2634:B6462,"5 1 1 3 4 12 31111 6 M59 20600 000132 0000R 00001 00134 015 2111100 2024*")-SUMIFS(E2634:E6462,K2634:K6462,"0",B2634:B6462,"5 1 1 3 4 12 31111 6 M59 20600 000132 0000R 00001 00134 015 2111100 2024*")</f>
        <v>0</v>
      </c>
      <c r="E2633" s="54"/>
      <c r="F2633" s="83">
        <f>SUMIFS(F2634:F6462,K2634:K6462,"0",B2634:B6462,"5 1 1 3 4 12 31111 6 M59 20600 000132 0000R 00001 00134 015 2111100 2024*")</f>
        <v>46798.8</v>
      </c>
      <c r="G2633" s="83">
        <f>SUMIFS(G2634:G6462,K2634:K6462,"0",B2634:B6462,"5 1 1 3 4 12 31111 6 M59 20600 000132 0000R 00001 00134 015 2111100 2024*")</f>
        <v>0</v>
      </c>
      <c r="H2633" s="83">
        <f t="shared" si="41"/>
        <v>46798.8</v>
      </c>
      <c r="I2633" s="83"/>
      <c r="K2633" s="54" t="s">
        <v>15</v>
      </c>
    </row>
    <row r="2634" spans="2:11" ht="41.25" x14ac:dyDescent="0.2">
      <c r="B2634" s="82" t="s">
        <v>4904</v>
      </c>
      <c r="C2634" s="82" t="s">
        <v>1056</v>
      </c>
      <c r="D2634" s="83">
        <f>SUMIFS(D2635:D6462,K2635:K6462,"0",B2635:B6462,"5 1 1 3 4 12 31111 6 M59 20600 000132 0000R 00001 00134 015 2111100 2024 CP1CA380*")-SUMIFS(E2635:E6462,K2635:K6462,"0",B2635:B6462,"5 1 1 3 4 12 31111 6 M59 20600 000132 0000R 00001 00134 015 2111100 2024 CP1CA380*")</f>
        <v>0</v>
      </c>
      <c r="E2634" s="54"/>
      <c r="F2634" s="83">
        <f>SUMIFS(F2635:F6462,K2635:K6462,"0",B2635:B6462,"5 1 1 3 4 12 31111 6 M59 20600 000132 0000R 00001 00134 015 2111100 2024 CP1CA380*")</f>
        <v>46798.8</v>
      </c>
      <c r="G2634" s="83">
        <f>SUMIFS(G2635:G6462,K2635:K6462,"0",B2635:B6462,"5 1 1 3 4 12 31111 6 M59 20600 000132 0000R 00001 00134 015 2111100 2024 CP1CA380*")</f>
        <v>0</v>
      </c>
      <c r="H2634" s="83">
        <f t="shared" si="41"/>
        <v>46798.8</v>
      </c>
      <c r="I2634" s="83"/>
      <c r="K2634" s="54" t="s">
        <v>15</v>
      </c>
    </row>
    <row r="2635" spans="2:11" ht="41.25" x14ac:dyDescent="0.2">
      <c r="B2635" s="82" t="s">
        <v>4905</v>
      </c>
      <c r="C2635" s="82" t="s">
        <v>282</v>
      </c>
      <c r="D2635" s="83">
        <f>SUMIFS(D2636:D6462,K2636:K6462,"0",B2636:B6462,"5 1 1 3 4 12 31111 6 M59 20600 000132 0000R 00001 00134 015 2111100 2024 CP1CA380 001*")-SUMIFS(E2636:E6462,K2636:K6462,"0",B2636:B6462,"5 1 1 3 4 12 31111 6 M59 20600 000132 0000R 00001 00134 015 2111100 2024 CP1CA380 001*")</f>
        <v>0</v>
      </c>
      <c r="E2635" s="54"/>
      <c r="F2635" s="83">
        <f>SUMIFS(F2636:F6462,K2636:K6462,"0",B2636:B6462,"5 1 1 3 4 12 31111 6 M59 20600 000132 0000R 00001 00134 015 2111100 2024 CP1CA380 001*")</f>
        <v>46798.8</v>
      </c>
      <c r="G2635" s="83">
        <f>SUMIFS(G2636:G6462,K2636:K6462,"0",B2636:B6462,"5 1 1 3 4 12 31111 6 M59 20600 000132 0000R 00001 00134 015 2111100 2024 CP1CA380 001*")</f>
        <v>0</v>
      </c>
      <c r="H2635" s="83">
        <f t="shared" si="41"/>
        <v>46798.8</v>
      </c>
      <c r="I2635" s="83"/>
      <c r="K2635" s="54" t="s">
        <v>15</v>
      </c>
    </row>
    <row r="2636" spans="2:11" ht="41.25" x14ac:dyDescent="0.2">
      <c r="B2636" s="84" t="s">
        <v>4906</v>
      </c>
      <c r="C2636" s="84" t="s">
        <v>4783</v>
      </c>
      <c r="D2636" s="85">
        <v>0</v>
      </c>
      <c r="E2636" s="85"/>
      <c r="F2636" s="85">
        <v>46798.8</v>
      </c>
      <c r="G2636" s="85">
        <v>0</v>
      </c>
      <c r="H2636" s="85">
        <f t="shared" si="41"/>
        <v>46798.8</v>
      </c>
      <c r="I2636" s="85"/>
      <c r="K2636" s="54" t="s">
        <v>38</v>
      </c>
    </row>
    <row r="2637" spans="2:11" ht="16.5" x14ac:dyDescent="0.2">
      <c r="B2637" s="82" t="s">
        <v>4907</v>
      </c>
      <c r="C2637" s="82" t="s">
        <v>3150</v>
      </c>
      <c r="D2637" s="83">
        <f>SUMIFS(D2638:D6462,K2638:K6462,"0",B2638:B6462,"5 1 1 3 4 12 31111 6 M59 20800*")-SUMIFS(E2638:E6462,K2638:K6462,"0",B2638:B6462,"5 1 1 3 4 12 31111 6 M59 20800*")</f>
        <v>0</v>
      </c>
      <c r="E2637" s="54"/>
      <c r="F2637" s="83">
        <f>SUMIFS(F2638:F6462,K2638:K6462,"0",B2638:B6462,"5 1 1 3 4 12 31111 6 M59 20800*")</f>
        <v>153500</v>
      </c>
      <c r="G2637" s="83">
        <f>SUMIFS(G2638:G6462,K2638:K6462,"0",B2638:B6462,"5 1 1 3 4 12 31111 6 M59 20800*")</f>
        <v>0</v>
      </c>
      <c r="H2637" s="83">
        <f t="shared" si="41"/>
        <v>153500</v>
      </c>
      <c r="I2637" s="83"/>
      <c r="K2637" s="54" t="s">
        <v>15</v>
      </c>
    </row>
    <row r="2638" spans="2:11" ht="24.75" x14ac:dyDescent="0.2">
      <c r="B2638" s="82" t="s">
        <v>4908</v>
      </c>
      <c r="C2638" s="82" t="s">
        <v>3152</v>
      </c>
      <c r="D2638" s="83">
        <f>SUMIFS(D2639:D6462,K2639:K6462,"0",B2639:B6462,"5 1 1 3 4 12 31111 6 M59 20800 000181*")-SUMIFS(E2639:E6462,K2639:K6462,"0",B2639:B6462,"5 1 1 3 4 12 31111 6 M59 20800 000181*")</f>
        <v>0</v>
      </c>
      <c r="E2638" s="54"/>
      <c r="F2638" s="83">
        <f>SUMIFS(F2639:F6462,K2639:K6462,"0",B2639:B6462,"5 1 1 3 4 12 31111 6 M59 20800 000181*")</f>
        <v>153500</v>
      </c>
      <c r="G2638" s="83">
        <f>SUMIFS(G2639:G6462,K2639:K6462,"0",B2639:B6462,"5 1 1 3 4 12 31111 6 M59 20800 000181*")</f>
        <v>0</v>
      </c>
      <c r="H2638" s="83">
        <f t="shared" si="41"/>
        <v>153500</v>
      </c>
      <c r="I2638" s="83"/>
      <c r="K2638" s="54" t="s">
        <v>15</v>
      </c>
    </row>
    <row r="2639" spans="2:11" ht="24.75" x14ac:dyDescent="0.2">
      <c r="B2639" s="82" t="s">
        <v>4909</v>
      </c>
      <c r="C2639" s="82" t="s">
        <v>650</v>
      </c>
      <c r="D2639" s="83">
        <f>SUMIFS(D2640:D6462,K2640:K6462,"0",B2640:B6462,"5 1 1 3 4 12 31111 6 M59 20800 000181 0000R*")-SUMIFS(E2640:E6462,K2640:K6462,"0",B2640:B6462,"5 1 1 3 4 12 31111 6 M59 20800 000181 0000R*")</f>
        <v>0</v>
      </c>
      <c r="E2639" s="54"/>
      <c r="F2639" s="83">
        <f>SUMIFS(F2640:F6462,K2640:K6462,"0",B2640:B6462,"5 1 1 3 4 12 31111 6 M59 20800 000181 0000R*")</f>
        <v>153500</v>
      </c>
      <c r="G2639" s="83">
        <f>SUMIFS(G2640:G6462,K2640:K6462,"0",B2640:B6462,"5 1 1 3 4 12 31111 6 M59 20800 000181 0000R*")</f>
        <v>0</v>
      </c>
      <c r="H2639" s="83">
        <f t="shared" si="41"/>
        <v>153500</v>
      </c>
      <c r="I2639" s="83"/>
      <c r="K2639" s="54" t="s">
        <v>15</v>
      </c>
    </row>
    <row r="2640" spans="2:11" ht="24.75" x14ac:dyDescent="0.2">
      <c r="B2640" s="82" t="s">
        <v>4910</v>
      </c>
      <c r="C2640" s="82" t="s">
        <v>282</v>
      </c>
      <c r="D2640" s="83">
        <f>SUMIFS(D2641:D6462,K2641:K6462,"0",B2641:B6462,"5 1 1 3 4 12 31111 6 M59 20800 000181 0000R 00001*")-SUMIFS(E2641:E6462,K2641:K6462,"0",B2641:B6462,"5 1 1 3 4 12 31111 6 M59 20800 000181 0000R 00001*")</f>
        <v>0</v>
      </c>
      <c r="E2640" s="54"/>
      <c r="F2640" s="83">
        <f>SUMIFS(F2641:F6462,K2641:K6462,"0",B2641:B6462,"5 1 1 3 4 12 31111 6 M59 20800 000181 0000R 00001*")</f>
        <v>153500</v>
      </c>
      <c r="G2640" s="83">
        <f>SUMIFS(G2641:G6462,K2641:K6462,"0",B2641:B6462,"5 1 1 3 4 12 31111 6 M59 20800 000181 0000R 00001*")</f>
        <v>0</v>
      </c>
      <c r="H2640" s="83">
        <f t="shared" si="41"/>
        <v>153500</v>
      </c>
      <c r="I2640" s="83"/>
      <c r="K2640" s="54" t="s">
        <v>15</v>
      </c>
    </row>
    <row r="2641" spans="2:11" ht="24.75" x14ac:dyDescent="0.2">
      <c r="B2641" s="82" t="s">
        <v>4911</v>
      </c>
      <c r="C2641" s="82" t="s">
        <v>4776</v>
      </c>
      <c r="D2641" s="83">
        <f>SUMIFS(D2642:D6462,K2642:K6462,"0",B2642:B6462,"5 1 1 3 4 12 31111 6 M59 20800 000181 0000R 00001 00134*")-SUMIFS(E2642:E6462,K2642:K6462,"0",B2642:B6462,"5 1 1 3 4 12 31111 6 M59 20800 000181 0000R 00001 00134*")</f>
        <v>0</v>
      </c>
      <c r="E2641" s="54"/>
      <c r="F2641" s="83">
        <f>SUMIFS(F2642:F6462,K2642:K6462,"0",B2642:B6462,"5 1 1 3 4 12 31111 6 M59 20800 000181 0000R 00001 00134*")</f>
        <v>153500</v>
      </c>
      <c r="G2641" s="83">
        <f>SUMIFS(G2642:G6462,K2642:K6462,"0",B2642:B6462,"5 1 1 3 4 12 31111 6 M59 20800 000181 0000R 00001 00134*")</f>
        <v>0</v>
      </c>
      <c r="H2641" s="83">
        <f t="shared" si="41"/>
        <v>153500</v>
      </c>
      <c r="I2641" s="83"/>
      <c r="K2641" s="54" t="s">
        <v>15</v>
      </c>
    </row>
    <row r="2642" spans="2:11" ht="33" x14ac:dyDescent="0.2">
      <c r="B2642" s="82" t="s">
        <v>4912</v>
      </c>
      <c r="C2642" s="82" t="s">
        <v>1051</v>
      </c>
      <c r="D2642" s="83">
        <f>SUMIFS(D2643:D6462,K2643:K6462,"0",B2643:B6462,"5 1 1 3 4 12 31111 6 M59 20800 000181 0000R 00001 00134 015*")-SUMIFS(E2643:E6462,K2643:K6462,"0",B2643:B6462,"5 1 1 3 4 12 31111 6 M59 20800 000181 0000R 00001 00134 015*")</f>
        <v>0</v>
      </c>
      <c r="E2642" s="54"/>
      <c r="F2642" s="83">
        <f>SUMIFS(F2643:F6462,K2643:K6462,"0",B2643:B6462,"5 1 1 3 4 12 31111 6 M59 20800 000181 0000R 00001 00134 015*")</f>
        <v>153500</v>
      </c>
      <c r="G2642" s="83">
        <f>SUMIFS(G2643:G6462,K2643:K6462,"0",B2643:B6462,"5 1 1 3 4 12 31111 6 M59 20800 000181 0000R 00001 00134 015*")</f>
        <v>0</v>
      </c>
      <c r="H2642" s="83">
        <f t="shared" si="41"/>
        <v>153500</v>
      </c>
      <c r="I2642" s="83"/>
      <c r="K2642" s="54" t="s">
        <v>15</v>
      </c>
    </row>
    <row r="2643" spans="2:11" ht="33" x14ac:dyDescent="0.2">
      <c r="B2643" s="82" t="s">
        <v>4913</v>
      </c>
      <c r="C2643" s="82" t="s">
        <v>2927</v>
      </c>
      <c r="D2643" s="83">
        <f>SUMIFS(D2644:D6462,K2644:K6462,"0",B2644:B6462,"5 1 1 3 4 12 31111 6 M59 20800 000181 0000R 00001 00134 015 2111100*")-SUMIFS(E2644:E6462,K2644:K6462,"0",B2644:B6462,"5 1 1 3 4 12 31111 6 M59 20800 000181 0000R 00001 00134 015 2111100*")</f>
        <v>0</v>
      </c>
      <c r="E2643" s="54"/>
      <c r="F2643" s="83">
        <f>SUMIFS(F2644:F6462,K2644:K6462,"0",B2644:B6462,"5 1 1 3 4 12 31111 6 M59 20800 000181 0000R 00001 00134 015 2111100*")</f>
        <v>153500</v>
      </c>
      <c r="G2643" s="83">
        <f>SUMIFS(G2644:G6462,K2644:K6462,"0",B2644:B6462,"5 1 1 3 4 12 31111 6 M59 20800 000181 0000R 00001 00134 015 2111100*")</f>
        <v>0</v>
      </c>
      <c r="H2643" s="83">
        <f t="shared" si="41"/>
        <v>153500</v>
      </c>
      <c r="I2643" s="83"/>
      <c r="K2643" s="54" t="s">
        <v>15</v>
      </c>
    </row>
    <row r="2644" spans="2:11" ht="33" x14ac:dyDescent="0.2">
      <c r="B2644" s="82" t="s">
        <v>4914</v>
      </c>
      <c r="C2644" s="82" t="s">
        <v>660</v>
      </c>
      <c r="D2644" s="83">
        <f>SUMIFS(D2645:D6462,K2645:K6462,"0",B2645:B6462,"5 1 1 3 4 12 31111 6 M59 20800 000181 0000R 00001 00134 015 2111100 2024*")-SUMIFS(E2645:E6462,K2645:K6462,"0",B2645:B6462,"5 1 1 3 4 12 31111 6 M59 20800 000181 0000R 00001 00134 015 2111100 2024*")</f>
        <v>0</v>
      </c>
      <c r="E2644" s="54"/>
      <c r="F2644" s="83">
        <f>SUMIFS(F2645:F6462,K2645:K6462,"0",B2645:B6462,"5 1 1 3 4 12 31111 6 M59 20800 000181 0000R 00001 00134 015 2111100 2024*")</f>
        <v>153500</v>
      </c>
      <c r="G2644" s="83">
        <f>SUMIFS(G2645:G6462,K2645:K6462,"0",B2645:B6462,"5 1 1 3 4 12 31111 6 M59 20800 000181 0000R 00001 00134 015 2111100 2024*")</f>
        <v>0</v>
      </c>
      <c r="H2644" s="83">
        <f t="shared" si="41"/>
        <v>153500</v>
      </c>
      <c r="I2644" s="83"/>
      <c r="K2644" s="54" t="s">
        <v>15</v>
      </c>
    </row>
    <row r="2645" spans="2:11" ht="41.25" x14ac:dyDescent="0.2">
      <c r="B2645" s="82" t="s">
        <v>4915</v>
      </c>
      <c r="C2645" s="82" t="s">
        <v>1056</v>
      </c>
      <c r="D2645" s="83">
        <f>SUMIFS(D2646:D6462,K2646:K6462,"0",B2646:B6462,"5 1 1 3 4 12 31111 6 M59 20800 000181 0000R 00001 00134 015 2111100 2024 CP1AA392*")-SUMIFS(E2646:E6462,K2646:K6462,"0",B2646:B6462,"5 1 1 3 4 12 31111 6 M59 20800 000181 0000R 00001 00134 015 2111100 2024 CP1AA392*")</f>
        <v>0</v>
      </c>
      <c r="E2645" s="54"/>
      <c r="F2645" s="83">
        <f>SUMIFS(F2646:F6462,K2646:K6462,"0",B2646:B6462,"5 1 1 3 4 12 31111 6 M59 20800 000181 0000R 00001 00134 015 2111100 2024 CP1AA392*")</f>
        <v>153500</v>
      </c>
      <c r="G2645" s="83">
        <f>SUMIFS(G2646:G6462,K2646:K6462,"0",B2646:B6462,"5 1 1 3 4 12 31111 6 M59 20800 000181 0000R 00001 00134 015 2111100 2024 CP1AA392*")</f>
        <v>0</v>
      </c>
      <c r="H2645" s="83">
        <f t="shared" si="41"/>
        <v>153500</v>
      </c>
      <c r="I2645" s="83"/>
      <c r="K2645" s="54" t="s">
        <v>15</v>
      </c>
    </row>
    <row r="2646" spans="2:11" ht="41.25" x14ac:dyDescent="0.2">
      <c r="B2646" s="82" t="s">
        <v>4916</v>
      </c>
      <c r="C2646" s="82" t="s">
        <v>282</v>
      </c>
      <c r="D2646" s="83">
        <f>SUMIFS(D2647:D6462,K2647:K6462,"0",B2647:B6462,"5 1 1 3 4 12 31111 6 M59 20800 000181 0000R 00001 00134 015 2111100 2024 CP1AA392 001*")-SUMIFS(E2647:E6462,K2647:K6462,"0",B2647:B6462,"5 1 1 3 4 12 31111 6 M59 20800 000181 0000R 00001 00134 015 2111100 2024 CP1AA392 001*")</f>
        <v>0</v>
      </c>
      <c r="E2646" s="54"/>
      <c r="F2646" s="83">
        <f>SUMIFS(F2647:F6462,K2647:K6462,"0",B2647:B6462,"5 1 1 3 4 12 31111 6 M59 20800 000181 0000R 00001 00134 015 2111100 2024 CP1AA392 001*")</f>
        <v>153500</v>
      </c>
      <c r="G2646" s="83">
        <f>SUMIFS(G2647:G6462,K2647:K6462,"0",B2647:B6462,"5 1 1 3 4 12 31111 6 M59 20800 000181 0000R 00001 00134 015 2111100 2024 CP1AA392 001*")</f>
        <v>0</v>
      </c>
      <c r="H2646" s="83">
        <f t="shared" si="41"/>
        <v>153500</v>
      </c>
      <c r="I2646" s="83"/>
      <c r="K2646" s="54" t="s">
        <v>15</v>
      </c>
    </row>
    <row r="2647" spans="2:11" ht="33" x14ac:dyDescent="0.2">
      <c r="B2647" s="84" t="s">
        <v>4917</v>
      </c>
      <c r="C2647" s="84" t="s">
        <v>4766</v>
      </c>
      <c r="D2647" s="85">
        <v>0</v>
      </c>
      <c r="E2647" s="85"/>
      <c r="F2647" s="85">
        <v>153500</v>
      </c>
      <c r="G2647" s="85">
        <v>0</v>
      </c>
      <c r="H2647" s="85">
        <f t="shared" si="41"/>
        <v>153500</v>
      </c>
      <c r="I2647" s="85"/>
      <c r="K2647" s="54" t="s">
        <v>38</v>
      </c>
    </row>
    <row r="2648" spans="2:11" ht="16.5" x14ac:dyDescent="0.2">
      <c r="B2648" s="82" t="s">
        <v>4918</v>
      </c>
      <c r="C2648" s="82" t="s">
        <v>3199</v>
      </c>
      <c r="D2648" s="83">
        <f>SUMIFS(D2649:D6462,K2649:K6462,"0",B2649:B6462,"5 1 1 3 4 12 31111 6 M59 30000*")-SUMIFS(E2649:E6462,K2649:K6462,"0",B2649:B6462,"5 1 1 3 4 12 31111 6 M59 30000*")</f>
        <v>0</v>
      </c>
      <c r="E2648" s="54"/>
      <c r="F2648" s="83">
        <f>SUMIFS(F2649:F6462,K2649:K6462,"0",B2649:B6462,"5 1 1 3 4 12 31111 6 M59 30000*")</f>
        <v>48000</v>
      </c>
      <c r="G2648" s="83">
        <f>SUMIFS(G2649:G6462,K2649:K6462,"0",B2649:B6462,"5 1 1 3 4 12 31111 6 M59 30000*")</f>
        <v>0</v>
      </c>
      <c r="H2648" s="83">
        <f t="shared" si="41"/>
        <v>48000</v>
      </c>
      <c r="I2648" s="83"/>
      <c r="K2648" s="54" t="s">
        <v>15</v>
      </c>
    </row>
    <row r="2649" spans="2:11" ht="16.5" x14ac:dyDescent="0.2">
      <c r="B2649" s="82" t="s">
        <v>4919</v>
      </c>
      <c r="C2649" s="82" t="s">
        <v>648</v>
      </c>
      <c r="D2649" s="83">
        <f>SUMIFS(D2650:D6462,K2650:K6462,"0",B2650:B6462,"5 1 1 3 4 12 31111 6 M59 30000 000132*")-SUMIFS(E2650:E6462,K2650:K6462,"0",B2650:B6462,"5 1 1 3 4 12 31111 6 M59 30000 000132*")</f>
        <v>0</v>
      </c>
      <c r="E2649" s="54"/>
      <c r="F2649" s="83">
        <f>SUMIFS(F2650:F6462,K2650:K6462,"0",B2650:B6462,"5 1 1 3 4 12 31111 6 M59 30000 000132*")</f>
        <v>48000</v>
      </c>
      <c r="G2649" s="83">
        <f>SUMIFS(G2650:G6462,K2650:K6462,"0",B2650:B6462,"5 1 1 3 4 12 31111 6 M59 30000 000132*")</f>
        <v>0</v>
      </c>
      <c r="H2649" s="83">
        <f t="shared" si="41"/>
        <v>48000</v>
      </c>
      <c r="I2649" s="83"/>
      <c r="K2649" s="54" t="s">
        <v>15</v>
      </c>
    </row>
    <row r="2650" spans="2:11" ht="24.75" x14ac:dyDescent="0.2">
      <c r="B2650" s="82" t="s">
        <v>4920</v>
      </c>
      <c r="C2650" s="82" t="s">
        <v>650</v>
      </c>
      <c r="D2650" s="83">
        <f>SUMIFS(D2651:D6462,K2651:K6462,"0",B2651:B6462,"5 1 1 3 4 12 31111 6 M59 30000 000132 0000R*")-SUMIFS(E2651:E6462,K2651:K6462,"0",B2651:B6462,"5 1 1 3 4 12 31111 6 M59 30000 000132 0000R*")</f>
        <v>0</v>
      </c>
      <c r="E2650" s="54"/>
      <c r="F2650" s="83">
        <f>SUMIFS(F2651:F6462,K2651:K6462,"0",B2651:B6462,"5 1 1 3 4 12 31111 6 M59 30000 000132 0000R*")</f>
        <v>48000</v>
      </c>
      <c r="G2650" s="83">
        <f>SUMIFS(G2651:G6462,K2651:K6462,"0",B2651:B6462,"5 1 1 3 4 12 31111 6 M59 30000 000132 0000R*")</f>
        <v>0</v>
      </c>
      <c r="H2650" s="83">
        <f t="shared" si="41"/>
        <v>48000</v>
      </c>
      <c r="I2650" s="83"/>
      <c r="K2650" s="54" t="s">
        <v>15</v>
      </c>
    </row>
    <row r="2651" spans="2:11" ht="24.75" x14ac:dyDescent="0.2">
      <c r="B2651" s="82" t="s">
        <v>4921</v>
      </c>
      <c r="C2651" s="82" t="s">
        <v>282</v>
      </c>
      <c r="D2651" s="83">
        <f>SUMIFS(D2652:D6462,K2652:K6462,"0",B2652:B6462,"5 1 1 3 4 12 31111 6 M59 30000 000132 0000R 00001*")-SUMIFS(E2652:E6462,K2652:K6462,"0",B2652:B6462,"5 1 1 3 4 12 31111 6 M59 30000 000132 0000R 00001*")</f>
        <v>0</v>
      </c>
      <c r="E2651" s="54"/>
      <c r="F2651" s="83">
        <f>SUMIFS(F2652:F6462,K2652:K6462,"0",B2652:B6462,"5 1 1 3 4 12 31111 6 M59 30000 000132 0000R 00001*")</f>
        <v>48000</v>
      </c>
      <c r="G2651" s="83">
        <f>SUMIFS(G2652:G6462,K2652:K6462,"0",B2652:B6462,"5 1 1 3 4 12 31111 6 M59 30000 000132 0000R 00001*")</f>
        <v>0</v>
      </c>
      <c r="H2651" s="83">
        <f t="shared" si="41"/>
        <v>48000</v>
      </c>
      <c r="I2651" s="83"/>
      <c r="K2651" s="54" t="s">
        <v>15</v>
      </c>
    </row>
    <row r="2652" spans="2:11" ht="24.75" x14ac:dyDescent="0.2">
      <c r="B2652" s="82" t="s">
        <v>4922</v>
      </c>
      <c r="C2652" s="82" t="s">
        <v>4776</v>
      </c>
      <c r="D2652" s="83">
        <f>SUMIFS(D2653:D6462,K2653:K6462,"0",B2653:B6462,"5 1 1 3 4 12 31111 6 M59 30000 000132 0000R 00001 00134*")-SUMIFS(E2653:E6462,K2653:K6462,"0",B2653:B6462,"5 1 1 3 4 12 31111 6 M59 30000 000132 0000R 00001 00134*")</f>
        <v>0</v>
      </c>
      <c r="E2652" s="54"/>
      <c r="F2652" s="83">
        <f>SUMIFS(F2653:F6462,K2653:K6462,"0",B2653:B6462,"5 1 1 3 4 12 31111 6 M59 30000 000132 0000R 00001 00134*")</f>
        <v>48000</v>
      </c>
      <c r="G2652" s="83">
        <f>SUMIFS(G2653:G6462,K2653:K6462,"0",B2653:B6462,"5 1 1 3 4 12 31111 6 M59 30000 000132 0000R 00001 00134*")</f>
        <v>0</v>
      </c>
      <c r="H2652" s="83">
        <f t="shared" si="41"/>
        <v>48000</v>
      </c>
      <c r="I2652" s="83"/>
      <c r="K2652" s="54" t="s">
        <v>15</v>
      </c>
    </row>
    <row r="2653" spans="2:11" ht="33" x14ac:dyDescent="0.2">
      <c r="B2653" s="82" t="s">
        <v>4923</v>
      </c>
      <c r="C2653" s="82" t="s">
        <v>1051</v>
      </c>
      <c r="D2653" s="83">
        <f>SUMIFS(D2654:D6462,K2654:K6462,"0",B2654:B6462,"5 1 1 3 4 12 31111 6 M59 30000 000132 0000R 00001 00134 015*")-SUMIFS(E2654:E6462,K2654:K6462,"0",B2654:B6462,"5 1 1 3 4 12 31111 6 M59 30000 000132 0000R 00001 00134 015*")</f>
        <v>0</v>
      </c>
      <c r="E2653" s="54"/>
      <c r="F2653" s="83">
        <f>SUMIFS(F2654:F6462,K2654:K6462,"0",B2654:B6462,"5 1 1 3 4 12 31111 6 M59 30000 000132 0000R 00001 00134 015*")</f>
        <v>48000</v>
      </c>
      <c r="G2653" s="83">
        <f>SUMIFS(G2654:G6462,K2654:K6462,"0",B2654:B6462,"5 1 1 3 4 12 31111 6 M59 30000 000132 0000R 00001 00134 015*")</f>
        <v>0</v>
      </c>
      <c r="H2653" s="83">
        <f t="shared" si="41"/>
        <v>48000</v>
      </c>
      <c r="I2653" s="83"/>
      <c r="K2653" s="54" t="s">
        <v>15</v>
      </c>
    </row>
    <row r="2654" spans="2:11" ht="33" x14ac:dyDescent="0.2">
      <c r="B2654" s="82" t="s">
        <v>4924</v>
      </c>
      <c r="C2654" s="82" t="s">
        <v>2927</v>
      </c>
      <c r="D2654" s="83">
        <f>SUMIFS(D2655:D6462,K2655:K6462,"0",B2655:B6462,"5 1 1 3 4 12 31111 6 M59 30000 000132 0000R 00001 00134 015 2111100*")-SUMIFS(E2655:E6462,K2655:K6462,"0",B2655:B6462,"5 1 1 3 4 12 31111 6 M59 30000 000132 0000R 00001 00134 015 2111100*")</f>
        <v>0</v>
      </c>
      <c r="E2654" s="54"/>
      <c r="F2654" s="83">
        <f>SUMIFS(F2655:F6462,K2655:K6462,"0",B2655:B6462,"5 1 1 3 4 12 31111 6 M59 30000 000132 0000R 00001 00134 015 2111100*")</f>
        <v>48000</v>
      </c>
      <c r="G2654" s="83">
        <f>SUMIFS(G2655:G6462,K2655:K6462,"0",B2655:B6462,"5 1 1 3 4 12 31111 6 M59 30000 000132 0000R 00001 00134 015 2111100*")</f>
        <v>0</v>
      </c>
      <c r="H2654" s="83">
        <f t="shared" si="41"/>
        <v>48000</v>
      </c>
      <c r="I2654" s="83"/>
      <c r="K2654" s="54" t="s">
        <v>15</v>
      </c>
    </row>
    <row r="2655" spans="2:11" ht="33" x14ac:dyDescent="0.2">
      <c r="B2655" s="82" t="s">
        <v>4925</v>
      </c>
      <c r="C2655" s="82" t="s">
        <v>660</v>
      </c>
      <c r="D2655" s="83">
        <f>SUMIFS(D2656:D6462,K2656:K6462,"0",B2656:B6462,"5 1 1 3 4 12 31111 6 M59 30000 000132 0000R 00001 00134 015 2111100 2024*")-SUMIFS(E2656:E6462,K2656:K6462,"0",B2656:B6462,"5 1 1 3 4 12 31111 6 M59 30000 000132 0000R 00001 00134 015 2111100 2024*")</f>
        <v>0</v>
      </c>
      <c r="E2655" s="54"/>
      <c r="F2655" s="83">
        <f>SUMIFS(F2656:F6462,K2656:K6462,"0",B2656:B6462,"5 1 1 3 4 12 31111 6 M59 30000 000132 0000R 00001 00134 015 2111100 2024*")</f>
        <v>48000</v>
      </c>
      <c r="G2655" s="83">
        <f>SUMIFS(G2656:G6462,K2656:K6462,"0",B2656:B6462,"5 1 1 3 4 12 31111 6 M59 30000 000132 0000R 00001 00134 015 2111100 2024*")</f>
        <v>0</v>
      </c>
      <c r="H2655" s="83">
        <f t="shared" si="41"/>
        <v>48000</v>
      </c>
      <c r="I2655" s="83"/>
      <c r="K2655" s="54" t="s">
        <v>15</v>
      </c>
    </row>
    <row r="2656" spans="2:11" ht="41.25" x14ac:dyDescent="0.2">
      <c r="B2656" s="82" t="s">
        <v>4926</v>
      </c>
      <c r="C2656" s="82" t="s">
        <v>1056</v>
      </c>
      <c r="D2656" s="83">
        <f>SUMIFS(D2657:D6462,K2657:K6462,"0",B2657:B6462,"5 1 1 3 4 12 31111 6 M59 30000 000132 0000R 00001 00134 015 2111100 2024 CP1DU385*")-SUMIFS(E2657:E6462,K2657:K6462,"0",B2657:B6462,"5 1 1 3 4 12 31111 6 M59 30000 000132 0000R 00001 00134 015 2111100 2024 CP1DU385*")</f>
        <v>0</v>
      </c>
      <c r="E2656" s="54"/>
      <c r="F2656" s="83">
        <f>SUMIFS(F2657:F6462,K2657:K6462,"0",B2657:B6462,"5 1 1 3 4 12 31111 6 M59 30000 000132 0000R 00001 00134 015 2111100 2024 CP1DU385*")</f>
        <v>48000</v>
      </c>
      <c r="G2656" s="83">
        <f>SUMIFS(G2657:G6462,K2657:K6462,"0",B2657:B6462,"5 1 1 3 4 12 31111 6 M59 30000 000132 0000R 00001 00134 015 2111100 2024 CP1DU385*")</f>
        <v>0</v>
      </c>
      <c r="H2656" s="83">
        <f t="shared" si="41"/>
        <v>48000</v>
      </c>
      <c r="I2656" s="83"/>
      <c r="K2656" s="54" t="s">
        <v>15</v>
      </c>
    </row>
    <row r="2657" spans="2:11" ht="41.25" x14ac:dyDescent="0.2">
      <c r="B2657" s="82" t="s">
        <v>4927</v>
      </c>
      <c r="C2657" s="82" t="s">
        <v>282</v>
      </c>
      <c r="D2657" s="83">
        <f>SUMIFS(D2658:D6462,K2658:K6462,"0",B2658:B6462,"5 1 1 3 4 12 31111 6 M59 30000 000132 0000R 00001 00134 015 2111100 2024 CP1DU385 001*")-SUMIFS(E2658:E6462,K2658:K6462,"0",B2658:B6462,"5 1 1 3 4 12 31111 6 M59 30000 000132 0000R 00001 00134 015 2111100 2024 CP1DU385 001*")</f>
        <v>0</v>
      </c>
      <c r="E2657" s="54"/>
      <c r="F2657" s="83">
        <f>SUMIFS(F2658:F6462,K2658:K6462,"0",B2658:B6462,"5 1 1 3 4 12 31111 6 M59 30000 000132 0000R 00001 00134 015 2111100 2024 CP1DU385 001*")</f>
        <v>48000</v>
      </c>
      <c r="G2657" s="83">
        <f>SUMIFS(G2658:G6462,K2658:K6462,"0",B2658:B6462,"5 1 1 3 4 12 31111 6 M59 30000 000132 0000R 00001 00134 015 2111100 2024 CP1DU385 001*")</f>
        <v>0</v>
      </c>
      <c r="H2657" s="83">
        <f t="shared" si="41"/>
        <v>48000</v>
      </c>
      <c r="I2657" s="83"/>
      <c r="K2657" s="54" t="s">
        <v>15</v>
      </c>
    </row>
    <row r="2658" spans="2:11" ht="41.25" x14ac:dyDescent="0.2">
      <c r="B2658" s="84" t="s">
        <v>4928</v>
      </c>
      <c r="C2658" s="84" t="s">
        <v>4766</v>
      </c>
      <c r="D2658" s="85">
        <v>0</v>
      </c>
      <c r="E2658" s="85"/>
      <c r="F2658" s="85">
        <v>48000</v>
      </c>
      <c r="G2658" s="85">
        <v>0</v>
      </c>
      <c r="H2658" s="85">
        <f t="shared" si="41"/>
        <v>48000</v>
      </c>
      <c r="I2658" s="85"/>
      <c r="K2658" s="54" t="s">
        <v>38</v>
      </c>
    </row>
    <row r="2659" spans="2:11" ht="16.5" x14ac:dyDescent="0.2">
      <c r="B2659" s="82" t="s">
        <v>4929</v>
      </c>
      <c r="C2659" s="82" t="s">
        <v>646</v>
      </c>
      <c r="D2659" s="83">
        <f>SUMIFS(D2660:D6462,K2660:K6462,"0",B2660:B6462,"5 1 1 3 4 12 31111 6 M59 30100*")-SUMIFS(E2660:E6462,K2660:K6462,"0",B2660:B6462,"5 1 1 3 4 12 31111 6 M59 30100*")</f>
        <v>0</v>
      </c>
      <c r="E2659" s="54"/>
      <c r="F2659" s="83">
        <f>SUMIFS(F2660:F6462,K2660:K6462,"0",B2660:B6462,"5 1 1 3 4 12 31111 6 M59 30100*")</f>
        <v>54500</v>
      </c>
      <c r="G2659" s="83">
        <f>SUMIFS(G2660:G6462,K2660:K6462,"0",B2660:B6462,"5 1 1 3 4 12 31111 6 M59 30100*")</f>
        <v>0</v>
      </c>
      <c r="H2659" s="83">
        <f t="shared" si="41"/>
        <v>54500</v>
      </c>
      <c r="I2659" s="83"/>
      <c r="K2659" s="54" t="s">
        <v>15</v>
      </c>
    </row>
    <row r="2660" spans="2:11" ht="16.5" x14ac:dyDescent="0.2">
      <c r="B2660" s="82" t="s">
        <v>4930</v>
      </c>
      <c r="C2660" s="82" t="s">
        <v>648</v>
      </c>
      <c r="D2660" s="83">
        <f>SUMIFS(D2661:D6462,K2661:K6462,"0",B2661:B6462,"5 1 1 3 4 12 31111 6 M59 30100 000132*")-SUMIFS(E2661:E6462,K2661:K6462,"0",B2661:B6462,"5 1 1 3 4 12 31111 6 M59 30100 000132*")</f>
        <v>0</v>
      </c>
      <c r="E2660" s="54"/>
      <c r="F2660" s="83">
        <f>SUMIFS(F2661:F6462,K2661:K6462,"0",B2661:B6462,"5 1 1 3 4 12 31111 6 M59 30100 000132*")</f>
        <v>54500</v>
      </c>
      <c r="G2660" s="83">
        <f>SUMIFS(G2661:G6462,K2661:K6462,"0",B2661:B6462,"5 1 1 3 4 12 31111 6 M59 30100 000132*")</f>
        <v>0</v>
      </c>
      <c r="H2660" s="83">
        <f t="shared" si="41"/>
        <v>54500</v>
      </c>
      <c r="I2660" s="83"/>
      <c r="K2660" s="54" t="s">
        <v>15</v>
      </c>
    </row>
    <row r="2661" spans="2:11" ht="24.75" x14ac:dyDescent="0.2">
      <c r="B2661" s="82" t="s">
        <v>4931</v>
      </c>
      <c r="C2661" s="82" t="s">
        <v>650</v>
      </c>
      <c r="D2661" s="83">
        <f>SUMIFS(D2662:D6462,K2662:K6462,"0",B2662:B6462,"5 1 1 3 4 12 31111 6 M59 30100 000132 0000R*")-SUMIFS(E2662:E6462,K2662:K6462,"0",B2662:B6462,"5 1 1 3 4 12 31111 6 M59 30100 000132 0000R*")</f>
        <v>0</v>
      </c>
      <c r="E2661" s="54"/>
      <c r="F2661" s="83">
        <f>SUMIFS(F2662:F6462,K2662:K6462,"0",B2662:B6462,"5 1 1 3 4 12 31111 6 M59 30100 000132 0000R*")</f>
        <v>54500</v>
      </c>
      <c r="G2661" s="83">
        <f>SUMIFS(G2662:G6462,K2662:K6462,"0",B2662:B6462,"5 1 1 3 4 12 31111 6 M59 30100 000132 0000R*")</f>
        <v>0</v>
      </c>
      <c r="H2661" s="83">
        <f t="shared" si="41"/>
        <v>54500</v>
      </c>
      <c r="I2661" s="83"/>
      <c r="K2661" s="54" t="s">
        <v>15</v>
      </c>
    </row>
    <row r="2662" spans="2:11" ht="24.75" x14ac:dyDescent="0.2">
      <c r="B2662" s="82" t="s">
        <v>4932</v>
      </c>
      <c r="C2662" s="82" t="s">
        <v>282</v>
      </c>
      <c r="D2662" s="83">
        <f>SUMIFS(D2663:D6462,K2663:K6462,"0",B2663:B6462,"5 1 1 3 4 12 31111 6 M59 30100 000132 0000R 00001*")-SUMIFS(E2663:E6462,K2663:K6462,"0",B2663:B6462,"5 1 1 3 4 12 31111 6 M59 30100 000132 0000R 00001*")</f>
        <v>0</v>
      </c>
      <c r="E2662" s="54"/>
      <c r="F2662" s="83">
        <f>SUMIFS(F2663:F6462,K2663:K6462,"0",B2663:B6462,"5 1 1 3 4 12 31111 6 M59 30100 000132 0000R 00001*")</f>
        <v>54500</v>
      </c>
      <c r="G2662" s="83">
        <f>SUMIFS(G2663:G6462,K2663:K6462,"0",B2663:B6462,"5 1 1 3 4 12 31111 6 M59 30100 000132 0000R 00001*")</f>
        <v>0</v>
      </c>
      <c r="H2662" s="83">
        <f t="shared" si="41"/>
        <v>54500</v>
      </c>
      <c r="I2662" s="83"/>
      <c r="K2662" s="54" t="s">
        <v>15</v>
      </c>
    </row>
    <row r="2663" spans="2:11" ht="24.75" x14ac:dyDescent="0.2">
      <c r="B2663" s="82" t="s">
        <v>4933</v>
      </c>
      <c r="C2663" s="82" t="s">
        <v>4776</v>
      </c>
      <c r="D2663" s="83">
        <f>SUMIFS(D2664:D6462,K2664:K6462,"0",B2664:B6462,"5 1 1 3 4 12 31111 6 M59 30100 000132 0000R 00001 00134*")-SUMIFS(E2664:E6462,K2664:K6462,"0",B2664:B6462,"5 1 1 3 4 12 31111 6 M59 30100 000132 0000R 00001 00134*")</f>
        <v>0</v>
      </c>
      <c r="E2663" s="54"/>
      <c r="F2663" s="83">
        <f>SUMIFS(F2664:F6462,K2664:K6462,"0",B2664:B6462,"5 1 1 3 4 12 31111 6 M59 30100 000132 0000R 00001 00134*")</f>
        <v>54500</v>
      </c>
      <c r="G2663" s="83">
        <f>SUMIFS(G2664:G6462,K2664:K6462,"0",B2664:B6462,"5 1 1 3 4 12 31111 6 M59 30100 000132 0000R 00001 00134*")</f>
        <v>0</v>
      </c>
      <c r="H2663" s="83">
        <f t="shared" si="41"/>
        <v>54500</v>
      </c>
      <c r="I2663" s="83"/>
      <c r="K2663" s="54" t="s">
        <v>15</v>
      </c>
    </row>
    <row r="2664" spans="2:11" ht="33" x14ac:dyDescent="0.2">
      <c r="B2664" s="82" t="s">
        <v>4934</v>
      </c>
      <c r="C2664" s="82" t="s">
        <v>1051</v>
      </c>
      <c r="D2664" s="83">
        <f>SUMIFS(D2665:D6462,K2665:K6462,"0",B2665:B6462,"5 1 1 3 4 12 31111 6 M59 30100 000132 0000R 00001 00134 015*")-SUMIFS(E2665:E6462,K2665:K6462,"0",B2665:B6462,"5 1 1 3 4 12 31111 6 M59 30100 000132 0000R 00001 00134 015*")</f>
        <v>0</v>
      </c>
      <c r="E2664" s="54"/>
      <c r="F2664" s="83">
        <f>SUMIFS(F2665:F6462,K2665:K6462,"0",B2665:B6462,"5 1 1 3 4 12 31111 6 M59 30100 000132 0000R 00001 00134 015*")</f>
        <v>54500</v>
      </c>
      <c r="G2664" s="83">
        <f>SUMIFS(G2665:G6462,K2665:K6462,"0",B2665:B6462,"5 1 1 3 4 12 31111 6 M59 30100 000132 0000R 00001 00134 015*")</f>
        <v>0</v>
      </c>
      <c r="H2664" s="83">
        <f t="shared" si="41"/>
        <v>54500</v>
      </c>
      <c r="I2664" s="83"/>
      <c r="K2664" s="54" t="s">
        <v>15</v>
      </c>
    </row>
    <row r="2665" spans="2:11" ht="33" x14ac:dyDescent="0.2">
      <c r="B2665" s="82" t="s">
        <v>4935</v>
      </c>
      <c r="C2665" s="82" t="s">
        <v>2927</v>
      </c>
      <c r="D2665" s="83">
        <f>SUMIFS(D2666:D6462,K2666:K6462,"0",B2666:B6462,"5 1 1 3 4 12 31111 6 M59 30100 000132 0000R 00001 00134 015 2111100*")-SUMIFS(E2666:E6462,K2666:K6462,"0",B2666:B6462,"5 1 1 3 4 12 31111 6 M59 30100 000132 0000R 00001 00134 015 2111100*")</f>
        <v>0</v>
      </c>
      <c r="E2665" s="54"/>
      <c r="F2665" s="83">
        <f>SUMIFS(F2666:F6462,K2666:K6462,"0",B2666:B6462,"5 1 1 3 4 12 31111 6 M59 30100 000132 0000R 00001 00134 015 2111100*")</f>
        <v>54500</v>
      </c>
      <c r="G2665" s="83">
        <f>SUMIFS(G2666:G6462,K2666:K6462,"0",B2666:B6462,"5 1 1 3 4 12 31111 6 M59 30100 000132 0000R 00001 00134 015 2111100*")</f>
        <v>0</v>
      </c>
      <c r="H2665" s="83">
        <f t="shared" si="41"/>
        <v>54500</v>
      </c>
      <c r="I2665" s="83"/>
      <c r="K2665" s="54" t="s">
        <v>15</v>
      </c>
    </row>
    <row r="2666" spans="2:11" ht="33" x14ac:dyDescent="0.2">
      <c r="B2666" s="82" t="s">
        <v>4936</v>
      </c>
      <c r="C2666" s="82" t="s">
        <v>660</v>
      </c>
      <c r="D2666" s="83">
        <f>SUMIFS(D2667:D6462,K2667:K6462,"0",B2667:B6462,"5 1 1 3 4 12 31111 6 M59 30100 000132 0000R 00001 00134 015 2111100 2024*")-SUMIFS(E2667:E6462,K2667:K6462,"0",B2667:B6462,"5 1 1 3 4 12 31111 6 M59 30100 000132 0000R 00001 00134 015 2111100 2024*")</f>
        <v>0</v>
      </c>
      <c r="E2666" s="54"/>
      <c r="F2666" s="83">
        <f>SUMIFS(F2667:F6462,K2667:K6462,"0",B2667:B6462,"5 1 1 3 4 12 31111 6 M59 30100 000132 0000R 00001 00134 015 2111100 2024*")</f>
        <v>54500</v>
      </c>
      <c r="G2666" s="83">
        <f>SUMIFS(G2667:G6462,K2667:K6462,"0",B2667:B6462,"5 1 1 3 4 12 31111 6 M59 30100 000132 0000R 00001 00134 015 2111100 2024*")</f>
        <v>0</v>
      </c>
      <c r="H2666" s="83">
        <f t="shared" si="41"/>
        <v>54500</v>
      </c>
      <c r="I2666" s="83"/>
      <c r="K2666" s="54" t="s">
        <v>15</v>
      </c>
    </row>
    <row r="2667" spans="2:11" ht="41.25" x14ac:dyDescent="0.2">
      <c r="B2667" s="82" t="s">
        <v>4937</v>
      </c>
      <c r="C2667" s="82" t="s">
        <v>662</v>
      </c>
      <c r="D2667" s="83">
        <f>SUMIFS(D2668:D6462,K2668:K6462,"0",B2668:B6462,"5 1 1 3 4 12 31111 6 M59 30100 000132 0000R 00001 00134 015 2111100 2024 CP1OP405*")-SUMIFS(E2668:E6462,K2668:K6462,"0",B2668:B6462,"5 1 1 3 4 12 31111 6 M59 30100 000132 0000R 00001 00134 015 2111100 2024 CP1OP405*")</f>
        <v>0</v>
      </c>
      <c r="E2667" s="54"/>
      <c r="F2667" s="83">
        <f>SUMIFS(F2668:F6462,K2668:K6462,"0",B2668:B6462,"5 1 1 3 4 12 31111 6 M59 30100 000132 0000R 00001 00134 015 2111100 2024 CP1OP405*")</f>
        <v>54500</v>
      </c>
      <c r="G2667" s="83">
        <f>SUMIFS(G2668:G6462,K2668:K6462,"0",B2668:B6462,"5 1 1 3 4 12 31111 6 M59 30100 000132 0000R 00001 00134 015 2111100 2024 CP1OP405*")</f>
        <v>0</v>
      </c>
      <c r="H2667" s="83">
        <f t="shared" ref="H2667:H2730" si="42">D2667 + F2667 - G2667</f>
        <v>54500</v>
      </c>
      <c r="I2667" s="83"/>
      <c r="K2667" s="54" t="s">
        <v>15</v>
      </c>
    </row>
    <row r="2668" spans="2:11" ht="41.25" x14ac:dyDescent="0.2">
      <c r="B2668" s="82" t="s">
        <v>4938</v>
      </c>
      <c r="C2668" s="82" t="s">
        <v>282</v>
      </c>
      <c r="D2668" s="83">
        <f>SUMIFS(D2669:D6462,K2669:K6462,"0",B2669:B6462,"5 1 1 3 4 12 31111 6 M59 30100 000132 0000R 00001 00134 015 2111100 2024 CP1OP405 001*")-SUMIFS(E2669:E6462,K2669:K6462,"0",B2669:B6462,"5 1 1 3 4 12 31111 6 M59 30100 000132 0000R 00001 00134 015 2111100 2024 CP1OP405 001*")</f>
        <v>0</v>
      </c>
      <c r="E2668" s="54"/>
      <c r="F2668" s="83">
        <f>SUMIFS(F2669:F6462,K2669:K6462,"0",B2669:B6462,"5 1 1 3 4 12 31111 6 M59 30100 000132 0000R 00001 00134 015 2111100 2024 CP1OP405 001*")</f>
        <v>54500</v>
      </c>
      <c r="G2668" s="83">
        <f>SUMIFS(G2669:G6462,K2669:K6462,"0",B2669:B6462,"5 1 1 3 4 12 31111 6 M59 30100 000132 0000R 00001 00134 015 2111100 2024 CP1OP405 001*")</f>
        <v>0</v>
      </c>
      <c r="H2668" s="83">
        <f t="shared" si="42"/>
        <v>54500</v>
      </c>
      <c r="I2668" s="83"/>
      <c r="K2668" s="54" t="s">
        <v>15</v>
      </c>
    </row>
    <row r="2669" spans="2:11" ht="33" x14ac:dyDescent="0.2">
      <c r="B2669" s="84" t="s">
        <v>4939</v>
      </c>
      <c r="C2669" s="84" t="s">
        <v>4840</v>
      </c>
      <c r="D2669" s="85">
        <v>0</v>
      </c>
      <c r="E2669" s="85"/>
      <c r="F2669" s="85">
        <v>54500</v>
      </c>
      <c r="G2669" s="85">
        <v>0</v>
      </c>
      <c r="H2669" s="85">
        <f t="shared" si="42"/>
        <v>54500</v>
      </c>
      <c r="I2669" s="85"/>
      <c r="K2669" s="54" t="s">
        <v>38</v>
      </c>
    </row>
    <row r="2670" spans="2:11" ht="24.75" x14ac:dyDescent="0.2">
      <c r="B2670" s="82" t="s">
        <v>4940</v>
      </c>
      <c r="C2670" s="82" t="s">
        <v>3222</v>
      </c>
      <c r="D2670" s="83">
        <f>SUMIFS(D2671:D6462,K2671:K6462,"0",B2671:B6462,"5 1 1 3 4 12 31111 6 M59 30200*")-SUMIFS(E2671:E6462,K2671:K6462,"0",B2671:B6462,"5 1 1 3 4 12 31111 6 M59 30200*")</f>
        <v>0</v>
      </c>
      <c r="E2670" s="54"/>
      <c r="F2670" s="83">
        <f>SUMIFS(F2671:F6462,K2671:K6462,"0",B2671:B6462,"5 1 1 3 4 12 31111 6 M59 30200*")</f>
        <v>5000</v>
      </c>
      <c r="G2670" s="83">
        <f>SUMIFS(G2671:G6462,K2671:K6462,"0",B2671:B6462,"5 1 1 3 4 12 31111 6 M59 30200*")</f>
        <v>0</v>
      </c>
      <c r="H2670" s="83">
        <f t="shared" si="42"/>
        <v>5000</v>
      </c>
      <c r="I2670" s="83"/>
      <c r="K2670" s="54" t="s">
        <v>15</v>
      </c>
    </row>
    <row r="2671" spans="2:11" ht="16.5" x14ac:dyDescent="0.2">
      <c r="B2671" s="82" t="s">
        <v>4941</v>
      </c>
      <c r="C2671" s="82" t="s">
        <v>648</v>
      </c>
      <c r="D2671" s="83">
        <f>SUMIFS(D2672:D6462,K2672:K6462,"0",B2672:B6462,"5 1 1 3 4 12 31111 6 M59 30200 000132*")-SUMIFS(E2672:E6462,K2672:K6462,"0",B2672:B6462,"5 1 1 3 4 12 31111 6 M59 30200 000132*")</f>
        <v>0</v>
      </c>
      <c r="E2671" s="54"/>
      <c r="F2671" s="83">
        <f>SUMIFS(F2672:F6462,K2672:K6462,"0",B2672:B6462,"5 1 1 3 4 12 31111 6 M59 30200 000132*")</f>
        <v>5000</v>
      </c>
      <c r="G2671" s="83">
        <f>SUMIFS(G2672:G6462,K2672:K6462,"0",B2672:B6462,"5 1 1 3 4 12 31111 6 M59 30200 000132*")</f>
        <v>0</v>
      </c>
      <c r="H2671" s="83">
        <f t="shared" si="42"/>
        <v>5000</v>
      </c>
      <c r="I2671" s="83"/>
      <c r="K2671" s="54" t="s">
        <v>15</v>
      </c>
    </row>
    <row r="2672" spans="2:11" ht="24.75" x14ac:dyDescent="0.2">
      <c r="B2672" s="82" t="s">
        <v>4942</v>
      </c>
      <c r="C2672" s="82" t="s">
        <v>650</v>
      </c>
      <c r="D2672" s="83">
        <f>SUMIFS(D2673:D6462,K2673:K6462,"0",B2673:B6462,"5 1 1 3 4 12 31111 6 M59 30200 000132 0000R*")-SUMIFS(E2673:E6462,K2673:K6462,"0",B2673:B6462,"5 1 1 3 4 12 31111 6 M59 30200 000132 0000R*")</f>
        <v>0</v>
      </c>
      <c r="E2672" s="54"/>
      <c r="F2672" s="83">
        <f>SUMIFS(F2673:F6462,K2673:K6462,"0",B2673:B6462,"5 1 1 3 4 12 31111 6 M59 30200 000132 0000R*")</f>
        <v>5000</v>
      </c>
      <c r="G2672" s="83">
        <f>SUMIFS(G2673:G6462,K2673:K6462,"0",B2673:B6462,"5 1 1 3 4 12 31111 6 M59 30200 000132 0000R*")</f>
        <v>0</v>
      </c>
      <c r="H2672" s="83">
        <f t="shared" si="42"/>
        <v>5000</v>
      </c>
      <c r="I2672" s="83"/>
      <c r="K2672" s="54" t="s">
        <v>15</v>
      </c>
    </row>
    <row r="2673" spans="2:11" ht="24.75" x14ac:dyDescent="0.2">
      <c r="B2673" s="82" t="s">
        <v>4943</v>
      </c>
      <c r="C2673" s="82" t="s">
        <v>282</v>
      </c>
      <c r="D2673" s="83">
        <f>SUMIFS(D2674:D6462,K2674:K6462,"0",B2674:B6462,"5 1 1 3 4 12 31111 6 M59 30200 000132 0000R 00001*")-SUMIFS(E2674:E6462,K2674:K6462,"0",B2674:B6462,"5 1 1 3 4 12 31111 6 M59 30200 000132 0000R 00001*")</f>
        <v>0</v>
      </c>
      <c r="E2673" s="54"/>
      <c r="F2673" s="83">
        <f>SUMIFS(F2674:F6462,K2674:K6462,"0",B2674:B6462,"5 1 1 3 4 12 31111 6 M59 30200 000132 0000R 00001*")</f>
        <v>5000</v>
      </c>
      <c r="G2673" s="83">
        <f>SUMIFS(G2674:G6462,K2674:K6462,"0",B2674:B6462,"5 1 1 3 4 12 31111 6 M59 30200 000132 0000R 00001*")</f>
        <v>0</v>
      </c>
      <c r="H2673" s="83">
        <f t="shared" si="42"/>
        <v>5000</v>
      </c>
      <c r="I2673" s="83"/>
      <c r="K2673" s="54" t="s">
        <v>15</v>
      </c>
    </row>
    <row r="2674" spans="2:11" ht="24.75" x14ac:dyDescent="0.2">
      <c r="B2674" s="82" t="s">
        <v>4944</v>
      </c>
      <c r="C2674" s="82" t="s">
        <v>4776</v>
      </c>
      <c r="D2674" s="83">
        <f>SUMIFS(D2675:D6462,K2675:K6462,"0",B2675:B6462,"5 1 1 3 4 12 31111 6 M59 30200 000132 0000R 00001 00134*")-SUMIFS(E2675:E6462,K2675:K6462,"0",B2675:B6462,"5 1 1 3 4 12 31111 6 M59 30200 000132 0000R 00001 00134*")</f>
        <v>0</v>
      </c>
      <c r="E2674" s="54"/>
      <c r="F2674" s="83">
        <f>SUMIFS(F2675:F6462,K2675:K6462,"0",B2675:B6462,"5 1 1 3 4 12 31111 6 M59 30200 000132 0000R 00001 00134*")</f>
        <v>5000</v>
      </c>
      <c r="G2674" s="83">
        <f>SUMIFS(G2675:G6462,K2675:K6462,"0",B2675:B6462,"5 1 1 3 4 12 31111 6 M59 30200 000132 0000R 00001 00134*")</f>
        <v>0</v>
      </c>
      <c r="H2674" s="83">
        <f t="shared" si="42"/>
        <v>5000</v>
      </c>
      <c r="I2674" s="83"/>
      <c r="K2674" s="54" t="s">
        <v>15</v>
      </c>
    </row>
    <row r="2675" spans="2:11" ht="33" x14ac:dyDescent="0.2">
      <c r="B2675" s="82" t="s">
        <v>4945</v>
      </c>
      <c r="C2675" s="82" t="s">
        <v>1051</v>
      </c>
      <c r="D2675" s="83">
        <f>SUMIFS(D2676:D6462,K2676:K6462,"0",B2676:B6462,"5 1 1 3 4 12 31111 6 M59 30200 000132 0000R 00001 00134 015*")-SUMIFS(E2676:E6462,K2676:K6462,"0",B2676:B6462,"5 1 1 3 4 12 31111 6 M59 30200 000132 0000R 00001 00134 015*")</f>
        <v>0</v>
      </c>
      <c r="E2675" s="54"/>
      <c r="F2675" s="83">
        <f>SUMIFS(F2676:F6462,K2676:K6462,"0",B2676:B6462,"5 1 1 3 4 12 31111 6 M59 30200 000132 0000R 00001 00134 015*")</f>
        <v>5000</v>
      </c>
      <c r="G2675" s="83">
        <f>SUMIFS(G2676:G6462,K2676:K6462,"0",B2676:B6462,"5 1 1 3 4 12 31111 6 M59 30200 000132 0000R 00001 00134 015*")</f>
        <v>0</v>
      </c>
      <c r="H2675" s="83">
        <f t="shared" si="42"/>
        <v>5000</v>
      </c>
      <c r="I2675" s="83"/>
      <c r="K2675" s="54" t="s">
        <v>15</v>
      </c>
    </row>
    <row r="2676" spans="2:11" ht="33" x14ac:dyDescent="0.2">
      <c r="B2676" s="82" t="s">
        <v>4946</v>
      </c>
      <c r="C2676" s="82" t="s">
        <v>2927</v>
      </c>
      <c r="D2676" s="83">
        <f>SUMIFS(D2677:D6462,K2677:K6462,"0",B2677:B6462,"5 1 1 3 4 12 31111 6 M59 30200 000132 0000R 00001 00134 015 2111100*")-SUMIFS(E2677:E6462,K2677:K6462,"0",B2677:B6462,"5 1 1 3 4 12 31111 6 M59 30200 000132 0000R 00001 00134 015 2111100*")</f>
        <v>0</v>
      </c>
      <c r="E2676" s="54"/>
      <c r="F2676" s="83">
        <f>SUMIFS(F2677:F6462,K2677:K6462,"0",B2677:B6462,"5 1 1 3 4 12 31111 6 M59 30200 000132 0000R 00001 00134 015 2111100*")</f>
        <v>5000</v>
      </c>
      <c r="G2676" s="83">
        <f>SUMIFS(G2677:G6462,K2677:K6462,"0",B2677:B6462,"5 1 1 3 4 12 31111 6 M59 30200 000132 0000R 00001 00134 015 2111100*")</f>
        <v>0</v>
      </c>
      <c r="H2676" s="83">
        <f t="shared" si="42"/>
        <v>5000</v>
      </c>
      <c r="I2676" s="83"/>
      <c r="K2676" s="54" t="s">
        <v>15</v>
      </c>
    </row>
    <row r="2677" spans="2:11" ht="33" x14ac:dyDescent="0.2">
      <c r="B2677" s="82" t="s">
        <v>4947</v>
      </c>
      <c r="C2677" s="82" t="s">
        <v>660</v>
      </c>
      <c r="D2677" s="83">
        <f>SUMIFS(D2678:D6462,K2678:K6462,"0",B2678:B6462,"5 1 1 3 4 12 31111 6 M59 30200 000132 0000R 00001 00134 015 2111100 2024*")-SUMIFS(E2678:E6462,K2678:K6462,"0",B2678:B6462,"5 1 1 3 4 12 31111 6 M59 30200 000132 0000R 00001 00134 015 2111100 2024*")</f>
        <v>0</v>
      </c>
      <c r="E2677" s="54"/>
      <c r="F2677" s="83">
        <f>SUMIFS(F2678:F6462,K2678:K6462,"0",B2678:B6462,"5 1 1 3 4 12 31111 6 M59 30200 000132 0000R 00001 00134 015 2111100 2024*")</f>
        <v>5000</v>
      </c>
      <c r="G2677" s="83">
        <f>SUMIFS(G2678:G6462,K2678:K6462,"0",B2678:B6462,"5 1 1 3 4 12 31111 6 M59 30200 000132 0000R 00001 00134 015 2111100 2024*")</f>
        <v>0</v>
      </c>
      <c r="H2677" s="83">
        <f t="shared" si="42"/>
        <v>5000</v>
      </c>
      <c r="I2677" s="83"/>
      <c r="K2677" s="54" t="s">
        <v>15</v>
      </c>
    </row>
    <row r="2678" spans="2:11" ht="41.25" x14ac:dyDescent="0.2">
      <c r="B2678" s="82" t="s">
        <v>4948</v>
      </c>
      <c r="C2678" s="82" t="s">
        <v>1056</v>
      </c>
      <c r="D2678" s="83">
        <f>SUMIFS(D2679:D6462,K2679:K6462,"0",B2679:B6462,"5 1 1 3 4 12 31111 6 M59 30200 000132 0000R 00001 00134 015 2111100 2024 CP1OT378*")-SUMIFS(E2679:E6462,K2679:K6462,"0",B2679:B6462,"5 1 1 3 4 12 31111 6 M59 30200 000132 0000R 00001 00134 015 2111100 2024 CP1OT378*")</f>
        <v>0</v>
      </c>
      <c r="E2678" s="54"/>
      <c r="F2678" s="83">
        <f>SUMIFS(F2679:F6462,K2679:K6462,"0",B2679:B6462,"5 1 1 3 4 12 31111 6 M59 30200 000132 0000R 00001 00134 015 2111100 2024 CP1OT378*")</f>
        <v>5000</v>
      </c>
      <c r="G2678" s="83">
        <f>SUMIFS(G2679:G6462,K2679:K6462,"0",B2679:B6462,"5 1 1 3 4 12 31111 6 M59 30200 000132 0000R 00001 00134 015 2111100 2024 CP1OT378*")</f>
        <v>0</v>
      </c>
      <c r="H2678" s="83">
        <f t="shared" si="42"/>
        <v>5000</v>
      </c>
      <c r="I2678" s="83"/>
      <c r="K2678" s="54" t="s">
        <v>15</v>
      </c>
    </row>
    <row r="2679" spans="2:11" ht="41.25" x14ac:dyDescent="0.2">
      <c r="B2679" s="82" t="s">
        <v>4949</v>
      </c>
      <c r="C2679" s="82" t="s">
        <v>282</v>
      </c>
      <c r="D2679" s="83">
        <f>SUMIFS(D2680:D6462,K2680:K6462,"0",B2680:B6462,"5 1 1 3 4 12 31111 6 M59 30200 000132 0000R 00001 00134 015 2111100 2024 CP1OT378 001*")-SUMIFS(E2680:E6462,K2680:K6462,"0",B2680:B6462,"5 1 1 3 4 12 31111 6 M59 30200 000132 0000R 00001 00134 015 2111100 2024 CP1OT378 001*")</f>
        <v>0</v>
      </c>
      <c r="E2679" s="54"/>
      <c r="F2679" s="83">
        <f>SUMIFS(F2680:F6462,K2680:K6462,"0",B2680:B6462,"5 1 1 3 4 12 31111 6 M59 30200 000132 0000R 00001 00134 015 2111100 2024 CP1OT378 001*")</f>
        <v>5000</v>
      </c>
      <c r="G2679" s="83">
        <f>SUMIFS(G2680:G6462,K2680:K6462,"0",B2680:B6462,"5 1 1 3 4 12 31111 6 M59 30200 000132 0000R 00001 00134 015 2111100 2024 CP1OT378 001*")</f>
        <v>0</v>
      </c>
      <c r="H2679" s="83">
        <f t="shared" si="42"/>
        <v>5000</v>
      </c>
      <c r="I2679" s="83"/>
      <c r="K2679" s="54" t="s">
        <v>15</v>
      </c>
    </row>
    <row r="2680" spans="2:11" ht="41.25" x14ac:dyDescent="0.2">
      <c r="B2680" s="84" t="s">
        <v>4950</v>
      </c>
      <c r="C2680" s="84" t="s">
        <v>4766</v>
      </c>
      <c r="D2680" s="85">
        <v>0</v>
      </c>
      <c r="E2680" s="85"/>
      <c r="F2680" s="85">
        <v>5000</v>
      </c>
      <c r="G2680" s="85">
        <v>0</v>
      </c>
      <c r="H2680" s="85">
        <f t="shared" si="42"/>
        <v>5000</v>
      </c>
      <c r="I2680" s="85"/>
      <c r="K2680" s="54" t="s">
        <v>38</v>
      </c>
    </row>
    <row r="2681" spans="2:11" ht="16.5" x14ac:dyDescent="0.2">
      <c r="B2681" s="82" t="s">
        <v>4973</v>
      </c>
      <c r="C2681" s="82" t="s">
        <v>3281</v>
      </c>
      <c r="D2681" s="83">
        <f>SUMIFS(D2682:D6462,K2682:K6462,"0",B2682:B6462,"5 1 1 3 4 12 31111 6 M59 50000*")-SUMIFS(E2682:E6462,K2682:K6462,"0",B2682:B6462,"5 1 1 3 4 12 31111 6 M59 50000*")</f>
        <v>0</v>
      </c>
      <c r="E2681" s="54"/>
      <c r="F2681" s="83">
        <f>SUMIFS(F2682:F6462,K2682:K6462,"0",B2682:B6462,"5 1 1 3 4 12 31111 6 M59 50000*")</f>
        <v>134765.20000000001</v>
      </c>
      <c r="G2681" s="83">
        <f>SUMIFS(G2682:G6462,K2682:K6462,"0",B2682:B6462,"5 1 1 3 4 12 31111 6 M59 50000*")</f>
        <v>0</v>
      </c>
      <c r="H2681" s="83">
        <f t="shared" si="42"/>
        <v>134765.20000000001</v>
      </c>
      <c r="I2681" s="83"/>
      <c r="K2681" s="54" t="s">
        <v>15</v>
      </c>
    </row>
    <row r="2682" spans="2:11" ht="16.5" x14ac:dyDescent="0.2">
      <c r="B2682" s="82" t="s">
        <v>4974</v>
      </c>
      <c r="C2682" s="82" t="s">
        <v>3283</v>
      </c>
      <c r="D2682" s="83">
        <f>SUMIFS(D2683:D6462,K2683:K6462,"0",B2683:B6462,"5 1 1 3 4 12 31111 6 M59 50000 000223*")-SUMIFS(E2683:E6462,K2683:K6462,"0",B2683:B6462,"5 1 1 3 4 12 31111 6 M59 50000 000223*")</f>
        <v>0</v>
      </c>
      <c r="E2682" s="54"/>
      <c r="F2682" s="83">
        <f>SUMIFS(F2683:F6462,K2683:K6462,"0",B2683:B6462,"5 1 1 3 4 12 31111 6 M59 50000 000223*")</f>
        <v>134765.20000000001</v>
      </c>
      <c r="G2682" s="83">
        <f>SUMIFS(G2683:G6462,K2683:K6462,"0",B2683:B6462,"5 1 1 3 4 12 31111 6 M59 50000 000223*")</f>
        <v>0</v>
      </c>
      <c r="H2682" s="83">
        <f t="shared" si="42"/>
        <v>134765.20000000001</v>
      </c>
      <c r="I2682" s="83"/>
      <c r="K2682" s="54" t="s">
        <v>15</v>
      </c>
    </row>
    <row r="2683" spans="2:11" ht="24.75" x14ac:dyDescent="0.2">
      <c r="B2683" s="82" t="s">
        <v>4975</v>
      </c>
      <c r="C2683" s="82" t="s">
        <v>1065</v>
      </c>
      <c r="D2683" s="83">
        <f>SUMIFS(D2684:D6462,K2684:K6462,"0",B2684:B6462,"5 1 1 3 4 12 31111 6 M59 50000 000223 0000E*")-SUMIFS(E2684:E6462,K2684:K6462,"0",B2684:B6462,"5 1 1 3 4 12 31111 6 M59 50000 000223 0000E*")</f>
        <v>0</v>
      </c>
      <c r="E2683" s="54"/>
      <c r="F2683" s="83">
        <f>SUMIFS(F2684:F6462,K2684:K6462,"0",B2684:B6462,"5 1 1 3 4 12 31111 6 M59 50000 000223 0000E*")</f>
        <v>134765.20000000001</v>
      </c>
      <c r="G2683" s="83">
        <f>SUMIFS(G2684:G6462,K2684:K6462,"0",B2684:B6462,"5 1 1 3 4 12 31111 6 M59 50000 000223 0000E*")</f>
        <v>0</v>
      </c>
      <c r="H2683" s="83">
        <f t="shared" si="42"/>
        <v>134765.20000000001</v>
      </c>
      <c r="I2683" s="83"/>
      <c r="K2683" s="54" t="s">
        <v>15</v>
      </c>
    </row>
    <row r="2684" spans="2:11" ht="24.75" x14ac:dyDescent="0.2">
      <c r="B2684" s="82" t="s">
        <v>4976</v>
      </c>
      <c r="C2684" s="82" t="s">
        <v>282</v>
      </c>
      <c r="D2684" s="83">
        <f>SUMIFS(D2685:D6462,K2685:K6462,"0",B2685:B6462,"5 1 1 3 4 12 31111 6 M59 50000 000223 0000E 00001*")-SUMIFS(E2685:E6462,K2685:K6462,"0",B2685:B6462,"5 1 1 3 4 12 31111 6 M59 50000 000223 0000E 00001*")</f>
        <v>0</v>
      </c>
      <c r="E2684" s="54"/>
      <c r="F2684" s="83">
        <f>SUMIFS(F2685:F6462,K2685:K6462,"0",B2685:B6462,"5 1 1 3 4 12 31111 6 M59 50000 000223 0000E 00001*")</f>
        <v>134765.20000000001</v>
      </c>
      <c r="G2684" s="83">
        <f>SUMIFS(G2685:G6462,K2685:K6462,"0",B2685:B6462,"5 1 1 3 4 12 31111 6 M59 50000 000223 0000E 00001*")</f>
        <v>0</v>
      </c>
      <c r="H2684" s="83">
        <f t="shared" si="42"/>
        <v>134765.20000000001</v>
      </c>
      <c r="I2684" s="83"/>
      <c r="K2684" s="54" t="s">
        <v>15</v>
      </c>
    </row>
    <row r="2685" spans="2:11" ht="24.75" x14ac:dyDescent="0.2">
      <c r="B2685" s="82" t="s">
        <v>4977</v>
      </c>
      <c r="C2685" s="82" t="s">
        <v>4776</v>
      </c>
      <c r="D2685" s="83">
        <f>SUMIFS(D2686:D6462,K2686:K6462,"0",B2686:B6462,"5 1 1 3 4 12 31111 6 M59 50000 000223 0000E 00001 00134*")-SUMIFS(E2686:E6462,K2686:K6462,"0",B2686:B6462,"5 1 1 3 4 12 31111 6 M59 50000 000223 0000E 00001 00134*")</f>
        <v>0</v>
      </c>
      <c r="E2685" s="54"/>
      <c r="F2685" s="83">
        <f>SUMIFS(F2686:F6462,K2686:K6462,"0",B2686:B6462,"5 1 1 3 4 12 31111 6 M59 50000 000223 0000E 00001 00134*")</f>
        <v>134765.20000000001</v>
      </c>
      <c r="G2685" s="83">
        <f>SUMIFS(G2686:G6462,K2686:K6462,"0",B2686:B6462,"5 1 1 3 4 12 31111 6 M59 50000 000223 0000E 00001 00134*")</f>
        <v>0</v>
      </c>
      <c r="H2685" s="83">
        <f t="shared" si="42"/>
        <v>134765.20000000001</v>
      </c>
      <c r="I2685" s="83"/>
      <c r="K2685" s="54" t="s">
        <v>15</v>
      </c>
    </row>
    <row r="2686" spans="2:11" ht="33" x14ac:dyDescent="0.2">
      <c r="B2686" s="82" t="s">
        <v>4978</v>
      </c>
      <c r="C2686" s="82" t="s">
        <v>1051</v>
      </c>
      <c r="D2686" s="83">
        <f>SUMIFS(D2687:D6462,K2687:K6462,"0",B2687:B6462,"5 1 1 3 4 12 31111 6 M59 50000 000223 0000E 00001 00134 015*")-SUMIFS(E2687:E6462,K2687:K6462,"0",B2687:B6462,"5 1 1 3 4 12 31111 6 M59 50000 000223 0000E 00001 00134 015*")</f>
        <v>0</v>
      </c>
      <c r="E2686" s="54"/>
      <c r="F2686" s="83">
        <f>SUMIFS(F2687:F6462,K2687:K6462,"0",B2687:B6462,"5 1 1 3 4 12 31111 6 M59 50000 000223 0000E 00001 00134 015*")</f>
        <v>134765.20000000001</v>
      </c>
      <c r="G2686" s="83">
        <f>SUMIFS(G2687:G6462,K2687:K6462,"0",B2687:B6462,"5 1 1 3 4 12 31111 6 M59 50000 000223 0000E 00001 00134 015*")</f>
        <v>0</v>
      </c>
      <c r="H2686" s="83">
        <f t="shared" si="42"/>
        <v>134765.20000000001</v>
      </c>
      <c r="I2686" s="83"/>
      <c r="K2686" s="54" t="s">
        <v>15</v>
      </c>
    </row>
    <row r="2687" spans="2:11" ht="33" x14ac:dyDescent="0.2">
      <c r="B2687" s="82" t="s">
        <v>4979</v>
      </c>
      <c r="C2687" s="82" t="s">
        <v>2927</v>
      </c>
      <c r="D2687" s="83">
        <f>SUMIFS(D2688:D6462,K2688:K6462,"0",B2688:B6462,"5 1 1 3 4 12 31111 6 M59 50000 000223 0000E 00001 00134 015 2111100*")-SUMIFS(E2688:E6462,K2688:K6462,"0",B2688:B6462,"5 1 1 3 4 12 31111 6 M59 50000 000223 0000E 00001 00134 015 2111100*")</f>
        <v>0</v>
      </c>
      <c r="E2687" s="54"/>
      <c r="F2687" s="83">
        <f>SUMIFS(F2688:F6462,K2688:K6462,"0",B2688:B6462,"5 1 1 3 4 12 31111 6 M59 50000 000223 0000E 00001 00134 015 2111100*")</f>
        <v>134765.20000000001</v>
      </c>
      <c r="G2687" s="83">
        <f>SUMIFS(G2688:G6462,K2688:K6462,"0",B2688:B6462,"5 1 1 3 4 12 31111 6 M59 50000 000223 0000E 00001 00134 015 2111100*")</f>
        <v>0</v>
      </c>
      <c r="H2687" s="83">
        <f t="shared" si="42"/>
        <v>134765.20000000001</v>
      </c>
      <c r="I2687" s="83"/>
      <c r="K2687" s="54" t="s">
        <v>15</v>
      </c>
    </row>
    <row r="2688" spans="2:11" ht="33" x14ac:dyDescent="0.2">
      <c r="B2688" s="82" t="s">
        <v>4980</v>
      </c>
      <c r="C2688" s="82" t="s">
        <v>660</v>
      </c>
      <c r="D2688" s="83">
        <f>SUMIFS(D2689:D6462,K2689:K6462,"0",B2689:B6462,"5 1 1 3 4 12 31111 6 M59 50000 000223 0000E 00001 00134 015 2111100 2024*")-SUMIFS(E2689:E6462,K2689:K6462,"0",B2689:B6462,"5 1 1 3 4 12 31111 6 M59 50000 000223 0000E 00001 00134 015 2111100 2024*")</f>
        <v>0</v>
      </c>
      <c r="E2688" s="54"/>
      <c r="F2688" s="83">
        <f>SUMIFS(F2689:F6462,K2689:K6462,"0",B2689:B6462,"5 1 1 3 4 12 31111 6 M59 50000 000223 0000E 00001 00134 015 2111100 2024*")</f>
        <v>134765.20000000001</v>
      </c>
      <c r="G2688" s="83">
        <f>SUMIFS(G2689:G6462,K2689:K6462,"0",B2689:B6462,"5 1 1 3 4 12 31111 6 M59 50000 000223 0000E 00001 00134 015 2111100 2024*")</f>
        <v>0</v>
      </c>
      <c r="H2688" s="83">
        <f t="shared" si="42"/>
        <v>134765.20000000001</v>
      </c>
      <c r="I2688" s="83"/>
      <c r="K2688" s="54" t="s">
        <v>15</v>
      </c>
    </row>
    <row r="2689" spans="2:11" ht="41.25" x14ac:dyDescent="0.2">
      <c r="B2689" s="82" t="s">
        <v>4981</v>
      </c>
      <c r="C2689" s="82" t="s">
        <v>662</v>
      </c>
      <c r="D2689" s="83">
        <f>SUMIFS(D2690:D6462,K2690:K6462,"0",B2690:B6462,"5 1 1 3 4 12 31111 6 M59 50000 000223 0000E 00001 00134 015 2111100 2024 CP1DA424*")-SUMIFS(E2690:E6462,K2690:K6462,"0",B2690:B6462,"5 1 1 3 4 12 31111 6 M59 50000 000223 0000E 00001 00134 015 2111100 2024 CP1DA424*")</f>
        <v>0</v>
      </c>
      <c r="E2689" s="54"/>
      <c r="F2689" s="83">
        <f>SUMIFS(F2690:F6462,K2690:K6462,"0",B2690:B6462,"5 1 1 3 4 12 31111 6 M59 50000 000223 0000E 00001 00134 015 2111100 2024 CP1DA424*")</f>
        <v>134765.20000000001</v>
      </c>
      <c r="G2689" s="83">
        <f>SUMIFS(G2690:G6462,K2690:K6462,"0",B2690:B6462,"5 1 1 3 4 12 31111 6 M59 50000 000223 0000E 00001 00134 015 2111100 2024 CP1DA424*")</f>
        <v>0</v>
      </c>
      <c r="H2689" s="83">
        <f t="shared" si="42"/>
        <v>134765.20000000001</v>
      </c>
      <c r="I2689" s="83"/>
      <c r="K2689" s="54" t="s">
        <v>15</v>
      </c>
    </row>
    <row r="2690" spans="2:11" ht="41.25" x14ac:dyDescent="0.2">
      <c r="B2690" s="82" t="s">
        <v>4982</v>
      </c>
      <c r="C2690" s="82" t="s">
        <v>282</v>
      </c>
      <c r="D2690" s="83">
        <f>SUMIFS(D2691:D6462,K2691:K6462,"0",B2691:B6462,"5 1 1 3 4 12 31111 6 M59 50000 000223 0000E 00001 00134 015 2111100 2024 CP1DA424 001*")-SUMIFS(E2691:E6462,K2691:K6462,"0",B2691:B6462,"5 1 1 3 4 12 31111 6 M59 50000 000223 0000E 00001 00134 015 2111100 2024 CP1DA424 001*")</f>
        <v>0</v>
      </c>
      <c r="E2690" s="54"/>
      <c r="F2690" s="83">
        <f>SUMIFS(F2691:F6462,K2691:K6462,"0",B2691:B6462,"5 1 1 3 4 12 31111 6 M59 50000 000223 0000E 00001 00134 015 2111100 2024 CP1DA424 001*")</f>
        <v>134765.20000000001</v>
      </c>
      <c r="G2690" s="83">
        <f>SUMIFS(G2691:G6462,K2691:K6462,"0",B2691:B6462,"5 1 1 3 4 12 31111 6 M59 50000 000223 0000E 00001 00134 015 2111100 2024 CP1DA424 001*")</f>
        <v>0</v>
      </c>
      <c r="H2690" s="83">
        <f t="shared" si="42"/>
        <v>134765.20000000001</v>
      </c>
      <c r="I2690" s="83"/>
      <c r="K2690" s="54" t="s">
        <v>15</v>
      </c>
    </row>
    <row r="2691" spans="2:11" ht="41.25" x14ac:dyDescent="0.2">
      <c r="B2691" s="84" t="s">
        <v>4983</v>
      </c>
      <c r="C2691" s="84" t="s">
        <v>4783</v>
      </c>
      <c r="D2691" s="85">
        <v>0</v>
      </c>
      <c r="E2691" s="85"/>
      <c r="F2691" s="85">
        <v>134765.20000000001</v>
      </c>
      <c r="G2691" s="85">
        <v>0</v>
      </c>
      <c r="H2691" s="85">
        <f t="shared" si="42"/>
        <v>134765.20000000001</v>
      </c>
      <c r="I2691" s="85"/>
      <c r="K2691" s="54" t="s">
        <v>38</v>
      </c>
    </row>
    <row r="2692" spans="2:11" ht="16.5" x14ac:dyDescent="0.2">
      <c r="B2692" s="82" t="s">
        <v>4984</v>
      </c>
      <c r="C2692" s="82" t="s">
        <v>1269</v>
      </c>
      <c r="D2692" s="83">
        <f>SUMIFS(D2693:D6462,K2693:K6462,"0",B2693:B6462,"5 1 1 3 4 12 31111 6 M59 60100*")-SUMIFS(E2693:E6462,K2693:K6462,"0",B2693:B6462,"5 1 1 3 4 12 31111 6 M59 60100*")</f>
        <v>0</v>
      </c>
      <c r="E2692" s="54"/>
      <c r="F2692" s="83">
        <f>SUMIFS(F2693:F6462,K2693:K6462,"0",B2693:B6462,"5 1 1 3 4 12 31111 6 M59 60100*")</f>
        <v>208852.56</v>
      </c>
      <c r="G2692" s="83">
        <f>SUMIFS(G2693:G6462,K2693:K6462,"0",B2693:B6462,"5 1 1 3 4 12 31111 6 M59 60100*")</f>
        <v>0</v>
      </c>
      <c r="H2692" s="83">
        <f t="shared" si="42"/>
        <v>208852.56</v>
      </c>
      <c r="I2692" s="83"/>
      <c r="K2692" s="54" t="s">
        <v>15</v>
      </c>
    </row>
    <row r="2693" spans="2:11" ht="16.5" x14ac:dyDescent="0.2">
      <c r="B2693" s="82" t="s">
        <v>4985</v>
      </c>
      <c r="C2693" s="82" t="s">
        <v>648</v>
      </c>
      <c r="D2693" s="83">
        <f>SUMIFS(D2694:D6462,K2694:K6462,"0",B2694:B6462,"5 1 1 3 4 12 31111 6 M59 60100 000132*")-SUMIFS(E2694:E6462,K2694:K6462,"0",B2694:B6462,"5 1 1 3 4 12 31111 6 M59 60100 000132*")</f>
        <v>0</v>
      </c>
      <c r="E2693" s="54"/>
      <c r="F2693" s="83">
        <f>SUMIFS(F2694:F6462,K2694:K6462,"0",B2694:B6462,"5 1 1 3 4 12 31111 6 M59 60100 000132*")</f>
        <v>208852.56</v>
      </c>
      <c r="G2693" s="83">
        <f>SUMIFS(G2694:G6462,K2694:K6462,"0",B2694:B6462,"5 1 1 3 4 12 31111 6 M59 60100 000132*")</f>
        <v>0</v>
      </c>
      <c r="H2693" s="83">
        <f t="shared" si="42"/>
        <v>208852.56</v>
      </c>
      <c r="I2693" s="83"/>
      <c r="K2693" s="54" t="s">
        <v>15</v>
      </c>
    </row>
    <row r="2694" spans="2:11" ht="24.75" x14ac:dyDescent="0.2">
      <c r="B2694" s="82" t="s">
        <v>4986</v>
      </c>
      <c r="C2694" s="82" t="s">
        <v>650</v>
      </c>
      <c r="D2694" s="83">
        <f>SUMIFS(D2695:D6462,K2695:K6462,"0",B2695:B6462,"5 1 1 3 4 12 31111 6 M59 60100 000132 0000R*")-SUMIFS(E2695:E6462,K2695:K6462,"0",B2695:B6462,"5 1 1 3 4 12 31111 6 M59 60100 000132 0000R*")</f>
        <v>0</v>
      </c>
      <c r="E2694" s="54"/>
      <c r="F2694" s="83">
        <f>SUMIFS(F2695:F6462,K2695:K6462,"0",B2695:B6462,"5 1 1 3 4 12 31111 6 M59 60100 000132 0000R*")</f>
        <v>208852.56</v>
      </c>
      <c r="G2694" s="83">
        <f>SUMIFS(G2695:G6462,K2695:K6462,"0",B2695:B6462,"5 1 1 3 4 12 31111 6 M59 60100 000132 0000R*")</f>
        <v>0</v>
      </c>
      <c r="H2694" s="83">
        <f t="shared" si="42"/>
        <v>208852.56</v>
      </c>
      <c r="I2694" s="83"/>
      <c r="K2694" s="54" t="s">
        <v>15</v>
      </c>
    </row>
    <row r="2695" spans="2:11" ht="24.75" x14ac:dyDescent="0.2">
      <c r="B2695" s="82" t="s">
        <v>4987</v>
      </c>
      <c r="C2695" s="82" t="s">
        <v>282</v>
      </c>
      <c r="D2695" s="83">
        <f>SUMIFS(D2696:D6462,K2696:K6462,"0",B2696:B6462,"5 1 1 3 4 12 31111 6 M59 60100 000132 0000R 00001*")-SUMIFS(E2696:E6462,K2696:K6462,"0",B2696:B6462,"5 1 1 3 4 12 31111 6 M59 60100 000132 0000R 00001*")</f>
        <v>0</v>
      </c>
      <c r="E2695" s="54"/>
      <c r="F2695" s="83">
        <f>SUMIFS(F2696:F6462,K2696:K6462,"0",B2696:B6462,"5 1 1 3 4 12 31111 6 M59 60100 000132 0000R 00001*")</f>
        <v>208852.56</v>
      </c>
      <c r="G2695" s="83">
        <f>SUMIFS(G2696:G6462,K2696:K6462,"0",B2696:B6462,"5 1 1 3 4 12 31111 6 M59 60100 000132 0000R 00001*")</f>
        <v>0</v>
      </c>
      <c r="H2695" s="83">
        <f t="shared" si="42"/>
        <v>208852.56</v>
      </c>
      <c r="I2695" s="83"/>
      <c r="K2695" s="54" t="s">
        <v>15</v>
      </c>
    </row>
    <row r="2696" spans="2:11" ht="24.75" x14ac:dyDescent="0.2">
      <c r="B2696" s="82" t="s">
        <v>4988</v>
      </c>
      <c r="C2696" s="82" t="s">
        <v>4776</v>
      </c>
      <c r="D2696" s="83">
        <f>SUMIFS(D2697:D6462,K2697:K6462,"0",B2697:B6462,"5 1 1 3 4 12 31111 6 M59 60100 000132 0000R 00001 00134*")-SUMIFS(E2697:E6462,K2697:K6462,"0",B2697:B6462,"5 1 1 3 4 12 31111 6 M59 60100 000132 0000R 00001 00134*")</f>
        <v>0</v>
      </c>
      <c r="E2696" s="54"/>
      <c r="F2696" s="83">
        <f>SUMIFS(F2697:F6462,K2697:K6462,"0",B2697:B6462,"5 1 1 3 4 12 31111 6 M59 60100 000132 0000R 00001 00134*")</f>
        <v>208852.56</v>
      </c>
      <c r="G2696" s="83">
        <f>SUMIFS(G2697:G6462,K2697:K6462,"0",B2697:B6462,"5 1 1 3 4 12 31111 6 M59 60100 000132 0000R 00001 00134*")</f>
        <v>0</v>
      </c>
      <c r="H2696" s="83">
        <f t="shared" si="42"/>
        <v>208852.56</v>
      </c>
      <c r="I2696" s="83"/>
      <c r="K2696" s="54" t="s">
        <v>15</v>
      </c>
    </row>
    <row r="2697" spans="2:11" ht="33" x14ac:dyDescent="0.2">
      <c r="B2697" s="82" t="s">
        <v>4989</v>
      </c>
      <c r="C2697" s="82" t="s">
        <v>1051</v>
      </c>
      <c r="D2697" s="83">
        <f>SUMIFS(D2698:D6462,K2698:K6462,"0",B2698:B6462,"5 1 1 3 4 12 31111 6 M59 60100 000132 0000R 00001 00134 015*")-SUMIFS(E2698:E6462,K2698:K6462,"0",B2698:B6462,"5 1 1 3 4 12 31111 6 M59 60100 000132 0000R 00001 00134 015*")</f>
        <v>0</v>
      </c>
      <c r="E2697" s="54"/>
      <c r="F2697" s="83">
        <f>SUMIFS(F2698:F6462,K2698:K6462,"0",B2698:B6462,"5 1 1 3 4 12 31111 6 M59 60100 000132 0000R 00001 00134 015*")</f>
        <v>208852.56</v>
      </c>
      <c r="G2697" s="83">
        <f>SUMIFS(G2698:G6462,K2698:K6462,"0",B2698:B6462,"5 1 1 3 4 12 31111 6 M59 60100 000132 0000R 00001 00134 015*")</f>
        <v>0</v>
      </c>
      <c r="H2697" s="83">
        <f t="shared" si="42"/>
        <v>208852.56</v>
      </c>
      <c r="I2697" s="83"/>
      <c r="K2697" s="54" t="s">
        <v>15</v>
      </c>
    </row>
    <row r="2698" spans="2:11" ht="33" x14ac:dyDescent="0.2">
      <c r="B2698" s="82" t="s">
        <v>4990</v>
      </c>
      <c r="C2698" s="82" t="s">
        <v>2927</v>
      </c>
      <c r="D2698" s="83">
        <f>SUMIFS(D2699:D6462,K2699:K6462,"0",B2699:B6462,"5 1 1 3 4 12 31111 6 M59 60100 000132 0000R 00001 00134 015 2111100*")-SUMIFS(E2699:E6462,K2699:K6462,"0",B2699:B6462,"5 1 1 3 4 12 31111 6 M59 60100 000132 0000R 00001 00134 015 2111100*")</f>
        <v>0</v>
      </c>
      <c r="E2698" s="54"/>
      <c r="F2698" s="83">
        <f>SUMIFS(F2699:F6462,K2699:K6462,"0",B2699:B6462,"5 1 1 3 4 12 31111 6 M59 60100 000132 0000R 00001 00134 015 2111100*")</f>
        <v>208852.56</v>
      </c>
      <c r="G2698" s="83">
        <f>SUMIFS(G2699:G6462,K2699:K6462,"0",B2699:B6462,"5 1 1 3 4 12 31111 6 M59 60100 000132 0000R 00001 00134 015 2111100*")</f>
        <v>0</v>
      </c>
      <c r="H2698" s="83">
        <f t="shared" si="42"/>
        <v>208852.56</v>
      </c>
      <c r="I2698" s="83"/>
      <c r="K2698" s="54" t="s">
        <v>15</v>
      </c>
    </row>
    <row r="2699" spans="2:11" ht="33" x14ac:dyDescent="0.2">
      <c r="B2699" s="82" t="s">
        <v>4991</v>
      </c>
      <c r="C2699" s="82" t="s">
        <v>660</v>
      </c>
      <c r="D2699" s="83">
        <f>SUMIFS(D2700:D6462,K2700:K6462,"0",B2700:B6462,"5 1 1 3 4 12 31111 6 M59 60100 000132 0000R 00001 00134 015 2111100 2024*")-SUMIFS(E2700:E6462,K2700:K6462,"0",B2700:B6462,"5 1 1 3 4 12 31111 6 M59 60100 000132 0000R 00001 00134 015 2111100 2024*")</f>
        <v>0</v>
      </c>
      <c r="E2699" s="54"/>
      <c r="F2699" s="83">
        <f>SUMIFS(F2700:F6462,K2700:K6462,"0",B2700:B6462,"5 1 1 3 4 12 31111 6 M59 60100 000132 0000R 00001 00134 015 2111100 2024*")</f>
        <v>208852.56</v>
      </c>
      <c r="G2699" s="83">
        <f>SUMIFS(G2700:G6462,K2700:K6462,"0",B2700:B6462,"5 1 1 3 4 12 31111 6 M59 60100 000132 0000R 00001 00134 015 2111100 2024*")</f>
        <v>0</v>
      </c>
      <c r="H2699" s="83">
        <f t="shared" si="42"/>
        <v>208852.56</v>
      </c>
      <c r="I2699" s="83"/>
      <c r="K2699" s="54" t="s">
        <v>15</v>
      </c>
    </row>
    <row r="2700" spans="2:11" ht="41.25" x14ac:dyDescent="0.2">
      <c r="B2700" s="82" t="s">
        <v>4992</v>
      </c>
      <c r="C2700" s="82" t="s">
        <v>1056</v>
      </c>
      <c r="D2700" s="83">
        <f>SUMIFS(D2701:D6462,K2701:K6462,"0",B2701:B6462,"5 1 1 3 4 12 31111 6 M59 60100 000132 0000R 00001 00134 015 2111100 2024 CP1DM394*")-SUMIFS(E2701:E6462,K2701:K6462,"0",B2701:B6462,"5 1 1 3 4 12 31111 6 M59 60100 000132 0000R 00001 00134 015 2111100 2024 CP1DM394*")</f>
        <v>0</v>
      </c>
      <c r="E2700" s="54"/>
      <c r="F2700" s="83">
        <f>SUMIFS(F2701:F6462,K2701:K6462,"0",B2701:B6462,"5 1 1 3 4 12 31111 6 M59 60100 000132 0000R 00001 00134 015 2111100 2024 CP1DM394*")</f>
        <v>208852.56</v>
      </c>
      <c r="G2700" s="83">
        <f>SUMIFS(G2701:G6462,K2701:K6462,"0",B2701:B6462,"5 1 1 3 4 12 31111 6 M59 60100 000132 0000R 00001 00134 015 2111100 2024 CP1DM394*")</f>
        <v>0</v>
      </c>
      <c r="H2700" s="83">
        <f t="shared" si="42"/>
        <v>208852.56</v>
      </c>
      <c r="I2700" s="83"/>
      <c r="K2700" s="54" t="s">
        <v>15</v>
      </c>
    </row>
    <row r="2701" spans="2:11" ht="41.25" x14ac:dyDescent="0.2">
      <c r="B2701" s="82" t="s">
        <v>4993</v>
      </c>
      <c r="C2701" s="82" t="s">
        <v>282</v>
      </c>
      <c r="D2701" s="83">
        <f>SUMIFS(D2702:D6462,K2702:K6462,"0",B2702:B6462,"5 1 1 3 4 12 31111 6 M59 60100 000132 0000R 00001 00134 015 2111100 2024 CP1DM394 001*")-SUMIFS(E2702:E6462,K2702:K6462,"0",B2702:B6462,"5 1 1 3 4 12 31111 6 M59 60100 000132 0000R 00001 00134 015 2111100 2024 CP1DM394 001*")</f>
        <v>0</v>
      </c>
      <c r="E2701" s="54"/>
      <c r="F2701" s="83">
        <f>SUMIFS(F2702:F6462,K2702:K6462,"0",B2702:B6462,"5 1 1 3 4 12 31111 6 M59 60100 000132 0000R 00001 00134 015 2111100 2024 CP1DM394 001*")</f>
        <v>208852.56</v>
      </c>
      <c r="G2701" s="83">
        <f>SUMIFS(G2702:G6462,K2702:K6462,"0",B2702:B6462,"5 1 1 3 4 12 31111 6 M59 60100 000132 0000R 00001 00134 015 2111100 2024 CP1DM394 001*")</f>
        <v>0</v>
      </c>
      <c r="H2701" s="83">
        <f t="shared" si="42"/>
        <v>208852.56</v>
      </c>
      <c r="I2701" s="83"/>
      <c r="K2701" s="54" t="s">
        <v>15</v>
      </c>
    </row>
    <row r="2702" spans="2:11" ht="33" x14ac:dyDescent="0.2">
      <c r="B2702" s="84" t="s">
        <v>4994</v>
      </c>
      <c r="C2702" s="84" t="s">
        <v>4783</v>
      </c>
      <c r="D2702" s="85">
        <v>0</v>
      </c>
      <c r="E2702" s="85"/>
      <c r="F2702" s="85">
        <v>208852.56</v>
      </c>
      <c r="G2702" s="85">
        <v>0</v>
      </c>
      <c r="H2702" s="85">
        <f t="shared" si="42"/>
        <v>208852.56</v>
      </c>
      <c r="I2702" s="85"/>
      <c r="K2702" s="54" t="s">
        <v>38</v>
      </c>
    </row>
    <row r="2703" spans="2:11" ht="24.75" x14ac:dyDescent="0.2">
      <c r="B2703" s="82" t="s">
        <v>4995</v>
      </c>
      <c r="C2703" s="82" t="s">
        <v>3317</v>
      </c>
      <c r="D2703" s="83">
        <f>SUMIFS(D2704:D6462,K2704:K6462,"0",B2704:B6462,"5 1 1 3 4 12 31111 6 M59 61000*")-SUMIFS(E2704:E6462,K2704:K6462,"0",B2704:B6462,"5 1 1 3 4 12 31111 6 M59 61000*")</f>
        <v>0</v>
      </c>
      <c r="E2703" s="54"/>
      <c r="F2703" s="83">
        <f>SUMIFS(F2704:F6462,K2704:K6462,"0",B2704:B6462,"5 1 1 3 4 12 31111 6 M59 61000*")</f>
        <v>12000</v>
      </c>
      <c r="G2703" s="83">
        <f>SUMIFS(G2704:G6462,K2704:K6462,"0",B2704:B6462,"5 1 1 3 4 12 31111 6 M59 61000*")</f>
        <v>0</v>
      </c>
      <c r="H2703" s="83">
        <f t="shared" si="42"/>
        <v>12000</v>
      </c>
      <c r="I2703" s="83"/>
      <c r="K2703" s="54" t="s">
        <v>15</v>
      </c>
    </row>
    <row r="2704" spans="2:11" ht="16.5" x14ac:dyDescent="0.2">
      <c r="B2704" s="82" t="s">
        <v>4996</v>
      </c>
      <c r="C2704" s="82" t="s">
        <v>648</v>
      </c>
      <c r="D2704" s="83">
        <f>SUMIFS(D2705:D6462,K2705:K6462,"0",B2705:B6462,"5 1 1 3 4 12 31111 6 M59 61000 000132*")-SUMIFS(E2705:E6462,K2705:K6462,"0",B2705:B6462,"5 1 1 3 4 12 31111 6 M59 61000 000132*")</f>
        <v>0</v>
      </c>
      <c r="E2704" s="54"/>
      <c r="F2704" s="83">
        <f>SUMIFS(F2705:F6462,K2705:K6462,"0",B2705:B6462,"5 1 1 3 4 12 31111 6 M59 61000 000132*")</f>
        <v>12000</v>
      </c>
      <c r="G2704" s="83">
        <f>SUMIFS(G2705:G6462,K2705:K6462,"0",B2705:B6462,"5 1 1 3 4 12 31111 6 M59 61000 000132*")</f>
        <v>0</v>
      </c>
      <c r="H2704" s="83">
        <f t="shared" si="42"/>
        <v>12000</v>
      </c>
      <c r="I2704" s="83"/>
      <c r="K2704" s="54" t="s">
        <v>15</v>
      </c>
    </row>
    <row r="2705" spans="2:11" ht="24.75" x14ac:dyDescent="0.2">
      <c r="B2705" s="82" t="s">
        <v>4997</v>
      </c>
      <c r="C2705" s="82" t="s">
        <v>650</v>
      </c>
      <c r="D2705" s="83">
        <f>SUMIFS(D2706:D6462,K2706:K6462,"0",B2706:B6462,"5 1 1 3 4 12 31111 6 M59 61000 000132 0000R*")-SUMIFS(E2706:E6462,K2706:K6462,"0",B2706:B6462,"5 1 1 3 4 12 31111 6 M59 61000 000132 0000R*")</f>
        <v>0</v>
      </c>
      <c r="E2705" s="54"/>
      <c r="F2705" s="83">
        <f>SUMIFS(F2706:F6462,K2706:K6462,"0",B2706:B6462,"5 1 1 3 4 12 31111 6 M59 61000 000132 0000R*")</f>
        <v>12000</v>
      </c>
      <c r="G2705" s="83">
        <f>SUMIFS(G2706:G6462,K2706:K6462,"0",B2706:B6462,"5 1 1 3 4 12 31111 6 M59 61000 000132 0000R*")</f>
        <v>0</v>
      </c>
      <c r="H2705" s="83">
        <f t="shared" si="42"/>
        <v>12000</v>
      </c>
      <c r="I2705" s="83"/>
      <c r="K2705" s="54" t="s">
        <v>15</v>
      </c>
    </row>
    <row r="2706" spans="2:11" ht="24.75" x14ac:dyDescent="0.2">
      <c r="B2706" s="82" t="s">
        <v>4998</v>
      </c>
      <c r="C2706" s="82" t="s">
        <v>282</v>
      </c>
      <c r="D2706" s="83">
        <f>SUMIFS(D2707:D6462,K2707:K6462,"0",B2707:B6462,"5 1 1 3 4 12 31111 6 M59 61000 000132 0000R 00001*")-SUMIFS(E2707:E6462,K2707:K6462,"0",B2707:B6462,"5 1 1 3 4 12 31111 6 M59 61000 000132 0000R 00001*")</f>
        <v>0</v>
      </c>
      <c r="E2706" s="54"/>
      <c r="F2706" s="83">
        <f>SUMIFS(F2707:F6462,K2707:K6462,"0",B2707:B6462,"5 1 1 3 4 12 31111 6 M59 61000 000132 0000R 00001*")</f>
        <v>12000</v>
      </c>
      <c r="G2706" s="83">
        <f>SUMIFS(G2707:G6462,K2707:K6462,"0",B2707:B6462,"5 1 1 3 4 12 31111 6 M59 61000 000132 0000R 00001*")</f>
        <v>0</v>
      </c>
      <c r="H2706" s="83">
        <f t="shared" si="42"/>
        <v>12000</v>
      </c>
      <c r="I2706" s="83"/>
      <c r="K2706" s="54" t="s">
        <v>15</v>
      </c>
    </row>
    <row r="2707" spans="2:11" ht="24.75" x14ac:dyDescent="0.2">
      <c r="B2707" s="82" t="s">
        <v>4999</v>
      </c>
      <c r="C2707" s="82" t="s">
        <v>4776</v>
      </c>
      <c r="D2707" s="83">
        <f>SUMIFS(D2708:D6462,K2708:K6462,"0",B2708:B6462,"5 1 1 3 4 12 31111 6 M59 61000 000132 0000R 00001 00134*")-SUMIFS(E2708:E6462,K2708:K6462,"0",B2708:B6462,"5 1 1 3 4 12 31111 6 M59 61000 000132 0000R 00001 00134*")</f>
        <v>0</v>
      </c>
      <c r="E2707" s="54"/>
      <c r="F2707" s="83">
        <f>SUMIFS(F2708:F6462,K2708:K6462,"0",B2708:B6462,"5 1 1 3 4 12 31111 6 M59 61000 000132 0000R 00001 00134*")</f>
        <v>12000</v>
      </c>
      <c r="G2707" s="83">
        <f>SUMIFS(G2708:G6462,K2708:K6462,"0",B2708:B6462,"5 1 1 3 4 12 31111 6 M59 61000 000132 0000R 00001 00134*")</f>
        <v>0</v>
      </c>
      <c r="H2707" s="83">
        <f t="shared" si="42"/>
        <v>12000</v>
      </c>
      <c r="I2707" s="83"/>
      <c r="K2707" s="54" t="s">
        <v>15</v>
      </c>
    </row>
    <row r="2708" spans="2:11" ht="33" x14ac:dyDescent="0.2">
      <c r="B2708" s="82" t="s">
        <v>5000</v>
      </c>
      <c r="C2708" s="82" t="s">
        <v>1051</v>
      </c>
      <c r="D2708" s="83">
        <f>SUMIFS(D2709:D6462,K2709:K6462,"0",B2709:B6462,"5 1 1 3 4 12 31111 6 M59 61000 000132 0000R 00001 00134 015*")-SUMIFS(E2709:E6462,K2709:K6462,"0",B2709:B6462,"5 1 1 3 4 12 31111 6 M59 61000 000132 0000R 00001 00134 015*")</f>
        <v>0</v>
      </c>
      <c r="E2708" s="54"/>
      <c r="F2708" s="83">
        <f>SUMIFS(F2709:F6462,K2709:K6462,"0",B2709:B6462,"5 1 1 3 4 12 31111 6 M59 61000 000132 0000R 00001 00134 015*")</f>
        <v>12000</v>
      </c>
      <c r="G2708" s="83">
        <f>SUMIFS(G2709:G6462,K2709:K6462,"0",B2709:B6462,"5 1 1 3 4 12 31111 6 M59 61000 000132 0000R 00001 00134 015*")</f>
        <v>0</v>
      </c>
      <c r="H2708" s="83">
        <f t="shared" si="42"/>
        <v>12000</v>
      </c>
      <c r="I2708" s="83"/>
      <c r="K2708" s="54" t="s">
        <v>15</v>
      </c>
    </row>
    <row r="2709" spans="2:11" ht="33" x14ac:dyDescent="0.2">
      <c r="B2709" s="82" t="s">
        <v>5001</v>
      </c>
      <c r="C2709" s="82" t="s">
        <v>2927</v>
      </c>
      <c r="D2709" s="83">
        <f>SUMIFS(D2710:D6462,K2710:K6462,"0",B2710:B6462,"5 1 1 3 4 12 31111 6 M59 61000 000132 0000R 00001 00134 015 2111100*")-SUMIFS(E2710:E6462,K2710:K6462,"0",B2710:B6462,"5 1 1 3 4 12 31111 6 M59 61000 000132 0000R 00001 00134 015 2111100*")</f>
        <v>0</v>
      </c>
      <c r="E2709" s="54"/>
      <c r="F2709" s="83">
        <f>SUMIFS(F2710:F6462,K2710:K6462,"0",B2710:B6462,"5 1 1 3 4 12 31111 6 M59 61000 000132 0000R 00001 00134 015 2111100*")</f>
        <v>12000</v>
      </c>
      <c r="G2709" s="83">
        <f>SUMIFS(G2710:G6462,K2710:K6462,"0",B2710:B6462,"5 1 1 3 4 12 31111 6 M59 61000 000132 0000R 00001 00134 015 2111100*")</f>
        <v>0</v>
      </c>
      <c r="H2709" s="83">
        <f t="shared" si="42"/>
        <v>12000</v>
      </c>
      <c r="I2709" s="83"/>
      <c r="K2709" s="54" t="s">
        <v>15</v>
      </c>
    </row>
    <row r="2710" spans="2:11" ht="33" x14ac:dyDescent="0.2">
      <c r="B2710" s="82" t="s">
        <v>5002</v>
      </c>
      <c r="C2710" s="82" t="s">
        <v>660</v>
      </c>
      <c r="D2710" s="83">
        <f>SUMIFS(D2711:D6462,K2711:K6462,"0",B2711:B6462,"5 1 1 3 4 12 31111 6 M59 61000 000132 0000R 00001 00134 015 2111100 2024*")-SUMIFS(E2711:E6462,K2711:K6462,"0",B2711:B6462,"5 1 1 3 4 12 31111 6 M59 61000 000132 0000R 00001 00134 015 2111100 2024*")</f>
        <v>0</v>
      </c>
      <c r="E2710" s="54"/>
      <c r="F2710" s="83">
        <f>SUMIFS(F2711:F6462,K2711:K6462,"0",B2711:B6462,"5 1 1 3 4 12 31111 6 M59 61000 000132 0000R 00001 00134 015 2111100 2024*")</f>
        <v>12000</v>
      </c>
      <c r="G2710" s="83">
        <f>SUMIFS(G2711:G6462,K2711:K6462,"0",B2711:B6462,"5 1 1 3 4 12 31111 6 M59 61000 000132 0000R 00001 00134 015 2111100 2024*")</f>
        <v>0</v>
      </c>
      <c r="H2710" s="83">
        <f t="shared" si="42"/>
        <v>12000</v>
      </c>
      <c r="I2710" s="83"/>
      <c r="K2710" s="54" t="s">
        <v>15</v>
      </c>
    </row>
    <row r="2711" spans="2:11" ht="41.25" x14ac:dyDescent="0.2">
      <c r="B2711" s="82" t="s">
        <v>5003</v>
      </c>
      <c r="C2711" s="82" t="s">
        <v>1056</v>
      </c>
      <c r="D2711" s="83">
        <f>SUMIFS(D2712:D6462,K2712:K6462,"0",B2712:B6462,"5 1 1 3 4 12 31111 6 M59 61000 000132 0000R 00001 00134 015 2111100 2024 CP1MI406*")-SUMIFS(E2712:E6462,K2712:K6462,"0",B2712:B6462,"5 1 1 3 4 12 31111 6 M59 61000 000132 0000R 00001 00134 015 2111100 2024 CP1MI406*")</f>
        <v>0</v>
      </c>
      <c r="E2711" s="54"/>
      <c r="F2711" s="83">
        <f>SUMIFS(F2712:F6462,K2712:K6462,"0",B2712:B6462,"5 1 1 3 4 12 31111 6 M59 61000 000132 0000R 00001 00134 015 2111100 2024 CP1MI406*")</f>
        <v>12000</v>
      </c>
      <c r="G2711" s="83">
        <f>SUMIFS(G2712:G6462,K2712:K6462,"0",B2712:B6462,"5 1 1 3 4 12 31111 6 M59 61000 000132 0000R 00001 00134 015 2111100 2024 CP1MI406*")</f>
        <v>0</v>
      </c>
      <c r="H2711" s="83">
        <f t="shared" si="42"/>
        <v>12000</v>
      </c>
      <c r="I2711" s="83"/>
      <c r="K2711" s="54" t="s">
        <v>15</v>
      </c>
    </row>
    <row r="2712" spans="2:11" ht="41.25" x14ac:dyDescent="0.2">
      <c r="B2712" s="82" t="s">
        <v>5004</v>
      </c>
      <c r="C2712" s="82" t="s">
        <v>282</v>
      </c>
      <c r="D2712" s="83">
        <f>SUMIFS(D2713:D6462,K2713:K6462,"0",B2713:B6462,"5 1 1 3 4 12 31111 6 M59 61000 000132 0000R 00001 00134 015 2111100 2024 CP1MI406 001*")-SUMIFS(E2713:E6462,K2713:K6462,"0",B2713:B6462,"5 1 1 3 4 12 31111 6 M59 61000 000132 0000R 00001 00134 015 2111100 2024 CP1MI406 001*")</f>
        <v>0</v>
      </c>
      <c r="E2712" s="54"/>
      <c r="F2712" s="83">
        <f>SUMIFS(F2713:F6462,K2713:K6462,"0",B2713:B6462,"5 1 1 3 4 12 31111 6 M59 61000 000132 0000R 00001 00134 015 2111100 2024 CP1MI406 001*")</f>
        <v>12000</v>
      </c>
      <c r="G2712" s="83">
        <f>SUMIFS(G2713:G6462,K2713:K6462,"0",B2713:B6462,"5 1 1 3 4 12 31111 6 M59 61000 000132 0000R 00001 00134 015 2111100 2024 CP1MI406 001*")</f>
        <v>0</v>
      </c>
      <c r="H2712" s="83">
        <f t="shared" si="42"/>
        <v>12000</v>
      </c>
      <c r="I2712" s="83"/>
      <c r="K2712" s="54" t="s">
        <v>15</v>
      </c>
    </row>
    <row r="2713" spans="2:11" ht="33" x14ac:dyDescent="0.2">
      <c r="B2713" s="84" t="s">
        <v>5005</v>
      </c>
      <c r="C2713" s="84" t="s">
        <v>4840</v>
      </c>
      <c r="D2713" s="85">
        <v>0</v>
      </c>
      <c r="E2713" s="85"/>
      <c r="F2713" s="85">
        <v>12000</v>
      </c>
      <c r="G2713" s="85">
        <v>0</v>
      </c>
      <c r="H2713" s="85">
        <f t="shared" si="42"/>
        <v>12000</v>
      </c>
      <c r="I2713" s="85"/>
      <c r="K2713" s="54" t="s">
        <v>38</v>
      </c>
    </row>
    <row r="2714" spans="2:11" ht="16.5" x14ac:dyDescent="0.2">
      <c r="B2714" s="82" t="s">
        <v>5006</v>
      </c>
      <c r="C2714" s="82" t="s">
        <v>3425</v>
      </c>
      <c r="D2714" s="83">
        <f>SUMIFS(D2715:D6462,K2715:K6462,"0",B2715:B6462,"5 1 1 3 4 12 31111 6 M59 70400*")-SUMIFS(E2715:E6462,K2715:K6462,"0",B2715:B6462,"5 1 1 3 4 12 31111 6 M59 70400*")</f>
        <v>0</v>
      </c>
      <c r="E2714" s="54"/>
      <c r="F2714" s="83">
        <f>SUMIFS(F2715:F6462,K2715:K6462,"0",B2715:B6462,"5 1 1 3 4 12 31111 6 M59 70400*")</f>
        <v>3000</v>
      </c>
      <c r="G2714" s="83">
        <f>SUMIFS(G2715:G6462,K2715:K6462,"0",B2715:B6462,"5 1 1 3 4 12 31111 6 M59 70400*")</f>
        <v>0</v>
      </c>
      <c r="H2714" s="83">
        <f t="shared" si="42"/>
        <v>3000</v>
      </c>
      <c r="I2714" s="83"/>
      <c r="K2714" s="54" t="s">
        <v>15</v>
      </c>
    </row>
    <row r="2715" spans="2:11" ht="16.5" x14ac:dyDescent="0.2">
      <c r="B2715" s="82" t="s">
        <v>5007</v>
      </c>
      <c r="C2715" s="82" t="s">
        <v>3427</v>
      </c>
      <c r="D2715" s="83">
        <f>SUMIFS(D2716:D6462,K2716:K6462,"0",B2716:B6462,"5 1 1 3 4 12 31111 6 M59 70400 000241*")-SUMIFS(E2716:E6462,K2716:K6462,"0",B2716:B6462,"5 1 1 3 4 12 31111 6 M59 70400 000241*")</f>
        <v>0</v>
      </c>
      <c r="E2715" s="54"/>
      <c r="F2715" s="83">
        <f>SUMIFS(F2716:F6462,K2716:K6462,"0",B2716:B6462,"5 1 1 3 4 12 31111 6 M59 70400 000241*")</f>
        <v>3000</v>
      </c>
      <c r="G2715" s="83">
        <f>SUMIFS(G2716:G6462,K2716:K6462,"0",B2716:B6462,"5 1 1 3 4 12 31111 6 M59 70400 000241*")</f>
        <v>0</v>
      </c>
      <c r="H2715" s="83">
        <f t="shared" si="42"/>
        <v>3000</v>
      </c>
      <c r="I2715" s="83"/>
      <c r="K2715" s="54" t="s">
        <v>15</v>
      </c>
    </row>
    <row r="2716" spans="2:11" ht="24.75" x14ac:dyDescent="0.2">
      <c r="B2716" s="82" t="s">
        <v>5008</v>
      </c>
      <c r="C2716" s="82" t="s">
        <v>650</v>
      </c>
      <c r="D2716" s="83">
        <f>SUMIFS(D2717:D6462,K2717:K6462,"0",B2717:B6462,"5 1 1 3 4 12 31111 6 M59 70400 000241 0000R*")-SUMIFS(E2717:E6462,K2717:K6462,"0",B2717:B6462,"5 1 1 3 4 12 31111 6 M59 70400 000241 0000R*")</f>
        <v>0</v>
      </c>
      <c r="E2716" s="54"/>
      <c r="F2716" s="83">
        <f>SUMIFS(F2717:F6462,K2717:K6462,"0",B2717:B6462,"5 1 1 3 4 12 31111 6 M59 70400 000241 0000R*")</f>
        <v>3000</v>
      </c>
      <c r="G2716" s="83">
        <f>SUMIFS(G2717:G6462,K2717:K6462,"0",B2717:B6462,"5 1 1 3 4 12 31111 6 M59 70400 000241 0000R*")</f>
        <v>0</v>
      </c>
      <c r="H2716" s="83">
        <f t="shared" si="42"/>
        <v>3000</v>
      </c>
      <c r="I2716" s="83"/>
      <c r="K2716" s="54" t="s">
        <v>15</v>
      </c>
    </row>
    <row r="2717" spans="2:11" ht="24.75" x14ac:dyDescent="0.2">
      <c r="B2717" s="82" t="s">
        <v>5009</v>
      </c>
      <c r="C2717" s="82" t="s">
        <v>282</v>
      </c>
      <c r="D2717" s="83">
        <f>SUMIFS(D2718:D6462,K2718:K6462,"0",B2718:B6462,"5 1 1 3 4 12 31111 6 M59 70400 000241 0000R 00001*")-SUMIFS(E2718:E6462,K2718:K6462,"0",B2718:B6462,"5 1 1 3 4 12 31111 6 M59 70400 000241 0000R 00001*")</f>
        <v>0</v>
      </c>
      <c r="E2717" s="54"/>
      <c r="F2717" s="83">
        <f>SUMIFS(F2718:F6462,K2718:K6462,"0",B2718:B6462,"5 1 1 3 4 12 31111 6 M59 70400 000241 0000R 00001*")</f>
        <v>3000</v>
      </c>
      <c r="G2717" s="83">
        <f>SUMIFS(G2718:G6462,K2718:K6462,"0",B2718:B6462,"5 1 1 3 4 12 31111 6 M59 70400 000241 0000R 00001*")</f>
        <v>0</v>
      </c>
      <c r="H2717" s="83">
        <f t="shared" si="42"/>
        <v>3000</v>
      </c>
      <c r="I2717" s="83"/>
      <c r="K2717" s="54" t="s">
        <v>15</v>
      </c>
    </row>
    <row r="2718" spans="2:11" ht="24.75" x14ac:dyDescent="0.2">
      <c r="B2718" s="82" t="s">
        <v>5010</v>
      </c>
      <c r="C2718" s="82" t="s">
        <v>4776</v>
      </c>
      <c r="D2718" s="83">
        <f>SUMIFS(D2719:D6462,K2719:K6462,"0",B2719:B6462,"5 1 1 3 4 12 31111 6 M59 70400 000241 0000R 00001 00134*")-SUMIFS(E2719:E6462,K2719:K6462,"0",B2719:B6462,"5 1 1 3 4 12 31111 6 M59 70400 000241 0000R 00001 00134*")</f>
        <v>0</v>
      </c>
      <c r="E2718" s="54"/>
      <c r="F2718" s="83">
        <f>SUMIFS(F2719:F6462,K2719:K6462,"0",B2719:B6462,"5 1 1 3 4 12 31111 6 M59 70400 000241 0000R 00001 00134*")</f>
        <v>3000</v>
      </c>
      <c r="G2718" s="83">
        <f>SUMIFS(G2719:G6462,K2719:K6462,"0",B2719:B6462,"5 1 1 3 4 12 31111 6 M59 70400 000241 0000R 00001 00134*")</f>
        <v>0</v>
      </c>
      <c r="H2718" s="83">
        <f t="shared" si="42"/>
        <v>3000</v>
      </c>
      <c r="I2718" s="83"/>
      <c r="K2718" s="54" t="s">
        <v>15</v>
      </c>
    </row>
    <row r="2719" spans="2:11" ht="33" x14ac:dyDescent="0.2">
      <c r="B2719" s="82" t="s">
        <v>5011</v>
      </c>
      <c r="C2719" s="82" t="s">
        <v>1051</v>
      </c>
      <c r="D2719" s="83">
        <f>SUMIFS(D2720:D6462,K2720:K6462,"0",B2720:B6462,"5 1 1 3 4 12 31111 6 M59 70400 000241 0000R 00001 00134 015*")-SUMIFS(E2720:E6462,K2720:K6462,"0",B2720:B6462,"5 1 1 3 4 12 31111 6 M59 70400 000241 0000R 00001 00134 015*")</f>
        <v>0</v>
      </c>
      <c r="E2719" s="54"/>
      <c r="F2719" s="83">
        <f>SUMIFS(F2720:F6462,K2720:K6462,"0",B2720:B6462,"5 1 1 3 4 12 31111 6 M59 70400 000241 0000R 00001 00134 015*")</f>
        <v>3000</v>
      </c>
      <c r="G2719" s="83">
        <f>SUMIFS(G2720:G6462,K2720:K6462,"0",B2720:B6462,"5 1 1 3 4 12 31111 6 M59 70400 000241 0000R 00001 00134 015*")</f>
        <v>0</v>
      </c>
      <c r="H2719" s="83">
        <f t="shared" si="42"/>
        <v>3000</v>
      </c>
      <c r="I2719" s="83"/>
      <c r="K2719" s="54" t="s">
        <v>15</v>
      </c>
    </row>
    <row r="2720" spans="2:11" ht="33" x14ac:dyDescent="0.2">
      <c r="B2720" s="82" t="s">
        <v>5012</v>
      </c>
      <c r="C2720" s="82" t="s">
        <v>2927</v>
      </c>
      <c r="D2720" s="83">
        <f>SUMIFS(D2721:D6462,K2721:K6462,"0",B2721:B6462,"5 1 1 3 4 12 31111 6 M59 70400 000241 0000R 00001 00134 015 2111100*")-SUMIFS(E2721:E6462,K2721:K6462,"0",B2721:B6462,"5 1 1 3 4 12 31111 6 M59 70400 000241 0000R 00001 00134 015 2111100*")</f>
        <v>0</v>
      </c>
      <c r="E2720" s="54"/>
      <c r="F2720" s="83">
        <f>SUMIFS(F2721:F6462,K2721:K6462,"0",B2721:B6462,"5 1 1 3 4 12 31111 6 M59 70400 000241 0000R 00001 00134 015 2111100*")</f>
        <v>3000</v>
      </c>
      <c r="G2720" s="83">
        <f>SUMIFS(G2721:G6462,K2721:K6462,"0",B2721:B6462,"5 1 1 3 4 12 31111 6 M59 70400 000241 0000R 00001 00134 015 2111100*")</f>
        <v>0</v>
      </c>
      <c r="H2720" s="83">
        <f t="shared" si="42"/>
        <v>3000</v>
      </c>
      <c r="I2720" s="83"/>
      <c r="K2720" s="54" t="s">
        <v>15</v>
      </c>
    </row>
    <row r="2721" spans="2:11" ht="33" x14ac:dyDescent="0.2">
      <c r="B2721" s="82" t="s">
        <v>5013</v>
      </c>
      <c r="C2721" s="82" t="s">
        <v>660</v>
      </c>
      <c r="D2721" s="83">
        <f>SUMIFS(D2722:D6462,K2722:K6462,"0",B2722:B6462,"5 1 1 3 4 12 31111 6 M59 70400 000241 0000R 00001 00134 015 2111100 2024*")-SUMIFS(E2722:E6462,K2722:K6462,"0",B2722:B6462,"5 1 1 3 4 12 31111 6 M59 70400 000241 0000R 00001 00134 015 2111100 2024*")</f>
        <v>0</v>
      </c>
      <c r="E2721" s="54"/>
      <c r="F2721" s="83">
        <f>SUMIFS(F2722:F6462,K2722:K6462,"0",B2722:B6462,"5 1 1 3 4 12 31111 6 M59 70400 000241 0000R 00001 00134 015 2111100 2024*")</f>
        <v>3000</v>
      </c>
      <c r="G2721" s="83">
        <f>SUMIFS(G2722:G6462,K2722:K6462,"0",B2722:B6462,"5 1 1 3 4 12 31111 6 M59 70400 000241 0000R 00001 00134 015 2111100 2024*")</f>
        <v>0</v>
      </c>
      <c r="H2721" s="83">
        <f t="shared" si="42"/>
        <v>3000</v>
      </c>
      <c r="I2721" s="83"/>
      <c r="K2721" s="54" t="s">
        <v>15</v>
      </c>
    </row>
    <row r="2722" spans="2:11" ht="41.25" x14ac:dyDescent="0.2">
      <c r="B2722" s="82" t="s">
        <v>5014</v>
      </c>
      <c r="C2722" s="82" t="s">
        <v>662</v>
      </c>
      <c r="D2722" s="83">
        <f>SUMIFS(D2723:D6462,K2723:K6462,"0",B2723:B6462,"5 1 1 3 4 12 31111 6 M59 70400 000241 0000R 00001 00134 015 2111100 2024 CP1DD418*")-SUMIFS(E2723:E6462,K2723:K6462,"0",B2723:B6462,"5 1 1 3 4 12 31111 6 M59 70400 000241 0000R 00001 00134 015 2111100 2024 CP1DD418*")</f>
        <v>0</v>
      </c>
      <c r="E2722" s="54"/>
      <c r="F2722" s="83">
        <f>SUMIFS(F2723:F6462,K2723:K6462,"0",B2723:B6462,"5 1 1 3 4 12 31111 6 M59 70400 000241 0000R 00001 00134 015 2111100 2024 CP1DD418*")</f>
        <v>3000</v>
      </c>
      <c r="G2722" s="83">
        <f>SUMIFS(G2723:G6462,K2723:K6462,"0",B2723:B6462,"5 1 1 3 4 12 31111 6 M59 70400 000241 0000R 00001 00134 015 2111100 2024 CP1DD418*")</f>
        <v>0</v>
      </c>
      <c r="H2722" s="83">
        <f t="shared" si="42"/>
        <v>3000</v>
      </c>
      <c r="I2722" s="83"/>
      <c r="K2722" s="54" t="s">
        <v>15</v>
      </c>
    </row>
    <row r="2723" spans="2:11" ht="41.25" x14ac:dyDescent="0.2">
      <c r="B2723" s="82" t="s">
        <v>5015</v>
      </c>
      <c r="C2723" s="82" t="s">
        <v>282</v>
      </c>
      <c r="D2723" s="83">
        <f>SUMIFS(D2724:D6462,K2724:K6462,"0",B2724:B6462,"5 1 1 3 4 12 31111 6 M59 70400 000241 0000R 00001 00134 015 2111100 2024 CP1DD418 001*")-SUMIFS(E2724:E6462,K2724:K6462,"0",B2724:B6462,"5 1 1 3 4 12 31111 6 M59 70400 000241 0000R 00001 00134 015 2111100 2024 CP1DD418 001*")</f>
        <v>0</v>
      </c>
      <c r="E2723" s="54"/>
      <c r="F2723" s="83">
        <f>SUMIFS(F2724:F6462,K2724:K6462,"0",B2724:B6462,"5 1 1 3 4 12 31111 6 M59 70400 000241 0000R 00001 00134 015 2111100 2024 CP1DD418 001*")</f>
        <v>3000</v>
      </c>
      <c r="G2723" s="83">
        <f>SUMIFS(G2724:G6462,K2724:K6462,"0",B2724:B6462,"5 1 1 3 4 12 31111 6 M59 70400 000241 0000R 00001 00134 015 2111100 2024 CP1DD418 001*")</f>
        <v>0</v>
      </c>
      <c r="H2723" s="83">
        <f t="shared" si="42"/>
        <v>3000</v>
      </c>
      <c r="I2723" s="83"/>
      <c r="K2723" s="54" t="s">
        <v>15</v>
      </c>
    </row>
    <row r="2724" spans="2:11" ht="33" x14ac:dyDescent="0.2">
      <c r="B2724" s="84" t="s">
        <v>5016</v>
      </c>
      <c r="C2724" s="84" t="s">
        <v>4840</v>
      </c>
      <c r="D2724" s="85">
        <v>0</v>
      </c>
      <c r="E2724" s="85"/>
      <c r="F2724" s="85">
        <v>3000</v>
      </c>
      <c r="G2724" s="85">
        <v>0</v>
      </c>
      <c r="H2724" s="85">
        <f t="shared" si="42"/>
        <v>3000</v>
      </c>
      <c r="I2724" s="85"/>
      <c r="K2724" s="54" t="s">
        <v>38</v>
      </c>
    </row>
    <row r="2725" spans="2:11" ht="16.5" x14ac:dyDescent="0.2">
      <c r="B2725" s="82" t="s">
        <v>5017</v>
      </c>
      <c r="C2725" s="82" t="s">
        <v>3438</v>
      </c>
      <c r="D2725" s="83">
        <f>SUMIFS(D2726:D6462,K2726:K6462,"0",B2726:B6462,"5 1 1 3 4 12 31111 6 M59 70500*")-SUMIFS(E2726:E6462,K2726:K6462,"0",B2726:B6462,"5 1 1 3 4 12 31111 6 M59 70500*")</f>
        <v>0</v>
      </c>
      <c r="E2725" s="54"/>
      <c r="F2725" s="83">
        <f>SUMIFS(F2726:F6462,K2726:K6462,"0",B2726:B6462,"5 1 1 3 4 12 31111 6 M59 70500*")</f>
        <v>18000</v>
      </c>
      <c r="G2725" s="83">
        <f>SUMIFS(G2726:G6462,K2726:K6462,"0",B2726:B6462,"5 1 1 3 4 12 31111 6 M59 70500*")</f>
        <v>0</v>
      </c>
      <c r="H2725" s="83">
        <f t="shared" si="42"/>
        <v>18000</v>
      </c>
      <c r="I2725" s="83"/>
      <c r="K2725" s="54" t="s">
        <v>15</v>
      </c>
    </row>
    <row r="2726" spans="2:11" ht="16.5" x14ac:dyDescent="0.2">
      <c r="B2726" s="82" t="s">
        <v>5018</v>
      </c>
      <c r="C2726" s="82" t="s">
        <v>648</v>
      </c>
      <c r="D2726" s="83">
        <f>SUMIFS(D2727:D6462,K2727:K6462,"0",B2727:B6462,"5 1 1 3 4 12 31111 6 M59 70500 000132*")-SUMIFS(E2727:E6462,K2727:K6462,"0",B2727:B6462,"5 1 1 3 4 12 31111 6 M59 70500 000132*")</f>
        <v>0</v>
      </c>
      <c r="E2726" s="54"/>
      <c r="F2726" s="83">
        <f>SUMIFS(F2727:F6462,K2727:K6462,"0",B2727:B6462,"5 1 1 3 4 12 31111 6 M59 70500 000132*")</f>
        <v>18000</v>
      </c>
      <c r="G2726" s="83">
        <f>SUMIFS(G2727:G6462,K2727:K6462,"0",B2727:B6462,"5 1 1 3 4 12 31111 6 M59 70500 000132*")</f>
        <v>0</v>
      </c>
      <c r="H2726" s="83">
        <f t="shared" si="42"/>
        <v>18000</v>
      </c>
      <c r="I2726" s="83"/>
      <c r="K2726" s="54" t="s">
        <v>15</v>
      </c>
    </row>
    <row r="2727" spans="2:11" ht="24.75" x14ac:dyDescent="0.2">
      <c r="B2727" s="82" t="s">
        <v>5019</v>
      </c>
      <c r="C2727" s="82" t="s">
        <v>650</v>
      </c>
      <c r="D2727" s="83">
        <f>SUMIFS(D2728:D6462,K2728:K6462,"0",B2728:B6462,"5 1 1 3 4 12 31111 6 M59 70500 000132 0000R*")-SUMIFS(E2728:E6462,K2728:K6462,"0",B2728:B6462,"5 1 1 3 4 12 31111 6 M59 70500 000132 0000R*")</f>
        <v>0</v>
      </c>
      <c r="E2727" s="54"/>
      <c r="F2727" s="83">
        <f>SUMIFS(F2728:F6462,K2728:K6462,"0",B2728:B6462,"5 1 1 3 4 12 31111 6 M59 70500 000132 0000R*")</f>
        <v>18000</v>
      </c>
      <c r="G2727" s="83">
        <f>SUMIFS(G2728:G6462,K2728:K6462,"0",B2728:B6462,"5 1 1 3 4 12 31111 6 M59 70500 000132 0000R*")</f>
        <v>0</v>
      </c>
      <c r="H2727" s="83">
        <f t="shared" si="42"/>
        <v>18000</v>
      </c>
      <c r="I2727" s="83"/>
      <c r="K2727" s="54" t="s">
        <v>15</v>
      </c>
    </row>
    <row r="2728" spans="2:11" ht="24.75" x14ac:dyDescent="0.2">
      <c r="B2728" s="82" t="s">
        <v>5020</v>
      </c>
      <c r="C2728" s="82" t="s">
        <v>282</v>
      </c>
      <c r="D2728" s="83">
        <f>SUMIFS(D2729:D6462,K2729:K6462,"0",B2729:B6462,"5 1 1 3 4 12 31111 6 M59 70500 000132 0000R 00001*")-SUMIFS(E2729:E6462,K2729:K6462,"0",B2729:B6462,"5 1 1 3 4 12 31111 6 M59 70500 000132 0000R 00001*")</f>
        <v>0</v>
      </c>
      <c r="E2728" s="54"/>
      <c r="F2728" s="83">
        <f>SUMIFS(F2729:F6462,K2729:K6462,"0",B2729:B6462,"5 1 1 3 4 12 31111 6 M59 70500 000132 0000R 00001*")</f>
        <v>18000</v>
      </c>
      <c r="G2728" s="83">
        <f>SUMIFS(G2729:G6462,K2729:K6462,"0",B2729:B6462,"5 1 1 3 4 12 31111 6 M59 70500 000132 0000R 00001*")</f>
        <v>0</v>
      </c>
      <c r="H2728" s="83">
        <f t="shared" si="42"/>
        <v>18000</v>
      </c>
      <c r="I2728" s="83"/>
      <c r="K2728" s="54" t="s">
        <v>15</v>
      </c>
    </row>
    <row r="2729" spans="2:11" ht="24.75" x14ac:dyDescent="0.2">
      <c r="B2729" s="82" t="s">
        <v>5021</v>
      </c>
      <c r="C2729" s="82" t="s">
        <v>4776</v>
      </c>
      <c r="D2729" s="83">
        <f>SUMIFS(D2730:D6462,K2730:K6462,"0",B2730:B6462,"5 1 1 3 4 12 31111 6 M59 70500 000132 0000R 00001 00134*")-SUMIFS(E2730:E6462,K2730:K6462,"0",B2730:B6462,"5 1 1 3 4 12 31111 6 M59 70500 000132 0000R 00001 00134*")</f>
        <v>0</v>
      </c>
      <c r="E2729" s="54"/>
      <c r="F2729" s="83">
        <f>SUMIFS(F2730:F6462,K2730:K6462,"0",B2730:B6462,"5 1 1 3 4 12 31111 6 M59 70500 000132 0000R 00001 00134*")</f>
        <v>18000</v>
      </c>
      <c r="G2729" s="83">
        <f>SUMIFS(G2730:G6462,K2730:K6462,"0",B2730:B6462,"5 1 1 3 4 12 31111 6 M59 70500 000132 0000R 00001 00134*")</f>
        <v>0</v>
      </c>
      <c r="H2729" s="83">
        <f t="shared" si="42"/>
        <v>18000</v>
      </c>
      <c r="I2729" s="83"/>
      <c r="K2729" s="54" t="s">
        <v>15</v>
      </c>
    </row>
    <row r="2730" spans="2:11" ht="33" x14ac:dyDescent="0.2">
      <c r="B2730" s="82" t="s">
        <v>5022</v>
      </c>
      <c r="C2730" s="82" t="s">
        <v>1051</v>
      </c>
      <c r="D2730" s="83">
        <f>SUMIFS(D2731:D6462,K2731:K6462,"0",B2731:B6462,"5 1 1 3 4 12 31111 6 M59 70500 000132 0000R 00001 00134 015*")-SUMIFS(E2731:E6462,K2731:K6462,"0",B2731:B6462,"5 1 1 3 4 12 31111 6 M59 70500 000132 0000R 00001 00134 015*")</f>
        <v>0</v>
      </c>
      <c r="E2730" s="54"/>
      <c r="F2730" s="83">
        <f>SUMIFS(F2731:F6462,K2731:K6462,"0",B2731:B6462,"5 1 1 3 4 12 31111 6 M59 70500 000132 0000R 00001 00134 015*")</f>
        <v>18000</v>
      </c>
      <c r="G2730" s="83">
        <f>SUMIFS(G2731:G6462,K2731:K6462,"0",B2731:B6462,"5 1 1 3 4 12 31111 6 M59 70500 000132 0000R 00001 00134 015*")</f>
        <v>0</v>
      </c>
      <c r="H2730" s="83">
        <f t="shared" si="42"/>
        <v>18000</v>
      </c>
      <c r="I2730" s="83"/>
      <c r="K2730" s="54" t="s">
        <v>15</v>
      </c>
    </row>
    <row r="2731" spans="2:11" ht="33" x14ac:dyDescent="0.2">
      <c r="B2731" s="82" t="s">
        <v>5023</v>
      </c>
      <c r="C2731" s="82" t="s">
        <v>2927</v>
      </c>
      <c r="D2731" s="83">
        <f>SUMIFS(D2732:D6462,K2732:K6462,"0",B2732:B6462,"5 1 1 3 4 12 31111 6 M59 70500 000132 0000R 00001 00134 015 2111100*")-SUMIFS(E2732:E6462,K2732:K6462,"0",B2732:B6462,"5 1 1 3 4 12 31111 6 M59 70500 000132 0000R 00001 00134 015 2111100*")</f>
        <v>0</v>
      </c>
      <c r="E2731" s="54"/>
      <c r="F2731" s="83">
        <f>SUMIFS(F2732:F6462,K2732:K6462,"0",B2732:B6462,"5 1 1 3 4 12 31111 6 M59 70500 000132 0000R 00001 00134 015 2111100*")</f>
        <v>18000</v>
      </c>
      <c r="G2731" s="83">
        <f>SUMIFS(G2732:G6462,K2732:K6462,"0",B2732:B6462,"5 1 1 3 4 12 31111 6 M59 70500 000132 0000R 00001 00134 015 2111100*")</f>
        <v>0</v>
      </c>
      <c r="H2731" s="83">
        <f t="shared" ref="H2731:H2794" si="43">D2731 + F2731 - G2731</f>
        <v>18000</v>
      </c>
      <c r="I2731" s="83"/>
      <c r="K2731" s="54" t="s">
        <v>15</v>
      </c>
    </row>
    <row r="2732" spans="2:11" ht="33" x14ac:dyDescent="0.2">
      <c r="B2732" s="82" t="s">
        <v>5024</v>
      </c>
      <c r="C2732" s="82" t="s">
        <v>660</v>
      </c>
      <c r="D2732" s="83">
        <f>SUMIFS(D2733:D6462,K2733:K6462,"0",B2733:B6462,"5 1 1 3 4 12 31111 6 M59 70500 000132 0000R 00001 00134 015 2111100 2024*")-SUMIFS(E2733:E6462,K2733:K6462,"0",B2733:B6462,"5 1 1 3 4 12 31111 6 M59 70500 000132 0000R 00001 00134 015 2111100 2024*")</f>
        <v>0</v>
      </c>
      <c r="E2732" s="54"/>
      <c r="F2732" s="83">
        <f>SUMIFS(F2733:F6462,K2733:K6462,"0",B2733:B6462,"5 1 1 3 4 12 31111 6 M59 70500 000132 0000R 00001 00134 015 2111100 2024*")</f>
        <v>18000</v>
      </c>
      <c r="G2732" s="83">
        <f>SUMIFS(G2733:G6462,K2733:K6462,"0",B2733:B6462,"5 1 1 3 4 12 31111 6 M59 70500 000132 0000R 00001 00134 015 2111100 2024*")</f>
        <v>0</v>
      </c>
      <c r="H2732" s="83">
        <f t="shared" si="43"/>
        <v>18000</v>
      </c>
      <c r="I2732" s="83"/>
      <c r="K2732" s="54" t="s">
        <v>15</v>
      </c>
    </row>
    <row r="2733" spans="2:11" ht="41.25" x14ac:dyDescent="0.2">
      <c r="B2733" s="82" t="s">
        <v>5025</v>
      </c>
      <c r="C2733" s="82" t="s">
        <v>1056</v>
      </c>
      <c r="D2733" s="83">
        <f>SUMIFS(D2734:D6462,K2734:K6462,"0",B2734:B6462,"5 1 1 3 4 12 31111 6 M59 70500 000132 0000R 00001 00134 015 2111100 2024 CP1DT395*")-SUMIFS(E2734:E6462,K2734:K6462,"0",B2734:B6462,"5 1 1 3 4 12 31111 6 M59 70500 000132 0000R 00001 00134 015 2111100 2024 CP1DT395*")</f>
        <v>0</v>
      </c>
      <c r="E2733" s="54"/>
      <c r="F2733" s="83">
        <f>SUMIFS(F2734:F6462,K2734:K6462,"0",B2734:B6462,"5 1 1 3 4 12 31111 6 M59 70500 000132 0000R 00001 00134 015 2111100 2024 CP1DT395*")</f>
        <v>18000</v>
      </c>
      <c r="G2733" s="83">
        <f>SUMIFS(G2734:G6462,K2734:K6462,"0",B2734:B6462,"5 1 1 3 4 12 31111 6 M59 70500 000132 0000R 00001 00134 015 2111100 2024 CP1DT395*")</f>
        <v>0</v>
      </c>
      <c r="H2733" s="83">
        <f t="shared" si="43"/>
        <v>18000</v>
      </c>
      <c r="I2733" s="83"/>
      <c r="K2733" s="54" t="s">
        <v>15</v>
      </c>
    </row>
    <row r="2734" spans="2:11" ht="41.25" x14ac:dyDescent="0.2">
      <c r="B2734" s="82" t="s">
        <v>5026</v>
      </c>
      <c r="C2734" s="82" t="s">
        <v>282</v>
      </c>
      <c r="D2734" s="83">
        <f>SUMIFS(D2735:D6462,K2735:K6462,"0",B2735:B6462,"5 1 1 3 4 12 31111 6 M59 70500 000132 0000R 00001 00134 015 2111100 2024 CP1DT395 001*")-SUMIFS(E2735:E6462,K2735:K6462,"0",B2735:B6462,"5 1 1 3 4 12 31111 6 M59 70500 000132 0000R 00001 00134 015 2111100 2024 CP1DT395 001*")</f>
        <v>0</v>
      </c>
      <c r="E2734" s="54"/>
      <c r="F2734" s="83">
        <f>SUMIFS(F2735:F6462,K2735:K6462,"0",B2735:B6462,"5 1 1 3 4 12 31111 6 M59 70500 000132 0000R 00001 00134 015 2111100 2024 CP1DT395 001*")</f>
        <v>18000</v>
      </c>
      <c r="G2734" s="83">
        <f>SUMIFS(G2735:G6462,K2735:K6462,"0",B2735:B6462,"5 1 1 3 4 12 31111 6 M59 70500 000132 0000R 00001 00134 015 2111100 2024 CP1DT395 001*")</f>
        <v>0</v>
      </c>
      <c r="H2734" s="83">
        <f t="shared" si="43"/>
        <v>18000</v>
      </c>
      <c r="I2734" s="83"/>
      <c r="K2734" s="54" t="s">
        <v>15</v>
      </c>
    </row>
    <row r="2735" spans="2:11" ht="33" x14ac:dyDescent="0.2">
      <c r="B2735" s="84" t="s">
        <v>5027</v>
      </c>
      <c r="C2735" s="84" t="s">
        <v>4840</v>
      </c>
      <c r="D2735" s="85">
        <v>0</v>
      </c>
      <c r="E2735" s="85"/>
      <c r="F2735" s="85">
        <v>18000</v>
      </c>
      <c r="G2735" s="85">
        <v>0</v>
      </c>
      <c r="H2735" s="85">
        <f t="shared" si="43"/>
        <v>18000</v>
      </c>
      <c r="I2735" s="85"/>
      <c r="K2735" s="54" t="s">
        <v>38</v>
      </c>
    </row>
    <row r="2736" spans="2:11" ht="16.5" x14ac:dyDescent="0.2">
      <c r="B2736" s="82" t="s">
        <v>5028</v>
      </c>
      <c r="C2736" s="82" t="s">
        <v>3474</v>
      </c>
      <c r="D2736" s="83">
        <f>SUMIFS(D2737:D6462,K2737:K6462,"0",B2737:B6462,"5 1 1 3 4 12 31111 6 M59 70800*")-SUMIFS(E2737:E6462,K2737:K6462,"0",B2737:B6462,"5 1 1 3 4 12 31111 6 M59 70800*")</f>
        <v>0</v>
      </c>
      <c r="E2736" s="54"/>
      <c r="F2736" s="83">
        <f>SUMIFS(F2737:F6462,K2737:K6462,"0",B2737:B6462,"5 1 1 3 4 12 31111 6 M59 70800*")</f>
        <v>21673.439999999999</v>
      </c>
      <c r="G2736" s="83">
        <f>SUMIFS(G2737:G6462,K2737:K6462,"0",B2737:B6462,"5 1 1 3 4 12 31111 6 M59 70800*")</f>
        <v>0</v>
      </c>
      <c r="H2736" s="83">
        <f t="shared" si="43"/>
        <v>21673.439999999999</v>
      </c>
      <c r="I2736" s="83"/>
      <c r="K2736" s="54" t="s">
        <v>15</v>
      </c>
    </row>
    <row r="2737" spans="2:11" ht="16.5" x14ac:dyDescent="0.2">
      <c r="B2737" s="82" t="s">
        <v>5029</v>
      </c>
      <c r="C2737" s="82" t="s">
        <v>648</v>
      </c>
      <c r="D2737" s="83">
        <f>SUMIFS(D2738:D6462,K2738:K6462,"0",B2738:B6462,"5 1 1 3 4 12 31111 6 M59 70800 000132*")-SUMIFS(E2738:E6462,K2738:K6462,"0",B2738:B6462,"5 1 1 3 4 12 31111 6 M59 70800 000132*")</f>
        <v>0</v>
      </c>
      <c r="E2737" s="54"/>
      <c r="F2737" s="83">
        <f>SUMIFS(F2738:F6462,K2738:K6462,"0",B2738:B6462,"5 1 1 3 4 12 31111 6 M59 70800 000132*")</f>
        <v>21673.439999999999</v>
      </c>
      <c r="G2737" s="83">
        <f>SUMIFS(G2738:G6462,K2738:K6462,"0",B2738:B6462,"5 1 1 3 4 12 31111 6 M59 70800 000132*")</f>
        <v>0</v>
      </c>
      <c r="H2737" s="83">
        <f t="shared" si="43"/>
        <v>21673.439999999999</v>
      </c>
      <c r="I2737" s="83"/>
      <c r="K2737" s="54" t="s">
        <v>15</v>
      </c>
    </row>
    <row r="2738" spans="2:11" ht="24.75" x14ac:dyDescent="0.2">
      <c r="B2738" s="82" t="s">
        <v>5030</v>
      </c>
      <c r="C2738" s="82" t="s">
        <v>650</v>
      </c>
      <c r="D2738" s="83">
        <f>SUMIFS(D2739:D6462,K2739:K6462,"0",B2739:B6462,"5 1 1 3 4 12 31111 6 M59 70800 000132 0000R*")-SUMIFS(E2739:E6462,K2739:K6462,"0",B2739:B6462,"5 1 1 3 4 12 31111 6 M59 70800 000132 0000R*")</f>
        <v>0</v>
      </c>
      <c r="E2738" s="54"/>
      <c r="F2738" s="83">
        <f>SUMIFS(F2739:F6462,K2739:K6462,"0",B2739:B6462,"5 1 1 3 4 12 31111 6 M59 70800 000132 0000R*")</f>
        <v>21673.439999999999</v>
      </c>
      <c r="G2738" s="83">
        <f>SUMIFS(G2739:G6462,K2739:K6462,"0",B2739:B6462,"5 1 1 3 4 12 31111 6 M59 70800 000132 0000R*")</f>
        <v>0</v>
      </c>
      <c r="H2738" s="83">
        <f t="shared" si="43"/>
        <v>21673.439999999999</v>
      </c>
      <c r="I2738" s="83"/>
      <c r="K2738" s="54" t="s">
        <v>15</v>
      </c>
    </row>
    <row r="2739" spans="2:11" ht="24.75" x14ac:dyDescent="0.2">
      <c r="B2739" s="82" t="s">
        <v>5031</v>
      </c>
      <c r="C2739" s="82" t="s">
        <v>282</v>
      </c>
      <c r="D2739" s="83">
        <f>SUMIFS(D2740:D6462,K2740:K6462,"0",B2740:B6462,"5 1 1 3 4 12 31111 6 M59 70800 000132 0000R 00001*")-SUMIFS(E2740:E6462,K2740:K6462,"0",B2740:B6462,"5 1 1 3 4 12 31111 6 M59 70800 000132 0000R 00001*")</f>
        <v>0</v>
      </c>
      <c r="E2739" s="54"/>
      <c r="F2739" s="83">
        <f>SUMIFS(F2740:F6462,K2740:K6462,"0",B2740:B6462,"5 1 1 3 4 12 31111 6 M59 70800 000132 0000R 00001*")</f>
        <v>21673.439999999999</v>
      </c>
      <c r="G2739" s="83">
        <f>SUMIFS(G2740:G6462,K2740:K6462,"0",B2740:B6462,"5 1 1 3 4 12 31111 6 M59 70800 000132 0000R 00001*")</f>
        <v>0</v>
      </c>
      <c r="H2739" s="83">
        <f t="shared" si="43"/>
        <v>21673.439999999999</v>
      </c>
      <c r="I2739" s="83"/>
      <c r="K2739" s="54" t="s">
        <v>15</v>
      </c>
    </row>
    <row r="2740" spans="2:11" ht="24.75" x14ac:dyDescent="0.2">
      <c r="B2740" s="82" t="s">
        <v>5032</v>
      </c>
      <c r="C2740" s="82" t="s">
        <v>4776</v>
      </c>
      <c r="D2740" s="83">
        <f>SUMIFS(D2741:D6462,K2741:K6462,"0",B2741:B6462,"5 1 1 3 4 12 31111 6 M59 70800 000132 0000R 00001 00134*")-SUMIFS(E2741:E6462,K2741:K6462,"0",B2741:B6462,"5 1 1 3 4 12 31111 6 M59 70800 000132 0000R 00001 00134*")</f>
        <v>0</v>
      </c>
      <c r="E2740" s="54"/>
      <c r="F2740" s="83">
        <f>SUMIFS(F2741:F6462,K2741:K6462,"0",B2741:B6462,"5 1 1 3 4 12 31111 6 M59 70800 000132 0000R 00001 00134*")</f>
        <v>21673.439999999999</v>
      </c>
      <c r="G2740" s="83">
        <f>SUMIFS(G2741:G6462,K2741:K6462,"0",B2741:B6462,"5 1 1 3 4 12 31111 6 M59 70800 000132 0000R 00001 00134*")</f>
        <v>0</v>
      </c>
      <c r="H2740" s="83">
        <f t="shared" si="43"/>
        <v>21673.439999999999</v>
      </c>
      <c r="I2740" s="83"/>
      <c r="K2740" s="54" t="s">
        <v>15</v>
      </c>
    </row>
    <row r="2741" spans="2:11" ht="33" x14ac:dyDescent="0.2">
      <c r="B2741" s="82" t="s">
        <v>5033</v>
      </c>
      <c r="C2741" s="82" t="s">
        <v>1051</v>
      </c>
      <c r="D2741" s="83">
        <f>SUMIFS(D2742:D6462,K2742:K6462,"0",B2742:B6462,"5 1 1 3 4 12 31111 6 M59 70800 000132 0000R 00001 00134 015*")-SUMIFS(E2742:E6462,K2742:K6462,"0",B2742:B6462,"5 1 1 3 4 12 31111 6 M59 70800 000132 0000R 00001 00134 015*")</f>
        <v>0</v>
      </c>
      <c r="E2741" s="54"/>
      <c r="F2741" s="83">
        <f>SUMIFS(F2742:F6462,K2742:K6462,"0",B2742:B6462,"5 1 1 3 4 12 31111 6 M59 70800 000132 0000R 00001 00134 015*")</f>
        <v>21673.439999999999</v>
      </c>
      <c r="G2741" s="83">
        <f>SUMIFS(G2742:G6462,K2742:K6462,"0",B2742:B6462,"5 1 1 3 4 12 31111 6 M59 70800 000132 0000R 00001 00134 015*")</f>
        <v>0</v>
      </c>
      <c r="H2741" s="83">
        <f t="shared" si="43"/>
        <v>21673.439999999999</v>
      </c>
      <c r="I2741" s="83"/>
      <c r="K2741" s="54" t="s">
        <v>15</v>
      </c>
    </row>
    <row r="2742" spans="2:11" ht="33" x14ac:dyDescent="0.2">
      <c r="B2742" s="82" t="s">
        <v>5034</v>
      </c>
      <c r="C2742" s="82" t="s">
        <v>2927</v>
      </c>
      <c r="D2742" s="83">
        <f>SUMIFS(D2743:D6462,K2743:K6462,"0",B2743:B6462,"5 1 1 3 4 12 31111 6 M59 70800 000132 0000R 00001 00134 015 2111100*")-SUMIFS(E2743:E6462,K2743:K6462,"0",B2743:B6462,"5 1 1 3 4 12 31111 6 M59 70800 000132 0000R 00001 00134 015 2111100*")</f>
        <v>0</v>
      </c>
      <c r="E2742" s="54"/>
      <c r="F2742" s="83">
        <f>SUMIFS(F2743:F6462,K2743:K6462,"0",B2743:B6462,"5 1 1 3 4 12 31111 6 M59 70800 000132 0000R 00001 00134 015 2111100*")</f>
        <v>21673.439999999999</v>
      </c>
      <c r="G2742" s="83">
        <f>SUMIFS(G2743:G6462,K2743:K6462,"0",B2743:B6462,"5 1 1 3 4 12 31111 6 M59 70800 000132 0000R 00001 00134 015 2111100*")</f>
        <v>0</v>
      </c>
      <c r="H2742" s="83">
        <f t="shared" si="43"/>
        <v>21673.439999999999</v>
      </c>
      <c r="I2742" s="83"/>
      <c r="K2742" s="54" t="s">
        <v>15</v>
      </c>
    </row>
    <row r="2743" spans="2:11" ht="33" x14ac:dyDescent="0.2">
      <c r="B2743" s="82" t="s">
        <v>5035</v>
      </c>
      <c r="C2743" s="82" t="s">
        <v>660</v>
      </c>
      <c r="D2743" s="83">
        <f>SUMIFS(D2744:D6462,K2744:K6462,"0",B2744:B6462,"5 1 1 3 4 12 31111 6 M59 70800 000132 0000R 00001 00134 015 2111100 2024*")-SUMIFS(E2744:E6462,K2744:K6462,"0",B2744:B6462,"5 1 1 3 4 12 31111 6 M59 70800 000132 0000R 00001 00134 015 2111100 2024*")</f>
        <v>0</v>
      </c>
      <c r="E2743" s="54"/>
      <c r="F2743" s="83">
        <f>SUMIFS(F2744:F6462,K2744:K6462,"0",B2744:B6462,"5 1 1 3 4 12 31111 6 M59 70800 000132 0000R 00001 00134 015 2111100 2024*")</f>
        <v>21673.439999999999</v>
      </c>
      <c r="G2743" s="83">
        <f>SUMIFS(G2744:G6462,K2744:K6462,"0",B2744:B6462,"5 1 1 3 4 12 31111 6 M59 70800 000132 0000R 00001 00134 015 2111100 2024*")</f>
        <v>0</v>
      </c>
      <c r="H2743" s="83">
        <f t="shared" si="43"/>
        <v>21673.439999999999</v>
      </c>
      <c r="I2743" s="83"/>
      <c r="K2743" s="54" t="s">
        <v>15</v>
      </c>
    </row>
    <row r="2744" spans="2:11" ht="41.25" x14ac:dyDescent="0.2">
      <c r="B2744" s="82" t="s">
        <v>5036</v>
      </c>
      <c r="C2744" s="82" t="s">
        <v>662</v>
      </c>
      <c r="D2744" s="83">
        <f>SUMIFS(D2745:D6462,K2745:K6462,"0",B2745:B6462,"5 1 1 3 4 12 31111 6 M59 70800 000132 0000R 00001 00134 015 2111100 2024 CP1ED416*")-SUMIFS(E2745:E6462,K2745:K6462,"0",B2745:B6462,"5 1 1 3 4 12 31111 6 M59 70800 000132 0000R 00001 00134 015 2111100 2024 CP1ED416*")</f>
        <v>0</v>
      </c>
      <c r="E2744" s="54"/>
      <c r="F2744" s="83">
        <f>SUMIFS(F2745:F6462,K2745:K6462,"0",B2745:B6462,"5 1 1 3 4 12 31111 6 M59 70800 000132 0000R 00001 00134 015 2111100 2024 CP1ED416*")</f>
        <v>21673.439999999999</v>
      </c>
      <c r="G2744" s="83">
        <f>SUMIFS(G2745:G6462,K2745:K6462,"0",B2745:B6462,"5 1 1 3 4 12 31111 6 M59 70800 000132 0000R 00001 00134 015 2111100 2024 CP1ED416*")</f>
        <v>0</v>
      </c>
      <c r="H2744" s="83">
        <f t="shared" si="43"/>
        <v>21673.439999999999</v>
      </c>
      <c r="I2744" s="83"/>
      <c r="K2744" s="54" t="s">
        <v>15</v>
      </c>
    </row>
    <row r="2745" spans="2:11" ht="41.25" x14ac:dyDescent="0.2">
      <c r="B2745" s="82" t="s">
        <v>5037</v>
      </c>
      <c r="C2745" s="82" t="s">
        <v>282</v>
      </c>
      <c r="D2745" s="83">
        <f>SUMIFS(D2746:D6462,K2746:K6462,"0",B2746:B6462,"5 1 1 3 4 12 31111 6 M59 70800 000132 0000R 00001 00134 015 2111100 2024 CP1ED416 001*")-SUMIFS(E2746:E6462,K2746:K6462,"0",B2746:B6462,"5 1 1 3 4 12 31111 6 M59 70800 000132 0000R 00001 00134 015 2111100 2024 CP1ED416 001*")</f>
        <v>0</v>
      </c>
      <c r="E2745" s="54"/>
      <c r="F2745" s="83">
        <f>SUMIFS(F2746:F6462,K2746:K6462,"0",B2746:B6462,"5 1 1 3 4 12 31111 6 M59 70800 000132 0000R 00001 00134 015 2111100 2024 CP1ED416 001*")</f>
        <v>21673.439999999999</v>
      </c>
      <c r="G2745" s="83">
        <f>SUMIFS(G2746:G6462,K2746:K6462,"0",B2746:B6462,"5 1 1 3 4 12 31111 6 M59 70800 000132 0000R 00001 00134 015 2111100 2024 CP1ED416 001*")</f>
        <v>0</v>
      </c>
      <c r="H2745" s="83">
        <f t="shared" si="43"/>
        <v>21673.439999999999</v>
      </c>
      <c r="I2745" s="83"/>
      <c r="K2745" s="54" t="s">
        <v>15</v>
      </c>
    </row>
    <row r="2746" spans="2:11" ht="33" x14ac:dyDescent="0.2">
      <c r="B2746" s="84" t="s">
        <v>5038</v>
      </c>
      <c r="C2746" s="84" t="s">
        <v>4783</v>
      </c>
      <c r="D2746" s="85">
        <v>0</v>
      </c>
      <c r="E2746" s="85"/>
      <c r="F2746" s="85">
        <v>21673.439999999999</v>
      </c>
      <c r="G2746" s="85">
        <v>0</v>
      </c>
      <c r="H2746" s="85">
        <f t="shared" si="43"/>
        <v>21673.439999999999</v>
      </c>
      <c r="I2746" s="85"/>
      <c r="K2746" s="54" t="s">
        <v>38</v>
      </c>
    </row>
    <row r="2747" spans="2:11" ht="16.5" x14ac:dyDescent="0.2">
      <c r="B2747" s="82" t="s">
        <v>5039</v>
      </c>
      <c r="C2747" s="82" t="s">
        <v>3523</v>
      </c>
      <c r="D2747" s="83">
        <f>SUMIFS(D2748:D6462,K2748:K6462,"0",B2748:B6462,"5 1 1 3 4 12 31111 6 M59 80000*")-SUMIFS(E2748:E6462,K2748:K6462,"0",B2748:B6462,"5 1 1 3 4 12 31111 6 M59 80000*")</f>
        <v>0</v>
      </c>
      <c r="E2747" s="54"/>
      <c r="F2747" s="83">
        <f>SUMIFS(F2748:F6462,K2748:K6462,"0",B2748:B6462,"5 1 1 3 4 12 31111 6 M59 80000*")</f>
        <v>6000</v>
      </c>
      <c r="G2747" s="83">
        <f>SUMIFS(G2748:G6462,K2748:K6462,"0",B2748:B6462,"5 1 1 3 4 12 31111 6 M59 80000*")</f>
        <v>0</v>
      </c>
      <c r="H2747" s="83">
        <f t="shared" si="43"/>
        <v>6000</v>
      </c>
      <c r="I2747" s="83"/>
      <c r="K2747" s="54" t="s">
        <v>15</v>
      </c>
    </row>
    <row r="2748" spans="2:11" ht="16.5" x14ac:dyDescent="0.2">
      <c r="B2748" s="82" t="s">
        <v>5040</v>
      </c>
      <c r="C2748" s="82" t="s">
        <v>648</v>
      </c>
      <c r="D2748" s="83">
        <f>SUMIFS(D2749:D6462,K2749:K6462,"0",B2749:B6462,"5 1 1 3 4 12 31111 6 M59 80000 000132*")-SUMIFS(E2749:E6462,K2749:K6462,"0",B2749:B6462,"5 1 1 3 4 12 31111 6 M59 80000 000132*")</f>
        <v>0</v>
      </c>
      <c r="E2748" s="54"/>
      <c r="F2748" s="83">
        <f>SUMIFS(F2749:F6462,K2749:K6462,"0",B2749:B6462,"5 1 1 3 4 12 31111 6 M59 80000 000132*")</f>
        <v>6000</v>
      </c>
      <c r="G2748" s="83">
        <f>SUMIFS(G2749:G6462,K2749:K6462,"0",B2749:B6462,"5 1 1 3 4 12 31111 6 M59 80000 000132*")</f>
        <v>0</v>
      </c>
      <c r="H2748" s="83">
        <f t="shared" si="43"/>
        <v>6000</v>
      </c>
      <c r="I2748" s="83"/>
      <c r="K2748" s="54" t="s">
        <v>15</v>
      </c>
    </row>
    <row r="2749" spans="2:11" ht="24.75" x14ac:dyDescent="0.2">
      <c r="B2749" s="82" t="s">
        <v>5041</v>
      </c>
      <c r="C2749" s="82" t="s">
        <v>650</v>
      </c>
      <c r="D2749" s="83">
        <f>SUMIFS(D2750:D6462,K2750:K6462,"0",B2750:B6462,"5 1 1 3 4 12 31111 6 M59 80000 000132 0000R*")-SUMIFS(E2750:E6462,K2750:K6462,"0",B2750:B6462,"5 1 1 3 4 12 31111 6 M59 80000 000132 0000R*")</f>
        <v>0</v>
      </c>
      <c r="E2749" s="54"/>
      <c r="F2749" s="83">
        <f>SUMIFS(F2750:F6462,K2750:K6462,"0",B2750:B6462,"5 1 1 3 4 12 31111 6 M59 80000 000132 0000R*")</f>
        <v>6000</v>
      </c>
      <c r="G2749" s="83">
        <f>SUMIFS(G2750:G6462,K2750:K6462,"0",B2750:B6462,"5 1 1 3 4 12 31111 6 M59 80000 000132 0000R*")</f>
        <v>0</v>
      </c>
      <c r="H2749" s="83">
        <f t="shared" si="43"/>
        <v>6000</v>
      </c>
      <c r="I2749" s="83"/>
      <c r="K2749" s="54" t="s">
        <v>15</v>
      </c>
    </row>
    <row r="2750" spans="2:11" ht="24.75" x14ac:dyDescent="0.2">
      <c r="B2750" s="82" t="s">
        <v>5042</v>
      </c>
      <c r="C2750" s="82" t="s">
        <v>282</v>
      </c>
      <c r="D2750" s="83">
        <f>SUMIFS(D2751:D6462,K2751:K6462,"0",B2751:B6462,"5 1 1 3 4 12 31111 6 M59 80000 000132 0000R 00001*")-SUMIFS(E2751:E6462,K2751:K6462,"0",B2751:B6462,"5 1 1 3 4 12 31111 6 M59 80000 000132 0000R 00001*")</f>
        <v>0</v>
      </c>
      <c r="E2750" s="54"/>
      <c r="F2750" s="83">
        <f>SUMIFS(F2751:F6462,K2751:K6462,"0",B2751:B6462,"5 1 1 3 4 12 31111 6 M59 80000 000132 0000R 00001*")</f>
        <v>6000</v>
      </c>
      <c r="G2750" s="83">
        <f>SUMIFS(G2751:G6462,K2751:K6462,"0",B2751:B6462,"5 1 1 3 4 12 31111 6 M59 80000 000132 0000R 00001*")</f>
        <v>0</v>
      </c>
      <c r="H2750" s="83">
        <f t="shared" si="43"/>
        <v>6000</v>
      </c>
      <c r="I2750" s="83"/>
      <c r="K2750" s="54" t="s">
        <v>15</v>
      </c>
    </row>
    <row r="2751" spans="2:11" ht="24.75" x14ac:dyDescent="0.2">
      <c r="B2751" s="82" t="s">
        <v>5043</v>
      </c>
      <c r="C2751" s="82" t="s">
        <v>4776</v>
      </c>
      <c r="D2751" s="83">
        <f>SUMIFS(D2752:D6462,K2752:K6462,"0",B2752:B6462,"5 1 1 3 4 12 31111 6 M59 80000 000132 0000R 00001 00134*")-SUMIFS(E2752:E6462,K2752:K6462,"0",B2752:B6462,"5 1 1 3 4 12 31111 6 M59 80000 000132 0000R 00001 00134*")</f>
        <v>0</v>
      </c>
      <c r="E2751" s="54"/>
      <c r="F2751" s="83">
        <f>SUMIFS(F2752:F6462,K2752:K6462,"0",B2752:B6462,"5 1 1 3 4 12 31111 6 M59 80000 000132 0000R 00001 00134*")</f>
        <v>6000</v>
      </c>
      <c r="G2751" s="83">
        <f>SUMIFS(G2752:G6462,K2752:K6462,"0",B2752:B6462,"5 1 1 3 4 12 31111 6 M59 80000 000132 0000R 00001 00134*")</f>
        <v>0</v>
      </c>
      <c r="H2751" s="83">
        <f t="shared" si="43"/>
        <v>6000</v>
      </c>
      <c r="I2751" s="83"/>
      <c r="K2751" s="54" t="s">
        <v>15</v>
      </c>
    </row>
    <row r="2752" spans="2:11" ht="33" x14ac:dyDescent="0.2">
      <c r="B2752" s="82" t="s">
        <v>5044</v>
      </c>
      <c r="C2752" s="82" t="s">
        <v>1051</v>
      </c>
      <c r="D2752" s="83">
        <f>SUMIFS(D2753:D6462,K2753:K6462,"0",B2753:B6462,"5 1 1 3 4 12 31111 6 M59 80000 000132 0000R 00001 00134 015*")-SUMIFS(E2753:E6462,K2753:K6462,"0",B2753:B6462,"5 1 1 3 4 12 31111 6 M59 80000 000132 0000R 00001 00134 015*")</f>
        <v>0</v>
      </c>
      <c r="E2752" s="54"/>
      <c r="F2752" s="83">
        <f>SUMIFS(F2753:F6462,K2753:K6462,"0",B2753:B6462,"5 1 1 3 4 12 31111 6 M59 80000 000132 0000R 00001 00134 015*")</f>
        <v>6000</v>
      </c>
      <c r="G2752" s="83">
        <f>SUMIFS(G2753:G6462,K2753:K6462,"0",B2753:B6462,"5 1 1 3 4 12 31111 6 M59 80000 000132 0000R 00001 00134 015*")</f>
        <v>0</v>
      </c>
      <c r="H2752" s="83">
        <f t="shared" si="43"/>
        <v>6000</v>
      </c>
      <c r="I2752" s="83"/>
      <c r="K2752" s="54" t="s">
        <v>15</v>
      </c>
    </row>
    <row r="2753" spans="2:11" ht="33" x14ac:dyDescent="0.2">
      <c r="B2753" s="82" t="s">
        <v>5045</v>
      </c>
      <c r="C2753" s="82" t="s">
        <v>2927</v>
      </c>
      <c r="D2753" s="83">
        <f>SUMIFS(D2754:D6462,K2754:K6462,"0",B2754:B6462,"5 1 1 3 4 12 31111 6 M59 80000 000132 0000R 00001 00134 015 2111100*")-SUMIFS(E2754:E6462,K2754:K6462,"0",B2754:B6462,"5 1 1 3 4 12 31111 6 M59 80000 000132 0000R 00001 00134 015 2111100*")</f>
        <v>0</v>
      </c>
      <c r="E2753" s="54"/>
      <c r="F2753" s="83">
        <f>SUMIFS(F2754:F6462,K2754:K6462,"0",B2754:B6462,"5 1 1 3 4 12 31111 6 M59 80000 000132 0000R 00001 00134 015 2111100*")</f>
        <v>6000</v>
      </c>
      <c r="G2753" s="83">
        <f>SUMIFS(G2754:G6462,K2754:K6462,"0",B2754:B6462,"5 1 1 3 4 12 31111 6 M59 80000 000132 0000R 00001 00134 015 2111100*")</f>
        <v>0</v>
      </c>
      <c r="H2753" s="83">
        <f t="shared" si="43"/>
        <v>6000</v>
      </c>
      <c r="I2753" s="83"/>
      <c r="K2753" s="54" t="s">
        <v>15</v>
      </c>
    </row>
    <row r="2754" spans="2:11" ht="33" x14ac:dyDescent="0.2">
      <c r="B2754" s="82" t="s">
        <v>5046</v>
      </c>
      <c r="C2754" s="82" t="s">
        <v>660</v>
      </c>
      <c r="D2754" s="83">
        <f>SUMIFS(D2755:D6462,K2755:K6462,"0",B2755:B6462,"5 1 1 3 4 12 31111 6 M59 80000 000132 0000R 00001 00134 015 2111100 2024*")-SUMIFS(E2755:E6462,K2755:K6462,"0",B2755:B6462,"5 1 1 3 4 12 31111 6 M59 80000 000132 0000R 00001 00134 015 2111100 2024*")</f>
        <v>0</v>
      </c>
      <c r="E2754" s="54"/>
      <c r="F2754" s="83">
        <f>SUMIFS(F2755:F6462,K2755:K6462,"0",B2755:B6462,"5 1 1 3 4 12 31111 6 M59 80000 000132 0000R 00001 00134 015 2111100 2024*")</f>
        <v>6000</v>
      </c>
      <c r="G2754" s="83">
        <f>SUMIFS(G2755:G6462,K2755:K6462,"0",B2755:B6462,"5 1 1 3 4 12 31111 6 M59 80000 000132 0000R 00001 00134 015 2111100 2024*")</f>
        <v>0</v>
      </c>
      <c r="H2754" s="83">
        <f t="shared" si="43"/>
        <v>6000</v>
      </c>
      <c r="I2754" s="83"/>
      <c r="K2754" s="54" t="s">
        <v>15</v>
      </c>
    </row>
    <row r="2755" spans="2:11" ht="41.25" x14ac:dyDescent="0.2">
      <c r="B2755" s="82" t="s">
        <v>5047</v>
      </c>
      <c r="C2755" s="82" t="s">
        <v>1056</v>
      </c>
      <c r="D2755" s="83">
        <f>SUMIFS(D2756:D6462,K2756:K6462,"0",B2756:B6462,"5 1 1 3 4 12 31111 6 M59 80000 000132 0000R 00001 00134 015 2111100 2024 CP1DR388*")-SUMIFS(E2756:E6462,K2756:K6462,"0",B2756:B6462,"5 1 1 3 4 12 31111 6 M59 80000 000132 0000R 00001 00134 015 2111100 2024 CP1DR388*")</f>
        <v>0</v>
      </c>
      <c r="E2755" s="54"/>
      <c r="F2755" s="83">
        <f>SUMIFS(F2756:F6462,K2756:K6462,"0",B2756:B6462,"5 1 1 3 4 12 31111 6 M59 80000 000132 0000R 00001 00134 015 2111100 2024 CP1DR388*")</f>
        <v>6000</v>
      </c>
      <c r="G2755" s="83">
        <f>SUMIFS(G2756:G6462,K2756:K6462,"0",B2756:B6462,"5 1 1 3 4 12 31111 6 M59 80000 000132 0000R 00001 00134 015 2111100 2024 CP1DR388*")</f>
        <v>0</v>
      </c>
      <c r="H2755" s="83">
        <f t="shared" si="43"/>
        <v>6000</v>
      </c>
      <c r="I2755" s="83"/>
      <c r="K2755" s="54" t="s">
        <v>15</v>
      </c>
    </row>
    <row r="2756" spans="2:11" ht="41.25" x14ac:dyDescent="0.2">
      <c r="B2756" s="82" t="s">
        <v>5048</v>
      </c>
      <c r="C2756" s="82" t="s">
        <v>282</v>
      </c>
      <c r="D2756" s="83">
        <f>SUMIFS(D2757:D6462,K2757:K6462,"0",B2757:B6462,"5 1 1 3 4 12 31111 6 M59 80000 000132 0000R 00001 00134 015 2111100 2024 CP1DR388 001*")-SUMIFS(E2757:E6462,K2757:K6462,"0",B2757:B6462,"5 1 1 3 4 12 31111 6 M59 80000 000132 0000R 00001 00134 015 2111100 2024 CP1DR388 001*")</f>
        <v>0</v>
      </c>
      <c r="E2756" s="54"/>
      <c r="F2756" s="83">
        <f>SUMIFS(F2757:F6462,K2757:K6462,"0",B2757:B6462,"5 1 1 3 4 12 31111 6 M59 80000 000132 0000R 00001 00134 015 2111100 2024 CP1DR388 001*")</f>
        <v>6000</v>
      </c>
      <c r="G2756" s="83">
        <f>SUMIFS(G2757:G6462,K2757:K6462,"0",B2757:B6462,"5 1 1 3 4 12 31111 6 M59 80000 000132 0000R 00001 00134 015 2111100 2024 CP1DR388 001*")</f>
        <v>0</v>
      </c>
      <c r="H2756" s="83">
        <f t="shared" si="43"/>
        <v>6000</v>
      </c>
      <c r="I2756" s="83"/>
      <c r="K2756" s="54" t="s">
        <v>15</v>
      </c>
    </row>
    <row r="2757" spans="2:11" ht="41.25" x14ac:dyDescent="0.2">
      <c r="B2757" s="84" t="s">
        <v>5049</v>
      </c>
      <c r="C2757" s="84" t="s">
        <v>4840</v>
      </c>
      <c r="D2757" s="85">
        <v>0</v>
      </c>
      <c r="E2757" s="85"/>
      <c r="F2757" s="85">
        <v>6000</v>
      </c>
      <c r="G2757" s="85">
        <v>0</v>
      </c>
      <c r="H2757" s="85">
        <f t="shared" si="43"/>
        <v>6000</v>
      </c>
      <c r="I2757" s="85"/>
      <c r="K2757" s="54" t="s">
        <v>38</v>
      </c>
    </row>
    <row r="2758" spans="2:11" ht="16.5" x14ac:dyDescent="0.2">
      <c r="B2758" s="82" t="s">
        <v>5050</v>
      </c>
      <c r="C2758" s="82" t="s">
        <v>3559</v>
      </c>
      <c r="D2758" s="83">
        <f>SUMIFS(D2759:D6462,K2759:K6462,"0",B2759:B6462,"5 1 1 3 4 12 31111 6 M59 80400*")-SUMIFS(E2759:E6462,K2759:K6462,"0",B2759:B6462,"5 1 1 3 4 12 31111 6 M59 80400*")</f>
        <v>0</v>
      </c>
      <c r="E2758" s="54"/>
      <c r="F2758" s="83">
        <f>SUMIFS(F2759:F6462,K2759:K6462,"0",B2759:B6462,"5 1 1 3 4 12 31111 6 M59 80400*")</f>
        <v>48457</v>
      </c>
      <c r="G2758" s="83">
        <f>SUMIFS(G2759:G6462,K2759:K6462,"0",B2759:B6462,"5 1 1 3 4 12 31111 6 M59 80400*")</f>
        <v>0</v>
      </c>
      <c r="H2758" s="83">
        <f t="shared" si="43"/>
        <v>48457</v>
      </c>
      <c r="I2758" s="83"/>
      <c r="K2758" s="54" t="s">
        <v>15</v>
      </c>
    </row>
    <row r="2759" spans="2:11" ht="16.5" x14ac:dyDescent="0.2">
      <c r="B2759" s="82" t="s">
        <v>5051</v>
      </c>
      <c r="C2759" s="82" t="s">
        <v>648</v>
      </c>
      <c r="D2759" s="83">
        <f>SUMIFS(D2760:D6462,K2760:K6462,"0",B2760:B6462,"5 1 1 3 4 12 31111 6 M59 80400 000132*")-SUMIFS(E2760:E6462,K2760:K6462,"0",B2760:B6462,"5 1 1 3 4 12 31111 6 M59 80400 000132*")</f>
        <v>0</v>
      </c>
      <c r="E2759" s="54"/>
      <c r="F2759" s="83">
        <f>SUMIFS(F2760:F6462,K2760:K6462,"0",B2760:B6462,"5 1 1 3 4 12 31111 6 M59 80400 000132*")</f>
        <v>48457</v>
      </c>
      <c r="G2759" s="83">
        <f>SUMIFS(G2760:G6462,K2760:K6462,"0",B2760:B6462,"5 1 1 3 4 12 31111 6 M59 80400 000132*")</f>
        <v>0</v>
      </c>
      <c r="H2759" s="83">
        <f t="shared" si="43"/>
        <v>48457</v>
      </c>
      <c r="I2759" s="83"/>
      <c r="K2759" s="54" t="s">
        <v>15</v>
      </c>
    </row>
    <row r="2760" spans="2:11" ht="24.75" x14ac:dyDescent="0.2">
      <c r="B2760" s="82" t="s">
        <v>5052</v>
      </c>
      <c r="C2760" s="82" t="s">
        <v>650</v>
      </c>
      <c r="D2760" s="83">
        <f>SUMIFS(D2761:D6462,K2761:K6462,"0",B2761:B6462,"5 1 1 3 4 12 31111 6 M59 80400 000132 0000R*")-SUMIFS(E2761:E6462,K2761:K6462,"0",B2761:B6462,"5 1 1 3 4 12 31111 6 M59 80400 000132 0000R*")</f>
        <v>0</v>
      </c>
      <c r="E2760" s="54"/>
      <c r="F2760" s="83">
        <f>SUMIFS(F2761:F6462,K2761:K6462,"0",B2761:B6462,"5 1 1 3 4 12 31111 6 M59 80400 000132 0000R*")</f>
        <v>48457</v>
      </c>
      <c r="G2760" s="83">
        <f>SUMIFS(G2761:G6462,K2761:K6462,"0",B2761:B6462,"5 1 1 3 4 12 31111 6 M59 80400 000132 0000R*")</f>
        <v>0</v>
      </c>
      <c r="H2760" s="83">
        <f t="shared" si="43"/>
        <v>48457</v>
      </c>
      <c r="I2760" s="83"/>
      <c r="K2760" s="54" t="s">
        <v>15</v>
      </c>
    </row>
    <row r="2761" spans="2:11" ht="24.75" x14ac:dyDescent="0.2">
      <c r="B2761" s="82" t="s">
        <v>5053</v>
      </c>
      <c r="C2761" s="82" t="s">
        <v>282</v>
      </c>
      <c r="D2761" s="83">
        <f>SUMIFS(D2762:D6462,K2762:K6462,"0",B2762:B6462,"5 1 1 3 4 12 31111 6 M59 80400 000132 0000R 00001*")-SUMIFS(E2762:E6462,K2762:K6462,"0",B2762:B6462,"5 1 1 3 4 12 31111 6 M59 80400 000132 0000R 00001*")</f>
        <v>0</v>
      </c>
      <c r="E2761" s="54"/>
      <c r="F2761" s="83">
        <f>SUMIFS(F2762:F6462,K2762:K6462,"0",B2762:B6462,"5 1 1 3 4 12 31111 6 M59 80400 000132 0000R 00001*")</f>
        <v>48457</v>
      </c>
      <c r="G2761" s="83">
        <f>SUMIFS(G2762:G6462,K2762:K6462,"0",B2762:B6462,"5 1 1 3 4 12 31111 6 M59 80400 000132 0000R 00001*")</f>
        <v>0</v>
      </c>
      <c r="H2761" s="83">
        <f t="shared" si="43"/>
        <v>48457</v>
      </c>
      <c r="I2761" s="83"/>
      <c r="K2761" s="54" t="s">
        <v>15</v>
      </c>
    </row>
    <row r="2762" spans="2:11" ht="24.75" x14ac:dyDescent="0.2">
      <c r="B2762" s="82" t="s">
        <v>5054</v>
      </c>
      <c r="C2762" s="82" t="s">
        <v>4776</v>
      </c>
      <c r="D2762" s="83">
        <f>SUMIFS(D2763:D6462,K2763:K6462,"0",B2763:B6462,"5 1 1 3 4 12 31111 6 M59 80400 000132 0000R 00001 00134*")-SUMIFS(E2763:E6462,K2763:K6462,"0",B2763:B6462,"5 1 1 3 4 12 31111 6 M59 80400 000132 0000R 00001 00134*")</f>
        <v>0</v>
      </c>
      <c r="E2762" s="54"/>
      <c r="F2762" s="83">
        <f>SUMIFS(F2763:F6462,K2763:K6462,"0",B2763:B6462,"5 1 1 3 4 12 31111 6 M59 80400 000132 0000R 00001 00134*")</f>
        <v>48457</v>
      </c>
      <c r="G2762" s="83">
        <f>SUMIFS(G2763:G6462,K2763:K6462,"0",B2763:B6462,"5 1 1 3 4 12 31111 6 M59 80400 000132 0000R 00001 00134*")</f>
        <v>0</v>
      </c>
      <c r="H2762" s="83">
        <f t="shared" si="43"/>
        <v>48457</v>
      </c>
      <c r="I2762" s="83"/>
      <c r="K2762" s="54" t="s">
        <v>15</v>
      </c>
    </row>
    <row r="2763" spans="2:11" ht="33" x14ac:dyDescent="0.2">
      <c r="B2763" s="82" t="s">
        <v>5055</v>
      </c>
      <c r="C2763" s="82" t="s">
        <v>1051</v>
      </c>
      <c r="D2763" s="83">
        <f>SUMIFS(D2764:D6462,K2764:K6462,"0",B2764:B6462,"5 1 1 3 4 12 31111 6 M59 80400 000132 0000R 00001 00134 015*")-SUMIFS(E2764:E6462,K2764:K6462,"0",B2764:B6462,"5 1 1 3 4 12 31111 6 M59 80400 000132 0000R 00001 00134 015*")</f>
        <v>0</v>
      </c>
      <c r="E2763" s="54"/>
      <c r="F2763" s="83">
        <f>SUMIFS(F2764:F6462,K2764:K6462,"0",B2764:B6462,"5 1 1 3 4 12 31111 6 M59 80400 000132 0000R 00001 00134 015*")</f>
        <v>48457</v>
      </c>
      <c r="G2763" s="83">
        <f>SUMIFS(G2764:G6462,K2764:K6462,"0",B2764:B6462,"5 1 1 3 4 12 31111 6 M59 80400 000132 0000R 00001 00134 015*")</f>
        <v>0</v>
      </c>
      <c r="H2763" s="83">
        <f t="shared" si="43"/>
        <v>48457</v>
      </c>
      <c r="I2763" s="83"/>
      <c r="K2763" s="54" t="s">
        <v>15</v>
      </c>
    </row>
    <row r="2764" spans="2:11" ht="33" x14ac:dyDescent="0.2">
      <c r="B2764" s="82" t="s">
        <v>5056</v>
      </c>
      <c r="C2764" s="82" t="s">
        <v>2927</v>
      </c>
      <c r="D2764" s="83">
        <f>SUMIFS(D2765:D6462,K2765:K6462,"0",B2765:B6462,"5 1 1 3 4 12 31111 6 M59 80400 000132 0000R 00001 00134 015 2111100*")-SUMIFS(E2765:E6462,K2765:K6462,"0",B2765:B6462,"5 1 1 3 4 12 31111 6 M59 80400 000132 0000R 00001 00134 015 2111100*")</f>
        <v>0</v>
      </c>
      <c r="E2764" s="54"/>
      <c r="F2764" s="83">
        <f>SUMIFS(F2765:F6462,K2765:K6462,"0",B2765:B6462,"5 1 1 3 4 12 31111 6 M59 80400 000132 0000R 00001 00134 015 2111100*")</f>
        <v>48457</v>
      </c>
      <c r="G2764" s="83">
        <f>SUMIFS(G2765:G6462,K2765:K6462,"0",B2765:B6462,"5 1 1 3 4 12 31111 6 M59 80400 000132 0000R 00001 00134 015 2111100*")</f>
        <v>0</v>
      </c>
      <c r="H2764" s="83">
        <f t="shared" si="43"/>
        <v>48457</v>
      </c>
      <c r="I2764" s="83"/>
      <c r="K2764" s="54" t="s">
        <v>15</v>
      </c>
    </row>
    <row r="2765" spans="2:11" ht="33" x14ac:dyDescent="0.2">
      <c r="B2765" s="82" t="s">
        <v>5057</v>
      </c>
      <c r="C2765" s="82" t="s">
        <v>660</v>
      </c>
      <c r="D2765" s="83">
        <f>SUMIFS(D2766:D6462,K2766:K6462,"0",B2766:B6462,"5 1 1 3 4 12 31111 6 M59 80400 000132 0000R 00001 00134 015 2111100 2024*")-SUMIFS(E2766:E6462,K2766:K6462,"0",B2766:B6462,"5 1 1 3 4 12 31111 6 M59 80400 000132 0000R 00001 00134 015 2111100 2024*")</f>
        <v>0</v>
      </c>
      <c r="E2765" s="54"/>
      <c r="F2765" s="83">
        <f>SUMIFS(F2766:F6462,K2766:K6462,"0",B2766:B6462,"5 1 1 3 4 12 31111 6 M59 80400 000132 0000R 00001 00134 015 2111100 2024*")</f>
        <v>48457</v>
      </c>
      <c r="G2765" s="83">
        <f>SUMIFS(G2766:G6462,K2766:K6462,"0",B2766:B6462,"5 1 1 3 4 12 31111 6 M59 80400 000132 0000R 00001 00134 015 2111100 2024*")</f>
        <v>0</v>
      </c>
      <c r="H2765" s="83">
        <f t="shared" si="43"/>
        <v>48457</v>
      </c>
      <c r="I2765" s="83"/>
      <c r="K2765" s="54" t="s">
        <v>15</v>
      </c>
    </row>
    <row r="2766" spans="2:11" ht="41.25" x14ac:dyDescent="0.2">
      <c r="B2766" s="82" t="s">
        <v>5058</v>
      </c>
      <c r="C2766" s="82" t="s">
        <v>1056</v>
      </c>
      <c r="D2766" s="83">
        <f>SUMIFS(D2767:D6462,K2767:K6462,"0",B2767:B6462,"5 1 1 3 4 12 31111 6 M59 80400 000132 0000R 00001 00134 015 2111100 2024 CP1DP403*")-SUMIFS(E2767:E6462,K2767:K6462,"0",B2767:B6462,"5 1 1 3 4 12 31111 6 M59 80400 000132 0000R 00001 00134 015 2111100 2024 CP1DP403*")</f>
        <v>0</v>
      </c>
      <c r="E2766" s="54"/>
      <c r="F2766" s="83">
        <f>SUMIFS(F2767:F6462,K2767:K6462,"0",B2767:B6462,"5 1 1 3 4 12 31111 6 M59 80400 000132 0000R 00001 00134 015 2111100 2024 CP1DP403*")</f>
        <v>48457</v>
      </c>
      <c r="G2766" s="83">
        <f>SUMIFS(G2767:G6462,K2767:K6462,"0",B2767:B6462,"5 1 1 3 4 12 31111 6 M59 80400 000132 0000R 00001 00134 015 2111100 2024 CP1DP403*")</f>
        <v>0</v>
      </c>
      <c r="H2766" s="83">
        <f t="shared" si="43"/>
        <v>48457</v>
      </c>
      <c r="I2766" s="83"/>
      <c r="K2766" s="54" t="s">
        <v>15</v>
      </c>
    </row>
    <row r="2767" spans="2:11" ht="41.25" x14ac:dyDescent="0.2">
      <c r="B2767" s="82" t="s">
        <v>5059</v>
      </c>
      <c r="C2767" s="82" t="s">
        <v>282</v>
      </c>
      <c r="D2767" s="83">
        <f>SUMIFS(D2768:D6462,K2768:K6462,"0",B2768:B6462,"5 1 1 3 4 12 31111 6 M59 80400 000132 0000R 00001 00134 015 2111100 2024 CP1DP403 001*")-SUMIFS(E2768:E6462,K2768:K6462,"0",B2768:B6462,"5 1 1 3 4 12 31111 6 M59 80400 000132 0000R 00001 00134 015 2111100 2024 CP1DP403 001*")</f>
        <v>0</v>
      </c>
      <c r="E2767" s="54"/>
      <c r="F2767" s="83">
        <f>SUMIFS(F2768:F6462,K2768:K6462,"0",B2768:B6462,"5 1 1 3 4 12 31111 6 M59 80400 000132 0000R 00001 00134 015 2111100 2024 CP1DP403 001*")</f>
        <v>48457</v>
      </c>
      <c r="G2767" s="83">
        <f>SUMIFS(G2768:G6462,K2768:K6462,"0",B2768:B6462,"5 1 1 3 4 12 31111 6 M59 80400 000132 0000R 00001 00134 015 2111100 2024 CP1DP403 001*")</f>
        <v>0</v>
      </c>
      <c r="H2767" s="83">
        <f t="shared" si="43"/>
        <v>48457</v>
      </c>
      <c r="I2767" s="83"/>
      <c r="K2767" s="54" t="s">
        <v>15</v>
      </c>
    </row>
    <row r="2768" spans="2:11" ht="41.25" x14ac:dyDescent="0.2">
      <c r="B2768" s="84" t="s">
        <v>5060</v>
      </c>
      <c r="C2768" s="84" t="s">
        <v>4840</v>
      </c>
      <c r="D2768" s="85">
        <v>0</v>
      </c>
      <c r="E2768" s="85"/>
      <c r="F2768" s="85">
        <v>48457</v>
      </c>
      <c r="G2768" s="85">
        <v>0</v>
      </c>
      <c r="H2768" s="85">
        <f t="shared" si="43"/>
        <v>48457</v>
      </c>
      <c r="I2768" s="85"/>
      <c r="K2768" s="54" t="s">
        <v>38</v>
      </c>
    </row>
    <row r="2769" spans="2:11" ht="16.5" x14ac:dyDescent="0.2">
      <c r="B2769" s="82" t="s">
        <v>5061</v>
      </c>
      <c r="C2769" s="82" t="s">
        <v>3596</v>
      </c>
      <c r="D2769" s="83">
        <f>SUMIFS(D2770:D6462,K2770:K6462,"0",B2770:B6462,"5 1 1 3 4 12 31111 6 M59 90000*")-SUMIFS(E2770:E6462,K2770:K6462,"0",B2770:B6462,"5 1 1 3 4 12 31111 6 M59 90000*")</f>
        <v>0</v>
      </c>
      <c r="E2769" s="54"/>
      <c r="F2769" s="83">
        <f>SUMIFS(F2770:F6462,K2770:K6462,"0",B2770:B6462,"5 1 1 3 4 12 31111 6 M59 90000*")</f>
        <v>138000</v>
      </c>
      <c r="G2769" s="83">
        <f>SUMIFS(G2770:G6462,K2770:K6462,"0",B2770:B6462,"5 1 1 3 4 12 31111 6 M59 90000*")</f>
        <v>0</v>
      </c>
      <c r="H2769" s="83">
        <f t="shared" si="43"/>
        <v>138000</v>
      </c>
      <c r="I2769" s="83"/>
      <c r="K2769" s="54" t="s">
        <v>15</v>
      </c>
    </row>
    <row r="2770" spans="2:11" ht="16.5" x14ac:dyDescent="0.2">
      <c r="B2770" s="82" t="s">
        <v>5062</v>
      </c>
      <c r="C2770" s="82" t="s">
        <v>648</v>
      </c>
      <c r="D2770" s="83">
        <f>SUMIFS(D2771:D6462,K2771:K6462,"0",B2771:B6462,"5 1 1 3 4 12 31111 6 M59 90000 000132*")-SUMIFS(E2771:E6462,K2771:K6462,"0",B2771:B6462,"5 1 1 3 4 12 31111 6 M59 90000 000132*")</f>
        <v>0</v>
      </c>
      <c r="E2770" s="54"/>
      <c r="F2770" s="83">
        <f>SUMIFS(F2771:F6462,K2771:K6462,"0",B2771:B6462,"5 1 1 3 4 12 31111 6 M59 90000 000132*")</f>
        <v>138000</v>
      </c>
      <c r="G2770" s="83">
        <f>SUMIFS(G2771:G6462,K2771:K6462,"0",B2771:B6462,"5 1 1 3 4 12 31111 6 M59 90000 000132*")</f>
        <v>0</v>
      </c>
      <c r="H2770" s="83">
        <f t="shared" si="43"/>
        <v>138000</v>
      </c>
      <c r="I2770" s="83"/>
      <c r="K2770" s="54" t="s">
        <v>15</v>
      </c>
    </row>
    <row r="2771" spans="2:11" ht="24.75" x14ac:dyDescent="0.2">
      <c r="B2771" s="82" t="s">
        <v>5063</v>
      </c>
      <c r="C2771" s="82" t="s">
        <v>650</v>
      </c>
      <c r="D2771" s="83">
        <f>SUMIFS(D2772:D6462,K2772:K6462,"0",B2772:B6462,"5 1 1 3 4 12 31111 6 M59 90000 000132 0000R*")-SUMIFS(E2772:E6462,K2772:K6462,"0",B2772:B6462,"5 1 1 3 4 12 31111 6 M59 90000 000132 0000R*")</f>
        <v>0</v>
      </c>
      <c r="E2771" s="54"/>
      <c r="F2771" s="83">
        <f>SUMIFS(F2772:F6462,K2772:K6462,"0",B2772:B6462,"5 1 1 3 4 12 31111 6 M59 90000 000132 0000R*")</f>
        <v>138000</v>
      </c>
      <c r="G2771" s="83">
        <f>SUMIFS(G2772:G6462,K2772:K6462,"0",B2772:B6462,"5 1 1 3 4 12 31111 6 M59 90000 000132 0000R*")</f>
        <v>0</v>
      </c>
      <c r="H2771" s="83">
        <f t="shared" si="43"/>
        <v>138000</v>
      </c>
      <c r="I2771" s="83"/>
      <c r="K2771" s="54" t="s">
        <v>15</v>
      </c>
    </row>
    <row r="2772" spans="2:11" ht="24.75" x14ac:dyDescent="0.2">
      <c r="B2772" s="82" t="s">
        <v>5064</v>
      </c>
      <c r="C2772" s="82" t="s">
        <v>282</v>
      </c>
      <c r="D2772" s="83">
        <f>SUMIFS(D2773:D6462,K2773:K6462,"0",B2773:B6462,"5 1 1 3 4 12 31111 6 M59 90000 000132 0000R 00001*")-SUMIFS(E2773:E6462,K2773:K6462,"0",B2773:B6462,"5 1 1 3 4 12 31111 6 M59 90000 000132 0000R 00001*")</f>
        <v>0</v>
      </c>
      <c r="E2772" s="54"/>
      <c r="F2772" s="83">
        <f>SUMIFS(F2773:F6462,K2773:K6462,"0",B2773:B6462,"5 1 1 3 4 12 31111 6 M59 90000 000132 0000R 00001*")</f>
        <v>138000</v>
      </c>
      <c r="G2772" s="83">
        <f>SUMIFS(G2773:G6462,K2773:K6462,"0",B2773:B6462,"5 1 1 3 4 12 31111 6 M59 90000 000132 0000R 00001*")</f>
        <v>0</v>
      </c>
      <c r="H2772" s="83">
        <f t="shared" si="43"/>
        <v>138000</v>
      </c>
      <c r="I2772" s="83"/>
      <c r="K2772" s="54" t="s">
        <v>15</v>
      </c>
    </row>
    <row r="2773" spans="2:11" ht="24.75" x14ac:dyDescent="0.2">
      <c r="B2773" s="82" t="s">
        <v>5065</v>
      </c>
      <c r="C2773" s="82" t="s">
        <v>4776</v>
      </c>
      <c r="D2773" s="83">
        <f>SUMIFS(D2774:D6462,K2774:K6462,"0",B2774:B6462,"5 1 1 3 4 12 31111 6 M59 90000 000132 0000R 00001 00134*")-SUMIFS(E2774:E6462,K2774:K6462,"0",B2774:B6462,"5 1 1 3 4 12 31111 6 M59 90000 000132 0000R 00001 00134*")</f>
        <v>0</v>
      </c>
      <c r="E2773" s="54"/>
      <c r="F2773" s="83">
        <f>SUMIFS(F2774:F6462,K2774:K6462,"0",B2774:B6462,"5 1 1 3 4 12 31111 6 M59 90000 000132 0000R 00001 00134*")</f>
        <v>138000</v>
      </c>
      <c r="G2773" s="83">
        <f>SUMIFS(G2774:G6462,K2774:K6462,"0",B2774:B6462,"5 1 1 3 4 12 31111 6 M59 90000 000132 0000R 00001 00134*")</f>
        <v>0</v>
      </c>
      <c r="H2773" s="83">
        <f t="shared" si="43"/>
        <v>138000</v>
      </c>
      <c r="I2773" s="83"/>
      <c r="K2773" s="54" t="s">
        <v>15</v>
      </c>
    </row>
    <row r="2774" spans="2:11" ht="33" x14ac:dyDescent="0.2">
      <c r="B2774" s="82" t="s">
        <v>5066</v>
      </c>
      <c r="C2774" s="82" t="s">
        <v>1051</v>
      </c>
      <c r="D2774" s="83">
        <f>SUMIFS(D2775:D6462,K2775:K6462,"0",B2775:B6462,"5 1 1 3 4 12 31111 6 M59 90000 000132 0000R 00001 00134 015*")-SUMIFS(E2775:E6462,K2775:K6462,"0",B2775:B6462,"5 1 1 3 4 12 31111 6 M59 90000 000132 0000R 00001 00134 015*")</f>
        <v>0</v>
      </c>
      <c r="E2774" s="54"/>
      <c r="F2774" s="83">
        <f>SUMIFS(F2775:F6462,K2775:K6462,"0",B2775:B6462,"5 1 1 3 4 12 31111 6 M59 90000 000132 0000R 00001 00134 015*")</f>
        <v>138000</v>
      </c>
      <c r="G2774" s="83">
        <f>SUMIFS(G2775:G6462,K2775:K6462,"0",B2775:B6462,"5 1 1 3 4 12 31111 6 M59 90000 000132 0000R 00001 00134 015*")</f>
        <v>0</v>
      </c>
      <c r="H2774" s="83">
        <f t="shared" si="43"/>
        <v>138000</v>
      </c>
      <c r="I2774" s="83"/>
      <c r="K2774" s="54" t="s">
        <v>15</v>
      </c>
    </row>
    <row r="2775" spans="2:11" ht="33" x14ac:dyDescent="0.2">
      <c r="B2775" s="82" t="s">
        <v>5067</v>
      </c>
      <c r="C2775" s="82" t="s">
        <v>2927</v>
      </c>
      <c r="D2775" s="83">
        <f>SUMIFS(D2776:D6462,K2776:K6462,"0",B2776:B6462,"5 1 1 3 4 12 31111 6 M59 90000 000132 0000R 00001 00134 015 2111100*")-SUMIFS(E2776:E6462,K2776:K6462,"0",B2776:B6462,"5 1 1 3 4 12 31111 6 M59 90000 000132 0000R 00001 00134 015 2111100*")</f>
        <v>0</v>
      </c>
      <c r="E2775" s="54"/>
      <c r="F2775" s="83">
        <f>SUMIFS(F2776:F6462,K2776:K6462,"0",B2776:B6462,"5 1 1 3 4 12 31111 6 M59 90000 000132 0000R 00001 00134 015 2111100*")</f>
        <v>138000</v>
      </c>
      <c r="G2775" s="83">
        <f>SUMIFS(G2776:G6462,K2776:K6462,"0",B2776:B6462,"5 1 1 3 4 12 31111 6 M59 90000 000132 0000R 00001 00134 015 2111100*")</f>
        <v>0</v>
      </c>
      <c r="H2775" s="83">
        <f t="shared" si="43"/>
        <v>138000</v>
      </c>
      <c r="I2775" s="83"/>
      <c r="K2775" s="54" t="s">
        <v>15</v>
      </c>
    </row>
    <row r="2776" spans="2:11" ht="33" x14ac:dyDescent="0.2">
      <c r="B2776" s="82" t="s">
        <v>5068</v>
      </c>
      <c r="C2776" s="82" t="s">
        <v>660</v>
      </c>
      <c r="D2776" s="83">
        <f>SUMIFS(D2777:D6462,K2777:K6462,"0",B2777:B6462,"5 1 1 3 4 12 31111 6 M59 90000 000132 0000R 00001 00134 015 2111100 2024*")-SUMIFS(E2777:E6462,K2777:K6462,"0",B2777:B6462,"5 1 1 3 4 12 31111 6 M59 90000 000132 0000R 00001 00134 015 2111100 2024*")</f>
        <v>0</v>
      </c>
      <c r="E2776" s="54"/>
      <c r="F2776" s="83">
        <f>SUMIFS(F2777:F6462,K2777:K6462,"0",B2777:B6462,"5 1 1 3 4 12 31111 6 M59 90000 000132 0000R 00001 00134 015 2111100 2024*")</f>
        <v>138000</v>
      </c>
      <c r="G2776" s="83">
        <f>SUMIFS(G2777:G6462,K2777:K6462,"0",B2777:B6462,"5 1 1 3 4 12 31111 6 M59 90000 000132 0000R 00001 00134 015 2111100 2024*")</f>
        <v>0</v>
      </c>
      <c r="H2776" s="83">
        <f t="shared" si="43"/>
        <v>138000</v>
      </c>
      <c r="I2776" s="83"/>
      <c r="K2776" s="54" t="s">
        <v>15</v>
      </c>
    </row>
    <row r="2777" spans="2:11" ht="41.25" x14ac:dyDescent="0.2">
      <c r="B2777" s="82" t="s">
        <v>5069</v>
      </c>
      <c r="C2777" s="82" t="s">
        <v>1056</v>
      </c>
      <c r="D2777" s="83">
        <f>SUMIFS(D2778:D6462,K2778:K6462,"0",B2778:B6462,"5 1 1 3 4 12 31111 6 M59 90000 000132 0000R 00001 00134 015 2111100 2024 CP1SG383*")-SUMIFS(E2778:E6462,K2778:K6462,"0",B2778:B6462,"5 1 1 3 4 12 31111 6 M59 90000 000132 0000R 00001 00134 015 2111100 2024 CP1SG383*")</f>
        <v>0</v>
      </c>
      <c r="E2777" s="54"/>
      <c r="F2777" s="83">
        <f>SUMIFS(F2778:F6462,K2778:K6462,"0",B2778:B6462,"5 1 1 3 4 12 31111 6 M59 90000 000132 0000R 00001 00134 015 2111100 2024 CP1SG383*")</f>
        <v>138000</v>
      </c>
      <c r="G2777" s="83">
        <f>SUMIFS(G2778:G6462,K2778:K6462,"0",B2778:B6462,"5 1 1 3 4 12 31111 6 M59 90000 000132 0000R 00001 00134 015 2111100 2024 CP1SG383*")</f>
        <v>0</v>
      </c>
      <c r="H2777" s="83">
        <f t="shared" si="43"/>
        <v>138000</v>
      </c>
      <c r="I2777" s="83"/>
      <c r="K2777" s="54" t="s">
        <v>15</v>
      </c>
    </row>
    <row r="2778" spans="2:11" ht="41.25" x14ac:dyDescent="0.2">
      <c r="B2778" s="82" t="s">
        <v>5070</v>
      </c>
      <c r="C2778" s="82" t="s">
        <v>5071</v>
      </c>
      <c r="D2778" s="83">
        <f>SUMIFS(D2779:D6462,K2779:K6462,"0",B2779:B6462,"5 1 1 3 4 12 31111 6 M59 90000 000132 0000R 00001 00134 015 2111100 2024 CP1SG383 001*")-SUMIFS(E2779:E6462,K2779:K6462,"0",B2779:B6462,"5 1 1 3 4 12 31111 6 M59 90000 000132 0000R 00001 00134 015 2111100 2024 CP1SG383 001*")</f>
        <v>0</v>
      </c>
      <c r="E2778" s="54"/>
      <c r="F2778" s="83">
        <f>SUMIFS(F2779:F6462,K2779:K6462,"0",B2779:B6462,"5 1 1 3 4 12 31111 6 M59 90000 000132 0000R 00001 00134 015 2111100 2024 CP1SG383 001*")</f>
        <v>138000</v>
      </c>
      <c r="G2778" s="83">
        <f>SUMIFS(G2779:G6462,K2779:K6462,"0",B2779:B6462,"5 1 1 3 4 12 31111 6 M59 90000 000132 0000R 00001 00134 015 2111100 2024 CP1SG383 001*")</f>
        <v>0</v>
      </c>
      <c r="H2778" s="83">
        <f t="shared" si="43"/>
        <v>138000</v>
      </c>
      <c r="I2778" s="83"/>
      <c r="K2778" s="54" t="s">
        <v>15</v>
      </c>
    </row>
    <row r="2779" spans="2:11" ht="41.25" x14ac:dyDescent="0.2">
      <c r="B2779" s="84" t="s">
        <v>5072</v>
      </c>
      <c r="C2779" s="84" t="s">
        <v>4840</v>
      </c>
      <c r="D2779" s="85">
        <v>0</v>
      </c>
      <c r="E2779" s="85"/>
      <c r="F2779" s="85">
        <v>138000</v>
      </c>
      <c r="G2779" s="85">
        <v>0</v>
      </c>
      <c r="H2779" s="85">
        <f t="shared" si="43"/>
        <v>138000</v>
      </c>
      <c r="I2779" s="85"/>
      <c r="K2779" s="54" t="s">
        <v>38</v>
      </c>
    </row>
    <row r="2780" spans="2:11" ht="16.5" x14ac:dyDescent="0.2">
      <c r="B2780" s="82" t="s">
        <v>5073</v>
      </c>
      <c r="C2780" s="82" t="s">
        <v>3608</v>
      </c>
      <c r="D2780" s="83">
        <f>SUMIFS(D2781:D6462,K2781:K6462,"0",B2781:B6462,"5 1 1 3 4 12 31111 6 M59 91000*")-SUMIFS(E2781:E6462,K2781:K6462,"0",B2781:B6462,"5 1 1 3 4 12 31111 6 M59 91000*")</f>
        <v>0</v>
      </c>
      <c r="E2780" s="54"/>
      <c r="F2780" s="83">
        <f>SUMIFS(F2781:F6462,K2781:K6462,"0",B2781:B6462,"5 1 1 3 4 12 31111 6 M59 91000*")</f>
        <v>72000</v>
      </c>
      <c r="G2780" s="83">
        <f>SUMIFS(G2781:G6462,K2781:K6462,"0",B2781:B6462,"5 1 1 3 4 12 31111 6 M59 91000*")</f>
        <v>0</v>
      </c>
      <c r="H2780" s="83">
        <f t="shared" si="43"/>
        <v>72000</v>
      </c>
      <c r="I2780" s="83"/>
      <c r="K2780" s="54" t="s">
        <v>15</v>
      </c>
    </row>
    <row r="2781" spans="2:11" ht="16.5" x14ac:dyDescent="0.2">
      <c r="B2781" s="82" t="s">
        <v>5074</v>
      </c>
      <c r="C2781" s="82" t="s">
        <v>648</v>
      </c>
      <c r="D2781" s="83">
        <f>SUMIFS(D2782:D6462,K2782:K6462,"0",B2782:B6462,"5 1 1 3 4 12 31111 6 M59 91000 000132*")-SUMIFS(E2782:E6462,K2782:K6462,"0",B2782:B6462,"5 1 1 3 4 12 31111 6 M59 91000 000132*")</f>
        <v>0</v>
      </c>
      <c r="E2781" s="54"/>
      <c r="F2781" s="83">
        <f>SUMIFS(F2782:F6462,K2782:K6462,"0",B2782:B6462,"5 1 1 3 4 12 31111 6 M59 91000 000132*")</f>
        <v>72000</v>
      </c>
      <c r="G2781" s="83">
        <f>SUMIFS(G2782:G6462,K2782:K6462,"0",B2782:B6462,"5 1 1 3 4 12 31111 6 M59 91000 000132*")</f>
        <v>0</v>
      </c>
      <c r="H2781" s="83">
        <f t="shared" si="43"/>
        <v>72000</v>
      </c>
      <c r="I2781" s="83"/>
      <c r="K2781" s="54" t="s">
        <v>15</v>
      </c>
    </row>
    <row r="2782" spans="2:11" ht="24.75" x14ac:dyDescent="0.2">
      <c r="B2782" s="82" t="s">
        <v>5075</v>
      </c>
      <c r="C2782" s="82" t="s">
        <v>650</v>
      </c>
      <c r="D2782" s="83">
        <f>SUMIFS(D2783:D6462,K2783:K6462,"0",B2783:B6462,"5 1 1 3 4 12 31111 6 M59 91000 000132 0000R*")-SUMIFS(E2783:E6462,K2783:K6462,"0",B2783:B6462,"5 1 1 3 4 12 31111 6 M59 91000 000132 0000R*")</f>
        <v>0</v>
      </c>
      <c r="E2782" s="54"/>
      <c r="F2782" s="83">
        <f>SUMIFS(F2783:F6462,K2783:K6462,"0",B2783:B6462,"5 1 1 3 4 12 31111 6 M59 91000 000132 0000R*")</f>
        <v>72000</v>
      </c>
      <c r="G2782" s="83">
        <f>SUMIFS(G2783:G6462,K2783:K6462,"0",B2783:B6462,"5 1 1 3 4 12 31111 6 M59 91000 000132 0000R*")</f>
        <v>0</v>
      </c>
      <c r="H2782" s="83">
        <f t="shared" si="43"/>
        <v>72000</v>
      </c>
      <c r="I2782" s="83"/>
      <c r="K2782" s="54" t="s">
        <v>15</v>
      </c>
    </row>
    <row r="2783" spans="2:11" ht="24.75" x14ac:dyDescent="0.2">
      <c r="B2783" s="82" t="s">
        <v>5076</v>
      </c>
      <c r="C2783" s="82" t="s">
        <v>282</v>
      </c>
      <c r="D2783" s="83">
        <f>SUMIFS(D2784:D6462,K2784:K6462,"0",B2784:B6462,"5 1 1 3 4 12 31111 6 M59 91000 000132 0000R 00001*")-SUMIFS(E2784:E6462,K2784:K6462,"0",B2784:B6462,"5 1 1 3 4 12 31111 6 M59 91000 000132 0000R 00001*")</f>
        <v>0</v>
      </c>
      <c r="E2783" s="54"/>
      <c r="F2783" s="83">
        <f>SUMIFS(F2784:F6462,K2784:K6462,"0",B2784:B6462,"5 1 1 3 4 12 31111 6 M59 91000 000132 0000R 00001*")</f>
        <v>72000</v>
      </c>
      <c r="G2783" s="83">
        <f>SUMIFS(G2784:G6462,K2784:K6462,"0",B2784:B6462,"5 1 1 3 4 12 31111 6 M59 91000 000132 0000R 00001*")</f>
        <v>0</v>
      </c>
      <c r="H2783" s="83">
        <f t="shared" si="43"/>
        <v>72000</v>
      </c>
      <c r="I2783" s="83"/>
      <c r="K2783" s="54" t="s">
        <v>15</v>
      </c>
    </row>
    <row r="2784" spans="2:11" ht="24.75" x14ac:dyDescent="0.2">
      <c r="B2784" s="82" t="s">
        <v>5077</v>
      </c>
      <c r="C2784" s="82" t="s">
        <v>4776</v>
      </c>
      <c r="D2784" s="83">
        <f>SUMIFS(D2785:D6462,K2785:K6462,"0",B2785:B6462,"5 1 1 3 4 12 31111 6 M59 91000 000132 0000R 00001 00134*")-SUMIFS(E2785:E6462,K2785:K6462,"0",B2785:B6462,"5 1 1 3 4 12 31111 6 M59 91000 000132 0000R 00001 00134*")</f>
        <v>0</v>
      </c>
      <c r="E2784" s="54"/>
      <c r="F2784" s="83">
        <f>SUMIFS(F2785:F6462,K2785:K6462,"0",B2785:B6462,"5 1 1 3 4 12 31111 6 M59 91000 000132 0000R 00001 00134*")</f>
        <v>72000</v>
      </c>
      <c r="G2784" s="83">
        <f>SUMIFS(G2785:G6462,K2785:K6462,"0",B2785:B6462,"5 1 1 3 4 12 31111 6 M59 91000 000132 0000R 00001 00134*")</f>
        <v>0</v>
      </c>
      <c r="H2784" s="83">
        <f t="shared" si="43"/>
        <v>72000</v>
      </c>
      <c r="I2784" s="83"/>
      <c r="K2784" s="54" t="s">
        <v>15</v>
      </c>
    </row>
    <row r="2785" spans="2:11" ht="33" x14ac:dyDescent="0.2">
      <c r="B2785" s="82" t="s">
        <v>5078</v>
      </c>
      <c r="C2785" s="82" t="s">
        <v>1051</v>
      </c>
      <c r="D2785" s="83">
        <f>SUMIFS(D2786:D6462,K2786:K6462,"0",B2786:B6462,"5 1 1 3 4 12 31111 6 M59 91000 000132 0000R 00001 00134 015*")-SUMIFS(E2786:E6462,K2786:K6462,"0",B2786:B6462,"5 1 1 3 4 12 31111 6 M59 91000 000132 0000R 00001 00134 015*")</f>
        <v>0</v>
      </c>
      <c r="E2785" s="54"/>
      <c r="F2785" s="83">
        <f>SUMIFS(F2786:F6462,K2786:K6462,"0",B2786:B6462,"5 1 1 3 4 12 31111 6 M59 91000 000132 0000R 00001 00134 015*")</f>
        <v>72000</v>
      </c>
      <c r="G2785" s="83">
        <f>SUMIFS(G2786:G6462,K2786:K6462,"0",B2786:B6462,"5 1 1 3 4 12 31111 6 M59 91000 000132 0000R 00001 00134 015*")</f>
        <v>0</v>
      </c>
      <c r="H2785" s="83">
        <f t="shared" si="43"/>
        <v>72000</v>
      </c>
      <c r="I2785" s="83"/>
      <c r="K2785" s="54" t="s">
        <v>15</v>
      </c>
    </row>
    <row r="2786" spans="2:11" ht="33" x14ac:dyDescent="0.2">
      <c r="B2786" s="82" t="s">
        <v>5079</v>
      </c>
      <c r="C2786" s="82" t="s">
        <v>2927</v>
      </c>
      <c r="D2786" s="83">
        <f>SUMIFS(D2787:D6462,K2787:K6462,"0",B2787:B6462,"5 1 1 3 4 12 31111 6 M59 91000 000132 0000R 00001 00134 015 2111100*")-SUMIFS(E2787:E6462,K2787:K6462,"0",B2787:B6462,"5 1 1 3 4 12 31111 6 M59 91000 000132 0000R 00001 00134 015 2111100*")</f>
        <v>0</v>
      </c>
      <c r="E2786" s="54"/>
      <c r="F2786" s="83">
        <f>SUMIFS(F2787:F6462,K2787:K6462,"0",B2787:B6462,"5 1 1 3 4 12 31111 6 M59 91000 000132 0000R 00001 00134 015 2111100*")</f>
        <v>72000</v>
      </c>
      <c r="G2786" s="83">
        <f>SUMIFS(G2787:G6462,K2787:K6462,"0",B2787:B6462,"5 1 1 3 4 12 31111 6 M59 91000 000132 0000R 00001 00134 015 2111100*")</f>
        <v>0</v>
      </c>
      <c r="H2786" s="83">
        <f t="shared" si="43"/>
        <v>72000</v>
      </c>
      <c r="I2786" s="83"/>
      <c r="K2786" s="54" t="s">
        <v>15</v>
      </c>
    </row>
    <row r="2787" spans="2:11" ht="33" x14ac:dyDescent="0.2">
      <c r="B2787" s="82" t="s">
        <v>5080</v>
      </c>
      <c r="C2787" s="82" t="s">
        <v>660</v>
      </c>
      <c r="D2787" s="83">
        <f>SUMIFS(D2788:D6462,K2788:K6462,"0",B2788:B6462,"5 1 1 3 4 12 31111 6 M59 91000 000132 0000R 00001 00134 015 2111100 2024*")-SUMIFS(E2788:E6462,K2788:K6462,"0",B2788:B6462,"5 1 1 3 4 12 31111 6 M59 91000 000132 0000R 00001 00134 015 2111100 2024*")</f>
        <v>0</v>
      </c>
      <c r="E2787" s="54"/>
      <c r="F2787" s="83">
        <f>SUMIFS(F2788:F6462,K2788:K6462,"0",B2788:B6462,"5 1 1 3 4 12 31111 6 M59 91000 000132 0000R 00001 00134 015 2111100 2024*")</f>
        <v>72000</v>
      </c>
      <c r="G2787" s="83">
        <f>SUMIFS(G2788:G6462,K2788:K6462,"0",B2788:B6462,"5 1 1 3 4 12 31111 6 M59 91000 000132 0000R 00001 00134 015 2111100 2024*")</f>
        <v>0</v>
      </c>
      <c r="H2787" s="83">
        <f t="shared" si="43"/>
        <v>72000</v>
      </c>
      <c r="I2787" s="83"/>
      <c r="K2787" s="54" t="s">
        <v>15</v>
      </c>
    </row>
    <row r="2788" spans="2:11" ht="41.25" x14ac:dyDescent="0.2">
      <c r="B2788" s="82" t="s">
        <v>5081</v>
      </c>
      <c r="C2788" s="82" t="s">
        <v>1056</v>
      </c>
      <c r="D2788" s="83">
        <f>SUMIFS(D2789:D6462,K2789:K6462,"0",B2789:B6462,"5 1 1 3 4 12 31111 6 M59 91000 000132 0000R 00001 00134 015 2111100 2024 CP1RE398*")-SUMIFS(E2789:E6462,K2789:K6462,"0",B2789:B6462,"5 1 1 3 4 12 31111 6 M59 91000 000132 0000R 00001 00134 015 2111100 2024 CP1RE398*")</f>
        <v>0</v>
      </c>
      <c r="E2788" s="54"/>
      <c r="F2788" s="83">
        <f>SUMIFS(F2789:F6462,K2789:K6462,"0",B2789:B6462,"5 1 1 3 4 12 31111 6 M59 91000 000132 0000R 00001 00134 015 2111100 2024 CP1RE398*")</f>
        <v>72000</v>
      </c>
      <c r="G2788" s="83">
        <f>SUMIFS(G2789:G6462,K2789:K6462,"0",B2789:B6462,"5 1 1 3 4 12 31111 6 M59 91000 000132 0000R 00001 00134 015 2111100 2024 CP1RE398*")</f>
        <v>0</v>
      </c>
      <c r="H2788" s="83">
        <f t="shared" si="43"/>
        <v>72000</v>
      </c>
      <c r="I2788" s="83"/>
      <c r="K2788" s="54" t="s">
        <v>15</v>
      </c>
    </row>
    <row r="2789" spans="2:11" ht="41.25" x14ac:dyDescent="0.2">
      <c r="B2789" s="82" t="s">
        <v>5082</v>
      </c>
      <c r="C2789" s="82" t="s">
        <v>282</v>
      </c>
      <c r="D2789" s="83">
        <f>SUMIFS(D2790:D6462,K2790:K6462,"0",B2790:B6462,"5 1 1 3 4 12 31111 6 M59 91000 000132 0000R 00001 00134 015 2111100 2024 CP1RE398 001*")-SUMIFS(E2790:E6462,K2790:K6462,"0",B2790:B6462,"5 1 1 3 4 12 31111 6 M59 91000 000132 0000R 00001 00134 015 2111100 2024 CP1RE398 001*")</f>
        <v>0</v>
      </c>
      <c r="E2789" s="54"/>
      <c r="F2789" s="83">
        <f>SUMIFS(F2790:F6462,K2790:K6462,"0",B2790:B6462,"5 1 1 3 4 12 31111 6 M59 91000 000132 0000R 00001 00134 015 2111100 2024 CP1RE398 001*")</f>
        <v>72000</v>
      </c>
      <c r="G2789" s="83">
        <f>SUMIFS(G2790:G6462,K2790:K6462,"0",B2790:B6462,"5 1 1 3 4 12 31111 6 M59 91000 000132 0000R 00001 00134 015 2111100 2024 CP1RE398 001*")</f>
        <v>0</v>
      </c>
      <c r="H2789" s="83">
        <f t="shared" si="43"/>
        <v>72000</v>
      </c>
      <c r="I2789" s="83"/>
      <c r="K2789" s="54" t="s">
        <v>15</v>
      </c>
    </row>
    <row r="2790" spans="2:11" ht="33" x14ac:dyDescent="0.2">
      <c r="B2790" s="84" t="s">
        <v>5083</v>
      </c>
      <c r="C2790" s="84" t="s">
        <v>4840</v>
      </c>
      <c r="D2790" s="85">
        <v>0</v>
      </c>
      <c r="E2790" s="85"/>
      <c r="F2790" s="85">
        <v>72000</v>
      </c>
      <c r="G2790" s="85">
        <v>0</v>
      </c>
      <c r="H2790" s="85">
        <f t="shared" si="43"/>
        <v>72000</v>
      </c>
      <c r="I2790" s="85"/>
      <c r="K2790" s="54" t="s">
        <v>38</v>
      </c>
    </row>
    <row r="2791" spans="2:11" ht="16.5" x14ac:dyDescent="0.2">
      <c r="B2791" s="82" t="s">
        <v>5084</v>
      </c>
      <c r="C2791" s="82" t="s">
        <v>3620</v>
      </c>
      <c r="D2791" s="83">
        <f>SUMIFS(D2792:D6462,K2792:K6462,"0",B2792:B6462,"5 1 1 3 4 12 31111 6 M59 92000*")-SUMIFS(E2792:E6462,K2792:K6462,"0",B2792:B6462,"5 1 1 3 4 12 31111 6 M59 92000*")</f>
        <v>0</v>
      </c>
      <c r="E2791" s="54"/>
      <c r="F2791" s="83">
        <f>SUMIFS(F2792:F6462,K2792:K6462,"0",B2792:B6462,"5 1 1 3 4 12 31111 6 M59 92000*")</f>
        <v>44104.32</v>
      </c>
      <c r="G2791" s="83">
        <f>SUMIFS(G2792:G6462,K2792:K6462,"0",B2792:B6462,"5 1 1 3 4 12 31111 6 M59 92000*")</f>
        <v>0</v>
      </c>
      <c r="H2791" s="83">
        <f t="shared" si="43"/>
        <v>44104.32</v>
      </c>
      <c r="I2791" s="83"/>
      <c r="K2791" s="54" t="s">
        <v>15</v>
      </c>
    </row>
    <row r="2792" spans="2:11" ht="24.75" x14ac:dyDescent="0.2">
      <c r="B2792" s="82" t="s">
        <v>5085</v>
      </c>
      <c r="C2792" s="82" t="s">
        <v>3152</v>
      </c>
      <c r="D2792" s="83">
        <f>SUMIFS(D2793:D6462,K2793:K6462,"0",B2793:B6462,"5 1 1 3 4 12 31111 6 M59 92000 000181*")-SUMIFS(E2793:E6462,K2793:K6462,"0",B2793:B6462,"5 1 1 3 4 12 31111 6 M59 92000 000181*")</f>
        <v>0</v>
      </c>
      <c r="E2792" s="54"/>
      <c r="F2792" s="83">
        <f>SUMIFS(F2793:F6462,K2793:K6462,"0",B2793:B6462,"5 1 1 3 4 12 31111 6 M59 92000 000181*")</f>
        <v>44104.32</v>
      </c>
      <c r="G2792" s="83">
        <f>SUMIFS(G2793:G6462,K2793:K6462,"0",B2793:B6462,"5 1 1 3 4 12 31111 6 M59 92000 000181*")</f>
        <v>0</v>
      </c>
      <c r="H2792" s="83">
        <f t="shared" si="43"/>
        <v>44104.32</v>
      </c>
      <c r="I2792" s="83"/>
      <c r="K2792" s="54" t="s">
        <v>15</v>
      </c>
    </row>
    <row r="2793" spans="2:11" ht="24.75" x14ac:dyDescent="0.2">
      <c r="B2793" s="82" t="s">
        <v>5086</v>
      </c>
      <c r="C2793" s="82" t="s">
        <v>1065</v>
      </c>
      <c r="D2793" s="83">
        <f>SUMIFS(D2794:D6462,K2794:K6462,"0",B2794:B6462,"5 1 1 3 4 12 31111 6 M59 92000 000181 0000E*")-SUMIFS(E2794:E6462,K2794:K6462,"0",B2794:B6462,"5 1 1 3 4 12 31111 6 M59 92000 000181 0000E*")</f>
        <v>0</v>
      </c>
      <c r="E2793" s="54"/>
      <c r="F2793" s="83">
        <f>SUMIFS(F2794:F6462,K2794:K6462,"0",B2794:B6462,"5 1 1 3 4 12 31111 6 M59 92000 000181 0000E*")</f>
        <v>44104.32</v>
      </c>
      <c r="G2793" s="83">
        <f>SUMIFS(G2794:G6462,K2794:K6462,"0",B2794:B6462,"5 1 1 3 4 12 31111 6 M59 92000 000181 0000E*")</f>
        <v>0</v>
      </c>
      <c r="H2793" s="83">
        <f t="shared" si="43"/>
        <v>44104.32</v>
      </c>
      <c r="I2793" s="83"/>
      <c r="K2793" s="54" t="s">
        <v>15</v>
      </c>
    </row>
    <row r="2794" spans="2:11" ht="24.75" x14ac:dyDescent="0.2">
      <c r="B2794" s="82" t="s">
        <v>5087</v>
      </c>
      <c r="C2794" s="82" t="s">
        <v>282</v>
      </c>
      <c r="D2794" s="83">
        <f>SUMIFS(D2795:D6462,K2795:K6462,"0",B2795:B6462,"5 1 1 3 4 12 31111 6 M59 92000 000181 0000E 00001*")-SUMIFS(E2795:E6462,K2795:K6462,"0",B2795:B6462,"5 1 1 3 4 12 31111 6 M59 92000 000181 0000E 00001*")</f>
        <v>0</v>
      </c>
      <c r="E2794" s="54"/>
      <c r="F2794" s="83">
        <f>SUMIFS(F2795:F6462,K2795:K6462,"0",B2795:B6462,"5 1 1 3 4 12 31111 6 M59 92000 000181 0000E 00001*")</f>
        <v>44104.32</v>
      </c>
      <c r="G2794" s="83">
        <f>SUMIFS(G2795:G6462,K2795:K6462,"0",B2795:B6462,"5 1 1 3 4 12 31111 6 M59 92000 000181 0000E 00001*")</f>
        <v>0</v>
      </c>
      <c r="H2794" s="83">
        <f t="shared" si="43"/>
        <v>44104.32</v>
      </c>
      <c r="I2794" s="83"/>
      <c r="K2794" s="54" t="s">
        <v>15</v>
      </c>
    </row>
    <row r="2795" spans="2:11" ht="24.75" x14ac:dyDescent="0.2">
      <c r="B2795" s="82" t="s">
        <v>5088</v>
      </c>
      <c r="C2795" s="82" t="s">
        <v>4776</v>
      </c>
      <c r="D2795" s="83">
        <f>SUMIFS(D2796:D6462,K2796:K6462,"0",B2796:B6462,"5 1 1 3 4 12 31111 6 M59 92000 000181 0000E 00001 00134*")-SUMIFS(E2796:E6462,K2796:K6462,"0",B2796:B6462,"5 1 1 3 4 12 31111 6 M59 92000 000181 0000E 00001 00134*")</f>
        <v>0</v>
      </c>
      <c r="E2795" s="54"/>
      <c r="F2795" s="83">
        <f>SUMIFS(F2796:F6462,K2796:K6462,"0",B2796:B6462,"5 1 1 3 4 12 31111 6 M59 92000 000181 0000E 00001 00134*")</f>
        <v>44104.32</v>
      </c>
      <c r="G2795" s="83">
        <f>SUMIFS(G2796:G6462,K2796:K6462,"0",B2796:B6462,"5 1 1 3 4 12 31111 6 M59 92000 000181 0000E 00001 00134*")</f>
        <v>0</v>
      </c>
      <c r="H2795" s="83">
        <f t="shared" ref="H2795:H2858" si="44">D2795 + F2795 - G2795</f>
        <v>44104.32</v>
      </c>
      <c r="I2795" s="83"/>
      <c r="K2795" s="54" t="s">
        <v>15</v>
      </c>
    </row>
    <row r="2796" spans="2:11" ht="33" x14ac:dyDescent="0.2">
      <c r="B2796" s="82" t="s">
        <v>5089</v>
      </c>
      <c r="C2796" s="82" t="s">
        <v>1051</v>
      </c>
      <c r="D2796" s="83">
        <f>SUMIFS(D2797:D6462,K2797:K6462,"0",B2797:B6462,"5 1 1 3 4 12 31111 6 M59 92000 000181 0000E 00001 00134 015*")-SUMIFS(E2797:E6462,K2797:K6462,"0",B2797:B6462,"5 1 1 3 4 12 31111 6 M59 92000 000181 0000E 00001 00134 015*")</f>
        <v>0</v>
      </c>
      <c r="E2796" s="54"/>
      <c r="F2796" s="83">
        <f>SUMIFS(F2797:F6462,K2797:K6462,"0",B2797:B6462,"5 1 1 3 4 12 31111 6 M59 92000 000181 0000E 00001 00134 015*")</f>
        <v>44104.32</v>
      </c>
      <c r="G2796" s="83">
        <f>SUMIFS(G2797:G6462,K2797:K6462,"0",B2797:B6462,"5 1 1 3 4 12 31111 6 M59 92000 000181 0000E 00001 00134 015*")</f>
        <v>0</v>
      </c>
      <c r="H2796" s="83">
        <f t="shared" si="44"/>
        <v>44104.32</v>
      </c>
      <c r="I2796" s="83"/>
      <c r="K2796" s="54" t="s">
        <v>15</v>
      </c>
    </row>
    <row r="2797" spans="2:11" ht="33" x14ac:dyDescent="0.2">
      <c r="B2797" s="82" t="s">
        <v>5090</v>
      </c>
      <c r="C2797" s="82" t="s">
        <v>2927</v>
      </c>
      <c r="D2797" s="83">
        <f>SUMIFS(D2798:D6462,K2798:K6462,"0",B2798:B6462,"5 1 1 3 4 12 31111 6 M59 92000 000181 0000E 00001 00134 015 2111100*")-SUMIFS(E2798:E6462,K2798:K6462,"0",B2798:B6462,"5 1 1 3 4 12 31111 6 M59 92000 000181 0000E 00001 00134 015 2111100*")</f>
        <v>0</v>
      </c>
      <c r="E2797" s="54"/>
      <c r="F2797" s="83">
        <f>SUMIFS(F2798:F6462,K2798:K6462,"0",B2798:B6462,"5 1 1 3 4 12 31111 6 M59 92000 000181 0000E 00001 00134 015 2111100*")</f>
        <v>44104.32</v>
      </c>
      <c r="G2797" s="83">
        <f>SUMIFS(G2798:G6462,K2798:K6462,"0",B2798:B6462,"5 1 1 3 4 12 31111 6 M59 92000 000181 0000E 00001 00134 015 2111100*")</f>
        <v>0</v>
      </c>
      <c r="H2797" s="83">
        <f t="shared" si="44"/>
        <v>44104.32</v>
      </c>
      <c r="I2797" s="83"/>
      <c r="K2797" s="54" t="s">
        <v>15</v>
      </c>
    </row>
    <row r="2798" spans="2:11" ht="33" x14ac:dyDescent="0.2">
      <c r="B2798" s="82" t="s">
        <v>5091</v>
      </c>
      <c r="C2798" s="82" t="s">
        <v>660</v>
      </c>
      <c r="D2798" s="83">
        <f>SUMIFS(D2799:D6462,K2799:K6462,"0",B2799:B6462,"5 1 1 3 4 12 31111 6 M59 92000 000181 0000E 00001 00134 015 2111100 2024*")-SUMIFS(E2799:E6462,K2799:K6462,"0",B2799:B6462,"5 1 1 3 4 12 31111 6 M59 92000 000181 0000E 00001 00134 015 2111100 2024*")</f>
        <v>0</v>
      </c>
      <c r="E2798" s="54"/>
      <c r="F2798" s="83">
        <f>SUMIFS(F2799:F6462,K2799:K6462,"0",B2799:B6462,"5 1 1 3 4 12 31111 6 M59 92000 000181 0000E 00001 00134 015 2111100 2024*")</f>
        <v>44104.32</v>
      </c>
      <c r="G2798" s="83">
        <f>SUMIFS(G2799:G6462,K2799:K6462,"0",B2799:B6462,"5 1 1 3 4 12 31111 6 M59 92000 000181 0000E 00001 00134 015 2111100 2024*")</f>
        <v>0</v>
      </c>
      <c r="H2798" s="83">
        <f t="shared" si="44"/>
        <v>44104.32</v>
      </c>
      <c r="I2798" s="83"/>
      <c r="K2798" s="54" t="s">
        <v>15</v>
      </c>
    </row>
    <row r="2799" spans="2:11" ht="41.25" x14ac:dyDescent="0.2">
      <c r="B2799" s="82" t="s">
        <v>5092</v>
      </c>
      <c r="C2799" s="82" t="s">
        <v>1056</v>
      </c>
      <c r="D2799" s="83">
        <f>SUMIFS(D2800:D6462,K2800:K6462,"0",B2800:B6462,"5 1 1 3 4 12 31111 6 M59 92000 000181 0000E 00001 00134 015 2111100 2024 CP1RC399*")-SUMIFS(E2800:E6462,K2800:K6462,"0",B2800:B6462,"5 1 1 3 4 12 31111 6 M59 92000 000181 0000E 00001 00134 015 2111100 2024 CP1RC399*")</f>
        <v>0</v>
      </c>
      <c r="E2799" s="54"/>
      <c r="F2799" s="83">
        <f>SUMIFS(F2800:F6462,K2800:K6462,"0",B2800:B6462,"5 1 1 3 4 12 31111 6 M59 92000 000181 0000E 00001 00134 015 2111100 2024 CP1RC399*")</f>
        <v>44104.32</v>
      </c>
      <c r="G2799" s="83">
        <f>SUMIFS(G2800:G6462,K2800:K6462,"0",B2800:B6462,"5 1 1 3 4 12 31111 6 M59 92000 000181 0000E 00001 00134 015 2111100 2024 CP1RC399*")</f>
        <v>0</v>
      </c>
      <c r="H2799" s="83">
        <f t="shared" si="44"/>
        <v>44104.32</v>
      </c>
      <c r="I2799" s="83"/>
      <c r="K2799" s="54" t="s">
        <v>15</v>
      </c>
    </row>
    <row r="2800" spans="2:11" ht="41.25" x14ac:dyDescent="0.2">
      <c r="B2800" s="82" t="s">
        <v>5093</v>
      </c>
      <c r="C2800" s="82" t="s">
        <v>282</v>
      </c>
      <c r="D2800" s="83">
        <f>SUMIFS(D2801:D6462,K2801:K6462,"0",B2801:B6462,"5 1 1 3 4 12 31111 6 M59 92000 000181 0000E 00001 00134 015 2111100 2024 CP1RC399 001*")-SUMIFS(E2801:E6462,K2801:K6462,"0",B2801:B6462,"5 1 1 3 4 12 31111 6 M59 92000 000181 0000E 00001 00134 015 2111100 2024 CP1RC399 001*")</f>
        <v>0</v>
      </c>
      <c r="E2800" s="54"/>
      <c r="F2800" s="83">
        <f>SUMIFS(F2801:F6462,K2801:K6462,"0",B2801:B6462,"5 1 1 3 4 12 31111 6 M59 92000 000181 0000E 00001 00134 015 2111100 2024 CP1RC399 001*")</f>
        <v>44104.32</v>
      </c>
      <c r="G2800" s="83">
        <f>SUMIFS(G2801:G6462,K2801:K6462,"0",B2801:B6462,"5 1 1 3 4 12 31111 6 M59 92000 000181 0000E 00001 00134 015 2111100 2024 CP1RC399 001*")</f>
        <v>0</v>
      </c>
      <c r="H2800" s="83">
        <f t="shared" si="44"/>
        <v>44104.32</v>
      </c>
      <c r="I2800" s="83"/>
      <c r="K2800" s="54" t="s">
        <v>15</v>
      </c>
    </row>
    <row r="2801" spans="2:11" ht="33" x14ac:dyDescent="0.2">
      <c r="B2801" s="84" t="s">
        <v>5094</v>
      </c>
      <c r="C2801" s="84" t="s">
        <v>4783</v>
      </c>
      <c r="D2801" s="85">
        <v>0</v>
      </c>
      <c r="E2801" s="85"/>
      <c r="F2801" s="85">
        <v>44104.32</v>
      </c>
      <c r="G2801" s="85">
        <v>0</v>
      </c>
      <c r="H2801" s="85">
        <f t="shared" si="44"/>
        <v>44104.32</v>
      </c>
      <c r="I2801" s="85"/>
      <c r="K2801" s="54" t="s">
        <v>38</v>
      </c>
    </row>
    <row r="2802" spans="2:11" ht="16.5" x14ac:dyDescent="0.2">
      <c r="B2802" s="82" t="s">
        <v>5095</v>
      </c>
      <c r="C2802" s="82" t="s">
        <v>3644</v>
      </c>
      <c r="D2802" s="83">
        <f>SUMIFS(D2803:D6462,K2803:K6462,"0",B2803:B6462,"5 1 1 3 4 12 31111 6 M59 94000*")-SUMIFS(E2803:E6462,K2803:K6462,"0",B2803:B6462,"5 1 1 3 4 12 31111 6 M59 94000*")</f>
        <v>0</v>
      </c>
      <c r="E2802" s="54"/>
      <c r="F2802" s="83">
        <f>SUMIFS(F2803:F6462,K2803:K6462,"0",B2803:B6462,"5 1 1 3 4 12 31111 6 M59 94000*")</f>
        <v>74960</v>
      </c>
      <c r="G2802" s="83">
        <f>SUMIFS(G2803:G6462,K2803:K6462,"0",B2803:B6462,"5 1 1 3 4 12 31111 6 M59 94000*")</f>
        <v>0</v>
      </c>
      <c r="H2802" s="83">
        <f t="shared" si="44"/>
        <v>74960</v>
      </c>
      <c r="I2802" s="83"/>
      <c r="K2802" s="54" t="s">
        <v>15</v>
      </c>
    </row>
    <row r="2803" spans="2:11" ht="24.75" x14ac:dyDescent="0.2">
      <c r="B2803" s="82" t="s">
        <v>5096</v>
      </c>
      <c r="C2803" s="82" t="s">
        <v>3152</v>
      </c>
      <c r="D2803" s="83">
        <f>SUMIFS(D2804:D6462,K2804:K6462,"0",B2804:B6462,"5 1 1 3 4 12 31111 6 M59 94000 000181*")-SUMIFS(E2804:E6462,K2804:K6462,"0",B2804:B6462,"5 1 1 3 4 12 31111 6 M59 94000 000181*")</f>
        <v>0</v>
      </c>
      <c r="E2803" s="54"/>
      <c r="F2803" s="83">
        <f>SUMIFS(F2804:F6462,K2804:K6462,"0",B2804:B6462,"5 1 1 3 4 12 31111 6 M59 94000 000181*")</f>
        <v>74960</v>
      </c>
      <c r="G2803" s="83">
        <f>SUMIFS(G2804:G6462,K2804:K6462,"0",B2804:B6462,"5 1 1 3 4 12 31111 6 M59 94000 000181*")</f>
        <v>0</v>
      </c>
      <c r="H2803" s="83">
        <f t="shared" si="44"/>
        <v>74960</v>
      </c>
      <c r="I2803" s="83"/>
      <c r="K2803" s="54" t="s">
        <v>15</v>
      </c>
    </row>
    <row r="2804" spans="2:11" ht="24.75" x14ac:dyDescent="0.2">
      <c r="B2804" s="82" t="s">
        <v>5097</v>
      </c>
      <c r="C2804" s="82" t="s">
        <v>650</v>
      </c>
      <c r="D2804" s="83">
        <f>SUMIFS(D2805:D6462,K2805:K6462,"0",B2805:B6462,"5 1 1 3 4 12 31111 6 M59 94000 000181 0000R*")-SUMIFS(E2805:E6462,K2805:K6462,"0",B2805:B6462,"5 1 1 3 4 12 31111 6 M59 94000 000181 0000R*")</f>
        <v>0</v>
      </c>
      <c r="E2804" s="54"/>
      <c r="F2804" s="83">
        <f>SUMIFS(F2805:F6462,K2805:K6462,"0",B2805:B6462,"5 1 1 3 4 12 31111 6 M59 94000 000181 0000R*")</f>
        <v>74960</v>
      </c>
      <c r="G2804" s="83">
        <f>SUMIFS(G2805:G6462,K2805:K6462,"0",B2805:B6462,"5 1 1 3 4 12 31111 6 M59 94000 000181 0000R*")</f>
        <v>0</v>
      </c>
      <c r="H2804" s="83">
        <f t="shared" si="44"/>
        <v>74960</v>
      </c>
      <c r="I2804" s="83"/>
      <c r="K2804" s="54" t="s">
        <v>15</v>
      </c>
    </row>
    <row r="2805" spans="2:11" ht="24.75" x14ac:dyDescent="0.2">
      <c r="B2805" s="82" t="s">
        <v>5098</v>
      </c>
      <c r="C2805" s="82" t="s">
        <v>282</v>
      </c>
      <c r="D2805" s="83">
        <f>SUMIFS(D2806:D6462,K2806:K6462,"0",B2806:B6462,"5 1 1 3 4 12 31111 6 M59 94000 000181 0000R 00001*")-SUMIFS(E2806:E6462,K2806:K6462,"0",B2806:B6462,"5 1 1 3 4 12 31111 6 M59 94000 000181 0000R 00001*")</f>
        <v>0</v>
      </c>
      <c r="E2805" s="54"/>
      <c r="F2805" s="83">
        <f>SUMIFS(F2806:F6462,K2806:K6462,"0",B2806:B6462,"5 1 1 3 4 12 31111 6 M59 94000 000181 0000R 00001*")</f>
        <v>74960</v>
      </c>
      <c r="G2805" s="83">
        <f>SUMIFS(G2806:G6462,K2806:K6462,"0",B2806:B6462,"5 1 1 3 4 12 31111 6 M59 94000 000181 0000R 00001*")</f>
        <v>0</v>
      </c>
      <c r="H2805" s="83">
        <f t="shared" si="44"/>
        <v>74960</v>
      </c>
      <c r="I2805" s="83"/>
      <c r="K2805" s="54" t="s">
        <v>15</v>
      </c>
    </row>
    <row r="2806" spans="2:11" ht="24.75" x14ac:dyDescent="0.2">
      <c r="B2806" s="82" t="s">
        <v>5099</v>
      </c>
      <c r="C2806" s="82" t="s">
        <v>4776</v>
      </c>
      <c r="D2806" s="83">
        <f>SUMIFS(D2807:D6462,K2807:K6462,"0",B2807:B6462,"5 1 1 3 4 12 31111 6 M59 94000 000181 0000R 00001 00134*")-SUMIFS(E2807:E6462,K2807:K6462,"0",B2807:B6462,"5 1 1 3 4 12 31111 6 M59 94000 000181 0000R 00001 00134*")</f>
        <v>0</v>
      </c>
      <c r="E2806" s="54"/>
      <c r="F2806" s="83">
        <f>SUMIFS(F2807:F6462,K2807:K6462,"0",B2807:B6462,"5 1 1 3 4 12 31111 6 M59 94000 000181 0000R 00001 00134*")</f>
        <v>74960</v>
      </c>
      <c r="G2806" s="83">
        <f>SUMIFS(G2807:G6462,K2807:K6462,"0",B2807:B6462,"5 1 1 3 4 12 31111 6 M59 94000 000181 0000R 00001 00134*")</f>
        <v>0</v>
      </c>
      <c r="H2806" s="83">
        <f t="shared" si="44"/>
        <v>74960</v>
      </c>
      <c r="I2806" s="83"/>
      <c r="K2806" s="54" t="s">
        <v>15</v>
      </c>
    </row>
    <row r="2807" spans="2:11" ht="33" x14ac:dyDescent="0.2">
      <c r="B2807" s="82" t="s">
        <v>5100</v>
      </c>
      <c r="C2807" s="82" t="s">
        <v>1051</v>
      </c>
      <c r="D2807" s="83">
        <f>SUMIFS(D2808:D6462,K2808:K6462,"0",B2808:B6462,"5 1 1 3 4 12 31111 6 M59 94000 000181 0000R 00001 00134 015*")-SUMIFS(E2808:E6462,K2808:K6462,"0",B2808:B6462,"5 1 1 3 4 12 31111 6 M59 94000 000181 0000R 00001 00134 015*")</f>
        <v>0</v>
      </c>
      <c r="E2807" s="54"/>
      <c r="F2807" s="83">
        <f>SUMIFS(F2808:F6462,K2808:K6462,"0",B2808:B6462,"5 1 1 3 4 12 31111 6 M59 94000 000181 0000R 00001 00134 015*")</f>
        <v>74960</v>
      </c>
      <c r="G2807" s="83">
        <f>SUMIFS(G2808:G6462,K2808:K6462,"0",B2808:B6462,"5 1 1 3 4 12 31111 6 M59 94000 000181 0000R 00001 00134 015*")</f>
        <v>0</v>
      </c>
      <c r="H2807" s="83">
        <f t="shared" si="44"/>
        <v>74960</v>
      </c>
      <c r="I2807" s="83"/>
      <c r="K2807" s="54" t="s">
        <v>15</v>
      </c>
    </row>
    <row r="2808" spans="2:11" ht="33" x14ac:dyDescent="0.2">
      <c r="B2808" s="82" t="s">
        <v>5101</v>
      </c>
      <c r="C2808" s="82" t="s">
        <v>2927</v>
      </c>
      <c r="D2808" s="83">
        <f>SUMIFS(D2809:D6462,K2809:K6462,"0",B2809:B6462,"5 1 1 3 4 12 31111 6 M59 94000 000181 0000R 00001 00134 015 2111100*")-SUMIFS(E2809:E6462,K2809:K6462,"0",B2809:B6462,"5 1 1 3 4 12 31111 6 M59 94000 000181 0000R 00001 00134 015 2111100*")</f>
        <v>0</v>
      </c>
      <c r="E2808" s="54"/>
      <c r="F2808" s="83">
        <f>SUMIFS(F2809:F6462,K2809:K6462,"0",B2809:B6462,"5 1 1 3 4 12 31111 6 M59 94000 000181 0000R 00001 00134 015 2111100*")</f>
        <v>74960</v>
      </c>
      <c r="G2808" s="83">
        <f>SUMIFS(G2809:G6462,K2809:K6462,"0",B2809:B6462,"5 1 1 3 4 12 31111 6 M59 94000 000181 0000R 00001 00134 015 2111100*")</f>
        <v>0</v>
      </c>
      <c r="H2808" s="83">
        <f t="shared" si="44"/>
        <v>74960</v>
      </c>
      <c r="I2808" s="83"/>
      <c r="K2808" s="54" t="s">
        <v>15</v>
      </c>
    </row>
    <row r="2809" spans="2:11" ht="33" x14ac:dyDescent="0.2">
      <c r="B2809" s="82" t="s">
        <v>5102</v>
      </c>
      <c r="C2809" s="82" t="s">
        <v>660</v>
      </c>
      <c r="D2809" s="83">
        <f>SUMIFS(D2810:D6462,K2810:K6462,"0",B2810:B6462,"5 1 1 3 4 12 31111 6 M59 94000 000181 0000R 00001 00134 015 2111100 2024*")-SUMIFS(E2810:E6462,K2810:K6462,"0",B2810:B6462,"5 1 1 3 4 12 31111 6 M59 94000 000181 0000R 00001 00134 015 2111100 2024*")</f>
        <v>0</v>
      </c>
      <c r="E2809" s="54"/>
      <c r="F2809" s="83">
        <f>SUMIFS(F2810:F6462,K2810:K6462,"0",B2810:B6462,"5 1 1 3 4 12 31111 6 M59 94000 000181 0000R 00001 00134 015 2111100 2024*")</f>
        <v>74960</v>
      </c>
      <c r="G2809" s="83">
        <f>SUMIFS(G2810:G6462,K2810:K6462,"0",B2810:B6462,"5 1 1 3 4 12 31111 6 M59 94000 000181 0000R 00001 00134 015 2111100 2024*")</f>
        <v>0</v>
      </c>
      <c r="H2809" s="83">
        <f t="shared" si="44"/>
        <v>74960</v>
      </c>
      <c r="I2809" s="83"/>
      <c r="K2809" s="54" t="s">
        <v>15</v>
      </c>
    </row>
    <row r="2810" spans="2:11" ht="41.25" x14ac:dyDescent="0.2">
      <c r="B2810" s="82" t="s">
        <v>5103</v>
      </c>
      <c r="C2810" s="82" t="s">
        <v>1056</v>
      </c>
      <c r="D2810" s="83">
        <f>SUMIFS(D2811:D6462,K2811:K6462,"0",B2811:B6462,"5 1 1 3 4 12 31111 6 M59 94000 000181 0000R 00001 00134 015 2111100 2024 CP1OM392*")-SUMIFS(E2811:E6462,K2811:K6462,"0",B2811:B6462,"5 1 1 3 4 12 31111 6 M59 94000 000181 0000R 00001 00134 015 2111100 2024 CP1OM392*")</f>
        <v>0</v>
      </c>
      <c r="E2810" s="54"/>
      <c r="F2810" s="83">
        <f>SUMIFS(F2811:F6462,K2811:K6462,"0",B2811:B6462,"5 1 1 3 4 12 31111 6 M59 94000 000181 0000R 00001 00134 015 2111100 2024 CP1OM392*")</f>
        <v>74960</v>
      </c>
      <c r="G2810" s="83">
        <f>SUMIFS(G2811:G6462,K2811:K6462,"0",B2811:B6462,"5 1 1 3 4 12 31111 6 M59 94000 000181 0000R 00001 00134 015 2111100 2024 CP1OM392*")</f>
        <v>0</v>
      </c>
      <c r="H2810" s="83">
        <f t="shared" si="44"/>
        <v>74960</v>
      </c>
      <c r="I2810" s="83"/>
      <c r="K2810" s="54" t="s">
        <v>15</v>
      </c>
    </row>
    <row r="2811" spans="2:11" ht="41.25" x14ac:dyDescent="0.2">
      <c r="B2811" s="82" t="s">
        <v>5104</v>
      </c>
      <c r="C2811" s="82" t="s">
        <v>282</v>
      </c>
      <c r="D2811" s="83">
        <f>SUMIFS(D2812:D6462,K2812:K6462,"0",B2812:B6462,"5 1 1 3 4 12 31111 6 M59 94000 000181 0000R 00001 00134 015 2111100 2024 CP1OM392 001*")-SUMIFS(E2812:E6462,K2812:K6462,"0",B2812:B6462,"5 1 1 3 4 12 31111 6 M59 94000 000181 0000R 00001 00134 015 2111100 2024 CP1OM392 001*")</f>
        <v>0</v>
      </c>
      <c r="E2811" s="54"/>
      <c r="F2811" s="83">
        <f>SUMIFS(F2812:F6462,K2812:K6462,"0",B2812:B6462,"5 1 1 3 4 12 31111 6 M59 94000 000181 0000R 00001 00134 015 2111100 2024 CP1OM392 001*")</f>
        <v>74960</v>
      </c>
      <c r="G2811" s="83">
        <f>SUMIFS(G2812:G6462,K2812:K6462,"0",B2812:B6462,"5 1 1 3 4 12 31111 6 M59 94000 000181 0000R 00001 00134 015 2111100 2024 CP1OM392 001*")</f>
        <v>0</v>
      </c>
      <c r="H2811" s="83">
        <f t="shared" si="44"/>
        <v>74960</v>
      </c>
      <c r="I2811" s="83"/>
      <c r="K2811" s="54" t="s">
        <v>15</v>
      </c>
    </row>
    <row r="2812" spans="2:11" ht="33" x14ac:dyDescent="0.2">
      <c r="B2812" s="84" t="s">
        <v>5105</v>
      </c>
      <c r="C2812" s="84" t="s">
        <v>4783</v>
      </c>
      <c r="D2812" s="85">
        <v>0</v>
      </c>
      <c r="E2812" s="85"/>
      <c r="F2812" s="85">
        <v>74960</v>
      </c>
      <c r="G2812" s="85">
        <v>0</v>
      </c>
      <c r="H2812" s="85">
        <f t="shared" si="44"/>
        <v>74960</v>
      </c>
      <c r="I2812" s="85"/>
      <c r="K2812" s="54" t="s">
        <v>38</v>
      </c>
    </row>
    <row r="2813" spans="2:11" ht="16.5" x14ac:dyDescent="0.2">
      <c r="B2813" s="82" t="s">
        <v>5106</v>
      </c>
      <c r="C2813" s="82" t="s">
        <v>3668</v>
      </c>
      <c r="D2813" s="83">
        <f>SUMIFS(D2814:D6462,K2814:K6462,"0",B2814:B6462,"5 1 1 3 4 12 31111 6 M59 95000*")-SUMIFS(E2814:E6462,K2814:K6462,"0",B2814:B6462,"5 1 1 3 4 12 31111 6 M59 95000*")</f>
        <v>0</v>
      </c>
      <c r="E2813" s="54"/>
      <c r="F2813" s="83">
        <f>SUMIFS(F2814:F6462,K2814:K6462,"0",B2814:B6462,"5 1 1 3 4 12 31111 6 M59 95000*")</f>
        <v>19666.45</v>
      </c>
      <c r="G2813" s="83">
        <f>SUMIFS(G2814:G6462,K2814:K6462,"0",B2814:B6462,"5 1 1 3 4 12 31111 6 M59 95000*")</f>
        <v>0</v>
      </c>
      <c r="H2813" s="83">
        <f t="shared" si="44"/>
        <v>19666.45</v>
      </c>
      <c r="I2813" s="83"/>
      <c r="K2813" s="54" t="s">
        <v>15</v>
      </c>
    </row>
    <row r="2814" spans="2:11" ht="16.5" x14ac:dyDescent="0.2">
      <c r="B2814" s="82" t="s">
        <v>5107</v>
      </c>
      <c r="C2814" s="82" t="s">
        <v>1063</v>
      </c>
      <c r="D2814" s="83">
        <f>SUMIFS(D2815:D6462,K2815:K6462,"0",B2815:B6462,"5 1 1 3 4 12 31111 6 M59 95000 000139*")-SUMIFS(E2815:E6462,K2815:K6462,"0",B2815:B6462,"5 1 1 3 4 12 31111 6 M59 95000 000139*")</f>
        <v>0</v>
      </c>
      <c r="E2814" s="54"/>
      <c r="F2814" s="83">
        <f>SUMIFS(F2815:F6462,K2815:K6462,"0",B2815:B6462,"5 1 1 3 4 12 31111 6 M59 95000 000139*")</f>
        <v>19666.45</v>
      </c>
      <c r="G2814" s="83">
        <f>SUMIFS(G2815:G6462,K2815:K6462,"0",B2815:B6462,"5 1 1 3 4 12 31111 6 M59 95000 000139*")</f>
        <v>0</v>
      </c>
      <c r="H2814" s="83">
        <f t="shared" si="44"/>
        <v>19666.45</v>
      </c>
      <c r="I2814" s="83"/>
      <c r="K2814" s="54" t="s">
        <v>15</v>
      </c>
    </row>
    <row r="2815" spans="2:11" ht="24.75" x14ac:dyDescent="0.2">
      <c r="B2815" s="82" t="s">
        <v>5108</v>
      </c>
      <c r="C2815" s="82" t="s">
        <v>3671</v>
      </c>
      <c r="D2815" s="83">
        <f>SUMIFS(D2816:D6462,K2816:K6462,"0",B2816:B6462,"5 1 1 3 4 12 31111 6 M59 95000 000139 0000L*")-SUMIFS(E2816:E6462,K2816:K6462,"0",B2816:B6462,"5 1 1 3 4 12 31111 6 M59 95000 000139 0000L*")</f>
        <v>0</v>
      </c>
      <c r="E2815" s="54"/>
      <c r="F2815" s="83">
        <f>SUMIFS(F2816:F6462,K2816:K6462,"0",B2816:B6462,"5 1 1 3 4 12 31111 6 M59 95000 000139 0000L*")</f>
        <v>19666.45</v>
      </c>
      <c r="G2815" s="83">
        <f>SUMIFS(G2816:G6462,K2816:K6462,"0",B2816:B6462,"5 1 1 3 4 12 31111 6 M59 95000 000139 0000L*")</f>
        <v>0</v>
      </c>
      <c r="H2815" s="83">
        <f t="shared" si="44"/>
        <v>19666.45</v>
      </c>
      <c r="I2815" s="83"/>
      <c r="K2815" s="54" t="s">
        <v>15</v>
      </c>
    </row>
    <row r="2816" spans="2:11" ht="24.75" x14ac:dyDescent="0.2">
      <c r="B2816" s="82" t="s">
        <v>5109</v>
      </c>
      <c r="C2816" s="82" t="s">
        <v>282</v>
      </c>
      <c r="D2816" s="83">
        <f>SUMIFS(D2817:D6462,K2817:K6462,"0",B2817:B6462,"5 1 1 3 4 12 31111 6 M59 95000 000139 0000L 00001*")-SUMIFS(E2817:E6462,K2817:K6462,"0",B2817:B6462,"5 1 1 3 4 12 31111 6 M59 95000 000139 0000L 00001*")</f>
        <v>0</v>
      </c>
      <c r="E2816" s="54"/>
      <c r="F2816" s="83">
        <f>SUMIFS(F2817:F6462,K2817:K6462,"0",B2817:B6462,"5 1 1 3 4 12 31111 6 M59 95000 000139 0000L 00001*")</f>
        <v>19666.45</v>
      </c>
      <c r="G2816" s="83">
        <f>SUMIFS(G2817:G6462,K2817:K6462,"0",B2817:B6462,"5 1 1 3 4 12 31111 6 M59 95000 000139 0000L 00001*")</f>
        <v>0</v>
      </c>
      <c r="H2816" s="83">
        <f t="shared" si="44"/>
        <v>19666.45</v>
      </c>
      <c r="I2816" s="83"/>
      <c r="K2816" s="54" t="s">
        <v>15</v>
      </c>
    </row>
    <row r="2817" spans="2:11" ht="24.75" x14ac:dyDescent="0.2">
      <c r="B2817" s="82" t="s">
        <v>5110</v>
      </c>
      <c r="C2817" s="82" t="s">
        <v>4776</v>
      </c>
      <c r="D2817" s="83">
        <f>SUMIFS(D2818:D6462,K2818:K6462,"0",B2818:B6462,"5 1 1 3 4 12 31111 6 M59 95000 000139 0000L 00001 00134*")-SUMIFS(E2818:E6462,K2818:K6462,"0",B2818:B6462,"5 1 1 3 4 12 31111 6 M59 95000 000139 0000L 00001 00134*")</f>
        <v>0</v>
      </c>
      <c r="E2817" s="54"/>
      <c r="F2817" s="83">
        <f>SUMIFS(F2818:F6462,K2818:K6462,"0",B2818:B6462,"5 1 1 3 4 12 31111 6 M59 95000 000139 0000L 00001 00134*")</f>
        <v>19666.45</v>
      </c>
      <c r="G2817" s="83">
        <f>SUMIFS(G2818:G6462,K2818:K6462,"0",B2818:B6462,"5 1 1 3 4 12 31111 6 M59 95000 000139 0000L 00001 00134*")</f>
        <v>0</v>
      </c>
      <c r="H2817" s="83">
        <f t="shared" si="44"/>
        <v>19666.45</v>
      </c>
      <c r="I2817" s="83"/>
      <c r="K2817" s="54" t="s">
        <v>15</v>
      </c>
    </row>
    <row r="2818" spans="2:11" ht="33" x14ac:dyDescent="0.2">
      <c r="B2818" s="82" t="s">
        <v>5111</v>
      </c>
      <c r="C2818" s="82" t="s">
        <v>1051</v>
      </c>
      <c r="D2818" s="83">
        <f>SUMIFS(D2819:D6462,K2819:K6462,"0",B2819:B6462,"5 1 1 3 4 12 31111 6 M59 95000 000139 0000L 00001 00134 015*")-SUMIFS(E2819:E6462,K2819:K6462,"0",B2819:B6462,"5 1 1 3 4 12 31111 6 M59 95000 000139 0000L 00001 00134 015*")</f>
        <v>0</v>
      </c>
      <c r="E2818" s="54"/>
      <c r="F2818" s="83">
        <f>SUMIFS(F2819:F6462,K2819:K6462,"0",B2819:B6462,"5 1 1 3 4 12 31111 6 M59 95000 000139 0000L 00001 00134 015*")</f>
        <v>19666.45</v>
      </c>
      <c r="G2818" s="83">
        <f>SUMIFS(G2819:G6462,K2819:K6462,"0",B2819:B6462,"5 1 1 3 4 12 31111 6 M59 95000 000139 0000L 00001 00134 015*")</f>
        <v>0</v>
      </c>
      <c r="H2818" s="83">
        <f t="shared" si="44"/>
        <v>19666.45</v>
      </c>
      <c r="I2818" s="83"/>
      <c r="K2818" s="54" t="s">
        <v>15</v>
      </c>
    </row>
    <row r="2819" spans="2:11" ht="33" x14ac:dyDescent="0.2">
      <c r="B2819" s="82" t="s">
        <v>5112</v>
      </c>
      <c r="C2819" s="82" t="s">
        <v>2927</v>
      </c>
      <c r="D2819" s="83">
        <f>SUMIFS(D2820:D6462,K2820:K6462,"0",B2820:B6462,"5 1 1 3 4 12 31111 6 M59 95000 000139 0000L 00001 00134 015 2111100*")-SUMIFS(E2820:E6462,K2820:K6462,"0",B2820:B6462,"5 1 1 3 4 12 31111 6 M59 95000 000139 0000L 00001 00134 015 2111100*")</f>
        <v>0</v>
      </c>
      <c r="E2819" s="54"/>
      <c r="F2819" s="83">
        <f>SUMIFS(F2820:F6462,K2820:K6462,"0",B2820:B6462,"5 1 1 3 4 12 31111 6 M59 95000 000139 0000L 00001 00134 015 2111100*")</f>
        <v>19666.45</v>
      </c>
      <c r="G2819" s="83">
        <f>SUMIFS(G2820:G6462,K2820:K6462,"0",B2820:B6462,"5 1 1 3 4 12 31111 6 M59 95000 000139 0000L 00001 00134 015 2111100*")</f>
        <v>0</v>
      </c>
      <c r="H2819" s="83">
        <f t="shared" si="44"/>
        <v>19666.45</v>
      </c>
      <c r="I2819" s="83"/>
      <c r="K2819" s="54" t="s">
        <v>15</v>
      </c>
    </row>
    <row r="2820" spans="2:11" ht="33" x14ac:dyDescent="0.2">
      <c r="B2820" s="82" t="s">
        <v>5113</v>
      </c>
      <c r="C2820" s="82" t="s">
        <v>660</v>
      </c>
      <c r="D2820" s="83">
        <f>SUMIFS(D2821:D6462,K2821:K6462,"0",B2821:B6462,"5 1 1 3 4 12 31111 6 M59 95000 000139 0000L 00001 00134 015 2111100 2024*")-SUMIFS(E2821:E6462,K2821:K6462,"0",B2821:B6462,"5 1 1 3 4 12 31111 6 M59 95000 000139 0000L 00001 00134 015 2111100 2024*")</f>
        <v>0</v>
      </c>
      <c r="E2820" s="54"/>
      <c r="F2820" s="83">
        <f>SUMIFS(F2821:F6462,K2821:K6462,"0",B2821:B6462,"5 1 1 3 4 12 31111 6 M59 95000 000139 0000L 00001 00134 015 2111100 2024*")</f>
        <v>19666.45</v>
      </c>
      <c r="G2820" s="83">
        <f>SUMIFS(G2821:G6462,K2821:K6462,"0",B2821:B6462,"5 1 1 3 4 12 31111 6 M59 95000 000139 0000L 00001 00134 015 2111100 2024*")</f>
        <v>0</v>
      </c>
      <c r="H2820" s="83">
        <f t="shared" si="44"/>
        <v>19666.45</v>
      </c>
      <c r="I2820" s="83"/>
      <c r="K2820" s="54" t="s">
        <v>15</v>
      </c>
    </row>
    <row r="2821" spans="2:11" ht="41.25" x14ac:dyDescent="0.2">
      <c r="B2821" s="82" t="s">
        <v>5114</v>
      </c>
      <c r="C2821" s="82" t="s">
        <v>1056</v>
      </c>
      <c r="D2821" s="83">
        <f>SUMIFS(D2822:D6462,K2822:K6462,"0",B2822:B6462,"5 1 1 3 4 12 31111 6 M59 95000 000139 0000L 00001 00134 015 2111100 2024 CP1AJ437*")-SUMIFS(E2822:E6462,K2822:K6462,"0",B2822:B6462,"5 1 1 3 4 12 31111 6 M59 95000 000139 0000L 00001 00134 015 2111100 2024 CP1AJ437*")</f>
        <v>0</v>
      </c>
      <c r="E2821" s="54"/>
      <c r="F2821" s="83">
        <f>SUMIFS(F2822:F6462,K2822:K6462,"0",B2822:B6462,"5 1 1 3 4 12 31111 6 M59 95000 000139 0000L 00001 00134 015 2111100 2024 CP1AJ437*")</f>
        <v>19666.45</v>
      </c>
      <c r="G2821" s="83">
        <f>SUMIFS(G2822:G6462,K2822:K6462,"0",B2822:B6462,"5 1 1 3 4 12 31111 6 M59 95000 000139 0000L 00001 00134 015 2111100 2024 CP1AJ437*")</f>
        <v>0</v>
      </c>
      <c r="H2821" s="83">
        <f t="shared" si="44"/>
        <v>19666.45</v>
      </c>
      <c r="I2821" s="83"/>
      <c r="K2821" s="54" t="s">
        <v>15</v>
      </c>
    </row>
    <row r="2822" spans="2:11" ht="41.25" x14ac:dyDescent="0.2">
      <c r="B2822" s="82" t="s">
        <v>5115</v>
      </c>
      <c r="C2822" s="82" t="s">
        <v>282</v>
      </c>
      <c r="D2822" s="83">
        <f>SUMIFS(D2823:D6462,K2823:K6462,"0",B2823:B6462,"5 1 1 3 4 12 31111 6 M59 95000 000139 0000L 00001 00134 015 2111100 2024 CP1AJ437 001*")-SUMIFS(E2823:E6462,K2823:K6462,"0",B2823:B6462,"5 1 1 3 4 12 31111 6 M59 95000 000139 0000L 00001 00134 015 2111100 2024 CP1AJ437 001*")</f>
        <v>0</v>
      </c>
      <c r="E2822" s="54"/>
      <c r="F2822" s="83">
        <f>SUMIFS(F2823:F6462,K2823:K6462,"0",B2823:B6462,"5 1 1 3 4 12 31111 6 M59 95000 000139 0000L 00001 00134 015 2111100 2024 CP1AJ437 001*")</f>
        <v>19666.45</v>
      </c>
      <c r="G2822" s="83">
        <f>SUMIFS(G2823:G6462,K2823:K6462,"0",B2823:B6462,"5 1 1 3 4 12 31111 6 M59 95000 000139 0000L 00001 00134 015 2111100 2024 CP1AJ437 001*")</f>
        <v>0</v>
      </c>
      <c r="H2822" s="83">
        <f t="shared" si="44"/>
        <v>19666.45</v>
      </c>
      <c r="I2822" s="83"/>
      <c r="K2822" s="54" t="s">
        <v>15</v>
      </c>
    </row>
    <row r="2823" spans="2:11" ht="33" x14ac:dyDescent="0.2">
      <c r="B2823" s="84" t="s">
        <v>5116</v>
      </c>
      <c r="C2823" s="84" t="s">
        <v>4783</v>
      </c>
      <c r="D2823" s="85">
        <v>0</v>
      </c>
      <c r="E2823" s="85"/>
      <c r="F2823" s="85">
        <v>19666.45</v>
      </c>
      <c r="G2823" s="85">
        <v>0</v>
      </c>
      <c r="H2823" s="85">
        <f t="shared" si="44"/>
        <v>19666.45</v>
      </c>
      <c r="I2823" s="85"/>
      <c r="K2823" s="54" t="s">
        <v>38</v>
      </c>
    </row>
    <row r="2824" spans="2:11" ht="16.5" x14ac:dyDescent="0.2">
      <c r="B2824" s="82" t="s">
        <v>5117</v>
      </c>
      <c r="C2824" s="82" t="s">
        <v>3681</v>
      </c>
      <c r="D2824" s="83">
        <f>SUMIFS(D2825:D6462,K2825:K6462,"0",B2825:B6462,"5 1 1 3 4 12 31111 6 M59 96000*")-SUMIFS(E2825:E6462,K2825:K6462,"0",B2825:B6462,"5 1 1 3 4 12 31111 6 M59 96000*")</f>
        <v>0</v>
      </c>
      <c r="E2824" s="54"/>
      <c r="F2824" s="83">
        <f>SUMIFS(F2825:F6462,K2825:K6462,"0",B2825:B6462,"5 1 1 3 4 12 31111 6 M59 96000*")</f>
        <v>6000</v>
      </c>
      <c r="G2824" s="83">
        <f>SUMIFS(G2825:G6462,K2825:K6462,"0",B2825:B6462,"5 1 1 3 4 12 31111 6 M59 96000*")</f>
        <v>0</v>
      </c>
      <c r="H2824" s="83">
        <f t="shared" si="44"/>
        <v>6000</v>
      </c>
      <c r="I2824" s="83"/>
      <c r="K2824" s="54" t="s">
        <v>15</v>
      </c>
    </row>
    <row r="2825" spans="2:11" ht="16.5" x14ac:dyDescent="0.2">
      <c r="B2825" s="82" t="s">
        <v>5118</v>
      </c>
      <c r="C2825" s="82" t="s">
        <v>648</v>
      </c>
      <c r="D2825" s="83">
        <f>SUMIFS(D2826:D6462,K2826:K6462,"0",B2826:B6462,"5 1 1 3 4 12 31111 6 M59 96000 000132*")-SUMIFS(E2826:E6462,K2826:K6462,"0",B2826:B6462,"5 1 1 3 4 12 31111 6 M59 96000 000132*")</f>
        <v>0</v>
      </c>
      <c r="E2825" s="54"/>
      <c r="F2825" s="83">
        <f>SUMIFS(F2826:F6462,K2826:K6462,"0",B2826:B6462,"5 1 1 3 4 12 31111 6 M59 96000 000132*")</f>
        <v>6000</v>
      </c>
      <c r="G2825" s="83">
        <f>SUMIFS(G2826:G6462,K2826:K6462,"0",B2826:B6462,"5 1 1 3 4 12 31111 6 M59 96000 000132*")</f>
        <v>0</v>
      </c>
      <c r="H2825" s="83">
        <f t="shared" si="44"/>
        <v>6000</v>
      </c>
      <c r="I2825" s="83"/>
      <c r="K2825" s="54" t="s">
        <v>15</v>
      </c>
    </row>
    <row r="2826" spans="2:11" ht="24.75" x14ac:dyDescent="0.2">
      <c r="B2826" s="82" t="s">
        <v>5119</v>
      </c>
      <c r="C2826" s="82" t="s">
        <v>650</v>
      </c>
      <c r="D2826" s="83">
        <f>SUMIFS(D2827:D6462,K2827:K6462,"0",B2827:B6462,"5 1 1 3 4 12 31111 6 M59 96000 000132 0000R*")-SUMIFS(E2827:E6462,K2827:K6462,"0",B2827:B6462,"5 1 1 3 4 12 31111 6 M59 96000 000132 0000R*")</f>
        <v>0</v>
      </c>
      <c r="E2826" s="54"/>
      <c r="F2826" s="83">
        <f>SUMIFS(F2827:F6462,K2827:K6462,"0",B2827:B6462,"5 1 1 3 4 12 31111 6 M59 96000 000132 0000R*")</f>
        <v>6000</v>
      </c>
      <c r="G2826" s="83">
        <f>SUMIFS(G2827:G6462,K2827:K6462,"0",B2827:B6462,"5 1 1 3 4 12 31111 6 M59 96000 000132 0000R*")</f>
        <v>0</v>
      </c>
      <c r="H2826" s="83">
        <f t="shared" si="44"/>
        <v>6000</v>
      </c>
      <c r="I2826" s="83"/>
      <c r="K2826" s="54" t="s">
        <v>15</v>
      </c>
    </row>
    <row r="2827" spans="2:11" ht="24.75" x14ac:dyDescent="0.2">
      <c r="B2827" s="82" t="s">
        <v>5120</v>
      </c>
      <c r="C2827" s="82" t="s">
        <v>282</v>
      </c>
      <c r="D2827" s="83">
        <f>SUMIFS(D2828:D6462,K2828:K6462,"0",B2828:B6462,"5 1 1 3 4 12 31111 6 M59 96000 000132 0000R 00001*")-SUMIFS(E2828:E6462,K2828:K6462,"0",B2828:B6462,"5 1 1 3 4 12 31111 6 M59 96000 000132 0000R 00001*")</f>
        <v>0</v>
      </c>
      <c r="E2827" s="54"/>
      <c r="F2827" s="83">
        <f>SUMIFS(F2828:F6462,K2828:K6462,"0",B2828:B6462,"5 1 1 3 4 12 31111 6 M59 96000 000132 0000R 00001*")</f>
        <v>6000</v>
      </c>
      <c r="G2827" s="83">
        <f>SUMIFS(G2828:G6462,K2828:K6462,"0",B2828:B6462,"5 1 1 3 4 12 31111 6 M59 96000 000132 0000R 00001*")</f>
        <v>0</v>
      </c>
      <c r="H2827" s="83">
        <f t="shared" si="44"/>
        <v>6000</v>
      </c>
      <c r="I2827" s="83"/>
      <c r="K2827" s="54" t="s">
        <v>15</v>
      </c>
    </row>
    <row r="2828" spans="2:11" ht="24.75" x14ac:dyDescent="0.2">
      <c r="B2828" s="82" t="s">
        <v>5121</v>
      </c>
      <c r="C2828" s="82" t="s">
        <v>4776</v>
      </c>
      <c r="D2828" s="83">
        <f>SUMIFS(D2829:D6462,K2829:K6462,"0",B2829:B6462,"5 1 1 3 4 12 31111 6 M59 96000 000132 0000R 00001 00134*")-SUMIFS(E2829:E6462,K2829:K6462,"0",B2829:B6462,"5 1 1 3 4 12 31111 6 M59 96000 000132 0000R 00001 00134*")</f>
        <v>0</v>
      </c>
      <c r="E2828" s="54"/>
      <c r="F2828" s="83">
        <f>SUMIFS(F2829:F6462,K2829:K6462,"0",B2829:B6462,"5 1 1 3 4 12 31111 6 M59 96000 000132 0000R 00001 00134*")</f>
        <v>6000</v>
      </c>
      <c r="G2828" s="83">
        <f>SUMIFS(G2829:G6462,K2829:K6462,"0",B2829:B6462,"5 1 1 3 4 12 31111 6 M59 96000 000132 0000R 00001 00134*")</f>
        <v>0</v>
      </c>
      <c r="H2828" s="83">
        <f t="shared" si="44"/>
        <v>6000</v>
      </c>
      <c r="I2828" s="83"/>
      <c r="K2828" s="54" t="s">
        <v>15</v>
      </c>
    </row>
    <row r="2829" spans="2:11" ht="33" x14ac:dyDescent="0.2">
      <c r="B2829" s="82" t="s">
        <v>5122</v>
      </c>
      <c r="C2829" s="82" t="s">
        <v>1051</v>
      </c>
      <c r="D2829" s="83">
        <f>SUMIFS(D2830:D6462,K2830:K6462,"0",B2830:B6462,"5 1 1 3 4 12 31111 6 M59 96000 000132 0000R 00001 00134 015*")-SUMIFS(E2830:E6462,K2830:K6462,"0",B2830:B6462,"5 1 1 3 4 12 31111 6 M59 96000 000132 0000R 00001 00134 015*")</f>
        <v>0</v>
      </c>
      <c r="E2829" s="54"/>
      <c r="F2829" s="83">
        <f>SUMIFS(F2830:F6462,K2830:K6462,"0",B2830:B6462,"5 1 1 3 4 12 31111 6 M59 96000 000132 0000R 00001 00134 015*")</f>
        <v>6000</v>
      </c>
      <c r="G2829" s="83">
        <f>SUMIFS(G2830:G6462,K2830:K6462,"0",B2830:B6462,"5 1 1 3 4 12 31111 6 M59 96000 000132 0000R 00001 00134 015*")</f>
        <v>0</v>
      </c>
      <c r="H2829" s="83">
        <f t="shared" si="44"/>
        <v>6000</v>
      </c>
      <c r="I2829" s="83"/>
      <c r="K2829" s="54" t="s">
        <v>15</v>
      </c>
    </row>
    <row r="2830" spans="2:11" ht="33" x14ac:dyDescent="0.2">
      <c r="B2830" s="82" t="s">
        <v>5123</v>
      </c>
      <c r="C2830" s="82" t="s">
        <v>2927</v>
      </c>
      <c r="D2830" s="83">
        <f>SUMIFS(D2831:D6462,K2831:K6462,"0",B2831:B6462,"5 1 1 3 4 12 31111 6 M59 96000 000132 0000R 00001 00134 015 2111100*")-SUMIFS(E2831:E6462,K2831:K6462,"0",B2831:B6462,"5 1 1 3 4 12 31111 6 M59 96000 000132 0000R 00001 00134 015 2111100*")</f>
        <v>0</v>
      </c>
      <c r="E2830" s="54"/>
      <c r="F2830" s="83">
        <f>SUMIFS(F2831:F6462,K2831:K6462,"0",B2831:B6462,"5 1 1 3 4 12 31111 6 M59 96000 000132 0000R 00001 00134 015 2111100*")</f>
        <v>6000</v>
      </c>
      <c r="G2830" s="83">
        <f>SUMIFS(G2831:G6462,K2831:K6462,"0",B2831:B6462,"5 1 1 3 4 12 31111 6 M59 96000 000132 0000R 00001 00134 015 2111100*")</f>
        <v>0</v>
      </c>
      <c r="H2830" s="83">
        <f t="shared" si="44"/>
        <v>6000</v>
      </c>
      <c r="I2830" s="83"/>
      <c r="K2830" s="54" t="s">
        <v>15</v>
      </c>
    </row>
    <row r="2831" spans="2:11" ht="33" x14ac:dyDescent="0.2">
      <c r="B2831" s="82" t="s">
        <v>5124</v>
      </c>
      <c r="C2831" s="82" t="s">
        <v>660</v>
      </c>
      <c r="D2831" s="83">
        <f>SUMIFS(D2832:D6462,K2832:K6462,"0",B2832:B6462,"5 1 1 3 4 12 31111 6 M59 96000 000132 0000R 00001 00134 015 2111100 2024*")-SUMIFS(E2832:E6462,K2832:K6462,"0",B2832:B6462,"5 1 1 3 4 12 31111 6 M59 96000 000132 0000R 00001 00134 015 2111100 2024*")</f>
        <v>0</v>
      </c>
      <c r="E2831" s="54"/>
      <c r="F2831" s="83">
        <f>SUMIFS(F2832:F6462,K2832:K6462,"0",B2832:B6462,"5 1 1 3 4 12 31111 6 M59 96000 000132 0000R 00001 00134 015 2111100 2024*")</f>
        <v>6000</v>
      </c>
      <c r="G2831" s="83">
        <f>SUMIFS(G2832:G6462,K2832:K6462,"0",B2832:B6462,"5 1 1 3 4 12 31111 6 M59 96000 000132 0000R 00001 00134 015 2111100 2024*")</f>
        <v>0</v>
      </c>
      <c r="H2831" s="83">
        <f t="shared" si="44"/>
        <v>6000</v>
      </c>
      <c r="I2831" s="83"/>
      <c r="K2831" s="54" t="s">
        <v>15</v>
      </c>
    </row>
    <row r="2832" spans="2:11" ht="41.25" x14ac:dyDescent="0.2">
      <c r="B2832" s="82" t="s">
        <v>5125</v>
      </c>
      <c r="C2832" s="82" t="s">
        <v>662</v>
      </c>
      <c r="D2832" s="83">
        <f>SUMIFS(D2833:D6462,K2833:K6462,"0",B2833:B6462,"5 1 1 3 4 12 31111 6 M59 96000 000132 0000R 00001 00134 015 2111100 2024 CP1PA379*")-SUMIFS(E2833:E6462,K2833:K6462,"0",B2833:B6462,"5 1 1 3 4 12 31111 6 M59 96000 000132 0000R 00001 00134 015 2111100 2024 CP1PA379*")</f>
        <v>0</v>
      </c>
      <c r="E2832" s="54"/>
      <c r="F2832" s="83">
        <f>SUMIFS(F2833:F6462,K2833:K6462,"0",B2833:B6462,"5 1 1 3 4 12 31111 6 M59 96000 000132 0000R 00001 00134 015 2111100 2024 CP1PA379*")</f>
        <v>6000</v>
      </c>
      <c r="G2832" s="83">
        <f>SUMIFS(G2833:G6462,K2833:K6462,"0",B2833:B6462,"5 1 1 3 4 12 31111 6 M59 96000 000132 0000R 00001 00134 015 2111100 2024 CP1PA379*")</f>
        <v>0</v>
      </c>
      <c r="H2832" s="83">
        <f t="shared" si="44"/>
        <v>6000</v>
      </c>
      <c r="I2832" s="83"/>
      <c r="K2832" s="54" t="s">
        <v>15</v>
      </c>
    </row>
    <row r="2833" spans="2:11" ht="41.25" x14ac:dyDescent="0.2">
      <c r="B2833" s="82" t="s">
        <v>5126</v>
      </c>
      <c r="C2833" s="82" t="s">
        <v>282</v>
      </c>
      <c r="D2833" s="83">
        <f>SUMIFS(D2834:D6462,K2834:K6462,"0",B2834:B6462,"5 1 1 3 4 12 31111 6 M59 96000 000132 0000R 00001 00134 015 2111100 2024 CP1PA379 001*")-SUMIFS(E2834:E6462,K2834:K6462,"0",B2834:B6462,"5 1 1 3 4 12 31111 6 M59 96000 000132 0000R 00001 00134 015 2111100 2024 CP1PA379 001*")</f>
        <v>0</v>
      </c>
      <c r="E2833" s="54"/>
      <c r="F2833" s="83">
        <f>SUMIFS(F2834:F6462,K2834:K6462,"0",B2834:B6462,"5 1 1 3 4 12 31111 6 M59 96000 000132 0000R 00001 00134 015 2111100 2024 CP1PA379 001*")</f>
        <v>6000</v>
      </c>
      <c r="G2833" s="83">
        <f>SUMIFS(G2834:G6462,K2834:K6462,"0",B2834:B6462,"5 1 1 3 4 12 31111 6 M59 96000 000132 0000R 00001 00134 015 2111100 2024 CP1PA379 001*")</f>
        <v>0</v>
      </c>
      <c r="H2833" s="83">
        <f t="shared" si="44"/>
        <v>6000</v>
      </c>
      <c r="I2833" s="83"/>
      <c r="K2833" s="54" t="s">
        <v>15</v>
      </c>
    </row>
    <row r="2834" spans="2:11" ht="41.25" x14ac:dyDescent="0.2">
      <c r="B2834" s="84" t="s">
        <v>5127</v>
      </c>
      <c r="C2834" s="84" t="s">
        <v>4840</v>
      </c>
      <c r="D2834" s="85">
        <v>0</v>
      </c>
      <c r="E2834" s="85"/>
      <c r="F2834" s="85">
        <v>6000</v>
      </c>
      <c r="G2834" s="85">
        <v>0</v>
      </c>
      <c r="H2834" s="85">
        <f t="shared" si="44"/>
        <v>6000</v>
      </c>
      <c r="I2834" s="85"/>
      <c r="K2834" s="54" t="s">
        <v>38</v>
      </c>
    </row>
    <row r="2835" spans="2:11" ht="16.5" x14ac:dyDescent="0.2">
      <c r="B2835" s="82" t="s">
        <v>5128</v>
      </c>
      <c r="C2835" s="82" t="s">
        <v>3706</v>
      </c>
      <c r="D2835" s="83">
        <f>SUMIFS(D2836:D6462,K2836:K6462,"0",B2836:B6462,"5 1 1 3 4 12 31111 6 M59 96200*")-SUMIFS(E2836:E6462,K2836:K6462,"0",B2836:B6462,"5 1 1 3 4 12 31111 6 M59 96200*")</f>
        <v>0</v>
      </c>
      <c r="E2835" s="54"/>
      <c r="F2835" s="83">
        <f>SUMIFS(F2836:F6462,K2836:K6462,"0",B2836:B6462,"5 1 1 3 4 12 31111 6 M59 96200*")</f>
        <v>12000</v>
      </c>
      <c r="G2835" s="83">
        <f>SUMIFS(G2836:G6462,K2836:K6462,"0",B2836:B6462,"5 1 1 3 4 12 31111 6 M59 96200*")</f>
        <v>0</v>
      </c>
      <c r="H2835" s="83">
        <f t="shared" si="44"/>
        <v>12000</v>
      </c>
      <c r="I2835" s="83"/>
      <c r="K2835" s="54" t="s">
        <v>15</v>
      </c>
    </row>
    <row r="2836" spans="2:11" ht="16.5" x14ac:dyDescent="0.2">
      <c r="B2836" s="82" t="s">
        <v>5129</v>
      </c>
      <c r="C2836" s="82" t="s">
        <v>648</v>
      </c>
      <c r="D2836" s="83">
        <f>SUMIFS(D2837:D6462,K2837:K6462,"0",B2837:B6462,"5 1 1 3 4 12 31111 6 M59 96200 000132*")-SUMIFS(E2837:E6462,K2837:K6462,"0",B2837:B6462,"5 1 1 3 4 12 31111 6 M59 96200 000132*")</f>
        <v>0</v>
      </c>
      <c r="E2836" s="54"/>
      <c r="F2836" s="83">
        <f>SUMIFS(F2837:F6462,K2837:K6462,"0",B2837:B6462,"5 1 1 3 4 12 31111 6 M59 96200 000132*")</f>
        <v>12000</v>
      </c>
      <c r="G2836" s="83">
        <f>SUMIFS(G2837:G6462,K2837:K6462,"0",B2837:B6462,"5 1 1 3 4 12 31111 6 M59 96200 000132*")</f>
        <v>0</v>
      </c>
      <c r="H2836" s="83">
        <f t="shared" si="44"/>
        <v>12000</v>
      </c>
      <c r="I2836" s="83"/>
      <c r="K2836" s="54" t="s">
        <v>15</v>
      </c>
    </row>
    <row r="2837" spans="2:11" ht="24.75" x14ac:dyDescent="0.2">
      <c r="B2837" s="82" t="s">
        <v>5130</v>
      </c>
      <c r="C2837" s="82" t="s">
        <v>650</v>
      </c>
      <c r="D2837" s="83">
        <f>SUMIFS(D2838:D6462,K2838:K6462,"0",B2838:B6462,"5 1 1 3 4 12 31111 6 M59 96200 000132 0000R*")-SUMIFS(E2838:E6462,K2838:K6462,"0",B2838:B6462,"5 1 1 3 4 12 31111 6 M59 96200 000132 0000R*")</f>
        <v>0</v>
      </c>
      <c r="E2837" s="54"/>
      <c r="F2837" s="83">
        <f>SUMIFS(F2838:F6462,K2838:K6462,"0",B2838:B6462,"5 1 1 3 4 12 31111 6 M59 96200 000132 0000R*")</f>
        <v>12000</v>
      </c>
      <c r="G2837" s="83">
        <f>SUMIFS(G2838:G6462,K2838:K6462,"0",B2838:B6462,"5 1 1 3 4 12 31111 6 M59 96200 000132 0000R*")</f>
        <v>0</v>
      </c>
      <c r="H2837" s="83">
        <f t="shared" si="44"/>
        <v>12000</v>
      </c>
      <c r="I2837" s="83"/>
      <c r="K2837" s="54" t="s">
        <v>15</v>
      </c>
    </row>
    <row r="2838" spans="2:11" ht="24.75" x14ac:dyDescent="0.2">
      <c r="B2838" s="82" t="s">
        <v>5131</v>
      </c>
      <c r="C2838" s="82" t="s">
        <v>282</v>
      </c>
      <c r="D2838" s="83">
        <f>SUMIFS(D2839:D6462,K2839:K6462,"0",B2839:B6462,"5 1 1 3 4 12 31111 6 M59 96200 000132 0000R 00001*")-SUMIFS(E2839:E6462,K2839:K6462,"0",B2839:B6462,"5 1 1 3 4 12 31111 6 M59 96200 000132 0000R 00001*")</f>
        <v>0</v>
      </c>
      <c r="E2838" s="54"/>
      <c r="F2838" s="83">
        <f>SUMIFS(F2839:F6462,K2839:K6462,"0",B2839:B6462,"5 1 1 3 4 12 31111 6 M59 96200 000132 0000R 00001*")</f>
        <v>12000</v>
      </c>
      <c r="G2838" s="83">
        <f>SUMIFS(G2839:G6462,K2839:K6462,"0",B2839:B6462,"5 1 1 3 4 12 31111 6 M59 96200 000132 0000R 00001*")</f>
        <v>0</v>
      </c>
      <c r="H2838" s="83">
        <f t="shared" si="44"/>
        <v>12000</v>
      </c>
      <c r="I2838" s="83"/>
      <c r="K2838" s="54" t="s">
        <v>15</v>
      </c>
    </row>
    <row r="2839" spans="2:11" ht="24.75" x14ac:dyDescent="0.2">
      <c r="B2839" s="82" t="s">
        <v>5132</v>
      </c>
      <c r="C2839" s="82" t="s">
        <v>4776</v>
      </c>
      <c r="D2839" s="83">
        <f>SUMIFS(D2840:D6462,K2840:K6462,"0",B2840:B6462,"5 1 1 3 4 12 31111 6 M59 96200 000132 0000R 00001 00134*")-SUMIFS(E2840:E6462,K2840:K6462,"0",B2840:B6462,"5 1 1 3 4 12 31111 6 M59 96200 000132 0000R 00001 00134*")</f>
        <v>0</v>
      </c>
      <c r="E2839" s="54"/>
      <c r="F2839" s="83">
        <f>SUMIFS(F2840:F6462,K2840:K6462,"0",B2840:B6462,"5 1 1 3 4 12 31111 6 M59 96200 000132 0000R 00001 00134*")</f>
        <v>12000</v>
      </c>
      <c r="G2839" s="83">
        <f>SUMIFS(G2840:G6462,K2840:K6462,"0",B2840:B6462,"5 1 1 3 4 12 31111 6 M59 96200 000132 0000R 00001 00134*")</f>
        <v>0</v>
      </c>
      <c r="H2839" s="83">
        <f t="shared" si="44"/>
        <v>12000</v>
      </c>
      <c r="I2839" s="83"/>
      <c r="K2839" s="54" t="s">
        <v>15</v>
      </c>
    </row>
    <row r="2840" spans="2:11" ht="33" x14ac:dyDescent="0.2">
      <c r="B2840" s="82" t="s">
        <v>5133</v>
      </c>
      <c r="C2840" s="82" t="s">
        <v>1051</v>
      </c>
      <c r="D2840" s="83">
        <f>SUMIFS(D2841:D6462,K2841:K6462,"0",B2841:B6462,"5 1 1 3 4 12 31111 6 M59 96200 000132 0000R 00001 00134 015*")-SUMIFS(E2841:E6462,K2841:K6462,"0",B2841:B6462,"5 1 1 3 4 12 31111 6 M59 96200 000132 0000R 00001 00134 015*")</f>
        <v>0</v>
      </c>
      <c r="E2840" s="54"/>
      <c r="F2840" s="83">
        <f>SUMIFS(F2841:F6462,K2841:K6462,"0",B2841:B6462,"5 1 1 3 4 12 31111 6 M59 96200 000132 0000R 00001 00134 015*")</f>
        <v>12000</v>
      </c>
      <c r="G2840" s="83">
        <f>SUMIFS(G2841:G6462,K2841:K6462,"0",B2841:B6462,"5 1 1 3 4 12 31111 6 M59 96200 000132 0000R 00001 00134 015*")</f>
        <v>0</v>
      </c>
      <c r="H2840" s="83">
        <f t="shared" si="44"/>
        <v>12000</v>
      </c>
      <c r="I2840" s="83"/>
      <c r="K2840" s="54" t="s">
        <v>15</v>
      </c>
    </row>
    <row r="2841" spans="2:11" ht="33" x14ac:dyDescent="0.2">
      <c r="B2841" s="82" t="s">
        <v>5134</v>
      </c>
      <c r="C2841" s="82" t="s">
        <v>2927</v>
      </c>
      <c r="D2841" s="83">
        <f>SUMIFS(D2842:D6462,K2842:K6462,"0",B2842:B6462,"5 1 1 3 4 12 31111 6 M59 96200 000132 0000R 00001 00134 015 2111100*")-SUMIFS(E2842:E6462,K2842:K6462,"0",B2842:B6462,"5 1 1 3 4 12 31111 6 M59 96200 000132 0000R 00001 00134 015 2111100*")</f>
        <v>0</v>
      </c>
      <c r="E2841" s="54"/>
      <c r="F2841" s="83">
        <f>SUMIFS(F2842:F6462,K2842:K6462,"0",B2842:B6462,"5 1 1 3 4 12 31111 6 M59 96200 000132 0000R 00001 00134 015 2111100*")</f>
        <v>12000</v>
      </c>
      <c r="G2841" s="83">
        <f>SUMIFS(G2842:G6462,K2842:K6462,"0",B2842:B6462,"5 1 1 3 4 12 31111 6 M59 96200 000132 0000R 00001 00134 015 2111100*")</f>
        <v>0</v>
      </c>
      <c r="H2841" s="83">
        <f t="shared" si="44"/>
        <v>12000</v>
      </c>
      <c r="I2841" s="83"/>
      <c r="K2841" s="54" t="s">
        <v>15</v>
      </c>
    </row>
    <row r="2842" spans="2:11" ht="33" x14ac:dyDescent="0.2">
      <c r="B2842" s="82" t="s">
        <v>5135</v>
      </c>
      <c r="C2842" s="82" t="s">
        <v>660</v>
      </c>
      <c r="D2842" s="83">
        <f>SUMIFS(D2843:D6462,K2843:K6462,"0",B2843:B6462,"5 1 1 3 4 12 31111 6 M59 96200 000132 0000R 00001 00134 015 2111100 2024*")-SUMIFS(E2843:E6462,K2843:K6462,"0",B2843:B6462,"5 1 1 3 4 12 31111 6 M59 96200 000132 0000R 00001 00134 015 2111100 2024*")</f>
        <v>0</v>
      </c>
      <c r="E2842" s="54"/>
      <c r="F2842" s="83">
        <f>SUMIFS(F2843:F6462,K2843:K6462,"0",B2843:B6462,"5 1 1 3 4 12 31111 6 M59 96200 000132 0000R 00001 00134 015 2111100 2024*")</f>
        <v>12000</v>
      </c>
      <c r="G2842" s="83">
        <f>SUMIFS(G2843:G6462,K2843:K6462,"0",B2843:B6462,"5 1 1 3 4 12 31111 6 M59 96200 000132 0000R 00001 00134 015 2111100 2024*")</f>
        <v>0</v>
      </c>
      <c r="H2842" s="83">
        <f t="shared" si="44"/>
        <v>12000</v>
      </c>
      <c r="I2842" s="83"/>
      <c r="K2842" s="54" t="s">
        <v>15</v>
      </c>
    </row>
    <row r="2843" spans="2:11" ht="41.25" x14ac:dyDescent="0.2">
      <c r="B2843" s="82" t="s">
        <v>5136</v>
      </c>
      <c r="C2843" s="82" t="s">
        <v>662</v>
      </c>
      <c r="D2843" s="83">
        <f>SUMIFS(D2844:D6462,K2844:K6462,"0",B2844:B6462,"5 1 1 3 4 12 31111 6 M59 96200 000132 0000R 00001 00134 015 2111100 2024 CP1AL423*")-SUMIFS(E2844:E6462,K2844:K6462,"0",B2844:B6462,"5 1 1 3 4 12 31111 6 M59 96200 000132 0000R 00001 00134 015 2111100 2024 CP1AL423*")</f>
        <v>0</v>
      </c>
      <c r="E2843" s="54"/>
      <c r="F2843" s="83">
        <f>SUMIFS(F2844:F6462,K2844:K6462,"0",B2844:B6462,"5 1 1 3 4 12 31111 6 M59 96200 000132 0000R 00001 00134 015 2111100 2024 CP1AL423*")</f>
        <v>12000</v>
      </c>
      <c r="G2843" s="83">
        <f>SUMIFS(G2844:G6462,K2844:K6462,"0",B2844:B6462,"5 1 1 3 4 12 31111 6 M59 96200 000132 0000R 00001 00134 015 2111100 2024 CP1AL423*")</f>
        <v>0</v>
      </c>
      <c r="H2843" s="83">
        <f t="shared" si="44"/>
        <v>12000</v>
      </c>
      <c r="I2843" s="83"/>
      <c r="K2843" s="54" t="s">
        <v>15</v>
      </c>
    </row>
    <row r="2844" spans="2:11" ht="41.25" x14ac:dyDescent="0.2">
      <c r="B2844" s="82" t="s">
        <v>5137</v>
      </c>
      <c r="C2844" s="82" t="s">
        <v>282</v>
      </c>
      <c r="D2844" s="83">
        <f>SUMIFS(D2845:D6462,K2845:K6462,"0",B2845:B6462,"5 1 1 3 4 12 31111 6 M59 96200 000132 0000R 00001 00134 015 2111100 2024 CP1AL423 001*")-SUMIFS(E2845:E6462,K2845:K6462,"0",B2845:B6462,"5 1 1 3 4 12 31111 6 M59 96200 000132 0000R 00001 00134 015 2111100 2024 CP1AL423 001*")</f>
        <v>0</v>
      </c>
      <c r="E2844" s="54"/>
      <c r="F2844" s="83">
        <f>SUMIFS(F2845:F6462,K2845:K6462,"0",B2845:B6462,"5 1 1 3 4 12 31111 6 M59 96200 000132 0000R 00001 00134 015 2111100 2024 CP1AL423 001*")</f>
        <v>12000</v>
      </c>
      <c r="G2844" s="83">
        <f>SUMIFS(G2845:G6462,K2845:K6462,"0",B2845:B6462,"5 1 1 3 4 12 31111 6 M59 96200 000132 0000R 00001 00134 015 2111100 2024 CP1AL423 001*")</f>
        <v>0</v>
      </c>
      <c r="H2844" s="83">
        <f t="shared" si="44"/>
        <v>12000</v>
      </c>
      <c r="I2844" s="83"/>
      <c r="K2844" s="54" t="s">
        <v>15</v>
      </c>
    </row>
    <row r="2845" spans="2:11" ht="41.25" x14ac:dyDescent="0.2">
      <c r="B2845" s="84" t="s">
        <v>5138</v>
      </c>
      <c r="C2845" s="84" t="s">
        <v>4840</v>
      </c>
      <c r="D2845" s="85">
        <v>0</v>
      </c>
      <c r="E2845" s="85"/>
      <c r="F2845" s="85">
        <v>12000</v>
      </c>
      <c r="G2845" s="85">
        <v>0</v>
      </c>
      <c r="H2845" s="85">
        <f t="shared" si="44"/>
        <v>12000</v>
      </c>
      <c r="I2845" s="85"/>
      <c r="K2845" s="54" t="s">
        <v>38</v>
      </c>
    </row>
    <row r="2846" spans="2:11" ht="16.5" x14ac:dyDescent="0.2">
      <c r="B2846" s="82" t="s">
        <v>5139</v>
      </c>
      <c r="C2846" s="82" t="s">
        <v>1308</v>
      </c>
      <c r="D2846" s="83">
        <f>SUMIFS(D2847:D6462,K2847:K6462,"0",B2847:B6462,"5 1 1 3 4 12 31111 6 M59 96300*")-SUMIFS(E2847:E6462,K2847:K6462,"0",B2847:B6462,"5 1 1 3 4 12 31111 6 M59 96300*")</f>
        <v>0</v>
      </c>
      <c r="E2846" s="54"/>
      <c r="F2846" s="83">
        <f>SUMIFS(F2847:F6462,K2847:K6462,"0",B2847:B6462,"5 1 1 3 4 12 31111 6 M59 96300*")</f>
        <v>100965.38</v>
      </c>
      <c r="G2846" s="83">
        <f>SUMIFS(G2847:G6462,K2847:K6462,"0",B2847:B6462,"5 1 1 3 4 12 31111 6 M59 96300*")</f>
        <v>0</v>
      </c>
      <c r="H2846" s="83">
        <f t="shared" si="44"/>
        <v>100965.38</v>
      </c>
      <c r="I2846" s="83"/>
      <c r="K2846" s="54" t="s">
        <v>15</v>
      </c>
    </row>
    <row r="2847" spans="2:11" ht="16.5" x14ac:dyDescent="0.2">
      <c r="B2847" s="82" t="s">
        <v>5140</v>
      </c>
      <c r="C2847" s="82" t="s">
        <v>1310</v>
      </c>
      <c r="D2847" s="83">
        <f>SUMIFS(D2848:D6462,K2848:K6462,"0",B2848:B6462,"5 1 1 3 4 12 31111 6 M59 96300 000211*")-SUMIFS(E2848:E6462,K2848:K6462,"0",B2848:B6462,"5 1 1 3 4 12 31111 6 M59 96300 000211*")</f>
        <v>0</v>
      </c>
      <c r="E2847" s="54"/>
      <c r="F2847" s="83">
        <f>SUMIFS(F2848:F6462,K2848:K6462,"0",B2848:B6462,"5 1 1 3 4 12 31111 6 M59 96300 000211*")</f>
        <v>100965.38</v>
      </c>
      <c r="G2847" s="83">
        <f>SUMIFS(G2848:G6462,K2848:K6462,"0",B2848:B6462,"5 1 1 3 4 12 31111 6 M59 96300 000211*")</f>
        <v>0</v>
      </c>
      <c r="H2847" s="83">
        <f t="shared" si="44"/>
        <v>100965.38</v>
      </c>
      <c r="I2847" s="83"/>
      <c r="K2847" s="54" t="s">
        <v>15</v>
      </c>
    </row>
    <row r="2848" spans="2:11" ht="24.75" x14ac:dyDescent="0.2">
      <c r="B2848" s="82" t="s">
        <v>5141</v>
      </c>
      <c r="C2848" s="82" t="s">
        <v>1065</v>
      </c>
      <c r="D2848" s="83">
        <f>SUMIFS(D2849:D6462,K2849:K6462,"0",B2849:B6462,"5 1 1 3 4 12 31111 6 M59 96300 000211 0000E*")-SUMIFS(E2849:E6462,K2849:K6462,"0",B2849:B6462,"5 1 1 3 4 12 31111 6 M59 96300 000211 0000E*")</f>
        <v>0</v>
      </c>
      <c r="E2848" s="54"/>
      <c r="F2848" s="83">
        <f>SUMIFS(F2849:F6462,K2849:K6462,"0",B2849:B6462,"5 1 1 3 4 12 31111 6 M59 96300 000211 0000E*")</f>
        <v>100965.38</v>
      </c>
      <c r="G2848" s="83">
        <f>SUMIFS(G2849:G6462,K2849:K6462,"0",B2849:B6462,"5 1 1 3 4 12 31111 6 M59 96300 000211 0000E*")</f>
        <v>0</v>
      </c>
      <c r="H2848" s="83">
        <f t="shared" si="44"/>
        <v>100965.38</v>
      </c>
      <c r="I2848" s="83"/>
      <c r="K2848" s="54" t="s">
        <v>15</v>
      </c>
    </row>
    <row r="2849" spans="2:11" ht="24.75" x14ac:dyDescent="0.2">
      <c r="B2849" s="82" t="s">
        <v>5142</v>
      </c>
      <c r="C2849" s="82" t="s">
        <v>282</v>
      </c>
      <c r="D2849" s="83">
        <f>SUMIFS(D2850:D6462,K2850:K6462,"0",B2850:B6462,"5 1 1 3 4 12 31111 6 M59 96300 000211 0000E 00001*")-SUMIFS(E2850:E6462,K2850:K6462,"0",B2850:B6462,"5 1 1 3 4 12 31111 6 M59 96300 000211 0000E 00001*")</f>
        <v>0</v>
      </c>
      <c r="E2849" s="54"/>
      <c r="F2849" s="83">
        <f>SUMIFS(F2850:F6462,K2850:K6462,"0",B2850:B6462,"5 1 1 3 4 12 31111 6 M59 96300 000211 0000E 00001*")</f>
        <v>100965.38</v>
      </c>
      <c r="G2849" s="83">
        <f>SUMIFS(G2850:G6462,K2850:K6462,"0",B2850:B6462,"5 1 1 3 4 12 31111 6 M59 96300 000211 0000E 00001*")</f>
        <v>0</v>
      </c>
      <c r="H2849" s="83">
        <f t="shared" si="44"/>
        <v>100965.38</v>
      </c>
      <c r="I2849" s="83"/>
      <c r="K2849" s="54" t="s">
        <v>15</v>
      </c>
    </row>
    <row r="2850" spans="2:11" ht="24.75" x14ac:dyDescent="0.2">
      <c r="B2850" s="82" t="s">
        <v>5143</v>
      </c>
      <c r="C2850" s="82" t="s">
        <v>4776</v>
      </c>
      <c r="D2850" s="83">
        <f>SUMIFS(D2851:D6462,K2851:K6462,"0",B2851:B6462,"5 1 1 3 4 12 31111 6 M59 96300 000211 0000E 00001 00134*")-SUMIFS(E2851:E6462,K2851:K6462,"0",B2851:B6462,"5 1 1 3 4 12 31111 6 M59 96300 000211 0000E 00001 00134*")</f>
        <v>0</v>
      </c>
      <c r="E2850" s="54"/>
      <c r="F2850" s="83">
        <f>SUMIFS(F2851:F6462,K2851:K6462,"0",B2851:B6462,"5 1 1 3 4 12 31111 6 M59 96300 000211 0000E 00001 00134*")</f>
        <v>100965.38</v>
      </c>
      <c r="G2850" s="83">
        <f>SUMIFS(G2851:G6462,K2851:K6462,"0",B2851:B6462,"5 1 1 3 4 12 31111 6 M59 96300 000211 0000E 00001 00134*")</f>
        <v>0</v>
      </c>
      <c r="H2850" s="83">
        <f t="shared" si="44"/>
        <v>100965.38</v>
      </c>
      <c r="I2850" s="83"/>
      <c r="K2850" s="54" t="s">
        <v>15</v>
      </c>
    </row>
    <row r="2851" spans="2:11" ht="33" x14ac:dyDescent="0.2">
      <c r="B2851" s="82" t="s">
        <v>5144</v>
      </c>
      <c r="C2851" s="82" t="s">
        <v>1051</v>
      </c>
      <c r="D2851" s="83">
        <f>SUMIFS(D2852:D6462,K2852:K6462,"0",B2852:B6462,"5 1 1 3 4 12 31111 6 M59 96300 000211 0000E 00001 00134 015*")-SUMIFS(E2852:E6462,K2852:K6462,"0",B2852:B6462,"5 1 1 3 4 12 31111 6 M59 96300 000211 0000E 00001 00134 015*")</f>
        <v>0</v>
      </c>
      <c r="E2851" s="54"/>
      <c r="F2851" s="83">
        <f>SUMIFS(F2852:F6462,K2852:K6462,"0",B2852:B6462,"5 1 1 3 4 12 31111 6 M59 96300 000211 0000E 00001 00134 015*")</f>
        <v>100965.38</v>
      </c>
      <c r="G2851" s="83">
        <f>SUMIFS(G2852:G6462,K2852:K6462,"0",B2852:B6462,"5 1 1 3 4 12 31111 6 M59 96300 000211 0000E 00001 00134 015*")</f>
        <v>0</v>
      </c>
      <c r="H2851" s="83">
        <f t="shared" si="44"/>
        <v>100965.38</v>
      </c>
      <c r="I2851" s="83"/>
      <c r="K2851" s="54" t="s">
        <v>15</v>
      </c>
    </row>
    <row r="2852" spans="2:11" ht="33" x14ac:dyDescent="0.2">
      <c r="B2852" s="82" t="s">
        <v>5145</v>
      </c>
      <c r="C2852" s="82" t="s">
        <v>2927</v>
      </c>
      <c r="D2852" s="83">
        <f>SUMIFS(D2853:D6462,K2853:K6462,"0",B2853:B6462,"5 1 1 3 4 12 31111 6 M59 96300 000211 0000E 00001 00134 015 2111100*")-SUMIFS(E2853:E6462,K2853:K6462,"0",B2853:B6462,"5 1 1 3 4 12 31111 6 M59 96300 000211 0000E 00001 00134 015 2111100*")</f>
        <v>0</v>
      </c>
      <c r="E2852" s="54"/>
      <c r="F2852" s="83">
        <f>SUMIFS(F2853:F6462,K2853:K6462,"0",B2853:B6462,"5 1 1 3 4 12 31111 6 M59 96300 000211 0000E 00001 00134 015 2111100*")</f>
        <v>100965.38</v>
      </c>
      <c r="G2852" s="83">
        <f>SUMIFS(G2853:G6462,K2853:K6462,"0",B2853:B6462,"5 1 1 3 4 12 31111 6 M59 96300 000211 0000E 00001 00134 015 2111100*")</f>
        <v>0</v>
      </c>
      <c r="H2852" s="83">
        <f t="shared" si="44"/>
        <v>100965.38</v>
      </c>
      <c r="I2852" s="83"/>
      <c r="K2852" s="54" t="s">
        <v>15</v>
      </c>
    </row>
    <row r="2853" spans="2:11" ht="33" x14ac:dyDescent="0.2">
      <c r="B2853" s="82" t="s">
        <v>5146</v>
      </c>
      <c r="C2853" s="82" t="s">
        <v>660</v>
      </c>
      <c r="D2853" s="83">
        <f>SUMIFS(D2854:D6462,K2854:K6462,"0",B2854:B6462,"5 1 1 3 4 12 31111 6 M59 96300 000211 0000E 00001 00134 015 2111100 2024*")-SUMIFS(E2854:E6462,K2854:K6462,"0",B2854:B6462,"5 1 1 3 4 12 31111 6 M59 96300 000211 0000E 00001 00134 015 2111100 2024*")</f>
        <v>0</v>
      </c>
      <c r="E2853" s="54"/>
      <c r="F2853" s="83">
        <f>SUMIFS(F2854:F6462,K2854:K6462,"0",B2854:B6462,"5 1 1 3 4 12 31111 6 M59 96300 000211 0000E 00001 00134 015 2111100 2024*")</f>
        <v>100965.38</v>
      </c>
      <c r="G2853" s="83">
        <f>SUMIFS(G2854:G6462,K2854:K6462,"0",B2854:B6462,"5 1 1 3 4 12 31111 6 M59 96300 000211 0000E 00001 00134 015 2111100 2024*")</f>
        <v>0</v>
      </c>
      <c r="H2853" s="83">
        <f t="shared" si="44"/>
        <v>100965.38</v>
      </c>
      <c r="I2853" s="83"/>
      <c r="K2853" s="54" t="s">
        <v>15</v>
      </c>
    </row>
    <row r="2854" spans="2:11" ht="41.25" x14ac:dyDescent="0.2">
      <c r="B2854" s="82" t="s">
        <v>5147</v>
      </c>
      <c r="C2854" s="82" t="s">
        <v>1056</v>
      </c>
      <c r="D2854" s="83">
        <f>SUMIFS(D2855:D6462,K2855:K6462,"0",B2855:B6462,"5 1 1 3 4 12 31111 6 M59 96300 000211 0000E 00001 00134 015 2111100 2024 CP1SB396*")-SUMIFS(E2855:E6462,K2855:K6462,"0",B2855:B6462,"5 1 1 3 4 12 31111 6 M59 96300 000211 0000E 00001 00134 015 2111100 2024 CP1SB396*")</f>
        <v>0</v>
      </c>
      <c r="E2854" s="54"/>
      <c r="F2854" s="83">
        <f>SUMIFS(F2855:F6462,K2855:K6462,"0",B2855:B6462,"5 1 1 3 4 12 31111 6 M59 96300 000211 0000E 00001 00134 015 2111100 2024 CP1SB396*")</f>
        <v>100965.38</v>
      </c>
      <c r="G2854" s="83">
        <f>SUMIFS(G2855:G6462,K2855:K6462,"0",B2855:B6462,"5 1 1 3 4 12 31111 6 M59 96300 000211 0000E 00001 00134 015 2111100 2024 CP1SB396*")</f>
        <v>0</v>
      </c>
      <c r="H2854" s="83">
        <f t="shared" si="44"/>
        <v>100965.38</v>
      </c>
      <c r="I2854" s="83"/>
      <c r="K2854" s="54" t="s">
        <v>15</v>
      </c>
    </row>
    <row r="2855" spans="2:11" ht="41.25" x14ac:dyDescent="0.2">
      <c r="B2855" s="82" t="s">
        <v>5148</v>
      </c>
      <c r="C2855" s="82" t="s">
        <v>282</v>
      </c>
      <c r="D2855" s="83">
        <f>SUMIFS(D2856:D6462,K2856:K6462,"0",B2856:B6462,"5 1 1 3 4 12 31111 6 M59 96300 000211 0000E 00001 00134 015 2111100 2024 CP1SB396 001*")-SUMIFS(E2856:E6462,K2856:K6462,"0",B2856:B6462,"5 1 1 3 4 12 31111 6 M59 96300 000211 0000E 00001 00134 015 2111100 2024 CP1SB396 001*")</f>
        <v>0</v>
      </c>
      <c r="E2855" s="54"/>
      <c r="F2855" s="83">
        <f>SUMIFS(F2856:F6462,K2856:K6462,"0",B2856:B6462,"5 1 1 3 4 12 31111 6 M59 96300 000211 0000E 00001 00134 015 2111100 2024 CP1SB396 001*")</f>
        <v>100965.38</v>
      </c>
      <c r="G2855" s="83">
        <f>SUMIFS(G2856:G6462,K2856:K6462,"0",B2856:B6462,"5 1 1 3 4 12 31111 6 M59 96300 000211 0000E 00001 00134 015 2111100 2024 CP1SB396 001*")</f>
        <v>0</v>
      </c>
      <c r="H2855" s="83">
        <f t="shared" si="44"/>
        <v>100965.38</v>
      </c>
      <c r="I2855" s="83"/>
      <c r="K2855" s="54" t="s">
        <v>15</v>
      </c>
    </row>
    <row r="2856" spans="2:11" ht="33" x14ac:dyDescent="0.2">
      <c r="B2856" s="84" t="s">
        <v>5149</v>
      </c>
      <c r="C2856" s="84" t="s">
        <v>4783</v>
      </c>
      <c r="D2856" s="85">
        <v>0</v>
      </c>
      <c r="E2856" s="85"/>
      <c r="F2856" s="85">
        <v>100965.38</v>
      </c>
      <c r="G2856" s="85">
        <v>0</v>
      </c>
      <c r="H2856" s="85">
        <f t="shared" si="44"/>
        <v>100965.38</v>
      </c>
      <c r="I2856" s="85"/>
      <c r="K2856" s="54" t="s">
        <v>38</v>
      </c>
    </row>
    <row r="2857" spans="2:11" ht="16.5" x14ac:dyDescent="0.2">
      <c r="B2857" s="82" t="s">
        <v>5150</v>
      </c>
      <c r="C2857" s="82" t="s">
        <v>3729</v>
      </c>
      <c r="D2857" s="83">
        <f>SUMIFS(D2858:D6462,K2858:K6462,"0",B2858:B6462,"5 1 1 3 4 12 31111 6 M59 97000*")-SUMIFS(E2858:E6462,K2858:K6462,"0",B2858:B6462,"5 1 1 3 4 12 31111 6 M59 97000*")</f>
        <v>0</v>
      </c>
      <c r="E2857" s="54"/>
      <c r="F2857" s="83">
        <f>SUMIFS(F2858:F6462,K2858:K6462,"0",B2858:B6462,"5 1 1 3 4 12 31111 6 M59 97000*")</f>
        <v>15500</v>
      </c>
      <c r="G2857" s="83">
        <f>SUMIFS(G2858:G6462,K2858:K6462,"0",B2858:B6462,"5 1 1 3 4 12 31111 6 M59 97000*")</f>
        <v>0</v>
      </c>
      <c r="H2857" s="83">
        <f t="shared" si="44"/>
        <v>15500</v>
      </c>
      <c r="I2857" s="83"/>
      <c r="K2857" s="54" t="s">
        <v>15</v>
      </c>
    </row>
    <row r="2858" spans="2:11" ht="16.5" x14ac:dyDescent="0.2">
      <c r="B2858" s="82" t="s">
        <v>5151</v>
      </c>
      <c r="C2858" s="82" t="s">
        <v>648</v>
      </c>
      <c r="D2858" s="83">
        <f>SUMIFS(D2859:D6462,K2859:K6462,"0",B2859:B6462,"5 1 1 3 4 12 31111 6 M59 97000 000132*")-SUMIFS(E2859:E6462,K2859:K6462,"0",B2859:B6462,"5 1 1 3 4 12 31111 6 M59 97000 000132*")</f>
        <v>0</v>
      </c>
      <c r="E2858" s="54"/>
      <c r="F2858" s="83">
        <f>SUMIFS(F2859:F6462,K2859:K6462,"0",B2859:B6462,"5 1 1 3 4 12 31111 6 M59 97000 000132*")</f>
        <v>15500</v>
      </c>
      <c r="G2858" s="83">
        <f>SUMIFS(G2859:G6462,K2859:K6462,"0",B2859:B6462,"5 1 1 3 4 12 31111 6 M59 97000 000132*")</f>
        <v>0</v>
      </c>
      <c r="H2858" s="83">
        <f t="shared" si="44"/>
        <v>15500</v>
      </c>
      <c r="I2858" s="83"/>
      <c r="K2858" s="54" t="s">
        <v>15</v>
      </c>
    </row>
    <row r="2859" spans="2:11" ht="24.75" x14ac:dyDescent="0.2">
      <c r="B2859" s="82" t="s">
        <v>5152</v>
      </c>
      <c r="C2859" s="82" t="s">
        <v>650</v>
      </c>
      <c r="D2859" s="83">
        <f>SUMIFS(D2860:D6462,K2860:K6462,"0",B2860:B6462,"5 1 1 3 4 12 31111 6 M59 97000 000132 0000R*")-SUMIFS(E2860:E6462,K2860:K6462,"0",B2860:B6462,"5 1 1 3 4 12 31111 6 M59 97000 000132 0000R*")</f>
        <v>0</v>
      </c>
      <c r="E2859" s="54"/>
      <c r="F2859" s="83">
        <f>SUMIFS(F2860:F6462,K2860:K6462,"0",B2860:B6462,"5 1 1 3 4 12 31111 6 M59 97000 000132 0000R*")</f>
        <v>15500</v>
      </c>
      <c r="G2859" s="83">
        <f>SUMIFS(G2860:G6462,K2860:K6462,"0",B2860:B6462,"5 1 1 3 4 12 31111 6 M59 97000 000132 0000R*")</f>
        <v>0</v>
      </c>
      <c r="H2859" s="83">
        <f t="shared" ref="H2859:H2922" si="45">D2859 + F2859 - G2859</f>
        <v>15500</v>
      </c>
      <c r="I2859" s="83"/>
      <c r="K2859" s="54" t="s">
        <v>15</v>
      </c>
    </row>
    <row r="2860" spans="2:11" ht="24.75" x14ac:dyDescent="0.2">
      <c r="B2860" s="82" t="s">
        <v>5153</v>
      </c>
      <c r="C2860" s="82" t="s">
        <v>282</v>
      </c>
      <c r="D2860" s="83">
        <f>SUMIFS(D2861:D6462,K2861:K6462,"0",B2861:B6462,"5 1 1 3 4 12 31111 6 M59 97000 000132 0000R 00001*")-SUMIFS(E2861:E6462,K2861:K6462,"0",B2861:B6462,"5 1 1 3 4 12 31111 6 M59 97000 000132 0000R 00001*")</f>
        <v>0</v>
      </c>
      <c r="E2860" s="54"/>
      <c r="F2860" s="83">
        <f>SUMIFS(F2861:F6462,K2861:K6462,"0",B2861:B6462,"5 1 1 3 4 12 31111 6 M59 97000 000132 0000R 00001*")</f>
        <v>15500</v>
      </c>
      <c r="G2860" s="83">
        <f>SUMIFS(G2861:G6462,K2861:K6462,"0",B2861:B6462,"5 1 1 3 4 12 31111 6 M59 97000 000132 0000R 00001*")</f>
        <v>0</v>
      </c>
      <c r="H2860" s="83">
        <f t="shared" si="45"/>
        <v>15500</v>
      </c>
      <c r="I2860" s="83"/>
      <c r="K2860" s="54" t="s">
        <v>15</v>
      </c>
    </row>
    <row r="2861" spans="2:11" ht="24.75" x14ac:dyDescent="0.2">
      <c r="B2861" s="82" t="s">
        <v>5154</v>
      </c>
      <c r="C2861" s="82" t="s">
        <v>4776</v>
      </c>
      <c r="D2861" s="83">
        <f>SUMIFS(D2862:D6462,K2862:K6462,"0",B2862:B6462,"5 1 1 3 4 12 31111 6 M59 97000 000132 0000R 00001 00134*")-SUMIFS(E2862:E6462,K2862:K6462,"0",B2862:B6462,"5 1 1 3 4 12 31111 6 M59 97000 000132 0000R 00001 00134*")</f>
        <v>0</v>
      </c>
      <c r="E2861" s="54"/>
      <c r="F2861" s="83">
        <f>SUMIFS(F2862:F6462,K2862:K6462,"0",B2862:B6462,"5 1 1 3 4 12 31111 6 M59 97000 000132 0000R 00001 00134*")</f>
        <v>15500</v>
      </c>
      <c r="G2861" s="83">
        <f>SUMIFS(G2862:G6462,K2862:K6462,"0",B2862:B6462,"5 1 1 3 4 12 31111 6 M59 97000 000132 0000R 00001 00134*")</f>
        <v>0</v>
      </c>
      <c r="H2861" s="83">
        <f t="shared" si="45"/>
        <v>15500</v>
      </c>
      <c r="I2861" s="83"/>
      <c r="K2861" s="54" t="s">
        <v>15</v>
      </c>
    </row>
    <row r="2862" spans="2:11" ht="33" x14ac:dyDescent="0.2">
      <c r="B2862" s="82" t="s">
        <v>5155</v>
      </c>
      <c r="C2862" s="82" t="s">
        <v>1051</v>
      </c>
      <c r="D2862" s="83">
        <f>SUMIFS(D2863:D6462,K2863:K6462,"0",B2863:B6462,"5 1 1 3 4 12 31111 6 M59 97000 000132 0000R 00001 00134 015*")-SUMIFS(E2863:E6462,K2863:K6462,"0",B2863:B6462,"5 1 1 3 4 12 31111 6 M59 97000 000132 0000R 00001 00134 015*")</f>
        <v>0</v>
      </c>
      <c r="E2862" s="54"/>
      <c r="F2862" s="83">
        <f>SUMIFS(F2863:F6462,K2863:K6462,"0",B2863:B6462,"5 1 1 3 4 12 31111 6 M59 97000 000132 0000R 00001 00134 015*")</f>
        <v>15500</v>
      </c>
      <c r="G2862" s="83">
        <f>SUMIFS(G2863:G6462,K2863:K6462,"0",B2863:B6462,"5 1 1 3 4 12 31111 6 M59 97000 000132 0000R 00001 00134 015*")</f>
        <v>0</v>
      </c>
      <c r="H2862" s="83">
        <f t="shared" si="45"/>
        <v>15500</v>
      </c>
      <c r="I2862" s="83"/>
      <c r="K2862" s="54" t="s">
        <v>15</v>
      </c>
    </row>
    <row r="2863" spans="2:11" ht="33" x14ac:dyDescent="0.2">
      <c r="B2863" s="82" t="s">
        <v>5156</v>
      </c>
      <c r="C2863" s="82" t="s">
        <v>2927</v>
      </c>
      <c r="D2863" s="83">
        <f>SUMIFS(D2864:D6462,K2864:K6462,"0",B2864:B6462,"5 1 1 3 4 12 31111 6 M59 97000 000132 0000R 00001 00134 015 2111100*")-SUMIFS(E2864:E6462,K2864:K6462,"0",B2864:B6462,"5 1 1 3 4 12 31111 6 M59 97000 000132 0000R 00001 00134 015 2111100*")</f>
        <v>0</v>
      </c>
      <c r="E2863" s="54"/>
      <c r="F2863" s="83">
        <f>SUMIFS(F2864:F6462,K2864:K6462,"0",B2864:B6462,"5 1 1 3 4 12 31111 6 M59 97000 000132 0000R 00001 00134 015 2111100*")</f>
        <v>15500</v>
      </c>
      <c r="G2863" s="83">
        <f>SUMIFS(G2864:G6462,K2864:K6462,"0",B2864:B6462,"5 1 1 3 4 12 31111 6 M59 97000 000132 0000R 00001 00134 015 2111100*")</f>
        <v>0</v>
      </c>
      <c r="H2863" s="83">
        <f t="shared" si="45"/>
        <v>15500</v>
      </c>
      <c r="I2863" s="83"/>
      <c r="K2863" s="54" t="s">
        <v>15</v>
      </c>
    </row>
    <row r="2864" spans="2:11" ht="33" x14ac:dyDescent="0.2">
      <c r="B2864" s="82" t="s">
        <v>5157</v>
      </c>
      <c r="C2864" s="82" t="s">
        <v>660</v>
      </c>
      <c r="D2864" s="83">
        <f>SUMIFS(D2865:D6462,K2865:K6462,"0",B2865:B6462,"5 1 1 3 4 12 31111 6 M59 97000 000132 0000R 00001 00134 015 2111100 2024*")-SUMIFS(E2865:E6462,K2865:K6462,"0",B2865:B6462,"5 1 1 3 4 12 31111 6 M59 97000 000132 0000R 00001 00134 015 2111100 2024*")</f>
        <v>0</v>
      </c>
      <c r="E2864" s="54"/>
      <c r="F2864" s="83">
        <f>SUMIFS(F2865:F6462,K2865:K6462,"0",B2865:B6462,"5 1 1 3 4 12 31111 6 M59 97000 000132 0000R 00001 00134 015 2111100 2024*")</f>
        <v>15500</v>
      </c>
      <c r="G2864" s="83">
        <f>SUMIFS(G2865:G6462,K2865:K6462,"0",B2865:B6462,"5 1 1 3 4 12 31111 6 M59 97000 000132 0000R 00001 00134 015 2111100 2024*")</f>
        <v>0</v>
      </c>
      <c r="H2864" s="83">
        <f t="shared" si="45"/>
        <v>15500</v>
      </c>
      <c r="I2864" s="83"/>
      <c r="K2864" s="54" t="s">
        <v>15</v>
      </c>
    </row>
    <row r="2865" spans="2:11" ht="41.25" x14ac:dyDescent="0.2">
      <c r="B2865" s="82" t="s">
        <v>5158</v>
      </c>
      <c r="C2865" s="82" t="s">
        <v>1056</v>
      </c>
      <c r="D2865" s="83">
        <f>SUMIFS(D2866:D6462,K2866:K6462,"0",B2866:B6462,"5 1 1 3 4 12 31111 6 M59 97000 000132 0000R 00001 00134 015 2111100 2024 CP1SP428*")-SUMIFS(E2866:E6462,K2866:K6462,"0",B2866:B6462,"5 1 1 3 4 12 31111 6 M59 97000 000132 0000R 00001 00134 015 2111100 2024 CP1SP428*")</f>
        <v>0</v>
      </c>
      <c r="E2865" s="54"/>
      <c r="F2865" s="83">
        <f>SUMIFS(F2866:F6462,K2866:K6462,"0",B2866:B6462,"5 1 1 3 4 12 31111 6 M59 97000 000132 0000R 00001 00134 015 2111100 2024 CP1SP428*")</f>
        <v>15500</v>
      </c>
      <c r="G2865" s="83">
        <f>SUMIFS(G2866:G6462,K2866:K6462,"0",B2866:B6462,"5 1 1 3 4 12 31111 6 M59 97000 000132 0000R 00001 00134 015 2111100 2024 CP1SP428*")</f>
        <v>0</v>
      </c>
      <c r="H2865" s="83">
        <f t="shared" si="45"/>
        <v>15500</v>
      </c>
      <c r="I2865" s="83"/>
      <c r="K2865" s="54" t="s">
        <v>15</v>
      </c>
    </row>
    <row r="2866" spans="2:11" ht="41.25" x14ac:dyDescent="0.2">
      <c r="B2866" s="82" t="s">
        <v>5159</v>
      </c>
      <c r="C2866" s="82" t="s">
        <v>282</v>
      </c>
      <c r="D2866" s="83">
        <f>SUMIFS(D2867:D6462,K2867:K6462,"0",B2867:B6462,"5 1 1 3 4 12 31111 6 M59 97000 000132 0000R 00001 00134 015 2111100 2024 CP1SP428 001*")-SUMIFS(E2867:E6462,K2867:K6462,"0",B2867:B6462,"5 1 1 3 4 12 31111 6 M59 97000 000132 0000R 00001 00134 015 2111100 2024 CP1SP428 001*")</f>
        <v>0</v>
      </c>
      <c r="E2866" s="54"/>
      <c r="F2866" s="83">
        <f>SUMIFS(F2867:F6462,K2867:K6462,"0",B2867:B6462,"5 1 1 3 4 12 31111 6 M59 97000 000132 0000R 00001 00134 015 2111100 2024 CP1SP428 001*")</f>
        <v>15500</v>
      </c>
      <c r="G2866" s="83">
        <f>SUMIFS(G2867:G6462,K2867:K6462,"0",B2867:B6462,"5 1 1 3 4 12 31111 6 M59 97000 000132 0000R 00001 00134 015 2111100 2024 CP1SP428 001*")</f>
        <v>0</v>
      </c>
      <c r="H2866" s="83">
        <f t="shared" si="45"/>
        <v>15500</v>
      </c>
      <c r="I2866" s="83"/>
      <c r="K2866" s="54" t="s">
        <v>15</v>
      </c>
    </row>
    <row r="2867" spans="2:11" ht="33" x14ac:dyDescent="0.2">
      <c r="B2867" s="84" t="s">
        <v>5160</v>
      </c>
      <c r="C2867" s="84" t="s">
        <v>4783</v>
      </c>
      <c r="D2867" s="85">
        <v>0</v>
      </c>
      <c r="E2867" s="85"/>
      <c r="F2867" s="85">
        <v>15500</v>
      </c>
      <c r="G2867" s="85">
        <v>0</v>
      </c>
      <c r="H2867" s="85">
        <f t="shared" si="45"/>
        <v>15500</v>
      </c>
      <c r="I2867" s="85"/>
      <c r="K2867" s="54" t="s">
        <v>38</v>
      </c>
    </row>
    <row r="2868" spans="2:11" ht="12.75" x14ac:dyDescent="0.2">
      <c r="B2868" s="82" t="s">
        <v>5161</v>
      </c>
      <c r="C2868" s="82" t="s">
        <v>5162</v>
      </c>
      <c r="D2868" s="83">
        <f>SUMIFS(D2869:D6462,K2869:K6462,"0",B2869:B6462,"5 1 1 4*")-SUMIFS(E2869:E6462,K2869:K6462,"0",B2869:B6462,"5 1 1 4*")</f>
        <v>0</v>
      </c>
      <c r="E2868" s="54"/>
      <c r="F2868" s="83">
        <f>SUMIFS(F2869:F6462,K2869:K6462,"0",B2869:B6462,"5 1 1 4*")</f>
        <v>471812.42</v>
      </c>
      <c r="G2868" s="83">
        <f>SUMIFS(G2869:G6462,K2869:K6462,"0",B2869:B6462,"5 1 1 4*")</f>
        <v>0</v>
      </c>
      <c r="H2868" s="83">
        <f t="shared" si="45"/>
        <v>471812.42</v>
      </c>
      <c r="I2868" s="83"/>
      <c r="K2868" s="54" t="s">
        <v>15</v>
      </c>
    </row>
    <row r="2869" spans="2:11" ht="16.5" x14ac:dyDescent="0.2">
      <c r="B2869" s="82" t="s">
        <v>5163</v>
      </c>
      <c r="C2869" s="82" t="s">
        <v>5164</v>
      </c>
      <c r="D2869" s="83">
        <f>SUMIFS(D2870:D6462,K2870:K6462,"0",B2870:B6462,"5 1 1 4 1*")-SUMIFS(E2870:E6462,K2870:K6462,"0",B2870:B6462,"5 1 1 4 1*")</f>
        <v>0</v>
      </c>
      <c r="E2869" s="54"/>
      <c r="F2869" s="83">
        <f>SUMIFS(F2870:F6462,K2870:K6462,"0",B2870:B6462,"5 1 1 4 1*")</f>
        <v>471812.42</v>
      </c>
      <c r="G2869" s="83">
        <f>SUMIFS(G2870:G6462,K2870:K6462,"0",B2870:B6462,"5 1 1 4 1*")</f>
        <v>0</v>
      </c>
      <c r="H2869" s="83">
        <f t="shared" si="45"/>
        <v>471812.42</v>
      </c>
      <c r="I2869" s="83"/>
      <c r="K2869" s="54" t="s">
        <v>15</v>
      </c>
    </row>
    <row r="2870" spans="2:11" ht="12.75" x14ac:dyDescent="0.2">
      <c r="B2870" s="82" t="s">
        <v>5165</v>
      </c>
      <c r="C2870" s="82" t="s">
        <v>26</v>
      </c>
      <c r="D2870" s="83">
        <f>SUMIFS(D2871:D6462,K2871:K6462,"0",B2871:B6462,"5 1 1 4 1 12*")-SUMIFS(E2871:E6462,K2871:K6462,"0",B2871:B6462,"5 1 1 4 1 12*")</f>
        <v>0</v>
      </c>
      <c r="E2870" s="54"/>
      <c r="F2870" s="83">
        <f>SUMIFS(F2871:F6462,K2871:K6462,"0",B2871:B6462,"5 1 1 4 1 12*")</f>
        <v>471812.42</v>
      </c>
      <c r="G2870" s="83">
        <f>SUMIFS(G2871:G6462,K2871:K6462,"0",B2871:B6462,"5 1 1 4 1 12*")</f>
        <v>0</v>
      </c>
      <c r="H2870" s="83">
        <f t="shared" si="45"/>
        <v>471812.42</v>
      </c>
      <c r="I2870" s="83"/>
      <c r="K2870" s="54" t="s">
        <v>15</v>
      </c>
    </row>
    <row r="2871" spans="2:11" ht="16.5" x14ac:dyDescent="0.2">
      <c r="B2871" s="82" t="s">
        <v>5166</v>
      </c>
      <c r="C2871" s="82" t="s">
        <v>28</v>
      </c>
      <c r="D2871" s="83">
        <f>SUMIFS(D2872:D6462,K2872:K6462,"0",B2872:B6462,"5 1 1 4 1 12 31111*")-SUMIFS(E2872:E6462,K2872:K6462,"0",B2872:B6462,"5 1 1 4 1 12 31111*")</f>
        <v>0</v>
      </c>
      <c r="E2871" s="54"/>
      <c r="F2871" s="83">
        <f>SUMIFS(F2872:F6462,K2872:K6462,"0",B2872:B6462,"5 1 1 4 1 12 31111*")</f>
        <v>471812.42</v>
      </c>
      <c r="G2871" s="83">
        <f>SUMIFS(G2872:G6462,K2872:K6462,"0",B2872:B6462,"5 1 1 4 1 12 31111*")</f>
        <v>0</v>
      </c>
      <c r="H2871" s="83">
        <f t="shared" si="45"/>
        <v>471812.42</v>
      </c>
      <c r="I2871" s="83"/>
      <c r="K2871" s="54" t="s">
        <v>15</v>
      </c>
    </row>
    <row r="2872" spans="2:11" ht="12.75" x14ac:dyDescent="0.2">
      <c r="B2872" s="82" t="s">
        <v>5167</v>
      </c>
      <c r="C2872" s="82" t="s">
        <v>30</v>
      </c>
      <c r="D2872" s="83">
        <f>SUMIFS(D2873:D6462,K2873:K6462,"0",B2873:B6462,"5 1 1 4 1 12 31111 6*")-SUMIFS(E2873:E6462,K2873:K6462,"0",B2873:B6462,"5 1 1 4 1 12 31111 6*")</f>
        <v>0</v>
      </c>
      <c r="E2872" s="54"/>
      <c r="F2872" s="83">
        <f>SUMIFS(F2873:F6462,K2873:K6462,"0",B2873:B6462,"5 1 1 4 1 12 31111 6*")</f>
        <v>471812.42</v>
      </c>
      <c r="G2872" s="83">
        <f>SUMIFS(G2873:G6462,K2873:K6462,"0",B2873:B6462,"5 1 1 4 1 12 31111 6*")</f>
        <v>0</v>
      </c>
      <c r="H2872" s="83">
        <f t="shared" si="45"/>
        <v>471812.42</v>
      </c>
      <c r="I2872" s="83"/>
      <c r="K2872" s="54" t="s">
        <v>15</v>
      </c>
    </row>
    <row r="2873" spans="2:11" ht="16.5" x14ac:dyDescent="0.2">
      <c r="B2873" s="82" t="s">
        <v>5168</v>
      </c>
      <c r="C2873" s="82" t="s">
        <v>2284</v>
      </c>
      <c r="D2873" s="83">
        <f>SUMIFS(D2874:D6462,K2874:K6462,"0",B2874:B6462,"5 1 1 4 1 12 31111 6 M59*")-SUMIFS(E2874:E6462,K2874:K6462,"0",B2874:B6462,"5 1 1 4 1 12 31111 6 M59*")</f>
        <v>0</v>
      </c>
      <c r="E2873" s="54"/>
      <c r="F2873" s="83">
        <f>SUMIFS(F2874:F6462,K2874:K6462,"0",B2874:B6462,"5 1 1 4 1 12 31111 6 M59*")</f>
        <v>471812.42</v>
      </c>
      <c r="G2873" s="83">
        <f>SUMIFS(G2874:G6462,K2874:K6462,"0",B2874:B6462,"5 1 1 4 1 12 31111 6 M59*")</f>
        <v>0</v>
      </c>
      <c r="H2873" s="83">
        <f t="shared" si="45"/>
        <v>471812.42</v>
      </c>
      <c r="I2873" s="83"/>
      <c r="K2873" s="54" t="s">
        <v>15</v>
      </c>
    </row>
    <row r="2874" spans="2:11" ht="16.5" x14ac:dyDescent="0.2">
      <c r="B2874" s="82" t="s">
        <v>5169</v>
      </c>
      <c r="C2874" s="82" t="s">
        <v>2971</v>
      </c>
      <c r="D2874" s="83">
        <f>SUMIFS(D2875:D6462,K2875:K6462,"0",B2875:B6462,"5 1 1 4 1 12 31111 6 M59 10500*")-SUMIFS(E2875:E6462,K2875:K6462,"0",B2875:B6462,"5 1 1 4 1 12 31111 6 M59 10500*")</f>
        <v>0</v>
      </c>
      <c r="E2874" s="54"/>
      <c r="F2874" s="83">
        <f>SUMIFS(F2875:F6462,K2875:K6462,"0",B2875:B6462,"5 1 1 4 1 12 31111 6 M59 10500*")</f>
        <v>15164.31</v>
      </c>
      <c r="G2874" s="83">
        <f>SUMIFS(G2875:G6462,K2875:K6462,"0",B2875:B6462,"5 1 1 4 1 12 31111 6 M59 10500*")</f>
        <v>0</v>
      </c>
      <c r="H2874" s="83">
        <f t="shared" si="45"/>
        <v>15164.31</v>
      </c>
      <c r="I2874" s="83"/>
      <c r="K2874" s="54" t="s">
        <v>15</v>
      </c>
    </row>
    <row r="2875" spans="2:11" ht="16.5" x14ac:dyDescent="0.2">
      <c r="B2875" s="82" t="s">
        <v>5170</v>
      </c>
      <c r="C2875" s="82" t="s">
        <v>648</v>
      </c>
      <c r="D2875" s="83">
        <f>SUMIFS(D2876:D6462,K2876:K6462,"0",B2876:B6462,"5 1 1 4 1 12 31111 6 M59 10500 000132*")-SUMIFS(E2876:E6462,K2876:K6462,"0",B2876:B6462,"5 1 1 4 1 12 31111 6 M59 10500 000132*")</f>
        <v>0</v>
      </c>
      <c r="E2875" s="54"/>
      <c r="F2875" s="83">
        <f>SUMIFS(F2876:F6462,K2876:K6462,"0",B2876:B6462,"5 1 1 4 1 12 31111 6 M59 10500 000132*")</f>
        <v>15164.31</v>
      </c>
      <c r="G2875" s="83">
        <f>SUMIFS(G2876:G6462,K2876:K6462,"0",B2876:B6462,"5 1 1 4 1 12 31111 6 M59 10500 000132*")</f>
        <v>0</v>
      </c>
      <c r="H2875" s="83">
        <f t="shared" si="45"/>
        <v>15164.31</v>
      </c>
      <c r="I2875" s="83"/>
      <c r="K2875" s="54" t="s">
        <v>15</v>
      </c>
    </row>
    <row r="2876" spans="2:11" ht="16.5" x14ac:dyDescent="0.2">
      <c r="B2876" s="82" t="s">
        <v>5171</v>
      </c>
      <c r="C2876" s="82" t="s">
        <v>650</v>
      </c>
      <c r="D2876" s="83">
        <f>SUMIFS(D2877:D6462,K2877:K6462,"0",B2877:B6462,"5 1 1 4 1 12 31111 6 M59 10500 000132 0000R*")-SUMIFS(E2877:E6462,K2877:K6462,"0",B2877:B6462,"5 1 1 4 1 12 31111 6 M59 10500 000132 0000R*")</f>
        <v>0</v>
      </c>
      <c r="E2876" s="54"/>
      <c r="F2876" s="83">
        <f>SUMIFS(F2877:F6462,K2877:K6462,"0",B2877:B6462,"5 1 1 4 1 12 31111 6 M59 10500 000132 0000R*")</f>
        <v>15164.31</v>
      </c>
      <c r="G2876" s="83">
        <f>SUMIFS(G2877:G6462,K2877:K6462,"0",B2877:B6462,"5 1 1 4 1 12 31111 6 M59 10500 000132 0000R*")</f>
        <v>0</v>
      </c>
      <c r="H2876" s="83">
        <f t="shared" si="45"/>
        <v>15164.31</v>
      </c>
      <c r="I2876" s="83"/>
      <c r="K2876" s="54" t="s">
        <v>15</v>
      </c>
    </row>
    <row r="2877" spans="2:11" ht="24.75" x14ac:dyDescent="0.2">
      <c r="B2877" s="82" t="s">
        <v>5172</v>
      </c>
      <c r="C2877" s="82" t="s">
        <v>282</v>
      </c>
      <c r="D2877" s="83">
        <f>SUMIFS(D2878:D6462,K2878:K6462,"0",B2878:B6462,"5 1 1 4 1 12 31111 6 M59 10500 000132 0000R 00001*")-SUMIFS(E2878:E6462,K2878:K6462,"0",B2878:B6462,"5 1 1 4 1 12 31111 6 M59 10500 000132 0000R 00001*")</f>
        <v>0</v>
      </c>
      <c r="E2877" s="54"/>
      <c r="F2877" s="83">
        <f>SUMIFS(F2878:F6462,K2878:K6462,"0",B2878:B6462,"5 1 1 4 1 12 31111 6 M59 10500 000132 0000R 00001*")</f>
        <v>15164.31</v>
      </c>
      <c r="G2877" s="83">
        <f>SUMIFS(G2878:G6462,K2878:K6462,"0",B2878:B6462,"5 1 1 4 1 12 31111 6 M59 10500 000132 0000R 00001*")</f>
        <v>0</v>
      </c>
      <c r="H2877" s="83">
        <f t="shared" si="45"/>
        <v>15164.31</v>
      </c>
      <c r="I2877" s="83"/>
      <c r="K2877" s="54" t="s">
        <v>15</v>
      </c>
    </row>
    <row r="2878" spans="2:11" ht="24.75" x14ac:dyDescent="0.2">
      <c r="B2878" s="82" t="s">
        <v>5173</v>
      </c>
      <c r="C2878" s="82" t="s">
        <v>5174</v>
      </c>
      <c r="D2878" s="83">
        <f>SUMIFS(D2879:D6462,K2879:K6462,"0",B2879:B6462,"5 1 1 4 1 12 31111 6 M59 10500 000132 0000R 00001 00141*")-SUMIFS(E2879:E6462,K2879:K6462,"0",B2879:B6462,"5 1 1 4 1 12 31111 6 M59 10500 000132 0000R 00001 00141*")</f>
        <v>0</v>
      </c>
      <c r="E2878" s="54"/>
      <c r="F2878" s="83">
        <f>SUMIFS(F2879:F6462,K2879:K6462,"0",B2879:B6462,"5 1 1 4 1 12 31111 6 M59 10500 000132 0000R 00001 00141*")</f>
        <v>15164.31</v>
      </c>
      <c r="G2878" s="83">
        <f>SUMIFS(G2879:G6462,K2879:K6462,"0",B2879:B6462,"5 1 1 4 1 12 31111 6 M59 10500 000132 0000R 00001 00141*")</f>
        <v>0</v>
      </c>
      <c r="H2878" s="83">
        <f t="shared" si="45"/>
        <v>15164.31</v>
      </c>
      <c r="I2878" s="83"/>
      <c r="K2878" s="54" t="s">
        <v>15</v>
      </c>
    </row>
    <row r="2879" spans="2:11" ht="24.75" x14ac:dyDescent="0.2">
      <c r="B2879" s="82" t="s">
        <v>5175</v>
      </c>
      <c r="C2879" s="82" t="s">
        <v>1051</v>
      </c>
      <c r="D2879" s="83">
        <f>SUMIFS(D2880:D6462,K2880:K6462,"0",B2880:B6462,"5 1 1 4 1 12 31111 6 M59 10500 000132 0000R 00001 00141 015*")-SUMIFS(E2880:E6462,K2880:K6462,"0",B2880:B6462,"5 1 1 4 1 12 31111 6 M59 10500 000132 0000R 00001 00141 015*")</f>
        <v>0</v>
      </c>
      <c r="E2879" s="54"/>
      <c r="F2879" s="83">
        <f>SUMIFS(F2880:F6462,K2880:K6462,"0",B2880:B6462,"5 1 1 4 1 12 31111 6 M59 10500 000132 0000R 00001 00141 015*")</f>
        <v>15164.31</v>
      </c>
      <c r="G2879" s="83">
        <f>SUMIFS(G2880:G6462,K2880:K6462,"0",B2880:B6462,"5 1 1 4 1 12 31111 6 M59 10500 000132 0000R 00001 00141 015*")</f>
        <v>0</v>
      </c>
      <c r="H2879" s="83">
        <f t="shared" si="45"/>
        <v>15164.31</v>
      </c>
      <c r="I2879" s="83"/>
      <c r="K2879" s="54" t="s">
        <v>15</v>
      </c>
    </row>
    <row r="2880" spans="2:11" ht="33" x14ac:dyDescent="0.2">
      <c r="B2880" s="82" t="s">
        <v>5176</v>
      </c>
      <c r="C2880" s="82" t="s">
        <v>2927</v>
      </c>
      <c r="D2880" s="83">
        <f>SUMIFS(D2881:D6462,K2881:K6462,"0",B2881:B6462,"5 1 1 4 1 12 31111 6 M59 10500 000132 0000R 00001 00141 015 2111100*")-SUMIFS(E2881:E6462,K2881:K6462,"0",B2881:B6462,"5 1 1 4 1 12 31111 6 M59 10500 000132 0000R 00001 00141 015 2111100*")</f>
        <v>0</v>
      </c>
      <c r="E2880" s="54"/>
      <c r="F2880" s="83">
        <f>SUMIFS(F2881:F6462,K2881:K6462,"0",B2881:B6462,"5 1 1 4 1 12 31111 6 M59 10500 000132 0000R 00001 00141 015 2111100*")</f>
        <v>15164.31</v>
      </c>
      <c r="G2880" s="83">
        <f>SUMIFS(G2881:G6462,K2881:K6462,"0",B2881:B6462,"5 1 1 4 1 12 31111 6 M59 10500 000132 0000R 00001 00141 015 2111100*")</f>
        <v>0</v>
      </c>
      <c r="H2880" s="83">
        <f t="shared" si="45"/>
        <v>15164.31</v>
      </c>
      <c r="I2880" s="83"/>
      <c r="K2880" s="54" t="s">
        <v>15</v>
      </c>
    </row>
    <row r="2881" spans="2:11" ht="33" x14ac:dyDescent="0.2">
      <c r="B2881" s="82" t="s">
        <v>5177</v>
      </c>
      <c r="C2881" s="82" t="s">
        <v>660</v>
      </c>
      <c r="D2881" s="83">
        <f>SUMIFS(D2882:D6462,K2882:K6462,"0",B2882:B6462,"5 1 1 4 1 12 31111 6 M59 10500 000132 0000R 00001 00141 015 2111100 2024*")-SUMIFS(E2882:E6462,K2882:K6462,"0",B2882:B6462,"5 1 1 4 1 12 31111 6 M59 10500 000132 0000R 00001 00141 015 2111100 2024*")</f>
        <v>0</v>
      </c>
      <c r="E2881" s="54"/>
      <c r="F2881" s="83">
        <f>SUMIFS(F2882:F6462,K2882:K6462,"0",B2882:B6462,"5 1 1 4 1 12 31111 6 M59 10500 000132 0000R 00001 00141 015 2111100 2024*")</f>
        <v>15164.31</v>
      </c>
      <c r="G2881" s="83">
        <f>SUMIFS(G2882:G6462,K2882:K6462,"0",B2882:B6462,"5 1 1 4 1 12 31111 6 M59 10500 000132 0000R 00001 00141 015 2111100 2024*")</f>
        <v>0</v>
      </c>
      <c r="H2881" s="83">
        <f t="shared" si="45"/>
        <v>15164.31</v>
      </c>
      <c r="I2881" s="83"/>
      <c r="K2881" s="54" t="s">
        <v>15</v>
      </c>
    </row>
    <row r="2882" spans="2:11" ht="41.25" x14ac:dyDescent="0.2">
      <c r="B2882" s="82" t="s">
        <v>5178</v>
      </c>
      <c r="C2882" s="82" t="s">
        <v>1056</v>
      </c>
      <c r="D2882" s="83">
        <f>SUMIFS(D2883:D6462,K2883:K6462,"0",B2883:B6462,"5 1 1 4 1 12 31111 6 M59 10500 000132 0000R 00001 00141 015 2111100 2024 CP1CS421*")-SUMIFS(E2883:E6462,K2883:K6462,"0",B2883:B6462,"5 1 1 4 1 12 31111 6 M59 10500 000132 0000R 00001 00141 015 2111100 2024 CP1CS421*")</f>
        <v>0</v>
      </c>
      <c r="E2882" s="54"/>
      <c r="F2882" s="83">
        <f>SUMIFS(F2883:F6462,K2883:K6462,"0",B2883:B6462,"5 1 1 4 1 12 31111 6 M59 10500 000132 0000R 00001 00141 015 2111100 2024 CP1CS421*")</f>
        <v>15164.31</v>
      </c>
      <c r="G2882" s="83">
        <f>SUMIFS(G2883:G6462,K2883:K6462,"0",B2883:B6462,"5 1 1 4 1 12 31111 6 M59 10500 000132 0000R 00001 00141 015 2111100 2024 CP1CS421*")</f>
        <v>0</v>
      </c>
      <c r="H2882" s="83">
        <f t="shared" si="45"/>
        <v>15164.31</v>
      </c>
      <c r="I2882" s="83"/>
      <c r="K2882" s="54" t="s">
        <v>15</v>
      </c>
    </row>
    <row r="2883" spans="2:11" ht="41.25" x14ac:dyDescent="0.2">
      <c r="B2883" s="82" t="s">
        <v>5179</v>
      </c>
      <c r="C2883" s="82" t="s">
        <v>282</v>
      </c>
      <c r="D2883" s="83">
        <f>SUMIFS(D2884:D6462,K2884:K6462,"0",B2884:B6462,"5 1 1 4 1 12 31111 6 M59 10500 000132 0000R 00001 00141 015 2111100 2024 CP1CS421 001*")-SUMIFS(E2884:E6462,K2884:K6462,"0",B2884:B6462,"5 1 1 4 1 12 31111 6 M59 10500 000132 0000R 00001 00141 015 2111100 2024 CP1CS421 001*")</f>
        <v>0</v>
      </c>
      <c r="E2883" s="54"/>
      <c r="F2883" s="83">
        <f>SUMIFS(F2884:F6462,K2884:K6462,"0",B2884:B6462,"5 1 1 4 1 12 31111 6 M59 10500 000132 0000R 00001 00141 015 2111100 2024 CP1CS421 001*")</f>
        <v>15164.31</v>
      </c>
      <c r="G2883" s="83">
        <f>SUMIFS(G2884:G6462,K2884:K6462,"0",B2884:B6462,"5 1 1 4 1 12 31111 6 M59 10500 000132 0000R 00001 00141 015 2111100 2024 CP1CS421 001*")</f>
        <v>0</v>
      </c>
      <c r="H2883" s="83">
        <f t="shared" si="45"/>
        <v>15164.31</v>
      </c>
      <c r="I2883" s="83"/>
      <c r="K2883" s="54" t="s">
        <v>15</v>
      </c>
    </row>
    <row r="2884" spans="2:11" ht="33" x14ac:dyDescent="0.2">
      <c r="B2884" s="84" t="s">
        <v>5180</v>
      </c>
      <c r="C2884" s="84" t="s">
        <v>5164</v>
      </c>
      <c r="D2884" s="85">
        <v>0</v>
      </c>
      <c r="E2884" s="85"/>
      <c r="F2884" s="85">
        <v>15164.31</v>
      </c>
      <c r="G2884" s="85">
        <v>0</v>
      </c>
      <c r="H2884" s="85">
        <f t="shared" si="45"/>
        <v>15164.31</v>
      </c>
      <c r="I2884" s="85"/>
      <c r="K2884" s="54" t="s">
        <v>38</v>
      </c>
    </row>
    <row r="2885" spans="2:11" ht="16.5" x14ac:dyDescent="0.2">
      <c r="B2885" s="82" t="s">
        <v>5181</v>
      </c>
      <c r="C2885" s="82" t="s">
        <v>3020</v>
      </c>
      <c r="D2885" s="83">
        <f>SUMIFS(D2886:D6462,K2886:K6462,"0",B2886:B6462,"5 1 1 4 1 12 31111 6 M59 11000*")-SUMIFS(E2886:E6462,K2886:K6462,"0",B2886:B6462,"5 1 1 4 1 12 31111 6 M59 11000*")</f>
        <v>0</v>
      </c>
      <c r="E2885" s="54"/>
      <c r="F2885" s="83">
        <f>SUMIFS(F2886:F6462,K2886:K6462,"0",B2886:B6462,"5 1 1 4 1 12 31111 6 M59 11000*")</f>
        <v>20115.45</v>
      </c>
      <c r="G2885" s="83">
        <f>SUMIFS(G2886:G6462,K2886:K6462,"0",B2886:B6462,"5 1 1 4 1 12 31111 6 M59 11000*")</f>
        <v>0</v>
      </c>
      <c r="H2885" s="83">
        <f t="shared" si="45"/>
        <v>20115.45</v>
      </c>
      <c r="I2885" s="83"/>
      <c r="K2885" s="54" t="s">
        <v>15</v>
      </c>
    </row>
    <row r="2886" spans="2:11" ht="16.5" x14ac:dyDescent="0.2">
      <c r="B2886" s="82" t="s">
        <v>5182</v>
      </c>
      <c r="C2886" s="82" t="s">
        <v>648</v>
      </c>
      <c r="D2886" s="83">
        <f>SUMIFS(D2887:D6462,K2887:K6462,"0",B2887:B6462,"5 1 1 4 1 12 31111 6 M59 11000 000132*")-SUMIFS(E2887:E6462,K2887:K6462,"0",B2887:B6462,"5 1 1 4 1 12 31111 6 M59 11000 000132*")</f>
        <v>0</v>
      </c>
      <c r="E2886" s="54"/>
      <c r="F2886" s="83">
        <f>SUMIFS(F2887:F6462,K2887:K6462,"0",B2887:B6462,"5 1 1 4 1 12 31111 6 M59 11000 000132*")</f>
        <v>20115.45</v>
      </c>
      <c r="G2886" s="83">
        <f>SUMIFS(G2887:G6462,K2887:K6462,"0",B2887:B6462,"5 1 1 4 1 12 31111 6 M59 11000 000132*")</f>
        <v>0</v>
      </c>
      <c r="H2886" s="83">
        <f t="shared" si="45"/>
        <v>20115.45</v>
      </c>
      <c r="I2886" s="83"/>
      <c r="K2886" s="54" t="s">
        <v>15</v>
      </c>
    </row>
    <row r="2887" spans="2:11" ht="16.5" x14ac:dyDescent="0.2">
      <c r="B2887" s="82" t="s">
        <v>5183</v>
      </c>
      <c r="C2887" s="82" t="s">
        <v>650</v>
      </c>
      <c r="D2887" s="83">
        <f>SUMIFS(D2888:D6462,K2888:K6462,"0",B2888:B6462,"5 1 1 4 1 12 31111 6 M59 11000 000132 0000R*")-SUMIFS(E2888:E6462,K2888:K6462,"0",B2888:B6462,"5 1 1 4 1 12 31111 6 M59 11000 000132 0000R*")</f>
        <v>0</v>
      </c>
      <c r="E2887" s="54"/>
      <c r="F2887" s="83">
        <f>SUMIFS(F2888:F6462,K2888:K6462,"0",B2888:B6462,"5 1 1 4 1 12 31111 6 M59 11000 000132 0000R*")</f>
        <v>20115.45</v>
      </c>
      <c r="G2887" s="83">
        <f>SUMIFS(G2888:G6462,K2888:K6462,"0",B2888:B6462,"5 1 1 4 1 12 31111 6 M59 11000 000132 0000R*")</f>
        <v>0</v>
      </c>
      <c r="H2887" s="83">
        <f t="shared" si="45"/>
        <v>20115.45</v>
      </c>
      <c r="I2887" s="83"/>
      <c r="K2887" s="54" t="s">
        <v>15</v>
      </c>
    </row>
    <row r="2888" spans="2:11" ht="24.75" x14ac:dyDescent="0.2">
      <c r="B2888" s="82" t="s">
        <v>5184</v>
      </c>
      <c r="C2888" s="82" t="s">
        <v>282</v>
      </c>
      <c r="D2888" s="83">
        <f>SUMIFS(D2889:D6462,K2889:K6462,"0",B2889:B6462,"5 1 1 4 1 12 31111 6 M59 11000 000132 0000R 00001*")-SUMIFS(E2889:E6462,K2889:K6462,"0",B2889:B6462,"5 1 1 4 1 12 31111 6 M59 11000 000132 0000R 00001*")</f>
        <v>0</v>
      </c>
      <c r="E2888" s="54"/>
      <c r="F2888" s="83">
        <f>SUMIFS(F2889:F6462,K2889:K6462,"0",B2889:B6462,"5 1 1 4 1 12 31111 6 M59 11000 000132 0000R 00001*")</f>
        <v>20115.45</v>
      </c>
      <c r="G2888" s="83">
        <f>SUMIFS(G2889:G6462,K2889:K6462,"0",B2889:B6462,"5 1 1 4 1 12 31111 6 M59 11000 000132 0000R 00001*")</f>
        <v>0</v>
      </c>
      <c r="H2888" s="83">
        <f t="shared" si="45"/>
        <v>20115.45</v>
      </c>
      <c r="I2888" s="83"/>
      <c r="K2888" s="54" t="s">
        <v>15</v>
      </c>
    </row>
    <row r="2889" spans="2:11" ht="24.75" x14ac:dyDescent="0.2">
      <c r="B2889" s="82" t="s">
        <v>5185</v>
      </c>
      <c r="C2889" s="82" t="s">
        <v>5174</v>
      </c>
      <c r="D2889" s="83">
        <f>SUMIFS(D2890:D6462,K2890:K6462,"0",B2890:B6462,"5 1 1 4 1 12 31111 6 M59 11000 000132 0000R 00001 00141*")-SUMIFS(E2890:E6462,K2890:K6462,"0",B2890:B6462,"5 1 1 4 1 12 31111 6 M59 11000 000132 0000R 00001 00141*")</f>
        <v>0</v>
      </c>
      <c r="E2889" s="54"/>
      <c r="F2889" s="83">
        <f>SUMIFS(F2890:F6462,K2890:K6462,"0",B2890:B6462,"5 1 1 4 1 12 31111 6 M59 11000 000132 0000R 00001 00141*")</f>
        <v>20115.45</v>
      </c>
      <c r="G2889" s="83">
        <f>SUMIFS(G2890:G6462,K2890:K6462,"0",B2890:B6462,"5 1 1 4 1 12 31111 6 M59 11000 000132 0000R 00001 00141*")</f>
        <v>0</v>
      </c>
      <c r="H2889" s="83">
        <f t="shared" si="45"/>
        <v>20115.45</v>
      </c>
      <c r="I2889" s="83"/>
      <c r="K2889" s="54" t="s">
        <v>15</v>
      </c>
    </row>
    <row r="2890" spans="2:11" ht="24.75" x14ac:dyDescent="0.2">
      <c r="B2890" s="82" t="s">
        <v>5186</v>
      </c>
      <c r="C2890" s="82" t="s">
        <v>1051</v>
      </c>
      <c r="D2890" s="83">
        <f>SUMIFS(D2891:D6462,K2891:K6462,"0",B2891:B6462,"5 1 1 4 1 12 31111 6 M59 11000 000132 0000R 00001 00141 015*")-SUMIFS(E2891:E6462,K2891:K6462,"0",B2891:B6462,"5 1 1 4 1 12 31111 6 M59 11000 000132 0000R 00001 00141 015*")</f>
        <v>0</v>
      </c>
      <c r="E2890" s="54"/>
      <c r="F2890" s="83">
        <f>SUMIFS(F2891:F6462,K2891:K6462,"0",B2891:B6462,"5 1 1 4 1 12 31111 6 M59 11000 000132 0000R 00001 00141 015*")</f>
        <v>20115.45</v>
      </c>
      <c r="G2890" s="83">
        <f>SUMIFS(G2891:G6462,K2891:K6462,"0",B2891:B6462,"5 1 1 4 1 12 31111 6 M59 11000 000132 0000R 00001 00141 015*")</f>
        <v>0</v>
      </c>
      <c r="H2890" s="83">
        <f t="shared" si="45"/>
        <v>20115.45</v>
      </c>
      <c r="I2890" s="83"/>
      <c r="K2890" s="54" t="s">
        <v>15</v>
      </c>
    </row>
    <row r="2891" spans="2:11" ht="33" x14ac:dyDescent="0.2">
      <c r="B2891" s="82" t="s">
        <v>5187</v>
      </c>
      <c r="C2891" s="82" t="s">
        <v>2927</v>
      </c>
      <c r="D2891" s="83">
        <f>SUMIFS(D2892:D6462,K2892:K6462,"0",B2892:B6462,"5 1 1 4 1 12 31111 6 M59 11000 000132 0000R 00001 00141 015 2111100*")-SUMIFS(E2892:E6462,K2892:K6462,"0",B2892:B6462,"5 1 1 4 1 12 31111 6 M59 11000 000132 0000R 00001 00141 015 2111100*")</f>
        <v>0</v>
      </c>
      <c r="E2891" s="54"/>
      <c r="F2891" s="83">
        <f>SUMIFS(F2892:F6462,K2892:K6462,"0",B2892:B6462,"5 1 1 4 1 12 31111 6 M59 11000 000132 0000R 00001 00141 015 2111100*")</f>
        <v>20115.45</v>
      </c>
      <c r="G2891" s="83">
        <f>SUMIFS(G2892:G6462,K2892:K6462,"0",B2892:B6462,"5 1 1 4 1 12 31111 6 M59 11000 000132 0000R 00001 00141 015 2111100*")</f>
        <v>0</v>
      </c>
      <c r="H2891" s="83">
        <f t="shared" si="45"/>
        <v>20115.45</v>
      </c>
      <c r="I2891" s="83"/>
      <c r="K2891" s="54" t="s">
        <v>15</v>
      </c>
    </row>
    <row r="2892" spans="2:11" ht="33" x14ac:dyDescent="0.2">
      <c r="B2892" s="82" t="s">
        <v>5188</v>
      </c>
      <c r="C2892" s="82" t="s">
        <v>660</v>
      </c>
      <c r="D2892" s="83">
        <f>SUMIFS(D2893:D6462,K2893:K6462,"0",B2893:B6462,"5 1 1 4 1 12 31111 6 M59 11000 000132 0000R 00001 00141 015 2111100 2024*")-SUMIFS(E2893:E6462,K2893:K6462,"0",B2893:B6462,"5 1 1 4 1 12 31111 6 M59 11000 000132 0000R 00001 00141 015 2111100 2024*")</f>
        <v>0</v>
      </c>
      <c r="E2892" s="54"/>
      <c r="F2892" s="83">
        <f>SUMIFS(F2893:F6462,K2893:K6462,"0",B2893:B6462,"5 1 1 4 1 12 31111 6 M59 11000 000132 0000R 00001 00141 015 2111100 2024*")</f>
        <v>20115.45</v>
      </c>
      <c r="G2892" s="83">
        <f>SUMIFS(G2893:G6462,K2893:K6462,"0",B2893:B6462,"5 1 1 4 1 12 31111 6 M59 11000 000132 0000R 00001 00141 015 2111100 2024*")</f>
        <v>0</v>
      </c>
      <c r="H2892" s="83">
        <f t="shared" si="45"/>
        <v>20115.45</v>
      </c>
      <c r="I2892" s="83"/>
      <c r="K2892" s="54" t="s">
        <v>15</v>
      </c>
    </row>
    <row r="2893" spans="2:11" ht="41.25" x14ac:dyDescent="0.2">
      <c r="B2893" s="82" t="s">
        <v>5189</v>
      </c>
      <c r="C2893" s="82" t="s">
        <v>1056</v>
      </c>
      <c r="D2893" s="83">
        <f>SUMIFS(D2894:D6462,K2894:K6462,"0",B2894:B6462,"5 1 1 4 1 12 31111 6 M59 11000 000132 0000R 00001 00141 015 2111100 2024 CP1SM382*")-SUMIFS(E2894:E6462,K2894:K6462,"0",B2894:B6462,"5 1 1 4 1 12 31111 6 M59 11000 000132 0000R 00001 00141 015 2111100 2024 CP1SM382*")</f>
        <v>0</v>
      </c>
      <c r="E2893" s="54"/>
      <c r="F2893" s="83">
        <f>SUMIFS(F2894:F6462,K2894:K6462,"0",B2894:B6462,"5 1 1 4 1 12 31111 6 M59 11000 000132 0000R 00001 00141 015 2111100 2024 CP1SM382*")</f>
        <v>20115.45</v>
      </c>
      <c r="G2893" s="83">
        <f>SUMIFS(G2894:G6462,K2894:K6462,"0",B2894:B6462,"5 1 1 4 1 12 31111 6 M59 11000 000132 0000R 00001 00141 015 2111100 2024 CP1SM382*")</f>
        <v>0</v>
      </c>
      <c r="H2893" s="83">
        <f t="shared" si="45"/>
        <v>20115.45</v>
      </c>
      <c r="I2893" s="83"/>
      <c r="K2893" s="54" t="s">
        <v>15</v>
      </c>
    </row>
    <row r="2894" spans="2:11" ht="41.25" x14ac:dyDescent="0.2">
      <c r="B2894" s="82" t="s">
        <v>5190</v>
      </c>
      <c r="C2894" s="82" t="s">
        <v>282</v>
      </c>
      <c r="D2894" s="83">
        <f>SUMIFS(D2895:D6462,K2895:K6462,"0",B2895:B6462,"5 1 1 4 1 12 31111 6 M59 11000 000132 0000R 00001 00141 015 2111100 2024 CP1SM382 001*")-SUMIFS(E2895:E6462,K2895:K6462,"0",B2895:B6462,"5 1 1 4 1 12 31111 6 M59 11000 000132 0000R 00001 00141 015 2111100 2024 CP1SM382 001*")</f>
        <v>0</v>
      </c>
      <c r="E2894" s="54"/>
      <c r="F2894" s="83">
        <f>SUMIFS(F2895:F6462,K2895:K6462,"0",B2895:B6462,"5 1 1 4 1 12 31111 6 M59 11000 000132 0000R 00001 00141 015 2111100 2024 CP1SM382 001*")</f>
        <v>20115.45</v>
      </c>
      <c r="G2894" s="83">
        <f>SUMIFS(G2895:G6462,K2895:K6462,"0",B2895:B6462,"5 1 1 4 1 12 31111 6 M59 11000 000132 0000R 00001 00141 015 2111100 2024 CP1SM382 001*")</f>
        <v>0</v>
      </c>
      <c r="H2894" s="83">
        <f t="shared" si="45"/>
        <v>20115.45</v>
      </c>
      <c r="I2894" s="83"/>
      <c r="K2894" s="54" t="s">
        <v>15</v>
      </c>
    </row>
    <row r="2895" spans="2:11" ht="33" x14ac:dyDescent="0.2">
      <c r="B2895" s="84" t="s">
        <v>5191</v>
      </c>
      <c r="C2895" s="84" t="s">
        <v>5164</v>
      </c>
      <c r="D2895" s="85">
        <v>0</v>
      </c>
      <c r="E2895" s="85"/>
      <c r="F2895" s="85">
        <v>20115.45</v>
      </c>
      <c r="G2895" s="85">
        <v>0</v>
      </c>
      <c r="H2895" s="85">
        <f t="shared" si="45"/>
        <v>20115.45</v>
      </c>
      <c r="I2895" s="85"/>
      <c r="K2895" s="54" t="s">
        <v>38</v>
      </c>
    </row>
    <row r="2896" spans="2:11" ht="16.5" x14ac:dyDescent="0.2">
      <c r="B2896" s="82" t="s">
        <v>5192</v>
      </c>
      <c r="C2896" s="82" t="s">
        <v>1079</v>
      </c>
      <c r="D2896" s="83">
        <f>SUMIFS(D2897:D6462,K2897:K6462,"0",B2897:B6462,"5 1 1 4 1 12 31111 6 M59 20500*")-SUMIFS(E2897:E6462,K2897:K6462,"0",B2897:B6462,"5 1 1 4 1 12 31111 6 M59 20500*")</f>
        <v>0</v>
      </c>
      <c r="E2896" s="54"/>
      <c r="F2896" s="83">
        <f>SUMIFS(F2897:F6462,K2897:K6462,"0",B2897:B6462,"5 1 1 4 1 12 31111 6 M59 20500*")</f>
        <v>15165.5</v>
      </c>
      <c r="G2896" s="83">
        <f>SUMIFS(G2897:G6462,K2897:K6462,"0",B2897:B6462,"5 1 1 4 1 12 31111 6 M59 20500*")</f>
        <v>0</v>
      </c>
      <c r="H2896" s="83">
        <f t="shared" si="45"/>
        <v>15165.5</v>
      </c>
      <c r="I2896" s="83"/>
      <c r="K2896" s="54" t="s">
        <v>15</v>
      </c>
    </row>
    <row r="2897" spans="2:11" ht="16.5" x14ac:dyDescent="0.2">
      <c r="B2897" s="82" t="s">
        <v>5193</v>
      </c>
      <c r="C2897" s="82" t="s">
        <v>648</v>
      </c>
      <c r="D2897" s="83">
        <f>SUMIFS(D2898:D6462,K2898:K6462,"0",B2898:B6462,"5 1 1 4 1 12 31111 6 M59 20500 000132*")-SUMIFS(E2898:E6462,K2898:K6462,"0",B2898:B6462,"5 1 1 4 1 12 31111 6 M59 20500 000132*")</f>
        <v>0</v>
      </c>
      <c r="E2897" s="54"/>
      <c r="F2897" s="83">
        <f>SUMIFS(F2898:F6462,K2898:K6462,"0",B2898:B6462,"5 1 1 4 1 12 31111 6 M59 20500 000132*")</f>
        <v>15165.5</v>
      </c>
      <c r="G2897" s="83">
        <f>SUMIFS(G2898:G6462,K2898:K6462,"0",B2898:B6462,"5 1 1 4 1 12 31111 6 M59 20500 000132*")</f>
        <v>0</v>
      </c>
      <c r="H2897" s="83">
        <f t="shared" si="45"/>
        <v>15165.5</v>
      </c>
      <c r="I2897" s="83"/>
      <c r="K2897" s="54" t="s">
        <v>15</v>
      </c>
    </row>
    <row r="2898" spans="2:11" ht="16.5" x14ac:dyDescent="0.2">
      <c r="B2898" s="82" t="s">
        <v>5194</v>
      </c>
      <c r="C2898" s="82" t="s">
        <v>650</v>
      </c>
      <c r="D2898" s="83">
        <f>SUMIFS(D2899:D6462,K2899:K6462,"0",B2899:B6462,"5 1 1 4 1 12 31111 6 M59 20500 000132 0000R*")-SUMIFS(E2899:E6462,K2899:K6462,"0",B2899:B6462,"5 1 1 4 1 12 31111 6 M59 20500 000132 0000R*")</f>
        <v>0</v>
      </c>
      <c r="E2898" s="54"/>
      <c r="F2898" s="83">
        <f>SUMIFS(F2899:F6462,K2899:K6462,"0",B2899:B6462,"5 1 1 4 1 12 31111 6 M59 20500 000132 0000R*")</f>
        <v>15165.5</v>
      </c>
      <c r="G2898" s="83">
        <f>SUMIFS(G2899:G6462,K2899:K6462,"0",B2899:B6462,"5 1 1 4 1 12 31111 6 M59 20500 000132 0000R*")</f>
        <v>0</v>
      </c>
      <c r="H2898" s="83">
        <f t="shared" si="45"/>
        <v>15165.5</v>
      </c>
      <c r="I2898" s="83"/>
      <c r="K2898" s="54" t="s">
        <v>15</v>
      </c>
    </row>
    <row r="2899" spans="2:11" ht="24.75" x14ac:dyDescent="0.2">
      <c r="B2899" s="82" t="s">
        <v>5195</v>
      </c>
      <c r="C2899" s="82" t="s">
        <v>282</v>
      </c>
      <c r="D2899" s="83">
        <f>SUMIFS(D2900:D6462,K2900:K6462,"0",B2900:B6462,"5 1 1 4 1 12 31111 6 M59 20500 000132 0000R 00001*")-SUMIFS(E2900:E6462,K2900:K6462,"0",B2900:B6462,"5 1 1 4 1 12 31111 6 M59 20500 000132 0000R 00001*")</f>
        <v>0</v>
      </c>
      <c r="E2899" s="54"/>
      <c r="F2899" s="83">
        <f>SUMIFS(F2900:F6462,K2900:K6462,"0",B2900:B6462,"5 1 1 4 1 12 31111 6 M59 20500 000132 0000R 00001*")</f>
        <v>15165.5</v>
      </c>
      <c r="G2899" s="83">
        <f>SUMIFS(G2900:G6462,K2900:K6462,"0",B2900:B6462,"5 1 1 4 1 12 31111 6 M59 20500 000132 0000R 00001*")</f>
        <v>0</v>
      </c>
      <c r="H2899" s="83">
        <f t="shared" si="45"/>
        <v>15165.5</v>
      </c>
      <c r="I2899" s="83"/>
      <c r="K2899" s="54" t="s">
        <v>15</v>
      </c>
    </row>
    <row r="2900" spans="2:11" ht="24.75" x14ac:dyDescent="0.2">
      <c r="B2900" s="82" t="s">
        <v>5196</v>
      </c>
      <c r="C2900" s="82" t="s">
        <v>5174</v>
      </c>
      <c r="D2900" s="83">
        <f>SUMIFS(D2901:D6462,K2901:K6462,"0",B2901:B6462,"5 1 1 4 1 12 31111 6 M59 20500 000132 0000R 00001 00141*")-SUMIFS(E2901:E6462,K2901:K6462,"0",B2901:B6462,"5 1 1 4 1 12 31111 6 M59 20500 000132 0000R 00001 00141*")</f>
        <v>0</v>
      </c>
      <c r="E2900" s="54"/>
      <c r="F2900" s="83">
        <f>SUMIFS(F2901:F6462,K2901:K6462,"0",B2901:B6462,"5 1 1 4 1 12 31111 6 M59 20500 000132 0000R 00001 00141*")</f>
        <v>15165.5</v>
      </c>
      <c r="G2900" s="83">
        <f>SUMIFS(G2901:G6462,K2901:K6462,"0",B2901:B6462,"5 1 1 4 1 12 31111 6 M59 20500 000132 0000R 00001 00141*")</f>
        <v>0</v>
      </c>
      <c r="H2900" s="83">
        <f t="shared" si="45"/>
        <v>15165.5</v>
      </c>
      <c r="I2900" s="83"/>
      <c r="K2900" s="54" t="s">
        <v>15</v>
      </c>
    </row>
    <row r="2901" spans="2:11" ht="24.75" x14ac:dyDescent="0.2">
      <c r="B2901" s="82" t="s">
        <v>5197</v>
      </c>
      <c r="C2901" s="82" t="s">
        <v>1051</v>
      </c>
      <c r="D2901" s="83">
        <f>SUMIFS(D2902:D6462,K2902:K6462,"0",B2902:B6462,"5 1 1 4 1 12 31111 6 M59 20500 000132 0000R 00001 00141 015*")-SUMIFS(E2902:E6462,K2902:K6462,"0",B2902:B6462,"5 1 1 4 1 12 31111 6 M59 20500 000132 0000R 00001 00141 015*")</f>
        <v>0</v>
      </c>
      <c r="E2901" s="54"/>
      <c r="F2901" s="83">
        <f>SUMIFS(F2902:F6462,K2902:K6462,"0",B2902:B6462,"5 1 1 4 1 12 31111 6 M59 20500 000132 0000R 00001 00141 015*")</f>
        <v>15165.5</v>
      </c>
      <c r="G2901" s="83">
        <f>SUMIFS(G2902:G6462,K2902:K6462,"0",B2902:B6462,"5 1 1 4 1 12 31111 6 M59 20500 000132 0000R 00001 00141 015*")</f>
        <v>0</v>
      </c>
      <c r="H2901" s="83">
        <f t="shared" si="45"/>
        <v>15165.5</v>
      </c>
      <c r="I2901" s="83"/>
      <c r="K2901" s="54" t="s">
        <v>15</v>
      </c>
    </row>
    <row r="2902" spans="2:11" ht="33" x14ac:dyDescent="0.2">
      <c r="B2902" s="82" t="s">
        <v>5198</v>
      </c>
      <c r="C2902" s="82" t="s">
        <v>2927</v>
      </c>
      <c r="D2902" s="83">
        <f>SUMIFS(D2903:D6462,K2903:K6462,"0",B2903:B6462,"5 1 1 4 1 12 31111 6 M59 20500 000132 0000R 00001 00141 015 2111100*")-SUMIFS(E2903:E6462,K2903:K6462,"0",B2903:B6462,"5 1 1 4 1 12 31111 6 M59 20500 000132 0000R 00001 00141 015 2111100*")</f>
        <v>0</v>
      </c>
      <c r="E2902" s="54"/>
      <c r="F2902" s="83">
        <f>SUMIFS(F2903:F6462,K2903:K6462,"0",B2903:B6462,"5 1 1 4 1 12 31111 6 M59 20500 000132 0000R 00001 00141 015 2111100*")</f>
        <v>15165.5</v>
      </c>
      <c r="G2902" s="83">
        <f>SUMIFS(G2903:G6462,K2903:K6462,"0",B2903:B6462,"5 1 1 4 1 12 31111 6 M59 20500 000132 0000R 00001 00141 015 2111100*")</f>
        <v>0</v>
      </c>
      <c r="H2902" s="83">
        <f t="shared" si="45"/>
        <v>15165.5</v>
      </c>
      <c r="I2902" s="83"/>
      <c r="K2902" s="54" t="s">
        <v>15</v>
      </c>
    </row>
    <row r="2903" spans="2:11" ht="33" x14ac:dyDescent="0.2">
      <c r="B2903" s="82" t="s">
        <v>5199</v>
      </c>
      <c r="C2903" s="82" t="s">
        <v>660</v>
      </c>
      <c r="D2903" s="83">
        <f>SUMIFS(D2904:D6462,K2904:K6462,"0",B2904:B6462,"5 1 1 4 1 12 31111 6 M59 20500 000132 0000R 00001 00141 015 2111100 2024*")-SUMIFS(E2904:E6462,K2904:K6462,"0",B2904:B6462,"5 1 1 4 1 12 31111 6 M59 20500 000132 0000R 00001 00141 015 2111100 2024*")</f>
        <v>0</v>
      </c>
      <c r="E2903" s="54"/>
      <c r="F2903" s="83">
        <f>SUMIFS(F2904:F6462,K2904:K6462,"0",B2904:B6462,"5 1 1 4 1 12 31111 6 M59 20500 000132 0000R 00001 00141 015 2111100 2024*")</f>
        <v>15165.5</v>
      </c>
      <c r="G2903" s="83">
        <f>SUMIFS(G2904:G6462,K2904:K6462,"0",B2904:B6462,"5 1 1 4 1 12 31111 6 M59 20500 000132 0000R 00001 00141 015 2111100 2024*")</f>
        <v>0</v>
      </c>
      <c r="H2903" s="83">
        <f t="shared" si="45"/>
        <v>15165.5</v>
      </c>
      <c r="I2903" s="83"/>
      <c r="K2903" s="54" t="s">
        <v>15</v>
      </c>
    </row>
    <row r="2904" spans="2:11" ht="41.25" x14ac:dyDescent="0.2">
      <c r="B2904" s="82" t="s">
        <v>5200</v>
      </c>
      <c r="C2904" s="82" t="s">
        <v>1056</v>
      </c>
      <c r="D2904" s="83">
        <f>SUMIFS(D2905:D6462,K2905:K6462,"0",B2905:B6462,"5 1 1 4 1 12 31111 6 M59 20500 000132 0000R 00001 00141 015 2111100 2024 CP1CP420*")-SUMIFS(E2905:E6462,K2905:K6462,"0",B2905:B6462,"5 1 1 4 1 12 31111 6 M59 20500 000132 0000R 00001 00141 015 2111100 2024 CP1CP420*")</f>
        <v>0</v>
      </c>
      <c r="E2904" s="54"/>
      <c r="F2904" s="83">
        <f>SUMIFS(F2905:F6462,K2905:K6462,"0",B2905:B6462,"5 1 1 4 1 12 31111 6 M59 20500 000132 0000R 00001 00141 015 2111100 2024 CP1CP420*")</f>
        <v>15165.5</v>
      </c>
      <c r="G2904" s="83">
        <f>SUMIFS(G2905:G6462,K2905:K6462,"0",B2905:B6462,"5 1 1 4 1 12 31111 6 M59 20500 000132 0000R 00001 00141 015 2111100 2024 CP1CP420*")</f>
        <v>0</v>
      </c>
      <c r="H2904" s="83">
        <f t="shared" si="45"/>
        <v>15165.5</v>
      </c>
      <c r="I2904" s="83"/>
      <c r="K2904" s="54" t="s">
        <v>15</v>
      </c>
    </row>
    <row r="2905" spans="2:11" ht="41.25" x14ac:dyDescent="0.2">
      <c r="B2905" s="82" t="s">
        <v>5201</v>
      </c>
      <c r="C2905" s="82" t="s">
        <v>282</v>
      </c>
      <c r="D2905" s="83">
        <f>SUMIFS(D2906:D6462,K2906:K6462,"0",B2906:B6462,"5 1 1 4 1 12 31111 6 M59 20500 000132 0000R 00001 00141 015 2111100 2024 CP1CP420 001*")-SUMIFS(E2906:E6462,K2906:K6462,"0",B2906:B6462,"5 1 1 4 1 12 31111 6 M59 20500 000132 0000R 00001 00141 015 2111100 2024 CP1CP420 001*")</f>
        <v>0</v>
      </c>
      <c r="E2905" s="54"/>
      <c r="F2905" s="83">
        <f>SUMIFS(F2906:F6462,K2906:K6462,"0",B2906:B6462,"5 1 1 4 1 12 31111 6 M59 20500 000132 0000R 00001 00141 015 2111100 2024 CP1CP420 001*")</f>
        <v>15165.5</v>
      </c>
      <c r="G2905" s="83">
        <f>SUMIFS(G2906:G6462,K2906:K6462,"0",B2906:B6462,"5 1 1 4 1 12 31111 6 M59 20500 000132 0000R 00001 00141 015 2111100 2024 CP1CP420 001*")</f>
        <v>0</v>
      </c>
      <c r="H2905" s="83">
        <f t="shared" si="45"/>
        <v>15165.5</v>
      </c>
      <c r="I2905" s="83"/>
      <c r="K2905" s="54" t="s">
        <v>15</v>
      </c>
    </row>
    <row r="2906" spans="2:11" ht="33" x14ac:dyDescent="0.2">
      <c r="B2906" s="84" t="s">
        <v>5202</v>
      </c>
      <c r="C2906" s="84" t="s">
        <v>5164</v>
      </c>
      <c r="D2906" s="85">
        <v>0</v>
      </c>
      <c r="E2906" s="85"/>
      <c r="F2906" s="85">
        <v>15165.5</v>
      </c>
      <c r="G2906" s="85">
        <v>0</v>
      </c>
      <c r="H2906" s="85">
        <f t="shared" si="45"/>
        <v>15165.5</v>
      </c>
      <c r="I2906" s="85"/>
      <c r="K2906" s="54" t="s">
        <v>38</v>
      </c>
    </row>
    <row r="2907" spans="2:11" ht="16.5" x14ac:dyDescent="0.2">
      <c r="B2907" s="82" t="s">
        <v>5203</v>
      </c>
      <c r="C2907" s="82" t="s">
        <v>3126</v>
      </c>
      <c r="D2907" s="83">
        <f>SUMIFS(D2908:D6462,K2908:K6462,"0",B2908:B6462,"5 1 1 4 1 12 31111 6 M59 20600*")-SUMIFS(E2908:E6462,K2908:K6462,"0",B2908:B6462,"5 1 1 4 1 12 31111 6 M59 20600*")</f>
        <v>0</v>
      </c>
      <c r="E2907" s="54"/>
      <c r="F2907" s="83">
        <f>SUMIFS(F2908:F6462,K2908:K6462,"0",B2908:B6462,"5 1 1 4 1 12 31111 6 M59 20600*")</f>
        <v>15164.97</v>
      </c>
      <c r="G2907" s="83">
        <f>SUMIFS(G2908:G6462,K2908:K6462,"0",B2908:B6462,"5 1 1 4 1 12 31111 6 M59 20600*")</f>
        <v>0</v>
      </c>
      <c r="H2907" s="83">
        <f t="shared" si="45"/>
        <v>15164.97</v>
      </c>
      <c r="I2907" s="83"/>
      <c r="K2907" s="54" t="s">
        <v>15</v>
      </c>
    </row>
    <row r="2908" spans="2:11" ht="16.5" x14ac:dyDescent="0.2">
      <c r="B2908" s="82" t="s">
        <v>5204</v>
      </c>
      <c r="C2908" s="82" t="s">
        <v>648</v>
      </c>
      <c r="D2908" s="83">
        <f>SUMIFS(D2909:D6462,K2909:K6462,"0",B2909:B6462,"5 1 1 4 1 12 31111 6 M59 20600 000132*")-SUMIFS(E2909:E6462,K2909:K6462,"0",B2909:B6462,"5 1 1 4 1 12 31111 6 M59 20600 000132*")</f>
        <v>0</v>
      </c>
      <c r="E2908" s="54"/>
      <c r="F2908" s="83">
        <f>SUMIFS(F2909:F6462,K2909:K6462,"0",B2909:B6462,"5 1 1 4 1 12 31111 6 M59 20600 000132*")</f>
        <v>15164.97</v>
      </c>
      <c r="G2908" s="83">
        <f>SUMIFS(G2909:G6462,K2909:K6462,"0",B2909:B6462,"5 1 1 4 1 12 31111 6 M59 20600 000132*")</f>
        <v>0</v>
      </c>
      <c r="H2908" s="83">
        <f t="shared" si="45"/>
        <v>15164.97</v>
      </c>
      <c r="I2908" s="83"/>
      <c r="K2908" s="54" t="s">
        <v>15</v>
      </c>
    </row>
    <row r="2909" spans="2:11" ht="16.5" x14ac:dyDescent="0.2">
      <c r="B2909" s="82" t="s">
        <v>5205</v>
      </c>
      <c r="C2909" s="82" t="s">
        <v>650</v>
      </c>
      <c r="D2909" s="83">
        <f>SUMIFS(D2910:D6462,K2910:K6462,"0",B2910:B6462,"5 1 1 4 1 12 31111 6 M59 20600 000132 0000R*")-SUMIFS(E2910:E6462,K2910:K6462,"0",B2910:B6462,"5 1 1 4 1 12 31111 6 M59 20600 000132 0000R*")</f>
        <v>0</v>
      </c>
      <c r="E2909" s="54"/>
      <c r="F2909" s="83">
        <f>SUMIFS(F2910:F6462,K2910:K6462,"0",B2910:B6462,"5 1 1 4 1 12 31111 6 M59 20600 000132 0000R*")</f>
        <v>15164.97</v>
      </c>
      <c r="G2909" s="83">
        <f>SUMIFS(G2910:G6462,K2910:K6462,"0",B2910:B6462,"5 1 1 4 1 12 31111 6 M59 20600 000132 0000R*")</f>
        <v>0</v>
      </c>
      <c r="H2909" s="83">
        <f t="shared" si="45"/>
        <v>15164.97</v>
      </c>
      <c r="I2909" s="83"/>
      <c r="K2909" s="54" t="s">
        <v>15</v>
      </c>
    </row>
    <row r="2910" spans="2:11" ht="24.75" x14ac:dyDescent="0.2">
      <c r="B2910" s="82" t="s">
        <v>5206</v>
      </c>
      <c r="C2910" s="82" t="s">
        <v>282</v>
      </c>
      <c r="D2910" s="83">
        <f>SUMIFS(D2911:D6462,K2911:K6462,"0",B2911:B6462,"5 1 1 4 1 12 31111 6 M59 20600 000132 0000R 00001*")-SUMIFS(E2911:E6462,K2911:K6462,"0",B2911:B6462,"5 1 1 4 1 12 31111 6 M59 20600 000132 0000R 00001*")</f>
        <v>0</v>
      </c>
      <c r="E2910" s="54"/>
      <c r="F2910" s="83">
        <f>SUMIFS(F2911:F6462,K2911:K6462,"0",B2911:B6462,"5 1 1 4 1 12 31111 6 M59 20600 000132 0000R 00001*")</f>
        <v>15164.97</v>
      </c>
      <c r="G2910" s="83">
        <f>SUMIFS(G2911:G6462,K2911:K6462,"0",B2911:B6462,"5 1 1 4 1 12 31111 6 M59 20600 000132 0000R 00001*")</f>
        <v>0</v>
      </c>
      <c r="H2910" s="83">
        <f t="shared" si="45"/>
        <v>15164.97</v>
      </c>
      <c r="I2910" s="83"/>
      <c r="K2910" s="54" t="s">
        <v>15</v>
      </c>
    </row>
    <row r="2911" spans="2:11" ht="24.75" x14ac:dyDescent="0.2">
      <c r="B2911" s="82" t="s">
        <v>5207</v>
      </c>
      <c r="C2911" s="82" t="s">
        <v>5174</v>
      </c>
      <c r="D2911" s="83">
        <f>SUMIFS(D2912:D6462,K2912:K6462,"0",B2912:B6462,"5 1 1 4 1 12 31111 6 M59 20600 000132 0000R 00001 00141*")-SUMIFS(E2912:E6462,K2912:K6462,"0",B2912:B6462,"5 1 1 4 1 12 31111 6 M59 20600 000132 0000R 00001 00141*")</f>
        <v>0</v>
      </c>
      <c r="E2911" s="54"/>
      <c r="F2911" s="83">
        <f>SUMIFS(F2912:F6462,K2912:K6462,"0",B2912:B6462,"5 1 1 4 1 12 31111 6 M59 20600 000132 0000R 00001 00141*")</f>
        <v>15164.97</v>
      </c>
      <c r="G2911" s="83">
        <f>SUMIFS(G2912:G6462,K2912:K6462,"0",B2912:B6462,"5 1 1 4 1 12 31111 6 M59 20600 000132 0000R 00001 00141*")</f>
        <v>0</v>
      </c>
      <c r="H2911" s="83">
        <f t="shared" si="45"/>
        <v>15164.97</v>
      </c>
      <c r="I2911" s="83"/>
      <c r="K2911" s="54" t="s">
        <v>15</v>
      </c>
    </row>
    <row r="2912" spans="2:11" ht="24.75" x14ac:dyDescent="0.2">
      <c r="B2912" s="82" t="s">
        <v>5208</v>
      </c>
      <c r="C2912" s="82" t="s">
        <v>1051</v>
      </c>
      <c r="D2912" s="83">
        <f>SUMIFS(D2913:D6462,K2913:K6462,"0",B2913:B6462,"5 1 1 4 1 12 31111 6 M59 20600 000132 0000R 00001 00141 015*")-SUMIFS(E2913:E6462,K2913:K6462,"0",B2913:B6462,"5 1 1 4 1 12 31111 6 M59 20600 000132 0000R 00001 00141 015*")</f>
        <v>0</v>
      </c>
      <c r="E2912" s="54"/>
      <c r="F2912" s="83">
        <f>SUMIFS(F2913:F6462,K2913:K6462,"0",B2913:B6462,"5 1 1 4 1 12 31111 6 M59 20600 000132 0000R 00001 00141 015*")</f>
        <v>15164.97</v>
      </c>
      <c r="G2912" s="83">
        <f>SUMIFS(G2913:G6462,K2913:K6462,"0",B2913:B6462,"5 1 1 4 1 12 31111 6 M59 20600 000132 0000R 00001 00141 015*")</f>
        <v>0</v>
      </c>
      <c r="H2912" s="83">
        <f t="shared" si="45"/>
        <v>15164.97</v>
      </c>
      <c r="I2912" s="83"/>
      <c r="K2912" s="54" t="s">
        <v>15</v>
      </c>
    </row>
    <row r="2913" spans="2:11" ht="33" x14ac:dyDescent="0.2">
      <c r="B2913" s="82" t="s">
        <v>5209</v>
      </c>
      <c r="C2913" s="82" t="s">
        <v>2927</v>
      </c>
      <c r="D2913" s="83">
        <f>SUMIFS(D2914:D6462,K2914:K6462,"0",B2914:B6462,"5 1 1 4 1 12 31111 6 M59 20600 000132 0000R 00001 00141 015 2111100*")-SUMIFS(E2914:E6462,K2914:K6462,"0",B2914:B6462,"5 1 1 4 1 12 31111 6 M59 20600 000132 0000R 00001 00141 015 2111100*")</f>
        <v>0</v>
      </c>
      <c r="E2913" s="54"/>
      <c r="F2913" s="83">
        <f>SUMIFS(F2914:F6462,K2914:K6462,"0",B2914:B6462,"5 1 1 4 1 12 31111 6 M59 20600 000132 0000R 00001 00141 015 2111100*")</f>
        <v>15164.97</v>
      </c>
      <c r="G2913" s="83">
        <f>SUMIFS(G2914:G6462,K2914:K6462,"0",B2914:B6462,"5 1 1 4 1 12 31111 6 M59 20600 000132 0000R 00001 00141 015 2111100*")</f>
        <v>0</v>
      </c>
      <c r="H2913" s="83">
        <f t="shared" si="45"/>
        <v>15164.97</v>
      </c>
      <c r="I2913" s="83"/>
      <c r="K2913" s="54" t="s">
        <v>15</v>
      </c>
    </row>
    <row r="2914" spans="2:11" ht="33" x14ac:dyDescent="0.2">
      <c r="B2914" s="82" t="s">
        <v>5210</v>
      </c>
      <c r="C2914" s="82" t="s">
        <v>660</v>
      </c>
      <c r="D2914" s="83">
        <f>SUMIFS(D2915:D6462,K2915:K6462,"0",B2915:B6462,"5 1 1 4 1 12 31111 6 M59 20600 000132 0000R 00001 00141 015 2111100 2024*")-SUMIFS(E2915:E6462,K2915:K6462,"0",B2915:B6462,"5 1 1 4 1 12 31111 6 M59 20600 000132 0000R 00001 00141 015 2111100 2024*")</f>
        <v>0</v>
      </c>
      <c r="E2914" s="54"/>
      <c r="F2914" s="83">
        <f>SUMIFS(F2915:F6462,K2915:K6462,"0",B2915:B6462,"5 1 1 4 1 12 31111 6 M59 20600 000132 0000R 00001 00141 015 2111100 2024*")</f>
        <v>15164.97</v>
      </c>
      <c r="G2914" s="83">
        <f>SUMIFS(G2915:G6462,K2915:K6462,"0",B2915:B6462,"5 1 1 4 1 12 31111 6 M59 20600 000132 0000R 00001 00141 015 2111100 2024*")</f>
        <v>0</v>
      </c>
      <c r="H2914" s="83">
        <f t="shared" si="45"/>
        <v>15164.97</v>
      </c>
      <c r="I2914" s="83"/>
      <c r="K2914" s="54" t="s">
        <v>15</v>
      </c>
    </row>
    <row r="2915" spans="2:11" ht="41.25" x14ac:dyDescent="0.2">
      <c r="B2915" s="82" t="s">
        <v>5211</v>
      </c>
      <c r="C2915" s="82" t="s">
        <v>1056</v>
      </c>
      <c r="D2915" s="83">
        <f>SUMIFS(D2916:D6462,K2916:K6462,"0",B2916:B6462,"5 1 1 4 1 12 31111 6 M59 20600 000132 0000R 00001 00141 015 2111100 2024 CP1CA380*")-SUMIFS(E2916:E6462,K2916:K6462,"0",B2916:B6462,"5 1 1 4 1 12 31111 6 M59 20600 000132 0000R 00001 00141 015 2111100 2024 CP1CA380*")</f>
        <v>0</v>
      </c>
      <c r="E2915" s="54"/>
      <c r="F2915" s="83">
        <f>SUMIFS(F2916:F6462,K2916:K6462,"0",B2916:B6462,"5 1 1 4 1 12 31111 6 M59 20600 000132 0000R 00001 00141 015 2111100 2024 CP1CA380*")</f>
        <v>15164.97</v>
      </c>
      <c r="G2915" s="83">
        <f>SUMIFS(G2916:G6462,K2916:K6462,"0",B2916:B6462,"5 1 1 4 1 12 31111 6 M59 20600 000132 0000R 00001 00141 015 2111100 2024 CP1CA380*")</f>
        <v>0</v>
      </c>
      <c r="H2915" s="83">
        <f t="shared" si="45"/>
        <v>15164.97</v>
      </c>
      <c r="I2915" s="83"/>
      <c r="K2915" s="54" t="s">
        <v>15</v>
      </c>
    </row>
    <row r="2916" spans="2:11" ht="41.25" x14ac:dyDescent="0.2">
      <c r="B2916" s="82" t="s">
        <v>5212</v>
      </c>
      <c r="C2916" s="82" t="s">
        <v>282</v>
      </c>
      <c r="D2916" s="83">
        <f>SUMIFS(D2917:D6462,K2917:K6462,"0",B2917:B6462,"5 1 1 4 1 12 31111 6 M59 20600 000132 0000R 00001 00141 015 2111100 2024 CP1CA380 001*")-SUMIFS(E2917:E6462,K2917:K6462,"0",B2917:B6462,"5 1 1 4 1 12 31111 6 M59 20600 000132 0000R 00001 00141 015 2111100 2024 CP1CA380 001*")</f>
        <v>0</v>
      </c>
      <c r="E2916" s="54"/>
      <c r="F2916" s="83">
        <f>SUMIFS(F2917:F6462,K2917:K6462,"0",B2917:B6462,"5 1 1 4 1 12 31111 6 M59 20600 000132 0000R 00001 00141 015 2111100 2024 CP1CA380 001*")</f>
        <v>15164.97</v>
      </c>
      <c r="G2916" s="83">
        <f>SUMIFS(G2917:G6462,K2917:K6462,"0",B2917:B6462,"5 1 1 4 1 12 31111 6 M59 20600 000132 0000R 00001 00141 015 2111100 2024 CP1CA380 001*")</f>
        <v>0</v>
      </c>
      <c r="H2916" s="83">
        <f t="shared" si="45"/>
        <v>15164.97</v>
      </c>
      <c r="I2916" s="83"/>
      <c r="K2916" s="54" t="s">
        <v>15</v>
      </c>
    </row>
    <row r="2917" spans="2:11" ht="41.25" x14ac:dyDescent="0.2">
      <c r="B2917" s="84" t="s">
        <v>5213</v>
      </c>
      <c r="C2917" s="84" t="s">
        <v>5164</v>
      </c>
      <c r="D2917" s="85">
        <v>0</v>
      </c>
      <c r="E2917" s="85"/>
      <c r="F2917" s="85">
        <v>15164.97</v>
      </c>
      <c r="G2917" s="85">
        <v>0</v>
      </c>
      <c r="H2917" s="85">
        <f t="shared" si="45"/>
        <v>15164.97</v>
      </c>
      <c r="I2917" s="85"/>
      <c r="K2917" s="54" t="s">
        <v>38</v>
      </c>
    </row>
    <row r="2918" spans="2:11" ht="24.75" x14ac:dyDescent="0.2">
      <c r="B2918" s="82" t="s">
        <v>5214</v>
      </c>
      <c r="C2918" s="82" t="s">
        <v>3175</v>
      </c>
      <c r="D2918" s="83">
        <f>SUMIFS(D2919:D6462,K2919:K6462,"0",B2919:B6462,"5 1 1 4 1 12 31111 6 M59 22000*")-SUMIFS(E2919:E6462,K2919:K6462,"0",B2919:B6462,"5 1 1 4 1 12 31111 6 M59 22000*")</f>
        <v>0</v>
      </c>
      <c r="E2918" s="54"/>
      <c r="F2918" s="83">
        <f>SUMIFS(F2919:F6462,K2919:K6462,"0",B2919:B6462,"5 1 1 4 1 12 31111 6 M59 22000*")</f>
        <v>24403.71</v>
      </c>
      <c r="G2918" s="83">
        <f>SUMIFS(G2919:G6462,K2919:K6462,"0",B2919:B6462,"5 1 1 4 1 12 31111 6 M59 22000*")</f>
        <v>0</v>
      </c>
      <c r="H2918" s="83">
        <f t="shared" si="45"/>
        <v>24403.71</v>
      </c>
      <c r="I2918" s="83"/>
      <c r="K2918" s="54" t="s">
        <v>15</v>
      </c>
    </row>
    <row r="2919" spans="2:11" ht="16.5" x14ac:dyDescent="0.2">
      <c r="B2919" s="82" t="s">
        <v>5215</v>
      </c>
      <c r="C2919" s="82" t="s">
        <v>648</v>
      </c>
      <c r="D2919" s="83">
        <f>SUMIFS(D2920:D6462,K2920:K6462,"0",B2920:B6462,"5 1 1 4 1 12 31111 6 M59 22000 000132*")-SUMIFS(E2920:E6462,K2920:K6462,"0",B2920:B6462,"5 1 1 4 1 12 31111 6 M59 22000 000132*")</f>
        <v>0</v>
      </c>
      <c r="E2919" s="54"/>
      <c r="F2919" s="83">
        <f>SUMIFS(F2920:F6462,K2920:K6462,"0",B2920:B6462,"5 1 1 4 1 12 31111 6 M59 22000 000132*")</f>
        <v>24403.71</v>
      </c>
      <c r="G2919" s="83">
        <f>SUMIFS(G2920:G6462,K2920:K6462,"0",B2920:B6462,"5 1 1 4 1 12 31111 6 M59 22000 000132*")</f>
        <v>0</v>
      </c>
      <c r="H2919" s="83">
        <f t="shared" si="45"/>
        <v>24403.71</v>
      </c>
      <c r="I2919" s="83"/>
      <c r="K2919" s="54" t="s">
        <v>15</v>
      </c>
    </row>
    <row r="2920" spans="2:11" ht="16.5" x14ac:dyDescent="0.2">
      <c r="B2920" s="82" t="s">
        <v>5216</v>
      </c>
      <c r="C2920" s="82" t="s">
        <v>650</v>
      </c>
      <c r="D2920" s="83">
        <f>SUMIFS(D2921:D6462,K2921:K6462,"0",B2921:B6462,"5 1 1 4 1 12 31111 6 M59 22000 000132 0000R*")-SUMIFS(E2921:E6462,K2921:K6462,"0",B2921:B6462,"5 1 1 4 1 12 31111 6 M59 22000 000132 0000R*")</f>
        <v>0</v>
      </c>
      <c r="E2920" s="54"/>
      <c r="F2920" s="83">
        <f>SUMIFS(F2921:F6462,K2921:K6462,"0",B2921:B6462,"5 1 1 4 1 12 31111 6 M59 22000 000132 0000R*")</f>
        <v>24403.71</v>
      </c>
      <c r="G2920" s="83">
        <f>SUMIFS(G2921:G6462,K2921:K6462,"0",B2921:B6462,"5 1 1 4 1 12 31111 6 M59 22000 000132 0000R*")</f>
        <v>0</v>
      </c>
      <c r="H2920" s="83">
        <f t="shared" si="45"/>
        <v>24403.71</v>
      </c>
      <c r="I2920" s="83"/>
      <c r="K2920" s="54" t="s">
        <v>15</v>
      </c>
    </row>
    <row r="2921" spans="2:11" ht="24.75" x14ac:dyDescent="0.2">
      <c r="B2921" s="82" t="s">
        <v>5217</v>
      </c>
      <c r="C2921" s="82" t="s">
        <v>282</v>
      </c>
      <c r="D2921" s="83">
        <f>SUMIFS(D2922:D6462,K2922:K6462,"0",B2922:B6462,"5 1 1 4 1 12 31111 6 M59 22000 000132 0000R 00001*")-SUMIFS(E2922:E6462,K2922:K6462,"0",B2922:B6462,"5 1 1 4 1 12 31111 6 M59 22000 000132 0000R 00001*")</f>
        <v>0</v>
      </c>
      <c r="E2921" s="54"/>
      <c r="F2921" s="83">
        <f>SUMIFS(F2922:F6462,K2922:K6462,"0",B2922:B6462,"5 1 1 4 1 12 31111 6 M59 22000 000132 0000R 00001*")</f>
        <v>24403.71</v>
      </c>
      <c r="G2921" s="83">
        <f>SUMIFS(G2922:G6462,K2922:K6462,"0",B2922:B6462,"5 1 1 4 1 12 31111 6 M59 22000 000132 0000R 00001*")</f>
        <v>0</v>
      </c>
      <c r="H2921" s="83">
        <f t="shared" si="45"/>
        <v>24403.71</v>
      </c>
      <c r="I2921" s="83"/>
      <c r="K2921" s="54" t="s">
        <v>15</v>
      </c>
    </row>
    <row r="2922" spans="2:11" ht="24.75" x14ac:dyDescent="0.2">
      <c r="B2922" s="82" t="s">
        <v>5218</v>
      </c>
      <c r="C2922" s="82" t="s">
        <v>5174</v>
      </c>
      <c r="D2922" s="83">
        <f>SUMIFS(D2923:D6462,K2923:K6462,"0",B2923:B6462,"5 1 1 4 1 12 31111 6 M59 22000 000132 0000R 00001 00141*")-SUMIFS(E2923:E6462,K2923:K6462,"0",B2923:B6462,"5 1 1 4 1 12 31111 6 M59 22000 000132 0000R 00001 00141*")</f>
        <v>0</v>
      </c>
      <c r="E2922" s="54"/>
      <c r="F2922" s="83">
        <f>SUMIFS(F2923:F6462,K2923:K6462,"0",B2923:B6462,"5 1 1 4 1 12 31111 6 M59 22000 000132 0000R 00001 00141*")</f>
        <v>24403.71</v>
      </c>
      <c r="G2922" s="83">
        <f>SUMIFS(G2923:G6462,K2923:K6462,"0",B2923:B6462,"5 1 1 4 1 12 31111 6 M59 22000 000132 0000R 00001 00141*")</f>
        <v>0</v>
      </c>
      <c r="H2922" s="83">
        <f t="shared" si="45"/>
        <v>24403.71</v>
      </c>
      <c r="I2922" s="83"/>
      <c r="K2922" s="54" t="s">
        <v>15</v>
      </c>
    </row>
    <row r="2923" spans="2:11" ht="24.75" x14ac:dyDescent="0.2">
      <c r="B2923" s="82" t="s">
        <v>5219</v>
      </c>
      <c r="C2923" s="82" t="s">
        <v>1051</v>
      </c>
      <c r="D2923" s="83">
        <f>SUMIFS(D2924:D6462,K2924:K6462,"0",B2924:B6462,"5 1 1 4 1 12 31111 6 M59 22000 000132 0000R 00001 00141 015*")-SUMIFS(E2924:E6462,K2924:K6462,"0",B2924:B6462,"5 1 1 4 1 12 31111 6 M59 22000 000132 0000R 00001 00141 015*")</f>
        <v>0</v>
      </c>
      <c r="E2923" s="54"/>
      <c r="F2923" s="83">
        <f>SUMIFS(F2924:F6462,K2924:K6462,"0",B2924:B6462,"5 1 1 4 1 12 31111 6 M59 22000 000132 0000R 00001 00141 015*")</f>
        <v>24403.71</v>
      </c>
      <c r="G2923" s="83">
        <f>SUMIFS(G2924:G6462,K2924:K6462,"0",B2924:B6462,"5 1 1 4 1 12 31111 6 M59 22000 000132 0000R 00001 00141 015*")</f>
        <v>0</v>
      </c>
      <c r="H2923" s="83">
        <f t="shared" ref="H2923:H2986" si="46">D2923 + F2923 - G2923</f>
        <v>24403.71</v>
      </c>
      <c r="I2923" s="83"/>
      <c r="K2923" s="54" t="s">
        <v>15</v>
      </c>
    </row>
    <row r="2924" spans="2:11" ht="33" x14ac:dyDescent="0.2">
      <c r="B2924" s="82" t="s">
        <v>5220</v>
      </c>
      <c r="C2924" s="82" t="s">
        <v>2927</v>
      </c>
      <c r="D2924" s="83">
        <f>SUMIFS(D2925:D6462,K2925:K6462,"0",B2925:B6462,"5 1 1 4 1 12 31111 6 M59 22000 000132 0000R 00001 00141 015 2111100*")-SUMIFS(E2925:E6462,K2925:K6462,"0",B2925:B6462,"5 1 1 4 1 12 31111 6 M59 22000 000132 0000R 00001 00141 015 2111100*")</f>
        <v>0</v>
      </c>
      <c r="E2924" s="54"/>
      <c r="F2924" s="83">
        <f>SUMIFS(F2925:F6462,K2925:K6462,"0",B2925:B6462,"5 1 1 4 1 12 31111 6 M59 22000 000132 0000R 00001 00141 015 2111100*")</f>
        <v>24403.71</v>
      </c>
      <c r="G2924" s="83">
        <f>SUMIFS(G2925:G6462,K2925:K6462,"0",B2925:B6462,"5 1 1 4 1 12 31111 6 M59 22000 000132 0000R 00001 00141 015 2111100*")</f>
        <v>0</v>
      </c>
      <c r="H2924" s="83">
        <f t="shared" si="46"/>
        <v>24403.71</v>
      </c>
      <c r="I2924" s="83"/>
      <c r="K2924" s="54" t="s">
        <v>15</v>
      </c>
    </row>
    <row r="2925" spans="2:11" ht="33" x14ac:dyDescent="0.2">
      <c r="B2925" s="82" t="s">
        <v>5221</v>
      </c>
      <c r="C2925" s="82" t="s">
        <v>660</v>
      </c>
      <c r="D2925" s="83">
        <f>SUMIFS(D2926:D6462,K2926:K6462,"0",B2926:B6462,"5 1 1 4 1 12 31111 6 M59 22000 000132 0000R 00001 00141 015 2111100 2024*")-SUMIFS(E2926:E6462,K2926:K6462,"0",B2926:B6462,"5 1 1 4 1 12 31111 6 M59 22000 000132 0000R 00001 00141 015 2111100 2024*")</f>
        <v>0</v>
      </c>
      <c r="E2925" s="54"/>
      <c r="F2925" s="83">
        <f>SUMIFS(F2926:F6462,K2926:K6462,"0",B2926:B6462,"5 1 1 4 1 12 31111 6 M59 22000 000132 0000R 00001 00141 015 2111100 2024*")</f>
        <v>24403.71</v>
      </c>
      <c r="G2925" s="83">
        <f>SUMIFS(G2926:G6462,K2926:K6462,"0",B2926:B6462,"5 1 1 4 1 12 31111 6 M59 22000 000132 0000R 00001 00141 015 2111100 2024*")</f>
        <v>0</v>
      </c>
      <c r="H2925" s="83">
        <f t="shared" si="46"/>
        <v>24403.71</v>
      </c>
      <c r="I2925" s="83"/>
      <c r="K2925" s="54" t="s">
        <v>15</v>
      </c>
    </row>
    <row r="2926" spans="2:11" ht="41.25" x14ac:dyDescent="0.2">
      <c r="B2926" s="82" t="s">
        <v>5222</v>
      </c>
      <c r="C2926" s="82" t="s">
        <v>1056</v>
      </c>
      <c r="D2926" s="83">
        <f>SUMIFS(D2927:D6462,K2927:K6462,"0",B2927:B6462,"5 1 1 4 1 12 31111 6 M59 22000 000132 0000R 00001 00141 015 2111100 2024 CP1PL384*")-SUMIFS(E2927:E6462,K2927:K6462,"0",B2927:B6462,"5 1 1 4 1 12 31111 6 M59 22000 000132 0000R 00001 00141 015 2111100 2024 CP1PL384*")</f>
        <v>0</v>
      </c>
      <c r="E2926" s="54"/>
      <c r="F2926" s="83">
        <f>SUMIFS(F2927:F6462,K2927:K6462,"0",B2927:B6462,"5 1 1 4 1 12 31111 6 M59 22000 000132 0000R 00001 00141 015 2111100 2024 CP1PL384*")</f>
        <v>24403.71</v>
      </c>
      <c r="G2926" s="83">
        <f>SUMIFS(G2927:G6462,K2927:K6462,"0",B2927:B6462,"5 1 1 4 1 12 31111 6 M59 22000 000132 0000R 00001 00141 015 2111100 2024 CP1PL384*")</f>
        <v>0</v>
      </c>
      <c r="H2926" s="83">
        <f t="shared" si="46"/>
        <v>24403.71</v>
      </c>
      <c r="I2926" s="83"/>
      <c r="K2926" s="54" t="s">
        <v>15</v>
      </c>
    </row>
    <row r="2927" spans="2:11" ht="41.25" x14ac:dyDescent="0.2">
      <c r="B2927" s="82" t="s">
        <v>5223</v>
      </c>
      <c r="C2927" s="82" t="s">
        <v>282</v>
      </c>
      <c r="D2927" s="83">
        <f>SUMIFS(D2928:D6462,K2928:K6462,"0",B2928:B6462,"5 1 1 4 1 12 31111 6 M59 22000 000132 0000R 00001 00141 015 2111100 2024 CP1PL384 001*")-SUMIFS(E2928:E6462,K2928:K6462,"0",B2928:B6462,"5 1 1 4 1 12 31111 6 M59 22000 000132 0000R 00001 00141 015 2111100 2024 CP1PL384 001*")</f>
        <v>0</v>
      </c>
      <c r="E2927" s="54"/>
      <c r="F2927" s="83">
        <f>SUMIFS(F2928:F6462,K2928:K6462,"0",B2928:B6462,"5 1 1 4 1 12 31111 6 M59 22000 000132 0000R 00001 00141 015 2111100 2024 CP1PL384 001*")</f>
        <v>24403.71</v>
      </c>
      <c r="G2927" s="83">
        <f>SUMIFS(G2928:G6462,K2928:K6462,"0",B2928:B6462,"5 1 1 4 1 12 31111 6 M59 22000 000132 0000R 00001 00141 015 2111100 2024 CP1PL384 001*")</f>
        <v>0</v>
      </c>
      <c r="H2927" s="83">
        <f t="shared" si="46"/>
        <v>24403.71</v>
      </c>
      <c r="I2927" s="83"/>
      <c r="K2927" s="54" t="s">
        <v>15</v>
      </c>
    </row>
    <row r="2928" spans="2:11" ht="41.25" x14ac:dyDescent="0.2">
      <c r="B2928" s="84" t="s">
        <v>5224</v>
      </c>
      <c r="C2928" s="84" t="s">
        <v>5164</v>
      </c>
      <c r="D2928" s="85">
        <v>0</v>
      </c>
      <c r="E2928" s="85"/>
      <c r="F2928" s="85">
        <v>24403.71</v>
      </c>
      <c r="G2928" s="85">
        <v>0</v>
      </c>
      <c r="H2928" s="85">
        <f t="shared" si="46"/>
        <v>24403.71</v>
      </c>
      <c r="I2928" s="85"/>
      <c r="K2928" s="54" t="s">
        <v>38</v>
      </c>
    </row>
    <row r="2929" spans="2:11" ht="16.5" x14ac:dyDescent="0.2">
      <c r="B2929" s="82" t="s">
        <v>5225</v>
      </c>
      <c r="C2929" s="82" t="s">
        <v>646</v>
      </c>
      <c r="D2929" s="83">
        <f>SUMIFS(D2930:D6462,K2930:K6462,"0",B2930:B6462,"5 1 1 4 1 12 31111 6 M59 30100*")-SUMIFS(E2930:E6462,K2930:K6462,"0",B2930:B6462,"5 1 1 4 1 12 31111 6 M59 30100*")</f>
        <v>0</v>
      </c>
      <c r="E2929" s="54"/>
      <c r="F2929" s="83">
        <f>SUMIFS(F2930:F6462,K2930:K6462,"0",B2930:B6462,"5 1 1 4 1 12 31111 6 M59 30100*")</f>
        <v>24403.71</v>
      </c>
      <c r="G2929" s="83">
        <f>SUMIFS(G2930:G6462,K2930:K6462,"0",B2930:B6462,"5 1 1 4 1 12 31111 6 M59 30100*")</f>
        <v>0</v>
      </c>
      <c r="H2929" s="83">
        <f t="shared" si="46"/>
        <v>24403.71</v>
      </c>
      <c r="I2929" s="83"/>
      <c r="K2929" s="54" t="s">
        <v>15</v>
      </c>
    </row>
    <row r="2930" spans="2:11" ht="16.5" x14ac:dyDescent="0.2">
      <c r="B2930" s="82" t="s">
        <v>5226</v>
      </c>
      <c r="C2930" s="82" t="s">
        <v>648</v>
      </c>
      <c r="D2930" s="83">
        <f>SUMIFS(D2931:D6462,K2931:K6462,"0",B2931:B6462,"5 1 1 4 1 12 31111 6 M59 30100 000132*")-SUMIFS(E2931:E6462,K2931:K6462,"0",B2931:B6462,"5 1 1 4 1 12 31111 6 M59 30100 000132*")</f>
        <v>0</v>
      </c>
      <c r="E2930" s="54"/>
      <c r="F2930" s="83">
        <f>SUMIFS(F2931:F6462,K2931:K6462,"0",B2931:B6462,"5 1 1 4 1 12 31111 6 M59 30100 000132*")</f>
        <v>24403.71</v>
      </c>
      <c r="G2930" s="83">
        <f>SUMIFS(G2931:G6462,K2931:K6462,"0",B2931:B6462,"5 1 1 4 1 12 31111 6 M59 30100 000132*")</f>
        <v>0</v>
      </c>
      <c r="H2930" s="83">
        <f t="shared" si="46"/>
        <v>24403.71</v>
      </c>
      <c r="I2930" s="83"/>
      <c r="K2930" s="54" t="s">
        <v>15</v>
      </c>
    </row>
    <row r="2931" spans="2:11" ht="16.5" x14ac:dyDescent="0.2">
      <c r="B2931" s="82" t="s">
        <v>5227</v>
      </c>
      <c r="C2931" s="82" t="s">
        <v>650</v>
      </c>
      <c r="D2931" s="83">
        <f>SUMIFS(D2932:D6462,K2932:K6462,"0",B2932:B6462,"5 1 1 4 1 12 31111 6 M59 30100 000132 0000R*")-SUMIFS(E2932:E6462,K2932:K6462,"0",B2932:B6462,"5 1 1 4 1 12 31111 6 M59 30100 000132 0000R*")</f>
        <v>0</v>
      </c>
      <c r="E2931" s="54"/>
      <c r="F2931" s="83">
        <f>SUMIFS(F2932:F6462,K2932:K6462,"0",B2932:B6462,"5 1 1 4 1 12 31111 6 M59 30100 000132 0000R*")</f>
        <v>24403.71</v>
      </c>
      <c r="G2931" s="83">
        <f>SUMIFS(G2932:G6462,K2932:K6462,"0",B2932:B6462,"5 1 1 4 1 12 31111 6 M59 30100 000132 0000R*")</f>
        <v>0</v>
      </c>
      <c r="H2931" s="83">
        <f t="shared" si="46"/>
        <v>24403.71</v>
      </c>
      <c r="I2931" s="83"/>
      <c r="K2931" s="54" t="s">
        <v>15</v>
      </c>
    </row>
    <row r="2932" spans="2:11" ht="24.75" x14ac:dyDescent="0.2">
      <c r="B2932" s="82" t="s">
        <v>5228</v>
      </c>
      <c r="C2932" s="82" t="s">
        <v>282</v>
      </c>
      <c r="D2932" s="83">
        <f>SUMIFS(D2933:D6462,K2933:K6462,"0",B2933:B6462,"5 1 1 4 1 12 31111 6 M59 30100 000132 0000R 00001*")-SUMIFS(E2933:E6462,K2933:K6462,"0",B2933:B6462,"5 1 1 4 1 12 31111 6 M59 30100 000132 0000R 00001*")</f>
        <v>0</v>
      </c>
      <c r="E2932" s="54"/>
      <c r="F2932" s="83">
        <f>SUMIFS(F2933:F6462,K2933:K6462,"0",B2933:B6462,"5 1 1 4 1 12 31111 6 M59 30100 000132 0000R 00001*")</f>
        <v>24403.71</v>
      </c>
      <c r="G2932" s="83">
        <f>SUMIFS(G2933:G6462,K2933:K6462,"0",B2933:B6462,"5 1 1 4 1 12 31111 6 M59 30100 000132 0000R 00001*")</f>
        <v>0</v>
      </c>
      <c r="H2932" s="83">
        <f t="shared" si="46"/>
        <v>24403.71</v>
      </c>
      <c r="I2932" s="83"/>
      <c r="K2932" s="54" t="s">
        <v>15</v>
      </c>
    </row>
    <row r="2933" spans="2:11" ht="24.75" x14ac:dyDescent="0.2">
      <c r="B2933" s="82" t="s">
        <v>5229</v>
      </c>
      <c r="C2933" s="82" t="s">
        <v>5174</v>
      </c>
      <c r="D2933" s="83">
        <f>SUMIFS(D2934:D6462,K2934:K6462,"0",B2934:B6462,"5 1 1 4 1 12 31111 6 M59 30100 000132 0000R 00001 00141*")-SUMIFS(E2934:E6462,K2934:K6462,"0",B2934:B6462,"5 1 1 4 1 12 31111 6 M59 30100 000132 0000R 00001 00141*")</f>
        <v>0</v>
      </c>
      <c r="E2933" s="54"/>
      <c r="F2933" s="83">
        <f>SUMIFS(F2934:F6462,K2934:K6462,"0",B2934:B6462,"5 1 1 4 1 12 31111 6 M59 30100 000132 0000R 00001 00141*")</f>
        <v>24403.71</v>
      </c>
      <c r="G2933" s="83">
        <f>SUMIFS(G2934:G6462,K2934:K6462,"0",B2934:B6462,"5 1 1 4 1 12 31111 6 M59 30100 000132 0000R 00001 00141*")</f>
        <v>0</v>
      </c>
      <c r="H2933" s="83">
        <f t="shared" si="46"/>
        <v>24403.71</v>
      </c>
      <c r="I2933" s="83"/>
      <c r="K2933" s="54" t="s">
        <v>15</v>
      </c>
    </row>
    <row r="2934" spans="2:11" ht="24.75" x14ac:dyDescent="0.2">
      <c r="B2934" s="82" t="s">
        <v>5230</v>
      </c>
      <c r="C2934" s="82" t="s">
        <v>1051</v>
      </c>
      <c r="D2934" s="83">
        <f>SUMIFS(D2935:D6462,K2935:K6462,"0",B2935:B6462,"5 1 1 4 1 12 31111 6 M59 30100 000132 0000R 00001 00141 015*")-SUMIFS(E2935:E6462,K2935:K6462,"0",B2935:B6462,"5 1 1 4 1 12 31111 6 M59 30100 000132 0000R 00001 00141 015*")</f>
        <v>0</v>
      </c>
      <c r="E2934" s="54"/>
      <c r="F2934" s="83">
        <f>SUMIFS(F2935:F6462,K2935:K6462,"0",B2935:B6462,"5 1 1 4 1 12 31111 6 M59 30100 000132 0000R 00001 00141 015*")</f>
        <v>24403.71</v>
      </c>
      <c r="G2934" s="83">
        <f>SUMIFS(G2935:G6462,K2935:K6462,"0",B2935:B6462,"5 1 1 4 1 12 31111 6 M59 30100 000132 0000R 00001 00141 015*")</f>
        <v>0</v>
      </c>
      <c r="H2934" s="83">
        <f t="shared" si="46"/>
        <v>24403.71</v>
      </c>
      <c r="I2934" s="83"/>
      <c r="K2934" s="54" t="s">
        <v>15</v>
      </c>
    </row>
    <row r="2935" spans="2:11" ht="33" x14ac:dyDescent="0.2">
      <c r="B2935" s="82" t="s">
        <v>5231</v>
      </c>
      <c r="C2935" s="82" t="s">
        <v>2927</v>
      </c>
      <c r="D2935" s="83">
        <f>SUMIFS(D2936:D6462,K2936:K6462,"0",B2936:B6462,"5 1 1 4 1 12 31111 6 M59 30100 000132 0000R 00001 00141 015 2111100*")-SUMIFS(E2936:E6462,K2936:K6462,"0",B2936:B6462,"5 1 1 4 1 12 31111 6 M59 30100 000132 0000R 00001 00141 015 2111100*")</f>
        <v>0</v>
      </c>
      <c r="E2935" s="54"/>
      <c r="F2935" s="83">
        <f>SUMIFS(F2936:F6462,K2936:K6462,"0",B2936:B6462,"5 1 1 4 1 12 31111 6 M59 30100 000132 0000R 00001 00141 015 2111100*")</f>
        <v>24403.71</v>
      </c>
      <c r="G2935" s="83">
        <f>SUMIFS(G2936:G6462,K2936:K6462,"0",B2936:B6462,"5 1 1 4 1 12 31111 6 M59 30100 000132 0000R 00001 00141 015 2111100*")</f>
        <v>0</v>
      </c>
      <c r="H2935" s="83">
        <f t="shared" si="46"/>
        <v>24403.71</v>
      </c>
      <c r="I2935" s="83"/>
      <c r="K2935" s="54" t="s">
        <v>15</v>
      </c>
    </row>
    <row r="2936" spans="2:11" ht="33" x14ac:dyDescent="0.2">
      <c r="B2936" s="82" t="s">
        <v>5232</v>
      </c>
      <c r="C2936" s="82" t="s">
        <v>660</v>
      </c>
      <c r="D2936" s="83">
        <f>SUMIFS(D2937:D6462,K2937:K6462,"0",B2937:B6462,"5 1 1 4 1 12 31111 6 M59 30100 000132 0000R 00001 00141 015 2111100 2024*")-SUMIFS(E2937:E6462,K2937:K6462,"0",B2937:B6462,"5 1 1 4 1 12 31111 6 M59 30100 000132 0000R 00001 00141 015 2111100 2024*")</f>
        <v>0</v>
      </c>
      <c r="E2936" s="54"/>
      <c r="F2936" s="83">
        <f>SUMIFS(F2937:F6462,K2937:K6462,"0",B2937:B6462,"5 1 1 4 1 12 31111 6 M59 30100 000132 0000R 00001 00141 015 2111100 2024*")</f>
        <v>24403.71</v>
      </c>
      <c r="G2936" s="83">
        <f>SUMIFS(G2937:G6462,K2937:K6462,"0",B2937:B6462,"5 1 1 4 1 12 31111 6 M59 30100 000132 0000R 00001 00141 015 2111100 2024*")</f>
        <v>0</v>
      </c>
      <c r="H2936" s="83">
        <f t="shared" si="46"/>
        <v>24403.71</v>
      </c>
      <c r="I2936" s="83"/>
      <c r="K2936" s="54" t="s">
        <v>15</v>
      </c>
    </row>
    <row r="2937" spans="2:11" ht="41.25" x14ac:dyDescent="0.2">
      <c r="B2937" s="82" t="s">
        <v>5233</v>
      </c>
      <c r="C2937" s="82" t="s">
        <v>662</v>
      </c>
      <c r="D2937" s="83">
        <f>SUMIFS(D2938:D6462,K2938:K6462,"0",B2938:B6462,"5 1 1 4 1 12 31111 6 M59 30100 000132 0000R 00001 00141 015 2111100 2024 CP1OP405*")-SUMIFS(E2938:E6462,K2938:K6462,"0",B2938:B6462,"5 1 1 4 1 12 31111 6 M59 30100 000132 0000R 00001 00141 015 2111100 2024 CP1OP405*")</f>
        <v>0</v>
      </c>
      <c r="E2937" s="54"/>
      <c r="F2937" s="83">
        <f>SUMIFS(F2938:F6462,K2938:K6462,"0",B2938:B6462,"5 1 1 4 1 12 31111 6 M59 30100 000132 0000R 00001 00141 015 2111100 2024 CP1OP405*")</f>
        <v>24403.71</v>
      </c>
      <c r="G2937" s="83">
        <f>SUMIFS(G2938:G6462,K2938:K6462,"0",B2938:B6462,"5 1 1 4 1 12 31111 6 M59 30100 000132 0000R 00001 00141 015 2111100 2024 CP1OP405*")</f>
        <v>0</v>
      </c>
      <c r="H2937" s="83">
        <f t="shared" si="46"/>
        <v>24403.71</v>
      </c>
      <c r="I2937" s="83"/>
      <c r="K2937" s="54" t="s">
        <v>15</v>
      </c>
    </row>
    <row r="2938" spans="2:11" ht="41.25" x14ac:dyDescent="0.2">
      <c r="B2938" s="82" t="s">
        <v>5234</v>
      </c>
      <c r="C2938" s="82" t="s">
        <v>282</v>
      </c>
      <c r="D2938" s="83">
        <f>SUMIFS(D2939:D6462,K2939:K6462,"0",B2939:B6462,"5 1 1 4 1 12 31111 6 M59 30100 000132 0000R 00001 00141 015 2111100 2024 CP1OP405 001*")-SUMIFS(E2939:E6462,K2939:K6462,"0",B2939:B6462,"5 1 1 4 1 12 31111 6 M59 30100 000132 0000R 00001 00141 015 2111100 2024 CP1OP405 001*")</f>
        <v>0</v>
      </c>
      <c r="E2938" s="54"/>
      <c r="F2938" s="83">
        <f>SUMIFS(F2939:F6462,K2939:K6462,"0",B2939:B6462,"5 1 1 4 1 12 31111 6 M59 30100 000132 0000R 00001 00141 015 2111100 2024 CP1OP405 001*")</f>
        <v>24403.71</v>
      </c>
      <c r="G2938" s="83">
        <f>SUMIFS(G2939:G6462,K2939:K6462,"0",B2939:B6462,"5 1 1 4 1 12 31111 6 M59 30100 000132 0000R 00001 00141 015 2111100 2024 CP1OP405 001*")</f>
        <v>0</v>
      </c>
      <c r="H2938" s="83">
        <f t="shared" si="46"/>
        <v>24403.71</v>
      </c>
      <c r="I2938" s="83"/>
      <c r="K2938" s="54" t="s">
        <v>15</v>
      </c>
    </row>
    <row r="2939" spans="2:11" ht="33" x14ac:dyDescent="0.2">
      <c r="B2939" s="84" t="s">
        <v>5235</v>
      </c>
      <c r="C2939" s="84" t="s">
        <v>5164</v>
      </c>
      <c r="D2939" s="85">
        <v>0</v>
      </c>
      <c r="E2939" s="85"/>
      <c r="F2939" s="85">
        <v>24403.71</v>
      </c>
      <c r="G2939" s="85">
        <v>0</v>
      </c>
      <c r="H2939" s="85">
        <f t="shared" si="46"/>
        <v>24403.71</v>
      </c>
      <c r="I2939" s="85"/>
      <c r="K2939" s="54" t="s">
        <v>38</v>
      </c>
    </row>
    <row r="2940" spans="2:11" ht="16.5" x14ac:dyDescent="0.2">
      <c r="B2940" s="82" t="s">
        <v>5247</v>
      </c>
      <c r="C2940" s="82" t="s">
        <v>3281</v>
      </c>
      <c r="D2940" s="83">
        <f>SUMIFS(D2941:D6462,K2941:K6462,"0",B2941:B6462,"5 1 1 4 1 12 31111 6 M59 50000*")-SUMIFS(E2941:E6462,K2941:K6462,"0",B2941:B6462,"5 1 1 4 1 12 31111 6 M59 50000*")</f>
        <v>0</v>
      </c>
      <c r="E2940" s="54"/>
      <c r="F2940" s="83">
        <f>SUMIFS(F2941:F6462,K2941:K6462,"0",B2941:B6462,"5 1 1 4 1 12 31111 6 M59 50000*")</f>
        <v>61257.919999999998</v>
      </c>
      <c r="G2940" s="83">
        <f>SUMIFS(G2941:G6462,K2941:K6462,"0",B2941:B6462,"5 1 1 4 1 12 31111 6 M59 50000*")</f>
        <v>0</v>
      </c>
      <c r="H2940" s="83">
        <f t="shared" si="46"/>
        <v>61257.919999999998</v>
      </c>
      <c r="I2940" s="83"/>
      <c r="K2940" s="54" t="s">
        <v>15</v>
      </c>
    </row>
    <row r="2941" spans="2:11" ht="16.5" x14ac:dyDescent="0.2">
      <c r="B2941" s="82" t="s">
        <v>5248</v>
      </c>
      <c r="C2941" s="82" t="s">
        <v>3283</v>
      </c>
      <c r="D2941" s="83">
        <f>SUMIFS(D2942:D6462,K2942:K6462,"0",B2942:B6462,"5 1 1 4 1 12 31111 6 M59 50000 000223*")-SUMIFS(E2942:E6462,K2942:K6462,"0",B2942:B6462,"5 1 1 4 1 12 31111 6 M59 50000 000223*")</f>
        <v>0</v>
      </c>
      <c r="E2941" s="54"/>
      <c r="F2941" s="83">
        <f>SUMIFS(F2942:F6462,K2942:K6462,"0",B2942:B6462,"5 1 1 4 1 12 31111 6 M59 50000 000223*")</f>
        <v>61257.919999999998</v>
      </c>
      <c r="G2941" s="83">
        <f>SUMIFS(G2942:G6462,K2942:K6462,"0",B2942:B6462,"5 1 1 4 1 12 31111 6 M59 50000 000223*")</f>
        <v>0</v>
      </c>
      <c r="H2941" s="83">
        <f t="shared" si="46"/>
        <v>61257.919999999998</v>
      </c>
      <c r="I2941" s="83"/>
      <c r="K2941" s="54" t="s">
        <v>15</v>
      </c>
    </row>
    <row r="2942" spans="2:11" ht="16.5" x14ac:dyDescent="0.2">
      <c r="B2942" s="82" t="s">
        <v>5249</v>
      </c>
      <c r="C2942" s="82" t="s">
        <v>1065</v>
      </c>
      <c r="D2942" s="83">
        <f>SUMIFS(D2943:D6462,K2943:K6462,"0",B2943:B6462,"5 1 1 4 1 12 31111 6 M59 50000 000223 0000E*")-SUMIFS(E2943:E6462,K2943:K6462,"0",B2943:B6462,"5 1 1 4 1 12 31111 6 M59 50000 000223 0000E*")</f>
        <v>0</v>
      </c>
      <c r="E2942" s="54"/>
      <c r="F2942" s="83">
        <f>SUMIFS(F2943:F6462,K2943:K6462,"0",B2943:B6462,"5 1 1 4 1 12 31111 6 M59 50000 000223 0000E*")</f>
        <v>61257.919999999998</v>
      </c>
      <c r="G2942" s="83">
        <f>SUMIFS(G2943:G6462,K2943:K6462,"0",B2943:B6462,"5 1 1 4 1 12 31111 6 M59 50000 000223 0000E*")</f>
        <v>0</v>
      </c>
      <c r="H2942" s="83">
        <f t="shared" si="46"/>
        <v>61257.919999999998</v>
      </c>
      <c r="I2942" s="83"/>
      <c r="K2942" s="54" t="s">
        <v>15</v>
      </c>
    </row>
    <row r="2943" spans="2:11" ht="24.75" x14ac:dyDescent="0.2">
      <c r="B2943" s="82" t="s">
        <v>5250</v>
      </c>
      <c r="C2943" s="82" t="s">
        <v>282</v>
      </c>
      <c r="D2943" s="83">
        <f>SUMIFS(D2944:D6462,K2944:K6462,"0",B2944:B6462,"5 1 1 4 1 12 31111 6 M59 50000 000223 0000E 00001*")-SUMIFS(E2944:E6462,K2944:K6462,"0",B2944:B6462,"5 1 1 4 1 12 31111 6 M59 50000 000223 0000E 00001*")</f>
        <v>0</v>
      </c>
      <c r="E2943" s="54"/>
      <c r="F2943" s="83">
        <f>SUMIFS(F2944:F6462,K2944:K6462,"0",B2944:B6462,"5 1 1 4 1 12 31111 6 M59 50000 000223 0000E 00001*")</f>
        <v>61257.919999999998</v>
      </c>
      <c r="G2943" s="83">
        <f>SUMIFS(G2944:G6462,K2944:K6462,"0",B2944:B6462,"5 1 1 4 1 12 31111 6 M59 50000 000223 0000E 00001*")</f>
        <v>0</v>
      </c>
      <c r="H2943" s="83">
        <f t="shared" si="46"/>
        <v>61257.919999999998</v>
      </c>
      <c r="I2943" s="83"/>
      <c r="K2943" s="54" t="s">
        <v>15</v>
      </c>
    </row>
    <row r="2944" spans="2:11" ht="24.75" x14ac:dyDescent="0.2">
      <c r="B2944" s="82" t="s">
        <v>5251</v>
      </c>
      <c r="C2944" s="82" t="s">
        <v>5174</v>
      </c>
      <c r="D2944" s="83">
        <f>SUMIFS(D2945:D6462,K2945:K6462,"0",B2945:B6462,"5 1 1 4 1 12 31111 6 M59 50000 000223 0000E 00001 00141*")-SUMIFS(E2945:E6462,K2945:K6462,"0",B2945:B6462,"5 1 1 4 1 12 31111 6 M59 50000 000223 0000E 00001 00141*")</f>
        <v>0</v>
      </c>
      <c r="E2944" s="54"/>
      <c r="F2944" s="83">
        <f>SUMIFS(F2945:F6462,K2945:K6462,"0",B2945:B6462,"5 1 1 4 1 12 31111 6 M59 50000 000223 0000E 00001 00141*")</f>
        <v>61257.919999999998</v>
      </c>
      <c r="G2944" s="83">
        <f>SUMIFS(G2945:G6462,K2945:K6462,"0",B2945:B6462,"5 1 1 4 1 12 31111 6 M59 50000 000223 0000E 00001 00141*")</f>
        <v>0</v>
      </c>
      <c r="H2944" s="83">
        <f t="shared" si="46"/>
        <v>61257.919999999998</v>
      </c>
      <c r="I2944" s="83"/>
      <c r="K2944" s="54" t="s">
        <v>15</v>
      </c>
    </row>
    <row r="2945" spans="2:11" ht="24.75" x14ac:dyDescent="0.2">
      <c r="B2945" s="82" t="s">
        <v>5252</v>
      </c>
      <c r="C2945" s="82" t="s">
        <v>1051</v>
      </c>
      <c r="D2945" s="83">
        <f>SUMIFS(D2946:D6462,K2946:K6462,"0",B2946:B6462,"5 1 1 4 1 12 31111 6 M59 50000 000223 0000E 00001 00141 015*")-SUMIFS(E2946:E6462,K2946:K6462,"0",B2946:B6462,"5 1 1 4 1 12 31111 6 M59 50000 000223 0000E 00001 00141 015*")</f>
        <v>0</v>
      </c>
      <c r="E2945" s="54"/>
      <c r="F2945" s="83">
        <f>SUMIFS(F2946:F6462,K2946:K6462,"0",B2946:B6462,"5 1 1 4 1 12 31111 6 M59 50000 000223 0000E 00001 00141 015*")</f>
        <v>61257.919999999998</v>
      </c>
      <c r="G2945" s="83">
        <f>SUMIFS(G2946:G6462,K2946:K6462,"0",B2946:B6462,"5 1 1 4 1 12 31111 6 M59 50000 000223 0000E 00001 00141 015*")</f>
        <v>0</v>
      </c>
      <c r="H2945" s="83">
        <f t="shared" si="46"/>
        <v>61257.919999999998</v>
      </c>
      <c r="I2945" s="83"/>
      <c r="K2945" s="54" t="s">
        <v>15</v>
      </c>
    </row>
    <row r="2946" spans="2:11" ht="33" x14ac:dyDescent="0.2">
      <c r="B2946" s="82" t="s">
        <v>5253</v>
      </c>
      <c r="C2946" s="82" t="s">
        <v>2927</v>
      </c>
      <c r="D2946" s="83">
        <f>SUMIFS(D2947:D6462,K2947:K6462,"0",B2947:B6462,"5 1 1 4 1 12 31111 6 M59 50000 000223 0000E 00001 00141 015 2111100*")-SUMIFS(E2947:E6462,K2947:K6462,"0",B2947:B6462,"5 1 1 4 1 12 31111 6 M59 50000 000223 0000E 00001 00141 015 2111100*")</f>
        <v>0</v>
      </c>
      <c r="E2946" s="54"/>
      <c r="F2946" s="83">
        <f>SUMIFS(F2947:F6462,K2947:K6462,"0",B2947:B6462,"5 1 1 4 1 12 31111 6 M59 50000 000223 0000E 00001 00141 015 2111100*")</f>
        <v>61257.919999999998</v>
      </c>
      <c r="G2946" s="83">
        <f>SUMIFS(G2947:G6462,K2947:K6462,"0",B2947:B6462,"5 1 1 4 1 12 31111 6 M59 50000 000223 0000E 00001 00141 015 2111100*")</f>
        <v>0</v>
      </c>
      <c r="H2946" s="83">
        <f t="shared" si="46"/>
        <v>61257.919999999998</v>
      </c>
      <c r="I2946" s="83"/>
      <c r="K2946" s="54" t="s">
        <v>15</v>
      </c>
    </row>
    <row r="2947" spans="2:11" ht="33" x14ac:dyDescent="0.2">
      <c r="B2947" s="82" t="s">
        <v>5254</v>
      </c>
      <c r="C2947" s="82" t="s">
        <v>660</v>
      </c>
      <c r="D2947" s="83">
        <f>SUMIFS(D2948:D6462,K2948:K6462,"0",B2948:B6462,"5 1 1 4 1 12 31111 6 M59 50000 000223 0000E 00001 00141 015 2111100 2024*")-SUMIFS(E2948:E6462,K2948:K6462,"0",B2948:B6462,"5 1 1 4 1 12 31111 6 M59 50000 000223 0000E 00001 00141 015 2111100 2024*")</f>
        <v>0</v>
      </c>
      <c r="E2947" s="54"/>
      <c r="F2947" s="83">
        <f>SUMIFS(F2948:F6462,K2948:K6462,"0",B2948:B6462,"5 1 1 4 1 12 31111 6 M59 50000 000223 0000E 00001 00141 015 2111100 2024*")</f>
        <v>61257.919999999998</v>
      </c>
      <c r="G2947" s="83">
        <f>SUMIFS(G2948:G6462,K2948:K6462,"0",B2948:B6462,"5 1 1 4 1 12 31111 6 M59 50000 000223 0000E 00001 00141 015 2111100 2024*")</f>
        <v>0</v>
      </c>
      <c r="H2947" s="83">
        <f t="shared" si="46"/>
        <v>61257.919999999998</v>
      </c>
      <c r="I2947" s="83"/>
      <c r="K2947" s="54" t="s">
        <v>15</v>
      </c>
    </row>
    <row r="2948" spans="2:11" ht="41.25" x14ac:dyDescent="0.2">
      <c r="B2948" s="82" t="s">
        <v>5255</v>
      </c>
      <c r="C2948" s="82" t="s">
        <v>662</v>
      </c>
      <c r="D2948" s="83">
        <f>SUMIFS(D2949:D6462,K2949:K6462,"0",B2949:B6462,"5 1 1 4 1 12 31111 6 M59 50000 000223 0000E 00001 00141 015 2111100 2024 CP1DA424*")-SUMIFS(E2949:E6462,K2949:K6462,"0",B2949:B6462,"5 1 1 4 1 12 31111 6 M59 50000 000223 0000E 00001 00141 015 2111100 2024 CP1DA424*")</f>
        <v>0</v>
      </c>
      <c r="E2948" s="54"/>
      <c r="F2948" s="83">
        <f>SUMIFS(F2949:F6462,K2949:K6462,"0",B2949:B6462,"5 1 1 4 1 12 31111 6 M59 50000 000223 0000E 00001 00141 015 2111100 2024 CP1DA424*")</f>
        <v>61257.919999999998</v>
      </c>
      <c r="G2948" s="83">
        <f>SUMIFS(G2949:G6462,K2949:K6462,"0",B2949:B6462,"5 1 1 4 1 12 31111 6 M59 50000 000223 0000E 00001 00141 015 2111100 2024 CP1DA424*")</f>
        <v>0</v>
      </c>
      <c r="H2948" s="83">
        <f t="shared" si="46"/>
        <v>61257.919999999998</v>
      </c>
      <c r="I2948" s="83"/>
      <c r="K2948" s="54" t="s">
        <v>15</v>
      </c>
    </row>
    <row r="2949" spans="2:11" ht="41.25" x14ac:dyDescent="0.2">
      <c r="B2949" s="82" t="s">
        <v>5256</v>
      </c>
      <c r="C2949" s="82" t="s">
        <v>282</v>
      </c>
      <c r="D2949" s="83">
        <f>SUMIFS(D2950:D6462,K2950:K6462,"0",B2950:B6462,"5 1 1 4 1 12 31111 6 M59 50000 000223 0000E 00001 00141 015 2111100 2024 CP1DA424 001*")-SUMIFS(E2950:E6462,K2950:K6462,"0",B2950:B6462,"5 1 1 4 1 12 31111 6 M59 50000 000223 0000E 00001 00141 015 2111100 2024 CP1DA424 001*")</f>
        <v>0</v>
      </c>
      <c r="E2949" s="54"/>
      <c r="F2949" s="83">
        <f>SUMIFS(F2950:F6462,K2950:K6462,"0",B2950:B6462,"5 1 1 4 1 12 31111 6 M59 50000 000223 0000E 00001 00141 015 2111100 2024 CP1DA424 001*")</f>
        <v>61257.919999999998</v>
      </c>
      <c r="G2949" s="83">
        <f>SUMIFS(G2950:G6462,K2950:K6462,"0",B2950:B6462,"5 1 1 4 1 12 31111 6 M59 50000 000223 0000E 00001 00141 015 2111100 2024 CP1DA424 001*")</f>
        <v>0</v>
      </c>
      <c r="H2949" s="83">
        <f t="shared" si="46"/>
        <v>61257.919999999998</v>
      </c>
      <c r="I2949" s="83"/>
      <c r="K2949" s="54" t="s">
        <v>15</v>
      </c>
    </row>
    <row r="2950" spans="2:11" ht="33" x14ac:dyDescent="0.2">
      <c r="B2950" s="84" t="s">
        <v>5257</v>
      </c>
      <c r="C2950" s="84" t="s">
        <v>5164</v>
      </c>
      <c r="D2950" s="85">
        <v>0</v>
      </c>
      <c r="E2950" s="85"/>
      <c r="F2950" s="85">
        <v>61257.919999999998</v>
      </c>
      <c r="G2950" s="85">
        <v>0</v>
      </c>
      <c r="H2950" s="85">
        <f t="shared" si="46"/>
        <v>61257.919999999998</v>
      </c>
      <c r="I2950" s="85"/>
      <c r="K2950" s="54" t="s">
        <v>38</v>
      </c>
    </row>
    <row r="2951" spans="2:11" ht="16.5" x14ac:dyDescent="0.2">
      <c r="B2951" s="82" t="s">
        <v>5258</v>
      </c>
      <c r="C2951" s="82" t="s">
        <v>1269</v>
      </c>
      <c r="D2951" s="83">
        <f>SUMIFS(D2952:D6462,K2952:K6462,"0",B2952:B6462,"5 1 1 4 1 12 31111 6 M59 60100*")-SUMIFS(E2952:E6462,K2952:K6462,"0",B2952:B6462,"5 1 1 4 1 12 31111 6 M59 60100*")</f>
        <v>0</v>
      </c>
      <c r="E2951" s="54"/>
      <c r="F2951" s="83">
        <f>SUMIFS(F2952:F6462,K2952:K6462,"0",B2952:B6462,"5 1 1 4 1 12 31111 6 M59 60100*")</f>
        <v>24403.71</v>
      </c>
      <c r="G2951" s="83">
        <f>SUMIFS(G2952:G6462,K2952:K6462,"0",B2952:B6462,"5 1 1 4 1 12 31111 6 M59 60100*")</f>
        <v>0</v>
      </c>
      <c r="H2951" s="83">
        <f t="shared" si="46"/>
        <v>24403.71</v>
      </c>
      <c r="I2951" s="83"/>
      <c r="K2951" s="54" t="s">
        <v>15</v>
      </c>
    </row>
    <row r="2952" spans="2:11" ht="16.5" x14ac:dyDescent="0.2">
      <c r="B2952" s="82" t="s">
        <v>5259</v>
      </c>
      <c r="C2952" s="82" t="s">
        <v>648</v>
      </c>
      <c r="D2952" s="83">
        <f>SUMIFS(D2953:D6462,K2953:K6462,"0",B2953:B6462,"5 1 1 4 1 12 31111 6 M59 60100 000132*")-SUMIFS(E2953:E6462,K2953:K6462,"0",B2953:B6462,"5 1 1 4 1 12 31111 6 M59 60100 000132*")</f>
        <v>0</v>
      </c>
      <c r="E2952" s="54"/>
      <c r="F2952" s="83">
        <f>SUMIFS(F2953:F6462,K2953:K6462,"0",B2953:B6462,"5 1 1 4 1 12 31111 6 M59 60100 000132*")</f>
        <v>24403.71</v>
      </c>
      <c r="G2952" s="83">
        <f>SUMIFS(G2953:G6462,K2953:K6462,"0",B2953:B6462,"5 1 1 4 1 12 31111 6 M59 60100 000132*")</f>
        <v>0</v>
      </c>
      <c r="H2952" s="83">
        <f t="shared" si="46"/>
        <v>24403.71</v>
      </c>
      <c r="I2952" s="83"/>
      <c r="K2952" s="54" t="s">
        <v>15</v>
      </c>
    </row>
    <row r="2953" spans="2:11" ht="16.5" x14ac:dyDescent="0.2">
      <c r="B2953" s="82" t="s">
        <v>5260</v>
      </c>
      <c r="C2953" s="82" t="s">
        <v>650</v>
      </c>
      <c r="D2953" s="83">
        <f>SUMIFS(D2954:D6462,K2954:K6462,"0",B2954:B6462,"5 1 1 4 1 12 31111 6 M59 60100 000132 0000R*")-SUMIFS(E2954:E6462,K2954:K6462,"0",B2954:B6462,"5 1 1 4 1 12 31111 6 M59 60100 000132 0000R*")</f>
        <v>0</v>
      </c>
      <c r="E2953" s="54"/>
      <c r="F2953" s="83">
        <f>SUMIFS(F2954:F6462,K2954:K6462,"0",B2954:B6462,"5 1 1 4 1 12 31111 6 M59 60100 000132 0000R*")</f>
        <v>24403.71</v>
      </c>
      <c r="G2953" s="83">
        <f>SUMIFS(G2954:G6462,K2954:K6462,"0",B2954:B6462,"5 1 1 4 1 12 31111 6 M59 60100 000132 0000R*")</f>
        <v>0</v>
      </c>
      <c r="H2953" s="83">
        <f t="shared" si="46"/>
        <v>24403.71</v>
      </c>
      <c r="I2953" s="83"/>
      <c r="K2953" s="54" t="s">
        <v>15</v>
      </c>
    </row>
    <row r="2954" spans="2:11" ht="24.75" x14ac:dyDescent="0.2">
      <c r="B2954" s="82" t="s">
        <v>5261</v>
      </c>
      <c r="C2954" s="82" t="s">
        <v>282</v>
      </c>
      <c r="D2954" s="83">
        <f>SUMIFS(D2955:D6462,K2955:K6462,"0",B2955:B6462,"5 1 1 4 1 12 31111 6 M59 60100 000132 0000R 00001*")-SUMIFS(E2955:E6462,K2955:K6462,"0",B2955:B6462,"5 1 1 4 1 12 31111 6 M59 60100 000132 0000R 00001*")</f>
        <v>0</v>
      </c>
      <c r="E2954" s="54"/>
      <c r="F2954" s="83">
        <f>SUMIFS(F2955:F6462,K2955:K6462,"0",B2955:B6462,"5 1 1 4 1 12 31111 6 M59 60100 000132 0000R 00001*")</f>
        <v>24403.71</v>
      </c>
      <c r="G2954" s="83">
        <f>SUMIFS(G2955:G6462,K2955:K6462,"0",B2955:B6462,"5 1 1 4 1 12 31111 6 M59 60100 000132 0000R 00001*")</f>
        <v>0</v>
      </c>
      <c r="H2954" s="83">
        <f t="shared" si="46"/>
        <v>24403.71</v>
      </c>
      <c r="I2954" s="83"/>
      <c r="K2954" s="54" t="s">
        <v>15</v>
      </c>
    </row>
    <row r="2955" spans="2:11" ht="24.75" x14ac:dyDescent="0.2">
      <c r="B2955" s="82" t="s">
        <v>5262</v>
      </c>
      <c r="C2955" s="82" t="s">
        <v>5174</v>
      </c>
      <c r="D2955" s="83">
        <f>SUMIFS(D2956:D6462,K2956:K6462,"0",B2956:B6462,"5 1 1 4 1 12 31111 6 M59 60100 000132 0000R 00001 00141*")-SUMIFS(E2956:E6462,K2956:K6462,"0",B2956:B6462,"5 1 1 4 1 12 31111 6 M59 60100 000132 0000R 00001 00141*")</f>
        <v>0</v>
      </c>
      <c r="E2955" s="54"/>
      <c r="F2955" s="83">
        <f>SUMIFS(F2956:F6462,K2956:K6462,"0",B2956:B6462,"5 1 1 4 1 12 31111 6 M59 60100 000132 0000R 00001 00141*")</f>
        <v>24403.71</v>
      </c>
      <c r="G2955" s="83">
        <f>SUMIFS(G2956:G6462,K2956:K6462,"0",B2956:B6462,"5 1 1 4 1 12 31111 6 M59 60100 000132 0000R 00001 00141*")</f>
        <v>0</v>
      </c>
      <c r="H2955" s="83">
        <f t="shared" si="46"/>
        <v>24403.71</v>
      </c>
      <c r="I2955" s="83"/>
      <c r="K2955" s="54" t="s">
        <v>15</v>
      </c>
    </row>
    <row r="2956" spans="2:11" ht="24.75" x14ac:dyDescent="0.2">
      <c r="B2956" s="82" t="s">
        <v>5263</v>
      </c>
      <c r="C2956" s="82" t="s">
        <v>1051</v>
      </c>
      <c r="D2956" s="83">
        <f>SUMIFS(D2957:D6462,K2957:K6462,"0",B2957:B6462,"5 1 1 4 1 12 31111 6 M59 60100 000132 0000R 00001 00141 015*")-SUMIFS(E2957:E6462,K2957:K6462,"0",B2957:B6462,"5 1 1 4 1 12 31111 6 M59 60100 000132 0000R 00001 00141 015*")</f>
        <v>0</v>
      </c>
      <c r="E2956" s="54"/>
      <c r="F2956" s="83">
        <f>SUMIFS(F2957:F6462,K2957:K6462,"0",B2957:B6462,"5 1 1 4 1 12 31111 6 M59 60100 000132 0000R 00001 00141 015*")</f>
        <v>24403.71</v>
      </c>
      <c r="G2956" s="83">
        <f>SUMIFS(G2957:G6462,K2957:K6462,"0",B2957:B6462,"5 1 1 4 1 12 31111 6 M59 60100 000132 0000R 00001 00141 015*")</f>
        <v>0</v>
      </c>
      <c r="H2956" s="83">
        <f t="shared" si="46"/>
        <v>24403.71</v>
      </c>
      <c r="I2956" s="83"/>
      <c r="K2956" s="54" t="s">
        <v>15</v>
      </c>
    </row>
    <row r="2957" spans="2:11" ht="33" x14ac:dyDescent="0.2">
      <c r="B2957" s="82" t="s">
        <v>5264</v>
      </c>
      <c r="C2957" s="82" t="s">
        <v>2927</v>
      </c>
      <c r="D2957" s="83">
        <f>SUMIFS(D2958:D6462,K2958:K6462,"0",B2958:B6462,"5 1 1 4 1 12 31111 6 M59 60100 000132 0000R 00001 00141 015 2111100*")-SUMIFS(E2958:E6462,K2958:K6462,"0",B2958:B6462,"5 1 1 4 1 12 31111 6 M59 60100 000132 0000R 00001 00141 015 2111100*")</f>
        <v>0</v>
      </c>
      <c r="E2957" s="54"/>
      <c r="F2957" s="83">
        <f>SUMIFS(F2958:F6462,K2958:K6462,"0",B2958:B6462,"5 1 1 4 1 12 31111 6 M59 60100 000132 0000R 00001 00141 015 2111100*")</f>
        <v>24403.71</v>
      </c>
      <c r="G2957" s="83">
        <f>SUMIFS(G2958:G6462,K2958:K6462,"0",B2958:B6462,"5 1 1 4 1 12 31111 6 M59 60100 000132 0000R 00001 00141 015 2111100*")</f>
        <v>0</v>
      </c>
      <c r="H2957" s="83">
        <f t="shared" si="46"/>
        <v>24403.71</v>
      </c>
      <c r="I2957" s="83"/>
      <c r="K2957" s="54" t="s">
        <v>15</v>
      </c>
    </row>
    <row r="2958" spans="2:11" ht="33" x14ac:dyDescent="0.2">
      <c r="B2958" s="82" t="s">
        <v>5265</v>
      </c>
      <c r="C2958" s="82" t="s">
        <v>660</v>
      </c>
      <c r="D2958" s="83">
        <f>SUMIFS(D2959:D6462,K2959:K6462,"0",B2959:B6462,"5 1 1 4 1 12 31111 6 M59 60100 000132 0000R 00001 00141 015 2111100 2024*")-SUMIFS(E2959:E6462,K2959:K6462,"0",B2959:B6462,"5 1 1 4 1 12 31111 6 M59 60100 000132 0000R 00001 00141 015 2111100 2024*")</f>
        <v>0</v>
      </c>
      <c r="E2958" s="54"/>
      <c r="F2958" s="83">
        <f>SUMIFS(F2959:F6462,K2959:K6462,"0",B2959:B6462,"5 1 1 4 1 12 31111 6 M59 60100 000132 0000R 00001 00141 015 2111100 2024*")</f>
        <v>24403.71</v>
      </c>
      <c r="G2958" s="83">
        <f>SUMIFS(G2959:G6462,K2959:K6462,"0",B2959:B6462,"5 1 1 4 1 12 31111 6 M59 60100 000132 0000R 00001 00141 015 2111100 2024*")</f>
        <v>0</v>
      </c>
      <c r="H2958" s="83">
        <f t="shared" si="46"/>
        <v>24403.71</v>
      </c>
      <c r="I2958" s="83"/>
      <c r="K2958" s="54" t="s">
        <v>15</v>
      </c>
    </row>
    <row r="2959" spans="2:11" ht="41.25" x14ac:dyDescent="0.2">
      <c r="B2959" s="82" t="s">
        <v>5266</v>
      </c>
      <c r="C2959" s="82" t="s">
        <v>1056</v>
      </c>
      <c r="D2959" s="83">
        <f>SUMIFS(D2960:D6462,K2960:K6462,"0",B2960:B6462,"5 1 1 4 1 12 31111 6 M59 60100 000132 0000R 00001 00141 015 2111100 2024 CP1DM394*")-SUMIFS(E2960:E6462,K2960:K6462,"0",B2960:B6462,"5 1 1 4 1 12 31111 6 M59 60100 000132 0000R 00001 00141 015 2111100 2024 CP1DM394*")</f>
        <v>0</v>
      </c>
      <c r="E2959" s="54"/>
      <c r="F2959" s="83">
        <f>SUMIFS(F2960:F6462,K2960:K6462,"0",B2960:B6462,"5 1 1 4 1 12 31111 6 M59 60100 000132 0000R 00001 00141 015 2111100 2024 CP1DM394*")</f>
        <v>24403.71</v>
      </c>
      <c r="G2959" s="83">
        <f>SUMIFS(G2960:G6462,K2960:K6462,"0",B2960:B6462,"5 1 1 4 1 12 31111 6 M59 60100 000132 0000R 00001 00141 015 2111100 2024 CP1DM394*")</f>
        <v>0</v>
      </c>
      <c r="H2959" s="83">
        <f t="shared" si="46"/>
        <v>24403.71</v>
      </c>
      <c r="I2959" s="83"/>
      <c r="K2959" s="54" t="s">
        <v>15</v>
      </c>
    </row>
    <row r="2960" spans="2:11" ht="41.25" x14ac:dyDescent="0.2">
      <c r="B2960" s="82" t="s">
        <v>5267</v>
      </c>
      <c r="C2960" s="82" t="s">
        <v>282</v>
      </c>
      <c r="D2960" s="83">
        <f>SUMIFS(D2961:D6462,K2961:K6462,"0",B2961:B6462,"5 1 1 4 1 12 31111 6 M59 60100 000132 0000R 00001 00141 015 2111100 2024 CP1DM394 001*")-SUMIFS(E2961:E6462,K2961:K6462,"0",B2961:B6462,"5 1 1 4 1 12 31111 6 M59 60100 000132 0000R 00001 00141 015 2111100 2024 CP1DM394 001*")</f>
        <v>0</v>
      </c>
      <c r="E2960" s="54"/>
      <c r="F2960" s="83">
        <f>SUMIFS(F2961:F6462,K2961:K6462,"0",B2961:B6462,"5 1 1 4 1 12 31111 6 M59 60100 000132 0000R 00001 00141 015 2111100 2024 CP1DM394 001*")</f>
        <v>24403.71</v>
      </c>
      <c r="G2960" s="83">
        <f>SUMIFS(G2961:G6462,K2961:K6462,"0",B2961:B6462,"5 1 1 4 1 12 31111 6 M59 60100 000132 0000R 00001 00141 015 2111100 2024 CP1DM394 001*")</f>
        <v>0</v>
      </c>
      <c r="H2960" s="83">
        <f t="shared" si="46"/>
        <v>24403.71</v>
      </c>
      <c r="I2960" s="83"/>
      <c r="K2960" s="54" t="s">
        <v>15</v>
      </c>
    </row>
    <row r="2961" spans="2:11" ht="33" x14ac:dyDescent="0.2">
      <c r="B2961" s="84" t="s">
        <v>5268</v>
      </c>
      <c r="C2961" s="84" t="s">
        <v>5164</v>
      </c>
      <c r="D2961" s="85">
        <v>0</v>
      </c>
      <c r="E2961" s="85"/>
      <c r="F2961" s="85">
        <v>24403.71</v>
      </c>
      <c r="G2961" s="85">
        <v>0</v>
      </c>
      <c r="H2961" s="85">
        <f t="shared" si="46"/>
        <v>24403.71</v>
      </c>
      <c r="I2961" s="85"/>
      <c r="K2961" s="54" t="s">
        <v>38</v>
      </c>
    </row>
    <row r="2962" spans="2:11" ht="16.5" x14ac:dyDescent="0.2">
      <c r="B2962" s="82" t="s">
        <v>5269</v>
      </c>
      <c r="C2962" s="82" t="s">
        <v>3377</v>
      </c>
      <c r="D2962" s="83">
        <f>SUMIFS(D2963:D6462,K2963:K6462,"0",B2963:B6462,"5 1 1 4 1 12 31111 6 M59 70000*")-SUMIFS(E2963:E6462,K2963:K6462,"0",B2963:B6462,"5 1 1 4 1 12 31111 6 M59 70000*")</f>
        <v>0</v>
      </c>
      <c r="E2962" s="54"/>
      <c r="F2962" s="83">
        <f>SUMIFS(F2963:F6462,K2963:K6462,"0",B2963:B6462,"5 1 1 4 1 12 31111 6 M59 70000*")</f>
        <v>15131.21</v>
      </c>
      <c r="G2962" s="83">
        <f>SUMIFS(G2963:G6462,K2963:K6462,"0",B2963:B6462,"5 1 1 4 1 12 31111 6 M59 70000*")</f>
        <v>0</v>
      </c>
      <c r="H2962" s="83">
        <f t="shared" si="46"/>
        <v>15131.21</v>
      </c>
      <c r="I2962" s="83"/>
      <c r="K2962" s="54" t="s">
        <v>15</v>
      </c>
    </row>
    <row r="2963" spans="2:11" ht="16.5" x14ac:dyDescent="0.2">
      <c r="B2963" s="82" t="s">
        <v>5270</v>
      </c>
      <c r="C2963" s="82" t="s">
        <v>648</v>
      </c>
      <c r="D2963" s="83">
        <f>SUMIFS(D2964:D6462,K2964:K6462,"0",B2964:B6462,"5 1 1 4 1 12 31111 6 M59 70000 000132*")-SUMIFS(E2964:E6462,K2964:K6462,"0",B2964:B6462,"5 1 1 4 1 12 31111 6 M59 70000 000132*")</f>
        <v>0</v>
      </c>
      <c r="E2963" s="54"/>
      <c r="F2963" s="83">
        <f>SUMIFS(F2964:F6462,K2964:K6462,"0",B2964:B6462,"5 1 1 4 1 12 31111 6 M59 70000 000132*")</f>
        <v>15131.21</v>
      </c>
      <c r="G2963" s="83">
        <f>SUMIFS(G2964:G6462,K2964:K6462,"0",B2964:B6462,"5 1 1 4 1 12 31111 6 M59 70000 000132*")</f>
        <v>0</v>
      </c>
      <c r="H2963" s="83">
        <f t="shared" si="46"/>
        <v>15131.21</v>
      </c>
      <c r="I2963" s="83"/>
      <c r="K2963" s="54" t="s">
        <v>15</v>
      </c>
    </row>
    <row r="2964" spans="2:11" ht="16.5" x14ac:dyDescent="0.2">
      <c r="B2964" s="82" t="s">
        <v>5271</v>
      </c>
      <c r="C2964" s="82" t="s">
        <v>650</v>
      </c>
      <c r="D2964" s="83">
        <f>SUMIFS(D2965:D6462,K2965:K6462,"0",B2965:B6462,"5 1 1 4 1 12 31111 6 M59 70000 000132 0000R*")-SUMIFS(E2965:E6462,K2965:K6462,"0",B2965:B6462,"5 1 1 4 1 12 31111 6 M59 70000 000132 0000R*")</f>
        <v>0</v>
      </c>
      <c r="E2964" s="54"/>
      <c r="F2964" s="83">
        <f>SUMIFS(F2965:F6462,K2965:K6462,"0",B2965:B6462,"5 1 1 4 1 12 31111 6 M59 70000 000132 0000R*")</f>
        <v>15131.21</v>
      </c>
      <c r="G2964" s="83">
        <f>SUMIFS(G2965:G6462,K2965:K6462,"0",B2965:B6462,"5 1 1 4 1 12 31111 6 M59 70000 000132 0000R*")</f>
        <v>0</v>
      </c>
      <c r="H2964" s="83">
        <f t="shared" si="46"/>
        <v>15131.21</v>
      </c>
      <c r="I2964" s="83"/>
      <c r="K2964" s="54" t="s">
        <v>15</v>
      </c>
    </row>
    <row r="2965" spans="2:11" ht="24.75" x14ac:dyDescent="0.2">
      <c r="B2965" s="82" t="s">
        <v>5272</v>
      </c>
      <c r="C2965" s="82" t="s">
        <v>282</v>
      </c>
      <c r="D2965" s="83">
        <f>SUMIFS(D2966:D6462,K2966:K6462,"0",B2966:B6462,"5 1 1 4 1 12 31111 6 M59 70000 000132 0000R 00001*")-SUMIFS(E2966:E6462,K2966:K6462,"0",B2966:B6462,"5 1 1 4 1 12 31111 6 M59 70000 000132 0000R 00001*")</f>
        <v>0</v>
      </c>
      <c r="E2965" s="54"/>
      <c r="F2965" s="83">
        <f>SUMIFS(F2966:F6462,K2966:K6462,"0",B2966:B6462,"5 1 1 4 1 12 31111 6 M59 70000 000132 0000R 00001*")</f>
        <v>15131.21</v>
      </c>
      <c r="G2965" s="83">
        <f>SUMIFS(G2966:G6462,K2966:K6462,"0",B2966:B6462,"5 1 1 4 1 12 31111 6 M59 70000 000132 0000R 00001*")</f>
        <v>0</v>
      </c>
      <c r="H2965" s="83">
        <f t="shared" si="46"/>
        <v>15131.21</v>
      </c>
      <c r="I2965" s="83"/>
      <c r="K2965" s="54" t="s">
        <v>15</v>
      </c>
    </row>
    <row r="2966" spans="2:11" ht="24.75" x14ac:dyDescent="0.2">
      <c r="B2966" s="82" t="s">
        <v>5273</v>
      </c>
      <c r="C2966" s="82" t="s">
        <v>5174</v>
      </c>
      <c r="D2966" s="83">
        <f>SUMIFS(D2967:D6462,K2967:K6462,"0",B2967:B6462,"5 1 1 4 1 12 31111 6 M59 70000 000132 0000R 00001 00141*")-SUMIFS(E2967:E6462,K2967:K6462,"0",B2967:B6462,"5 1 1 4 1 12 31111 6 M59 70000 000132 0000R 00001 00141*")</f>
        <v>0</v>
      </c>
      <c r="E2966" s="54"/>
      <c r="F2966" s="83">
        <f>SUMIFS(F2967:F6462,K2967:K6462,"0",B2967:B6462,"5 1 1 4 1 12 31111 6 M59 70000 000132 0000R 00001 00141*")</f>
        <v>15131.21</v>
      </c>
      <c r="G2966" s="83">
        <f>SUMIFS(G2967:G6462,K2967:K6462,"0",B2967:B6462,"5 1 1 4 1 12 31111 6 M59 70000 000132 0000R 00001 00141*")</f>
        <v>0</v>
      </c>
      <c r="H2966" s="83">
        <f t="shared" si="46"/>
        <v>15131.21</v>
      </c>
      <c r="I2966" s="83"/>
      <c r="K2966" s="54" t="s">
        <v>15</v>
      </c>
    </row>
    <row r="2967" spans="2:11" ht="24.75" x14ac:dyDescent="0.2">
      <c r="B2967" s="82" t="s">
        <v>5274</v>
      </c>
      <c r="C2967" s="82" t="s">
        <v>1051</v>
      </c>
      <c r="D2967" s="83">
        <f>SUMIFS(D2968:D6462,K2968:K6462,"0",B2968:B6462,"5 1 1 4 1 12 31111 6 M59 70000 000132 0000R 00001 00141 015*")-SUMIFS(E2968:E6462,K2968:K6462,"0",B2968:B6462,"5 1 1 4 1 12 31111 6 M59 70000 000132 0000R 00001 00141 015*")</f>
        <v>0</v>
      </c>
      <c r="E2967" s="54"/>
      <c r="F2967" s="83">
        <f>SUMIFS(F2968:F6462,K2968:K6462,"0",B2968:B6462,"5 1 1 4 1 12 31111 6 M59 70000 000132 0000R 00001 00141 015*")</f>
        <v>15131.21</v>
      </c>
      <c r="G2967" s="83">
        <f>SUMIFS(G2968:G6462,K2968:K6462,"0",B2968:B6462,"5 1 1 4 1 12 31111 6 M59 70000 000132 0000R 00001 00141 015*")</f>
        <v>0</v>
      </c>
      <c r="H2967" s="83">
        <f t="shared" si="46"/>
        <v>15131.21</v>
      </c>
      <c r="I2967" s="83"/>
      <c r="K2967" s="54" t="s">
        <v>15</v>
      </c>
    </row>
    <row r="2968" spans="2:11" ht="33" x14ac:dyDescent="0.2">
      <c r="B2968" s="82" t="s">
        <v>5275</v>
      </c>
      <c r="C2968" s="82" t="s">
        <v>2927</v>
      </c>
      <c r="D2968" s="83">
        <f>SUMIFS(D2969:D6462,K2969:K6462,"0",B2969:B6462,"5 1 1 4 1 12 31111 6 M59 70000 000132 0000R 00001 00141 015 2111100*")-SUMIFS(E2969:E6462,K2969:K6462,"0",B2969:B6462,"5 1 1 4 1 12 31111 6 M59 70000 000132 0000R 00001 00141 015 2111100*")</f>
        <v>0</v>
      </c>
      <c r="E2968" s="54"/>
      <c r="F2968" s="83">
        <f>SUMIFS(F2969:F6462,K2969:K6462,"0",B2969:B6462,"5 1 1 4 1 12 31111 6 M59 70000 000132 0000R 00001 00141 015 2111100*")</f>
        <v>15131.21</v>
      </c>
      <c r="G2968" s="83">
        <f>SUMIFS(G2969:G6462,K2969:K6462,"0",B2969:B6462,"5 1 1 4 1 12 31111 6 M59 70000 000132 0000R 00001 00141 015 2111100*")</f>
        <v>0</v>
      </c>
      <c r="H2968" s="83">
        <f t="shared" si="46"/>
        <v>15131.21</v>
      </c>
      <c r="I2968" s="83"/>
      <c r="K2968" s="54" t="s">
        <v>15</v>
      </c>
    </row>
    <row r="2969" spans="2:11" ht="33" x14ac:dyDescent="0.2">
      <c r="B2969" s="82" t="s">
        <v>5276</v>
      </c>
      <c r="C2969" s="82" t="s">
        <v>660</v>
      </c>
      <c r="D2969" s="83">
        <f>SUMIFS(D2970:D6462,K2970:K6462,"0",B2970:B6462,"5 1 1 4 1 12 31111 6 M59 70000 000132 0000R 00001 00141 015 2111100 2024*")-SUMIFS(E2970:E6462,K2970:K6462,"0",B2970:B6462,"5 1 1 4 1 12 31111 6 M59 70000 000132 0000R 00001 00141 015 2111100 2024*")</f>
        <v>0</v>
      </c>
      <c r="E2969" s="54"/>
      <c r="F2969" s="83">
        <f>SUMIFS(F2970:F6462,K2970:K6462,"0",B2970:B6462,"5 1 1 4 1 12 31111 6 M59 70000 000132 0000R 00001 00141 015 2111100 2024*")</f>
        <v>15131.21</v>
      </c>
      <c r="G2969" s="83">
        <f>SUMIFS(G2970:G6462,K2970:K6462,"0",B2970:B6462,"5 1 1 4 1 12 31111 6 M59 70000 000132 0000R 00001 00141 015 2111100 2024*")</f>
        <v>0</v>
      </c>
      <c r="H2969" s="83">
        <f t="shared" si="46"/>
        <v>15131.21</v>
      </c>
      <c r="I2969" s="83"/>
      <c r="K2969" s="54" t="s">
        <v>15</v>
      </c>
    </row>
    <row r="2970" spans="2:11" ht="41.25" x14ac:dyDescent="0.2">
      <c r="B2970" s="82" t="s">
        <v>5277</v>
      </c>
      <c r="C2970" s="82" t="s">
        <v>1056</v>
      </c>
      <c r="D2970" s="83">
        <f>SUMIFS(D2971:D6462,K2971:K6462,"0",B2971:B6462,"5 1 1 4 1 12 31111 6 M59 70000 000132 0000R 00001 00141 015 2111100 2024 CP1DS387*")-SUMIFS(E2971:E6462,K2971:K6462,"0",B2971:B6462,"5 1 1 4 1 12 31111 6 M59 70000 000132 0000R 00001 00141 015 2111100 2024 CP1DS387*")</f>
        <v>0</v>
      </c>
      <c r="E2970" s="54"/>
      <c r="F2970" s="83">
        <f>SUMIFS(F2971:F6462,K2971:K6462,"0",B2971:B6462,"5 1 1 4 1 12 31111 6 M59 70000 000132 0000R 00001 00141 015 2111100 2024 CP1DS387*")</f>
        <v>15131.21</v>
      </c>
      <c r="G2970" s="83">
        <f>SUMIFS(G2971:G6462,K2971:K6462,"0",B2971:B6462,"5 1 1 4 1 12 31111 6 M59 70000 000132 0000R 00001 00141 015 2111100 2024 CP1DS387*")</f>
        <v>0</v>
      </c>
      <c r="H2970" s="83">
        <f t="shared" si="46"/>
        <v>15131.21</v>
      </c>
      <c r="I2970" s="83"/>
      <c r="K2970" s="54" t="s">
        <v>15</v>
      </c>
    </row>
    <row r="2971" spans="2:11" ht="41.25" x14ac:dyDescent="0.2">
      <c r="B2971" s="82" t="s">
        <v>5278</v>
      </c>
      <c r="C2971" s="82" t="s">
        <v>282</v>
      </c>
      <c r="D2971" s="83">
        <f>SUMIFS(D2972:D6462,K2972:K6462,"0",B2972:B6462,"5 1 1 4 1 12 31111 6 M59 70000 000132 0000R 00001 00141 015 2111100 2024 CP1DS387 001*")-SUMIFS(E2972:E6462,K2972:K6462,"0",B2972:B6462,"5 1 1 4 1 12 31111 6 M59 70000 000132 0000R 00001 00141 015 2111100 2024 CP1DS387 001*")</f>
        <v>0</v>
      </c>
      <c r="E2971" s="54"/>
      <c r="F2971" s="83">
        <f>SUMIFS(F2972:F6462,K2972:K6462,"0",B2972:B6462,"5 1 1 4 1 12 31111 6 M59 70000 000132 0000R 00001 00141 015 2111100 2024 CP1DS387 001*")</f>
        <v>15131.21</v>
      </c>
      <c r="G2971" s="83">
        <f>SUMIFS(G2972:G6462,K2972:K6462,"0",B2972:B6462,"5 1 1 4 1 12 31111 6 M59 70000 000132 0000R 00001 00141 015 2111100 2024 CP1DS387 001*")</f>
        <v>0</v>
      </c>
      <c r="H2971" s="83">
        <f t="shared" si="46"/>
        <v>15131.21</v>
      </c>
      <c r="I2971" s="83"/>
      <c r="K2971" s="54" t="s">
        <v>15</v>
      </c>
    </row>
    <row r="2972" spans="2:11" ht="33" x14ac:dyDescent="0.2">
      <c r="B2972" s="84" t="s">
        <v>5279</v>
      </c>
      <c r="C2972" s="84" t="s">
        <v>5164</v>
      </c>
      <c r="D2972" s="85">
        <v>0</v>
      </c>
      <c r="E2972" s="85"/>
      <c r="F2972" s="85">
        <v>15131.21</v>
      </c>
      <c r="G2972" s="85">
        <v>0</v>
      </c>
      <c r="H2972" s="85">
        <f t="shared" si="46"/>
        <v>15131.21</v>
      </c>
      <c r="I2972" s="85"/>
      <c r="K2972" s="54" t="s">
        <v>38</v>
      </c>
    </row>
    <row r="2973" spans="2:11" ht="16.5" x14ac:dyDescent="0.2">
      <c r="B2973" s="82" t="s">
        <v>5280</v>
      </c>
      <c r="C2973" s="82" t="s">
        <v>3389</v>
      </c>
      <c r="D2973" s="83">
        <f>SUMIFS(D2974:D6462,K2974:K6462,"0",B2974:B6462,"5 1 1 4 1 12 31111 6 M59 70100*")-SUMIFS(E2974:E6462,K2974:K6462,"0",B2974:B6462,"5 1 1 4 1 12 31111 6 M59 70100*")</f>
        <v>0</v>
      </c>
      <c r="E2973" s="54"/>
      <c r="F2973" s="83">
        <f>SUMIFS(F2974:F6462,K2974:K6462,"0",B2974:B6462,"5 1 1 4 1 12 31111 6 M59 70100*")</f>
        <v>15771.58</v>
      </c>
      <c r="G2973" s="83">
        <f>SUMIFS(G2974:G6462,K2974:K6462,"0",B2974:B6462,"5 1 1 4 1 12 31111 6 M59 70100*")</f>
        <v>0</v>
      </c>
      <c r="H2973" s="83">
        <f t="shared" si="46"/>
        <v>15771.58</v>
      </c>
      <c r="I2973" s="83"/>
      <c r="K2973" s="54" t="s">
        <v>15</v>
      </c>
    </row>
    <row r="2974" spans="2:11" ht="16.5" x14ac:dyDescent="0.2">
      <c r="B2974" s="82" t="s">
        <v>5281</v>
      </c>
      <c r="C2974" s="82" t="s">
        <v>648</v>
      </c>
      <c r="D2974" s="83">
        <f>SUMIFS(D2975:D6462,K2975:K6462,"0",B2975:B6462,"5 1 1 4 1 12 31111 6 M59 70100 000132*")-SUMIFS(E2975:E6462,K2975:K6462,"0",B2975:B6462,"5 1 1 4 1 12 31111 6 M59 70100 000132*")</f>
        <v>0</v>
      </c>
      <c r="E2974" s="54"/>
      <c r="F2974" s="83">
        <f>SUMIFS(F2975:F6462,K2975:K6462,"0",B2975:B6462,"5 1 1 4 1 12 31111 6 M59 70100 000132*")</f>
        <v>15771.58</v>
      </c>
      <c r="G2974" s="83">
        <f>SUMIFS(G2975:G6462,K2975:K6462,"0",B2975:B6462,"5 1 1 4 1 12 31111 6 M59 70100 000132*")</f>
        <v>0</v>
      </c>
      <c r="H2974" s="83">
        <f t="shared" si="46"/>
        <v>15771.58</v>
      </c>
      <c r="I2974" s="83"/>
      <c r="K2974" s="54" t="s">
        <v>15</v>
      </c>
    </row>
    <row r="2975" spans="2:11" ht="16.5" x14ac:dyDescent="0.2">
      <c r="B2975" s="82" t="s">
        <v>5282</v>
      </c>
      <c r="C2975" s="82" t="s">
        <v>650</v>
      </c>
      <c r="D2975" s="83">
        <f>SUMIFS(D2976:D6462,K2976:K6462,"0",B2976:B6462,"5 1 1 4 1 12 31111 6 M59 70100 000132 0000R*")-SUMIFS(E2976:E6462,K2976:K6462,"0",B2976:B6462,"5 1 1 4 1 12 31111 6 M59 70100 000132 0000R*")</f>
        <v>0</v>
      </c>
      <c r="E2975" s="54"/>
      <c r="F2975" s="83">
        <f>SUMIFS(F2976:F6462,K2976:K6462,"0",B2976:B6462,"5 1 1 4 1 12 31111 6 M59 70100 000132 0000R*")</f>
        <v>15771.58</v>
      </c>
      <c r="G2975" s="83">
        <f>SUMIFS(G2976:G6462,K2976:K6462,"0",B2976:B6462,"5 1 1 4 1 12 31111 6 M59 70100 000132 0000R*")</f>
        <v>0</v>
      </c>
      <c r="H2975" s="83">
        <f t="shared" si="46"/>
        <v>15771.58</v>
      </c>
      <c r="I2975" s="83"/>
      <c r="K2975" s="54" t="s">
        <v>15</v>
      </c>
    </row>
    <row r="2976" spans="2:11" ht="24.75" x14ac:dyDescent="0.2">
      <c r="B2976" s="82" t="s">
        <v>5283</v>
      </c>
      <c r="C2976" s="82" t="s">
        <v>282</v>
      </c>
      <c r="D2976" s="83">
        <f>SUMIFS(D2977:D6462,K2977:K6462,"0",B2977:B6462,"5 1 1 4 1 12 31111 6 M59 70100 000132 0000R 00001*")-SUMIFS(E2977:E6462,K2977:K6462,"0",B2977:B6462,"5 1 1 4 1 12 31111 6 M59 70100 000132 0000R 00001*")</f>
        <v>0</v>
      </c>
      <c r="E2976" s="54"/>
      <c r="F2976" s="83">
        <f>SUMIFS(F2977:F6462,K2977:K6462,"0",B2977:B6462,"5 1 1 4 1 12 31111 6 M59 70100 000132 0000R 00001*")</f>
        <v>15771.58</v>
      </c>
      <c r="G2976" s="83">
        <f>SUMIFS(G2977:G6462,K2977:K6462,"0",B2977:B6462,"5 1 1 4 1 12 31111 6 M59 70100 000132 0000R 00001*")</f>
        <v>0</v>
      </c>
      <c r="H2976" s="83">
        <f t="shared" si="46"/>
        <v>15771.58</v>
      </c>
      <c r="I2976" s="83"/>
      <c r="K2976" s="54" t="s">
        <v>15</v>
      </c>
    </row>
    <row r="2977" spans="2:11" ht="24.75" x14ac:dyDescent="0.2">
      <c r="B2977" s="82" t="s">
        <v>5284</v>
      </c>
      <c r="C2977" s="82" t="s">
        <v>5174</v>
      </c>
      <c r="D2977" s="83">
        <f>SUMIFS(D2978:D6462,K2978:K6462,"0",B2978:B6462,"5 1 1 4 1 12 31111 6 M59 70100 000132 0000R 00001 00141*")-SUMIFS(E2978:E6462,K2978:K6462,"0",B2978:B6462,"5 1 1 4 1 12 31111 6 M59 70100 000132 0000R 00001 00141*")</f>
        <v>0</v>
      </c>
      <c r="E2977" s="54"/>
      <c r="F2977" s="83">
        <f>SUMIFS(F2978:F6462,K2978:K6462,"0",B2978:B6462,"5 1 1 4 1 12 31111 6 M59 70100 000132 0000R 00001 00141*")</f>
        <v>15771.58</v>
      </c>
      <c r="G2977" s="83">
        <f>SUMIFS(G2978:G6462,K2978:K6462,"0",B2978:B6462,"5 1 1 4 1 12 31111 6 M59 70100 000132 0000R 00001 00141*")</f>
        <v>0</v>
      </c>
      <c r="H2977" s="83">
        <f t="shared" si="46"/>
        <v>15771.58</v>
      </c>
      <c r="I2977" s="83"/>
      <c r="K2977" s="54" t="s">
        <v>15</v>
      </c>
    </row>
    <row r="2978" spans="2:11" ht="24.75" x14ac:dyDescent="0.2">
      <c r="B2978" s="82" t="s">
        <v>5285</v>
      </c>
      <c r="C2978" s="82" t="s">
        <v>1051</v>
      </c>
      <c r="D2978" s="83">
        <f>SUMIFS(D2979:D6462,K2979:K6462,"0",B2979:B6462,"5 1 1 4 1 12 31111 6 M59 70100 000132 0000R 00001 00141 015*")-SUMIFS(E2979:E6462,K2979:K6462,"0",B2979:B6462,"5 1 1 4 1 12 31111 6 M59 70100 000132 0000R 00001 00141 015*")</f>
        <v>0</v>
      </c>
      <c r="E2978" s="54"/>
      <c r="F2978" s="83">
        <f>SUMIFS(F2979:F6462,K2979:K6462,"0",B2979:B6462,"5 1 1 4 1 12 31111 6 M59 70100 000132 0000R 00001 00141 015*")</f>
        <v>15771.58</v>
      </c>
      <c r="G2978" s="83">
        <f>SUMIFS(G2979:G6462,K2979:K6462,"0",B2979:B6462,"5 1 1 4 1 12 31111 6 M59 70100 000132 0000R 00001 00141 015*")</f>
        <v>0</v>
      </c>
      <c r="H2978" s="83">
        <f t="shared" si="46"/>
        <v>15771.58</v>
      </c>
      <c r="I2978" s="83"/>
      <c r="K2978" s="54" t="s">
        <v>15</v>
      </c>
    </row>
    <row r="2979" spans="2:11" ht="33" x14ac:dyDescent="0.2">
      <c r="B2979" s="82" t="s">
        <v>5286</v>
      </c>
      <c r="C2979" s="82" t="s">
        <v>2927</v>
      </c>
      <c r="D2979" s="83">
        <f>SUMIFS(D2980:D6462,K2980:K6462,"0",B2980:B6462,"5 1 1 4 1 12 31111 6 M59 70100 000132 0000R 00001 00141 015 2111100*")-SUMIFS(E2980:E6462,K2980:K6462,"0",B2980:B6462,"5 1 1 4 1 12 31111 6 M59 70100 000132 0000R 00001 00141 015 2111100*")</f>
        <v>0</v>
      </c>
      <c r="E2979" s="54"/>
      <c r="F2979" s="83">
        <f>SUMIFS(F2980:F6462,K2980:K6462,"0",B2980:B6462,"5 1 1 4 1 12 31111 6 M59 70100 000132 0000R 00001 00141 015 2111100*")</f>
        <v>15771.58</v>
      </c>
      <c r="G2979" s="83">
        <f>SUMIFS(G2980:G6462,K2980:K6462,"0",B2980:B6462,"5 1 1 4 1 12 31111 6 M59 70100 000132 0000R 00001 00141 015 2111100*")</f>
        <v>0</v>
      </c>
      <c r="H2979" s="83">
        <f t="shared" si="46"/>
        <v>15771.58</v>
      </c>
      <c r="I2979" s="83"/>
      <c r="K2979" s="54" t="s">
        <v>15</v>
      </c>
    </row>
    <row r="2980" spans="2:11" ht="33" x14ac:dyDescent="0.2">
      <c r="B2980" s="82" t="s">
        <v>5287</v>
      </c>
      <c r="C2980" s="82" t="s">
        <v>660</v>
      </c>
      <c r="D2980" s="83">
        <f>SUMIFS(D2981:D6462,K2981:K6462,"0",B2981:B6462,"5 1 1 4 1 12 31111 6 M59 70100 000132 0000R 00001 00141 015 2111100 2024*")-SUMIFS(E2981:E6462,K2981:K6462,"0",B2981:B6462,"5 1 1 4 1 12 31111 6 M59 70100 000132 0000R 00001 00141 015 2111100 2024*")</f>
        <v>0</v>
      </c>
      <c r="E2980" s="54"/>
      <c r="F2980" s="83">
        <f>SUMIFS(F2981:F6462,K2981:K6462,"0",B2981:B6462,"5 1 1 4 1 12 31111 6 M59 70100 000132 0000R 00001 00141 015 2111100 2024*")</f>
        <v>15771.58</v>
      </c>
      <c r="G2980" s="83">
        <f>SUMIFS(G2981:G6462,K2981:K6462,"0",B2981:B6462,"5 1 1 4 1 12 31111 6 M59 70100 000132 0000R 00001 00141 015 2111100 2024*")</f>
        <v>0</v>
      </c>
      <c r="H2980" s="83">
        <f t="shared" si="46"/>
        <v>15771.58</v>
      </c>
      <c r="I2980" s="83"/>
      <c r="K2980" s="54" t="s">
        <v>15</v>
      </c>
    </row>
    <row r="2981" spans="2:11" ht="41.25" x14ac:dyDescent="0.2">
      <c r="B2981" s="82" t="s">
        <v>5288</v>
      </c>
      <c r="C2981" s="82" t="s">
        <v>1056</v>
      </c>
      <c r="D2981" s="83">
        <f>SUMIFS(D2982:D6462,K2982:K6462,"0",B2982:B6462,"5 1 1 4 1 12 31111 6 M59 70100 000132 0000R 00001 00141 015 2111100 2024 CP1MM393*")-SUMIFS(E2982:E6462,K2982:K6462,"0",B2982:B6462,"5 1 1 4 1 12 31111 6 M59 70100 000132 0000R 00001 00141 015 2111100 2024 CP1MM393*")</f>
        <v>0</v>
      </c>
      <c r="E2981" s="54"/>
      <c r="F2981" s="83">
        <f>SUMIFS(F2982:F6462,K2982:K6462,"0",B2982:B6462,"5 1 1 4 1 12 31111 6 M59 70100 000132 0000R 00001 00141 015 2111100 2024 CP1MM393*")</f>
        <v>15771.58</v>
      </c>
      <c r="G2981" s="83">
        <f>SUMIFS(G2982:G6462,K2982:K6462,"0",B2982:B6462,"5 1 1 4 1 12 31111 6 M59 70100 000132 0000R 00001 00141 015 2111100 2024 CP1MM393*")</f>
        <v>0</v>
      </c>
      <c r="H2981" s="83">
        <f t="shared" si="46"/>
        <v>15771.58</v>
      </c>
      <c r="I2981" s="83"/>
      <c r="K2981" s="54" t="s">
        <v>15</v>
      </c>
    </row>
    <row r="2982" spans="2:11" ht="41.25" x14ac:dyDescent="0.2">
      <c r="B2982" s="82" t="s">
        <v>5289</v>
      </c>
      <c r="C2982" s="82" t="s">
        <v>282</v>
      </c>
      <c r="D2982" s="83">
        <f>SUMIFS(D2983:D6462,K2983:K6462,"0",B2983:B6462,"5 1 1 4 1 12 31111 6 M59 70100 000132 0000R 00001 00141 015 2111100 2024 CP1MM393 001*")-SUMIFS(E2983:E6462,K2983:K6462,"0",B2983:B6462,"5 1 1 4 1 12 31111 6 M59 70100 000132 0000R 00001 00141 015 2111100 2024 CP1MM393 001*")</f>
        <v>0</v>
      </c>
      <c r="E2982" s="54"/>
      <c r="F2982" s="83">
        <f>SUMIFS(F2983:F6462,K2983:K6462,"0",B2983:B6462,"5 1 1 4 1 12 31111 6 M59 70100 000132 0000R 00001 00141 015 2111100 2024 CP1MM393 001*")</f>
        <v>15771.58</v>
      </c>
      <c r="G2982" s="83">
        <f>SUMIFS(G2983:G6462,K2983:K6462,"0",B2983:B6462,"5 1 1 4 1 12 31111 6 M59 70100 000132 0000R 00001 00141 015 2111100 2024 CP1MM393 001*")</f>
        <v>0</v>
      </c>
      <c r="H2982" s="83">
        <f t="shared" si="46"/>
        <v>15771.58</v>
      </c>
      <c r="I2982" s="83"/>
      <c r="K2982" s="54" t="s">
        <v>15</v>
      </c>
    </row>
    <row r="2983" spans="2:11" ht="33" x14ac:dyDescent="0.2">
      <c r="B2983" s="84" t="s">
        <v>5290</v>
      </c>
      <c r="C2983" s="84" t="s">
        <v>5164</v>
      </c>
      <c r="D2983" s="85">
        <v>0</v>
      </c>
      <c r="E2983" s="85"/>
      <c r="F2983" s="85">
        <v>15771.58</v>
      </c>
      <c r="G2983" s="85">
        <v>0</v>
      </c>
      <c r="H2983" s="85">
        <f t="shared" si="46"/>
        <v>15771.58</v>
      </c>
      <c r="I2983" s="85"/>
      <c r="K2983" s="54" t="s">
        <v>38</v>
      </c>
    </row>
    <row r="2984" spans="2:11" ht="16.5" x14ac:dyDescent="0.2">
      <c r="B2984" s="82" t="s">
        <v>5291</v>
      </c>
      <c r="C2984" s="82" t="s">
        <v>3425</v>
      </c>
      <c r="D2984" s="83">
        <f>SUMIFS(D2985:D6462,K2985:K6462,"0",B2985:B6462,"5 1 1 4 1 12 31111 6 M59 70400*")-SUMIFS(E2985:E6462,K2985:K6462,"0",B2985:B6462,"5 1 1 4 1 12 31111 6 M59 70400*")</f>
        <v>0</v>
      </c>
      <c r="E2984" s="54"/>
      <c r="F2984" s="83">
        <f>SUMIFS(F2985:F6462,K2985:K6462,"0",B2985:B6462,"5 1 1 4 1 12 31111 6 M59 70400*")</f>
        <v>8122.56</v>
      </c>
      <c r="G2984" s="83">
        <f>SUMIFS(G2985:G6462,K2985:K6462,"0",B2985:B6462,"5 1 1 4 1 12 31111 6 M59 70400*")</f>
        <v>0</v>
      </c>
      <c r="H2984" s="83">
        <f t="shared" si="46"/>
        <v>8122.56</v>
      </c>
      <c r="I2984" s="83"/>
      <c r="K2984" s="54" t="s">
        <v>15</v>
      </c>
    </row>
    <row r="2985" spans="2:11" ht="16.5" x14ac:dyDescent="0.2">
      <c r="B2985" s="82" t="s">
        <v>5292</v>
      </c>
      <c r="C2985" s="82" t="s">
        <v>3427</v>
      </c>
      <c r="D2985" s="83">
        <f>SUMIFS(D2986:D6462,K2986:K6462,"0",B2986:B6462,"5 1 1 4 1 12 31111 6 M59 70400 000241*")-SUMIFS(E2986:E6462,K2986:K6462,"0",B2986:B6462,"5 1 1 4 1 12 31111 6 M59 70400 000241*")</f>
        <v>0</v>
      </c>
      <c r="E2985" s="54"/>
      <c r="F2985" s="83">
        <f>SUMIFS(F2986:F6462,K2986:K6462,"0",B2986:B6462,"5 1 1 4 1 12 31111 6 M59 70400 000241*")</f>
        <v>8122.56</v>
      </c>
      <c r="G2985" s="83">
        <f>SUMIFS(G2986:G6462,K2986:K6462,"0",B2986:B6462,"5 1 1 4 1 12 31111 6 M59 70400 000241*")</f>
        <v>0</v>
      </c>
      <c r="H2985" s="83">
        <f t="shared" si="46"/>
        <v>8122.56</v>
      </c>
      <c r="I2985" s="83"/>
      <c r="K2985" s="54" t="s">
        <v>15</v>
      </c>
    </row>
    <row r="2986" spans="2:11" ht="16.5" x14ac:dyDescent="0.2">
      <c r="B2986" s="82" t="s">
        <v>5293</v>
      </c>
      <c r="C2986" s="82" t="s">
        <v>650</v>
      </c>
      <c r="D2986" s="83">
        <f>SUMIFS(D2987:D6462,K2987:K6462,"0",B2987:B6462,"5 1 1 4 1 12 31111 6 M59 70400 000241 0000R*")-SUMIFS(E2987:E6462,K2987:K6462,"0",B2987:B6462,"5 1 1 4 1 12 31111 6 M59 70400 000241 0000R*")</f>
        <v>0</v>
      </c>
      <c r="E2986" s="54"/>
      <c r="F2986" s="83">
        <f>SUMIFS(F2987:F6462,K2987:K6462,"0",B2987:B6462,"5 1 1 4 1 12 31111 6 M59 70400 000241 0000R*")</f>
        <v>8122.56</v>
      </c>
      <c r="G2986" s="83">
        <f>SUMIFS(G2987:G6462,K2987:K6462,"0",B2987:B6462,"5 1 1 4 1 12 31111 6 M59 70400 000241 0000R*")</f>
        <v>0</v>
      </c>
      <c r="H2986" s="83">
        <f t="shared" si="46"/>
        <v>8122.56</v>
      </c>
      <c r="I2986" s="83"/>
      <c r="K2986" s="54" t="s">
        <v>15</v>
      </c>
    </row>
    <row r="2987" spans="2:11" ht="24.75" x14ac:dyDescent="0.2">
      <c r="B2987" s="82" t="s">
        <v>5294</v>
      </c>
      <c r="C2987" s="82" t="s">
        <v>282</v>
      </c>
      <c r="D2987" s="83">
        <f>SUMIFS(D2988:D6462,K2988:K6462,"0",B2988:B6462,"5 1 1 4 1 12 31111 6 M59 70400 000241 0000R 00001*")-SUMIFS(E2988:E6462,K2988:K6462,"0",B2988:B6462,"5 1 1 4 1 12 31111 6 M59 70400 000241 0000R 00001*")</f>
        <v>0</v>
      </c>
      <c r="E2987" s="54"/>
      <c r="F2987" s="83">
        <f>SUMIFS(F2988:F6462,K2988:K6462,"0",B2988:B6462,"5 1 1 4 1 12 31111 6 M59 70400 000241 0000R 00001*")</f>
        <v>8122.56</v>
      </c>
      <c r="G2987" s="83">
        <f>SUMIFS(G2988:G6462,K2988:K6462,"0",B2988:B6462,"5 1 1 4 1 12 31111 6 M59 70400 000241 0000R 00001*")</f>
        <v>0</v>
      </c>
      <c r="H2987" s="83">
        <f t="shared" ref="H2987:H3050" si="47">D2987 + F2987 - G2987</f>
        <v>8122.56</v>
      </c>
      <c r="I2987" s="83"/>
      <c r="K2987" s="54" t="s">
        <v>15</v>
      </c>
    </row>
    <row r="2988" spans="2:11" ht="24.75" x14ac:dyDescent="0.2">
      <c r="B2988" s="82" t="s">
        <v>5295</v>
      </c>
      <c r="C2988" s="82" t="s">
        <v>5174</v>
      </c>
      <c r="D2988" s="83">
        <f>SUMIFS(D2989:D6462,K2989:K6462,"0",B2989:B6462,"5 1 1 4 1 12 31111 6 M59 70400 000241 0000R 00001 00141*")-SUMIFS(E2989:E6462,K2989:K6462,"0",B2989:B6462,"5 1 1 4 1 12 31111 6 M59 70400 000241 0000R 00001 00141*")</f>
        <v>0</v>
      </c>
      <c r="E2988" s="54"/>
      <c r="F2988" s="83">
        <f>SUMIFS(F2989:F6462,K2989:K6462,"0",B2989:B6462,"5 1 1 4 1 12 31111 6 M59 70400 000241 0000R 00001 00141*")</f>
        <v>8122.56</v>
      </c>
      <c r="G2988" s="83">
        <f>SUMIFS(G2989:G6462,K2989:K6462,"0",B2989:B6462,"5 1 1 4 1 12 31111 6 M59 70400 000241 0000R 00001 00141*")</f>
        <v>0</v>
      </c>
      <c r="H2988" s="83">
        <f t="shared" si="47"/>
        <v>8122.56</v>
      </c>
      <c r="I2988" s="83"/>
      <c r="K2988" s="54" t="s">
        <v>15</v>
      </c>
    </row>
    <row r="2989" spans="2:11" ht="24.75" x14ac:dyDescent="0.2">
      <c r="B2989" s="82" t="s">
        <v>5296</v>
      </c>
      <c r="C2989" s="82" t="s">
        <v>1051</v>
      </c>
      <c r="D2989" s="83">
        <f>SUMIFS(D2990:D6462,K2990:K6462,"0",B2990:B6462,"5 1 1 4 1 12 31111 6 M59 70400 000241 0000R 00001 00141 015*")-SUMIFS(E2990:E6462,K2990:K6462,"0",B2990:B6462,"5 1 1 4 1 12 31111 6 M59 70400 000241 0000R 00001 00141 015*")</f>
        <v>0</v>
      </c>
      <c r="E2989" s="54"/>
      <c r="F2989" s="83">
        <f>SUMIFS(F2990:F6462,K2990:K6462,"0",B2990:B6462,"5 1 1 4 1 12 31111 6 M59 70400 000241 0000R 00001 00141 015*")</f>
        <v>8122.56</v>
      </c>
      <c r="G2989" s="83">
        <f>SUMIFS(G2990:G6462,K2990:K6462,"0",B2990:B6462,"5 1 1 4 1 12 31111 6 M59 70400 000241 0000R 00001 00141 015*")</f>
        <v>0</v>
      </c>
      <c r="H2989" s="83">
        <f t="shared" si="47"/>
        <v>8122.56</v>
      </c>
      <c r="I2989" s="83"/>
      <c r="K2989" s="54" t="s">
        <v>15</v>
      </c>
    </row>
    <row r="2990" spans="2:11" ht="33" x14ac:dyDescent="0.2">
      <c r="B2990" s="82" t="s">
        <v>5297</v>
      </c>
      <c r="C2990" s="82" t="s">
        <v>2927</v>
      </c>
      <c r="D2990" s="83">
        <f>SUMIFS(D2991:D6462,K2991:K6462,"0",B2991:B6462,"5 1 1 4 1 12 31111 6 M59 70400 000241 0000R 00001 00141 015 2111100*")-SUMIFS(E2991:E6462,K2991:K6462,"0",B2991:B6462,"5 1 1 4 1 12 31111 6 M59 70400 000241 0000R 00001 00141 015 2111100*")</f>
        <v>0</v>
      </c>
      <c r="E2990" s="54"/>
      <c r="F2990" s="83">
        <f>SUMIFS(F2991:F6462,K2991:K6462,"0",B2991:B6462,"5 1 1 4 1 12 31111 6 M59 70400 000241 0000R 00001 00141 015 2111100*")</f>
        <v>8122.56</v>
      </c>
      <c r="G2990" s="83">
        <f>SUMIFS(G2991:G6462,K2991:K6462,"0",B2991:B6462,"5 1 1 4 1 12 31111 6 M59 70400 000241 0000R 00001 00141 015 2111100*")</f>
        <v>0</v>
      </c>
      <c r="H2990" s="83">
        <f t="shared" si="47"/>
        <v>8122.56</v>
      </c>
      <c r="I2990" s="83"/>
      <c r="K2990" s="54" t="s">
        <v>15</v>
      </c>
    </row>
    <row r="2991" spans="2:11" ht="33" x14ac:dyDescent="0.2">
      <c r="B2991" s="82" t="s">
        <v>5298</v>
      </c>
      <c r="C2991" s="82" t="s">
        <v>660</v>
      </c>
      <c r="D2991" s="83">
        <f>SUMIFS(D2992:D6462,K2992:K6462,"0",B2992:B6462,"5 1 1 4 1 12 31111 6 M59 70400 000241 0000R 00001 00141 015 2111100 2024*")-SUMIFS(E2992:E6462,K2992:K6462,"0",B2992:B6462,"5 1 1 4 1 12 31111 6 M59 70400 000241 0000R 00001 00141 015 2111100 2024*")</f>
        <v>0</v>
      </c>
      <c r="E2991" s="54"/>
      <c r="F2991" s="83">
        <f>SUMIFS(F2992:F6462,K2992:K6462,"0",B2992:B6462,"5 1 1 4 1 12 31111 6 M59 70400 000241 0000R 00001 00141 015 2111100 2024*")</f>
        <v>8122.56</v>
      </c>
      <c r="G2991" s="83">
        <f>SUMIFS(G2992:G6462,K2992:K6462,"0",B2992:B6462,"5 1 1 4 1 12 31111 6 M59 70400 000241 0000R 00001 00141 015 2111100 2024*")</f>
        <v>0</v>
      </c>
      <c r="H2991" s="83">
        <f t="shared" si="47"/>
        <v>8122.56</v>
      </c>
      <c r="I2991" s="83"/>
      <c r="K2991" s="54" t="s">
        <v>15</v>
      </c>
    </row>
    <row r="2992" spans="2:11" ht="41.25" x14ac:dyDescent="0.2">
      <c r="B2992" s="82" t="s">
        <v>5299</v>
      </c>
      <c r="C2992" s="82" t="s">
        <v>662</v>
      </c>
      <c r="D2992" s="83">
        <f>SUMIFS(D2993:D6462,K2993:K6462,"0",B2993:B6462,"5 1 1 4 1 12 31111 6 M59 70400 000241 0000R 00001 00141 015 2111100 2024 CP1DD418*")-SUMIFS(E2993:E6462,K2993:K6462,"0",B2993:B6462,"5 1 1 4 1 12 31111 6 M59 70400 000241 0000R 00001 00141 015 2111100 2024 CP1DD418*")</f>
        <v>0</v>
      </c>
      <c r="E2992" s="54"/>
      <c r="F2992" s="83">
        <f>SUMIFS(F2993:F6462,K2993:K6462,"0",B2993:B6462,"5 1 1 4 1 12 31111 6 M59 70400 000241 0000R 00001 00141 015 2111100 2024 CP1DD418*")</f>
        <v>8122.56</v>
      </c>
      <c r="G2992" s="83">
        <f>SUMIFS(G2993:G6462,K2993:K6462,"0",B2993:B6462,"5 1 1 4 1 12 31111 6 M59 70400 000241 0000R 00001 00141 015 2111100 2024 CP1DD418*")</f>
        <v>0</v>
      </c>
      <c r="H2992" s="83">
        <f t="shared" si="47"/>
        <v>8122.56</v>
      </c>
      <c r="I2992" s="83"/>
      <c r="K2992" s="54" t="s">
        <v>15</v>
      </c>
    </row>
    <row r="2993" spans="2:11" ht="41.25" x14ac:dyDescent="0.2">
      <c r="B2993" s="82" t="s">
        <v>5300</v>
      </c>
      <c r="C2993" s="82" t="s">
        <v>282</v>
      </c>
      <c r="D2993" s="83">
        <f>SUMIFS(D2994:D6462,K2994:K6462,"0",B2994:B6462,"5 1 1 4 1 12 31111 6 M59 70400 000241 0000R 00001 00141 015 2111100 2024 CP1DD418 001*")-SUMIFS(E2994:E6462,K2994:K6462,"0",B2994:B6462,"5 1 1 4 1 12 31111 6 M59 70400 000241 0000R 00001 00141 015 2111100 2024 CP1DD418 001*")</f>
        <v>0</v>
      </c>
      <c r="E2993" s="54"/>
      <c r="F2993" s="83">
        <f>SUMIFS(F2994:F6462,K2994:K6462,"0",B2994:B6462,"5 1 1 4 1 12 31111 6 M59 70400 000241 0000R 00001 00141 015 2111100 2024 CP1DD418 001*")</f>
        <v>8122.56</v>
      </c>
      <c r="G2993" s="83">
        <f>SUMIFS(G2994:G6462,K2994:K6462,"0",B2994:B6462,"5 1 1 4 1 12 31111 6 M59 70400 000241 0000R 00001 00141 015 2111100 2024 CP1DD418 001*")</f>
        <v>0</v>
      </c>
      <c r="H2993" s="83">
        <f t="shared" si="47"/>
        <v>8122.56</v>
      </c>
      <c r="I2993" s="83"/>
      <c r="K2993" s="54" t="s">
        <v>15</v>
      </c>
    </row>
    <row r="2994" spans="2:11" ht="33" x14ac:dyDescent="0.2">
      <c r="B2994" s="84" t="s">
        <v>5301</v>
      </c>
      <c r="C2994" s="84" t="s">
        <v>5164</v>
      </c>
      <c r="D2994" s="85">
        <v>0</v>
      </c>
      <c r="E2994" s="85"/>
      <c r="F2994" s="85">
        <v>8122.56</v>
      </c>
      <c r="G2994" s="85">
        <v>0</v>
      </c>
      <c r="H2994" s="85">
        <f t="shared" si="47"/>
        <v>8122.56</v>
      </c>
      <c r="I2994" s="85"/>
      <c r="K2994" s="54" t="s">
        <v>38</v>
      </c>
    </row>
    <row r="2995" spans="2:11" ht="16.5" x14ac:dyDescent="0.2">
      <c r="B2995" s="82" t="s">
        <v>5302</v>
      </c>
      <c r="C2995" s="82" t="s">
        <v>3596</v>
      </c>
      <c r="D2995" s="83">
        <f>SUMIFS(D2996:D6462,K2996:K6462,"0",B2996:B6462,"5 1 1 4 1 12 31111 6 M59 90000*")-SUMIFS(E2996:E6462,K2996:K6462,"0",B2996:B6462,"5 1 1 4 1 12 31111 6 M59 90000*")</f>
        <v>0</v>
      </c>
      <c r="E2995" s="54"/>
      <c r="F2995" s="83">
        <f>SUMIFS(F2996:F6462,K2996:K6462,"0",B2996:B6462,"5 1 1 4 1 12 31111 6 M59 90000*")</f>
        <v>15178.46</v>
      </c>
      <c r="G2995" s="83">
        <f>SUMIFS(G2996:G6462,K2996:K6462,"0",B2996:B6462,"5 1 1 4 1 12 31111 6 M59 90000*")</f>
        <v>0</v>
      </c>
      <c r="H2995" s="83">
        <f t="shared" si="47"/>
        <v>15178.46</v>
      </c>
      <c r="I2995" s="83"/>
      <c r="K2995" s="54" t="s">
        <v>15</v>
      </c>
    </row>
    <row r="2996" spans="2:11" ht="16.5" x14ac:dyDescent="0.2">
      <c r="B2996" s="82" t="s">
        <v>5303</v>
      </c>
      <c r="C2996" s="82" t="s">
        <v>648</v>
      </c>
      <c r="D2996" s="83">
        <f>SUMIFS(D2997:D6462,K2997:K6462,"0",B2997:B6462,"5 1 1 4 1 12 31111 6 M59 90000 000132*")-SUMIFS(E2997:E6462,K2997:K6462,"0",B2997:B6462,"5 1 1 4 1 12 31111 6 M59 90000 000132*")</f>
        <v>0</v>
      </c>
      <c r="E2996" s="54"/>
      <c r="F2996" s="83">
        <f>SUMIFS(F2997:F6462,K2997:K6462,"0",B2997:B6462,"5 1 1 4 1 12 31111 6 M59 90000 000132*")</f>
        <v>15178.46</v>
      </c>
      <c r="G2996" s="83">
        <f>SUMIFS(G2997:G6462,K2997:K6462,"0",B2997:B6462,"5 1 1 4 1 12 31111 6 M59 90000 000132*")</f>
        <v>0</v>
      </c>
      <c r="H2996" s="83">
        <f t="shared" si="47"/>
        <v>15178.46</v>
      </c>
      <c r="I2996" s="83"/>
      <c r="K2996" s="54" t="s">
        <v>15</v>
      </c>
    </row>
    <row r="2997" spans="2:11" ht="16.5" x14ac:dyDescent="0.2">
      <c r="B2997" s="82" t="s">
        <v>5304</v>
      </c>
      <c r="C2997" s="82" t="s">
        <v>650</v>
      </c>
      <c r="D2997" s="83">
        <f>SUMIFS(D2998:D6462,K2998:K6462,"0",B2998:B6462,"5 1 1 4 1 12 31111 6 M59 90000 000132 0000R*")-SUMIFS(E2998:E6462,K2998:K6462,"0",B2998:B6462,"5 1 1 4 1 12 31111 6 M59 90000 000132 0000R*")</f>
        <v>0</v>
      </c>
      <c r="E2997" s="54"/>
      <c r="F2997" s="83">
        <f>SUMIFS(F2998:F6462,K2998:K6462,"0",B2998:B6462,"5 1 1 4 1 12 31111 6 M59 90000 000132 0000R*")</f>
        <v>15178.46</v>
      </c>
      <c r="G2997" s="83">
        <f>SUMIFS(G2998:G6462,K2998:K6462,"0",B2998:B6462,"5 1 1 4 1 12 31111 6 M59 90000 000132 0000R*")</f>
        <v>0</v>
      </c>
      <c r="H2997" s="83">
        <f t="shared" si="47"/>
        <v>15178.46</v>
      </c>
      <c r="I2997" s="83"/>
      <c r="K2997" s="54" t="s">
        <v>15</v>
      </c>
    </row>
    <row r="2998" spans="2:11" ht="24.75" x14ac:dyDescent="0.2">
      <c r="B2998" s="82" t="s">
        <v>5305</v>
      </c>
      <c r="C2998" s="82" t="s">
        <v>282</v>
      </c>
      <c r="D2998" s="83">
        <f>SUMIFS(D2999:D6462,K2999:K6462,"0",B2999:B6462,"5 1 1 4 1 12 31111 6 M59 90000 000132 0000R 00001*")-SUMIFS(E2999:E6462,K2999:K6462,"0",B2999:B6462,"5 1 1 4 1 12 31111 6 M59 90000 000132 0000R 00001*")</f>
        <v>0</v>
      </c>
      <c r="E2998" s="54"/>
      <c r="F2998" s="83">
        <f>SUMIFS(F2999:F6462,K2999:K6462,"0",B2999:B6462,"5 1 1 4 1 12 31111 6 M59 90000 000132 0000R 00001*")</f>
        <v>15178.46</v>
      </c>
      <c r="G2998" s="83">
        <f>SUMIFS(G2999:G6462,K2999:K6462,"0",B2999:B6462,"5 1 1 4 1 12 31111 6 M59 90000 000132 0000R 00001*")</f>
        <v>0</v>
      </c>
      <c r="H2998" s="83">
        <f t="shared" si="47"/>
        <v>15178.46</v>
      </c>
      <c r="I2998" s="83"/>
      <c r="K2998" s="54" t="s">
        <v>15</v>
      </c>
    </row>
    <row r="2999" spans="2:11" ht="24.75" x14ac:dyDescent="0.2">
      <c r="B2999" s="82" t="s">
        <v>5306</v>
      </c>
      <c r="C2999" s="82" t="s">
        <v>5174</v>
      </c>
      <c r="D2999" s="83">
        <f>SUMIFS(D3000:D6462,K3000:K6462,"0",B3000:B6462,"5 1 1 4 1 12 31111 6 M59 90000 000132 0000R 00001 00141*")-SUMIFS(E3000:E6462,K3000:K6462,"0",B3000:B6462,"5 1 1 4 1 12 31111 6 M59 90000 000132 0000R 00001 00141*")</f>
        <v>0</v>
      </c>
      <c r="E2999" s="54"/>
      <c r="F2999" s="83">
        <f>SUMIFS(F3000:F6462,K3000:K6462,"0",B3000:B6462,"5 1 1 4 1 12 31111 6 M59 90000 000132 0000R 00001 00141*")</f>
        <v>15178.46</v>
      </c>
      <c r="G2999" s="83">
        <f>SUMIFS(G3000:G6462,K3000:K6462,"0",B3000:B6462,"5 1 1 4 1 12 31111 6 M59 90000 000132 0000R 00001 00141*")</f>
        <v>0</v>
      </c>
      <c r="H2999" s="83">
        <f t="shared" si="47"/>
        <v>15178.46</v>
      </c>
      <c r="I2999" s="83"/>
      <c r="K2999" s="54" t="s">
        <v>15</v>
      </c>
    </row>
    <row r="3000" spans="2:11" ht="24.75" x14ac:dyDescent="0.2">
      <c r="B3000" s="82" t="s">
        <v>5307</v>
      </c>
      <c r="C3000" s="82" t="s">
        <v>1051</v>
      </c>
      <c r="D3000" s="83">
        <f>SUMIFS(D3001:D6462,K3001:K6462,"0",B3001:B6462,"5 1 1 4 1 12 31111 6 M59 90000 000132 0000R 00001 00141 015*")-SUMIFS(E3001:E6462,K3001:K6462,"0",B3001:B6462,"5 1 1 4 1 12 31111 6 M59 90000 000132 0000R 00001 00141 015*")</f>
        <v>0</v>
      </c>
      <c r="E3000" s="54"/>
      <c r="F3000" s="83">
        <f>SUMIFS(F3001:F6462,K3001:K6462,"0",B3001:B6462,"5 1 1 4 1 12 31111 6 M59 90000 000132 0000R 00001 00141 015*")</f>
        <v>15178.46</v>
      </c>
      <c r="G3000" s="83">
        <f>SUMIFS(G3001:G6462,K3001:K6462,"0",B3001:B6462,"5 1 1 4 1 12 31111 6 M59 90000 000132 0000R 00001 00141 015*")</f>
        <v>0</v>
      </c>
      <c r="H3000" s="83">
        <f t="shared" si="47"/>
        <v>15178.46</v>
      </c>
      <c r="I3000" s="83"/>
      <c r="K3000" s="54" t="s">
        <v>15</v>
      </c>
    </row>
    <row r="3001" spans="2:11" ht="33" x14ac:dyDescent="0.2">
      <c r="B3001" s="82" t="s">
        <v>5308</v>
      </c>
      <c r="C3001" s="82" t="s">
        <v>2927</v>
      </c>
      <c r="D3001" s="83">
        <f>SUMIFS(D3002:D6462,K3002:K6462,"0",B3002:B6462,"5 1 1 4 1 12 31111 6 M59 90000 000132 0000R 00001 00141 015 2111100*")-SUMIFS(E3002:E6462,K3002:K6462,"0",B3002:B6462,"5 1 1 4 1 12 31111 6 M59 90000 000132 0000R 00001 00141 015 2111100*")</f>
        <v>0</v>
      </c>
      <c r="E3001" s="54"/>
      <c r="F3001" s="83">
        <f>SUMIFS(F3002:F6462,K3002:K6462,"0",B3002:B6462,"5 1 1 4 1 12 31111 6 M59 90000 000132 0000R 00001 00141 015 2111100*")</f>
        <v>15178.46</v>
      </c>
      <c r="G3001" s="83">
        <f>SUMIFS(G3002:G6462,K3002:K6462,"0",B3002:B6462,"5 1 1 4 1 12 31111 6 M59 90000 000132 0000R 00001 00141 015 2111100*")</f>
        <v>0</v>
      </c>
      <c r="H3001" s="83">
        <f t="shared" si="47"/>
        <v>15178.46</v>
      </c>
      <c r="I3001" s="83"/>
      <c r="K3001" s="54" t="s">
        <v>15</v>
      </c>
    </row>
    <row r="3002" spans="2:11" ht="33" x14ac:dyDescent="0.2">
      <c r="B3002" s="82" t="s">
        <v>5309</v>
      </c>
      <c r="C3002" s="82" t="s">
        <v>660</v>
      </c>
      <c r="D3002" s="83">
        <f>SUMIFS(D3003:D6462,K3003:K6462,"0",B3003:B6462,"5 1 1 4 1 12 31111 6 M59 90000 000132 0000R 00001 00141 015 2111100 2024*")-SUMIFS(E3003:E6462,K3003:K6462,"0",B3003:B6462,"5 1 1 4 1 12 31111 6 M59 90000 000132 0000R 00001 00141 015 2111100 2024*")</f>
        <v>0</v>
      </c>
      <c r="E3002" s="54"/>
      <c r="F3002" s="83">
        <f>SUMIFS(F3003:F6462,K3003:K6462,"0",B3003:B6462,"5 1 1 4 1 12 31111 6 M59 90000 000132 0000R 00001 00141 015 2111100 2024*")</f>
        <v>15178.46</v>
      </c>
      <c r="G3002" s="83">
        <f>SUMIFS(G3003:G6462,K3003:K6462,"0",B3003:B6462,"5 1 1 4 1 12 31111 6 M59 90000 000132 0000R 00001 00141 015 2111100 2024*")</f>
        <v>0</v>
      </c>
      <c r="H3002" s="83">
        <f t="shared" si="47"/>
        <v>15178.46</v>
      </c>
      <c r="I3002" s="83"/>
      <c r="K3002" s="54" t="s">
        <v>15</v>
      </c>
    </row>
    <row r="3003" spans="2:11" ht="41.25" x14ac:dyDescent="0.2">
      <c r="B3003" s="82" t="s">
        <v>5310</v>
      </c>
      <c r="C3003" s="82" t="s">
        <v>1056</v>
      </c>
      <c r="D3003" s="83">
        <f>SUMIFS(D3004:D6462,K3004:K6462,"0",B3004:B6462,"5 1 1 4 1 12 31111 6 M59 90000 000132 0000R 00001 00141 015 2111100 2024 CP1SG383*")-SUMIFS(E3004:E6462,K3004:K6462,"0",B3004:B6462,"5 1 1 4 1 12 31111 6 M59 90000 000132 0000R 00001 00141 015 2111100 2024 CP1SG383*")</f>
        <v>0</v>
      </c>
      <c r="E3003" s="54"/>
      <c r="F3003" s="83">
        <f>SUMIFS(F3004:F6462,K3004:K6462,"0",B3004:B6462,"5 1 1 4 1 12 31111 6 M59 90000 000132 0000R 00001 00141 015 2111100 2024 CP1SG383*")</f>
        <v>15178.46</v>
      </c>
      <c r="G3003" s="83">
        <f>SUMIFS(G3004:G6462,K3004:K6462,"0",B3004:B6462,"5 1 1 4 1 12 31111 6 M59 90000 000132 0000R 00001 00141 015 2111100 2024 CP1SG383*")</f>
        <v>0</v>
      </c>
      <c r="H3003" s="83">
        <f t="shared" si="47"/>
        <v>15178.46</v>
      </c>
      <c r="I3003" s="83"/>
      <c r="K3003" s="54" t="s">
        <v>15</v>
      </c>
    </row>
    <row r="3004" spans="2:11" ht="41.25" x14ac:dyDescent="0.2">
      <c r="B3004" s="82" t="s">
        <v>5311</v>
      </c>
      <c r="C3004" s="82" t="s">
        <v>282</v>
      </c>
      <c r="D3004" s="83">
        <f>SUMIFS(D3005:D6462,K3005:K6462,"0",B3005:B6462,"5 1 1 4 1 12 31111 6 M59 90000 000132 0000R 00001 00141 015 2111100 2024 CP1SG383 001*")-SUMIFS(E3005:E6462,K3005:K6462,"0",B3005:B6462,"5 1 1 4 1 12 31111 6 M59 90000 000132 0000R 00001 00141 015 2111100 2024 CP1SG383 001*")</f>
        <v>0</v>
      </c>
      <c r="E3004" s="54"/>
      <c r="F3004" s="83">
        <f>SUMIFS(F3005:F6462,K3005:K6462,"0",B3005:B6462,"5 1 1 4 1 12 31111 6 M59 90000 000132 0000R 00001 00141 015 2111100 2024 CP1SG383 001*")</f>
        <v>15178.46</v>
      </c>
      <c r="G3004" s="83">
        <f>SUMIFS(G3005:G6462,K3005:K6462,"0",B3005:B6462,"5 1 1 4 1 12 31111 6 M59 90000 000132 0000R 00001 00141 015 2111100 2024 CP1SG383 001*")</f>
        <v>0</v>
      </c>
      <c r="H3004" s="83">
        <f t="shared" si="47"/>
        <v>15178.46</v>
      </c>
      <c r="I3004" s="83"/>
      <c r="K3004" s="54" t="s">
        <v>15</v>
      </c>
    </row>
    <row r="3005" spans="2:11" ht="41.25" x14ac:dyDescent="0.2">
      <c r="B3005" s="84" t="s">
        <v>5312</v>
      </c>
      <c r="C3005" s="84" t="s">
        <v>5164</v>
      </c>
      <c r="D3005" s="85">
        <v>0</v>
      </c>
      <c r="E3005" s="85"/>
      <c r="F3005" s="85">
        <v>15178.46</v>
      </c>
      <c r="G3005" s="85">
        <v>0</v>
      </c>
      <c r="H3005" s="85">
        <f t="shared" si="47"/>
        <v>15178.46</v>
      </c>
      <c r="I3005" s="85"/>
      <c r="K3005" s="54" t="s">
        <v>38</v>
      </c>
    </row>
    <row r="3006" spans="2:11" ht="16.5" x14ac:dyDescent="0.2">
      <c r="B3006" s="82" t="s">
        <v>5313</v>
      </c>
      <c r="C3006" s="82" t="s">
        <v>3608</v>
      </c>
      <c r="D3006" s="83">
        <f>SUMIFS(D3007:D6462,K3007:K6462,"0",B3007:B6462,"5 1 1 4 1 12 31111 6 M59 91000*")-SUMIFS(E3007:E6462,K3007:K6462,"0",B3007:B6462,"5 1 1 4 1 12 31111 6 M59 91000*")</f>
        <v>0</v>
      </c>
      <c r="E3006" s="54"/>
      <c r="F3006" s="83">
        <f>SUMIFS(F3007:F6462,K3007:K6462,"0",B3007:B6462,"5 1 1 4 1 12 31111 6 M59 91000*")</f>
        <v>15180.74</v>
      </c>
      <c r="G3006" s="83">
        <f>SUMIFS(G3007:G6462,K3007:K6462,"0",B3007:B6462,"5 1 1 4 1 12 31111 6 M59 91000*")</f>
        <v>0</v>
      </c>
      <c r="H3006" s="83">
        <f t="shared" si="47"/>
        <v>15180.74</v>
      </c>
      <c r="I3006" s="83"/>
      <c r="K3006" s="54" t="s">
        <v>15</v>
      </c>
    </row>
    <row r="3007" spans="2:11" ht="16.5" x14ac:dyDescent="0.2">
      <c r="B3007" s="82" t="s">
        <v>5314</v>
      </c>
      <c r="C3007" s="82" t="s">
        <v>648</v>
      </c>
      <c r="D3007" s="83">
        <f>SUMIFS(D3008:D6462,K3008:K6462,"0",B3008:B6462,"5 1 1 4 1 12 31111 6 M59 91000 000132*")-SUMIFS(E3008:E6462,K3008:K6462,"0",B3008:B6462,"5 1 1 4 1 12 31111 6 M59 91000 000132*")</f>
        <v>0</v>
      </c>
      <c r="E3007" s="54"/>
      <c r="F3007" s="83">
        <f>SUMIFS(F3008:F6462,K3008:K6462,"0",B3008:B6462,"5 1 1 4 1 12 31111 6 M59 91000 000132*")</f>
        <v>15180.74</v>
      </c>
      <c r="G3007" s="83">
        <f>SUMIFS(G3008:G6462,K3008:K6462,"0",B3008:B6462,"5 1 1 4 1 12 31111 6 M59 91000 000132*")</f>
        <v>0</v>
      </c>
      <c r="H3007" s="83">
        <f t="shared" si="47"/>
        <v>15180.74</v>
      </c>
      <c r="I3007" s="83"/>
      <c r="K3007" s="54" t="s">
        <v>15</v>
      </c>
    </row>
    <row r="3008" spans="2:11" ht="16.5" x14ac:dyDescent="0.2">
      <c r="B3008" s="82" t="s">
        <v>5315</v>
      </c>
      <c r="C3008" s="82" t="s">
        <v>650</v>
      </c>
      <c r="D3008" s="83">
        <f>SUMIFS(D3009:D6462,K3009:K6462,"0",B3009:B6462,"5 1 1 4 1 12 31111 6 M59 91000 000132 0000R*")-SUMIFS(E3009:E6462,K3009:K6462,"0",B3009:B6462,"5 1 1 4 1 12 31111 6 M59 91000 000132 0000R*")</f>
        <v>0</v>
      </c>
      <c r="E3008" s="54"/>
      <c r="F3008" s="83">
        <f>SUMIFS(F3009:F6462,K3009:K6462,"0",B3009:B6462,"5 1 1 4 1 12 31111 6 M59 91000 000132 0000R*")</f>
        <v>15180.74</v>
      </c>
      <c r="G3008" s="83">
        <f>SUMIFS(G3009:G6462,K3009:K6462,"0",B3009:B6462,"5 1 1 4 1 12 31111 6 M59 91000 000132 0000R*")</f>
        <v>0</v>
      </c>
      <c r="H3008" s="83">
        <f t="shared" si="47"/>
        <v>15180.74</v>
      </c>
      <c r="I3008" s="83"/>
      <c r="K3008" s="54" t="s">
        <v>15</v>
      </c>
    </row>
    <row r="3009" spans="2:11" ht="24.75" x14ac:dyDescent="0.2">
      <c r="B3009" s="82" t="s">
        <v>5316</v>
      </c>
      <c r="C3009" s="82" t="s">
        <v>282</v>
      </c>
      <c r="D3009" s="83">
        <f>SUMIFS(D3010:D6462,K3010:K6462,"0",B3010:B6462,"5 1 1 4 1 12 31111 6 M59 91000 000132 0000R 00001*")-SUMIFS(E3010:E6462,K3010:K6462,"0",B3010:B6462,"5 1 1 4 1 12 31111 6 M59 91000 000132 0000R 00001*")</f>
        <v>0</v>
      </c>
      <c r="E3009" s="54"/>
      <c r="F3009" s="83">
        <f>SUMIFS(F3010:F6462,K3010:K6462,"0",B3010:B6462,"5 1 1 4 1 12 31111 6 M59 91000 000132 0000R 00001*")</f>
        <v>15180.74</v>
      </c>
      <c r="G3009" s="83">
        <f>SUMIFS(G3010:G6462,K3010:K6462,"0",B3010:B6462,"5 1 1 4 1 12 31111 6 M59 91000 000132 0000R 00001*")</f>
        <v>0</v>
      </c>
      <c r="H3009" s="83">
        <f t="shared" si="47"/>
        <v>15180.74</v>
      </c>
      <c r="I3009" s="83"/>
      <c r="K3009" s="54" t="s">
        <v>15</v>
      </c>
    </row>
    <row r="3010" spans="2:11" ht="24.75" x14ac:dyDescent="0.2">
      <c r="B3010" s="82" t="s">
        <v>5317</v>
      </c>
      <c r="C3010" s="82" t="s">
        <v>5174</v>
      </c>
      <c r="D3010" s="83">
        <f>SUMIFS(D3011:D6462,K3011:K6462,"0",B3011:B6462,"5 1 1 4 1 12 31111 6 M59 91000 000132 0000R 00001 00141*")-SUMIFS(E3011:E6462,K3011:K6462,"0",B3011:B6462,"5 1 1 4 1 12 31111 6 M59 91000 000132 0000R 00001 00141*")</f>
        <v>0</v>
      </c>
      <c r="E3010" s="54"/>
      <c r="F3010" s="83">
        <f>SUMIFS(F3011:F6462,K3011:K6462,"0",B3011:B6462,"5 1 1 4 1 12 31111 6 M59 91000 000132 0000R 00001 00141*")</f>
        <v>15180.74</v>
      </c>
      <c r="G3010" s="83">
        <f>SUMIFS(G3011:G6462,K3011:K6462,"0",B3011:B6462,"5 1 1 4 1 12 31111 6 M59 91000 000132 0000R 00001 00141*")</f>
        <v>0</v>
      </c>
      <c r="H3010" s="83">
        <f t="shared" si="47"/>
        <v>15180.74</v>
      </c>
      <c r="I3010" s="83"/>
      <c r="K3010" s="54" t="s">
        <v>15</v>
      </c>
    </row>
    <row r="3011" spans="2:11" ht="24.75" x14ac:dyDescent="0.2">
      <c r="B3011" s="82" t="s">
        <v>5318</v>
      </c>
      <c r="C3011" s="82" t="s">
        <v>1051</v>
      </c>
      <c r="D3011" s="83">
        <f>SUMIFS(D3012:D6462,K3012:K6462,"0",B3012:B6462,"5 1 1 4 1 12 31111 6 M59 91000 000132 0000R 00001 00141 015*")-SUMIFS(E3012:E6462,K3012:K6462,"0",B3012:B6462,"5 1 1 4 1 12 31111 6 M59 91000 000132 0000R 00001 00141 015*")</f>
        <v>0</v>
      </c>
      <c r="E3011" s="54"/>
      <c r="F3011" s="83">
        <f>SUMIFS(F3012:F6462,K3012:K6462,"0",B3012:B6462,"5 1 1 4 1 12 31111 6 M59 91000 000132 0000R 00001 00141 015*")</f>
        <v>15180.74</v>
      </c>
      <c r="G3011" s="83">
        <f>SUMIFS(G3012:G6462,K3012:K6462,"0",B3012:B6462,"5 1 1 4 1 12 31111 6 M59 91000 000132 0000R 00001 00141 015*")</f>
        <v>0</v>
      </c>
      <c r="H3011" s="83">
        <f t="shared" si="47"/>
        <v>15180.74</v>
      </c>
      <c r="I3011" s="83"/>
      <c r="K3011" s="54" t="s">
        <v>15</v>
      </c>
    </row>
    <row r="3012" spans="2:11" ht="33" x14ac:dyDescent="0.2">
      <c r="B3012" s="82" t="s">
        <v>5319</v>
      </c>
      <c r="C3012" s="82" t="s">
        <v>2927</v>
      </c>
      <c r="D3012" s="83">
        <f>SUMIFS(D3013:D6462,K3013:K6462,"0",B3013:B6462,"5 1 1 4 1 12 31111 6 M59 91000 000132 0000R 00001 00141 015 2111100*")-SUMIFS(E3013:E6462,K3013:K6462,"0",B3013:B6462,"5 1 1 4 1 12 31111 6 M59 91000 000132 0000R 00001 00141 015 2111100*")</f>
        <v>0</v>
      </c>
      <c r="E3012" s="54"/>
      <c r="F3012" s="83">
        <f>SUMIFS(F3013:F6462,K3013:K6462,"0",B3013:B6462,"5 1 1 4 1 12 31111 6 M59 91000 000132 0000R 00001 00141 015 2111100*")</f>
        <v>15180.74</v>
      </c>
      <c r="G3012" s="83">
        <f>SUMIFS(G3013:G6462,K3013:K6462,"0",B3013:B6462,"5 1 1 4 1 12 31111 6 M59 91000 000132 0000R 00001 00141 015 2111100*")</f>
        <v>0</v>
      </c>
      <c r="H3012" s="83">
        <f t="shared" si="47"/>
        <v>15180.74</v>
      </c>
      <c r="I3012" s="83"/>
      <c r="K3012" s="54" t="s">
        <v>15</v>
      </c>
    </row>
    <row r="3013" spans="2:11" ht="33" x14ac:dyDescent="0.2">
      <c r="B3013" s="82" t="s">
        <v>5320</v>
      </c>
      <c r="C3013" s="82" t="s">
        <v>660</v>
      </c>
      <c r="D3013" s="83">
        <f>SUMIFS(D3014:D6462,K3014:K6462,"0",B3014:B6462,"5 1 1 4 1 12 31111 6 M59 91000 000132 0000R 00001 00141 015 2111100 2024*")-SUMIFS(E3014:E6462,K3014:K6462,"0",B3014:B6462,"5 1 1 4 1 12 31111 6 M59 91000 000132 0000R 00001 00141 015 2111100 2024*")</f>
        <v>0</v>
      </c>
      <c r="E3013" s="54"/>
      <c r="F3013" s="83">
        <f>SUMIFS(F3014:F6462,K3014:K6462,"0",B3014:B6462,"5 1 1 4 1 12 31111 6 M59 91000 000132 0000R 00001 00141 015 2111100 2024*")</f>
        <v>15180.74</v>
      </c>
      <c r="G3013" s="83">
        <f>SUMIFS(G3014:G6462,K3014:K6462,"0",B3014:B6462,"5 1 1 4 1 12 31111 6 M59 91000 000132 0000R 00001 00141 015 2111100 2024*")</f>
        <v>0</v>
      </c>
      <c r="H3013" s="83">
        <f t="shared" si="47"/>
        <v>15180.74</v>
      </c>
      <c r="I3013" s="83"/>
      <c r="K3013" s="54" t="s">
        <v>15</v>
      </c>
    </row>
    <row r="3014" spans="2:11" ht="41.25" x14ac:dyDescent="0.2">
      <c r="B3014" s="82" t="s">
        <v>5321</v>
      </c>
      <c r="C3014" s="82" t="s">
        <v>1056</v>
      </c>
      <c r="D3014" s="83">
        <f>SUMIFS(D3015:D6462,K3015:K6462,"0",B3015:B6462,"5 1 1 4 1 12 31111 6 M59 91000 000132 0000R 00001 00141 015 2111100 2024 CP1RE398*")-SUMIFS(E3015:E6462,K3015:K6462,"0",B3015:B6462,"5 1 1 4 1 12 31111 6 M59 91000 000132 0000R 00001 00141 015 2111100 2024 CP1RE398*")</f>
        <v>0</v>
      </c>
      <c r="E3014" s="54"/>
      <c r="F3014" s="83">
        <f>SUMIFS(F3015:F6462,K3015:K6462,"0",B3015:B6462,"5 1 1 4 1 12 31111 6 M59 91000 000132 0000R 00001 00141 015 2111100 2024 CP1RE398*")</f>
        <v>15180.74</v>
      </c>
      <c r="G3014" s="83">
        <f>SUMIFS(G3015:G6462,K3015:K6462,"0",B3015:B6462,"5 1 1 4 1 12 31111 6 M59 91000 000132 0000R 00001 00141 015 2111100 2024 CP1RE398*")</f>
        <v>0</v>
      </c>
      <c r="H3014" s="83">
        <f t="shared" si="47"/>
        <v>15180.74</v>
      </c>
      <c r="I3014" s="83"/>
      <c r="K3014" s="54" t="s">
        <v>15</v>
      </c>
    </row>
    <row r="3015" spans="2:11" ht="41.25" x14ac:dyDescent="0.2">
      <c r="B3015" s="82" t="s">
        <v>5322</v>
      </c>
      <c r="C3015" s="82" t="s">
        <v>282</v>
      </c>
      <c r="D3015" s="83">
        <f>SUMIFS(D3016:D6462,K3016:K6462,"0",B3016:B6462,"5 1 1 4 1 12 31111 6 M59 91000 000132 0000R 00001 00141 015 2111100 2024 CP1RE398 001*")-SUMIFS(E3016:E6462,K3016:K6462,"0",B3016:B6462,"5 1 1 4 1 12 31111 6 M59 91000 000132 0000R 00001 00141 015 2111100 2024 CP1RE398 001*")</f>
        <v>0</v>
      </c>
      <c r="E3015" s="54"/>
      <c r="F3015" s="83">
        <f>SUMIFS(F3016:F6462,K3016:K6462,"0",B3016:B6462,"5 1 1 4 1 12 31111 6 M59 91000 000132 0000R 00001 00141 015 2111100 2024 CP1RE398 001*")</f>
        <v>15180.74</v>
      </c>
      <c r="G3015" s="83">
        <f>SUMIFS(G3016:G6462,K3016:K6462,"0",B3016:B6462,"5 1 1 4 1 12 31111 6 M59 91000 000132 0000R 00001 00141 015 2111100 2024 CP1RE398 001*")</f>
        <v>0</v>
      </c>
      <c r="H3015" s="83">
        <f t="shared" si="47"/>
        <v>15180.74</v>
      </c>
      <c r="I3015" s="83"/>
      <c r="K3015" s="54" t="s">
        <v>15</v>
      </c>
    </row>
    <row r="3016" spans="2:11" ht="33" x14ac:dyDescent="0.2">
      <c r="B3016" s="84" t="s">
        <v>5323</v>
      </c>
      <c r="C3016" s="84" t="s">
        <v>5164</v>
      </c>
      <c r="D3016" s="85">
        <v>0</v>
      </c>
      <c r="E3016" s="85"/>
      <c r="F3016" s="85">
        <v>15180.74</v>
      </c>
      <c r="G3016" s="85">
        <v>0</v>
      </c>
      <c r="H3016" s="85">
        <f t="shared" si="47"/>
        <v>15180.74</v>
      </c>
      <c r="I3016" s="85"/>
      <c r="K3016" s="54" t="s">
        <v>38</v>
      </c>
    </row>
    <row r="3017" spans="2:11" ht="16.5" x14ac:dyDescent="0.2">
      <c r="B3017" s="82" t="s">
        <v>5324</v>
      </c>
      <c r="C3017" s="82" t="s">
        <v>3620</v>
      </c>
      <c r="D3017" s="83">
        <f>SUMIFS(D3018:D6462,K3018:K6462,"0",B3018:B6462,"5 1 1 4 1 12 31111 6 M59 92000*")-SUMIFS(E3018:E6462,K3018:K6462,"0",B3018:B6462,"5 1 1 4 1 12 31111 6 M59 92000*")</f>
        <v>0</v>
      </c>
      <c r="E3017" s="54"/>
      <c r="F3017" s="83">
        <f>SUMIFS(F3018:F6462,K3018:K6462,"0",B3018:B6462,"5 1 1 4 1 12 31111 6 M59 92000*")</f>
        <v>30956.18</v>
      </c>
      <c r="G3017" s="83">
        <f>SUMIFS(G3018:G6462,K3018:K6462,"0",B3018:B6462,"5 1 1 4 1 12 31111 6 M59 92000*")</f>
        <v>0</v>
      </c>
      <c r="H3017" s="83">
        <f t="shared" si="47"/>
        <v>30956.18</v>
      </c>
      <c r="I3017" s="83"/>
      <c r="K3017" s="54" t="s">
        <v>15</v>
      </c>
    </row>
    <row r="3018" spans="2:11" ht="24.75" x14ac:dyDescent="0.2">
      <c r="B3018" s="82" t="s">
        <v>5325</v>
      </c>
      <c r="C3018" s="82" t="s">
        <v>3152</v>
      </c>
      <c r="D3018" s="83">
        <f>SUMIFS(D3019:D6462,K3019:K6462,"0",B3019:B6462,"5 1 1 4 1 12 31111 6 M59 92000 000181*")-SUMIFS(E3019:E6462,K3019:K6462,"0",B3019:B6462,"5 1 1 4 1 12 31111 6 M59 92000 000181*")</f>
        <v>0</v>
      </c>
      <c r="E3018" s="54"/>
      <c r="F3018" s="83">
        <f>SUMIFS(F3019:F6462,K3019:K6462,"0",B3019:B6462,"5 1 1 4 1 12 31111 6 M59 92000 000181*")</f>
        <v>30956.18</v>
      </c>
      <c r="G3018" s="83">
        <f>SUMIFS(G3019:G6462,K3019:K6462,"0",B3019:B6462,"5 1 1 4 1 12 31111 6 M59 92000 000181*")</f>
        <v>0</v>
      </c>
      <c r="H3018" s="83">
        <f t="shared" si="47"/>
        <v>30956.18</v>
      </c>
      <c r="I3018" s="83"/>
      <c r="K3018" s="54" t="s">
        <v>15</v>
      </c>
    </row>
    <row r="3019" spans="2:11" ht="16.5" x14ac:dyDescent="0.2">
      <c r="B3019" s="82" t="s">
        <v>5326</v>
      </c>
      <c r="C3019" s="82" t="s">
        <v>1065</v>
      </c>
      <c r="D3019" s="83">
        <f>SUMIFS(D3020:D6462,K3020:K6462,"0",B3020:B6462,"5 1 1 4 1 12 31111 6 M59 92000 000181 0000E*")-SUMIFS(E3020:E6462,K3020:K6462,"0",B3020:B6462,"5 1 1 4 1 12 31111 6 M59 92000 000181 0000E*")</f>
        <v>0</v>
      </c>
      <c r="E3019" s="54"/>
      <c r="F3019" s="83">
        <f>SUMIFS(F3020:F6462,K3020:K6462,"0",B3020:B6462,"5 1 1 4 1 12 31111 6 M59 92000 000181 0000E*")</f>
        <v>30956.18</v>
      </c>
      <c r="G3019" s="83">
        <f>SUMIFS(G3020:G6462,K3020:K6462,"0",B3020:B6462,"5 1 1 4 1 12 31111 6 M59 92000 000181 0000E*")</f>
        <v>0</v>
      </c>
      <c r="H3019" s="83">
        <f t="shared" si="47"/>
        <v>30956.18</v>
      </c>
      <c r="I3019" s="83"/>
      <c r="K3019" s="54" t="s">
        <v>15</v>
      </c>
    </row>
    <row r="3020" spans="2:11" ht="24.75" x14ac:dyDescent="0.2">
      <c r="B3020" s="82" t="s">
        <v>5327</v>
      </c>
      <c r="C3020" s="82" t="s">
        <v>282</v>
      </c>
      <c r="D3020" s="83">
        <f>SUMIFS(D3021:D6462,K3021:K6462,"0",B3021:B6462,"5 1 1 4 1 12 31111 6 M59 92000 000181 0000E 00001*")-SUMIFS(E3021:E6462,K3021:K6462,"0",B3021:B6462,"5 1 1 4 1 12 31111 6 M59 92000 000181 0000E 00001*")</f>
        <v>0</v>
      </c>
      <c r="E3020" s="54"/>
      <c r="F3020" s="83">
        <f>SUMIFS(F3021:F6462,K3021:K6462,"0",B3021:B6462,"5 1 1 4 1 12 31111 6 M59 92000 000181 0000E 00001*")</f>
        <v>30956.18</v>
      </c>
      <c r="G3020" s="83">
        <f>SUMIFS(G3021:G6462,K3021:K6462,"0",B3021:B6462,"5 1 1 4 1 12 31111 6 M59 92000 000181 0000E 00001*")</f>
        <v>0</v>
      </c>
      <c r="H3020" s="83">
        <f t="shared" si="47"/>
        <v>30956.18</v>
      </c>
      <c r="I3020" s="83"/>
      <c r="K3020" s="54" t="s">
        <v>15</v>
      </c>
    </row>
    <row r="3021" spans="2:11" ht="24.75" x14ac:dyDescent="0.2">
      <c r="B3021" s="82" t="s">
        <v>5328</v>
      </c>
      <c r="C3021" s="82" t="s">
        <v>5174</v>
      </c>
      <c r="D3021" s="83">
        <f>SUMIFS(D3022:D6462,K3022:K6462,"0",B3022:B6462,"5 1 1 4 1 12 31111 6 M59 92000 000181 0000E 00001 00141*")-SUMIFS(E3022:E6462,K3022:K6462,"0",B3022:B6462,"5 1 1 4 1 12 31111 6 M59 92000 000181 0000E 00001 00141*")</f>
        <v>0</v>
      </c>
      <c r="E3021" s="54"/>
      <c r="F3021" s="83">
        <f>SUMIFS(F3022:F6462,K3022:K6462,"0",B3022:B6462,"5 1 1 4 1 12 31111 6 M59 92000 000181 0000E 00001 00141*")</f>
        <v>30956.18</v>
      </c>
      <c r="G3021" s="83">
        <f>SUMIFS(G3022:G6462,K3022:K6462,"0",B3022:B6462,"5 1 1 4 1 12 31111 6 M59 92000 000181 0000E 00001 00141*")</f>
        <v>0</v>
      </c>
      <c r="H3021" s="83">
        <f t="shared" si="47"/>
        <v>30956.18</v>
      </c>
      <c r="I3021" s="83"/>
      <c r="K3021" s="54" t="s">
        <v>15</v>
      </c>
    </row>
    <row r="3022" spans="2:11" ht="24.75" x14ac:dyDescent="0.2">
      <c r="B3022" s="82" t="s">
        <v>5329</v>
      </c>
      <c r="C3022" s="82" t="s">
        <v>1051</v>
      </c>
      <c r="D3022" s="83">
        <f>SUMIFS(D3023:D6462,K3023:K6462,"0",B3023:B6462,"5 1 1 4 1 12 31111 6 M59 92000 000181 0000E 00001 00141 015*")-SUMIFS(E3023:E6462,K3023:K6462,"0",B3023:B6462,"5 1 1 4 1 12 31111 6 M59 92000 000181 0000E 00001 00141 015*")</f>
        <v>0</v>
      </c>
      <c r="E3022" s="54"/>
      <c r="F3022" s="83">
        <f>SUMIFS(F3023:F6462,K3023:K6462,"0",B3023:B6462,"5 1 1 4 1 12 31111 6 M59 92000 000181 0000E 00001 00141 015*")</f>
        <v>30956.18</v>
      </c>
      <c r="G3022" s="83">
        <f>SUMIFS(G3023:G6462,K3023:K6462,"0",B3023:B6462,"5 1 1 4 1 12 31111 6 M59 92000 000181 0000E 00001 00141 015*")</f>
        <v>0</v>
      </c>
      <c r="H3022" s="83">
        <f t="shared" si="47"/>
        <v>30956.18</v>
      </c>
      <c r="I3022" s="83"/>
      <c r="K3022" s="54" t="s">
        <v>15</v>
      </c>
    </row>
    <row r="3023" spans="2:11" ht="33" x14ac:dyDescent="0.2">
      <c r="B3023" s="82" t="s">
        <v>5330</v>
      </c>
      <c r="C3023" s="82" t="s">
        <v>2927</v>
      </c>
      <c r="D3023" s="83">
        <f>SUMIFS(D3024:D6462,K3024:K6462,"0",B3024:B6462,"5 1 1 4 1 12 31111 6 M59 92000 000181 0000E 00001 00141 015 2111100*")-SUMIFS(E3024:E6462,K3024:K6462,"0",B3024:B6462,"5 1 1 4 1 12 31111 6 M59 92000 000181 0000E 00001 00141 015 2111100*")</f>
        <v>0</v>
      </c>
      <c r="E3023" s="54"/>
      <c r="F3023" s="83">
        <f>SUMIFS(F3024:F6462,K3024:K6462,"0",B3024:B6462,"5 1 1 4 1 12 31111 6 M59 92000 000181 0000E 00001 00141 015 2111100*")</f>
        <v>30956.18</v>
      </c>
      <c r="G3023" s="83">
        <f>SUMIFS(G3024:G6462,K3024:K6462,"0",B3024:B6462,"5 1 1 4 1 12 31111 6 M59 92000 000181 0000E 00001 00141 015 2111100*")</f>
        <v>0</v>
      </c>
      <c r="H3023" s="83">
        <f t="shared" si="47"/>
        <v>30956.18</v>
      </c>
      <c r="I3023" s="83"/>
      <c r="K3023" s="54" t="s">
        <v>15</v>
      </c>
    </row>
    <row r="3024" spans="2:11" ht="33" x14ac:dyDescent="0.2">
      <c r="B3024" s="82" t="s">
        <v>5331</v>
      </c>
      <c r="C3024" s="82" t="s">
        <v>660</v>
      </c>
      <c r="D3024" s="83">
        <f>SUMIFS(D3025:D6462,K3025:K6462,"0",B3025:B6462,"5 1 1 4 1 12 31111 6 M59 92000 000181 0000E 00001 00141 015 2111100 2024*")-SUMIFS(E3025:E6462,K3025:K6462,"0",B3025:B6462,"5 1 1 4 1 12 31111 6 M59 92000 000181 0000E 00001 00141 015 2111100 2024*")</f>
        <v>0</v>
      </c>
      <c r="E3024" s="54"/>
      <c r="F3024" s="83">
        <f>SUMIFS(F3025:F6462,K3025:K6462,"0",B3025:B6462,"5 1 1 4 1 12 31111 6 M59 92000 000181 0000E 00001 00141 015 2111100 2024*")</f>
        <v>30956.18</v>
      </c>
      <c r="G3024" s="83">
        <f>SUMIFS(G3025:G6462,K3025:K6462,"0",B3025:B6462,"5 1 1 4 1 12 31111 6 M59 92000 000181 0000E 00001 00141 015 2111100 2024*")</f>
        <v>0</v>
      </c>
      <c r="H3024" s="83">
        <f t="shared" si="47"/>
        <v>30956.18</v>
      </c>
      <c r="I3024" s="83"/>
      <c r="K3024" s="54" t="s">
        <v>15</v>
      </c>
    </row>
    <row r="3025" spans="2:11" ht="41.25" x14ac:dyDescent="0.2">
      <c r="B3025" s="82" t="s">
        <v>5332</v>
      </c>
      <c r="C3025" s="82" t="s">
        <v>1056</v>
      </c>
      <c r="D3025" s="83">
        <f>SUMIFS(D3026:D6462,K3026:K6462,"0",B3026:B6462,"5 1 1 4 1 12 31111 6 M59 92000 000181 0000E 00001 00141 015 2111100 2024 CP1RC399*")-SUMIFS(E3026:E6462,K3026:K6462,"0",B3026:B6462,"5 1 1 4 1 12 31111 6 M59 92000 000181 0000E 00001 00141 015 2111100 2024 CP1RC399*")</f>
        <v>0</v>
      </c>
      <c r="E3025" s="54"/>
      <c r="F3025" s="83">
        <f>SUMIFS(F3026:F6462,K3026:K6462,"0",B3026:B6462,"5 1 1 4 1 12 31111 6 M59 92000 000181 0000E 00001 00141 015 2111100 2024 CP1RC399*")</f>
        <v>30956.18</v>
      </c>
      <c r="G3025" s="83">
        <f>SUMIFS(G3026:G6462,K3026:K6462,"0",B3026:B6462,"5 1 1 4 1 12 31111 6 M59 92000 000181 0000E 00001 00141 015 2111100 2024 CP1RC399*")</f>
        <v>0</v>
      </c>
      <c r="H3025" s="83">
        <f t="shared" si="47"/>
        <v>30956.18</v>
      </c>
      <c r="I3025" s="83"/>
      <c r="K3025" s="54" t="s">
        <v>15</v>
      </c>
    </row>
    <row r="3026" spans="2:11" ht="41.25" x14ac:dyDescent="0.2">
      <c r="B3026" s="82" t="s">
        <v>5333</v>
      </c>
      <c r="C3026" s="82" t="s">
        <v>282</v>
      </c>
      <c r="D3026" s="83">
        <f>SUMIFS(D3027:D6462,K3027:K6462,"0",B3027:B6462,"5 1 1 4 1 12 31111 6 M59 92000 000181 0000E 00001 00141 015 2111100 2024 CP1RC399 001*")-SUMIFS(E3027:E6462,K3027:K6462,"0",B3027:B6462,"5 1 1 4 1 12 31111 6 M59 92000 000181 0000E 00001 00141 015 2111100 2024 CP1RC399 001*")</f>
        <v>0</v>
      </c>
      <c r="E3026" s="54"/>
      <c r="F3026" s="83">
        <f>SUMIFS(F3027:F6462,K3027:K6462,"0",B3027:B6462,"5 1 1 4 1 12 31111 6 M59 92000 000181 0000E 00001 00141 015 2111100 2024 CP1RC399 001*")</f>
        <v>30956.18</v>
      </c>
      <c r="G3026" s="83">
        <f>SUMIFS(G3027:G6462,K3027:K6462,"0",B3027:B6462,"5 1 1 4 1 12 31111 6 M59 92000 000181 0000E 00001 00141 015 2111100 2024 CP1RC399 001*")</f>
        <v>0</v>
      </c>
      <c r="H3026" s="83">
        <f t="shared" si="47"/>
        <v>30956.18</v>
      </c>
      <c r="I3026" s="83"/>
      <c r="K3026" s="54" t="s">
        <v>15</v>
      </c>
    </row>
    <row r="3027" spans="2:11" ht="33" x14ac:dyDescent="0.2">
      <c r="B3027" s="84" t="s">
        <v>5334</v>
      </c>
      <c r="C3027" s="84" t="s">
        <v>5164</v>
      </c>
      <c r="D3027" s="85">
        <v>0</v>
      </c>
      <c r="E3027" s="85"/>
      <c r="F3027" s="85">
        <v>30956.18</v>
      </c>
      <c r="G3027" s="85">
        <v>0</v>
      </c>
      <c r="H3027" s="85">
        <f t="shared" si="47"/>
        <v>30956.18</v>
      </c>
      <c r="I3027" s="85"/>
      <c r="K3027" s="54" t="s">
        <v>38</v>
      </c>
    </row>
    <row r="3028" spans="2:11" ht="16.5" x14ac:dyDescent="0.2">
      <c r="B3028" s="82" t="s">
        <v>5335</v>
      </c>
      <c r="C3028" s="82" t="s">
        <v>3644</v>
      </c>
      <c r="D3028" s="83">
        <f>SUMIFS(D3029:D6462,K3029:K6462,"0",B3029:B6462,"5 1 1 4 1 12 31111 6 M59 94000*")-SUMIFS(E3029:E6462,K3029:K6462,"0",B3029:B6462,"5 1 1 4 1 12 31111 6 M59 94000*")</f>
        <v>0</v>
      </c>
      <c r="E3028" s="54"/>
      <c r="F3028" s="83">
        <f>SUMIFS(F3029:F6462,K3029:K6462,"0",B3029:B6462,"5 1 1 4 1 12 31111 6 M59 94000*")</f>
        <v>38132.379999999997</v>
      </c>
      <c r="G3028" s="83">
        <f>SUMIFS(G3029:G6462,K3029:K6462,"0",B3029:B6462,"5 1 1 4 1 12 31111 6 M59 94000*")</f>
        <v>0</v>
      </c>
      <c r="H3028" s="83">
        <f t="shared" si="47"/>
        <v>38132.379999999997</v>
      </c>
      <c r="I3028" s="83"/>
      <c r="K3028" s="54" t="s">
        <v>15</v>
      </c>
    </row>
    <row r="3029" spans="2:11" ht="24.75" x14ac:dyDescent="0.2">
      <c r="B3029" s="82" t="s">
        <v>5336</v>
      </c>
      <c r="C3029" s="82" t="s">
        <v>3152</v>
      </c>
      <c r="D3029" s="83">
        <f>SUMIFS(D3030:D6462,K3030:K6462,"0",B3030:B6462,"5 1 1 4 1 12 31111 6 M59 94000 000181*")-SUMIFS(E3030:E6462,K3030:K6462,"0",B3030:B6462,"5 1 1 4 1 12 31111 6 M59 94000 000181*")</f>
        <v>0</v>
      </c>
      <c r="E3029" s="54"/>
      <c r="F3029" s="83">
        <f>SUMIFS(F3030:F6462,K3030:K6462,"0",B3030:B6462,"5 1 1 4 1 12 31111 6 M59 94000 000181*")</f>
        <v>38132.379999999997</v>
      </c>
      <c r="G3029" s="83">
        <f>SUMIFS(G3030:G6462,K3030:K6462,"0",B3030:B6462,"5 1 1 4 1 12 31111 6 M59 94000 000181*")</f>
        <v>0</v>
      </c>
      <c r="H3029" s="83">
        <f t="shared" si="47"/>
        <v>38132.379999999997</v>
      </c>
      <c r="I3029" s="83"/>
      <c r="K3029" s="54" t="s">
        <v>15</v>
      </c>
    </row>
    <row r="3030" spans="2:11" ht="16.5" x14ac:dyDescent="0.2">
      <c r="B3030" s="82" t="s">
        <v>5337</v>
      </c>
      <c r="C3030" s="82" t="s">
        <v>650</v>
      </c>
      <c r="D3030" s="83">
        <f>SUMIFS(D3031:D6462,K3031:K6462,"0",B3031:B6462,"5 1 1 4 1 12 31111 6 M59 94000 000181 0000R*")-SUMIFS(E3031:E6462,K3031:K6462,"0",B3031:B6462,"5 1 1 4 1 12 31111 6 M59 94000 000181 0000R*")</f>
        <v>0</v>
      </c>
      <c r="E3030" s="54"/>
      <c r="F3030" s="83">
        <f>SUMIFS(F3031:F6462,K3031:K6462,"0",B3031:B6462,"5 1 1 4 1 12 31111 6 M59 94000 000181 0000R*")</f>
        <v>38132.379999999997</v>
      </c>
      <c r="G3030" s="83">
        <f>SUMIFS(G3031:G6462,K3031:K6462,"0",B3031:B6462,"5 1 1 4 1 12 31111 6 M59 94000 000181 0000R*")</f>
        <v>0</v>
      </c>
      <c r="H3030" s="83">
        <f t="shared" si="47"/>
        <v>38132.379999999997</v>
      </c>
      <c r="I3030" s="83"/>
      <c r="K3030" s="54" t="s">
        <v>15</v>
      </c>
    </row>
    <row r="3031" spans="2:11" ht="24.75" x14ac:dyDescent="0.2">
      <c r="B3031" s="82" t="s">
        <v>5338</v>
      </c>
      <c r="C3031" s="82" t="s">
        <v>282</v>
      </c>
      <c r="D3031" s="83">
        <f>SUMIFS(D3032:D6462,K3032:K6462,"0",B3032:B6462,"5 1 1 4 1 12 31111 6 M59 94000 000181 0000R 00001*")-SUMIFS(E3032:E6462,K3032:K6462,"0",B3032:B6462,"5 1 1 4 1 12 31111 6 M59 94000 000181 0000R 00001*")</f>
        <v>0</v>
      </c>
      <c r="E3031" s="54"/>
      <c r="F3031" s="83">
        <f>SUMIFS(F3032:F6462,K3032:K6462,"0",B3032:B6462,"5 1 1 4 1 12 31111 6 M59 94000 000181 0000R 00001*")</f>
        <v>38132.379999999997</v>
      </c>
      <c r="G3031" s="83">
        <f>SUMIFS(G3032:G6462,K3032:K6462,"0",B3032:B6462,"5 1 1 4 1 12 31111 6 M59 94000 000181 0000R 00001*")</f>
        <v>0</v>
      </c>
      <c r="H3031" s="83">
        <f t="shared" si="47"/>
        <v>38132.379999999997</v>
      </c>
      <c r="I3031" s="83"/>
      <c r="K3031" s="54" t="s">
        <v>15</v>
      </c>
    </row>
    <row r="3032" spans="2:11" ht="24.75" x14ac:dyDescent="0.2">
      <c r="B3032" s="82" t="s">
        <v>5339</v>
      </c>
      <c r="C3032" s="82" t="s">
        <v>5174</v>
      </c>
      <c r="D3032" s="83">
        <f>SUMIFS(D3033:D6462,K3033:K6462,"0",B3033:B6462,"5 1 1 4 1 12 31111 6 M59 94000 000181 0000R 00001 00141*")-SUMIFS(E3033:E6462,K3033:K6462,"0",B3033:B6462,"5 1 1 4 1 12 31111 6 M59 94000 000181 0000R 00001 00141*")</f>
        <v>0</v>
      </c>
      <c r="E3032" s="54"/>
      <c r="F3032" s="83">
        <f>SUMIFS(F3033:F6462,K3033:K6462,"0",B3033:B6462,"5 1 1 4 1 12 31111 6 M59 94000 000181 0000R 00001 00141*")</f>
        <v>38132.379999999997</v>
      </c>
      <c r="G3032" s="83">
        <f>SUMIFS(G3033:G6462,K3033:K6462,"0",B3033:B6462,"5 1 1 4 1 12 31111 6 M59 94000 000181 0000R 00001 00141*")</f>
        <v>0</v>
      </c>
      <c r="H3032" s="83">
        <f t="shared" si="47"/>
        <v>38132.379999999997</v>
      </c>
      <c r="I3032" s="83"/>
      <c r="K3032" s="54" t="s">
        <v>15</v>
      </c>
    </row>
    <row r="3033" spans="2:11" ht="24.75" x14ac:dyDescent="0.2">
      <c r="B3033" s="82" t="s">
        <v>5340</v>
      </c>
      <c r="C3033" s="82" t="s">
        <v>1051</v>
      </c>
      <c r="D3033" s="83">
        <f>SUMIFS(D3034:D6462,K3034:K6462,"0",B3034:B6462,"5 1 1 4 1 12 31111 6 M59 94000 000181 0000R 00001 00141 015*")-SUMIFS(E3034:E6462,K3034:K6462,"0",B3034:B6462,"5 1 1 4 1 12 31111 6 M59 94000 000181 0000R 00001 00141 015*")</f>
        <v>0</v>
      </c>
      <c r="E3033" s="54"/>
      <c r="F3033" s="83">
        <f>SUMIFS(F3034:F6462,K3034:K6462,"0",B3034:B6462,"5 1 1 4 1 12 31111 6 M59 94000 000181 0000R 00001 00141 015*")</f>
        <v>38132.379999999997</v>
      </c>
      <c r="G3033" s="83">
        <f>SUMIFS(G3034:G6462,K3034:K6462,"0",B3034:B6462,"5 1 1 4 1 12 31111 6 M59 94000 000181 0000R 00001 00141 015*")</f>
        <v>0</v>
      </c>
      <c r="H3033" s="83">
        <f t="shared" si="47"/>
        <v>38132.379999999997</v>
      </c>
      <c r="I3033" s="83"/>
      <c r="K3033" s="54" t="s">
        <v>15</v>
      </c>
    </row>
    <row r="3034" spans="2:11" ht="33" x14ac:dyDescent="0.2">
      <c r="B3034" s="82" t="s">
        <v>5341</v>
      </c>
      <c r="C3034" s="82" t="s">
        <v>2927</v>
      </c>
      <c r="D3034" s="83">
        <f>SUMIFS(D3035:D6462,K3035:K6462,"0",B3035:B6462,"5 1 1 4 1 12 31111 6 M59 94000 000181 0000R 00001 00141 015 2111100*")-SUMIFS(E3035:E6462,K3035:K6462,"0",B3035:B6462,"5 1 1 4 1 12 31111 6 M59 94000 000181 0000R 00001 00141 015 2111100*")</f>
        <v>0</v>
      </c>
      <c r="E3034" s="54"/>
      <c r="F3034" s="83">
        <f>SUMIFS(F3035:F6462,K3035:K6462,"0",B3035:B6462,"5 1 1 4 1 12 31111 6 M59 94000 000181 0000R 00001 00141 015 2111100*")</f>
        <v>38132.379999999997</v>
      </c>
      <c r="G3034" s="83">
        <f>SUMIFS(G3035:G6462,K3035:K6462,"0",B3035:B6462,"5 1 1 4 1 12 31111 6 M59 94000 000181 0000R 00001 00141 015 2111100*")</f>
        <v>0</v>
      </c>
      <c r="H3034" s="83">
        <f t="shared" si="47"/>
        <v>38132.379999999997</v>
      </c>
      <c r="I3034" s="83"/>
      <c r="K3034" s="54" t="s">
        <v>15</v>
      </c>
    </row>
    <row r="3035" spans="2:11" ht="33" x14ac:dyDescent="0.2">
      <c r="B3035" s="82" t="s">
        <v>5342</v>
      </c>
      <c r="C3035" s="82" t="s">
        <v>660</v>
      </c>
      <c r="D3035" s="83">
        <f>SUMIFS(D3036:D6462,K3036:K6462,"0",B3036:B6462,"5 1 1 4 1 12 31111 6 M59 94000 000181 0000R 00001 00141 015 2111100 2024*")-SUMIFS(E3036:E6462,K3036:K6462,"0",B3036:B6462,"5 1 1 4 1 12 31111 6 M59 94000 000181 0000R 00001 00141 015 2111100 2024*")</f>
        <v>0</v>
      </c>
      <c r="E3035" s="54"/>
      <c r="F3035" s="83">
        <f>SUMIFS(F3036:F6462,K3036:K6462,"0",B3036:B6462,"5 1 1 4 1 12 31111 6 M59 94000 000181 0000R 00001 00141 015 2111100 2024*")</f>
        <v>38132.379999999997</v>
      </c>
      <c r="G3035" s="83">
        <f>SUMIFS(G3036:G6462,K3036:K6462,"0",B3036:B6462,"5 1 1 4 1 12 31111 6 M59 94000 000181 0000R 00001 00141 015 2111100 2024*")</f>
        <v>0</v>
      </c>
      <c r="H3035" s="83">
        <f t="shared" si="47"/>
        <v>38132.379999999997</v>
      </c>
      <c r="I3035" s="83"/>
      <c r="K3035" s="54" t="s">
        <v>15</v>
      </c>
    </row>
    <row r="3036" spans="2:11" ht="41.25" x14ac:dyDescent="0.2">
      <c r="B3036" s="82" t="s">
        <v>5343</v>
      </c>
      <c r="C3036" s="82" t="s">
        <v>1056</v>
      </c>
      <c r="D3036" s="83">
        <f>SUMIFS(D3037:D6462,K3037:K6462,"0",B3037:B6462,"5 1 1 4 1 12 31111 6 M59 94000 000181 0000R 00001 00141 015 2111100 2024 CP1OM392*")-SUMIFS(E3037:E6462,K3037:K6462,"0",B3037:B6462,"5 1 1 4 1 12 31111 6 M59 94000 000181 0000R 00001 00141 015 2111100 2024 CP1OM392*")</f>
        <v>0</v>
      </c>
      <c r="E3036" s="54"/>
      <c r="F3036" s="83">
        <f>SUMIFS(F3037:F6462,K3037:K6462,"0",B3037:B6462,"5 1 1 4 1 12 31111 6 M59 94000 000181 0000R 00001 00141 015 2111100 2024 CP1OM392*")</f>
        <v>38132.379999999997</v>
      </c>
      <c r="G3036" s="83">
        <f>SUMIFS(G3037:G6462,K3037:K6462,"0",B3037:B6462,"5 1 1 4 1 12 31111 6 M59 94000 000181 0000R 00001 00141 015 2111100 2024 CP1OM392*")</f>
        <v>0</v>
      </c>
      <c r="H3036" s="83">
        <f t="shared" si="47"/>
        <v>38132.379999999997</v>
      </c>
      <c r="I3036" s="83"/>
      <c r="K3036" s="54" t="s">
        <v>15</v>
      </c>
    </row>
    <row r="3037" spans="2:11" ht="41.25" x14ac:dyDescent="0.2">
      <c r="B3037" s="82" t="s">
        <v>5344</v>
      </c>
      <c r="C3037" s="82" t="s">
        <v>282</v>
      </c>
      <c r="D3037" s="83">
        <f>SUMIFS(D3038:D6462,K3038:K6462,"0",B3038:B6462,"5 1 1 4 1 12 31111 6 M59 94000 000181 0000R 00001 00141 015 2111100 2024 CP1OM392 001*")-SUMIFS(E3038:E6462,K3038:K6462,"0",B3038:B6462,"5 1 1 4 1 12 31111 6 M59 94000 000181 0000R 00001 00141 015 2111100 2024 CP1OM392 001*")</f>
        <v>0</v>
      </c>
      <c r="E3037" s="54"/>
      <c r="F3037" s="83">
        <f>SUMIFS(F3038:F6462,K3038:K6462,"0",B3038:B6462,"5 1 1 4 1 12 31111 6 M59 94000 000181 0000R 00001 00141 015 2111100 2024 CP1OM392 001*")</f>
        <v>38132.379999999997</v>
      </c>
      <c r="G3037" s="83">
        <f>SUMIFS(G3038:G6462,K3038:K6462,"0",B3038:B6462,"5 1 1 4 1 12 31111 6 M59 94000 000181 0000R 00001 00141 015 2111100 2024 CP1OM392 001*")</f>
        <v>0</v>
      </c>
      <c r="H3037" s="83">
        <f t="shared" si="47"/>
        <v>38132.379999999997</v>
      </c>
      <c r="I3037" s="83"/>
      <c r="K3037" s="54" t="s">
        <v>15</v>
      </c>
    </row>
    <row r="3038" spans="2:11" ht="33" x14ac:dyDescent="0.2">
      <c r="B3038" s="84" t="s">
        <v>5345</v>
      </c>
      <c r="C3038" s="84" t="s">
        <v>5164</v>
      </c>
      <c r="D3038" s="85">
        <v>0</v>
      </c>
      <c r="E3038" s="85"/>
      <c r="F3038" s="85">
        <v>38132.379999999997</v>
      </c>
      <c r="G3038" s="85">
        <v>0</v>
      </c>
      <c r="H3038" s="85">
        <f t="shared" si="47"/>
        <v>38132.379999999997</v>
      </c>
      <c r="I3038" s="85"/>
      <c r="K3038" s="54" t="s">
        <v>38</v>
      </c>
    </row>
    <row r="3039" spans="2:11" ht="16.5" x14ac:dyDescent="0.2">
      <c r="B3039" s="82" t="s">
        <v>5346</v>
      </c>
      <c r="C3039" s="82" t="s">
        <v>3656</v>
      </c>
      <c r="D3039" s="83">
        <f>SUMIFS(D3040:D6462,K3040:K6462,"0",B3040:B6462,"5 1 1 4 1 12 31111 6 M59 94100*")-SUMIFS(E3040:E6462,K3040:K6462,"0",B3040:B6462,"5 1 1 4 1 12 31111 6 M59 94100*")</f>
        <v>0</v>
      </c>
      <c r="E3039" s="54"/>
      <c r="F3039" s="83">
        <f>SUMIFS(F3040:F6462,K3040:K6462,"0",B3040:B6462,"5 1 1 4 1 12 31111 6 M59 94100*")</f>
        <v>15771.58</v>
      </c>
      <c r="G3039" s="83">
        <f>SUMIFS(G3040:G6462,K3040:K6462,"0",B3040:B6462,"5 1 1 4 1 12 31111 6 M59 94100*")</f>
        <v>0</v>
      </c>
      <c r="H3039" s="83">
        <f t="shared" si="47"/>
        <v>15771.58</v>
      </c>
      <c r="I3039" s="83"/>
      <c r="K3039" s="54" t="s">
        <v>15</v>
      </c>
    </row>
    <row r="3040" spans="2:11" ht="16.5" x14ac:dyDescent="0.2">
      <c r="B3040" s="82" t="s">
        <v>5347</v>
      </c>
      <c r="C3040" s="82" t="s">
        <v>648</v>
      </c>
      <c r="D3040" s="83">
        <f>SUMIFS(D3041:D6462,K3041:K6462,"0",B3041:B6462,"5 1 1 4 1 12 31111 6 M59 94100 000132*")-SUMIFS(E3041:E6462,K3041:K6462,"0",B3041:B6462,"5 1 1 4 1 12 31111 6 M59 94100 000132*")</f>
        <v>0</v>
      </c>
      <c r="E3040" s="54"/>
      <c r="F3040" s="83">
        <f>SUMIFS(F3041:F6462,K3041:K6462,"0",B3041:B6462,"5 1 1 4 1 12 31111 6 M59 94100 000132*")</f>
        <v>15771.58</v>
      </c>
      <c r="G3040" s="83">
        <f>SUMIFS(G3041:G6462,K3041:K6462,"0",B3041:B6462,"5 1 1 4 1 12 31111 6 M59 94100 000132*")</f>
        <v>0</v>
      </c>
      <c r="H3040" s="83">
        <f t="shared" si="47"/>
        <v>15771.58</v>
      </c>
      <c r="I3040" s="83"/>
      <c r="K3040" s="54" t="s">
        <v>15</v>
      </c>
    </row>
    <row r="3041" spans="2:11" ht="16.5" x14ac:dyDescent="0.2">
      <c r="B3041" s="82" t="s">
        <v>5348</v>
      </c>
      <c r="C3041" s="82" t="s">
        <v>650</v>
      </c>
      <c r="D3041" s="83">
        <f>SUMIFS(D3042:D6462,K3042:K6462,"0",B3042:B6462,"5 1 1 4 1 12 31111 6 M59 94100 000132 0000R*")-SUMIFS(E3042:E6462,K3042:K6462,"0",B3042:B6462,"5 1 1 4 1 12 31111 6 M59 94100 000132 0000R*")</f>
        <v>0</v>
      </c>
      <c r="E3041" s="54"/>
      <c r="F3041" s="83">
        <f>SUMIFS(F3042:F6462,K3042:K6462,"0",B3042:B6462,"5 1 1 4 1 12 31111 6 M59 94100 000132 0000R*")</f>
        <v>15771.58</v>
      </c>
      <c r="G3041" s="83">
        <f>SUMIFS(G3042:G6462,K3042:K6462,"0",B3042:B6462,"5 1 1 4 1 12 31111 6 M59 94100 000132 0000R*")</f>
        <v>0</v>
      </c>
      <c r="H3041" s="83">
        <f t="shared" si="47"/>
        <v>15771.58</v>
      </c>
      <c r="I3041" s="83"/>
      <c r="K3041" s="54" t="s">
        <v>15</v>
      </c>
    </row>
    <row r="3042" spans="2:11" ht="24.75" x14ac:dyDescent="0.2">
      <c r="B3042" s="82" t="s">
        <v>5349</v>
      </c>
      <c r="C3042" s="82" t="s">
        <v>282</v>
      </c>
      <c r="D3042" s="83">
        <f>SUMIFS(D3043:D6462,K3043:K6462,"0",B3043:B6462,"5 1 1 4 1 12 31111 6 M59 94100 000132 0000R 00001*")-SUMIFS(E3043:E6462,K3043:K6462,"0",B3043:B6462,"5 1 1 4 1 12 31111 6 M59 94100 000132 0000R 00001*")</f>
        <v>0</v>
      </c>
      <c r="E3042" s="54"/>
      <c r="F3042" s="83">
        <f>SUMIFS(F3043:F6462,K3043:K6462,"0",B3043:B6462,"5 1 1 4 1 12 31111 6 M59 94100 000132 0000R 00001*")</f>
        <v>15771.58</v>
      </c>
      <c r="G3042" s="83">
        <f>SUMIFS(G3043:G6462,K3043:K6462,"0",B3043:B6462,"5 1 1 4 1 12 31111 6 M59 94100 000132 0000R 00001*")</f>
        <v>0</v>
      </c>
      <c r="H3042" s="83">
        <f t="shared" si="47"/>
        <v>15771.58</v>
      </c>
      <c r="I3042" s="83"/>
      <c r="K3042" s="54" t="s">
        <v>15</v>
      </c>
    </row>
    <row r="3043" spans="2:11" ht="24.75" x14ac:dyDescent="0.2">
      <c r="B3043" s="82" t="s">
        <v>5350</v>
      </c>
      <c r="C3043" s="82" t="s">
        <v>5174</v>
      </c>
      <c r="D3043" s="83">
        <f>SUMIFS(D3044:D6462,K3044:K6462,"0",B3044:B6462,"5 1 1 4 1 12 31111 6 M59 94100 000132 0000R 00001 00141*")-SUMIFS(E3044:E6462,K3044:K6462,"0",B3044:B6462,"5 1 1 4 1 12 31111 6 M59 94100 000132 0000R 00001 00141*")</f>
        <v>0</v>
      </c>
      <c r="E3043" s="54"/>
      <c r="F3043" s="83">
        <f>SUMIFS(F3044:F6462,K3044:K6462,"0",B3044:B6462,"5 1 1 4 1 12 31111 6 M59 94100 000132 0000R 00001 00141*")</f>
        <v>15771.58</v>
      </c>
      <c r="G3043" s="83">
        <f>SUMIFS(G3044:G6462,K3044:K6462,"0",B3044:B6462,"5 1 1 4 1 12 31111 6 M59 94100 000132 0000R 00001 00141*")</f>
        <v>0</v>
      </c>
      <c r="H3043" s="83">
        <f t="shared" si="47"/>
        <v>15771.58</v>
      </c>
      <c r="I3043" s="83"/>
      <c r="K3043" s="54" t="s">
        <v>15</v>
      </c>
    </row>
    <row r="3044" spans="2:11" ht="24.75" x14ac:dyDescent="0.2">
      <c r="B3044" s="82" t="s">
        <v>5351</v>
      </c>
      <c r="C3044" s="82" t="s">
        <v>1051</v>
      </c>
      <c r="D3044" s="83">
        <f>SUMIFS(D3045:D6462,K3045:K6462,"0",B3045:B6462,"5 1 1 4 1 12 31111 6 M59 94100 000132 0000R 00001 00141 015*")-SUMIFS(E3045:E6462,K3045:K6462,"0",B3045:B6462,"5 1 1 4 1 12 31111 6 M59 94100 000132 0000R 00001 00141 015*")</f>
        <v>0</v>
      </c>
      <c r="E3044" s="54"/>
      <c r="F3044" s="83">
        <f>SUMIFS(F3045:F6462,K3045:K6462,"0",B3045:B6462,"5 1 1 4 1 12 31111 6 M59 94100 000132 0000R 00001 00141 015*")</f>
        <v>15771.58</v>
      </c>
      <c r="G3044" s="83">
        <f>SUMIFS(G3045:G6462,K3045:K6462,"0",B3045:B6462,"5 1 1 4 1 12 31111 6 M59 94100 000132 0000R 00001 00141 015*")</f>
        <v>0</v>
      </c>
      <c r="H3044" s="83">
        <f t="shared" si="47"/>
        <v>15771.58</v>
      </c>
      <c r="I3044" s="83"/>
      <c r="K3044" s="54" t="s">
        <v>15</v>
      </c>
    </row>
    <row r="3045" spans="2:11" ht="33" x14ac:dyDescent="0.2">
      <c r="B3045" s="82" t="s">
        <v>5352</v>
      </c>
      <c r="C3045" s="82" t="s">
        <v>2927</v>
      </c>
      <c r="D3045" s="83">
        <f>SUMIFS(D3046:D6462,K3046:K6462,"0",B3046:B6462,"5 1 1 4 1 12 31111 6 M59 94100 000132 0000R 00001 00141 015 2111100*")-SUMIFS(E3046:E6462,K3046:K6462,"0",B3046:B6462,"5 1 1 4 1 12 31111 6 M59 94100 000132 0000R 00001 00141 015 2111100*")</f>
        <v>0</v>
      </c>
      <c r="E3045" s="54"/>
      <c r="F3045" s="83">
        <f>SUMIFS(F3046:F6462,K3046:K6462,"0",B3046:B6462,"5 1 1 4 1 12 31111 6 M59 94100 000132 0000R 00001 00141 015 2111100*")</f>
        <v>15771.58</v>
      </c>
      <c r="G3045" s="83">
        <f>SUMIFS(G3046:G6462,K3046:K6462,"0",B3046:B6462,"5 1 1 4 1 12 31111 6 M59 94100 000132 0000R 00001 00141 015 2111100*")</f>
        <v>0</v>
      </c>
      <c r="H3045" s="83">
        <f t="shared" si="47"/>
        <v>15771.58</v>
      </c>
      <c r="I3045" s="83"/>
      <c r="K3045" s="54" t="s">
        <v>15</v>
      </c>
    </row>
    <row r="3046" spans="2:11" ht="33" x14ac:dyDescent="0.2">
      <c r="B3046" s="82" t="s">
        <v>5353</v>
      </c>
      <c r="C3046" s="82" t="s">
        <v>660</v>
      </c>
      <c r="D3046" s="83">
        <f>SUMIFS(D3047:D6462,K3047:K6462,"0",B3047:B6462,"5 1 1 4 1 12 31111 6 M59 94100 000132 0000R 00001 00141 015 2111100 2024*")-SUMIFS(E3047:E6462,K3047:K6462,"0",B3047:B6462,"5 1 1 4 1 12 31111 6 M59 94100 000132 0000R 00001 00141 015 2111100 2024*")</f>
        <v>0</v>
      </c>
      <c r="E3046" s="54"/>
      <c r="F3046" s="83">
        <f>SUMIFS(F3047:F6462,K3047:K6462,"0",B3047:B6462,"5 1 1 4 1 12 31111 6 M59 94100 000132 0000R 00001 00141 015 2111100 2024*")</f>
        <v>15771.58</v>
      </c>
      <c r="G3046" s="83">
        <f>SUMIFS(G3047:G6462,K3047:K6462,"0",B3047:B6462,"5 1 1 4 1 12 31111 6 M59 94100 000132 0000R 00001 00141 015 2111100 2024*")</f>
        <v>0</v>
      </c>
      <c r="H3046" s="83">
        <f t="shared" si="47"/>
        <v>15771.58</v>
      </c>
      <c r="I3046" s="83"/>
      <c r="K3046" s="54" t="s">
        <v>15</v>
      </c>
    </row>
    <row r="3047" spans="2:11" ht="41.25" x14ac:dyDescent="0.2">
      <c r="B3047" s="82" t="s">
        <v>5354</v>
      </c>
      <c r="C3047" s="82" t="s">
        <v>1056</v>
      </c>
      <c r="D3047" s="83">
        <f>SUMIFS(D3048:D6462,K3048:K6462,"0",B3048:B6462,"5 1 1 4 1 12 31111 6 M59 94100 000132 0000R 00001 00141 015 2111100 2024 CP1AT427*")-SUMIFS(E3048:E6462,K3048:K6462,"0",B3048:B6462,"5 1 1 4 1 12 31111 6 M59 94100 000132 0000R 00001 00141 015 2111100 2024 CP1AT427*")</f>
        <v>0</v>
      </c>
      <c r="E3047" s="54"/>
      <c r="F3047" s="83">
        <f>SUMIFS(F3048:F6462,K3048:K6462,"0",B3048:B6462,"5 1 1 4 1 12 31111 6 M59 94100 000132 0000R 00001 00141 015 2111100 2024 CP1AT427*")</f>
        <v>15771.58</v>
      </c>
      <c r="G3047" s="83">
        <f>SUMIFS(G3048:G6462,K3048:K6462,"0",B3048:B6462,"5 1 1 4 1 12 31111 6 M59 94100 000132 0000R 00001 00141 015 2111100 2024 CP1AT427*")</f>
        <v>0</v>
      </c>
      <c r="H3047" s="83">
        <f t="shared" si="47"/>
        <v>15771.58</v>
      </c>
      <c r="I3047" s="83"/>
      <c r="K3047" s="54" t="s">
        <v>15</v>
      </c>
    </row>
    <row r="3048" spans="2:11" ht="41.25" x14ac:dyDescent="0.2">
      <c r="B3048" s="82" t="s">
        <v>5355</v>
      </c>
      <c r="C3048" s="82" t="s">
        <v>282</v>
      </c>
      <c r="D3048" s="83">
        <f>SUMIFS(D3049:D6462,K3049:K6462,"0",B3049:B6462,"5 1 1 4 1 12 31111 6 M59 94100 000132 0000R 00001 00141 015 2111100 2024 CP1AT427 001*")-SUMIFS(E3049:E6462,K3049:K6462,"0",B3049:B6462,"5 1 1 4 1 12 31111 6 M59 94100 000132 0000R 00001 00141 015 2111100 2024 CP1AT427 001*")</f>
        <v>0</v>
      </c>
      <c r="E3048" s="54"/>
      <c r="F3048" s="83">
        <f>SUMIFS(F3049:F6462,K3049:K6462,"0",B3049:B6462,"5 1 1 4 1 12 31111 6 M59 94100 000132 0000R 00001 00141 015 2111100 2024 CP1AT427 001*")</f>
        <v>15771.58</v>
      </c>
      <c r="G3048" s="83">
        <f>SUMIFS(G3049:G6462,K3049:K6462,"0",B3049:B6462,"5 1 1 4 1 12 31111 6 M59 94100 000132 0000R 00001 00141 015 2111100 2024 CP1AT427 001*")</f>
        <v>0</v>
      </c>
      <c r="H3048" s="83">
        <f t="shared" si="47"/>
        <v>15771.58</v>
      </c>
      <c r="I3048" s="83"/>
      <c r="K3048" s="54" t="s">
        <v>15</v>
      </c>
    </row>
    <row r="3049" spans="2:11" ht="33" x14ac:dyDescent="0.2">
      <c r="B3049" s="84" t="s">
        <v>5356</v>
      </c>
      <c r="C3049" s="84" t="s">
        <v>5164</v>
      </c>
      <c r="D3049" s="85">
        <v>0</v>
      </c>
      <c r="E3049" s="85"/>
      <c r="F3049" s="85">
        <v>15771.58</v>
      </c>
      <c r="G3049" s="85">
        <v>0</v>
      </c>
      <c r="H3049" s="85">
        <f t="shared" si="47"/>
        <v>15771.58</v>
      </c>
      <c r="I3049" s="85"/>
      <c r="K3049" s="54" t="s">
        <v>38</v>
      </c>
    </row>
    <row r="3050" spans="2:11" ht="16.5" x14ac:dyDescent="0.2">
      <c r="B3050" s="82" t="s">
        <v>5357</v>
      </c>
      <c r="C3050" s="82" t="s">
        <v>3693</v>
      </c>
      <c r="D3050" s="83">
        <f>SUMIFS(D3051:D6462,K3051:K6462,"0",B3051:B6462,"5 1 1 4 1 12 31111 6 M59 96100*")-SUMIFS(E3051:E6462,K3051:K6462,"0",B3051:B6462,"5 1 1 4 1 12 31111 6 M59 96100*")</f>
        <v>0</v>
      </c>
      <c r="E3050" s="54"/>
      <c r="F3050" s="83">
        <f>SUMIFS(F3051:F6462,K3051:K6462,"0",B3051:B6462,"5 1 1 4 1 12 31111 6 M59 96100*")</f>
        <v>30937.08</v>
      </c>
      <c r="G3050" s="83">
        <f>SUMIFS(G3051:G6462,K3051:K6462,"0",B3051:B6462,"5 1 1 4 1 12 31111 6 M59 96100*")</f>
        <v>0</v>
      </c>
      <c r="H3050" s="83">
        <f t="shared" si="47"/>
        <v>30937.08</v>
      </c>
      <c r="I3050" s="83"/>
      <c r="K3050" s="54" t="s">
        <v>15</v>
      </c>
    </row>
    <row r="3051" spans="2:11" ht="16.5" x14ac:dyDescent="0.2">
      <c r="B3051" s="82" t="s">
        <v>5358</v>
      </c>
      <c r="C3051" s="82" t="s">
        <v>1310</v>
      </c>
      <c r="D3051" s="83">
        <f>SUMIFS(D3052:D6462,K3052:K6462,"0",B3052:B6462,"5 1 1 4 1 12 31111 6 M59 96100 000211*")-SUMIFS(E3052:E6462,K3052:K6462,"0",B3052:B6462,"5 1 1 4 1 12 31111 6 M59 96100 000211*")</f>
        <v>0</v>
      </c>
      <c r="E3051" s="54"/>
      <c r="F3051" s="83">
        <f>SUMIFS(F3052:F6462,K3052:K6462,"0",B3052:B6462,"5 1 1 4 1 12 31111 6 M59 96100 000211*")</f>
        <v>30937.08</v>
      </c>
      <c r="G3051" s="83">
        <f>SUMIFS(G3052:G6462,K3052:K6462,"0",B3052:B6462,"5 1 1 4 1 12 31111 6 M59 96100 000211*")</f>
        <v>0</v>
      </c>
      <c r="H3051" s="83">
        <f t="shared" ref="H3051:H3114" si="48">D3051 + F3051 - G3051</f>
        <v>30937.08</v>
      </c>
      <c r="I3051" s="83"/>
      <c r="K3051" s="54" t="s">
        <v>15</v>
      </c>
    </row>
    <row r="3052" spans="2:11" ht="16.5" x14ac:dyDescent="0.2">
      <c r="B3052" s="82" t="s">
        <v>5359</v>
      </c>
      <c r="C3052" s="82" t="s">
        <v>3696</v>
      </c>
      <c r="D3052" s="83">
        <f>SUMIFS(D3053:D6462,K3053:K6462,"0",B3053:B6462,"5 1 1 4 1 12 31111 6 M59 96100 000211 0000U*")-SUMIFS(E3053:E6462,K3053:K6462,"0",B3053:B6462,"5 1 1 4 1 12 31111 6 M59 96100 000211 0000U*")</f>
        <v>0</v>
      </c>
      <c r="E3052" s="54"/>
      <c r="F3052" s="83">
        <f>SUMIFS(F3053:F6462,K3053:K6462,"0",B3053:B6462,"5 1 1 4 1 12 31111 6 M59 96100 000211 0000U*")</f>
        <v>30937.08</v>
      </c>
      <c r="G3052" s="83">
        <f>SUMIFS(G3053:G6462,K3053:K6462,"0",B3053:B6462,"5 1 1 4 1 12 31111 6 M59 96100 000211 0000U*")</f>
        <v>0</v>
      </c>
      <c r="H3052" s="83">
        <f t="shared" si="48"/>
        <v>30937.08</v>
      </c>
      <c r="I3052" s="83"/>
      <c r="K3052" s="54" t="s">
        <v>15</v>
      </c>
    </row>
    <row r="3053" spans="2:11" ht="24.75" x14ac:dyDescent="0.2">
      <c r="B3053" s="82" t="s">
        <v>5360</v>
      </c>
      <c r="C3053" s="82" t="s">
        <v>282</v>
      </c>
      <c r="D3053" s="83">
        <f>SUMIFS(D3054:D6462,K3054:K6462,"0",B3054:B6462,"5 1 1 4 1 12 31111 6 M59 96100 000211 0000U 00001*")-SUMIFS(E3054:E6462,K3054:K6462,"0",B3054:B6462,"5 1 1 4 1 12 31111 6 M59 96100 000211 0000U 00001*")</f>
        <v>0</v>
      </c>
      <c r="E3053" s="54"/>
      <c r="F3053" s="83">
        <f>SUMIFS(F3054:F6462,K3054:K6462,"0",B3054:B6462,"5 1 1 4 1 12 31111 6 M59 96100 000211 0000U 00001*")</f>
        <v>30937.08</v>
      </c>
      <c r="G3053" s="83">
        <f>SUMIFS(G3054:G6462,K3054:K6462,"0",B3054:B6462,"5 1 1 4 1 12 31111 6 M59 96100 000211 0000U 00001*")</f>
        <v>0</v>
      </c>
      <c r="H3053" s="83">
        <f t="shared" si="48"/>
        <v>30937.08</v>
      </c>
      <c r="I3053" s="83"/>
      <c r="K3053" s="54" t="s">
        <v>15</v>
      </c>
    </row>
    <row r="3054" spans="2:11" ht="24.75" x14ac:dyDescent="0.2">
      <c r="B3054" s="82" t="s">
        <v>5361</v>
      </c>
      <c r="C3054" s="82" t="s">
        <v>5174</v>
      </c>
      <c r="D3054" s="83">
        <f>SUMIFS(D3055:D6462,K3055:K6462,"0",B3055:B6462,"5 1 1 4 1 12 31111 6 M59 96100 000211 0000U 00001 00141*")-SUMIFS(E3055:E6462,K3055:K6462,"0",B3055:B6462,"5 1 1 4 1 12 31111 6 M59 96100 000211 0000U 00001 00141*")</f>
        <v>0</v>
      </c>
      <c r="E3054" s="54"/>
      <c r="F3054" s="83">
        <f>SUMIFS(F3055:F6462,K3055:K6462,"0",B3055:B6462,"5 1 1 4 1 12 31111 6 M59 96100 000211 0000U 00001 00141*")</f>
        <v>30937.08</v>
      </c>
      <c r="G3054" s="83">
        <f>SUMIFS(G3055:G6462,K3055:K6462,"0",B3055:B6462,"5 1 1 4 1 12 31111 6 M59 96100 000211 0000U 00001 00141*")</f>
        <v>0</v>
      </c>
      <c r="H3054" s="83">
        <f t="shared" si="48"/>
        <v>30937.08</v>
      </c>
      <c r="I3054" s="83"/>
      <c r="K3054" s="54" t="s">
        <v>15</v>
      </c>
    </row>
    <row r="3055" spans="2:11" ht="24.75" x14ac:dyDescent="0.2">
      <c r="B3055" s="82" t="s">
        <v>5362</v>
      </c>
      <c r="C3055" s="82" t="s">
        <v>1051</v>
      </c>
      <c r="D3055" s="83">
        <f>SUMIFS(D3056:D6462,K3056:K6462,"0",B3056:B6462,"5 1 1 4 1 12 31111 6 M59 96100 000211 0000U 00001 00141 015*")-SUMIFS(E3056:E6462,K3056:K6462,"0",B3056:B6462,"5 1 1 4 1 12 31111 6 M59 96100 000211 0000U 00001 00141 015*")</f>
        <v>0</v>
      </c>
      <c r="E3055" s="54"/>
      <c r="F3055" s="83">
        <f>SUMIFS(F3056:F6462,K3056:K6462,"0",B3056:B6462,"5 1 1 4 1 12 31111 6 M59 96100 000211 0000U 00001 00141 015*")</f>
        <v>30937.08</v>
      </c>
      <c r="G3055" s="83">
        <f>SUMIFS(G3056:G6462,K3056:K6462,"0",B3056:B6462,"5 1 1 4 1 12 31111 6 M59 96100 000211 0000U 00001 00141 015*")</f>
        <v>0</v>
      </c>
      <c r="H3055" s="83">
        <f t="shared" si="48"/>
        <v>30937.08</v>
      </c>
      <c r="I3055" s="83"/>
      <c r="K3055" s="54" t="s">
        <v>15</v>
      </c>
    </row>
    <row r="3056" spans="2:11" ht="33" x14ac:dyDescent="0.2">
      <c r="B3056" s="82" t="s">
        <v>5363</v>
      </c>
      <c r="C3056" s="82" t="s">
        <v>2927</v>
      </c>
      <c r="D3056" s="83">
        <f>SUMIFS(D3057:D6462,K3057:K6462,"0",B3057:B6462,"5 1 1 4 1 12 31111 6 M59 96100 000211 0000U 00001 00141 015 2111100*")-SUMIFS(E3057:E6462,K3057:K6462,"0",B3057:B6462,"5 1 1 4 1 12 31111 6 M59 96100 000211 0000U 00001 00141 015 2111100*")</f>
        <v>0</v>
      </c>
      <c r="E3056" s="54"/>
      <c r="F3056" s="83">
        <f>SUMIFS(F3057:F6462,K3057:K6462,"0",B3057:B6462,"5 1 1 4 1 12 31111 6 M59 96100 000211 0000U 00001 00141 015 2111100*")</f>
        <v>30937.08</v>
      </c>
      <c r="G3056" s="83">
        <f>SUMIFS(G3057:G6462,K3057:K6462,"0",B3057:B6462,"5 1 1 4 1 12 31111 6 M59 96100 000211 0000U 00001 00141 015 2111100*")</f>
        <v>0</v>
      </c>
      <c r="H3056" s="83">
        <f t="shared" si="48"/>
        <v>30937.08</v>
      </c>
      <c r="I3056" s="83"/>
      <c r="K3056" s="54" t="s">
        <v>15</v>
      </c>
    </row>
    <row r="3057" spans="2:11" ht="33" x14ac:dyDescent="0.2">
      <c r="B3057" s="82" t="s">
        <v>5364</v>
      </c>
      <c r="C3057" s="82" t="s">
        <v>660</v>
      </c>
      <c r="D3057" s="83">
        <f>SUMIFS(D3058:D6462,K3058:K6462,"0",B3058:B6462,"5 1 1 4 1 12 31111 6 M59 96100 000211 0000U 00001 00141 015 2111100 2024*")-SUMIFS(E3058:E6462,K3058:K6462,"0",B3058:B6462,"5 1 1 4 1 12 31111 6 M59 96100 000211 0000U 00001 00141 015 2111100 2024*")</f>
        <v>0</v>
      </c>
      <c r="E3057" s="54"/>
      <c r="F3057" s="83">
        <f>SUMIFS(F3058:F6462,K3058:K6462,"0",B3058:B6462,"5 1 1 4 1 12 31111 6 M59 96100 000211 0000U 00001 00141 015 2111100 2024*")</f>
        <v>30937.08</v>
      </c>
      <c r="G3057" s="83">
        <f>SUMIFS(G3058:G6462,K3058:K6462,"0",B3058:B6462,"5 1 1 4 1 12 31111 6 M59 96100 000211 0000U 00001 00141 015 2111100 2024*")</f>
        <v>0</v>
      </c>
      <c r="H3057" s="83">
        <f t="shared" si="48"/>
        <v>30937.08</v>
      </c>
      <c r="I3057" s="83"/>
      <c r="K3057" s="54" t="s">
        <v>15</v>
      </c>
    </row>
    <row r="3058" spans="2:11" ht="41.25" x14ac:dyDescent="0.2">
      <c r="B3058" s="82" t="s">
        <v>5365</v>
      </c>
      <c r="C3058" s="82" t="s">
        <v>1056</v>
      </c>
      <c r="D3058" s="83">
        <f>SUMIFS(D3059:D6462,K3059:K6462,"0",B3059:B6462,"5 1 1 4 1 12 31111 6 M59 96100 000211 0000U 00001 00141 015 2111100 2024 CP1IU412*")-SUMIFS(E3059:E6462,K3059:K6462,"0",B3059:B6462,"5 1 1 4 1 12 31111 6 M59 96100 000211 0000U 00001 00141 015 2111100 2024 CP1IU412*")</f>
        <v>0</v>
      </c>
      <c r="E3058" s="54"/>
      <c r="F3058" s="83">
        <f>SUMIFS(F3059:F6462,K3059:K6462,"0",B3059:B6462,"5 1 1 4 1 12 31111 6 M59 96100 000211 0000U 00001 00141 015 2111100 2024 CP1IU412*")</f>
        <v>30937.08</v>
      </c>
      <c r="G3058" s="83">
        <f>SUMIFS(G3059:G6462,K3059:K6462,"0",B3059:B6462,"5 1 1 4 1 12 31111 6 M59 96100 000211 0000U 00001 00141 015 2111100 2024 CP1IU412*")</f>
        <v>0</v>
      </c>
      <c r="H3058" s="83">
        <f t="shared" si="48"/>
        <v>30937.08</v>
      </c>
      <c r="I3058" s="83"/>
      <c r="K3058" s="54" t="s">
        <v>15</v>
      </c>
    </row>
    <row r="3059" spans="2:11" ht="41.25" x14ac:dyDescent="0.2">
      <c r="B3059" s="82" t="s">
        <v>5366</v>
      </c>
      <c r="C3059" s="82" t="s">
        <v>282</v>
      </c>
      <c r="D3059" s="83">
        <f>SUMIFS(D3060:D6462,K3060:K6462,"0",B3060:B6462,"5 1 1 4 1 12 31111 6 M59 96100 000211 0000U 00001 00141 015 2111100 2024 CP1IU412 001*")-SUMIFS(E3060:E6462,K3060:K6462,"0",B3060:B6462,"5 1 1 4 1 12 31111 6 M59 96100 000211 0000U 00001 00141 015 2111100 2024 CP1IU412 001*")</f>
        <v>0</v>
      </c>
      <c r="E3059" s="54"/>
      <c r="F3059" s="83">
        <f>SUMIFS(F3060:F6462,K3060:K6462,"0",B3060:B6462,"5 1 1 4 1 12 31111 6 M59 96100 000211 0000U 00001 00141 015 2111100 2024 CP1IU412 001*")</f>
        <v>30937.08</v>
      </c>
      <c r="G3059" s="83">
        <f>SUMIFS(G3060:G6462,K3060:K6462,"0",B3060:B6462,"5 1 1 4 1 12 31111 6 M59 96100 000211 0000U 00001 00141 015 2111100 2024 CP1IU412 001*")</f>
        <v>0</v>
      </c>
      <c r="H3059" s="83">
        <f t="shared" si="48"/>
        <v>30937.08</v>
      </c>
      <c r="I3059" s="83"/>
      <c r="K3059" s="54" t="s">
        <v>15</v>
      </c>
    </row>
    <row r="3060" spans="2:11" ht="33" x14ac:dyDescent="0.2">
      <c r="B3060" s="84" t="s">
        <v>5367</v>
      </c>
      <c r="C3060" s="84" t="s">
        <v>5164</v>
      </c>
      <c r="D3060" s="85">
        <v>0</v>
      </c>
      <c r="E3060" s="85"/>
      <c r="F3060" s="85">
        <v>30937.08</v>
      </c>
      <c r="G3060" s="85">
        <v>0</v>
      </c>
      <c r="H3060" s="85">
        <f t="shared" si="48"/>
        <v>30937.08</v>
      </c>
      <c r="I3060" s="85"/>
      <c r="K3060" s="54" t="s">
        <v>38</v>
      </c>
    </row>
    <row r="3061" spans="2:11" ht="16.5" x14ac:dyDescent="0.2">
      <c r="B3061" s="82" t="s">
        <v>5368</v>
      </c>
      <c r="C3061" s="82" t="s">
        <v>3706</v>
      </c>
      <c r="D3061" s="83">
        <f>SUMIFS(D3062:D6462,K3062:K6462,"0",B3062:B6462,"5 1 1 4 1 12 31111 6 M59 96200*")-SUMIFS(E3062:E6462,K3062:K6462,"0",B3062:B6462,"5 1 1 4 1 12 31111 6 M59 96200*")</f>
        <v>0</v>
      </c>
      <c r="E3061" s="54"/>
      <c r="F3061" s="83">
        <f>SUMIFS(F3062:F6462,K3062:K6462,"0",B3062:B6462,"5 1 1 4 1 12 31111 6 M59 96200*")</f>
        <v>15771.58</v>
      </c>
      <c r="G3061" s="83">
        <f>SUMIFS(G3062:G6462,K3062:K6462,"0",B3062:B6462,"5 1 1 4 1 12 31111 6 M59 96200*")</f>
        <v>0</v>
      </c>
      <c r="H3061" s="83">
        <f t="shared" si="48"/>
        <v>15771.58</v>
      </c>
      <c r="I3061" s="83"/>
      <c r="K3061" s="54" t="s">
        <v>15</v>
      </c>
    </row>
    <row r="3062" spans="2:11" ht="16.5" x14ac:dyDescent="0.2">
      <c r="B3062" s="82" t="s">
        <v>5369</v>
      </c>
      <c r="C3062" s="82" t="s">
        <v>648</v>
      </c>
      <c r="D3062" s="83">
        <f>SUMIFS(D3063:D6462,K3063:K6462,"0",B3063:B6462,"5 1 1 4 1 12 31111 6 M59 96200 000132*")-SUMIFS(E3063:E6462,K3063:K6462,"0",B3063:B6462,"5 1 1 4 1 12 31111 6 M59 96200 000132*")</f>
        <v>0</v>
      </c>
      <c r="E3062" s="54"/>
      <c r="F3062" s="83">
        <f>SUMIFS(F3063:F6462,K3063:K6462,"0",B3063:B6462,"5 1 1 4 1 12 31111 6 M59 96200 000132*")</f>
        <v>15771.58</v>
      </c>
      <c r="G3062" s="83">
        <f>SUMIFS(G3063:G6462,K3063:K6462,"0",B3063:B6462,"5 1 1 4 1 12 31111 6 M59 96200 000132*")</f>
        <v>0</v>
      </c>
      <c r="H3062" s="83">
        <f t="shared" si="48"/>
        <v>15771.58</v>
      </c>
      <c r="I3062" s="83"/>
      <c r="K3062" s="54" t="s">
        <v>15</v>
      </c>
    </row>
    <row r="3063" spans="2:11" ht="16.5" x14ac:dyDescent="0.2">
      <c r="B3063" s="82" t="s">
        <v>5370</v>
      </c>
      <c r="C3063" s="82" t="s">
        <v>650</v>
      </c>
      <c r="D3063" s="83">
        <f>SUMIFS(D3064:D6462,K3064:K6462,"0",B3064:B6462,"5 1 1 4 1 12 31111 6 M59 96200 000132 0000R*")-SUMIFS(E3064:E6462,K3064:K6462,"0",B3064:B6462,"5 1 1 4 1 12 31111 6 M59 96200 000132 0000R*")</f>
        <v>0</v>
      </c>
      <c r="E3063" s="54"/>
      <c r="F3063" s="83">
        <f>SUMIFS(F3064:F6462,K3064:K6462,"0",B3064:B6462,"5 1 1 4 1 12 31111 6 M59 96200 000132 0000R*")</f>
        <v>15771.58</v>
      </c>
      <c r="G3063" s="83">
        <f>SUMIFS(G3064:G6462,K3064:K6462,"0",B3064:B6462,"5 1 1 4 1 12 31111 6 M59 96200 000132 0000R*")</f>
        <v>0</v>
      </c>
      <c r="H3063" s="83">
        <f t="shared" si="48"/>
        <v>15771.58</v>
      </c>
      <c r="I3063" s="83"/>
      <c r="K3063" s="54" t="s">
        <v>15</v>
      </c>
    </row>
    <row r="3064" spans="2:11" ht="24.75" x14ac:dyDescent="0.2">
      <c r="B3064" s="82" t="s">
        <v>5371</v>
      </c>
      <c r="C3064" s="82" t="s">
        <v>282</v>
      </c>
      <c r="D3064" s="83">
        <f>SUMIFS(D3065:D6462,K3065:K6462,"0",B3065:B6462,"5 1 1 4 1 12 31111 6 M59 96200 000132 0000R 00001*")-SUMIFS(E3065:E6462,K3065:K6462,"0",B3065:B6462,"5 1 1 4 1 12 31111 6 M59 96200 000132 0000R 00001*")</f>
        <v>0</v>
      </c>
      <c r="E3064" s="54"/>
      <c r="F3064" s="83">
        <f>SUMIFS(F3065:F6462,K3065:K6462,"0",B3065:B6462,"5 1 1 4 1 12 31111 6 M59 96200 000132 0000R 00001*")</f>
        <v>15771.58</v>
      </c>
      <c r="G3064" s="83">
        <f>SUMIFS(G3065:G6462,K3065:K6462,"0",B3065:B6462,"5 1 1 4 1 12 31111 6 M59 96200 000132 0000R 00001*")</f>
        <v>0</v>
      </c>
      <c r="H3064" s="83">
        <f t="shared" si="48"/>
        <v>15771.58</v>
      </c>
      <c r="I3064" s="83"/>
      <c r="K3064" s="54" t="s">
        <v>15</v>
      </c>
    </row>
    <row r="3065" spans="2:11" ht="24.75" x14ac:dyDescent="0.2">
      <c r="B3065" s="82" t="s">
        <v>5372</v>
      </c>
      <c r="C3065" s="82" t="s">
        <v>5174</v>
      </c>
      <c r="D3065" s="83">
        <f>SUMIFS(D3066:D6462,K3066:K6462,"0",B3066:B6462,"5 1 1 4 1 12 31111 6 M59 96200 000132 0000R 00001 00141*")-SUMIFS(E3066:E6462,K3066:K6462,"0",B3066:B6462,"5 1 1 4 1 12 31111 6 M59 96200 000132 0000R 00001 00141*")</f>
        <v>0</v>
      </c>
      <c r="E3065" s="54"/>
      <c r="F3065" s="83">
        <f>SUMIFS(F3066:F6462,K3066:K6462,"0",B3066:B6462,"5 1 1 4 1 12 31111 6 M59 96200 000132 0000R 00001 00141*")</f>
        <v>15771.58</v>
      </c>
      <c r="G3065" s="83">
        <f>SUMIFS(G3066:G6462,K3066:K6462,"0",B3066:B6462,"5 1 1 4 1 12 31111 6 M59 96200 000132 0000R 00001 00141*")</f>
        <v>0</v>
      </c>
      <c r="H3065" s="83">
        <f t="shared" si="48"/>
        <v>15771.58</v>
      </c>
      <c r="I3065" s="83"/>
      <c r="K3065" s="54" t="s">
        <v>15</v>
      </c>
    </row>
    <row r="3066" spans="2:11" ht="24.75" x14ac:dyDescent="0.2">
      <c r="B3066" s="82" t="s">
        <v>5373</v>
      </c>
      <c r="C3066" s="82" t="s">
        <v>1051</v>
      </c>
      <c r="D3066" s="83">
        <f>SUMIFS(D3067:D6462,K3067:K6462,"0",B3067:B6462,"5 1 1 4 1 12 31111 6 M59 96200 000132 0000R 00001 00141 015*")-SUMIFS(E3067:E6462,K3067:K6462,"0",B3067:B6462,"5 1 1 4 1 12 31111 6 M59 96200 000132 0000R 00001 00141 015*")</f>
        <v>0</v>
      </c>
      <c r="E3066" s="54"/>
      <c r="F3066" s="83">
        <f>SUMIFS(F3067:F6462,K3067:K6462,"0",B3067:B6462,"5 1 1 4 1 12 31111 6 M59 96200 000132 0000R 00001 00141 015*")</f>
        <v>15771.58</v>
      </c>
      <c r="G3066" s="83">
        <f>SUMIFS(G3067:G6462,K3067:K6462,"0",B3067:B6462,"5 1 1 4 1 12 31111 6 M59 96200 000132 0000R 00001 00141 015*")</f>
        <v>0</v>
      </c>
      <c r="H3066" s="83">
        <f t="shared" si="48"/>
        <v>15771.58</v>
      </c>
      <c r="I3066" s="83"/>
      <c r="K3066" s="54" t="s">
        <v>15</v>
      </c>
    </row>
    <row r="3067" spans="2:11" ht="33" x14ac:dyDescent="0.2">
      <c r="B3067" s="82" t="s">
        <v>5374</v>
      </c>
      <c r="C3067" s="82" t="s">
        <v>2927</v>
      </c>
      <c r="D3067" s="83">
        <f>SUMIFS(D3068:D6462,K3068:K6462,"0",B3068:B6462,"5 1 1 4 1 12 31111 6 M59 96200 000132 0000R 00001 00141 015 2111100*")-SUMIFS(E3068:E6462,K3068:K6462,"0",B3068:B6462,"5 1 1 4 1 12 31111 6 M59 96200 000132 0000R 00001 00141 015 2111100*")</f>
        <v>0</v>
      </c>
      <c r="E3067" s="54"/>
      <c r="F3067" s="83">
        <f>SUMIFS(F3068:F6462,K3068:K6462,"0",B3068:B6462,"5 1 1 4 1 12 31111 6 M59 96200 000132 0000R 00001 00141 015 2111100*")</f>
        <v>15771.58</v>
      </c>
      <c r="G3067" s="83">
        <f>SUMIFS(G3068:G6462,K3068:K6462,"0",B3068:B6462,"5 1 1 4 1 12 31111 6 M59 96200 000132 0000R 00001 00141 015 2111100*")</f>
        <v>0</v>
      </c>
      <c r="H3067" s="83">
        <f t="shared" si="48"/>
        <v>15771.58</v>
      </c>
      <c r="I3067" s="83"/>
      <c r="K3067" s="54" t="s">
        <v>15</v>
      </c>
    </row>
    <row r="3068" spans="2:11" ht="33" x14ac:dyDescent="0.2">
      <c r="B3068" s="82" t="s">
        <v>5375</v>
      </c>
      <c r="C3068" s="82" t="s">
        <v>660</v>
      </c>
      <c r="D3068" s="83">
        <f>SUMIFS(D3069:D6462,K3069:K6462,"0",B3069:B6462,"5 1 1 4 1 12 31111 6 M59 96200 000132 0000R 00001 00141 015 2111100 2024*")-SUMIFS(E3069:E6462,K3069:K6462,"0",B3069:B6462,"5 1 1 4 1 12 31111 6 M59 96200 000132 0000R 00001 00141 015 2111100 2024*")</f>
        <v>0</v>
      </c>
      <c r="E3068" s="54"/>
      <c r="F3068" s="83">
        <f>SUMIFS(F3069:F6462,K3069:K6462,"0",B3069:B6462,"5 1 1 4 1 12 31111 6 M59 96200 000132 0000R 00001 00141 015 2111100 2024*")</f>
        <v>15771.58</v>
      </c>
      <c r="G3068" s="83">
        <f>SUMIFS(G3069:G6462,K3069:K6462,"0",B3069:B6462,"5 1 1 4 1 12 31111 6 M59 96200 000132 0000R 00001 00141 015 2111100 2024*")</f>
        <v>0</v>
      </c>
      <c r="H3068" s="83">
        <f t="shared" si="48"/>
        <v>15771.58</v>
      </c>
      <c r="I3068" s="83"/>
      <c r="K3068" s="54" t="s">
        <v>15</v>
      </c>
    </row>
    <row r="3069" spans="2:11" ht="41.25" x14ac:dyDescent="0.2">
      <c r="B3069" s="82" t="s">
        <v>5376</v>
      </c>
      <c r="C3069" s="82" t="s">
        <v>662</v>
      </c>
      <c r="D3069" s="83">
        <f>SUMIFS(D3070:D6462,K3070:K6462,"0",B3070:B6462,"5 1 1 4 1 12 31111 6 M59 96200 000132 0000R 00001 00141 015 2111100 2024 CP1AL423*")-SUMIFS(E3070:E6462,K3070:K6462,"0",B3070:B6462,"5 1 1 4 1 12 31111 6 M59 96200 000132 0000R 00001 00141 015 2111100 2024 CP1AL423*")</f>
        <v>0</v>
      </c>
      <c r="E3069" s="54"/>
      <c r="F3069" s="83">
        <f>SUMIFS(F3070:F6462,K3070:K6462,"0",B3070:B6462,"5 1 1 4 1 12 31111 6 M59 96200 000132 0000R 00001 00141 015 2111100 2024 CP1AL423*")</f>
        <v>15771.58</v>
      </c>
      <c r="G3069" s="83">
        <f>SUMIFS(G3070:G6462,K3070:K6462,"0",B3070:B6462,"5 1 1 4 1 12 31111 6 M59 96200 000132 0000R 00001 00141 015 2111100 2024 CP1AL423*")</f>
        <v>0</v>
      </c>
      <c r="H3069" s="83">
        <f t="shared" si="48"/>
        <v>15771.58</v>
      </c>
      <c r="I3069" s="83"/>
      <c r="K3069" s="54" t="s">
        <v>15</v>
      </c>
    </row>
    <row r="3070" spans="2:11" ht="41.25" x14ac:dyDescent="0.2">
      <c r="B3070" s="82" t="s">
        <v>5377</v>
      </c>
      <c r="C3070" s="82" t="s">
        <v>282</v>
      </c>
      <c r="D3070" s="83">
        <f>SUMIFS(D3071:D6462,K3071:K6462,"0",B3071:B6462,"5 1 1 4 1 12 31111 6 M59 96200 000132 0000R 00001 00141 015 2111100 2024 CP1AL423 001*")-SUMIFS(E3071:E6462,K3071:K6462,"0",B3071:B6462,"5 1 1 4 1 12 31111 6 M59 96200 000132 0000R 00001 00141 015 2111100 2024 CP1AL423 001*")</f>
        <v>0</v>
      </c>
      <c r="E3070" s="54"/>
      <c r="F3070" s="83">
        <f>SUMIFS(F3071:F6462,K3071:K6462,"0",B3071:B6462,"5 1 1 4 1 12 31111 6 M59 96200 000132 0000R 00001 00141 015 2111100 2024 CP1AL423 001*")</f>
        <v>15771.58</v>
      </c>
      <c r="G3070" s="83">
        <f>SUMIFS(G3071:G6462,K3071:K6462,"0",B3071:B6462,"5 1 1 4 1 12 31111 6 M59 96200 000132 0000R 00001 00141 015 2111100 2024 CP1AL423 001*")</f>
        <v>0</v>
      </c>
      <c r="H3070" s="83">
        <f t="shared" si="48"/>
        <v>15771.58</v>
      </c>
      <c r="I3070" s="83"/>
      <c r="K3070" s="54" t="s">
        <v>15</v>
      </c>
    </row>
    <row r="3071" spans="2:11" ht="41.25" x14ac:dyDescent="0.2">
      <c r="B3071" s="84" t="s">
        <v>5378</v>
      </c>
      <c r="C3071" s="84" t="s">
        <v>5164</v>
      </c>
      <c r="D3071" s="85">
        <v>0</v>
      </c>
      <c r="E3071" s="85"/>
      <c r="F3071" s="85">
        <v>15771.58</v>
      </c>
      <c r="G3071" s="85">
        <v>0</v>
      </c>
      <c r="H3071" s="85">
        <f t="shared" si="48"/>
        <v>15771.58</v>
      </c>
      <c r="I3071" s="85"/>
      <c r="K3071" s="54" t="s">
        <v>38</v>
      </c>
    </row>
    <row r="3072" spans="2:11" ht="16.5" x14ac:dyDescent="0.2">
      <c r="B3072" s="82" t="s">
        <v>5379</v>
      </c>
      <c r="C3072" s="82" t="s">
        <v>1308</v>
      </c>
      <c r="D3072" s="83">
        <f>SUMIFS(D3073:D6462,K3073:K6462,"0",B3073:B6462,"5 1 1 4 1 12 31111 6 M59 96300*")-SUMIFS(E3073:E6462,K3073:K6462,"0",B3073:B6462,"5 1 1 4 1 12 31111 6 M59 96300*")</f>
        <v>0</v>
      </c>
      <c r="E3072" s="54"/>
      <c r="F3072" s="83">
        <f>SUMIFS(F3073:F6462,K3073:K6462,"0",B3073:B6462,"5 1 1 4 1 12 31111 6 M59 96300*")</f>
        <v>70779.789999999994</v>
      </c>
      <c r="G3072" s="83">
        <f>SUMIFS(G3073:G6462,K3073:K6462,"0",B3073:B6462,"5 1 1 4 1 12 31111 6 M59 96300*")</f>
        <v>0</v>
      </c>
      <c r="H3072" s="83">
        <f t="shared" si="48"/>
        <v>70779.789999999994</v>
      </c>
      <c r="I3072" s="83"/>
      <c r="K3072" s="54" t="s">
        <v>15</v>
      </c>
    </row>
    <row r="3073" spans="2:11" ht="16.5" x14ac:dyDescent="0.2">
      <c r="B3073" s="82" t="s">
        <v>5380</v>
      </c>
      <c r="C3073" s="82" t="s">
        <v>1310</v>
      </c>
      <c r="D3073" s="83">
        <f>SUMIFS(D3074:D6462,K3074:K6462,"0",B3074:B6462,"5 1 1 4 1 12 31111 6 M59 96300 000211*")-SUMIFS(E3074:E6462,K3074:K6462,"0",B3074:B6462,"5 1 1 4 1 12 31111 6 M59 96300 000211*")</f>
        <v>0</v>
      </c>
      <c r="E3073" s="54"/>
      <c r="F3073" s="83">
        <f>SUMIFS(F3074:F6462,K3074:K6462,"0",B3074:B6462,"5 1 1 4 1 12 31111 6 M59 96300 000211*")</f>
        <v>70779.789999999994</v>
      </c>
      <c r="G3073" s="83">
        <f>SUMIFS(G3074:G6462,K3074:K6462,"0",B3074:B6462,"5 1 1 4 1 12 31111 6 M59 96300 000211*")</f>
        <v>0</v>
      </c>
      <c r="H3073" s="83">
        <f t="shared" si="48"/>
        <v>70779.789999999994</v>
      </c>
      <c r="I3073" s="83"/>
      <c r="K3073" s="54" t="s">
        <v>15</v>
      </c>
    </row>
    <row r="3074" spans="2:11" ht="16.5" x14ac:dyDescent="0.2">
      <c r="B3074" s="82" t="s">
        <v>5381</v>
      </c>
      <c r="C3074" s="82" t="s">
        <v>1065</v>
      </c>
      <c r="D3074" s="83">
        <f>SUMIFS(D3075:D6462,K3075:K6462,"0",B3075:B6462,"5 1 1 4 1 12 31111 6 M59 96300 000211 0000E*")-SUMIFS(E3075:E6462,K3075:K6462,"0",B3075:B6462,"5 1 1 4 1 12 31111 6 M59 96300 000211 0000E*")</f>
        <v>0</v>
      </c>
      <c r="E3074" s="54"/>
      <c r="F3074" s="83">
        <f>SUMIFS(F3075:F6462,K3075:K6462,"0",B3075:B6462,"5 1 1 4 1 12 31111 6 M59 96300 000211 0000E*")</f>
        <v>70779.789999999994</v>
      </c>
      <c r="G3074" s="83">
        <f>SUMIFS(G3075:G6462,K3075:K6462,"0",B3075:B6462,"5 1 1 4 1 12 31111 6 M59 96300 000211 0000E*")</f>
        <v>0</v>
      </c>
      <c r="H3074" s="83">
        <f t="shared" si="48"/>
        <v>70779.789999999994</v>
      </c>
      <c r="I3074" s="83"/>
      <c r="K3074" s="54" t="s">
        <v>15</v>
      </c>
    </row>
    <row r="3075" spans="2:11" ht="24.75" x14ac:dyDescent="0.2">
      <c r="B3075" s="82" t="s">
        <v>5382</v>
      </c>
      <c r="C3075" s="82" t="s">
        <v>282</v>
      </c>
      <c r="D3075" s="83">
        <f>SUMIFS(D3076:D6462,K3076:K6462,"0",B3076:B6462,"5 1 1 4 1 12 31111 6 M59 96300 000211 0000E 00001*")-SUMIFS(E3076:E6462,K3076:K6462,"0",B3076:B6462,"5 1 1 4 1 12 31111 6 M59 96300 000211 0000E 00001*")</f>
        <v>0</v>
      </c>
      <c r="E3075" s="54"/>
      <c r="F3075" s="83">
        <f>SUMIFS(F3076:F6462,K3076:K6462,"0",B3076:B6462,"5 1 1 4 1 12 31111 6 M59 96300 000211 0000E 00001*")</f>
        <v>70779.789999999994</v>
      </c>
      <c r="G3075" s="83">
        <f>SUMIFS(G3076:G6462,K3076:K6462,"0",B3076:B6462,"5 1 1 4 1 12 31111 6 M59 96300 000211 0000E 00001*")</f>
        <v>0</v>
      </c>
      <c r="H3075" s="83">
        <f t="shared" si="48"/>
        <v>70779.789999999994</v>
      </c>
      <c r="I3075" s="83"/>
      <c r="K3075" s="54" t="s">
        <v>15</v>
      </c>
    </row>
    <row r="3076" spans="2:11" ht="24.75" x14ac:dyDescent="0.2">
      <c r="B3076" s="82" t="s">
        <v>5383</v>
      </c>
      <c r="C3076" s="82" t="s">
        <v>5174</v>
      </c>
      <c r="D3076" s="83">
        <f>SUMIFS(D3077:D6462,K3077:K6462,"0",B3077:B6462,"5 1 1 4 1 12 31111 6 M59 96300 000211 0000E 00001 00141*")-SUMIFS(E3077:E6462,K3077:K6462,"0",B3077:B6462,"5 1 1 4 1 12 31111 6 M59 96300 000211 0000E 00001 00141*")</f>
        <v>0</v>
      </c>
      <c r="E3076" s="54"/>
      <c r="F3076" s="83">
        <f>SUMIFS(F3077:F6462,K3077:K6462,"0",B3077:B6462,"5 1 1 4 1 12 31111 6 M59 96300 000211 0000E 00001 00141*")</f>
        <v>70779.789999999994</v>
      </c>
      <c r="G3076" s="83">
        <f>SUMIFS(G3077:G6462,K3077:K6462,"0",B3077:B6462,"5 1 1 4 1 12 31111 6 M59 96300 000211 0000E 00001 00141*")</f>
        <v>0</v>
      </c>
      <c r="H3076" s="83">
        <f t="shared" si="48"/>
        <v>70779.789999999994</v>
      </c>
      <c r="I3076" s="83"/>
      <c r="K3076" s="54" t="s">
        <v>15</v>
      </c>
    </row>
    <row r="3077" spans="2:11" ht="24.75" x14ac:dyDescent="0.2">
      <c r="B3077" s="82" t="s">
        <v>5384</v>
      </c>
      <c r="C3077" s="82" t="s">
        <v>1051</v>
      </c>
      <c r="D3077" s="83">
        <f>SUMIFS(D3078:D6462,K3078:K6462,"0",B3078:B6462,"5 1 1 4 1 12 31111 6 M59 96300 000211 0000E 00001 00141 015*")-SUMIFS(E3078:E6462,K3078:K6462,"0",B3078:B6462,"5 1 1 4 1 12 31111 6 M59 96300 000211 0000E 00001 00141 015*")</f>
        <v>0</v>
      </c>
      <c r="E3077" s="54"/>
      <c r="F3077" s="83">
        <f>SUMIFS(F3078:F6462,K3078:K6462,"0",B3078:B6462,"5 1 1 4 1 12 31111 6 M59 96300 000211 0000E 00001 00141 015*")</f>
        <v>70779.789999999994</v>
      </c>
      <c r="G3077" s="83">
        <f>SUMIFS(G3078:G6462,K3078:K6462,"0",B3078:B6462,"5 1 1 4 1 12 31111 6 M59 96300 000211 0000E 00001 00141 015*")</f>
        <v>0</v>
      </c>
      <c r="H3077" s="83">
        <f t="shared" si="48"/>
        <v>70779.789999999994</v>
      </c>
      <c r="I3077" s="83"/>
      <c r="K3077" s="54" t="s">
        <v>15</v>
      </c>
    </row>
    <row r="3078" spans="2:11" ht="33" x14ac:dyDescent="0.2">
      <c r="B3078" s="82" t="s">
        <v>5385</v>
      </c>
      <c r="C3078" s="82" t="s">
        <v>2927</v>
      </c>
      <c r="D3078" s="83">
        <f>SUMIFS(D3079:D6462,K3079:K6462,"0",B3079:B6462,"5 1 1 4 1 12 31111 6 M59 96300 000211 0000E 00001 00141 015 2111100*")-SUMIFS(E3079:E6462,K3079:K6462,"0",B3079:B6462,"5 1 1 4 1 12 31111 6 M59 96300 000211 0000E 00001 00141 015 2111100*")</f>
        <v>0</v>
      </c>
      <c r="E3078" s="54"/>
      <c r="F3078" s="83">
        <f>SUMIFS(F3079:F6462,K3079:K6462,"0",B3079:B6462,"5 1 1 4 1 12 31111 6 M59 96300 000211 0000E 00001 00141 015 2111100*")</f>
        <v>70779.789999999994</v>
      </c>
      <c r="G3078" s="83">
        <f>SUMIFS(G3079:G6462,K3079:K6462,"0",B3079:B6462,"5 1 1 4 1 12 31111 6 M59 96300 000211 0000E 00001 00141 015 2111100*")</f>
        <v>0</v>
      </c>
      <c r="H3078" s="83">
        <f t="shared" si="48"/>
        <v>70779.789999999994</v>
      </c>
      <c r="I3078" s="83"/>
      <c r="K3078" s="54" t="s">
        <v>15</v>
      </c>
    </row>
    <row r="3079" spans="2:11" ht="33" x14ac:dyDescent="0.2">
      <c r="B3079" s="82" t="s">
        <v>5386</v>
      </c>
      <c r="C3079" s="82" t="s">
        <v>660</v>
      </c>
      <c r="D3079" s="83">
        <f>SUMIFS(D3080:D6462,K3080:K6462,"0",B3080:B6462,"5 1 1 4 1 12 31111 6 M59 96300 000211 0000E 00001 00141 015 2111100 2024*")-SUMIFS(E3080:E6462,K3080:K6462,"0",B3080:B6462,"5 1 1 4 1 12 31111 6 M59 96300 000211 0000E 00001 00141 015 2111100 2024*")</f>
        <v>0</v>
      </c>
      <c r="E3079" s="54"/>
      <c r="F3079" s="83">
        <f>SUMIFS(F3080:F6462,K3080:K6462,"0",B3080:B6462,"5 1 1 4 1 12 31111 6 M59 96300 000211 0000E 00001 00141 015 2111100 2024*")</f>
        <v>70779.789999999994</v>
      </c>
      <c r="G3079" s="83">
        <f>SUMIFS(G3080:G6462,K3080:K6462,"0",B3080:B6462,"5 1 1 4 1 12 31111 6 M59 96300 000211 0000E 00001 00141 015 2111100 2024*")</f>
        <v>0</v>
      </c>
      <c r="H3079" s="83">
        <f t="shared" si="48"/>
        <v>70779.789999999994</v>
      </c>
      <c r="I3079" s="83"/>
      <c r="K3079" s="54" t="s">
        <v>15</v>
      </c>
    </row>
    <row r="3080" spans="2:11" ht="41.25" x14ac:dyDescent="0.2">
      <c r="B3080" s="82" t="s">
        <v>5387</v>
      </c>
      <c r="C3080" s="82" t="s">
        <v>1056</v>
      </c>
      <c r="D3080" s="83">
        <f>SUMIFS(D3081:D6462,K3081:K6462,"0",B3081:B6462,"5 1 1 4 1 12 31111 6 M59 96300 000211 0000E 00001 00141 015 2111100 2024 CP1SB396*")-SUMIFS(E3081:E6462,K3081:K6462,"0",B3081:B6462,"5 1 1 4 1 12 31111 6 M59 96300 000211 0000E 00001 00141 015 2111100 2024 CP1SB396*")</f>
        <v>0</v>
      </c>
      <c r="E3080" s="54"/>
      <c r="F3080" s="83">
        <f>SUMIFS(F3081:F6462,K3081:K6462,"0",B3081:B6462,"5 1 1 4 1 12 31111 6 M59 96300 000211 0000E 00001 00141 015 2111100 2024 CP1SB396*")</f>
        <v>70779.789999999994</v>
      </c>
      <c r="G3080" s="83">
        <f>SUMIFS(G3081:G6462,K3081:K6462,"0",B3081:B6462,"5 1 1 4 1 12 31111 6 M59 96300 000211 0000E 00001 00141 015 2111100 2024 CP1SB396*")</f>
        <v>0</v>
      </c>
      <c r="H3080" s="83">
        <f t="shared" si="48"/>
        <v>70779.789999999994</v>
      </c>
      <c r="I3080" s="83"/>
      <c r="K3080" s="54" t="s">
        <v>15</v>
      </c>
    </row>
    <row r="3081" spans="2:11" ht="41.25" x14ac:dyDescent="0.2">
      <c r="B3081" s="82" t="s">
        <v>5388</v>
      </c>
      <c r="C3081" s="82" t="s">
        <v>282</v>
      </c>
      <c r="D3081" s="83">
        <f>SUMIFS(D3082:D6462,K3082:K6462,"0",B3082:B6462,"5 1 1 4 1 12 31111 6 M59 96300 000211 0000E 00001 00141 015 2111100 2024 CP1SB396 001*")-SUMIFS(E3082:E6462,K3082:K6462,"0",B3082:B6462,"5 1 1 4 1 12 31111 6 M59 96300 000211 0000E 00001 00141 015 2111100 2024 CP1SB396 001*")</f>
        <v>0</v>
      </c>
      <c r="E3081" s="54"/>
      <c r="F3081" s="83">
        <f>SUMIFS(F3082:F6462,K3082:K6462,"0",B3082:B6462,"5 1 1 4 1 12 31111 6 M59 96300 000211 0000E 00001 00141 015 2111100 2024 CP1SB396 001*")</f>
        <v>70779.789999999994</v>
      </c>
      <c r="G3081" s="83">
        <f>SUMIFS(G3082:G6462,K3082:K6462,"0",B3082:B6462,"5 1 1 4 1 12 31111 6 M59 96300 000211 0000E 00001 00141 015 2111100 2024 CP1SB396 001*")</f>
        <v>0</v>
      </c>
      <c r="H3081" s="83">
        <f t="shared" si="48"/>
        <v>70779.789999999994</v>
      </c>
      <c r="I3081" s="83"/>
      <c r="K3081" s="54" t="s">
        <v>15</v>
      </c>
    </row>
    <row r="3082" spans="2:11" ht="33" x14ac:dyDescent="0.2">
      <c r="B3082" s="84" t="s">
        <v>5389</v>
      </c>
      <c r="C3082" s="84" t="s">
        <v>5164</v>
      </c>
      <c r="D3082" s="85">
        <v>0</v>
      </c>
      <c r="E3082" s="85"/>
      <c r="F3082" s="85">
        <v>70779.789999999994</v>
      </c>
      <c r="G3082" s="85">
        <v>0</v>
      </c>
      <c r="H3082" s="85">
        <f t="shared" si="48"/>
        <v>70779.789999999994</v>
      </c>
      <c r="I3082" s="85"/>
      <c r="K3082" s="54" t="s">
        <v>38</v>
      </c>
    </row>
    <row r="3083" spans="2:11" ht="16.5" x14ac:dyDescent="0.2">
      <c r="B3083" s="82" t="s">
        <v>5390</v>
      </c>
      <c r="C3083" s="82" t="s">
        <v>5391</v>
      </c>
      <c r="D3083" s="83">
        <f>SUMIFS(D3084:D6462,K3084:K6462,"0",B3084:B6462,"5 1 1 5*")-SUMIFS(E3084:E6462,K3084:K6462,"0",B3084:B6462,"5 1 1 5*")</f>
        <v>0</v>
      </c>
      <c r="E3083" s="54"/>
      <c r="F3083" s="83">
        <f>SUMIFS(F3084:F6462,K3084:K6462,"0",B3084:B6462,"5 1 1 5*")</f>
        <v>1276012.3400000001</v>
      </c>
      <c r="G3083" s="83">
        <f>SUMIFS(G3084:G6462,K3084:K6462,"0",B3084:B6462,"5 1 1 5*")</f>
        <v>0</v>
      </c>
      <c r="H3083" s="83">
        <f t="shared" si="48"/>
        <v>1276012.3400000001</v>
      </c>
      <c r="I3083" s="83"/>
      <c r="K3083" s="54" t="s">
        <v>15</v>
      </c>
    </row>
    <row r="3084" spans="2:11" ht="12.75" x14ac:dyDescent="0.2">
      <c r="B3084" s="82" t="s">
        <v>5392</v>
      </c>
      <c r="C3084" s="82" t="s">
        <v>5393</v>
      </c>
      <c r="D3084" s="83">
        <f>SUMIFS(D3085:D6462,K3085:K6462,"0",B3085:B6462,"5 1 1 5 2*")-SUMIFS(E3085:E6462,K3085:K6462,"0",B3085:B6462,"5 1 1 5 2*")</f>
        <v>0</v>
      </c>
      <c r="E3084" s="54"/>
      <c r="F3084" s="83">
        <f>SUMIFS(F3085:F6462,K3085:K6462,"0",B3085:B6462,"5 1 1 5 2*")</f>
        <v>6000</v>
      </c>
      <c r="G3084" s="83">
        <f>SUMIFS(G3085:G6462,K3085:K6462,"0",B3085:B6462,"5 1 1 5 2*")</f>
        <v>0</v>
      </c>
      <c r="H3084" s="83">
        <f t="shared" si="48"/>
        <v>6000</v>
      </c>
      <c r="I3084" s="83"/>
      <c r="K3084" s="54" t="s">
        <v>15</v>
      </c>
    </row>
    <row r="3085" spans="2:11" ht="12.75" x14ac:dyDescent="0.2">
      <c r="B3085" s="82" t="s">
        <v>5394</v>
      </c>
      <c r="C3085" s="82" t="s">
        <v>26</v>
      </c>
      <c r="D3085" s="83">
        <f>SUMIFS(D3086:D6462,K3086:K6462,"0",B3086:B6462,"5 1 1 5 2 12*")-SUMIFS(E3086:E6462,K3086:K6462,"0",B3086:B6462,"5 1 1 5 2 12*")</f>
        <v>0</v>
      </c>
      <c r="E3085" s="54"/>
      <c r="F3085" s="83">
        <f>SUMIFS(F3086:F6462,K3086:K6462,"0",B3086:B6462,"5 1 1 5 2 12*")</f>
        <v>6000</v>
      </c>
      <c r="G3085" s="83">
        <f>SUMIFS(G3086:G6462,K3086:K6462,"0",B3086:B6462,"5 1 1 5 2 12*")</f>
        <v>0</v>
      </c>
      <c r="H3085" s="83">
        <f t="shared" si="48"/>
        <v>6000</v>
      </c>
      <c r="I3085" s="83"/>
      <c r="K3085" s="54" t="s">
        <v>15</v>
      </c>
    </row>
    <row r="3086" spans="2:11" ht="16.5" x14ac:dyDescent="0.2">
      <c r="B3086" s="82" t="s">
        <v>5395</v>
      </c>
      <c r="C3086" s="82" t="s">
        <v>28</v>
      </c>
      <c r="D3086" s="83">
        <f>SUMIFS(D3087:D6462,K3087:K6462,"0",B3087:B6462,"5 1 1 5 2 12 31111*")-SUMIFS(E3087:E6462,K3087:K6462,"0",B3087:B6462,"5 1 1 5 2 12 31111*")</f>
        <v>0</v>
      </c>
      <c r="E3086" s="54"/>
      <c r="F3086" s="83">
        <f>SUMIFS(F3087:F6462,K3087:K6462,"0",B3087:B6462,"5 1 1 5 2 12 31111*")</f>
        <v>6000</v>
      </c>
      <c r="G3086" s="83">
        <f>SUMIFS(G3087:G6462,K3087:K6462,"0",B3087:B6462,"5 1 1 5 2 12 31111*")</f>
        <v>0</v>
      </c>
      <c r="H3086" s="83">
        <f t="shared" si="48"/>
        <v>6000</v>
      </c>
      <c r="I3086" s="83"/>
      <c r="K3086" s="54" t="s">
        <v>15</v>
      </c>
    </row>
    <row r="3087" spans="2:11" ht="12.75" x14ac:dyDescent="0.2">
      <c r="B3087" s="82" t="s">
        <v>5396</v>
      </c>
      <c r="C3087" s="82" t="s">
        <v>30</v>
      </c>
      <c r="D3087" s="83">
        <f>SUMIFS(D3088:D6462,K3088:K6462,"0",B3088:B6462,"5 1 1 5 2 12 31111 6*")-SUMIFS(E3088:E6462,K3088:K6462,"0",B3088:B6462,"5 1 1 5 2 12 31111 6*")</f>
        <v>0</v>
      </c>
      <c r="E3087" s="54"/>
      <c r="F3087" s="83">
        <f>SUMIFS(F3088:F6462,K3088:K6462,"0",B3088:B6462,"5 1 1 5 2 12 31111 6*")</f>
        <v>6000</v>
      </c>
      <c r="G3087" s="83">
        <f>SUMIFS(G3088:G6462,K3088:K6462,"0",B3088:B6462,"5 1 1 5 2 12 31111 6*")</f>
        <v>0</v>
      </c>
      <c r="H3087" s="83">
        <f t="shared" si="48"/>
        <v>6000</v>
      </c>
      <c r="I3087" s="83"/>
      <c r="K3087" s="54" t="s">
        <v>15</v>
      </c>
    </row>
    <row r="3088" spans="2:11" ht="16.5" x14ac:dyDescent="0.2">
      <c r="B3088" s="82" t="s">
        <v>5397</v>
      </c>
      <c r="C3088" s="82" t="s">
        <v>2284</v>
      </c>
      <c r="D3088" s="83">
        <f>SUMIFS(D3089:D6462,K3089:K6462,"0",B3089:B6462,"5 1 1 5 2 12 31111 6 M59*")-SUMIFS(E3089:E6462,K3089:K6462,"0",B3089:B6462,"5 1 1 5 2 12 31111 6 M59*")</f>
        <v>0</v>
      </c>
      <c r="E3088" s="54"/>
      <c r="F3088" s="83">
        <f>SUMIFS(F3089:F6462,K3089:K6462,"0",B3089:B6462,"5 1 1 5 2 12 31111 6 M59*")</f>
        <v>6000</v>
      </c>
      <c r="G3088" s="83">
        <f>SUMIFS(G3089:G6462,K3089:K6462,"0",B3089:B6462,"5 1 1 5 2 12 31111 6 M59*")</f>
        <v>0</v>
      </c>
      <c r="H3088" s="83">
        <f t="shared" si="48"/>
        <v>6000</v>
      </c>
      <c r="I3088" s="83"/>
      <c r="K3088" s="54" t="s">
        <v>15</v>
      </c>
    </row>
    <row r="3089" spans="2:11" ht="16.5" x14ac:dyDescent="0.2">
      <c r="B3089" s="82" t="s">
        <v>5398</v>
      </c>
      <c r="C3089" s="82" t="s">
        <v>3668</v>
      </c>
      <c r="D3089" s="83">
        <f>SUMIFS(D3090:D6462,K3090:K6462,"0",B3090:B6462,"5 1 1 5 2 12 31111 6 M59 95000*")-SUMIFS(E3090:E6462,K3090:K6462,"0",B3090:B6462,"5 1 1 5 2 12 31111 6 M59 95000*")</f>
        <v>0</v>
      </c>
      <c r="E3089" s="54"/>
      <c r="F3089" s="83">
        <f>SUMIFS(F3090:F6462,K3090:K6462,"0",B3090:B6462,"5 1 1 5 2 12 31111 6 M59 95000*")</f>
        <v>6000</v>
      </c>
      <c r="G3089" s="83">
        <f>SUMIFS(G3090:G6462,K3090:K6462,"0",B3090:B6462,"5 1 1 5 2 12 31111 6 M59 95000*")</f>
        <v>0</v>
      </c>
      <c r="H3089" s="83">
        <f t="shared" si="48"/>
        <v>6000</v>
      </c>
      <c r="I3089" s="83"/>
      <c r="K3089" s="54" t="s">
        <v>15</v>
      </c>
    </row>
    <row r="3090" spans="2:11" ht="16.5" x14ac:dyDescent="0.2">
      <c r="B3090" s="82" t="s">
        <v>5399</v>
      </c>
      <c r="C3090" s="82" t="s">
        <v>1063</v>
      </c>
      <c r="D3090" s="83">
        <f>SUMIFS(D3091:D6462,K3091:K6462,"0",B3091:B6462,"5 1 1 5 2 12 31111 6 M59 95000 000139*")-SUMIFS(E3091:E6462,K3091:K6462,"0",B3091:B6462,"5 1 1 5 2 12 31111 6 M59 95000 000139*")</f>
        <v>0</v>
      </c>
      <c r="E3090" s="54"/>
      <c r="F3090" s="83">
        <f>SUMIFS(F3091:F6462,K3091:K6462,"0",B3091:B6462,"5 1 1 5 2 12 31111 6 M59 95000 000139*")</f>
        <v>6000</v>
      </c>
      <c r="G3090" s="83">
        <f>SUMIFS(G3091:G6462,K3091:K6462,"0",B3091:B6462,"5 1 1 5 2 12 31111 6 M59 95000 000139*")</f>
        <v>0</v>
      </c>
      <c r="H3090" s="83">
        <f t="shared" si="48"/>
        <v>6000</v>
      </c>
      <c r="I3090" s="83"/>
      <c r="K3090" s="54" t="s">
        <v>15</v>
      </c>
    </row>
    <row r="3091" spans="2:11" ht="24.75" x14ac:dyDescent="0.2">
      <c r="B3091" s="82" t="s">
        <v>5400</v>
      </c>
      <c r="C3091" s="82" t="s">
        <v>3671</v>
      </c>
      <c r="D3091" s="83">
        <f>SUMIFS(D3092:D6462,K3092:K6462,"0",B3092:B6462,"5 1 1 5 2 12 31111 6 M59 95000 000139 0000L*")-SUMIFS(E3092:E6462,K3092:K6462,"0",B3092:B6462,"5 1 1 5 2 12 31111 6 M59 95000 000139 0000L*")</f>
        <v>0</v>
      </c>
      <c r="E3091" s="54"/>
      <c r="F3091" s="83">
        <f>SUMIFS(F3092:F6462,K3092:K6462,"0",B3092:B6462,"5 1 1 5 2 12 31111 6 M59 95000 000139 0000L*")</f>
        <v>6000</v>
      </c>
      <c r="G3091" s="83">
        <f>SUMIFS(G3092:G6462,K3092:K6462,"0",B3092:B6462,"5 1 1 5 2 12 31111 6 M59 95000 000139 0000L*")</f>
        <v>0</v>
      </c>
      <c r="H3091" s="83">
        <f t="shared" si="48"/>
        <v>6000</v>
      </c>
      <c r="I3091" s="83"/>
      <c r="K3091" s="54" t="s">
        <v>15</v>
      </c>
    </row>
    <row r="3092" spans="2:11" ht="24.75" x14ac:dyDescent="0.2">
      <c r="B3092" s="82" t="s">
        <v>5401</v>
      </c>
      <c r="C3092" s="82" t="s">
        <v>282</v>
      </c>
      <c r="D3092" s="83">
        <f>SUMIFS(D3093:D6462,K3093:K6462,"0",B3093:B6462,"5 1 1 5 2 12 31111 6 M59 95000 000139 0000L 00001*")-SUMIFS(E3093:E6462,K3093:K6462,"0",B3093:B6462,"5 1 1 5 2 12 31111 6 M59 95000 000139 0000L 00001*")</f>
        <v>0</v>
      </c>
      <c r="E3092" s="54"/>
      <c r="F3092" s="83">
        <f>SUMIFS(F3093:F6462,K3093:K6462,"0",B3093:B6462,"5 1 1 5 2 12 31111 6 M59 95000 000139 0000L 00001*")</f>
        <v>6000</v>
      </c>
      <c r="G3092" s="83">
        <f>SUMIFS(G3093:G6462,K3093:K6462,"0",B3093:B6462,"5 1 1 5 2 12 31111 6 M59 95000 000139 0000L 00001*")</f>
        <v>0</v>
      </c>
      <c r="H3092" s="83">
        <f t="shared" si="48"/>
        <v>6000</v>
      </c>
      <c r="I3092" s="83"/>
      <c r="K3092" s="54" t="s">
        <v>15</v>
      </c>
    </row>
    <row r="3093" spans="2:11" ht="24.75" x14ac:dyDescent="0.2">
      <c r="B3093" s="82" t="s">
        <v>5402</v>
      </c>
      <c r="C3093" s="82" t="s">
        <v>5403</v>
      </c>
      <c r="D3093" s="83">
        <f>SUMIFS(D3094:D6462,K3094:K6462,"0",B3094:B6462,"5 1 1 5 2 12 31111 6 M59 95000 000139 0000L 00001 00152*")-SUMIFS(E3094:E6462,K3094:K6462,"0",B3094:B6462,"5 1 1 5 2 12 31111 6 M59 95000 000139 0000L 00001 00152*")</f>
        <v>0</v>
      </c>
      <c r="E3093" s="54"/>
      <c r="F3093" s="83">
        <f>SUMIFS(F3094:F6462,K3094:K6462,"0",B3094:B6462,"5 1 1 5 2 12 31111 6 M59 95000 000139 0000L 00001 00152*")</f>
        <v>6000</v>
      </c>
      <c r="G3093" s="83">
        <f>SUMIFS(G3094:G6462,K3094:K6462,"0",B3094:B6462,"5 1 1 5 2 12 31111 6 M59 95000 000139 0000L 00001 00152*")</f>
        <v>0</v>
      </c>
      <c r="H3093" s="83">
        <f t="shared" si="48"/>
        <v>6000</v>
      </c>
      <c r="I3093" s="83"/>
      <c r="K3093" s="54" t="s">
        <v>15</v>
      </c>
    </row>
    <row r="3094" spans="2:11" ht="24.75" x14ac:dyDescent="0.2">
      <c r="B3094" s="82" t="s">
        <v>5404</v>
      </c>
      <c r="C3094" s="82" t="s">
        <v>1051</v>
      </c>
      <c r="D3094" s="83">
        <f>SUMIFS(D3095:D6462,K3095:K6462,"0",B3095:B6462,"5 1 1 5 2 12 31111 6 M59 95000 000139 0000L 00001 00152 015*")-SUMIFS(E3095:E6462,K3095:K6462,"0",B3095:B6462,"5 1 1 5 2 12 31111 6 M59 95000 000139 0000L 00001 00152 015*")</f>
        <v>0</v>
      </c>
      <c r="E3094" s="54"/>
      <c r="F3094" s="83">
        <f>SUMIFS(F3095:F6462,K3095:K6462,"0",B3095:B6462,"5 1 1 5 2 12 31111 6 M59 95000 000139 0000L 00001 00152 015*")</f>
        <v>6000</v>
      </c>
      <c r="G3094" s="83">
        <f>SUMIFS(G3095:G6462,K3095:K6462,"0",B3095:B6462,"5 1 1 5 2 12 31111 6 M59 95000 000139 0000L 00001 00152 015*")</f>
        <v>0</v>
      </c>
      <c r="H3094" s="83">
        <f t="shared" si="48"/>
        <v>6000</v>
      </c>
      <c r="I3094" s="83"/>
      <c r="K3094" s="54" t="s">
        <v>15</v>
      </c>
    </row>
    <row r="3095" spans="2:11" ht="33" x14ac:dyDescent="0.2">
      <c r="B3095" s="82" t="s">
        <v>5405</v>
      </c>
      <c r="C3095" s="82" t="s">
        <v>2927</v>
      </c>
      <c r="D3095" s="83">
        <f>SUMIFS(D3096:D6462,K3096:K6462,"0",B3096:B6462,"5 1 1 5 2 12 31111 6 M59 95000 000139 0000L 00001 00152 015 2111100*")-SUMIFS(E3096:E6462,K3096:K6462,"0",B3096:B6462,"5 1 1 5 2 12 31111 6 M59 95000 000139 0000L 00001 00152 015 2111100*")</f>
        <v>0</v>
      </c>
      <c r="E3095" s="54"/>
      <c r="F3095" s="83">
        <f>SUMIFS(F3096:F6462,K3096:K6462,"0",B3096:B6462,"5 1 1 5 2 12 31111 6 M59 95000 000139 0000L 00001 00152 015 2111100*")</f>
        <v>6000</v>
      </c>
      <c r="G3095" s="83">
        <f>SUMIFS(G3096:G6462,K3096:K6462,"0",B3096:B6462,"5 1 1 5 2 12 31111 6 M59 95000 000139 0000L 00001 00152 015 2111100*")</f>
        <v>0</v>
      </c>
      <c r="H3095" s="83">
        <f t="shared" si="48"/>
        <v>6000</v>
      </c>
      <c r="I3095" s="83"/>
      <c r="K3095" s="54" t="s">
        <v>15</v>
      </c>
    </row>
    <row r="3096" spans="2:11" ht="33" x14ac:dyDescent="0.2">
      <c r="B3096" s="82" t="s">
        <v>5406</v>
      </c>
      <c r="C3096" s="82" t="s">
        <v>660</v>
      </c>
      <c r="D3096" s="83">
        <f>SUMIFS(D3097:D6462,K3097:K6462,"0",B3097:B6462,"5 1 1 5 2 12 31111 6 M59 95000 000139 0000L 00001 00152 015 2111100 2024*")-SUMIFS(E3097:E6462,K3097:K6462,"0",B3097:B6462,"5 1 1 5 2 12 31111 6 M59 95000 000139 0000L 00001 00152 015 2111100 2024*")</f>
        <v>0</v>
      </c>
      <c r="E3096" s="54"/>
      <c r="F3096" s="83">
        <f>SUMIFS(F3097:F6462,K3097:K6462,"0",B3097:B6462,"5 1 1 5 2 12 31111 6 M59 95000 000139 0000L 00001 00152 015 2111100 2024*")</f>
        <v>6000</v>
      </c>
      <c r="G3096" s="83">
        <f>SUMIFS(G3097:G6462,K3097:K6462,"0",B3097:B6462,"5 1 1 5 2 12 31111 6 M59 95000 000139 0000L 00001 00152 015 2111100 2024*")</f>
        <v>0</v>
      </c>
      <c r="H3096" s="83">
        <f t="shared" si="48"/>
        <v>6000</v>
      </c>
      <c r="I3096" s="83"/>
      <c r="K3096" s="54" t="s">
        <v>15</v>
      </c>
    </row>
    <row r="3097" spans="2:11" ht="41.25" x14ac:dyDescent="0.2">
      <c r="B3097" s="82" t="s">
        <v>5407</v>
      </c>
      <c r="C3097" s="82" t="s">
        <v>1056</v>
      </c>
      <c r="D3097" s="83">
        <f>SUMIFS(D3098:D6462,K3098:K6462,"0",B3098:B6462,"5 1 1 5 2 12 31111 6 M59 95000 000139 0000L 00001 00152 015 2111100 2024 CP1AJ437*")-SUMIFS(E3098:E6462,K3098:K6462,"0",B3098:B6462,"5 1 1 5 2 12 31111 6 M59 95000 000139 0000L 00001 00152 015 2111100 2024 CP1AJ437*")</f>
        <v>0</v>
      </c>
      <c r="E3097" s="54"/>
      <c r="F3097" s="83">
        <f>SUMIFS(F3098:F6462,K3098:K6462,"0",B3098:B6462,"5 1 1 5 2 12 31111 6 M59 95000 000139 0000L 00001 00152 015 2111100 2024 CP1AJ437*")</f>
        <v>6000</v>
      </c>
      <c r="G3097" s="83">
        <f>SUMIFS(G3098:G6462,K3098:K6462,"0",B3098:B6462,"5 1 1 5 2 12 31111 6 M59 95000 000139 0000L 00001 00152 015 2111100 2024 CP1AJ437*")</f>
        <v>0</v>
      </c>
      <c r="H3097" s="83">
        <f t="shared" si="48"/>
        <v>6000</v>
      </c>
      <c r="I3097" s="83"/>
      <c r="K3097" s="54" t="s">
        <v>15</v>
      </c>
    </row>
    <row r="3098" spans="2:11" ht="41.25" x14ac:dyDescent="0.2">
      <c r="B3098" s="82" t="s">
        <v>5408</v>
      </c>
      <c r="C3098" s="82" t="s">
        <v>282</v>
      </c>
      <c r="D3098" s="83">
        <f>SUMIFS(D3099:D6462,K3099:K6462,"0",B3099:B6462,"5 1 1 5 2 12 31111 6 M59 95000 000139 0000L 00001 00152 015 2111100 2024 CP1AJ437 001*")-SUMIFS(E3099:E6462,K3099:K6462,"0",B3099:B6462,"5 1 1 5 2 12 31111 6 M59 95000 000139 0000L 00001 00152 015 2111100 2024 CP1AJ437 001*")</f>
        <v>0</v>
      </c>
      <c r="E3098" s="54"/>
      <c r="F3098" s="83">
        <f>SUMIFS(F3099:F6462,K3099:K6462,"0",B3099:B6462,"5 1 1 5 2 12 31111 6 M59 95000 000139 0000L 00001 00152 015 2111100 2024 CP1AJ437 001*")</f>
        <v>6000</v>
      </c>
      <c r="G3098" s="83">
        <f>SUMIFS(G3099:G6462,K3099:K6462,"0",B3099:B6462,"5 1 1 5 2 12 31111 6 M59 95000 000139 0000L 00001 00152 015 2111100 2024 CP1AJ437 001*")</f>
        <v>0</v>
      </c>
      <c r="H3098" s="83">
        <f t="shared" si="48"/>
        <v>6000</v>
      </c>
      <c r="I3098" s="83"/>
      <c r="K3098" s="54" t="s">
        <v>15</v>
      </c>
    </row>
    <row r="3099" spans="2:11" ht="33" x14ac:dyDescent="0.2">
      <c r="B3099" s="84" t="s">
        <v>5409</v>
      </c>
      <c r="C3099" s="84" t="s">
        <v>5410</v>
      </c>
      <c r="D3099" s="85">
        <v>0</v>
      </c>
      <c r="E3099" s="85"/>
      <c r="F3099" s="85">
        <v>6000</v>
      </c>
      <c r="G3099" s="85">
        <v>0</v>
      </c>
      <c r="H3099" s="85">
        <f t="shared" si="48"/>
        <v>6000</v>
      </c>
      <c r="I3099" s="85"/>
      <c r="K3099" s="54" t="s">
        <v>38</v>
      </c>
    </row>
    <row r="3100" spans="2:11" ht="16.5" x14ac:dyDescent="0.2">
      <c r="B3100" s="82" t="s">
        <v>5411</v>
      </c>
      <c r="C3100" s="82" t="s">
        <v>5412</v>
      </c>
      <c r="D3100" s="83">
        <f>SUMIFS(D3101:D6462,K3101:K6462,"0",B3101:B6462,"5 1 1 5 4*")-SUMIFS(E3101:E6462,K3101:K6462,"0",B3101:B6462,"5 1 1 5 4*")</f>
        <v>0</v>
      </c>
      <c r="E3100" s="54"/>
      <c r="F3100" s="83">
        <f>SUMIFS(F3101:F6462,K3101:K6462,"0",B3101:B6462,"5 1 1 5 4*")</f>
        <v>1270012.3400000001</v>
      </c>
      <c r="G3100" s="83">
        <f>SUMIFS(G3101:G6462,K3101:K6462,"0",B3101:B6462,"5 1 1 5 4*")</f>
        <v>0</v>
      </c>
      <c r="H3100" s="83">
        <f t="shared" si="48"/>
        <v>1270012.3400000001</v>
      </c>
      <c r="I3100" s="83"/>
      <c r="K3100" s="54" t="s">
        <v>15</v>
      </c>
    </row>
    <row r="3101" spans="2:11" ht="12.75" x14ac:dyDescent="0.2">
      <c r="B3101" s="82" t="s">
        <v>5413</v>
      </c>
      <c r="C3101" s="82" t="s">
        <v>26</v>
      </c>
      <c r="D3101" s="83">
        <f>SUMIFS(D3102:D6462,K3102:K6462,"0",B3102:B6462,"5 1 1 5 4 12*")-SUMIFS(E3102:E6462,K3102:K6462,"0",B3102:B6462,"5 1 1 5 4 12*")</f>
        <v>0</v>
      </c>
      <c r="E3101" s="54"/>
      <c r="F3101" s="83">
        <f>SUMIFS(F3102:F6462,K3102:K6462,"0",B3102:B6462,"5 1 1 5 4 12*")</f>
        <v>1270012.3400000001</v>
      </c>
      <c r="G3101" s="83">
        <f>SUMIFS(G3102:G6462,K3102:K6462,"0",B3102:B6462,"5 1 1 5 4 12*")</f>
        <v>0</v>
      </c>
      <c r="H3101" s="83">
        <f t="shared" si="48"/>
        <v>1270012.3400000001</v>
      </c>
      <c r="I3101" s="83"/>
      <c r="K3101" s="54" t="s">
        <v>15</v>
      </c>
    </row>
    <row r="3102" spans="2:11" ht="16.5" x14ac:dyDescent="0.2">
      <c r="B3102" s="82" t="s">
        <v>5414</v>
      </c>
      <c r="C3102" s="82" t="s">
        <v>28</v>
      </c>
      <c r="D3102" s="83">
        <f>SUMIFS(D3103:D6462,K3103:K6462,"0",B3103:B6462,"5 1 1 5 4 12 31111*")-SUMIFS(E3103:E6462,K3103:K6462,"0",B3103:B6462,"5 1 1 5 4 12 31111*")</f>
        <v>0</v>
      </c>
      <c r="E3102" s="54"/>
      <c r="F3102" s="83">
        <f>SUMIFS(F3103:F6462,K3103:K6462,"0",B3103:B6462,"5 1 1 5 4 12 31111*")</f>
        <v>1270012.3400000001</v>
      </c>
      <c r="G3102" s="83">
        <f>SUMIFS(G3103:G6462,K3103:K6462,"0",B3103:B6462,"5 1 1 5 4 12 31111*")</f>
        <v>0</v>
      </c>
      <c r="H3102" s="83">
        <f t="shared" si="48"/>
        <v>1270012.3400000001</v>
      </c>
      <c r="I3102" s="83"/>
      <c r="K3102" s="54" t="s">
        <v>15</v>
      </c>
    </row>
    <row r="3103" spans="2:11" ht="12.75" x14ac:dyDescent="0.2">
      <c r="B3103" s="82" t="s">
        <v>5415</v>
      </c>
      <c r="C3103" s="82" t="s">
        <v>30</v>
      </c>
      <c r="D3103" s="83">
        <f>SUMIFS(D3104:D6462,K3104:K6462,"0",B3104:B6462,"5 1 1 5 4 12 31111 6*")-SUMIFS(E3104:E6462,K3104:K6462,"0",B3104:B6462,"5 1 1 5 4 12 31111 6*")</f>
        <v>0</v>
      </c>
      <c r="E3103" s="54"/>
      <c r="F3103" s="83">
        <f>SUMIFS(F3104:F6462,K3104:K6462,"0",B3104:B6462,"5 1 1 5 4 12 31111 6*")</f>
        <v>1270012.3400000001</v>
      </c>
      <c r="G3103" s="83">
        <f>SUMIFS(G3104:G6462,K3104:K6462,"0",B3104:B6462,"5 1 1 5 4 12 31111 6*")</f>
        <v>0</v>
      </c>
      <c r="H3103" s="83">
        <f t="shared" si="48"/>
        <v>1270012.3400000001</v>
      </c>
      <c r="I3103" s="83"/>
      <c r="K3103" s="54" t="s">
        <v>15</v>
      </c>
    </row>
    <row r="3104" spans="2:11" ht="16.5" x14ac:dyDescent="0.2">
      <c r="B3104" s="82" t="s">
        <v>5416</v>
      </c>
      <c r="C3104" s="82" t="s">
        <v>2284</v>
      </c>
      <c r="D3104" s="83">
        <f>SUMIFS(D3105:D6462,K3105:K6462,"0",B3105:B6462,"5 1 1 5 4 12 31111 6 M59*")-SUMIFS(E3105:E6462,K3105:K6462,"0",B3105:B6462,"5 1 1 5 4 12 31111 6 M59*")</f>
        <v>0</v>
      </c>
      <c r="E3104" s="54"/>
      <c r="F3104" s="83">
        <f>SUMIFS(F3105:F6462,K3105:K6462,"0",B3105:B6462,"5 1 1 5 4 12 31111 6 M59*")</f>
        <v>1270012.3400000001</v>
      </c>
      <c r="G3104" s="83">
        <f>SUMIFS(G3105:G6462,K3105:K6462,"0",B3105:B6462,"5 1 1 5 4 12 31111 6 M59*")</f>
        <v>0</v>
      </c>
      <c r="H3104" s="83">
        <f t="shared" si="48"/>
        <v>1270012.3400000001</v>
      </c>
      <c r="I3104" s="83"/>
      <c r="K3104" s="54" t="s">
        <v>15</v>
      </c>
    </row>
    <row r="3105" spans="2:11" ht="16.5" x14ac:dyDescent="0.2">
      <c r="B3105" s="82" t="s">
        <v>5417</v>
      </c>
      <c r="C3105" s="82" t="s">
        <v>2946</v>
      </c>
      <c r="D3105" s="83">
        <f>SUMIFS(D3106:D6462,K3106:K6462,"0",B3106:B6462,"5 1 1 5 4 12 31111 6 M59 10300*")-SUMIFS(E3106:E6462,K3106:K6462,"0",B3106:B6462,"5 1 1 5 4 12 31111 6 M59 10300*")</f>
        <v>0</v>
      </c>
      <c r="E3105" s="54"/>
      <c r="F3105" s="83">
        <f>SUMIFS(F3106:F6462,K3106:K6462,"0",B3106:B6462,"5 1 1 5 4 12 31111 6 M59 10300*")</f>
        <v>6872</v>
      </c>
      <c r="G3105" s="83">
        <f>SUMIFS(G3106:G6462,K3106:K6462,"0",B3106:B6462,"5 1 1 5 4 12 31111 6 M59 10300*")</f>
        <v>0</v>
      </c>
      <c r="H3105" s="83">
        <f t="shared" si="48"/>
        <v>6872</v>
      </c>
      <c r="I3105" s="83"/>
      <c r="K3105" s="54" t="s">
        <v>15</v>
      </c>
    </row>
    <row r="3106" spans="2:11" ht="16.5" x14ac:dyDescent="0.2">
      <c r="B3106" s="82" t="s">
        <v>5418</v>
      </c>
      <c r="C3106" s="82" t="s">
        <v>648</v>
      </c>
      <c r="D3106" s="83">
        <f>SUMIFS(D3107:D6462,K3107:K6462,"0",B3107:B6462,"5 1 1 5 4 12 31111 6 M59 10300 000132*")-SUMIFS(E3107:E6462,K3107:K6462,"0",B3107:B6462,"5 1 1 5 4 12 31111 6 M59 10300 000132*")</f>
        <v>0</v>
      </c>
      <c r="E3106" s="54"/>
      <c r="F3106" s="83">
        <f>SUMIFS(F3107:F6462,K3107:K6462,"0",B3107:B6462,"5 1 1 5 4 12 31111 6 M59 10300 000132*")</f>
        <v>6872</v>
      </c>
      <c r="G3106" s="83">
        <f>SUMIFS(G3107:G6462,K3107:K6462,"0",B3107:B6462,"5 1 1 5 4 12 31111 6 M59 10300 000132*")</f>
        <v>0</v>
      </c>
      <c r="H3106" s="83">
        <f t="shared" si="48"/>
        <v>6872</v>
      </c>
      <c r="I3106" s="83"/>
      <c r="K3106" s="54" t="s">
        <v>15</v>
      </c>
    </row>
    <row r="3107" spans="2:11" ht="16.5" x14ac:dyDescent="0.2">
      <c r="B3107" s="82" t="s">
        <v>5419</v>
      </c>
      <c r="C3107" s="82" t="s">
        <v>650</v>
      </c>
      <c r="D3107" s="83">
        <f>SUMIFS(D3108:D6462,K3108:K6462,"0",B3108:B6462,"5 1 1 5 4 12 31111 6 M59 10300 000132 0000R*")-SUMIFS(E3108:E6462,K3108:K6462,"0",B3108:B6462,"5 1 1 5 4 12 31111 6 M59 10300 000132 0000R*")</f>
        <v>0</v>
      </c>
      <c r="E3107" s="54"/>
      <c r="F3107" s="83">
        <f>SUMIFS(F3108:F6462,K3108:K6462,"0",B3108:B6462,"5 1 1 5 4 12 31111 6 M59 10300 000132 0000R*")</f>
        <v>6872</v>
      </c>
      <c r="G3107" s="83">
        <f>SUMIFS(G3108:G6462,K3108:K6462,"0",B3108:B6462,"5 1 1 5 4 12 31111 6 M59 10300 000132 0000R*")</f>
        <v>0</v>
      </c>
      <c r="H3107" s="83">
        <f t="shared" si="48"/>
        <v>6872</v>
      </c>
      <c r="I3107" s="83"/>
      <c r="K3107" s="54" t="s">
        <v>15</v>
      </c>
    </row>
    <row r="3108" spans="2:11" ht="24.75" x14ac:dyDescent="0.2">
      <c r="B3108" s="82" t="s">
        <v>5420</v>
      </c>
      <c r="C3108" s="82" t="s">
        <v>282</v>
      </c>
      <c r="D3108" s="83">
        <f>SUMIFS(D3109:D6462,K3109:K6462,"0",B3109:B6462,"5 1 1 5 4 12 31111 6 M59 10300 000132 0000R 00001*")-SUMIFS(E3109:E6462,K3109:K6462,"0",B3109:B6462,"5 1 1 5 4 12 31111 6 M59 10300 000132 0000R 00001*")</f>
        <v>0</v>
      </c>
      <c r="E3108" s="54"/>
      <c r="F3108" s="83">
        <f>SUMIFS(F3109:F6462,K3109:K6462,"0",B3109:B6462,"5 1 1 5 4 12 31111 6 M59 10300 000132 0000R 00001*")</f>
        <v>6872</v>
      </c>
      <c r="G3108" s="83">
        <f>SUMIFS(G3109:G6462,K3109:K6462,"0",B3109:B6462,"5 1 1 5 4 12 31111 6 M59 10300 000132 0000R 00001*")</f>
        <v>0</v>
      </c>
      <c r="H3108" s="83">
        <f t="shared" si="48"/>
        <v>6872</v>
      </c>
      <c r="I3108" s="83"/>
      <c r="K3108" s="54" t="s">
        <v>15</v>
      </c>
    </row>
    <row r="3109" spans="2:11" ht="24.75" x14ac:dyDescent="0.2">
      <c r="B3109" s="82" t="s">
        <v>5421</v>
      </c>
      <c r="C3109" s="82" t="s">
        <v>5422</v>
      </c>
      <c r="D3109" s="83">
        <f>SUMIFS(D3110:D6462,K3110:K6462,"0",B3110:B6462,"5 1 1 5 4 12 31111 6 M59 10300 000132 0000R 00001 00154*")-SUMIFS(E3110:E6462,K3110:K6462,"0",B3110:B6462,"5 1 1 5 4 12 31111 6 M59 10300 000132 0000R 00001 00154*")</f>
        <v>0</v>
      </c>
      <c r="E3109" s="54"/>
      <c r="F3109" s="83">
        <f>SUMIFS(F3110:F6462,K3110:K6462,"0",B3110:B6462,"5 1 1 5 4 12 31111 6 M59 10300 000132 0000R 00001 00154*")</f>
        <v>6872</v>
      </c>
      <c r="G3109" s="83">
        <f>SUMIFS(G3110:G6462,K3110:K6462,"0",B3110:B6462,"5 1 1 5 4 12 31111 6 M59 10300 000132 0000R 00001 00154*")</f>
        <v>0</v>
      </c>
      <c r="H3109" s="83">
        <f t="shared" si="48"/>
        <v>6872</v>
      </c>
      <c r="I3109" s="83"/>
      <c r="K3109" s="54" t="s">
        <v>15</v>
      </c>
    </row>
    <row r="3110" spans="2:11" ht="24.75" x14ac:dyDescent="0.2">
      <c r="B3110" s="82" t="s">
        <v>5423</v>
      </c>
      <c r="C3110" s="82" t="s">
        <v>1051</v>
      </c>
      <c r="D3110" s="83">
        <f>SUMIFS(D3111:D6462,K3111:K6462,"0",B3111:B6462,"5 1 1 5 4 12 31111 6 M59 10300 000132 0000R 00001 00154 015*")-SUMIFS(E3111:E6462,K3111:K6462,"0",B3111:B6462,"5 1 1 5 4 12 31111 6 M59 10300 000132 0000R 00001 00154 015*")</f>
        <v>0</v>
      </c>
      <c r="E3110" s="54"/>
      <c r="F3110" s="83">
        <f>SUMIFS(F3111:F6462,K3111:K6462,"0",B3111:B6462,"5 1 1 5 4 12 31111 6 M59 10300 000132 0000R 00001 00154 015*")</f>
        <v>6872</v>
      </c>
      <c r="G3110" s="83">
        <f>SUMIFS(G3111:G6462,K3111:K6462,"0",B3111:B6462,"5 1 1 5 4 12 31111 6 M59 10300 000132 0000R 00001 00154 015*")</f>
        <v>0</v>
      </c>
      <c r="H3110" s="83">
        <f t="shared" si="48"/>
        <v>6872</v>
      </c>
      <c r="I3110" s="83"/>
      <c r="K3110" s="54" t="s">
        <v>15</v>
      </c>
    </row>
    <row r="3111" spans="2:11" ht="33" x14ac:dyDescent="0.2">
      <c r="B3111" s="82" t="s">
        <v>5424</v>
      </c>
      <c r="C3111" s="82" t="s">
        <v>2927</v>
      </c>
      <c r="D3111" s="83">
        <f>SUMIFS(D3112:D6462,K3112:K6462,"0",B3112:B6462,"5 1 1 5 4 12 31111 6 M59 10300 000132 0000R 00001 00154 015 2111100*")-SUMIFS(E3112:E6462,K3112:K6462,"0",B3112:B6462,"5 1 1 5 4 12 31111 6 M59 10300 000132 0000R 00001 00154 015 2111100*")</f>
        <v>0</v>
      </c>
      <c r="E3111" s="54"/>
      <c r="F3111" s="83">
        <f>SUMIFS(F3112:F6462,K3112:K6462,"0",B3112:B6462,"5 1 1 5 4 12 31111 6 M59 10300 000132 0000R 00001 00154 015 2111100*")</f>
        <v>6872</v>
      </c>
      <c r="G3111" s="83">
        <f>SUMIFS(G3112:G6462,K3112:K6462,"0",B3112:B6462,"5 1 1 5 4 12 31111 6 M59 10300 000132 0000R 00001 00154 015 2111100*")</f>
        <v>0</v>
      </c>
      <c r="H3111" s="83">
        <f t="shared" si="48"/>
        <v>6872</v>
      </c>
      <c r="I3111" s="83"/>
      <c r="K3111" s="54" t="s">
        <v>15</v>
      </c>
    </row>
    <row r="3112" spans="2:11" ht="33" x14ac:dyDescent="0.2">
      <c r="B3112" s="82" t="s">
        <v>5425</v>
      </c>
      <c r="C3112" s="82" t="s">
        <v>660</v>
      </c>
      <c r="D3112" s="83">
        <f>SUMIFS(D3113:D6462,K3113:K6462,"0",B3113:B6462,"5 1 1 5 4 12 31111 6 M59 10300 000132 0000R 00001 00154 015 2111100 2024*")-SUMIFS(E3113:E6462,K3113:K6462,"0",B3113:B6462,"5 1 1 5 4 12 31111 6 M59 10300 000132 0000R 00001 00154 015 2111100 2024*")</f>
        <v>0</v>
      </c>
      <c r="E3112" s="54"/>
      <c r="F3112" s="83">
        <f>SUMIFS(F3113:F6462,K3113:K6462,"0",B3113:B6462,"5 1 1 5 4 12 31111 6 M59 10300 000132 0000R 00001 00154 015 2111100 2024*")</f>
        <v>6872</v>
      </c>
      <c r="G3112" s="83">
        <f>SUMIFS(G3113:G6462,K3113:K6462,"0",B3113:B6462,"5 1 1 5 4 12 31111 6 M59 10300 000132 0000R 00001 00154 015 2111100 2024*")</f>
        <v>0</v>
      </c>
      <c r="H3112" s="83">
        <f t="shared" si="48"/>
        <v>6872</v>
      </c>
      <c r="I3112" s="83"/>
      <c r="K3112" s="54" t="s">
        <v>15</v>
      </c>
    </row>
    <row r="3113" spans="2:11" ht="41.25" x14ac:dyDescent="0.2">
      <c r="B3113" s="82" t="s">
        <v>5426</v>
      </c>
      <c r="C3113" s="82" t="s">
        <v>2955</v>
      </c>
      <c r="D3113" s="83">
        <f>SUMIFS(D3114:D6462,K3114:K6462,"0",B3114:B6462,"5 1 1 5 4 12 31111 6 M59 10300 000132 0000R 00001 00154 015 2111100 2024 CP1GE413*")-SUMIFS(E3114:E6462,K3114:K6462,"0",B3114:B6462,"5 1 1 5 4 12 31111 6 M59 10300 000132 0000R 00001 00154 015 2111100 2024 CP1GE413*")</f>
        <v>0</v>
      </c>
      <c r="E3113" s="54"/>
      <c r="F3113" s="83">
        <f>SUMIFS(F3114:F6462,K3114:K6462,"0",B3114:B6462,"5 1 1 5 4 12 31111 6 M59 10300 000132 0000R 00001 00154 015 2111100 2024 CP1GE413*")</f>
        <v>6872</v>
      </c>
      <c r="G3113" s="83">
        <f>SUMIFS(G3114:G6462,K3114:K6462,"0",B3114:B6462,"5 1 1 5 4 12 31111 6 M59 10300 000132 0000R 00001 00154 015 2111100 2024 CP1GE413*")</f>
        <v>0</v>
      </c>
      <c r="H3113" s="83">
        <f t="shared" si="48"/>
        <v>6872</v>
      </c>
      <c r="I3113" s="83"/>
      <c r="K3113" s="54" t="s">
        <v>15</v>
      </c>
    </row>
    <row r="3114" spans="2:11" ht="41.25" x14ac:dyDescent="0.2">
      <c r="B3114" s="82" t="s">
        <v>5427</v>
      </c>
      <c r="C3114" s="82" t="s">
        <v>282</v>
      </c>
      <c r="D3114" s="83">
        <f>SUMIFS(D3115:D6462,K3115:K6462,"0",B3115:B6462,"5 1 1 5 4 12 31111 6 M59 10300 000132 0000R 00001 00154 015 2111100 2024 CP1GE413 001*")-SUMIFS(E3115:E6462,K3115:K6462,"0",B3115:B6462,"5 1 1 5 4 12 31111 6 M59 10300 000132 0000R 00001 00154 015 2111100 2024 CP1GE413 001*")</f>
        <v>0</v>
      </c>
      <c r="E3114" s="54"/>
      <c r="F3114" s="83">
        <f>SUMIFS(F3115:F6462,K3115:K6462,"0",B3115:B6462,"5 1 1 5 4 12 31111 6 M59 10300 000132 0000R 00001 00154 015 2111100 2024 CP1GE413 001*")</f>
        <v>6872</v>
      </c>
      <c r="G3114" s="83">
        <f>SUMIFS(G3115:G6462,K3115:K6462,"0",B3115:B6462,"5 1 1 5 4 12 31111 6 M59 10300 000132 0000R 00001 00154 015 2111100 2024 CP1GE413 001*")</f>
        <v>0</v>
      </c>
      <c r="H3114" s="83">
        <f t="shared" si="48"/>
        <v>6872</v>
      </c>
      <c r="I3114" s="83"/>
      <c r="K3114" s="54" t="s">
        <v>15</v>
      </c>
    </row>
    <row r="3115" spans="2:11" ht="33" x14ac:dyDescent="0.2">
      <c r="B3115" s="84" t="s">
        <v>5428</v>
      </c>
      <c r="C3115" s="84" t="s">
        <v>5429</v>
      </c>
      <c r="D3115" s="85">
        <v>0</v>
      </c>
      <c r="E3115" s="85"/>
      <c r="F3115" s="85">
        <v>6060</v>
      </c>
      <c r="G3115" s="85">
        <v>0</v>
      </c>
      <c r="H3115" s="85">
        <f t="shared" ref="H3115:H3178" si="49">D3115 + F3115 - G3115</f>
        <v>6060</v>
      </c>
      <c r="I3115" s="85"/>
      <c r="K3115" s="54" t="s">
        <v>38</v>
      </c>
    </row>
    <row r="3116" spans="2:11" ht="33" x14ac:dyDescent="0.2">
      <c r="B3116" s="84" t="s">
        <v>5430</v>
      </c>
      <c r="C3116" s="84" t="s">
        <v>5431</v>
      </c>
      <c r="D3116" s="85">
        <v>0</v>
      </c>
      <c r="E3116" s="85"/>
      <c r="F3116" s="85">
        <v>812</v>
      </c>
      <c r="G3116" s="85">
        <v>0</v>
      </c>
      <c r="H3116" s="85">
        <f t="shared" si="49"/>
        <v>812</v>
      </c>
      <c r="I3116" s="85"/>
      <c r="K3116" s="54" t="s">
        <v>38</v>
      </c>
    </row>
    <row r="3117" spans="2:11" ht="16.5" x14ac:dyDescent="0.2">
      <c r="B3117" s="82" t="s">
        <v>5432</v>
      </c>
      <c r="C3117" s="82" t="s">
        <v>2971</v>
      </c>
      <c r="D3117" s="83">
        <f>SUMIFS(D3118:D6462,K3118:K6462,"0",B3118:B6462,"5 1 1 5 4 12 31111 6 M59 10500*")-SUMIFS(E3118:E6462,K3118:K6462,"0",B3118:B6462,"5 1 1 5 4 12 31111 6 M59 10500*")</f>
        <v>0</v>
      </c>
      <c r="E3117" s="54"/>
      <c r="F3117" s="83">
        <f>SUMIFS(F3118:F6462,K3118:K6462,"0",B3118:B6462,"5 1 1 5 4 12 31111 6 M59 10500*")</f>
        <v>154670.9</v>
      </c>
      <c r="G3117" s="83">
        <f>SUMIFS(G3118:G6462,K3118:K6462,"0",B3118:B6462,"5 1 1 5 4 12 31111 6 M59 10500*")</f>
        <v>0</v>
      </c>
      <c r="H3117" s="83">
        <f t="shared" si="49"/>
        <v>154670.9</v>
      </c>
      <c r="I3117" s="83"/>
      <c r="K3117" s="54" t="s">
        <v>15</v>
      </c>
    </row>
    <row r="3118" spans="2:11" ht="16.5" x14ac:dyDescent="0.2">
      <c r="B3118" s="82" t="s">
        <v>5433</v>
      </c>
      <c r="C3118" s="82" t="s">
        <v>648</v>
      </c>
      <c r="D3118" s="83">
        <f>SUMIFS(D3119:D6462,K3119:K6462,"0",B3119:B6462,"5 1 1 5 4 12 31111 6 M59 10500 000132*")-SUMIFS(E3119:E6462,K3119:K6462,"0",B3119:B6462,"5 1 1 5 4 12 31111 6 M59 10500 000132*")</f>
        <v>0</v>
      </c>
      <c r="E3118" s="54"/>
      <c r="F3118" s="83">
        <f>SUMIFS(F3119:F6462,K3119:K6462,"0",B3119:B6462,"5 1 1 5 4 12 31111 6 M59 10500 000132*")</f>
        <v>154670.9</v>
      </c>
      <c r="G3118" s="83">
        <f>SUMIFS(G3119:G6462,K3119:K6462,"0",B3119:B6462,"5 1 1 5 4 12 31111 6 M59 10500 000132*")</f>
        <v>0</v>
      </c>
      <c r="H3118" s="83">
        <f t="shared" si="49"/>
        <v>154670.9</v>
      </c>
      <c r="I3118" s="83"/>
      <c r="K3118" s="54" t="s">
        <v>15</v>
      </c>
    </row>
    <row r="3119" spans="2:11" ht="16.5" x14ac:dyDescent="0.2">
      <c r="B3119" s="82" t="s">
        <v>5434</v>
      </c>
      <c r="C3119" s="82" t="s">
        <v>650</v>
      </c>
      <c r="D3119" s="83">
        <f>SUMIFS(D3120:D6462,K3120:K6462,"0",B3120:B6462,"5 1 1 5 4 12 31111 6 M59 10500 000132 0000R*")-SUMIFS(E3120:E6462,K3120:K6462,"0",B3120:B6462,"5 1 1 5 4 12 31111 6 M59 10500 000132 0000R*")</f>
        <v>0</v>
      </c>
      <c r="E3119" s="54"/>
      <c r="F3119" s="83">
        <f>SUMIFS(F3120:F6462,K3120:K6462,"0",B3120:B6462,"5 1 1 5 4 12 31111 6 M59 10500 000132 0000R*")</f>
        <v>154670.9</v>
      </c>
      <c r="G3119" s="83">
        <f>SUMIFS(G3120:G6462,K3120:K6462,"0",B3120:B6462,"5 1 1 5 4 12 31111 6 M59 10500 000132 0000R*")</f>
        <v>0</v>
      </c>
      <c r="H3119" s="83">
        <f t="shared" si="49"/>
        <v>154670.9</v>
      </c>
      <c r="I3119" s="83"/>
      <c r="K3119" s="54" t="s">
        <v>15</v>
      </c>
    </row>
    <row r="3120" spans="2:11" ht="24.75" x14ac:dyDescent="0.2">
      <c r="B3120" s="82" t="s">
        <v>5435</v>
      </c>
      <c r="C3120" s="82" t="s">
        <v>282</v>
      </c>
      <c r="D3120" s="83">
        <f>SUMIFS(D3121:D6462,K3121:K6462,"0",B3121:B6462,"5 1 1 5 4 12 31111 6 M59 10500 000132 0000R 00001*")-SUMIFS(E3121:E6462,K3121:K6462,"0",B3121:B6462,"5 1 1 5 4 12 31111 6 M59 10500 000132 0000R 00001*")</f>
        <v>0</v>
      </c>
      <c r="E3120" s="54"/>
      <c r="F3120" s="83">
        <f>SUMIFS(F3121:F6462,K3121:K6462,"0",B3121:B6462,"5 1 1 5 4 12 31111 6 M59 10500 000132 0000R 00001*")</f>
        <v>154670.9</v>
      </c>
      <c r="G3120" s="83">
        <f>SUMIFS(G3121:G6462,K3121:K6462,"0",B3121:B6462,"5 1 1 5 4 12 31111 6 M59 10500 000132 0000R 00001*")</f>
        <v>0</v>
      </c>
      <c r="H3120" s="83">
        <f t="shared" si="49"/>
        <v>154670.9</v>
      </c>
      <c r="I3120" s="83"/>
      <c r="K3120" s="54" t="s">
        <v>15</v>
      </c>
    </row>
    <row r="3121" spans="2:11" ht="24.75" x14ac:dyDescent="0.2">
      <c r="B3121" s="82" t="s">
        <v>5436</v>
      </c>
      <c r="C3121" s="82" t="s">
        <v>5422</v>
      </c>
      <c r="D3121" s="83">
        <f>SUMIFS(D3122:D6462,K3122:K6462,"0",B3122:B6462,"5 1 1 5 4 12 31111 6 M59 10500 000132 0000R 00001 00154*")-SUMIFS(E3122:E6462,K3122:K6462,"0",B3122:B6462,"5 1 1 5 4 12 31111 6 M59 10500 000132 0000R 00001 00154*")</f>
        <v>0</v>
      </c>
      <c r="E3121" s="54"/>
      <c r="F3121" s="83">
        <f>SUMIFS(F3122:F6462,K3122:K6462,"0",B3122:B6462,"5 1 1 5 4 12 31111 6 M59 10500 000132 0000R 00001 00154*")</f>
        <v>154670.9</v>
      </c>
      <c r="G3121" s="83">
        <f>SUMIFS(G3122:G6462,K3122:K6462,"0",B3122:B6462,"5 1 1 5 4 12 31111 6 M59 10500 000132 0000R 00001 00154*")</f>
        <v>0</v>
      </c>
      <c r="H3121" s="83">
        <f t="shared" si="49"/>
        <v>154670.9</v>
      </c>
      <c r="I3121" s="83"/>
      <c r="K3121" s="54" t="s">
        <v>15</v>
      </c>
    </row>
    <row r="3122" spans="2:11" ht="24.75" x14ac:dyDescent="0.2">
      <c r="B3122" s="82" t="s">
        <v>5437</v>
      </c>
      <c r="C3122" s="82" t="s">
        <v>1051</v>
      </c>
      <c r="D3122" s="83">
        <f>SUMIFS(D3123:D6462,K3123:K6462,"0",B3123:B6462,"5 1 1 5 4 12 31111 6 M59 10500 000132 0000R 00001 00154 015*")-SUMIFS(E3123:E6462,K3123:K6462,"0",B3123:B6462,"5 1 1 5 4 12 31111 6 M59 10500 000132 0000R 00001 00154 015*")</f>
        <v>0</v>
      </c>
      <c r="E3122" s="54"/>
      <c r="F3122" s="83">
        <f>SUMIFS(F3123:F6462,K3123:K6462,"0",B3123:B6462,"5 1 1 5 4 12 31111 6 M59 10500 000132 0000R 00001 00154 015*")</f>
        <v>154670.9</v>
      </c>
      <c r="G3122" s="83">
        <f>SUMIFS(G3123:G6462,K3123:K6462,"0",B3123:B6462,"5 1 1 5 4 12 31111 6 M59 10500 000132 0000R 00001 00154 015*")</f>
        <v>0</v>
      </c>
      <c r="H3122" s="83">
        <f t="shared" si="49"/>
        <v>154670.9</v>
      </c>
      <c r="I3122" s="83"/>
      <c r="K3122" s="54" t="s">
        <v>15</v>
      </c>
    </row>
    <row r="3123" spans="2:11" ht="33" x14ac:dyDescent="0.2">
      <c r="B3123" s="82" t="s">
        <v>5438</v>
      </c>
      <c r="C3123" s="82" t="s">
        <v>2927</v>
      </c>
      <c r="D3123" s="83">
        <f>SUMIFS(D3124:D6462,K3124:K6462,"0",B3124:B6462,"5 1 1 5 4 12 31111 6 M59 10500 000132 0000R 00001 00154 015 2111100*")-SUMIFS(E3124:E6462,K3124:K6462,"0",B3124:B6462,"5 1 1 5 4 12 31111 6 M59 10500 000132 0000R 00001 00154 015 2111100*")</f>
        <v>0</v>
      </c>
      <c r="E3123" s="54"/>
      <c r="F3123" s="83">
        <f>SUMIFS(F3124:F6462,K3124:K6462,"0",B3124:B6462,"5 1 1 5 4 12 31111 6 M59 10500 000132 0000R 00001 00154 015 2111100*")</f>
        <v>154670.9</v>
      </c>
      <c r="G3123" s="83">
        <f>SUMIFS(G3124:G6462,K3124:K6462,"0",B3124:B6462,"5 1 1 5 4 12 31111 6 M59 10500 000132 0000R 00001 00154 015 2111100*")</f>
        <v>0</v>
      </c>
      <c r="H3123" s="83">
        <f t="shared" si="49"/>
        <v>154670.9</v>
      </c>
      <c r="I3123" s="83"/>
      <c r="K3123" s="54" t="s">
        <v>15</v>
      </c>
    </row>
    <row r="3124" spans="2:11" ht="33" x14ac:dyDescent="0.2">
      <c r="B3124" s="82" t="s">
        <v>5439</v>
      </c>
      <c r="C3124" s="82" t="s">
        <v>660</v>
      </c>
      <c r="D3124" s="83">
        <f>SUMIFS(D3125:D6462,K3125:K6462,"0",B3125:B6462,"5 1 1 5 4 12 31111 6 M59 10500 000132 0000R 00001 00154 015 2111100 2024*")-SUMIFS(E3125:E6462,K3125:K6462,"0",B3125:B6462,"5 1 1 5 4 12 31111 6 M59 10500 000132 0000R 00001 00154 015 2111100 2024*")</f>
        <v>0</v>
      </c>
      <c r="E3124" s="54"/>
      <c r="F3124" s="83">
        <f>SUMIFS(F3125:F6462,K3125:K6462,"0",B3125:B6462,"5 1 1 5 4 12 31111 6 M59 10500 000132 0000R 00001 00154 015 2111100 2024*")</f>
        <v>154670.9</v>
      </c>
      <c r="G3124" s="83">
        <f>SUMIFS(G3125:G6462,K3125:K6462,"0",B3125:B6462,"5 1 1 5 4 12 31111 6 M59 10500 000132 0000R 00001 00154 015 2111100 2024*")</f>
        <v>0</v>
      </c>
      <c r="H3124" s="83">
        <f t="shared" si="49"/>
        <v>154670.9</v>
      </c>
      <c r="I3124" s="83"/>
      <c r="K3124" s="54" t="s">
        <v>15</v>
      </c>
    </row>
    <row r="3125" spans="2:11" ht="41.25" x14ac:dyDescent="0.2">
      <c r="B3125" s="82" t="s">
        <v>5440</v>
      </c>
      <c r="C3125" s="82" t="s">
        <v>1056</v>
      </c>
      <c r="D3125" s="83">
        <f>SUMIFS(D3126:D6462,K3126:K6462,"0",B3126:B6462,"5 1 1 5 4 12 31111 6 M59 10500 000132 0000R 00001 00154 015 2111100 2024 CP1CS421*")-SUMIFS(E3126:E6462,K3126:K6462,"0",B3126:B6462,"5 1 1 5 4 12 31111 6 M59 10500 000132 0000R 00001 00154 015 2111100 2024 CP1CS421*")</f>
        <v>0</v>
      </c>
      <c r="E3125" s="54"/>
      <c r="F3125" s="83">
        <f>SUMIFS(F3126:F6462,K3126:K6462,"0",B3126:B6462,"5 1 1 5 4 12 31111 6 M59 10500 000132 0000R 00001 00154 015 2111100 2024 CP1CS421*")</f>
        <v>154670.9</v>
      </c>
      <c r="G3125" s="83">
        <f>SUMIFS(G3126:G6462,K3126:K6462,"0",B3126:B6462,"5 1 1 5 4 12 31111 6 M59 10500 000132 0000R 00001 00154 015 2111100 2024 CP1CS421*")</f>
        <v>0</v>
      </c>
      <c r="H3125" s="83">
        <f t="shared" si="49"/>
        <v>154670.9</v>
      </c>
      <c r="I3125" s="83"/>
      <c r="K3125" s="54" t="s">
        <v>15</v>
      </c>
    </row>
    <row r="3126" spans="2:11" ht="41.25" x14ac:dyDescent="0.2">
      <c r="B3126" s="82" t="s">
        <v>5441</v>
      </c>
      <c r="C3126" s="82" t="s">
        <v>282</v>
      </c>
      <c r="D3126" s="83">
        <f>SUMIFS(D3127:D6462,K3127:K6462,"0",B3127:B6462,"5 1 1 5 4 12 31111 6 M59 10500 000132 0000R 00001 00154 015 2111100 2024 CP1CS421 001*")-SUMIFS(E3127:E6462,K3127:K6462,"0",B3127:B6462,"5 1 1 5 4 12 31111 6 M59 10500 000132 0000R 00001 00154 015 2111100 2024 CP1CS421 001*")</f>
        <v>0</v>
      </c>
      <c r="E3126" s="54"/>
      <c r="F3126" s="83">
        <f>SUMIFS(F3127:F6462,K3127:K6462,"0",B3127:B6462,"5 1 1 5 4 12 31111 6 M59 10500 000132 0000R 00001 00154 015 2111100 2024 CP1CS421 001*")</f>
        <v>154670.9</v>
      </c>
      <c r="G3126" s="83">
        <f>SUMIFS(G3127:G6462,K3127:K6462,"0",B3127:B6462,"5 1 1 5 4 12 31111 6 M59 10500 000132 0000R 00001 00154 015 2111100 2024 CP1CS421 001*")</f>
        <v>0</v>
      </c>
      <c r="H3126" s="83">
        <f t="shared" si="49"/>
        <v>154670.9</v>
      </c>
      <c r="I3126" s="83"/>
      <c r="K3126" s="54" t="s">
        <v>15</v>
      </c>
    </row>
    <row r="3127" spans="2:11" ht="33" x14ac:dyDescent="0.2">
      <c r="B3127" s="84" t="s">
        <v>5442</v>
      </c>
      <c r="C3127" s="84" t="s">
        <v>5443</v>
      </c>
      <c r="D3127" s="85">
        <v>0</v>
      </c>
      <c r="E3127" s="85"/>
      <c r="F3127" s="85">
        <v>3036</v>
      </c>
      <c r="G3127" s="85">
        <v>0</v>
      </c>
      <c r="H3127" s="85">
        <f t="shared" si="49"/>
        <v>3036</v>
      </c>
      <c r="I3127" s="85"/>
      <c r="K3127" s="54" t="s">
        <v>38</v>
      </c>
    </row>
    <row r="3128" spans="2:11" ht="33" x14ac:dyDescent="0.2">
      <c r="B3128" s="84" t="s">
        <v>5444</v>
      </c>
      <c r="C3128" s="84" t="s">
        <v>5431</v>
      </c>
      <c r="D3128" s="85">
        <v>0</v>
      </c>
      <c r="E3128" s="85"/>
      <c r="F3128" s="85">
        <v>3608.16</v>
      </c>
      <c r="G3128" s="85">
        <v>0</v>
      </c>
      <c r="H3128" s="85">
        <f t="shared" si="49"/>
        <v>3608.16</v>
      </c>
      <c r="I3128" s="85"/>
      <c r="K3128" s="54" t="s">
        <v>38</v>
      </c>
    </row>
    <row r="3129" spans="2:11" ht="33" x14ac:dyDescent="0.2">
      <c r="B3129" s="84" t="s">
        <v>5445</v>
      </c>
      <c r="C3129" s="84" t="s">
        <v>5446</v>
      </c>
      <c r="D3129" s="85">
        <v>0</v>
      </c>
      <c r="E3129" s="85"/>
      <c r="F3129" s="85">
        <v>148026.74</v>
      </c>
      <c r="G3129" s="85">
        <v>0</v>
      </c>
      <c r="H3129" s="85">
        <f t="shared" si="49"/>
        <v>148026.74</v>
      </c>
      <c r="I3129" s="85"/>
      <c r="K3129" s="54" t="s">
        <v>38</v>
      </c>
    </row>
    <row r="3130" spans="2:11" ht="16.5" x14ac:dyDescent="0.2">
      <c r="B3130" s="82" t="s">
        <v>5447</v>
      </c>
      <c r="C3130" s="82" t="s">
        <v>3020</v>
      </c>
      <c r="D3130" s="83">
        <f>SUMIFS(D3131:D6462,K3131:K6462,"0",B3131:B6462,"5 1 1 5 4 12 31111 6 M59 11000*")-SUMIFS(E3131:E6462,K3131:K6462,"0",B3131:B6462,"5 1 1 5 4 12 31111 6 M59 11000*")</f>
        <v>0</v>
      </c>
      <c r="E3130" s="54"/>
      <c r="F3130" s="83">
        <f>SUMIFS(F3131:F6462,K3131:K6462,"0",B3131:B6462,"5 1 1 5 4 12 31111 6 M59 11000*")</f>
        <v>119233.27</v>
      </c>
      <c r="G3130" s="83">
        <f>SUMIFS(G3131:G6462,K3131:K6462,"0",B3131:B6462,"5 1 1 5 4 12 31111 6 M59 11000*")</f>
        <v>0</v>
      </c>
      <c r="H3130" s="83">
        <f t="shared" si="49"/>
        <v>119233.27</v>
      </c>
      <c r="I3130" s="83"/>
      <c r="K3130" s="54" t="s">
        <v>15</v>
      </c>
    </row>
    <row r="3131" spans="2:11" ht="16.5" x14ac:dyDescent="0.2">
      <c r="B3131" s="82" t="s">
        <v>5448</v>
      </c>
      <c r="C3131" s="82" t="s">
        <v>648</v>
      </c>
      <c r="D3131" s="83">
        <f>SUMIFS(D3132:D6462,K3132:K6462,"0",B3132:B6462,"5 1 1 5 4 12 31111 6 M59 11000 000132*")-SUMIFS(E3132:E6462,K3132:K6462,"0",B3132:B6462,"5 1 1 5 4 12 31111 6 M59 11000 000132*")</f>
        <v>0</v>
      </c>
      <c r="E3131" s="54"/>
      <c r="F3131" s="83">
        <f>SUMIFS(F3132:F6462,K3132:K6462,"0",B3132:B6462,"5 1 1 5 4 12 31111 6 M59 11000 000132*")</f>
        <v>119233.27</v>
      </c>
      <c r="G3131" s="83">
        <f>SUMIFS(G3132:G6462,K3132:K6462,"0",B3132:B6462,"5 1 1 5 4 12 31111 6 M59 11000 000132*")</f>
        <v>0</v>
      </c>
      <c r="H3131" s="83">
        <f t="shared" si="49"/>
        <v>119233.27</v>
      </c>
      <c r="I3131" s="83"/>
      <c r="K3131" s="54" t="s">
        <v>15</v>
      </c>
    </row>
    <row r="3132" spans="2:11" ht="16.5" x14ac:dyDescent="0.2">
      <c r="B3132" s="82" t="s">
        <v>5449</v>
      </c>
      <c r="C3132" s="82" t="s">
        <v>650</v>
      </c>
      <c r="D3132" s="83">
        <f>SUMIFS(D3133:D6462,K3133:K6462,"0",B3133:B6462,"5 1 1 5 4 12 31111 6 M59 11000 000132 0000R*")-SUMIFS(E3133:E6462,K3133:K6462,"0",B3133:B6462,"5 1 1 5 4 12 31111 6 M59 11000 000132 0000R*")</f>
        <v>0</v>
      </c>
      <c r="E3132" s="54"/>
      <c r="F3132" s="83">
        <f>SUMIFS(F3133:F6462,K3133:K6462,"0",B3133:B6462,"5 1 1 5 4 12 31111 6 M59 11000 000132 0000R*")</f>
        <v>119233.27</v>
      </c>
      <c r="G3132" s="83">
        <f>SUMIFS(G3133:G6462,K3133:K6462,"0",B3133:B6462,"5 1 1 5 4 12 31111 6 M59 11000 000132 0000R*")</f>
        <v>0</v>
      </c>
      <c r="H3132" s="83">
        <f t="shared" si="49"/>
        <v>119233.27</v>
      </c>
      <c r="I3132" s="83"/>
      <c r="K3132" s="54" t="s">
        <v>15</v>
      </c>
    </row>
    <row r="3133" spans="2:11" ht="24.75" x14ac:dyDescent="0.2">
      <c r="B3133" s="82" t="s">
        <v>5450</v>
      </c>
      <c r="C3133" s="82" t="s">
        <v>282</v>
      </c>
      <c r="D3133" s="83">
        <f>SUMIFS(D3134:D6462,K3134:K6462,"0",B3134:B6462,"5 1 1 5 4 12 31111 6 M59 11000 000132 0000R 00001*")-SUMIFS(E3134:E6462,K3134:K6462,"0",B3134:B6462,"5 1 1 5 4 12 31111 6 M59 11000 000132 0000R 00001*")</f>
        <v>0</v>
      </c>
      <c r="E3133" s="54"/>
      <c r="F3133" s="83">
        <f>SUMIFS(F3134:F6462,K3134:K6462,"0",B3134:B6462,"5 1 1 5 4 12 31111 6 M59 11000 000132 0000R 00001*")</f>
        <v>119233.27</v>
      </c>
      <c r="G3133" s="83">
        <f>SUMIFS(G3134:G6462,K3134:K6462,"0",B3134:B6462,"5 1 1 5 4 12 31111 6 M59 11000 000132 0000R 00001*")</f>
        <v>0</v>
      </c>
      <c r="H3133" s="83">
        <f t="shared" si="49"/>
        <v>119233.27</v>
      </c>
      <c r="I3133" s="83"/>
      <c r="K3133" s="54" t="s">
        <v>15</v>
      </c>
    </row>
    <row r="3134" spans="2:11" ht="24.75" x14ac:dyDescent="0.2">
      <c r="B3134" s="82" t="s">
        <v>5451</v>
      </c>
      <c r="C3134" s="82" t="s">
        <v>5422</v>
      </c>
      <c r="D3134" s="83">
        <f>SUMIFS(D3135:D6462,K3135:K6462,"0",B3135:B6462,"5 1 1 5 4 12 31111 6 M59 11000 000132 0000R 00001 00154*")-SUMIFS(E3135:E6462,K3135:K6462,"0",B3135:B6462,"5 1 1 5 4 12 31111 6 M59 11000 000132 0000R 00001 00154*")</f>
        <v>0</v>
      </c>
      <c r="E3134" s="54"/>
      <c r="F3134" s="83">
        <f>SUMIFS(F3135:F6462,K3135:K6462,"0",B3135:B6462,"5 1 1 5 4 12 31111 6 M59 11000 000132 0000R 00001 00154*")</f>
        <v>119233.27</v>
      </c>
      <c r="G3134" s="83">
        <f>SUMIFS(G3135:G6462,K3135:K6462,"0",B3135:B6462,"5 1 1 5 4 12 31111 6 M59 11000 000132 0000R 00001 00154*")</f>
        <v>0</v>
      </c>
      <c r="H3134" s="83">
        <f t="shared" si="49"/>
        <v>119233.27</v>
      </c>
      <c r="I3134" s="83"/>
      <c r="K3134" s="54" t="s">
        <v>15</v>
      </c>
    </row>
    <row r="3135" spans="2:11" ht="24.75" x14ac:dyDescent="0.2">
      <c r="B3135" s="82" t="s">
        <v>5452</v>
      </c>
      <c r="C3135" s="82" t="s">
        <v>1051</v>
      </c>
      <c r="D3135" s="83">
        <f>SUMIFS(D3136:D6462,K3136:K6462,"0",B3136:B6462,"5 1 1 5 4 12 31111 6 M59 11000 000132 0000R 00001 00154 015*")-SUMIFS(E3136:E6462,K3136:K6462,"0",B3136:B6462,"5 1 1 5 4 12 31111 6 M59 11000 000132 0000R 00001 00154 015*")</f>
        <v>0</v>
      </c>
      <c r="E3135" s="54"/>
      <c r="F3135" s="83">
        <f>SUMIFS(F3136:F6462,K3136:K6462,"0",B3136:B6462,"5 1 1 5 4 12 31111 6 M59 11000 000132 0000R 00001 00154 015*")</f>
        <v>119233.27</v>
      </c>
      <c r="G3135" s="83">
        <f>SUMIFS(G3136:G6462,K3136:K6462,"0",B3136:B6462,"5 1 1 5 4 12 31111 6 M59 11000 000132 0000R 00001 00154 015*")</f>
        <v>0</v>
      </c>
      <c r="H3135" s="83">
        <f t="shared" si="49"/>
        <v>119233.27</v>
      </c>
      <c r="I3135" s="83"/>
      <c r="K3135" s="54" t="s">
        <v>15</v>
      </c>
    </row>
    <row r="3136" spans="2:11" ht="33" x14ac:dyDescent="0.2">
      <c r="B3136" s="82" t="s">
        <v>5453</v>
      </c>
      <c r="C3136" s="82" t="s">
        <v>2927</v>
      </c>
      <c r="D3136" s="83">
        <f>SUMIFS(D3137:D6462,K3137:K6462,"0",B3137:B6462,"5 1 1 5 4 12 31111 6 M59 11000 000132 0000R 00001 00154 015 2111100*")-SUMIFS(E3137:E6462,K3137:K6462,"0",B3137:B6462,"5 1 1 5 4 12 31111 6 M59 11000 000132 0000R 00001 00154 015 2111100*")</f>
        <v>0</v>
      </c>
      <c r="E3136" s="54"/>
      <c r="F3136" s="83">
        <f>SUMIFS(F3137:F6462,K3137:K6462,"0",B3137:B6462,"5 1 1 5 4 12 31111 6 M59 11000 000132 0000R 00001 00154 015 2111100*")</f>
        <v>119233.27</v>
      </c>
      <c r="G3136" s="83">
        <f>SUMIFS(G3137:G6462,K3137:K6462,"0",B3137:B6462,"5 1 1 5 4 12 31111 6 M59 11000 000132 0000R 00001 00154 015 2111100*")</f>
        <v>0</v>
      </c>
      <c r="H3136" s="83">
        <f t="shared" si="49"/>
        <v>119233.27</v>
      </c>
      <c r="I3136" s="83"/>
      <c r="K3136" s="54" t="s">
        <v>15</v>
      </c>
    </row>
    <row r="3137" spans="2:11" ht="33" x14ac:dyDescent="0.2">
      <c r="B3137" s="82" t="s">
        <v>5454</v>
      </c>
      <c r="C3137" s="82" t="s">
        <v>660</v>
      </c>
      <c r="D3137" s="83">
        <f>SUMIFS(D3138:D6462,K3138:K6462,"0",B3138:B6462,"5 1 1 5 4 12 31111 6 M59 11000 000132 0000R 00001 00154 015 2111100 2024*")-SUMIFS(E3138:E6462,K3138:K6462,"0",B3138:B6462,"5 1 1 5 4 12 31111 6 M59 11000 000132 0000R 00001 00154 015 2111100 2024*")</f>
        <v>0</v>
      </c>
      <c r="E3137" s="54"/>
      <c r="F3137" s="83">
        <f>SUMIFS(F3138:F6462,K3138:K6462,"0",B3138:B6462,"5 1 1 5 4 12 31111 6 M59 11000 000132 0000R 00001 00154 015 2111100 2024*")</f>
        <v>119233.27</v>
      </c>
      <c r="G3137" s="83">
        <f>SUMIFS(G3138:G6462,K3138:K6462,"0",B3138:B6462,"5 1 1 5 4 12 31111 6 M59 11000 000132 0000R 00001 00154 015 2111100 2024*")</f>
        <v>0</v>
      </c>
      <c r="H3137" s="83">
        <f t="shared" si="49"/>
        <v>119233.27</v>
      </c>
      <c r="I3137" s="83"/>
      <c r="K3137" s="54" t="s">
        <v>15</v>
      </c>
    </row>
    <row r="3138" spans="2:11" ht="41.25" x14ac:dyDescent="0.2">
      <c r="B3138" s="82" t="s">
        <v>5455</v>
      </c>
      <c r="C3138" s="82" t="s">
        <v>1056</v>
      </c>
      <c r="D3138" s="83">
        <f>SUMIFS(D3139:D6462,K3139:K6462,"0",B3139:B6462,"5 1 1 5 4 12 31111 6 M59 11000 000132 0000R 00001 00154 015 2111100 2024 CP1SM382*")-SUMIFS(E3139:E6462,K3139:K6462,"0",B3139:B6462,"5 1 1 5 4 12 31111 6 M59 11000 000132 0000R 00001 00154 015 2111100 2024 CP1SM382*")</f>
        <v>0</v>
      </c>
      <c r="E3138" s="54"/>
      <c r="F3138" s="83">
        <f>SUMIFS(F3139:F6462,K3139:K6462,"0",B3139:B6462,"5 1 1 5 4 12 31111 6 M59 11000 000132 0000R 00001 00154 015 2111100 2024 CP1SM382*")</f>
        <v>119233.27</v>
      </c>
      <c r="G3138" s="83">
        <f>SUMIFS(G3139:G6462,K3139:K6462,"0",B3139:B6462,"5 1 1 5 4 12 31111 6 M59 11000 000132 0000R 00001 00154 015 2111100 2024 CP1SM382*")</f>
        <v>0</v>
      </c>
      <c r="H3138" s="83">
        <f t="shared" si="49"/>
        <v>119233.27</v>
      </c>
      <c r="I3138" s="83"/>
      <c r="K3138" s="54" t="s">
        <v>15</v>
      </c>
    </row>
    <row r="3139" spans="2:11" ht="41.25" x14ac:dyDescent="0.2">
      <c r="B3139" s="82" t="s">
        <v>5456</v>
      </c>
      <c r="C3139" s="82" t="s">
        <v>282</v>
      </c>
      <c r="D3139" s="83">
        <f>SUMIFS(D3140:D6462,K3140:K6462,"0",B3140:B6462,"5 1 1 5 4 12 31111 6 M59 11000 000132 0000R 00001 00154 015 2111100 2024 CP1SM382 001*")-SUMIFS(E3140:E6462,K3140:K6462,"0",B3140:B6462,"5 1 1 5 4 12 31111 6 M59 11000 000132 0000R 00001 00154 015 2111100 2024 CP1SM382 001*")</f>
        <v>0</v>
      </c>
      <c r="E3139" s="54"/>
      <c r="F3139" s="83">
        <f>SUMIFS(F3140:F6462,K3140:K6462,"0",B3140:B6462,"5 1 1 5 4 12 31111 6 M59 11000 000132 0000R 00001 00154 015 2111100 2024 CP1SM382 001*")</f>
        <v>119233.27</v>
      </c>
      <c r="G3139" s="83">
        <f>SUMIFS(G3140:G6462,K3140:K6462,"0",B3140:B6462,"5 1 1 5 4 12 31111 6 M59 11000 000132 0000R 00001 00154 015 2111100 2024 CP1SM382 001*")</f>
        <v>0</v>
      </c>
      <c r="H3139" s="83">
        <f t="shared" si="49"/>
        <v>119233.27</v>
      </c>
      <c r="I3139" s="83"/>
      <c r="K3139" s="54" t="s">
        <v>15</v>
      </c>
    </row>
    <row r="3140" spans="2:11" ht="33" x14ac:dyDescent="0.2">
      <c r="B3140" s="84" t="s">
        <v>5457</v>
      </c>
      <c r="C3140" s="84" t="s">
        <v>5429</v>
      </c>
      <c r="D3140" s="85">
        <v>0</v>
      </c>
      <c r="E3140" s="85"/>
      <c r="F3140" s="85">
        <v>3672</v>
      </c>
      <c r="G3140" s="85">
        <v>0</v>
      </c>
      <c r="H3140" s="85">
        <f t="shared" si="49"/>
        <v>3672</v>
      </c>
      <c r="I3140" s="85"/>
      <c r="K3140" s="54" t="s">
        <v>38</v>
      </c>
    </row>
    <row r="3141" spans="2:11" ht="33" x14ac:dyDescent="0.2">
      <c r="B3141" s="84" t="s">
        <v>5458</v>
      </c>
      <c r="C3141" s="84" t="s">
        <v>5459</v>
      </c>
      <c r="D3141" s="85">
        <v>0</v>
      </c>
      <c r="E3141" s="85"/>
      <c r="F3141" s="85">
        <v>3884.16</v>
      </c>
      <c r="G3141" s="85">
        <v>0</v>
      </c>
      <c r="H3141" s="85">
        <f t="shared" si="49"/>
        <v>3884.16</v>
      </c>
      <c r="I3141" s="85"/>
      <c r="K3141" s="54" t="s">
        <v>38</v>
      </c>
    </row>
    <row r="3142" spans="2:11" ht="33" x14ac:dyDescent="0.2">
      <c r="B3142" s="84" t="s">
        <v>5460</v>
      </c>
      <c r="C3142" s="84" t="s">
        <v>5446</v>
      </c>
      <c r="D3142" s="85">
        <v>0</v>
      </c>
      <c r="E3142" s="85"/>
      <c r="F3142" s="85">
        <v>111677.11</v>
      </c>
      <c r="G3142" s="85">
        <v>0</v>
      </c>
      <c r="H3142" s="85">
        <f t="shared" si="49"/>
        <v>111677.11</v>
      </c>
      <c r="I3142" s="85"/>
      <c r="K3142" s="54" t="s">
        <v>38</v>
      </c>
    </row>
    <row r="3143" spans="2:11" ht="16.5" x14ac:dyDescent="0.2">
      <c r="B3143" s="82" t="s">
        <v>5461</v>
      </c>
      <c r="C3143" s="82" t="s">
        <v>3080</v>
      </c>
      <c r="D3143" s="83">
        <f>SUMIFS(D3144:D6462,K3144:K6462,"0",B3144:B6462,"5 1 1 5 4 12 31111 6 M59 20200*")-SUMIFS(E3144:E6462,K3144:K6462,"0",B3144:B6462,"5 1 1 5 4 12 31111 6 M59 20200*")</f>
        <v>0</v>
      </c>
      <c r="E3143" s="54"/>
      <c r="F3143" s="83">
        <f>SUMIFS(F3144:F6462,K3144:K6462,"0",B3144:B6462,"5 1 1 5 4 12 31111 6 M59 20200*")</f>
        <v>624</v>
      </c>
      <c r="G3143" s="83">
        <f>SUMIFS(G3144:G6462,K3144:K6462,"0",B3144:B6462,"5 1 1 5 4 12 31111 6 M59 20200*")</f>
        <v>0</v>
      </c>
      <c r="H3143" s="83">
        <f t="shared" si="49"/>
        <v>624</v>
      </c>
      <c r="I3143" s="83"/>
      <c r="K3143" s="54" t="s">
        <v>15</v>
      </c>
    </row>
    <row r="3144" spans="2:11" ht="16.5" x14ac:dyDescent="0.2">
      <c r="B3144" s="82" t="s">
        <v>5462</v>
      </c>
      <c r="C3144" s="82" t="s">
        <v>648</v>
      </c>
      <c r="D3144" s="83">
        <f>SUMIFS(D3145:D6462,K3145:K6462,"0",B3145:B6462,"5 1 1 5 4 12 31111 6 M59 20200 000132*")-SUMIFS(E3145:E6462,K3145:K6462,"0",B3145:B6462,"5 1 1 5 4 12 31111 6 M59 20200 000132*")</f>
        <v>0</v>
      </c>
      <c r="E3144" s="54"/>
      <c r="F3144" s="83">
        <f>SUMIFS(F3145:F6462,K3145:K6462,"0",B3145:B6462,"5 1 1 5 4 12 31111 6 M59 20200 000132*")</f>
        <v>624</v>
      </c>
      <c r="G3144" s="83">
        <f>SUMIFS(G3145:G6462,K3145:K6462,"0",B3145:B6462,"5 1 1 5 4 12 31111 6 M59 20200 000132*")</f>
        <v>0</v>
      </c>
      <c r="H3144" s="83">
        <f t="shared" si="49"/>
        <v>624</v>
      </c>
      <c r="I3144" s="83"/>
      <c r="K3144" s="54" t="s">
        <v>15</v>
      </c>
    </row>
    <row r="3145" spans="2:11" ht="16.5" x14ac:dyDescent="0.2">
      <c r="B3145" s="82" t="s">
        <v>5463</v>
      </c>
      <c r="C3145" s="82" t="s">
        <v>650</v>
      </c>
      <c r="D3145" s="83">
        <f>SUMIFS(D3146:D6462,K3146:K6462,"0",B3146:B6462,"5 1 1 5 4 12 31111 6 M59 20200 000132 0000R*")-SUMIFS(E3146:E6462,K3146:K6462,"0",B3146:B6462,"5 1 1 5 4 12 31111 6 M59 20200 000132 0000R*")</f>
        <v>0</v>
      </c>
      <c r="E3145" s="54"/>
      <c r="F3145" s="83">
        <f>SUMIFS(F3146:F6462,K3146:K6462,"0",B3146:B6462,"5 1 1 5 4 12 31111 6 M59 20200 000132 0000R*")</f>
        <v>624</v>
      </c>
      <c r="G3145" s="83">
        <f>SUMIFS(G3146:G6462,K3146:K6462,"0",B3146:B6462,"5 1 1 5 4 12 31111 6 M59 20200 000132 0000R*")</f>
        <v>0</v>
      </c>
      <c r="H3145" s="83">
        <f t="shared" si="49"/>
        <v>624</v>
      </c>
      <c r="I3145" s="83"/>
      <c r="K3145" s="54" t="s">
        <v>15</v>
      </c>
    </row>
    <row r="3146" spans="2:11" ht="24.75" x14ac:dyDescent="0.2">
      <c r="B3146" s="82" t="s">
        <v>5464</v>
      </c>
      <c r="C3146" s="82" t="s">
        <v>282</v>
      </c>
      <c r="D3146" s="83">
        <f>SUMIFS(D3147:D6462,K3147:K6462,"0",B3147:B6462,"5 1 1 5 4 12 31111 6 M59 20200 000132 0000R 00001*")-SUMIFS(E3147:E6462,K3147:K6462,"0",B3147:B6462,"5 1 1 5 4 12 31111 6 M59 20200 000132 0000R 00001*")</f>
        <v>0</v>
      </c>
      <c r="E3146" s="54"/>
      <c r="F3146" s="83">
        <f>SUMIFS(F3147:F6462,K3147:K6462,"0",B3147:B6462,"5 1 1 5 4 12 31111 6 M59 20200 000132 0000R 00001*")</f>
        <v>624</v>
      </c>
      <c r="G3146" s="83">
        <f>SUMIFS(G3147:G6462,K3147:K6462,"0",B3147:B6462,"5 1 1 5 4 12 31111 6 M59 20200 000132 0000R 00001*")</f>
        <v>0</v>
      </c>
      <c r="H3146" s="83">
        <f t="shared" si="49"/>
        <v>624</v>
      </c>
      <c r="I3146" s="83"/>
      <c r="K3146" s="54" t="s">
        <v>15</v>
      </c>
    </row>
    <row r="3147" spans="2:11" ht="24.75" x14ac:dyDescent="0.2">
      <c r="B3147" s="82" t="s">
        <v>5465</v>
      </c>
      <c r="C3147" s="82" t="s">
        <v>5422</v>
      </c>
      <c r="D3147" s="83">
        <f>SUMIFS(D3148:D6462,K3148:K6462,"0",B3148:B6462,"5 1 1 5 4 12 31111 6 M59 20200 000132 0000R 00001 00154*")-SUMIFS(E3148:E6462,K3148:K6462,"0",B3148:B6462,"5 1 1 5 4 12 31111 6 M59 20200 000132 0000R 00001 00154*")</f>
        <v>0</v>
      </c>
      <c r="E3147" s="54"/>
      <c r="F3147" s="83">
        <f>SUMIFS(F3148:F6462,K3148:K6462,"0",B3148:B6462,"5 1 1 5 4 12 31111 6 M59 20200 000132 0000R 00001 00154*")</f>
        <v>624</v>
      </c>
      <c r="G3147" s="83">
        <f>SUMIFS(G3148:G6462,K3148:K6462,"0",B3148:B6462,"5 1 1 5 4 12 31111 6 M59 20200 000132 0000R 00001 00154*")</f>
        <v>0</v>
      </c>
      <c r="H3147" s="83">
        <f t="shared" si="49"/>
        <v>624</v>
      </c>
      <c r="I3147" s="83"/>
      <c r="K3147" s="54" t="s">
        <v>15</v>
      </c>
    </row>
    <row r="3148" spans="2:11" ht="24.75" x14ac:dyDescent="0.2">
      <c r="B3148" s="82" t="s">
        <v>5466</v>
      </c>
      <c r="C3148" s="82" t="s">
        <v>1051</v>
      </c>
      <c r="D3148" s="83">
        <f>SUMIFS(D3149:D6462,K3149:K6462,"0",B3149:B6462,"5 1 1 5 4 12 31111 6 M59 20200 000132 0000R 00001 00154 015*")-SUMIFS(E3149:E6462,K3149:K6462,"0",B3149:B6462,"5 1 1 5 4 12 31111 6 M59 20200 000132 0000R 00001 00154 015*")</f>
        <v>0</v>
      </c>
      <c r="E3148" s="54"/>
      <c r="F3148" s="83">
        <f>SUMIFS(F3149:F6462,K3149:K6462,"0",B3149:B6462,"5 1 1 5 4 12 31111 6 M59 20200 000132 0000R 00001 00154 015*")</f>
        <v>624</v>
      </c>
      <c r="G3148" s="83">
        <f>SUMIFS(G3149:G6462,K3149:K6462,"0",B3149:B6462,"5 1 1 5 4 12 31111 6 M59 20200 000132 0000R 00001 00154 015*")</f>
        <v>0</v>
      </c>
      <c r="H3148" s="83">
        <f t="shared" si="49"/>
        <v>624</v>
      </c>
      <c r="I3148" s="83"/>
      <c r="K3148" s="54" t="s">
        <v>15</v>
      </c>
    </row>
    <row r="3149" spans="2:11" ht="33" x14ac:dyDescent="0.2">
      <c r="B3149" s="82" t="s">
        <v>5467</v>
      </c>
      <c r="C3149" s="82" t="s">
        <v>2927</v>
      </c>
      <c r="D3149" s="83">
        <f>SUMIFS(D3150:D6462,K3150:K6462,"0",B3150:B6462,"5 1 1 5 4 12 31111 6 M59 20200 000132 0000R 00001 00154 015 2111100*")-SUMIFS(E3150:E6462,K3150:K6462,"0",B3150:B6462,"5 1 1 5 4 12 31111 6 M59 20200 000132 0000R 00001 00154 015 2111100*")</f>
        <v>0</v>
      </c>
      <c r="E3149" s="54"/>
      <c r="F3149" s="83">
        <f>SUMIFS(F3150:F6462,K3150:K6462,"0",B3150:B6462,"5 1 1 5 4 12 31111 6 M59 20200 000132 0000R 00001 00154 015 2111100*")</f>
        <v>624</v>
      </c>
      <c r="G3149" s="83">
        <f>SUMIFS(G3150:G6462,K3150:K6462,"0",B3150:B6462,"5 1 1 5 4 12 31111 6 M59 20200 000132 0000R 00001 00154 015 2111100*")</f>
        <v>0</v>
      </c>
      <c r="H3149" s="83">
        <f t="shared" si="49"/>
        <v>624</v>
      </c>
      <c r="I3149" s="83"/>
      <c r="K3149" s="54" t="s">
        <v>15</v>
      </c>
    </row>
    <row r="3150" spans="2:11" ht="33" x14ac:dyDescent="0.2">
      <c r="B3150" s="82" t="s">
        <v>5468</v>
      </c>
      <c r="C3150" s="82" t="s">
        <v>660</v>
      </c>
      <c r="D3150" s="83">
        <f>SUMIFS(D3151:D6462,K3151:K6462,"0",B3151:B6462,"5 1 1 5 4 12 31111 6 M59 20200 000132 0000R 00001 00154 015 2111100 2024*")-SUMIFS(E3151:E6462,K3151:K6462,"0",B3151:B6462,"5 1 1 5 4 12 31111 6 M59 20200 000132 0000R 00001 00154 015 2111100 2024*")</f>
        <v>0</v>
      </c>
      <c r="E3150" s="54"/>
      <c r="F3150" s="83">
        <f>SUMIFS(F3151:F6462,K3151:K6462,"0",B3151:B6462,"5 1 1 5 4 12 31111 6 M59 20200 000132 0000R 00001 00154 015 2111100 2024*")</f>
        <v>624</v>
      </c>
      <c r="G3150" s="83">
        <f>SUMIFS(G3151:G6462,K3151:K6462,"0",B3151:B6462,"5 1 1 5 4 12 31111 6 M59 20200 000132 0000R 00001 00154 015 2111100 2024*")</f>
        <v>0</v>
      </c>
      <c r="H3150" s="83">
        <f t="shared" si="49"/>
        <v>624</v>
      </c>
      <c r="I3150" s="83"/>
      <c r="K3150" s="54" t="s">
        <v>15</v>
      </c>
    </row>
    <row r="3151" spans="2:11" ht="33" x14ac:dyDescent="0.2">
      <c r="B3151" s="82" t="s">
        <v>5469</v>
      </c>
      <c r="C3151" s="82" t="s">
        <v>662</v>
      </c>
      <c r="D3151" s="83">
        <f>SUMIFS(D3152:D6462,K3152:K6462,"0",B3152:B6462,"5 1 1 5 4 12 31111 6 M59 20200 000132 0000R 00001 00154 015 2111100 2024 CP1DI411*")-SUMIFS(E3152:E6462,K3152:K6462,"0",B3152:B6462,"5 1 1 5 4 12 31111 6 M59 20200 000132 0000R 00001 00154 015 2111100 2024 CP1DI411*")</f>
        <v>0</v>
      </c>
      <c r="E3151" s="54"/>
      <c r="F3151" s="83">
        <f>SUMIFS(F3152:F6462,K3152:K6462,"0",B3152:B6462,"5 1 1 5 4 12 31111 6 M59 20200 000132 0000R 00001 00154 015 2111100 2024 CP1DI411*")</f>
        <v>624</v>
      </c>
      <c r="G3151" s="83">
        <f>SUMIFS(G3152:G6462,K3152:K6462,"0",B3152:B6462,"5 1 1 5 4 12 31111 6 M59 20200 000132 0000R 00001 00154 015 2111100 2024 CP1DI411*")</f>
        <v>0</v>
      </c>
      <c r="H3151" s="83">
        <f t="shared" si="49"/>
        <v>624</v>
      </c>
      <c r="I3151" s="83"/>
      <c r="K3151" s="54" t="s">
        <v>15</v>
      </c>
    </row>
    <row r="3152" spans="2:11" ht="41.25" x14ac:dyDescent="0.2">
      <c r="B3152" s="82" t="s">
        <v>5470</v>
      </c>
      <c r="C3152" s="82" t="s">
        <v>282</v>
      </c>
      <c r="D3152" s="83">
        <f>SUMIFS(D3153:D6462,K3153:K6462,"0",B3153:B6462,"5 1 1 5 4 12 31111 6 M59 20200 000132 0000R 00001 00154 015 2111100 2024 CP1DI411 001*")-SUMIFS(E3153:E6462,K3153:K6462,"0",B3153:B6462,"5 1 1 5 4 12 31111 6 M59 20200 000132 0000R 00001 00154 015 2111100 2024 CP1DI411 001*")</f>
        <v>0</v>
      </c>
      <c r="E3152" s="54"/>
      <c r="F3152" s="83">
        <f>SUMIFS(F3153:F6462,K3153:K6462,"0",B3153:B6462,"5 1 1 5 4 12 31111 6 M59 20200 000132 0000R 00001 00154 015 2111100 2024 CP1DI411 001*")</f>
        <v>624</v>
      </c>
      <c r="G3152" s="83">
        <f>SUMIFS(G3153:G6462,K3153:K6462,"0",B3153:B6462,"5 1 1 5 4 12 31111 6 M59 20200 000132 0000R 00001 00154 015 2111100 2024 CP1DI411 001*")</f>
        <v>0</v>
      </c>
      <c r="H3152" s="83">
        <f t="shared" si="49"/>
        <v>624</v>
      </c>
      <c r="I3152" s="83"/>
      <c r="K3152" s="54" t="s">
        <v>15</v>
      </c>
    </row>
    <row r="3153" spans="2:11" ht="33" x14ac:dyDescent="0.2">
      <c r="B3153" s="84" t="s">
        <v>5471</v>
      </c>
      <c r="C3153" s="84" t="s">
        <v>5443</v>
      </c>
      <c r="D3153" s="85">
        <v>0</v>
      </c>
      <c r="E3153" s="85"/>
      <c r="F3153" s="85">
        <v>424</v>
      </c>
      <c r="G3153" s="85">
        <v>0</v>
      </c>
      <c r="H3153" s="85">
        <f t="shared" si="49"/>
        <v>424</v>
      </c>
      <c r="I3153" s="85"/>
      <c r="K3153" s="54" t="s">
        <v>38</v>
      </c>
    </row>
    <row r="3154" spans="2:11" ht="33" x14ac:dyDescent="0.2">
      <c r="B3154" s="84" t="s">
        <v>5472</v>
      </c>
      <c r="C3154" s="84" t="s">
        <v>5459</v>
      </c>
      <c r="D3154" s="85">
        <v>0</v>
      </c>
      <c r="E3154" s="85"/>
      <c r="F3154" s="85">
        <v>200</v>
      </c>
      <c r="G3154" s="85">
        <v>0</v>
      </c>
      <c r="H3154" s="85">
        <f t="shared" si="49"/>
        <v>200</v>
      </c>
      <c r="I3154" s="85"/>
      <c r="K3154" s="54" t="s">
        <v>38</v>
      </c>
    </row>
    <row r="3155" spans="2:11" ht="16.5" x14ac:dyDescent="0.2">
      <c r="B3155" s="82" t="s">
        <v>5473</v>
      </c>
      <c r="C3155" s="82" t="s">
        <v>1061</v>
      </c>
      <c r="D3155" s="83">
        <f>SUMIFS(D3156:D6462,K3156:K6462,"0",B3156:B6462,"5 1 1 5 4 12 31111 6 M59 20300*")-SUMIFS(E3156:E6462,K3156:K6462,"0",B3156:B6462,"5 1 1 5 4 12 31111 6 M59 20300*")</f>
        <v>0</v>
      </c>
      <c r="E3155" s="54"/>
      <c r="F3155" s="83">
        <f>SUMIFS(F3156:F6462,K3156:K6462,"0",B3156:B6462,"5 1 1 5 4 12 31111 6 M59 20300*")</f>
        <v>8380</v>
      </c>
      <c r="G3155" s="83">
        <f>SUMIFS(G3156:G6462,K3156:K6462,"0",B3156:B6462,"5 1 1 5 4 12 31111 6 M59 20300*")</f>
        <v>0</v>
      </c>
      <c r="H3155" s="83">
        <f t="shared" si="49"/>
        <v>8380</v>
      </c>
      <c r="I3155" s="83"/>
      <c r="K3155" s="54" t="s">
        <v>15</v>
      </c>
    </row>
    <row r="3156" spans="2:11" ht="16.5" x14ac:dyDescent="0.2">
      <c r="B3156" s="82" t="s">
        <v>5474</v>
      </c>
      <c r="C3156" s="82" t="s">
        <v>648</v>
      </c>
      <c r="D3156" s="83">
        <f>SUMIFS(D3157:D6462,K3157:K6462,"0",B3157:B6462,"5 1 1 5 4 12 31111 6 M59 20300 000132*")-SUMIFS(E3157:E6462,K3157:K6462,"0",B3157:B6462,"5 1 1 5 4 12 31111 6 M59 20300 000132*")</f>
        <v>0</v>
      </c>
      <c r="E3156" s="54"/>
      <c r="F3156" s="83">
        <f>SUMIFS(F3157:F6462,K3157:K6462,"0",B3157:B6462,"5 1 1 5 4 12 31111 6 M59 20300 000132*")</f>
        <v>8380</v>
      </c>
      <c r="G3156" s="83">
        <f>SUMIFS(G3157:G6462,K3157:K6462,"0",B3157:B6462,"5 1 1 5 4 12 31111 6 M59 20300 000132*")</f>
        <v>0</v>
      </c>
      <c r="H3156" s="83">
        <f t="shared" si="49"/>
        <v>8380</v>
      </c>
      <c r="I3156" s="83"/>
      <c r="K3156" s="54" t="s">
        <v>15</v>
      </c>
    </row>
    <row r="3157" spans="2:11" ht="16.5" x14ac:dyDescent="0.2">
      <c r="B3157" s="82" t="s">
        <v>5475</v>
      </c>
      <c r="C3157" s="82" t="s">
        <v>650</v>
      </c>
      <c r="D3157" s="83">
        <f>SUMIFS(D3158:D6462,K3158:K6462,"0",B3158:B6462,"5 1 1 5 4 12 31111 6 M59 20300 000132 0000R*")-SUMIFS(E3158:E6462,K3158:K6462,"0",B3158:B6462,"5 1 1 5 4 12 31111 6 M59 20300 000132 0000R*")</f>
        <v>0</v>
      </c>
      <c r="E3157" s="54"/>
      <c r="F3157" s="83">
        <f>SUMIFS(F3158:F6462,K3158:K6462,"0",B3158:B6462,"5 1 1 5 4 12 31111 6 M59 20300 000132 0000R*")</f>
        <v>8380</v>
      </c>
      <c r="G3157" s="83">
        <f>SUMIFS(G3158:G6462,K3158:K6462,"0",B3158:B6462,"5 1 1 5 4 12 31111 6 M59 20300 000132 0000R*")</f>
        <v>0</v>
      </c>
      <c r="H3157" s="83">
        <f t="shared" si="49"/>
        <v>8380</v>
      </c>
      <c r="I3157" s="83"/>
      <c r="K3157" s="54" t="s">
        <v>15</v>
      </c>
    </row>
    <row r="3158" spans="2:11" ht="24.75" x14ac:dyDescent="0.2">
      <c r="B3158" s="82" t="s">
        <v>5476</v>
      </c>
      <c r="C3158" s="82" t="s">
        <v>282</v>
      </c>
      <c r="D3158" s="83">
        <f>SUMIFS(D3159:D6462,K3159:K6462,"0",B3159:B6462,"5 1 1 5 4 12 31111 6 M59 20300 000132 0000R 00001*")-SUMIFS(E3159:E6462,K3159:K6462,"0",B3159:B6462,"5 1 1 5 4 12 31111 6 M59 20300 000132 0000R 00001*")</f>
        <v>0</v>
      </c>
      <c r="E3158" s="54"/>
      <c r="F3158" s="83">
        <f>SUMIFS(F3159:F6462,K3159:K6462,"0",B3159:B6462,"5 1 1 5 4 12 31111 6 M59 20300 000132 0000R 00001*")</f>
        <v>8380</v>
      </c>
      <c r="G3158" s="83">
        <f>SUMIFS(G3159:G6462,K3159:K6462,"0",B3159:B6462,"5 1 1 5 4 12 31111 6 M59 20300 000132 0000R 00001*")</f>
        <v>0</v>
      </c>
      <c r="H3158" s="83">
        <f t="shared" si="49"/>
        <v>8380</v>
      </c>
      <c r="I3158" s="83"/>
      <c r="K3158" s="54" t="s">
        <v>15</v>
      </c>
    </row>
    <row r="3159" spans="2:11" ht="24.75" x14ac:dyDescent="0.2">
      <c r="B3159" s="82" t="s">
        <v>5477</v>
      </c>
      <c r="C3159" s="82" t="s">
        <v>5422</v>
      </c>
      <c r="D3159" s="83">
        <f>SUMIFS(D3160:D6462,K3160:K6462,"0",B3160:B6462,"5 1 1 5 4 12 31111 6 M59 20300 000132 0000R 00001 00154*")-SUMIFS(E3160:E6462,K3160:K6462,"0",B3160:B6462,"5 1 1 5 4 12 31111 6 M59 20300 000132 0000R 00001 00154*")</f>
        <v>0</v>
      </c>
      <c r="E3159" s="54"/>
      <c r="F3159" s="83">
        <f>SUMIFS(F3160:F6462,K3160:K6462,"0",B3160:B6462,"5 1 1 5 4 12 31111 6 M59 20300 000132 0000R 00001 00154*")</f>
        <v>8380</v>
      </c>
      <c r="G3159" s="83">
        <f>SUMIFS(G3160:G6462,K3160:K6462,"0",B3160:B6462,"5 1 1 5 4 12 31111 6 M59 20300 000132 0000R 00001 00154*")</f>
        <v>0</v>
      </c>
      <c r="H3159" s="83">
        <f t="shared" si="49"/>
        <v>8380</v>
      </c>
      <c r="I3159" s="83"/>
      <c r="K3159" s="54" t="s">
        <v>15</v>
      </c>
    </row>
    <row r="3160" spans="2:11" ht="24.75" x14ac:dyDescent="0.2">
      <c r="B3160" s="82" t="s">
        <v>5478</v>
      </c>
      <c r="C3160" s="82" t="s">
        <v>1051</v>
      </c>
      <c r="D3160" s="83">
        <f>SUMIFS(D3161:D6462,K3161:K6462,"0",B3161:B6462,"5 1 1 5 4 12 31111 6 M59 20300 000132 0000R 00001 00154 015*")-SUMIFS(E3161:E6462,K3161:K6462,"0",B3161:B6462,"5 1 1 5 4 12 31111 6 M59 20300 000132 0000R 00001 00154 015*")</f>
        <v>0</v>
      </c>
      <c r="E3160" s="54"/>
      <c r="F3160" s="83">
        <f>SUMIFS(F3161:F6462,K3161:K6462,"0",B3161:B6462,"5 1 1 5 4 12 31111 6 M59 20300 000132 0000R 00001 00154 015*")</f>
        <v>8380</v>
      </c>
      <c r="G3160" s="83">
        <f>SUMIFS(G3161:G6462,K3161:K6462,"0",B3161:B6462,"5 1 1 5 4 12 31111 6 M59 20300 000132 0000R 00001 00154 015*")</f>
        <v>0</v>
      </c>
      <c r="H3160" s="83">
        <f t="shared" si="49"/>
        <v>8380</v>
      </c>
      <c r="I3160" s="83"/>
      <c r="K3160" s="54" t="s">
        <v>15</v>
      </c>
    </row>
    <row r="3161" spans="2:11" ht="33" x14ac:dyDescent="0.2">
      <c r="B3161" s="82" t="s">
        <v>5479</v>
      </c>
      <c r="C3161" s="82" t="s">
        <v>2927</v>
      </c>
      <c r="D3161" s="83">
        <f>SUMIFS(D3162:D6462,K3162:K6462,"0",B3162:B6462,"5 1 1 5 4 12 31111 6 M59 20300 000132 0000R 00001 00154 015 2111100*")-SUMIFS(E3162:E6462,K3162:K6462,"0",B3162:B6462,"5 1 1 5 4 12 31111 6 M59 20300 000132 0000R 00001 00154 015 2111100*")</f>
        <v>0</v>
      </c>
      <c r="E3161" s="54"/>
      <c r="F3161" s="83">
        <f>SUMIFS(F3162:F6462,K3162:K6462,"0",B3162:B6462,"5 1 1 5 4 12 31111 6 M59 20300 000132 0000R 00001 00154 015 2111100*")</f>
        <v>8380</v>
      </c>
      <c r="G3161" s="83">
        <f>SUMIFS(G3162:G6462,K3162:K6462,"0",B3162:B6462,"5 1 1 5 4 12 31111 6 M59 20300 000132 0000R 00001 00154 015 2111100*")</f>
        <v>0</v>
      </c>
      <c r="H3161" s="83">
        <f t="shared" si="49"/>
        <v>8380</v>
      </c>
      <c r="I3161" s="83"/>
      <c r="K3161" s="54" t="s">
        <v>15</v>
      </c>
    </row>
    <row r="3162" spans="2:11" ht="33" x14ac:dyDescent="0.2">
      <c r="B3162" s="82" t="s">
        <v>5480</v>
      </c>
      <c r="C3162" s="82" t="s">
        <v>660</v>
      </c>
      <c r="D3162" s="83">
        <f>SUMIFS(D3163:D6462,K3163:K6462,"0",B3163:B6462,"5 1 1 5 4 12 31111 6 M59 20300 000132 0000R 00001 00154 015 2111100 2024*")-SUMIFS(E3163:E6462,K3163:K6462,"0",B3163:B6462,"5 1 1 5 4 12 31111 6 M59 20300 000132 0000R 00001 00154 015 2111100 2024*")</f>
        <v>0</v>
      </c>
      <c r="E3162" s="54"/>
      <c r="F3162" s="83">
        <f>SUMIFS(F3163:F6462,K3163:K6462,"0",B3163:B6462,"5 1 1 5 4 12 31111 6 M59 20300 000132 0000R 00001 00154 015 2111100 2024*")</f>
        <v>8380</v>
      </c>
      <c r="G3162" s="83">
        <f>SUMIFS(G3163:G6462,K3163:K6462,"0",B3163:B6462,"5 1 1 5 4 12 31111 6 M59 20300 000132 0000R 00001 00154 015 2111100 2024*")</f>
        <v>0</v>
      </c>
      <c r="H3162" s="83">
        <f t="shared" si="49"/>
        <v>8380</v>
      </c>
      <c r="I3162" s="83"/>
      <c r="K3162" s="54" t="s">
        <v>15</v>
      </c>
    </row>
    <row r="3163" spans="2:11" ht="41.25" x14ac:dyDescent="0.2">
      <c r="B3163" s="82" t="s">
        <v>5481</v>
      </c>
      <c r="C3163" s="82" t="s">
        <v>662</v>
      </c>
      <c r="D3163" s="83">
        <f>SUMIFS(D3164:D6462,K3164:K6462,"0",B3164:B6462,"5 1 1 5 4 12 31111 6 M59 20300 000132 0000R 00001 00154 015 2111100 2024 CP1DE415*")-SUMIFS(E3164:E6462,K3164:K6462,"0",B3164:B6462,"5 1 1 5 4 12 31111 6 M59 20300 000132 0000R 00001 00154 015 2111100 2024 CP1DE415*")</f>
        <v>0</v>
      </c>
      <c r="E3163" s="54"/>
      <c r="F3163" s="83">
        <f>SUMIFS(F3164:F6462,K3164:K6462,"0",B3164:B6462,"5 1 1 5 4 12 31111 6 M59 20300 000132 0000R 00001 00154 015 2111100 2024 CP1DE415*")</f>
        <v>8380</v>
      </c>
      <c r="G3163" s="83">
        <f>SUMIFS(G3164:G6462,K3164:K6462,"0",B3164:B6462,"5 1 1 5 4 12 31111 6 M59 20300 000132 0000R 00001 00154 015 2111100 2024 CP1DE415*")</f>
        <v>0</v>
      </c>
      <c r="H3163" s="83">
        <f t="shared" si="49"/>
        <v>8380</v>
      </c>
      <c r="I3163" s="83"/>
      <c r="K3163" s="54" t="s">
        <v>15</v>
      </c>
    </row>
    <row r="3164" spans="2:11" ht="41.25" x14ac:dyDescent="0.2">
      <c r="B3164" s="82" t="s">
        <v>5482</v>
      </c>
      <c r="C3164" s="82" t="s">
        <v>282</v>
      </c>
      <c r="D3164" s="83">
        <f>SUMIFS(D3165:D6462,K3165:K6462,"0",B3165:B6462,"5 1 1 5 4 12 31111 6 M59 20300 000132 0000R 00001 00154 015 2111100 2024 CP1DE415 001*")-SUMIFS(E3165:E6462,K3165:K6462,"0",B3165:B6462,"5 1 1 5 4 12 31111 6 M59 20300 000132 0000R 00001 00154 015 2111100 2024 CP1DE415 001*")</f>
        <v>0</v>
      </c>
      <c r="E3164" s="54"/>
      <c r="F3164" s="83">
        <f>SUMIFS(F3165:F6462,K3165:K6462,"0",B3165:B6462,"5 1 1 5 4 12 31111 6 M59 20300 000132 0000R 00001 00154 015 2111100 2024 CP1DE415 001*")</f>
        <v>8380</v>
      </c>
      <c r="G3164" s="83">
        <f>SUMIFS(G3165:G6462,K3165:K6462,"0",B3165:B6462,"5 1 1 5 4 12 31111 6 M59 20300 000132 0000R 00001 00154 015 2111100 2024 CP1DE415 001*")</f>
        <v>0</v>
      </c>
      <c r="H3164" s="83">
        <f t="shared" si="49"/>
        <v>8380</v>
      </c>
      <c r="I3164" s="83"/>
      <c r="K3164" s="54" t="s">
        <v>15</v>
      </c>
    </row>
    <row r="3165" spans="2:11" ht="41.25" x14ac:dyDescent="0.2">
      <c r="B3165" s="84" t="s">
        <v>5483</v>
      </c>
      <c r="C3165" s="84" t="s">
        <v>5484</v>
      </c>
      <c r="D3165" s="85">
        <v>0</v>
      </c>
      <c r="E3165" s="85"/>
      <c r="F3165" s="85">
        <v>8380</v>
      </c>
      <c r="G3165" s="85">
        <v>0</v>
      </c>
      <c r="H3165" s="85">
        <f t="shared" si="49"/>
        <v>8380</v>
      </c>
      <c r="I3165" s="85"/>
      <c r="K3165" s="54" t="s">
        <v>38</v>
      </c>
    </row>
    <row r="3166" spans="2:11" ht="16.5" x14ac:dyDescent="0.2">
      <c r="B3166" s="82" t="s">
        <v>5485</v>
      </c>
      <c r="C3166" s="82" t="s">
        <v>1079</v>
      </c>
      <c r="D3166" s="83">
        <f>SUMIFS(D3167:D6462,K3167:K6462,"0",B3167:B6462,"5 1 1 5 4 12 31111 6 M59 20500*")-SUMIFS(E3167:E6462,K3167:K6462,"0",B3167:B6462,"5 1 1 5 4 12 31111 6 M59 20500*")</f>
        <v>0</v>
      </c>
      <c r="E3166" s="54"/>
      <c r="F3166" s="83">
        <f>SUMIFS(F3167:F6462,K3167:K6462,"0",B3167:B6462,"5 1 1 5 4 12 31111 6 M59 20500*")</f>
        <v>151027.20000000001</v>
      </c>
      <c r="G3166" s="83">
        <f>SUMIFS(G3167:G6462,K3167:K6462,"0",B3167:B6462,"5 1 1 5 4 12 31111 6 M59 20500*")</f>
        <v>0</v>
      </c>
      <c r="H3166" s="83">
        <f t="shared" si="49"/>
        <v>151027.20000000001</v>
      </c>
      <c r="I3166" s="83"/>
      <c r="K3166" s="54" t="s">
        <v>15</v>
      </c>
    </row>
    <row r="3167" spans="2:11" ht="16.5" x14ac:dyDescent="0.2">
      <c r="B3167" s="82" t="s">
        <v>5486</v>
      </c>
      <c r="C3167" s="82" t="s">
        <v>648</v>
      </c>
      <c r="D3167" s="83">
        <f>SUMIFS(D3168:D6462,K3168:K6462,"0",B3168:B6462,"5 1 1 5 4 12 31111 6 M59 20500 000132*")-SUMIFS(E3168:E6462,K3168:K6462,"0",B3168:B6462,"5 1 1 5 4 12 31111 6 M59 20500 000132*")</f>
        <v>0</v>
      </c>
      <c r="E3167" s="54"/>
      <c r="F3167" s="83">
        <f>SUMIFS(F3168:F6462,K3168:K6462,"0",B3168:B6462,"5 1 1 5 4 12 31111 6 M59 20500 000132*")</f>
        <v>151027.20000000001</v>
      </c>
      <c r="G3167" s="83">
        <f>SUMIFS(G3168:G6462,K3168:K6462,"0",B3168:B6462,"5 1 1 5 4 12 31111 6 M59 20500 000132*")</f>
        <v>0</v>
      </c>
      <c r="H3167" s="83">
        <f t="shared" si="49"/>
        <v>151027.20000000001</v>
      </c>
      <c r="I3167" s="83"/>
      <c r="K3167" s="54" t="s">
        <v>15</v>
      </c>
    </row>
    <row r="3168" spans="2:11" ht="16.5" x14ac:dyDescent="0.2">
      <c r="B3168" s="82" t="s">
        <v>5487</v>
      </c>
      <c r="C3168" s="82" t="s">
        <v>650</v>
      </c>
      <c r="D3168" s="83">
        <f>SUMIFS(D3169:D6462,K3169:K6462,"0",B3169:B6462,"5 1 1 5 4 12 31111 6 M59 20500 000132 0000R*")-SUMIFS(E3169:E6462,K3169:K6462,"0",B3169:B6462,"5 1 1 5 4 12 31111 6 M59 20500 000132 0000R*")</f>
        <v>0</v>
      </c>
      <c r="E3168" s="54"/>
      <c r="F3168" s="83">
        <f>SUMIFS(F3169:F6462,K3169:K6462,"0",B3169:B6462,"5 1 1 5 4 12 31111 6 M59 20500 000132 0000R*")</f>
        <v>151027.20000000001</v>
      </c>
      <c r="G3168" s="83">
        <f>SUMIFS(G3169:G6462,K3169:K6462,"0",B3169:B6462,"5 1 1 5 4 12 31111 6 M59 20500 000132 0000R*")</f>
        <v>0</v>
      </c>
      <c r="H3168" s="83">
        <f t="shared" si="49"/>
        <v>151027.20000000001</v>
      </c>
      <c r="I3168" s="83"/>
      <c r="K3168" s="54" t="s">
        <v>15</v>
      </c>
    </row>
    <row r="3169" spans="2:11" ht="24.75" x14ac:dyDescent="0.2">
      <c r="B3169" s="82" t="s">
        <v>5488</v>
      </c>
      <c r="C3169" s="82" t="s">
        <v>282</v>
      </c>
      <c r="D3169" s="83">
        <f>SUMIFS(D3170:D6462,K3170:K6462,"0",B3170:B6462,"5 1 1 5 4 12 31111 6 M59 20500 000132 0000R 00001*")-SUMIFS(E3170:E6462,K3170:K6462,"0",B3170:B6462,"5 1 1 5 4 12 31111 6 M59 20500 000132 0000R 00001*")</f>
        <v>0</v>
      </c>
      <c r="E3169" s="54"/>
      <c r="F3169" s="83">
        <f>SUMIFS(F3170:F6462,K3170:K6462,"0",B3170:B6462,"5 1 1 5 4 12 31111 6 M59 20500 000132 0000R 00001*")</f>
        <v>151027.20000000001</v>
      </c>
      <c r="G3169" s="83">
        <f>SUMIFS(G3170:G6462,K3170:K6462,"0",B3170:B6462,"5 1 1 5 4 12 31111 6 M59 20500 000132 0000R 00001*")</f>
        <v>0</v>
      </c>
      <c r="H3169" s="83">
        <f t="shared" si="49"/>
        <v>151027.20000000001</v>
      </c>
      <c r="I3169" s="83"/>
      <c r="K3169" s="54" t="s">
        <v>15</v>
      </c>
    </row>
    <row r="3170" spans="2:11" ht="24.75" x14ac:dyDescent="0.2">
      <c r="B3170" s="82" t="s">
        <v>5489</v>
      </c>
      <c r="C3170" s="82" t="s">
        <v>5422</v>
      </c>
      <c r="D3170" s="83">
        <f>SUMIFS(D3171:D6462,K3171:K6462,"0",B3171:B6462,"5 1 1 5 4 12 31111 6 M59 20500 000132 0000R 00001 00154*")-SUMIFS(E3171:E6462,K3171:K6462,"0",B3171:B6462,"5 1 1 5 4 12 31111 6 M59 20500 000132 0000R 00001 00154*")</f>
        <v>0</v>
      </c>
      <c r="E3170" s="54"/>
      <c r="F3170" s="83">
        <f>SUMIFS(F3171:F6462,K3171:K6462,"0",B3171:B6462,"5 1 1 5 4 12 31111 6 M59 20500 000132 0000R 00001 00154*")</f>
        <v>151027.20000000001</v>
      </c>
      <c r="G3170" s="83">
        <f>SUMIFS(G3171:G6462,K3171:K6462,"0",B3171:B6462,"5 1 1 5 4 12 31111 6 M59 20500 000132 0000R 00001 00154*")</f>
        <v>0</v>
      </c>
      <c r="H3170" s="83">
        <f t="shared" si="49"/>
        <v>151027.20000000001</v>
      </c>
      <c r="I3170" s="83"/>
      <c r="K3170" s="54" t="s">
        <v>15</v>
      </c>
    </row>
    <row r="3171" spans="2:11" ht="24.75" x14ac:dyDescent="0.2">
      <c r="B3171" s="82" t="s">
        <v>5490</v>
      </c>
      <c r="C3171" s="82" t="s">
        <v>1051</v>
      </c>
      <c r="D3171" s="83">
        <f>SUMIFS(D3172:D6462,K3172:K6462,"0",B3172:B6462,"5 1 1 5 4 12 31111 6 M59 20500 000132 0000R 00001 00154 015*")-SUMIFS(E3172:E6462,K3172:K6462,"0",B3172:B6462,"5 1 1 5 4 12 31111 6 M59 20500 000132 0000R 00001 00154 015*")</f>
        <v>0</v>
      </c>
      <c r="E3171" s="54"/>
      <c r="F3171" s="83">
        <f>SUMIFS(F3172:F6462,K3172:K6462,"0",B3172:B6462,"5 1 1 5 4 12 31111 6 M59 20500 000132 0000R 00001 00154 015*")</f>
        <v>151027.20000000001</v>
      </c>
      <c r="G3171" s="83">
        <f>SUMIFS(G3172:G6462,K3172:K6462,"0",B3172:B6462,"5 1 1 5 4 12 31111 6 M59 20500 000132 0000R 00001 00154 015*")</f>
        <v>0</v>
      </c>
      <c r="H3171" s="83">
        <f t="shared" si="49"/>
        <v>151027.20000000001</v>
      </c>
      <c r="I3171" s="83"/>
      <c r="K3171" s="54" t="s">
        <v>15</v>
      </c>
    </row>
    <row r="3172" spans="2:11" ht="33" x14ac:dyDescent="0.2">
      <c r="B3172" s="82" t="s">
        <v>5491</v>
      </c>
      <c r="C3172" s="82" t="s">
        <v>2927</v>
      </c>
      <c r="D3172" s="83">
        <f>SUMIFS(D3173:D6462,K3173:K6462,"0",B3173:B6462,"5 1 1 5 4 12 31111 6 M59 20500 000132 0000R 00001 00154 015 2111100*")-SUMIFS(E3173:E6462,K3173:K6462,"0",B3173:B6462,"5 1 1 5 4 12 31111 6 M59 20500 000132 0000R 00001 00154 015 2111100*")</f>
        <v>0</v>
      </c>
      <c r="E3172" s="54"/>
      <c r="F3172" s="83">
        <f>SUMIFS(F3173:F6462,K3173:K6462,"0",B3173:B6462,"5 1 1 5 4 12 31111 6 M59 20500 000132 0000R 00001 00154 015 2111100*")</f>
        <v>151027.20000000001</v>
      </c>
      <c r="G3172" s="83">
        <f>SUMIFS(G3173:G6462,K3173:K6462,"0",B3173:B6462,"5 1 1 5 4 12 31111 6 M59 20500 000132 0000R 00001 00154 015 2111100*")</f>
        <v>0</v>
      </c>
      <c r="H3172" s="83">
        <f t="shared" si="49"/>
        <v>151027.20000000001</v>
      </c>
      <c r="I3172" s="83"/>
      <c r="K3172" s="54" t="s">
        <v>15</v>
      </c>
    </row>
    <row r="3173" spans="2:11" ht="33" x14ac:dyDescent="0.2">
      <c r="B3173" s="82" t="s">
        <v>5492</v>
      </c>
      <c r="C3173" s="82" t="s">
        <v>660</v>
      </c>
      <c r="D3173" s="83">
        <f>SUMIFS(D3174:D6462,K3174:K6462,"0",B3174:B6462,"5 1 1 5 4 12 31111 6 M59 20500 000132 0000R 00001 00154 015 2111100 2024*")-SUMIFS(E3174:E6462,K3174:K6462,"0",B3174:B6462,"5 1 1 5 4 12 31111 6 M59 20500 000132 0000R 00001 00154 015 2111100 2024*")</f>
        <v>0</v>
      </c>
      <c r="E3173" s="54"/>
      <c r="F3173" s="83">
        <f>SUMIFS(F3174:F6462,K3174:K6462,"0",B3174:B6462,"5 1 1 5 4 12 31111 6 M59 20500 000132 0000R 00001 00154 015 2111100 2024*")</f>
        <v>151027.20000000001</v>
      </c>
      <c r="G3173" s="83">
        <f>SUMIFS(G3174:G6462,K3174:K6462,"0",B3174:B6462,"5 1 1 5 4 12 31111 6 M59 20500 000132 0000R 00001 00154 015 2111100 2024*")</f>
        <v>0</v>
      </c>
      <c r="H3173" s="83">
        <f t="shared" si="49"/>
        <v>151027.20000000001</v>
      </c>
      <c r="I3173" s="83"/>
      <c r="K3173" s="54" t="s">
        <v>15</v>
      </c>
    </row>
    <row r="3174" spans="2:11" ht="41.25" x14ac:dyDescent="0.2">
      <c r="B3174" s="82" t="s">
        <v>5493</v>
      </c>
      <c r="C3174" s="82" t="s">
        <v>1056</v>
      </c>
      <c r="D3174" s="83">
        <f>SUMIFS(D3175:D6462,K3175:K6462,"0",B3175:B6462,"5 1 1 5 4 12 31111 6 M59 20500 000132 0000R 00001 00154 015 2111100 2024 CP1CP420*")-SUMIFS(E3175:E6462,K3175:K6462,"0",B3175:B6462,"5 1 1 5 4 12 31111 6 M59 20500 000132 0000R 00001 00154 015 2111100 2024 CP1CP420*")</f>
        <v>0</v>
      </c>
      <c r="E3174" s="54"/>
      <c r="F3174" s="83">
        <f>SUMIFS(F3175:F6462,K3175:K6462,"0",B3175:B6462,"5 1 1 5 4 12 31111 6 M59 20500 000132 0000R 00001 00154 015 2111100 2024 CP1CP420*")</f>
        <v>151027.20000000001</v>
      </c>
      <c r="G3174" s="83">
        <f>SUMIFS(G3175:G6462,K3175:K6462,"0",B3175:B6462,"5 1 1 5 4 12 31111 6 M59 20500 000132 0000R 00001 00154 015 2111100 2024 CP1CP420*")</f>
        <v>0</v>
      </c>
      <c r="H3174" s="83">
        <f t="shared" si="49"/>
        <v>151027.20000000001</v>
      </c>
      <c r="I3174" s="83"/>
      <c r="K3174" s="54" t="s">
        <v>15</v>
      </c>
    </row>
    <row r="3175" spans="2:11" ht="41.25" x14ac:dyDescent="0.2">
      <c r="B3175" s="82" t="s">
        <v>5494</v>
      </c>
      <c r="C3175" s="82" t="s">
        <v>282</v>
      </c>
      <c r="D3175" s="83">
        <f>SUMIFS(D3176:D6462,K3176:K6462,"0",B3176:B6462,"5 1 1 5 4 12 31111 6 M59 20500 000132 0000R 00001 00154 015 2111100 2024 CP1CP420 001*")-SUMIFS(E3176:E6462,K3176:K6462,"0",B3176:B6462,"5 1 1 5 4 12 31111 6 M59 20500 000132 0000R 00001 00154 015 2111100 2024 CP1CP420 001*")</f>
        <v>0</v>
      </c>
      <c r="E3175" s="54"/>
      <c r="F3175" s="83">
        <f>SUMIFS(F3176:F6462,K3176:K6462,"0",B3176:B6462,"5 1 1 5 4 12 31111 6 M59 20500 000132 0000R 00001 00154 015 2111100 2024 CP1CP420 001*")</f>
        <v>151027.20000000001</v>
      </c>
      <c r="G3175" s="83">
        <f>SUMIFS(G3176:G6462,K3176:K6462,"0",B3176:B6462,"5 1 1 5 4 12 31111 6 M59 20500 000132 0000R 00001 00154 015 2111100 2024 CP1CP420 001*")</f>
        <v>0</v>
      </c>
      <c r="H3175" s="83">
        <f t="shared" si="49"/>
        <v>151027.20000000001</v>
      </c>
      <c r="I3175" s="83"/>
      <c r="K3175" s="54" t="s">
        <v>15</v>
      </c>
    </row>
    <row r="3176" spans="2:11" ht="33" x14ac:dyDescent="0.2">
      <c r="B3176" s="84" t="s">
        <v>5495</v>
      </c>
      <c r="C3176" s="84" t="s">
        <v>5429</v>
      </c>
      <c r="D3176" s="85">
        <v>0</v>
      </c>
      <c r="E3176" s="85"/>
      <c r="F3176" s="85">
        <v>2400</v>
      </c>
      <c r="G3176" s="85">
        <v>0</v>
      </c>
      <c r="H3176" s="85">
        <f t="shared" si="49"/>
        <v>2400</v>
      </c>
      <c r="I3176" s="85"/>
      <c r="K3176" s="54" t="s">
        <v>38</v>
      </c>
    </row>
    <row r="3177" spans="2:11" ht="33" x14ac:dyDescent="0.2">
      <c r="B3177" s="84" t="s">
        <v>5496</v>
      </c>
      <c r="C3177" s="84" t="s">
        <v>5431</v>
      </c>
      <c r="D3177" s="85">
        <v>0</v>
      </c>
      <c r="E3177" s="85"/>
      <c r="F3177" s="85">
        <v>148627.20000000001</v>
      </c>
      <c r="G3177" s="85">
        <v>0</v>
      </c>
      <c r="H3177" s="85">
        <f t="shared" si="49"/>
        <v>148627.20000000001</v>
      </c>
      <c r="I3177" s="85"/>
      <c r="K3177" s="54" t="s">
        <v>38</v>
      </c>
    </row>
    <row r="3178" spans="2:11" ht="16.5" x14ac:dyDescent="0.2">
      <c r="B3178" s="82" t="s">
        <v>5497</v>
      </c>
      <c r="C3178" s="82" t="s">
        <v>3126</v>
      </c>
      <c r="D3178" s="83">
        <f>SUMIFS(D3179:D6462,K3179:K6462,"0",B3179:B6462,"5 1 1 5 4 12 31111 6 M59 20600*")-SUMIFS(E3179:E6462,K3179:K6462,"0",B3179:B6462,"5 1 1 5 4 12 31111 6 M59 20600*")</f>
        <v>0</v>
      </c>
      <c r="E3178" s="54"/>
      <c r="F3178" s="83">
        <f>SUMIFS(F3179:F6462,K3179:K6462,"0",B3179:B6462,"5 1 1 5 4 12 31111 6 M59 20600*")</f>
        <v>23675.4</v>
      </c>
      <c r="G3178" s="83">
        <f>SUMIFS(G3179:G6462,K3179:K6462,"0",B3179:B6462,"5 1 1 5 4 12 31111 6 M59 20600*")</f>
        <v>0</v>
      </c>
      <c r="H3178" s="83">
        <f t="shared" si="49"/>
        <v>23675.4</v>
      </c>
      <c r="I3178" s="83"/>
      <c r="K3178" s="54" t="s">
        <v>15</v>
      </c>
    </row>
    <row r="3179" spans="2:11" ht="16.5" x14ac:dyDescent="0.2">
      <c r="B3179" s="82" t="s">
        <v>5498</v>
      </c>
      <c r="C3179" s="82" t="s">
        <v>648</v>
      </c>
      <c r="D3179" s="83">
        <f>SUMIFS(D3180:D6462,K3180:K6462,"0",B3180:B6462,"5 1 1 5 4 12 31111 6 M59 20600 000132*")-SUMIFS(E3180:E6462,K3180:K6462,"0",B3180:B6462,"5 1 1 5 4 12 31111 6 M59 20600 000132*")</f>
        <v>0</v>
      </c>
      <c r="E3179" s="54"/>
      <c r="F3179" s="83">
        <f>SUMIFS(F3180:F6462,K3180:K6462,"0",B3180:B6462,"5 1 1 5 4 12 31111 6 M59 20600 000132*")</f>
        <v>23675.4</v>
      </c>
      <c r="G3179" s="83">
        <f>SUMIFS(G3180:G6462,K3180:K6462,"0",B3180:B6462,"5 1 1 5 4 12 31111 6 M59 20600 000132*")</f>
        <v>0</v>
      </c>
      <c r="H3179" s="83">
        <f t="shared" ref="H3179:H3242" si="50">D3179 + F3179 - G3179</f>
        <v>23675.4</v>
      </c>
      <c r="I3179" s="83"/>
      <c r="K3179" s="54" t="s">
        <v>15</v>
      </c>
    </row>
    <row r="3180" spans="2:11" ht="16.5" x14ac:dyDescent="0.2">
      <c r="B3180" s="82" t="s">
        <v>5499</v>
      </c>
      <c r="C3180" s="82" t="s">
        <v>650</v>
      </c>
      <c r="D3180" s="83">
        <f>SUMIFS(D3181:D6462,K3181:K6462,"0",B3181:B6462,"5 1 1 5 4 12 31111 6 M59 20600 000132 0000R*")-SUMIFS(E3181:E6462,K3181:K6462,"0",B3181:B6462,"5 1 1 5 4 12 31111 6 M59 20600 000132 0000R*")</f>
        <v>0</v>
      </c>
      <c r="E3180" s="54"/>
      <c r="F3180" s="83">
        <f>SUMIFS(F3181:F6462,K3181:K6462,"0",B3181:B6462,"5 1 1 5 4 12 31111 6 M59 20600 000132 0000R*")</f>
        <v>23675.4</v>
      </c>
      <c r="G3180" s="83">
        <f>SUMIFS(G3181:G6462,K3181:K6462,"0",B3181:B6462,"5 1 1 5 4 12 31111 6 M59 20600 000132 0000R*")</f>
        <v>0</v>
      </c>
      <c r="H3180" s="83">
        <f t="shared" si="50"/>
        <v>23675.4</v>
      </c>
      <c r="I3180" s="83"/>
      <c r="K3180" s="54" t="s">
        <v>15</v>
      </c>
    </row>
    <row r="3181" spans="2:11" ht="24.75" x14ac:dyDescent="0.2">
      <c r="B3181" s="82" t="s">
        <v>5500</v>
      </c>
      <c r="C3181" s="82" t="s">
        <v>282</v>
      </c>
      <c r="D3181" s="83">
        <f>SUMIFS(D3182:D6462,K3182:K6462,"0",B3182:B6462,"5 1 1 5 4 12 31111 6 M59 20600 000132 0000R 00001*")-SUMIFS(E3182:E6462,K3182:K6462,"0",B3182:B6462,"5 1 1 5 4 12 31111 6 M59 20600 000132 0000R 00001*")</f>
        <v>0</v>
      </c>
      <c r="E3181" s="54"/>
      <c r="F3181" s="83">
        <f>SUMIFS(F3182:F6462,K3182:K6462,"0",B3182:B6462,"5 1 1 5 4 12 31111 6 M59 20600 000132 0000R 00001*")</f>
        <v>23675.4</v>
      </c>
      <c r="G3181" s="83">
        <f>SUMIFS(G3182:G6462,K3182:K6462,"0",B3182:B6462,"5 1 1 5 4 12 31111 6 M59 20600 000132 0000R 00001*")</f>
        <v>0</v>
      </c>
      <c r="H3181" s="83">
        <f t="shared" si="50"/>
        <v>23675.4</v>
      </c>
      <c r="I3181" s="83"/>
      <c r="K3181" s="54" t="s">
        <v>15</v>
      </c>
    </row>
    <row r="3182" spans="2:11" ht="24.75" x14ac:dyDescent="0.2">
      <c r="B3182" s="82" t="s">
        <v>5501</v>
      </c>
      <c r="C3182" s="82" t="s">
        <v>5422</v>
      </c>
      <c r="D3182" s="83">
        <f>SUMIFS(D3183:D6462,K3183:K6462,"0",B3183:B6462,"5 1 1 5 4 12 31111 6 M59 20600 000132 0000R 00001 00154*")-SUMIFS(E3183:E6462,K3183:K6462,"0",B3183:B6462,"5 1 1 5 4 12 31111 6 M59 20600 000132 0000R 00001 00154*")</f>
        <v>0</v>
      </c>
      <c r="E3182" s="54"/>
      <c r="F3182" s="83">
        <f>SUMIFS(F3183:F6462,K3183:K6462,"0",B3183:B6462,"5 1 1 5 4 12 31111 6 M59 20600 000132 0000R 00001 00154*")</f>
        <v>23675.4</v>
      </c>
      <c r="G3182" s="83">
        <f>SUMIFS(G3183:G6462,K3183:K6462,"0",B3183:B6462,"5 1 1 5 4 12 31111 6 M59 20600 000132 0000R 00001 00154*")</f>
        <v>0</v>
      </c>
      <c r="H3182" s="83">
        <f t="shared" si="50"/>
        <v>23675.4</v>
      </c>
      <c r="I3182" s="83"/>
      <c r="K3182" s="54" t="s">
        <v>15</v>
      </c>
    </row>
    <row r="3183" spans="2:11" ht="24.75" x14ac:dyDescent="0.2">
      <c r="B3183" s="82" t="s">
        <v>5502</v>
      </c>
      <c r="C3183" s="82" t="s">
        <v>1051</v>
      </c>
      <c r="D3183" s="83">
        <f>SUMIFS(D3184:D6462,K3184:K6462,"0",B3184:B6462,"5 1 1 5 4 12 31111 6 M59 20600 000132 0000R 00001 00154 015*")-SUMIFS(E3184:E6462,K3184:K6462,"0",B3184:B6462,"5 1 1 5 4 12 31111 6 M59 20600 000132 0000R 00001 00154 015*")</f>
        <v>0</v>
      </c>
      <c r="E3183" s="54"/>
      <c r="F3183" s="83">
        <f>SUMIFS(F3184:F6462,K3184:K6462,"0",B3184:B6462,"5 1 1 5 4 12 31111 6 M59 20600 000132 0000R 00001 00154 015*")</f>
        <v>23675.4</v>
      </c>
      <c r="G3183" s="83">
        <f>SUMIFS(G3184:G6462,K3184:K6462,"0",B3184:B6462,"5 1 1 5 4 12 31111 6 M59 20600 000132 0000R 00001 00154 015*")</f>
        <v>0</v>
      </c>
      <c r="H3183" s="83">
        <f t="shared" si="50"/>
        <v>23675.4</v>
      </c>
      <c r="I3183" s="83"/>
      <c r="K3183" s="54" t="s">
        <v>15</v>
      </c>
    </row>
    <row r="3184" spans="2:11" ht="33" x14ac:dyDescent="0.2">
      <c r="B3184" s="82" t="s">
        <v>5503</v>
      </c>
      <c r="C3184" s="82" t="s">
        <v>2927</v>
      </c>
      <c r="D3184" s="83">
        <f>SUMIFS(D3185:D6462,K3185:K6462,"0",B3185:B6462,"5 1 1 5 4 12 31111 6 M59 20600 000132 0000R 00001 00154 015 2111100*")-SUMIFS(E3185:E6462,K3185:K6462,"0",B3185:B6462,"5 1 1 5 4 12 31111 6 M59 20600 000132 0000R 00001 00154 015 2111100*")</f>
        <v>0</v>
      </c>
      <c r="E3184" s="54"/>
      <c r="F3184" s="83">
        <f>SUMIFS(F3185:F6462,K3185:K6462,"0",B3185:B6462,"5 1 1 5 4 12 31111 6 M59 20600 000132 0000R 00001 00154 015 2111100*")</f>
        <v>23675.4</v>
      </c>
      <c r="G3184" s="83">
        <f>SUMIFS(G3185:G6462,K3185:K6462,"0",B3185:B6462,"5 1 1 5 4 12 31111 6 M59 20600 000132 0000R 00001 00154 015 2111100*")</f>
        <v>0</v>
      </c>
      <c r="H3184" s="83">
        <f t="shared" si="50"/>
        <v>23675.4</v>
      </c>
      <c r="I3184" s="83"/>
      <c r="K3184" s="54" t="s">
        <v>15</v>
      </c>
    </row>
    <row r="3185" spans="2:11" ht="33" x14ac:dyDescent="0.2">
      <c r="B3185" s="82" t="s">
        <v>5504</v>
      </c>
      <c r="C3185" s="82" t="s">
        <v>660</v>
      </c>
      <c r="D3185" s="83">
        <f>SUMIFS(D3186:D6462,K3186:K6462,"0",B3186:B6462,"5 1 1 5 4 12 31111 6 M59 20600 000132 0000R 00001 00154 015 2111100 2024*")-SUMIFS(E3186:E6462,K3186:K6462,"0",B3186:B6462,"5 1 1 5 4 12 31111 6 M59 20600 000132 0000R 00001 00154 015 2111100 2024*")</f>
        <v>0</v>
      </c>
      <c r="E3185" s="54"/>
      <c r="F3185" s="83">
        <f>SUMIFS(F3186:F6462,K3186:K6462,"0",B3186:B6462,"5 1 1 5 4 12 31111 6 M59 20600 000132 0000R 00001 00154 015 2111100 2024*")</f>
        <v>23675.4</v>
      </c>
      <c r="G3185" s="83">
        <f>SUMIFS(G3186:G6462,K3186:K6462,"0",B3186:B6462,"5 1 1 5 4 12 31111 6 M59 20600 000132 0000R 00001 00154 015 2111100 2024*")</f>
        <v>0</v>
      </c>
      <c r="H3185" s="83">
        <f t="shared" si="50"/>
        <v>23675.4</v>
      </c>
      <c r="I3185" s="83"/>
      <c r="K3185" s="54" t="s">
        <v>15</v>
      </c>
    </row>
    <row r="3186" spans="2:11" ht="41.25" x14ac:dyDescent="0.2">
      <c r="B3186" s="82" t="s">
        <v>5505</v>
      </c>
      <c r="C3186" s="82" t="s">
        <v>1056</v>
      </c>
      <c r="D3186" s="83">
        <f>SUMIFS(D3187:D6462,K3187:K6462,"0",B3187:B6462,"5 1 1 5 4 12 31111 6 M59 20600 000132 0000R 00001 00154 015 2111100 2024 CP1CA380*")-SUMIFS(E3187:E6462,K3187:K6462,"0",B3187:B6462,"5 1 1 5 4 12 31111 6 M59 20600 000132 0000R 00001 00154 015 2111100 2024 CP1CA380*")</f>
        <v>0</v>
      </c>
      <c r="E3186" s="54"/>
      <c r="F3186" s="83">
        <f>SUMIFS(F3187:F6462,K3187:K6462,"0",B3187:B6462,"5 1 1 5 4 12 31111 6 M59 20600 000132 0000R 00001 00154 015 2111100 2024 CP1CA380*")</f>
        <v>23675.4</v>
      </c>
      <c r="G3186" s="83">
        <f>SUMIFS(G3187:G6462,K3187:K6462,"0",B3187:B6462,"5 1 1 5 4 12 31111 6 M59 20600 000132 0000R 00001 00154 015 2111100 2024 CP1CA380*")</f>
        <v>0</v>
      </c>
      <c r="H3186" s="83">
        <f t="shared" si="50"/>
        <v>23675.4</v>
      </c>
      <c r="I3186" s="83"/>
      <c r="K3186" s="54" t="s">
        <v>15</v>
      </c>
    </row>
    <row r="3187" spans="2:11" ht="41.25" x14ac:dyDescent="0.2">
      <c r="B3187" s="82" t="s">
        <v>5506</v>
      </c>
      <c r="C3187" s="82" t="s">
        <v>282</v>
      </c>
      <c r="D3187" s="83">
        <f>SUMIFS(D3188:D6462,K3188:K6462,"0",B3188:B6462,"5 1 1 5 4 12 31111 6 M59 20600 000132 0000R 00001 00154 015 2111100 2024 CP1CA380 001*")-SUMIFS(E3188:E6462,K3188:K6462,"0",B3188:B6462,"5 1 1 5 4 12 31111 6 M59 20600 000132 0000R 00001 00154 015 2111100 2024 CP1CA380 001*")</f>
        <v>0</v>
      </c>
      <c r="E3187" s="54"/>
      <c r="F3187" s="83">
        <f>SUMIFS(F3188:F6462,K3188:K6462,"0",B3188:B6462,"5 1 1 5 4 12 31111 6 M59 20600 000132 0000R 00001 00154 015 2111100 2024 CP1CA380 001*")</f>
        <v>23675.4</v>
      </c>
      <c r="G3187" s="83">
        <f>SUMIFS(G3188:G6462,K3188:K6462,"0",B3188:B6462,"5 1 1 5 4 12 31111 6 M59 20600 000132 0000R 00001 00154 015 2111100 2024 CP1CA380 001*")</f>
        <v>0</v>
      </c>
      <c r="H3187" s="83">
        <f t="shared" si="50"/>
        <v>23675.4</v>
      </c>
      <c r="I3187" s="83"/>
      <c r="K3187" s="54" t="s">
        <v>15</v>
      </c>
    </row>
    <row r="3188" spans="2:11" ht="41.25" x14ac:dyDescent="0.2">
      <c r="B3188" s="84" t="s">
        <v>5507</v>
      </c>
      <c r="C3188" s="84" t="s">
        <v>5429</v>
      </c>
      <c r="D3188" s="85">
        <v>0</v>
      </c>
      <c r="E3188" s="85"/>
      <c r="F3188" s="85">
        <v>2400</v>
      </c>
      <c r="G3188" s="85">
        <v>0</v>
      </c>
      <c r="H3188" s="85">
        <f t="shared" si="50"/>
        <v>2400</v>
      </c>
      <c r="I3188" s="85"/>
      <c r="K3188" s="54" t="s">
        <v>38</v>
      </c>
    </row>
    <row r="3189" spans="2:11" ht="41.25" x14ac:dyDescent="0.2">
      <c r="B3189" s="84" t="s">
        <v>5508</v>
      </c>
      <c r="C3189" s="84" t="s">
        <v>5431</v>
      </c>
      <c r="D3189" s="85">
        <v>0</v>
      </c>
      <c r="E3189" s="85"/>
      <c r="F3189" s="85">
        <v>21275.4</v>
      </c>
      <c r="G3189" s="85">
        <v>0</v>
      </c>
      <c r="H3189" s="85">
        <f t="shared" si="50"/>
        <v>21275.4</v>
      </c>
      <c r="I3189" s="85"/>
      <c r="K3189" s="54" t="s">
        <v>38</v>
      </c>
    </row>
    <row r="3190" spans="2:11" ht="24.75" x14ac:dyDescent="0.2">
      <c r="B3190" s="82" t="s">
        <v>5509</v>
      </c>
      <c r="C3190" s="82" t="s">
        <v>3163</v>
      </c>
      <c r="D3190" s="83">
        <f>SUMIFS(D3191:D6462,K3191:K6462,"0",B3191:B6462,"5 1 1 5 4 12 31111 6 M59 21000*")-SUMIFS(E3191:E6462,K3191:K6462,"0",B3191:B6462,"5 1 1 5 4 12 31111 6 M59 21000*")</f>
        <v>0</v>
      </c>
      <c r="E3190" s="54"/>
      <c r="F3190" s="83">
        <f>SUMIFS(F3191:F6462,K3191:K6462,"0",B3191:B6462,"5 1 1 5 4 12 31111 6 M59 21000*")</f>
        <v>936</v>
      </c>
      <c r="G3190" s="83">
        <f>SUMIFS(G3191:G6462,K3191:K6462,"0",B3191:B6462,"5 1 1 5 4 12 31111 6 M59 21000*")</f>
        <v>0</v>
      </c>
      <c r="H3190" s="83">
        <f t="shared" si="50"/>
        <v>936</v>
      </c>
      <c r="I3190" s="83"/>
      <c r="K3190" s="54" t="s">
        <v>15</v>
      </c>
    </row>
    <row r="3191" spans="2:11" ht="16.5" x14ac:dyDescent="0.2">
      <c r="B3191" s="82" t="s">
        <v>5510</v>
      </c>
      <c r="C3191" s="82" t="s">
        <v>648</v>
      </c>
      <c r="D3191" s="83">
        <f>SUMIFS(D3192:D6462,K3192:K6462,"0",B3192:B6462,"5 1 1 5 4 12 31111 6 M59 21000 000132*")-SUMIFS(E3192:E6462,K3192:K6462,"0",B3192:B6462,"5 1 1 5 4 12 31111 6 M59 21000 000132*")</f>
        <v>0</v>
      </c>
      <c r="E3191" s="54"/>
      <c r="F3191" s="83">
        <f>SUMIFS(F3192:F6462,K3192:K6462,"0",B3192:B6462,"5 1 1 5 4 12 31111 6 M59 21000 000132*")</f>
        <v>936</v>
      </c>
      <c r="G3191" s="83">
        <f>SUMIFS(G3192:G6462,K3192:K6462,"0",B3192:B6462,"5 1 1 5 4 12 31111 6 M59 21000 000132*")</f>
        <v>0</v>
      </c>
      <c r="H3191" s="83">
        <f t="shared" si="50"/>
        <v>936</v>
      </c>
      <c r="I3191" s="83"/>
      <c r="K3191" s="54" t="s">
        <v>15</v>
      </c>
    </row>
    <row r="3192" spans="2:11" ht="16.5" x14ac:dyDescent="0.2">
      <c r="B3192" s="82" t="s">
        <v>5511</v>
      </c>
      <c r="C3192" s="82" t="s">
        <v>650</v>
      </c>
      <c r="D3192" s="83">
        <f>SUMIFS(D3193:D6462,K3193:K6462,"0",B3193:B6462,"5 1 1 5 4 12 31111 6 M59 21000 000132 0000R*")-SUMIFS(E3193:E6462,K3193:K6462,"0",B3193:B6462,"5 1 1 5 4 12 31111 6 M59 21000 000132 0000R*")</f>
        <v>0</v>
      </c>
      <c r="E3192" s="54"/>
      <c r="F3192" s="83">
        <f>SUMIFS(F3193:F6462,K3193:K6462,"0",B3193:B6462,"5 1 1 5 4 12 31111 6 M59 21000 000132 0000R*")</f>
        <v>936</v>
      </c>
      <c r="G3192" s="83">
        <f>SUMIFS(G3193:G6462,K3193:K6462,"0",B3193:B6462,"5 1 1 5 4 12 31111 6 M59 21000 000132 0000R*")</f>
        <v>0</v>
      </c>
      <c r="H3192" s="83">
        <f t="shared" si="50"/>
        <v>936</v>
      </c>
      <c r="I3192" s="83"/>
      <c r="K3192" s="54" t="s">
        <v>15</v>
      </c>
    </row>
    <row r="3193" spans="2:11" ht="24.75" x14ac:dyDescent="0.2">
      <c r="B3193" s="82" t="s">
        <v>5512</v>
      </c>
      <c r="C3193" s="82" t="s">
        <v>282</v>
      </c>
      <c r="D3193" s="83">
        <f>SUMIFS(D3194:D6462,K3194:K6462,"0",B3194:B6462,"5 1 1 5 4 12 31111 6 M59 21000 000132 0000R 00001*")-SUMIFS(E3194:E6462,K3194:K6462,"0",B3194:B6462,"5 1 1 5 4 12 31111 6 M59 21000 000132 0000R 00001*")</f>
        <v>0</v>
      </c>
      <c r="E3193" s="54"/>
      <c r="F3193" s="83">
        <f>SUMIFS(F3194:F6462,K3194:K6462,"0",B3194:B6462,"5 1 1 5 4 12 31111 6 M59 21000 000132 0000R 00001*")</f>
        <v>936</v>
      </c>
      <c r="G3193" s="83">
        <f>SUMIFS(G3194:G6462,K3194:K6462,"0",B3194:B6462,"5 1 1 5 4 12 31111 6 M59 21000 000132 0000R 00001*")</f>
        <v>0</v>
      </c>
      <c r="H3193" s="83">
        <f t="shared" si="50"/>
        <v>936</v>
      </c>
      <c r="I3193" s="83"/>
      <c r="K3193" s="54" t="s">
        <v>15</v>
      </c>
    </row>
    <row r="3194" spans="2:11" ht="24.75" x14ac:dyDescent="0.2">
      <c r="B3194" s="82" t="s">
        <v>5513</v>
      </c>
      <c r="C3194" s="82" t="s">
        <v>5422</v>
      </c>
      <c r="D3194" s="83">
        <f>SUMIFS(D3195:D6462,K3195:K6462,"0",B3195:B6462,"5 1 1 5 4 12 31111 6 M59 21000 000132 0000R 00001 00154*")-SUMIFS(E3195:E6462,K3195:K6462,"0",B3195:B6462,"5 1 1 5 4 12 31111 6 M59 21000 000132 0000R 00001 00154*")</f>
        <v>0</v>
      </c>
      <c r="E3194" s="54"/>
      <c r="F3194" s="83">
        <f>SUMIFS(F3195:F6462,K3195:K6462,"0",B3195:B6462,"5 1 1 5 4 12 31111 6 M59 21000 000132 0000R 00001 00154*")</f>
        <v>936</v>
      </c>
      <c r="G3194" s="83">
        <f>SUMIFS(G3195:G6462,K3195:K6462,"0",B3195:B6462,"5 1 1 5 4 12 31111 6 M59 21000 000132 0000R 00001 00154*")</f>
        <v>0</v>
      </c>
      <c r="H3194" s="83">
        <f t="shared" si="50"/>
        <v>936</v>
      </c>
      <c r="I3194" s="83"/>
      <c r="K3194" s="54" t="s">
        <v>15</v>
      </c>
    </row>
    <row r="3195" spans="2:11" ht="24.75" x14ac:dyDescent="0.2">
      <c r="B3195" s="82" t="s">
        <v>5514</v>
      </c>
      <c r="C3195" s="82" t="s">
        <v>1051</v>
      </c>
      <c r="D3195" s="83">
        <f>SUMIFS(D3196:D6462,K3196:K6462,"0",B3196:B6462,"5 1 1 5 4 12 31111 6 M59 21000 000132 0000R 00001 00154 015*")-SUMIFS(E3196:E6462,K3196:K6462,"0",B3196:B6462,"5 1 1 5 4 12 31111 6 M59 21000 000132 0000R 00001 00154 015*")</f>
        <v>0</v>
      </c>
      <c r="E3195" s="54"/>
      <c r="F3195" s="83">
        <f>SUMIFS(F3196:F6462,K3196:K6462,"0",B3196:B6462,"5 1 1 5 4 12 31111 6 M59 21000 000132 0000R 00001 00154 015*")</f>
        <v>936</v>
      </c>
      <c r="G3195" s="83">
        <f>SUMIFS(G3196:G6462,K3196:K6462,"0",B3196:B6462,"5 1 1 5 4 12 31111 6 M59 21000 000132 0000R 00001 00154 015*")</f>
        <v>0</v>
      </c>
      <c r="H3195" s="83">
        <f t="shared" si="50"/>
        <v>936</v>
      </c>
      <c r="I3195" s="83"/>
      <c r="K3195" s="54" t="s">
        <v>15</v>
      </c>
    </row>
    <row r="3196" spans="2:11" ht="33" x14ac:dyDescent="0.2">
      <c r="B3196" s="82" t="s">
        <v>5515</v>
      </c>
      <c r="C3196" s="82" t="s">
        <v>2927</v>
      </c>
      <c r="D3196" s="83">
        <f>SUMIFS(D3197:D6462,K3197:K6462,"0",B3197:B6462,"5 1 1 5 4 12 31111 6 M59 21000 000132 0000R 00001 00154 015 2111100*")-SUMIFS(E3197:E6462,K3197:K6462,"0",B3197:B6462,"5 1 1 5 4 12 31111 6 M59 21000 000132 0000R 00001 00154 015 2111100*")</f>
        <v>0</v>
      </c>
      <c r="E3196" s="54"/>
      <c r="F3196" s="83">
        <f>SUMIFS(F3197:F6462,K3197:K6462,"0",B3197:B6462,"5 1 1 5 4 12 31111 6 M59 21000 000132 0000R 00001 00154 015 2111100*")</f>
        <v>936</v>
      </c>
      <c r="G3196" s="83">
        <f>SUMIFS(G3197:G6462,K3197:K6462,"0",B3197:B6462,"5 1 1 5 4 12 31111 6 M59 21000 000132 0000R 00001 00154 015 2111100*")</f>
        <v>0</v>
      </c>
      <c r="H3196" s="83">
        <f t="shared" si="50"/>
        <v>936</v>
      </c>
      <c r="I3196" s="83"/>
      <c r="K3196" s="54" t="s">
        <v>15</v>
      </c>
    </row>
    <row r="3197" spans="2:11" ht="33" x14ac:dyDescent="0.2">
      <c r="B3197" s="82" t="s">
        <v>5516</v>
      </c>
      <c r="C3197" s="82" t="s">
        <v>660</v>
      </c>
      <c r="D3197" s="83">
        <f>SUMIFS(D3198:D6462,K3198:K6462,"0",B3198:B6462,"5 1 1 5 4 12 31111 6 M59 21000 000132 0000R 00001 00154 015 2111100 2024*")-SUMIFS(E3198:E6462,K3198:K6462,"0",B3198:B6462,"5 1 1 5 4 12 31111 6 M59 21000 000132 0000R 00001 00154 015 2111100 2024*")</f>
        <v>0</v>
      </c>
      <c r="E3197" s="54"/>
      <c r="F3197" s="83">
        <f>SUMIFS(F3198:F6462,K3198:K6462,"0",B3198:B6462,"5 1 1 5 4 12 31111 6 M59 21000 000132 0000R 00001 00154 015 2111100 2024*")</f>
        <v>936</v>
      </c>
      <c r="G3197" s="83">
        <f>SUMIFS(G3198:G6462,K3198:K6462,"0",B3198:B6462,"5 1 1 5 4 12 31111 6 M59 21000 000132 0000R 00001 00154 015 2111100 2024*")</f>
        <v>0</v>
      </c>
      <c r="H3197" s="83">
        <f t="shared" si="50"/>
        <v>936</v>
      </c>
      <c r="I3197" s="83"/>
      <c r="K3197" s="54" t="s">
        <v>15</v>
      </c>
    </row>
    <row r="3198" spans="2:11" ht="41.25" x14ac:dyDescent="0.2">
      <c r="B3198" s="82" t="s">
        <v>5517</v>
      </c>
      <c r="C3198" s="82" t="s">
        <v>1056</v>
      </c>
      <c r="D3198" s="83">
        <f>SUMIFS(D3199:D6462,K3199:K6462,"0",B3199:B6462,"5 1 1 5 4 12 31111 6 M59 21000 000132 0000R 00001 00154 015 2111100 2024 CP1PP402*")-SUMIFS(E3199:E6462,K3199:K6462,"0",B3199:B6462,"5 1 1 5 4 12 31111 6 M59 21000 000132 0000R 00001 00154 015 2111100 2024 CP1PP402*")</f>
        <v>0</v>
      </c>
      <c r="E3198" s="54"/>
      <c r="F3198" s="83">
        <f>SUMIFS(F3199:F6462,K3199:K6462,"0",B3199:B6462,"5 1 1 5 4 12 31111 6 M59 21000 000132 0000R 00001 00154 015 2111100 2024 CP1PP402*")</f>
        <v>936</v>
      </c>
      <c r="G3198" s="83">
        <f>SUMIFS(G3199:G6462,K3199:K6462,"0",B3199:B6462,"5 1 1 5 4 12 31111 6 M59 21000 000132 0000R 00001 00154 015 2111100 2024 CP1PP402*")</f>
        <v>0</v>
      </c>
      <c r="H3198" s="83">
        <f t="shared" si="50"/>
        <v>936</v>
      </c>
      <c r="I3198" s="83"/>
      <c r="K3198" s="54" t="s">
        <v>15</v>
      </c>
    </row>
    <row r="3199" spans="2:11" ht="41.25" x14ac:dyDescent="0.2">
      <c r="B3199" s="82" t="s">
        <v>5518</v>
      </c>
      <c r="C3199" s="82" t="s">
        <v>282</v>
      </c>
      <c r="D3199" s="83">
        <f>SUMIFS(D3200:D6462,K3200:K6462,"0",B3200:B6462,"5 1 1 5 4 12 31111 6 M59 21000 000132 0000R 00001 00154 015 2111100 2024 CP1PP402 001*")-SUMIFS(E3200:E6462,K3200:K6462,"0",B3200:B6462,"5 1 1 5 4 12 31111 6 M59 21000 000132 0000R 00001 00154 015 2111100 2024 CP1PP402 001*")</f>
        <v>0</v>
      </c>
      <c r="E3199" s="54"/>
      <c r="F3199" s="83">
        <f>SUMIFS(F3200:F6462,K3200:K6462,"0",B3200:B6462,"5 1 1 5 4 12 31111 6 M59 21000 000132 0000R 00001 00154 015 2111100 2024 CP1PP402 001*")</f>
        <v>936</v>
      </c>
      <c r="G3199" s="83">
        <f>SUMIFS(G3200:G6462,K3200:K6462,"0",B3200:B6462,"5 1 1 5 4 12 31111 6 M59 21000 000132 0000R 00001 00154 015 2111100 2024 CP1PP402 001*")</f>
        <v>0</v>
      </c>
      <c r="H3199" s="83">
        <f t="shared" si="50"/>
        <v>936</v>
      </c>
      <c r="I3199" s="83"/>
      <c r="K3199" s="54" t="s">
        <v>15</v>
      </c>
    </row>
    <row r="3200" spans="2:11" ht="33" x14ac:dyDescent="0.2">
      <c r="B3200" s="84" t="s">
        <v>5519</v>
      </c>
      <c r="C3200" s="84" t="s">
        <v>5443</v>
      </c>
      <c r="D3200" s="85">
        <v>0</v>
      </c>
      <c r="E3200" s="85"/>
      <c r="F3200" s="85">
        <v>636</v>
      </c>
      <c r="G3200" s="85">
        <v>0</v>
      </c>
      <c r="H3200" s="85">
        <f t="shared" si="50"/>
        <v>636</v>
      </c>
      <c r="I3200" s="85"/>
      <c r="K3200" s="54" t="s">
        <v>38</v>
      </c>
    </row>
    <row r="3201" spans="2:11" ht="33" x14ac:dyDescent="0.2">
      <c r="B3201" s="84" t="s">
        <v>5520</v>
      </c>
      <c r="C3201" s="84" t="s">
        <v>5459</v>
      </c>
      <c r="D3201" s="85">
        <v>0</v>
      </c>
      <c r="E3201" s="85"/>
      <c r="F3201" s="85">
        <v>300</v>
      </c>
      <c r="G3201" s="85">
        <v>0</v>
      </c>
      <c r="H3201" s="85">
        <f t="shared" si="50"/>
        <v>300</v>
      </c>
      <c r="I3201" s="85"/>
      <c r="K3201" s="54" t="s">
        <v>38</v>
      </c>
    </row>
    <row r="3202" spans="2:11" ht="24.75" x14ac:dyDescent="0.2">
      <c r="B3202" s="82" t="s">
        <v>5521</v>
      </c>
      <c r="C3202" s="82" t="s">
        <v>3175</v>
      </c>
      <c r="D3202" s="83">
        <f>SUMIFS(D3203:D6462,K3203:K6462,"0",B3203:B6462,"5 1 1 5 4 12 31111 6 M59 22000*")-SUMIFS(E3203:E6462,K3203:K6462,"0",B3203:B6462,"5 1 1 5 4 12 31111 6 M59 22000*")</f>
        <v>0</v>
      </c>
      <c r="E3202" s="54"/>
      <c r="F3202" s="83">
        <f>SUMIFS(F3203:F6462,K3203:K6462,"0",B3203:B6462,"5 1 1 5 4 12 31111 6 M59 22000*")</f>
        <v>119451.78</v>
      </c>
      <c r="G3202" s="83">
        <f>SUMIFS(G3203:G6462,K3203:K6462,"0",B3203:B6462,"5 1 1 5 4 12 31111 6 M59 22000*")</f>
        <v>0</v>
      </c>
      <c r="H3202" s="83">
        <f t="shared" si="50"/>
        <v>119451.78</v>
      </c>
      <c r="I3202" s="83"/>
      <c r="K3202" s="54" t="s">
        <v>15</v>
      </c>
    </row>
    <row r="3203" spans="2:11" ht="16.5" x14ac:dyDescent="0.2">
      <c r="B3203" s="82" t="s">
        <v>5522</v>
      </c>
      <c r="C3203" s="82" t="s">
        <v>648</v>
      </c>
      <c r="D3203" s="83">
        <f>SUMIFS(D3204:D6462,K3204:K6462,"0",B3204:B6462,"5 1 1 5 4 12 31111 6 M59 22000 000132*")-SUMIFS(E3204:E6462,K3204:K6462,"0",B3204:B6462,"5 1 1 5 4 12 31111 6 M59 22000 000132*")</f>
        <v>0</v>
      </c>
      <c r="E3203" s="54"/>
      <c r="F3203" s="83">
        <f>SUMIFS(F3204:F6462,K3204:K6462,"0",B3204:B6462,"5 1 1 5 4 12 31111 6 M59 22000 000132*")</f>
        <v>119451.78</v>
      </c>
      <c r="G3203" s="83">
        <f>SUMIFS(G3204:G6462,K3204:K6462,"0",B3204:B6462,"5 1 1 5 4 12 31111 6 M59 22000 000132*")</f>
        <v>0</v>
      </c>
      <c r="H3203" s="83">
        <f t="shared" si="50"/>
        <v>119451.78</v>
      </c>
      <c r="I3203" s="83"/>
      <c r="K3203" s="54" t="s">
        <v>15</v>
      </c>
    </row>
    <row r="3204" spans="2:11" ht="16.5" x14ac:dyDescent="0.2">
      <c r="B3204" s="82" t="s">
        <v>5523</v>
      </c>
      <c r="C3204" s="82" t="s">
        <v>650</v>
      </c>
      <c r="D3204" s="83">
        <f>SUMIFS(D3205:D6462,K3205:K6462,"0",B3205:B6462,"5 1 1 5 4 12 31111 6 M59 22000 000132 0000R*")-SUMIFS(E3205:E6462,K3205:K6462,"0",B3205:B6462,"5 1 1 5 4 12 31111 6 M59 22000 000132 0000R*")</f>
        <v>0</v>
      </c>
      <c r="E3204" s="54"/>
      <c r="F3204" s="83">
        <f>SUMIFS(F3205:F6462,K3205:K6462,"0",B3205:B6462,"5 1 1 5 4 12 31111 6 M59 22000 000132 0000R*")</f>
        <v>119451.78</v>
      </c>
      <c r="G3204" s="83">
        <f>SUMIFS(G3205:G6462,K3205:K6462,"0",B3205:B6462,"5 1 1 5 4 12 31111 6 M59 22000 000132 0000R*")</f>
        <v>0</v>
      </c>
      <c r="H3204" s="83">
        <f t="shared" si="50"/>
        <v>119451.78</v>
      </c>
      <c r="I3204" s="83"/>
      <c r="K3204" s="54" t="s">
        <v>15</v>
      </c>
    </row>
    <row r="3205" spans="2:11" ht="24.75" x14ac:dyDescent="0.2">
      <c r="B3205" s="82" t="s">
        <v>5524</v>
      </c>
      <c r="C3205" s="82" t="s">
        <v>282</v>
      </c>
      <c r="D3205" s="83">
        <f>SUMIFS(D3206:D6462,K3206:K6462,"0",B3206:B6462,"5 1 1 5 4 12 31111 6 M59 22000 000132 0000R 00001*")-SUMIFS(E3206:E6462,K3206:K6462,"0",B3206:B6462,"5 1 1 5 4 12 31111 6 M59 22000 000132 0000R 00001*")</f>
        <v>0</v>
      </c>
      <c r="E3205" s="54"/>
      <c r="F3205" s="83">
        <f>SUMIFS(F3206:F6462,K3206:K6462,"0",B3206:B6462,"5 1 1 5 4 12 31111 6 M59 22000 000132 0000R 00001*")</f>
        <v>119451.78</v>
      </c>
      <c r="G3205" s="83">
        <f>SUMIFS(G3206:G6462,K3206:K6462,"0",B3206:B6462,"5 1 1 5 4 12 31111 6 M59 22000 000132 0000R 00001*")</f>
        <v>0</v>
      </c>
      <c r="H3205" s="83">
        <f t="shared" si="50"/>
        <v>119451.78</v>
      </c>
      <c r="I3205" s="83"/>
      <c r="K3205" s="54" t="s">
        <v>15</v>
      </c>
    </row>
    <row r="3206" spans="2:11" ht="24.75" x14ac:dyDescent="0.2">
      <c r="B3206" s="82" t="s">
        <v>5525</v>
      </c>
      <c r="C3206" s="82" t="s">
        <v>5422</v>
      </c>
      <c r="D3206" s="83">
        <f>SUMIFS(D3207:D6462,K3207:K6462,"0",B3207:B6462,"5 1 1 5 4 12 31111 6 M59 22000 000132 0000R 00001 00154*")-SUMIFS(E3207:E6462,K3207:K6462,"0",B3207:B6462,"5 1 1 5 4 12 31111 6 M59 22000 000132 0000R 00001 00154*")</f>
        <v>0</v>
      </c>
      <c r="E3206" s="54"/>
      <c r="F3206" s="83">
        <f>SUMIFS(F3207:F6462,K3207:K6462,"0",B3207:B6462,"5 1 1 5 4 12 31111 6 M59 22000 000132 0000R 00001 00154*")</f>
        <v>119451.78</v>
      </c>
      <c r="G3206" s="83">
        <f>SUMIFS(G3207:G6462,K3207:K6462,"0",B3207:B6462,"5 1 1 5 4 12 31111 6 M59 22000 000132 0000R 00001 00154*")</f>
        <v>0</v>
      </c>
      <c r="H3206" s="83">
        <f t="shared" si="50"/>
        <v>119451.78</v>
      </c>
      <c r="I3206" s="83"/>
      <c r="K3206" s="54" t="s">
        <v>15</v>
      </c>
    </row>
    <row r="3207" spans="2:11" ht="24.75" x14ac:dyDescent="0.2">
      <c r="B3207" s="82" t="s">
        <v>5526</v>
      </c>
      <c r="C3207" s="82" t="s">
        <v>1051</v>
      </c>
      <c r="D3207" s="83">
        <f>SUMIFS(D3208:D6462,K3208:K6462,"0",B3208:B6462,"5 1 1 5 4 12 31111 6 M59 22000 000132 0000R 00001 00154 015*")-SUMIFS(E3208:E6462,K3208:K6462,"0",B3208:B6462,"5 1 1 5 4 12 31111 6 M59 22000 000132 0000R 00001 00154 015*")</f>
        <v>0</v>
      </c>
      <c r="E3207" s="54"/>
      <c r="F3207" s="83">
        <f>SUMIFS(F3208:F6462,K3208:K6462,"0",B3208:B6462,"5 1 1 5 4 12 31111 6 M59 22000 000132 0000R 00001 00154 015*")</f>
        <v>119451.78</v>
      </c>
      <c r="G3207" s="83">
        <f>SUMIFS(G3208:G6462,K3208:K6462,"0",B3208:B6462,"5 1 1 5 4 12 31111 6 M59 22000 000132 0000R 00001 00154 015*")</f>
        <v>0</v>
      </c>
      <c r="H3207" s="83">
        <f t="shared" si="50"/>
        <v>119451.78</v>
      </c>
      <c r="I3207" s="83"/>
      <c r="K3207" s="54" t="s">
        <v>15</v>
      </c>
    </row>
    <row r="3208" spans="2:11" ht="33" x14ac:dyDescent="0.2">
      <c r="B3208" s="82" t="s">
        <v>5527</v>
      </c>
      <c r="C3208" s="82" t="s">
        <v>2927</v>
      </c>
      <c r="D3208" s="83">
        <f>SUMIFS(D3209:D6462,K3209:K6462,"0",B3209:B6462,"5 1 1 5 4 12 31111 6 M59 22000 000132 0000R 00001 00154 015 2111100*")-SUMIFS(E3209:E6462,K3209:K6462,"0",B3209:B6462,"5 1 1 5 4 12 31111 6 M59 22000 000132 0000R 00001 00154 015 2111100*")</f>
        <v>0</v>
      </c>
      <c r="E3208" s="54"/>
      <c r="F3208" s="83">
        <f>SUMIFS(F3209:F6462,K3209:K6462,"0",B3209:B6462,"5 1 1 5 4 12 31111 6 M59 22000 000132 0000R 00001 00154 015 2111100*")</f>
        <v>119451.78</v>
      </c>
      <c r="G3208" s="83">
        <f>SUMIFS(G3209:G6462,K3209:K6462,"0",B3209:B6462,"5 1 1 5 4 12 31111 6 M59 22000 000132 0000R 00001 00154 015 2111100*")</f>
        <v>0</v>
      </c>
      <c r="H3208" s="83">
        <f t="shared" si="50"/>
        <v>119451.78</v>
      </c>
      <c r="I3208" s="83"/>
      <c r="K3208" s="54" t="s">
        <v>15</v>
      </c>
    </row>
    <row r="3209" spans="2:11" ht="33" x14ac:dyDescent="0.2">
      <c r="B3209" s="82" t="s">
        <v>5528</v>
      </c>
      <c r="C3209" s="82" t="s">
        <v>660</v>
      </c>
      <c r="D3209" s="83">
        <f>SUMIFS(D3210:D6462,K3210:K6462,"0",B3210:B6462,"5 1 1 5 4 12 31111 6 M59 22000 000132 0000R 00001 00154 015 2111100 2024*")-SUMIFS(E3210:E6462,K3210:K6462,"0",B3210:B6462,"5 1 1 5 4 12 31111 6 M59 22000 000132 0000R 00001 00154 015 2111100 2024*")</f>
        <v>0</v>
      </c>
      <c r="E3209" s="54"/>
      <c r="F3209" s="83">
        <f>SUMIFS(F3210:F6462,K3210:K6462,"0",B3210:B6462,"5 1 1 5 4 12 31111 6 M59 22000 000132 0000R 00001 00154 015 2111100 2024*")</f>
        <v>119451.78</v>
      </c>
      <c r="G3209" s="83">
        <f>SUMIFS(G3210:G6462,K3210:K6462,"0",B3210:B6462,"5 1 1 5 4 12 31111 6 M59 22000 000132 0000R 00001 00154 015 2111100 2024*")</f>
        <v>0</v>
      </c>
      <c r="H3209" s="83">
        <f t="shared" si="50"/>
        <v>119451.78</v>
      </c>
      <c r="I3209" s="83"/>
      <c r="K3209" s="54" t="s">
        <v>15</v>
      </c>
    </row>
    <row r="3210" spans="2:11" ht="41.25" x14ac:dyDescent="0.2">
      <c r="B3210" s="82" t="s">
        <v>5529</v>
      </c>
      <c r="C3210" s="82" t="s">
        <v>1056</v>
      </c>
      <c r="D3210" s="83">
        <f>SUMIFS(D3211:D6462,K3211:K6462,"0",B3211:B6462,"5 1 1 5 4 12 31111 6 M59 22000 000132 0000R 00001 00154 015 2111100 2024 CP1PL384*")-SUMIFS(E3211:E6462,K3211:K6462,"0",B3211:B6462,"5 1 1 5 4 12 31111 6 M59 22000 000132 0000R 00001 00154 015 2111100 2024 CP1PL384*")</f>
        <v>0</v>
      </c>
      <c r="E3210" s="54"/>
      <c r="F3210" s="83">
        <f>SUMIFS(F3211:F6462,K3211:K6462,"0",B3211:B6462,"5 1 1 5 4 12 31111 6 M59 22000 000132 0000R 00001 00154 015 2111100 2024 CP1PL384*")</f>
        <v>119451.78</v>
      </c>
      <c r="G3210" s="83">
        <f>SUMIFS(G3211:G6462,K3211:K6462,"0",B3211:B6462,"5 1 1 5 4 12 31111 6 M59 22000 000132 0000R 00001 00154 015 2111100 2024 CP1PL384*")</f>
        <v>0</v>
      </c>
      <c r="H3210" s="83">
        <f t="shared" si="50"/>
        <v>119451.78</v>
      </c>
      <c r="I3210" s="83"/>
      <c r="K3210" s="54" t="s">
        <v>15</v>
      </c>
    </row>
    <row r="3211" spans="2:11" ht="41.25" x14ac:dyDescent="0.2">
      <c r="B3211" s="82" t="s">
        <v>5530</v>
      </c>
      <c r="C3211" s="82" t="s">
        <v>282</v>
      </c>
      <c r="D3211" s="83">
        <f>SUMIFS(D3212:D6462,K3212:K6462,"0",B3212:B6462,"5 1 1 5 4 12 31111 6 M59 22000 000132 0000R 00001 00154 015 2111100 2024 CP1PL384 001*")-SUMIFS(E3212:E6462,K3212:K6462,"0",B3212:B6462,"5 1 1 5 4 12 31111 6 M59 22000 000132 0000R 00001 00154 015 2111100 2024 CP1PL384 001*")</f>
        <v>0</v>
      </c>
      <c r="E3211" s="54"/>
      <c r="F3211" s="83">
        <f>SUMIFS(F3212:F6462,K3212:K6462,"0",B3212:B6462,"5 1 1 5 4 12 31111 6 M59 22000 000132 0000R 00001 00154 015 2111100 2024 CP1PL384 001*")</f>
        <v>119451.78</v>
      </c>
      <c r="G3211" s="83">
        <f>SUMIFS(G3212:G6462,K3212:K6462,"0",B3212:B6462,"5 1 1 5 4 12 31111 6 M59 22000 000132 0000R 00001 00154 015 2111100 2024 CP1PL384 001*")</f>
        <v>0</v>
      </c>
      <c r="H3211" s="83">
        <f t="shared" si="50"/>
        <v>119451.78</v>
      </c>
      <c r="I3211" s="83"/>
      <c r="K3211" s="54" t="s">
        <v>15</v>
      </c>
    </row>
    <row r="3212" spans="2:11" ht="41.25" x14ac:dyDescent="0.2">
      <c r="B3212" s="84" t="s">
        <v>5531</v>
      </c>
      <c r="C3212" s="84" t="s">
        <v>5429</v>
      </c>
      <c r="D3212" s="85">
        <v>0</v>
      </c>
      <c r="E3212" s="85"/>
      <c r="F3212" s="85">
        <v>2400</v>
      </c>
      <c r="G3212" s="85">
        <v>0</v>
      </c>
      <c r="H3212" s="85">
        <f t="shared" si="50"/>
        <v>2400</v>
      </c>
      <c r="I3212" s="85"/>
      <c r="K3212" s="54" t="s">
        <v>38</v>
      </c>
    </row>
    <row r="3213" spans="2:11" ht="41.25" x14ac:dyDescent="0.2">
      <c r="B3213" s="84" t="s">
        <v>5532</v>
      </c>
      <c r="C3213" s="84" t="s">
        <v>5431</v>
      </c>
      <c r="D3213" s="85">
        <v>0</v>
      </c>
      <c r="E3213" s="85"/>
      <c r="F3213" s="85">
        <v>1325.16</v>
      </c>
      <c r="G3213" s="85">
        <v>0</v>
      </c>
      <c r="H3213" s="85">
        <f t="shared" si="50"/>
        <v>1325.16</v>
      </c>
      <c r="I3213" s="85"/>
      <c r="K3213" s="54" t="s">
        <v>38</v>
      </c>
    </row>
    <row r="3214" spans="2:11" ht="41.25" x14ac:dyDescent="0.2">
      <c r="B3214" s="84" t="s">
        <v>5533</v>
      </c>
      <c r="C3214" s="84" t="s">
        <v>5446</v>
      </c>
      <c r="D3214" s="85">
        <v>0</v>
      </c>
      <c r="E3214" s="85"/>
      <c r="F3214" s="85">
        <v>115726.62</v>
      </c>
      <c r="G3214" s="85">
        <v>0</v>
      </c>
      <c r="H3214" s="85">
        <f t="shared" si="50"/>
        <v>115726.62</v>
      </c>
      <c r="I3214" s="85"/>
      <c r="K3214" s="54" t="s">
        <v>38</v>
      </c>
    </row>
    <row r="3215" spans="2:11" ht="16.5" x14ac:dyDescent="0.2">
      <c r="B3215" s="82" t="s">
        <v>5534</v>
      </c>
      <c r="C3215" s="82" t="s">
        <v>3187</v>
      </c>
      <c r="D3215" s="83">
        <f>SUMIFS(D3216:D6462,K3216:K6462,"0",B3216:B6462,"5 1 1 5 4 12 31111 6 M59 23000*")-SUMIFS(E3216:E6462,K3216:K6462,"0",B3216:B6462,"5 1 1 5 4 12 31111 6 M59 23000*")</f>
        <v>0</v>
      </c>
      <c r="E3215" s="54"/>
      <c r="F3215" s="83">
        <f>SUMIFS(F3216:F6462,K3216:K6462,"0",B3216:B6462,"5 1 1 5 4 12 31111 6 M59 23000*")</f>
        <v>624</v>
      </c>
      <c r="G3215" s="83">
        <f>SUMIFS(G3216:G6462,K3216:K6462,"0",B3216:B6462,"5 1 1 5 4 12 31111 6 M59 23000*")</f>
        <v>0</v>
      </c>
      <c r="H3215" s="83">
        <f t="shared" si="50"/>
        <v>624</v>
      </c>
      <c r="I3215" s="83"/>
      <c r="K3215" s="54" t="s">
        <v>15</v>
      </c>
    </row>
    <row r="3216" spans="2:11" ht="16.5" x14ac:dyDescent="0.2">
      <c r="B3216" s="82" t="s">
        <v>5535</v>
      </c>
      <c r="C3216" s="82" t="s">
        <v>648</v>
      </c>
      <c r="D3216" s="83">
        <f>SUMIFS(D3217:D6462,K3217:K6462,"0",B3217:B6462,"5 1 1 5 4 12 31111 6 M59 23000 000132*")-SUMIFS(E3217:E6462,K3217:K6462,"0",B3217:B6462,"5 1 1 5 4 12 31111 6 M59 23000 000132*")</f>
        <v>0</v>
      </c>
      <c r="E3216" s="54"/>
      <c r="F3216" s="83">
        <f>SUMIFS(F3217:F6462,K3217:K6462,"0",B3217:B6462,"5 1 1 5 4 12 31111 6 M59 23000 000132*")</f>
        <v>624</v>
      </c>
      <c r="G3216" s="83">
        <f>SUMIFS(G3217:G6462,K3217:K6462,"0",B3217:B6462,"5 1 1 5 4 12 31111 6 M59 23000 000132*")</f>
        <v>0</v>
      </c>
      <c r="H3216" s="83">
        <f t="shared" si="50"/>
        <v>624</v>
      </c>
      <c r="I3216" s="83"/>
      <c r="K3216" s="54" t="s">
        <v>15</v>
      </c>
    </row>
    <row r="3217" spans="2:11" ht="16.5" x14ac:dyDescent="0.2">
      <c r="B3217" s="82" t="s">
        <v>5536</v>
      </c>
      <c r="C3217" s="82" t="s">
        <v>650</v>
      </c>
      <c r="D3217" s="83">
        <f>SUMIFS(D3218:D6462,K3218:K6462,"0",B3218:B6462,"5 1 1 5 4 12 31111 6 M59 23000 000132 0000R*")-SUMIFS(E3218:E6462,K3218:K6462,"0",B3218:B6462,"5 1 1 5 4 12 31111 6 M59 23000 000132 0000R*")</f>
        <v>0</v>
      </c>
      <c r="E3217" s="54"/>
      <c r="F3217" s="83">
        <f>SUMIFS(F3218:F6462,K3218:K6462,"0",B3218:B6462,"5 1 1 5 4 12 31111 6 M59 23000 000132 0000R*")</f>
        <v>624</v>
      </c>
      <c r="G3217" s="83">
        <f>SUMIFS(G3218:G6462,K3218:K6462,"0",B3218:B6462,"5 1 1 5 4 12 31111 6 M59 23000 000132 0000R*")</f>
        <v>0</v>
      </c>
      <c r="H3217" s="83">
        <f t="shared" si="50"/>
        <v>624</v>
      </c>
      <c r="I3217" s="83"/>
      <c r="K3217" s="54" t="s">
        <v>15</v>
      </c>
    </row>
    <row r="3218" spans="2:11" ht="24.75" x14ac:dyDescent="0.2">
      <c r="B3218" s="82" t="s">
        <v>5537</v>
      </c>
      <c r="C3218" s="82" t="s">
        <v>282</v>
      </c>
      <c r="D3218" s="83">
        <f>SUMIFS(D3219:D6462,K3219:K6462,"0",B3219:B6462,"5 1 1 5 4 12 31111 6 M59 23000 000132 0000R 00001*")-SUMIFS(E3219:E6462,K3219:K6462,"0",B3219:B6462,"5 1 1 5 4 12 31111 6 M59 23000 000132 0000R 00001*")</f>
        <v>0</v>
      </c>
      <c r="E3218" s="54"/>
      <c r="F3218" s="83">
        <f>SUMIFS(F3219:F6462,K3219:K6462,"0",B3219:B6462,"5 1 1 5 4 12 31111 6 M59 23000 000132 0000R 00001*")</f>
        <v>624</v>
      </c>
      <c r="G3218" s="83">
        <f>SUMIFS(G3219:G6462,K3219:K6462,"0",B3219:B6462,"5 1 1 5 4 12 31111 6 M59 23000 000132 0000R 00001*")</f>
        <v>0</v>
      </c>
      <c r="H3218" s="83">
        <f t="shared" si="50"/>
        <v>624</v>
      </c>
      <c r="I3218" s="83"/>
      <c r="K3218" s="54" t="s">
        <v>15</v>
      </c>
    </row>
    <row r="3219" spans="2:11" ht="24.75" x14ac:dyDescent="0.2">
      <c r="B3219" s="82" t="s">
        <v>5538</v>
      </c>
      <c r="C3219" s="82" t="s">
        <v>5422</v>
      </c>
      <c r="D3219" s="83">
        <f>SUMIFS(D3220:D6462,K3220:K6462,"0",B3220:B6462,"5 1 1 5 4 12 31111 6 M59 23000 000132 0000R 00001 00154*")-SUMIFS(E3220:E6462,K3220:K6462,"0",B3220:B6462,"5 1 1 5 4 12 31111 6 M59 23000 000132 0000R 00001 00154*")</f>
        <v>0</v>
      </c>
      <c r="E3219" s="54"/>
      <c r="F3219" s="83">
        <f>SUMIFS(F3220:F6462,K3220:K6462,"0",B3220:B6462,"5 1 1 5 4 12 31111 6 M59 23000 000132 0000R 00001 00154*")</f>
        <v>624</v>
      </c>
      <c r="G3219" s="83">
        <f>SUMIFS(G3220:G6462,K3220:K6462,"0",B3220:B6462,"5 1 1 5 4 12 31111 6 M59 23000 000132 0000R 00001 00154*")</f>
        <v>0</v>
      </c>
      <c r="H3219" s="83">
        <f t="shared" si="50"/>
        <v>624</v>
      </c>
      <c r="I3219" s="83"/>
      <c r="K3219" s="54" t="s">
        <v>15</v>
      </c>
    </row>
    <row r="3220" spans="2:11" ht="24.75" x14ac:dyDescent="0.2">
      <c r="B3220" s="82" t="s">
        <v>5539</v>
      </c>
      <c r="C3220" s="82" t="s">
        <v>1051</v>
      </c>
      <c r="D3220" s="83">
        <f>SUMIFS(D3221:D6462,K3221:K6462,"0",B3221:B6462,"5 1 1 5 4 12 31111 6 M59 23000 000132 0000R 00001 00154 015*")-SUMIFS(E3221:E6462,K3221:K6462,"0",B3221:B6462,"5 1 1 5 4 12 31111 6 M59 23000 000132 0000R 00001 00154 015*")</f>
        <v>0</v>
      </c>
      <c r="E3220" s="54"/>
      <c r="F3220" s="83">
        <f>SUMIFS(F3221:F6462,K3221:K6462,"0",B3221:B6462,"5 1 1 5 4 12 31111 6 M59 23000 000132 0000R 00001 00154 015*")</f>
        <v>624</v>
      </c>
      <c r="G3220" s="83">
        <f>SUMIFS(G3221:G6462,K3221:K6462,"0",B3221:B6462,"5 1 1 5 4 12 31111 6 M59 23000 000132 0000R 00001 00154 015*")</f>
        <v>0</v>
      </c>
      <c r="H3220" s="83">
        <f t="shared" si="50"/>
        <v>624</v>
      </c>
      <c r="I3220" s="83"/>
      <c r="K3220" s="54" t="s">
        <v>15</v>
      </c>
    </row>
    <row r="3221" spans="2:11" ht="33" x14ac:dyDescent="0.2">
      <c r="B3221" s="82" t="s">
        <v>5540</v>
      </c>
      <c r="C3221" s="82" t="s">
        <v>2927</v>
      </c>
      <c r="D3221" s="83">
        <f>SUMIFS(D3222:D6462,K3222:K6462,"0",B3222:B6462,"5 1 1 5 4 12 31111 6 M59 23000 000132 0000R 00001 00154 015 2111100*")-SUMIFS(E3222:E6462,K3222:K6462,"0",B3222:B6462,"5 1 1 5 4 12 31111 6 M59 23000 000132 0000R 00001 00154 015 2111100*")</f>
        <v>0</v>
      </c>
      <c r="E3221" s="54"/>
      <c r="F3221" s="83">
        <f>SUMIFS(F3222:F6462,K3222:K6462,"0",B3222:B6462,"5 1 1 5 4 12 31111 6 M59 23000 000132 0000R 00001 00154 015 2111100*")</f>
        <v>624</v>
      </c>
      <c r="G3221" s="83">
        <f>SUMIFS(G3222:G6462,K3222:K6462,"0",B3222:B6462,"5 1 1 5 4 12 31111 6 M59 23000 000132 0000R 00001 00154 015 2111100*")</f>
        <v>0</v>
      </c>
      <c r="H3221" s="83">
        <f t="shared" si="50"/>
        <v>624</v>
      </c>
      <c r="I3221" s="83"/>
      <c r="K3221" s="54" t="s">
        <v>15</v>
      </c>
    </row>
    <row r="3222" spans="2:11" ht="33" x14ac:dyDescent="0.2">
      <c r="B3222" s="82" t="s">
        <v>5541</v>
      </c>
      <c r="C3222" s="82" t="s">
        <v>660</v>
      </c>
      <c r="D3222" s="83">
        <f>SUMIFS(D3223:D6462,K3223:K6462,"0",B3223:B6462,"5 1 1 5 4 12 31111 6 M59 23000 000132 0000R 00001 00154 015 2111100 2024*")-SUMIFS(E3223:E6462,K3223:K6462,"0",B3223:B6462,"5 1 1 5 4 12 31111 6 M59 23000 000132 0000R 00001 00154 015 2111100 2024*")</f>
        <v>0</v>
      </c>
      <c r="E3222" s="54"/>
      <c r="F3222" s="83">
        <f>SUMIFS(F3223:F6462,K3223:K6462,"0",B3223:B6462,"5 1 1 5 4 12 31111 6 M59 23000 000132 0000R 00001 00154 015 2111100 2024*")</f>
        <v>624</v>
      </c>
      <c r="G3222" s="83">
        <f>SUMIFS(G3223:G6462,K3223:K6462,"0",B3223:B6462,"5 1 1 5 4 12 31111 6 M59 23000 000132 0000R 00001 00154 015 2111100 2024*")</f>
        <v>0</v>
      </c>
      <c r="H3222" s="83">
        <f t="shared" si="50"/>
        <v>624</v>
      </c>
      <c r="I3222" s="83"/>
      <c r="K3222" s="54" t="s">
        <v>15</v>
      </c>
    </row>
    <row r="3223" spans="2:11" ht="41.25" x14ac:dyDescent="0.2">
      <c r="B3223" s="82" t="s">
        <v>5542</v>
      </c>
      <c r="C3223" s="82" t="s">
        <v>1056</v>
      </c>
      <c r="D3223" s="83">
        <f>SUMIFS(D3224:D6462,K3224:K6462,"0",B3224:B6462,"5 1 1 5 4 12 31111 6 M59 23000 000132 0000R 00001 00154 015 2111100 2024 CP1ST377*")-SUMIFS(E3224:E6462,K3224:K6462,"0",B3224:B6462,"5 1 1 5 4 12 31111 6 M59 23000 000132 0000R 00001 00154 015 2111100 2024 CP1ST377*")</f>
        <v>0</v>
      </c>
      <c r="E3223" s="54"/>
      <c r="F3223" s="83">
        <f>SUMIFS(F3224:F6462,K3224:K6462,"0",B3224:B6462,"5 1 1 5 4 12 31111 6 M59 23000 000132 0000R 00001 00154 015 2111100 2024 CP1ST377*")</f>
        <v>624</v>
      </c>
      <c r="G3223" s="83">
        <f>SUMIFS(G3224:G6462,K3224:K6462,"0",B3224:B6462,"5 1 1 5 4 12 31111 6 M59 23000 000132 0000R 00001 00154 015 2111100 2024 CP1ST377*")</f>
        <v>0</v>
      </c>
      <c r="H3223" s="83">
        <f t="shared" si="50"/>
        <v>624</v>
      </c>
      <c r="I3223" s="83"/>
      <c r="K3223" s="54" t="s">
        <v>15</v>
      </c>
    </row>
    <row r="3224" spans="2:11" ht="41.25" x14ac:dyDescent="0.2">
      <c r="B3224" s="82" t="s">
        <v>5543</v>
      </c>
      <c r="C3224" s="82" t="s">
        <v>282</v>
      </c>
      <c r="D3224" s="83">
        <f>SUMIFS(D3225:D6462,K3225:K6462,"0",B3225:B6462,"5 1 1 5 4 12 31111 6 M59 23000 000132 0000R 00001 00154 015 2111100 2024 CP1ST377 001*")-SUMIFS(E3225:E6462,K3225:K6462,"0",B3225:B6462,"5 1 1 5 4 12 31111 6 M59 23000 000132 0000R 00001 00154 015 2111100 2024 CP1ST377 001*")</f>
        <v>0</v>
      </c>
      <c r="E3224" s="54"/>
      <c r="F3224" s="83">
        <f>SUMIFS(F3225:F6462,K3225:K6462,"0",B3225:B6462,"5 1 1 5 4 12 31111 6 M59 23000 000132 0000R 00001 00154 015 2111100 2024 CP1ST377 001*")</f>
        <v>624</v>
      </c>
      <c r="G3224" s="83">
        <f>SUMIFS(G3225:G6462,K3225:K6462,"0",B3225:B6462,"5 1 1 5 4 12 31111 6 M59 23000 000132 0000R 00001 00154 015 2111100 2024 CP1ST377 001*")</f>
        <v>0</v>
      </c>
      <c r="H3224" s="83">
        <f t="shared" si="50"/>
        <v>624</v>
      </c>
      <c r="I3224" s="83"/>
      <c r="K3224" s="54" t="s">
        <v>15</v>
      </c>
    </row>
    <row r="3225" spans="2:11" ht="41.25" x14ac:dyDescent="0.2">
      <c r="B3225" s="84" t="s">
        <v>5544</v>
      </c>
      <c r="C3225" s="84" t="s">
        <v>5429</v>
      </c>
      <c r="D3225" s="85">
        <v>0</v>
      </c>
      <c r="E3225" s="85"/>
      <c r="F3225" s="85">
        <v>424</v>
      </c>
      <c r="G3225" s="85">
        <v>0</v>
      </c>
      <c r="H3225" s="85">
        <f t="shared" si="50"/>
        <v>424</v>
      </c>
      <c r="I3225" s="85"/>
      <c r="K3225" s="54" t="s">
        <v>38</v>
      </c>
    </row>
    <row r="3226" spans="2:11" ht="41.25" x14ac:dyDescent="0.2">
      <c r="B3226" s="84" t="s">
        <v>5545</v>
      </c>
      <c r="C3226" s="84" t="s">
        <v>5431</v>
      </c>
      <c r="D3226" s="85">
        <v>0</v>
      </c>
      <c r="E3226" s="85"/>
      <c r="F3226" s="85">
        <v>200</v>
      </c>
      <c r="G3226" s="85">
        <v>0</v>
      </c>
      <c r="H3226" s="85">
        <f t="shared" si="50"/>
        <v>200</v>
      </c>
      <c r="I3226" s="85"/>
      <c r="K3226" s="54" t="s">
        <v>38</v>
      </c>
    </row>
    <row r="3227" spans="2:11" ht="16.5" x14ac:dyDescent="0.2">
      <c r="B3227" s="82" t="s">
        <v>5546</v>
      </c>
      <c r="C3227" s="82" t="s">
        <v>646</v>
      </c>
      <c r="D3227" s="83">
        <f>SUMIFS(D3228:D6462,K3228:K6462,"0",B3228:B6462,"5 1 1 5 4 12 31111 6 M59 30100*")-SUMIFS(E3228:E6462,K3228:K6462,"0",B3228:B6462,"5 1 1 5 4 12 31111 6 M59 30100*")</f>
        <v>0</v>
      </c>
      <c r="E3227" s="54"/>
      <c r="F3227" s="83">
        <f>SUMIFS(F3228:F6462,K3228:K6462,"0",B3228:B6462,"5 1 1 5 4 12 31111 6 M59 30100*")</f>
        <v>27462.62</v>
      </c>
      <c r="G3227" s="83">
        <f>SUMIFS(G3228:G6462,K3228:K6462,"0",B3228:B6462,"5 1 1 5 4 12 31111 6 M59 30100*")</f>
        <v>0</v>
      </c>
      <c r="H3227" s="83">
        <f t="shared" si="50"/>
        <v>27462.62</v>
      </c>
      <c r="I3227" s="83"/>
      <c r="K3227" s="54" t="s">
        <v>15</v>
      </c>
    </row>
    <row r="3228" spans="2:11" ht="16.5" x14ac:dyDescent="0.2">
      <c r="B3228" s="82" t="s">
        <v>5547</v>
      </c>
      <c r="C3228" s="82" t="s">
        <v>648</v>
      </c>
      <c r="D3228" s="83">
        <f>SUMIFS(D3229:D6462,K3229:K6462,"0",B3229:B6462,"5 1 1 5 4 12 31111 6 M59 30100 000132*")-SUMIFS(E3229:E6462,K3229:K6462,"0",B3229:B6462,"5 1 1 5 4 12 31111 6 M59 30100 000132*")</f>
        <v>0</v>
      </c>
      <c r="E3228" s="54"/>
      <c r="F3228" s="83">
        <f>SUMIFS(F3229:F6462,K3229:K6462,"0",B3229:B6462,"5 1 1 5 4 12 31111 6 M59 30100 000132*")</f>
        <v>27462.62</v>
      </c>
      <c r="G3228" s="83">
        <f>SUMIFS(G3229:G6462,K3229:K6462,"0",B3229:B6462,"5 1 1 5 4 12 31111 6 M59 30100 000132*")</f>
        <v>0</v>
      </c>
      <c r="H3228" s="83">
        <f t="shared" si="50"/>
        <v>27462.62</v>
      </c>
      <c r="I3228" s="83"/>
      <c r="K3228" s="54" t="s">
        <v>15</v>
      </c>
    </row>
    <row r="3229" spans="2:11" ht="16.5" x14ac:dyDescent="0.2">
      <c r="B3229" s="82" t="s">
        <v>5548</v>
      </c>
      <c r="C3229" s="82" t="s">
        <v>650</v>
      </c>
      <c r="D3229" s="83">
        <f>SUMIFS(D3230:D6462,K3230:K6462,"0",B3230:B6462,"5 1 1 5 4 12 31111 6 M59 30100 000132 0000R*")-SUMIFS(E3230:E6462,K3230:K6462,"0",B3230:B6462,"5 1 1 5 4 12 31111 6 M59 30100 000132 0000R*")</f>
        <v>0</v>
      </c>
      <c r="E3229" s="54"/>
      <c r="F3229" s="83">
        <f>SUMIFS(F3230:F6462,K3230:K6462,"0",B3230:B6462,"5 1 1 5 4 12 31111 6 M59 30100 000132 0000R*")</f>
        <v>27462.62</v>
      </c>
      <c r="G3229" s="83">
        <f>SUMIFS(G3230:G6462,K3230:K6462,"0",B3230:B6462,"5 1 1 5 4 12 31111 6 M59 30100 000132 0000R*")</f>
        <v>0</v>
      </c>
      <c r="H3229" s="83">
        <f t="shared" si="50"/>
        <v>27462.62</v>
      </c>
      <c r="I3229" s="83"/>
      <c r="K3229" s="54" t="s">
        <v>15</v>
      </c>
    </row>
    <row r="3230" spans="2:11" ht="24.75" x14ac:dyDescent="0.2">
      <c r="B3230" s="82" t="s">
        <v>5549</v>
      </c>
      <c r="C3230" s="82" t="s">
        <v>282</v>
      </c>
      <c r="D3230" s="83">
        <f>SUMIFS(D3231:D6462,K3231:K6462,"0",B3231:B6462,"5 1 1 5 4 12 31111 6 M59 30100 000132 0000R 00001*")-SUMIFS(E3231:E6462,K3231:K6462,"0",B3231:B6462,"5 1 1 5 4 12 31111 6 M59 30100 000132 0000R 00001*")</f>
        <v>0</v>
      </c>
      <c r="E3230" s="54"/>
      <c r="F3230" s="83">
        <f>SUMIFS(F3231:F6462,K3231:K6462,"0",B3231:B6462,"5 1 1 5 4 12 31111 6 M59 30100 000132 0000R 00001*")</f>
        <v>27462.62</v>
      </c>
      <c r="G3230" s="83">
        <f>SUMIFS(G3231:G6462,K3231:K6462,"0",B3231:B6462,"5 1 1 5 4 12 31111 6 M59 30100 000132 0000R 00001*")</f>
        <v>0</v>
      </c>
      <c r="H3230" s="83">
        <f t="shared" si="50"/>
        <v>27462.62</v>
      </c>
      <c r="I3230" s="83"/>
      <c r="K3230" s="54" t="s">
        <v>15</v>
      </c>
    </row>
    <row r="3231" spans="2:11" ht="24.75" x14ac:dyDescent="0.2">
      <c r="B3231" s="82" t="s">
        <v>5550</v>
      </c>
      <c r="C3231" s="82" t="s">
        <v>5422</v>
      </c>
      <c r="D3231" s="83">
        <f>SUMIFS(D3232:D6462,K3232:K6462,"0",B3232:B6462,"5 1 1 5 4 12 31111 6 M59 30100 000132 0000R 00001 00154*")-SUMIFS(E3232:E6462,K3232:K6462,"0",B3232:B6462,"5 1 1 5 4 12 31111 6 M59 30100 000132 0000R 00001 00154*")</f>
        <v>0</v>
      </c>
      <c r="E3231" s="54"/>
      <c r="F3231" s="83">
        <f>SUMIFS(F3232:F6462,K3232:K6462,"0",B3232:B6462,"5 1 1 5 4 12 31111 6 M59 30100 000132 0000R 00001 00154*")</f>
        <v>27462.62</v>
      </c>
      <c r="G3231" s="83">
        <f>SUMIFS(G3232:G6462,K3232:K6462,"0",B3232:B6462,"5 1 1 5 4 12 31111 6 M59 30100 000132 0000R 00001 00154*")</f>
        <v>0</v>
      </c>
      <c r="H3231" s="83">
        <f t="shared" si="50"/>
        <v>27462.62</v>
      </c>
      <c r="I3231" s="83"/>
      <c r="K3231" s="54" t="s">
        <v>15</v>
      </c>
    </row>
    <row r="3232" spans="2:11" ht="24.75" x14ac:dyDescent="0.2">
      <c r="B3232" s="82" t="s">
        <v>5551</v>
      </c>
      <c r="C3232" s="82" t="s">
        <v>1051</v>
      </c>
      <c r="D3232" s="83">
        <f>SUMIFS(D3233:D6462,K3233:K6462,"0",B3233:B6462,"5 1 1 5 4 12 31111 6 M59 30100 000132 0000R 00001 00154 015*")-SUMIFS(E3233:E6462,K3233:K6462,"0",B3233:B6462,"5 1 1 5 4 12 31111 6 M59 30100 000132 0000R 00001 00154 015*")</f>
        <v>0</v>
      </c>
      <c r="E3232" s="54"/>
      <c r="F3232" s="83">
        <f>SUMIFS(F3233:F6462,K3233:K6462,"0",B3233:B6462,"5 1 1 5 4 12 31111 6 M59 30100 000132 0000R 00001 00154 015*")</f>
        <v>27462.62</v>
      </c>
      <c r="G3232" s="83">
        <f>SUMIFS(G3233:G6462,K3233:K6462,"0",B3233:B6462,"5 1 1 5 4 12 31111 6 M59 30100 000132 0000R 00001 00154 015*")</f>
        <v>0</v>
      </c>
      <c r="H3232" s="83">
        <f t="shared" si="50"/>
        <v>27462.62</v>
      </c>
      <c r="I3232" s="83"/>
      <c r="K3232" s="54" t="s">
        <v>15</v>
      </c>
    </row>
    <row r="3233" spans="2:11" ht="33" x14ac:dyDescent="0.2">
      <c r="B3233" s="82" t="s">
        <v>5552</v>
      </c>
      <c r="C3233" s="82" t="s">
        <v>2927</v>
      </c>
      <c r="D3233" s="83">
        <f>SUMIFS(D3234:D6462,K3234:K6462,"0",B3234:B6462,"5 1 1 5 4 12 31111 6 M59 30100 000132 0000R 00001 00154 015 2111100*")-SUMIFS(E3234:E6462,K3234:K6462,"0",B3234:B6462,"5 1 1 5 4 12 31111 6 M59 30100 000132 0000R 00001 00154 015 2111100*")</f>
        <v>0</v>
      </c>
      <c r="E3233" s="54"/>
      <c r="F3233" s="83">
        <f>SUMIFS(F3234:F6462,K3234:K6462,"0",B3234:B6462,"5 1 1 5 4 12 31111 6 M59 30100 000132 0000R 00001 00154 015 2111100*")</f>
        <v>27462.62</v>
      </c>
      <c r="G3233" s="83">
        <f>SUMIFS(G3234:G6462,K3234:K6462,"0",B3234:B6462,"5 1 1 5 4 12 31111 6 M59 30100 000132 0000R 00001 00154 015 2111100*")</f>
        <v>0</v>
      </c>
      <c r="H3233" s="83">
        <f t="shared" si="50"/>
        <v>27462.62</v>
      </c>
      <c r="I3233" s="83"/>
      <c r="K3233" s="54" t="s">
        <v>15</v>
      </c>
    </row>
    <row r="3234" spans="2:11" ht="33" x14ac:dyDescent="0.2">
      <c r="B3234" s="82" t="s">
        <v>5553</v>
      </c>
      <c r="C3234" s="82" t="s">
        <v>660</v>
      </c>
      <c r="D3234" s="83">
        <f>SUMIFS(D3235:D6462,K3235:K6462,"0",B3235:B6462,"5 1 1 5 4 12 31111 6 M59 30100 000132 0000R 00001 00154 015 2111100 2024*")-SUMIFS(E3235:E6462,K3235:K6462,"0",B3235:B6462,"5 1 1 5 4 12 31111 6 M59 30100 000132 0000R 00001 00154 015 2111100 2024*")</f>
        <v>0</v>
      </c>
      <c r="E3234" s="54"/>
      <c r="F3234" s="83">
        <f>SUMIFS(F3235:F6462,K3235:K6462,"0",B3235:B6462,"5 1 1 5 4 12 31111 6 M59 30100 000132 0000R 00001 00154 015 2111100 2024*")</f>
        <v>27462.62</v>
      </c>
      <c r="G3234" s="83">
        <f>SUMIFS(G3235:G6462,K3235:K6462,"0",B3235:B6462,"5 1 1 5 4 12 31111 6 M59 30100 000132 0000R 00001 00154 015 2111100 2024*")</f>
        <v>0</v>
      </c>
      <c r="H3234" s="83">
        <f t="shared" si="50"/>
        <v>27462.62</v>
      </c>
      <c r="I3234" s="83"/>
      <c r="K3234" s="54" t="s">
        <v>15</v>
      </c>
    </row>
    <row r="3235" spans="2:11" ht="41.25" x14ac:dyDescent="0.2">
      <c r="B3235" s="82" t="s">
        <v>5554</v>
      </c>
      <c r="C3235" s="82" t="s">
        <v>662</v>
      </c>
      <c r="D3235" s="83">
        <f>SUMIFS(D3236:D6462,K3236:K6462,"0",B3236:B6462,"5 1 1 5 4 12 31111 6 M59 30100 000132 0000R 00001 00154 015 2111100 2024 CP1OP405*")-SUMIFS(E3236:E6462,K3236:K6462,"0",B3236:B6462,"5 1 1 5 4 12 31111 6 M59 30100 000132 0000R 00001 00154 015 2111100 2024 CP1OP405*")</f>
        <v>0</v>
      </c>
      <c r="E3235" s="54"/>
      <c r="F3235" s="83">
        <f>SUMIFS(F3236:F6462,K3236:K6462,"0",B3236:B6462,"5 1 1 5 4 12 31111 6 M59 30100 000132 0000R 00001 00154 015 2111100 2024 CP1OP405*")</f>
        <v>27462.62</v>
      </c>
      <c r="G3235" s="83">
        <f>SUMIFS(G3236:G6462,K3236:K6462,"0",B3236:B6462,"5 1 1 5 4 12 31111 6 M59 30100 000132 0000R 00001 00154 015 2111100 2024 CP1OP405*")</f>
        <v>0</v>
      </c>
      <c r="H3235" s="83">
        <f t="shared" si="50"/>
        <v>27462.62</v>
      </c>
      <c r="I3235" s="83"/>
      <c r="K3235" s="54" t="s">
        <v>15</v>
      </c>
    </row>
    <row r="3236" spans="2:11" ht="41.25" x14ac:dyDescent="0.2">
      <c r="B3236" s="82" t="s">
        <v>5555</v>
      </c>
      <c r="C3236" s="82" t="s">
        <v>282</v>
      </c>
      <c r="D3236" s="83">
        <f>SUMIFS(D3237:D6462,K3237:K6462,"0",B3237:B6462,"5 1 1 5 4 12 31111 6 M59 30100 000132 0000R 00001 00154 015 2111100 2024 CP1OP405 001*")-SUMIFS(E3237:E6462,K3237:K6462,"0",B3237:B6462,"5 1 1 5 4 12 31111 6 M59 30100 000132 0000R 00001 00154 015 2111100 2024 CP1OP405 001*")</f>
        <v>0</v>
      </c>
      <c r="E3236" s="54"/>
      <c r="F3236" s="83">
        <f>SUMIFS(F3237:F6462,K3237:K6462,"0",B3237:B6462,"5 1 1 5 4 12 31111 6 M59 30100 000132 0000R 00001 00154 015 2111100 2024 CP1OP405 001*")</f>
        <v>27462.62</v>
      </c>
      <c r="G3236" s="83">
        <f>SUMIFS(G3237:G6462,K3237:K6462,"0",B3237:B6462,"5 1 1 5 4 12 31111 6 M59 30100 000132 0000R 00001 00154 015 2111100 2024 CP1OP405 001*")</f>
        <v>0</v>
      </c>
      <c r="H3236" s="83">
        <f t="shared" si="50"/>
        <v>27462.62</v>
      </c>
      <c r="I3236" s="83"/>
      <c r="K3236" s="54" t="s">
        <v>15</v>
      </c>
    </row>
    <row r="3237" spans="2:11" ht="33" x14ac:dyDescent="0.2">
      <c r="B3237" s="84" t="s">
        <v>5556</v>
      </c>
      <c r="C3237" s="84" t="s">
        <v>5429</v>
      </c>
      <c r="D3237" s="85">
        <v>0</v>
      </c>
      <c r="E3237" s="85"/>
      <c r="F3237" s="85">
        <v>5436</v>
      </c>
      <c r="G3237" s="85">
        <v>0</v>
      </c>
      <c r="H3237" s="85">
        <f t="shared" si="50"/>
        <v>5436</v>
      </c>
      <c r="I3237" s="85"/>
      <c r="K3237" s="54" t="s">
        <v>38</v>
      </c>
    </row>
    <row r="3238" spans="2:11" ht="33" x14ac:dyDescent="0.2">
      <c r="B3238" s="84" t="s">
        <v>5557</v>
      </c>
      <c r="C3238" s="84" t="s">
        <v>5431</v>
      </c>
      <c r="D3238" s="85">
        <v>0</v>
      </c>
      <c r="E3238" s="85"/>
      <c r="F3238" s="85">
        <v>22026.62</v>
      </c>
      <c r="G3238" s="85">
        <v>0</v>
      </c>
      <c r="H3238" s="85">
        <f t="shared" si="50"/>
        <v>22026.62</v>
      </c>
      <c r="I3238" s="85"/>
      <c r="K3238" s="54" t="s">
        <v>38</v>
      </c>
    </row>
    <row r="3239" spans="2:11" ht="16.5" x14ac:dyDescent="0.2">
      <c r="B3239" s="82" t="s">
        <v>5569</v>
      </c>
      <c r="C3239" s="82" t="s">
        <v>3281</v>
      </c>
      <c r="D3239" s="83">
        <f>SUMIFS(D3240:D6462,K3240:K6462,"0",B3240:B6462,"5 1 1 5 4 12 31111 6 M59 50000*")-SUMIFS(E3240:E6462,K3240:K6462,"0",B3240:B6462,"5 1 1 5 4 12 31111 6 M59 50000*")</f>
        <v>0</v>
      </c>
      <c r="E3239" s="54"/>
      <c r="F3239" s="83">
        <f>SUMIFS(F3240:F6462,K3240:K6462,"0",B3240:B6462,"5 1 1 5 4 12 31111 6 M59 50000*")</f>
        <v>85873.75</v>
      </c>
      <c r="G3239" s="83">
        <f>SUMIFS(G3240:G6462,K3240:K6462,"0",B3240:B6462,"5 1 1 5 4 12 31111 6 M59 50000*")</f>
        <v>0</v>
      </c>
      <c r="H3239" s="83">
        <f t="shared" si="50"/>
        <v>85873.75</v>
      </c>
      <c r="I3239" s="83"/>
      <c r="K3239" s="54" t="s">
        <v>15</v>
      </c>
    </row>
    <row r="3240" spans="2:11" ht="16.5" x14ac:dyDescent="0.2">
      <c r="B3240" s="82" t="s">
        <v>5570</v>
      </c>
      <c r="C3240" s="82" t="s">
        <v>3283</v>
      </c>
      <c r="D3240" s="83">
        <f>SUMIFS(D3241:D6462,K3241:K6462,"0",B3241:B6462,"5 1 1 5 4 12 31111 6 M59 50000 000223*")-SUMIFS(E3241:E6462,K3241:K6462,"0",B3241:B6462,"5 1 1 5 4 12 31111 6 M59 50000 000223*")</f>
        <v>0</v>
      </c>
      <c r="E3240" s="54"/>
      <c r="F3240" s="83">
        <f>SUMIFS(F3241:F6462,K3241:K6462,"0",B3241:B6462,"5 1 1 5 4 12 31111 6 M59 50000 000223*")</f>
        <v>85873.75</v>
      </c>
      <c r="G3240" s="83">
        <f>SUMIFS(G3241:G6462,K3241:K6462,"0",B3241:B6462,"5 1 1 5 4 12 31111 6 M59 50000 000223*")</f>
        <v>0</v>
      </c>
      <c r="H3240" s="83">
        <f t="shared" si="50"/>
        <v>85873.75</v>
      </c>
      <c r="I3240" s="83"/>
      <c r="K3240" s="54" t="s">
        <v>15</v>
      </c>
    </row>
    <row r="3241" spans="2:11" ht="16.5" x14ac:dyDescent="0.2">
      <c r="B3241" s="82" t="s">
        <v>5571</v>
      </c>
      <c r="C3241" s="82" t="s">
        <v>1065</v>
      </c>
      <c r="D3241" s="83">
        <f>SUMIFS(D3242:D6462,K3242:K6462,"0",B3242:B6462,"5 1 1 5 4 12 31111 6 M59 50000 000223 0000E*")-SUMIFS(E3242:E6462,K3242:K6462,"0",B3242:B6462,"5 1 1 5 4 12 31111 6 M59 50000 000223 0000E*")</f>
        <v>0</v>
      </c>
      <c r="E3241" s="54"/>
      <c r="F3241" s="83">
        <f>SUMIFS(F3242:F6462,K3242:K6462,"0",B3242:B6462,"5 1 1 5 4 12 31111 6 M59 50000 000223 0000E*")</f>
        <v>85873.75</v>
      </c>
      <c r="G3241" s="83">
        <f>SUMIFS(G3242:G6462,K3242:K6462,"0",B3242:B6462,"5 1 1 5 4 12 31111 6 M59 50000 000223 0000E*")</f>
        <v>0</v>
      </c>
      <c r="H3241" s="83">
        <f t="shared" si="50"/>
        <v>85873.75</v>
      </c>
      <c r="I3241" s="83"/>
      <c r="K3241" s="54" t="s">
        <v>15</v>
      </c>
    </row>
    <row r="3242" spans="2:11" ht="24.75" x14ac:dyDescent="0.2">
      <c r="B3242" s="82" t="s">
        <v>5572</v>
      </c>
      <c r="C3242" s="82" t="s">
        <v>282</v>
      </c>
      <c r="D3242" s="83">
        <f>SUMIFS(D3243:D6462,K3243:K6462,"0",B3243:B6462,"5 1 1 5 4 12 31111 6 M59 50000 000223 0000E 00001*")-SUMIFS(E3243:E6462,K3243:K6462,"0",B3243:B6462,"5 1 1 5 4 12 31111 6 M59 50000 000223 0000E 00001*")</f>
        <v>0</v>
      </c>
      <c r="E3242" s="54"/>
      <c r="F3242" s="83">
        <f>SUMIFS(F3243:F6462,K3243:K6462,"0",B3243:B6462,"5 1 1 5 4 12 31111 6 M59 50000 000223 0000E 00001*")</f>
        <v>85873.75</v>
      </c>
      <c r="G3242" s="83">
        <f>SUMIFS(G3243:G6462,K3243:K6462,"0",B3243:B6462,"5 1 1 5 4 12 31111 6 M59 50000 000223 0000E 00001*")</f>
        <v>0</v>
      </c>
      <c r="H3242" s="83">
        <f t="shared" si="50"/>
        <v>85873.75</v>
      </c>
      <c r="I3242" s="83"/>
      <c r="K3242" s="54" t="s">
        <v>15</v>
      </c>
    </row>
    <row r="3243" spans="2:11" ht="24.75" x14ac:dyDescent="0.2">
      <c r="B3243" s="82" t="s">
        <v>5573</v>
      </c>
      <c r="C3243" s="82" t="s">
        <v>5422</v>
      </c>
      <c r="D3243" s="83">
        <f>SUMIFS(D3244:D6462,K3244:K6462,"0",B3244:B6462,"5 1 1 5 4 12 31111 6 M59 50000 000223 0000E 00001 00154*")-SUMIFS(E3244:E6462,K3244:K6462,"0",B3244:B6462,"5 1 1 5 4 12 31111 6 M59 50000 000223 0000E 00001 00154*")</f>
        <v>0</v>
      </c>
      <c r="E3243" s="54"/>
      <c r="F3243" s="83">
        <f>SUMIFS(F3244:F6462,K3244:K6462,"0",B3244:B6462,"5 1 1 5 4 12 31111 6 M59 50000 000223 0000E 00001 00154*")</f>
        <v>85873.75</v>
      </c>
      <c r="G3243" s="83">
        <f>SUMIFS(G3244:G6462,K3244:K6462,"0",B3244:B6462,"5 1 1 5 4 12 31111 6 M59 50000 000223 0000E 00001 00154*")</f>
        <v>0</v>
      </c>
      <c r="H3243" s="83">
        <f t="shared" ref="H3243:H3306" si="51">D3243 + F3243 - G3243</f>
        <v>85873.75</v>
      </c>
      <c r="I3243" s="83"/>
      <c r="K3243" s="54" t="s">
        <v>15</v>
      </c>
    </row>
    <row r="3244" spans="2:11" ht="24.75" x14ac:dyDescent="0.2">
      <c r="B3244" s="82" t="s">
        <v>5574</v>
      </c>
      <c r="C3244" s="82" t="s">
        <v>1051</v>
      </c>
      <c r="D3244" s="83">
        <f>SUMIFS(D3245:D6462,K3245:K6462,"0",B3245:B6462,"5 1 1 5 4 12 31111 6 M59 50000 000223 0000E 00001 00154 015*")-SUMIFS(E3245:E6462,K3245:K6462,"0",B3245:B6462,"5 1 1 5 4 12 31111 6 M59 50000 000223 0000E 00001 00154 015*")</f>
        <v>0</v>
      </c>
      <c r="E3244" s="54"/>
      <c r="F3244" s="83">
        <f>SUMIFS(F3245:F6462,K3245:K6462,"0",B3245:B6462,"5 1 1 5 4 12 31111 6 M59 50000 000223 0000E 00001 00154 015*")</f>
        <v>85873.75</v>
      </c>
      <c r="G3244" s="83">
        <f>SUMIFS(G3245:G6462,K3245:K6462,"0",B3245:B6462,"5 1 1 5 4 12 31111 6 M59 50000 000223 0000E 00001 00154 015*")</f>
        <v>0</v>
      </c>
      <c r="H3244" s="83">
        <f t="shared" si="51"/>
        <v>85873.75</v>
      </c>
      <c r="I3244" s="83"/>
      <c r="K3244" s="54" t="s">
        <v>15</v>
      </c>
    </row>
    <row r="3245" spans="2:11" ht="33" x14ac:dyDescent="0.2">
      <c r="B3245" s="82" t="s">
        <v>5575</v>
      </c>
      <c r="C3245" s="82" t="s">
        <v>2927</v>
      </c>
      <c r="D3245" s="83">
        <f>SUMIFS(D3246:D6462,K3246:K6462,"0",B3246:B6462,"5 1 1 5 4 12 31111 6 M59 50000 000223 0000E 00001 00154 015 2111100*")-SUMIFS(E3246:E6462,K3246:K6462,"0",B3246:B6462,"5 1 1 5 4 12 31111 6 M59 50000 000223 0000E 00001 00154 015 2111100*")</f>
        <v>0</v>
      </c>
      <c r="E3245" s="54"/>
      <c r="F3245" s="83">
        <f>SUMIFS(F3246:F6462,K3246:K6462,"0",B3246:B6462,"5 1 1 5 4 12 31111 6 M59 50000 000223 0000E 00001 00154 015 2111100*")</f>
        <v>85873.75</v>
      </c>
      <c r="G3245" s="83">
        <f>SUMIFS(G3246:G6462,K3246:K6462,"0",B3246:B6462,"5 1 1 5 4 12 31111 6 M59 50000 000223 0000E 00001 00154 015 2111100*")</f>
        <v>0</v>
      </c>
      <c r="H3245" s="83">
        <f t="shared" si="51"/>
        <v>85873.75</v>
      </c>
      <c r="I3245" s="83"/>
      <c r="K3245" s="54" t="s">
        <v>15</v>
      </c>
    </row>
    <row r="3246" spans="2:11" ht="33" x14ac:dyDescent="0.2">
      <c r="B3246" s="82" t="s">
        <v>5576</v>
      </c>
      <c r="C3246" s="82" t="s">
        <v>660</v>
      </c>
      <c r="D3246" s="83">
        <f>SUMIFS(D3247:D6462,K3247:K6462,"0",B3247:B6462,"5 1 1 5 4 12 31111 6 M59 50000 000223 0000E 00001 00154 015 2111100 2024*")-SUMIFS(E3247:E6462,K3247:K6462,"0",B3247:B6462,"5 1 1 5 4 12 31111 6 M59 50000 000223 0000E 00001 00154 015 2111100 2024*")</f>
        <v>0</v>
      </c>
      <c r="E3246" s="54"/>
      <c r="F3246" s="83">
        <f>SUMIFS(F3247:F6462,K3247:K6462,"0",B3247:B6462,"5 1 1 5 4 12 31111 6 M59 50000 000223 0000E 00001 00154 015 2111100 2024*")</f>
        <v>85873.75</v>
      </c>
      <c r="G3246" s="83">
        <f>SUMIFS(G3247:G6462,K3247:K6462,"0",B3247:B6462,"5 1 1 5 4 12 31111 6 M59 50000 000223 0000E 00001 00154 015 2111100 2024*")</f>
        <v>0</v>
      </c>
      <c r="H3246" s="83">
        <f t="shared" si="51"/>
        <v>85873.75</v>
      </c>
      <c r="I3246" s="83"/>
      <c r="K3246" s="54" t="s">
        <v>15</v>
      </c>
    </row>
    <row r="3247" spans="2:11" ht="41.25" x14ac:dyDescent="0.2">
      <c r="B3247" s="82" t="s">
        <v>5577</v>
      </c>
      <c r="C3247" s="82" t="s">
        <v>662</v>
      </c>
      <c r="D3247" s="83">
        <f>SUMIFS(D3248:D6462,K3248:K6462,"0",B3248:B6462,"5 1 1 5 4 12 31111 6 M59 50000 000223 0000E 00001 00154 015 2111100 2024 CP1DA424*")-SUMIFS(E3248:E6462,K3248:K6462,"0",B3248:B6462,"5 1 1 5 4 12 31111 6 M59 50000 000223 0000E 00001 00154 015 2111100 2024 CP1DA424*")</f>
        <v>0</v>
      </c>
      <c r="E3247" s="54"/>
      <c r="F3247" s="83">
        <f>SUMIFS(F3248:F6462,K3248:K6462,"0",B3248:B6462,"5 1 1 5 4 12 31111 6 M59 50000 000223 0000E 00001 00154 015 2111100 2024 CP1DA424*")</f>
        <v>85873.75</v>
      </c>
      <c r="G3247" s="83">
        <f>SUMIFS(G3248:G6462,K3248:K6462,"0",B3248:B6462,"5 1 1 5 4 12 31111 6 M59 50000 000223 0000E 00001 00154 015 2111100 2024 CP1DA424*")</f>
        <v>0</v>
      </c>
      <c r="H3247" s="83">
        <f t="shared" si="51"/>
        <v>85873.75</v>
      </c>
      <c r="I3247" s="83"/>
      <c r="K3247" s="54" t="s">
        <v>15</v>
      </c>
    </row>
    <row r="3248" spans="2:11" ht="41.25" x14ac:dyDescent="0.2">
      <c r="B3248" s="82" t="s">
        <v>5578</v>
      </c>
      <c r="C3248" s="82" t="s">
        <v>282</v>
      </c>
      <c r="D3248" s="83">
        <f>SUMIFS(D3249:D6462,K3249:K6462,"0",B3249:B6462,"5 1 1 5 4 12 31111 6 M59 50000 000223 0000E 00001 00154 015 2111100 2024 CP1DA424 001*")-SUMIFS(E3249:E6462,K3249:K6462,"0",B3249:B6462,"5 1 1 5 4 12 31111 6 M59 50000 000223 0000E 00001 00154 015 2111100 2024 CP1DA424 001*")</f>
        <v>0</v>
      </c>
      <c r="E3248" s="54"/>
      <c r="F3248" s="83">
        <f>SUMIFS(F3249:F6462,K3249:K6462,"0",B3249:B6462,"5 1 1 5 4 12 31111 6 M59 50000 000223 0000E 00001 00154 015 2111100 2024 CP1DA424 001*")</f>
        <v>85873.75</v>
      </c>
      <c r="G3248" s="83">
        <f>SUMIFS(G3249:G6462,K3249:K6462,"0",B3249:B6462,"5 1 1 5 4 12 31111 6 M59 50000 000223 0000E 00001 00154 015 2111100 2024 CP1DA424 001*")</f>
        <v>0</v>
      </c>
      <c r="H3248" s="83">
        <f t="shared" si="51"/>
        <v>85873.75</v>
      </c>
      <c r="I3248" s="83"/>
      <c r="K3248" s="54" t="s">
        <v>15</v>
      </c>
    </row>
    <row r="3249" spans="2:11" ht="41.25" x14ac:dyDescent="0.2">
      <c r="B3249" s="84" t="s">
        <v>5579</v>
      </c>
      <c r="C3249" s="84" t="s">
        <v>5443</v>
      </c>
      <c r="D3249" s="85">
        <v>0</v>
      </c>
      <c r="E3249" s="85"/>
      <c r="F3249" s="85">
        <v>11508</v>
      </c>
      <c r="G3249" s="85">
        <v>0</v>
      </c>
      <c r="H3249" s="85">
        <f t="shared" si="51"/>
        <v>11508</v>
      </c>
      <c r="I3249" s="85"/>
      <c r="K3249" s="54" t="s">
        <v>38</v>
      </c>
    </row>
    <row r="3250" spans="2:11" ht="41.25" x14ac:dyDescent="0.2">
      <c r="B3250" s="84" t="s">
        <v>5580</v>
      </c>
      <c r="C3250" s="84" t="s">
        <v>5431</v>
      </c>
      <c r="D3250" s="85">
        <v>0</v>
      </c>
      <c r="E3250" s="85"/>
      <c r="F3250" s="85">
        <v>8551.2000000000007</v>
      </c>
      <c r="G3250" s="85">
        <v>0</v>
      </c>
      <c r="H3250" s="85">
        <f t="shared" si="51"/>
        <v>8551.2000000000007</v>
      </c>
      <c r="I3250" s="85"/>
      <c r="K3250" s="54" t="s">
        <v>38</v>
      </c>
    </row>
    <row r="3251" spans="2:11" ht="41.25" x14ac:dyDescent="0.2">
      <c r="B3251" s="84" t="s">
        <v>5581</v>
      </c>
      <c r="C3251" s="84" t="s">
        <v>5446</v>
      </c>
      <c r="D3251" s="85">
        <v>0</v>
      </c>
      <c r="E3251" s="85"/>
      <c r="F3251" s="85">
        <v>65814.55</v>
      </c>
      <c r="G3251" s="85">
        <v>0</v>
      </c>
      <c r="H3251" s="85">
        <f t="shared" si="51"/>
        <v>65814.55</v>
      </c>
      <c r="I3251" s="85"/>
      <c r="K3251" s="54" t="s">
        <v>38</v>
      </c>
    </row>
    <row r="3252" spans="2:11" ht="16.5" x14ac:dyDescent="0.2">
      <c r="B3252" s="82" t="s">
        <v>5582</v>
      </c>
      <c r="C3252" s="82" t="s">
        <v>1269</v>
      </c>
      <c r="D3252" s="83">
        <f>SUMIFS(D3253:D6462,K3253:K6462,"0",B3253:B6462,"5 1 1 5 4 12 31111 6 M59 60100*")-SUMIFS(E3253:E6462,K3253:K6462,"0",B3253:B6462,"5 1 1 5 4 12 31111 6 M59 60100*")</f>
        <v>0</v>
      </c>
      <c r="E3252" s="54"/>
      <c r="F3252" s="83">
        <f>SUMIFS(F3253:F6462,K3253:K6462,"0",B3253:B6462,"5 1 1 5 4 12 31111 6 M59 60100*")</f>
        <v>25832.379999999997</v>
      </c>
      <c r="G3252" s="83">
        <f>SUMIFS(G3253:G6462,K3253:K6462,"0",B3253:B6462,"5 1 1 5 4 12 31111 6 M59 60100*")</f>
        <v>0</v>
      </c>
      <c r="H3252" s="83">
        <f t="shared" si="51"/>
        <v>25832.379999999997</v>
      </c>
      <c r="I3252" s="83"/>
      <c r="K3252" s="54" t="s">
        <v>15</v>
      </c>
    </row>
    <row r="3253" spans="2:11" ht="16.5" x14ac:dyDescent="0.2">
      <c r="B3253" s="82" t="s">
        <v>5583</v>
      </c>
      <c r="C3253" s="82" t="s">
        <v>648</v>
      </c>
      <c r="D3253" s="83">
        <f>SUMIFS(D3254:D6462,K3254:K6462,"0",B3254:B6462,"5 1 1 5 4 12 31111 6 M59 60100 000132*")-SUMIFS(E3254:E6462,K3254:K6462,"0",B3254:B6462,"5 1 1 5 4 12 31111 6 M59 60100 000132*")</f>
        <v>0</v>
      </c>
      <c r="E3253" s="54"/>
      <c r="F3253" s="83">
        <f>SUMIFS(F3254:F6462,K3254:K6462,"0",B3254:B6462,"5 1 1 5 4 12 31111 6 M59 60100 000132*")</f>
        <v>25832.379999999997</v>
      </c>
      <c r="G3253" s="83">
        <f>SUMIFS(G3254:G6462,K3254:K6462,"0",B3254:B6462,"5 1 1 5 4 12 31111 6 M59 60100 000132*")</f>
        <v>0</v>
      </c>
      <c r="H3253" s="83">
        <f t="shared" si="51"/>
        <v>25832.379999999997</v>
      </c>
      <c r="I3253" s="83"/>
      <c r="K3253" s="54" t="s">
        <v>15</v>
      </c>
    </row>
    <row r="3254" spans="2:11" ht="16.5" x14ac:dyDescent="0.2">
      <c r="B3254" s="82" t="s">
        <v>5584</v>
      </c>
      <c r="C3254" s="82" t="s">
        <v>650</v>
      </c>
      <c r="D3254" s="83">
        <f>SUMIFS(D3255:D6462,K3255:K6462,"0",B3255:B6462,"5 1 1 5 4 12 31111 6 M59 60100 000132 0000R*")-SUMIFS(E3255:E6462,K3255:K6462,"0",B3255:B6462,"5 1 1 5 4 12 31111 6 M59 60100 000132 0000R*")</f>
        <v>0</v>
      </c>
      <c r="E3254" s="54"/>
      <c r="F3254" s="83">
        <f>SUMIFS(F3255:F6462,K3255:K6462,"0",B3255:B6462,"5 1 1 5 4 12 31111 6 M59 60100 000132 0000R*")</f>
        <v>25832.379999999997</v>
      </c>
      <c r="G3254" s="83">
        <f>SUMIFS(G3255:G6462,K3255:K6462,"0",B3255:B6462,"5 1 1 5 4 12 31111 6 M59 60100 000132 0000R*")</f>
        <v>0</v>
      </c>
      <c r="H3254" s="83">
        <f t="shared" si="51"/>
        <v>25832.379999999997</v>
      </c>
      <c r="I3254" s="83"/>
      <c r="K3254" s="54" t="s">
        <v>15</v>
      </c>
    </row>
    <row r="3255" spans="2:11" ht="24.75" x14ac:dyDescent="0.2">
      <c r="B3255" s="82" t="s">
        <v>5585</v>
      </c>
      <c r="C3255" s="82" t="s">
        <v>282</v>
      </c>
      <c r="D3255" s="83">
        <f>SUMIFS(D3256:D6462,K3256:K6462,"0",B3256:B6462,"5 1 1 5 4 12 31111 6 M59 60100 000132 0000R 00001*")-SUMIFS(E3256:E6462,K3256:K6462,"0",B3256:B6462,"5 1 1 5 4 12 31111 6 M59 60100 000132 0000R 00001*")</f>
        <v>0</v>
      </c>
      <c r="E3255" s="54"/>
      <c r="F3255" s="83">
        <f>SUMIFS(F3256:F6462,K3256:K6462,"0",B3256:B6462,"5 1 1 5 4 12 31111 6 M59 60100 000132 0000R 00001*")</f>
        <v>25832.379999999997</v>
      </c>
      <c r="G3255" s="83">
        <f>SUMIFS(G3256:G6462,K3256:K6462,"0",B3256:B6462,"5 1 1 5 4 12 31111 6 M59 60100 000132 0000R 00001*")</f>
        <v>0</v>
      </c>
      <c r="H3255" s="83">
        <f t="shared" si="51"/>
        <v>25832.379999999997</v>
      </c>
      <c r="I3255" s="83"/>
      <c r="K3255" s="54" t="s">
        <v>15</v>
      </c>
    </row>
    <row r="3256" spans="2:11" ht="24.75" x14ac:dyDescent="0.2">
      <c r="B3256" s="82" t="s">
        <v>5586</v>
      </c>
      <c r="C3256" s="82" t="s">
        <v>5422</v>
      </c>
      <c r="D3256" s="83">
        <f>SUMIFS(D3257:D6462,K3257:K6462,"0",B3257:B6462,"5 1 1 5 4 12 31111 6 M59 60100 000132 0000R 00001 00154*")-SUMIFS(E3257:E6462,K3257:K6462,"0",B3257:B6462,"5 1 1 5 4 12 31111 6 M59 60100 000132 0000R 00001 00154*")</f>
        <v>0</v>
      </c>
      <c r="E3256" s="54"/>
      <c r="F3256" s="83">
        <f>SUMIFS(F3257:F6462,K3257:K6462,"0",B3257:B6462,"5 1 1 5 4 12 31111 6 M59 60100 000132 0000R 00001 00154*")</f>
        <v>25832.379999999997</v>
      </c>
      <c r="G3256" s="83">
        <f>SUMIFS(G3257:G6462,K3257:K6462,"0",B3257:B6462,"5 1 1 5 4 12 31111 6 M59 60100 000132 0000R 00001 00154*")</f>
        <v>0</v>
      </c>
      <c r="H3256" s="83">
        <f t="shared" si="51"/>
        <v>25832.379999999997</v>
      </c>
      <c r="I3256" s="83"/>
      <c r="K3256" s="54" t="s">
        <v>15</v>
      </c>
    </row>
    <row r="3257" spans="2:11" ht="24.75" x14ac:dyDescent="0.2">
      <c r="B3257" s="82" t="s">
        <v>5587</v>
      </c>
      <c r="C3257" s="82" t="s">
        <v>1051</v>
      </c>
      <c r="D3257" s="83">
        <f>SUMIFS(D3258:D6462,K3258:K6462,"0",B3258:B6462,"5 1 1 5 4 12 31111 6 M59 60100 000132 0000R 00001 00154 015*")-SUMIFS(E3258:E6462,K3258:K6462,"0",B3258:B6462,"5 1 1 5 4 12 31111 6 M59 60100 000132 0000R 00001 00154 015*")</f>
        <v>0</v>
      </c>
      <c r="E3257" s="54"/>
      <c r="F3257" s="83">
        <f>SUMIFS(F3258:F6462,K3258:K6462,"0",B3258:B6462,"5 1 1 5 4 12 31111 6 M59 60100 000132 0000R 00001 00154 015*")</f>
        <v>25832.379999999997</v>
      </c>
      <c r="G3257" s="83">
        <f>SUMIFS(G3258:G6462,K3258:K6462,"0",B3258:B6462,"5 1 1 5 4 12 31111 6 M59 60100 000132 0000R 00001 00154 015*")</f>
        <v>0</v>
      </c>
      <c r="H3257" s="83">
        <f t="shared" si="51"/>
        <v>25832.379999999997</v>
      </c>
      <c r="I3257" s="83"/>
      <c r="K3257" s="54" t="s">
        <v>15</v>
      </c>
    </row>
    <row r="3258" spans="2:11" ht="33" x14ac:dyDescent="0.2">
      <c r="B3258" s="82" t="s">
        <v>5588</v>
      </c>
      <c r="C3258" s="82" t="s">
        <v>2927</v>
      </c>
      <c r="D3258" s="83">
        <f>SUMIFS(D3259:D6462,K3259:K6462,"0",B3259:B6462,"5 1 1 5 4 12 31111 6 M59 60100 000132 0000R 00001 00154 015 2111100*")-SUMIFS(E3259:E6462,K3259:K6462,"0",B3259:B6462,"5 1 1 5 4 12 31111 6 M59 60100 000132 0000R 00001 00154 015 2111100*")</f>
        <v>0</v>
      </c>
      <c r="E3258" s="54"/>
      <c r="F3258" s="83">
        <f>SUMIFS(F3259:F6462,K3259:K6462,"0",B3259:B6462,"5 1 1 5 4 12 31111 6 M59 60100 000132 0000R 00001 00154 015 2111100*")</f>
        <v>25832.379999999997</v>
      </c>
      <c r="G3258" s="83">
        <f>SUMIFS(G3259:G6462,K3259:K6462,"0",B3259:B6462,"5 1 1 5 4 12 31111 6 M59 60100 000132 0000R 00001 00154 015 2111100*")</f>
        <v>0</v>
      </c>
      <c r="H3258" s="83">
        <f t="shared" si="51"/>
        <v>25832.379999999997</v>
      </c>
      <c r="I3258" s="83"/>
      <c r="K3258" s="54" t="s">
        <v>15</v>
      </c>
    </row>
    <row r="3259" spans="2:11" ht="33" x14ac:dyDescent="0.2">
      <c r="B3259" s="82" t="s">
        <v>5589</v>
      </c>
      <c r="C3259" s="82" t="s">
        <v>660</v>
      </c>
      <c r="D3259" s="83">
        <f>SUMIFS(D3260:D6462,K3260:K6462,"0",B3260:B6462,"5 1 1 5 4 12 31111 6 M59 60100 000132 0000R 00001 00154 015 2111100 2024*")-SUMIFS(E3260:E6462,K3260:K6462,"0",B3260:B6462,"5 1 1 5 4 12 31111 6 M59 60100 000132 0000R 00001 00154 015 2111100 2024*")</f>
        <v>0</v>
      </c>
      <c r="E3259" s="54"/>
      <c r="F3259" s="83">
        <f>SUMIFS(F3260:F6462,K3260:K6462,"0",B3260:B6462,"5 1 1 5 4 12 31111 6 M59 60100 000132 0000R 00001 00154 015 2111100 2024*")</f>
        <v>25832.379999999997</v>
      </c>
      <c r="G3259" s="83">
        <f>SUMIFS(G3260:G6462,K3260:K6462,"0",B3260:B6462,"5 1 1 5 4 12 31111 6 M59 60100 000132 0000R 00001 00154 015 2111100 2024*")</f>
        <v>0</v>
      </c>
      <c r="H3259" s="83">
        <f t="shared" si="51"/>
        <v>25832.379999999997</v>
      </c>
      <c r="I3259" s="83"/>
      <c r="K3259" s="54" t="s">
        <v>15</v>
      </c>
    </row>
    <row r="3260" spans="2:11" ht="41.25" x14ac:dyDescent="0.2">
      <c r="B3260" s="82" t="s">
        <v>5590</v>
      </c>
      <c r="C3260" s="82" t="s">
        <v>1056</v>
      </c>
      <c r="D3260" s="83">
        <f>SUMIFS(D3261:D6462,K3261:K6462,"0",B3261:B6462,"5 1 1 5 4 12 31111 6 M59 60100 000132 0000R 00001 00154 015 2111100 2024 CP1DM394*")-SUMIFS(E3261:E6462,K3261:K6462,"0",B3261:B6462,"5 1 1 5 4 12 31111 6 M59 60100 000132 0000R 00001 00154 015 2111100 2024 CP1DM394*")</f>
        <v>0</v>
      </c>
      <c r="E3260" s="54"/>
      <c r="F3260" s="83">
        <f>SUMIFS(F3261:F6462,K3261:K6462,"0",B3261:B6462,"5 1 1 5 4 12 31111 6 M59 60100 000132 0000R 00001 00154 015 2111100 2024 CP1DM394*")</f>
        <v>25832.379999999997</v>
      </c>
      <c r="G3260" s="83">
        <f>SUMIFS(G3261:G6462,K3261:K6462,"0",B3261:B6462,"5 1 1 5 4 12 31111 6 M59 60100 000132 0000R 00001 00154 015 2111100 2024 CP1DM394*")</f>
        <v>0</v>
      </c>
      <c r="H3260" s="83">
        <f t="shared" si="51"/>
        <v>25832.379999999997</v>
      </c>
      <c r="I3260" s="83"/>
      <c r="K3260" s="54" t="s">
        <v>15</v>
      </c>
    </row>
    <row r="3261" spans="2:11" ht="41.25" x14ac:dyDescent="0.2">
      <c r="B3261" s="82" t="s">
        <v>5591</v>
      </c>
      <c r="C3261" s="82" t="s">
        <v>282</v>
      </c>
      <c r="D3261" s="83">
        <f>SUMIFS(D3262:D6462,K3262:K6462,"0",B3262:B6462,"5 1 1 5 4 12 31111 6 M59 60100 000132 0000R 00001 00154 015 2111100 2024 CP1DM394 001*")-SUMIFS(E3262:E6462,K3262:K6462,"0",B3262:B6462,"5 1 1 5 4 12 31111 6 M59 60100 000132 0000R 00001 00154 015 2111100 2024 CP1DM394 001*")</f>
        <v>0</v>
      </c>
      <c r="E3261" s="54"/>
      <c r="F3261" s="83">
        <f>SUMIFS(F3262:F6462,K3262:K6462,"0",B3262:B6462,"5 1 1 5 4 12 31111 6 M59 60100 000132 0000R 00001 00154 015 2111100 2024 CP1DM394 001*")</f>
        <v>25832.379999999997</v>
      </c>
      <c r="G3261" s="83">
        <f>SUMIFS(G3262:G6462,K3262:K6462,"0",B3262:B6462,"5 1 1 5 4 12 31111 6 M59 60100 000132 0000R 00001 00154 015 2111100 2024 CP1DM394 001*")</f>
        <v>0</v>
      </c>
      <c r="H3261" s="83">
        <f t="shared" si="51"/>
        <v>25832.379999999997</v>
      </c>
      <c r="I3261" s="83"/>
      <c r="K3261" s="54" t="s">
        <v>15</v>
      </c>
    </row>
    <row r="3262" spans="2:11" ht="33" x14ac:dyDescent="0.2">
      <c r="B3262" s="84" t="s">
        <v>5592</v>
      </c>
      <c r="C3262" s="84" t="s">
        <v>5443</v>
      </c>
      <c r="D3262" s="85">
        <v>0</v>
      </c>
      <c r="E3262" s="85"/>
      <c r="F3262" s="85">
        <v>3672</v>
      </c>
      <c r="G3262" s="85">
        <v>0</v>
      </c>
      <c r="H3262" s="85">
        <f t="shared" si="51"/>
        <v>3672</v>
      </c>
      <c r="I3262" s="85"/>
      <c r="K3262" s="54" t="s">
        <v>38</v>
      </c>
    </row>
    <row r="3263" spans="2:11" ht="33" x14ac:dyDescent="0.2">
      <c r="B3263" s="84" t="s">
        <v>5593</v>
      </c>
      <c r="C3263" s="84" t="s">
        <v>5431</v>
      </c>
      <c r="D3263" s="85">
        <v>0</v>
      </c>
      <c r="E3263" s="85"/>
      <c r="F3263" s="85">
        <v>4433.76</v>
      </c>
      <c r="G3263" s="85">
        <v>0</v>
      </c>
      <c r="H3263" s="85">
        <f t="shared" si="51"/>
        <v>4433.76</v>
      </c>
      <c r="I3263" s="85"/>
      <c r="K3263" s="54" t="s">
        <v>38</v>
      </c>
    </row>
    <row r="3264" spans="2:11" ht="33" x14ac:dyDescent="0.2">
      <c r="B3264" s="84" t="s">
        <v>5594</v>
      </c>
      <c r="C3264" s="84" t="s">
        <v>5446</v>
      </c>
      <c r="D3264" s="85">
        <v>0</v>
      </c>
      <c r="E3264" s="85"/>
      <c r="F3264" s="85">
        <v>17726.62</v>
      </c>
      <c r="G3264" s="85">
        <v>0</v>
      </c>
      <c r="H3264" s="85">
        <f t="shared" si="51"/>
        <v>17726.62</v>
      </c>
      <c r="I3264" s="85"/>
      <c r="K3264" s="54" t="s">
        <v>38</v>
      </c>
    </row>
    <row r="3265" spans="2:11" ht="16.5" x14ac:dyDescent="0.2">
      <c r="B3265" s="82" t="s">
        <v>5595</v>
      </c>
      <c r="C3265" s="82" t="s">
        <v>3341</v>
      </c>
      <c r="D3265" s="83">
        <f>SUMIFS(D3266:D6462,K3266:K6462,"0",B3266:B6462,"5 1 1 5 4 12 31111 6 M59 63000*")-SUMIFS(E3266:E6462,K3266:K6462,"0",B3266:B6462,"5 1 1 5 4 12 31111 6 M59 63000*")</f>
        <v>0</v>
      </c>
      <c r="E3265" s="54"/>
      <c r="F3265" s="83">
        <f>SUMIFS(F3266:F6462,K3266:K6462,"0",B3266:B6462,"5 1 1 5 4 12 31111 6 M59 63000*")</f>
        <v>9854.99</v>
      </c>
      <c r="G3265" s="83">
        <f>SUMIFS(G3266:G6462,K3266:K6462,"0",B3266:B6462,"5 1 1 5 4 12 31111 6 M59 63000*")</f>
        <v>0</v>
      </c>
      <c r="H3265" s="83">
        <f t="shared" si="51"/>
        <v>9854.99</v>
      </c>
      <c r="I3265" s="83"/>
      <c r="K3265" s="54" t="s">
        <v>15</v>
      </c>
    </row>
    <row r="3266" spans="2:11" ht="16.5" x14ac:dyDescent="0.2">
      <c r="B3266" s="82" t="s">
        <v>5596</v>
      </c>
      <c r="C3266" s="82" t="s">
        <v>648</v>
      </c>
      <c r="D3266" s="83">
        <f>SUMIFS(D3267:D6462,K3267:K6462,"0",B3267:B6462,"5 1 1 5 4 12 31111 6 M59 63000 000132*")-SUMIFS(E3267:E6462,K3267:K6462,"0",B3267:B6462,"5 1 1 5 4 12 31111 6 M59 63000 000132*")</f>
        <v>0</v>
      </c>
      <c r="E3266" s="54"/>
      <c r="F3266" s="83">
        <f>SUMIFS(F3267:F6462,K3267:K6462,"0",B3267:B6462,"5 1 1 5 4 12 31111 6 M59 63000 000132*")</f>
        <v>9854.99</v>
      </c>
      <c r="G3266" s="83">
        <f>SUMIFS(G3267:G6462,K3267:K6462,"0",B3267:B6462,"5 1 1 5 4 12 31111 6 M59 63000 000132*")</f>
        <v>0</v>
      </c>
      <c r="H3266" s="83">
        <f t="shared" si="51"/>
        <v>9854.99</v>
      </c>
      <c r="I3266" s="83"/>
      <c r="K3266" s="54" t="s">
        <v>15</v>
      </c>
    </row>
    <row r="3267" spans="2:11" ht="16.5" x14ac:dyDescent="0.2">
      <c r="B3267" s="82" t="s">
        <v>5597</v>
      </c>
      <c r="C3267" s="82" t="s">
        <v>650</v>
      </c>
      <c r="D3267" s="83">
        <f>SUMIFS(D3268:D6462,K3268:K6462,"0",B3268:B6462,"5 1 1 5 4 12 31111 6 M59 63000 000132 0000R*")-SUMIFS(E3268:E6462,K3268:K6462,"0",B3268:B6462,"5 1 1 5 4 12 31111 6 M59 63000 000132 0000R*")</f>
        <v>0</v>
      </c>
      <c r="E3267" s="54"/>
      <c r="F3267" s="83">
        <f>SUMIFS(F3268:F6462,K3268:K6462,"0",B3268:B6462,"5 1 1 5 4 12 31111 6 M59 63000 000132 0000R*")</f>
        <v>9854.99</v>
      </c>
      <c r="G3267" s="83">
        <f>SUMIFS(G3268:G6462,K3268:K6462,"0",B3268:B6462,"5 1 1 5 4 12 31111 6 M59 63000 000132 0000R*")</f>
        <v>0</v>
      </c>
      <c r="H3267" s="83">
        <f t="shared" si="51"/>
        <v>9854.99</v>
      </c>
      <c r="I3267" s="83"/>
      <c r="K3267" s="54" t="s">
        <v>15</v>
      </c>
    </row>
    <row r="3268" spans="2:11" ht="24.75" x14ac:dyDescent="0.2">
      <c r="B3268" s="82" t="s">
        <v>5598</v>
      </c>
      <c r="C3268" s="82" t="s">
        <v>282</v>
      </c>
      <c r="D3268" s="83">
        <f>SUMIFS(D3269:D6462,K3269:K6462,"0",B3269:B6462,"5 1 1 5 4 12 31111 6 M59 63000 000132 0000R 00001*")-SUMIFS(E3269:E6462,K3269:K6462,"0",B3269:B6462,"5 1 1 5 4 12 31111 6 M59 63000 000132 0000R 00001*")</f>
        <v>0</v>
      </c>
      <c r="E3268" s="54"/>
      <c r="F3268" s="83">
        <f>SUMIFS(F3269:F6462,K3269:K6462,"0",B3269:B6462,"5 1 1 5 4 12 31111 6 M59 63000 000132 0000R 00001*")</f>
        <v>9854.99</v>
      </c>
      <c r="G3268" s="83">
        <f>SUMIFS(G3269:G6462,K3269:K6462,"0",B3269:B6462,"5 1 1 5 4 12 31111 6 M59 63000 000132 0000R 00001*")</f>
        <v>0</v>
      </c>
      <c r="H3268" s="83">
        <f t="shared" si="51"/>
        <v>9854.99</v>
      </c>
      <c r="I3268" s="83"/>
      <c r="K3268" s="54" t="s">
        <v>15</v>
      </c>
    </row>
    <row r="3269" spans="2:11" ht="24.75" x14ac:dyDescent="0.2">
      <c r="B3269" s="82" t="s">
        <v>5599</v>
      </c>
      <c r="C3269" s="82" t="s">
        <v>5422</v>
      </c>
      <c r="D3269" s="83">
        <f>SUMIFS(D3270:D6462,K3270:K6462,"0",B3270:B6462,"5 1 1 5 4 12 31111 6 M59 63000 000132 0000R 00001 00154*")-SUMIFS(E3270:E6462,K3270:K6462,"0",B3270:B6462,"5 1 1 5 4 12 31111 6 M59 63000 000132 0000R 00001 00154*")</f>
        <v>0</v>
      </c>
      <c r="E3269" s="54"/>
      <c r="F3269" s="83">
        <f>SUMIFS(F3270:F6462,K3270:K6462,"0",B3270:B6462,"5 1 1 5 4 12 31111 6 M59 63000 000132 0000R 00001 00154*")</f>
        <v>9854.99</v>
      </c>
      <c r="G3269" s="83">
        <f>SUMIFS(G3270:G6462,K3270:K6462,"0",B3270:B6462,"5 1 1 5 4 12 31111 6 M59 63000 000132 0000R 00001 00154*")</f>
        <v>0</v>
      </c>
      <c r="H3269" s="83">
        <f t="shared" si="51"/>
        <v>9854.99</v>
      </c>
      <c r="I3269" s="83"/>
      <c r="K3269" s="54" t="s">
        <v>15</v>
      </c>
    </row>
    <row r="3270" spans="2:11" ht="24.75" x14ac:dyDescent="0.2">
      <c r="B3270" s="82" t="s">
        <v>5600</v>
      </c>
      <c r="C3270" s="82" t="s">
        <v>1051</v>
      </c>
      <c r="D3270" s="83">
        <f>SUMIFS(D3271:D6462,K3271:K6462,"0",B3271:B6462,"5 1 1 5 4 12 31111 6 M59 63000 000132 0000R 00001 00154 015*")-SUMIFS(E3271:E6462,K3271:K6462,"0",B3271:B6462,"5 1 1 5 4 12 31111 6 M59 63000 000132 0000R 00001 00154 015*")</f>
        <v>0</v>
      </c>
      <c r="E3270" s="54"/>
      <c r="F3270" s="83">
        <f>SUMIFS(F3271:F6462,K3271:K6462,"0",B3271:B6462,"5 1 1 5 4 12 31111 6 M59 63000 000132 0000R 00001 00154 015*")</f>
        <v>9854.99</v>
      </c>
      <c r="G3270" s="83">
        <f>SUMIFS(G3271:G6462,K3271:K6462,"0",B3271:B6462,"5 1 1 5 4 12 31111 6 M59 63000 000132 0000R 00001 00154 015*")</f>
        <v>0</v>
      </c>
      <c r="H3270" s="83">
        <f t="shared" si="51"/>
        <v>9854.99</v>
      </c>
      <c r="I3270" s="83"/>
      <c r="K3270" s="54" t="s">
        <v>15</v>
      </c>
    </row>
    <row r="3271" spans="2:11" ht="33" x14ac:dyDescent="0.2">
      <c r="B3271" s="82" t="s">
        <v>5601</v>
      </c>
      <c r="C3271" s="82" t="s">
        <v>2927</v>
      </c>
      <c r="D3271" s="83">
        <f>SUMIFS(D3272:D6462,K3272:K6462,"0",B3272:B6462,"5 1 1 5 4 12 31111 6 M59 63000 000132 0000R 00001 00154 015 2111100*")-SUMIFS(E3272:E6462,K3272:K6462,"0",B3272:B6462,"5 1 1 5 4 12 31111 6 M59 63000 000132 0000R 00001 00154 015 2111100*")</f>
        <v>0</v>
      </c>
      <c r="E3271" s="54"/>
      <c r="F3271" s="83">
        <f>SUMIFS(F3272:F6462,K3272:K6462,"0",B3272:B6462,"5 1 1 5 4 12 31111 6 M59 63000 000132 0000R 00001 00154 015 2111100*")</f>
        <v>9854.99</v>
      </c>
      <c r="G3271" s="83">
        <f>SUMIFS(G3272:G6462,K3272:K6462,"0",B3272:B6462,"5 1 1 5 4 12 31111 6 M59 63000 000132 0000R 00001 00154 015 2111100*")</f>
        <v>0</v>
      </c>
      <c r="H3271" s="83">
        <f t="shared" si="51"/>
        <v>9854.99</v>
      </c>
      <c r="I3271" s="83"/>
      <c r="K3271" s="54" t="s">
        <v>15</v>
      </c>
    </row>
    <row r="3272" spans="2:11" ht="33" x14ac:dyDescent="0.2">
      <c r="B3272" s="82" t="s">
        <v>5602</v>
      </c>
      <c r="C3272" s="82" t="s">
        <v>660</v>
      </c>
      <c r="D3272" s="83">
        <f>SUMIFS(D3273:D6462,K3273:K6462,"0",B3273:B6462,"5 1 1 5 4 12 31111 6 M59 63000 000132 0000R 00001 00154 015 2111100 2024*")-SUMIFS(E3273:E6462,K3273:K6462,"0",B3273:B6462,"5 1 1 5 4 12 31111 6 M59 63000 000132 0000R 00001 00154 015 2111100 2024*")</f>
        <v>0</v>
      </c>
      <c r="E3272" s="54"/>
      <c r="F3272" s="83">
        <f>SUMIFS(F3273:F6462,K3273:K6462,"0",B3273:B6462,"5 1 1 5 4 12 31111 6 M59 63000 000132 0000R 00001 00154 015 2111100 2024*")</f>
        <v>9854.99</v>
      </c>
      <c r="G3272" s="83">
        <f>SUMIFS(G3273:G6462,K3273:K6462,"0",B3273:B6462,"5 1 1 5 4 12 31111 6 M59 63000 000132 0000R 00001 00154 015 2111100 2024*")</f>
        <v>0</v>
      </c>
      <c r="H3272" s="83">
        <f t="shared" si="51"/>
        <v>9854.99</v>
      </c>
      <c r="I3272" s="83"/>
      <c r="K3272" s="54" t="s">
        <v>15</v>
      </c>
    </row>
    <row r="3273" spans="2:11" ht="41.25" x14ac:dyDescent="0.2">
      <c r="B3273" s="82" t="s">
        <v>5603</v>
      </c>
      <c r="C3273" s="82" t="s">
        <v>1056</v>
      </c>
      <c r="D3273" s="83">
        <f>SUMIFS(D3274:D6462,K3274:K6462,"0",B3274:B6462,"5 1 1 5 4 12 31111 6 M59 63000 000132 0000R 00001 00154 015 2111100 2024 CP1PR434*")-SUMIFS(E3274:E6462,K3274:K6462,"0",B3274:B6462,"5 1 1 5 4 12 31111 6 M59 63000 000132 0000R 00001 00154 015 2111100 2024 CP1PR434*")</f>
        <v>0</v>
      </c>
      <c r="E3273" s="54"/>
      <c r="F3273" s="83">
        <f>SUMIFS(F3274:F6462,K3274:K6462,"0",B3274:B6462,"5 1 1 5 4 12 31111 6 M59 63000 000132 0000R 00001 00154 015 2111100 2024 CP1PR434*")</f>
        <v>9854.99</v>
      </c>
      <c r="G3273" s="83">
        <f>SUMIFS(G3274:G6462,K3274:K6462,"0",B3274:B6462,"5 1 1 5 4 12 31111 6 M59 63000 000132 0000R 00001 00154 015 2111100 2024 CP1PR434*")</f>
        <v>0</v>
      </c>
      <c r="H3273" s="83">
        <f t="shared" si="51"/>
        <v>9854.99</v>
      </c>
      <c r="I3273" s="83"/>
      <c r="K3273" s="54" t="s">
        <v>15</v>
      </c>
    </row>
    <row r="3274" spans="2:11" ht="41.25" x14ac:dyDescent="0.2">
      <c r="B3274" s="82" t="s">
        <v>5604</v>
      </c>
      <c r="C3274" s="82" t="s">
        <v>282</v>
      </c>
      <c r="D3274" s="83">
        <f>SUMIFS(D3275:D6462,K3275:K6462,"0",B3275:B6462,"5 1 1 5 4 12 31111 6 M59 63000 000132 0000R 00001 00154 015 2111100 2024 CP1PR434 001*")-SUMIFS(E3275:E6462,K3275:K6462,"0",B3275:B6462,"5 1 1 5 4 12 31111 6 M59 63000 000132 0000R 00001 00154 015 2111100 2024 CP1PR434 001*")</f>
        <v>0</v>
      </c>
      <c r="E3274" s="54"/>
      <c r="F3274" s="83">
        <f>SUMIFS(F3275:F6462,K3275:K6462,"0",B3275:B6462,"5 1 1 5 4 12 31111 6 M59 63000 000132 0000R 00001 00154 015 2111100 2024 CP1PR434 001*")</f>
        <v>9854.99</v>
      </c>
      <c r="G3274" s="83">
        <f>SUMIFS(G3275:G6462,K3275:K6462,"0",B3275:B6462,"5 1 1 5 4 12 31111 6 M59 63000 000132 0000R 00001 00154 015 2111100 2024 CP1PR434 001*")</f>
        <v>0</v>
      </c>
      <c r="H3274" s="83">
        <f t="shared" si="51"/>
        <v>9854.99</v>
      </c>
      <c r="I3274" s="83"/>
      <c r="K3274" s="54" t="s">
        <v>15</v>
      </c>
    </row>
    <row r="3275" spans="2:11" ht="41.25" x14ac:dyDescent="0.2">
      <c r="B3275" s="84" t="s">
        <v>5605</v>
      </c>
      <c r="C3275" s="84" t="s">
        <v>5431</v>
      </c>
      <c r="D3275" s="85">
        <v>0</v>
      </c>
      <c r="E3275" s="85"/>
      <c r="F3275" s="85">
        <v>5004.99</v>
      </c>
      <c r="G3275" s="85">
        <v>0</v>
      </c>
      <c r="H3275" s="85">
        <f t="shared" si="51"/>
        <v>5004.99</v>
      </c>
      <c r="I3275" s="85"/>
      <c r="K3275" s="54" t="s">
        <v>38</v>
      </c>
    </row>
    <row r="3276" spans="2:11" ht="41.25" x14ac:dyDescent="0.2">
      <c r="B3276" s="84" t="s">
        <v>5606</v>
      </c>
      <c r="C3276" s="84" t="s">
        <v>5443</v>
      </c>
      <c r="D3276" s="85">
        <v>0</v>
      </c>
      <c r="E3276" s="85"/>
      <c r="F3276" s="85">
        <v>4850</v>
      </c>
      <c r="G3276" s="85">
        <v>0</v>
      </c>
      <c r="H3276" s="85">
        <f t="shared" si="51"/>
        <v>4850</v>
      </c>
      <c r="I3276" s="85"/>
      <c r="K3276" s="54" t="s">
        <v>38</v>
      </c>
    </row>
    <row r="3277" spans="2:11" ht="16.5" x14ac:dyDescent="0.2">
      <c r="B3277" s="82" t="s">
        <v>5607</v>
      </c>
      <c r="C3277" s="82" t="s">
        <v>3377</v>
      </c>
      <c r="D3277" s="83">
        <f>SUMIFS(D3278:D6462,K3278:K6462,"0",B3278:B6462,"5 1 1 5 4 12 31111 6 M59 70000*")-SUMIFS(E3278:E6462,K3278:K6462,"0",B3278:B6462,"5 1 1 5 4 12 31111 6 M59 70000*")</f>
        <v>0</v>
      </c>
      <c r="E3277" s="54"/>
      <c r="F3277" s="83">
        <f>SUMIFS(F3278:F6462,K3278:K6462,"0",B3278:B6462,"5 1 1 5 4 12 31111 6 M59 70000*")</f>
        <v>14675.63</v>
      </c>
      <c r="G3277" s="83">
        <f>SUMIFS(G3278:G6462,K3278:K6462,"0",B3278:B6462,"5 1 1 5 4 12 31111 6 M59 70000*")</f>
        <v>0</v>
      </c>
      <c r="H3277" s="83">
        <f t="shared" si="51"/>
        <v>14675.63</v>
      </c>
      <c r="I3277" s="83"/>
      <c r="K3277" s="54" t="s">
        <v>15</v>
      </c>
    </row>
    <row r="3278" spans="2:11" ht="16.5" x14ac:dyDescent="0.2">
      <c r="B3278" s="82" t="s">
        <v>5608</v>
      </c>
      <c r="C3278" s="82" t="s">
        <v>648</v>
      </c>
      <c r="D3278" s="83">
        <f>SUMIFS(D3279:D6462,K3279:K6462,"0",B3279:B6462,"5 1 1 5 4 12 31111 6 M59 70000 000132*")-SUMIFS(E3279:E6462,K3279:K6462,"0",B3279:B6462,"5 1 1 5 4 12 31111 6 M59 70000 000132*")</f>
        <v>0</v>
      </c>
      <c r="E3278" s="54"/>
      <c r="F3278" s="83">
        <f>SUMIFS(F3279:F6462,K3279:K6462,"0",B3279:B6462,"5 1 1 5 4 12 31111 6 M59 70000 000132*")</f>
        <v>14675.63</v>
      </c>
      <c r="G3278" s="83">
        <f>SUMIFS(G3279:G6462,K3279:K6462,"0",B3279:B6462,"5 1 1 5 4 12 31111 6 M59 70000 000132*")</f>
        <v>0</v>
      </c>
      <c r="H3278" s="83">
        <f t="shared" si="51"/>
        <v>14675.63</v>
      </c>
      <c r="I3278" s="83"/>
      <c r="K3278" s="54" t="s">
        <v>15</v>
      </c>
    </row>
    <row r="3279" spans="2:11" ht="16.5" x14ac:dyDescent="0.2">
      <c r="B3279" s="82" t="s">
        <v>5609</v>
      </c>
      <c r="C3279" s="82" t="s">
        <v>650</v>
      </c>
      <c r="D3279" s="83">
        <f>SUMIFS(D3280:D6462,K3280:K6462,"0",B3280:B6462,"5 1 1 5 4 12 31111 6 M59 70000 000132 0000R*")-SUMIFS(E3280:E6462,K3280:K6462,"0",B3280:B6462,"5 1 1 5 4 12 31111 6 M59 70000 000132 0000R*")</f>
        <v>0</v>
      </c>
      <c r="E3279" s="54"/>
      <c r="F3279" s="83">
        <f>SUMIFS(F3280:F6462,K3280:K6462,"0",B3280:B6462,"5 1 1 5 4 12 31111 6 M59 70000 000132 0000R*")</f>
        <v>14675.63</v>
      </c>
      <c r="G3279" s="83">
        <f>SUMIFS(G3280:G6462,K3280:K6462,"0",B3280:B6462,"5 1 1 5 4 12 31111 6 M59 70000 000132 0000R*")</f>
        <v>0</v>
      </c>
      <c r="H3279" s="83">
        <f t="shared" si="51"/>
        <v>14675.63</v>
      </c>
      <c r="I3279" s="83"/>
      <c r="K3279" s="54" t="s">
        <v>15</v>
      </c>
    </row>
    <row r="3280" spans="2:11" ht="24.75" x14ac:dyDescent="0.2">
      <c r="B3280" s="82" t="s">
        <v>5610</v>
      </c>
      <c r="C3280" s="82" t="s">
        <v>282</v>
      </c>
      <c r="D3280" s="83">
        <f>SUMIFS(D3281:D6462,K3281:K6462,"0",B3281:B6462,"5 1 1 5 4 12 31111 6 M59 70000 000132 0000R 00001*")-SUMIFS(E3281:E6462,K3281:K6462,"0",B3281:B6462,"5 1 1 5 4 12 31111 6 M59 70000 000132 0000R 00001*")</f>
        <v>0</v>
      </c>
      <c r="E3280" s="54"/>
      <c r="F3280" s="83">
        <f>SUMIFS(F3281:F6462,K3281:K6462,"0",B3281:B6462,"5 1 1 5 4 12 31111 6 M59 70000 000132 0000R 00001*")</f>
        <v>14675.63</v>
      </c>
      <c r="G3280" s="83">
        <f>SUMIFS(G3281:G6462,K3281:K6462,"0",B3281:B6462,"5 1 1 5 4 12 31111 6 M59 70000 000132 0000R 00001*")</f>
        <v>0</v>
      </c>
      <c r="H3280" s="83">
        <f t="shared" si="51"/>
        <v>14675.63</v>
      </c>
      <c r="I3280" s="83"/>
      <c r="K3280" s="54" t="s">
        <v>15</v>
      </c>
    </row>
    <row r="3281" spans="2:11" ht="24.75" x14ac:dyDescent="0.2">
      <c r="B3281" s="82" t="s">
        <v>5611</v>
      </c>
      <c r="C3281" s="82" t="s">
        <v>5422</v>
      </c>
      <c r="D3281" s="83">
        <f>SUMIFS(D3282:D6462,K3282:K6462,"0",B3282:B6462,"5 1 1 5 4 12 31111 6 M59 70000 000132 0000R 00001 00154*")-SUMIFS(E3282:E6462,K3282:K6462,"0",B3282:B6462,"5 1 1 5 4 12 31111 6 M59 70000 000132 0000R 00001 00154*")</f>
        <v>0</v>
      </c>
      <c r="E3281" s="54"/>
      <c r="F3281" s="83">
        <f>SUMIFS(F3282:F6462,K3282:K6462,"0",B3282:B6462,"5 1 1 5 4 12 31111 6 M59 70000 000132 0000R 00001 00154*")</f>
        <v>14675.63</v>
      </c>
      <c r="G3281" s="83">
        <f>SUMIFS(G3282:G6462,K3282:K6462,"0",B3282:B6462,"5 1 1 5 4 12 31111 6 M59 70000 000132 0000R 00001 00154*")</f>
        <v>0</v>
      </c>
      <c r="H3281" s="83">
        <f t="shared" si="51"/>
        <v>14675.63</v>
      </c>
      <c r="I3281" s="83"/>
      <c r="K3281" s="54" t="s">
        <v>15</v>
      </c>
    </row>
    <row r="3282" spans="2:11" ht="24.75" x14ac:dyDescent="0.2">
      <c r="B3282" s="82" t="s">
        <v>5612</v>
      </c>
      <c r="C3282" s="82" t="s">
        <v>1051</v>
      </c>
      <c r="D3282" s="83">
        <f>SUMIFS(D3283:D6462,K3283:K6462,"0",B3283:B6462,"5 1 1 5 4 12 31111 6 M59 70000 000132 0000R 00001 00154 015*")-SUMIFS(E3283:E6462,K3283:K6462,"0",B3283:B6462,"5 1 1 5 4 12 31111 6 M59 70000 000132 0000R 00001 00154 015*")</f>
        <v>0</v>
      </c>
      <c r="E3282" s="54"/>
      <c r="F3282" s="83">
        <f>SUMIFS(F3283:F6462,K3283:K6462,"0",B3283:B6462,"5 1 1 5 4 12 31111 6 M59 70000 000132 0000R 00001 00154 015*")</f>
        <v>14675.63</v>
      </c>
      <c r="G3282" s="83">
        <f>SUMIFS(G3283:G6462,K3283:K6462,"0",B3283:B6462,"5 1 1 5 4 12 31111 6 M59 70000 000132 0000R 00001 00154 015*")</f>
        <v>0</v>
      </c>
      <c r="H3282" s="83">
        <f t="shared" si="51"/>
        <v>14675.63</v>
      </c>
      <c r="I3282" s="83"/>
      <c r="K3282" s="54" t="s">
        <v>15</v>
      </c>
    </row>
    <row r="3283" spans="2:11" ht="33" x14ac:dyDescent="0.2">
      <c r="B3283" s="82" t="s">
        <v>5613</v>
      </c>
      <c r="C3283" s="82" t="s">
        <v>2927</v>
      </c>
      <c r="D3283" s="83">
        <f>SUMIFS(D3284:D6462,K3284:K6462,"0",B3284:B6462,"5 1 1 5 4 12 31111 6 M59 70000 000132 0000R 00001 00154 015 2111100*")-SUMIFS(E3284:E6462,K3284:K6462,"0",B3284:B6462,"5 1 1 5 4 12 31111 6 M59 70000 000132 0000R 00001 00154 015 2111100*")</f>
        <v>0</v>
      </c>
      <c r="E3283" s="54"/>
      <c r="F3283" s="83">
        <f>SUMIFS(F3284:F6462,K3284:K6462,"0",B3284:B6462,"5 1 1 5 4 12 31111 6 M59 70000 000132 0000R 00001 00154 015 2111100*")</f>
        <v>14675.63</v>
      </c>
      <c r="G3283" s="83">
        <f>SUMIFS(G3284:G6462,K3284:K6462,"0",B3284:B6462,"5 1 1 5 4 12 31111 6 M59 70000 000132 0000R 00001 00154 015 2111100*")</f>
        <v>0</v>
      </c>
      <c r="H3283" s="83">
        <f t="shared" si="51"/>
        <v>14675.63</v>
      </c>
      <c r="I3283" s="83"/>
      <c r="K3283" s="54" t="s">
        <v>15</v>
      </c>
    </row>
    <row r="3284" spans="2:11" ht="33" x14ac:dyDescent="0.2">
      <c r="B3284" s="82" t="s">
        <v>5614</v>
      </c>
      <c r="C3284" s="82" t="s">
        <v>660</v>
      </c>
      <c r="D3284" s="83">
        <f>SUMIFS(D3285:D6462,K3285:K6462,"0",B3285:B6462,"5 1 1 5 4 12 31111 6 M59 70000 000132 0000R 00001 00154 015 2111100 2024*")-SUMIFS(E3285:E6462,K3285:K6462,"0",B3285:B6462,"5 1 1 5 4 12 31111 6 M59 70000 000132 0000R 00001 00154 015 2111100 2024*")</f>
        <v>0</v>
      </c>
      <c r="E3284" s="54"/>
      <c r="F3284" s="83">
        <f>SUMIFS(F3285:F6462,K3285:K6462,"0",B3285:B6462,"5 1 1 5 4 12 31111 6 M59 70000 000132 0000R 00001 00154 015 2111100 2024*")</f>
        <v>14675.63</v>
      </c>
      <c r="G3284" s="83">
        <f>SUMIFS(G3285:G6462,K3285:K6462,"0",B3285:B6462,"5 1 1 5 4 12 31111 6 M59 70000 000132 0000R 00001 00154 015 2111100 2024*")</f>
        <v>0</v>
      </c>
      <c r="H3284" s="83">
        <f t="shared" si="51"/>
        <v>14675.63</v>
      </c>
      <c r="I3284" s="83"/>
      <c r="K3284" s="54" t="s">
        <v>15</v>
      </c>
    </row>
    <row r="3285" spans="2:11" ht="41.25" x14ac:dyDescent="0.2">
      <c r="B3285" s="82" t="s">
        <v>5615</v>
      </c>
      <c r="C3285" s="82" t="s">
        <v>1056</v>
      </c>
      <c r="D3285" s="83">
        <f>SUMIFS(D3286:D6462,K3286:K6462,"0",B3286:B6462,"5 1 1 5 4 12 31111 6 M59 70000 000132 0000R 00001 00154 015 2111100 2024 CP1DS387*")-SUMIFS(E3286:E6462,K3286:K6462,"0",B3286:B6462,"5 1 1 5 4 12 31111 6 M59 70000 000132 0000R 00001 00154 015 2111100 2024 CP1DS387*")</f>
        <v>0</v>
      </c>
      <c r="E3285" s="54"/>
      <c r="F3285" s="83">
        <f>SUMIFS(F3286:F6462,K3286:K6462,"0",B3286:B6462,"5 1 1 5 4 12 31111 6 M59 70000 000132 0000R 00001 00154 015 2111100 2024 CP1DS387*")</f>
        <v>14675.63</v>
      </c>
      <c r="G3285" s="83">
        <f>SUMIFS(G3286:G6462,K3286:K6462,"0",B3286:B6462,"5 1 1 5 4 12 31111 6 M59 70000 000132 0000R 00001 00154 015 2111100 2024 CP1DS387*")</f>
        <v>0</v>
      </c>
      <c r="H3285" s="83">
        <f t="shared" si="51"/>
        <v>14675.63</v>
      </c>
      <c r="I3285" s="83"/>
      <c r="K3285" s="54" t="s">
        <v>15</v>
      </c>
    </row>
    <row r="3286" spans="2:11" ht="41.25" x14ac:dyDescent="0.2">
      <c r="B3286" s="82" t="s">
        <v>5616</v>
      </c>
      <c r="C3286" s="82" t="s">
        <v>282</v>
      </c>
      <c r="D3286" s="83">
        <f>SUMIFS(D3287:D6462,K3287:K6462,"0",B3287:B6462,"5 1 1 5 4 12 31111 6 M59 70000 000132 0000R 00001 00154 015 2111100 2024 CP1DS387 001*")-SUMIFS(E3287:E6462,K3287:K6462,"0",B3287:B6462,"5 1 1 5 4 12 31111 6 M59 70000 000132 0000R 00001 00154 015 2111100 2024 CP1DS387 001*")</f>
        <v>0</v>
      </c>
      <c r="E3286" s="54"/>
      <c r="F3286" s="83">
        <f>SUMIFS(F3287:F6462,K3287:K6462,"0",B3287:B6462,"5 1 1 5 4 12 31111 6 M59 70000 000132 0000R 00001 00154 015 2111100 2024 CP1DS387 001*")</f>
        <v>14675.63</v>
      </c>
      <c r="G3286" s="83">
        <f>SUMIFS(G3287:G6462,K3287:K6462,"0",B3287:B6462,"5 1 1 5 4 12 31111 6 M59 70000 000132 0000R 00001 00154 015 2111100 2024 CP1DS387 001*")</f>
        <v>0</v>
      </c>
      <c r="H3286" s="83">
        <f t="shared" si="51"/>
        <v>14675.63</v>
      </c>
      <c r="I3286" s="83"/>
      <c r="K3286" s="54" t="s">
        <v>15</v>
      </c>
    </row>
    <row r="3287" spans="2:11" ht="33" x14ac:dyDescent="0.2">
      <c r="B3287" s="84" t="s">
        <v>5617</v>
      </c>
      <c r="C3287" s="84" t="s">
        <v>5429</v>
      </c>
      <c r="D3287" s="85">
        <v>0</v>
      </c>
      <c r="E3287" s="85"/>
      <c r="F3287" s="85">
        <v>2400</v>
      </c>
      <c r="G3287" s="85">
        <v>0</v>
      </c>
      <c r="H3287" s="85">
        <f t="shared" si="51"/>
        <v>2400</v>
      </c>
      <c r="I3287" s="85"/>
      <c r="K3287" s="54" t="s">
        <v>38</v>
      </c>
    </row>
    <row r="3288" spans="2:11" ht="33" x14ac:dyDescent="0.2">
      <c r="B3288" s="84" t="s">
        <v>5618</v>
      </c>
      <c r="C3288" s="84" t="s">
        <v>5431</v>
      </c>
      <c r="D3288" s="85">
        <v>0</v>
      </c>
      <c r="E3288" s="85"/>
      <c r="F3288" s="85">
        <v>12275.63</v>
      </c>
      <c r="G3288" s="85">
        <v>0</v>
      </c>
      <c r="H3288" s="85">
        <f t="shared" si="51"/>
        <v>12275.63</v>
      </c>
      <c r="I3288" s="85"/>
      <c r="K3288" s="54" t="s">
        <v>38</v>
      </c>
    </row>
    <row r="3289" spans="2:11" ht="16.5" x14ac:dyDescent="0.2">
      <c r="B3289" s="82" t="s">
        <v>5619</v>
      </c>
      <c r="C3289" s="82" t="s">
        <v>3389</v>
      </c>
      <c r="D3289" s="83">
        <f>SUMIFS(D3290:D6462,K3290:K6462,"0",B3290:B6462,"5 1 1 5 4 12 31111 6 M59 70100*")-SUMIFS(E3290:E6462,K3290:K6462,"0",B3290:B6462,"5 1 1 5 4 12 31111 6 M59 70100*")</f>
        <v>0</v>
      </c>
      <c r="E3289" s="54"/>
      <c r="F3289" s="83">
        <f>SUMIFS(F3290:F6462,K3290:K6462,"0",B3290:B6462,"5 1 1 5 4 12 31111 6 M59 70100*")</f>
        <v>18532.059999999998</v>
      </c>
      <c r="G3289" s="83">
        <f>SUMIFS(G3290:G6462,K3290:K6462,"0",B3290:B6462,"5 1 1 5 4 12 31111 6 M59 70100*")</f>
        <v>0</v>
      </c>
      <c r="H3289" s="83">
        <f t="shared" si="51"/>
        <v>18532.059999999998</v>
      </c>
      <c r="I3289" s="83"/>
      <c r="K3289" s="54" t="s">
        <v>15</v>
      </c>
    </row>
    <row r="3290" spans="2:11" ht="16.5" x14ac:dyDescent="0.2">
      <c r="B3290" s="82" t="s">
        <v>5620</v>
      </c>
      <c r="C3290" s="82" t="s">
        <v>648</v>
      </c>
      <c r="D3290" s="83">
        <f>SUMIFS(D3291:D6462,K3291:K6462,"0",B3291:B6462,"5 1 1 5 4 12 31111 6 M59 70100 000132*")-SUMIFS(E3291:E6462,K3291:K6462,"0",B3291:B6462,"5 1 1 5 4 12 31111 6 M59 70100 000132*")</f>
        <v>0</v>
      </c>
      <c r="E3290" s="54"/>
      <c r="F3290" s="83">
        <f>SUMIFS(F3291:F6462,K3291:K6462,"0",B3291:B6462,"5 1 1 5 4 12 31111 6 M59 70100 000132*")</f>
        <v>18532.059999999998</v>
      </c>
      <c r="G3290" s="83">
        <f>SUMIFS(G3291:G6462,K3291:K6462,"0",B3291:B6462,"5 1 1 5 4 12 31111 6 M59 70100 000132*")</f>
        <v>0</v>
      </c>
      <c r="H3290" s="83">
        <f t="shared" si="51"/>
        <v>18532.059999999998</v>
      </c>
      <c r="I3290" s="83"/>
      <c r="K3290" s="54" t="s">
        <v>15</v>
      </c>
    </row>
    <row r="3291" spans="2:11" ht="16.5" x14ac:dyDescent="0.2">
      <c r="B3291" s="82" t="s">
        <v>5621</v>
      </c>
      <c r="C3291" s="82" t="s">
        <v>650</v>
      </c>
      <c r="D3291" s="83">
        <f>SUMIFS(D3292:D6462,K3292:K6462,"0",B3292:B6462,"5 1 1 5 4 12 31111 6 M59 70100 000132 0000R*")-SUMIFS(E3292:E6462,K3292:K6462,"0",B3292:B6462,"5 1 1 5 4 12 31111 6 M59 70100 000132 0000R*")</f>
        <v>0</v>
      </c>
      <c r="E3291" s="54"/>
      <c r="F3291" s="83">
        <f>SUMIFS(F3292:F6462,K3292:K6462,"0",B3292:B6462,"5 1 1 5 4 12 31111 6 M59 70100 000132 0000R*")</f>
        <v>18532.059999999998</v>
      </c>
      <c r="G3291" s="83">
        <f>SUMIFS(G3292:G6462,K3292:K6462,"0",B3292:B6462,"5 1 1 5 4 12 31111 6 M59 70100 000132 0000R*")</f>
        <v>0</v>
      </c>
      <c r="H3291" s="83">
        <f t="shared" si="51"/>
        <v>18532.059999999998</v>
      </c>
      <c r="I3291" s="83"/>
      <c r="K3291" s="54" t="s">
        <v>15</v>
      </c>
    </row>
    <row r="3292" spans="2:11" ht="24.75" x14ac:dyDescent="0.2">
      <c r="B3292" s="82" t="s">
        <v>5622</v>
      </c>
      <c r="C3292" s="82" t="s">
        <v>282</v>
      </c>
      <c r="D3292" s="83">
        <f>SUMIFS(D3293:D6462,K3293:K6462,"0",B3293:B6462,"5 1 1 5 4 12 31111 6 M59 70100 000132 0000R 00001*")-SUMIFS(E3293:E6462,K3293:K6462,"0",B3293:B6462,"5 1 1 5 4 12 31111 6 M59 70100 000132 0000R 00001*")</f>
        <v>0</v>
      </c>
      <c r="E3292" s="54"/>
      <c r="F3292" s="83">
        <f>SUMIFS(F3293:F6462,K3293:K6462,"0",B3293:B6462,"5 1 1 5 4 12 31111 6 M59 70100 000132 0000R 00001*")</f>
        <v>18532.059999999998</v>
      </c>
      <c r="G3292" s="83">
        <f>SUMIFS(G3293:G6462,K3293:K6462,"0",B3293:B6462,"5 1 1 5 4 12 31111 6 M59 70100 000132 0000R 00001*")</f>
        <v>0</v>
      </c>
      <c r="H3292" s="83">
        <f t="shared" si="51"/>
        <v>18532.059999999998</v>
      </c>
      <c r="I3292" s="83"/>
      <c r="K3292" s="54" t="s">
        <v>15</v>
      </c>
    </row>
    <row r="3293" spans="2:11" ht="24.75" x14ac:dyDescent="0.2">
      <c r="B3293" s="82" t="s">
        <v>5623</v>
      </c>
      <c r="C3293" s="82" t="s">
        <v>5422</v>
      </c>
      <c r="D3293" s="83">
        <f>SUMIFS(D3294:D6462,K3294:K6462,"0",B3294:B6462,"5 1 1 5 4 12 31111 6 M59 70100 000132 0000R 00001 00154*")-SUMIFS(E3294:E6462,K3294:K6462,"0",B3294:B6462,"5 1 1 5 4 12 31111 6 M59 70100 000132 0000R 00001 00154*")</f>
        <v>0</v>
      </c>
      <c r="E3293" s="54"/>
      <c r="F3293" s="83">
        <f>SUMIFS(F3294:F6462,K3294:K6462,"0",B3294:B6462,"5 1 1 5 4 12 31111 6 M59 70100 000132 0000R 00001 00154*")</f>
        <v>18532.059999999998</v>
      </c>
      <c r="G3293" s="83">
        <f>SUMIFS(G3294:G6462,K3294:K6462,"0",B3294:B6462,"5 1 1 5 4 12 31111 6 M59 70100 000132 0000R 00001 00154*")</f>
        <v>0</v>
      </c>
      <c r="H3293" s="83">
        <f t="shared" si="51"/>
        <v>18532.059999999998</v>
      </c>
      <c r="I3293" s="83"/>
      <c r="K3293" s="54" t="s">
        <v>15</v>
      </c>
    </row>
    <row r="3294" spans="2:11" ht="24.75" x14ac:dyDescent="0.2">
      <c r="B3294" s="82" t="s">
        <v>5624</v>
      </c>
      <c r="C3294" s="82" t="s">
        <v>1051</v>
      </c>
      <c r="D3294" s="83">
        <f>SUMIFS(D3295:D6462,K3295:K6462,"0",B3295:B6462,"5 1 1 5 4 12 31111 6 M59 70100 000132 0000R 00001 00154 015*")-SUMIFS(E3295:E6462,K3295:K6462,"0",B3295:B6462,"5 1 1 5 4 12 31111 6 M59 70100 000132 0000R 00001 00154 015*")</f>
        <v>0</v>
      </c>
      <c r="E3294" s="54"/>
      <c r="F3294" s="83">
        <f>SUMIFS(F3295:F6462,K3295:K6462,"0",B3295:B6462,"5 1 1 5 4 12 31111 6 M59 70100 000132 0000R 00001 00154 015*")</f>
        <v>18532.059999999998</v>
      </c>
      <c r="G3294" s="83">
        <f>SUMIFS(G3295:G6462,K3295:K6462,"0",B3295:B6462,"5 1 1 5 4 12 31111 6 M59 70100 000132 0000R 00001 00154 015*")</f>
        <v>0</v>
      </c>
      <c r="H3294" s="83">
        <f t="shared" si="51"/>
        <v>18532.059999999998</v>
      </c>
      <c r="I3294" s="83"/>
      <c r="K3294" s="54" t="s">
        <v>15</v>
      </c>
    </row>
    <row r="3295" spans="2:11" ht="33" x14ac:dyDescent="0.2">
      <c r="B3295" s="82" t="s">
        <v>5625</v>
      </c>
      <c r="C3295" s="82" t="s">
        <v>2927</v>
      </c>
      <c r="D3295" s="83">
        <f>SUMIFS(D3296:D6462,K3296:K6462,"0",B3296:B6462,"5 1 1 5 4 12 31111 6 M59 70100 000132 0000R 00001 00154 015 2111100*")-SUMIFS(E3296:E6462,K3296:K6462,"0",B3296:B6462,"5 1 1 5 4 12 31111 6 M59 70100 000132 0000R 00001 00154 015 2111100*")</f>
        <v>0</v>
      </c>
      <c r="E3295" s="54"/>
      <c r="F3295" s="83">
        <f>SUMIFS(F3296:F6462,K3296:K6462,"0",B3296:B6462,"5 1 1 5 4 12 31111 6 M59 70100 000132 0000R 00001 00154 015 2111100*")</f>
        <v>18532.059999999998</v>
      </c>
      <c r="G3295" s="83">
        <f>SUMIFS(G3296:G6462,K3296:K6462,"0",B3296:B6462,"5 1 1 5 4 12 31111 6 M59 70100 000132 0000R 00001 00154 015 2111100*")</f>
        <v>0</v>
      </c>
      <c r="H3295" s="83">
        <f t="shared" si="51"/>
        <v>18532.059999999998</v>
      </c>
      <c r="I3295" s="83"/>
      <c r="K3295" s="54" t="s">
        <v>15</v>
      </c>
    </row>
    <row r="3296" spans="2:11" ht="33" x14ac:dyDescent="0.2">
      <c r="B3296" s="82" t="s">
        <v>5626</v>
      </c>
      <c r="C3296" s="82" t="s">
        <v>660</v>
      </c>
      <c r="D3296" s="83">
        <f>SUMIFS(D3297:D6462,K3297:K6462,"0",B3297:B6462,"5 1 1 5 4 12 31111 6 M59 70100 000132 0000R 00001 00154 015 2111100 2024*")-SUMIFS(E3297:E6462,K3297:K6462,"0",B3297:B6462,"5 1 1 5 4 12 31111 6 M59 70100 000132 0000R 00001 00154 015 2111100 2024*")</f>
        <v>0</v>
      </c>
      <c r="E3296" s="54"/>
      <c r="F3296" s="83">
        <f>SUMIFS(F3297:F6462,K3297:K6462,"0",B3297:B6462,"5 1 1 5 4 12 31111 6 M59 70100 000132 0000R 00001 00154 015 2111100 2024*")</f>
        <v>18532.059999999998</v>
      </c>
      <c r="G3296" s="83">
        <f>SUMIFS(G3297:G6462,K3297:K6462,"0",B3297:B6462,"5 1 1 5 4 12 31111 6 M59 70100 000132 0000R 00001 00154 015 2111100 2024*")</f>
        <v>0</v>
      </c>
      <c r="H3296" s="83">
        <f t="shared" si="51"/>
        <v>18532.059999999998</v>
      </c>
      <c r="I3296" s="83"/>
      <c r="K3296" s="54" t="s">
        <v>15</v>
      </c>
    </row>
    <row r="3297" spans="2:11" ht="41.25" x14ac:dyDescent="0.2">
      <c r="B3297" s="82" t="s">
        <v>5627</v>
      </c>
      <c r="C3297" s="82" t="s">
        <v>1056</v>
      </c>
      <c r="D3297" s="83">
        <f>SUMIFS(D3298:D6462,K3298:K6462,"0",B3298:B6462,"5 1 1 5 4 12 31111 6 M59 70100 000132 0000R 00001 00154 015 2111100 2024 CP1MM393*")-SUMIFS(E3298:E6462,K3298:K6462,"0",B3298:B6462,"5 1 1 5 4 12 31111 6 M59 70100 000132 0000R 00001 00154 015 2111100 2024 CP1MM393*")</f>
        <v>0</v>
      </c>
      <c r="E3297" s="54"/>
      <c r="F3297" s="83">
        <f>SUMIFS(F3298:F6462,K3298:K6462,"0",B3298:B6462,"5 1 1 5 4 12 31111 6 M59 70100 000132 0000R 00001 00154 015 2111100 2024 CP1MM393*")</f>
        <v>18532.059999999998</v>
      </c>
      <c r="G3297" s="83">
        <f>SUMIFS(G3298:G6462,K3298:K6462,"0",B3298:B6462,"5 1 1 5 4 12 31111 6 M59 70100 000132 0000R 00001 00154 015 2111100 2024 CP1MM393*")</f>
        <v>0</v>
      </c>
      <c r="H3297" s="83">
        <f t="shared" si="51"/>
        <v>18532.059999999998</v>
      </c>
      <c r="I3297" s="83"/>
      <c r="K3297" s="54" t="s">
        <v>15</v>
      </c>
    </row>
    <row r="3298" spans="2:11" ht="41.25" x14ac:dyDescent="0.2">
      <c r="B3298" s="82" t="s">
        <v>5628</v>
      </c>
      <c r="C3298" s="82" t="s">
        <v>282</v>
      </c>
      <c r="D3298" s="83">
        <f>SUMIFS(D3299:D6462,K3299:K6462,"0",B3299:B6462,"5 1 1 5 4 12 31111 6 M59 70100 000132 0000R 00001 00154 015 2111100 2024 CP1MM393 001*")-SUMIFS(E3299:E6462,K3299:K6462,"0",B3299:B6462,"5 1 1 5 4 12 31111 6 M59 70100 000132 0000R 00001 00154 015 2111100 2024 CP1MM393 001*")</f>
        <v>0</v>
      </c>
      <c r="E3298" s="54"/>
      <c r="F3298" s="83">
        <f>SUMIFS(F3299:F6462,K3299:K6462,"0",B3299:B6462,"5 1 1 5 4 12 31111 6 M59 70100 000132 0000R 00001 00154 015 2111100 2024 CP1MM393 001*")</f>
        <v>18532.059999999998</v>
      </c>
      <c r="G3298" s="83">
        <f>SUMIFS(G3299:G6462,K3299:K6462,"0",B3299:B6462,"5 1 1 5 4 12 31111 6 M59 70100 000132 0000R 00001 00154 015 2111100 2024 CP1MM393 001*")</f>
        <v>0</v>
      </c>
      <c r="H3298" s="83">
        <f t="shared" si="51"/>
        <v>18532.059999999998</v>
      </c>
      <c r="I3298" s="83"/>
      <c r="K3298" s="54" t="s">
        <v>15</v>
      </c>
    </row>
    <row r="3299" spans="2:11" ht="33" x14ac:dyDescent="0.2">
      <c r="B3299" s="84" t="s">
        <v>5629</v>
      </c>
      <c r="C3299" s="84" t="s">
        <v>5429</v>
      </c>
      <c r="D3299" s="85">
        <v>0</v>
      </c>
      <c r="E3299" s="85"/>
      <c r="F3299" s="85">
        <v>3036</v>
      </c>
      <c r="G3299" s="85">
        <v>0</v>
      </c>
      <c r="H3299" s="85">
        <f t="shared" si="51"/>
        <v>3036</v>
      </c>
      <c r="I3299" s="85"/>
      <c r="K3299" s="54" t="s">
        <v>38</v>
      </c>
    </row>
    <row r="3300" spans="2:11" ht="33" x14ac:dyDescent="0.2">
      <c r="B3300" s="84" t="s">
        <v>5630</v>
      </c>
      <c r="C3300" s="84" t="s">
        <v>5431</v>
      </c>
      <c r="D3300" s="85">
        <v>0</v>
      </c>
      <c r="E3300" s="85"/>
      <c r="F3300" s="85">
        <v>3608.4</v>
      </c>
      <c r="G3300" s="85">
        <v>0</v>
      </c>
      <c r="H3300" s="85">
        <f t="shared" si="51"/>
        <v>3608.4</v>
      </c>
      <c r="I3300" s="85"/>
      <c r="K3300" s="54" t="s">
        <v>38</v>
      </c>
    </row>
    <row r="3301" spans="2:11" ht="33" x14ac:dyDescent="0.2">
      <c r="B3301" s="84" t="s">
        <v>5631</v>
      </c>
      <c r="C3301" s="84" t="s">
        <v>5446</v>
      </c>
      <c r="D3301" s="85">
        <v>0</v>
      </c>
      <c r="E3301" s="85"/>
      <c r="F3301" s="85">
        <v>11887.66</v>
      </c>
      <c r="G3301" s="85">
        <v>0</v>
      </c>
      <c r="H3301" s="85">
        <f t="shared" si="51"/>
        <v>11887.66</v>
      </c>
      <c r="I3301" s="85"/>
      <c r="K3301" s="54" t="s">
        <v>38</v>
      </c>
    </row>
    <row r="3302" spans="2:11" ht="16.5" x14ac:dyDescent="0.2">
      <c r="B3302" s="82" t="s">
        <v>5632</v>
      </c>
      <c r="C3302" s="82" t="s">
        <v>3425</v>
      </c>
      <c r="D3302" s="83">
        <f>SUMIFS(D3303:D6462,K3303:K6462,"0",B3303:B6462,"5 1 1 5 4 12 31111 6 M59 70400*")-SUMIFS(E3303:E6462,K3303:K6462,"0",B3303:B6462,"5 1 1 5 4 12 31111 6 M59 70400*")</f>
        <v>0</v>
      </c>
      <c r="E3302" s="54"/>
      <c r="F3302" s="83">
        <f>SUMIFS(F3303:F6462,K3303:K6462,"0",B3303:B6462,"5 1 1 5 4 12 31111 6 M59 70400*")</f>
        <v>5200</v>
      </c>
      <c r="G3302" s="83">
        <f>SUMIFS(G3303:G6462,K3303:K6462,"0",B3303:B6462,"5 1 1 5 4 12 31111 6 M59 70400*")</f>
        <v>0</v>
      </c>
      <c r="H3302" s="83">
        <f t="shared" si="51"/>
        <v>5200</v>
      </c>
      <c r="I3302" s="83"/>
      <c r="K3302" s="54" t="s">
        <v>15</v>
      </c>
    </row>
    <row r="3303" spans="2:11" ht="16.5" x14ac:dyDescent="0.2">
      <c r="B3303" s="82" t="s">
        <v>5633</v>
      </c>
      <c r="C3303" s="82" t="s">
        <v>3427</v>
      </c>
      <c r="D3303" s="83">
        <f>SUMIFS(D3304:D6462,K3304:K6462,"0",B3304:B6462,"5 1 1 5 4 12 31111 6 M59 70400 000241*")-SUMIFS(E3304:E6462,K3304:K6462,"0",B3304:B6462,"5 1 1 5 4 12 31111 6 M59 70400 000241*")</f>
        <v>0</v>
      </c>
      <c r="E3303" s="54"/>
      <c r="F3303" s="83">
        <f>SUMIFS(F3304:F6462,K3304:K6462,"0",B3304:B6462,"5 1 1 5 4 12 31111 6 M59 70400 000241*")</f>
        <v>5200</v>
      </c>
      <c r="G3303" s="83">
        <f>SUMIFS(G3304:G6462,K3304:K6462,"0",B3304:B6462,"5 1 1 5 4 12 31111 6 M59 70400 000241*")</f>
        <v>0</v>
      </c>
      <c r="H3303" s="83">
        <f t="shared" si="51"/>
        <v>5200</v>
      </c>
      <c r="I3303" s="83"/>
      <c r="K3303" s="54" t="s">
        <v>15</v>
      </c>
    </row>
    <row r="3304" spans="2:11" ht="16.5" x14ac:dyDescent="0.2">
      <c r="B3304" s="82" t="s">
        <v>5634</v>
      </c>
      <c r="C3304" s="82" t="s">
        <v>650</v>
      </c>
      <c r="D3304" s="83">
        <f>SUMIFS(D3305:D6462,K3305:K6462,"0",B3305:B6462,"5 1 1 5 4 12 31111 6 M59 70400 000241 0000R*")-SUMIFS(E3305:E6462,K3305:K6462,"0",B3305:B6462,"5 1 1 5 4 12 31111 6 M59 70400 000241 0000R*")</f>
        <v>0</v>
      </c>
      <c r="E3304" s="54"/>
      <c r="F3304" s="83">
        <f>SUMIFS(F3305:F6462,K3305:K6462,"0",B3305:B6462,"5 1 1 5 4 12 31111 6 M59 70400 000241 0000R*")</f>
        <v>5200</v>
      </c>
      <c r="G3304" s="83">
        <f>SUMIFS(G3305:G6462,K3305:K6462,"0",B3305:B6462,"5 1 1 5 4 12 31111 6 M59 70400 000241 0000R*")</f>
        <v>0</v>
      </c>
      <c r="H3304" s="83">
        <f t="shared" si="51"/>
        <v>5200</v>
      </c>
      <c r="I3304" s="83"/>
      <c r="K3304" s="54" t="s">
        <v>15</v>
      </c>
    </row>
    <row r="3305" spans="2:11" ht="24.75" x14ac:dyDescent="0.2">
      <c r="B3305" s="82" t="s">
        <v>5635</v>
      </c>
      <c r="C3305" s="82" t="s">
        <v>282</v>
      </c>
      <c r="D3305" s="83">
        <f>SUMIFS(D3306:D6462,K3306:K6462,"0",B3306:B6462,"5 1 1 5 4 12 31111 6 M59 70400 000241 0000R 00001*")-SUMIFS(E3306:E6462,K3306:K6462,"0",B3306:B6462,"5 1 1 5 4 12 31111 6 M59 70400 000241 0000R 00001*")</f>
        <v>0</v>
      </c>
      <c r="E3305" s="54"/>
      <c r="F3305" s="83">
        <f>SUMIFS(F3306:F6462,K3306:K6462,"0",B3306:B6462,"5 1 1 5 4 12 31111 6 M59 70400 000241 0000R 00001*")</f>
        <v>5200</v>
      </c>
      <c r="G3305" s="83">
        <f>SUMIFS(G3306:G6462,K3306:K6462,"0",B3306:B6462,"5 1 1 5 4 12 31111 6 M59 70400 000241 0000R 00001*")</f>
        <v>0</v>
      </c>
      <c r="H3305" s="83">
        <f t="shared" si="51"/>
        <v>5200</v>
      </c>
      <c r="I3305" s="83"/>
      <c r="K3305" s="54" t="s">
        <v>15</v>
      </c>
    </row>
    <row r="3306" spans="2:11" ht="24.75" x14ac:dyDescent="0.2">
      <c r="B3306" s="82" t="s">
        <v>5636</v>
      </c>
      <c r="C3306" s="82" t="s">
        <v>5422</v>
      </c>
      <c r="D3306" s="83">
        <f>SUMIFS(D3307:D6462,K3307:K6462,"0",B3307:B6462,"5 1 1 5 4 12 31111 6 M59 70400 000241 0000R 00001 00154*")-SUMIFS(E3307:E6462,K3307:K6462,"0",B3307:B6462,"5 1 1 5 4 12 31111 6 M59 70400 000241 0000R 00001 00154*")</f>
        <v>0</v>
      </c>
      <c r="E3306" s="54"/>
      <c r="F3306" s="83">
        <f>SUMIFS(F3307:F6462,K3307:K6462,"0",B3307:B6462,"5 1 1 5 4 12 31111 6 M59 70400 000241 0000R 00001 00154*")</f>
        <v>5200</v>
      </c>
      <c r="G3306" s="83">
        <f>SUMIFS(G3307:G6462,K3307:K6462,"0",B3307:B6462,"5 1 1 5 4 12 31111 6 M59 70400 000241 0000R 00001 00154*")</f>
        <v>0</v>
      </c>
      <c r="H3306" s="83">
        <f t="shared" si="51"/>
        <v>5200</v>
      </c>
      <c r="I3306" s="83"/>
      <c r="K3306" s="54" t="s">
        <v>15</v>
      </c>
    </row>
    <row r="3307" spans="2:11" ht="24.75" x14ac:dyDescent="0.2">
      <c r="B3307" s="82" t="s">
        <v>5637</v>
      </c>
      <c r="C3307" s="82" t="s">
        <v>1051</v>
      </c>
      <c r="D3307" s="83">
        <f>SUMIFS(D3308:D6462,K3308:K6462,"0",B3308:B6462,"5 1 1 5 4 12 31111 6 M59 70400 000241 0000R 00001 00154 015*")-SUMIFS(E3308:E6462,K3308:K6462,"0",B3308:B6462,"5 1 1 5 4 12 31111 6 M59 70400 000241 0000R 00001 00154 015*")</f>
        <v>0</v>
      </c>
      <c r="E3307" s="54"/>
      <c r="F3307" s="83">
        <f>SUMIFS(F3308:F6462,K3308:K6462,"0",B3308:B6462,"5 1 1 5 4 12 31111 6 M59 70400 000241 0000R 00001 00154 015*")</f>
        <v>5200</v>
      </c>
      <c r="G3307" s="83">
        <f>SUMIFS(G3308:G6462,K3308:K6462,"0",B3308:B6462,"5 1 1 5 4 12 31111 6 M59 70400 000241 0000R 00001 00154 015*")</f>
        <v>0</v>
      </c>
      <c r="H3307" s="83">
        <f t="shared" ref="H3307:H3370" si="52">D3307 + F3307 - G3307</f>
        <v>5200</v>
      </c>
      <c r="I3307" s="83"/>
      <c r="K3307" s="54" t="s">
        <v>15</v>
      </c>
    </row>
    <row r="3308" spans="2:11" ht="33" x14ac:dyDescent="0.2">
      <c r="B3308" s="82" t="s">
        <v>5638</v>
      </c>
      <c r="C3308" s="82" t="s">
        <v>2927</v>
      </c>
      <c r="D3308" s="83">
        <f>SUMIFS(D3309:D6462,K3309:K6462,"0",B3309:B6462,"5 1 1 5 4 12 31111 6 M59 70400 000241 0000R 00001 00154 015 2111100*")-SUMIFS(E3309:E6462,K3309:K6462,"0",B3309:B6462,"5 1 1 5 4 12 31111 6 M59 70400 000241 0000R 00001 00154 015 2111100*")</f>
        <v>0</v>
      </c>
      <c r="E3308" s="54"/>
      <c r="F3308" s="83">
        <f>SUMIFS(F3309:F6462,K3309:K6462,"0",B3309:B6462,"5 1 1 5 4 12 31111 6 M59 70400 000241 0000R 00001 00154 015 2111100*")</f>
        <v>5200</v>
      </c>
      <c r="G3308" s="83">
        <f>SUMIFS(G3309:G6462,K3309:K6462,"0",B3309:B6462,"5 1 1 5 4 12 31111 6 M59 70400 000241 0000R 00001 00154 015 2111100*")</f>
        <v>0</v>
      </c>
      <c r="H3308" s="83">
        <f t="shared" si="52"/>
        <v>5200</v>
      </c>
      <c r="I3308" s="83"/>
      <c r="K3308" s="54" t="s">
        <v>15</v>
      </c>
    </row>
    <row r="3309" spans="2:11" ht="33" x14ac:dyDescent="0.2">
      <c r="B3309" s="82" t="s">
        <v>5639</v>
      </c>
      <c r="C3309" s="82" t="s">
        <v>660</v>
      </c>
      <c r="D3309" s="83">
        <f>SUMIFS(D3310:D6462,K3310:K6462,"0",B3310:B6462,"5 1 1 5 4 12 31111 6 M59 70400 000241 0000R 00001 00154 015 2111100 2024*")-SUMIFS(E3310:E6462,K3310:K6462,"0",B3310:B6462,"5 1 1 5 4 12 31111 6 M59 70400 000241 0000R 00001 00154 015 2111100 2024*")</f>
        <v>0</v>
      </c>
      <c r="E3309" s="54"/>
      <c r="F3309" s="83">
        <f>SUMIFS(F3310:F6462,K3310:K6462,"0",B3310:B6462,"5 1 1 5 4 12 31111 6 M59 70400 000241 0000R 00001 00154 015 2111100 2024*")</f>
        <v>5200</v>
      </c>
      <c r="G3309" s="83">
        <f>SUMIFS(G3310:G6462,K3310:K6462,"0",B3310:B6462,"5 1 1 5 4 12 31111 6 M59 70400 000241 0000R 00001 00154 015 2111100 2024*")</f>
        <v>0</v>
      </c>
      <c r="H3309" s="83">
        <f t="shared" si="52"/>
        <v>5200</v>
      </c>
      <c r="I3309" s="83"/>
      <c r="K3309" s="54" t="s">
        <v>15</v>
      </c>
    </row>
    <row r="3310" spans="2:11" ht="41.25" x14ac:dyDescent="0.2">
      <c r="B3310" s="82" t="s">
        <v>5640</v>
      </c>
      <c r="C3310" s="82" t="s">
        <v>662</v>
      </c>
      <c r="D3310" s="83">
        <f>SUMIFS(D3311:D6462,K3311:K6462,"0",B3311:B6462,"5 1 1 5 4 12 31111 6 M59 70400 000241 0000R 00001 00154 015 2111100 2024 CP1DD418*")-SUMIFS(E3311:E6462,K3311:K6462,"0",B3311:B6462,"5 1 1 5 4 12 31111 6 M59 70400 000241 0000R 00001 00154 015 2111100 2024 CP1DD418*")</f>
        <v>0</v>
      </c>
      <c r="E3310" s="54"/>
      <c r="F3310" s="83">
        <f>SUMIFS(F3311:F6462,K3311:K6462,"0",B3311:B6462,"5 1 1 5 4 12 31111 6 M59 70400 000241 0000R 00001 00154 015 2111100 2024 CP1DD418*")</f>
        <v>5200</v>
      </c>
      <c r="G3310" s="83">
        <f>SUMIFS(G3311:G6462,K3311:K6462,"0",B3311:B6462,"5 1 1 5 4 12 31111 6 M59 70400 000241 0000R 00001 00154 015 2111100 2024 CP1DD418*")</f>
        <v>0</v>
      </c>
      <c r="H3310" s="83">
        <f t="shared" si="52"/>
        <v>5200</v>
      </c>
      <c r="I3310" s="83"/>
      <c r="K3310" s="54" t="s">
        <v>15</v>
      </c>
    </row>
    <row r="3311" spans="2:11" ht="41.25" x14ac:dyDescent="0.2">
      <c r="B3311" s="82" t="s">
        <v>5641</v>
      </c>
      <c r="C3311" s="82" t="s">
        <v>282</v>
      </c>
      <c r="D3311" s="83">
        <f>SUMIFS(D3312:D6462,K3312:K6462,"0",B3312:B6462,"5 1 1 5 4 12 31111 6 M59 70400 000241 0000R 00001 00154 015 2111100 2024 CP1DD418 001*")-SUMIFS(E3312:E6462,K3312:K6462,"0",B3312:B6462,"5 1 1 5 4 12 31111 6 M59 70400 000241 0000R 00001 00154 015 2111100 2024 CP1DD418 001*")</f>
        <v>0</v>
      </c>
      <c r="E3311" s="54"/>
      <c r="F3311" s="83">
        <f>SUMIFS(F3312:F6462,K3312:K6462,"0",B3312:B6462,"5 1 1 5 4 12 31111 6 M59 70400 000241 0000R 00001 00154 015 2111100 2024 CP1DD418 001*")</f>
        <v>5200</v>
      </c>
      <c r="G3311" s="83">
        <f>SUMIFS(G3312:G6462,K3312:K6462,"0",B3312:B6462,"5 1 1 5 4 12 31111 6 M59 70400 000241 0000R 00001 00154 015 2111100 2024 CP1DD418 001*")</f>
        <v>0</v>
      </c>
      <c r="H3311" s="83">
        <f t="shared" si="52"/>
        <v>5200</v>
      </c>
      <c r="I3311" s="83"/>
      <c r="K3311" s="54" t="s">
        <v>15</v>
      </c>
    </row>
    <row r="3312" spans="2:11" ht="33" x14ac:dyDescent="0.2">
      <c r="B3312" s="84" t="s">
        <v>5642</v>
      </c>
      <c r="C3312" s="84" t="s">
        <v>5443</v>
      </c>
      <c r="D3312" s="85">
        <v>0</v>
      </c>
      <c r="E3312" s="85"/>
      <c r="F3312" s="85">
        <v>1200</v>
      </c>
      <c r="G3312" s="85">
        <v>0</v>
      </c>
      <c r="H3312" s="85">
        <f t="shared" si="52"/>
        <v>1200</v>
      </c>
      <c r="I3312" s="85"/>
      <c r="K3312" s="54" t="s">
        <v>38</v>
      </c>
    </row>
    <row r="3313" spans="2:11" ht="33" x14ac:dyDescent="0.2">
      <c r="B3313" s="84" t="s">
        <v>5643</v>
      </c>
      <c r="C3313" s="84" t="s">
        <v>5431</v>
      </c>
      <c r="D3313" s="85">
        <v>0</v>
      </c>
      <c r="E3313" s="85"/>
      <c r="F3313" s="85">
        <v>4000</v>
      </c>
      <c r="G3313" s="85">
        <v>0</v>
      </c>
      <c r="H3313" s="85">
        <f t="shared" si="52"/>
        <v>4000</v>
      </c>
      <c r="I3313" s="85"/>
      <c r="K3313" s="54" t="s">
        <v>38</v>
      </c>
    </row>
    <row r="3314" spans="2:11" ht="16.5" x14ac:dyDescent="0.2">
      <c r="B3314" s="82" t="s">
        <v>5644</v>
      </c>
      <c r="C3314" s="82" t="s">
        <v>3474</v>
      </c>
      <c r="D3314" s="83">
        <f>SUMIFS(D3315:D6462,K3315:K6462,"0",B3315:B6462,"5 1 1 5 4 12 31111 6 M59 70800*")-SUMIFS(E3315:E6462,K3315:K6462,"0",B3315:B6462,"5 1 1 5 4 12 31111 6 M59 70800*")</f>
        <v>0</v>
      </c>
      <c r="E3314" s="54"/>
      <c r="F3314" s="83">
        <f>SUMIFS(F3315:F6462,K3315:K6462,"0",B3315:B6462,"5 1 1 5 4 12 31111 6 M59 70800*")</f>
        <v>624</v>
      </c>
      <c r="G3314" s="83">
        <f>SUMIFS(G3315:G6462,K3315:K6462,"0",B3315:B6462,"5 1 1 5 4 12 31111 6 M59 70800*")</f>
        <v>0</v>
      </c>
      <c r="H3314" s="83">
        <f t="shared" si="52"/>
        <v>624</v>
      </c>
      <c r="I3314" s="83"/>
      <c r="K3314" s="54" t="s">
        <v>15</v>
      </c>
    </row>
    <row r="3315" spans="2:11" ht="16.5" x14ac:dyDescent="0.2">
      <c r="B3315" s="82" t="s">
        <v>5645</v>
      </c>
      <c r="C3315" s="82" t="s">
        <v>648</v>
      </c>
      <c r="D3315" s="83">
        <f>SUMIFS(D3316:D6462,K3316:K6462,"0",B3316:B6462,"5 1 1 5 4 12 31111 6 M59 70800 000132*")-SUMIFS(E3316:E6462,K3316:K6462,"0",B3316:B6462,"5 1 1 5 4 12 31111 6 M59 70800 000132*")</f>
        <v>0</v>
      </c>
      <c r="E3315" s="54"/>
      <c r="F3315" s="83">
        <f>SUMIFS(F3316:F6462,K3316:K6462,"0",B3316:B6462,"5 1 1 5 4 12 31111 6 M59 70800 000132*")</f>
        <v>624</v>
      </c>
      <c r="G3315" s="83">
        <f>SUMIFS(G3316:G6462,K3316:K6462,"0",B3316:B6462,"5 1 1 5 4 12 31111 6 M59 70800 000132*")</f>
        <v>0</v>
      </c>
      <c r="H3315" s="83">
        <f t="shared" si="52"/>
        <v>624</v>
      </c>
      <c r="I3315" s="83"/>
      <c r="K3315" s="54" t="s">
        <v>15</v>
      </c>
    </row>
    <row r="3316" spans="2:11" ht="16.5" x14ac:dyDescent="0.2">
      <c r="B3316" s="82" t="s">
        <v>5646</v>
      </c>
      <c r="C3316" s="82" t="s">
        <v>650</v>
      </c>
      <c r="D3316" s="83">
        <f>SUMIFS(D3317:D6462,K3317:K6462,"0",B3317:B6462,"5 1 1 5 4 12 31111 6 M59 70800 000132 0000R*")-SUMIFS(E3317:E6462,K3317:K6462,"0",B3317:B6462,"5 1 1 5 4 12 31111 6 M59 70800 000132 0000R*")</f>
        <v>0</v>
      </c>
      <c r="E3316" s="54"/>
      <c r="F3316" s="83">
        <f>SUMIFS(F3317:F6462,K3317:K6462,"0",B3317:B6462,"5 1 1 5 4 12 31111 6 M59 70800 000132 0000R*")</f>
        <v>624</v>
      </c>
      <c r="G3316" s="83">
        <f>SUMIFS(G3317:G6462,K3317:K6462,"0",B3317:B6462,"5 1 1 5 4 12 31111 6 M59 70800 000132 0000R*")</f>
        <v>0</v>
      </c>
      <c r="H3316" s="83">
        <f t="shared" si="52"/>
        <v>624</v>
      </c>
      <c r="I3316" s="83"/>
      <c r="K3316" s="54" t="s">
        <v>15</v>
      </c>
    </row>
    <row r="3317" spans="2:11" ht="24.75" x14ac:dyDescent="0.2">
      <c r="B3317" s="82" t="s">
        <v>5647</v>
      </c>
      <c r="C3317" s="82" t="s">
        <v>282</v>
      </c>
      <c r="D3317" s="83">
        <f>SUMIFS(D3318:D6462,K3318:K6462,"0",B3318:B6462,"5 1 1 5 4 12 31111 6 M59 70800 000132 0000R 00001*")-SUMIFS(E3318:E6462,K3318:K6462,"0",B3318:B6462,"5 1 1 5 4 12 31111 6 M59 70800 000132 0000R 00001*")</f>
        <v>0</v>
      </c>
      <c r="E3317" s="54"/>
      <c r="F3317" s="83">
        <f>SUMIFS(F3318:F6462,K3318:K6462,"0",B3318:B6462,"5 1 1 5 4 12 31111 6 M59 70800 000132 0000R 00001*")</f>
        <v>624</v>
      </c>
      <c r="G3317" s="83">
        <f>SUMIFS(G3318:G6462,K3318:K6462,"0",B3318:B6462,"5 1 1 5 4 12 31111 6 M59 70800 000132 0000R 00001*")</f>
        <v>0</v>
      </c>
      <c r="H3317" s="83">
        <f t="shared" si="52"/>
        <v>624</v>
      </c>
      <c r="I3317" s="83"/>
      <c r="K3317" s="54" t="s">
        <v>15</v>
      </c>
    </row>
    <row r="3318" spans="2:11" ht="24.75" x14ac:dyDescent="0.2">
      <c r="B3318" s="82" t="s">
        <v>5648</v>
      </c>
      <c r="C3318" s="82" t="s">
        <v>5422</v>
      </c>
      <c r="D3318" s="83">
        <f>SUMIFS(D3319:D6462,K3319:K6462,"0",B3319:B6462,"5 1 1 5 4 12 31111 6 M59 70800 000132 0000R 00001 00154*")-SUMIFS(E3319:E6462,K3319:K6462,"0",B3319:B6462,"5 1 1 5 4 12 31111 6 M59 70800 000132 0000R 00001 00154*")</f>
        <v>0</v>
      </c>
      <c r="E3318" s="54"/>
      <c r="F3318" s="83">
        <f>SUMIFS(F3319:F6462,K3319:K6462,"0",B3319:B6462,"5 1 1 5 4 12 31111 6 M59 70800 000132 0000R 00001 00154*")</f>
        <v>624</v>
      </c>
      <c r="G3318" s="83">
        <f>SUMIFS(G3319:G6462,K3319:K6462,"0",B3319:B6462,"5 1 1 5 4 12 31111 6 M59 70800 000132 0000R 00001 00154*")</f>
        <v>0</v>
      </c>
      <c r="H3318" s="83">
        <f t="shared" si="52"/>
        <v>624</v>
      </c>
      <c r="I3318" s="83"/>
      <c r="K3318" s="54" t="s">
        <v>15</v>
      </c>
    </row>
    <row r="3319" spans="2:11" ht="24.75" x14ac:dyDescent="0.2">
      <c r="B3319" s="82" t="s">
        <v>5649</v>
      </c>
      <c r="C3319" s="82" t="s">
        <v>1051</v>
      </c>
      <c r="D3319" s="83">
        <f>SUMIFS(D3320:D6462,K3320:K6462,"0",B3320:B6462,"5 1 1 5 4 12 31111 6 M59 70800 000132 0000R 00001 00154 015*")-SUMIFS(E3320:E6462,K3320:K6462,"0",B3320:B6462,"5 1 1 5 4 12 31111 6 M59 70800 000132 0000R 00001 00154 015*")</f>
        <v>0</v>
      </c>
      <c r="E3319" s="54"/>
      <c r="F3319" s="83">
        <f>SUMIFS(F3320:F6462,K3320:K6462,"0",B3320:B6462,"5 1 1 5 4 12 31111 6 M59 70800 000132 0000R 00001 00154 015*")</f>
        <v>624</v>
      </c>
      <c r="G3319" s="83">
        <f>SUMIFS(G3320:G6462,K3320:K6462,"0",B3320:B6462,"5 1 1 5 4 12 31111 6 M59 70800 000132 0000R 00001 00154 015*")</f>
        <v>0</v>
      </c>
      <c r="H3319" s="83">
        <f t="shared" si="52"/>
        <v>624</v>
      </c>
      <c r="I3319" s="83"/>
      <c r="K3319" s="54" t="s">
        <v>15</v>
      </c>
    </row>
    <row r="3320" spans="2:11" ht="33" x14ac:dyDescent="0.2">
      <c r="B3320" s="82" t="s">
        <v>5650</v>
      </c>
      <c r="C3320" s="82" t="s">
        <v>2927</v>
      </c>
      <c r="D3320" s="83">
        <f>SUMIFS(D3321:D6462,K3321:K6462,"0",B3321:B6462,"5 1 1 5 4 12 31111 6 M59 70800 000132 0000R 00001 00154 015 2111100*")-SUMIFS(E3321:E6462,K3321:K6462,"0",B3321:B6462,"5 1 1 5 4 12 31111 6 M59 70800 000132 0000R 00001 00154 015 2111100*")</f>
        <v>0</v>
      </c>
      <c r="E3320" s="54"/>
      <c r="F3320" s="83">
        <f>SUMIFS(F3321:F6462,K3321:K6462,"0",B3321:B6462,"5 1 1 5 4 12 31111 6 M59 70800 000132 0000R 00001 00154 015 2111100*")</f>
        <v>624</v>
      </c>
      <c r="G3320" s="83">
        <f>SUMIFS(G3321:G6462,K3321:K6462,"0",B3321:B6462,"5 1 1 5 4 12 31111 6 M59 70800 000132 0000R 00001 00154 015 2111100*")</f>
        <v>0</v>
      </c>
      <c r="H3320" s="83">
        <f t="shared" si="52"/>
        <v>624</v>
      </c>
      <c r="I3320" s="83"/>
      <c r="K3320" s="54" t="s">
        <v>15</v>
      </c>
    </row>
    <row r="3321" spans="2:11" ht="33" x14ac:dyDescent="0.2">
      <c r="B3321" s="82" t="s">
        <v>5651</v>
      </c>
      <c r="C3321" s="82" t="s">
        <v>660</v>
      </c>
      <c r="D3321" s="83">
        <f>SUMIFS(D3322:D6462,K3322:K6462,"0",B3322:B6462,"5 1 1 5 4 12 31111 6 M59 70800 000132 0000R 00001 00154 015 2111100 2024*")-SUMIFS(E3322:E6462,K3322:K6462,"0",B3322:B6462,"5 1 1 5 4 12 31111 6 M59 70800 000132 0000R 00001 00154 015 2111100 2024*")</f>
        <v>0</v>
      </c>
      <c r="E3321" s="54"/>
      <c r="F3321" s="83">
        <f>SUMIFS(F3322:F6462,K3322:K6462,"0",B3322:B6462,"5 1 1 5 4 12 31111 6 M59 70800 000132 0000R 00001 00154 015 2111100 2024*")</f>
        <v>624</v>
      </c>
      <c r="G3321" s="83">
        <f>SUMIFS(G3322:G6462,K3322:K6462,"0",B3322:B6462,"5 1 1 5 4 12 31111 6 M59 70800 000132 0000R 00001 00154 015 2111100 2024*")</f>
        <v>0</v>
      </c>
      <c r="H3321" s="83">
        <f t="shared" si="52"/>
        <v>624</v>
      </c>
      <c r="I3321" s="83"/>
      <c r="K3321" s="54" t="s">
        <v>15</v>
      </c>
    </row>
    <row r="3322" spans="2:11" ht="41.25" x14ac:dyDescent="0.2">
      <c r="B3322" s="82" t="s">
        <v>5652</v>
      </c>
      <c r="C3322" s="82" t="s">
        <v>662</v>
      </c>
      <c r="D3322" s="83">
        <f>SUMIFS(D3323:D6462,K3323:K6462,"0",B3323:B6462,"5 1 1 5 4 12 31111 6 M59 70800 000132 0000R 00001 00154 015 2111100 2024 CP1ED416*")-SUMIFS(E3323:E6462,K3323:K6462,"0",B3323:B6462,"5 1 1 5 4 12 31111 6 M59 70800 000132 0000R 00001 00154 015 2111100 2024 CP1ED416*")</f>
        <v>0</v>
      </c>
      <c r="E3322" s="54"/>
      <c r="F3322" s="83">
        <f>SUMIFS(F3323:F6462,K3323:K6462,"0",B3323:B6462,"5 1 1 5 4 12 31111 6 M59 70800 000132 0000R 00001 00154 015 2111100 2024 CP1ED416*")</f>
        <v>624</v>
      </c>
      <c r="G3322" s="83">
        <f>SUMIFS(G3323:G6462,K3323:K6462,"0",B3323:B6462,"5 1 1 5 4 12 31111 6 M59 70800 000132 0000R 00001 00154 015 2111100 2024 CP1ED416*")</f>
        <v>0</v>
      </c>
      <c r="H3322" s="83">
        <f t="shared" si="52"/>
        <v>624</v>
      </c>
      <c r="I3322" s="83"/>
      <c r="K3322" s="54" t="s">
        <v>15</v>
      </c>
    </row>
    <row r="3323" spans="2:11" ht="41.25" x14ac:dyDescent="0.2">
      <c r="B3323" s="82" t="s">
        <v>5653</v>
      </c>
      <c r="C3323" s="82" t="s">
        <v>282</v>
      </c>
      <c r="D3323" s="83">
        <f>SUMIFS(D3324:D6462,K3324:K6462,"0",B3324:B6462,"5 1 1 5 4 12 31111 6 M59 70800 000132 0000R 00001 00154 015 2111100 2024 CP1ED416 001*")-SUMIFS(E3324:E6462,K3324:K6462,"0",B3324:B6462,"5 1 1 5 4 12 31111 6 M59 70800 000132 0000R 00001 00154 015 2111100 2024 CP1ED416 001*")</f>
        <v>0</v>
      </c>
      <c r="E3323" s="54"/>
      <c r="F3323" s="83">
        <f>SUMIFS(F3324:F6462,K3324:K6462,"0",B3324:B6462,"5 1 1 5 4 12 31111 6 M59 70800 000132 0000R 00001 00154 015 2111100 2024 CP1ED416 001*")</f>
        <v>624</v>
      </c>
      <c r="G3323" s="83">
        <f>SUMIFS(G3324:G6462,K3324:K6462,"0",B3324:B6462,"5 1 1 5 4 12 31111 6 M59 70800 000132 0000R 00001 00154 015 2111100 2024 CP1ED416 001*")</f>
        <v>0</v>
      </c>
      <c r="H3323" s="83">
        <f t="shared" si="52"/>
        <v>624</v>
      </c>
      <c r="I3323" s="83"/>
      <c r="K3323" s="54" t="s">
        <v>15</v>
      </c>
    </row>
    <row r="3324" spans="2:11" ht="33" x14ac:dyDescent="0.2">
      <c r="B3324" s="84" t="s">
        <v>5654</v>
      </c>
      <c r="C3324" s="84" t="s">
        <v>5443</v>
      </c>
      <c r="D3324" s="85">
        <v>0</v>
      </c>
      <c r="E3324" s="85"/>
      <c r="F3324" s="85">
        <v>424</v>
      </c>
      <c r="G3324" s="85">
        <v>0</v>
      </c>
      <c r="H3324" s="85">
        <f t="shared" si="52"/>
        <v>424</v>
      </c>
      <c r="I3324" s="85"/>
      <c r="K3324" s="54" t="s">
        <v>38</v>
      </c>
    </row>
    <row r="3325" spans="2:11" ht="33" x14ac:dyDescent="0.2">
      <c r="B3325" s="84" t="s">
        <v>5655</v>
      </c>
      <c r="C3325" s="84" t="s">
        <v>5431</v>
      </c>
      <c r="D3325" s="85">
        <v>0</v>
      </c>
      <c r="E3325" s="85"/>
      <c r="F3325" s="85">
        <v>200</v>
      </c>
      <c r="G3325" s="85">
        <v>0</v>
      </c>
      <c r="H3325" s="85">
        <f t="shared" si="52"/>
        <v>200</v>
      </c>
      <c r="I3325" s="85"/>
      <c r="K3325" s="54" t="s">
        <v>38</v>
      </c>
    </row>
    <row r="3326" spans="2:11" ht="16.5" x14ac:dyDescent="0.2">
      <c r="B3326" s="82" t="s">
        <v>5656</v>
      </c>
      <c r="C3326" s="82" t="s">
        <v>3559</v>
      </c>
      <c r="D3326" s="83">
        <f>SUMIFS(D3327:D6462,K3327:K6462,"0",B3327:B6462,"5 1 1 5 4 12 31111 6 M59 80400*")-SUMIFS(E3327:E6462,K3327:K6462,"0",B3327:B6462,"5 1 1 5 4 12 31111 6 M59 80400*")</f>
        <v>0</v>
      </c>
      <c r="E3326" s="54"/>
      <c r="F3326" s="83">
        <f>SUMIFS(F3327:F6462,K3327:K6462,"0",B3327:B6462,"5 1 1 5 4 12 31111 6 M59 80400*")</f>
        <v>624</v>
      </c>
      <c r="G3326" s="83">
        <f>SUMIFS(G3327:G6462,K3327:K6462,"0",B3327:B6462,"5 1 1 5 4 12 31111 6 M59 80400*")</f>
        <v>0</v>
      </c>
      <c r="H3326" s="83">
        <f t="shared" si="52"/>
        <v>624</v>
      </c>
      <c r="I3326" s="83"/>
      <c r="K3326" s="54" t="s">
        <v>15</v>
      </c>
    </row>
    <row r="3327" spans="2:11" ht="16.5" x14ac:dyDescent="0.2">
      <c r="B3327" s="82" t="s">
        <v>5657</v>
      </c>
      <c r="C3327" s="82" t="s">
        <v>648</v>
      </c>
      <c r="D3327" s="83">
        <f>SUMIFS(D3328:D6462,K3328:K6462,"0",B3328:B6462,"5 1 1 5 4 12 31111 6 M59 80400 000132*")-SUMIFS(E3328:E6462,K3328:K6462,"0",B3328:B6462,"5 1 1 5 4 12 31111 6 M59 80400 000132*")</f>
        <v>0</v>
      </c>
      <c r="E3327" s="54"/>
      <c r="F3327" s="83">
        <f>SUMIFS(F3328:F6462,K3328:K6462,"0",B3328:B6462,"5 1 1 5 4 12 31111 6 M59 80400 000132*")</f>
        <v>624</v>
      </c>
      <c r="G3327" s="83">
        <f>SUMIFS(G3328:G6462,K3328:K6462,"0",B3328:B6462,"5 1 1 5 4 12 31111 6 M59 80400 000132*")</f>
        <v>0</v>
      </c>
      <c r="H3327" s="83">
        <f t="shared" si="52"/>
        <v>624</v>
      </c>
      <c r="I3327" s="83"/>
      <c r="K3327" s="54" t="s">
        <v>15</v>
      </c>
    </row>
    <row r="3328" spans="2:11" ht="16.5" x14ac:dyDescent="0.2">
      <c r="B3328" s="82" t="s">
        <v>5658</v>
      </c>
      <c r="C3328" s="82" t="s">
        <v>650</v>
      </c>
      <c r="D3328" s="83">
        <f>SUMIFS(D3329:D6462,K3329:K6462,"0",B3329:B6462,"5 1 1 5 4 12 31111 6 M59 80400 000132 0000R*")-SUMIFS(E3329:E6462,K3329:K6462,"0",B3329:B6462,"5 1 1 5 4 12 31111 6 M59 80400 000132 0000R*")</f>
        <v>0</v>
      </c>
      <c r="E3328" s="54"/>
      <c r="F3328" s="83">
        <f>SUMIFS(F3329:F6462,K3329:K6462,"0",B3329:B6462,"5 1 1 5 4 12 31111 6 M59 80400 000132 0000R*")</f>
        <v>624</v>
      </c>
      <c r="G3328" s="83">
        <f>SUMIFS(G3329:G6462,K3329:K6462,"0",B3329:B6462,"5 1 1 5 4 12 31111 6 M59 80400 000132 0000R*")</f>
        <v>0</v>
      </c>
      <c r="H3328" s="83">
        <f t="shared" si="52"/>
        <v>624</v>
      </c>
      <c r="I3328" s="83"/>
      <c r="K3328" s="54" t="s">
        <v>15</v>
      </c>
    </row>
    <row r="3329" spans="2:11" ht="24.75" x14ac:dyDescent="0.2">
      <c r="B3329" s="82" t="s">
        <v>5659</v>
      </c>
      <c r="C3329" s="82" t="s">
        <v>282</v>
      </c>
      <c r="D3329" s="83">
        <f>SUMIFS(D3330:D6462,K3330:K6462,"0",B3330:B6462,"5 1 1 5 4 12 31111 6 M59 80400 000132 0000R 00001*")-SUMIFS(E3330:E6462,K3330:K6462,"0",B3330:B6462,"5 1 1 5 4 12 31111 6 M59 80400 000132 0000R 00001*")</f>
        <v>0</v>
      </c>
      <c r="E3329" s="54"/>
      <c r="F3329" s="83">
        <f>SUMIFS(F3330:F6462,K3330:K6462,"0",B3330:B6462,"5 1 1 5 4 12 31111 6 M59 80400 000132 0000R 00001*")</f>
        <v>624</v>
      </c>
      <c r="G3329" s="83">
        <f>SUMIFS(G3330:G6462,K3330:K6462,"0",B3330:B6462,"5 1 1 5 4 12 31111 6 M59 80400 000132 0000R 00001*")</f>
        <v>0</v>
      </c>
      <c r="H3329" s="83">
        <f t="shared" si="52"/>
        <v>624</v>
      </c>
      <c r="I3329" s="83"/>
      <c r="K3329" s="54" t="s">
        <v>15</v>
      </c>
    </row>
    <row r="3330" spans="2:11" ht="24.75" x14ac:dyDescent="0.2">
      <c r="B3330" s="82" t="s">
        <v>5660</v>
      </c>
      <c r="C3330" s="82" t="s">
        <v>5422</v>
      </c>
      <c r="D3330" s="83">
        <f>SUMIFS(D3331:D6462,K3331:K6462,"0",B3331:B6462,"5 1 1 5 4 12 31111 6 M59 80400 000132 0000R 00001 00154*")-SUMIFS(E3331:E6462,K3331:K6462,"0",B3331:B6462,"5 1 1 5 4 12 31111 6 M59 80400 000132 0000R 00001 00154*")</f>
        <v>0</v>
      </c>
      <c r="E3330" s="54"/>
      <c r="F3330" s="83">
        <f>SUMIFS(F3331:F6462,K3331:K6462,"0",B3331:B6462,"5 1 1 5 4 12 31111 6 M59 80400 000132 0000R 00001 00154*")</f>
        <v>624</v>
      </c>
      <c r="G3330" s="83">
        <f>SUMIFS(G3331:G6462,K3331:K6462,"0",B3331:B6462,"5 1 1 5 4 12 31111 6 M59 80400 000132 0000R 00001 00154*")</f>
        <v>0</v>
      </c>
      <c r="H3330" s="83">
        <f t="shared" si="52"/>
        <v>624</v>
      </c>
      <c r="I3330" s="83"/>
      <c r="K3330" s="54" t="s">
        <v>15</v>
      </c>
    </row>
    <row r="3331" spans="2:11" ht="24.75" x14ac:dyDescent="0.2">
      <c r="B3331" s="82" t="s">
        <v>5661</v>
      </c>
      <c r="C3331" s="82" t="s">
        <v>1051</v>
      </c>
      <c r="D3331" s="83">
        <f>SUMIFS(D3332:D6462,K3332:K6462,"0",B3332:B6462,"5 1 1 5 4 12 31111 6 M59 80400 000132 0000R 00001 00154 015*")-SUMIFS(E3332:E6462,K3332:K6462,"0",B3332:B6462,"5 1 1 5 4 12 31111 6 M59 80400 000132 0000R 00001 00154 015*")</f>
        <v>0</v>
      </c>
      <c r="E3331" s="54"/>
      <c r="F3331" s="83">
        <f>SUMIFS(F3332:F6462,K3332:K6462,"0",B3332:B6462,"5 1 1 5 4 12 31111 6 M59 80400 000132 0000R 00001 00154 015*")</f>
        <v>624</v>
      </c>
      <c r="G3331" s="83">
        <f>SUMIFS(G3332:G6462,K3332:K6462,"0",B3332:B6462,"5 1 1 5 4 12 31111 6 M59 80400 000132 0000R 00001 00154 015*")</f>
        <v>0</v>
      </c>
      <c r="H3331" s="83">
        <f t="shared" si="52"/>
        <v>624</v>
      </c>
      <c r="I3331" s="83"/>
      <c r="K3331" s="54" t="s">
        <v>15</v>
      </c>
    </row>
    <row r="3332" spans="2:11" ht="33" x14ac:dyDescent="0.2">
      <c r="B3332" s="82" t="s">
        <v>5662</v>
      </c>
      <c r="C3332" s="82" t="s">
        <v>2927</v>
      </c>
      <c r="D3332" s="83">
        <f>SUMIFS(D3333:D6462,K3333:K6462,"0",B3333:B6462,"5 1 1 5 4 12 31111 6 M59 80400 000132 0000R 00001 00154 015 2111100*")-SUMIFS(E3333:E6462,K3333:K6462,"0",B3333:B6462,"5 1 1 5 4 12 31111 6 M59 80400 000132 0000R 00001 00154 015 2111100*")</f>
        <v>0</v>
      </c>
      <c r="E3332" s="54"/>
      <c r="F3332" s="83">
        <f>SUMIFS(F3333:F6462,K3333:K6462,"0",B3333:B6462,"5 1 1 5 4 12 31111 6 M59 80400 000132 0000R 00001 00154 015 2111100*")</f>
        <v>624</v>
      </c>
      <c r="G3332" s="83">
        <f>SUMIFS(G3333:G6462,K3333:K6462,"0",B3333:B6462,"5 1 1 5 4 12 31111 6 M59 80400 000132 0000R 00001 00154 015 2111100*")</f>
        <v>0</v>
      </c>
      <c r="H3332" s="83">
        <f t="shared" si="52"/>
        <v>624</v>
      </c>
      <c r="I3332" s="83"/>
      <c r="K3332" s="54" t="s">
        <v>15</v>
      </c>
    </row>
    <row r="3333" spans="2:11" ht="33" x14ac:dyDescent="0.2">
      <c r="B3333" s="82" t="s">
        <v>5663</v>
      </c>
      <c r="C3333" s="82" t="s">
        <v>660</v>
      </c>
      <c r="D3333" s="83">
        <f>SUMIFS(D3334:D6462,K3334:K6462,"0",B3334:B6462,"5 1 1 5 4 12 31111 6 M59 80400 000132 0000R 00001 00154 015 2111100 2024*")-SUMIFS(E3334:E6462,K3334:K6462,"0",B3334:B6462,"5 1 1 5 4 12 31111 6 M59 80400 000132 0000R 00001 00154 015 2111100 2024*")</f>
        <v>0</v>
      </c>
      <c r="E3333" s="54"/>
      <c r="F3333" s="83">
        <f>SUMIFS(F3334:F6462,K3334:K6462,"0",B3334:B6462,"5 1 1 5 4 12 31111 6 M59 80400 000132 0000R 00001 00154 015 2111100 2024*")</f>
        <v>624</v>
      </c>
      <c r="G3333" s="83">
        <f>SUMIFS(G3334:G6462,K3334:K6462,"0",B3334:B6462,"5 1 1 5 4 12 31111 6 M59 80400 000132 0000R 00001 00154 015 2111100 2024*")</f>
        <v>0</v>
      </c>
      <c r="H3333" s="83">
        <f t="shared" si="52"/>
        <v>624</v>
      </c>
      <c r="I3333" s="83"/>
      <c r="K3333" s="54" t="s">
        <v>15</v>
      </c>
    </row>
    <row r="3334" spans="2:11" ht="41.25" x14ac:dyDescent="0.2">
      <c r="B3334" s="82" t="s">
        <v>5664</v>
      </c>
      <c r="C3334" s="82" t="s">
        <v>1056</v>
      </c>
      <c r="D3334" s="83">
        <f>SUMIFS(D3335:D6462,K3335:K6462,"0",B3335:B6462,"5 1 1 5 4 12 31111 6 M59 80400 000132 0000R 00001 00154 015 2111100 2024 CP1DP403*")-SUMIFS(E3335:E6462,K3335:K6462,"0",B3335:B6462,"5 1 1 5 4 12 31111 6 M59 80400 000132 0000R 00001 00154 015 2111100 2024 CP1DP403*")</f>
        <v>0</v>
      </c>
      <c r="E3334" s="54"/>
      <c r="F3334" s="83">
        <f>SUMIFS(F3335:F6462,K3335:K6462,"0",B3335:B6462,"5 1 1 5 4 12 31111 6 M59 80400 000132 0000R 00001 00154 015 2111100 2024 CP1DP403*")</f>
        <v>624</v>
      </c>
      <c r="G3334" s="83">
        <f>SUMIFS(G3335:G6462,K3335:K6462,"0",B3335:B6462,"5 1 1 5 4 12 31111 6 M59 80400 000132 0000R 00001 00154 015 2111100 2024 CP1DP403*")</f>
        <v>0</v>
      </c>
      <c r="H3334" s="83">
        <f t="shared" si="52"/>
        <v>624</v>
      </c>
      <c r="I3334" s="83"/>
      <c r="K3334" s="54" t="s">
        <v>15</v>
      </c>
    </row>
    <row r="3335" spans="2:11" ht="41.25" x14ac:dyDescent="0.2">
      <c r="B3335" s="82" t="s">
        <v>5665</v>
      </c>
      <c r="C3335" s="82" t="s">
        <v>282</v>
      </c>
      <c r="D3335" s="83">
        <f>SUMIFS(D3336:D6462,K3336:K6462,"0",B3336:B6462,"5 1 1 5 4 12 31111 6 M59 80400 000132 0000R 00001 00154 015 2111100 2024 CP1DP403 001*")-SUMIFS(E3336:E6462,K3336:K6462,"0",B3336:B6462,"5 1 1 5 4 12 31111 6 M59 80400 000132 0000R 00001 00154 015 2111100 2024 CP1DP403 001*")</f>
        <v>0</v>
      </c>
      <c r="E3335" s="54"/>
      <c r="F3335" s="83">
        <f>SUMIFS(F3336:F6462,K3336:K6462,"0",B3336:B6462,"5 1 1 5 4 12 31111 6 M59 80400 000132 0000R 00001 00154 015 2111100 2024 CP1DP403 001*")</f>
        <v>624</v>
      </c>
      <c r="G3335" s="83">
        <f>SUMIFS(G3336:G6462,K3336:K6462,"0",B3336:B6462,"5 1 1 5 4 12 31111 6 M59 80400 000132 0000R 00001 00154 015 2111100 2024 CP1DP403 001*")</f>
        <v>0</v>
      </c>
      <c r="H3335" s="83">
        <f t="shared" si="52"/>
        <v>624</v>
      </c>
      <c r="I3335" s="83"/>
      <c r="K3335" s="54" t="s">
        <v>15</v>
      </c>
    </row>
    <row r="3336" spans="2:11" ht="41.25" x14ac:dyDescent="0.2">
      <c r="B3336" s="84" t="s">
        <v>5666</v>
      </c>
      <c r="C3336" s="84" t="s">
        <v>5443</v>
      </c>
      <c r="D3336" s="85">
        <v>0</v>
      </c>
      <c r="E3336" s="85"/>
      <c r="F3336" s="85">
        <v>424</v>
      </c>
      <c r="G3336" s="85">
        <v>0</v>
      </c>
      <c r="H3336" s="85">
        <f t="shared" si="52"/>
        <v>424</v>
      </c>
      <c r="I3336" s="85"/>
      <c r="K3336" s="54" t="s">
        <v>38</v>
      </c>
    </row>
    <row r="3337" spans="2:11" ht="41.25" x14ac:dyDescent="0.2">
      <c r="B3337" s="84" t="s">
        <v>5667</v>
      </c>
      <c r="C3337" s="84" t="s">
        <v>5459</v>
      </c>
      <c r="D3337" s="85">
        <v>0</v>
      </c>
      <c r="E3337" s="85"/>
      <c r="F3337" s="85">
        <v>200</v>
      </c>
      <c r="G3337" s="85">
        <v>0</v>
      </c>
      <c r="H3337" s="85">
        <f t="shared" si="52"/>
        <v>200</v>
      </c>
      <c r="I3337" s="85"/>
      <c r="K3337" s="54" t="s">
        <v>38</v>
      </c>
    </row>
    <row r="3338" spans="2:11" ht="24.75" x14ac:dyDescent="0.2">
      <c r="B3338" s="82" t="s">
        <v>5668</v>
      </c>
      <c r="C3338" s="82" t="s">
        <v>3571</v>
      </c>
      <c r="D3338" s="83">
        <f>SUMIFS(D3339:D6462,K3339:K6462,"0",B3339:B6462,"5 1 1 5 4 12 31111 6 M59 80500*")-SUMIFS(E3339:E6462,K3339:K6462,"0",B3339:B6462,"5 1 1 5 4 12 31111 6 M59 80500*")</f>
        <v>0</v>
      </c>
      <c r="E3338" s="54"/>
      <c r="F3338" s="83">
        <f>SUMIFS(F3339:F6462,K3339:K6462,"0",B3339:B6462,"5 1 1 5 4 12 31111 6 M59 80500*")</f>
        <v>2172</v>
      </c>
      <c r="G3338" s="83">
        <f>SUMIFS(G3339:G6462,K3339:K6462,"0",B3339:B6462,"5 1 1 5 4 12 31111 6 M59 80500*")</f>
        <v>0</v>
      </c>
      <c r="H3338" s="83">
        <f t="shared" si="52"/>
        <v>2172</v>
      </c>
      <c r="I3338" s="83"/>
      <c r="K3338" s="54" t="s">
        <v>15</v>
      </c>
    </row>
    <row r="3339" spans="2:11" ht="16.5" x14ac:dyDescent="0.2">
      <c r="B3339" s="82" t="s">
        <v>5669</v>
      </c>
      <c r="C3339" s="82" t="s">
        <v>3573</v>
      </c>
      <c r="D3339" s="83">
        <f>SUMIFS(D3340:D6462,K3340:K6462,"0",B3340:B6462,"5 1 1 5 4 12 31111 6 M59 80500 000216*")-SUMIFS(E3340:E6462,K3340:K6462,"0",B3340:B6462,"5 1 1 5 4 12 31111 6 M59 80500 000216*")</f>
        <v>0</v>
      </c>
      <c r="E3339" s="54"/>
      <c r="F3339" s="83">
        <f>SUMIFS(F3340:F6462,K3340:K6462,"0",B3340:B6462,"5 1 1 5 4 12 31111 6 M59 80500 000216*")</f>
        <v>2172</v>
      </c>
      <c r="G3339" s="83">
        <f>SUMIFS(G3340:G6462,K3340:K6462,"0",B3340:B6462,"5 1 1 5 4 12 31111 6 M59 80500 000216*")</f>
        <v>0</v>
      </c>
      <c r="H3339" s="83">
        <f t="shared" si="52"/>
        <v>2172</v>
      </c>
      <c r="I3339" s="83"/>
      <c r="K3339" s="54" t="s">
        <v>15</v>
      </c>
    </row>
    <row r="3340" spans="2:11" ht="16.5" x14ac:dyDescent="0.2">
      <c r="B3340" s="82" t="s">
        <v>5670</v>
      </c>
      <c r="C3340" s="82" t="s">
        <v>650</v>
      </c>
      <c r="D3340" s="83">
        <f>SUMIFS(D3341:D6462,K3341:K6462,"0",B3341:B6462,"5 1 1 5 4 12 31111 6 M59 80500 000216 0000R*")-SUMIFS(E3341:E6462,K3341:K6462,"0",B3341:B6462,"5 1 1 5 4 12 31111 6 M59 80500 000216 0000R*")</f>
        <v>0</v>
      </c>
      <c r="E3340" s="54"/>
      <c r="F3340" s="83">
        <f>SUMIFS(F3341:F6462,K3341:K6462,"0",B3341:B6462,"5 1 1 5 4 12 31111 6 M59 80500 000216 0000R*")</f>
        <v>2172</v>
      </c>
      <c r="G3340" s="83">
        <f>SUMIFS(G3341:G6462,K3341:K6462,"0",B3341:B6462,"5 1 1 5 4 12 31111 6 M59 80500 000216 0000R*")</f>
        <v>0</v>
      </c>
      <c r="H3340" s="83">
        <f t="shared" si="52"/>
        <v>2172</v>
      </c>
      <c r="I3340" s="83"/>
      <c r="K3340" s="54" t="s">
        <v>15</v>
      </c>
    </row>
    <row r="3341" spans="2:11" ht="24.75" x14ac:dyDescent="0.2">
      <c r="B3341" s="82" t="s">
        <v>5671</v>
      </c>
      <c r="C3341" s="82" t="s">
        <v>282</v>
      </c>
      <c r="D3341" s="83">
        <f>SUMIFS(D3342:D6462,K3342:K6462,"0",B3342:B6462,"5 1 1 5 4 12 31111 6 M59 80500 000216 0000R 00001*")-SUMIFS(E3342:E6462,K3342:K6462,"0",B3342:B6462,"5 1 1 5 4 12 31111 6 M59 80500 000216 0000R 00001*")</f>
        <v>0</v>
      </c>
      <c r="E3341" s="54"/>
      <c r="F3341" s="83">
        <f>SUMIFS(F3342:F6462,K3342:K6462,"0",B3342:B6462,"5 1 1 5 4 12 31111 6 M59 80500 000216 0000R 00001*")</f>
        <v>2172</v>
      </c>
      <c r="G3341" s="83">
        <f>SUMIFS(G3342:G6462,K3342:K6462,"0",B3342:B6462,"5 1 1 5 4 12 31111 6 M59 80500 000216 0000R 00001*")</f>
        <v>0</v>
      </c>
      <c r="H3341" s="83">
        <f t="shared" si="52"/>
        <v>2172</v>
      </c>
      <c r="I3341" s="83"/>
      <c r="K3341" s="54" t="s">
        <v>15</v>
      </c>
    </row>
    <row r="3342" spans="2:11" ht="24.75" x14ac:dyDescent="0.2">
      <c r="B3342" s="82" t="s">
        <v>5672</v>
      </c>
      <c r="C3342" s="82" t="s">
        <v>5422</v>
      </c>
      <c r="D3342" s="83">
        <f>SUMIFS(D3343:D6462,K3343:K6462,"0",B3343:B6462,"5 1 1 5 4 12 31111 6 M59 80500 000216 0000R 00001 00154*")-SUMIFS(E3343:E6462,K3343:K6462,"0",B3343:B6462,"5 1 1 5 4 12 31111 6 M59 80500 000216 0000R 00001 00154*")</f>
        <v>0</v>
      </c>
      <c r="E3342" s="54"/>
      <c r="F3342" s="83">
        <f>SUMIFS(F3343:F6462,K3343:K6462,"0",B3343:B6462,"5 1 1 5 4 12 31111 6 M59 80500 000216 0000R 00001 00154*")</f>
        <v>2172</v>
      </c>
      <c r="G3342" s="83">
        <f>SUMIFS(G3343:G6462,K3343:K6462,"0",B3343:B6462,"5 1 1 5 4 12 31111 6 M59 80500 000216 0000R 00001 00154*")</f>
        <v>0</v>
      </c>
      <c r="H3342" s="83">
        <f t="shared" si="52"/>
        <v>2172</v>
      </c>
      <c r="I3342" s="83"/>
      <c r="K3342" s="54" t="s">
        <v>15</v>
      </c>
    </row>
    <row r="3343" spans="2:11" ht="24.75" x14ac:dyDescent="0.2">
      <c r="B3343" s="82" t="s">
        <v>5673</v>
      </c>
      <c r="C3343" s="82" t="s">
        <v>1051</v>
      </c>
      <c r="D3343" s="83">
        <f>SUMIFS(D3344:D6462,K3344:K6462,"0",B3344:B6462,"5 1 1 5 4 12 31111 6 M59 80500 000216 0000R 00001 00154 015*")-SUMIFS(E3344:E6462,K3344:K6462,"0",B3344:B6462,"5 1 1 5 4 12 31111 6 M59 80500 000216 0000R 00001 00154 015*")</f>
        <v>0</v>
      </c>
      <c r="E3343" s="54"/>
      <c r="F3343" s="83">
        <f>SUMIFS(F3344:F6462,K3344:K6462,"0",B3344:B6462,"5 1 1 5 4 12 31111 6 M59 80500 000216 0000R 00001 00154 015*")</f>
        <v>2172</v>
      </c>
      <c r="G3343" s="83">
        <f>SUMIFS(G3344:G6462,K3344:K6462,"0",B3344:B6462,"5 1 1 5 4 12 31111 6 M59 80500 000216 0000R 00001 00154 015*")</f>
        <v>0</v>
      </c>
      <c r="H3343" s="83">
        <f t="shared" si="52"/>
        <v>2172</v>
      </c>
      <c r="I3343" s="83"/>
      <c r="K3343" s="54" t="s">
        <v>15</v>
      </c>
    </row>
    <row r="3344" spans="2:11" ht="33" x14ac:dyDescent="0.2">
      <c r="B3344" s="82" t="s">
        <v>5674</v>
      </c>
      <c r="C3344" s="82" t="s">
        <v>2927</v>
      </c>
      <c r="D3344" s="83">
        <f>SUMIFS(D3345:D6462,K3345:K6462,"0",B3345:B6462,"5 1 1 5 4 12 31111 6 M59 80500 000216 0000R 00001 00154 015 2111100*")-SUMIFS(E3345:E6462,K3345:K6462,"0",B3345:B6462,"5 1 1 5 4 12 31111 6 M59 80500 000216 0000R 00001 00154 015 2111100*")</f>
        <v>0</v>
      </c>
      <c r="E3344" s="54"/>
      <c r="F3344" s="83">
        <f>SUMIFS(F3345:F6462,K3345:K6462,"0",B3345:B6462,"5 1 1 5 4 12 31111 6 M59 80500 000216 0000R 00001 00154 015 2111100*")</f>
        <v>2172</v>
      </c>
      <c r="G3344" s="83">
        <f>SUMIFS(G3345:G6462,K3345:K6462,"0",B3345:B6462,"5 1 1 5 4 12 31111 6 M59 80500 000216 0000R 00001 00154 015 2111100*")</f>
        <v>0</v>
      </c>
      <c r="H3344" s="83">
        <f t="shared" si="52"/>
        <v>2172</v>
      </c>
      <c r="I3344" s="83"/>
      <c r="K3344" s="54" t="s">
        <v>15</v>
      </c>
    </row>
    <row r="3345" spans="2:11" ht="33" x14ac:dyDescent="0.2">
      <c r="B3345" s="82" t="s">
        <v>5675</v>
      </c>
      <c r="C3345" s="82" t="s">
        <v>660</v>
      </c>
      <c r="D3345" s="83">
        <f>SUMIFS(D3346:D6462,K3346:K6462,"0",B3346:B6462,"5 1 1 5 4 12 31111 6 M59 80500 000216 0000R 00001 00154 015 2111100 2024*")-SUMIFS(E3346:E6462,K3346:K6462,"0",B3346:B6462,"5 1 1 5 4 12 31111 6 M59 80500 000216 0000R 00001 00154 015 2111100 2024*")</f>
        <v>0</v>
      </c>
      <c r="E3345" s="54"/>
      <c r="F3345" s="83">
        <f>SUMIFS(F3346:F6462,K3346:K6462,"0",B3346:B6462,"5 1 1 5 4 12 31111 6 M59 80500 000216 0000R 00001 00154 015 2111100 2024*")</f>
        <v>2172</v>
      </c>
      <c r="G3345" s="83">
        <f>SUMIFS(G3346:G6462,K3346:K6462,"0",B3346:B6462,"5 1 1 5 4 12 31111 6 M59 80500 000216 0000R 00001 00154 015 2111100 2024*")</f>
        <v>0</v>
      </c>
      <c r="H3345" s="83">
        <f t="shared" si="52"/>
        <v>2172</v>
      </c>
      <c r="I3345" s="83"/>
      <c r="K3345" s="54" t="s">
        <v>15</v>
      </c>
    </row>
    <row r="3346" spans="2:11" ht="41.25" x14ac:dyDescent="0.2">
      <c r="B3346" s="82" t="s">
        <v>5676</v>
      </c>
      <c r="C3346" s="82" t="s">
        <v>1056</v>
      </c>
      <c r="D3346" s="83">
        <f>SUMIFS(D3347:D6462,K3347:K6462,"0",B3347:B6462,"5 1 1 5 4 12 31111 6 M59 80500 000216 0000R 00001 00154 015 2111100 2024 CP1MA417*")-SUMIFS(E3347:E6462,K3347:K6462,"0",B3347:B6462,"5 1 1 5 4 12 31111 6 M59 80500 000216 0000R 00001 00154 015 2111100 2024 CP1MA417*")</f>
        <v>0</v>
      </c>
      <c r="E3346" s="54"/>
      <c r="F3346" s="83">
        <f>SUMIFS(F3347:F6462,K3347:K6462,"0",B3347:B6462,"5 1 1 5 4 12 31111 6 M59 80500 000216 0000R 00001 00154 015 2111100 2024 CP1MA417*")</f>
        <v>2172</v>
      </c>
      <c r="G3346" s="83">
        <f>SUMIFS(G3347:G6462,K3347:K6462,"0",B3347:B6462,"5 1 1 5 4 12 31111 6 M59 80500 000216 0000R 00001 00154 015 2111100 2024 CP1MA417*")</f>
        <v>0</v>
      </c>
      <c r="H3346" s="83">
        <f t="shared" si="52"/>
        <v>2172</v>
      </c>
      <c r="I3346" s="83"/>
      <c r="K3346" s="54" t="s">
        <v>15</v>
      </c>
    </row>
    <row r="3347" spans="2:11" ht="41.25" x14ac:dyDescent="0.2">
      <c r="B3347" s="82" t="s">
        <v>5677</v>
      </c>
      <c r="C3347" s="82" t="s">
        <v>282</v>
      </c>
      <c r="D3347" s="83">
        <f>SUMIFS(D3348:D6462,K3348:K6462,"0",B3348:B6462,"5 1 1 5 4 12 31111 6 M59 80500 000216 0000R 00001 00154 015 2111100 2024 CP1MA417 001*")-SUMIFS(E3348:E6462,K3348:K6462,"0",B3348:B6462,"5 1 1 5 4 12 31111 6 M59 80500 000216 0000R 00001 00154 015 2111100 2024 CP1MA417 001*")</f>
        <v>0</v>
      </c>
      <c r="E3347" s="54"/>
      <c r="F3347" s="83">
        <f>SUMIFS(F3348:F6462,K3348:K6462,"0",B3348:B6462,"5 1 1 5 4 12 31111 6 M59 80500 000216 0000R 00001 00154 015 2111100 2024 CP1MA417 001*")</f>
        <v>2172</v>
      </c>
      <c r="G3347" s="83">
        <f>SUMIFS(G3348:G6462,K3348:K6462,"0",B3348:B6462,"5 1 1 5 4 12 31111 6 M59 80500 000216 0000R 00001 00154 015 2111100 2024 CP1MA417 001*")</f>
        <v>0</v>
      </c>
      <c r="H3347" s="83">
        <f t="shared" si="52"/>
        <v>2172</v>
      </c>
      <c r="I3347" s="83"/>
      <c r="K3347" s="54" t="s">
        <v>15</v>
      </c>
    </row>
    <row r="3348" spans="2:11" ht="33" x14ac:dyDescent="0.2">
      <c r="B3348" s="84" t="s">
        <v>5678</v>
      </c>
      <c r="C3348" s="84" t="s">
        <v>5443</v>
      </c>
      <c r="D3348" s="85">
        <v>0</v>
      </c>
      <c r="E3348" s="85"/>
      <c r="F3348" s="85">
        <v>1272</v>
      </c>
      <c r="G3348" s="85">
        <v>0</v>
      </c>
      <c r="H3348" s="85">
        <f t="shared" si="52"/>
        <v>1272</v>
      </c>
      <c r="I3348" s="85"/>
      <c r="K3348" s="54" t="s">
        <v>38</v>
      </c>
    </row>
    <row r="3349" spans="2:11" ht="33" x14ac:dyDescent="0.2">
      <c r="B3349" s="84" t="s">
        <v>5679</v>
      </c>
      <c r="C3349" s="84" t="s">
        <v>5431</v>
      </c>
      <c r="D3349" s="85">
        <v>0</v>
      </c>
      <c r="E3349" s="85"/>
      <c r="F3349" s="85">
        <v>900</v>
      </c>
      <c r="G3349" s="85">
        <v>0</v>
      </c>
      <c r="H3349" s="85">
        <f t="shared" si="52"/>
        <v>900</v>
      </c>
      <c r="I3349" s="85"/>
      <c r="K3349" s="54" t="s">
        <v>38</v>
      </c>
    </row>
    <row r="3350" spans="2:11" ht="16.5" x14ac:dyDescent="0.2">
      <c r="B3350" s="82" t="s">
        <v>5680</v>
      </c>
      <c r="C3350" s="82" t="s">
        <v>3596</v>
      </c>
      <c r="D3350" s="83">
        <f>SUMIFS(D3351:D6462,K3351:K6462,"0",B3351:B6462,"5 1 1 5 4 12 31111 6 M59 90000*")-SUMIFS(E3351:E6462,K3351:K6462,"0",B3351:B6462,"5 1 1 5 4 12 31111 6 M59 90000*")</f>
        <v>0</v>
      </c>
      <c r="E3350" s="54"/>
      <c r="F3350" s="83">
        <f>SUMIFS(F3351:F6462,K3351:K6462,"0",B3351:B6462,"5 1 1 5 4 12 31111 6 M59 90000*")</f>
        <v>20026.43</v>
      </c>
      <c r="G3350" s="83">
        <f>SUMIFS(G3351:G6462,K3351:K6462,"0",B3351:B6462,"5 1 1 5 4 12 31111 6 M59 90000*")</f>
        <v>0</v>
      </c>
      <c r="H3350" s="83">
        <f t="shared" si="52"/>
        <v>20026.43</v>
      </c>
      <c r="I3350" s="83"/>
      <c r="K3350" s="54" t="s">
        <v>15</v>
      </c>
    </row>
    <row r="3351" spans="2:11" ht="16.5" x14ac:dyDescent="0.2">
      <c r="B3351" s="82" t="s">
        <v>5681</v>
      </c>
      <c r="C3351" s="82" t="s">
        <v>648</v>
      </c>
      <c r="D3351" s="83">
        <f>SUMIFS(D3352:D6462,K3352:K6462,"0",B3352:B6462,"5 1 1 5 4 12 31111 6 M59 90000 000132*")-SUMIFS(E3352:E6462,K3352:K6462,"0",B3352:B6462,"5 1 1 5 4 12 31111 6 M59 90000 000132*")</f>
        <v>0</v>
      </c>
      <c r="E3351" s="54"/>
      <c r="F3351" s="83">
        <f>SUMIFS(F3352:F6462,K3352:K6462,"0",B3352:B6462,"5 1 1 5 4 12 31111 6 M59 90000 000132*")</f>
        <v>20026.43</v>
      </c>
      <c r="G3351" s="83">
        <f>SUMIFS(G3352:G6462,K3352:K6462,"0",B3352:B6462,"5 1 1 5 4 12 31111 6 M59 90000 000132*")</f>
        <v>0</v>
      </c>
      <c r="H3351" s="83">
        <f t="shared" si="52"/>
        <v>20026.43</v>
      </c>
      <c r="I3351" s="83"/>
      <c r="K3351" s="54" t="s">
        <v>15</v>
      </c>
    </row>
    <row r="3352" spans="2:11" ht="16.5" x14ac:dyDescent="0.2">
      <c r="B3352" s="82" t="s">
        <v>5682</v>
      </c>
      <c r="C3352" s="82" t="s">
        <v>650</v>
      </c>
      <c r="D3352" s="83">
        <f>SUMIFS(D3353:D6462,K3353:K6462,"0",B3353:B6462,"5 1 1 5 4 12 31111 6 M59 90000 000132 0000R*")-SUMIFS(E3353:E6462,K3353:K6462,"0",B3353:B6462,"5 1 1 5 4 12 31111 6 M59 90000 000132 0000R*")</f>
        <v>0</v>
      </c>
      <c r="E3352" s="54"/>
      <c r="F3352" s="83">
        <f>SUMIFS(F3353:F6462,K3353:K6462,"0",B3353:B6462,"5 1 1 5 4 12 31111 6 M59 90000 000132 0000R*")</f>
        <v>20026.43</v>
      </c>
      <c r="G3352" s="83">
        <f>SUMIFS(G3353:G6462,K3353:K6462,"0",B3353:B6462,"5 1 1 5 4 12 31111 6 M59 90000 000132 0000R*")</f>
        <v>0</v>
      </c>
      <c r="H3352" s="83">
        <f t="shared" si="52"/>
        <v>20026.43</v>
      </c>
      <c r="I3352" s="83"/>
      <c r="K3352" s="54" t="s">
        <v>15</v>
      </c>
    </row>
    <row r="3353" spans="2:11" ht="24.75" x14ac:dyDescent="0.2">
      <c r="B3353" s="82" t="s">
        <v>5683</v>
      </c>
      <c r="C3353" s="82" t="s">
        <v>282</v>
      </c>
      <c r="D3353" s="83">
        <f>SUMIFS(D3354:D6462,K3354:K6462,"0",B3354:B6462,"5 1 1 5 4 12 31111 6 M59 90000 000132 0000R 00001*")-SUMIFS(E3354:E6462,K3354:K6462,"0",B3354:B6462,"5 1 1 5 4 12 31111 6 M59 90000 000132 0000R 00001*")</f>
        <v>0</v>
      </c>
      <c r="E3353" s="54"/>
      <c r="F3353" s="83">
        <f>SUMIFS(F3354:F6462,K3354:K6462,"0",B3354:B6462,"5 1 1 5 4 12 31111 6 M59 90000 000132 0000R 00001*")</f>
        <v>20026.43</v>
      </c>
      <c r="G3353" s="83">
        <f>SUMIFS(G3354:G6462,K3354:K6462,"0",B3354:B6462,"5 1 1 5 4 12 31111 6 M59 90000 000132 0000R 00001*")</f>
        <v>0</v>
      </c>
      <c r="H3353" s="83">
        <f t="shared" si="52"/>
        <v>20026.43</v>
      </c>
      <c r="I3353" s="83"/>
      <c r="K3353" s="54" t="s">
        <v>15</v>
      </c>
    </row>
    <row r="3354" spans="2:11" ht="24.75" x14ac:dyDescent="0.2">
      <c r="B3354" s="82" t="s">
        <v>5684</v>
      </c>
      <c r="C3354" s="82" t="s">
        <v>5422</v>
      </c>
      <c r="D3354" s="83">
        <f>SUMIFS(D3355:D6462,K3355:K6462,"0",B3355:B6462,"5 1 1 5 4 12 31111 6 M59 90000 000132 0000R 00001 00154*")-SUMIFS(E3355:E6462,K3355:K6462,"0",B3355:B6462,"5 1 1 5 4 12 31111 6 M59 90000 000132 0000R 00001 00154*")</f>
        <v>0</v>
      </c>
      <c r="E3354" s="54"/>
      <c r="F3354" s="83">
        <f>SUMIFS(F3355:F6462,K3355:K6462,"0",B3355:B6462,"5 1 1 5 4 12 31111 6 M59 90000 000132 0000R 00001 00154*")</f>
        <v>20026.43</v>
      </c>
      <c r="G3354" s="83">
        <f>SUMIFS(G3355:G6462,K3355:K6462,"0",B3355:B6462,"5 1 1 5 4 12 31111 6 M59 90000 000132 0000R 00001 00154*")</f>
        <v>0</v>
      </c>
      <c r="H3354" s="83">
        <f t="shared" si="52"/>
        <v>20026.43</v>
      </c>
      <c r="I3354" s="83"/>
      <c r="K3354" s="54" t="s">
        <v>15</v>
      </c>
    </row>
    <row r="3355" spans="2:11" ht="24.75" x14ac:dyDescent="0.2">
      <c r="B3355" s="82" t="s">
        <v>5685</v>
      </c>
      <c r="C3355" s="82" t="s">
        <v>1051</v>
      </c>
      <c r="D3355" s="83">
        <f>SUMIFS(D3356:D6462,K3356:K6462,"0",B3356:B6462,"5 1 1 5 4 12 31111 6 M59 90000 000132 0000R 00001 00154 015*")-SUMIFS(E3356:E6462,K3356:K6462,"0",B3356:B6462,"5 1 1 5 4 12 31111 6 M59 90000 000132 0000R 00001 00154 015*")</f>
        <v>0</v>
      </c>
      <c r="E3355" s="54"/>
      <c r="F3355" s="83">
        <f>SUMIFS(F3356:F6462,K3356:K6462,"0",B3356:B6462,"5 1 1 5 4 12 31111 6 M59 90000 000132 0000R 00001 00154 015*")</f>
        <v>20026.43</v>
      </c>
      <c r="G3355" s="83">
        <f>SUMIFS(G3356:G6462,K3356:K6462,"0",B3356:B6462,"5 1 1 5 4 12 31111 6 M59 90000 000132 0000R 00001 00154 015*")</f>
        <v>0</v>
      </c>
      <c r="H3355" s="83">
        <f t="shared" si="52"/>
        <v>20026.43</v>
      </c>
      <c r="I3355" s="83"/>
      <c r="K3355" s="54" t="s">
        <v>15</v>
      </c>
    </row>
    <row r="3356" spans="2:11" ht="33" x14ac:dyDescent="0.2">
      <c r="B3356" s="82" t="s">
        <v>5686</v>
      </c>
      <c r="C3356" s="82" t="s">
        <v>2927</v>
      </c>
      <c r="D3356" s="83">
        <f>SUMIFS(D3357:D6462,K3357:K6462,"0",B3357:B6462,"5 1 1 5 4 12 31111 6 M59 90000 000132 0000R 00001 00154 015 2111100*")-SUMIFS(E3357:E6462,K3357:K6462,"0",B3357:B6462,"5 1 1 5 4 12 31111 6 M59 90000 000132 0000R 00001 00154 015 2111100*")</f>
        <v>0</v>
      </c>
      <c r="E3356" s="54"/>
      <c r="F3356" s="83">
        <f>SUMIFS(F3357:F6462,K3357:K6462,"0",B3357:B6462,"5 1 1 5 4 12 31111 6 M59 90000 000132 0000R 00001 00154 015 2111100*")</f>
        <v>20026.43</v>
      </c>
      <c r="G3356" s="83">
        <f>SUMIFS(G3357:G6462,K3357:K6462,"0",B3357:B6462,"5 1 1 5 4 12 31111 6 M59 90000 000132 0000R 00001 00154 015 2111100*")</f>
        <v>0</v>
      </c>
      <c r="H3356" s="83">
        <f t="shared" si="52"/>
        <v>20026.43</v>
      </c>
      <c r="I3356" s="83"/>
      <c r="K3356" s="54" t="s">
        <v>15</v>
      </c>
    </row>
    <row r="3357" spans="2:11" ht="33" x14ac:dyDescent="0.2">
      <c r="B3357" s="82" t="s">
        <v>5687</v>
      </c>
      <c r="C3357" s="82" t="s">
        <v>660</v>
      </c>
      <c r="D3357" s="83">
        <f>SUMIFS(D3358:D6462,K3358:K6462,"0",B3358:B6462,"5 1 1 5 4 12 31111 6 M59 90000 000132 0000R 00001 00154 015 2111100 2024*")-SUMIFS(E3358:E6462,K3358:K6462,"0",B3358:B6462,"5 1 1 5 4 12 31111 6 M59 90000 000132 0000R 00001 00154 015 2111100 2024*")</f>
        <v>0</v>
      </c>
      <c r="E3357" s="54"/>
      <c r="F3357" s="83">
        <f>SUMIFS(F3358:F6462,K3358:K6462,"0",B3358:B6462,"5 1 1 5 4 12 31111 6 M59 90000 000132 0000R 00001 00154 015 2111100 2024*")</f>
        <v>20026.43</v>
      </c>
      <c r="G3357" s="83">
        <f>SUMIFS(G3358:G6462,K3358:K6462,"0",B3358:B6462,"5 1 1 5 4 12 31111 6 M59 90000 000132 0000R 00001 00154 015 2111100 2024*")</f>
        <v>0</v>
      </c>
      <c r="H3357" s="83">
        <f t="shared" si="52"/>
        <v>20026.43</v>
      </c>
      <c r="I3357" s="83"/>
      <c r="K3357" s="54" t="s">
        <v>15</v>
      </c>
    </row>
    <row r="3358" spans="2:11" ht="41.25" x14ac:dyDescent="0.2">
      <c r="B3358" s="82" t="s">
        <v>5688</v>
      </c>
      <c r="C3358" s="82" t="s">
        <v>1056</v>
      </c>
      <c r="D3358" s="83">
        <f>SUMIFS(D3359:D6462,K3359:K6462,"0",B3359:B6462,"5 1 1 5 4 12 31111 6 M59 90000 000132 0000R 00001 00154 015 2111100 2024 CP1SG383*")-SUMIFS(E3359:E6462,K3359:K6462,"0",B3359:B6462,"5 1 1 5 4 12 31111 6 M59 90000 000132 0000R 00001 00154 015 2111100 2024 CP1SG383*")</f>
        <v>0</v>
      </c>
      <c r="E3358" s="54"/>
      <c r="F3358" s="83">
        <f>SUMIFS(F3359:F6462,K3359:K6462,"0",B3359:B6462,"5 1 1 5 4 12 31111 6 M59 90000 000132 0000R 00001 00154 015 2111100 2024 CP1SG383*")</f>
        <v>20026.43</v>
      </c>
      <c r="G3358" s="83">
        <f>SUMIFS(G3359:G6462,K3359:K6462,"0",B3359:B6462,"5 1 1 5 4 12 31111 6 M59 90000 000132 0000R 00001 00154 015 2111100 2024 CP1SG383*")</f>
        <v>0</v>
      </c>
      <c r="H3358" s="83">
        <f t="shared" si="52"/>
        <v>20026.43</v>
      </c>
      <c r="I3358" s="83"/>
      <c r="K3358" s="54" t="s">
        <v>15</v>
      </c>
    </row>
    <row r="3359" spans="2:11" ht="41.25" x14ac:dyDescent="0.2">
      <c r="B3359" s="82" t="s">
        <v>5689</v>
      </c>
      <c r="C3359" s="82" t="s">
        <v>282</v>
      </c>
      <c r="D3359" s="83">
        <f>SUMIFS(D3360:D6462,K3360:K6462,"0",B3360:B6462,"5 1 1 5 4 12 31111 6 M59 90000 000132 0000R 00001 00154 015 2111100 2024 CP1SG383 001*")-SUMIFS(E3360:E6462,K3360:K6462,"0",B3360:B6462,"5 1 1 5 4 12 31111 6 M59 90000 000132 0000R 00001 00154 015 2111100 2024 CP1SG383 001*")</f>
        <v>0</v>
      </c>
      <c r="E3359" s="54"/>
      <c r="F3359" s="83">
        <f>SUMIFS(F3360:F6462,K3360:K6462,"0",B3360:B6462,"5 1 1 5 4 12 31111 6 M59 90000 000132 0000R 00001 00154 015 2111100 2024 CP1SG383 001*")</f>
        <v>20026.43</v>
      </c>
      <c r="G3359" s="83">
        <f>SUMIFS(G3360:G6462,K3360:K6462,"0",B3360:B6462,"5 1 1 5 4 12 31111 6 M59 90000 000132 0000R 00001 00154 015 2111100 2024 CP1SG383 001*")</f>
        <v>0</v>
      </c>
      <c r="H3359" s="83">
        <f t="shared" si="52"/>
        <v>20026.43</v>
      </c>
      <c r="I3359" s="83"/>
      <c r="K3359" s="54" t="s">
        <v>15</v>
      </c>
    </row>
    <row r="3360" spans="2:11" ht="41.25" x14ac:dyDescent="0.2">
      <c r="B3360" s="84" t="s">
        <v>5690</v>
      </c>
      <c r="C3360" s="84" t="s">
        <v>5443</v>
      </c>
      <c r="D3360" s="85">
        <v>0</v>
      </c>
      <c r="E3360" s="85"/>
      <c r="F3360" s="85">
        <v>4308</v>
      </c>
      <c r="G3360" s="85">
        <v>0</v>
      </c>
      <c r="H3360" s="85">
        <f t="shared" si="52"/>
        <v>4308</v>
      </c>
      <c r="I3360" s="85"/>
      <c r="K3360" s="54" t="s">
        <v>38</v>
      </c>
    </row>
    <row r="3361" spans="2:11" ht="41.25" x14ac:dyDescent="0.2">
      <c r="B3361" s="84" t="s">
        <v>5691</v>
      </c>
      <c r="C3361" s="84" t="s">
        <v>5431</v>
      </c>
      <c r="D3361" s="85">
        <v>0</v>
      </c>
      <c r="E3361" s="85"/>
      <c r="F3361" s="85">
        <v>4042.8</v>
      </c>
      <c r="G3361" s="85">
        <v>0</v>
      </c>
      <c r="H3361" s="85">
        <f t="shared" si="52"/>
        <v>4042.8</v>
      </c>
      <c r="I3361" s="85"/>
      <c r="K3361" s="54" t="s">
        <v>38</v>
      </c>
    </row>
    <row r="3362" spans="2:11" ht="41.25" x14ac:dyDescent="0.2">
      <c r="B3362" s="84" t="s">
        <v>5692</v>
      </c>
      <c r="C3362" s="84" t="s">
        <v>5446</v>
      </c>
      <c r="D3362" s="85">
        <v>0</v>
      </c>
      <c r="E3362" s="85"/>
      <c r="F3362" s="85">
        <v>11675.63</v>
      </c>
      <c r="G3362" s="85">
        <v>0</v>
      </c>
      <c r="H3362" s="85">
        <f t="shared" si="52"/>
        <v>11675.63</v>
      </c>
      <c r="I3362" s="85"/>
      <c r="K3362" s="54" t="s">
        <v>38</v>
      </c>
    </row>
    <row r="3363" spans="2:11" ht="16.5" x14ac:dyDescent="0.2">
      <c r="B3363" s="82" t="s">
        <v>5693</v>
      </c>
      <c r="C3363" s="82" t="s">
        <v>3608</v>
      </c>
      <c r="D3363" s="83">
        <f>SUMIFS(D3364:D6462,K3364:K6462,"0",B3364:B6462,"5 1 1 5 4 12 31111 6 M59 91000*")-SUMIFS(E3364:E6462,K3364:K6462,"0",B3364:B6462,"5 1 1 5 4 12 31111 6 M59 91000*")</f>
        <v>0</v>
      </c>
      <c r="E3363" s="54"/>
      <c r="F3363" s="83">
        <f>SUMIFS(F3364:F6462,K3364:K6462,"0",B3364:B6462,"5 1 1 5 4 12 31111 6 M59 91000*")</f>
        <v>17589.71</v>
      </c>
      <c r="G3363" s="83">
        <f>SUMIFS(G3364:G6462,K3364:K6462,"0",B3364:B6462,"5 1 1 5 4 12 31111 6 M59 91000*")</f>
        <v>0</v>
      </c>
      <c r="H3363" s="83">
        <f t="shared" si="52"/>
        <v>17589.71</v>
      </c>
      <c r="I3363" s="83"/>
      <c r="K3363" s="54" t="s">
        <v>15</v>
      </c>
    </row>
    <row r="3364" spans="2:11" ht="16.5" x14ac:dyDescent="0.2">
      <c r="B3364" s="82" t="s">
        <v>5694</v>
      </c>
      <c r="C3364" s="82" t="s">
        <v>648</v>
      </c>
      <c r="D3364" s="83">
        <f>SUMIFS(D3365:D6462,K3365:K6462,"0",B3365:B6462,"5 1 1 5 4 12 31111 6 M59 91000 000132*")-SUMIFS(E3365:E6462,K3365:K6462,"0",B3365:B6462,"5 1 1 5 4 12 31111 6 M59 91000 000132*")</f>
        <v>0</v>
      </c>
      <c r="E3364" s="54"/>
      <c r="F3364" s="83">
        <f>SUMIFS(F3365:F6462,K3365:K6462,"0",B3365:B6462,"5 1 1 5 4 12 31111 6 M59 91000 000132*")</f>
        <v>17589.71</v>
      </c>
      <c r="G3364" s="83">
        <f>SUMIFS(G3365:G6462,K3365:K6462,"0",B3365:B6462,"5 1 1 5 4 12 31111 6 M59 91000 000132*")</f>
        <v>0</v>
      </c>
      <c r="H3364" s="83">
        <f t="shared" si="52"/>
        <v>17589.71</v>
      </c>
      <c r="I3364" s="83"/>
      <c r="K3364" s="54" t="s">
        <v>15</v>
      </c>
    </row>
    <row r="3365" spans="2:11" ht="16.5" x14ac:dyDescent="0.2">
      <c r="B3365" s="82" t="s">
        <v>5695</v>
      </c>
      <c r="C3365" s="82" t="s">
        <v>650</v>
      </c>
      <c r="D3365" s="83">
        <f>SUMIFS(D3366:D6462,K3366:K6462,"0",B3366:B6462,"5 1 1 5 4 12 31111 6 M59 91000 000132 0000R*")-SUMIFS(E3366:E6462,K3366:K6462,"0",B3366:B6462,"5 1 1 5 4 12 31111 6 M59 91000 000132 0000R*")</f>
        <v>0</v>
      </c>
      <c r="E3365" s="54"/>
      <c r="F3365" s="83">
        <f>SUMIFS(F3366:F6462,K3366:K6462,"0",B3366:B6462,"5 1 1 5 4 12 31111 6 M59 91000 000132 0000R*")</f>
        <v>17589.71</v>
      </c>
      <c r="G3365" s="83">
        <f>SUMIFS(G3366:G6462,K3366:K6462,"0",B3366:B6462,"5 1 1 5 4 12 31111 6 M59 91000 000132 0000R*")</f>
        <v>0</v>
      </c>
      <c r="H3365" s="83">
        <f t="shared" si="52"/>
        <v>17589.71</v>
      </c>
      <c r="I3365" s="83"/>
      <c r="K3365" s="54" t="s">
        <v>15</v>
      </c>
    </row>
    <row r="3366" spans="2:11" ht="24.75" x14ac:dyDescent="0.2">
      <c r="B3366" s="82" t="s">
        <v>5696</v>
      </c>
      <c r="C3366" s="82" t="s">
        <v>282</v>
      </c>
      <c r="D3366" s="83">
        <f>SUMIFS(D3367:D6462,K3367:K6462,"0",B3367:B6462,"5 1 1 5 4 12 31111 6 M59 91000 000132 0000R 00001*")-SUMIFS(E3367:E6462,K3367:K6462,"0",B3367:B6462,"5 1 1 5 4 12 31111 6 M59 91000 000132 0000R 00001*")</f>
        <v>0</v>
      </c>
      <c r="E3366" s="54"/>
      <c r="F3366" s="83">
        <f>SUMIFS(F3367:F6462,K3367:K6462,"0",B3367:B6462,"5 1 1 5 4 12 31111 6 M59 91000 000132 0000R 00001*")</f>
        <v>17589.71</v>
      </c>
      <c r="G3366" s="83">
        <f>SUMIFS(G3367:G6462,K3367:K6462,"0",B3367:B6462,"5 1 1 5 4 12 31111 6 M59 91000 000132 0000R 00001*")</f>
        <v>0</v>
      </c>
      <c r="H3366" s="83">
        <f t="shared" si="52"/>
        <v>17589.71</v>
      </c>
      <c r="I3366" s="83"/>
      <c r="K3366" s="54" t="s">
        <v>15</v>
      </c>
    </row>
    <row r="3367" spans="2:11" ht="24.75" x14ac:dyDescent="0.2">
      <c r="B3367" s="82" t="s">
        <v>5697</v>
      </c>
      <c r="C3367" s="82" t="s">
        <v>5422</v>
      </c>
      <c r="D3367" s="83">
        <f>SUMIFS(D3368:D6462,K3368:K6462,"0",B3368:B6462,"5 1 1 5 4 12 31111 6 M59 91000 000132 0000R 00001 00154*")-SUMIFS(E3368:E6462,K3368:K6462,"0",B3368:B6462,"5 1 1 5 4 12 31111 6 M59 91000 000132 0000R 00001 00154*")</f>
        <v>0</v>
      </c>
      <c r="E3367" s="54"/>
      <c r="F3367" s="83">
        <f>SUMIFS(F3368:F6462,K3368:K6462,"0",B3368:B6462,"5 1 1 5 4 12 31111 6 M59 91000 000132 0000R 00001 00154*")</f>
        <v>17589.71</v>
      </c>
      <c r="G3367" s="83">
        <f>SUMIFS(G3368:G6462,K3368:K6462,"0",B3368:B6462,"5 1 1 5 4 12 31111 6 M59 91000 000132 0000R 00001 00154*")</f>
        <v>0</v>
      </c>
      <c r="H3367" s="83">
        <f t="shared" si="52"/>
        <v>17589.71</v>
      </c>
      <c r="I3367" s="83"/>
      <c r="K3367" s="54" t="s">
        <v>15</v>
      </c>
    </row>
    <row r="3368" spans="2:11" ht="24.75" x14ac:dyDescent="0.2">
      <c r="B3368" s="82" t="s">
        <v>5698</v>
      </c>
      <c r="C3368" s="82" t="s">
        <v>1051</v>
      </c>
      <c r="D3368" s="83">
        <f>SUMIFS(D3369:D6462,K3369:K6462,"0",B3369:B6462,"5 1 1 5 4 12 31111 6 M59 91000 000132 0000R 00001 00154 015*")-SUMIFS(E3369:E6462,K3369:K6462,"0",B3369:B6462,"5 1 1 5 4 12 31111 6 M59 91000 000132 0000R 00001 00154 015*")</f>
        <v>0</v>
      </c>
      <c r="E3368" s="54"/>
      <c r="F3368" s="83">
        <f>SUMIFS(F3369:F6462,K3369:K6462,"0",B3369:B6462,"5 1 1 5 4 12 31111 6 M59 91000 000132 0000R 00001 00154 015*")</f>
        <v>17589.71</v>
      </c>
      <c r="G3368" s="83">
        <f>SUMIFS(G3369:G6462,K3369:K6462,"0",B3369:B6462,"5 1 1 5 4 12 31111 6 M59 91000 000132 0000R 00001 00154 015*")</f>
        <v>0</v>
      </c>
      <c r="H3368" s="83">
        <f t="shared" si="52"/>
        <v>17589.71</v>
      </c>
      <c r="I3368" s="83"/>
      <c r="K3368" s="54" t="s">
        <v>15</v>
      </c>
    </row>
    <row r="3369" spans="2:11" ht="33" x14ac:dyDescent="0.2">
      <c r="B3369" s="82" t="s">
        <v>5699</v>
      </c>
      <c r="C3369" s="82" t="s">
        <v>2927</v>
      </c>
      <c r="D3369" s="83">
        <f>SUMIFS(D3370:D6462,K3370:K6462,"0",B3370:B6462,"5 1 1 5 4 12 31111 6 M59 91000 000132 0000R 00001 00154 015 2111100*")-SUMIFS(E3370:E6462,K3370:K6462,"0",B3370:B6462,"5 1 1 5 4 12 31111 6 M59 91000 000132 0000R 00001 00154 015 2111100*")</f>
        <v>0</v>
      </c>
      <c r="E3369" s="54"/>
      <c r="F3369" s="83">
        <f>SUMIFS(F3370:F6462,K3370:K6462,"0",B3370:B6462,"5 1 1 5 4 12 31111 6 M59 91000 000132 0000R 00001 00154 015 2111100*")</f>
        <v>17589.71</v>
      </c>
      <c r="G3369" s="83">
        <f>SUMIFS(G3370:G6462,K3370:K6462,"0",B3370:B6462,"5 1 1 5 4 12 31111 6 M59 91000 000132 0000R 00001 00154 015 2111100*")</f>
        <v>0</v>
      </c>
      <c r="H3369" s="83">
        <f t="shared" si="52"/>
        <v>17589.71</v>
      </c>
      <c r="I3369" s="83"/>
      <c r="K3369" s="54" t="s">
        <v>15</v>
      </c>
    </row>
    <row r="3370" spans="2:11" ht="33" x14ac:dyDescent="0.2">
      <c r="B3370" s="82" t="s">
        <v>5700</v>
      </c>
      <c r="C3370" s="82" t="s">
        <v>660</v>
      </c>
      <c r="D3370" s="83">
        <f>SUMIFS(D3371:D6462,K3371:K6462,"0",B3371:B6462,"5 1 1 5 4 12 31111 6 M59 91000 000132 0000R 00001 00154 015 2111100 2024*")-SUMIFS(E3371:E6462,K3371:K6462,"0",B3371:B6462,"5 1 1 5 4 12 31111 6 M59 91000 000132 0000R 00001 00154 015 2111100 2024*")</f>
        <v>0</v>
      </c>
      <c r="E3370" s="54"/>
      <c r="F3370" s="83">
        <f>SUMIFS(F3371:F6462,K3371:K6462,"0",B3371:B6462,"5 1 1 5 4 12 31111 6 M59 91000 000132 0000R 00001 00154 015 2111100 2024*")</f>
        <v>17589.71</v>
      </c>
      <c r="G3370" s="83">
        <f>SUMIFS(G3371:G6462,K3371:K6462,"0",B3371:B6462,"5 1 1 5 4 12 31111 6 M59 91000 000132 0000R 00001 00154 015 2111100 2024*")</f>
        <v>0</v>
      </c>
      <c r="H3370" s="83">
        <f t="shared" si="52"/>
        <v>17589.71</v>
      </c>
      <c r="I3370" s="83"/>
      <c r="K3370" s="54" t="s">
        <v>15</v>
      </c>
    </row>
    <row r="3371" spans="2:11" ht="41.25" x14ac:dyDescent="0.2">
      <c r="B3371" s="82" t="s">
        <v>5701</v>
      </c>
      <c r="C3371" s="82" t="s">
        <v>1056</v>
      </c>
      <c r="D3371" s="83">
        <f>SUMIFS(D3372:D6462,K3372:K6462,"0",B3372:B6462,"5 1 1 5 4 12 31111 6 M59 91000 000132 0000R 00001 00154 015 2111100 2024 CP1RE398*")-SUMIFS(E3372:E6462,K3372:K6462,"0",B3372:B6462,"5 1 1 5 4 12 31111 6 M59 91000 000132 0000R 00001 00154 015 2111100 2024 CP1RE398*")</f>
        <v>0</v>
      </c>
      <c r="E3371" s="54"/>
      <c r="F3371" s="83">
        <f>SUMIFS(F3372:F6462,K3372:K6462,"0",B3372:B6462,"5 1 1 5 4 12 31111 6 M59 91000 000132 0000R 00001 00154 015 2111100 2024 CP1RE398*")</f>
        <v>17589.71</v>
      </c>
      <c r="G3371" s="83">
        <f>SUMIFS(G3372:G6462,K3372:K6462,"0",B3372:B6462,"5 1 1 5 4 12 31111 6 M59 91000 000132 0000R 00001 00154 015 2111100 2024 CP1RE398*")</f>
        <v>0</v>
      </c>
      <c r="H3371" s="83">
        <f t="shared" ref="H3371:H3434" si="53">D3371 + F3371 - G3371</f>
        <v>17589.71</v>
      </c>
      <c r="I3371" s="83"/>
      <c r="K3371" s="54" t="s">
        <v>15</v>
      </c>
    </row>
    <row r="3372" spans="2:11" ht="41.25" x14ac:dyDescent="0.2">
      <c r="B3372" s="82" t="s">
        <v>5702</v>
      </c>
      <c r="C3372" s="82" t="s">
        <v>282</v>
      </c>
      <c r="D3372" s="83">
        <f>SUMIFS(D3373:D6462,K3373:K6462,"0",B3373:B6462,"5 1 1 5 4 12 31111 6 M59 91000 000132 0000R 00001 00154 015 2111100 2024 CP1RE398 001*")-SUMIFS(E3373:E6462,K3373:K6462,"0",B3373:B6462,"5 1 1 5 4 12 31111 6 M59 91000 000132 0000R 00001 00154 015 2111100 2024 CP1RE398 001*")</f>
        <v>0</v>
      </c>
      <c r="E3372" s="54"/>
      <c r="F3372" s="83">
        <f>SUMIFS(F3373:F6462,K3373:K6462,"0",B3373:B6462,"5 1 1 5 4 12 31111 6 M59 91000 000132 0000R 00001 00154 015 2111100 2024 CP1RE398 001*")</f>
        <v>17589.71</v>
      </c>
      <c r="G3372" s="83">
        <f>SUMIFS(G3373:G6462,K3373:K6462,"0",B3373:B6462,"5 1 1 5 4 12 31111 6 M59 91000 000132 0000R 00001 00154 015 2111100 2024 CP1RE398 001*")</f>
        <v>0</v>
      </c>
      <c r="H3372" s="83">
        <f t="shared" si="53"/>
        <v>17589.71</v>
      </c>
      <c r="I3372" s="83"/>
      <c r="K3372" s="54" t="s">
        <v>15</v>
      </c>
    </row>
    <row r="3373" spans="2:11" ht="33" x14ac:dyDescent="0.2">
      <c r="B3373" s="84" t="s">
        <v>5703</v>
      </c>
      <c r="C3373" s="84" t="s">
        <v>5443</v>
      </c>
      <c r="D3373" s="85">
        <v>0</v>
      </c>
      <c r="E3373" s="85"/>
      <c r="F3373" s="85">
        <v>3672</v>
      </c>
      <c r="G3373" s="85">
        <v>0</v>
      </c>
      <c r="H3373" s="85">
        <f t="shared" si="53"/>
        <v>3672</v>
      </c>
      <c r="I3373" s="85"/>
      <c r="K3373" s="54" t="s">
        <v>38</v>
      </c>
    </row>
    <row r="3374" spans="2:11" ht="33" x14ac:dyDescent="0.2">
      <c r="B3374" s="84" t="s">
        <v>5704</v>
      </c>
      <c r="C3374" s="84" t="s">
        <v>5431</v>
      </c>
      <c r="D3374" s="85">
        <v>0</v>
      </c>
      <c r="E3374" s="85"/>
      <c r="F3374" s="85">
        <v>2242.08</v>
      </c>
      <c r="G3374" s="85">
        <v>0</v>
      </c>
      <c r="H3374" s="85">
        <f t="shared" si="53"/>
        <v>2242.08</v>
      </c>
      <c r="I3374" s="85"/>
      <c r="K3374" s="54" t="s">
        <v>38</v>
      </c>
    </row>
    <row r="3375" spans="2:11" ht="33" x14ac:dyDescent="0.2">
      <c r="B3375" s="84" t="s">
        <v>5705</v>
      </c>
      <c r="C3375" s="84" t="s">
        <v>5446</v>
      </c>
      <c r="D3375" s="85">
        <v>0</v>
      </c>
      <c r="E3375" s="85"/>
      <c r="F3375" s="85">
        <v>11675.63</v>
      </c>
      <c r="G3375" s="85">
        <v>0</v>
      </c>
      <c r="H3375" s="85">
        <f t="shared" si="53"/>
        <v>11675.63</v>
      </c>
      <c r="I3375" s="85"/>
      <c r="K3375" s="54" t="s">
        <v>38</v>
      </c>
    </row>
    <row r="3376" spans="2:11" ht="16.5" x14ac:dyDescent="0.2">
      <c r="B3376" s="82" t="s">
        <v>5706</v>
      </c>
      <c r="C3376" s="82" t="s">
        <v>3620</v>
      </c>
      <c r="D3376" s="83">
        <f>SUMIFS(D3377:D6462,K3377:K6462,"0",B3377:B6462,"5 1 1 5 4 12 31111 6 M59 92000*")-SUMIFS(E3377:E6462,K3377:K6462,"0",B3377:B6462,"5 1 1 5 4 12 31111 6 M59 92000*")</f>
        <v>0</v>
      </c>
      <c r="E3376" s="54"/>
      <c r="F3376" s="83">
        <f>SUMIFS(F3377:F6462,K3377:K6462,"0",B3377:B6462,"5 1 1 5 4 12 31111 6 M59 92000*")</f>
        <v>36993.93</v>
      </c>
      <c r="G3376" s="83">
        <f>SUMIFS(G3377:G6462,K3377:K6462,"0",B3377:B6462,"5 1 1 5 4 12 31111 6 M59 92000*")</f>
        <v>0</v>
      </c>
      <c r="H3376" s="83">
        <f t="shared" si="53"/>
        <v>36993.93</v>
      </c>
      <c r="I3376" s="83"/>
      <c r="K3376" s="54" t="s">
        <v>15</v>
      </c>
    </row>
    <row r="3377" spans="2:11" ht="24.75" x14ac:dyDescent="0.2">
      <c r="B3377" s="82" t="s">
        <v>5707</v>
      </c>
      <c r="C3377" s="82" t="s">
        <v>3152</v>
      </c>
      <c r="D3377" s="83">
        <f>SUMIFS(D3378:D6462,K3378:K6462,"0",B3378:B6462,"5 1 1 5 4 12 31111 6 M59 92000 000181*")-SUMIFS(E3378:E6462,K3378:K6462,"0",B3378:B6462,"5 1 1 5 4 12 31111 6 M59 92000 000181*")</f>
        <v>0</v>
      </c>
      <c r="E3377" s="54"/>
      <c r="F3377" s="83">
        <f>SUMIFS(F3378:F6462,K3378:K6462,"0",B3378:B6462,"5 1 1 5 4 12 31111 6 M59 92000 000181*")</f>
        <v>36993.93</v>
      </c>
      <c r="G3377" s="83">
        <f>SUMIFS(G3378:G6462,K3378:K6462,"0",B3378:B6462,"5 1 1 5 4 12 31111 6 M59 92000 000181*")</f>
        <v>0</v>
      </c>
      <c r="H3377" s="83">
        <f t="shared" si="53"/>
        <v>36993.93</v>
      </c>
      <c r="I3377" s="83"/>
      <c r="K3377" s="54" t="s">
        <v>15</v>
      </c>
    </row>
    <row r="3378" spans="2:11" ht="16.5" x14ac:dyDescent="0.2">
      <c r="B3378" s="82" t="s">
        <v>5708</v>
      </c>
      <c r="C3378" s="82" t="s">
        <v>1065</v>
      </c>
      <c r="D3378" s="83">
        <f>SUMIFS(D3379:D6462,K3379:K6462,"0",B3379:B6462,"5 1 1 5 4 12 31111 6 M59 92000 000181 0000E*")-SUMIFS(E3379:E6462,K3379:K6462,"0",B3379:B6462,"5 1 1 5 4 12 31111 6 M59 92000 000181 0000E*")</f>
        <v>0</v>
      </c>
      <c r="E3378" s="54"/>
      <c r="F3378" s="83">
        <f>SUMIFS(F3379:F6462,K3379:K6462,"0",B3379:B6462,"5 1 1 5 4 12 31111 6 M59 92000 000181 0000E*")</f>
        <v>36993.93</v>
      </c>
      <c r="G3378" s="83">
        <f>SUMIFS(G3379:G6462,K3379:K6462,"0",B3379:B6462,"5 1 1 5 4 12 31111 6 M59 92000 000181 0000E*")</f>
        <v>0</v>
      </c>
      <c r="H3378" s="83">
        <f t="shared" si="53"/>
        <v>36993.93</v>
      </c>
      <c r="I3378" s="83"/>
      <c r="K3378" s="54" t="s">
        <v>15</v>
      </c>
    </row>
    <row r="3379" spans="2:11" ht="24.75" x14ac:dyDescent="0.2">
      <c r="B3379" s="82" t="s">
        <v>5709</v>
      </c>
      <c r="C3379" s="82" t="s">
        <v>282</v>
      </c>
      <c r="D3379" s="83">
        <f>SUMIFS(D3380:D6462,K3380:K6462,"0",B3380:B6462,"5 1 1 5 4 12 31111 6 M59 92000 000181 0000E 00001*")-SUMIFS(E3380:E6462,K3380:K6462,"0",B3380:B6462,"5 1 1 5 4 12 31111 6 M59 92000 000181 0000E 00001*")</f>
        <v>0</v>
      </c>
      <c r="E3379" s="54"/>
      <c r="F3379" s="83">
        <f>SUMIFS(F3380:F6462,K3380:K6462,"0",B3380:B6462,"5 1 1 5 4 12 31111 6 M59 92000 000181 0000E 00001*")</f>
        <v>36993.93</v>
      </c>
      <c r="G3379" s="83">
        <f>SUMIFS(G3380:G6462,K3380:K6462,"0",B3380:B6462,"5 1 1 5 4 12 31111 6 M59 92000 000181 0000E 00001*")</f>
        <v>0</v>
      </c>
      <c r="H3379" s="83">
        <f t="shared" si="53"/>
        <v>36993.93</v>
      </c>
      <c r="I3379" s="83"/>
      <c r="K3379" s="54" t="s">
        <v>15</v>
      </c>
    </row>
    <row r="3380" spans="2:11" ht="24.75" x14ac:dyDescent="0.2">
      <c r="B3380" s="82" t="s">
        <v>5710</v>
      </c>
      <c r="C3380" s="82" t="s">
        <v>5422</v>
      </c>
      <c r="D3380" s="83">
        <f>SUMIFS(D3381:D6462,K3381:K6462,"0",B3381:B6462,"5 1 1 5 4 12 31111 6 M59 92000 000181 0000E 00001 00154*")-SUMIFS(E3381:E6462,K3381:K6462,"0",B3381:B6462,"5 1 1 5 4 12 31111 6 M59 92000 000181 0000E 00001 00154*")</f>
        <v>0</v>
      </c>
      <c r="E3380" s="54"/>
      <c r="F3380" s="83">
        <f>SUMIFS(F3381:F6462,K3381:K6462,"0",B3381:B6462,"5 1 1 5 4 12 31111 6 M59 92000 000181 0000E 00001 00154*")</f>
        <v>36993.93</v>
      </c>
      <c r="G3380" s="83">
        <f>SUMIFS(G3381:G6462,K3381:K6462,"0",B3381:B6462,"5 1 1 5 4 12 31111 6 M59 92000 000181 0000E 00001 00154*")</f>
        <v>0</v>
      </c>
      <c r="H3380" s="83">
        <f t="shared" si="53"/>
        <v>36993.93</v>
      </c>
      <c r="I3380" s="83"/>
      <c r="K3380" s="54" t="s">
        <v>15</v>
      </c>
    </row>
    <row r="3381" spans="2:11" ht="24.75" x14ac:dyDescent="0.2">
      <c r="B3381" s="82" t="s">
        <v>5711</v>
      </c>
      <c r="C3381" s="82" t="s">
        <v>1051</v>
      </c>
      <c r="D3381" s="83">
        <f>SUMIFS(D3382:D6462,K3382:K6462,"0",B3382:B6462,"5 1 1 5 4 12 31111 6 M59 92000 000181 0000E 00001 00154 015*")-SUMIFS(E3382:E6462,K3382:K6462,"0",B3382:B6462,"5 1 1 5 4 12 31111 6 M59 92000 000181 0000E 00001 00154 015*")</f>
        <v>0</v>
      </c>
      <c r="E3381" s="54"/>
      <c r="F3381" s="83">
        <f>SUMIFS(F3382:F6462,K3382:K6462,"0",B3382:B6462,"5 1 1 5 4 12 31111 6 M59 92000 000181 0000E 00001 00154 015*")</f>
        <v>36993.93</v>
      </c>
      <c r="G3381" s="83">
        <f>SUMIFS(G3382:G6462,K3382:K6462,"0",B3382:B6462,"5 1 1 5 4 12 31111 6 M59 92000 000181 0000E 00001 00154 015*")</f>
        <v>0</v>
      </c>
      <c r="H3381" s="83">
        <f t="shared" si="53"/>
        <v>36993.93</v>
      </c>
      <c r="I3381" s="83"/>
      <c r="K3381" s="54" t="s">
        <v>15</v>
      </c>
    </row>
    <row r="3382" spans="2:11" ht="33" x14ac:dyDescent="0.2">
      <c r="B3382" s="82" t="s">
        <v>5712</v>
      </c>
      <c r="C3382" s="82" t="s">
        <v>2927</v>
      </c>
      <c r="D3382" s="83">
        <f>SUMIFS(D3383:D6462,K3383:K6462,"0",B3383:B6462,"5 1 1 5 4 12 31111 6 M59 92000 000181 0000E 00001 00154 015 2111100*")-SUMIFS(E3383:E6462,K3383:K6462,"0",B3383:B6462,"5 1 1 5 4 12 31111 6 M59 92000 000181 0000E 00001 00154 015 2111100*")</f>
        <v>0</v>
      </c>
      <c r="E3382" s="54"/>
      <c r="F3382" s="83">
        <f>SUMIFS(F3383:F6462,K3383:K6462,"0",B3383:B6462,"5 1 1 5 4 12 31111 6 M59 92000 000181 0000E 00001 00154 015 2111100*")</f>
        <v>36993.93</v>
      </c>
      <c r="G3382" s="83">
        <f>SUMIFS(G3383:G6462,K3383:K6462,"0",B3383:B6462,"5 1 1 5 4 12 31111 6 M59 92000 000181 0000E 00001 00154 015 2111100*")</f>
        <v>0</v>
      </c>
      <c r="H3382" s="83">
        <f t="shared" si="53"/>
        <v>36993.93</v>
      </c>
      <c r="I3382" s="83"/>
      <c r="K3382" s="54" t="s">
        <v>15</v>
      </c>
    </row>
    <row r="3383" spans="2:11" ht="33" x14ac:dyDescent="0.2">
      <c r="B3383" s="82" t="s">
        <v>5713</v>
      </c>
      <c r="C3383" s="82" t="s">
        <v>660</v>
      </c>
      <c r="D3383" s="83">
        <f>SUMIFS(D3384:D6462,K3384:K6462,"0",B3384:B6462,"5 1 1 5 4 12 31111 6 M59 92000 000181 0000E 00001 00154 015 2111100 2024*")-SUMIFS(E3384:E6462,K3384:K6462,"0",B3384:B6462,"5 1 1 5 4 12 31111 6 M59 92000 000181 0000E 00001 00154 015 2111100 2024*")</f>
        <v>0</v>
      </c>
      <c r="E3383" s="54"/>
      <c r="F3383" s="83">
        <f>SUMIFS(F3384:F6462,K3384:K6462,"0",B3384:B6462,"5 1 1 5 4 12 31111 6 M59 92000 000181 0000E 00001 00154 015 2111100 2024*")</f>
        <v>36993.93</v>
      </c>
      <c r="G3383" s="83">
        <f>SUMIFS(G3384:G6462,K3384:K6462,"0",B3384:B6462,"5 1 1 5 4 12 31111 6 M59 92000 000181 0000E 00001 00154 015 2111100 2024*")</f>
        <v>0</v>
      </c>
      <c r="H3383" s="83">
        <f t="shared" si="53"/>
        <v>36993.93</v>
      </c>
      <c r="I3383" s="83"/>
      <c r="K3383" s="54" t="s">
        <v>15</v>
      </c>
    </row>
    <row r="3384" spans="2:11" ht="41.25" x14ac:dyDescent="0.2">
      <c r="B3384" s="82" t="s">
        <v>5714</v>
      </c>
      <c r="C3384" s="82" t="s">
        <v>1056</v>
      </c>
      <c r="D3384" s="83">
        <f>SUMIFS(D3385:D6462,K3385:K6462,"0",B3385:B6462,"5 1 1 5 4 12 31111 6 M59 92000 000181 0000E 00001 00154 015 2111100 2024 CP1RC399*")-SUMIFS(E3385:E6462,K3385:K6462,"0",B3385:B6462,"5 1 1 5 4 12 31111 6 M59 92000 000181 0000E 00001 00154 015 2111100 2024 CP1RC399*")</f>
        <v>0</v>
      </c>
      <c r="E3384" s="54"/>
      <c r="F3384" s="83">
        <f>SUMIFS(F3385:F6462,K3385:K6462,"0",B3385:B6462,"5 1 1 5 4 12 31111 6 M59 92000 000181 0000E 00001 00154 015 2111100 2024 CP1RC399*")</f>
        <v>36993.93</v>
      </c>
      <c r="G3384" s="83">
        <f>SUMIFS(G3385:G6462,K3385:K6462,"0",B3385:B6462,"5 1 1 5 4 12 31111 6 M59 92000 000181 0000E 00001 00154 015 2111100 2024 CP1RC399*")</f>
        <v>0</v>
      </c>
      <c r="H3384" s="83">
        <f t="shared" si="53"/>
        <v>36993.93</v>
      </c>
      <c r="I3384" s="83"/>
      <c r="K3384" s="54" t="s">
        <v>15</v>
      </c>
    </row>
    <row r="3385" spans="2:11" ht="41.25" x14ac:dyDescent="0.2">
      <c r="B3385" s="82" t="s">
        <v>5715</v>
      </c>
      <c r="C3385" s="82" t="s">
        <v>282</v>
      </c>
      <c r="D3385" s="83">
        <f>SUMIFS(D3386:D6462,K3386:K6462,"0",B3386:B6462,"5 1 1 5 4 12 31111 6 M59 92000 000181 0000E 00001 00154 015 2111100 2024 CP1RC399 001*")-SUMIFS(E3386:E6462,K3386:K6462,"0",B3386:B6462,"5 1 1 5 4 12 31111 6 M59 92000 000181 0000E 00001 00154 015 2111100 2024 CP1RC399 001*")</f>
        <v>0</v>
      </c>
      <c r="E3385" s="54"/>
      <c r="F3385" s="83">
        <f>SUMIFS(F3386:F6462,K3386:K6462,"0",B3386:B6462,"5 1 1 5 4 12 31111 6 M59 92000 000181 0000E 00001 00154 015 2111100 2024 CP1RC399 001*")</f>
        <v>36993.93</v>
      </c>
      <c r="G3385" s="83">
        <f>SUMIFS(G3386:G6462,K3386:K6462,"0",B3386:B6462,"5 1 1 5 4 12 31111 6 M59 92000 000181 0000E 00001 00154 015 2111100 2024 CP1RC399 001*")</f>
        <v>0</v>
      </c>
      <c r="H3385" s="83">
        <f t="shared" si="53"/>
        <v>36993.93</v>
      </c>
      <c r="I3385" s="83"/>
      <c r="K3385" s="54" t="s">
        <v>15</v>
      </c>
    </row>
    <row r="3386" spans="2:11" ht="33" x14ac:dyDescent="0.2">
      <c r="B3386" s="84" t="s">
        <v>5716</v>
      </c>
      <c r="C3386" s="84" t="s">
        <v>5443</v>
      </c>
      <c r="D3386" s="85">
        <v>0</v>
      </c>
      <c r="E3386" s="85"/>
      <c r="F3386" s="85">
        <v>6172</v>
      </c>
      <c r="G3386" s="85">
        <v>0</v>
      </c>
      <c r="H3386" s="85">
        <f t="shared" si="53"/>
        <v>6172</v>
      </c>
      <c r="I3386" s="85"/>
      <c r="K3386" s="54" t="s">
        <v>38</v>
      </c>
    </row>
    <row r="3387" spans="2:11" ht="33" x14ac:dyDescent="0.2">
      <c r="B3387" s="84" t="s">
        <v>5717</v>
      </c>
      <c r="C3387" s="84" t="s">
        <v>5431</v>
      </c>
      <c r="D3387" s="85">
        <v>0</v>
      </c>
      <c r="E3387" s="85"/>
      <c r="F3387" s="85">
        <v>7251.2</v>
      </c>
      <c r="G3387" s="85">
        <v>0</v>
      </c>
      <c r="H3387" s="85">
        <f t="shared" si="53"/>
        <v>7251.2</v>
      </c>
      <c r="I3387" s="85"/>
      <c r="K3387" s="54" t="s">
        <v>38</v>
      </c>
    </row>
    <row r="3388" spans="2:11" ht="33" x14ac:dyDescent="0.2">
      <c r="B3388" s="84" t="s">
        <v>5718</v>
      </c>
      <c r="C3388" s="84" t="s">
        <v>5446</v>
      </c>
      <c r="D3388" s="85">
        <v>0</v>
      </c>
      <c r="E3388" s="85"/>
      <c r="F3388" s="85">
        <v>23570.73</v>
      </c>
      <c r="G3388" s="85">
        <v>0</v>
      </c>
      <c r="H3388" s="85">
        <f t="shared" si="53"/>
        <v>23570.73</v>
      </c>
      <c r="I3388" s="85"/>
      <c r="K3388" s="54" t="s">
        <v>38</v>
      </c>
    </row>
    <row r="3389" spans="2:11" ht="16.5" x14ac:dyDescent="0.2">
      <c r="B3389" s="82" t="s">
        <v>5719</v>
      </c>
      <c r="C3389" s="82" t="s">
        <v>3644</v>
      </c>
      <c r="D3389" s="83">
        <f>SUMIFS(D3390:D6462,K3390:K6462,"0",B3390:B6462,"5 1 1 5 4 12 31111 6 M59 94000*")-SUMIFS(E3390:E6462,K3390:K6462,"0",B3390:B6462,"5 1 1 5 4 12 31111 6 M59 94000*")</f>
        <v>0</v>
      </c>
      <c r="E3389" s="54"/>
      <c r="F3389" s="83">
        <f>SUMIFS(F3390:F6462,K3390:K6462,"0",B3390:B6462,"5 1 1 5 4 12 31111 6 M59 94000*")</f>
        <v>51662.55</v>
      </c>
      <c r="G3389" s="83">
        <f>SUMIFS(G3390:G6462,K3390:K6462,"0",B3390:B6462,"5 1 1 5 4 12 31111 6 M59 94000*")</f>
        <v>0</v>
      </c>
      <c r="H3389" s="83">
        <f t="shared" si="53"/>
        <v>51662.55</v>
      </c>
      <c r="I3389" s="83"/>
      <c r="K3389" s="54" t="s">
        <v>15</v>
      </c>
    </row>
    <row r="3390" spans="2:11" ht="24.75" x14ac:dyDescent="0.2">
      <c r="B3390" s="82" t="s">
        <v>5720</v>
      </c>
      <c r="C3390" s="82" t="s">
        <v>3152</v>
      </c>
      <c r="D3390" s="83">
        <f>SUMIFS(D3391:D6462,K3391:K6462,"0",B3391:B6462,"5 1 1 5 4 12 31111 6 M59 94000 000181*")-SUMIFS(E3391:E6462,K3391:K6462,"0",B3391:B6462,"5 1 1 5 4 12 31111 6 M59 94000 000181*")</f>
        <v>0</v>
      </c>
      <c r="E3390" s="54"/>
      <c r="F3390" s="83">
        <f>SUMIFS(F3391:F6462,K3391:K6462,"0",B3391:B6462,"5 1 1 5 4 12 31111 6 M59 94000 000181*")</f>
        <v>51662.55</v>
      </c>
      <c r="G3390" s="83">
        <f>SUMIFS(G3391:G6462,K3391:K6462,"0",B3391:B6462,"5 1 1 5 4 12 31111 6 M59 94000 000181*")</f>
        <v>0</v>
      </c>
      <c r="H3390" s="83">
        <f t="shared" si="53"/>
        <v>51662.55</v>
      </c>
      <c r="I3390" s="83"/>
      <c r="K3390" s="54" t="s">
        <v>15</v>
      </c>
    </row>
    <row r="3391" spans="2:11" ht="16.5" x14ac:dyDescent="0.2">
      <c r="B3391" s="82" t="s">
        <v>5721</v>
      </c>
      <c r="C3391" s="82" t="s">
        <v>650</v>
      </c>
      <c r="D3391" s="83">
        <f>SUMIFS(D3392:D6462,K3392:K6462,"0",B3392:B6462,"5 1 1 5 4 12 31111 6 M59 94000 000181 0000R*")-SUMIFS(E3392:E6462,K3392:K6462,"0",B3392:B6462,"5 1 1 5 4 12 31111 6 M59 94000 000181 0000R*")</f>
        <v>0</v>
      </c>
      <c r="E3391" s="54"/>
      <c r="F3391" s="83">
        <f>SUMIFS(F3392:F6462,K3392:K6462,"0",B3392:B6462,"5 1 1 5 4 12 31111 6 M59 94000 000181 0000R*")</f>
        <v>51662.55</v>
      </c>
      <c r="G3391" s="83">
        <f>SUMIFS(G3392:G6462,K3392:K6462,"0",B3392:B6462,"5 1 1 5 4 12 31111 6 M59 94000 000181 0000R*")</f>
        <v>0</v>
      </c>
      <c r="H3391" s="83">
        <f t="shared" si="53"/>
        <v>51662.55</v>
      </c>
      <c r="I3391" s="83"/>
      <c r="K3391" s="54" t="s">
        <v>15</v>
      </c>
    </row>
    <row r="3392" spans="2:11" ht="24.75" x14ac:dyDescent="0.2">
      <c r="B3392" s="82" t="s">
        <v>5722</v>
      </c>
      <c r="C3392" s="82" t="s">
        <v>282</v>
      </c>
      <c r="D3392" s="83">
        <f>SUMIFS(D3393:D6462,K3393:K6462,"0",B3393:B6462,"5 1 1 5 4 12 31111 6 M59 94000 000181 0000R 00001*")-SUMIFS(E3393:E6462,K3393:K6462,"0",B3393:B6462,"5 1 1 5 4 12 31111 6 M59 94000 000181 0000R 00001*")</f>
        <v>0</v>
      </c>
      <c r="E3392" s="54"/>
      <c r="F3392" s="83">
        <f>SUMIFS(F3393:F6462,K3393:K6462,"0",B3393:B6462,"5 1 1 5 4 12 31111 6 M59 94000 000181 0000R 00001*")</f>
        <v>51662.55</v>
      </c>
      <c r="G3392" s="83">
        <f>SUMIFS(G3393:G6462,K3393:K6462,"0",B3393:B6462,"5 1 1 5 4 12 31111 6 M59 94000 000181 0000R 00001*")</f>
        <v>0</v>
      </c>
      <c r="H3392" s="83">
        <f t="shared" si="53"/>
        <v>51662.55</v>
      </c>
      <c r="I3392" s="83"/>
      <c r="K3392" s="54" t="s">
        <v>15</v>
      </c>
    </row>
    <row r="3393" spans="2:11" ht="24.75" x14ac:dyDescent="0.2">
      <c r="B3393" s="82" t="s">
        <v>5723</v>
      </c>
      <c r="C3393" s="82" t="s">
        <v>5422</v>
      </c>
      <c r="D3393" s="83">
        <f>SUMIFS(D3394:D6462,K3394:K6462,"0",B3394:B6462,"5 1 1 5 4 12 31111 6 M59 94000 000181 0000R 00001 00154*")-SUMIFS(E3394:E6462,K3394:K6462,"0",B3394:B6462,"5 1 1 5 4 12 31111 6 M59 94000 000181 0000R 00001 00154*")</f>
        <v>0</v>
      </c>
      <c r="E3393" s="54"/>
      <c r="F3393" s="83">
        <f>SUMIFS(F3394:F6462,K3394:K6462,"0",B3394:B6462,"5 1 1 5 4 12 31111 6 M59 94000 000181 0000R 00001 00154*")</f>
        <v>51662.55</v>
      </c>
      <c r="G3393" s="83">
        <f>SUMIFS(G3394:G6462,K3394:K6462,"0",B3394:B6462,"5 1 1 5 4 12 31111 6 M59 94000 000181 0000R 00001 00154*")</f>
        <v>0</v>
      </c>
      <c r="H3393" s="83">
        <f t="shared" si="53"/>
        <v>51662.55</v>
      </c>
      <c r="I3393" s="83"/>
      <c r="K3393" s="54" t="s">
        <v>15</v>
      </c>
    </row>
    <row r="3394" spans="2:11" ht="24.75" x14ac:dyDescent="0.2">
      <c r="B3394" s="82" t="s">
        <v>5724</v>
      </c>
      <c r="C3394" s="82" t="s">
        <v>1051</v>
      </c>
      <c r="D3394" s="83">
        <f>SUMIFS(D3395:D6462,K3395:K6462,"0",B3395:B6462,"5 1 1 5 4 12 31111 6 M59 94000 000181 0000R 00001 00154 015*")-SUMIFS(E3395:E6462,K3395:K6462,"0",B3395:B6462,"5 1 1 5 4 12 31111 6 M59 94000 000181 0000R 00001 00154 015*")</f>
        <v>0</v>
      </c>
      <c r="E3394" s="54"/>
      <c r="F3394" s="83">
        <f>SUMIFS(F3395:F6462,K3395:K6462,"0",B3395:B6462,"5 1 1 5 4 12 31111 6 M59 94000 000181 0000R 00001 00154 015*")</f>
        <v>51662.55</v>
      </c>
      <c r="G3394" s="83">
        <f>SUMIFS(G3395:G6462,K3395:K6462,"0",B3395:B6462,"5 1 1 5 4 12 31111 6 M59 94000 000181 0000R 00001 00154 015*")</f>
        <v>0</v>
      </c>
      <c r="H3394" s="83">
        <f t="shared" si="53"/>
        <v>51662.55</v>
      </c>
      <c r="I3394" s="83"/>
      <c r="K3394" s="54" t="s">
        <v>15</v>
      </c>
    </row>
    <row r="3395" spans="2:11" ht="33" x14ac:dyDescent="0.2">
      <c r="B3395" s="82" t="s">
        <v>5725</v>
      </c>
      <c r="C3395" s="82" t="s">
        <v>2927</v>
      </c>
      <c r="D3395" s="83">
        <f>SUMIFS(D3396:D6462,K3396:K6462,"0",B3396:B6462,"5 1 1 5 4 12 31111 6 M59 94000 000181 0000R 00001 00154 015 2111100*")-SUMIFS(E3396:E6462,K3396:K6462,"0",B3396:B6462,"5 1 1 5 4 12 31111 6 M59 94000 000181 0000R 00001 00154 015 2111100*")</f>
        <v>0</v>
      </c>
      <c r="E3395" s="54"/>
      <c r="F3395" s="83">
        <f>SUMIFS(F3396:F6462,K3396:K6462,"0",B3396:B6462,"5 1 1 5 4 12 31111 6 M59 94000 000181 0000R 00001 00154 015 2111100*")</f>
        <v>51662.55</v>
      </c>
      <c r="G3395" s="83">
        <f>SUMIFS(G3396:G6462,K3396:K6462,"0",B3396:B6462,"5 1 1 5 4 12 31111 6 M59 94000 000181 0000R 00001 00154 015 2111100*")</f>
        <v>0</v>
      </c>
      <c r="H3395" s="83">
        <f t="shared" si="53"/>
        <v>51662.55</v>
      </c>
      <c r="I3395" s="83"/>
      <c r="K3395" s="54" t="s">
        <v>15</v>
      </c>
    </row>
    <row r="3396" spans="2:11" ht="33" x14ac:dyDescent="0.2">
      <c r="B3396" s="82" t="s">
        <v>5726</v>
      </c>
      <c r="C3396" s="82" t="s">
        <v>660</v>
      </c>
      <c r="D3396" s="83">
        <f>SUMIFS(D3397:D6462,K3397:K6462,"0",B3397:B6462,"5 1 1 5 4 12 31111 6 M59 94000 000181 0000R 00001 00154 015 2111100 2024*")-SUMIFS(E3397:E6462,K3397:K6462,"0",B3397:B6462,"5 1 1 5 4 12 31111 6 M59 94000 000181 0000R 00001 00154 015 2111100 2024*")</f>
        <v>0</v>
      </c>
      <c r="E3396" s="54"/>
      <c r="F3396" s="83">
        <f>SUMIFS(F3397:F6462,K3397:K6462,"0",B3397:B6462,"5 1 1 5 4 12 31111 6 M59 94000 000181 0000R 00001 00154 015 2111100 2024*")</f>
        <v>51662.55</v>
      </c>
      <c r="G3396" s="83">
        <f>SUMIFS(G3397:G6462,K3397:K6462,"0",B3397:B6462,"5 1 1 5 4 12 31111 6 M59 94000 000181 0000R 00001 00154 015 2111100 2024*")</f>
        <v>0</v>
      </c>
      <c r="H3396" s="83">
        <f t="shared" si="53"/>
        <v>51662.55</v>
      </c>
      <c r="I3396" s="83"/>
      <c r="K3396" s="54" t="s">
        <v>15</v>
      </c>
    </row>
    <row r="3397" spans="2:11" ht="41.25" x14ac:dyDescent="0.2">
      <c r="B3397" s="82" t="s">
        <v>5727</v>
      </c>
      <c r="C3397" s="82" t="s">
        <v>1056</v>
      </c>
      <c r="D3397" s="83">
        <f>SUMIFS(D3398:D6462,K3398:K6462,"0",B3398:B6462,"5 1 1 5 4 12 31111 6 M59 94000 000181 0000R 00001 00154 015 2111100 2024 CP1OM392*")-SUMIFS(E3398:E6462,K3398:K6462,"0",B3398:B6462,"5 1 1 5 4 12 31111 6 M59 94000 000181 0000R 00001 00154 015 2111100 2024 CP1OM392*")</f>
        <v>0</v>
      </c>
      <c r="E3397" s="54"/>
      <c r="F3397" s="83">
        <f>SUMIFS(F3398:F6462,K3398:K6462,"0",B3398:B6462,"5 1 1 5 4 12 31111 6 M59 94000 000181 0000R 00001 00154 015 2111100 2024 CP1OM392*")</f>
        <v>51662.55</v>
      </c>
      <c r="G3397" s="83">
        <f>SUMIFS(G3398:G6462,K3398:K6462,"0",B3398:B6462,"5 1 1 5 4 12 31111 6 M59 94000 000181 0000R 00001 00154 015 2111100 2024 CP1OM392*")</f>
        <v>0</v>
      </c>
      <c r="H3397" s="83">
        <f t="shared" si="53"/>
        <v>51662.55</v>
      </c>
      <c r="I3397" s="83"/>
      <c r="K3397" s="54" t="s">
        <v>15</v>
      </c>
    </row>
    <row r="3398" spans="2:11" ht="41.25" x14ac:dyDescent="0.2">
      <c r="B3398" s="82" t="s">
        <v>5728</v>
      </c>
      <c r="C3398" s="82" t="s">
        <v>282</v>
      </c>
      <c r="D3398" s="83">
        <f>SUMIFS(D3399:D6462,K3399:K6462,"0",B3399:B6462,"5 1 1 5 4 12 31111 6 M59 94000 000181 0000R 00001 00154 015 2111100 2024 CP1OM392 001*")-SUMIFS(E3399:E6462,K3399:K6462,"0",B3399:B6462,"5 1 1 5 4 12 31111 6 M59 94000 000181 0000R 00001 00154 015 2111100 2024 CP1OM392 001*")</f>
        <v>0</v>
      </c>
      <c r="E3398" s="54"/>
      <c r="F3398" s="83">
        <f>SUMIFS(F3399:F6462,K3399:K6462,"0",B3399:B6462,"5 1 1 5 4 12 31111 6 M59 94000 000181 0000R 00001 00154 015 2111100 2024 CP1OM392 001*")</f>
        <v>51662.55</v>
      </c>
      <c r="G3398" s="83">
        <f>SUMIFS(G3399:G6462,K3399:K6462,"0",B3399:B6462,"5 1 1 5 4 12 31111 6 M59 94000 000181 0000R 00001 00154 015 2111100 2024 CP1OM392 001*")</f>
        <v>0</v>
      </c>
      <c r="H3398" s="83">
        <f t="shared" si="53"/>
        <v>51662.55</v>
      </c>
      <c r="I3398" s="83"/>
      <c r="K3398" s="54" t="s">
        <v>15</v>
      </c>
    </row>
    <row r="3399" spans="2:11" ht="33" x14ac:dyDescent="0.2">
      <c r="B3399" s="84" t="s">
        <v>5729</v>
      </c>
      <c r="C3399" s="84" t="s">
        <v>5443</v>
      </c>
      <c r="D3399" s="85">
        <v>0</v>
      </c>
      <c r="E3399" s="85"/>
      <c r="F3399" s="85">
        <v>9600</v>
      </c>
      <c r="G3399" s="85">
        <v>0</v>
      </c>
      <c r="H3399" s="85">
        <f t="shared" si="53"/>
        <v>9600</v>
      </c>
      <c r="I3399" s="85"/>
      <c r="K3399" s="54" t="s">
        <v>38</v>
      </c>
    </row>
    <row r="3400" spans="2:11" ht="33" x14ac:dyDescent="0.2">
      <c r="B3400" s="84" t="s">
        <v>5730</v>
      </c>
      <c r="C3400" s="84" t="s">
        <v>5431</v>
      </c>
      <c r="D3400" s="85">
        <v>0</v>
      </c>
      <c r="E3400" s="85"/>
      <c r="F3400" s="85">
        <v>4643.04</v>
      </c>
      <c r="G3400" s="85">
        <v>0</v>
      </c>
      <c r="H3400" s="85">
        <f t="shared" si="53"/>
        <v>4643.04</v>
      </c>
      <c r="I3400" s="85"/>
      <c r="K3400" s="54" t="s">
        <v>38</v>
      </c>
    </row>
    <row r="3401" spans="2:11" ht="33" x14ac:dyDescent="0.2">
      <c r="B3401" s="84" t="s">
        <v>5731</v>
      </c>
      <c r="C3401" s="84" t="s">
        <v>5446</v>
      </c>
      <c r="D3401" s="85">
        <v>0</v>
      </c>
      <c r="E3401" s="85"/>
      <c r="F3401" s="85">
        <v>37419.51</v>
      </c>
      <c r="G3401" s="85">
        <v>0</v>
      </c>
      <c r="H3401" s="85">
        <f t="shared" si="53"/>
        <v>37419.51</v>
      </c>
      <c r="I3401" s="85"/>
      <c r="K3401" s="54" t="s">
        <v>38</v>
      </c>
    </row>
    <row r="3402" spans="2:11" ht="16.5" x14ac:dyDescent="0.2">
      <c r="B3402" s="82" t="s">
        <v>5732</v>
      </c>
      <c r="C3402" s="82" t="s">
        <v>3656</v>
      </c>
      <c r="D3402" s="83">
        <f>SUMIFS(D3403:D6462,K3403:K6462,"0",B3403:B6462,"5 1 1 5 4 12 31111 6 M59 94100*")-SUMIFS(E3403:E6462,K3403:K6462,"0",B3403:B6462,"5 1 1 5 4 12 31111 6 M59 94100*")</f>
        <v>0</v>
      </c>
      <c r="E3402" s="54"/>
      <c r="F3402" s="83">
        <f>SUMIFS(F3403:F6462,K3403:K6462,"0",B3403:B6462,"5 1 1 5 4 12 31111 6 M59 94100*")</f>
        <v>18532.059999999998</v>
      </c>
      <c r="G3402" s="83">
        <f>SUMIFS(G3403:G6462,K3403:K6462,"0",B3403:B6462,"5 1 1 5 4 12 31111 6 M59 94100*")</f>
        <v>0</v>
      </c>
      <c r="H3402" s="83">
        <f t="shared" si="53"/>
        <v>18532.059999999998</v>
      </c>
      <c r="I3402" s="83"/>
      <c r="K3402" s="54" t="s">
        <v>15</v>
      </c>
    </row>
    <row r="3403" spans="2:11" ht="16.5" x14ac:dyDescent="0.2">
      <c r="B3403" s="82" t="s">
        <v>5733</v>
      </c>
      <c r="C3403" s="82" t="s">
        <v>648</v>
      </c>
      <c r="D3403" s="83">
        <f>SUMIFS(D3404:D6462,K3404:K6462,"0",B3404:B6462,"5 1 1 5 4 12 31111 6 M59 94100 000132*")-SUMIFS(E3404:E6462,K3404:K6462,"0",B3404:B6462,"5 1 1 5 4 12 31111 6 M59 94100 000132*")</f>
        <v>0</v>
      </c>
      <c r="E3403" s="54"/>
      <c r="F3403" s="83">
        <f>SUMIFS(F3404:F6462,K3404:K6462,"0",B3404:B6462,"5 1 1 5 4 12 31111 6 M59 94100 000132*")</f>
        <v>18532.059999999998</v>
      </c>
      <c r="G3403" s="83">
        <f>SUMIFS(G3404:G6462,K3404:K6462,"0",B3404:B6462,"5 1 1 5 4 12 31111 6 M59 94100 000132*")</f>
        <v>0</v>
      </c>
      <c r="H3403" s="83">
        <f t="shared" si="53"/>
        <v>18532.059999999998</v>
      </c>
      <c r="I3403" s="83"/>
      <c r="K3403" s="54" t="s">
        <v>15</v>
      </c>
    </row>
    <row r="3404" spans="2:11" ht="16.5" x14ac:dyDescent="0.2">
      <c r="B3404" s="82" t="s">
        <v>5734</v>
      </c>
      <c r="C3404" s="82" t="s">
        <v>650</v>
      </c>
      <c r="D3404" s="83">
        <f>SUMIFS(D3405:D6462,K3405:K6462,"0",B3405:B6462,"5 1 1 5 4 12 31111 6 M59 94100 000132 0000R*")-SUMIFS(E3405:E6462,K3405:K6462,"0",B3405:B6462,"5 1 1 5 4 12 31111 6 M59 94100 000132 0000R*")</f>
        <v>0</v>
      </c>
      <c r="E3404" s="54"/>
      <c r="F3404" s="83">
        <f>SUMIFS(F3405:F6462,K3405:K6462,"0",B3405:B6462,"5 1 1 5 4 12 31111 6 M59 94100 000132 0000R*")</f>
        <v>18532.059999999998</v>
      </c>
      <c r="G3404" s="83">
        <f>SUMIFS(G3405:G6462,K3405:K6462,"0",B3405:B6462,"5 1 1 5 4 12 31111 6 M59 94100 000132 0000R*")</f>
        <v>0</v>
      </c>
      <c r="H3404" s="83">
        <f t="shared" si="53"/>
        <v>18532.059999999998</v>
      </c>
      <c r="I3404" s="83"/>
      <c r="K3404" s="54" t="s">
        <v>15</v>
      </c>
    </row>
    <row r="3405" spans="2:11" ht="24.75" x14ac:dyDescent="0.2">
      <c r="B3405" s="82" t="s">
        <v>5735</v>
      </c>
      <c r="C3405" s="82" t="s">
        <v>282</v>
      </c>
      <c r="D3405" s="83">
        <f>SUMIFS(D3406:D6462,K3406:K6462,"0",B3406:B6462,"5 1 1 5 4 12 31111 6 M59 94100 000132 0000R 00001*")-SUMIFS(E3406:E6462,K3406:K6462,"0",B3406:B6462,"5 1 1 5 4 12 31111 6 M59 94100 000132 0000R 00001*")</f>
        <v>0</v>
      </c>
      <c r="E3405" s="54"/>
      <c r="F3405" s="83">
        <f>SUMIFS(F3406:F6462,K3406:K6462,"0",B3406:B6462,"5 1 1 5 4 12 31111 6 M59 94100 000132 0000R 00001*")</f>
        <v>18532.059999999998</v>
      </c>
      <c r="G3405" s="83">
        <f>SUMIFS(G3406:G6462,K3406:K6462,"0",B3406:B6462,"5 1 1 5 4 12 31111 6 M59 94100 000132 0000R 00001*")</f>
        <v>0</v>
      </c>
      <c r="H3405" s="83">
        <f t="shared" si="53"/>
        <v>18532.059999999998</v>
      </c>
      <c r="I3405" s="83"/>
      <c r="K3405" s="54" t="s">
        <v>15</v>
      </c>
    </row>
    <row r="3406" spans="2:11" ht="24.75" x14ac:dyDescent="0.2">
      <c r="B3406" s="82" t="s">
        <v>5736</v>
      </c>
      <c r="C3406" s="82" t="s">
        <v>5422</v>
      </c>
      <c r="D3406" s="83">
        <f>SUMIFS(D3407:D6462,K3407:K6462,"0",B3407:B6462,"5 1 1 5 4 12 31111 6 M59 94100 000132 0000R 00001 00154*")-SUMIFS(E3407:E6462,K3407:K6462,"0",B3407:B6462,"5 1 1 5 4 12 31111 6 M59 94100 000132 0000R 00001 00154*")</f>
        <v>0</v>
      </c>
      <c r="E3406" s="54"/>
      <c r="F3406" s="83">
        <f>SUMIFS(F3407:F6462,K3407:K6462,"0",B3407:B6462,"5 1 1 5 4 12 31111 6 M59 94100 000132 0000R 00001 00154*")</f>
        <v>18532.059999999998</v>
      </c>
      <c r="G3406" s="83">
        <f>SUMIFS(G3407:G6462,K3407:K6462,"0",B3407:B6462,"5 1 1 5 4 12 31111 6 M59 94100 000132 0000R 00001 00154*")</f>
        <v>0</v>
      </c>
      <c r="H3406" s="83">
        <f t="shared" si="53"/>
        <v>18532.059999999998</v>
      </c>
      <c r="I3406" s="83"/>
      <c r="K3406" s="54" t="s">
        <v>15</v>
      </c>
    </row>
    <row r="3407" spans="2:11" ht="24.75" x14ac:dyDescent="0.2">
      <c r="B3407" s="82" t="s">
        <v>5737</v>
      </c>
      <c r="C3407" s="82" t="s">
        <v>1051</v>
      </c>
      <c r="D3407" s="83">
        <f>SUMIFS(D3408:D6462,K3408:K6462,"0",B3408:B6462,"5 1 1 5 4 12 31111 6 M59 94100 000132 0000R 00001 00154 015*")-SUMIFS(E3408:E6462,K3408:K6462,"0",B3408:B6462,"5 1 1 5 4 12 31111 6 M59 94100 000132 0000R 00001 00154 015*")</f>
        <v>0</v>
      </c>
      <c r="E3407" s="54"/>
      <c r="F3407" s="83">
        <f>SUMIFS(F3408:F6462,K3408:K6462,"0",B3408:B6462,"5 1 1 5 4 12 31111 6 M59 94100 000132 0000R 00001 00154 015*")</f>
        <v>18532.059999999998</v>
      </c>
      <c r="G3407" s="83">
        <f>SUMIFS(G3408:G6462,K3408:K6462,"0",B3408:B6462,"5 1 1 5 4 12 31111 6 M59 94100 000132 0000R 00001 00154 015*")</f>
        <v>0</v>
      </c>
      <c r="H3407" s="83">
        <f t="shared" si="53"/>
        <v>18532.059999999998</v>
      </c>
      <c r="I3407" s="83"/>
      <c r="K3407" s="54" t="s">
        <v>15</v>
      </c>
    </row>
    <row r="3408" spans="2:11" ht="33" x14ac:dyDescent="0.2">
      <c r="B3408" s="82" t="s">
        <v>5738</v>
      </c>
      <c r="C3408" s="82" t="s">
        <v>2927</v>
      </c>
      <c r="D3408" s="83">
        <f>SUMIFS(D3409:D6462,K3409:K6462,"0",B3409:B6462,"5 1 1 5 4 12 31111 6 M59 94100 000132 0000R 00001 00154 015 2111100*")-SUMIFS(E3409:E6462,K3409:K6462,"0",B3409:B6462,"5 1 1 5 4 12 31111 6 M59 94100 000132 0000R 00001 00154 015 2111100*")</f>
        <v>0</v>
      </c>
      <c r="E3408" s="54"/>
      <c r="F3408" s="83">
        <f>SUMIFS(F3409:F6462,K3409:K6462,"0",B3409:B6462,"5 1 1 5 4 12 31111 6 M59 94100 000132 0000R 00001 00154 015 2111100*")</f>
        <v>18532.059999999998</v>
      </c>
      <c r="G3408" s="83">
        <f>SUMIFS(G3409:G6462,K3409:K6462,"0",B3409:B6462,"5 1 1 5 4 12 31111 6 M59 94100 000132 0000R 00001 00154 015 2111100*")</f>
        <v>0</v>
      </c>
      <c r="H3408" s="83">
        <f t="shared" si="53"/>
        <v>18532.059999999998</v>
      </c>
      <c r="I3408" s="83"/>
      <c r="K3408" s="54" t="s">
        <v>15</v>
      </c>
    </row>
    <row r="3409" spans="2:11" ht="33" x14ac:dyDescent="0.2">
      <c r="B3409" s="82" t="s">
        <v>5739</v>
      </c>
      <c r="C3409" s="82" t="s">
        <v>660</v>
      </c>
      <c r="D3409" s="83">
        <f>SUMIFS(D3410:D6462,K3410:K6462,"0",B3410:B6462,"5 1 1 5 4 12 31111 6 M59 94100 000132 0000R 00001 00154 015 2111100 2024*")-SUMIFS(E3410:E6462,K3410:K6462,"0",B3410:B6462,"5 1 1 5 4 12 31111 6 M59 94100 000132 0000R 00001 00154 015 2111100 2024*")</f>
        <v>0</v>
      </c>
      <c r="E3409" s="54"/>
      <c r="F3409" s="83">
        <f>SUMIFS(F3410:F6462,K3410:K6462,"0",B3410:B6462,"5 1 1 5 4 12 31111 6 M59 94100 000132 0000R 00001 00154 015 2111100 2024*")</f>
        <v>18532.059999999998</v>
      </c>
      <c r="G3409" s="83">
        <f>SUMIFS(G3410:G6462,K3410:K6462,"0",B3410:B6462,"5 1 1 5 4 12 31111 6 M59 94100 000132 0000R 00001 00154 015 2111100 2024*")</f>
        <v>0</v>
      </c>
      <c r="H3409" s="83">
        <f t="shared" si="53"/>
        <v>18532.059999999998</v>
      </c>
      <c r="I3409" s="83"/>
      <c r="K3409" s="54" t="s">
        <v>15</v>
      </c>
    </row>
    <row r="3410" spans="2:11" ht="41.25" x14ac:dyDescent="0.2">
      <c r="B3410" s="82" t="s">
        <v>5740</v>
      </c>
      <c r="C3410" s="82" t="s">
        <v>1056</v>
      </c>
      <c r="D3410" s="83">
        <f>SUMIFS(D3411:D6462,K3411:K6462,"0",B3411:B6462,"5 1 1 5 4 12 31111 6 M59 94100 000132 0000R 00001 00154 015 2111100 2024 CP1AT427*")-SUMIFS(E3411:E6462,K3411:K6462,"0",B3411:B6462,"5 1 1 5 4 12 31111 6 M59 94100 000132 0000R 00001 00154 015 2111100 2024 CP1AT427*")</f>
        <v>0</v>
      </c>
      <c r="E3410" s="54"/>
      <c r="F3410" s="83">
        <f>SUMIFS(F3411:F6462,K3411:K6462,"0",B3411:B6462,"5 1 1 5 4 12 31111 6 M59 94100 000132 0000R 00001 00154 015 2111100 2024 CP1AT427*")</f>
        <v>18532.059999999998</v>
      </c>
      <c r="G3410" s="83">
        <f>SUMIFS(G3411:G6462,K3411:K6462,"0",B3411:B6462,"5 1 1 5 4 12 31111 6 M59 94100 000132 0000R 00001 00154 015 2111100 2024 CP1AT427*")</f>
        <v>0</v>
      </c>
      <c r="H3410" s="83">
        <f t="shared" si="53"/>
        <v>18532.059999999998</v>
      </c>
      <c r="I3410" s="83"/>
      <c r="K3410" s="54" t="s">
        <v>15</v>
      </c>
    </row>
    <row r="3411" spans="2:11" ht="41.25" x14ac:dyDescent="0.2">
      <c r="B3411" s="82" t="s">
        <v>5741</v>
      </c>
      <c r="C3411" s="82" t="s">
        <v>282</v>
      </c>
      <c r="D3411" s="83">
        <f>SUMIFS(D3412:D6462,K3412:K6462,"0",B3412:B6462,"5 1 1 5 4 12 31111 6 M59 94100 000132 0000R 00001 00154 015 2111100 2024 CP1AT427 001*")-SUMIFS(E3412:E6462,K3412:K6462,"0",B3412:B6462,"5 1 1 5 4 12 31111 6 M59 94100 000132 0000R 00001 00154 015 2111100 2024 CP1AT427 001*")</f>
        <v>0</v>
      </c>
      <c r="E3411" s="54"/>
      <c r="F3411" s="83">
        <f>SUMIFS(F3412:F6462,K3412:K6462,"0",B3412:B6462,"5 1 1 5 4 12 31111 6 M59 94100 000132 0000R 00001 00154 015 2111100 2024 CP1AT427 001*")</f>
        <v>18532.059999999998</v>
      </c>
      <c r="G3411" s="83">
        <f>SUMIFS(G3412:G6462,K3412:K6462,"0",B3412:B6462,"5 1 1 5 4 12 31111 6 M59 94100 000132 0000R 00001 00154 015 2111100 2024 CP1AT427 001*")</f>
        <v>0</v>
      </c>
      <c r="H3411" s="83">
        <f t="shared" si="53"/>
        <v>18532.059999999998</v>
      </c>
      <c r="I3411" s="83"/>
      <c r="K3411" s="54" t="s">
        <v>15</v>
      </c>
    </row>
    <row r="3412" spans="2:11" ht="33" x14ac:dyDescent="0.2">
      <c r="B3412" s="84" t="s">
        <v>5742</v>
      </c>
      <c r="C3412" s="84" t="s">
        <v>5443</v>
      </c>
      <c r="D3412" s="85">
        <v>0</v>
      </c>
      <c r="E3412" s="85"/>
      <c r="F3412" s="85">
        <v>3036</v>
      </c>
      <c r="G3412" s="85">
        <v>0</v>
      </c>
      <c r="H3412" s="85">
        <f t="shared" si="53"/>
        <v>3036</v>
      </c>
      <c r="I3412" s="85"/>
      <c r="K3412" s="54" t="s">
        <v>38</v>
      </c>
    </row>
    <row r="3413" spans="2:11" ht="33" x14ac:dyDescent="0.2">
      <c r="B3413" s="84" t="s">
        <v>5743</v>
      </c>
      <c r="C3413" s="84" t="s">
        <v>5744</v>
      </c>
      <c r="D3413" s="85">
        <v>0</v>
      </c>
      <c r="E3413" s="85"/>
      <c r="F3413" s="85">
        <v>3608.4</v>
      </c>
      <c r="G3413" s="85">
        <v>0</v>
      </c>
      <c r="H3413" s="85">
        <f t="shared" si="53"/>
        <v>3608.4</v>
      </c>
      <c r="I3413" s="85"/>
      <c r="K3413" s="54" t="s">
        <v>38</v>
      </c>
    </row>
    <row r="3414" spans="2:11" ht="33" x14ac:dyDescent="0.2">
      <c r="B3414" s="84" t="s">
        <v>5745</v>
      </c>
      <c r="C3414" s="84" t="s">
        <v>5446</v>
      </c>
      <c r="D3414" s="85">
        <v>0</v>
      </c>
      <c r="E3414" s="85"/>
      <c r="F3414" s="85">
        <v>11887.66</v>
      </c>
      <c r="G3414" s="85">
        <v>0</v>
      </c>
      <c r="H3414" s="85">
        <f t="shared" si="53"/>
        <v>11887.66</v>
      </c>
      <c r="I3414" s="85"/>
      <c r="K3414" s="54" t="s">
        <v>38</v>
      </c>
    </row>
    <row r="3415" spans="2:11" ht="16.5" x14ac:dyDescent="0.2">
      <c r="B3415" s="82" t="s">
        <v>5746</v>
      </c>
      <c r="C3415" s="82" t="s">
        <v>3693</v>
      </c>
      <c r="D3415" s="83">
        <f>SUMIFS(D3416:D6462,K3416:K6462,"0",B3416:B6462,"5 1 1 5 4 12 31111 6 M59 96100*")-SUMIFS(E3416:E6462,K3416:K6462,"0",B3416:B6462,"5 1 1 5 4 12 31111 6 M59 96100*")</f>
        <v>0</v>
      </c>
      <c r="E3415" s="54"/>
      <c r="F3415" s="83">
        <f>SUMIFS(F3416:F6462,K3416:K6462,"0",B3416:B6462,"5 1 1 5 4 12 31111 6 M59 96100*")</f>
        <v>42215.29</v>
      </c>
      <c r="G3415" s="83">
        <f>SUMIFS(G3416:G6462,K3416:K6462,"0",B3416:B6462,"5 1 1 5 4 12 31111 6 M59 96100*")</f>
        <v>0</v>
      </c>
      <c r="H3415" s="83">
        <f t="shared" si="53"/>
        <v>42215.29</v>
      </c>
      <c r="I3415" s="83"/>
      <c r="K3415" s="54" t="s">
        <v>15</v>
      </c>
    </row>
    <row r="3416" spans="2:11" ht="16.5" x14ac:dyDescent="0.2">
      <c r="B3416" s="82" t="s">
        <v>5747</v>
      </c>
      <c r="C3416" s="82" t="s">
        <v>1310</v>
      </c>
      <c r="D3416" s="83">
        <f>SUMIFS(D3417:D6462,K3417:K6462,"0",B3417:B6462,"5 1 1 5 4 12 31111 6 M59 96100 000211*")-SUMIFS(E3417:E6462,K3417:K6462,"0",B3417:B6462,"5 1 1 5 4 12 31111 6 M59 96100 000211*")</f>
        <v>0</v>
      </c>
      <c r="E3416" s="54"/>
      <c r="F3416" s="83">
        <f>SUMIFS(F3417:F6462,K3417:K6462,"0",B3417:B6462,"5 1 1 5 4 12 31111 6 M59 96100 000211*")</f>
        <v>42215.29</v>
      </c>
      <c r="G3416" s="83">
        <f>SUMIFS(G3417:G6462,K3417:K6462,"0",B3417:B6462,"5 1 1 5 4 12 31111 6 M59 96100 000211*")</f>
        <v>0</v>
      </c>
      <c r="H3416" s="83">
        <f t="shared" si="53"/>
        <v>42215.29</v>
      </c>
      <c r="I3416" s="83"/>
      <c r="K3416" s="54" t="s">
        <v>15</v>
      </c>
    </row>
    <row r="3417" spans="2:11" ht="16.5" x14ac:dyDescent="0.2">
      <c r="B3417" s="82" t="s">
        <v>5748</v>
      </c>
      <c r="C3417" s="82" t="s">
        <v>3696</v>
      </c>
      <c r="D3417" s="83">
        <f>SUMIFS(D3418:D6462,K3418:K6462,"0",B3418:B6462,"5 1 1 5 4 12 31111 6 M59 96100 000211 0000U*")-SUMIFS(E3418:E6462,K3418:K6462,"0",B3418:B6462,"5 1 1 5 4 12 31111 6 M59 96100 000211 0000U*")</f>
        <v>0</v>
      </c>
      <c r="E3417" s="54"/>
      <c r="F3417" s="83">
        <f>SUMIFS(F3418:F6462,K3418:K6462,"0",B3418:B6462,"5 1 1 5 4 12 31111 6 M59 96100 000211 0000U*")</f>
        <v>42215.29</v>
      </c>
      <c r="G3417" s="83">
        <f>SUMIFS(G3418:G6462,K3418:K6462,"0",B3418:B6462,"5 1 1 5 4 12 31111 6 M59 96100 000211 0000U*")</f>
        <v>0</v>
      </c>
      <c r="H3417" s="83">
        <f t="shared" si="53"/>
        <v>42215.29</v>
      </c>
      <c r="I3417" s="83"/>
      <c r="K3417" s="54" t="s">
        <v>15</v>
      </c>
    </row>
    <row r="3418" spans="2:11" ht="24.75" x14ac:dyDescent="0.2">
      <c r="B3418" s="82" t="s">
        <v>5749</v>
      </c>
      <c r="C3418" s="82" t="s">
        <v>282</v>
      </c>
      <c r="D3418" s="83">
        <f>SUMIFS(D3419:D6462,K3419:K6462,"0",B3419:B6462,"5 1 1 5 4 12 31111 6 M59 96100 000211 0000U 00001*")-SUMIFS(E3419:E6462,K3419:K6462,"0",B3419:B6462,"5 1 1 5 4 12 31111 6 M59 96100 000211 0000U 00001*")</f>
        <v>0</v>
      </c>
      <c r="E3418" s="54"/>
      <c r="F3418" s="83">
        <f>SUMIFS(F3419:F6462,K3419:K6462,"0",B3419:B6462,"5 1 1 5 4 12 31111 6 M59 96100 000211 0000U 00001*")</f>
        <v>42215.29</v>
      </c>
      <c r="G3418" s="83">
        <f>SUMIFS(G3419:G6462,K3419:K6462,"0",B3419:B6462,"5 1 1 5 4 12 31111 6 M59 96100 000211 0000U 00001*")</f>
        <v>0</v>
      </c>
      <c r="H3418" s="83">
        <f t="shared" si="53"/>
        <v>42215.29</v>
      </c>
      <c r="I3418" s="83"/>
      <c r="K3418" s="54" t="s">
        <v>15</v>
      </c>
    </row>
    <row r="3419" spans="2:11" ht="24.75" x14ac:dyDescent="0.2">
      <c r="B3419" s="82" t="s">
        <v>5750</v>
      </c>
      <c r="C3419" s="82" t="s">
        <v>5422</v>
      </c>
      <c r="D3419" s="83">
        <f>SUMIFS(D3420:D6462,K3420:K6462,"0",B3420:B6462,"5 1 1 5 4 12 31111 6 M59 96100 000211 0000U 00001 00154*")-SUMIFS(E3420:E6462,K3420:K6462,"0",B3420:B6462,"5 1 1 5 4 12 31111 6 M59 96100 000211 0000U 00001 00154*")</f>
        <v>0</v>
      </c>
      <c r="E3419" s="54"/>
      <c r="F3419" s="83">
        <f>SUMIFS(F3420:F6462,K3420:K6462,"0",B3420:B6462,"5 1 1 5 4 12 31111 6 M59 96100 000211 0000U 00001 00154*")</f>
        <v>42215.29</v>
      </c>
      <c r="G3419" s="83">
        <f>SUMIFS(G3420:G6462,K3420:K6462,"0",B3420:B6462,"5 1 1 5 4 12 31111 6 M59 96100 000211 0000U 00001 00154*")</f>
        <v>0</v>
      </c>
      <c r="H3419" s="83">
        <f t="shared" si="53"/>
        <v>42215.29</v>
      </c>
      <c r="I3419" s="83"/>
      <c r="K3419" s="54" t="s">
        <v>15</v>
      </c>
    </row>
    <row r="3420" spans="2:11" ht="24.75" x14ac:dyDescent="0.2">
      <c r="B3420" s="82" t="s">
        <v>5751</v>
      </c>
      <c r="C3420" s="82" t="s">
        <v>1051</v>
      </c>
      <c r="D3420" s="83">
        <f>SUMIFS(D3421:D6462,K3421:K6462,"0",B3421:B6462,"5 1 1 5 4 12 31111 6 M59 96100 000211 0000U 00001 00154 015*")-SUMIFS(E3421:E6462,K3421:K6462,"0",B3421:B6462,"5 1 1 5 4 12 31111 6 M59 96100 000211 0000U 00001 00154 015*")</f>
        <v>0</v>
      </c>
      <c r="E3420" s="54"/>
      <c r="F3420" s="83">
        <f>SUMIFS(F3421:F6462,K3421:K6462,"0",B3421:B6462,"5 1 1 5 4 12 31111 6 M59 96100 000211 0000U 00001 00154 015*")</f>
        <v>42215.29</v>
      </c>
      <c r="G3420" s="83">
        <f>SUMIFS(G3421:G6462,K3421:K6462,"0",B3421:B6462,"5 1 1 5 4 12 31111 6 M59 96100 000211 0000U 00001 00154 015*")</f>
        <v>0</v>
      </c>
      <c r="H3420" s="83">
        <f t="shared" si="53"/>
        <v>42215.29</v>
      </c>
      <c r="I3420" s="83"/>
      <c r="K3420" s="54" t="s">
        <v>15</v>
      </c>
    </row>
    <row r="3421" spans="2:11" ht="33" x14ac:dyDescent="0.2">
      <c r="B3421" s="82" t="s">
        <v>5752</v>
      </c>
      <c r="C3421" s="82" t="s">
        <v>2927</v>
      </c>
      <c r="D3421" s="83">
        <f>SUMIFS(D3422:D6462,K3422:K6462,"0",B3422:B6462,"5 1 1 5 4 12 31111 6 M59 96100 000211 0000U 00001 00154 015 2111100*")-SUMIFS(E3422:E6462,K3422:K6462,"0",B3422:B6462,"5 1 1 5 4 12 31111 6 M59 96100 000211 0000U 00001 00154 015 2111100*")</f>
        <v>0</v>
      </c>
      <c r="E3421" s="54"/>
      <c r="F3421" s="83">
        <f>SUMIFS(F3422:F6462,K3422:K6462,"0",B3422:B6462,"5 1 1 5 4 12 31111 6 M59 96100 000211 0000U 00001 00154 015 2111100*")</f>
        <v>42215.29</v>
      </c>
      <c r="G3421" s="83">
        <f>SUMIFS(G3422:G6462,K3422:K6462,"0",B3422:B6462,"5 1 1 5 4 12 31111 6 M59 96100 000211 0000U 00001 00154 015 2111100*")</f>
        <v>0</v>
      </c>
      <c r="H3421" s="83">
        <f t="shared" si="53"/>
        <v>42215.29</v>
      </c>
      <c r="I3421" s="83"/>
      <c r="K3421" s="54" t="s">
        <v>15</v>
      </c>
    </row>
    <row r="3422" spans="2:11" ht="33" x14ac:dyDescent="0.2">
      <c r="B3422" s="82" t="s">
        <v>5753</v>
      </c>
      <c r="C3422" s="82" t="s">
        <v>660</v>
      </c>
      <c r="D3422" s="83">
        <f>SUMIFS(D3423:D6462,K3423:K6462,"0",B3423:B6462,"5 1 1 5 4 12 31111 6 M59 96100 000211 0000U 00001 00154 015 2111100 2024*")-SUMIFS(E3423:E6462,K3423:K6462,"0",B3423:B6462,"5 1 1 5 4 12 31111 6 M59 96100 000211 0000U 00001 00154 015 2111100 2024*")</f>
        <v>0</v>
      </c>
      <c r="E3422" s="54"/>
      <c r="F3422" s="83">
        <f>SUMIFS(F3423:F6462,K3423:K6462,"0",B3423:B6462,"5 1 1 5 4 12 31111 6 M59 96100 000211 0000U 00001 00154 015 2111100 2024*")</f>
        <v>42215.29</v>
      </c>
      <c r="G3422" s="83">
        <f>SUMIFS(G3423:G6462,K3423:K6462,"0",B3423:B6462,"5 1 1 5 4 12 31111 6 M59 96100 000211 0000U 00001 00154 015 2111100 2024*")</f>
        <v>0</v>
      </c>
      <c r="H3422" s="83">
        <f t="shared" si="53"/>
        <v>42215.29</v>
      </c>
      <c r="I3422" s="83"/>
      <c r="K3422" s="54" t="s">
        <v>15</v>
      </c>
    </row>
    <row r="3423" spans="2:11" ht="41.25" x14ac:dyDescent="0.2">
      <c r="B3423" s="82" t="s">
        <v>5754</v>
      </c>
      <c r="C3423" s="82" t="s">
        <v>1056</v>
      </c>
      <c r="D3423" s="83">
        <f>SUMIFS(D3424:D6462,K3424:K6462,"0",B3424:B6462,"5 1 1 5 4 12 31111 6 M59 96100 000211 0000U 00001 00154 015 2111100 2024 CP1IU412*")-SUMIFS(E3424:E6462,K3424:K6462,"0",B3424:B6462,"5 1 1 5 4 12 31111 6 M59 96100 000211 0000U 00001 00154 015 2111100 2024 CP1IU412*")</f>
        <v>0</v>
      </c>
      <c r="E3423" s="54"/>
      <c r="F3423" s="83">
        <f>SUMIFS(F3424:F6462,K3424:K6462,"0",B3424:B6462,"5 1 1 5 4 12 31111 6 M59 96100 000211 0000U 00001 00154 015 2111100 2024 CP1IU412*")</f>
        <v>42215.29</v>
      </c>
      <c r="G3423" s="83">
        <f>SUMIFS(G3424:G6462,K3424:K6462,"0",B3424:B6462,"5 1 1 5 4 12 31111 6 M59 96100 000211 0000U 00001 00154 015 2111100 2024 CP1IU412*")</f>
        <v>0</v>
      </c>
      <c r="H3423" s="83">
        <f t="shared" si="53"/>
        <v>42215.29</v>
      </c>
      <c r="I3423" s="83"/>
      <c r="K3423" s="54" t="s">
        <v>15</v>
      </c>
    </row>
    <row r="3424" spans="2:11" ht="41.25" x14ac:dyDescent="0.2">
      <c r="B3424" s="82" t="s">
        <v>5755</v>
      </c>
      <c r="C3424" s="82" t="s">
        <v>282</v>
      </c>
      <c r="D3424" s="83">
        <f>SUMIFS(D3425:D6462,K3425:K6462,"0",B3425:B6462,"5 1 1 5 4 12 31111 6 M59 96100 000211 0000U 00001 00154 015 2111100 2024 CP1IU412 001*")-SUMIFS(E3425:E6462,K3425:K6462,"0",B3425:B6462,"5 1 1 5 4 12 31111 6 M59 96100 000211 0000U 00001 00154 015 2111100 2024 CP1IU412 001*")</f>
        <v>0</v>
      </c>
      <c r="E3424" s="54"/>
      <c r="F3424" s="83">
        <f>SUMIFS(F3425:F6462,K3425:K6462,"0",B3425:B6462,"5 1 1 5 4 12 31111 6 M59 96100 000211 0000U 00001 00154 015 2111100 2024 CP1IU412 001*")</f>
        <v>42215.29</v>
      </c>
      <c r="G3424" s="83">
        <f>SUMIFS(G3425:G6462,K3425:K6462,"0",B3425:B6462,"5 1 1 5 4 12 31111 6 M59 96100 000211 0000U 00001 00154 015 2111100 2024 CP1IU412 001*")</f>
        <v>0</v>
      </c>
      <c r="H3424" s="83">
        <f t="shared" si="53"/>
        <v>42215.29</v>
      </c>
      <c r="I3424" s="83"/>
      <c r="K3424" s="54" t="s">
        <v>15</v>
      </c>
    </row>
    <row r="3425" spans="2:11" ht="33" x14ac:dyDescent="0.2">
      <c r="B3425" s="84" t="s">
        <v>5756</v>
      </c>
      <c r="C3425" s="84" t="s">
        <v>5443</v>
      </c>
      <c r="D3425" s="85">
        <v>0</v>
      </c>
      <c r="E3425" s="85"/>
      <c r="F3425" s="85">
        <v>5648</v>
      </c>
      <c r="G3425" s="85">
        <v>0</v>
      </c>
      <c r="H3425" s="85">
        <f t="shared" si="53"/>
        <v>5648</v>
      </c>
      <c r="I3425" s="85"/>
      <c r="K3425" s="54" t="s">
        <v>38</v>
      </c>
    </row>
    <row r="3426" spans="2:11" ht="33" x14ac:dyDescent="0.2">
      <c r="B3426" s="84" t="s">
        <v>5757</v>
      </c>
      <c r="C3426" s="84" t="s">
        <v>5431</v>
      </c>
      <c r="D3426" s="85">
        <v>0</v>
      </c>
      <c r="E3426" s="85"/>
      <c r="F3426" s="85">
        <v>36567.29</v>
      </c>
      <c r="G3426" s="85">
        <v>0</v>
      </c>
      <c r="H3426" s="85">
        <f t="shared" si="53"/>
        <v>36567.29</v>
      </c>
      <c r="I3426" s="85"/>
      <c r="K3426" s="54" t="s">
        <v>38</v>
      </c>
    </row>
    <row r="3427" spans="2:11" ht="16.5" x14ac:dyDescent="0.2">
      <c r="B3427" s="82" t="s">
        <v>5758</v>
      </c>
      <c r="C3427" s="82" t="s">
        <v>3706</v>
      </c>
      <c r="D3427" s="83">
        <f>SUMIFS(D3428:D6462,K3428:K6462,"0",B3428:B6462,"5 1 1 5 4 12 31111 6 M59 96200*")-SUMIFS(E3428:E6462,K3428:K6462,"0",B3428:B6462,"5 1 1 5 4 12 31111 6 M59 96200*")</f>
        <v>0</v>
      </c>
      <c r="E3427" s="54"/>
      <c r="F3427" s="83">
        <f>SUMIFS(F3428:F6462,K3428:K6462,"0",B3428:B6462,"5 1 1 5 4 12 31111 6 M59 96200*")</f>
        <v>22866.7</v>
      </c>
      <c r="G3427" s="83">
        <f>SUMIFS(G3428:G6462,K3428:K6462,"0",B3428:B6462,"5 1 1 5 4 12 31111 6 M59 96200*")</f>
        <v>0</v>
      </c>
      <c r="H3427" s="83">
        <f t="shared" si="53"/>
        <v>22866.7</v>
      </c>
      <c r="I3427" s="83"/>
      <c r="K3427" s="54" t="s">
        <v>15</v>
      </c>
    </row>
    <row r="3428" spans="2:11" ht="16.5" x14ac:dyDescent="0.2">
      <c r="B3428" s="82" t="s">
        <v>5759</v>
      </c>
      <c r="C3428" s="82" t="s">
        <v>648</v>
      </c>
      <c r="D3428" s="83">
        <f>SUMIFS(D3429:D6462,K3429:K6462,"0",B3429:B6462,"5 1 1 5 4 12 31111 6 M59 96200 000132*")-SUMIFS(E3429:E6462,K3429:K6462,"0",B3429:B6462,"5 1 1 5 4 12 31111 6 M59 96200 000132*")</f>
        <v>0</v>
      </c>
      <c r="E3428" s="54"/>
      <c r="F3428" s="83">
        <f>SUMIFS(F3429:F6462,K3429:K6462,"0",B3429:B6462,"5 1 1 5 4 12 31111 6 M59 96200 000132*")</f>
        <v>22866.7</v>
      </c>
      <c r="G3428" s="83">
        <f>SUMIFS(G3429:G6462,K3429:K6462,"0",B3429:B6462,"5 1 1 5 4 12 31111 6 M59 96200 000132*")</f>
        <v>0</v>
      </c>
      <c r="H3428" s="83">
        <f t="shared" si="53"/>
        <v>22866.7</v>
      </c>
      <c r="I3428" s="83"/>
      <c r="K3428" s="54" t="s">
        <v>15</v>
      </c>
    </row>
    <row r="3429" spans="2:11" ht="16.5" x14ac:dyDescent="0.2">
      <c r="B3429" s="82" t="s">
        <v>5760</v>
      </c>
      <c r="C3429" s="82" t="s">
        <v>650</v>
      </c>
      <c r="D3429" s="83">
        <f>SUMIFS(D3430:D6462,K3430:K6462,"0",B3430:B6462,"5 1 1 5 4 12 31111 6 M59 96200 000132 0000R*")-SUMIFS(E3430:E6462,K3430:K6462,"0",B3430:B6462,"5 1 1 5 4 12 31111 6 M59 96200 000132 0000R*")</f>
        <v>0</v>
      </c>
      <c r="E3429" s="54"/>
      <c r="F3429" s="83">
        <f>SUMIFS(F3430:F6462,K3430:K6462,"0",B3430:B6462,"5 1 1 5 4 12 31111 6 M59 96200 000132 0000R*")</f>
        <v>22866.7</v>
      </c>
      <c r="G3429" s="83">
        <f>SUMIFS(G3430:G6462,K3430:K6462,"0",B3430:B6462,"5 1 1 5 4 12 31111 6 M59 96200 000132 0000R*")</f>
        <v>0</v>
      </c>
      <c r="H3429" s="83">
        <f t="shared" si="53"/>
        <v>22866.7</v>
      </c>
      <c r="I3429" s="83"/>
      <c r="K3429" s="54" t="s">
        <v>15</v>
      </c>
    </row>
    <row r="3430" spans="2:11" ht="24.75" x14ac:dyDescent="0.2">
      <c r="B3430" s="82" t="s">
        <v>5761</v>
      </c>
      <c r="C3430" s="82" t="s">
        <v>282</v>
      </c>
      <c r="D3430" s="83">
        <f>SUMIFS(D3431:D6462,K3431:K6462,"0",B3431:B6462,"5 1 1 5 4 12 31111 6 M59 96200 000132 0000R 00001*")-SUMIFS(E3431:E6462,K3431:K6462,"0",B3431:B6462,"5 1 1 5 4 12 31111 6 M59 96200 000132 0000R 00001*")</f>
        <v>0</v>
      </c>
      <c r="E3430" s="54"/>
      <c r="F3430" s="83">
        <f>SUMIFS(F3431:F6462,K3431:K6462,"0",B3431:B6462,"5 1 1 5 4 12 31111 6 M59 96200 000132 0000R 00001*")</f>
        <v>22866.7</v>
      </c>
      <c r="G3430" s="83">
        <f>SUMIFS(G3431:G6462,K3431:K6462,"0",B3431:B6462,"5 1 1 5 4 12 31111 6 M59 96200 000132 0000R 00001*")</f>
        <v>0</v>
      </c>
      <c r="H3430" s="83">
        <f t="shared" si="53"/>
        <v>22866.7</v>
      </c>
      <c r="I3430" s="83"/>
      <c r="K3430" s="54" t="s">
        <v>15</v>
      </c>
    </row>
    <row r="3431" spans="2:11" ht="24.75" x14ac:dyDescent="0.2">
      <c r="B3431" s="82" t="s">
        <v>5762</v>
      </c>
      <c r="C3431" s="82" t="s">
        <v>5422</v>
      </c>
      <c r="D3431" s="83">
        <f>SUMIFS(D3432:D6462,K3432:K6462,"0",B3432:B6462,"5 1 1 5 4 12 31111 6 M59 96200 000132 0000R 00001 00154*")-SUMIFS(E3432:E6462,K3432:K6462,"0",B3432:B6462,"5 1 1 5 4 12 31111 6 M59 96200 000132 0000R 00001 00154*")</f>
        <v>0</v>
      </c>
      <c r="E3431" s="54"/>
      <c r="F3431" s="83">
        <f>SUMIFS(F3432:F6462,K3432:K6462,"0",B3432:B6462,"5 1 1 5 4 12 31111 6 M59 96200 000132 0000R 00001 00154*")</f>
        <v>22866.7</v>
      </c>
      <c r="G3431" s="83">
        <f>SUMIFS(G3432:G6462,K3432:K6462,"0",B3432:B6462,"5 1 1 5 4 12 31111 6 M59 96200 000132 0000R 00001 00154*")</f>
        <v>0</v>
      </c>
      <c r="H3431" s="83">
        <f t="shared" si="53"/>
        <v>22866.7</v>
      </c>
      <c r="I3431" s="83"/>
      <c r="K3431" s="54" t="s">
        <v>15</v>
      </c>
    </row>
    <row r="3432" spans="2:11" ht="24.75" x14ac:dyDescent="0.2">
      <c r="B3432" s="82" t="s">
        <v>5763</v>
      </c>
      <c r="C3432" s="82" t="s">
        <v>1051</v>
      </c>
      <c r="D3432" s="83">
        <f>SUMIFS(D3433:D6462,K3433:K6462,"0",B3433:B6462,"5 1 1 5 4 12 31111 6 M59 96200 000132 0000R 00001 00154 015*")-SUMIFS(E3433:E6462,K3433:K6462,"0",B3433:B6462,"5 1 1 5 4 12 31111 6 M59 96200 000132 0000R 00001 00154 015*")</f>
        <v>0</v>
      </c>
      <c r="E3432" s="54"/>
      <c r="F3432" s="83">
        <f>SUMIFS(F3433:F6462,K3433:K6462,"0",B3433:B6462,"5 1 1 5 4 12 31111 6 M59 96200 000132 0000R 00001 00154 015*")</f>
        <v>22866.7</v>
      </c>
      <c r="G3432" s="83">
        <f>SUMIFS(G3433:G6462,K3433:K6462,"0",B3433:B6462,"5 1 1 5 4 12 31111 6 M59 96200 000132 0000R 00001 00154 015*")</f>
        <v>0</v>
      </c>
      <c r="H3432" s="83">
        <f t="shared" si="53"/>
        <v>22866.7</v>
      </c>
      <c r="I3432" s="83"/>
      <c r="K3432" s="54" t="s">
        <v>15</v>
      </c>
    </row>
    <row r="3433" spans="2:11" ht="33" x14ac:dyDescent="0.2">
      <c r="B3433" s="82" t="s">
        <v>5764</v>
      </c>
      <c r="C3433" s="82" t="s">
        <v>2927</v>
      </c>
      <c r="D3433" s="83">
        <f>SUMIFS(D3434:D6462,K3434:K6462,"0",B3434:B6462,"5 1 1 5 4 12 31111 6 M59 96200 000132 0000R 00001 00154 015 2111100*")-SUMIFS(E3434:E6462,K3434:K6462,"0",B3434:B6462,"5 1 1 5 4 12 31111 6 M59 96200 000132 0000R 00001 00154 015 2111100*")</f>
        <v>0</v>
      </c>
      <c r="E3433" s="54"/>
      <c r="F3433" s="83">
        <f>SUMIFS(F3434:F6462,K3434:K6462,"0",B3434:B6462,"5 1 1 5 4 12 31111 6 M59 96200 000132 0000R 00001 00154 015 2111100*")</f>
        <v>22866.7</v>
      </c>
      <c r="G3433" s="83">
        <f>SUMIFS(G3434:G6462,K3434:K6462,"0",B3434:B6462,"5 1 1 5 4 12 31111 6 M59 96200 000132 0000R 00001 00154 015 2111100*")</f>
        <v>0</v>
      </c>
      <c r="H3433" s="83">
        <f t="shared" si="53"/>
        <v>22866.7</v>
      </c>
      <c r="I3433" s="83"/>
      <c r="K3433" s="54" t="s">
        <v>15</v>
      </c>
    </row>
    <row r="3434" spans="2:11" ht="33" x14ac:dyDescent="0.2">
      <c r="B3434" s="82" t="s">
        <v>5765</v>
      </c>
      <c r="C3434" s="82" t="s">
        <v>660</v>
      </c>
      <c r="D3434" s="83">
        <f>SUMIFS(D3435:D6462,K3435:K6462,"0",B3435:B6462,"5 1 1 5 4 12 31111 6 M59 96200 000132 0000R 00001 00154 015 2111100 2024*")-SUMIFS(E3435:E6462,K3435:K6462,"0",B3435:B6462,"5 1 1 5 4 12 31111 6 M59 96200 000132 0000R 00001 00154 015 2111100 2024*")</f>
        <v>0</v>
      </c>
      <c r="E3434" s="54"/>
      <c r="F3434" s="83">
        <f>SUMIFS(F3435:F6462,K3435:K6462,"0",B3435:B6462,"5 1 1 5 4 12 31111 6 M59 96200 000132 0000R 00001 00154 015 2111100 2024*")</f>
        <v>22866.7</v>
      </c>
      <c r="G3434" s="83">
        <f>SUMIFS(G3435:G6462,K3435:K6462,"0",B3435:B6462,"5 1 1 5 4 12 31111 6 M59 96200 000132 0000R 00001 00154 015 2111100 2024*")</f>
        <v>0</v>
      </c>
      <c r="H3434" s="83">
        <f t="shared" si="53"/>
        <v>22866.7</v>
      </c>
      <c r="I3434" s="83"/>
      <c r="K3434" s="54" t="s">
        <v>15</v>
      </c>
    </row>
    <row r="3435" spans="2:11" ht="41.25" x14ac:dyDescent="0.2">
      <c r="B3435" s="82" t="s">
        <v>5766</v>
      </c>
      <c r="C3435" s="82" t="s">
        <v>662</v>
      </c>
      <c r="D3435" s="83">
        <f>SUMIFS(D3436:D6462,K3436:K6462,"0",B3436:B6462,"5 1 1 5 4 12 31111 6 M59 96200 000132 0000R 00001 00154 015 2111100 2024 CP1AL423*")-SUMIFS(E3436:E6462,K3436:K6462,"0",B3436:B6462,"5 1 1 5 4 12 31111 6 M59 96200 000132 0000R 00001 00154 015 2111100 2024 CP1AL423*")</f>
        <v>0</v>
      </c>
      <c r="E3435" s="54"/>
      <c r="F3435" s="83">
        <f>SUMIFS(F3436:F6462,K3436:K6462,"0",B3436:B6462,"5 1 1 5 4 12 31111 6 M59 96200 000132 0000R 00001 00154 015 2111100 2024 CP1AL423*")</f>
        <v>22866.7</v>
      </c>
      <c r="G3435" s="83">
        <f>SUMIFS(G3436:G6462,K3436:K6462,"0",B3436:B6462,"5 1 1 5 4 12 31111 6 M59 96200 000132 0000R 00001 00154 015 2111100 2024 CP1AL423*")</f>
        <v>0</v>
      </c>
      <c r="H3435" s="83">
        <f t="shared" ref="H3435:H3498" si="54">D3435 + F3435 - G3435</f>
        <v>22866.7</v>
      </c>
      <c r="I3435" s="83"/>
      <c r="K3435" s="54" t="s">
        <v>15</v>
      </c>
    </row>
    <row r="3436" spans="2:11" ht="41.25" x14ac:dyDescent="0.2">
      <c r="B3436" s="82" t="s">
        <v>5767</v>
      </c>
      <c r="C3436" s="82" t="s">
        <v>282</v>
      </c>
      <c r="D3436" s="83">
        <f>SUMIFS(D3437:D6462,K3437:K6462,"0",B3437:B6462,"5 1 1 5 4 12 31111 6 M59 96200 000132 0000R 00001 00154 015 2111100 2024 CP1AL423 001*")-SUMIFS(E3437:E6462,K3437:K6462,"0",B3437:B6462,"5 1 1 5 4 12 31111 6 M59 96200 000132 0000R 00001 00154 015 2111100 2024 CP1AL423 001*")</f>
        <v>0</v>
      </c>
      <c r="E3436" s="54"/>
      <c r="F3436" s="83">
        <f>SUMIFS(F3437:F6462,K3437:K6462,"0",B3437:B6462,"5 1 1 5 4 12 31111 6 M59 96200 000132 0000R 00001 00154 015 2111100 2024 CP1AL423 001*")</f>
        <v>22866.7</v>
      </c>
      <c r="G3436" s="83">
        <f>SUMIFS(G3437:G6462,K3437:K6462,"0",B3437:B6462,"5 1 1 5 4 12 31111 6 M59 96200 000132 0000R 00001 00154 015 2111100 2024 CP1AL423 001*")</f>
        <v>0</v>
      </c>
      <c r="H3436" s="83">
        <f t="shared" si="54"/>
        <v>22866.7</v>
      </c>
      <c r="I3436" s="83"/>
      <c r="K3436" s="54" t="s">
        <v>15</v>
      </c>
    </row>
    <row r="3437" spans="2:11" ht="41.25" x14ac:dyDescent="0.2">
      <c r="B3437" s="84" t="s">
        <v>5768</v>
      </c>
      <c r="C3437" s="84" t="s">
        <v>5443</v>
      </c>
      <c r="D3437" s="85">
        <v>0</v>
      </c>
      <c r="E3437" s="85"/>
      <c r="F3437" s="85">
        <v>3036</v>
      </c>
      <c r="G3437" s="85">
        <v>0</v>
      </c>
      <c r="H3437" s="85">
        <f t="shared" si="54"/>
        <v>3036</v>
      </c>
      <c r="I3437" s="85"/>
      <c r="K3437" s="54" t="s">
        <v>38</v>
      </c>
    </row>
    <row r="3438" spans="2:11" ht="41.25" x14ac:dyDescent="0.2">
      <c r="B3438" s="84" t="s">
        <v>5769</v>
      </c>
      <c r="C3438" s="84" t="s">
        <v>5431</v>
      </c>
      <c r="D3438" s="85">
        <v>0</v>
      </c>
      <c r="E3438" s="85"/>
      <c r="F3438" s="85">
        <v>3443.04</v>
      </c>
      <c r="G3438" s="85">
        <v>0</v>
      </c>
      <c r="H3438" s="85">
        <f t="shared" si="54"/>
        <v>3443.04</v>
      </c>
      <c r="I3438" s="85"/>
      <c r="K3438" s="54" t="s">
        <v>38</v>
      </c>
    </row>
    <row r="3439" spans="2:11" ht="41.25" x14ac:dyDescent="0.2">
      <c r="B3439" s="84" t="s">
        <v>5770</v>
      </c>
      <c r="C3439" s="84" t="s">
        <v>5446</v>
      </c>
      <c r="D3439" s="85">
        <v>0</v>
      </c>
      <c r="E3439" s="85"/>
      <c r="F3439" s="85">
        <v>16387.66</v>
      </c>
      <c r="G3439" s="85">
        <v>0</v>
      </c>
      <c r="H3439" s="85">
        <f t="shared" si="54"/>
        <v>16387.66</v>
      </c>
      <c r="I3439" s="85"/>
      <c r="K3439" s="54" t="s">
        <v>38</v>
      </c>
    </row>
    <row r="3440" spans="2:11" ht="16.5" x14ac:dyDescent="0.2">
      <c r="B3440" s="82" t="s">
        <v>5771</v>
      </c>
      <c r="C3440" s="82" t="s">
        <v>1308</v>
      </c>
      <c r="D3440" s="83">
        <f>SUMIFS(D3441:D6462,K3441:K6462,"0",B3441:B6462,"5 1 1 5 4 12 31111 6 M59 96300*")-SUMIFS(E3441:E6462,K3441:K6462,"0",B3441:B6462,"5 1 1 5 4 12 31111 6 M59 96300*")</f>
        <v>0</v>
      </c>
      <c r="E3440" s="54"/>
      <c r="F3440" s="83">
        <f>SUMIFS(F3441:F6462,K3441:K6462,"0",B3441:B6462,"5 1 1 5 4 12 31111 6 M59 96300*")</f>
        <v>197442.79</v>
      </c>
      <c r="G3440" s="83">
        <f>SUMIFS(G3441:G6462,K3441:K6462,"0",B3441:B6462,"5 1 1 5 4 12 31111 6 M59 96300*")</f>
        <v>0</v>
      </c>
      <c r="H3440" s="83">
        <f t="shared" si="54"/>
        <v>197442.79</v>
      </c>
      <c r="I3440" s="83"/>
      <c r="K3440" s="54" t="s">
        <v>15</v>
      </c>
    </row>
    <row r="3441" spans="2:11" ht="16.5" x14ac:dyDescent="0.2">
      <c r="B3441" s="82" t="s">
        <v>5772</v>
      </c>
      <c r="C3441" s="82" t="s">
        <v>1310</v>
      </c>
      <c r="D3441" s="83">
        <f>SUMIFS(D3442:D6462,K3442:K6462,"0",B3442:B6462,"5 1 1 5 4 12 31111 6 M59 96300 000211*")-SUMIFS(E3442:E6462,K3442:K6462,"0",B3442:B6462,"5 1 1 5 4 12 31111 6 M59 96300 000211*")</f>
        <v>0</v>
      </c>
      <c r="E3441" s="54"/>
      <c r="F3441" s="83">
        <f>SUMIFS(F3442:F6462,K3442:K6462,"0",B3442:B6462,"5 1 1 5 4 12 31111 6 M59 96300 000211*")</f>
        <v>197442.79</v>
      </c>
      <c r="G3441" s="83">
        <f>SUMIFS(G3442:G6462,K3442:K6462,"0",B3442:B6462,"5 1 1 5 4 12 31111 6 M59 96300 000211*")</f>
        <v>0</v>
      </c>
      <c r="H3441" s="83">
        <f t="shared" si="54"/>
        <v>197442.79</v>
      </c>
      <c r="I3441" s="83"/>
      <c r="K3441" s="54" t="s">
        <v>15</v>
      </c>
    </row>
    <row r="3442" spans="2:11" ht="16.5" x14ac:dyDescent="0.2">
      <c r="B3442" s="82" t="s">
        <v>5773</v>
      </c>
      <c r="C3442" s="82" t="s">
        <v>1065</v>
      </c>
      <c r="D3442" s="83">
        <f>SUMIFS(D3443:D6462,K3443:K6462,"0",B3443:B6462,"5 1 1 5 4 12 31111 6 M59 96300 000211 0000E*")-SUMIFS(E3443:E6462,K3443:K6462,"0",B3443:B6462,"5 1 1 5 4 12 31111 6 M59 96300 000211 0000E*")</f>
        <v>0</v>
      </c>
      <c r="E3442" s="54"/>
      <c r="F3442" s="83">
        <f>SUMIFS(F3443:F6462,K3443:K6462,"0",B3443:B6462,"5 1 1 5 4 12 31111 6 M59 96300 000211 0000E*")</f>
        <v>197442.79</v>
      </c>
      <c r="G3442" s="83">
        <f>SUMIFS(G3443:G6462,K3443:K6462,"0",B3443:B6462,"5 1 1 5 4 12 31111 6 M59 96300 000211 0000E*")</f>
        <v>0</v>
      </c>
      <c r="H3442" s="83">
        <f t="shared" si="54"/>
        <v>197442.79</v>
      </c>
      <c r="I3442" s="83"/>
      <c r="K3442" s="54" t="s">
        <v>15</v>
      </c>
    </row>
    <row r="3443" spans="2:11" ht="24.75" x14ac:dyDescent="0.2">
      <c r="B3443" s="82" t="s">
        <v>5774</v>
      </c>
      <c r="C3443" s="82" t="s">
        <v>282</v>
      </c>
      <c r="D3443" s="83">
        <f>SUMIFS(D3444:D6462,K3444:K6462,"0",B3444:B6462,"5 1 1 5 4 12 31111 6 M59 96300 000211 0000E 00001*")-SUMIFS(E3444:E6462,K3444:K6462,"0",B3444:B6462,"5 1 1 5 4 12 31111 6 M59 96300 000211 0000E 00001*")</f>
        <v>0</v>
      </c>
      <c r="E3443" s="54"/>
      <c r="F3443" s="83">
        <f>SUMIFS(F3444:F6462,K3444:K6462,"0",B3444:B6462,"5 1 1 5 4 12 31111 6 M59 96300 000211 0000E 00001*")</f>
        <v>197442.79</v>
      </c>
      <c r="G3443" s="83">
        <f>SUMIFS(G3444:G6462,K3444:K6462,"0",B3444:B6462,"5 1 1 5 4 12 31111 6 M59 96300 000211 0000E 00001*")</f>
        <v>0</v>
      </c>
      <c r="H3443" s="83">
        <f t="shared" si="54"/>
        <v>197442.79</v>
      </c>
      <c r="I3443" s="83"/>
      <c r="K3443" s="54" t="s">
        <v>15</v>
      </c>
    </row>
    <row r="3444" spans="2:11" ht="24.75" x14ac:dyDescent="0.2">
      <c r="B3444" s="82" t="s">
        <v>5775</v>
      </c>
      <c r="C3444" s="82" t="s">
        <v>5422</v>
      </c>
      <c r="D3444" s="83">
        <f>SUMIFS(D3445:D6462,K3445:K6462,"0",B3445:B6462,"5 1 1 5 4 12 31111 6 M59 96300 000211 0000E 00001 00154*")-SUMIFS(E3445:E6462,K3445:K6462,"0",B3445:B6462,"5 1 1 5 4 12 31111 6 M59 96300 000211 0000E 00001 00154*")</f>
        <v>0</v>
      </c>
      <c r="E3444" s="54"/>
      <c r="F3444" s="83">
        <f>SUMIFS(F3445:F6462,K3445:K6462,"0",B3445:B6462,"5 1 1 5 4 12 31111 6 M59 96300 000211 0000E 00001 00154*")</f>
        <v>197442.79</v>
      </c>
      <c r="G3444" s="83">
        <f>SUMIFS(G3445:G6462,K3445:K6462,"0",B3445:B6462,"5 1 1 5 4 12 31111 6 M59 96300 000211 0000E 00001 00154*")</f>
        <v>0</v>
      </c>
      <c r="H3444" s="83">
        <f t="shared" si="54"/>
        <v>197442.79</v>
      </c>
      <c r="I3444" s="83"/>
      <c r="K3444" s="54" t="s">
        <v>15</v>
      </c>
    </row>
    <row r="3445" spans="2:11" ht="24.75" x14ac:dyDescent="0.2">
      <c r="B3445" s="82" t="s">
        <v>5776</v>
      </c>
      <c r="C3445" s="82" t="s">
        <v>1051</v>
      </c>
      <c r="D3445" s="83">
        <f>SUMIFS(D3446:D6462,K3446:K6462,"0",B3446:B6462,"5 1 1 5 4 12 31111 6 M59 96300 000211 0000E 00001 00154 015*")-SUMIFS(E3446:E6462,K3446:K6462,"0",B3446:B6462,"5 1 1 5 4 12 31111 6 M59 96300 000211 0000E 00001 00154 015*")</f>
        <v>0</v>
      </c>
      <c r="E3445" s="54"/>
      <c r="F3445" s="83">
        <f>SUMIFS(F3446:F6462,K3446:K6462,"0",B3446:B6462,"5 1 1 5 4 12 31111 6 M59 96300 000211 0000E 00001 00154 015*")</f>
        <v>197442.79</v>
      </c>
      <c r="G3445" s="83">
        <f>SUMIFS(G3446:G6462,K3446:K6462,"0",B3446:B6462,"5 1 1 5 4 12 31111 6 M59 96300 000211 0000E 00001 00154 015*")</f>
        <v>0</v>
      </c>
      <c r="H3445" s="83">
        <f t="shared" si="54"/>
        <v>197442.79</v>
      </c>
      <c r="I3445" s="83"/>
      <c r="K3445" s="54" t="s">
        <v>15</v>
      </c>
    </row>
    <row r="3446" spans="2:11" ht="33" x14ac:dyDescent="0.2">
      <c r="B3446" s="82" t="s">
        <v>5777</v>
      </c>
      <c r="C3446" s="82" t="s">
        <v>2927</v>
      </c>
      <c r="D3446" s="83">
        <f>SUMIFS(D3447:D6462,K3447:K6462,"0",B3447:B6462,"5 1 1 5 4 12 31111 6 M59 96300 000211 0000E 00001 00154 015 2111100*")-SUMIFS(E3447:E6462,K3447:K6462,"0",B3447:B6462,"5 1 1 5 4 12 31111 6 M59 96300 000211 0000E 00001 00154 015 2111100*")</f>
        <v>0</v>
      </c>
      <c r="E3446" s="54"/>
      <c r="F3446" s="83">
        <f>SUMIFS(F3447:F6462,K3447:K6462,"0",B3447:B6462,"5 1 1 5 4 12 31111 6 M59 96300 000211 0000E 00001 00154 015 2111100*")</f>
        <v>197442.79</v>
      </c>
      <c r="G3446" s="83">
        <f>SUMIFS(G3447:G6462,K3447:K6462,"0",B3447:B6462,"5 1 1 5 4 12 31111 6 M59 96300 000211 0000E 00001 00154 015 2111100*")</f>
        <v>0</v>
      </c>
      <c r="H3446" s="83">
        <f t="shared" si="54"/>
        <v>197442.79</v>
      </c>
      <c r="I3446" s="83"/>
      <c r="K3446" s="54" t="s">
        <v>15</v>
      </c>
    </row>
    <row r="3447" spans="2:11" ht="33" x14ac:dyDescent="0.2">
      <c r="B3447" s="82" t="s">
        <v>5778</v>
      </c>
      <c r="C3447" s="82" t="s">
        <v>660</v>
      </c>
      <c r="D3447" s="83">
        <f>SUMIFS(D3448:D6462,K3448:K6462,"0",B3448:B6462,"5 1 1 5 4 12 31111 6 M59 96300 000211 0000E 00001 00154 015 2111100 2024*")-SUMIFS(E3448:E6462,K3448:K6462,"0",B3448:B6462,"5 1 1 5 4 12 31111 6 M59 96300 000211 0000E 00001 00154 015 2111100 2024*")</f>
        <v>0</v>
      </c>
      <c r="E3447" s="54"/>
      <c r="F3447" s="83">
        <f>SUMIFS(F3448:F6462,K3448:K6462,"0",B3448:B6462,"5 1 1 5 4 12 31111 6 M59 96300 000211 0000E 00001 00154 015 2111100 2024*")</f>
        <v>197442.79</v>
      </c>
      <c r="G3447" s="83">
        <f>SUMIFS(G3448:G6462,K3448:K6462,"0",B3448:B6462,"5 1 1 5 4 12 31111 6 M59 96300 000211 0000E 00001 00154 015 2111100 2024*")</f>
        <v>0</v>
      </c>
      <c r="H3447" s="83">
        <f t="shared" si="54"/>
        <v>197442.79</v>
      </c>
      <c r="I3447" s="83"/>
      <c r="K3447" s="54" t="s">
        <v>15</v>
      </c>
    </row>
    <row r="3448" spans="2:11" ht="41.25" x14ac:dyDescent="0.2">
      <c r="B3448" s="82" t="s">
        <v>5779</v>
      </c>
      <c r="C3448" s="82" t="s">
        <v>1056</v>
      </c>
      <c r="D3448" s="83">
        <f>SUMIFS(D3449:D6462,K3449:K6462,"0",B3449:B6462,"5 1 1 5 4 12 31111 6 M59 96300 000211 0000E 00001 00154 015 2111100 2024 CP1SB396*")-SUMIFS(E3449:E6462,K3449:K6462,"0",B3449:B6462,"5 1 1 5 4 12 31111 6 M59 96300 000211 0000E 00001 00154 015 2111100 2024 CP1SB396*")</f>
        <v>0</v>
      </c>
      <c r="E3448" s="54"/>
      <c r="F3448" s="83">
        <f>SUMIFS(F3449:F6462,K3449:K6462,"0",B3449:B6462,"5 1 1 5 4 12 31111 6 M59 96300 000211 0000E 00001 00154 015 2111100 2024 CP1SB396*")</f>
        <v>197442.79</v>
      </c>
      <c r="G3448" s="83">
        <f>SUMIFS(G3449:G6462,K3449:K6462,"0",B3449:B6462,"5 1 1 5 4 12 31111 6 M59 96300 000211 0000E 00001 00154 015 2111100 2024 CP1SB396*")</f>
        <v>0</v>
      </c>
      <c r="H3448" s="83">
        <f t="shared" si="54"/>
        <v>197442.79</v>
      </c>
      <c r="I3448" s="83"/>
      <c r="K3448" s="54" t="s">
        <v>15</v>
      </c>
    </row>
    <row r="3449" spans="2:11" ht="41.25" x14ac:dyDescent="0.2">
      <c r="B3449" s="82" t="s">
        <v>5780</v>
      </c>
      <c r="C3449" s="82" t="s">
        <v>282</v>
      </c>
      <c r="D3449" s="83">
        <f>SUMIFS(D3450:D6462,K3450:K6462,"0",B3450:B6462,"5 1 1 5 4 12 31111 6 M59 96300 000211 0000E 00001 00154 015 2111100 2024 CP1SB396 001*")-SUMIFS(E3450:E6462,K3450:K6462,"0",B3450:B6462,"5 1 1 5 4 12 31111 6 M59 96300 000211 0000E 00001 00154 015 2111100 2024 CP1SB396 001*")</f>
        <v>0</v>
      </c>
      <c r="E3449" s="54"/>
      <c r="F3449" s="83">
        <f>SUMIFS(F3450:F6462,K3450:K6462,"0",B3450:B6462,"5 1 1 5 4 12 31111 6 M59 96300 000211 0000E 00001 00154 015 2111100 2024 CP1SB396 001*")</f>
        <v>197442.79</v>
      </c>
      <c r="G3449" s="83">
        <f>SUMIFS(G3450:G6462,K3450:K6462,"0",B3450:B6462,"5 1 1 5 4 12 31111 6 M59 96300 000211 0000E 00001 00154 015 2111100 2024 CP1SB396 001*")</f>
        <v>0</v>
      </c>
      <c r="H3449" s="83">
        <f t="shared" si="54"/>
        <v>197442.79</v>
      </c>
      <c r="I3449" s="83"/>
      <c r="K3449" s="54" t="s">
        <v>15</v>
      </c>
    </row>
    <row r="3450" spans="2:11" ht="33" x14ac:dyDescent="0.2">
      <c r="B3450" s="84" t="s">
        <v>5781</v>
      </c>
      <c r="C3450" s="84" t="s">
        <v>5443</v>
      </c>
      <c r="D3450" s="85">
        <v>0</v>
      </c>
      <c r="E3450" s="85"/>
      <c r="F3450" s="85">
        <v>14544</v>
      </c>
      <c r="G3450" s="85">
        <v>0</v>
      </c>
      <c r="H3450" s="85">
        <f t="shared" si="54"/>
        <v>14544</v>
      </c>
      <c r="I3450" s="85"/>
      <c r="K3450" s="54" t="s">
        <v>38</v>
      </c>
    </row>
    <row r="3451" spans="2:11" ht="33" x14ac:dyDescent="0.2">
      <c r="B3451" s="84" t="s">
        <v>5782</v>
      </c>
      <c r="C3451" s="84" t="s">
        <v>5431</v>
      </c>
      <c r="D3451" s="85">
        <v>0</v>
      </c>
      <c r="E3451" s="85"/>
      <c r="F3451" s="85">
        <v>14729.76</v>
      </c>
      <c r="G3451" s="85">
        <v>0</v>
      </c>
      <c r="H3451" s="85">
        <f t="shared" si="54"/>
        <v>14729.76</v>
      </c>
      <c r="I3451" s="85"/>
      <c r="K3451" s="54" t="s">
        <v>38</v>
      </c>
    </row>
    <row r="3452" spans="2:11" ht="33" x14ac:dyDescent="0.2">
      <c r="B3452" s="84" t="s">
        <v>5783</v>
      </c>
      <c r="C3452" s="84" t="s">
        <v>5446</v>
      </c>
      <c r="D3452" s="85">
        <v>0</v>
      </c>
      <c r="E3452" s="85"/>
      <c r="F3452" s="85">
        <v>168169.03</v>
      </c>
      <c r="G3452" s="85">
        <v>0</v>
      </c>
      <c r="H3452" s="85">
        <f t="shared" si="54"/>
        <v>168169.03</v>
      </c>
      <c r="I3452" s="85"/>
      <c r="K3452" s="54" t="s">
        <v>38</v>
      </c>
    </row>
    <row r="3453" spans="2:11" ht="16.5" x14ac:dyDescent="0.2">
      <c r="B3453" s="82" t="s">
        <v>5784</v>
      </c>
      <c r="C3453" s="82" t="s">
        <v>3729</v>
      </c>
      <c r="D3453" s="83">
        <f>SUMIFS(D3454:D6462,K3454:K6462,"0",B3454:B6462,"5 1 1 5 4 12 31111 6 M59 97000*")-SUMIFS(E3454:E6462,K3454:K6462,"0",B3454:B6462,"5 1 1 5 4 12 31111 6 M59 97000*")</f>
        <v>0</v>
      </c>
      <c r="E3453" s="54"/>
      <c r="F3453" s="83">
        <f>SUMIFS(F3454:F6462,K3454:K6462,"0",B3454:B6462,"5 1 1 5 4 12 31111 6 M59 97000*")</f>
        <v>86336.9</v>
      </c>
      <c r="G3453" s="83">
        <f>SUMIFS(G3454:G6462,K3454:K6462,"0",B3454:B6462,"5 1 1 5 4 12 31111 6 M59 97000*")</f>
        <v>0</v>
      </c>
      <c r="H3453" s="83">
        <f t="shared" si="54"/>
        <v>86336.9</v>
      </c>
      <c r="I3453" s="83"/>
      <c r="K3453" s="54" t="s">
        <v>15</v>
      </c>
    </row>
    <row r="3454" spans="2:11" ht="16.5" x14ac:dyDescent="0.2">
      <c r="B3454" s="82" t="s">
        <v>5785</v>
      </c>
      <c r="C3454" s="82" t="s">
        <v>648</v>
      </c>
      <c r="D3454" s="83">
        <f>SUMIFS(D3455:D6462,K3455:K6462,"0",B3455:B6462,"5 1 1 5 4 12 31111 6 M59 97000 000132*")-SUMIFS(E3455:E6462,K3455:K6462,"0",B3455:B6462,"5 1 1 5 4 12 31111 6 M59 97000 000132*")</f>
        <v>0</v>
      </c>
      <c r="E3454" s="54"/>
      <c r="F3454" s="83">
        <f>SUMIFS(F3455:F6462,K3455:K6462,"0",B3455:B6462,"5 1 1 5 4 12 31111 6 M59 97000 000132*")</f>
        <v>86336.9</v>
      </c>
      <c r="G3454" s="83">
        <f>SUMIFS(G3455:G6462,K3455:K6462,"0",B3455:B6462,"5 1 1 5 4 12 31111 6 M59 97000 000132*")</f>
        <v>0</v>
      </c>
      <c r="H3454" s="83">
        <f t="shared" si="54"/>
        <v>86336.9</v>
      </c>
      <c r="I3454" s="83"/>
      <c r="K3454" s="54" t="s">
        <v>15</v>
      </c>
    </row>
    <row r="3455" spans="2:11" ht="16.5" x14ac:dyDescent="0.2">
      <c r="B3455" s="82" t="s">
        <v>5786</v>
      </c>
      <c r="C3455" s="82" t="s">
        <v>650</v>
      </c>
      <c r="D3455" s="83">
        <f>SUMIFS(D3456:D6462,K3456:K6462,"0",B3456:B6462,"5 1 1 5 4 12 31111 6 M59 97000 000132 0000R*")-SUMIFS(E3456:E6462,K3456:K6462,"0",B3456:B6462,"5 1 1 5 4 12 31111 6 M59 97000 000132 0000R*")</f>
        <v>0</v>
      </c>
      <c r="E3455" s="54"/>
      <c r="F3455" s="83">
        <f>SUMIFS(F3456:F6462,K3456:K6462,"0",B3456:B6462,"5 1 1 5 4 12 31111 6 M59 97000 000132 0000R*")</f>
        <v>86336.9</v>
      </c>
      <c r="G3455" s="83">
        <f>SUMIFS(G3456:G6462,K3456:K6462,"0",B3456:B6462,"5 1 1 5 4 12 31111 6 M59 97000 000132 0000R*")</f>
        <v>0</v>
      </c>
      <c r="H3455" s="83">
        <f t="shared" si="54"/>
        <v>86336.9</v>
      </c>
      <c r="I3455" s="83"/>
      <c r="K3455" s="54" t="s">
        <v>15</v>
      </c>
    </row>
    <row r="3456" spans="2:11" ht="24.75" x14ac:dyDescent="0.2">
      <c r="B3456" s="82" t="s">
        <v>5787</v>
      </c>
      <c r="C3456" s="82" t="s">
        <v>282</v>
      </c>
      <c r="D3456" s="83">
        <f>SUMIFS(D3457:D6462,K3457:K6462,"0",B3457:B6462,"5 1 1 5 4 12 31111 6 M59 97000 000132 0000R 00001*")-SUMIFS(E3457:E6462,K3457:K6462,"0",B3457:B6462,"5 1 1 5 4 12 31111 6 M59 97000 000132 0000R 00001*")</f>
        <v>0</v>
      </c>
      <c r="E3456" s="54"/>
      <c r="F3456" s="83">
        <f>SUMIFS(F3457:F6462,K3457:K6462,"0",B3457:B6462,"5 1 1 5 4 12 31111 6 M59 97000 000132 0000R 00001*")</f>
        <v>86336.9</v>
      </c>
      <c r="G3456" s="83">
        <f>SUMIFS(G3457:G6462,K3457:K6462,"0",B3457:B6462,"5 1 1 5 4 12 31111 6 M59 97000 000132 0000R 00001*")</f>
        <v>0</v>
      </c>
      <c r="H3456" s="83">
        <f t="shared" si="54"/>
        <v>86336.9</v>
      </c>
      <c r="I3456" s="83"/>
      <c r="K3456" s="54" t="s">
        <v>15</v>
      </c>
    </row>
    <row r="3457" spans="2:11" ht="24.75" x14ac:dyDescent="0.2">
      <c r="B3457" s="82" t="s">
        <v>5788</v>
      </c>
      <c r="C3457" s="82" t="s">
        <v>5422</v>
      </c>
      <c r="D3457" s="83">
        <f>SUMIFS(D3458:D6462,K3458:K6462,"0",B3458:B6462,"5 1 1 5 4 12 31111 6 M59 97000 000132 0000R 00001 00154*")-SUMIFS(E3458:E6462,K3458:K6462,"0",B3458:B6462,"5 1 1 5 4 12 31111 6 M59 97000 000132 0000R 00001 00154*")</f>
        <v>0</v>
      </c>
      <c r="E3457" s="54"/>
      <c r="F3457" s="83">
        <f>SUMIFS(F3458:F6462,K3458:K6462,"0",B3458:B6462,"5 1 1 5 4 12 31111 6 M59 97000 000132 0000R 00001 00154*")</f>
        <v>86336.9</v>
      </c>
      <c r="G3457" s="83">
        <f>SUMIFS(G3458:G6462,K3458:K6462,"0",B3458:B6462,"5 1 1 5 4 12 31111 6 M59 97000 000132 0000R 00001 00154*")</f>
        <v>0</v>
      </c>
      <c r="H3457" s="83">
        <f t="shared" si="54"/>
        <v>86336.9</v>
      </c>
      <c r="I3457" s="83"/>
      <c r="K3457" s="54" t="s">
        <v>15</v>
      </c>
    </row>
    <row r="3458" spans="2:11" ht="24.75" x14ac:dyDescent="0.2">
      <c r="B3458" s="82" t="s">
        <v>5789</v>
      </c>
      <c r="C3458" s="82" t="s">
        <v>1051</v>
      </c>
      <c r="D3458" s="83">
        <f>SUMIFS(D3459:D6462,K3459:K6462,"0",B3459:B6462,"5 1 1 5 4 12 31111 6 M59 97000 000132 0000R 00001 00154 015*")-SUMIFS(E3459:E6462,K3459:K6462,"0",B3459:B6462,"5 1 1 5 4 12 31111 6 M59 97000 000132 0000R 00001 00154 015*")</f>
        <v>0</v>
      </c>
      <c r="E3458" s="54"/>
      <c r="F3458" s="83">
        <f>SUMIFS(F3459:F6462,K3459:K6462,"0",B3459:B6462,"5 1 1 5 4 12 31111 6 M59 97000 000132 0000R 00001 00154 015*")</f>
        <v>86336.9</v>
      </c>
      <c r="G3458" s="83">
        <f>SUMIFS(G3459:G6462,K3459:K6462,"0",B3459:B6462,"5 1 1 5 4 12 31111 6 M59 97000 000132 0000R 00001 00154 015*")</f>
        <v>0</v>
      </c>
      <c r="H3458" s="83">
        <f t="shared" si="54"/>
        <v>86336.9</v>
      </c>
      <c r="I3458" s="83"/>
      <c r="K3458" s="54" t="s">
        <v>15</v>
      </c>
    </row>
    <row r="3459" spans="2:11" ht="33" x14ac:dyDescent="0.2">
      <c r="B3459" s="82" t="s">
        <v>5790</v>
      </c>
      <c r="C3459" s="82" t="s">
        <v>2927</v>
      </c>
      <c r="D3459" s="83">
        <f>SUMIFS(D3460:D6462,K3460:K6462,"0",B3460:B6462,"5 1 1 5 4 12 31111 6 M59 97000 000132 0000R 00001 00154 015 2111100*")-SUMIFS(E3460:E6462,K3460:K6462,"0",B3460:B6462,"5 1 1 5 4 12 31111 6 M59 97000 000132 0000R 00001 00154 015 2111100*")</f>
        <v>0</v>
      </c>
      <c r="E3459" s="54"/>
      <c r="F3459" s="83">
        <f>SUMIFS(F3460:F6462,K3460:K6462,"0",B3460:B6462,"5 1 1 5 4 12 31111 6 M59 97000 000132 0000R 00001 00154 015 2111100*")</f>
        <v>86336.9</v>
      </c>
      <c r="G3459" s="83">
        <f>SUMIFS(G3460:G6462,K3460:K6462,"0",B3460:B6462,"5 1 1 5 4 12 31111 6 M59 97000 000132 0000R 00001 00154 015 2111100*")</f>
        <v>0</v>
      </c>
      <c r="H3459" s="83">
        <f t="shared" si="54"/>
        <v>86336.9</v>
      </c>
      <c r="I3459" s="83"/>
      <c r="K3459" s="54" t="s">
        <v>15</v>
      </c>
    </row>
    <row r="3460" spans="2:11" ht="33" x14ac:dyDescent="0.2">
      <c r="B3460" s="82" t="s">
        <v>5791</v>
      </c>
      <c r="C3460" s="82" t="s">
        <v>660</v>
      </c>
      <c r="D3460" s="83">
        <f>SUMIFS(D3461:D6462,K3461:K6462,"0",B3461:B6462,"5 1 1 5 4 12 31111 6 M59 97000 000132 0000R 00001 00154 015 2111100 2024*")-SUMIFS(E3461:E6462,K3461:K6462,"0",B3461:B6462,"5 1 1 5 4 12 31111 6 M59 97000 000132 0000R 00001 00154 015 2111100 2024*")</f>
        <v>0</v>
      </c>
      <c r="E3460" s="54"/>
      <c r="F3460" s="83">
        <f>SUMIFS(F3461:F6462,K3461:K6462,"0",B3461:B6462,"5 1 1 5 4 12 31111 6 M59 97000 000132 0000R 00001 00154 015 2111100 2024*")</f>
        <v>86336.9</v>
      </c>
      <c r="G3460" s="83">
        <f>SUMIFS(G3461:G6462,K3461:K6462,"0",B3461:B6462,"5 1 1 5 4 12 31111 6 M59 97000 000132 0000R 00001 00154 015 2111100 2024*")</f>
        <v>0</v>
      </c>
      <c r="H3460" s="83">
        <f t="shared" si="54"/>
        <v>86336.9</v>
      </c>
      <c r="I3460" s="83"/>
      <c r="K3460" s="54" t="s">
        <v>15</v>
      </c>
    </row>
    <row r="3461" spans="2:11" ht="41.25" x14ac:dyDescent="0.2">
      <c r="B3461" s="82" t="s">
        <v>5792</v>
      </c>
      <c r="C3461" s="82" t="s">
        <v>1056</v>
      </c>
      <c r="D3461" s="83">
        <f>SUMIFS(D3462:D6462,K3462:K6462,"0",B3462:B6462,"5 1 1 5 4 12 31111 6 M59 97000 000132 0000R 00001 00154 015 2111100 2024 CP1SP428*")-SUMIFS(E3462:E6462,K3462:K6462,"0",B3462:B6462,"5 1 1 5 4 12 31111 6 M59 97000 000132 0000R 00001 00154 015 2111100 2024 CP1SP428*")</f>
        <v>0</v>
      </c>
      <c r="E3461" s="54"/>
      <c r="F3461" s="83">
        <f>SUMIFS(F3462:F6462,K3462:K6462,"0",B3462:B6462,"5 1 1 5 4 12 31111 6 M59 97000 000132 0000R 00001 00154 015 2111100 2024 CP1SP428*")</f>
        <v>86336.9</v>
      </c>
      <c r="G3461" s="83">
        <f>SUMIFS(G3462:G6462,K3462:K6462,"0",B3462:B6462,"5 1 1 5 4 12 31111 6 M59 97000 000132 0000R 00001 00154 015 2111100 2024 CP1SP428*")</f>
        <v>0</v>
      </c>
      <c r="H3461" s="83">
        <f t="shared" si="54"/>
        <v>86336.9</v>
      </c>
      <c r="I3461" s="83"/>
      <c r="K3461" s="54" t="s">
        <v>15</v>
      </c>
    </row>
    <row r="3462" spans="2:11" ht="41.25" x14ac:dyDescent="0.2">
      <c r="B3462" s="82" t="s">
        <v>5793</v>
      </c>
      <c r="C3462" s="82" t="s">
        <v>282</v>
      </c>
      <c r="D3462" s="83">
        <f>SUMIFS(D3463:D6462,K3463:K6462,"0",B3463:B6462,"5 1 1 5 4 12 31111 6 M59 97000 000132 0000R 00001 00154 015 2111100 2024 CP1SP428 001*")-SUMIFS(E3463:E6462,K3463:K6462,"0",B3463:B6462,"5 1 1 5 4 12 31111 6 M59 97000 000132 0000R 00001 00154 015 2111100 2024 CP1SP428 001*")</f>
        <v>0</v>
      </c>
      <c r="E3462" s="54"/>
      <c r="F3462" s="83">
        <f>SUMIFS(F3463:F6462,K3463:K6462,"0",B3463:B6462,"5 1 1 5 4 12 31111 6 M59 97000 000132 0000R 00001 00154 015 2111100 2024 CP1SP428 001*")</f>
        <v>86336.9</v>
      </c>
      <c r="G3462" s="83">
        <f>SUMIFS(G3463:G6462,K3463:K6462,"0",B3463:B6462,"5 1 1 5 4 12 31111 6 M59 97000 000132 0000R 00001 00154 015 2111100 2024 CP1SP428 001*")</f>
        <v>0</v>
      </c>
      <c r="H3462" s="83">
        <f t="shared" si="54"/>
        <v>86336.9</v>
      </c>
      <c r="I3462" s="83"/>
      <c r="K3462" s="54" t="s">
        <v>15</v>
      </c>
    </row>
    <row r="3463" spans="2:11" ht="33" x14ac:dyDescent="0.2">
      <c r="B3463" s="84" t="s">
        <v>5794</v>
      </c>
      <c r="C3463" s="84" t="s">
        <v>5443</v>
      </c>
      <c r="D3463" s="85">
        <v>0</v>
      </c>
      <c r="E3463" s="85"/>
      <c r="F3463" s="85">
        <v>85701.9</v>
      </c>
      <c r="G3463" s="85">
        <v>0</v>
      </c>
      <c r="H3463" s="85">
        <f t="shared" si="54"/>
        <v>85701.9</v>
      </c>
      <c r="I3463" s="85"/>
      <c r="K3463" s="54" t="s">
        <v>38</v>
      </c>
    </row>
    <row r="3464" spans="2:11" ht="33" x14ac:dyDescent="0.2">
      <c r="B3464" s="84" t="s">
        <v>5795</v>
      </c>
      <c r="C3464" s="84" t="s">
        <v>5431</v>
      </c>
      <c r="D3464" s="85">
        <v>0</v>
      </c>
      <c r="E3464" s="85"/>
      <c r="F3464" s="85">
        <v>635</v>
      </c>
      <c r="G3464" s="85">
        <v>0</v>
      </c>
      <c r="H3464" s="85">
        <f t="shared" si="54"/>
        <v>635</v>
      </c>
      <c r="I3464" s="85"/>
      <c r="K3464" s="54" t="s">
        <v>38</v>
      </c>
    </row>
    <row r="3465" spans="2:11" ht="12.75" x14ac:dyDescent="0.2">
      <c r="B3465" s="82" t="s">
        <v>5813</v>
      </c>
      <c r="C3465" s="82" t="s">
        <v>5814</v>
      </c>
      <c r="D3465" s="83">
        <f>SUMIFS(D3466:D6462,K3466:K6462,"0",B3466:B6462,"5 1 2*")-SUMIFS(E3466:E6462,K3466:K6462,"0",B3466:B6462,"5 1 2*")</f>
        <v>0</v>
      </c>
      <c r="E3465" s="54"/>
      <c r="F3465" s="83">
        <f>SUMIFS(F3466:F6462,K3466:K6462,"0",B3466:B6462,"5 1 2*")</f>
        <v>44934032.649999976</v>
      </c>
      <c r="G3465" s="83">
        <f>SUMIFS(G3466:G6462,K3466:K6462,"0",B3466:B6462,"5 1 2*")</f>
        <v>0</v>
      </c>
      <c r="H3465" s="83">
        <f t="shared" si="54"/>
        <v>44934032.649999976</v>
      </c>
      <c r="I3465" s="83"/>
      <c r="K3465" s="54" t="s">
        <v>15</v>
      </c>
    </row>
    <row r="3466" spans="2:11" ht="33" x14ac:dyDescent="0.2">
      <c r="B3466" s="82" t="s">
        <v>5815</v>
      </c>
      <c r="C3466" s="82" t="s">
        <v>497</v>
      </c>
      <c r="D3466" s="83">
        <f>SUMIFS(D3467:D6462,K3467:K6462,"0",B3467:B6462,"5 1 2 1*")-SUMIFS(E3467:E6462,K3467:K6462,"0",B3467:B6462,"5 1 2 1*")</f>
        <v>0</v>
      </c>
      <c r="E3466" s="54"/>
      <c r="F3466" s="83">
        <f>SUMIFS(F3467:F6462,K3467:K6462,"0",B3467:B6462,"5 1 2 1*")</f>
        <v>34544710.799999997</v>
      </c>
      <c r="G3466" s="83">
        <f>SUMIFS(G3467:G6462,K3467:K6462,"0",B3467:B6462,"5 1 2 1*")</f>
        <v>0</v>
      </c>
      <c r="H3466" s="83">
        <f t="shared" si="54"/>
        <v>34544710.799999997</v>
      </c>
      <c r="I3466" s="83"/>
      <c r="K3466" s="54" t="s">
        <v>15</v>
      </c>
    </row>
    <row r="3467" spans="2:11" ht="24.75" x14ac:dyDescent="0.2">
      <c r="B3467" s="82" t="s">
        <v>5816</v>
      </c>
      <c r="C3467" s="82" t="s">
        <v>5817</v>
      </c>
      <c r="D3467" s="83">
        <f>SUMIFS(D3468:D6462,K3468:K6462,"0",B3468:B6462,"5 1 2 1 1*")-SUMIFS(E3468:E6462,K3468:K6462,"0",B3468:B6462,"5 1 2 1 1*")</f>
        <v>0</v>
      </c>
      <c r="E3467" s="54"/>
      <c r="F3467" s="83">
        <f>SUMIFS(F3468:F6462,K3468:K6462,"0",B3468:B6462,"5 1 2 1 1*")</f>
        <v>11575591.290000001</v>
      </c>
      <c r="G3467" s="83">
        <f>SUMIFS(G3468:G6462,K3468:K6462,"0",B3468:B6462,"5 1 2 1 1*")</f>
        <v>0</v>
      </c>
      <c r="H3467" s="83">
        <f t="shared" si="54"/>
        <v>11575591.290000001</v>
      </c>
      <c r="I3467" s="83"/>
      <c r="K3467" s="54" t="s">
        <v>15</v>
      </c>
    </row>
    <row r="3468" spans="2:11" ht="12.75" x14ac:dyDescent="0.2">
      <c r="B3468" s="82" t="s">
        <v>5818</v>
      </c>
      <c r="C3468" s="82" t="s">
        <v>26</v>
      </c>
      <c r="D3468" s="83">
        <f>SUMIFS(D3469:D6462,K3469:K6462,"0",B3469:B6462,"5 1 2 1 1 12*")-SUMIFS(E3469:E6462,K3469:K6462,"0",B3469:B6462,"5 1 2 1 1 12*")</f>
        <v>0</v>
      </c>
      <c r="E3468" s="54"/>
      <c r="F3468" s="83">
        <f>SUMIFS(F3469:F6462,K3469:K6462,"0",B3469:B6462,"5 1 2 1 1 12*")</f>
        <v>11575591.290000001</v>
      </c>
      <c r="G3468" s="83">
        <f>SUMIFS(G3469:G6462,K3469:K6462,"0",B3469:B6462,"5 1 2 1 1 12*")</f>
        <v>0</v>
      </c>
      <c r="H3468" s="83">
        <f t="shared" si="54"/>
        <v>11575591.290000001</v>
      </c>
      <c r="I3468" s="83"/>
      <c r="K3468" s="54" t="s">
        <v>15</v>
      </c>
    </row>
    <row r="3469" spans="2:11" ht="16.5" x14ac:dyDescent="0.2">
      <c r="B3469" s="82" t="s">
        <v>5819</v>
      </c>
      <c r="C3469" s="82" t="s">
        <v>28</v>
      </c>
      <c r="D3469" s="83">
        <f>SUMIFS(D3470:D6462,K3470:K6462,"0",B3470:B6462,"5 1 2 1 1 12 31111*")-SUMIFS(E3470:E6462,K3470:K6462,"0",B3470:B6462,"5 1 2 1 1 12 31111*")</f>
        <v>0</v>
      </c>
      <c r="E3469" s="54"/>
      <c r="F3469" s="83">
        <f>SUMIFS(F3470:F6462,K3470:K6462,"0",B3470:B6462,"5 1 2 1 1 12 31111*")</f>
        <v>11575591.290000001</v>
      </c>
      <c r="G3469" s="83">
        <f>SUMIFS(G3470:G6462,K3470:K6462,"0",B3470:B6462,"5 1 2 1 1 12 31111*")</f>
        <v>0</v>
      </c>
      <c r="H3469" s="83">
        <f t="shared" si="54"/>
        <v>11575591.290000001</v>
      </c>
      <c r="I3469" s="83"/>
      <c r="K3469" s="54" t="s">
        <v>15</v>
      </c>
    </row>
    <row r="3470" spans="2:11" ht="12.75" x14ac:dyDescent="0.2">
      <c r="B3470" s="82" t="s">
        <v>5820</v>
      </c>
      <c r="C3470" s="82" t="s">
        <v>30</v>
      </c>
      <c r="D3470" s="83">
        <f>SUMIFS(D3471:D6462,K3471:K6462,"0",B3471:B6462,"5 1 2 1 1 12 31111 6*")-SUMIFS(E3471:E6462,K3471:K6462,"0",B3471:B6462,"5 1 2 1 1 12 31111 6*")</f>
        <v>0</v>
      </c>
      <c r="E3470" s="54"/>
      <c r="F3470" s="83">
        <f>SUMIFS(F3471:F6462,K3471:K6462,"0",B3471:B6462,"5 1 2 1 1 12 31111 6*")</f>
        <v>11575591.290000001</v>
      </c>
      <c r="G3470" s="83">
        <f>SUMIFS(G3471:G6462,K3471:K6462,"0",B3471:B6462,"5 1 2 1 1 12 31111 6*")</f>
        <v>0</v>
      </c>
      <c r="H3470" s="83">
        <f t="shared" si="54"/>
        <v>11575591.290000001</v>
      </c>
      <c r="I3470" s="83"/>
      <c r="K3470" s="54" t="s">
        <v>15</v>
      </c>
    </row>
    <row r="3471" spans="2:11" ht="16.5" x14ac:dyDescent="0.2">
      <c r="B3471" s="82" t="s">
        <v>5821</v>
      </c>
      <c r="C3471" s="82" t="s">
        <v>2284</v>
      </c>
      <c r="D3471" s="83">
        <f>SUMIFS(D3472:D6462,K3472:K6462,"0",B3472:B6462,"5 1 2 1 1 12 31111 6 M59*")-SUMIFS(E3472:E6462,K3472:K6462,"0",B3472:B6462,"5 1 2 1 1 12 31111 6 M59*")</f>
        <v>0</v>
      </c>
      <c r="E3471" s="54"/>
      <c r="F3471" s="83">
        <f>SUMIFS(F3472:F6462,K3472:K6462,"0",B3472:B6462,"5 1 2 1 1 12 31111 6 M59*")</f>
        <v>11575591.290000001</v>
      </c>
      <c r="G3471" s="83">
        <f>SUMIFS(G3472:G6462,K3472:K6462,"0",B3472:B6462,"5 1 2 1 1 12 31111 6 M59*")</f>
        <v>0</v>
      </c>
      <c r="H3471" s="83">
        <f t="shared" si="54"/>
        <v>11575591.290000001</v>
      </c>
      <c r="I3471" s="83"/>
      <c r="K3471" s="54" t="s">
        <v>15</v>
      </c>
    </row>
    <row r="3472" spans="2:11" ht="16.5" x14ac:dyDescent="0.2">
      <c r="B3472" s="82" t="s">
        <v>5822</v>
      </c>
      <c r="C3472" s="82" t="s">
        <v>1243</v>
      </c>
      <c r="D3472" s="83">
        <f>SUMIFS(D3473:D6462,K3473:K6462,"0",B3473:B6462,"5 1 2 1 1 12 31111 6 M59 10000*")-SUMIFS(E3473:E6462,K3473:K6462,"0",B3473:B6462,"5 1 2 1 1 12 31111 6 M59 10000*")</f>
        <v>0</v>
      </c>
      <c r="E3472" s="54"/>
      <c r="F3472" s="83">
        <f>SUMIFS(F3473:F6462,K3473:K6462,"0",B3473:B6462,"5 1 2 1 1 12 31111 6 M59 10000*")</f>
        <v>53191.77</v>
      </c>
      <c r="G3472" s="83">
        <f>SUMIFS(G3473:G6462,K3473:K6462,"0",B3473:B6462,"5 1 2 1 1 12 31111 6 M59 10000*")</f>
        <v>0</v>
      </c>
      <c r="H3472" s="83">
        <f t="shared" si="54"/>
        <v>53191.77</v>
      </c>
      <c r="I3472" s="83"/>
      <c r="K3472" s="54" t="s">
        <v>15</v>
      </c>
    </row>
    <row r="3473" spans="2:11" ht="16.5" x14ac:dyDescent="0.2">
      <c r="B3473" s="82" t="s">
        <v>5823</v>
      </c>
      <c r="C3473" s="82" t="s">
        <v>648</v>
      </c>
      <c r="D3473" s="83">
        <f>SUMIFS(D3474:D6462,K3474:K6462,"0",B3474:B6462,"5 1 2 1 1 12 31111 6 M59 10000 000132*")-SUMIFS(E3474:E6462,K3474:K6462,"0",B3474:B6462,"5 1 2 1 1 12 31111 6 M59 10000 000132*")</f>
        <v>0</v>
      </c>
      <c r="E3473" s="54"/>
      <c r="F3473" s="83">
        <f>SUMIFS(F3474:F6462,K3474:K6462,"0",B3474:B6462,"5 1 2 1 1 12 31111 6 M59 10000 000132*")</f>
        <v>53191.77</v>
      </c>
      <c r="G3473" s="83">
        <f>SUMIFS(G3474:G6462,K3474:K6462,"0",B3474:B6462,"5 1 2 1 1 12 31111 6 M59 10000 000132*")</f>
        <v>0</v>
      </c>
      <c r="H3473" s="83">
        <f t="shared" si="54"/>
        <v>53191.77</v>
      </c>
      <c r="I3473" s="83"/>
      <c r="K3473" s="54" t="s">
        <v>15</v>
      </c>
    </row>
    <row r="3474" spans="2:11" ht="16.5" x14ac:dyDescent="0.2">
      <c r="B3474" s="82" t="s">
        <v>5824</v>
      </c>
      <c r="C3474" s="82" t="s">
        <v>650</v>
      </c>
      <c r="D3474" s="83">
        <f>SUMIFS(D3475:D6462,K3475:K6462,"0",B3475:B6462,"5 1 2 1 1 12 31111 6 M59 10000 000132 0000R*")-SUMIFS(E3475:E6462,K3475:K6462,"0",B3475:B6462,"5 1 2 1 1 12 31111 6 M59 10000 000132 0000R*")</f>
        <v>0</v>
      </c>
      <c r="E3474" s="54"/>
      <c r="F3474" s="83">
        <f>SUMIFS(F3475:F6462,K3475:K6462,"0",B3475:B6462,"5 1 2 1 1 12 31111 6 M59 10000 000132 0000R*")</f>
        <v>53191.77</v>
      </c>
      <c r="G3474" s="83">
        <f>SUMIFS(G3475:G6462,K3475:K6462,"0",B3475:B6462,"5 1 2 1 1 12 31111 6 M59 10000 000132 0000R*")</f>
        <v>0</v>
      </c>
      <c r="H3474" s="83">
        <f t="shared" si="54"/>
        <v>53191.77</v>
      </c>
      <c r="I3474" s="83"/>
      <c r="K3474" s="54" t="s">
        <v>15</v>
      </c>
    </row>
    <row r="3475" spans="2:11" ht="24.75" x14ac:dyDescent="0.2">
      <c r="B3475" s="82" t="s">
        <v>5825</v>
      </c>
      <c r="C3475" s="82" t="s">
        <v>282</v>
      </c>
      <c r="D3475" s="83">
        <f>SUMIFS(D3476:D6462,K3476:K6462,"0",B3476:B6462,"5 1 2 1 1 12 31111 6 M59 10000 000132 0000R 00001*")-SUMIFS(E3476:E6462,K3476:K6462,"0",B3476:B6462,"5 1 2 1 1 12 31111 6 M59 10000 000132 0000R 00001*")</f>
        <v>0</v>
      </c>
      <c r="E3475" s="54"/>
      <c r="F3475" s="83">
        <f>SUMIFS(F3476:F6462,K3476:K6462,"0",B3476:B6462,"5 1 2 1 1 12 31111 6 M59 10000 000132 0000R 00001*")</f>
        <v>53191.77</v>
      </c>
      <c r="G3475" s="83">
        <f>SUMIFS(G3476:G6462,K3476:K6462,"0",B3476:B6462,"5 1 2 1 1 12 31111 6 M59 10000 000132 0000R 00001*")</f>
        <v>0</v>
      </c>
      <c r="H3475" s="83">
        <f t="shared" si="54"/>
        <v>53191.77</v>
      </c>
      <c r="I3475" s="83"/>
      <c r="K3475" s="54" t="s">
        <v>15</v>
      </c>
    </row>
    <row r="3476" spans="2:11" ht="24.75" x14ac:dyDescent="0.2">
      <c r="B3476" s="82" t="s">
        <v>5826</v>
      </c>
      <c r="C3476" s="82" t="s">
        <v>5827</v>
      </c>
      <c r="D3476" s="83">
        <f>SUMIFS(D3477:D6462,K3477:K6462,"0",B3477:B6462,"5 1 2 1 1 12 31111 6 M59 10000 000132 0000R 00001 00211*")-SUMIFS(E3477:E6462,K3477:K6462,"0",B3477:B6462,"5 1 2 1 1 12 31111 6 M59 10000 000132 0000R 00001 00211*")</f>
        <v>0</v>
      </c>
      <c r="E3476" s="54"/>
      <c r="F3476" s="83">
        <f>SUMIFS(F3477:F6462,K3477:K6462,"0",B3477:B6462,"5 1 2 1 1 12 31111 6 M59 10000 000132 0000R 00001 00211*")</f>
        <v>53191.77</v>
      </c>
      <c r="G3476" s="83">
        <f>SUMIFS(G3477:G6462,K3477:K6462,"0",B3477:B6462,"5 1 2 1 1 12 31111 6 M59 10000 000132 0000R 00001 00211*")</f>
        <v>0</v>
      </c>
      <c r="H3476" s="83">
        <f t="shared" si="54"/>
        <v>53191.77</v>
      </c>
      <c r="I3476" s="83"/>
      <c r="K3476" s="54" t="s">
        <v>15</v>
      </c>
    </row>
    <row r="3477" spans="2:11" ht="24.75" x14ac:dyDescent="0.2">
      <c r="B3477" s="82" t="s">
        <v>5828</v>
      </c>
      <c r="C3477" s="82" t="s">
        <v>1051</v>
      </c>
      <c r="D3477" s="83">
        <f>SUMIFS(D3478:D6462,K3478:K6462,"0",B3478:B6462,"5 1 2 1 1 12 31111 6 M59 10000 000132 0000R 00001 00211 015*")-SUMIFS(E3478:E6462,K3478:K6462,"0",B3478:B6462,"5 1 2 1 1 12 31111 6 M59 10000 000132 0000R 00001 00211 015*")</f>
        <v>0</v>
      </c>
      <c r="E3477" s="54"/>
      <c r="F3477" s="83">
        <f>SUMIFS(F3478:F6462,K3478:K6462,"0",B3478:B6462,"5 1 2 1 1 12 31111 6 M59 10000 000132 0000R 00001 00211 015*")</f>
        <v>53191.77</v>
      </c>
      <c r="G3477" s="83">
        <f>SUMIFS(G3478:G6462,K3478:K6462,"0",B3478:B6462,"5 1 2 1 1 12 31111 6 M59 10000 000132 0000R 00001 00211 015*")</f>
        <v>0</v>
      </c>
      <c r="H3477" s="83">
        <f t="shared" si="54"/>
        <v>53191.77</v>
      </c>
      <c r="I3477" s="83"/>
      <c r="K3477" s="54" t="s">
        <v>15</v>
      </c>
    </row>
    <row r="3478" spans="2:11" ht="33" x14ac:dyDescent="0.2">
      <c r="B3478" s="82" t="s">
        <v>5829</v>
      </c>
      <c r="C3478" s="82" t="s">
        <v>5830</v>
      </c>
      <c r="D3478" s="83">
        <f>SUMIFS(D3479:D6462,K3479:K6462,"0",B3479:B6462,"5 1 2 1 1 12 31111 6 M59 10000 000132 0000R 00001 00211 015 2112000*")-SUMIFS(E3479:E6462,K3479:K6462,"0",B3479:B6462,"5 1 2 1 1 12 31111 6 M59 10000 000132 0000R 00001 00211 015 2112000*")</f>
        <v>0</v>
      </c>
      <c r="E3478" s="54"/>
      <c r="F3478" s="83">
        <f>SUMIFS(F3479:F6462,K3479:K6462,"0",B3479:B6462,"5 1 2 1 1 12 31111 6 M59 10000 000132 0000R 00001 00211 015 2112000*")</f>
        <v>53191.77</v>
      </c>
      <c r="G3478" s="83">
        <f>SUMIFS(G3479:G6462,K3479:K6462,"0",B3479:B6462,"5 1 2 1 1 12 31111 6 M59 10000 000132 0000R 00001 00211 015 2112000*")</f>
        <v>0</v>
      </c>
      <c r="H3478" s="83">
        <f t="shared" si="54"/>
        <v>53191.77</v>
      </c>
      <c r="I3478" s="83"/>
      <c r="K3478" s="54" t="s">
        <v>15</v>
      </c>
    </row>
    <row r="3479" spans="2:11" ht="33" x14ac:dyDescent="0.2">
      <c r="B3479" s="82" t="s">
        <v>5831</v>
      </c>
      <c r="C3479" s="82" t="s">
        <v>660</v>
      </c>
      <c r="D3479" s="83">
        <f>SUMIFS(D3480:D6462,K3480:K6462,"0",B3480:B6462,"5 1 2 1 1 12 31111 6 M59 10000 000132 0000R 00001 00211 015 2112000 2024*")-SUMIFS(E3480:E6462,K3480:K6462,"0",B3480:B6462,"5 1 2 1 1 12 31111 6 M59 10000 000132 0000R 00001 00211 015 2112000 2024*")</f>
        <v>0</v>
      </c>
      <c r="E3479" s="54"/>
      <c r="F3479" s="83">
        <f>SUMIFS(F3480:F6462,K3480:K6462,"0",B3480:B6462,"5 1 2 1 1 12 31111 6 M59 10000 000132 0000R 00001 00211 015 2112000 2024*")</f>
        <v>53191.77</v>
      </c>
      <c r="G3479" s="83">
        <f>SUMIFS(G3480:G6462,K3480:K6462,"0",B3480:B6462,"5 1 2 1 1 12 31111 6 M59 10000 000132 0000R 00001 00211 015 2112000 2024*")</f>
        <v>0</v>
      </c>
      <c r="H3479" s="83">
        <f t="shared" si="54"/>
        <v>53191.77</v>
      </c>
      <c r="I3479" s="83"/>
      <c r="K3479" s="54" t="s">
        <v>15</v>
      </c>
    </row>
    <row r="3480" spans="2:11" ht="41.25" x14ac:dyDescent="0.2">
      <c r="B3480" s="82" t="s">
        <v>5832</v>
      </c>
      <c r="C3480" s="82" t="s">
        <v>662</v>
      </c>
      <c r="D3480" s="83">
        <f>SUMIFS(D3481:D6462,K3481:K6462,"0",B3481:B6462,"5 1 2 1 1 12 31111 6 M59 10000 000132 0000R 00001 00211 015 2112000 2024 CP1PM439*")-SUMIFS(E3481:E6462,K3481:K6462,"0",B3481:B6462,"5 1 2 1 1 12 31111 6 M59 10000 000132 0000R 00001 00211 015 2112000 2024 CP1PM439*")</f>
        <v>0</v>
      </c>
      <c r="E3480" s="54"/>
      <c r="F3480" s="83">
        <f>SUMIFS(F3481:F6462,K3481:K6462,"0",B3481:B6462,"5 1 2 1 1 12 31111 6 M59 10000 000132 0000R 00001 00211 015 2112000 2024 CP1PM439*")</f>
        <v>53191.77</v>
      </c>
      <c r="G3480" s="83">
        <f>SUMIFS(G3481:G6462,K3481:K6462,"0",B3481:B6462,"5 1 2 1 1 12 31111 6 M59 10000 000132 0000R 00001 00211 015 2112000 2024 CP1PM439*")</f>
        <v>0</v>
      </c>
      <c r="H3480" s="83">
        <f t="shared" si="54"/>
        <v>53191.77</v>
      </c>
      <c r="I3480" s="83"/>
      <c r="K3480" s="54" t="s">
        <v>15</v>
      </c>
    </row>
    <row r="3481" spans="2:11" ht="41.25" x14ac:dyDescent="0.2">
      <c r="B3481" s="82" t="s">
        <v>5833</v>
      </c>
      <c r="C3481" s="82" t="s">
        <v>282</v>
      </c>
      <c r="D3481" s="83">
        <f>SUMIFS(D3482:D6462,K3482:K6462,"0",B3482:B6462,"5 1 2 1 1 12 31111 6 M59 10000 000132 0000R 00001 00211 015 2112000 2024 CP1PM439 001*")-SUMIFS(E3482:E6462,K3482:K6462,"0",B3482:B6462,"5 1 2 1 1 12 31111 6 M59 10000 000132 0000R 00001 00211 015 2112000 2024 CP1PM439 001*")</f>
        <v>0</v>
      </c>
      <c r="E3481" s="54"/>
      <c r="F3481" s="83">
        <f>SUMIFS(F3482:F6462,K3482:K6462,"0",B3482:B6462,"5 1 2 1 1 12 31111 6 M59 10000 000132 0000R 00001 00211 015 2112000 2024 CP1PM439 001*")</f>
        <v>53191.77</v>
      </c>
      <c r="G3481" s="83">
        <f>SUMIFS(G3482:G6462,K3482:K6462,"0",B3482:B6462,"5 1 2 1 1 12 31111 6 M59 10000 000132 0000R 00001 00211 015 2112000 2024 CP1PM439 001*")</f>
        <v>0</v>
      </c>
      <c r="H3481" s="83">
        <f t="shared" si="54"/>
        <v>53191.77</v>
      </c>
      <c r="I3481" s="83"/>
      <c r="K3481" s="54" t="s">
        <v>15</v>
      </c>
    </row>
    <row r="3482" spans="2:11" ht="33" x14ac:dyDescent="0.2">
      <c r="B3482" s="84" t="s">
        <v>5834</v>
      </c>
      <c r="C3482" s="84" t="s">
        <v>5827</v>
      </c>
      <c r="D3482" s="85">
        <v>0</v>
      </c>
      <c r="E3482" s="85"/>
      <c r="F3482" s="85">
        <v>53191.77</v>
      </c>
      <c r="G3482" s="85">
        <v>0</v>
      </c>
      <c r="H3482" s="85">
        <f t="shared" si="54"/>
        <v>53191.77</v>
      </c>
      <c r="I3482" s="85"/>
      <c r="K3482" s="54" t="s">
        <v>38</v>
      </c>
    </row>
    <row r="3483" spans="2:11" ht="16.5" x14ac:dyDescent="0.2">
      <c r="B3483" s="82" t="s">
        <v>5835</v>
      </c>
      <c r="C3483" s="82" t="s">
        <v>2946</v>
      </c>
      <c r="D3483" s="83">
        <f>SUMIFS(D3484:D6462,K3484:K6462,"0",B3484:B6462,"5 1 2 1 1 12 31111 6 M59 10300*")-SUMIFS(E3484:E6462,K3484:K6462,"0",B3484:B6462,"5 1 2 1 1 12 31111 6 M59 10300*")</f>
        <v>0</v>
      </c>
      <c r="E3483" s="54"/>
      <c r="F3483" s="83">
        <f>SUMIFS(F3484:F6462,K3484:K6462,"0",B3484:B6462,"5 1 2 1 1 12 31111 6 M59 10300*")</f>
        <v>250</v>
      </c>
      <c r="G3483" s="83">
        <f>SUMIFS(G3484:G6462,K3484:K6462,"0",B3484:B6462,"5 1 2 1 1 12 31111 6 M59 10300*")</f>
        <v>0</v>
      </c>
      <c r="H3483" s="83">
        <f t="shared" si="54"/>
        <v>250</v>
      </c>
      <c r="I3483" s="83"/>
      <c r="K3483" s="54" t="s">
        <v>15</v>
      </c>
    </row>
    <row r="3484" spans="2:11" ht="16.5" x14ac:dyDescent="0.2">
      <c r="B3484" s="82" t="s">
        <v>5836</v>
      </c>
      <c r="C3484" s="82" t="s">
        <v>648</v>
      </c>
      <c r="D3484" s="83">
        <f>SUMIFS(D3485:D6462,K3485:K6462,"0",B3485:B6462,"5 1 2 1 1 12 31111 6 M59 10300 000132*")-SUMIFS(E3485:E6462,K3485:K6462,"0",B3485:B6462,"5 1 2 1 1 12 31111 6 M59 10300 000132*")</f>
        <v>0</v>
      </c>
      <c r="E3484" s="54"/>
      <c r="F3484" s="83">
        <f>SUMIFS(F3485:F6462,K3485:K6462,"0",B3485:B6462,"5 1 2 1 1 12 31111 6 M59 10300 000132*")</f>
        <v>250</v>
      </c>
      <c r="G3484" s="83">
        <f>SUMIFS(G3485:G6462,K3485:K6462,"0",B3485:B6462,"5 1 2 1 1 12 31111 6 M59 10300 000132*")</f>
        <v>0</v>
      </c>
      <c r="H3484" s="83">
        <f t="shared" si="54"/>
        <v>250</v>
      </c>
      <c r="I3484" s="83"/>
      <c r="K3484" s="54" t="s">
        <v>15</v>
      </c>
    </row>
    <row r="3485" spans="2:11" ht="16.5" x14ac:dyDescent="0.2">
      <c r="B3485" s="82" t="s">
        <v>5837</v>
      </c>
      <c r="C3485" s="82" t="s">
        <v>650</v>
      </c>
      <c r="D3485" s="83">
        <f>SUMIFS(D3486:D6462,K3486:K6462,"0",B3486:B6462,"5 1 2 1 1 12 31111 6 M59 10300 000132 0000R*")-SUMIFS(E3486:E6462,K3486:K6462,"0",B3486:B6462,"5 1 2 1 1 12 31111 6 M59 10300 000132 0000R*")</f>
        <v>0</v>
      </c>
      <c r="E3485" s="54"/>
      <c r="F3485" s="83">
        <f>SUMIFS(F3486:F6462,K3486:K6462,"0",B3486:B6462,"5 1 2 1 1 12 31111 6 M59 10300 000132 0000R*")</f>
        <v>250</v>
      </c>
      <c r="G3485" s="83">
        <f>SUMIFS(G3486:G6462,K3486:K6462,"0",B3486:B6462,"5 1 2 1 1 12 31111 6 M59 10300 000132 0000R*")</f>
        <v>0</v>
      </c>
      <c r="H3485" s="83">
        <f t="shared" si="54"/>
        <v>250</v>
      </c>
      <c r="I3485" s="83"/>
      <c r="K3485" s="54" t="s">
        <v>15</v>
      </c>
    </row>
    <row r="3486" spans="2:11" ht="24.75" x14ac:dyDescent="0.2">
      <c r="B3486" s="82" t="s">
        <v>5838</v>
      </c>
      <c r="C3486" s="82" t="s">
        <v>282</v>
      </c>
      <c r="D3486" s="83">
        <f>SUMIFS(D3487:D6462,K3487:K6462,"0",B3487:B6462,"5 1 2 1 1 12 31111 6 M59 10300 000132 0000R 00001*")-SUMIFS(E3487:E6462,K3487:K6462,"0",B3487:B6462,"5 1 2 1 1 12 31111 6 M59 10300 000132 0000R 00001*")</f>
        <v>0</v>
      </c>
      <c r="E3486" s="54"/>
      <c r="F3486" s="83">
        <f>SUMIFS(F3487:F6462,K3487:K6462,"0",B3487:B6462,"5 1 2 1 1 12 31111 6 M59 10300 000132 0000R 00001*")</f>
        <v>250</v>
      </c>
      <c r="G3486" s="83">
        <f>SUMIFS(G3487:G6462,K3487:K6462,"0",B3487:B6462,"5 1 2 1 1 12 31111 6 M59 10300 000132 0000R 00001*")</f>
        <v>0</v>
      </c>
      <c r="H3486" s="83">
        <f t="shared" si="54"/>
        <v>250</v>
      </c>
      <c r="I3486" s="83"/>
      <c r="K3486" s="54" t="s">
        <v>15</v>
      </c>
    </row>
    <row r="3487" spans="2:11" ht="24.75" x14ac:dyDescent="0.2">
      <c r="B3487" s="82" t="s">
        <v>5839</v>
      </c>
      <c r="C3487" s="82" t="s">
        <v>5827</v>
      </c>
      <c r="D3487" s="83">
        <f>SUMIFS(D3488:D6462,K3488:K6462,"0",B3488:B6462,"5 1 2 1 1 12 31111 6 M59 10300 000132 0000R 00001 00211*")-SUMIFS(E3488:E6462,K3488:K6462,"0",B3488:B6462,"5 1 2 1 1 12 31111 6 M59 10300 000132 0000R 00001 00211*")</f>
        <v>0</v>
      </c>
      <c r="E3487" s="54"/>
      <c r="F3487" s="83">
        <f>SUMIFS(F3488:F6462,K3488:K6462,"0",B3488:B6462,"5 1 2 1 1 12 31111 6 M59 10300 000132 0000R 00001 00211*")</f>
        <v>250</v>
      </c>
      <c r="G3487" s="83">
        <f>SUMIFS(G3488:G6462,K3488:K6462,"0",B3488:B6462,"5 1 2 1 1 12 31111 6 M59 10300 000132 0000R 00001 00211*")</f>
        <v>0</v>
      </c>
      <c r="H3487" s="83">
        <f t="shared" si="54"/>
        <v>250</v>
      </c>
      <c r="I3487" s="83"/>
      <c r="K3487" s="54" t="s">
        <v>15</v>
      </c>
    </row>
    <row r="3488" spans="2:11" ht="24.75" x14ac:dyDescent="0.2">
      <c r="B3488" s="82" t="s">
        <v>5840</v>
      </c>
      <c r="C3488" s="82" t="s">
        <v>1051</v>
      </c>
      <c r="D3488" s="83">
        <f>SUMIFS(D3489:D6462,K3489:K6462,"0",B3489:B6462,"5 1 2 1 1 12 31111 6 M59 10300 000132 0000R 00001 00211 015*")-SUMIFS(E3489:E6462,K3489:K6462,"0",B3489:B6462,"5 1 2 1 1 12 31111 6 M59 10300 000132 0000R 00001 00211 015*")</f>
        <v>0</v>
      </c>
      <c r="E3488" s="54"/>
      <c r="F3488" s="83">
        <f>SUMIFS(F3489:F6462,K3489:K6462,"0",B3489:B6462,"5 1 2 1 1 12 31111 6 M59 10300 000132 0000R 00001 00211 015*")</f>
        <v>250</v>
      </c>
      <c r="G3488" s="83">
        <f>SUMIFS(G3489:G6462,K3489:K6462,"0",B3489:B6462,"5 1 2 1 1 12 31111 6 M59 10300 000132 0000R 00001 00211 015*")</f>
        <v>0</v>
      </c>
      <c r="H3488" s="83">
        <f t="shared" si="54"/>
        <v>250</v>
      </c>
      <c r="I3488" s="83"/>
      <c r="K3488" s="54" t="s">
        <v>15</v>
      </c>
    </row>
    <row r="3489" spans="2:11" ht="33" x14ac:dyDescent="0.2">
      <c r="B3489" s="82" t="s">
        <v>5841</v>
      </c>
      <c r="C3489" s="82" t="s">
        <v>5830</v>
      </c>
      <c r="D3489" s="83">
        <f>SUMIFS(D3490:D6462,K3490:K6462,"0",B3490:B6462,"5 1 2 1 1 12 31111 6 M59 10300 000132 0000R 00001 00211 015 2112000*")-SUMIFS(E3490:E6462,K3490:K6462,"0",B3490:B6462,"5 1 2 1 1 12 31111 6 M59 10300 000132 0000R 00001 00211 015 2112000*")</f>
        <v>0</v>
      </c>
      <c r="E3489" s="54"/>
      <c r="F3489" s="83">
        <f>SUMIFS(F3490:F6462,K3490:K6462,"0",B3490:B6462,"5 1 2 1 1 12 31111 6 M59 10300 000132 0000R 00001 00211 015 2112000*")</f>
        <v>250</v>
      </c>
      <c r="G3489" s="83">
        <f>SUMIFS(G3490:G6462,K3490:K6462,"0",B3490:B6462,"5 1 2 1 1 12 31111 6 M59 10300 000132 0000R 00001 00211 015 2112000*")</f>
        <v>0</v>
      </c>
      <c r="H3489" s="83">
        <f t="shared" si="54"/>
        <v>250</v>
      </c>
      <c r="I3489" s="83"/>
      <c r="K3489" s="54" t="s">
        <v>15</v>
      </c>
    </row>
    <row r="3490" spans="2:11" ht="33" x14ac:dyDescent="0.2">
      <c r="B3490" s="82" t="s">
        <v>5842</v>
      </c>
      <c r="C3490" s="82" t="s">
        <v>660</v>
      </c>
      <c r="D3490" s="83">
        <f>SUMIFS(D3491:D6462,K3491:K6462,"0",B3491:B6462,"5 1 2 1 1 12 31111 6 M59 10300 000132 0000R 00001 00211 015 2112000 2024*")-SUMIFS(E3491:E6462,K3491:K6462,"0",B3491:B6462,"5 1 2 1 1 12 31111 6 M59 10300 000132 0000R 00001 00211 015 2112000 2024*")</f>
        <v>0</v>
      </c>
      <c r="E3490" s="54"/>
      <c r="F3490" s="83">
        <f>SUMIFS(F3491:F6462,K3491:K6462,"0",B3491:B6462,"5 1 2 1 1 12 31111 6 M59 10300 000132 0000R 00001 00211 015 2112000 2024*")</f>
        <v>250</v>
      </c>
      <c r="G3490" s="83">
        <f>SUMIFS(G3491:G6462,K3491:K6462,"0",B3491:B6462,"5 1 2 1 1 12 31111 6 M59 10300 000132 0000R 00001 00211 015 2112000 2024*")</f>
        <v>0</v>
      </c>
      <c r="H3490" s="83">
        <f t="shared" si="54"/>
        <v>250</v>
      </c>
      <c r="I3490" s="83"/>
      <c r="K3490" s="54" t="s">
        <v>15</v>
      </c>
    </row>
    <row r="3491" spans="2:11" ht="41.25" x14ac:dyDescent="0.2">
      <c r="B3491" s="82" t="s">
        <v>5843</v>
      </c>
      <c r="C3491" s="82" t="s">
        <v>2955</v>
      </c>
      <c r="D3491" s="83">
        <f>SUMIFS(D3492:D6462,K3492:K6462,"0",B3492:B6462,"5 1 2 1 1 12 31111 6 M59 10300 000132 0000R 00001 00211 015 2112000 2024 CP1GE413*")-SUMIFS(E3492:E6462,K3492:K6462,"0",B3492:B6462,"5 1 2 1 1 12 31111 6 M59 10300 000132 0000R 00001 00211 015 2112000 2024 CP1GE413*")</f>
        <v>0</v>
      </c>
      <c r="E3491" s="54"/>
      <c r="F3491" s="83">
        <f>SUMIFS(F3492:F6462,K3492:K6462,"0",B3492:B6462,"5 1 2 1 1 12 31111 6 M59 10300 000132 0000R 00001 00211 015 2112000 2024 CP1GE413*")</f>
        <v>250</v>
      </c>
      <c r="G3491" s="83">
        <f>SUMIFS(G3492:G6462,K3492:K6462,"0",B3492:B6462,"5 1 2 1 1 12 31111 6 M59 10300 000132 0000R 00001 00211 015 2112000 2024 CP1GE413*")</f>
        <v>0</v>
      </c>
      <c r="H3491" s="83">
        <f t="shared" si="54"/>
        <v>250</v>
      </c>
      <c r="I3491" s="83"/>
      <c r="K3491" s="54" t="s">
        <v>15</v>
      </c>
    </row>
    <row r="3492" spans="2:11" ht="41.25" x14ac:dyDescent="0.2">
      <c r="B3492" s="82" t="s">
        <v>5844</v>
      </c>
      <c r="C3492" s="82" t="s">
        <v>282</v>
      </c>
      <c r="D3492" s="83">
        <f>SUMIFS(D3493:D6462,K3493:K6462,"0",B3493:B6462,"5 1 2 1 1 12 31111 6 M59 10300 000132 0000R 00001 00211 015 2112000 2024 CP1GE413 001*")-SUMIFS(E3493:E6462,K3493:K6462,"0",B3493:B6462,"5 1 2 1 1 12 31111 6 M59 10300 000132 0000R 00001 00211 015 2112000 2024 CP1GE413 001*")</f>
        <v>0</v>
      </c>
      <c r="E3492" s="54"/>
      <c r="F3492" s="83">
        <f>SUMIFS(F3493:F6462,K3493:K6462,"0",B3493:B6462,"5 1 2 1 1 12 31111 6 M59 10300 000132 0000R 00001 00211 015 2112000 2024 CP1GE413 001*")</f>
        <v>250</v>
      </c>
      <c r="G3492" s="83">
        <f>SUMIFS(G3493:G6462,K3493:K6462,"0",B3493:B6462,"5 1 2 1 1 12 31111 6 M59 10300 000132 0000R 00001 00211 015 2112000 2024 CP1GE413 001*")</f>
        <v>0</v>
      </c>
      <c r="H3492" s="83">
        <f t="shared" si="54"/>
        <v>250</v>
      </c>
      <c r="I3492" s="83"/>
      <c r="K3492" s="54" t="s">
        <v>15</v>
      </c>
    </row>
    <row r="3493" spans="2:11" ht="33" x14ac:dyDescent="0.2">
      <c r="B3493" s="84" t="s">
        <v>5845</v>
      </c>
      <c r="C3493" s="84" t="s">
        <v>5827</v>
      </c>
      <c r="D3493" s="85">
        <v>0</v>
      </c>
      <c r="E3493" s="85"/>
      <c r="F3493" s="85">
        <v>250</v>
      </c>
      <c r="G3493" s="85">
        <v>0</v>
      </c>
      <c r="H3493" s="85">
        <f t="shared" si="54"/>
        <v>250</v>
      </c>
      <c r="I3493" s="85"/>
      <c r="K3493" s="54" t="s">
        <v>38</v>
      </c>
    </row>
    <row r="3494" spans="2:11" ht="24.75" x14ac:dyDescent="0.2">
      <c r="B3494" s="82" t="s">
        <v>5846</v>
      </c>
      <c r="C3494" s="82" t="s">
        <v>2959</v>
      </c>
      <c r="D3494" s="83">
        <f>SUMIFS(D3495:D6462,K3495:K6462,"0",B3495:B6462,"5 1 2 1 1 12 31111 6 M59 10400*")-SUMIFS(E3495:E6462,K3495:K6462,"0",B3495:B6462,"5 1 2 1 1 12 31111 6 M59 10400*")</f>
        <v>0</v>
      </c>
      <c r="E3494" s="54"/>
      <c r="F3494" s="83">
        <f>SUMIFS(F3495:F6462,K3495:K6462,"0",B3495:B6462,"5 1 2 1 1 12 31111 6 M59 10400*")</f>
        <v>250</v>
      </c>
      <c r="G3494" s="83">
        <f>SUMIFS(G3495:G6462,K3495:K6462,"0",B3495:B6462,"5 1 2 1 1 12 31111 6 M59 10400*")</f>
        <v>0</v>
      </c>
      <c r="H3494" s="83">
        <f t="shared" si="54"/>
        <v>250</v>
      </c>
      <c r="I3494" s="83"/>
      <c r="K3494" s="54" t="s">
        <v>15</v>
      </c>
    </row>
    <row r="3495" spans="2:11" ht="16.5" x14ac:dyDescent="0.2">
      <c r="B3495" s="82" t="s">
        <v>5847</v>
      </c>
      <c r="C3495" s="82" t="s">
        <v>648</v>
      </c>
      <c r="D3495" s="83">
        <f>SUMIFS(D3496:D6462,K3496:K6462,"0",B3496:B6462,"5 1 2 1 1 12 31111 6 M59 10400 000132*")-SUMIFS(E3496:E6462,K3496:K6462,"0",B3496:B6462,"5 1 2 1 1 12 31111 6 M59 10400 000132*")</f>
        <v>0</v>
      </c>
      <c r="E3495" s="54"/>
      <c r="F3495" s="83">
        <f>SUMIFS(F3496:F6462,K3496:K6462,"0",B3496:B6462,"5 1 2 1 1 12 31111 6 M59 10400 000132*")</f>
        <v>250</v>
      </c>
      <c r="G3495" s="83">
        <f>SUMIFS(G3496:G6462,K3496:K6462,"0",B3496:B6462,"5 1 2 1 1 12 31111 6 M59 10400 000132*")</f>
        <v>0</v>
      </c>
      <c r="H3495" s="83">
        <f t="shared" si="54"/>
        <v>250</v>
      </c>
      <c r="I3495" s="83"/>
      <c r="K3495" s="54" t="s">
        <v>15</v>
      </c>
    </row>
    <row r="3496" spans="2:11" ht="16.5" x14ac:dyDescent="0.2">
      <c r="B3496" s="82" t="s">
        <v>5848</v>
      </c>
      <c r="C3496" s="82" t="s">
        <v>650</v>
      </c>
      <c r="D3496" s="83">
        <f>SUMIFS(D3497:D6462,K3497:K6462,"0",B3497:B6462,"5 1 2 1 1 12 31111 6 M59 10400 000132 0000R*")-SUMIFS(E3497:E6462,K3497:K6462,"0",B3497:B6462,"5 1 2 1 1 12 31111 6 M59 10400 000132 0000R*")</f>
        <v>0</v>
      </c>
      <c r="E3496" s="54"/>
      <c r="F3496" s="83">
        <f>SUMIFS(F3497:F6462,K3497:K6462,"0",B3497:B6462,"5 1 2 1 1 12 31111 6 M59 10400 000132 0000R*")</f>
        <v>250</v>
      </c>
      <c r="G3496" s="83">
        <f>SUMIFS(G3497:G6462,K3497:K6462,"0",B3497:B6462,"5 1 2 1 1 12 31111 6 M59 10400 000132 0000R*")</f>
        <v>0</v>
      </c>
      <c r="H3496" s="83">
        <f t="shared" si="54"/>
        <v>250</v>
      </c>
      <c r="I3496" s="83"/>
      <c r="K3496" s="54" t="s">
        <v>15</v>
      </c>
    </row>
    <row r="3497" spans="2:11" ht="24.75" x14ac:dyDescent="0.2">
      <c r="B3497" s="82" t="s">
        <v>5849</v>
      </c>
      <c r="C3497" s="82" t="s">
        <v>282</v>
      </c>
      <c r="D3497" s="83">
        <f>SUMIFS(D3498:D6462,K3498:K6462,"0",B3498:B6462,"5 1 2 1 1 12 31111 6 M59 10400 000132 0000R 00001*")-SUMIFS(E3498:E6462,K3498:K6462,"0",B3498:B6462,"5 1 2 1 1 12 31111 6 M59 10400 000132 0000R 00001*")</f>
        <v>0</v>
      </c>
      <c r="E3497" s="54"/>
      <c r="F3497" s="83">
        <f>SUMIFS(F3498:F6462,K3498:K6462,"0",B3498:B6462,"5 1 2 1 1 12 31111 6 M59 10400 000132 0000R 00001*")</f>
        <v>250</v>
      </c>
      <c r="G3497" s="83">
        <f>SUMIFS(G3498:G6462,K3498:K6462,"0",B3498:B6462,"5 1 2 1 1 12 31111 6 M59 10400 000132 0000R 00001*")</f>
        <v>0</v>
      </c>
      <c r="H3497" s="83">
        <f t="shared" si="54"/>
        <v>250</v>
      </c>
      <c r="I3497" s="83"/>
      <c r="K3497" s="54" t="s">
        <v>15</v>
      </c>
    </row>
    <row r="3498" spans="2:11" ht="24.75" x14ac:dyDescent="0.2">
      <c r="B3498" s="82" t="s">
        <v>5850</v>
      </c>
      <c r="C3498" s="82" t="s">
        <v>5827</v>
      </c>
      <c r="D3498" s="83">
        <f>SUMIFS(D3499:D6462,K3499:K6462,"0",B3499:B6462,"5 1 2 1 1 12 31111 6 M59 10400 000132 0000R 00001 00211*")-SUMIFS(E3499:E6462,K3499:K6462,"0",B3499:B6462,"5 1 2 1 1 12 31111 6 M59 10400 000132 0000R 00001 00211*")</f>
        <v>0</v>
      </c>
      <c r="E3498" s="54"/>
      <c r="F3498" s="83">
        <f>SUMIFS(F3499:F6462,K3499:K6462,"0",B3499:B6462,"5 1 2 1 1 12 31111 6 M59 10400 000132 0000R 00001 00211*")</f>
        <v>250</v>
      </c>
      <c r="G3498" s="83">
        <f>SUMIFS(G3499:G6462,K3499:K6462,"0",B3499:B6462,"5 1 2 1 1 12 31111 6 M59 10400 000132 0000R 00001 00211*")</f>
        <v>0</v>
      </c>
      <c r="H3498" s="83">
        <f t="shared" si="54"/>
        <v>250</v>
      </c>
      <c r="I3498" s="83"/>
      <c r="K3498" s="54" t="s">
        <v>15</v>
      </c>
    </row>
    <row r="3499" spans="2:11" ht="24.75" x14ac:dyDescent="0.2">
      <c r="B3499" s="82" t="s">
        <v>5851</v>
      </c>
      <c r="C3499" s="82" t="s">
        <v>1051</v>
      </c>
      <c r="D3499" s="83">
        <f>SUMIFS(D3500:D6462,K3500:K6462,"0",B3500:B6462,"5 1 2 1 1 12 31111 6 M59 10400 000132 0000R 00001 00211 015*")-SUMIFS(E3500:E6462,K3500:K6462,"0",B3500:B6462,"5 1 2 1 1 12 31111 6 M59 10400 000132 0000R 00001 00211 015*")</f>
        <v>0</v>
      </c>
      <c r="E3499" s="54"/>
      <c r="F3499" s="83">
        <f>SUMIFS(F3500:F6462,K3500:K6462,"0",B3500:B6462,"5 1 2 1 1 12 31111 6 M59 10400 000132 0000R 00001 00211 015*")</f>
        <v>250</v>
      </c>
      <c r="G3499" s="83">
        <f>SUMIFS(G3500:G6462,K3500:K6462,"0",B3500:B6462,"5 1 2 1 1 12 31111 6 M59 10400 000132 0000R 00001 00211 015*")</f>
        <v>0</v>
      </c>
      <c r="H3499" s="83">
        <f t="shared" ref="H3499:H3562" si="55">D3499 + F3499 - G3499</f>
        <v>250</v>
      </c>
      <c r="I3499" s="83"/>
      <c r="K3499" s="54" t="s">
        <v>15</v>
      </c>
    </row>
    <row r="3500" spans="2:11" ht="33" x14ac:dyDescent="0.2">
      <c r="B3500" s="82" t="s">
        <v>5852</v>
      </c>
      <c r="C3500" s="82" t="s">
        <v>5830</v>
      </c>
      <c r="D3500" s="83">
        <f>SUMIFS(D3501:D6462,K3501:K6462,"0",B3501:B6462,"5 1 2 1 1 12 31111 6 M59 10400 000132 0000R 00001 00211 015 2112000*")-SUMIFS(E3501:E6462,K3501:K6462,"0",B3501:B6462,"5 1 2 1 1 12 31111 6 M59 10400 000132 0000R 00001 00211 015 2112000*")</f>
        <v>0</v>
      </c>
      <c r="E3500" s="54"/>
      <c r="F3500" s="83">
        <f>SUMIFS(F3501:F6462,K3501:K6462,"0",B3501:B6462,"5 1 2 1 1 12 31111 6 M59 10400 000132 0000R 00001 00211 015 2112000*")</f>
        <v>250</v>
      </c>
      <c r="G3500" s="83">
        <f>SUMIFS(G3501:G6462,K3501:K6462,"0",B3501:B6462,"5 1 2 1 1 12 31111 6 M59 10400 000132 0000R 00001 00211 015 2112000*")</f>
        <v>0</v>
      </c>
      <c r="H3500" s="83">
        <f t="shared" si="55"/>
        <v>250</v>
      </c>
      <c r="I3500" s="83"/>
      <c r="K3500" s="54" t="s">
        <v>15</v>
      </c>
    </row>
    <row r="3501" spans="2:11" ht="33" x14ac:dyDescent="0.2">
      <c r="B3501" s="82" t="s">
        <v>5853</v>
      </c>
      <c r="C3501" s="82" t="s">
        <v>660</v>
      </c>
      <c r="D3501" s="83">
        <f>SUMIFS(D3502:D6462,K3502:K6462,"0",B3502:B6462,"5 1 2 1 1 12 31111 6 M59 10400 000132 0000R 00001 00211 015 2112000 2024*")-SUMIFS(E3502:E6462,K3502:K6462,"0",B3502:B6462,"5 1 2 1 1 12 31111 6 M59 10400 000132 0000R 00001 00211 015 2112000 2024*")</f>
        <v>0</v>
      </c>
      <c r="E3501" s="54"/>
      <c r="F3501" s="83">
        <f>SUMIFS(F3502:F6462,K3502:K6462,"0",B3502:B6462,"5 1 2 1 1 12 31111 6 M59 10400 000132 0000R 00001 00211 015 2112000 2024*")</f>
        <v>250</v>
      </c>
      <c r="G3501" s="83">
        <f>SUMIFS(G3502:G6462,K3502:K6462,"0",B3502:B6462,"5 1 2 1 1 12 31111 6 M59 10400 000132 0000R 00001 00211 015 2112000 2024*")</f>
        <v>0</v>
      </c>
      <c r="H3501" s="83">
        <f t="shared" si="55"/>
        <v>250</v>
      </c>
      <c r="I3501" s="83"/>
      <c r="K3501" s="54" t="s">
        <v>15</v>
      </c>
    </row>
    <row r="3502" spans="2:11" ht="41.25" x14ac:dyDescent="0.2">
      <c r="B3502" s="82" t="s">
        <v>5854</v>
      </c>
      <c r="C3502" s="82" t="s">
        <v>1056</v>
      </c>
      <c r="D3502" s="83">
        <f>SUMIFS(D3503:D6462,K3503:K6462,"0",B3503:B6462,"5 1 2 1 1 12 31111 6 M59 10400 000132 0000R 00001 00211 015 2112000 2024 CP1CG432*")-SUMIFS(E3503:E6462,K3503:K6462,"0",B3503:B6462,"5 1 2 1 1 12 31111 6 M59 10400 000132 0000R 00001 00211 015 2112000 2024 CP1CG432*")</f>
        <v>0</v>
      </c>
      <c r="E3502" s="54"/>
      <c r="F3502" s="83">
        <f>SUMIFS(F3503:F6462,K3503:K6462,"0",B3503:B6462,"5 1 2 1 1 12 31111 6 M59 10400 000132 0000R 00001 00211 015 2112000 2024 CP1CG432*")</f>
        <v>250</v>
      </c>
      <c r="G3502" s="83">
        <f>SUMIFS(G3503:G6462,K3503:K6462,"0",B3503:B6462,"5 1 2 1 1 12 31111 6 M59 10400 000132 0000R 00001 00211 015 2112000 2024 CP1CG432*")</f>
        <v>0</v>
      </c>
      <c r="H3502" s="83">
        <f t="shared" si="55"/>
        <v>250</v>
      </c>
      <c r="I3502" s="83"/>
      <c r="K3502" s="54" t="s">
        <v>15</v>
      </c>
    </row>
    <row r="3503" spans="2:11" ht="41.25" x14ac:dyDescent="0.2">
      <c r="B3503" s="82" t="s">
        <v>5855</v>
      </c>
      <c r="C3503" s="82" t="s">
        <v>282</v>
      </c>
      <c r="D3503" s="83">
        <f>SUMIFS(D3504:D6462,K3504:K6462,"0",B3504:B6462,"5 1 2 1 1 12 31111 6 M59 10400 000132 0000R 00001 00211 015 2112000 2024 CP1CG432 001*")-SUMIFS(E3504:E6462,K3504:K6462,"0",B3504:B6462,"5 1 2 1 1 12 31111 6 M59 10400 000132 0000R 00001 00211 015 2112000 2024 CP1CG432 001*")</f>
        <v>0</v>
      </c>
      <c r="E3503" s="54"/>
      <c r="F3503" s="83">
        <f>SUMIFS(F3504:F6462,K3504:K6462,"0",B3504:B6462,"5 1 2 1 1 12 31111 6 M59 10400 000132 0000R 00001 00211 015 2112000 2024 CP1CG432 001*")</f>
        <v>250</v>
      </c>
      <c r="G3503" s="83">
        <f>SUMIFS(G3504:G6462,K3504:K6462,"0",B3504:B6462,"5 1 2 1 1 12 31111 6 M59 10400 000132 0000R 00001 00211 015 2112000 2024 CP1CG432 001*")</f>
        <v>0</v>
      </c>
      <c r="H3503" s="83">
        <f t="shared" si="55"/>
        <v>250</v>
      </c>
      <c r="I3503" s="83"/>
      <c r="K3503" s="54" t="s">
        <v>15</v>
      </c>
    </row>
    <row r="3504" spans="2:11" ht="33" x14ac:dyDescent="0.2">
      <c r="B3504" s="84" t="s">
        <v>5856</v>
      </c>
      <c r="C3504" s="84" t="s">
        <v>5827</v>
      </c>
      <c r="D3504" s="85">
        <v>0</v>
      </c>
      <c r="E3504" s="85"/>
      <c r="F3504" s="85">
        <v>250</v>
      </c>
      <c r="G3504" s="85">
        <v>0</v>
      </c>
      <c r="H3504" s="85">
        <f t="shared" si="55"/>
        <v>250</v>
      </c>
      <c r="I3504" s="85"/>
      <c r="K3504" s="54" t="s">
        <v>38</v>
      </c>
    </row>
    <row r="3505" spans="2:11" ht="16.5" x14ac:dyDescent="0.2">
      <c r="B3505" s="82" t="s">
        <v>5857</v>
      </c>
      <c r="C3505" s="82" t="s">
        <v>2971</v>
      </c>
      <c r="D3505" s="83">
        <f>SUMIFS(D3506:D6462,K3506:K6462,"0",B3506:B6462,"5 1 2 1 1 12 31111 6 M59 10500*")-SUMIFS(E3506:E6462,K3506:K6462,"0",B3506:B6462,"5 1 2 1 1 12 31111 6 M59 10500*")</f>
        <v>0</v>
      </c>
      <c r="E3505" s="54"/>
      <c r="F3505" s="83">
        <f>SUMIFS(F3506:F6462,K3506:K6462,"0",B3506:B6462,"5 1 2 1 1 12 31111 6 M59 10500*")</f>
        <v>250</v>
      </c>
      <c r="G3505" s="83">
        <f>SUMIFS(G3506:G6462,K3506:K6462,"0",B3506:B6462,"5 1 2 1 1 12 31111 6 M59 10500*")</f>
        <v>0</v>
      </c>
      <c r="H3505" s="83">
        <f t="shared" si="55"/>
        <v>250</v>
      </c>
      <c r="I3505" s="83"/>
      <c r="K3505" s="54" t="s">
        <v>15</v>
      </c>
    </row>
    <row r="3506" spans="2:11" ht="16.5" x14ac:dyDescent="0.2">
      <c r="B3506" s="82" t="s">
        <v>5858</v>
      </c>
      <c r="C3506" s="82" t="s">
        <v>648</v>
      </c>
      <c r="D3506" s="83">
        <f>SUMIFS(D3507:D6462,K3507:K6462,"0",B3507:B6462,"5 1 2 1 1 12 31111 6 M59 10500 000132*")-SUMIFS(E3507:E6462,K3507:K6462,"0",B3507:B6462,"5 1 2 1 1 12 31111 6 M59 10500 000132*")</f>
        <v>0</v>
      </c>
      <c r="E3506" s="54"/>
      <c r="F3506" s="83">
        <f>SUMIFS(F3507:F6462,K3507:K6462,"0",B3507:B6462,"5 1 2 1 1 12 31111 6 M59 10500 000132*")</f>
        <v>250</v>
      </c>
      <c r="G3506" s="83">
        <f>SUMIFS(G3507:G6462,K3507:K6462,"0",B3507:B6462,"5 1 2 1 1 12 31111 6 M59 10500 000132*")</f>
        <v>0</v>
      </c>
      <c r="H3506" s="83">
        <f t="shared" si="55"/>
        <v>250</v>
      </c>
      <c r="I3506" s="83"/>
      <c r="K3506" s="54" t="s">
        <v>15</v>
      </c>
    </row>
    <row r="3507" spans="2:11" ht="16.5" x14ac:dyDescent="0.2">
      <c r="B3507" s="82" t="s">
        <v>5859</v>
      </c>
      <c r="C3507" s="82" t="s">
        <v>650</v>
      </c>
      <c r="D3507" s="83">
        <f>SUMIFS(D3508:D6462,K3508:K6462,"0",B3508:B6462,"5 1 2 1 1 12 31111 6 M59 10500 000132 0000R*")-SUMIFS(E3508:E6462,K3508:K6462,"0",B3508:B6462,"5 1 2 1 1 12 31111 6 M59 10500 000132 0000R*")</f>
        <v>0</v>
      </c>
      <c r="E3507" s="54"/>
      <c r="F3507" s="83">
        <f>SUMIFS(F3508:F6462,K3508:K6462,"0",B3508:B6462,"5 1 2 1 1 12 31111 6 M59 10500 000132 0000R*")</f>
        <v>250</v>
      </c>
      <c r="G3507" s="83">
        <f>SUMIFS(G3508:G6462,K3508:K6462,"0",B3508:B6462,"5 1 2 1 1 12 31111 6 M59 10500 000132 0000R*")</f>
        <v>0</v>
      </c>
      <c r="H3507" s="83">
        <f t="shared" si="55"/>
        <v>250</v>
      </c>
      <c r="I3507" s="83"/>
      <c r="K3507" s="54" t="s">
        <v>15</v>
      </c>
    </row>
    <row r="3508" spans="2:11" ht="24.75" x14ac:dyDescent="0.2">
      <c r="B3508" s="82" t="s">
        <v>5860</v>
      </c>
      <c r="C3508" s="82" t="s">
        <v>282</v>
      </c>
      <c r="D3508" s="83">
        <f>SUMIFS(D3509:D6462,K3509:K6462,"0",B3509:B6462,"5 1 2 1 1 12 31111 6 M59 10500 000132 0000R 00001*")-SUMIFS(E3509:E6462,K3509:K6462,"0",B3509:B6462,"5 1 2 1 1 12 31111 6 M59 10500 000132 0000R 00001*")</f>
        <v>0</v>
      </c>
      <c r="E3508" s="54"/>
      <c r="F3508" s="83">
        <f>SUMIFS(F3509:F6462,K3509:K6462,"0",B3509:B6462,"5 1 2 1 1 12 31111 6 M59 10500 000132 0000R 00001*")</f>
        <v>250</v>
      </c>
      <c r="G3508" s="83">
        <f>SUMIFS(G3509:G6462,K3509:K6462,"0",B3509:B6462,"5 1 2 1 1 12 31111 6 M59 10500 000132 0000R 00001*")</f>
        <v>0</v>
      </c>
      <c r="H3508" s="83">
        <f t="shared" si="55"/>
        <v>250</v>
      </c>
      <c r="I3508" s="83"/>
      <c r="K3508" s="54" t="s">
        <v>15</v>
      </c>
    </row>
    <row r="3509" spans="2:11" ht="24.75" x14ac:dyDescent="0.2">
      <c r="B3509" s="82" t="s">
        <v>5861</v>
      </c>
      <c r="C3509" s="82" t="s">
        <v>5827</v>
      </c>
      <c r="D3509" s="83">
        <f>SUMIFS(D3510:D6462,K3510:K6462,"0",B3510:B6462,"5 1 2 1 1 12 31111 6 M59 10500 000132 0000R 00001 00211*")-SUMIFS(E3510:E6462,K3510:K6462,"0",B3510:B6462,"5 1 2 1 1 12 31111 6 M59 10500 000132 0000R 00001 00211*")</f>
        <v>0</v>
      </c>
      <c r="E3509" s="54"/>
      <c r="F3509" s="83">
        <f>SUMIFS(F3510:F6462,K3510:K6462,"0",B3510:B6462,"5 1 2 1 1 12 31111 6 M59 10500 000132 0000R 00001 00211*")</f>
        <v>250</v>
      </c>
      <c r="G3509" s="83">
        <f>SUMIFS(G3510:G6462,K3510:K6462,"0",B3510:B6462,"5 1 2 1 1 12 31111 6 M59 10500 000132 0000R 00001 00211*")</f>
        <v>0</v>
      </c>
      <c r="H3509" s="83">
        <f t="shared" si="55"/>
        <v>250</v>
      </c>
      <c r="I3509" s="83"/>
      <c r="K3509" s="54" t="s">
        <v>15</v>
      </c>
    </row>
    <row r="3510" spans="2:11" ht="24.75" x14ac:dyDescent="0.2">
      <c r="B3510" s="82" t="s">
        <v>5862</v>
      </c>
      <c r="C3510" s="82" t="s">
        <v>1051</v>
      </c>
      <c r="D3510" s="83">
        <f>SUMIFS(D3511:D6462,K3511:K6462,"0",B3511:B6462,"5 1 2 1 1 12 31111 6 M59 10500 000132 0000R 00001 00211 015*")-SUMIFS(E3511:E6462,K3511:K6462,"0",B3511:B6462,"5 1 2 1 1 12 31111 6 M59 10500 000132 0000R 00001 00211 015*")</f>
        <v>0</v>
      </c>
      <c r="E3510" s="54"/>
      <c r="F3510" s="83">
        <f>SUMIFS(F3511:F6462,K3511:K6462,"0",B3511:B6462,"5 1 2 1 1 12 31111 6 M59 10500 000132 0000R 00001 00211 015*")</f>
        <v>250</v>
      </c>
      <c r="G3510" s="83">
        <f>SUMIFS(G3511:G6462,K3511:K6462,"0",B3511:B6462,"5 1 2 1 1 12 31111 6 M59 10500 000132 0000R 00001 00211 015*")</f>
        <v>0</v>
      </c>
      <c r="H3510" s="83">
        <f t="shared" si="55"/>
        <v>250</v>
      </c>
      <c r="I3510" s="83"/>
      <c r="K3510" s="54" t="s">
        <v>15</v>
      </c>
    </row>
    <row r="3511" spans="2:11" ht="33" x14ac:dyDescent="0.2">
      <c r="B3511" s="82" t="s">
        <v>5863</v>
      </c>
      <c r="C3511" s="82" t="s">
        <v>5830</v>
      </c>
      <c r="D3511" s="83">
        <f>SUMIFS(D3512:D6462,K3512:K6462,"0",B3512:B6462,"5 1 2 1 1 12 31111 6 M59 10500 000132 0000R 00001 00211 015 2112000*")-SUMIFS(E3512:E6462,K3512:K6462,"0",B3512:B6462,"5 1 2 1 1 12 31111 6 M59 10500 000132 0000R 00001 00211 015 2112000*")</f>
        <v>0</v>
      </c>
      <c r="E3511" s="54"/>
      <c r="F3511" s="83">
        <f>SUMIFS(F3512:F6462,K3512:K6462,"0",B3512:B6462,"5 1 2 1 1 12 31111 6 M59 10500 000132 0000R 00001 00211 015 2112000*")</f>
        <v>250</v>
      </c>
      <c r="G3511" s="83">
        <f>SUMIFS(G3512:G6462,K3512:K6462,"0",B3512:B6462,"5 1 2 1 1 12 31111 6 M59 10500 000132 0000R 00001 00211 015 2112000*")</f>
        <v>0</v>
      </c>
      <c r="H3511" s="83">
        <f t="shared" si="55"/>
        <v>250</v>
      </c>
      <c r="I3511" s="83"/>
      <c r="K3511" s="54" t="s">
        <v>15</v>
      </c>
    </row>
    <row r="3512" spans="2:11" ht="33" x14ac:dyDescent="0.2">
      <c r="B3512" s="82" t="s">
        <v>5864</v>
      </c>
      <c r="C3512" s="82" t="s">
        <v>660</v>
      </c>
      <c r="D3512" s="83">
        <f>SUMIFS(D3513:D6462,K3513:K6462,"0",B3513:B6462,"5 1 2 1 1 12 31111 6 M59 10500 000132 0000R 00001 00211 015 2112000 2024*")-SUMIFS(E3513:E6462,K3513:K6462,"0",B3513:B6462,"5 1 2 1 1 12 31111 6 M59 10500 000132 0000R 00001 00211 015 2112000 2024*")</f>
        <v>0</v>
      </c>
      <c r="E3512" s="54"/>
      <c r="F3512" s="83">
        <f>SUMIFS(F3513:F6462,K3513:K6462,"0",B3513:B6462,"5 1 2 1 1 12 31111 6 M59 10500 000132 0000R 00001 00211 015 2112000 2024*")</f>
        <v>250</v>
      </c>
      <c r="G3512" s="83">
        <f>SUMIFS(G3513:G6462,K3513:K6462,"0",B3513:B6462,"5 1 2 1 1 12 31111 6 M59 10500 000132 0000R 00001 00211 015 2112000 2024*")</f>
        <v>0</v>
      </c>
      <c r="H3512" s="83">
        <f t="shared" si="55"/>
        <v>250</v>
      </c>
      <c r="I3512" s="83"/>
      <c r="K3512" s="54" t="s">
        <v>15</v>
      </c>
    </row>
    <row r="3513" spans="2:11" ht="41.25" x14ac:dyDescent="0.2">
      <c r="B3513" s="82" t="s">
        <v>5865</v>
      </c>
      <c r="C3513" s="82" t="s">
        <v>1056</v>
      </c>
      <c r="D3513" s="83">
        <f>SUMIFS(D3514:D6462,K3514:K6462,"0",B3514:B6462,"5 1 2 1 1 12 31111 6 M59 10500 000132 0000R 00001 00211 015 2112000 2024 CP1CS421*")-SUMIFS(E3514:E6462,K3514:K6462,"0",B3514:B6462,"5 1 2 1 1 12 31111 6 M59 10500 000132 0000R 00001 00211 015 2112000 2024 CP1CS421*")</f>
        <v>0</v>
      </c>
      <c r="E3513" s="54"/>
      <c r="F3513" s="83">
        <f>SUMIFS(F3514:F6462,K3514:K6462,"0",B3514:B6462,"5 1 2 1 1 12 31111 6 M59 10500 000132 0000R 00001 00211 015 2112000 2024 CP1CS421*")</f>
        <v>250</v>
      </c>
      <c r="G3513" s="83">
        <f>SUMIFS(G3514:G6462,K3514:K6462,"0",B3514:B6462,"5 1 2 1 1 12 31111 6 M59 10500 000132 0000R 00001 00211 015 2112000 2024 CP1CS421*")</f>
        <v>0</v>
      </c>
      <c r="H3513" s="83">
        <f t="shared" si="55"/>
        <v>250</v>
      </c>
      <c r="I3513" s="83"/>
      <c r="K3513" s="54" t="s">
        <v>15</v>
      </c>
    </row>
    <row r="3514" spans="2:11" ht="41.25" x14ac:dyDescent="0.2">
      <c r="B3514" s="82" t="s">
        <v>5866</v>
      </c>
      <c r="C3514" s="82" t="s">
        <v>282</v>
      </c>
      <c r="D3514" s="83">
        <f>SUMIFS(D3515:D6462,K3515:K6462,"0",B3515:B6462,"5 1 2 1 1 12 31111 6 M59 10500 000132 0000R 00001 00211 015 2112000 2024 CP1CS421 001*")-SUMIFS(E3515:E6462,K3515:K6462,"0",B3515:B6462,"5 1 2 1 1 12 31111 6 M59 10500 000132 0000R 00001 00211 015 2112000 2024 CP1CS421 001*")</f>
        <v>0</v>
      </c>
      <c r="E3514" s="54"/>
      <c r="F3514" s="83">
        <f>SUMIFS(F3515:F6462,K3515:K6462,"0",B3515:B6462,"5 1 2 1 1 12 31111 6 M59 10500 000132 0000R 00001 00211 015 2112000 2024 CP1CS421 001*")</f>
        <v>250</v>
      </c>
      <c r="G3514" s="83">
        <f>SUMIFS(G3515:G6462,K3515:K6462,"0",B3515:B6462,"5 1 2 1 1 12 31111 6 M59 10500 000132 0000R 00001 00211 015 2112000 2024 CP1CS421 001*")</f>
        <v>0</v>
      </c>
      <c r="H3514" s="83">
        <f t="shared" si="55"/>
        <v>250</v>
      </c>
      <c r="I3514" s="83"/>
      <c r="K3514" s="54" t="s">
        <v>15</v>
      </c>
    </row>
    <row r="3515" spans="2:11" ht="33" x14ac:dyDescent="0.2">
      <c r="B3515" s="84" t="s">
        <v>5867</v>
      </c>
      <c r="C3515" s="84" t="s">
        <v>5827</v>
      </c>
      <c r="D3515" s="85">
        <v>0</v>
      </c>
      <c r="E3515" s="85"/>
      <c r="F3515" s="85">
        <v>250</v>
      </c>
      <c r="G3515" s="85">
        <v>0</v>
      </c>
      <c r="H3515" s="85">
        <f t="shared" si="55"/>
        <v>250</v>
      </c>
      <c r="I3515" s="85"/>
      <c r="K3515" s="54" t="s">
        <v>38</v>
      </c>
    </row>
    <row r="3516" spans="2:11" ht="16.5" x14ac:dyDescent="0.2">
      <c r="B3516" s="82" t="s">
        <v>5868</v>
      </c>
      <c r="C3516" s="82" t="s">
        <v>3020</v>
      </c>
      <c r="D3516" s="83">
        <f>SUMIFS(D3517:D6462,K3517:K6462,"0",B3517:B6462,"5 1 2 1 1 12 31111 6 M59 11000*")-SUMIFS(E3517:E6462,K3517:K6462,"0",B3517:B6462,"5 1 2 1 1 12 31111 6 M59 11000*")</f>
        <v>0</v>
      </c>
      <c r="E3516" s="54"/>
      <c r="F3516" s="83">
        <f>SUMIFS(F3517:F6462,K3517:K6462,"0",B3517:B6462,"5 1 2 1 1 12 31111 6 M59 11000*")</f>
        <v>1749.99</v>
      </c>
      <c r="G3516" s="83">
        <f>SUMIFS(G3517:G6462,K3517:K6462,"0",B3517:B6462,"5 1 2 1 1 12 31111 6 M59 11000*")</f>
        <v>0</v>
      </c>
      <c r="H3516" s="83">
        <f t="shared" si="55"/>
        <v>1749.99</v>
      </c>
      <c r="I3516" s="83"/>
      <c r="K3516" s="54" t="s">
        <v>15</v>
      </c>
    </row>
    <row r="3517" spans="2:11" ht="16.5" x14ac:dyDescent="0.2">
      <c r="B3517" s="82" t="s">
        <v>5869</v>
      </c>
      <c r="C3517" s="82" t="s">
        <v>648</v>
      </c>
      <c r="D3517" s="83">
        <f>SUMIFS(D3518:D6462,K3518:K6462,"0",B3518:B6462,"5 1 2 1 1 12 31111 6 M59 11000 000132*")-SUMIFS(E3518:E6462,K3518:K6462,"0",B3518:B6462,"5 1 2 1 1 12 31111 6 M59 11000 000132*")</f>
        <v>0</v>
      </c>
      <c r="E3517" s="54"/>
      <c r="F3517" s="83">
        <f>SUMIFS(F3518:F6462,K3518:K6462,"0",B3518:B6462,"5 1 2 1 1 12 31111 6 M59 11000 000132*")</f>
        <v>1749.99</v>
      </c>
      <c r="G3517" s="83">
        <f>SUMIFS(G3518:G6462,K3518:K6462,"0",B3518:B6462,"5 1 2 1 1 12 31111 6 M59 11000 000132*")</f>
        <v>0</v>
      </c>
      <c r="H3517" s="83">
        <f t="shared" si="55"/>
        <v>1749.99</v>
      </c>
      <c r="I3517" s="83"/>
      <c r="K3517" s="54" t="s">
        <v>15</v>
      </c>
    </row>
    <row r="3518" spans="2:11" ht="16.5" x14ac:dyDescent="0.2">
      <c r="B3518" s="82" t="s">
        <v>5870</v>
      </c>
      <c r="C3518" s="82" t="s">
        <v>650</v>
      </c>
      <c r="D3518" s="83">
        <f>SUMIFS(D3519:D6462,K3519:K6462,"0",B3519:B6462,"5 1 2 1 1 12 31111 6 M59 11000 000132 0000R*")-SUMIFS(E3519:E6462,K3519:K6462,"0",B3519:B6462,"5 1 2 1 1 12 31111 6 M59 11000 000132 0000R*")</f>
        <v>0</v>
      </c>
      <c r="E3518" s="54"/>
      <c r="F3518" s="83">
        <f>SUMIFS(F3519:F6462,K3519:K6462,"0",B3519:B6462,"5 1 2 1 1 12 31111 6 M59 11000 000132 0000R*")</f>
        <v>1749.99</v>
      </c>
      <c r="G3518" s="83">
        <f>SUMIFS(G3519:G6462,K3519:K6462,"0",B3519:B6462,"5 1 2 1 1 12 31111 6 M59 11000 000132 0000R*")</f>
        <v>0</v>
      </c>
      <c r="H3518" s="83">
        <f t="shared" si="55"/>
        <v>1749.99</v>
      </c>
      <c r="I3518" s="83"/>
      <c r="K3518" s="54" t="s">
        <v>15</v>
      </c>
    </row>
    <row r="3519" spans="2:11" ht="24.75" x14ac:dyDescent="0.2">
      <c r="B3519" s="82" t="s">
        <v>5871</v>
      </c>
      <c r="C3519" s="82" t="s">
        <v>282</v>
      </c>
      <c r="D3519" s="83">
        <f>SUMIFS(D3520:D6462,K3520:K6462,"0",B3520:B6462,"5 1 2 1 1 12 31111 6 M59 11000 000132 0000R 00001*")-SUMIFS(E3520:E6462,K3520:K6462,"0",B3520:B6462,"5 1 2 1 1 12 31111 6 M59 11000 000132 0000R 00001*")</f>
        <v>0</v>
      </c>
      <c r="E3519" s="54"/>
      <c r="F3519" s="83">
        <f>SUMIFS(F3520:F6462,K3520:K6462,"0",B3520:B6462,"5 1 2 1 1 12 31111 6 M59 11000 000132 0000R 00001*")</f>
        <v>1749.99</v>
      </c>
      <c r="G3519" s="83">
        <f>SUMIFS(G3520:G6462,K3520:K6462,"0",B3520:B6462,"5 1 2 1 1 12 31111 6 M59 11000 000132 0000R 00001*")</f>
        <v>0</v>
      </c>
      <c r="H3519" s="83">
        <f t="shared" si="55"/>
        <v>1749.99</v>
      </c>
      <c r="I3519" s="83"/>
      <c r="K3519" s="54" t="s">
        <v>15</v>
      </c>
    </row>
    <row r="3520" spans="2:11" ht="24.75" x14ac:dyDescent="0.2">
      <c r="B3520" s="82" t="s">
        <v>5872</v>
      </c>
      <c r="C3520" s="82" t="s">
        <v>5827</v>
      </c>
      <c r="D3520" s="83">
        <f>SUMIFS(D3521:D6462,K3521:K6462,"0",B3521:B6462,"5 1 2 1 1 12 31111 6 M59 11000 000132 0000R 00001 00211*")-SUMIFS(E3521:E6462,K3521:K6462,"0",B3521:B6462,"5 1 2 1 1 12 31111 6 M59 11000 000132 0000R 00001 00211*")</f>
        <v>0</v>
      </c>
      <c r="E3520" s="54"/>
      <c r="F3520" s="83">
        <f>SUMIFS(F3521:F6462,K3521:K6462,"0",B3521:B6462,"5 1 2 1 1 12 31111 6 M59 11000 000132 0000R 00001 00211*")</f>
        <v>1749.99</v>
      </c>
      <c r="G3520" s="83">
        <f>SUMIFS(G3521:G6462,K3521:K6462,"0",B3521:B6462,"5 1 2 1 1 12 31111 6 M59 11000 000132 0000R 00001 00211*")</f>
        <v>0</v>
      </c>
      <c r="H3520" s="83">
        <f t="shared" si="55"/>
        <v>1749.99</v>
      </c>
      <c r="I3520" s="83"/>
      <c r="K3520" s="54" t="s">
        <v>15</v>
      </c>
    </row>
    <row r="3521" spans="2:11" ht="24.75" x14ac:dyDescent="0.2">
      <c r="B3521" s="82" t="s">
        <v>5873</v>
      </c>
      <c r="C3521" s="82" t="s">
        <v>1051</v>
      </c>
      <c r="D3521" s="83">
        <f>SUMIFS(D3522:D6462,K3522:K6462,"0",B3522:B6462,"5 1 2 1 1 12 31111 6 M59 11000 000132 0000R 00001 00211 015*")-SUMIFS(E3522:E6462,K3522:K6462,"0",B3522:B6462,"5 1 2 1 1 12 31111 6 M59 11000 000132 0000R 00001 00211 015*")</f>
        <v>0</v>
      </c>
      <c r="E3521" s="54"/>
      <c r="F3521" s="83">
        <f>SUMIFS(F3522:F6462,K3522:K6462,"0",B3522:B6462,"5 1 2 1 1 12 31111 6 M59 11000 000132 0000R 00001 00211 015*")</f>
        <v>1749.99</v>
      </c>
      <c r="G3521" s="83">
        <f>SUMIFS(G3522:G6462,K3522:K6462,"0",B3522:B6462,"5 1 2 1 1 12 31111 6 M59 11000 000132 0000R 00001 00211 015*")</f>
        <v>0</v>
      </c>
      <c r="H3521" s="83">
        <f t="shared" si="55"/>
        <v>1749.99</v>
      </c>
      <c r="I3521" s="83"/>
      <c r="K3521" s="54" t="s">
        <v>15</v>
      </c>
    </row>
    <row r="3522" spans="2:11" ht="33" x14ac:dyDescent="0.2">
      <c r="B3522" s="82" t="s">
        <v>5874</v>
      </c>
      <c r="C3522" s="82" t="s">
        <v>5830</v>
      </c>
      <c r="D3522" s="83">
        <f>SUMIFS(D3523:D6462,K3523:K6462,"0",B3523:B6462,"5 1 2 1 1 12 31111 6 M59 11000 000132 0000R 00001 00211 015 2112000*")-SUMIFS(E3523:E6462,K3523:K6462,"0",B3523:B6462,"5 1 2 1 1 12 31111 6 M59 11000 000132 0000R 00001 00211 015 2112000*")</f>
        <v>0</v>
      </c>
      <c r="E3522" s="54"/>
      <c r="F3522" s="83">
        <f>SUMIFS(F3523:F6462,K3523:K6462,"0",B3523:B6462,"5 1 2 1 1 12 31111 6 M59 11000 000132 0000R 00001 00211 015 2112000*")</f>
        <v>1749.99</v>
      </c>
      <c r="G3522" s="83">
        <f>SUMIFS(G3523:G6462,K3523:K6462,"0",B3523:B6462,"5 1 2 1 1 12 31111 6 M59 11000 000132 0000R 00001 00211 015 2112000*")</f>
        <v>0</v>
      </c>
      <c r="H3522" s="83">
        <f t="shared" si="55"/>
        <v>1749.99</v>
      </c>
      <c r="I3522" s="83"/>
      <c r="K3522" s="54" t="s">
        <v>15</v>
      </c>
    </row>
    <row r="3523" spans="2:11" ht="33" x14ac:dyDescent="0.2">
      <c r="B3523" s="82" t="s">
        <v>5875</v>
      </c>
      <c r="C3523" s="82" t="s">
        <v>660</v>
      </c>
      <c r="D3523" s="83">
        <f>SUMIFS(D3524:D6462,K3524:K6462,"0",B3524:B6462,"5 1 2 1 1 12 31111 6 M59 11000 000132 0000R 00001 00211 015 2112000 2024*")-SUMIFS(E3524:E6462,K3524:K6462,"0",B3524:B6462,"5 1 2 1 1 12 31111 6 M59 11000 000132 0000R 00001 00211 015 2112000 2024*")</f>
        <v>0</v>
      </c>
      <c r="E3523" s="54"/>
      <c r="F3523" s="83">
        <f>SUMIFS(F3524:F6462,K3524:K6462,"0",B3524:B6462,"5 1 2 1 1 12 31111 6 M59 11000 000132 0000R 00001 00211 015 2112000 2024*")</f>
        <v>1749.99</v>
      </c>
      <c r="G3523" s="83">
        <f>SUMIFS(G3524:G6462,K3524:K6462,"0",B3524:B6462,"5 1 2 1 1 12 31111 6 M59 11000 000132 0000R 00001 00211 015 2112000 2024*")</f>
        <v>0</v>
      </c>
      <c r="H3523" s="83">
        <f t="shared" si="55"/>
        <v>1749.99</v>
      </c>
      <c r="I3523" s="83"/>
      <c r="K3523" s="54" t="s">
        <v>15</v>
      </c>
    </row>
    <row r="3524" spans="2:11" ht="41.25" x14ac:dyDescent="0.2">
      <c r="B3524" s="82" t="s">
        <v>5876</v>
      </c>
      <c r="C3524" s="82" t="s">
        <v>1056</v>
      </c>
      <c r="D3524" s="83">
        <f>SUMIFS(D3525:D6462,K3525:K6462,"0",B3525:B6462,"5 1 2 1 1 12 31111 6 M59 11000 000132 0000R 00001 00211 015 2112000 2024 CP1SM382*")-SUMIFS(E3525:E6462,K3525:K6462,"0",B3525:B6462,"5 1 2 1 1 12 31111 6 M59 11000 000132 0000R 00001 00211 015 2112000 2024 CP1SM382*")</f>
        <v>0</v>
      </c>
      <c r="E3524" s="54"/>
      <c r="F3524" s="83">
        <f>SUMIFS(F3525:F6462,K3525:K6462,"0",B3525:B6462,"5 1 2 1 1 12 31111 6 M59 11000 000132 0000R 00001 00211 015 2112000 2024 CP1SM382*")</f>
        <v>1749.99</v>
      </c>
      <c r="G3524" s="83">
        <f>SUMIFS(G3525:G6462,K3525:K6462,"0",B3525:B6462,"5 1 2 1 1 12 31111 6 M59 11000 000132 0000R 00001 00211 015 2112000 2024 CP1SM382*")</f>
        <v>0</v>
      </c>
      <c r="H3524" s="83">
        <f t="shared" si="55"/>
        <v>1749.99</v>
      </c>
      <c r="I3524" s="83"/>
      <c r="K3524" s="54" t="s">
        <v>15</v>
      </c>
    </row>
    <row r="3525" spans="2:11" ht="41.25" x14ac:dyDescent="0.2">
      <c r="B3525" s="82" t="s">
        <v>5877</v>
      </c>
      <c r="C3525" s="82" t="s">
        <v>282</v>
      </c>
      <c r="D3525" s="83">
        <f>SUMIFS(D3526:D6462,K3526:K6462,"0",B3526:B6462,"5 1 2 1 1 12 31111 6 M59 11000 000132 0000R 00001 00211 015 2112000 2024 CP1SM382 001*")-SUMIFS(E3526:E6462,K3526:K6462,"0",B3526:B6462,"5 1 2 1 1 12 31111 6 M59 11000 000132 0000R 00001 00211 015 2112000 2024 CP1SM382 001*")</f>
        <v>0</v>
      </c>
      <c r="E3525" s="54"/>
      <c r="F3525" s="83">
        <f>SUMIFS(F3526:F6462,K3526:K6462,"0",B3526:B6462,"5 1 2 1 1 12 31111 6 M59 11000 000132 0000R 00001 00211 015 2112000 2024 CP1SM382 001*")</f>
        <v>1749.99</v>
      </c>
      <c r="G3525" s="83">
        <f>SUMIFS(G3526:G6462,K3526:K6462,"0",B3526:B6462,"5 1 2 1 1 12 31111 6 M59 11000 000132 0000R 00001 00211 015 2112000 2024 CP1SM382 001*")</f>
        <v>0</v>
      </c>
      <c r="H3525" s="83">
        <f t="shared" si="55"/>
        <v>1749.99</v>
      </c>
      <c r="I3525" s="83"/>
      <c r="K3525" s="54" t="s">
        <v>15</v>
      </c>
    </row>
    <row r="3526" spans="2:11" ht="33" x14ac:dyDescent="0.2">
      <c r="B3526" s="84" t="s">
        <v>5878</v>
      </c>
      <c r="C3526" s="84" t="s">
        <v>5827</v>
      </c>
      <c r="D3526" s="85">
        <v>0</v>
      </c>
      <c r="E3526" s="85"/>
      <c r="F3526" s="85">
        <v>1749.99</v>
      </c>
      <c r="G3526" s="85">
        <v>0</v>
      </c>
      <c r="H3526" s="85">
        <f t="shared" si="55"/>
        <v>1749.99</v>
      </c>
      <c r="I3526" s="85"/>
      <c r="K3526" s="54" t="s">
        <v>38</v>
      </c>
    </row>
    <row r="3527" spans="2:11" ht="16.5" x14ac:dyDescent="0.2">
      <c r="B3527" s="82" t="s">
        <v>5879</v>
      </c>
      <c r="C3527" s="82" t="s">
        <v>3032</v>
      </c>
      <c r="D3527" s="83">
        <f>SUMIFS(D3528:D6462,K3528:K6462,"0",B3528:B6462,"5 1 2 1 1 12 31111 6 M59 12000*")-SUMIFS(E3528:E6462,K3528:K6462,"0",B3528:B6462,"5 1 2 1 1 12 31111 6 M59 12000*")</f>
        <v>0</v>
      </c>
      <c r="E3527" s="54"/>
      <c r="F3527" s="83">
        <f>SUMIFS(F3528:F6462,K3528:K6462,"0",B3528:B6462,"5 1 2 1 1 12 31111 6 M59 12000*")</f>
        <v>250</v>
      </c>
      <c r="G3527" s="83">
        <f>SUMIFS(G3528:G6462,K3528:K6462,"0",B3528:B6462,"5 1 2 1 1 12 31111 6 M59 12000*")</f>
        <v>0</v>
      </c>
      <c r="H3527" s="83">
        <f t="shared" si="55"/>
        <v>250</v>
      </c>
      <c r="I3527" s="83"/>
      <c r="K3527" s="54" t="s">
        <v>15</v>
      </c>
    </row>
    <row r="3528" spans="2:11" ht="16.5" x14ac:dyDescent="0.2">
      <c r="B3528" s="82" t="s">
        <v>5880</v>
      </c>
      <c r="C3528" s="82" t="s">
        <v>3034</v>
      </c>
      <c r="D3528" s="83">
        <f>SUMIFS(D3529:D6462,K3529:K6462,"0",B3529:B6462,"5 1 2 1 1 12 31111 6 M59 12000 000121*")-SUMIFS(E3529:E6462,K3529:K6462,"0",B3529:B6462,"5 1 2 1 1 12 31111 6 M59 12000 000121*")</f>
        <v>0</v>
      </c>
      <c r="E3528" s="54"/>
      <c r="F3528" s="83">
        <f>SUMIFS(F3529:F6462,K3529:K6462,"0",B3529:B6462,"5 1 2 1 1 12 31111 6 M59 12000 000121*")</f>
        <v>250</v>
      </c>
      <c r="G3528" s="83">
        <f>SUMIFS(G3529:G6462,K3529:K6462,"0",B3529:B6462,"5 1 2 1 1 12 31111 6 M59 12000 000121*")</f>
        <v>0</v>
      </c>
      <c r="H3528" s="83">
        <f t="shared" si="55"/>
        <v>250</v>
      </c>
      <c r="I3528" s="83"/>
      <c r="K3528" s="54" t="s">
        <v>15</v>
      </c>
    </row>
    <row r="3529" spans="2:11" ht="16.5" x14ac:dyDescent="0.2">
      <c r="B3529" s="82" t="s">
        <v>5881</v>
      </c>
      <c r="C3529" s="82" t="s">
        <v>1065</v>
      </c>
      <c r="D3529" s="83">
        <f>SUMIFS(D3530:D6462,K3530:K6462,"0",B3530:B6462,"5 1 2 1 1 12 31111 6 M59 12000 000121 0000E*")-SUMIFS(E3530:E6462,K3530:K6462,"0",B3530:B6462,"5 1 2 1 1 12 31111 6 M59 12000 000121 0000E*")</f>
        <v>0</v>
      </c>
      <c r="E3529" s="54"/>
      <c r="F3529" s="83">
        <f>SUMIFS(F3530:F6462,K3530:K6462,"0",B3530:B6462,"5 1 2 1 1 12 31111 6 M59 12000 000121 0000E*")</f>
        <v>250</v>
      </c>
      <c r="G3529" s="83">
        <f>SUMIFS(G3530:G6462,K3530:K6462,"0",B3530:B6462,"5 1 2 1 1 12 31111 6 M59 12000 000121 0000E*")</f>
        <v>0</v>
      </c>
      <c r="H3529" s="83">
        <f t="shared" si="55"/>
        <v>250</v>
      </c>
      <c r="I3529" s="83"/>
      <c r="K3529" s="54" t="s">
        <v>15</v>
      </c>
    </row>
    <row r="3530" spans="2:11" ht="24.75" x14ac:dyDescent="0.2">
      <c r="B3530" s="82" t="s">
        <v>5882</v>
      </c>
      <c r="C3530" s="82" t="s">
        <v>282</v>
      </c>
      <c r="D3530" s="83">
        <f>SUMIFS(D3531:D6462,K3531:K6462,"0",B3531:B6462,"5 1 2 1 1 12 31111 6 M59 12000 000121 0000E 00001*")-SUMIFS(E3531:E6462,K3531:K6462,"0",B3531:B6462,"5 1 2 1 1 12 31111 6 M59 12000 000121 0000E 00001*")</f>
        <v>0</v>
      </c>
      <c r="E3530" s="54"/>
      <c r="F3530" s="83">
        <f>SUMIFS(F3531:F6462,K3531:K6462,"0",B3531:B6462,"5 1 2 1 1 12 31111 6 M59 12000 000121 0000E 00001*")</f>
        <v>250</v>
      </c>
      <c r="G3530" s="83">
        <f>SUMIFS(G3531:G6462,K3531:K6462,"0",B3531:B6462,"5 1 2 1 1 12 31111 6 M59 12000 000121 0000E 00001*")</f>
        <v>0</v>
      </c>
      <c r="H3530" s="83">
        <f t="shared" si="55"/>
        <v>250</v>
      </c>
      <c r="I3530" s="83"/>
      <c r="K3530" s="54" t="s">
        <v>15</v>
      </c>
    </row>
    <row r="3531" spans="2:11" ht="24.75" x14ac:dyDescent="0.2">
      <c r="B3531" s="82" t="s">
        <v>5883</v>
      </c>
      <c r="C3531" s="82" t="s">
        <v>5827</v>
      </c>
      <c r="D3531" s="83">
        <f>SUMIFS(D3532:D6462,K3532:K6462,"0",B3532:B6462,"5 1 2 1 1 12 31111 6 M59 12000 000121 0000E 00001 00211*")-SUMIFS(E3532:E6462,K3532:K6462,"0",B3532:B6462,"5 1 2 1 1 12 31111 6 M59 12000 000121 0000E 00001 00211*")</f>
        <v>0</v>
      </c>
      <c r="E3531" s="54"/>
      <c r="F3531" s="83">
        <f>SUMIFS(F3532:F6462,K3532:K6462,"0",B3532:B6462,"5 1 2 1 1 12 31111 6 M59 12000 000121 0000E 00001 00211*")</f>
        <v>250</v>
      </c>
      <c r="G3531" s="83">
        <f>SUMIFS(G3532:G6462,K3532:K6462,"0",B3532:B6462,"5 1 2 1 1 12 31111 6 M59 12000 000121 0000E 00001 00211*")</f>
        <v>0</v>
      </c>
      <c r="H3531" s="83">
        <f t="shared" si="55"/>
        <v>250</v>
      </c>
      <c r="I3531" s="83"/>
      <c r="K3531" s="54" t="s">
        <v>15</v>
      </c>
    </row>
    <row r="3532" spans="2:11" ht="24.75" x14ac:dyDescent="0.2">
      <c r="B3532" s="82" t="s">
        <v>5884</v>
      </c>
      <c r="C3532" s="82" t="s">
        <v>1051</v>
      </c>
      <c r="D3532" s="83">
        <f>SUMIFS(D3533:D6462,K3533:K6462,"0",B3533:B6462,"5 1 2 1 1 12 31111 6 M59 12000 000121 0000E 00001 00211 015*")-SUMIFS(E3533:E6462,K3533:K6462,"0",B3533:B6462,"5 1 2 1 1 12 31111 6 M59 12000 000121 0000E 00001 00211 015*")</f>
        <v>0</v>
      </c>
      <c r="E3532" s="54"/>
      <c r="F3532" s="83">
        <f>SUMIFS(F3533:F6462,K3533:K6462,"0",B3533:B6462,"5 1 2 1 1 12 31111 6 M59 12000 000121 0000E 00001 00211 015*")</f>
        <v>250</v>
      </c>
      <c r="G3532" s="83">
        <f>SUMIFS(G3533:G6462,K3533:K6462,"0",B3533:B6462,"5 1 2 1 1 12 31111 6 M59 12000 000121 0000E 00001 00211 015*")</f>
        <v>0</v>
      </c>
      <c r="H3532" s="83">
        <f t="shared" si="55"/>
        <v>250</v>
      </c>
      <c r="I3532" s="83"/>
      <c r="K3532" s="54" t="s">
        <v>15</v>
      </c>
    </row>
    <row r="3533" spans="2:11" ht="33" x14ac:dyDescent="0.2">
      <c r="B3533" s="82" t="s">
        <v>5885</v>
      </c>
      <c r="C3533" s="82" t="s">
        <v>5830</v>
      </c>
      <c r="D3533" s="83">
        <f>SUMIFS(D3534:D6462,K3534:K6462,"0",B3534:B6462,"5 1 2 1 1 12 31111 6 M59 12000 000121 0000E 00001 00211 015 2112000*")-SUMIFS(E3534:E6462,K3534:K6462,"0",B3534:B6462,"5 1 2 1 1 12 31111 6 M59 12000 000121 0000E 00001 00211 015 2112000*")</f>
        <v>0</v>
      </c>
      <c r="E3533" s="54"/>
      <c r="F3533" s="83">
        <f>SUMIFS(F3534:F6462,K3534:K6462,"0",B3534:B6462,"5 1 2 1 1 12 31111 6 M59 12000 000121 0000E 00001 00211 015 2112000*")</f>
        <v>250</v>
      </c>
      <c r="G3533" s="83">
        <f>SUMIFS(G3534:G6462,K3534:K6462,"0",B3534:B6462,"5 1 2 1 1 12 31111 6 M59 12000 000121 0000E 00001 00211 015 2112000*")</f>
        <v>0</v>
      </c>
      <c r="H3533" s="83">
        <f t="shared" si="55"/>
        <v>250</v>
      </c>
      <c r="I3533" s="83"/>
      <c r="K3533" s="54" t="s">
        <v>15</v>
      </c>
    </row>
    <row r="3534" spans="2:11" ht="33" x14ac:dyDescent="0.2">
      <c r="B3534" s="82" t="s">
        <v>5886</v>
      </c>
      <c r="C3534" s="82" t="s">
        <v>660</v>
      </c>
      <c r="D3534" s="83">
        <f>SUMIFS(D3535:D6462,K3535:K6462,"0",B3535:B6462,"5 1 2 1 1 12 31111 6 M59 12000 000121 0000E 00001 00211 015 2112000 2024*")-SUMIFS(E3535:E6462,K3535:K6462,"0",B3535:B6462,"5 1 2 1 1 12 31111 6 M59 12000 000121 0000E 00001 00211 015 2112000 2024*")</f>
        <v>0</v>
      </c>
      <c r="E3534" s="54"/>
      <c r="F3534" s="83">
        <f>SUMIFS(F3535:F6462,K3535:K6462,"0",B3535:B6462,"5 1 2 1 1 12 31111 6 M59 12000 000121 0000E 00001 00211 015 2112000 2024*")</f>
        <v>250</v>
      </c>
      <c r="G3534" s="83">
        <f>SUMIFS(G3535:G6462,K3535:K6462,"0",B3535:B6462,"5 1 2 1 1 12 31111 6 M59 12000 000121 0000E 00001 00211 015 2112000 2024*")</f>
        <v>0</v>
      </c>
      <c r="H3534" s="83">
        <f t="shared" si="55"/>
        <v>250</v>
      </c>
      <c r="I3534" s="83"/>
      <c r="K3534" s="54" t="s">
        <v>15</v>
      </c>
    </row>
    <row r="3535" spans="2:11" ht="41.25" x14ac:dyDescent="0.2">
      <c r="B3535" s="82" t="s">
        <v>5887</v>
      </c>
      <c r="C3535" s="82" t="s">
        <v>662</v>
      </c>
      <c r="D3535" s="83">
        <f>SUMIFS(D3536:D6462,K3536:K6462,"0",B3536:B6462,"5 1 2 1 1 12 31111 6 M59 12000 000121 0000E 00001 00211 015 2112000 2024 CP1CI591*")-SUMIFS(E3536:E6462,K3536:K6462,"0",B3536:B6462,"5 1 2 1 1 12 31111 6 M59 12000 000121 0000E 00001 00211 015 2112000 2024 CP1CI591*")</f>
        <v>0</v>
      </c>
      <c r="E3535" s="54"/>
      <c r="F3535" s="83">
        <f>SUMIFS(F3536:F6462,K3536:K6462,"0",B3536:B6462,"5 1 2 1 1 12 31111 6 M59 12000 000121 0000E 00001 00211 015 2112000 2024 CP1CI591*")</f>
        <v>250</v>
      </c>
      <c r="G3535" s="83">
        <f>SUMIFS(G3536:G6462,K3536:K6462,"0",B3536:B6462,"5 1 2 1 1 12 31111 6 M59 12000 000121 0000E 00001 00211 015 2112000 2024 CP1CI591*")</f>
        <v>0</v>
      </c>
      <c r="H3535" s="83">
        <f t="shared" si="55"/>
        <v>250</v>
      </c>
      <c r="I3535" s="83"/>
      <c r="K3535" s="54" t="s">
        <v>15</v>
      </c>
    </row>
    <row r="3536" spans="2:11" ht="41.25" x14ac:dyDescent="0.2">
      <c r="B3536" s="82" t="s">
        <v>5888</v>
      </c>
      <c r="C3536" s="82" t="s">
        <v>282</v>
      </c>
      <c r="D3536" s="83">
        <f>SUMIFS(D3537:D6462,K3537:K6462,"0",B3537:B6462,"5 1 2 1 1 12 31111 6 M59 12000 000121 0000E 00001 00211 015 2112000 2024 CP1CI591 001*")-SUMIFS(E3537:E6462,K3537:K6462,"0",B3537:B6462,"5 1 2 1 1 12 31111 6 M59 12000 000121 0000E 00001 00211 015 2112000 2024 CP1CI591 001*")</f>
        <v>0</v>
      </c>
      <c r="E3536" s="54"/>
      <c r="F3536" s="83">
        <f>SUMIFS(F3537:F6462,K3537:K6462,"0",B3537:B6462,"5 1 2 1 1 12 31111 6 M59 12000 000121 0000E 00001 00211 015 2112000 2024 CP1CI591 001*")</f>
        <v>250</v>
      </c>
      <c r="G3536" s="83">
        <f>SUMIFS(G3537:G6462,K3537:K6462,"0",B3537:B6462,"5 1 2 1 1 12 31111 6 M59 12000 000121 0000E 00001 00211 015 2112000 2024 CP1CI591 001*")</f>
        <v>0</v>
      </c>
      <c r="H3536" s="83">
        <f t="shared" si="55"/>
        <v>250</v>
      </c>
      <c r="I3536" s="83"/>
      <c r="K3536" s="54" t="s">
        <v>15</v>
      </c>
    </row>
    <row r="3537" spans="2:11" ht="33" x14ac:dyDescent="0.2">
      <c r="B3537" s="84" t="s">
        <v>5889</v>
      </c>
      <c r="C3537" s="84" t="s">
        <v>5827</v>
      </c>
      <c r="D3537" s="85">
        <v>0</v>
      </c>
      <c r="E3537" s="85"/>
      <c r="F3537" s="85">
        <v>250</v>
      </c>
      <c r="G3537" s="85">
        <v>0</v>
      </c>
      <c r="H3537" s="85">
        <f t="shared" si="55"/>
        <v>250</v>
      </c>
      <c r="I3537" s="85"/>
      <c r="K3537" s="54" t="s">
        <v>38</v>
      </c>
    </row>
    <row r="3538" spans="2:11" ht="24.75" x14ac:dyDescent="0.2">
      <c r="B3538" s="82" t="s">
        <v>5890</v>
      </c>
      <c r="C3538" s="82" t="s">
        <v>3045</v>
      </c>
      <c r="D3538" s="83">
        <f>SUMIFS(D3539:D6462,K3539:K6462,"0",B3539:B6462,"5 1 2 1 1 12 31111 6 M59 12100*")-SUMIFS(E3539:E6462,K3539:K6462,"0",B3539:B6462,"5 1 2 1 1 12 31111 6 M59 12100*")</f>
        <v>0</v>
      </c>
      <c r="E3538" s="54"/>
      <c r="F3538" s="83">
        <f>SUMIFS(F3539:F6462,K3539:K6462,"0",B3539:B6462,"5 1 2 1 1 12 31111 6 M59 12100*")</f>
        <v>250</v>
      </c>
      <c r="G3538" s="83">
        <f>SUMIFS(G3539:G6462,K3539:K6462,"0",B3539:B6462,"5 1 2 1 1 12 31111 6 M59 12100*")</f>
        <v>0</v>
      </c>
      <c r="H3538" s="83">
        <f t="shared" si="55"/>
        <v>250</v>
      </c>
      <c r="I3538" s="83"/>
      <c r="K3538" s="54" t="s">
        <v>15</v>
      </c>
    </row>
    <row r="3539" spans="2:11" ht="16.5" x14ac:dyDescent="0.2">
      <c r="B3539" s="82" t="s">
        <v>5891</v>
      </c>
      <c r="C3539" s="82" t="s">
        <v>648</v>
      </c>
      <c r="D3539" s="83">
        <f>SUMIFS(D3540:D6462,K3540:K6462,"0",B3540:B6462,"5 1 2 1 1 12 31111 6 M59 12100 000132*")-SUMIFS(E3540:E6462,K3540:K6462,"0",B3540:B6462,"5 1 2 1 1 12 31111 6 M59 12100 000132*")</f>
        <v>0</v>
      </c>
      <c r="E3539" s="54"/>
      <c r="F3539" s="83">
        <f>SUMIFS(F3540:F6462,K3540:K6462,"0",B3540:B6462,"5 1 2 1 1 12 31111 6 M59 12100 000132*")</f>
        <v>250</v>
      </c>
      <c r="G3539" s="83">
        <f>SUMIFS(G3540:G6462,K3540:K6462,"0",B3540:B6462,"5 1 2 1 1 12 31111 6 M59 12100 000132*")</f>
        <v>0</v>
      </c>
      <c r="H3539" s="83">
        <f t="shared" si="55"/>
        <v>250</v>
      </c>
      <c r="I3539" s="83"/>
      <c r="K3539" s="54" t="s">
        <v>15</v>
      </c>
    </row>
    <row r="3540" spans="2:11" ht="16.5" x14ac:dyDescent="0.2">
      <c r="B3540" s="82" t="s">
        <v>5892</v>
      </c>
      <c r="C3540" s="82" t="s">
        <v>650</v>
      </c>
      <c r="D3540" s="83">
        <f>SUMIFS(D3541:D6462,K3541:K6462,"0",B3541:B6462,"5 1 2 1 1 12 31111 6 M59 12100 000132 0000R*")-SUMIFS(E3541:E6462,K3541:K6462,"0",B3541:B6462,"5 1 2 1 1 12 31111 6 M59 12100 000132 0000R*")</f>
        <v>0</v>
      </c>
      <c r="E3540" s="54"/>
      <c r="F3540" s="83">
        <f>SUMIFS(F3541:F6462,K3541:K6462,"0",B3541:B6462,"5 1 2 1 1 12 31111 6 M59 12100 000132 0000R*")</f>
        <v>250</v>
      </c>
      <c r="G3540" s="83">
        <f>SUMIFS(G3541:G6462,K3541:K6462,"0",B3541:B6462,"5 1 2 1 1 12 31111 6 M59 12100 000132 0000R*")</f>
        <v>0</v>
      </c>
      <c r="H3540" s="83">
        <f t="shared" si="55"/>
        <v>250</v>
      </c>
      <c r="I3540" s="83"/>
      <c r="K3540" s="54" t="s">
        <v>15</v>
      </c>
    </row>
    <row r="3541" spans="2:11" ht="24.75" x14ac:dyDescent="0.2">
      <c r="B3541" s="82" t="s">
        <v>5893</v>
      </c>
      <c r="C3541" s="82" t="s">
        <v>282</v>
      </c>
      <c r="D3541" s="83">
        <f>SUMIFS(D3542:D6462,K3542:K6462,"0",B3542:B6462,"5 1 2 1 1 12 31111 6 M59 12100 000132 0000R 00001*")-SUMIFS(E3542:E6462,K3542:K6462,"0",B3542:B6462,"5 1 2 1 1 12 31111 6 M59 12100 000132 0000R 00001*")</f>
        <v>0</v>
      </c>
      <c r="E3541" s="54"/>
      <c r="F3541" s="83">
        <f>SUMIFS(F3542:F6462,K3542:K6462,"0",B3542:B6462,"5 1 2 1 1 12 31111 6 M59 12100 000132 0000R 00001*")</f>
        <v>250</v>
      </c>
      <c r="G3541" s="83">
        <f>SUMIFS(G3542:G6462,K3542:K6462,"0",B3542:B6462,"5 1 2 1 1 12 31111 6 M59 12100 000132 0000R 00001*")</f>
        <v>0</v>
      </c>
      <c r="H3541" s="83">
        <f t="shared" si="55"/>
        <v>250</v>
      </c>
      <c r="I3541" s="83"/>
      <c r="K3541" s="54" t="s">
        <v>15</v>
      </c>
    </row>
    <row r="3542" spans="2:11" ht="24.75" x14ac:dyDescent="0.2">
      <c r="B3542" s="82" t="s">
        <v>5894</v>
      </c>
      <c r="C3542" s="82" t="s">
        <v>5827</v>
      </c>
      <c r="D3542" s="83">
        <f>SUMIFS(D3543:D6462,K3543:K6462,"0",B3543:B6462,"5 1 2 1 1 12 31111 6 M59 12100 000132 0000R 00001 00211*")-SUMIFS(E3543:E6462,K3543:K6462,"0",B3543:B6462,"5 1 2 1 1 12 31111 6 M59 12100 000132 0000R 00001 00211*")</f>
        <v>0</v>
      </c>
      <c r="E3542" s="54"/>
      <c r="F3542" s="83">
        <f>SUMIFS(F3543:F6462,K3543:K6462,"0",B3543:B6462,"5 1 2 1 1 12 31111 6 M59 12100 000132 0000R 00001 00211*")</f>
        <v>250</v>
      </c>
      <c r="G3542" s="83">
        <f>SUMIFS(G3543:G6462,K3543:K6462,"0",B3543:B6462,"5 1 2 1 1 12 31111 6 M59 12100 000132 0000R 00001 00211*")</f>
        <v>0</v>
      </c>
      <c r="H3542" s="83">
        <f t="shared" si="55"/>
        <v>250</v>
      </c>
      <c r="I3542" s="83"/>
      <c r="K3542" s="54" t="s">
        <v>15</v>
      </c>
    </row>
    <row r="3543" spans="2:11" ht="24.75" x14ac:dyDescent="0.2">
      <c r="B3543" s="82" t="s">
        <v>5895</v>
      </c>
      <c r="C3543" s="82" t="s">
        <v>1051</v>
      </c>
      <c r="D3543" s="83">
        <f>SUMIFS(D3544:D6462,K3544:K6462,"0",B3544:B6462,"5 1 2 1 1 12 31111 6 M59 12100 000132 0000R 00001 00211 015*")-SUMIFS(E3544:E6462,K3544:K6462,"0",B3544:B6462,"5 1 2 1 1 12 31111 6 M59 12100 000132 0000R 00001 00211 015*")</f>
        <v>0</v>
      </c>
      <c r="E3543" s="54"/>
      <c r="F3543" s="83">
        <f>SUMIFS(F3544:F6462,K3544:K6462,"0",B3544:B6462,"5 1 2 1 1 12 31111 6 M59 12100 000132 0000R 00001 00211 015*")</f>
        <v>250</v>
      </c>
      <c r="G3543" s="83">
        <f>SUMIFS(G3544:G6462,K3544:K6462,"0",B3544:B6462,"5 1 2 1 1 12 31111 6 M59 12100 000132 0000R 00001 00211 015*")</f>
        <v>0</v>
      </c>
      <c r="H3543" s="83">
        <f t="shared" si="55"/>
        <v>250</v>
      </c>
      <c r="I3543" s="83"/>
      <c r="K3543" s="54" t="s">
        <v>15</v>
      </c>
    </row>
    <row r="3544" spans="2:11" ht="33" x14ac:dyDescent="0.2">
      <c r="B3544" s="82" t="s">
        <v>5896</v>
      </c>
      <c r="C3544" s="82" t="s">
        <v>5830</v>
      </c>
      <c r="D3544" s="83">
        <f>SUMIFS(D3545:D6462,K3545:K6462,"0",B3545:B6462,"5 1 2 1 1 12 31111 6 M59 12100 000132 0000R 00001 00211 015 2112000*")-SUMIFS(E3545:E6462,K3545:K6462,"0",B3545:B6462,"5 1 2 1 1 12 31111 6 M59 12100 000132 0000R 00001 00211 015 2112000*")</f>
        <v>0</v>
      </c>
      <c r="E3544" s="54"/>
      <c r="F3544" s="83">
        <f>SUMIFS(F3545:F6462,K3545:K6462,"0",B3545:B6462,"5 1 2 1 1 12 31111 6 M59 12100 000132 0000R 00001 00211 015 2112000*")</f>
        <v>250</v>
      </c>
      <c r="G3544" s="83">
        <f>SUMIFS(G3545:G6462,K3545:K6462,"0",B3545:B6462,"5 1 2 1 1 12 31111 6 M59 12100 000132 0000R 00001 00211 015 2112000*")</f>
        <v>0</v>
      </c>
      <c r="H3544" s="83">
        <f t="shared" si="55"/>
        <v>250</v>
      </c>
      <c r="I3544" s="83"/>
      <c r="K3544" s="54" t="s">
        <v>15</v>
      </c>
    </row>
    <row r="3545" spans="2:11" ht="33" x14ac:dyDescent="0.2">
      <c r="B3545" s="82" t="s">
        <v>5897</v>
      </c>
      <c r="C3545" s="82" t="s">
        <v>660</v>
      </c>
      <c r="D3545" s="83">
        <f>SUMIFS(D3546:D6462,K3546:K6462,"0",B3546:B6462,"5 1 2 1 1 12 31111 6 M59 12100 000132 0000R 00001 00211 015 2112000 2024*")-SUMIFS(E3546:E6462,K3546:K6462,"0",B3546:B6462,"5 1 2 1 1 12 31111 6 M59 12100 000132 0000R 00001 00211 015 2112000 2024*")</f>
        <v>0</v>
      </c>
      <c r="E3545" s="54"/>
      <c r="F3545" s="83">
        <f>SUMIFS(F3546:F6462,K3546:K6462,"0",B3546:B6462,"5 1 2 1 1 12 31111 6 M59 12100 000132 0000R 00001 00211 015 2112000 2024*")</f>
        <v>250</v>
      </c>
      <c r="G3545" s="83">
        <f>SUMIFS(G3546:G6462,K3546:K6462,"0",B3546:B6462,"5 1 2 1 1 12 31111 6 M59 12100 000132 0000R 00001 00211 015 2112000 2024*")</f>
        <v>0</v>
      </c>
      <c r="H3545" s="83">
        <f t="shared" si="55"/>
        <v>250</v>
      </c>
      <c r="I3545" s="83"/>
      <c r="K3545" s="54" t="s">
        <v>15</v>
      </c>
    </row>
    <row r="3546" spans="2:11" ht="41.25" x14ac:dyDescent="0.2">
      <c r="B3546" s="82" t="s">
        <v>5898</v>
      </c>
      <c r="C3546" s="82" t="s">
        <v>1056</v>
      </c>
      <c r="D3546" s="83">
        <f>SUMIFS(D3547:D6462,K3547:K6462,"0",B3547:B6462,"5 1 2 1 1 12 31111 6 M59 12100 000132 0000R 00001 00211 015 2112000 2024 CP1TR430*")-SUMIFS(E3547:E6462,K3547:K6462,"0",B3547:B6462,"5 1 2 1 1 12 31111 6 M59 12100 000132 0000R 00001 00211 015 2112000 2024 CP1TR430*")</f>
        <v>0</v>
      </c>
      <c r="E3546" s="54"/>
      <c r="F3546" s="83">
        <f>SUMIFS(F3547:F6462,K3547:K6462,"0",B3547:B6462,"5 1 2 1 1 12 31111 6 M59 12100 000132 0000R 00001 00211 015 2112000 2024 CP1TR430*")</f>
        <v>250</v>
      </c>
      <c r="G3546" s="83">
        <f>SUMIFS(G3547:G6462,K3547:K6462,"0",B3547:B6462,"5 1 2 1 1 12 31111 6 M59 12100 000132 0000R 00001 00211 015 2112000 2024 CP1TR430*")</f>
        <v>0</v>
      </c>
      <c r="H3546" s="83">
        <f t="shared" si="55"/>
        <v>250</v>
      </c>
      <c r="I3546" s="83"/>
      <c r="K3546" s="54" t="s">
        <v>15</v>
      </c>
    </row>
    <row r="3547" spans="2:11" ht="41.25" x14ac:dyDescent="0.2">
      <c r="B3547" s="82" t="s">
        <v>5899</v>
      </c>
      <c r="C3547" s="82" t="s">
        <v>282</v>
      </c>
      <c r="D3547" s="83">
        <f>SUMIFS(D3548:D6462,K3548:K6462,"0",B3548:B6462,"5 1 2 1 1 12 31111 6 M59 12100 000132 0000R 00001 00211 015 2112000 2024 CP1TR430 001*")-SUMIFS(E3548:E6462,K3548:K6462,"0",B3548:B6462,"5 1 2 1 1 12 31111 6 M59 12100 000132 0000R 00001 00211 015 2112000 2024 CP1TR430 001*")</f>
        <v>0</v>
      </c>
      <c r="E3547" s="54"/>
      <c r="F3547" s="83">
        <f>SUMIFS(F3548:F6462,K3548:K6462,"0",B3548:B6462,"5 1 2 1 1 12 31111 6 M59 12100 000132 0000R 00001 00211 015 2112000 2024 CP1TR430 001*")</f>
        <v>250</v>
      </c>
      <c r="G3547" s="83">
        <f>SUMIFS(G3548:G6462,K3548:K6462,"0",B3548:B6462,"5 1 2 1 1 12 31111 6 M59 12100 000132 0000R 00001 00211 015 2112000 2024 CP1TR430 001*")</f>
        <v>0</v>
      </c>
      <c r="H3547" s="83">
        <f t="shared" si="55"/>
        <v>250</v>
      </c>
      <c r="I3547" s="83"/>
      <c r="K3547" s="54" t="s">
        <v>15</v>
      </c>
    </row>
    <row r="3548" spans="2:11" ht="33" x14ac:dyDescent="0.2">
      <c r="B3548" s="84" t="s">
        <v>5900</v>
      </c>
      <c r="C3548" s="84" t="s">
        <v>5827</v>
      </c>
      <c r="D3548" s="85">
        <v>0</v>
      </c>
      <c r="E3548" s="85"/>
      <c r="F3548" s="85">
        <v>250</v>
      </c>
      <c r="G3548" s="85">
        <v>0</v>
      </c>
      <c r="H3548" s="85">
        <f t="shared" si="55"/>
        <v>250</v>
      </c>
      <c r="I3548" s="85"/>
      <c r="K3548" s="54" t="s">
        <v>38</v>
      </c>
    </row>
    <row r="3549" spans="2:11" ht="16.5" x14ac:dyDescent="0.2">
      <c r="B3549" s="82" t="s">
        <v>5901</v>
      </c>
      <c r="C3549" s="82" t="s">
        <v>1044</v>
      </c>
      <c r="D3549" s="83">
        <f>SUMIFS(D3550:D6462,K3550:K6462,"0",B3550:B6462,"5 1 2 1 1 12 31111 6 M59 19000*")-SUMIFS(E3550:E6462,K3550:K6462,"0",B3550:B6462,"5 1 2 1 1 12 31111 6 M59 19000*")</f>
        <v>0</v>
      </c>
      <c r="E3549" s="54"/>
      <c r="F3549" s="83">
        <f>SUMIFS(F3550:F6462,K3550:K6462,"0",B3550:B6462,"5 1 2 1 1 12 31111 6 M59 19000*")</f>
        <v>6881.84</v>
      </c>
      <c r="G3549" s="83">
        <f>SUMIFS(G3550:G6462,K3550:K6462,"0",B3550:B6462,"5 1 2 1 1 12 31111 6 M59 19000*")</f>
        <v>0</v>
      </c>
      <c r="H3549" s="83">
        <f t="shared" si="55"/>
        <v>6881.84</v>
      </c>
      <c r="I3549" s="83"/>
      <c r="K3549" s="54" t="s">
        <v>15</v>
      </c>
    </row>
    <row r="3550" spans="2:11" ht="16.5" x14ac:dyDescent="0.2">
      <c r="B3550" s="82" t="s">
        <v>5902</v>
      </c>
      <c r="C3550" s="82" t="s">
        <v>648</v>
      </c>
      <c r="D3550" s="83">
        <f>SUMIFS(D3551:D6462,K3551:K6462,"0",B3551:B6462,"5 1 2 1 1 12 31111 6 M59 19000 000132*")-SUMIFS(E3551:E6462,K3551:K6462,"0",B3551:B6462,"5 1 2 1 1 12 31111 6 M59 19000 000132*")</f>
        <v>0</v>
      </c>
      <c r="E3550" s="54"/>
      <c r="F3550" s="83">
        <f>SUMIFS(F3551:F6462,K3551:K6462,"0",B3551:B6462,"5 1 2 1 1 12 31111 6 M59 19000 000132*")</f>
        <v>6881.84</v>
      </c>
      <c r="G3550" s="83">
        <f>SUMIFS(G3551:G6462,K3551:K6462,"0",B3551:B6462,"5 1 2 1 1 12 31111 6 M59 19000 000132*")</f>
        <v>0</v>
      </c>
      <c r="H3550" s="83">
        <f t="shared" si="55"/>
        <v>6881.84</v>
      </c>
      <c r="I3550" s="83"/>
      <c r="K3550" s="54" t="s">
        <v>15</v>
      </c>
    </row>
    <row r="3551" spans="2:11" ht="16.5" x14ac:dyDescent="0.2">
      <c r="B3551" s="82" t="s">
        <v>5903</v>
      </c>
      <c r="C3551" s="82" t="s">
        <v>650</v>
      </c>
      <c r="D3551" s="83">
        <f>SUMIFS(D3552:D6462,K3552:K6462,"0",B3552:B6462,"5 1 2 1 1 12 31111 6 M59 19000 000132 0000R*")-SUMIFS(E3552:E6462,K3552:K6462,"0",B3552:B6462,"5 1 2 1 1 12 31111 6 M59 19000 000132 0000R*")</f>
        <v>0</v>
      </c>
      <c r="E3551" s="54"/>
      <c r="F3551" s="83">
        <f>SUMIFS(F3552:F6462,K3552:K6462,"0",B3552:B6462,"5 1 2 1 1 12 31111 6 M59 19000 000132 0000R*")</f>
        <v>6881.84</v>
      </c>
      <c r="G3551" s="83">
        <f>SUMIFS(G3552:G6462,K3552:K6462,"0",B3552:B6462,"5 1 2 1 1 12 31111 6 M59 19000 000132 0000R*")</f>
        <v>0</v>
      </c>
      <c r="H3551" s="83">
        <f t="shared" si="55"/>
        <v>6881.84</v>
      </c>
      <c r="I3551" s="83"/>
      <c r="K3551" s="54" t="s">
        <v>15</v>
      </c>
    </row>
    <row r="3552" spans="2:11" ht="24.75" x14ac:dyDescent="0.2">
      <c r="B3552" s="82" t="s">
        <v>5904</v>
      </c>
      <c r="C3552" s="82" t="s">
        <v>282</v>
      </c>
      <c r="D3552" s="83">
        <f>SUMIFS(D3553:D6462,K3553:K6462,"0",B3553:B6462,"5 1 2 1 1 12 31111 6 M59 19000 000132 0000R 00001*")-SUMIFS(E3553:E6462,K3553:K6462,"0",B3553:B6462,"5 1 2 1 1 12 31111 6 M59 19000 000132 0000R 00001*")</f>
        <v>0</v>
      </c>
      <c r="E3552" s="54"/>
      <c r="F3552" s="83">
        <f>SUMIFS(F3553:F6462,K3553:K6462,"0",B3553:B6462,"5 1 2 1 1 12 31111 6 M59 19000 000132 0000R 00001*")</f>
        <v>6881.84</v>
      </c>
      <c r="G3552" s="83">
        <f>SUMIFS(G3553:G6462,K3553:K6462,"0",B3553:B6462,"5 1 2 1 1 12 31111 6 M59 19000 000132 0000R 00001*")</f>
        <v>0</v>
      </c>
      <c r="H3552" s="83">
        <f t="shared" si="55"/>
        <v>6881.84</v>
      </c>
      <c r="I3552" s="83"/>
      <c r="K3552" s="54" t="s">
        <v>15</v>
      </c>
    </row>
    <row r="3553" spans="2:11" ht="24.75" x14ac:dyDescent="0.2">
      <c r="B3553" s="82" t="s">
        <v>5905</v>
      </c>
      <c r="C3553" s="82" t="s">
        <v>5827</v>
      </c>
      <c r="D3553" s="83">
        <f>SUMIFS(D3554:D6462,K3554:K6462,"0",B3554:B6462,"5 1 2 1 1 12 31111 6 M59 19000 000132 0000R 00001 00211*")-SUMIFS(E3554:E6462,K3554:K6462,"0",B3554:B6462,"5 1 2 1 1 12 31111 6 M59 19000 000132 0000R 00001 00211*")</f>
        <v>0</v>
      </c>
      <c r="E3553" s="54"/>
      <c r="F3553" s="83">
        <f>SUMIFS(F3554:F6462,K3554:K6462,"0",B3554:B6462,"5 1 2 1 1 12 31111 6 M59 19000 000132 0000R 00001 00211*")</f>
        <v>6881.84</v>
      </c>
      <c r="G3553" s="83">
        <f>SUMIFS(G3554:G6462,K3554:K6462,"0",B3554:B6462,"5 1 2 1 1 12 31111 6 M59 19000 000132 0000R 00001 00211*")</f>
        <v>0</v>
      </c>
      <c r="H3553" s="83">
        <f t="shared" si="55"/>
        <v>6881.84</v>
      </c>
      <c r="I3553" s="83"/>
      <c r="K3553" s="54" t="s">
        <v>15</v>
      </c>
    </row>
    <row r="3554" spans="2:11" ht="24.75" x14ac:dyDescent="0.2">
      <c r="B3554" s="82" t="s">
        <v>5912</v>
      </c>
      <c r="C3554" s="82" t="s">
        <v>1051</v>
      </c>
      <c r="D3554" s="83">
        <f>SUMIFS(D3555:D6462,K3555:K6462,"0",B3555:B6462,"5 1 2 1 1 12 31111 6 M59 19000 000132 0000R 00001 00211 015*")-SUMIFS(E3555:E6462,K3555:K6462,"0",B3555:B6462,"5 1 2 1 1 12 31111 6 M59 19000 000132 0000R 00001 00211 015*")</f>
        <v>0</v>
      </c>
      <c r="E3554" s="54"/>
      <c r="F3554" s="83">
        <f>SUMIFS(F3555:F6462,K3555:K6462,"0",B3555:B6462,"5 1 2 1 1 12 31111 6 M59 19000 000132 0000R 00001 00211 015*")</f>
        <v>6881.84</v>
      </c>
      <c r="G3554" s="83">
        <f>SUMIFS(G3555:G6462,K3555:K6462,"0",B3555:B6462,"5 1 2 1 1 12 31111 6 M59 19000 000132 0000R 00001 00211 015*")</f>
        <v>0</v>
      </c>
      <c r="H3554" s="83">
        <f t="shared" si="55"/>
        <v>6881.84</v>
      </c>
      <c r="I3554" s="83"/>
      <c r="K3554" s="54" t="s">
        <v>15</v>
      </c>
    </row>
    <row r="3555" spans="2:11" ht="33" x14ac:dyDescent="0.2">
      <c r="B3555" s="82" t="s">
        <v>5913</v>
      </c>
      <c r="C3555" s="82" t="s">
        <v>5830</v>
      </c>
      <c r="D3555" s="83">
        <f>SUMIFS(D3556:D6462,K3556:K6462,"0",B3556:B6462,"5 1 2 1 1 12 31111 6 M59 19000 000132 0000R 00001 00211 015 2112000*")-SUMIFS(E3556:E6462,K3556:K6462,"0",B3556:B6462,"5 1 2 1 1 12 31111 6 M59 19000 000132 0000R 00001 00211 015 2112000*")</f>
        <v>0</v>
      </c>
      <c r="E3555" s="54"/>
      <c r="F3555" s="83">
        <f>SUMIFS(F3556:F6462,K3556:K6462,"0",B3556:B6462,"5 1 2 1 1 12 31111 6 M59 19000 000132 0000R 00001 00211 015 2112000*")</f>
        <v>6881.84</v>
      </c>
      <c r="G3555" s="83">
        <f>SUMIFS(G3556:G6462,K3556:K6462,"0",B3556:B6462,"5 1 2 1 1 12 31111 6 M59 19000 000132 0000R 00001 00211 015 2112000*")</f>
        <v>0</v>
      </c>
      <c r="H3555" s="83">
        <f t="shared" si="55"/>
        <v>6881.84</v>
      </c>
      <c r="I3555" s="83"/>
      <c r="K3555" s="54" t="s">
        <v>15</v>
      </c>
    </row>
    <row r="3556" spans="2:11" ht="33" x14ac:dyDescent="0.2">
      <c r="B3556" s="82" t="s">
        <v>5914</v>
      </c>
      <c r="C3556" s="82" t="s">
        <v>660</v>
      </c>
      <c r="D3556" s="83">
        <f>SUMIFS(D3557:D6462,K3557:K6462,"0",B3557:B6462,"5 1 2 1 1 12 31111 6 M59 19000 000132 0000R 00001 00211 015 2112000 2024*")-SUMIFS(E3557:E6462,K3557:K6462,"0",B3557:B6462,"5 1 2 1 1 12 31111 6 M59 19000 000132 0000R 00001 00211 015 2112000 2024*")</f>
        <v>0</v>
      </c>
      <c r="E3556" s="54"/>
      <c r="F3556" s="83">
        <f>SUMIFS(F3557:F6462,K3557:K6462,"0",B3557:B6462,"5 1 2 1 1 12 31111 6 M59 19000 000132 0000R 00001 00211 015 2112000 2024*")</f>
        <v>6881.84</v>
      </c>
      <c r="G3556" s="83">
        <f>SUMIFS(G3557:G6462,K3557:K6462,"0",B3557:B6462,"5 1 2 1 1 12 31111 6 M59 19000 000132 0000R 00001 00211 015 2112000 2024*")</f>
        <v>0</v>
      </c>
      <c r="H3556" s="83">
        <f t="shared" si="55"/>
        <v>6881.84</v>
      </c>
      <c r="I3556" s="83"/>
      <c r="K3556" s="54" t="s">
        <v>15</v>
      </c>
    </row>
    <row r="3557" spans="2:11" ht="41.25" x14ac:dyDescent="0.2">
      <c r="B3557" s="82" t="s">
        <v>5915</v>
      </c>
      <c r="C3557" s="82" t="s">
        <v>662</v>
      </c>
      <c r="D3557" s="83">
        <f>SUMIFS(D3558:D6462,K3558:K6462,"0",B3558:B6462,"5 1 2 1 1 12 31111 6 M59 19000 000132 0000R 00001 00211 015 2112000 2024 CP1TM440*")-SUMIFS(E3558:E6462,K3558:K6462,"0",B3558:B6462,"5 1 2 1 1 12 31111 6 M59 19000 000132 0000R 00001 00211 015 2112000 2024 CP1TM440*")</f>
        <v>0</v>
      </c>
      <c r="E3557" s="54"/>
      <c r="F3557" s="83">
        <f>SUMIFS(F3558:F6462,K3558:K6462,"0",B3558:B6462,"5 1 2 1 1 12 31111 6 M59 19000 000132 0000R 00001 00211 015 2112000 2024 CP1TM440*")</f>
        <v>6881.84</v>
      </c>
      <c r="G3557" s="83">
        <f>SUMIFS(G3558:G6462,K3558:K6462,"0",B3558:B6462,"5 1 2 1 1 12 31111 6 M59 19000 000132 0000R 00001 00211 015 2112000 2024 CP1TM440*")</f>
        <v>0</v>
      </c>
      <c r="H3557" s="83">
        <f t="shared" si="55"/>
        <v>6881.84</v>
      </c>
      <c r="I3557" s="83"/>
      <c r="K3557" s="54" t="s">
        <v>15</v>
      </c>
    </row>
    <row r="3558" spans="2:11" ht="41.25" x14ac:dyDescent="0.2">
      <c r="B3558" s="82" t="s">
        <v>5916</v>
      </c>
      <c r="C3558" s="82" t="s">
        <v>282</v>
      </c>
      <c r="D3558" s="83">
        <f>SUMIFS(D3559:D6462,K3559:K6462,"0",B3559:B6462,"5 1 2 1 1 12 31111 6 M59 19000 000132 0000R 00001 00211 015 2112000 2024 CP1TM440 001*")-SUMIFS(E3559:E6462,K3559:K6462,"0",B3559:B6462,"5 1 2 1 1 12 31111 6 M59 19000 000132 0000R 00001 00211 015 2112000 2024 CP1TM440 001*")</f>
        <v>0</v>
      </c>
      <c r="E3558" s="54"/>
      <c r="F3558" s="83">
        <f>SUMIFS(F3559:F6462,K3559:K6462,"0",B3559:B6462,"5 1 2 1 1 12 31111 6 M59 19000 000132 0000R 00001 00211 015 2112000 2024 CP1TM440 001*")</f>
        <v>6881.84</v>
      </c>
      <c r="G3558" s="83">
        <f>SUMIFS(G3559:G6462,K3559:K6462,"0",B3559:B6462,"5 1 2 1 1 12 31111 6 M59 19000 000132 0000R 00001 00211 015 2112000 2024 CP1TM440 001*")</f>
        <v>0</v>
      </c>
      <c r="H3558" s="83">
        <f t="shared" si="55"/>
        <v>6881.84</v>
      </c>
      <c r="I3558" s="83"/>
      <c r="K3558" s="54" t="s">
        <v>15</v>
      </c>
    </row>
    <row r="3559" spans="2:11" ht="33" x14ac:dyDescent="0.2">
      <c r="B3559" s="84" t="s">
        <v>5917</v>
      </c>
      <c r="C3559" s="84" t="s">
        <v>5827</v>
      </c>
      <c r="D3559" s="85">
        <v>0</v>
      </c>
      <c r="E3559" s="85"/>
      <c r="F3559" s="85">
        <v>6881.84</v>
      </c>
      <c r="G3559" s="85">
        <v>0</v>
      </c>
      <c r="H3559" s="85">
        <f t="shared" si="55"/>
        <v>6881.84</v>
      </c>
      <c r="I3559" s="85"/>
      <c r="K3559" s="54" t="s">
        <v>38</v>
      </c>
    </row>
    <row r="3560" spans="2:11" ht="16.5" x14ac:dyDescent="0.2">
      <c r="B3560" s="82" t="s">
        <v>5918</v>
      </c>
      <c r="C3560" s="82" t="s">
        <v>1044</v>
      </c>
      <c r="D3560" s="83">
        <f>SUMIFS(D3561:D6462,K3561:K6462,"0",B3561:B6462,"5 1 2 1 1 12 31111 6 M59 20000*")-SUMIFS(E3561:E6462,K3561:K6462,"0",B3561:B6462,"5 1 2 1 1 12 31111 6 M59 20000*")</f>
        <v>0</v>
      </c>
      <c r="E3560" s="54"/>
      <c r="F3560" s="83">
        <f>SUMIFS(F3561:F6462,K3561:K6462,"0",B3561:B6462,"5 1 2 1 1 12 31111 6 M59 20000*")</f>
        <v>37499.64</v>
      </c>
      <c r="G3560" s="83">
        <f>SUMIFS(G3561:G6462,K3561:K6462,"0",B3561:B6462,"5 1 2 1 1 12 31111 6 M59 20000*")</f>
        <v>0</v>
      </c>
      <c r="H3560" s="83">
        <f t="shared" si="55"/>
        <v>37499.64</v>
      </c>
      <c r="I3560" s="83"/>
      <c r="K3560" s="54" t="s">
        <v>15</v>
      </c>
    </row>
    <row r="3561" spans="2:11" ht="16.5" x14ac:dyDescent="0.2">
      <c r="B3561" s="82" t="s">
        <v>5919</v>
      </c>
      <c r="C3561" s="82" t="s">
        <v>648</v>
      </c>
      <c r="D3561" s="83">
        <f>SUMIFS(D3562:D6462,K3562:K6462,"0",B3562:B6462,"5 1 2 1 1 12 31111 6 M59 20000 000132*")-SUMIFS(E3562:E6462,K3562:K6462,"0",B3562:B6462,"5 1 2 1 1 12 31111 6 M59 20000 000132*")</f>
        <v>0</v>
      </c>
      <c r="E3561" s="54"/>
      <c r="F3561" s="83">
        <f>SUMIFS(F3562:F6462,K3562:K6462,"0",B3562:B6462,"5 1 2 1 1 12 31111 6 M59 20000 000132*")</f>
        <v>37499.64</v>
      </c>
      <c r="G3561" s="83">
        <f>SUMIFS(G3562:G6462,K3562:K6462,"0",B3562:B6462,"5 1 2 1 1 12 31111 6 M59 20000 000132*")</f>
        <v>0</v>
      </c>
      <c r="H3561" s="83">
        <f t="shared" si="55"/>
        <v>37499.64</v>
      </c>
      <c r="I3561" s="83"/>
      <c r="K3561" s="54" t="s">
        <v>15</v>
      </c>
    </row>
    <row r="3562" spans="2:11" ht="16.5" x14ac:dyDescent="0.2">
      <c r="B3562" s="82" t="s">
        <v>5920</v>
      </c>
      <c r="C3562" s="82" t="s">
        <v>650</v>
      </c>
      <c r="D3562" s="83">
        <f>SUMIFS(D3563:D6462,K3563:K6462,"0",B3563:B6462,"5 1 2 1 1 12 31111 6 M59 20000 000132 0000R*")-SUMIFS(E3563:E6462,K3563:K6462,"0",B3563:B6462,"5 1 2 1 1 12 31111 6 M59 20000 000132 0000R*")</f>
        <v>0</v>
      </c>
      <c r="E3562" s="54"/>
      <c r="F3562" s="83">
        <f>SUMIFS(F3563:F6462,K3563:K6462,"0",B3563:B6462,"5 1 2 1 1 12 31111 6 M59 20000 000132 0000R*")</f>
        <v>37499.64</v>
      </c>
      <c r="G3562" s="83">
        <f>SUMIFS(G3563:G6462,K3563:K6462,"0",B3563:B6462,"5 1 2 1 1 12 31111 6 M59 20000 000132 0000R*")</f>
        <v>0</v>
      </c>
      <c r="H3562" s="83">
        <f t="shared" si="55"/>
        <v>37499.64</v>
      </c>
      <c r="I3562" s="83"/>
      <c r="K3562" s="54" t="s">
        <v>15</v>
      </c>
    </row>
    <row r="3563" spans="2:11" ht="24.75" x14ac:dyDescent="0.2">
      <c r="B3563" s="82" t="s">
        <v>5921</v>
      </c>
      <c r="C3563" s="82" t="s">
        <v>282</v>
      </c>
      <c r="D3563" s="83">
        <f>SUMIFS(D3564:D6462,K3564:K6462,"0",B3564:B6462,"5 1 2 1 1 12 31111 6 M59 20000 000132 0000R 00001*")-SUMIFS(E3564:E6462,K3564:K6462,"0",B3564:B6462,"5 1 2 1 1 12 31111 6 M59 20000 000132 0000R 00001*")</f>
        <v>0</v>
      </c>
      <c r="E3563" s="54"/>
      <c r="F3563" s="83">
        <f>SUMIFS(F3564:F6462,K3564:K6462,"0",B3564:B6462,"5 1 2 1 1 12 31111 6 M59 20000 000132 0000R 00001*")</f>
        <v>37499.64</v>
      </c>
      <c r="G3563" s="83">
        <f>SUMIFS(G3564:G6462,K3564:K6462,"0",B3564:B6462,"5 1 2 1 1 12 31111 6 M59 20000 000132 0000R 00001*")</f>
        <v>0</v>
      </c>
      <c r="H3563" s="83">
        <f t="shared" ref="H3563:H3626" si="56">D3563 + F3563 - G3563</f>
        <v>37499.64</v>
      </c>
      <c r="I3563" s="83"/>
      <c r="K3563" s="54" t="s">
        <v>15</v>
      </c>
    </row>
    <row r="3564" spans="2:11" ht="24.75" x14ac:dyDescent="0.2">
      <c r="B3564" s="82" t="s">
        <v>5922</v>
      </c>
      <c r="C3564" s="82" t="s">
        <v>5827</v>
      </c>
      <c r="D3564" s="83">
        <f>SUMIFS(D3565:D6462,K3565:K6462,"0",B3565:B6462,"5 1 2 1 1 12 31111 6 M59 20000 000132 0000R 00001 00211*")-SUMIFS(E3565:E6462,K3565:K6462,"0",B3565:B6462,"5 1 2 1 1 12 31111 6 M59 20000 000132 0000R 00001 00211*")</f>
        <v>0</v>
      </c>
      <c r="E3564" s="54"/>
      <c r="F3564" s="83">
        <f>SUMIFS(F3565:F6462,K3565:K6462,"0",B3565:B6462,"5 1 2 1 1 12 31111 6 M59 20000 000132 0000R 00001 00211*")</f>
        <v>37499.64</v>
      </c>
      <c r="G3564" s="83">
        <f>SUMIFS(G3565:G6462,K3565:K6462,"0",B3565:B6462,"5 1 2 1 1 12 31111 6 M59 20000 000132 0000R 00001 00211*")</f>
        <v>0</v>
      </c>
      <c r="H3564" s="83">
        <f t="shared" si="56"/>
        <v>37499.64</v>
      </c>
      <c r="I3564" s="83"/>
      <c r="K3564" s="54" t="s">
        <v>15</v>
      </c>
    </row>
    <row r="3565" spans="2:11" ht="24.75" x14ac:dyDescent="0.2">
      <c r="B3565" s="82" t="s">
        <v>5923</v>
      </c>
      <c r="C3565" s="82" t="s">
        <v>1051</v>
      </c>
      <c r="D3565" s="83">
        <f>SUMIFS(D3566:D6462,K3566:K6462,"0",B3566:B6462,"5 1 2 1 1 12 31111 6 M59 20000 000132 0000R 00001 00211 015*")-SUMIFS(E3566:E6462,K3566:K6462,"0",B3566:B6462,"5 1 2 1 1 12 31111 6 M59 20000 000132 0000R 00001 00211 015*")</f>
        <v>0</v>
      </c>
      <c r="E3565" s="54"/>
      <c r="F3565" s="83">
        <f>SUMIFS(F3566:F6462,K3566:K6462,"0",B3566:B6462,"5 1 2 1 1 12 31111 6 M59 20000 000132 0000R 00001 00211 015*")</f>
        <v>37499.64</v>
      </c>
      <c r="G3565" s="83">
        <f>SUMIFS(G3566:G6462,K3566:K6462,"0",B3566:B6462,"5 1 2 1 1 12 31111 6 M59 20000 000132 0000R 00001 00211 015*")</f>
        <v>0</v>
      </c>
      <c r="H3565" s="83">
        <f t="shared" si="56"/>
        <v>37499.64</v>
      </c>
      <c r="I3565" s="83"/>
      <c r="K3565" s="54" t="s">
        <v>15</v>
      </c>
    </row>
    <row r="3566" spans="2:11" ht="33" x14ac:dyDescent="0.2">
      <c r="B3566" s="82" t="s">
        <v>5924</v>
      </c>
      <c r="C3566" s="82" t="s">
        <v>5830</v>
      </c>
      <c r="D3566" s="83">
        <f>SUMIFS(D3567:D6462,K3567:K6462,"0",B3567:B6462,"5 1 2 1 1 12 31111 6 M59 20000 000132 0000R 00001 00211 015 2112000*")-SUMIFS(E3567:E6462,K3567:K6462,"0",B3567:B6462,"5 1 2 1 1 12 31111 6 M59 20000 000132 0000R 00001 00211 015 2112000*")</f>
        <v>0</v>
      </c>
      <c r="E3566" s="54"/>
      <c r="F3566" s="83">
        <f>SUMIFS(F3567:F6462,K3567:K6462,"0",B3567:B6462,"5 1 2 1 1 12 31111 6 M59 20000 000132 0000R 00001 00211 015 2112000*")</f>
        <v>37499.64</v>
      </c>
      <c r="G3566" s="83">
        <f>SUMIFS(G3567:G6462,K3567:K6462,"0",B3567:B6462,"5 1 2 1 1 12 31111 6 M59 20000 000132 0000R 00001 00211 015 2112000*")</f>
        <v>0</v>
      </c>
      <c r="H3566" s="83">
        <f t="shared" si="56"/>
        <v>37499.64</v>
      </c>
      <c r="I3566" s="83"/>
      <c r="K3566" s="54" t="s">
        <v>15</v>
      </c>
    </row>
    <row r="3567" spans="2:11" ht="33" x14ac:dyDescent="0.2">
      <c r="B3567" s="82" t="s">
        <v>5925</v>
      </c>
      <c r="C3567" s="82" t="s">
        <v>660</v>
      </c>
      <c r="D3567" s="83">
        <f>SUMIFS(D3568:D6462,K3568:K6462,"0",B3568:B6462,"5 1 2 1 1 12 31111 6 M59 20000 000132 0000R 00001 00211 015 2112000 2024*")-SUMIFS(E3568:E6462,K3568:K6462,"0",B3568:B6462,"5 1 2 1 1 12 31111 6 M59 20000 000132 0000R 00001 00211 015 2112000 2024*")</f>
        <v>0</v>
      </c>
      <c r="E3567" s="54"/>
      <c r="F3567" s="83">
        <f>SUMIFS(F3568:F6462,K3568:K6462,"0",B3568:B6462,"5 1 2 1 1 12 31111 6 M59 20000 000132 0000R 00001 00211 015 2112000 2024*")</f>
        <v>37499.64</v>
      </c>
      <c r="G3567" s="83">
        <f>SUMIFS(G3568:G6462,K3568:K6462,"0",B3568:B6462,"5 1 2 1 1 12 31111 6 M59 20000 000132 0000R 00001 00211 015 2112000 2024*")</f>
        <v>0</v>
      </c>
      <c r="H3567" s="83">
        <f t="shared" si="56"/>
        <v>37499.64</v>
      </c>
      <c r="I3567" s="83"/>
      <c r="K3567" s="54" t="s">
        <v>15</v>
      </c>
    </row>
    <row r="3568" spans="2:11" ht="41.25" x14ac:dyDescent="0.2">
      <c r="B3568" s="82" t="s">
        <v>5926</v>
      </c>
      <c r="C3568" s="82" t="s">
        <v>1056</v>
      </c>
      <c r="D3568" s="83">
        <f>SUMIFS(D3569:D6462,K3569:K6462,"0",B3569:B6462,"5 1 2 1 1 12 31111 6 M59 20000 000132 0000R 00001 00211 015 2112000 2024 CP1AF389*")-SUMIFS(E3569:E6462,K3569:K6462,"0",B3569:B6462,"5 1 2 1 1 12 31111 6 M59 20000 000132 0000R 00001 00211 015 2112000 2024 CP1AF389*")</f>
        <v>0</v>
      </c>
      <c r="E3568" s="54"/>
      <c r="F3568" s="83">
        <f>SUMIFS(F3569:F6462,K3569:K6462,"0",B3569:B6462,"5 1 2 1 1 12 31111 6 M59 20000 000132 0000R 00001 00211 015 2112000 2024 CP1AF389*")</f>
        <v>37499.64</v>
      </c>
      <c r="G3568" s="83">
        <f>SUMIFS(G3569:G6462,K3569:K6462,"0",B3569:B6462,"5 1 2 1 1 12 31111 6 M59 20000 000132 0000R 00001 00211 015 2112000 2024 CP1AF389*")</f>
        <v>0</v>
      </c>
      <c r="H3568" s="83">
        <f t="shared" si="56"/>
        <v>37499.64</v>
      </c>
      <c r="I3568" s="83"/>
      <c r="K3568" s="54" t="s">
        <v>15</v>
      </c>
    </row>
    <row r="3569" spans="2:11" ht="41.25" x14ac:dyDescent="0.2">
      <c r="B3569" s="82" t="s">
        <v>5927</v>
      </c>
      <c r="C3569" s="82" t="s">
        <v>282</v>
      </c>
      <c r="D3569" s="83">
        <f>SUMIFS(D3570:D6462,K3570:K6462,"0",B3570:B6462,"5 1 2 1 1 12 31111 6 M59 20000 000132 0000R 00001 00211 015 2112000 2024 CP1AF389 001*")-SUMIFS(E3570:E6462,K3570:K6462,"0",B3570:B6462,"5 1 2 1 1 12 31111 6 M59 20000 000132 0000R 00001 00211 015 2112000 2024 CP1AF389 001*")</f>
        <v>0</v>
      </c>
      <c r="E3569" s="54"/>
      <c r="F3569" s="83">
        <f>SUMIFS(F3570:F6462,K3570:K6462,"0",B3570:B6462,"5 1 2 1 1 12 31111 6 M59 20000 000132 0000R 00001 00211 015 2112000 2024 CP1AF389 001*")</f>
        <v>37499.64</v>
      </c>
      <c r="G3569" s="83">
        <f>SUMIFS(G3570:G6462,K3570:K6462,"0",B3570:B6462,"5 1 2 1 1 12 31111 6 M59 20000 000132 0000R 00001 00211 015 2112000 2024 CP1AF389 001*")</f>
        <v>0</v>
      </c>
      <c r="H3569" s="83">
        <f t="shared" si="56"/>
        <v>37499.64</v>
      </c>
      <c r="I3569" s="83"/>
      <c r="K3569" s="54" t="s">
        <v>15</v>
      </c>
    </row>
    <row r="3570" spans="2:11" ht="49.5" x14ac:dyDescent="0.2">
      <c r="B3570" s="82" t="s">
        <v>5928</v>
      </c>
      <c r="C3570" s="82" t="s">
        <v>5827</v>
      </c>
      <c r="D3570" s="83">
        <f>SUMIFS(D3571:D6462,K3571:K6462,"0",B3571:B6462,"5 1 2 1 1 12 31111 6 M59 20000 000132 0000R 00001 00211 015 2112000 2024 CP1AF389 001 0000001*")-SUMIFS(E3571:E6462,K3571:K6462,"0",B3571:B6462,"5 1 2 1 1 12 31111 6 M59 20000 000132 0000R 00001 00211 015 2112000 2024 CP1AF389 001 0000001*")</f>
        <v>0</v>
      </c>
      <c r="E3570" s="54"/>
      <c r="F3570" s="83">
        <f>SUMIFS(F3571:F6462,K3571:K6462,"0",B3571:B6462,"5 1 2 1 1 12 31111 6 M59 20000 000132 0000R 00001 00211 015 2112000 2024 CP1AF389 001 0000001*")</f>
        <v>37499.64</v>
      </c>
      <c r="G3570" s="83">
        <f>SUMIFS(G3571:G6462,K3571:K6462,"0",B3571:B6462,"5 1 2 1 1 12 31111 6 M59 20000 000132 0000R 00001 00211 015 2112000 2024 CP1AF389 001 0000001*")</f>
        <v>0</v>
      </c>
      <c r="H3570" s="83">
        <f t="shared" si="56"/>
        <v>37499.64</v>
      </c>
      <c r="I3570" s="83"/>
      <c r="K3570" s="54" t="s">
        <v>15</v>
      </c>
    </row>
    <row r="3571" spans="2:11" ht="41.25" x14ac:dyDescent="0.2">
      <c r="B3571" s="84" t="s">
        <v>5929</v>
      </c>
      <c r="C3571" s="84" t="s">
        <v>2284</v>
      </c>
      <c r="D3571" s="85">
        <v>0</v>
      </c>
      <c r="E3571" s="85"/>
      <c r="F3571" s="85">
        <v>37499.64</v>
      </c>
      <c r="G3571" s="85">
        <v>0</v>
      </c>
      <c r="H3571" s="85">
        <f t="shared" si="56"/>
        <v>37499.64</v>
      </c>
      <c r="I3571" s="85"/>
      <c r="K3571" s="54" t="s">
        <v>38</v>
      </c>
    </row>
    <row r="3572" spans="2:11" ht="16.5" x14ac:dyDescent="0.2">
      <c r="B3572" s="82" t="s">
        <v>5930</v>
      </c>
      <c r="C3572" s="82" t="s">
        <v>3080</v>
      </c>
      <c r="D3572" s="83">
        <f>SUMIFS(D3573:D6462,K3573:K6462,"0",B3573:B6462,"5 1 2 1 1 12 31111 6 M59 20200*")-SUMIFS(E3573:E6462,K3573:K6462,"0",B3573:B6462,"5 1 2 1 1 12 31111 6 M59 20200*")</f>
        <v>0</v>
      </c>
      <c r="E3572" s="54"/>
      <c r="F3572" s="83">
        <f>SUMIFS(F3573:F6462,K3573:K6462,"0",B3573:B6462,"5 1 2 1 1 12 31111 6 M59 20200*")</f>
        <v>2619332.6800000002</v>
      </c>
      <c r="G3572" s="83">
        <f>SUMIFS(G3573:G6462,K3573:K6462,"0",B3573:B6462,"5 1 2 1 1 12 31111 6 M59 20200*")</f>
        <v>0</v>
      </c>
      <c r="H3572" s="83">
        <f t="shared" si="56"/>
        <v>2619332.6800000002</v>
      </c>
      <c r="I3572" s="83"/>
      <c r="K3572" s="54" t="s">
        <v>15</v>
      </c>
    </row>
    <row r="3573" spans="2:11" ht="16.5" x14ac:dyDescent="0.2">
      <c r="B3573" s="82" t="s">
        <v>5931</v>
      </c>
      <c r="C3573" s="82" t="s">
        <v>648</v>
      </c>
      <c r="D3573" s="83">
        <f>SUMIFS(D3574:D6462,K3574:K6462,"0",B3574:B6462,"5 1 2 1 1 12 31111 6 M59 20200 000132*")-SUMIFS(E3574:E6462,K3574:K6462,"0",B3574:B6462,"5 1 2 1 1 12 31111 6 M59 20200 000132*")</f>
        <v>0</v>
      </c>
      <c r="E3573" s="54"/>
      <c r="F3573" s="83">
        <f>SUMIFS(F3574:F6462,K3574:K6462,"0",B3574:B6462,"5 1 2 1 1 12 31111 6 M59 20200 000132*")</f>
        <v>2619332.6800000002</v>
      </c>
      <c r="G3573" s="83">
        <f>SUMIFS(G3574:G6462,K3574:K6462,"0",B3574:B6462,"5 1 2 1 1 12 31111 6 M59 20200 000132*")</f>
        <v>0</v>
      </c>
      <c r="H3573" s="83">
        <f t="shared" si="56"/>
        <v>2619332.6800000002</v>
      </c>
      <c r="I3573" s="83"/>
      <c r="K3573" s="54" t="s">
        <v>15</v>
      </c>
    </row>
    <row r="3574" spans="2:11" ht="16.5" x14ac:dyDescent="0.2">
      <c r="B3574" s="82" t="s">
        <v>5932</v>
      </c>
      <c r="C3574" s="82" t="s">
        <v>650</v>
      </c>
      <c r="D3574" s="83">
        <f>SUMIFS(D3575:D6462,K3575:K6462,"0",B3575:B6462,"5 1 2 1 1 12 31111 6 M59 20200 000132 0000R*")-SUMIFS(E3575:E6462,K3575:K6462,"0",B3575:B6462,"5 1 2 1 1 12 31111 6 M59 20200 000132 0000R*")</f>
        <v>0</v>
      </c>
      <c r="E3574" s="54"/>
      <c r="F3574" s="83">
        <f>SUMIFS(F3575:F6462,K3575:K6462,"0",B3575:B6462,"5 1 2 1 1 12 31111 6 M59 20200 000132 0000R*")</f>
        <v>2619332.6800000002</v>
      </c>
      <c r="G3574" s="83">
        <f>SUMIFS(G3575:G6462,K3575:K6462,"0",B3575:B6462,"5 1 2 1 1 12 31111 6 M59 20200 000132 0000R*")</f>
        <v>0</v>
      </c>
      <c r="H3574" s="83">
        <f t="shared" si="56"/>
        <v>2619332.6800000002</v>
      </c>
      <c r="I3574" s="83"/>
      <c r="K3574" s="54" t="s">
        <v>15</v>
      </c>
    </row>
    <row r="3575" spans="2:11" ht="24.75" x14ac:dyDescent="0.2">
      <c r="B3575" s="82" t="s">
        <v>5933</v>
      </c>
      <c r="C3575" s="82" t="s">
        <v>282</v>
      </c>
      <c r="D3575" s="83">
        <f>SUMIFS(D3576:D6462,K3576:K6462,"0",B3576:B6462,"5 1 2 1 1 12 31111 6 M59 20200 000132 0000R 00001*")-SUMIFS(E3576:E6462,K3576:K6462,"0",B3576:B6462,"5 1 2 1 1 12 31111 6 M59 20200 000132 0000R 00001*")</f>
        <v>0</v>
      </c>
      <c r="E3575" s="54"/>
      <c r="F3575" s="83">
        <f>SUMIFS(F3576:F6462,K3576:K6462,"0",B3576:B6462,"5 1 2 1 1 12 31111 6 M59 20200 000132 0000R 00001*")</f>
        <v>2619332.6800000002</v>
      </c>
      <c r="G3575" s="83">
        <f>SUMIFS(G3576:G6462,K3576:K6462,"0",B3576:B6462,"5 1 2 1 1 12 31111 6 M59 20200 000132 0000R 00001*")</f>
        <v>0</v>
      </c>
      <c r="H3575" s="83">
        <f t="shared" si="56"/>
        <v>2619332.6800000002</v>
      </c>
      <c r="I3575" s="83"/>
      <c r="K3575" s="54" t="s">
        <v>15</v>
      </c>
    </row>
    <row r="3576" spans="2:11" ht="24.75" x14ac:dyDescent="0.2">
      <c r="B3576" s="82" t="s">
        <v>5934</v>
      </c>
      <c r="C3576" s="82" t="s">
        <v>5827</v>
      </c>
      <c r="D3576" s="83">
        <f>SUMIFS(D3577:D6462,K3577:K6462,"0",B3577:B6462,"5 1 2 1 1 12 31111 6 M59 20200 000132 0000R 00001 00211*")-SUMIFS(E3577:E6462,K3577:K6462,"0",B3577:B6462,"5 1 2 1 1 12 31111 6 M59 20200 000132 0000R 00001 00211*")</f>
        <v>0</v>
      </c>
      <c r="E3576" s="54"/>
      <c r="F3576" s="83">
        <f>SUMIFS(F3577:F6462,K3577:K6462,"0",B3577:B6462,"5 1 2 1 1 12 31111 6 M59 20200 000132 0000R 00001 00211*")</f>
        <v>2619332.6800000002</v>
      </c>
      <c r="G3576" s="83">
        <f>SUMIFS(G3577:G6462,K3577:K6462,"0",B3577:B6462,"5 1 2 1 1 12 31111 6 M59 20200 000132 0000R 00001 00211*")</f>
        <v>0</v>
      </c>
      <c r="H3576" s="83">
        <f t="shared" si="56"/>
        <v>2619332.6800000002</v>
      </c>
      <c r="I3576" s="83"/>
      <c r="K3576" s="54" t="s">
        <v>15</v>
      </c>
    </row>
    <row r="3577" spans="2:11" ht="24.75" x14ac:dyDescent="0.2">
      <c r="B3577" s="82" t="s">
        <v>5935</v>
      </c>
      <c r="C3577" s="82" t="s">
        <v>1051</v>
      </c>
      <c r="D3577" s="83">
        <f>SUMIFS(D3578:D6462,K3578:K6462,"0",B3578:B6462,"5 1 2 1 1 12 31111 6 M59 20200 000132 0000R 00001 00211 015*")-SUMIFS(E3578:E6462,K3578:K6462,"0",B3578:B6462,"5 1 2 1 1 12 31111 6 M59 20200 000132 0000R 00001 00211 015*")</f>
        <v>0</v>
      </c>
      <c r="E3577" s="54"/>
      <c r="F3577" s="83">
        <f>SUMIFS(F3578:F6462,K3578:K6462,"0",B3578:B6462,"5 1 2 1 1 12 31111 6 M59 20200 000132 0000R 00001 00211 015*")</f>
        <v>2619332.6800000002</v>
      </c>
      <c r="G3577" s="83">
        <f>SUMIFS(G3578:G6462,K3578:K6462,"0",B3578:B6462,"5 1 2 1 1 12 31111 6 M59 20200 000132 0000R 00001 00211 015*")</f>
        <v>0</v>
      </c>
      <c r="H3577" s="83">
        <f t="shared" si="56"/>
        <v>2619332.6800000002</v>
      </c>
      <c r="I3577" s="83"/>
      <c r="K3577" s="54" t="s">
        <v>15</v>
      </c>
    </row>
    <row r="3578" spans="2:11" ht="33" x14ac:dyDescent="0.2">
      <c r="B3578" s="82" t="s">
        <v>5936</v>
      </c>
      <c r="C3578" s="82" t="s">
        <v>5830</v>
      </c>
      <c r="D3578" s="83">
        <f>SUMIFS(D3579:D6462,K3579:K6462,"0",B3579:B6462,"5 1 2 1 1 12 31111 6 M59 20200 000132 0000R 00001 00211 015 2112000*")-SUMIFS(E3579:E6462,K3579:K6462,"0",B3579:B6462,"5 1 2 1 1 12 31111 6 M59 20200 000132 0000R 00001 00211 015 2112000*")</f>
        <v>0</v>
      </c>
      <c r="E3578" s="54"/>
      <c r="F3578" s="83">
        <f>SUMIFS(F3579:F6462,K3579:K6462,"0",B3579:B6462,"5 1 2 1 1 12 31111 6 M59 20200 000132 0000R 00001 00211 015 2112000*")</f>
        <v>2619332.6800000002</v>
      </c>
      <c r="G3578" s="83">
        <f>SUMIFS(G3579:G6462,K3579:K6462,"0",B3579:B6462,"5 1 2 1 1 12 31111 6 M59 20200 000132 0000R 00001 00211 015 2112000*")</f>
        <v>0</v>
      </c>
      <c r="H3578" s="83">
        <f t="shared" si="56"/>
        <v>2619332.6800000002</v>
      </c>
      <c r="I3578" s="83"/>
      <c r="K3578" s="54" t="s">
        <v>15</v>
      </c>
    </row>
    <row r="3579" spans="2:11" ht="33" x14ac:dyDescent="0.2">
      <c r="B3579" s="82" t="s">
        <v>5937</v>
      </c>
      <c r="C3579" s="82" t="s">
        <v>660</v>
      </c>
      <c r="D3579" s="83">
        <f>SUMIFS(D3580:D6462,K3580:K6462,"0",B3580:B6462,"5 1 2 1 1 12 31111 6 M59 20200 000132 0000R 00001 00211 015 2112000 2024*")-SUMIFS(E3580:E6462,K3580:K6462,"0",B3580:B6462,"5 1 2 1 1 12 31111 6 M59 20200 000132 0000R 00001 00211 015 2112000 2024*")</f>
        <v>0</v>
      </c>
      <c r="E3579" s="54"/>
      <c r="F3579" s="83">
        <f>SUMIFS(F3580:F6462,K3580:K6462,"0",B3580:B6462,"5 1 2 1 1 12 31111 6 M59 20200 000132 0000R 00001 00211 015 2112000 2024*")</f>
        <v>2619332.6800000002</v>
      </c>
      <c r="G3579" s="83">
        <f>SUMIFS(G3580:G6462,K3580:K6462,"0",B3580:B6462,"5 1 2 1 1 12 31111 6 M59 20200 000132 0000R 00001 00211 015 2112000 2024*")</f>
        <v>0</v>
      </c>
      <c r="H3579" s="83">
        <f t="shared" si="56"/>
        <v>2619332.6800000002</v>
      </c>
      <c r="I3579" s="83"/>
      <c r="K3579" s="54" t="s">
        <v>15</v>
      </c>
    </row>
    <row r="3580" spans="2:11" ht="41.25" x14ac:dyDescent="0.2">
      <c r="B3580" s="82" t="s">
        <v>5938</v>
      </c>
      <c r="C3580" s="82" t="s">
        <v>662</v>
      </c>
      <c r="D3580" s="83">
        <f>SUMIFS(D3581:D6462,K3581:K6462,"0",B3581:B6462,"5 1 2 1 1 12 31111 6 M59 20200 000132 0000R 00001 00211 015 2112000 2024 CP1DI411*")-SUMIFS(E3581:E6462,K3581:K6462,"0",B3581:B6462,"5 1 2 1 1 12 31111 6 M59 20200 000132 0000R 00001 00211 015 2112000 2024 CP1DI411*")</f>
        <v>0</v>
      </c>
      <c r="E3580" s="54"/>
      <c r="F3580" s="83">
        <f>SUMIFS(F3581:F6462,K3581:K6462,"0",B3581:B6462,"5 1 2 1 1 12 31111 6 M59 20200 000132 0000R 00001 00211 015 2112000 2024 CP1DI411*")</f>
        <v>2619332.6800000002</v>
      </c>
      <c r="G3580" s="83">
        <f>SUMIFS(G3581:G6462,K3581:K6462,"0",B3581:B6462,"5 1 2 1 1 12 31111 6 M59 20200 000132 0000R 00001 00211 015 2112000 2024 CP1DI411*")</f>
        <v>0</v>
      </c>
      <c r="H3580" s="83">
        <f t="shared" si="56"/>
        <v>2619332.6800000002</v>
      </c>
      <c r="I3580" s="83"/>
      <c r="K3580" s="54" t="s">
        <v>15</v>
      </c>
    </row>
    <row r="3581" spans="2:11" ht="41.25" x14ac:dyDescent="0.2">
      <c r="B3581" s="82" t="s">
        <v>5939</v>
      </c>
      <c r="C3581" s="82" t="s">
        <v>282</v>
      </c>
      <c r="D3581" s="83">
        <f>SUMIFS(D3582:D6462,K3582:K6462,"0",B3582:B6462,"5 1 2 1 1 12 31111 6 M59 20200 000132 0000R 00001 00211 015 2112000 2024 CP1DI411 001*")-SUMIFS(E3582:E6462,K3582:K6462,"0",B3582:B6462,"5 1 2 1 1 12 31111 6 M59 20200 000132 0000R 00001 00211 015 2112000 2024 CP1DI411 001*")</f>
        <v>0</v>
      </c>
      <c r="E3581" s="54"/>
      <c r="F3581" s="83">
        <f>SUMIFS(F3582:F6462,K3582:K6462,"0",B3582:B6462,"5 1 2 1 1 12 31111 6 M59 20200 000132 0000R 00001 00211 015 2112000 2024 CP1DI411 001*")</f>
        <v>2619332.6800000002</v>
      </c>
      <c r="G3581" s="83">
        <f>SUMIFS(G3582:G6462,K3582:K6462,"0",B3582:B6462,"5 1 2 1 1 12 31111 6 M59 20200 000132 0000R 00001 00211 015 2112000 2024 CP1DI411 001*")</f>
        <v>0</v>
      </c>
      <c r="H3581" s="83">
        <f t="shared" si="56"/>
        <v>2619332.6800000002</v>
      </c>
      <c r="I3581" s="83"/>
      <c r="K3581" s="54" t="s">
        <v>15</v>
      </c>
    </row>
    <row r="3582" spans="2:11" ht="33" x14ac:dyDescent="0.2">
      <c r="B3582" s="84" t="s">
        <v>5940</v>
      </c>
      <c r="C3582" s="84" t="s">
        <v>5817</v>
      </c>
      <c r="D3582" s="85">
        <v>0</v>
      </c>
      <c r="E3582" s="85"/>
      <c r="F3582" s="85">
        <v>2619332.6800000002</v>
      </c>
      <c r="G3582" s="85">
        <v>0</v>
      </c>
      <c r="H3582" s="85">
        <f t="shared" si="56"/>
        <v>2619332.6800000002</v>
      </c>
      <c r="I3582" s="85"/>
      <c r="K3582" s="54" t="s">
        <v>38</v>
      </c>
    </row>
    <row r="3583" spans="2:11" ht="16.5" x14ac:dyDescent="0.2">
      <c r="B3583" s="82" t="s">
        <v>5941</v>
      </c>
      <c r="C3583" s="82" t="s">
        <v>1061</v>
      </c>
      <c r="D3583" s="83">
        <f>SUMIFS(D3584:D6462,K3584:K6462,"0",B3584:B6462,"5 1 2 1 1 12 31111 6 M59 20300*")-SUMIFS(E3584:E6462,K3584:K6462,"0",B3584:B6462,"5 1 2 1 1 12 31111 6 M59 20300*")</f>
        <v>0</v>
      </c>
      <c r="E3583" s="54"/>
      <c r="F3583" s="83">
        <f>SUMIFS(F3584:F6462,K3584:K6462,"0",B3584:B6462,"5 1 2 1 1 12 31111 6 M59 20300*")</f>
        <v>1103.48</v>
      </c>
      <c r="G3583" s="83">
        <f>SUMIFS(G3584:G6462,K3584:K6462,"0",B3584:B6462,"5 1 2 1 1 12 31111 6 M59 20300*")</f>
        <v>0</v>
      </c>
      <c r="H3583" s="83">
        <f t="shared" si="56"/>
        <v>1103.48</v>
      </c>
      <c r="I3583" s="83"/>
      <c r="K3583" s="54" t="s">
        <v>15</v>
      </c>
    </row>
    <row r="3584" spans="2:11" ht="16.5" x14ac:dyDescent="0.2">
      <c r="B3584" s="82" t="s">
        <v>5942</v>
      </c>
      <c r="C3584" s="82" t="s">
        <v>648</v>
      </c>
      <c r="D3584" s="83">
        <f>SUMIFS(D3585:D6462,K3585:K6462,"0",B3585:B6462,"5 1 2 1 1 12 31111 6 M59 20300 000132*")-SUMIFS(E3585:E6462,K3585:K6462,"0",B3585:B6462,"5 1 2 1 1 12 31111 6 M59 20300 000132*")</f>
        <v>0</v>
      </c>
      <c r="E3584" s="54"/>
      <c r="F3584" s="83">
        <f>SUMIFS(F3585:F6462,K3585:K6462,"0",B3585:B6462,"5 1 2 1 1 12 31111 6 M59 20300 000132*")</f>
        <v>1103.48</v>
      </c>
      <c r="G3584" s="83">
        <f>SUMIFS(G3585:G6462,K3585:K6462,"0",B3585:B6462,"5 1 2 1 1 12 31111 6 M59 20300 000132*")</f>
        <v>0</v>
      </c>
      <c r="H3584" s="83">
        <f t="shared" si="56"/>
        <v>1103.48</v>
      </c>
      <c r="I3584" s="83"/>
      <c r="K3584" s="54" t="s">
        <v>15</v>
      </c>
    </row>
    <row r="3585" spans="2:11" ht="16.5" x14ac:dyDescent="0.2">
      <c r="B3585" s="82" t="s">
        <v>5943</v>
      </c>
      <c r="C3585" s="82" t="s">
        <v>650</v>
      </c>
      <c r="D3585" s="83">
        <f>SUMIFS(D3586:D6462,K3586:K6462,"0",B3586:B6462,"5 1 2 1 1 12 31111 6 M59 20300 000132 0000R*")-SUMIFS(E3586:E6462,K3586:K6462,"0",B3586:B6462,"5 1 2 1 1 12 31111 6 M59 20300 000132 0000R*")</f>
        <v>0</v>
      </c>
      <c r="E3585" s="54"/>
      <c r="F3585" s="83">
        <f>SUMIFS(F3586:F6462,K3586:K6462,"0",B3586:B6462,"5 1 2 1 1 12 31111 6 M59 20300 000132 0000R*")</f>
        <v>1103.48</v>
      </c>
      <c r="G3585" s="83">
        <f>SUMIFS(G3586:G6462,K3586:K6462,"0",B3586:B6462,"5 1 2 1 1 12 31111 6 M59 20300 000132 0000R*")</f>
        <v>0</v>
      </c>
      <c r="H3585" s="83">
        <f t="shared" si="56"/>
        <v>1103.48</v>
      </c>
      <c r="I3585" s="83"/>
      <c r="K3585" s="54" t="s">
        <v>15</v>
      </c>
    </row>
    <row r="3586" spans="2:11" ht="24.75" x14ac:dyDescent="0.2">
      <c r="B3586" s="82" t="s">
        <v>5944</v>
      </c>
      <c r="C3586" s="82" t="s">
        <v>282</v>
      </c>
      <c r="D3586" s="83">
        <f>SUMIFS(D3587:D6462,K3587:K6462,"0",B3587:B6462,"5 1 2 1 1 12 31111 6 M59 20300 000132 0000R 00001*")-SUMIFS(E3587:E6462,K3587:K6462,"0",B3587:B6462,"5 1 2 1 1 12 31111 6 M59 20300 000132 0000R 00001*")</f>
        <v>0</v>
      </c>
      <c r="E3586" s="54"/>
      <c r="F3586" s="83">
        <f>SUMIFS(F3587:F6462,K3587:K6462,"0",B3587:B6462,"5 1 2 1 1 12 31111 6 M59 20300 000132 0000R 00001*")</f>
        <v>1103.48</v>
      </c>
      <c r="G3586" s="83">
        <f>SUMIFS(G3587:G6462,K3587:K6462,"0",B3587:B6462,"5 1 2 1 1 12 31111 6 M59 20300 000132 0000R 00001*")</f>
        <v>0</v>
      </c>
      <c r="H3586" s="83">
        <f t="shared" si="56"/>
        <v>1103.48</v>
      </c>
      <c r="I3586" s="83"/>
      <c r="K3586" s="54" t="s">
        <v>15</v>
      </c>
    </row>
    <row r="3587" spans="2:11" ht="24.75" x14ac:dyDescent="0.2">
      <c r="B3587" s="82" t="s">
        <v>5945</v>
      </c>
      <c r="C3587" s="82" t="s">
        <v>5827</v>
      </c>
      <c r="D3587" s="83">
        <f>SUMIFS(D3588:D6462,K3588:K6462,"0",B3588:B6462,"5 1 2 1 1 12 31111 6 M59 20300 000132 0000R 00001 00211*")-SUMIFS(E3588:E6462,K3588:K6462,"0",B3588:B6462,"5 1 2 1 1 12 31111 6 M59 20300 000132 0000R 00001 00211*")</f>
        <v>0</v>
      </c>
      <c r="E3587" s="54"/>
      <c r="F3587" s="83">
        <f>SUMIFS(F3588:F6462,K3588:K6462,"0",B3588:B6462,"5 1 2 1 1 12 31111 6 M59 20300 000132 0000R 00001 00211*")</f>
        <v>1103.48</v>
      </c>
      <c r="G3587" s="83">
        <f>SUMIFS(G3588:G6462,K3588:K6462,"0",B3588:B6462,"5 1 2 1 1 12 31111 6 M59 20300 000132 0000R 00001 00211*")</f>
        <v>0</v>
      </c>
      <c r="H3587" s="83">
        <f t="shared" si="56"/>
        <v>1103.48</v>
      </c>
      <c r="I3587" s="83"/>
      <c r="K3587" s="54" t="s">
        <v>15</v>
      </c>
    </row>
    <row r="3588" spans="2:11" ht="24.75" x14ac:dyDescent="0.2">
      <c r="B3588" s="82" t="s">
        <v>5946</v>
      </c>
      <c r="C3588" s="82" t="s">
        <v>1051</v>
      </c>
      <c r="D3588" s="83">
        <f>SUMIFS(D3589:D6462,K3589:K6462,"0",B3589:B6462,"5 1 2 1 1 12 31111 6 M59 20300 000132 0000R 00001 00211 015*")-SUMIFS(E3589:E6462,K3589:K6462,"0",B3589:B6462,"5 1 2 1 1 12 31111 6 M59 20300 000132 0000R 00001 00211 015*")</f>
        <v>0</v>
      </c>
      <c r="E3588" s="54"/>
      <c r="F3588" s="83">
        <f>SUMIFS(F3589:F6462,K3589:K6462,"0",B3589:B6462,"5 1 2 1 1 12 31111 6 M59 20300 000132 0000R 00001 00211 015*")</f>
        <v>1103.48</v>
      </c>
      <c r="G3588" s="83">
        <f>SUMIFS(G3589:G6462,K3589:K6462,"0",B3589:B6462,"5 1 2 1 1 12 31111 6 M59 20300 000132 0000R 00001 00211 015*")</f>
        <v>0</v>
      </c>
      <c r="H3588" s="83">
        <f t="shared" si="56"/>
        <v>1103.48</v>
      </c>
      <c r="I3588" s="83"/>
      <c r="K3588" s="54" t="s">
        <v>15</v>
      </c>
    </row>
    <row r="3589" spans="2:11" ht="33" x14ac:dyDescent="0.2">
      <c r="B3589" s="82" t="s">
        <v>5947</v>
      </c>
      <c r="C3589" s="82" t="s">
        <v>5830</v>
      </c>
      <c r="D3589" s="83">
        <f>SUMIFS(D3590:D6462,K3590:K6462,"0",B3590:B6462,"5 1 2 1 1 12 31111 6 M59 20300 000132 0000R 00001 00211 015 2112000*")-SUMIFS(E3590:E6462,K3590:K6462,"0",B3590:B6462,"5 1 2 1 1 12 31111 6 M59 20300 000132 0000R 00001 00211 015 2112000*")</f>
        <v>0</v>
      </c>
      <c r="E3589" s="54"/>
      <c r="F3589" s="83">
        <f>SUMIFS(F3590:F6462,K3590:K6462,"0",B3590:B6462,"5 1 2 1 1 12 31111 6 M59 20300 000132 0000R 00001 00211 015 2112000*")</f>
        <v>1103.48</v>
      </c>
      <c r="G3589" s="83">
        <f>SUMIFS(G3590:G6462,K3590:K6462,"0",B3590:B6462,"5 1 2 1 1 12 31111 6 M59 20300 000132 0000R 00001 00211 015 2112000*")</f>
        <v>0</v>
      </c>
      <c r="H3589" s="83">
        <f t="shared" si="56"/>
        <v>1103.48</v>
      </c>
      <c r="I3589" s="83"/>
      <c r="K3589" s="54" t="s">
        <v>15</v>
      </c>
    </row>
    <row r="3590" spans="2:11" ht="33" x14ac:dyDescent="0.2">
      <c r="B3590" s="82" t="s">
        <v>5948</v>
      </c>
      <c r="C3590" s="82" t="s">
        <v>660</v>
      </c>
      <c r="D3590" s="83">
        <f>SUMIFS(D3591:D6462,K3591:K6462,"0",B3591:B6462,"5 1 2 1 1 12 31111 6 M59 20300 000132 0000R 00001 00211 015 2112000 2024*")-SUMIFS(E3591:E6462,K3591:K6462,"0",B3591:B6462,"5 1 2 1 1 12 31111 6 M59 20300 000132 0000R 00001 00211 015 2112000 2024*")</f>
        <v>0</v>
      </c>
      <c r="E3590" s="54"/>
      <c r="F3590" s="83">
        <f>SUMIFS(F3591:F6462,K3591:K6462,"0",B3591:B6462,"5 1 2 1 1 12 31111 6 M59 20300 000132 0000R 00001 00211 015 2112000 2024*")</f>
        <v>1103.48</v>
      </c>
      <c r="G3590" s="83">
        <f>SUMIFS(G3591:G6462,K3591:K6462,"0",B3591:B6462,"5 1 2 1 1 12 31111 6 M59 20300 000132 0000R 00001 00211 015 2112000 2024*")</f>
        <v>0</v>
      </c>
      <c r="H3590" s="83">
        <f t="shared" si="56"/>
        <v>1103.48</v>
      </c>
      <c r="I3590" s="83"/>
      <c r="K3590" s="54" t="s">
        <v>15</v>
      </c>
    </row>
    <row r="3591" spans="2:11" ht="41.25" x14ac:dyDescent="0.2">
      <c r="B3591" s="82" t="s">
        <v>5949</v>
      </c>
      <c r="C3591" s="82" t="s">
        <v>662</v>
      </c>
      <c r="D3591" s="83">
        <f>SUMIFS(D3592:D6462,K3592:K6462,"0",B3592:B6462,"5 1 2 1 1 12 31111 6 M59 20300 000132 0000R 00001 00211 015 2112000 2024 CP1DE415*")-SUMIFS(E3592:E6462,K3592:K6462,"0",B3592:B6462,"5 1 2 1 1 12 31111 6 M59 20300 000132 0000R 00001 00211 015 2112000 2024 CP1DE415*")</f>
        <v>0</v>
      </c>
      <c r="E3591" s="54"/>
      <c r="F3591" s="83">
        <f>SUMIFS(F3592:F6462,K3592:K6462,"0",B3592:B6462,"5 1 2 1 1 12 31111 6 M59 20300 000132 0000R 00001 00211 015 2112000 2024 CP1DE415*")</f>
        <v>1103.48</v>
      </c>
      <c r="G3591" s="83">
        <f>SUMIFS(G3592:G6462,K3592:K6462,"0",B3592:B6462,"5 1 2 1 1 12 31111 6 M59 20300 000132 0000R 00001 00211 015 2112000 2024 CP1DE415*")</f>
        <v>0</v>
      </c>
      <c r="H3591" s="83">
        <f t="shared" si="56"/>
        <v>1103.48</v>
      </c>
      <c r="I3591" s="83"/>
      <c r="K3591" s="54" t="s">
        <v>15</v>
      </c>
    </row>
    <row r="3592" spans="2:11" ht="41.25" x14ac:dyDescent="0.2">
      <c r="B3592" s="82" t="s">
        <v>5950</v>
      </c>
      <c r="C3592" s="82" t="s">
        <v>282</v>
      </c>
      <c r="D3592" s="83">
        <f>SUMIFS(D3593:D6462,K3593:K6462,"0",B3593:B6462,"5 1 2 1 1 12 31111 6 M59 20300 000132 0000R 00001 00211 015 2112000 2024 CP1DE415 001*")-SUMIFS(E3593:E6462,K3593:K6462,"0",B3593:B6462,"5 1 2 1 1 12 31111 6 M59 20300 000132 0000R 00001 00211 015 2112000 2024 CP1DE415 001*")</f>
        <v>0</v>
      </c>
      <c r="E3592" s="54"/>
      <c r="F3592" s="83">
        <f>SUMIFS(F3593:F6462,K3593:K6462,"0",B3593:B6462,"5 1 2 1 1 12 31111 6 M59 20300 000132 0000R 00001 00211 015 2112000 2024 CP1DE415 001*")</f>
        <v>1103.48</v>
      </c>
      <c r="G3592" s="83">
        <f>SUMIFS(G3593:G6462,K3593:K6462,"0",B3593:B6462,"5 1 2 1 1 12 31111 6 M59 20300 000132 0000R 00001 00211 015 2112000 2024 CP1DE415 001*")</f>
        <v>0</v>
      </c>
      <c r="H3592" s="83">
        <f t="shared" si="56"/>
        <v>1103.48</v>
      </c>
      <c r="I3592" s="83"/>
      <c r="K3592" s="54" t="s">
        <v>15</v>
      </c>
    </row>
    <row r="3593" spans="2:11" ht="41.25" x14ac:dyDescent="0.2">
      <c r="B3593" s="84" t="s">
        <v>5951</v>
      </c>
      <c r="C3593" s="84" t="s">
        <v>5827</v>
      </c>
      <c r="D3593" s="85">
        <v>0</v>
      </c>
      <c r="E3593" s="85"/>
      <c r="F3593" s="85">
        <v>1103.48</v>
      </c>
      <c r="G3593" s="85">
        <v>0</v>
      </c>
      <c r="H3593" s="85">
        <f t="shared" si="56"/>
        <v>1103.48</v>
      </c>
      <c r="I3593" s="85"/>
      <c r="K3593" s="54" t="s">
        <v>38</v>
      </c>
    </row>
    <row r="3594" spans="2:11" ht="16.5" x14ac:dyDescent="0.2">
      <c r="B3594" s="82" t="s">
        <v>5952</v>
      </c>
      <c r="C3594" s="82" t="s">
        <v>3103</v>
      </c>
      <c r="D3594" s="83">
        <f>SUMIFS(D3595:D6462,K3595:K6462,"0",B3595:B6462,"5 1 2 1 1 12 31111 6 M59 20400*")-SUMIFS(E3595:E6462,K3595:K6462,"0",B3595:B6462,"5 1 2 1 1 12 31111 6 M59 20400*")</f>
        <v>0</v>
      </c>
      <c r="E3594" s="54"/>
      <c r="F3594" s="83">
        <f>SUMIFS(F3595:F6462,K3595:K6462,"0",B3595:B6462,"5 1 2 1 1 12 31111 6 M59 20400*")</f>
        <v>250</v>
      </c>
      <c r="G3594" s="83">
        <f>SUMIFS(G3595:G6462,K3595:K6462,"0",B3595:B6462,"5 1 2 1 1 12 31111 6 M59 20400*")</f>
        <v>0</v>
      </c>
      <c r="H3594" s="83">
        <f t="shared" si="56"/>
        <v>250</v>
      </c>
      <c r="I3594" s="83"/>
      <c r="K3594" s="54" t="s">
        <v>15</v>
      </c>
    </row>
    <row r="3595" spans="2:11" ht="16.5" x14ac:dyDescent="0.2">
      <c r="B3595" s="82" t="s">
        <v>5953</v>
      </c>
      <c r="C3595" s="82" t="s">
        <v>648</v>
      </c>
      <c r="D3595" s="83">
        <f>SUMIFS(D3596:D6462,K3596:K6462,"0",B3596:B6462,"5 1 2 1 1 12 31111 6 M59 20400 000132*")-SUMIFS(E3596:E6462,K3596:K6462,"0",B3596:B6462,"5 1 2 1 1 12 31111 6 M59 20400 000132*")</f>
        <v>0</v>
      </c>
      <c r="E3595" s="54"/>
      <c r="F3595" s="83">
        <f>SUMIFS(F3596:F6462,K3596:K6462,"0",B3596:B6462,"5 1 2 1 1 12 31111 6 M59 20400 000132*")</f>
        <v>250</v>
      </c>
      <c r="G3595" s="83">
        <f>SUMIFS(G3596:G6462,K3596:K6462,"0",B3596:B6462,"5 1 2 1 1 12 31111 6 M59 20400 000132*")</f>
        <v>0</v>
      </c>
      <c r="H3595" s="83">
        <f t="shared" si="56"/>
        <v>250</v>
      </c>
      <c r="I3595" s="83"/>
      <c r="K3595" s="54" t="s">
        <v>15</v>
      </c>
    </row>
    <row r="3596" spans="2:11" ht="16.5" x14ac:dyDescent="0.2">
      <c r="B3596" s="82" t="s">
        <v>5954</v>
      </c>
      <c r="C3596" s="82" t="s">
        <v>650</v>
      </c>
      <c r="D3596" s="83">
        <f>SUMIFS(D3597:D6462,K3597:K6462,"0",B3597:B6462,"5 1 2 1 1 12 31111 6 M59 20400 000132 0000R*")-SUMIFS(E3597:E6462,K3597:K6462,"0",B3597:B6462,"5 1 2 1 1 12 31111 6 M59 20400 000132 0000R*")</f>
        <v>0</v>
      </c>
      <c r="E3596" s="54"/>
      <c r="F3596" s="83">
        <f>SUMIFS(F3597:F6462,K3597:K6462,"0",B3597:B6462,"5 1 2 1 1 12 31111 6 M59 20400 000132 0000R*")</f>
        <v>250</v>
      </c>
      <c r="G3596" s="83">
        <f>SUMIFS(G3597:G6462,K3597:K6462,"0",B3597:B6462,"5 1 2 1 1 12 31111 6 M59 20400 000132 0000R*")</f>
        <v>0</v>
      </c>
      <c r="H3596" s="83">
        <f t="shared" si="56"/>
        <v>250</v>
      </c>
      <c r="I3596" s="83"/>
      <c r="K3596" s="54" t="s">
        <v>15</v>
      </c>
    </row>
    <row r="3597" spans="2:11" ht="24.75" x14ac:dyDescent="0.2">
      <c r="B3597" s="82" t="s">
        <v>5955</v>
      </c>
      <c r="C3597" s="82" t="s">
        <v>282</v>
      </c>
      <c r="D3597" s="83">
        <f>SUMIFS(D3598:D6462,K3598:K6462,"0",B3598:B6462,"5 1 2 1 1 12 31111 6 M59 20400 000132 0000R 00001*")-SUMIFS(E3598:E6462,K3598:K6462,"0",B3598:B6462,"5 1 2 1 1 12 31111 6 M59 20400 000132 0000R 00001*")</f>
        <v>0</v>
      </c>
      <c r="E3597" s="54"/>
      <c r="F3597" s="83">
        <f>SUMIFS(F3598:F6462,K3598:K6462,"0",B3598:B6462,"5 1 2 1 1 12 31111 6 M59 20400 000132 0000R 00001*")</f>
        <v>250</v>
      </c>
      <c r="G3597" s="83">
        <f>SUMIFS(G3598:G6462,K3598:K6462,"0",B3598:B6462,"5 1 2 1 1 12 31111 6 M59 20400 000132 0000R 00001*")</f>
        <v>0</v>
      </c>
      <c r="H3597" s="83">
        <f t="shared" si="56"/>
        <v>250</v>
      </c>
      <c r="I3597" s="83"/>
      <c r="K3597" s="54" t="s">
        <v>15</v>
      </c>
    </row>
    <row r="3598" spans="2:11" ht="24.75" x14ac:dyDescent="0.2">
      <c r="B3598" s="82" t="s">
        <v>5956</v>
      </c>
      <c r="C3598" s="82" t="s">
        <v>5827</v>
      </c>
      <c r="D3598" s="83">
        <f>SUMIFS(D3599:D6462,K3599:K6462,"0",B3599:B6462,"5 1 2 1 1 12 31111 6 M59 20400 000132 0000R 00001 00211*")-SUMIFS(E3599:E6462,K3599:K6462,"0",B3599:B6462,"5 1 2 1 1 12 31111 6 M59 20400 000132 0000R 00001 00211*")</f>
        <v>0</v>
      </c>
      <c r="E3598" s="54"/>
      <c r="F3598" s="83">
        <f>SUMIFS(F3599:F6462,K3599:K6462,"0",B3599:B6462,"5 1 2 1 1 12 31111 6 M59 20400 000132 0000R 00001 00211*")</f>
        <v>250</v>
      </c>
      <c r="G3598" s="83">
        <f>SUMIFS(G3599:G6462,K3599:K6462,"0",B3599:B6462,"5 1 2 1 1 12 31111 6 M59 20400 000132 0000R 00001 00211*")</f>
        <v>0</v>
      </c>
      <c r="H3598" s="83">
        <f t="shared" si="56"/>
        <v>250</v>
      </c>
      <c r="I3598" s="83"/>
      <c r="K3598" s="54" t="s">
        <v>15</v>
      </c>
    </row>
    <row r="3599" spans="2:11" ht="24.75" x14ac:dyDescent="0.2">
      <c r="B3599" s="82" t="s">
        <v>5957</v>
      </c>
      <c r="C3599" s="82" t="s">
        <v>1051</v>
      </c>
      <c r="D3599" s="83">
        <f>SUMIFS(D3600:D6462,K3600:K6462,"0",B3600:B6462,"5 1 2 1 1 12 31111 6 M59 20400 000132 0000R 00001 00211 015*")-SUMIFS(E3600:E6462,K3600:K6462,"0",B3600:B6462,"5 1 2 1 1 12 31111 6 M59 20400 000132 0000R 00001 00211 015*")</f>
        <v>0</v>
      </c>
      <c r="E3599" s="54"/>
      <c r="F3599" s="83">
        <f>SUMIFS(F3600:F6462,K3600:K6462,"0",B3600:B6462,"5 1 2 1 1 12 31111 6 M59 20400 000132 0000R 00001 00211 015*")</f>
        <v>250</v>
      </c>
      <c r="G3599" s="83">
        <f>SUMIFS(G3600:G6462,K3600:K6462,"0",B3600:B6462,"5 1 2 1 1 12 31111 6 M59 20400 000132 0000R 00001 00211 015*")</f>
        <v>0</v>
      </c>
      <c r="H3599" s="83">
        <f t="shared" si="56"/>
        <v>250</v>
      </c>
      <c r="I3599" s="83"/>
      <c r="K3599" s="54" t="s">
        <v>15</v>
      </c>
    </row>
    <row r="3600" spans="2:11" ht="33" x14ac:dyDescent="0.2">
      <c r="B3600" s="82" t="s">
        <v>5958</v>
      </c>
      <c r="C3600" s="82" t="s">
        <v>5830</v>
      </c>
      <c r="D3600" s="83">
        <f>SUMIFS(D3601:D6462,K3601:K6462,"0",B3601:B6462,"5 1 2 1 1 12 31111 6 M59 20400 000132 0000R 00001 00211 015 2112000*")-SUMIFS(E3601:E6462,K3601:K6462,"0",B3601:B6462,"5 1 2 1 1 12 31111 6 M59 20400 000132 0000R 00001 00211 015 2112000*")</f>
        <v>0</v>
      </c>
      <c r="E3600" s="54"/>
      <c r="F3600" s="83">
        <f>SUMIFS(F3601:F6462,K3601:K6462,"0",B3601:B6462,"5 1 2 1 1 12 31111 6 M59 20400 000132 0000R 00001 00211 015 2112000*")</f>
        <v>250</v>
      </c>
      <c r="G3600" s="83">
        <f>SUMIFS(G3601:G6462,K3601:K6462,"0",B3601:B6462,"5 1 2 1 1 12 31111 6 M59 20400 000132 0000R 00001 00211 015 2112000*")</f>
        <v>0</v>
      </c>
      <c r="H3600" s="83">
        <f t="shared" si="56"/>
        <v>250</v>
      </c>
      <c r="I3600" s="83"/>
      <c r="K3600" s="54" t="s">
        <v>15</v>
      </c>
    </row>
    <row r="3601" spans="2:11" ht="33" x14ac:dyDescent="0.2">
      <c r="B3601" s="82" t="s">
        <v>5959</v>
      </c>
      <c r="C3601" s="82" t="s">
        <v>660</v>
      </c>
      <c r="D3601" s="83">
        <f>SUMIFS(D3602:D6462,K3602:K6462,"0",B3602:B6462,"5 1 2 1 1 12 31111 6 M59 20400 000132 0000R 00001 00211 015 2112000 2024*")-SUMIFS(E3602:E6462,K3602:K6462,"0",B3602:B6462,"5 1 2 1 1 12 31111 6 M59 20400 000132 0000R 00001 00211 015 2112000 2024*")</f>
        <v>0</v>
      </c>
      <c r="E3601" s="54"/>
      <c r="F3601" s="83">
        <f>SUMIFS(F3602:F6462,K3602:K6462,"0",B3602:B6462,"5 1 2 1 1 12 31111 6 M59 20400 000132 0000R 00001 00211 015 2112000 2024*")</f>
        <v>250</v>
      </c>
      <c r="G3601" s="83">
        <f>SUMIFS(G3602:G6462,K3602:K6462,"0",B3602:B6462,"5 1 2 1 1 12 31111 6 M59 20400 000132 0000R 00001 00211 015 2112000 2024*")</f>
        <v>0</v>
      </c>
      <c r="H3601" s="83">
        <f t="shared" si="56"/>
        <v>250</v>
      </c>
      <c r="I3601" s="83"/>
      <c r="K3601" s="54" t="s">
        <v>15</v>
      </c>
    </row>
    <row r="3602" spans="2:11" ht="41.25" x14ac:dyDescent="0.2">
      <c r="B3602" s="82" t="s">
        <v>5960</v>
      </c>
      <c r="C3602" s="82" t="s">
        <v>1056</v>
      </c>
      <c r="D3602" s="83">
        <f>SUMIFS(D3603:D6462,K3603:K6462,"0",B3603:B6462,"5 1 2 1 1 12 31111 6 M59 20400 000132 0000R 00001 00211 015 2112000 2024 CP1PV404*")-SUMIFS(E3603:E6462,K3603:K6462,"0",B3603:B6462,"5 1 2 1 1 12 31111 6 M59 20400 000132 0000R 00001 00211 015 2112000 2024 CP1PV404*")</f>
        <v>0</v>
      </c>
      <c r="E3602" s="54"/>
      <c r="F3602" s="83">
        <f>SUMIFS(F3603:F6462,K3603:K6462,"0",B3603:B6462,"5 1 2 1 1 12 31111 6 M59 20400 000132 0000R 00001 00211 015 2112000 2024 CP1PV404*")</f>
        <v>250</v>
      </c>
      <c r="G3602" s="83">
        <f>SUMIFS(G3603:G6462,K3603:K6462,"0",B3603:B6462,"5 1 2 1 1 12 31111 6 M59 20400 000132 0000R 00001 00211 015 2112000 2024 CP1PV404*")</f>
        <v>0</v>
      </c>
      <c r="H3602" s="83">
        <f t="shared" si="56"/>
        <v>250</v>
      </c>
      <c r="I3602" s="83"/>
      <c r="K3602" s="54" t="s">
        <v>15</v>
      </c>
    </row>
    <row r="3603" spans="2:11" ht="41.25" x14ac:dyDescent="0.2">
      <c r="B3603" s="82" t="s">
        <v>5961</v>
      </c>
      <c r="C3603" s="82" t="s">
        <v>282</v>
      </c>
      <c r="D3603" s="83">
        <f>SUMIFS(D3604:D6462,K3604:K6462,"0",B3604:B6462,"5 1 2 1 1 12 31111 6 M59 20400 000132 0000R 00001 00211 015 2112000 2024 CP1PV404 001*")-SUMIFS(E3604:E6462,K3604:K6462,"0",B3604:B6462,"5 1 2 1 1 12 31111 6 M59 20400 000132 0000R 00001 00211 015 2112000 2024 CP1PV404 001*")</f>
        <v>0</v>
      </c>
      <c r="E3603" s="54"/>
      <c r="F3603" s="83">
        <f>SUMIFS(F3604:F6462,K3604:K6462,"0",B3604:B6462,"5 1 2 1 1 12 31111 6 M59 20400 000132 0000R 00001 00211 015 2112000 2024 CP1PV404 001*")</f>
        <v>250</v>
      </c>
      <c r="G3603" s="83">
        <f>SUMIFS(G3604:G6462,K3604:K6462,"0",B3604:B6462,"5 1 2 1 1 12 31111 6 M59 20400 000132 0000R 00001 00211 015 2112000 2024 CP1PV404 001*")</f>
        <v>0</v>
      </c>
      <c r="H3603" s="83">
        <f t="shared" si="56"/>
        <v>250</v>
      </c>
      <c r="I3603" s="83"/>
      <c r="K3603" s="54" t="s">
        <v>15</v>
      </c>
    </row>
    <row r="3604" spans="2:11" ht="41.25" x14ac:dyDescent="0.2">
      <c r="B3604" s="84" t="s">
        <v>5962</v>
      </c>
      <c r="C3604" s="84" t="s">
        <v>5827</v>
      </c>
      <c r="D3604" s="85">
        <v>0</v>
      </c>
      <c r="E3604" s="85"/>
      <c r="F3604" s="85">
        <v>250</v>
      </c>
      <c r="G3604" s="85">
        <v>0</v>
      </c>
      <c r="H3604" s="85">
        <f t="shared" si="56"/>
        <v>250</v>
      </c>
      <c r="I3604" s="85"/>
      <c r="K3604" s="54" t="s">
        <v>38</v>
      </c>
    </row>
    <row r="3605" spans="2:11" ht="16.5" x14ac:dyDescent="0.2">
      <c r="B3605" s="82" t="s">
        <v>5963</v>
      </c>
      <c r="C3605" s="82" t="s">
        <v>1079</v>
      </c>
      <c r="D3605" s="83">
        <f>SUMIFS(D3606:D6462,K3606:K6462,"0",B3606:B6462,"5 1 2 1 1 12 31111 6 M59 20500*")-SUMIFS(E3606:E6462,K3606:K6462,"0",B3606:B6462,"5 1 2 1 1 12 31111 6 M59 20500*")</f>
        <v>0</v>
      </c>
      <c r="E3605" s="54"/>
      <c r="F3605" s="83">
        <f>SUMIFS(F3606:F6462,K3606:K6462,"0",B3606:B6462,"5 1 2 1 1 12 31111 6 M59 20500*")</f>
        <v>5375336.0899999999</v>
      </c>
      <c r="G3605" s="83">
        <f>SUMIFS(G3606:G6462,K3606:K6462,"0",B3606:B6462,"5 1 2 1 1 12 31111 6 M59 20500*")</f>
        <v>0</v>
      </c>
      <c r="H3605" s="83">
        <f t="shared" si="56"/>
        <v>5375336.0899999999</v>
      </c>
      <c r="I3605" s="83"/>
      <c r="K3605" s="54" t="s">
        <v>15</v>
      </c>
    </row>
    <row r="3606" spans="2:11" ht="16.5" x14ac:dyDescent="0.2">
      <c r="B3606" s="82" t="s">
        <v>5964</v>
      </c>
      <c r="C3606" s="82" t="s">
        <v>648</v>
      </c>
      <c r="D3606" s="83">
        <f>SUMIFS(D3607:D6462,K3607:K6462,"0",B3607:B6462,"5 1 2 1 1 12 31111 6 M59 20500 000132*")-SUMIFS(E3607:E6462,K3607:K6462,"0",B3607:B6462,"5 1 2 1 1 12 31111 6 M59 20500 000132*")</f>
        <v>0</v>
      </c>
      <c r="E3606" s="54"/>
      <c r="F3606" s="83">
        <f>SUMIFS(F3607:F6462,K3607:K6462,"0",B3607:B6462,"5 1 2 1 1 12 31111 6 M59 20500 000132*")</f>
        <v>5375336.0899999999</v>
      </c>
      <c r="G3606" s="83">
        <f>SUMIFS(G3607:G6462,K3607:K6462,"0",B3607:B6462,"5 1 2 1 1 12 31111 6 M59 20500 000132*")</f>
        <v>0</v>
      </c>
      <c r="H3606" s="83">
        <f t="shared" si="56"/>
        <v>5375336.0899999999</v>
      </c>
      <c r="I3606" s="83"/>
      <c r="K3606" s="54" t="s">
        <v>15</v>
      </c>
    </row>
    <row r="3607" spans="2:11" ht="16.5" x14ac:dyDescent="0.2">
      <c r="B3607" s="82" t="s">
        <v>5965</v>
      </c>
      <c r="C3607" s="82" t="s">
        <v>650</v>
      </c>
      <c r="D3607" s="83">
        <f>SUMIFS(D3608:D6462,K3608:K6462,"0",B3608:B6462,"5 1 2 1 1 12 31111 6 M59 20500 000132 0000R*")-SUMIFS(E3608:E6462,K3608:K6462,"0",B3608:B6462,"5 1 2 1 1 12 31111 6 M59 20500 000132 0000R*")</f>
        <v>0</v>
      </c>
      <c r="E3607" s="54"/>
      <c r="F3607" s="83">
        <f>SUMIFS(F3608:F6462,K3608:K6462,"0",B3608:B6462,"5 1 2 1 1 12 31111 6 M59 20500 000132 0000R*")</f>
        <v>5375336.0899999999</v>
      </c>
      <c r="G3607" s="83">
        <f>SUMIFS(G3608:G6462,K3608:K6462,"0",B3608:B6462,"5 1 2 1 1 12 31111 6 M59 20500 000132 0000R*")</f>
        <v>0</v>
      </c>
      <c r="H3607" s="83">
        <f t="shared" si="56"/>
        <v>5375336.0899999999</v>
      </c>
      <c r="I3607" s="83"/>
      <c r="K3607" s="54" t="s">
        <v>15</v>
      </c>
    </row>
    <row r="3608" spans="2:11" ht="24.75" x14ac:dyDescent="0.2">
      <c r="B3608" s="82" t="s">
        <v>5966</v>
      </c>
      <c r="C3608" s="82" t="s">
        <v>282</v>
      </c>
      <c r="D3608" s="83">
        <f>SUMIFS(D3609:D6462,K3609:K6462,"0",B3609:B6462,"5 1 2 1 1 12 31111 6 M59 20500 000132 0000R 00001*")-SUMIFS(E3609:E6462,K3609:K6462,"0",B3609:B6462,"5 1 2 1 1 12 31111 6 M59 20500 000132 0000R 00001*")</f>
        <v>0</v>
      </c>
      <c r="E3608" s="54"/>
      <c r="F3608" s="83">
        <f>SUMIFS(F3609:F6462,K3609:K6462,"0",B3609:B6462,"5 1 2 1 1 12 31111 6 M59 20500 000132 0000R 00001*")</f>
        <v>5375336.0899999999</v>
      </c>
      <c r="G3608" s="83">
        <f>SUMIFS(G3609:G6462,K3609:K6462,"0",B3609:B6462,"5 1 2 1 1 12 31111 6 M59 20500 000132 0000R 00001*")</f>
        <v>0</v>
      </c>
      <c r="H3608" s="83">
        <f t="shared" si="56"/>
        <v>5375336.0899999999</v>
      </c>
      <c r="I3608" s="83"/>
      <c r="K3608" s="54" t="s">
        <v>15</v>
      </c>
    </row>
    <row r="3609" spans="2:11" ht="24.75" x14ac:dyDescent="0.2">
      <c r="B3609" s="82" t="s">
        <v>5967</v>
      </c>
      <c r="C3609" s="82" t="s">
        <v>5827</v>
      </c>
      <c r="D3609" s="83">
        <f>SUMIFS(D3610:D6462,K3610:K6462,"0",B3610:B6462,"5 1 2 1 1 12 31111 6 M59 20500 000132 0000R 00001 00211*")-SUMIFS(E3610:E6462,K3610:K6462,"0",B3610:B6462,"5 1 2 1 1 12 31111 6 M59 20500 000132 0000R 00001 00211*")</f>
        <v>0</v>
      </c>
      <c r="E3609" s="54"/>
      <c r="F3609" s="83">
        <f>SUMIFS(F3610:F6462,K3610:K6462,"0",B3610:B6462,"5 1 2 1 1 12 31111 6 M59 20500 000132 0000R 00001 00211*")</f>
        <v>5375336.0899999999</v>
      </c>
      <c r="G3609" s="83">
        <f>SUMIFS(G3610:G6462,K3610:K6462,"0",B3610:B6462,"5 1 2 1 1 12 31111 6 M59 20500 000132 0000R 00001 00211*")</f>
        <v>0</v>
      </c>
      <c r="H3609" s="83">
        <f t="shared" si="56"/>
        <v>5375336.0899999999</v>
      </c>
      <c r="I3609" s="83"/>
      <c r="K3609" s="54" t="s">
        <v>15</v>
      </c>
    </row>
    <row r="3610" spans="2:11" ht="24.75" x14ac:dyDescent="0.2">
      <c r="B3610" s="82" t="s">
        <v>5968</v>
      </c>
      <c r="C3610" s="82" t="s">
        <v>1051</v>
      </c>
      <c r="D3610" s="83">
        <f>SUMIFS(D3611:D6462,K3611:K6462,"0",B3611:B6462,"5 1 2 1 1 12 31111 6 M59 20500 000132 0000R 00001 00211 015*")-SUMIFS(E3611:E6462,K3611:K6462,"0",B3611:B6462,"5 1 2 1 1 12 31111 6 M59 20500 000132 0000R 00001 00211 015*")</f>
        <v>0</v>
      </c>
      <c r="E3610" s="54"/>
      <c r="F3610" s="83">
        <f>SUMIFS(F3611:F6462,K3611:K6462,"0",B3611:B6462,"5 1 2 1 1 12 31111 6 M59 20500 000132 0000R 00001 00211 015*")</f>
        <v>5375336.0899999999</v>
      </c>
      <c r="G3610" s="83">
        <f>SUMIFS(G3611:G6462,K3611:K6462,"0",B3611:B6462,"5 1 2 1 1 12 31111 6 M59 20500 000132 0000R 00001 00211 015*")</f>
        <v>0</v>
      </c>
      <c r="H3610" s="83">
        <f t="shared" si="56"/>
        <v>5375336.0899999999</v>
      </c>
      <c r="I3610" s="83"/>
      <c r="K3610" s="54" t="s">
        <v>15</v>
      </c>
    </row>
    <row r="3611" spans="2:11" ht="33" x14ac:dyDescent="0.2">
      <c r="B3611" s="82" t="s">
        <v>5969</v>
      </c>
      <c r="C3611" s="82" t="s">
        <v>5830</v>
      </c>
      <c r="D3611" s="83">
        <f>SUMIFS(D3612:D6462,K3612:K6462,"0",B3612:B6462,"5 1 2 1 1 12 31111 6 M59 20500 000132 0000R 00001 00211 015 2112000*")-SUMIFS(E3612:E6462,K3612:K6462,"0",B3612:B6462,"5 1 2 1 1 12 31111 6 M59 20500 000132 0000R 00001 00211 015 2112000*")</f>
        <v>0</v>
      </c>
      <c r="E3611" s="54"/>
      <c r="F3611" s="83">
        <f>SUMIFS(F3612:F6462,K3612:K6462,"0",B3612:B6462,"5 1 2 1 1 12 31111 6 M59 20500 000132 0000R 00001 00211 015 2112000*")</f>
        <v>5375336.0899999999</v>
      </c>
      <c r="G3611" s="83">
        <f>SUMIFS(G3612:G6462,K3612:K6462,"0",B3612:B6462,"5 1 2 1 1 12 31111 6 M59 20500 000132 0000R 00001 00211 015 2112000*")</f>
        <v>0</v>
      </c>
      <c r="H3611" s="83">
        <f t="shared" si="56"/>
        <v>5375336.0899999999</v>
      </c>
      <c r="I3611" s="83"/>
      <c r="K3611" s="54" t="s">
        <v>15</v>
      </c>
    </row>
    <row r="3612" spans="2:11" ht="33" x14ac:dyDescent="0.2">
      <c r="B3612" s="82" t="s">
        <v>5970</v>
      </c>
      <c r="C3612" s="82" t="s">
        <v>660</v>
      </c>
      <c r="D3612" s="83">
        <f>SUMIFS(D3613:D6462,K3613:K6462,"0",B3613:B6462,"5 1 2 1 1 12 31111 6 M59 20500 000132 0000R 00001 00211 015 2112000 2024*")-SUMIFS(E3613:E6462,K3613:K6462,"0",B3613:B6462,"5 1 2 1 1 12 31111 6 M59 20500 000132 0000R 00001 00211 015 2112000 2024*")</f>
        <v>0</v>
      </c>
      <c r="E3612" s="54"/>
      <c r="F3612" s="83">
        <f>SUMIFS(F3613:F6462,K3613:K6462,"0",B3613:B6462,"5 1 2 1 1 12 31111 6 M59 20500 000132 0000R 00001 00211 015 2112000 2024*")</f>
        <v>5375336.0899999999</v>
      </c>
      <c r="G3612" s="83">
        <f>SUMIFS(G3613:G6462,K3613:K6462,"0",B3613:B6462,"5 1 2 1 1 12 31111 6 M59 20500 000132 0000R 00001 00211 015 2112000 2024*")</f>
        <v>0</v>
      </c>
      <c r="H3612" s="83">
        <f t="shared" si="56"/>
        <v>5375336.0899999999</v>
      </c>
      <c r="I3612" s="83"/>
      <c r="K3612" s="54" t="s">
        <v>15</v>
      </c>
    </row>
    <row r="3613" spans="2:11" ht="41.25" x14ac:dyDescent="0.2">
      <c r="B3613" s="82" t="s">
        <v>5971</v>
      </c>
      <c r="C3613" s="82" t="s">
        <v>1056</v>
      </c>
      <c r="D3613" s="83">
        <f>SUMIFS(D3614:D6462,K3614:K6462,"0",B3614:B6462,"5 1 2 1 1 12 31111 6 M59 20500 000132 0000R 00001 00211 015 2112000 2024 CP1CP420*")-SUMIFS(E3614:E6462,K3614:K6462,"0",B3614:B6462,"5 1 2 1 1 12 31111 6 M59 20500 000132 0000R 00001 00211 015 2112000 2024 CP1CP420*")</f>
        <v>0</v>
      </c>
      <c r="E3613" s="54"/>
      <c r="F3613" s="83">
        <f>SUMIFS(F3614:F6462,K3614:K6462,"0",B3614:B6462,"5 1 2 1 1 12 31111 6 M59 20500 000132 0000R 00001 00211 015 2112000 2024 CP1CP420*")</f>
        <v>5375336.0899999999</v>
      </c>
      <c r="G3613" s="83">
        <f>SUMIFS(G3614:G6462,K3614:K6462,"0",B3614:B6462,"5 1 2 1 1 12 31111 6 M59 20500 000132 0000R 00001 00211 015 2112000 2024 CP1CP420*")</f>
        <v>0</v>
      </c>
      <c r="H3613" s="83">
        <f t="shared" si="56"/>
        <v>5375336.0899999999</v>
      </c>
      <c r="I3613" s="83"/>
      <c r="K3613" s="54" t="s">
        <v>15</v>
      </c>
    </row>
    <row r="3614" spans="2:11" ht="41.25" x14ac:dyDescent="0.2">
      <c r="B3614" s="82" t="s">
        <v>5972</v>
      </c>
      <c r="C3614" s="82" t="s">
        <v>282</v>
      </c>
      <c r="D3614" s="83">
        <f>SUMIFS(D3615:D6462,K3615:K6462,"0",B3615:B6462,"5 1 2 1 1 12 31111 6 M59 20500 000132 0000R 00001 00211 015 2112000 2024 CP1CP420 001*")-SUMIFS(E3615:E6462,K3615:K6462,"0",B3615:B6462,"5 1 2 1 1 12 31111 6 M59 20500 000132 0000R 00001 00211 015 2112000 2024 CP1CP420 001*")</f>
        <v>0</v>
      </c>
      <c r="E3614" s="54"/>
      <c r="F3614" s="83">
        <f>SUMIFS(F3615:F6462,K3615:K6462,"0",B3615:B6462,"5 1 2 1 1 12 31111 6 M59 20500 000132 0000R 00001 00211 015 2112000 2024 CP1CP420 001*")</f>
        <v>5375336.0899999999</v>
      </c>
      <c r="G3614" s="83">
        <f>SUMIFS(G3615:G6462,K3615:K6462,"0",B3615:B6462,"5 1 2 1 1 12 31111 6 M59 20500 000132 0000R 00001 00211 015 2112000 2024 CP1CP420 001*")</f>
        <v>0</v>
      </c>
      <c r="H3614" s="83">
        <f t="shared" si="56"/>
        <v>5375336.0899999999</v>
      </c>
      <c r="I3614" s="83"/>
      <c r="K3614" s="54" t="s">
        <v>15</v>
      </c>
    </row>
    <row r="3615" spans="2:11" ht="33" x14ac:dyDescent="0.2">
      <c r="B3615" s="84" t="s">
        <v>5973</v>
      </c>
      <c r="C3615" s="84" t="s">
        <v>5817</v>
      </c>
      <c r="D3615" s="85">
        <v>0</v>
      </c>
      <c r="E3615" s="85"/>
      <c r="F3615" s="85">
        <v>5375336.0899999999</v>
      </c>
      <c r="G3615" s="85">
        <v>0</v>
      </c>
      <c r="H3615" s="85">
        <f t="shared" si="56"/>
        <v>5375336.0899999999</v>
      </c>
      <c r="I3615" s="85"/>
      <c r="K3615" s="54" t="s">
        <v>38</v>
      </c>
    </row>
    <row r="3616" spans="2:11" ht="16.5" x14ac:dyDescent="0.2">
      <c r="B3616" s="82" t="s">
        <v>5985</v>
      </c>
      <c r="C3616" s="82" t="s">
        <v>3126</v>
      </c>
      <c r="D3616" s="83">
        <f>SUMIFS(D3617:D6462,K3617:K6462,"0",B3617:B6462,"5 1 2 1 1 12 31111 6 M59 20600*")-SUMIFS(E3617:E6462,K3617:K6462,"0",B3617:B6462,"5 1 2 1 1 12 31111 6 M59 20600*")</f>
        <v>0</v>
      </c>
      <c r="E3616" s="54"/>
      <c r="F3616" s="83">
        <f>SUMIFS(F3617:F6462,K3617:K6462,"0",B3617:B6462,"5 1 2 1 1 12 31111 6 M59 20600*")</f>
        <v>7607.04</v>
      </c>
      <c r="G3616" s="83">
        <f>SUMIFS(G3617:G6462,K3617:K6462,"0",B3617:B6462,"5 1 2 1 1 12 31111 6 M59 20600*")</f>
        <v>0</v>
      </c>
      <c r="H3616" s="83">
        <f t="shared" si="56"/>
        <v>7607.04</v>
      </c>
      <c r="I3616" s="83"/>
      <c r="K3616" s="54" t="s">
        <v>15</v>
      </c>
    </row>
    <row r="3617" spans="2:11" ht="16.5" x14ac:dyDescent="0.2">
      <c r="B3617" s="82" t="s">
        <v>5986</v>
      </c>
      <c r="C3617" s="82" t="s">
        <v>648</v>
      </c>
      <c r="D3617" s="83">
        <f>SUMIFS(D3618:D6462,K3618:K6462,"0",B3618:B6462,"5 1 2 1 1 12 31111 6 M59 20600 000132*")-SUMIFS(E3618:E6462,K3618:K6462,"0",B3618:B6462,"5 1 2 1 1 12 31111 6 M59 20600 000132*")</f>
        <v>0</v>
      </c>
      <c r="E3617" s="54"/>
      <c r="F3617" s="83">
        <f>SUMIFS(F3618:F6462,K3618:K6462,"0",B3618:B6462,"5 1 2 1 1 12 31111 6 M59 20600 000132*")</f>
        <v>7607.04</v>
      </c>
      <c r="G3617" s="83">
        <f>SUMIFS(G3618:G6462,K3618:K6462,"0",B3618:B6462,"5 1 2 1 1 12 31111 6 M59 20600 000132*")</f>
        <v>0</v>
      </c>
      <c r="H3617" s="83">
        <f t="shared" si="56"/>
        <v>7607.04</v>
      </c>
      <c r="I3617" s="83"/>
      <c r="K3617" s="54" t="s">
        <v>15</v>
      </c>
    </row>
    <row r="3618" spans="2:11" ht="16.5" x14ac:dyDescent="0.2">
      <c r="B3618" s="82" t="s">
        <v>5987</v>
      </c>
      <c r="C3618" s="82" t="s">
        <v>650</v>
      </c>
      <c r="D3618" s="83">
        <f>SUMIFS(D3619:D6462,K3619:K6462,"0",B3619:B6462,"5 1 2 1 1 12 31111 6 M59 20600 000132 0000R*")-SUMIFS(E3619:E6462,K3619:K6462,"0",B3619:B6462,"5 1 2 1 1 12 31111 6 M59 20600 000132 0000R*")</f>
        <v>0</v>
      </c>
      <c r="E3618" s="54"/>
      <c r="F3618" s="83">
        <f>SUMIFS(F3619:F6462,K3619:K6462,"0",B3619:B6462,"5 1 2 1 1 12 31111 6 M59 20600 000132 0000R*")</f>
        <v>7607.04</v>
      </c>
      <c r="G3618" s="83">
        <f>SUMIFS(G3619:G6462,K3619:K6462,"0",B3619:B6462,"5 1 2 1 1 12 31111 6 M59 20600 000132 0000R*")</f>
        <v>0</v>
      </c>
      <c r="H3618" s="83">
        <f t="shared" si="56"/>
        <v>7607.04</v>
      </c>
      <c r="I3618" s="83"/>
      <c r="K3618" s="54" t="s">
        <v>15</v>
      </c>
    </row>
    <row r="3619" spans="2:11" ht="24.75" x14ac:dyDescent="0.2">
      <c r="B3619" s="82" t="s">
        <v>5988</v>
      </c>
      <c r="C3619" s="82" t="s">
        <v>282</v>
      </c>
      <c r="D3619" s="83">
        <f>SUMIFS(D3620:D6462,K3620:K6462,"0",B3620:B6462,"5 1 2 1 1 12 31111 6 M59 20600 000132 0000R 00001*")-SUMIFS(E3620:E6462,K3620:K6462,"0",B3620:B6462,"5 1 2 1 1 12 31111 6 M59 20600 000132 0000R 00001*")</f>
        <v>0</v>
      </c>
      <c r="E3619" s="54"/>
      <c r="F3619" s="83">
        <f>SUMIFS(F3620:F6462,K3620:K6462,"0",B3620:B6462,"5 1 2 1 1 12 31111 6 M59 20600 000132 0000R 00001*")</f>
        <v>7607.04</v>
      </c>
      <c r="G3619" s="83">
        <f>SUMIFS(G3620:G6462,K3620:K6462,"0",B3620:B6462,"5 1 2 1 1 12 31111 6 M59 20600 000132 0000R 00001*")</f>
        <v>0</v>
      </c>
      <c r="H3619" s="83">
        <f t="shared" si="56"/>
        <v>7607.04</v>
      </c>
      <c r="I3619" s="83"/>
      <c r="K3619" s="54" t="s">
        <v>15</v>
      </c>
    </row>
    <row r="3620" spans="2:11" ht="24.75" x14ac:dyDescent="0.2">
      <c r="B3620" s="82" t="s">
        <v>5989</v>
      </c>
      <c r="C3620" s="82" t="s">
        <v>5827</v>
      </c>
      <c r="D3620" s="83">
        <f>SUMIFS(D3621:D6462,K3621:K6462,"0",B3621:B6462,"5 1 2 1 1 12 31111 6 M59 20600 000132 0000R 00001 00211*")-SUMIFS(E3621:E6462,K3621:K6462,"0",B3621:B6462,"5 1 2 1 1 12 31111 6 M59 20600 000132 0000R 00001 00211*")</f>
        <v>0</v>
      </c>
      <c r="E3620" s="54"/>
      <c r="F3620" s="83">
        <f>SUMIFS(F3621:F6462,K3621:K6462,"0",B3621:B6462,"5 1 2 1 1 12 31111 6 M59 20600 000132 0000R 00001 00211*")</f>
        <v>7607.04</v>
      </c>
      <c r="G3620" s="83">
        <f>SUMIFS(G3621:G6462,K3621:K6462,"0",B3621:B6462,"5 1 2 1 1 12 31111 6 M59 20600 000132 0000R 00001 00211*")</f>
        <v>0</v>
      </c>
      <c r="H3620" s="83">
        <f t="shared" si="56"/>
        <v>7607.04</v>
      </c>
      <c r="I3620" s="83"/>
      <c r="K3620" s="54" t="s">
        <v>15</v>
      </c>
    </row>
    <row r="3621" spans="2:11" ht="24.75" x14ac:dyDescent="0.2">
      <c r="B3621" s="82" t="s">
        <v>5990</v>
      </c>
      <c r="C3621" s="82" t="s">
        <v>1051</v>
      </c>
      <c r="D3621" s="83">
        <f>SUMIFS(D3622:D6462,K3622:K6462,"0",B3622:B6462,"5 1 2 1 1 12 31111 6 M59 20600 000132 0000R 00001 00211 015*")-SUMIFS(E3622:E6462,K3622:K6462,"0",B3622:B6462,"5 1 2 1 1 12 31111 6 M59 20600 000132 0000R 00001 00211 015*")</f>
        <v>0</v>
      </c>
      <c r="E3621" s="54"/>
      <c r="F3621" s="83">
        <f>SUMIFS(F3622:F6462,K3622:K6462,"0",B3622:B6462,"5 1 2 1 1 12 31111 6 M59 20600 000132 0000R 00001 00211 015*")</f>
        <v>7607.04</v>
      </c>
      <c r="G3621" s="83">
        <f>SUMIFS(G3622:G6462,K3622:K6462,"0",B3622:B6462,"5 1 2 1 1 12 31111 6 M59 20600 000132 0000R 00001 00211 015*")</f>
        <v>0</v>
      </c>
      <c r="H3621" s="83">
        <f t="shared" si="56"/>
        <v>7607.04</v>
      </c>
      <c r="I3621" s="83"/>
      <c r="K3621" s="54" t="s">
        <v>15</v>
      </c>
    </row>
    <row r="3622" spans="2:11" ht="33" x14ac:dyDescent="0.2">
      <c r="B3622" s="82" t="s">
        <v>5991</v>
      </c>
      <c r="C3622" s="82" t="s">
        <v>5830</v>
      </c>
      <c r="D3622" s="83">
        <f>SUMIFS(D3623:D6462,K3623:K6462,"0",B3623:B6462,"5 1 2 1 1 12 31111 6 M59 20600 000132 0000R 00001 00211 015 2112000*")-SUMIFS(E3623:E6462,K3623:K6462,"0",B3623:B6462,"5 1 2 1 1 12 31111 6 M59 20600 000132 0000R 00001 00211 015 2112000*")</f>
        <v>0</v>
      </c>
      <c r="E3622" s="54"/>
      <c r="F3622" s="83">
        <f>SUMIFS(F3623:F6462,K3623:K6462,"0",B3623:B6462,"5 1 2 1 1 12 31111 6 M59 20600 000132 0000R 00001 00211 015 2112000*")</f>
        <v>7607.04</v>
      </c>
      <c r="G3622" s="83">
        <f>SUMIFS(G3623:G6462,K3623:K6462,"0",B3623:B6462,"5 1 2 1 1 12 31111 6 M59 20600 000132 0000R 00001 00211 015 2112000*")</f>
        <v>0</v>
      </c>
      <c r="H3622" s="83">
        <f t="shared" si="56"/>
        <v>7607.04</v>
      </c>
      <c r="I3622" s="83"/>
      <c r="K3622" s="54" t="s">
        <v>15</v>
      </c>
    </row>
    <row r="3623" spans="2:11" ht="33" x14ac:dyDescent="0.2">
      <c r="B3623" s="82" t="s">
        <v>5992</v>
      </c>
      <c r="C3623" s="82" t="s">
        <v>660</v>
      </c>
      <c r="D3623" s="83">
        <f>SUMIFS(D3624:D6462,K3624:K6462,"0",B3624:B6462,"5 1 2 1 1 12 31111 6 M59 20600 000132 0000R 00001 00211 015 2112000 2024*")-SUMIFS(E3624:E6462,K3624:K6462,"0",B3624:B6462,"5 1 2 1 1 12 31111 6 M59 20600 000132 0000R 00001 00211 015 2112000 2024*")</f>
        <v>0</v>
      </c>
      <c r="E3623" s="54"/>
      <c r="F3623" s="83">
        <f>SUMIFS(F3624:F6462,K3624:K6462,"0",B3624:B6462,"5 1 2 1 1 12 31111 6 M59 20600 000132 0000R 00001 00211 015 2112000 2024*")</f>
        <v>7607.04</v>
      </c>
      <c r="G3623" s="83">
        <f>SUMIFS(G3624:G6462,K3624:K6462,"0",B3624:B6462,"5 1 2 1 1 12 31111 6 M59 20600 000132 0000R 00001 00211 015 2112000 2024*")</f>
        <v>0</v>
      </c>
      <c r="H3623" s="83">
        <f t="shared" si="56"/>
        <v>7607.04</v>
      </c>
      <c r="I3623" s="83"/>
      <c r="K3623" s="54" t="s">
        <v>15</v>
      </c>
    </row>
    <row r="3624" spans="2:11" ht="41.25" x14ac:dyDescent="0.2">
      <c r="B3624" s="82" t="s">
        <v>5993</v>
      </c>
      <c r="C3624" s="82" t="s">
        <v>1056</v>
      </c>
      <c r="D3624" s="83">
        <f>SUMIFS(D3625:D6462,K3625:K6462,"0",B3625:B6462,"5 1 2 1 1 12 31111 6 M59 20600 000132 0000R 00001 00211 015 2112000 2024 CP1CA380*")-SUMIFS(E3625:E6462,K3625:K6462,"0",B3625:B6462,"5 1 2 1 1 12 31111 6 M59 20600 000132 0000R 00001 00211 015 2112000 2024 CP1CA380*")</f>
        <v>0</v>
      </c>
      <c r="E3624" s="54"/>
      <c r="F3624" s="83">
        <f>SUMIFS(F3625:F6462,K3625:K6462,"0",B3625:B6462,"5 1 2 1 1 12 31111 6 M59 20600 000132 0000R 00001 00211 015 2112000 2024 CP1CA380*")</f>
        <v>7607.04</v>
      </c>
      <c r="G3624" s="83">
        <f>SUMIFS(G3625:G6462,K3625:K6462,"0",B3625:B6462,"5 1 2 1 1 12 31111 6 M59 20600 000132 0000R 00001 00211 015 2112000 2024 CP1CA380*")</f>
        <v>0</v>
      </c>
      <c r="H3624" s="83">
        <f t="shared" si="56"/>
        <v>7607.04</v>
      </c>
      <c r="I3624" s="83"/>
      <c r="K3624" s="54" t="s">
        <v>15</v>
      </c>
    </row>
    <row r="3625" spans="2:11" ht="41.25" x14ac:dyDescent="0.2">
      <c r="B3625" s="82" t="s">
        <v>5994</v>
      </c>
      <c r="C3625" s="82" t="s">
        <v>282</v>
      </c>
      <c r="D3625" s="83">
        <f>SUMIFS(D3626:D6462,K3626:K6462,"0",B3626:B6462,"5 1 2 1 1 12 31111 6 M59 20600 000132 0000R 00001 00211 015 2112000 2024 CP1CA380 001*")-SUMIFS(E3626:E6462,K3626:K6462,"0",B3626:B6462,"5 1 2 1 1 12 31111 6 M59 20600 000132 0000R 00001 00211 015 2112000 2024 CP1CA380 001*")</f>
        <v>0</v>
      </c>
      <c r="E3625" s="54"/>
      <c r="F3625" s="83">
        <f>SUMIFS(F3626:F6462,K3626:K6462,"0",B3626:B6462,"5 1 2 1 1 12 31111 6 M59 20600 000132 0000R 00001 00211 015 2112000 2024 CP1CA380 001*")</f>
        <v>7607.04</v>
      </c>
      <c r="G3625" s="83">
        <f>SUMIFS(G3626:G6462,K3626:K6462,"0",B3626:B6462,"5 1 2 1 1 12 31111 6 M59 20600 000132 0000R 00001 00211 015 2112000 2024 CP1CA380 001*")</f>
        <v>0</v>
      </c>
      <c r="H3625" s="83">
        <f t="shared" si="56"/>
        <v>7607.04</v>
      </c>
      <c r="I3625" s="83"/>
      <c r="K3625" s="54" t="s">
        <v>15</v>
      </c>
    </row>
    <row r="3626" spans="2:11" ht="41.25" x14ac:dyDescent="0.2">
      <c r="B3626" s="84" t="s">
        <v>5995</v>
      </c>
      <c r="C3626" s="84" t="s">
        <v>5827</v>
      </c>
      <c r="D3626" s="85">
        <v>0</v>
      </c>
      <c r="E3626" s="85"/>
      <c r="F3626" s="85">
        <v>7607.04</v>
      </c>
      <c r="G3626" s="85">
        <v>0</v>
      </c>
      <c r="H3626" s="85">
        <f t="shared" si="56"/>
        <v>7607.04</v>
      </c>
      <c r="I3626" s="85"/>
      <c r="K3626" s="54" t="s">
        <v>38</v>
      </c>
    </row>
    <row r="3627" spans="2:11" ht="16.5" x14ac:dyDescent="0.2">
      <c r="B3627" s="82" t="s">
        <v>5996</v>
      </c>
      <c r="C3627" s="82" t="s">
        <v>3138</v>
      </c>
      <c r="D3627" s="83">
        <f>SUMIFS(D3628:D6462,K3628:K6462,"0",B3628:B6462,"5 1 2 1 1 12 31111 6 M59 20700*")-SUMIFS(E3628:E6462,K3628:K6462,"0",B3628:B6462,"5 1 2 1 1 12 31111 6 M59 20700*")</f>
        <v>0</v>
      </c>
      <c r="E3627" s="54"/>
      <c r="F3627" s="83">
        <f>SUMIFS(F3628:F6462,K3628:K6462,"0",B3628:B6462,"5 1 2 1 1 12 31111 6 M59 20700*")</f>
        <v>250</v>
      </c>
      <c r="G3627" s="83">
        <f>SUMIFS(G3628:G6462,K3628:K6462,"0",B3628:B6462,"5 1 2 1 1 12 31111 6 M59 20700*")</f>
        <v>0</v>
      </c>
      <c r="H3627" s="83">
        <f t="shared" ref="H3627:H3690" si="57">D3627 + F3627 - G3627</f>
        <v>250</v>
      </c>
      <c r="I3627" s="83"/>
      <c r="K3627" s="54" t="s">
        <v>15</v>
      </c>
    </row>
    <row r="3628" spans="2:11" ht="16.5" x14ac:dyDescent="0.2">
      <c r="B3628" s="82" t="s">
        <v>5997</v>
      </c>
      <c r="C3628" s="82" t="s">
        <v>648</v>
      </c>
      <c r="D3628" s="83">
        <f>SUMIFS(D3629:D6462,K3629:K6462,"0",B3629:B6462,"5 1 2 1 1 12 31111 6 M59 20700 000132*")-SUMIFS(E3629:E6462,K3629:K6462,"0",B3629:B6462,"5 1 2 1 1 12 31111 6 M59 20700 000132*")</f>
        <v>0</v>
      </c>
      <c r="E3628" s="54"/>
      <c r="F3628" s="83">
        <f>SUMIFS(F3629:F6462,K3629:K6462,"0",B3629:B6462,"5 1 2 1 1 12 31111 6 M59 20700 000132*")</f>
        <v>250</v>
      </c>
      <c r="G3628" s="83">
        <f>SUMIFS(G3629:G6462,K3629:K6462,"0",B3629:B6462,"5 1 2 1 1 12 31111 6 M59 20700 000132*")</f>
        <v>0</v>
      </c>
      <c r="H3628" s="83">
        <f t="shared" si="57"/>
        <v>250</v>
      </c>
      <c r="I3628" s="83"/>
      <c r="K3628" s="54" t="s">
        <v>15</v>
      </c>
    </row>
    <row r="3629" spans="2:11" ht="16.5" x14ac:dyDescent="0.2">
      <c r="B3629" s="82" t="s">
        <v>5998</v>
      </c>
      <c r="C3629" s="82" t="s">
        <v>650</v>
      </c>
      <c r="D3629" s="83">
        <f>SUMIFS(D3630:D6462,K3630:K6462,"0",B3630:B6462,"5 1 2 1 1 12 31111 6 M59 20700 000132 0000R*")-SUMIFS(E3630:E6462,K3630:K6462,"0",B3630:B6462,"5 1 2 1 1 12 31111 6 M59 20700 000132 0000R*")</f>
        <v>0</v>
      </c>
      <c r="E3629" s="54"/>
      <c r="F3629" s="83">
        <f>SUMIFS(F3630:F6462,K3630:K6462,"0",B3630:B6462,"5 1 2 1 1 12 31111 6 M59 20700 000132 0000R*")</f>
        <v>250</v>
      </c>
      <c r="G3629" s="83">
        <f>SUMIFS(G3630:G6462,K3630:K6462,"0",B3630:B6462,"5 1 2 1 1 12 31111 6 M59 20700 000132 0000R*")</f>
        <v>0</v>
      </c>
      <c r="H3629" s="83">
        <f t="shared" si="57"/>
        <v>250</v>
      </c>
      <c r="I3629" s="83"/>
      <c r="K3629" s="54" t="s">
        <v>15</v>
      </c>
    </row>
    <row r="3630" spans="2:11" ht="24.75" x14ac:dyDescent="0.2">
      <c r="B3630" s="82" t="s">
        <v>5999</v>
      </c>
      <c r="C3630" s="82" t="s">
        <v>282</v>
      </c>
      <c r="D3630" s="83">
        <f>SUMIFS(D3631:D6462,K3631:K6462,"0",B3631:B6462,"5 1 2 1 1 12 31111 6 M59 20700 000132 0000R 00001*")-SUMIFS(E3631:E6462,K3631:K6462,"0",B3631:B6462,"5 1 2 1 1 12 31111 6 M59 20700 000132 0000R 00001*")</f>
        <v>0</v>
      </c>
      <c r="E3630" s="54"/>
      <c r="F3630" s="83">
        <f>SUMIFS(F3631:F6462,K3631:K6462,"0",B3631:B6462,"5 1 2 1 1 12 31111 6 M59 20700 000132 0000R 00001*")</f>
        <v>250</v>
      </c>
      <c r="G3630" s="83">
        <f>SUMIFS(G3631:G6462,K3631:K6462,"0",B3631:B6462,"5 1 2 1 1 12 31111 6 M59 20700 000132 0000R 00001*")</f>
        <v>0</v>
      </c>
      <c r="H3630" s="83">
        <f t="shared" si="57"/>
        <v>250</v>
      </c>
      <c r="I3630" s="83"/>
      <c r="K3630" s="54" t="s">
        <v>15</v>
      </c>
    </row>
    <row r="3631" spans="2:11" ht="24.75" x14ac:dyDescent="0.2">
      <c r="B3631" s="82" t="s">
        <v>6000</v>
      </c>
      <c r="C3631" s="82" t="s">
        <v>5827</v>
      </c>
      <c r="D3631" s="83">
        <f>SUMIFS(D3632:D6462,K3632:K6462,"0",B3632:B6462,"5 1 2 1 1 12 31111 6 M59 20700 000132 0000R 00001 00211*")-SUMIFS(E3632:E6462,K3632:K6462,"0",B3632:B6462,"5 1 2 1 1 12 31111 6 M59 20700 000132 0000R 00001 00211*")</f>
        <v>0</v>
      </c>
      <c r="E3631" s="54"/>
      <c r="F3631" s="83">
        <f>SUMIFS(F3632:F6462,K3632:K6462,"0",B3632:B6462,"5 1 2 1 1 12 31111 6 M59 20700 000132 0000R 00001 00211*")</f>
        <v>250</v>
      </c>
      <c r="G3631" s="83">
        <f>SUMIFS(G3632:G6462,K3632:K6462,"0",B3632:B6462,"5 1 2 1 1 12 31111 6 M59 20700 000132 0000R 00001 00211*")</f>
        <v>0</v>
      </c>
      <c r="H3631" s="83">
        <f t="shared" si="57"/>
        <v>250</v>
      </c>
      <c r="I3631" s="83"/>
      <c r="K3631" s="54" t="s">
        <v>15</v>
      </c>
    </row>
    <row r="3632" spans="2:11" ht="24.75" x14ac:dyDescent="0.2">
      <c r="B3632" s="82" t="s">
        <v>6001</v>
      </c>
      <c r="C3632" s="82" t="s">
        <v>1051</v>
      </c>
      <c r="D3632" s="83">
        <f>SUMIFS(D3633:D6462,K3633:K6462,"0",B3633:B6462,"5 1 2 1 1 12 31111 6 M59 20700 000132 0000R 00001 00211 015*")-SUMIFS(E3633:E6462,K3633:K6462,"0",B3633:B6462,"5 1 2 1 1 12 31111 6 M59 20700 000132 0000R 00001 00211 015*")</f>
        <v>0</v>
      </c>
      <c r="E3632" s="54"/>
      <c r="F3632" s="83">
        <f>SUMIFS(F3633:F6462,K3633:K6462,"0",B3633:B6462,"5 1 2 1 1 12 31111 6 M59 20700 000132 0000R 00001 00211 015*")</f>
        <v>250</v>
      </c>
      <c r="G3632" s="83">
        <f>SUMIFS(G3633:G6462,K3633:K6462,"0",B3633:B6462,"5 1 2 1 1 12 31111 6 M59 20700 000132 0000R 00001 00211 015*")</f>
        <v>0</v>
      </c>
      <c r="H3632" s="83">
        <f t="shared" si="57"/>
        <v>250</v>
      </c>
      <c r="I3632" s="83"/>
      <c r="K3632" s="54" t="s">
        <v>15</v>
      </c>
    </row>
    <row r="3633" spans="2:11" ht="33" x14ac:dyDescent="0.2">
      <c r="B3633" s="82" t="s">
        <v>6002</v>
      </c>
      <c r="C3633" s="82" t="s">
        <v>5830</v>
      </c>
      <c r="D3633" s="83">
        <f>SUMIFS(D3634:D6462,K3634:K6462,"0",B3634:B6462,"5 1 2 1 1 12 31111 6 M59 20700 000132 0000R 00001 00211 015 2112000*")-SUMIFS(E3634:E6462,K3634:K6462,"0",B3634:B6462,"5 1 2 1 1 12 31111 6 M59 20700 000132 0000R 00001 00211 015 2112000*")</f>
        <v>0</v>
      </c>
      <c r="E3633" s="54"/>
      <c r="F3633" s="83">
        <f>SUMIFS(F3634:F6462,K3634:K6462,"0",B3634:B6462,"5 1 2 1 1 12 31111 6 M59 20700 000132 0000R 00001 00211 015 2112000*")</f>
        <v>250</v>
      </c>
      <c r="G3633" s="83">
        <f>SUMIFS(G3634:G6462,K3634:K6462,"0",B3634:B6462,"5 1 2 1 1 12 31111 6 M59 20700 000132 0000R 00001 00211 015 2112000*")</f>
        <v>0</v>
      </c>
      <c r="H3633" s="83">
        <f t="shared" si="57"/>
        <v>250</v>
      </c>
      <c r="I3633" s="83"/>
      <c r="K3633" s="54" t="s">
        <v>15</v>
      </c>
    </row>
    <row r="3634" spans="2:11" ht="33" x14ac:dyDescent="0.2">
      <c r="B3634" s="82" t="s">
        <v>6003</v>
      </c>
      <c r="C3634" s="82" t="s">
        <v>660</v>
      </c>
      <c r="D3634" s="83">
        <f>SUMIFS(D3635:D6462,K3635:K6462,"0",B3635:B6462,"5 1 2 1 1 12 31111 6 M59 20700 000132 0000R 00001 00211 015 2112000 2024*")-SUMIFS(E3635:E6462,K3635:K6462,"0",B3635:B6462,"5 1 2 1 1 12 31111 6 M59 20700 000132 0000R 00001 00211 015 2112000 2024*")</f>
        <v>0</v>
      </c>
      <c r="E3634" s="54"/>
      <c r="F3634" s="83">
        <f>SUMIFS(F3635:F6462,K3635:K6462,"0",B3635:B6462,"5 1 2 1 1 12 31111 6 M59 20700 000132 0000R 00001 00211 015 2112000 2024*")</f>
        <v>250</v>
      </c>
      <c r="G3634" s="83">
        <f>SUMIFS(G3635:G6462,K3635:K6462,"0",B3635:B6462,"5 1 2 1 1 12 31111 6 M59 20700 000132 0000R 00001 00211 015 2112000 2024*")</f>
        <v>0</v>
      </c>
      <c r="H3634" s="83">
        <f t="shared" si="57"/>
        <v>250</v>
      </c>
      <c r="I3634" s="83"/>
      <c r="K3634" s="54" t="s">
        <v>15</v>
      </c>
    </row>
    <row r="3635" spans="2:11" ht="41.25" x14ac:dyDescent="0.2">
      <c r="B3635" s="82" t="s">
        <v>6004</v>
      </c>
      <c r="C3635" s="82" t="s">
        <v>662</v>
      </c>
      <c r="D3635" s="83">
        <f>SUMIFS(D3636:D6462,K3636:K6462,"0",B3636:B6462,"5 1 2 1 1 12 31111 6 M59 20700 000132 0000R 00001 00211 015 2112000 2024 CP1RM401*")-SUMIFS(E3636:E6462,K3636:K6462,"0",B3636:B6462,"5 1 2 1 1 12 31111 6 M59 20700 000132 0000R 00001 00211 015 2112000 2024 CP1RM401*")</f>
        <v>0</v>
      </c>
      <c r="E3635" s="54"/>
      <c r="F3635" s="83">
        <f>SUMIFS(F3636:F6462,K3636:K6462,"0",B3636:B6462,"5 1 2 1 1 12 31111 6 M59 20700 000132 0000R 00001 00211 015 2112000 2024 CP1RM401*")</f>
        <v>250</v>
      </c>
      <c r="G3635" s="83">
        <f>SUMIFS(G3636:G6462,K3636:K6462,"0",B3636:B6462,"5 1 2 1 1 12 31111 6 M59 20700 000132 0000R 00001 00211 015 2112000 2024 CP1RM401*")</f>
        <v>0</v>
      </c>
      <c r="H3635" s="83">
        <f t="shared" si="57"/>
        <v>250</v>
      </c>
      <c r="I3635" s="83"/>
      <c r="K3635" s="54" t="s">
        <v>15</v>
      </c>
    </row>
    <row r="3636" spans="2:11" ht="41.25" x14ac:dyDescent="0.2">
      <c r="B3636" s="82" t="s">
        <v>6005</v>
      </c>
      <c r="C3636" s="82" t="s">
        <v>282</v>
      </c>
      <c r="D3636" s="83">
        <f>SUMIFS(D3637:D6462,K3637:K6462,"0",B3637:B6462,"5 1 2 1 1 12 31111 6 M59 20700 000132 0000R 00001 00211 015 2112000 2024 CP1RM401 001*")-SUMIFS(E3637:E6462,K3637:K6462,"0",B3637:B6462,"5 1 2 1 1 12 31111 6 M59 20700 000132 0000R 00001 00211 015 2112000 2024 CP1RM401 001*")</f>
        <v>0</v>
      </c>
      <c r="E3636" s="54"/>
      <c r="F3636" s="83">
        <f>SUMIFS(F3637:F6462,K3637:K6462,"0",B3637:B6462,"5 1 2 1 1 12 31111 6 M59 20700 000132 0000R 00001 00211 015 2112000 2024 CP1RM401 001*")</f>
        <v>250</v>
      </c>
      <c r="G3636" s="83">
        <f>SUMIFS(G3637:G6462,K3637:K6462,"0",B3637:B6462,"5 1 2 1 1 12 31111 6 M59 20700 000132 0000R 00001 00211 015 2112000 2024 CP1RM401 001*")</f>
        <v>0</v>
      </c>
      <c r="H3636" s="83">
        <f t="shared" si="57"/>
        <v>250</v>
      </c>
      <c r="I3636" s="83"/>
      <c r="K3636" s="54" t="s">
        <v>15</v>
      </c>
    </row>
    <row r="3637" spans="2:11" ht="33" x14ac:dyDescent="0.2">
      <c r="B3637" s="84" t="s">
        <v>6006</v>
      </c>
      <c r="C3637" s="84" t="s">
        <v>5827</v>
      </c>
      <c r="D3637" s="85">
        <v>0</v>
      </c>
      <c r="E3637" s="85"/>
      <c r="F3637" s="85">
        <v>250</v>
      </c>
      <c r="G3637" s="85">
        <v>0</v>
      </c>
      <c r="H3637" s="85">
        <f t="shared" si="57"/>
        <v>250</v>
      </c>
      <c r="I3637" s="85"/>
      <c r="K3637" s="54" t="s">
        <v>38</v>
      </c>
    </row>
    <row r="3638" spans="2:11" ht="16.5" x14ac:dyDescent="0.2">
      <c r="B3638" s="82" t="s">
        <v>6007</v>
      </c>
      <c r="C3638" s="82" t="s">
        <v>3150</v>
      </c>
      <c r="D3638" s="83">
        <f>SUMIFS(D3639:D6462,K3639:K6462,"0",B3639:B6462,"5 1 2 1 1 12 31111 6 M59 20800*")-SUMIFS(E3639:E6462,K3639:K6462,"0",B3639:B6462,"5 1 2 1 1 12 31111 6 M59 20800*")</f>
        <v>0</v>
      </c>
      <c r="E3638" s="54"/>
      <c r="F3638" s="83">
        <f>SUMIFS(F3639:F6462,K3639:K6462,"0",B3639:B6462,"5 1 2 1 1 12 31111 6 M59 20800*")</f>
        <v>1749.99</v>
      </c>
      <c r="G3638" s="83">
        <f>SUMIFS(G3639:G6462,K3639:K6462,"0",B3639:B6462,"5 1 2 1 1 12 31111 6 M59 20800*")</f>
        <v>0</v>
      </c>
      <c r="H3638" s="83">
        <f t="shared" si="57"/>
        <v>1749.99</v>
      </c>
      <c r="I3638" s="83"/>
      <c r="K3638" s="54" t="s">
        <v>15</v>
      </c>
    </row>
    <row r="3639" spans="2:11" ht="24.75" x14ac:dyDescent="0.2">
      <c r="B3639" s="82" t="s">
        <v>6008</v>
      </c>
      <c r="C3639" s="82" t="s">
        <v>3152</v>
      </c>
      <c r="D3639" s="83">
        <f>SUMIFS(D3640:D6462,K3640:K6462,"0",B3640:B6462,"5 1 2 1 1 12 31111 6 M59 20800 000181*")-SUMIFS(E3640:E6462,K3640:K6462,"0",B3640:B6462,"5 1 2 1 1 12 31111 6 M59 20800 000181*")</f>
        <v>0</v>
      </c>
      <c r="E3639" s="54"/>
      <c r="F3639" s="83">
        <f>SUMIFS(F3640:F6462,K3640:K6462,"0",B3640:B6462,"5 1 2 1 1 12 31111 6 M59 20800 000181*")</f>
        <v>1749.99</v>
      </c>
      <c r="G3639" s="83">
        <f>SUMIFS(G3640:G6462,K3640:K6462,"0",B3640:B6462,"5 1 2 1 1 12 31111 6 M59 20800 000181*")</f>
        <v>0</v>
      </c>
      <c r="H3639" s="83">
        <f t="shared" si="57"/>
        <v>1749.99</v>
      </c>
      <c r="I3639" s="83"/>
      <c r="K3639" s="54" t="s">
        <v>15</v>
      </c>
    </row>
    <row r="3640" spans="2:11" ht="16.5" x14ac:dyDescent="0.2">
      <c r="B3640" s="82" t="s">
        <v>6009</v>
      </c>
      <c r="C3640" s="82" t="s">
        <v>650</v>
      </c>
      <c r="D3640" s="83">
        <f>SUMIFS(D3641:D6462,K3641:K6462,"0",B3641:B6462,"5 1 2 1 1 12 31111 6 M59 20800 000181 0000R*")-SUMIFS(E3641:E6462,K3641:K6462,"0",B3641:B6462,"5 1 2 1 1 12 31111 6 M59 20800 000181 0000R*")</f>
        <v>0</v>
      </c>
      <c r="E3640" s="54"/>
      <c r="F3640" s="83">
        <f>SUMIFS(F3641:F6462,K3641:K6462,"0",B3641:B6462,"5 1 2 1 1 12 31111 6 M59 20800 000181 0000R*")</f>
        <v>1749.99</v>
      </c>
      <c r="G3640" s="83">
        <f>SUMIFS(G3641:G6462,K3641:K6462,"0",B3641:B6462,"5 1 2 1 1 12 31111 6 M59 20800 000181 0000R*")</f>
        <v>0</v>
      </c>
      <c r="H3640" s="83">
        <f t="shared" si="57"/>
        <v>1749.99</v>
      </c>
      <c r="I3640" s="83"/>
      <c r="K3640" s="54" t="s">
        <v>15</v>
      </c>
    </row>
    <row r="3641" spans="2:11" ht="24.75" x14ac:dyDescent="0.2">
      <c r="B3641" s="82" t="s">
        <v>6010</v>
      </c>
      <c r="C3641" s="82" t="s">
        <v>282</v>
      </c>
      <c r="D3641" s="83">
        <f>SUMIFS(D3642:D6462,K3642:K6462,"0",B3642:B6462,"5 1 2 1 1 12 31111 6 M59 20800 000181 0000R 00001*")-SUMIFS(E3642:E6462,K3642:K6462,"0",B3642:B6462,"5 1 2 1 1 12 31111 6 M59 20800 000181 0000R 00001*")</f>
        <v>0</v>
      </c>
      <c r="E3641" s="54"/>
      <c r="F3641" s="83">
        <f>SUMIFS(F3642:F6462,K3642:K6462,"0",B3642:B6462,"5 1 2 1 1 12 31111 6 M59 20800 000181 0000R 00001*")</f>
        <v>1749.99</v>
      </c>
      <c r="G3641" s="83">
        <f>SUMIFS(G3642:G6462,K3642:K6462,"0",B3642:B6462,"5 1 2 1 1 12 31111 6 M59 20800 000181 0000R 00001*")</f>
        <v>0</v>
      </c>
      <c r="H3641" s="83">
        <f t="shared" si="57"/>
        <v>1749.99</v>
      </c>
      <c r="I3641" s="83"/>
      <c r="K3641" s="54" t="s">
        <v>15</v>
      </c>
    </row>
    <row r="3642" spans="2:11" ht="24.75" x14ac:dyDescent="0.2">
      <c r="B3642" s="82" t="s">
        <v>6011</v>
      </c>
      <c r="C3642" s="82" t="s">
        <v>5827</v>
      </c>
      <c r="D3642" s="83">
        <f>SUMIFS(D3643:D6462,K3643:K6462,"0",B3643:B6462,"5 1 2 1 1 12 31111 6 M59 20800 000181 0000R 00001 00211*")-SUMIFS(E3643:E6462,K3643:K6462,"0",B3643:B6462,"5 1 2 1 1 12 31111 6 M59 20800 000181 0000R 00001 00211*")</f>
        <v>0</v>
      </c>
      <c r="E3642" s="54"/>
      <c r="F3642" s="83">
        <f>SUMIFS(F3643:F6462,K3643:K6462,"0",B3643:B6462,"5 1 2 1 1 12 31111 6 M59 20800 000181 0000R 00001 00211*")</f>
        <v>1749.99</v>
      </c>
      <c r="G3642" s="83">
        <f>SUMIFS(G3643:G6462,K3643:K6462,"0",B3643:B6462,"5 1 2 1 1 12 31111 6 M59 20800 000181 0000R 00001 00211*")</f>
        <v>0</v>
      </c>
      <c r="H3642" s="83">
        <f t="shared" si="57"/>
        <v>1749.99</v>
      </c>
      <c r="I3642" s="83"/>
      <c r="K3642" s="54" t="s">
        <v>15</v>
      </c>
    </row>
    <row r="3643" spans="2:11" ht="24.75" x14ac:dyDescent="0.2">
      <c r="B3643" s="82" t="s">
        <v>6012</v>
      </c>
      <c r="C3643" s="82" t="s">
        <v>1051</v>
      </c>
      <c r="D3643" s="83">
        <f>SUMIFS(D3644:D6462,K3644:K6462,"0",B3644:B6462,"5 1 2 1 1 12 31111 6 M59 20800 000181 0000R 00001 00211 015*")-SUMIFS(E3644:E6462,K3644:K6462,"0",B3644:B6462,"5 1 2 1 1 12 31111 6 M59 20800 000181 0000R 00001 00211 015*")</f>
        <v>0</v>
      </c>
      <c r="E3643" s="54"/>
      <c r="F3643" s="83">
        <f>SUMIFS(F3644:F6462,K3644:K6462,"0",B3644:B6462,"5 1 2 1 1 12 31111 6 M59 20800 000181 0000R 00001 00211 015*")</f>
        <v>1749.99</v>
      </c>
      <c r="G3643" s="83">
        <f>SUMIFS(G3644:G6462,K3644:K6462,"0",B3644:B6462,"5 1 2 1 1 12 31111 6 M59 20800 000181 0000R 00001 00211 015*")</f>
        <v>0</v>
      </c>
      <c r="H3643" s="83">
        <f t="shared" si="57"/>
        <v>1749.99</v>
      </c>
      <c r="I3643" s="83"/>
      <c r="K3643" s="54" t="s">
        <v>15</v>
      </c>
    </row>
    <row r="3644" spans="2:11" ht="33" x14ac:dyDescent="0.2">
      <c r="B3644" s="82" t="s">
        <v>6013</v>
      </c>
      <c r="C3644" s="82" t="s">
        <v>5830</v>
      </c>
      <c r="D3644" s="83">
        <f>SUMIFS(D3645:D6462,K3645:K6462,"0",B3645:B6462,"5 1 2 1 1 12 31111 6 M59 20800 000181 0000R 00001 00211 015 2112000*")-SUMIFS(E3645:E6462,K3645:K6462,"0",B3645:B6462,"5 1 2 1 1 12 31111 6 M59 20800 000181 0000R 00001 00211 015 2112000*")</f>
        <v>0</v>
      </c>
      <c r="E3644" s="54"/>
      <c r="F3644" s="83">
        <f>SUMIFS(F3645:F6462,K3645:K6462,"0",B3645:B6462,"5 1 2 1 1 12 31111 6 M59 20800 000181 0000R 00001 00211 015 2112000*")</f>
        <v>1749.99</v>
      </c>
      <c r="G3644" s="83">
        <f>SUMIFS(G3645:G6462,K3645:K6462,"0",B3645:B6462,"5 1 2 1 1 12 31111 6 M59 20800 000181 0000R 00001 00211 015 2112000*")</f>
        <v>0</v>
      </c>
      <c r="H3644" s="83">
        <f t="shared" si="57"/>
        <v>1749.99</v>
      </c>
      <c r="I3644" s="83"/>
      <c r="K3644" s="54" t="s">
        <v>15</v>
      </c>
    </row>
    <row r="3645" spans="2:11" ht="33" x14ac:dyDescent="0.2">
      <c r="B3645" s="82" t="s">
        <v>6014</v>
      </c>
      <c r="C3645" s="82" t="s">
        <v>660</v>
      </c>
      <c r="D3645" s="83">
        <f>SUMIFS(D3646:D6462,K3646:K6462,"0",B3646:B6462,"5 1 2 1 1 12 31111 6 M59 20800 000181 0000R 00001 00211 015 2112000 2024*")-SUMIFS(E3646:E6462,K3646:K6462,"0",B3646:B6462,"5 1 2 1 1 12 31111 6 M59 20800 000181 0000R 00001 00211 015 2112000 2024*")</f>
        <v>0</v>
      </c>
      <c r="E3645" s="54"/>
      <c r="F3645" s="83">
        <f>SUMIFS(F3646:F6462,K3646:K6462,"0",B3646:B6462,"5 1 2 1 1 12 31111 6 M59 20800 000181 0000R 00001 00211 015 2112000 2024*")</f>
        <v>1749.99</v>
      </c>
      <c r="G3645" s="83">
        <f>SUMIFS(G3646:G6462,K3646:K6462,"0",B3646:B6462,"5 1 2 1 1 12 31111 6 M59 20800 000181 0000R 00001 00211 015 2112000 2024*")</f>
        <v>0</v>
      </c>
      <c r="H3645" s="83">
        <f t="shared" si="57"/>
        <v>1749.99</v>
      </c>
      <c r="I3645" s="83"/>
      <c r="K3645" s="54" t="s">
        <v>15</v>
      </c>
    </row>
    <row r="3646" spans="2:11" ht="41.25" x14ac:dyDescent="0.2">
      <c r="B3646" s="82" t="s">
        <v>6015</v>
      </c>
      <c r="C3646" s="82" t="s">
        <v>1056</v>
      </c>
      <c r="D3646" s="83">
        <f>SUMIFS(D3647:D6462,K3647:K6462,"0",B3647:B6462,"5 1 2 1 1 12 31111 6 M59 20800 000181 0000R 00001 00211 015 2112000 2024 CP1AA392*")-SUMIFS(E3647:E6462,K3647:K6462,"0",B3647:B6462,"5 1 2 1 1 12 31111 6 M59 20800 000181 0000R 00001 00211 015 2112000 2024 CP1AA392*")</f>
        <v>0</v>
      </c>
      <c r="E3646" s="54"/>
      <c r="F3646" s="83">
        <f>SUMIFS(F3647:F6462,K3647:K6462,"0",B3647:B6462,"5 1 2 1 1 12 31111 6 M59 20800 000181 0000R 00001 00211 015 2112000 2024 CP1AA392*")</f>
        <v>1749.99</v>
      </c>
      <c r="G3646" s="83">
        <f>SUMIFS(G3647:G6462,K3647:K6462,"0",B3647:B6462,"5 1 2 1 1 12 31111 6 M59 20800 000181 0000R 00001 00211 015 2112000 2024 CP1AA392*")</f>
        <v>0</v>
      </c>
      <c r="H3646" s="83">
        <f t="shared" si="57"/>
        <v>1749.99</v>
      </c>
      <c r="I3646" s="83"/>
      <c r="K3646" s="54" t="s">
        <v>15</v>
      </c>
    </row>
    <row r="3647" spans="2:11" ht="41.25" x14ac:dyDescent="0.2">
      <c r="B3647" s="82" t="s">
        <v>6016</v>
      </c>
      <c r="C3647" s="82" t="s">
        <v>282</v>
      </c>
      <c r="D3647" s="83">
        <f>SUMIFS(D3648:D6462,K3648:K6462,"0",B3648:B6462,"5 1 2 1 1 12 31111 6 M59 20800 000181 0000R 00001 00211 015 2112000 2024 CP1AA392 001*")-SUMIFS(E3648:E6462,K3648:K6462,"0",B3648:B6462,"5 1 2 1 1 12 31111 6 M59 20800 000181 0000R 00001 00211 015 2112000 2024 CP1AA392 001*")</f>
        <v>0</v>
      </c>
      <c r="E3647" s="54"/>
      <c r="F3647" s="83">
        <f>SUMIFS(F3648:F6462,K3648:K6462,"0",B3648:B6462,"5 1 2 1 1 12 31111 6 M59 20800 000181 0000R 00001 00211 015 2112000 2024 CP1AA392 001*")</f>
        <v>1749.99</v>
      </c>
      <c r="G3647" s="83">
        <f>SUMIFS(G3648:G6462,K3648:K6462,"0",B3648:B6462,"5 1 2 1 1 12 31111 6 M59 20800 000181 0000R 00001 00211 015 2112000 2024 CP1AA392 001*")</f>
        <v>0</v>
      </c>
      <c r="H3647" s="83">
        <f t="shared" si="57"/>
        <v>1749.99</v>
      </c>
      <c r="I3647" s="83"/>
      <c r="K3647" s="54" t="s">
        <v>15</v>
      </c>
    </row>
    <row r="3648" spans="2:11" ht="33" x14ac:dyDescent="0.2">
      <c r="B3648" s="84" t="s">
        <v>6017</v>
      </c>
      <c r="C3648" s="84" t="s">
        <v>5817</v>
      </c>
      <c r="D3648" s="85">
        <v>0</v>
      </c>
      <c r="E3648" s="85"/>
      <c r="F3648" s="85">
        <v>1749.99</v>
      </c>
      <c r="G3648" s="85">
        <v>0</v>
      </c>
      <c r="H3648" s="85">
        <f t="shared" si="57"/>
        <v>1749.99</v>
      </c>
      <c r="I3648" s="85"/>
      <c r="K3648" s="54" t="s">
        <v>38</v>
      </c>
    </row>
    <row r="3649" spans="2:11" ht="24.75" x14ac:dyDescent="0.2">
      <c r="B3649" s="82" t="s">
        <v>6018</v>
      </c>
      <c r="C3649" s="82" t="s">
        <v>3163</v>
      </c>
      <c r="D3649" s="83">
        <f>SUMIFS(D3650:D6462,K3650:K6462,"0",B3650:B6462,"5 1 2 1 1 12 31111 6 M59 21000*")-SUMIFS(E3650:E6462,K3650:K6462,"0",B3650:B6462,"5 1 2 1 1 12 31111 6 M59 21000*")</f>
        <v>0</v>
      </c>
      <c r="E3649" s="54"/>
      <c r="F3649" s="83">
        <f>SUMIFS(F3650:F6462,K3650:K6462,"0",B3650:B6462,"5 1 2 1 1 12 31111 6 M59 21000*")</f>
        <v>1499.99</v>
      </c>
      <c r="G3649" s="83">
        <f>SUMIFS(G3650:G6462,K3650:K6462,"0",B3650:B6462,"5 1 2 1 1 12 31111 6 M59 21000*")</f>
        <v>0</v>
      </c>
      <c r="H3649" s="83">
        <f t="shared" si="57"/>
        <v>1499.99</v>
      </c>
      <c r="I3649" s="83"/>
      <c r="K3649" s="54" t="s">
        <v>15</v>
      </c>
    </row>
    <row r="3650" spans="2:11" ht="16.5" x14ac:dyDescent="0.2">
      <c r="B3650" s="82" t="s">
        <v>6019</v>
      </c>
      <c r="C3650" s="82" t="s">
        <v>648</v>
      </c>
      <c r="D3650" s="83">
        <f>SUMIFS(D3651:D6462,K3651:K6462,"0",B3651:B6462,"5 1 2 1 1 12 31111 6 M59 21000 000132*")-SUMIFS(E3651:E6462,K3651:K6462,"0",B3651:B6462,"5 1 2 1 1 12 31111 6 M59 21000 000132*")</f>
        <v>0</v>
      </c>
      <c r="E3650" s="54"/>
      <c r="F3650" s="83">
        <f>SUMIFS(F3651:F6462,K3651:K6462,"0",B3651:B6462,"5 1 2 1 1 12 31111 6 M59 21000 000132*")</f>
        <v>1499.99</v>
      </c>
      <c r="G3650" s="83">
        <f>SUMIFS(G3651:G6462,K3651:K6462,"0",B3651:B6462,"5 1 2 1 1 12 31111 6 M59 21000 000132*")</f>
        <v>0</v>
      </c>
      <c r="H3650" s="83">
        <f t="shared" si="57"/>
        <v>1499.99</v>
      </c>
      <c r="I3650" s="83"/>
      <c r="K3650" s="54" t="s">
        <v>15</v>
      </c>
    </row>
    <row r="3651" spans="2:11" ht="16.5" x14ac:dyDescent="0.2">
      <c r="B3651" s="82" t="s">
        <v>6020</v>
      </c>
      <c r="C3651" s="82" t="s">
        <v>650</v>
      </c>
      <c r="D3651" s="83">
        <f>SUMIFS(D3652:D6462,K3652:K6462,"0",B3652:B6462,"5 1 2 1 1 12 31111 6 M59 21000 000132 0000R*")-SUMIFS(E3652:E6462,K3652:K6462,"0",B3652:B6462,"5 1 2 1 1 12 31111 6 M59 21000 000132 0000R*")</f>
        <v>0</v>
      </c>
      <c r="E3651" s="54"/>
      <c r="F3651" s="83">
        <f>SUMIFS(F3652:F6462,K3652:K6462,"0",B3652:B6462,"5 1 2 1 1 12 31111 6 M59 21000 000132 0000R*")</f>
        <v>1499.99</v>
      </c>
      <c r="G3651" s="83">
        <f>SUMIFS(G3652:G6462,K3652:K6462,"0",B3652:B6462,"5 1 2 1 1 12 31111 6 M59 21000 000132 0000R*")</f>
        <v>0</v>
      </c>
      <c r="H3651" s="83">
        <f t="shared" si="57"/>
        <v>1499.99</v>
      </c>
      <c r="I3651" s="83"/>
      <c r="K3651" s="54" t="s">
        <v>15</v>
      </c>
    </row>
    <row r="3652" spans="2:11" ht="24.75" x14ac:dyDescent="0.2">
      <c r="B3652" s="82" t="s">
        <v>6021</v>
      </c>
      <c r="C3652" s="82" t="s">
        <v>282</v>
      </c>
      <c r="D3652" s="83">
        <f>SUMIFS(D3653:D6462,K3653:K6462,"0",B3653:B6462,"5 1 2 1 1 12 31111 6 M59 21000 000132 0000R 00001*")-SUMIFS(E3653:E6462,K3653:K6462,"0",B3653:B6462,"5 1 2 1 1 12 31111 6 M59 21000 000132 0000R 00001*")</f>
        <v>0</v>
      </c>
      <c r="E3652" s="54"/>
      <c r="F3652" s="83">
        <f>SUMIFS(F3653:F6462,K3653:K6462,"0",B3653:B6462,"5 1 2 1 1 12 31111 6 M59 21000 000132 0000R 00001*")</f>
        <v>1499.99</v>
      </c>
      <c r="G3652" s="83">
        <f>SUMIFS(G3653:G6462,K3653:K6462,"0",B3653:B6462,"5 1 2 1 1 12 31111 6 M59 21000 000132 0000R 00001*")</f>
        <v>0</v>
      </c>
      <c r="H3652" s="83">
        <f t="shared" si="57"/>
        <v>1499.99</v>
      </c>
      <c r="I3652" s="83"/>
      <c r="K3652" s="54" t="s">
        <v>15</v>
      </c>
    </row>
    <row r="3653" spans="2:11" ht="24.75" x14ac:dyDescent="0.2">
      <c r="B3653" s="82" t="s">
        <v>6022</v>
      </c>
      <c r="C3653" s="82" t="s">
        <v>5827</v>
      </c>
      <c r="D3653" s="83">
        <f>SUMIFS(D3654:D6462,K3654:K6462,"0",B3654:B6462,"5 1 2 1 1 12 31111 6 M59 21000 000132 0000R 00001 00211*")-SUMIFS(E3654:E6462,K3654:K6462,"0",B3654:B6462,"5 1 2 1 1 12 31111 6 M59 21000 000132 0000R 00001 00211*")</f>
        <v>0</v>
      </c>
      <c r="E3653" s="54"/>
      <c r="F3653" s="83">
        <f>SUMIFS(F3654:F6462,K3654:K6462,"0",B3654:B6462,"5 1 2 1 1 12 31111 6 M59 21000 000132 0000R 00001 00211*")</f>
        <v>1499.99</v>
      </c>
      <c r="G3653" s="83">
        <f>SUMIFS(G3654:G6462,K3654:K6462,"0",B3654:B6462,"5 1 2 1 1 12 31111 6 M59 21000 000132 0000R 00001 00211*")</f>
        <v>0</v>
      </c>
      <c r="H3653" s="83">
        <f t="shared" si="57"/>
        <v>1499.99</v>
      </c>
      <c r="I3653" s="83"/>
      <c r="K3653" s="54" t="s">
        <v>15</v>
      </c>
    </row>
    <row r="3654" spans="2:11" ht="24.75" x14ac:dyDescent="0.2">
      <c r="B3654" s="82" t="s">
        <v>6023</v>
      </c>
      <c r="C3654" s="82" t="s">
        <v>1051</v>
      </c>
      <c r="D3654" s="83">
        <f>SUMIFS(D3655:D6462,K3655:K6462,"0",B3655:B6462,"5 1 2 1 1 12 31111 6 M59 21000 000132 0000R 00001 00211 015*")-SUMIFS(E3655:E6462,K3655:K6462,"0",B3655:B6462,"5 1 2 1 1 12 31111 6 M59 21000 000132 0000R 00001 00211 015*")</f>
        <v>0</v>
      </c>
      <c r="E3654" s="54"/>
      <c r="F3654" s="83">
        <f>SUMIFS(F3655:F6462,K3655:K6462,"0",B3655:B6462,"5 1 2 1 1 12 31111 6 M59 21000 000132 0000R 00001 00211 015*")</f>
        <v>1499.99</v>
      </c>
      <c r="G3654" s="83">
        <f>SUMIFS(G3655:G6462,K3655:K6462,"0",B3655:B6462,"5 1 2 1 1 12 31111 6 M59 21000 000132 0000R 00001 00211 015*")</f>
        <v>0</v>
      </c>
      <c r="H3654" s="83">
        <f t="shared" si="57"/>
        <v>1499.99</v>
      </c>
      <c r="I3654" s="83"/>
      <c r="K3654" s="54" t="s">
        <v>15</v>
      </c>
    </row>
    <row r="3655" spans="2:11" ht="33" x14ac:dyDescent="0.2">
      <c r="B3655" s="82" t="s">
        <v>6024</v>
      </c>
      <c r="C3655" s="82" t="s">
        <v>5830</v>
      </c>
      <c r="D3655" s="83">
        <f>SUMIFS(D3656:D6462,K3656:K6462,"0",B3656:B6462,"5 1 2 1 1 12 31111 6 M59 21000 000132 0000R 00001 00211 015 2112000*")-SUMIFS(E3656:E6462,K3656:K6462,"0",B3656:B6462,"5 1 2 1 1 12 31111 6 M59 21000 000132 0000R 00001 00211 015 2112000*")</f>
        <v>0</v>
      </c>
      <c r="E3655" s="54"/>
      <c r="F3655" s="83">
        <f>SUMIFS(F3656:F6462,K3656:K6462,"0",B3656:B6462,"5 1 2 1 1 12 31111 6 M59 21000 000132 0000R 00001 00211 015 2112000*")</f>
        <v>1499.99</v>
      </c>
      <c r="G3655" s="83">
        <f>SUMIFS(G3656:G6462,K3656:K6462,"0",B3656:B6462,"5 1 2 1 1 12 31111 6 M59 21000 000132 0000R 00001 00211 015 2112000*")</f>
        <v>0</v>
      </c>
      <c r="H3655" s="83">
        <f t="shared" si="57"/>
        <v>1499.99</v>
      </c>
      <c r="I3655" s="83"/>
      <c r="K3655" s="54" t="s">
        <v>15</v>
      </c>
    </row>
    <row r="3656" spans="2:11" ht="33" x14ac:dyDescent="0.2">
      <c r="B3656" s="82" t="s">
        <v>6025</v>
      </c>
      <c r="C3656" s="82" t="s">
        <v>660</v>
      </c>
      <c r="D3656" s="83">
        <f>SUMIFS(D3657:D6462,K3657:K6462,"0",B3657:B6462,"5 1 2 1 1 12 31111 6 M59 21000 000132 0000R 00001 00211 015 2112000 2024*")-SUMIFS(E3657:E6462,K3657:K6462,"0",B3657:B6462,"5 1 2 1 1 12 31111 6 M59 21000 000132 0000R 00001 00211 015 2112000 2024*")</f>
        <v>0</v>
      </c>
      <c r="E3656" s="54"/>
      <c r="F3656" s="83">
        <f>SUMIFS(F3657:F6462,K3657:K6462,"0",B3657:B6462,"5 1 2 1 1 12 31111 6 M59 21000 000132 0000R 00001 00211 015 2112000 2024*")</f>
        <v>1499.99</v>
      </c>
      <c r="G3656" s="83">
        <f>SUMIFS(G3657:G6462,K3657:K6462,"0",B3657:B6462,"5 1 2 1 1 12 31111 6 M59 21000 000132 0000R 00001 00211 015 2112000 2024*")</f>
        <v>0</v>
      </c>
      <c r="H3656" s="83">
        <f t="shared" si="57"/>
        <v>1499.99</v>
      </c>
      <c r="I3656" s="83"/>
      <c r="K3656" s="54" t="s">
        <v>15</v>
      </c>
    </row>
    <row r="3657" spans="2:11" ht="41.25" x14ac:dyDescent="0.2">
      <c r="B3657" s="82" t="s">
        <v>6026</v>
      </c>
      <c r="C3657" s="82" t="s">
        <v>1056</v>
      </c>
      <c r="D3657" s="83">
        <f>SUMIFS(D3658:D6462,K3658:K6462,"0",B3658:B6462,"5 1 2 1 1 12 31111 6 M59 21000 000132 0000R 00001 00211 015 2112000 2024 CP1PP402*")-SUMIFS(E3658:E6462,K3658:K6462,"0",B3658:B6462,"5 1 2 1 1 12 31111 6 M59 21000 000132 0000R 00001 00211 015 2112000 2024 CP1PP402*")</f>
        <v>0</v>
      </c>
      <c r="E3657" s="54"/>
      <c r="F3657" s="83">
        <f>SUMIFS(F3658:F6462,K3658:K6462,"0",B3658:B6462,"5 1 2 1 1 12 31111 6 M59 21000 000132 0000R 00001 00211 015 2112000 2024 CP1PP402*")</f>
        <v>1499.99</v>
      </c>
      <c r="G3657" s="83">
        <f>SUMIFS(G3658:G6462,K3658:K6462,"0",B3658:B6462,"5 1 2 1 1 12 31111 6 M59 21000 000132 0000R 00001 00211 015 2112000 2024 CP1PP402*")</f>
        <v>0</v>
      </c>
      <c r="H3657" s="83">
        <f t="shared" si="57"/>
        <v>1499.99</v>
      </c>
      <c r="I3657" s="83"/>
      <c r="K3657" s="54" t="s">
        <v>15</v>
      </c>
    </row>
    <row r="3658" spans="2:11" ht="41.25" x14ac:dyDescent="0.2">
      <c r="B3658" s="82" t="s">
        <v>6027</v>
      </c>
      <c r="C3658" s="82" t="s">
        <v>282</v>
      </c>
      <c r="D3658" s="83">
        <f>SUMIFS(D3659:D6462,K3659:K6462,"0",B3659:B6462,"5 1 2 1 1 12 31111 6 M59 21000 000132 0000R 00001 00211 015 2112000 2024 CP1PP402 001*")-SUMIFS(E3659:E6462,K3659:K6462,"0",B3659:B6462,"5 1 2 1 1 12 31111 6 M59 21000 000132 0000R 00001 00211 015 2112000 2024 CP1PP402 001*")</f>
        <v>0</v>
      </c>
      <c r="E3658" s="54"/>
      <c r="F3658" s="83">
        <f>SUMIFS(F3659:F6462,K3659:K6462,"0",B3659:B6462,"5 1 2 1 1 12 31111 6 M59 21000 000132 0000R 00001 00211 015 2112000 2024 CP1PP402 001*")</f>
        <v>1499.99</v>
      </c>
      <c r="G3658" s="83">
        <f>SUMIFS(G3659:G6462,K3659:K6462,"0",B3659:B6462,"5 1 2 1 1 12 31111 6 M59 21000 000132 0000R 00001 00211 015 2112000 2024 CP1PP402 001*")</f>
        <v>0</v>
      </c>
      <c r="H3658" s="83">
        <f t="shared" si="57"/>
        <v>1499.99</v>
      </c>
      <c r="I3658" s="83"/>
      <c r="K3658" s="54" t="s">
        <v>15</v>
      </c>
    </row>
    <row r="3659" spans="2:11" ht="33" x14ac:dyDescent="0.2">
      <c r="B3659" s="84" t="s">
        <v>6028</v>
      </c>
      <c r="C3659" s="84" t="s">
        <v>5827</v>
      </c>
      <c r="D3659" s="85">
        <v>0</v>
      </c>
      <c r="E3659" s="85"/>
      <c r="F3659" s="85">
        <v>1499.99</v>
      </c>
      <c r="G3659" s="85">
        <v>0</v>
      </c>
      <c r="H3659" s="85">
        <f t="shared" si="57"/>
        <v>1499.99</v>
      </c>
      <c r="I3659" s="85"/>
      <c r="K3659" s="54" t="s">
        <v>38</v>
      </c>
    </row>
    <row r="3660" spans="2:11" ht="16.5" x14ac:dyDescent="0.2">
      <c r="B3660" s="82" t="s">
        <v>6029</v>
      </c>
      <c r="C3660" s="82" t="s">
        <v>3199</v>
      </c>
      <c r="D3660" s="83">
        <f>SUMIFS(D3661:D6462,K3661:K6462,"0",B3661:B6462,"5 1 2 1 1 12 31111 6 M59 30000*")-SUMIFS(E3661:E6462,K3661:K6462,"0",B3661:B6462,"5 1 2 1 1 12 31111 6 M59 30000*")</f>
        <v>0</v>
      </c>
      <c r="E3660" s="54"/>
      <c r="F3660" s="83">
        <f>SUMIFS(F3661:F6462,K3661:K6462,"0",B3661:B6462,"5 1 2 1 1 12 31111 6 M59 30000*")</f>
        <v>2199.9899999999998</v>
      </c>
      <c r="G3660" s="83">
        <f>SUMIFS(G3661:G6462,K3661:K6462,"0",B3661:B6462,"5 1 2 1 1 12 31111 6 M59 30000*")</f>
        <v>0</v>
      </c>
      <c r="H3660" s="83">
        <f t="shared" si="57"/>
        <v>2199.9899999999998</v>
      </c>
      <c r="I3660" s="83"/>
      <c r="K3660" s="54" t="s">
        <v>15</v>
      </c>
    </row>
    <row r="3661" spans="2:11" ht="16.5" x14ac:dyDescent="0.2">
      <c r="B3661" s="82" t="s">
        <v>6030</v>
      </c>
      <c r="C3661" s="82" t="s">
        <v>648</v>
      </c>
      <c r="D3661" s="83">
        <f>SUMIFS(D3662:D6462,K3662:K6462,"0",B3662:B6462,"5 1 2 1 1 12 31111 6 M59 30000 000132*")-SUMIFS(E3662:E6462,K3662:K6462,"0",B3662:B6462,"5 1 2 1 1 12 31111 6 M59 30000 000132*")</f>
        <v>0</v>
      </c>
      <c r="E3661" s="54"/>
      <c r="F3661" s="83">
        <f>SUMIFS(F3662:F6462,K3662:K6462,"0",B3662:B6462,"5 1 2 1 1 12 31111 6 M59 30000 000132*")</f>
        <v>2199.9899999999998</v>
      </c>
      <c r="G3661" s="83">
        <f>SUMIFS(G3662:G6462,K3662:K6462,"0",B3662:B6462,"5 1 2 1 1 12 31111 6 M59 30000 000132*")</f>
        <v>0</v>
      </c>
      <c r="H3661" s="83">
        <f t="shared" si="57"/>
        <v>2199.9899999999998</v>
      </c>
      <c r="I3661" s="83"/>
      <c r="K3661" s="54" t="s">
        <v>15</v>
      </c>
    </row>
    <row r="3662" spans="2:11" ht="16.5" x14ac:dyDescent="0.2">
      <c r="B3662" s="82" t="s">
        <v>6031</v>
      </c>
      <c r="C3662" s="82" t="s">
        <v>650</v>
      </c>
      <c r="D3662" s="83">
        <f>SUMIFS(D3663:D6462,K3663:K6462,"0",B3663:B6462,"5 1 2 1 1 12 31111 6 M59 30000 000132 0000R*")-SUMIFS(E3663:E6462,K3663:K6462,"0",B3663:B6462,"5 1 2 1 1 12 31111 6 M59 30000 000132 0000R*")</f>
        <v>0</v>
      </c>
      <c r="E3662" s="54"/>
      <c r="F3662" s="83">
        <f>SUMIFS(F3663:F6462,K3663:K6462,"0",B3663:B6462,"5 1 2 1 1 12 31111 6 M59 30000 000132 0000R*")</f>
        <v>2199.9899999999998</v>
      </c>
      <c r="G3662" s="83">
        <f>SUMIFS(G3663:G6462,K3663:K6462,"0",B3663:B6462,"5 1 2 1 1 12 31111 6 M59 30000 000132 0000R*")</f>
        <v>0</v>
      </c>
      <c r="H3662" s="83">
        <f t="shared" si="57"/>
        <v>2199.9899999999998</v>
      </c>
      <c r="I3662" s="83"/>
      <c r="K3662" s="54" t="s">
        <v>15</v>
      </c>
    </row>
    <row r="3663" spans="2:11" ht="24.75" x14ac:dyDescent="0.2">
      <c r="B3663" s="82" t="s">
        <v>6032</v>
      </c>
      <c r="C3663" s="82" t="s">
        <v>282</v>
      </c>
      <c r="D3663" s="83">
        <f>SUMIFS(D3664:D6462,K3664:K6462,"0",B3664:B6462,"5 1 2 1 1 12 31111 6 M59 30000 000132 0000R 00001*")-SUMIFS(E3664:E6462,K3664:K6462,"0",B3664:B6462,"5 1 2 1 1 12 31111 6 M59 30000 000132 0000R 00001*")</f>
        <v>0</v>
      </c>
      <c r="E3663" s="54"/>
      <c r="F3663" s="83">
        <f>SUMIFS(F3664:F6462,K3664:K6462,"0",B3664:B6462,"5 1 2 1 1 12 31111 6 M59 30000 000132 0000R 00001*")</f>
        <v>2199.9899999999998</v>
      </c>
      <c r="G3663" s="83">
        <f>SUMIFS(G3664:G6462,K3664:K6462,"0",B3664:B6462,"5 1 2 1 1 12 31111 6 M59 30000 000132 0000R 00001*")</f>
        <v>0</v>
      </c>
      <c r="H3663" s="83">
        <f t="shared" si="57"/>
        <v>2199.9899999999998</v>
      </c>
      <c r="I3663" s="83"/>
      <c r="K3663" s="54" t="s">
        <v>15</v>
      </c>
    </row>
    <row r="3664" spans="2:11" ht="24.75" x14ac:dyDescent="0.2">
      <c r="B3664" s="82" t="s">
        <v>6033</v>
      </c>
      <c r="C3664" s="82" t="s">
        <v>5827</v>
      </c>
      <c r="D3664" s="83">
        <f>SUMIFS(D3665:D6462,K3665:K6462,"0",B3665:B6462,"5 1 2 1 1 12 31111 6 M59 30000 000132 0000R 00001 00211*")-SUMIFS(E3665:E6462,K3665:K6462,"0",B3665:B6462,"5 1 2 1 1 12 31111 6 M59 30000 000132 0000R 00001 00211*")</f>
        <v>0</v>
      </c>
      <c r="E3664" s="54"/>
      <c r="F3664" s="83">
        <f>SUMIFS(F3665:F6462,K3665:K6462,"0",B3665:B6462,"5 1 2 1 1 12 31111 6 M59 30000 000132 0000R 00001 00211*")</f>
        <v>2199.9899999999998</v>
      </c>
      <c r="G3664" s="83">
        <f>SUMIFS(G3665:G6462,K3665:K6462,"0",B3665:B6462,"5 1 2 1 1 12 31111 6 M59 30000 000132 0000R 00001 00211*")</f>
        <v>0</v>
      </c>
      <c r="H3664" s="83">
        <f t="shared" si="57"/>
        <v>2199.9899999999998</v>
      </c>
      <c r="I3664" s="83"/>
      <c r="K3664" s="54" t="s">
        <v>15</v>
      </c>
    </row>
    <row r="3665" spans="2:11" ht="24.75" x14ac:dyDescent="0.2">
      <c r="B3665" s="82" t="s">
        <v>6034</v>
      </c>
      <c r="C3665" s="82" t="s">
        <v>1051</v>
      </c>
      <c r="D3665" s="83">
        <f>SUMIFS(D3666:D6462,K3666:K6462,"0",B3666:B6462,"5 1 2 1 1 12 31111 6 M59 30000 000132 0000R 00001 00211 015*")-SUMIFS(E3666:E6462,K3666:K6462,"0",B3666:B6462,"5 1 2 1 1 12 31111 6 M59 30000 000132 0000R 00001 00211 015*")</f>
        <v>0</v>
      </c>
      <c r="E3665" s="54"/>
      <c r="F3665" s="83">
        <f>SUMIFS(F3666:F6462,K3666:K6462,"0",B3666:B6462,"5 1 2 1 1 12 31111 6 M59 30000 000132 0000R 00001 00211 015*")</f>
        <v>2199.9899999999998</v>
      </c>
      <c r="G3665" s="83">
        <f>SUMIFS(G3666:G6462,K3666:K6462,"0",B3666:B6462,"5 1 2 1 1 12 31111 6 M59 30000 000132 0000R 00001 00211 015*")</f>
        <v>0</v>
      </c>
      <c r="H3665" s="83">
        <f t="shared" si="57"/>
        <v>2199.9899999999998</v>
      </c>
      <c r="I3665" s="83"/>
      <c r="K3665" s="54" t="s">
        <v>15</v>
      </c>
    </row>
    <row r="3666" spans="2:11" ht="33" x14ac:dyDescent="0.2">
      <c r="B3666" s="82" t="s">
        <v>6035</v>
      </c>
      <c r="C3666" s="82" t="s">
        <v>5830</v>
      </c>
      <c r="D3666" s="83">
        <f>SUMIFS(D3667:D6462,K3667:K6462,"0",B3667:B6462,"5 1 2 1 1 12 31111 6 M59 30000 000132 0000R 00001 00211 015 2112000*")-SUMIFS(E3667:E6462,K3667:K6462,"0",B3667:B6462,"5 1 2 1 1 12 31111 6 M59 30000 000132 0000R 00001 00211 015 2112000*")</f>
        <v>0</v>
      </c>
      <c r="E3666" s="54"/>
      <c r="F3666" s="83">
        <f>SUMIFS(F3667:F6462,K3667:K6462,"0",B3667:B6462,"5 1 2 1 1 12 31111 6 M59 30000 000132 0000R 00001 00211 015 2112000*")</f>
        <v>2199.9899999999998</v>
      </c>
      <c r="G3666" s="83">
        <f>SUMIFS(G3667:G6462,K3667:K6462,"0",B3667:B6462,"5 1 2 1 1 12 31111 6 M59 30000 000132 0000R 00001 00211 015 2112000*")</f>
        <v>0</v>
      </c>
      <c r="H3666" s="83">
        <f t="shared" si="57"/>
        <v>2199.9899999999998</v>
      </c>
      <c r="I3666" s="83"/>
      <c r="K3666" s="54" t="s">
        <v>15</v>
      </c>
    </row>
    <row r="3667" spans="2:11" ht="33" x14ac:dyDescent="0.2">
      <c r="B3667" s="82" t="s">
        <v>6036</v>
      </c>
      <c r="C3667" s="82" t="s">
        <v>660</v>
      </c>
      <c r="D3667" s="83">
        <f>SUMIFS(D3668:D6462,K3668:K6462,"0",B3668:B6462,"5 1 2 1 1 12 31111 6 M59 30000 000132 0000R 00001 00211 015 2112000 2024*")-SUMIFS(E3668:E6462,K3668:K6462,"0",B3668:B6462,"5 1 2 1 1 12 31111 6 M59 30000 000132 0000R 00001 00211 015 2112000 2024*")</f>
        <v>0</v>
      </c>
      <c r="E3667" s="54"/>
      <c r="F3667" s="83">
        <f>SUMIFS(F3668:F6462,K3668:K6462,"0",B3668:B6462,"5 1 2 1 1 12 31111 6 M59 30000 000132 0000R 00001 00211 015 2112000 2024*")</f>
        <v>2199.9899999999998</v>
      </c>
      <c r="G3667" s="83">
        <f>SUMIFS(G3668:G6462,K3668:K6462,"0",B3668:B6462,"5 1 2 1 1 12 31111 6 M59 30000 000132 0000R 00001 00211 015 2112000 2024*")</f>
        <v>0</v>
      </c>
      <c r="H3667" s="83">
        <f t="shared" si="57"/>
        <v>2199.9899999999998</v>
      </c>
      <c r="I3667" s="83"/>
      <c r="K3667" s="54" t="s">
        <v>15</v>
      </c>
    </row>
    <row r="3668" spans="2:11" ht="41.25" x14ac:dyDescent="0.2">
      <c r="B3668" s="82" t="s">
        <v>6037</v>
      </c>
      <c r="C3668" s="82" t="s">
        <v>1056</v>
      </c>
      <c r="D3668" s="83">
        <f>SUMIFS(D3669:D6462,K3669:K6462,"0",B3669:B6462,"5 1 2 1 1 12 31111 6 M59 30000 000132 0000R 00001 00211 015 2112000 2024 CP1DU385*")-SUMIFS(E3669:E6462,K3669:K6462,"0",B3669:B6462,"5 1 2 1 1 12 31111 6 M59 30000 000132 0000R 00001 00211 015 2112000 2024 CP1DU385*")</f>
        <v>0</v>
      </c>
      <c r="E3668" s="54"/>
      <c r="F3668" s="83">
        <f>SUMIFS(F3669:F6462,K3669:K6462,"0",B3669:B6462,"5 1 2 1 1 12 31111 6 M59 30000 000132 0000R 00001 00211 015 2112000 2024 CP1DU385*")</f>
        <v>2199.9899999999998</v>
      </c>
      <c r="G3668" s="83">
        <f>SUMIFS(G3669:G6462,K3669:K6462,"0",B3669:B6462,"5 1 2 1 1 12 31111 6 M59 30000 000132 0000R 00001 00211 015 2112000 2024 CP1DU385*")</f>
        <v>0</v>
      </c>
      <c r="H3668" s="83">
        <f t="shared" si="57"/>
        <v>2199.9899999999998</v>
      </c>
      <c r="I3668" s="83"/>
      <c r="K3668" s="54" t="s">
        <v>15</v>
      </c>
    </row>
    <row r="3669" spans="2:11" ht="41.25" x14ac:dyDescent="0.2">
      <c r="B3669" s="82" t="s">
        <v>6038</v>
      </c>
      <c r="C3669" s="82" t="s">
        <v>282</v>
      </c>
      <c r="D3669" s="83">
        <f>SUMIFS(D3670:D6462,K3670:K6462,"0",B3670:B6462,"5 1 2 1 1 12 31111 6 M59 30000 000132 0000R 00001 00211 015 2112000 2024 CP1DU385 001*")-SUMIFS(E3670:E6462,K3670:K6462,"0",B3670:B6462,"5 1 2 1 1 12 31111 6 M59 30000 000132 0000R 00001 00211 015 2112000 2024 CP1DU385 001*")</f>
        <v>0</v>
      </c>
      <c r="E3669" s="54"/>
      <c r="F3669" s="83">
        <f>SUMIFS(F3670:F6462,K3670:K6462,"0",B3670:B6462,"5 1 2 1 1 12 31111 6 M59 30000 000132 0000R 00001 00211 015 2112000 2024 CP1DU385 001*")</f>
        <v>2199.9899999999998</v>
      </c>
      <c r="G3669" s="83">
        <f>SUMIFS(G3670:G6462,K3670:K6462,"0",B3670:B6462,"5 1 2 1 1 12 31111 6 M59 30000 000132 0000R 00001 00211 015 2112000 2024 CP1DU385 001*")</f>
        <v>0</v>
      </c>
      <c r="H3669" s="83">
        <f t="shared" si="57"/>
        <v>2199.9899999999998</v>
      </c>
      <c r="I3669" s="83"/>
      <c r="K3669" s="54" t="s">
        <v>15</v>
      </c>
    </row>
    <row r="3670" spans="2:11" ht="41.25" x14ac:dyDescent="0.2">
      <c r="B3670" s="84" t="s">
        <v>6039</v>
      </c>
      <c r="C3670" s="84" t="s">
        <v>5827</v>
      </c>
      <c r="D3670" s="85">
        <v>0</v>
      </c>
      <c r="E3670" s="85"/>
      <c r="F3670" s="85">
        <v>2199.9899999999998</v>
      </c>
      <c r="G3670" s="85">
        <v>0</v>
      </c>
      <c r="H3670" s="85">
        <f t="shared" si="57"/>
        <v>2199.9899999999998</v>
      </c>
      <c r="I3670" s="85"/>
      <c r="K3670" s="54" t="s">
        <v>38</v>
      </c>
    </row>
    <row r="3671" spans="2:11" ht="16.5" x14ac:dyDescent="0.2">
      <c r="B3671" s="82" t="s">
        <v>6040</v>
      </c>
      <c r="C3671" s="82" t="s">
        <v>646</v>
      </c>
      <c r="D3671" s="83">
        <f>SUMIFS(D3672:D6462,K3672:K6462,"0",B3672:B6462,"5 1 2 1 1 12 31111 6 M59 30100*")-SUMIFS(E3672:E6462,K3672:K6462,"0",B3672:B6462,"5 1 2 1 1 12 31111 6 M59 30100*")</f>
        <v>0</v>
      </c>
      <c r="E3671" s="54"/>
      <c r="F3671" s="83">
        <f>SUMIFS(F3672:F6462,K3672:K6462,"0",B3672:B6462,"5 1 2 1 1 12 31111 6 M59 30100*")</f>
        <v>250</v>
      </c>
      <c r="G3671" s="83">
        <f>SUMIFS(G3672:G6462,K3672:K6462,"0",B3672:B6462,"5 1 2 1 1 12 31111 6 M59 30100*")</f>
        <v>0</v>
      </c>
      <c r="H3671" s="83">
        <f t="shared" si="57"/>
        <v>250</v>
      </c>
      <c r="I3671" s="83"/>
      <c r="K3671" s="54" t="s">
        <v>15</v>
      </c>
    </row>
    <row r="3672" spans="2:11" ht="16.5" x14ac:dyDescent="0.2">
      <c r="B3672" s="82" t="s">
        <v>6041</v>
      </c>
      <c r="C3672" s="82" t="s">
        <v>648</v>
      </c>
      <c r="D3672" s="83">
        <f>SUMIFS(D3673:D6462,K3673:K6462,"0",B3673:B6462,"5 1 2 1 1 12 31111 6 M59 30100 000132*")-SUMIFS(E3673:E6462,K3673:K6462,"0",B3673:B6462,"5 1 2 1 1 12 31111 6 M59 30100 000132*")</f>
        <v>0</v>
      </c>
      <c r="E3672" s="54"/>
      <c r="F3672" s="83">
        <f>SUMIFS(F3673:F6462,K3673:K6462,"0",B3673:B6462,"5 1 2 1 1 12 31111 6 M59 30100 000132*")</f>
        <v>250</v>
      </c>
      <c r="G3672" s="83">
        <f>SUMIFS(G3673:G6462,K3673:K6462,"0",B3673:B6462,"5 1 2 1 1 12 31111 6 M59 30100 000132*")</f>
        <v>0</v>
      </c>
      <c r="H3672" s="83">
        <f t="shared" si="57"/>
        <v>250</v>
      </c>
      <c r="I3672" s="83"/>
      <c r="K3672" s="54" t="s">
        <v>15</v>
      </c>
    </row>
    <row r="3673" spans="2:11" ht="16.5" x14ac:dyDescent="0.2">
      <c r="B3673" s="82" t="s">
        <v>6042</v>
      </c>
      <c r="C3673" s="82" t="s">
        <v>650</v>
      </c>
      <c r="D3673" s="83">
        <f>SUMIFS(D3674:D6462,K3674:K6462,"0",B3674:B6462,"5 1 2 1 1 12 31111 6 M59 30100 000132 0000R*")-SUMIFS(E3674:E6462,K3674:K6462,"0",B3674:B6462,"5 1 2 1 1 12 31111 6 M59 30100 000132 0000R*")</f>
        <v>0</v>
      </c>
      <c r="E3673" s="54"/>
      <c r="F3673" s="83">
        <f>SUMIFS(F3674:F6462,K3674:K6462,"0",B3674:B6462,"5 1 2 1 1 12 31111 6 M59 30100 000132 0000R*")</f>
        <v>250</v>
      </c>
      <c r="G3673" s="83">
        <f>SUMIFS(G3674:G6462,K3674:K6462,"0",B3674:B6462,"5 1 2 1 1 12 31111 6 M59 30100 000132 0000R*")</f>
        <v>0</v>
      </c>
      <c r="H3673" s="83">
        <f t="shared" si="57"/>
        <v>250</v>
      </c>
      <c r="I3673" s="83"/>
      <c r="K3673" s="54" t="s">
        <v>15</v>
      </c>
    </row>
    <row r="3674" spans="2:11" ht="24.75" x14ac:dyDescent="0.2">
      <c r="B3674" s="82" t="s">
        <v>6043</v>
      </c>
      <c r="C3674" s="82" t="s">
        <v>282</v>
      </c>
      <c r="D3674" s="83">
        <f>SUMIFS(D3675:D6462,K3675:K6462,"0",B3675:B6462,"5 1 2 1 1 12 31111 6 M59 30100 000132 0000R 00001*")-SUMIFS(E3675:E6462,K3675:K6462,"0",B3675:B6462,"5 1 2 1 1 12 31111 6 M59 30100 000132 0000R 00001*")</f>
        <v>0</v>
      </c>
      <c r="E3674" s="54"/>
      <c r="F3674" s="83">
        <f>SUMIFS(F3675:F6462,K3675:K6462,"0",B3675:B6462,"5 1 2 1 1 12 31111 6 M59 30100 000132 0000R 00001*")</f>
        <v>250</v>
      </c>
      <c r="G3674" s="83">
        <f>SUMIFS(G3675:G6462,K3675:K6462,"0",B3675:B6462,"5 1 2 1 1 12 31111 6 M59 30100 000132 0000R 00001*")</f>
        <v>0</v>
      </c>
      <c r="H3674" s="83">
        <f t="shared" si="57"/>
        <v>250</v>
      </c>
      <c r="I3674" s="83"/>
      <c r="K3674" s="54" t="s">
        <v>15</v>
      </c>
    </row>
    <row r="3675" spans="2:11" ht="24.75" x14ac:dyDescent="0.2">
      <c r="B3675" s="82" t="s">
        <v>6044</v>
      </c>
      <c r="C3675" s="82" t="s">
        <v>5827</v>
      </c>
      <c r="D3675" s="83">
        <f>SUMIFS(D3676:D6462,K3676:K6462,"0",B3676:B6462,"5 1 2 1 1 12 31111 6 M59 30100 000132 0000R 00001 00211*")-SUMIFS(E3676:E6462,K3676:K6462,"0",B3676:B6462,"5 1 2 1 1 12 31111 6 M59 30100 000132 0000R 00001 00211*")</f>
        <v>0</v>
      </c>
      <c r="E3675" s="54"/>
      <c r="F3675" s="83">
        <f>SUMIFS(F3676:F6462,K3676:K6462,"0",B3676:B6462,"5 1 2 1 1 12 31111 6 M59 30100 000132 0000R 00001 00211*")</f>
        <v>250</v>
      </c>
      <c r="G3675" s="83">
        <f>SUMIFS(G3676:G6462,K3676:K6462,"0",B3676:B6462,"5 1 2 1 1 12 31111 6 M59 30100 000132 0000R 00001 00211*")</f>
        <v>0</v>
      </c>
      <c r="H3675" s="83">
        <f t="shared" si="57"/>
        <v>250</v>
      </c>
      <c r="I3675" s="83"/>
      <c r="K3675" s="54" t="s">
        <v>15</v>
      </c>
    </row>
    <row r="3676" spans="2:11" ht="24.75" x14ac:dyDescent="0.2">
      <c r="B3676" s="82" t="s">
        <v>6045</v>
      </c>
      <c r="C3676" s="82" t="s">
        <v>1051</v>
      </c>
      <c r="D3676" s="83">
        <f>SUMIFS(D3677:D6462,K3677:K6462,"0",B3677:B6462,"5 1 2 1 1 12 31111 6 M59 30100 000132 0000R 00001 00211 015*")-SUMIFS(E3677:E6462,K3677:K6462,"0",B3677:B6462,"5 1 2 1 1 12 31111 6 M59 30100 000132 0000R 00001 00211 015*")</f>
        <v>0</v>
      </c>
      <c r="E3676" s="54"/>
      <c r="F3676" s="83">
        <f>SUMIFS(F3677:F6462,K3677:K6462,"0",B3677:B6462,"5 1 2 1 1 12 31111 6 M59 30100 000132 0000R 00001 00211 015*")</f>
        <v>250</v>
      </c>
      <c r="G3676" s="83">
        <f>SUMIFS(G3677:G6462,K3677:K6462,"0",B3677:B6462,"5 1 2 1 1 12 31111 6 M59 30100 000132 0000R 00001 00211 015*")</f>
        <v>0</v>
      </c>
      <c r="H3676" s="83">
        <f t="shared" si="57"/>
        <v>250</v>
      </c>
      <c r="I3676" s="83"/>
      <c r="K3676" s="54" t="s">
        <v>15</v>
      </c>
    </row>
    <row r="3677" spans="2:11" ht="33" x14ac:dyDescent="0.2">
      <c r="B3677" s="82" t="s">
        <v>6046</v>
      </c>
      <c r="C3677" s="82" t="s">
        <v>5830</v>
      </c>
      <c r="D3677" s="83">
        <f>SUMIFS(D3678:D6462,K3678:K6462,"0",B3678:B6462,"5 1 2 1 1 12 31111 6 M59 30100 000132 0000R 00001 00211 015 2112000*")-SUMIFS(E3678:E6462,K3678:K6462,"0",B3678:B6462,"5 1 2 1 1 12 31111 6 M59 30100 000132 0000R 00001 00211 015 2112000*")</f>
        <v>0</v>
      </c>
      <c r="E3677" s="54"/>
      <c r="F3677" s="83">
        <f>SUMIFS(F3678:F6462,K3678:K6462,"0",B3678:B6462,"5 1 2 1 1 12 31111 6 M59 30100 000132 0000R 00001 00211 015 2112000*")</f>
        <v>250</v>
      </c>
      <c r="G3677" s="83">
        <f>SUMIFS(G3678:G6462,K3678:K6462,"0",B3678:B6462,"5 1 2 1 1 12 31111 6 M59 30100 000132 0000R 00001 00211 015 2112000*")</f>
        <v>0</v>
      </c>
      <c r="H3677" s="83">
        <f t="shared" si="57"/>
        <v>250</v>
      </c>
      <c r="I3677" s="83"/>
      <c r="K3677" s="54" t="s">
        <v>15</v>
      </c>
    </row>
    <row r="3678" spans="2:11" ht="33" x14ac:dyDescent="0.2">
      <c r="B3678" s="82" t="s">
        <v>6047</v>
      </c>
      <c r="C3678" s="82" t="s">
        <v>660</v>
      </c>
      <c r="D3678" s="83">
        <f>SUMIFS(D3679:D6462,K3679:K6462,"0",B3679:B6462,"5 1 2 1 1 12 31111 6 M59 30100 000132 0000R 00001 00211 015 2112000 2024*")-SUMIFS(E3679:E6462,K3679:K6462,"0",B3679:B6462,"5 1 2 1 1 12 31111 6 M59 30100 000132 0000R 00001 00211 015 2112000 2024*")</f>
        <v>0</v>
      </c>
      <c r="E3678" s="54"/>
      <c r="F3678" s="83">
        <f>SUMIFS(F3679:F6462,K3679:K6462,"0",B3679:B6462,"5 1 2 1 1 12 31111 6 M59 30100 000132 0000R 00001 00211 015 2112000 2024*")</f>
        <v>250</v>
      </c>
      <c r="G3678" s="83">
        <f>SUMIFS(G3679:G6462,K3679:K6462,"0",B3679:B6462,"5 1 2 1 1 12 31111 6 M59 30100 000132 0000R 00001 00211 015 2112000 2024*")</f>
        <v>0</v>
      </c>
      <c r="H3678" s="83">
        <f t="shared" si="57"/>
        <v>250</v>
      </c>
      <c r="I3678" s="83"/>
      <c r="K3678" s="54" t="s">
        <v>15</v>
      </c>
    </row>
    <row r="3679" spans="2:11" ht="41.25" x14ac:dyDescent="0.2">
      <c r="B3679" s="82" t="s">
        <v>6048</v>
      </c>
      <c r="C3679" s="82" t="s">
        <v>662</v>
      </c>
      <c r="D3679" s="83">
        <f>SUMIFS(D3680:D6462,K3680:K6462,"0",B3680:B6462,"5 1 2 1 1 12 31111 6 M59 30100 000132 0000R 00001 00211 015 2112000 2024 CP1OP405*")-SUMIFS(E3680:E6462,K3680:K6462,"0",B3680:B6462,"5 1 2 1 1 12 31111 6 M59 30100 000132 0000R 00001 00211 015 2112000 2024 CP1OP405*")</f>
        <v>0</v>
      </c>
      <c r="E3679" s="54"/>
      <c r="F3679" s="83">
        <f>SUMIFS(F3680:F6462,K3680:K6462,"0",B3680:B6462,"5 1 2 1 1 12 31111 6 M59 30100 000132 0000R 00001 00211 015 2112000 2024 CP1OP405*")</f>
        <v>250</v>
      </c>
      <c r="G3679" s="83">
        <f>SUMIFS(G3680:G6462,K3680:K6462,"0",B3680:B6462,"5 1 2 1 1 12 31111 6 M59 30100 000132 0000R 00001 00211 015 2112000 2024 CP1OP405*")</f>
        <v>0</v>
      </c>
      <c r="H3679" s="83">
        <f t="shared" si="57"/>
        <v>250</v>
      </c>
      <c r="I3679" s="83"/>
      <c r="K3679" s="54" t="s">
        <v>15</v>
      </c>
    </row>
    <row r="3680" spans="2:11" ht="41.25" x14ac:dyDescent="0.2">
      <c r="B3680" s="82" t="s">
        <v>6049</v>
      </c>
      <c r="C3680" s="82" t="s">
        <v>282</v>
      </c>
      <c r="D3680" s="83">
        <f>SUMIFS(D3681:D6462,K3681:K6462,"0",B3681:B6462,"5 1 2 1 1 12 31111 6 M59 30100 000132 0000R 00001 00211 015 2112000 2024 CP1OP405 001*")-SUMIFS(E3681:E6462,K3681:K6462,"0",B3681:B6462,"5 1 2 1 1 12 31111 6 M59 30100 000132 0000R 00001 00211 015 2112000 2024 CP1OP405 001*")</f>
        <v>0</v>
      </c>
      <c r="E3680" s="54"/>
      <c r="F3680" s="83">
        <f>SUMIFS(F3681:F6462,K3681:K6462,"0",B3681:B6462,"5 1 2 1 1 12 31111 6 M59 30100 000132 0000R 00001 00211 015 2112000 2024 CP1OP405 001*")</f>
        <v>250</v>
      </c>
      <c r="G3680" s="83">
        <f>SUMIFS(G3681:G6462,K3681:K6462,"0",B3681:B6462,"5 1 2 1 1 12 31111 6 M59 30100 000132 0000R 00001 00211 015 2112000 2024 CP1OP405 001*")</f>
        <v>0</v>
      </c>
      <c r="H3680" s="83">
        <f t="shared" si="57"/>
        <v>250</v>
      </c>
      <c r="I3680" s="83"/>
      <c r="K3680" s="54" t="s">
        <v>15</v>
      </c>
    </row>
    <row r="3681" spans="2:11" ht="33" x14ac:dyDescent="0.2">
      <c r="B3681" s="84" t="s">
        <v>6050</v>
      </c>
      <c r="C3681" s="84" t="s">
        <v>5827</v>
      </c>
      <c r="D3681" s="85">
        <v>0</v>
      </c>
      <c r="E3681" s="85"/>
      <c r="F3681" s="85">
        <v>250</v>
      </c>
      <c r="G3681" s="85">
        <v>0</v>
      </c>
      <c r="H3681" s="85">
        <f t="shared" si="57"/>
        <v>250</v>
      </c>
      <c r="I3681" s="85"/>
      <c r="K3681" s="54" t="s">
        <v>38</v>
      </c>
    </row>
    <row r="3682" spans="2:11" ht="24.75" x14ac:dyDescent="0.2">
      <c r="B3682" s="82" t="s">
        <v>6051</v>
      </c>
      <c r="C3682" s="82" t="s">
        <v>3222</v>
      </c>
      <c r="D3682" s="83">
        <f>SUMIFS(D3683:D6462,K3683:K6462,"0",B3683:B6462,"5 1 2 1 1 12 31111 6 M59 30200*")-SUMIFS(E3683:E6462,K3683:K6462,"0",B3683:B6462,"5 1 2 1 1 12 31111 6 M59 30200*")</f>
        <v>0</v>
      </c>
      <c r="E3682" s="54"/>
      <c r="F3682" s="83">
        <f>SUMIFS(F3683:F6462,K3683:K6462,"0",B3683:B6462,"5 1 2 1 1 12 31111 6 M59 30200*")</f>
        <v>250</v>
      </c>
      <c r="G3682" s="83">
        <f>SUMIFS(G3683:G6462,K3683:K6462,"0",B3683:B6462,"5 1 2 1 1 12 31111 6 M59 30200*")</f>
        <v>0</v>
      </c>
      <c r="H3682" s="83">
        <f t="shared" si="57"/>
        <v>250</v>
      </c>
      <c r="I3682" s="83"/>
      <c r="K3682" s="54" t="s">
        <v>15</v>
      </c>
    </row>
    <row r="3683" spans="2:11" ht="16.5" x14ac:dyDescent="0.2">
      <c r="B3683" s="82" t="s">
        <v>6052</v>
      </c>
      <c r="C3683" s="82" t="s">
        <v>648</v>
      </c>
      <c r="D3683" s="83">
        <f>SUMIFS(D3684:D6462,K3684:K6462,"0",B3684:B6462,"5 1 2 1 1 12 31111 6 M59 30200 000132*")-SUMIFS(E3684:E6462,K3684:K6462,"0",B3684:B6462,"5 1 2 1 1 12 31111 6 M59 30200 000132*")</f>
        <v>0</v>
      </c>
      <c r="E3683" s="54"/>
      <c r="F3683" s="83">
        <f>SUMIFS(F3684:F6462,K3684:K6462,"0",B3684:B6462,"5 1 2 1 1 12 31111 6 M59 30200 000132*")</f>
        <v>250</v>
      </c>
      <c r="G3683" s="83">
        <f>SUMIFS(G3684:G6462,K3684:K6462,"0",B3684:B6462,"5 1 2 1 1 12 31111 6 M59 30200 000132*")</f>
        <v>0</v>
      </c>
      <c r="H3683" s="83">
        <f t="shared" si="57"/>
        <v>250</v>
      </c>
      <c r="I3683" s="83"/>
      <c r="K3683" s="54" t="s">
        <v>15</v>
      </c>
    </row>
    <row r="3684" spans="2:11" ht="16.5" x14ac:dyDescent="0.2">
      <c r="B3684" s="82" t="s">
        <v>6053</v>
      </c>
      <c r="C3684" s="82" t="s">
        <v>650</v>
      </c>
      <c r="D3684" s="83">
        <f>SUMIFS(D3685:D6462,K3685:K6462,"0",B3685:B6462,"5 1 2 1 1 12 31111 6 M59 30200 000132 0000R*")-SUMIFS(E3685:E6462,K3685:K6462,"0",B3685:B6462,"5 1 2 1 1 12 31111 6 M59 30200 000132 0000R*")</f>
        <v>0</v>
      </c>
      <c r="E3684" s="54"/>
      <c r="F3684" s="83">
        <f>SUMIFS(F3685:F6462,K3685:K6462,"0",B3685:B6462,"5 1 2 1 1 12 31111 6 M59 30200 000132 0000R*")</f>
        <v>250</v>
      </c>
      <c r="G3684" s="83">
        <f>SUMIFS(G3685:G6462,K3685:K6462,"0",B3685:B6462,"5 1 2 1 1 12 31111 6 M59 30200 000132 0000R*")</f>
        <v>0</v>
      </c>
      <c r="H3684" s="83">
        <f t="shared" si="57"/>
        <v>250</v>
      </c>
      <c r="I3684" s="83"/>
      <c r="K3684" s="54" t="s">
        <v>15</v>
      </c>
    </row>
    <row r="3685" spans="2:11" ht="24.75" x14ac:dyDescent="0.2">
      <c r="B3685" s="82" t="s">
        <v>6054</v>
      </c>
      <c r="C3685" s="82" t="s">
        <v>282</v>
      </c>
      <c r="D3685" s="83">
        <f>SUMIFS(D3686:D6462,K3686:K6462,"0",B3686:B6462,"5 1 2 1 1 12 31111 6 M59 30200 000132 0000R 00001*")-SUMIFS(E3686:E6462,K3686:K6462,"0",B3686:B6462,"5 1 2 1 1 12 31111 6 M59 30200 000132 0000R 00001*")</f>
        <v>0</v>
      </c>
      <c r="E3685" s="54"/>
      <c r="F3685" s="83">
        <f>SUMIFS(F3686:F6462,K3686:K6462,"0",B3686:B6462,"5 1 2 1 1 12 31111 6 M59 30200 000132 0000R 00001*")</f>
        <v>250</v>
      </c>
      <c r="G3685" s="83">
        <f>SUMIFS(G3686:G6462,K3686:K6462,"0",B3686:B6462,"5 1 2 1 1 12 31111 6 M59 30200 000132 0000R 00001*")</f>
        <v>0</v>
      </c>
      <c r="H3685" s="83">
        <f t="shared" si="57"/>
        <v>250</v>
      </c>
      <c r="I3685" s="83"/>
      <c r="K3685" s="54" t="s">
        <v>15</v>
      </c>
    </row>
    <row r="3686" spans="2:11" ht="24.75" x14ac:dyDescent="0.2">
      <c r="B3686" s="82" t="s">
        <v>6055</v>
      </c>
      <c r="C3686" s="82" t="s">
        <v>5827</v>
      </c>
      <c r="D3686" s="83">
        <f>SUMIFS(D3687:D6462,K3687:K6462,"0",B3687:B6462,"5 1 2 1 1 12 31111 6 M59 30200 000132 0000R 00001 00211*")-SUMIFS(E3687:E6462,K3687:K6462,"0",B3687:B6462,"5 1 2 1 1 12 31111 6 M59 30200 000132 0000R 00001 00211*")</f>
        <v>0</v>
      </c>
      <c r="E3686" s="54"/>
      <c r="F3686" s="83">
        <f>SUMIFS(F3687:F6462,K3687:K6462,"0",B3687:B6462,"5 1 2 1 1 12 31111 6 M59 30200 000132 0000R 00001 00211*")</f>
        <v>250</v>
      </c>
      <c r="G3686" s="83">
        <f>SUMIFS(G3687:G6462,K3687:K6462,"0",B3687:B6462,"5 1 2 1 1 12 31111 6 M59 30200 000132 0000R 00001 00211*")</f>
        <v>0</v>
      </c>
      <c r="H3686" s="83">
        <f t="shared" si="57"/>
        <v>250</v>
      </c>
      <c r="I3686" s="83"/>
      <c r="K3686" s="54" t="s">
        <v>15</v>
      </c>
    </row>
    <row r="3687" spans="2:11" ht="24.75" x14ac:dyDescent="0.2">
      <c r="B3687" s="82" t="s">
        <v>6056</v>
      </c>
      <c r="C3687" s="82" t="s">
        <v>1051</v>
      </c>
      <c r="D3687" s="83">
        <f>SUMIFS(D3688:D6462,K3688:K6462,"0",B3688:B6462,"5 1 2 1 1 12 31111 6 M59 30200 000132 0000R 00001 00211 015*")-SUMIFS(E3688:E6462,K3688:K6462,"0",B3688:B6462,"5 1 2 1 1 12 31111 6 M59 30200 000132 0000R 00001 00211 015*")</f>
        <v>0</v>
      </c>
      <c r="E3687" s="54"/>
      <c r="F3687" s="83">
        <f>SUMIFS(F3688:F6462,K3688:K6462,"0",B3688:B6462,"5 1 2 1 1 12 31111 6 M59 30200 000132 0000R 00001 00211 015*")</f>
        <v>250</v>
      </c>
      <c r="G3687" s="83">
        <f>SUMIFS(G3688:G6462,K3688:K6462,"0",B3688:B6462,"5 1 2 1 1 12 31111 6 M59 30200 000132 0000R 00001 00211 015*")</f>
        <v>0</v>
      </c>
      <c r="H3687" s="83">
        <f t="shared" si="57"/>
        <v>250</v>
      </c>
      <c r="I3687" s="83"/>
      <c r="K3687" s="54" t="s">
        <v>15</v>
      </c>
    </row>
    <row r="3688" spans="2:11" ht="33" x14ac:dyDescent="0.2">
      <c r="B3688" s="82" t="s">
        <v>6057</v>
      </c>
      <c r="C3688" s="82" t="s">
        <v>5830</v>
      </c>
      <c r="D3688" s="83">
        <f>SUMIFS(D3689:D6462,K3689:K6462,"0",B3689:B6462,"5 1 2 1 1 12 31111 6 M59 30200 000132 0000R 00001 00211 015 2112000*")-SUMIFS(E3689:E6462,K3689:K6462,"0",B3689:B6462,"5 1 2 1 1 12 31111 6 M59 30200 000132 0000R 00001 00211 015 2112000*")</f>
        <v>0</v>
      </c>
      <c r="E3688" s="54"/>
      <c r="F3688" s="83">
        <f>SUMIFS(F3689:F6462,K3689:K6462,"0",B3689:B6462,"5 1 2 1 1 12 31111 6 M59 30200 000132 0000R 00001 00211 015 2112000*")</f>
        <v>250</v>
      </c>
      <c r="G3688" s="83">
        <f>SUMIFS(G3689:G6462,K3689:K6462,"0",B3689:B6462,"5 1 2 1 1 12 31111 6 M59 30200 000132 0000R 00001 00211 015 2112000*")</f>
        <v>0</v>
      </c>
      <c r="H3688" s="83">
        <f t="shared" si="57"/>
        <v>250</v>
      </c>
      <c r="I3688" s="83"/>
      <c r="K3688" s="54" t="s">
        <v>15</v>
      </c>
    </row>
    <row r="3689" spans="2:11" ht="33" x14ac:dyDescent="0.2">
      <c r="B3689" s="82" t="s">
        <v>6058</v>
      </c>
      <c r="C3689" s="82" t="s">
        <v>660</v>
      </c>
      <c r="D3689" s="83">
        <f>SUMIFS(D3690:D6462,K3690:K6462,"0",B3690:B6462,"5 1 2 1 1 12 31111 6 M59 30200 000132 0000R 00001 00211 015 2112000 2024*")-SUMIFS(E3690:E6462,K3690:K6462,"0",B3690:B6462,"5 1 2 1 1 12 31111 6 M59 30200 000132 0000R 00001 00211 015 2112000 2024*")</f>
        <v>0</v>
      </c>
      <c r="E3689" s="54"/>
      <c r="F3689" s="83">
        <f>SUMIFS(F3690:F6462,K3690:K6462,"0",B3690:B6462,"5 1 2 1 1 12 31111 6 M59 30200 000132 0000R 00001 00211 015 2112000 2024*")</f>
        <v>250</v>
      </c>
      <c r="G3689" s="83">
        <f>SUMIFS(G3690:G6462,K3690:K6462,"0",B3690:B6462,"5 1 2 1 1 12 31111 6 M59 30200 000132 0000R 00001 00211 015 2112000 2024*")</f>
        <v>0</v>
      </c>
      <c r="H3689" s="83">
        <f t="shared" si="57"/>
        <v>250</v>
      </c>
      <c r="I3689" s="83"/>
      <c r="K3689" s="54" t="s">
        <v>15</v>
      </c>
    </row>
    <row r="3690" spans="2:11" ht="41.25" x14ac:dyDescent="0.2">
      <c r="B3690" s="82" t="s">
        <v>6059</v>
      </c>
      <c r="C3690" s="82" t="s">
        <v>1056</v>
      </c>
      <c r="D3690" s="83">
        <f>SUMIFS(D3691:D6462,K3691:K6462,"0",B3691:B6462,"5 1 2 1 1 12 31111 6 M59 30200 000132 0000R 00001 00211 015 2112000 2024 CP1OT378*")-SUMIFS(E3691:E6462,K3691:K6462,"0",B3691:B6462,"5 1 2 1 1 12 31111 6 M59 30200 000132 0000R 00001 00211 015 2112000 2024 CP1OT378*")</f>
        <v>0</v>
      </c>
      <c r="E3690" s="54"/>
      <c r="F3690" s="83">
        <f>SUMIFS(F3691:F6462,K3691:K6462,"0",B3691:B6462,"5 1 2 1 1 12 31111 6 M59 30200 000132 0000R 00001 00211 015 2112000 2024 CP1OT378*")</f>
        <v>250</v>
      </c>
      <c r="G3690" s="83">
        <f>SUMIFS(G3691:G6462,K3691:K6462,"0",B3691:B6462,"5 1 2 1 1 12 31111 6 M59 30200 000132 0000R 00001 00211 015 2112000 2024 CP1OT378*")</f>
        <v>0</v>
      </c>
      <c r="H3690" s="83">
        <f t="shared" si="57"/>
        <v>250</v>
      </c>
      <c r="I3690" s="83"/>
      <c r="K3690" s="54" t="s">
        <v>15</v>
      </c>
    </row>
    <row r="3691" spans="2:11" ht="41.25" x14ac:dyDescent="0.2">
      <c r="B3691" s="82" t="s">
        <v>6060</v>
      </c>
      <c r="C3691" s="82" t="s">
        <v>282</v>
      </c>
      <c r="D3691" s="83">
        <f>SUMIFS(D3692:D6462,K3692:K6462,"0",B3692:B6462,"5 1 2 1 1 12 31111 6 M59 30200 000132 0000R 00001 00211 015 2112000 2024 CP1OT378 001*")-SUMIFS(E3692:E6462,K3692:K6462,"0",B3692:B6462,"5 1 2 1 1 12 31111 6 M59 30200 000132 0000R 00001 00211 015 2112000 2024 CP1OT378 001*")</f>
        <v>0</v>
      </c>
      <c r="E3691" s="54"/>
      <c r="F3691" s="83">
        <f>SUMIFS(F3692:F6462,K3692:K6462,"0",B3692:B6462,"5 1 2 1 1 12 31111 6 M59 30200 000132 0000R 00001 00211 015 2112000 2024 CP1OT378 001*")</f>
        <v>250</v>
      </c>
      <c r="G3691" s="83">
        <f>SUMIFS(G3692:G6462,K3692:K6462,"0",B3692:B6462,"5 1 2 1 1 12 31111 6 M59 30200 000132 0000R 00001 00211 015 2112000 2024 CP1OT378 001*")</f>
        <v>0</v>
      </c>
      <c r="H3691" s="83">
        <f t="shared" ref="H3691:H3754" si="58">D3691 + F3691 - G3691</f>
        <v>250</v>
      </c>
      <c r="I3691" s="83"/>
      <c r="K3691" s="54" t="s">
        <v>15</v>
      </c>
    </row>
    <row r="3692" spans="2:11" ht="41.25" x14ac:dyDescent="0.2">
      <c r="B3692" s="84" t="s">
        <v>6061</v>
      </c>
      <c r="C3692" s="84" t="s">
        <v>5827</v>
      </c>
      <c r="D3692" s="85">
        <v>0</v>
      </c>
      <c r="E3692" s="85"/>
      <c r="F3692" s="85">
        <v>250</v>
      </c>
      <c r="G3692" s="85">
        <v>0</v>
      </c>
      <c r="H3692" s="85">
        <f t="shared" si="58"/>
        <v>250</v>
      </c>
      <c r="I3692" s="85"/>
      <c r="K3692" s="54" t="s">
        <v>38</v>
      </c>
    </row>
    <row r="3693" spans="2:11" ht="16.5" x14ac:dyDescent="0.2">
      <c r="B3693" s="82" t="s">
        <v>6073</v>
      </c>
      <c r="C3693" s="82" t="s">
        <v>1105</v>
      </c>
      <c r="D3693" s="83">
        <f>SUMIFS(D3694:D6462,K3694:K6462,"0",B3694:B6462,"5 1 2 1 1 12 31111 6 M59 40200*")-SUMIFS(E3694:E6462,K3694:K6462,"0",B3694:B6462,"5 1 2 1 1 12 31111 6 M59 40200*")</f>
        <v>0</v>
      </c>
      <c r="E3693" s="54"/>
      <c r="F3693" s="83">
        <f>SUMIFS(F3694:F6462,K3694:K6462,"0",B3694:B6462,"5 1 2 1 1 12 31111 6 M59 40200*")</f>
        <v>250</v>
      </c>
      <c r="G3693" s="83">
        <f>SUMIFS(G3694:G6462,K3694:K6462,"0",B3694:B6462,"5 1 2 1 1 12 31111 6 M59 40200*")</f>
        <v>0</v>
      </c>
      <c r="H3693" s="83">
        <f t="shared" si="58"/>
        <v>250</v>
      </c>
      <c r="I3693" s="83"/>
      <c r="K3693" s="54" t="s">
        <v>15</v>
      </c>
    </row>
    <row r="3694" spans="2:11" ht="16.5" x14ac:dyDescent="0.2">
      <c r="B3694" s="82" t="s">
        <v>6074</v>
      </c>
      <c r="C3694" s="82" t="s">
        <v>1107</v>
      </c>
      <c r="D3694" s="83">
        <f>SUMIFS(D3695:D6462,K3695:K6462,"0",B3695:B6462,"5 1 2 1 1 12 31111 6 M59 40200 000172*")-SUMIFS(E3695:E6462,K3695:K6462,"0",B3695:B6462,"5 1 2 1 1 12 31111 6 M59 40200 000172*")</f>
        <v>0</v>
      </c>
      <c r="E3694" s="54"/>
      <c r="F3694" s="83">
        <f>SUMIFS(F3695:F6462,K3695:K6462,"0",B3695:B6462,"5 1 2 1 1 12 31111 6 M59 40200 000172*")</f>
        <v>250</v>
      </c>
      <c r="G3694" s="83">
        <f>SUMIFS(G3695:G6462,K3695:K6462,"0",B3695:B6462,"5 1 2 1 1 12 31111 6 M59 40200 000172*")</f>
        <v>0</v>
      </c>
      <c r="H3694" s="83">
        <f t="shared" si="58"/>
        <v>250</v>
      </c>
      <c r="I3694" s="83"/>
      <c r="K3694" s="54" t="s">
        <v>15</v>
      </c>
    </row>
    <row r="3695" spans="2:11" ht="16.5" x14ac:dyDescent="0.2">
      <c r="B3695" s="82" t="s">
        <v>6075</v>
      </c>
      <c r="C3695" s="82" t="s">
        <v>650</v>
      </c>
      <c r="D3695" s="83">
        <f>SUMIFS(D3696:D6462,K3696:K6462,"0",B3696:B6462,"5 1 2 1 1 12 31111 6 M59 40200 000172 0000R*")-SUMIFS(E3696:E6462,K3696:K6462,"0",B3696:B6462,"5 1 2 1 1 12 31111 6 M59 40200 000172 0000R*")</f>
        <v>0</v>
      </c>
      <c r="E3695" s="54"/>
      <c r="F3695" s="83">
        <f>SUMIFS(F3696:F6462,K3696:K6462,"0",B3696:B6462,"5 1 2 1 1 12 31111 6 M59 40200 000172 0000R*")</f>
        <v>250</v>
      </c>
      <c r="G3695" s="83">
        <f>SUMIFS(G3696:G6462,K3696:K6462,"0",B3696:B6462,"5 1 2 1 1 12 31111 6 M59 40200 000172 0000R*")</f>
        <v>0</v>
      </c>
      <c r="H3695" s="83">
        <f t="shared" si="58"/>
        <v>250</v>
      </c>
      <c r="I3695" s="83"/>
      <c r="K3695" s="54" t="s">
        <v>15</v>
      </c>
    </row>
    <row r="3696" spans="2:11" ht="24.75" x14ac:dyDescent="0.2">
      <c r="B3696" s="82" t="s">
        <v>6076</v>
      </c>
      <c r="C3696" s="82" t="s">
        <v>282</v>
      </c>
      <c r="D3696" s="83">
        <f>SUMIFS(D3697:D6462,K3697:K6462,"0",B3697:B6462,"5 1 2 1 1 12 31111 6 M59 40200 000172 0000R 00001*")-SUMIFS(E3697:E6462,K3697:K6462,"0",B3697:B6462,"5 1 2 1 1 12 31111 6 M59 40200 000172 0000R 00001*")</f>
        <v>0</v>
      </c>
      <c r="E3696" s="54"/>
      <c r="F3696" s="83">
        <f>SUMIFS(F3697:F6462,K3697:K6462,"0",B3697:B6462,"5 1 2 1 1 12 31111 6 M59 40200 000172 0000R 00001*")</f>
        <v>250</v>
      </c>
      <c r="G3696" s="83">
        <f>SUMIFS(G3697:G6462,K3697:K6462,"0",B3697:B6462,"5 1 2 1 1 12 31111 6 M59 40200 000172 0000R 00001*")</f>
        <v>0</v>
      </c>
      <c r="H3696" s="83">
        <f t="shared" si="58"/>
        <v>250</v>
      </c>
      <c r="I3696" s="83"/>
      <c r="K3696" s="54" t="s">
        <v>15</v>
      </c>
    </row>
    <row r="3697" spans="2:11" ht="24.75" x14ac:dyDescent="0.2">
      <c r="B3697" s="82" t="s">
        <v>6077</v>
      </c>
      <c r="C3697" s="82" t="s">
        <v>5827</v>
      </c>
      <c r="D3697" s="83">
        <f>SUMIFS(D3698:D6462,K3698:K6462,"0",B3698:B6462,"5 1 2 1 1 12 31111 6 M59 40200 000172 0000R 00001 00211*")-SUMIFS(E3698:E6462,K3698:K6462,"0",B3698:B6462,"5 1 2 1 1 12 31111 6 M59 40200 000172 0000R 00001 00211*")</f>
        <v>0</v>
      </c>
      <c r="E3697" s="54"/>
      <c r="F3697" s="83">
        <f>SUMIFS(F3698:F6462,K3698:K6462,"0",B3698:B6462,"5 1 2 1 1 12 31111 6 M59 40200 000172 0000R 00001 00211*")</f>
        <v>250</v>
      </c>
      <c r="G3697" s="83">
        <f>SUMIFS(G3698:G6462,K3698:K6462,"0",B3698:B6462,"5 1 2 1 1 12 31111 6 M59 40200 000172 0000R 00001 00211*")</f>
        <v>0</v>
      </c>
      <c r="H3697" s="83">
        <f t="shared" si="58"/>
        <v>250</v>
      </c>
      <c r="I3697" s="83"/>
      <c r="K3697" s="54" t="s">
        <v>15</v>
      </c>
    </row>
    <row r="3698" spans="2:11" ht="24.75" x14ac:dyDescent="0.2">
      <c r="B3698" s="82" t="s">
        <v>6078</v>
      </c>
      <c r="C3698" s="82" t="s">
        <v>1051</v>
      </c>
      <c r="D3698" s="83">
        <f>SUMIFS(D3699:D6462,K3699:K6462,"0",B3699:B6462,"5 1 2 1 1 12 31111 6 M59 40200 000172 0000R 00001 00211 015*")-SUMIFS(E3699:E6462,K3699:K6462,"0",B3699:B6462,"5 1 2 1 1 12 31111 6 M59 40200 000172 0000R 00001 00211 015*")</f>
        <v>0</v>
      </c>
      <c r="E3698" s="54"/>
      <c r="F3698" s="83">
        <f>SUMIFS(F3699:F6462,K3699:K6462,"0",B3699:B6462,"5 1 2 1 1 12 31111 6 M59 40200 000172 0000R 00001 00211 015*")</f>
        <v>250</v>
      </c>
      <c r="G3698" s="83">
        <f>SUMIFS(G3699:G6462,K3699:K6462,"0",B3699:B6462,"5 1 2 1 1 12 31111 6 M59 40200 000172 0000R 00001 00211 015*")</f>
        <v>0</v>
      </c>
      <c r="H3698" s="83">
        <f t="shared" si="58"/>
        <v>250</v>
      </c>
      <c r="I3698" s="83"/>
      <c r="K3698" s="54" t="s">
        <v>15</v>
      </c>
    </row>
    <row r="3699" spans="2:11" ht="33" x14ac:dyDescent="0.2">
      <c r="B3699" s="82" t="s">
        <v>6079</v>
      </c>
      <c r="C3699" s="82" t="s">
        <v>5830</v>
      </c>
      <c r="D3699" s="83">
        <f>SUMIFS(D3700:D6462,K3700:K6462,"0",B3700:B6462,"5 1 2 1 1 12 31111 6 M59 40200 000172 0000R 00001 00211 015 2112000*")-SUMIFS(E3700:E6462,K3700:K6462,"0",B3700:B6462,"5 1 2 1 1 12 31111 6 M59 40200 000172 0000R 00001 00211 015 2112000*")</f>
        <v>0</v>
      </c>
      <c r="E3699" s="54"/>
      <c r="F3699" s="83">
        <f>SUMIFS(F3700:F6462,K3700:K6462,"0",B3700:B6462,"5 1 2 1 1 12 31111 6 M59 40200 000172 0000R 00001 00211 015 2112000*")</f>
        <v>250</v>
      </c>
      <c r="G3699" s="83">
        <f>SUMIFS(G3700:G6462,K3700:K6462,"0",B3700:B6462,"5 1 2 1 1 12 31111 6 M59 40200 000172 0000R 00001 00211 015 2112000*")</f>
        <v>0</v>
      </c>
      <c r="H3699" s="83">
        <f t="shared" si="58"/>
        <v>250</v>
      </c>
      <c r="I3699" s="83"/>
      <c r="K3699" s="54" t="s">
        <v>15</v>
      </c>
    </row>
    <row r="3700" spans="2:11" ht="33" x14ac:dyDescent="0.2">
      <c r="B3700" s="82" t="s">
        <v>6080</v>
      </c>
      <c r="C3700" s="82" t="s">
        <v>660</v>
      </c>
      <c r="D3700" s="83">
        <f>SUMIFS(D3701:D6462,K3701:K6462,"0",B3701:B6462,"5 1 2 1 1 12 31111 6 M59 40200 000172 0000R 00001 00211 015 2112000 2024*")-SUMIFS(E3701:E6462,K3701:K6462,"0",B3701:B6462,"5 1 2 1 1 12 31111 6 M59 40200 000172 0000R 00001 00211 015 2112000 2024*")</f>
        <v>0</v>
      </c>
      <c r="E3700" s="54"/>
      <c r="F3700" s="83">
        <f>SUMIFS(F3701:F6462,K3701:K6462,"0",B3701:B6462,"5 1 2 1 1 12 31111 6 M59 40200 000172 0000R 00001 00211 015 2112000 2024*")</f>
        <v>250</v>
      </c>
      <c r="G3700" s="83">
        <f>SUMIFS(G3701:G6462,K3701:K6462,"0",B3701:B6462,"5 1 2 1 1 12 31111 6 M59 40200 000172 0000R 00001 00211 015 2112000 2024*")</f>
        <v>0</v>
      </c>
      <c r="H3700" s="83">
        <f t="shared" si="58"/>
        <v>250</v>
      </c>
      <c r="I3700" s="83"/>
      <c r="K3700" s="54" t="s">
        <v>15</v>
      </c>
    </row>
    <row r="3701" spans="2:11" ht="41.25" x14ac:dyDescent="0.2">
      <c r="B3701" s="82" t="s">
        <v>6081</v>
      </c>
      <c r="C3701" s="82" t="s">
        <v>1056</v>
      </c>
      <c r="D3701" s="83">
        <f>SUMIFS(D3702:D6462,K3702:K6462,"0",B3702:B6462,"5 1 2 1 1 12 31111 6 M59 40200 000172 0000R 00001 00211 015 2112000 2024 CP4PC370*")-SUMIFS(E3702:E6462,K3702:K6462,"0",B3702:B6462,"5 1 2 1 1 12 31111 6 M59 40200 000172 0000R 00001 00211 015 2112000 2024 CP4PC370*")</f>
        <v>0</v>
      </c>
      <c r="E3701" s="54"/>
      <c r="F3701" s="83">
        <f>SUMIFS(F3702:F6462,K3702:K6462,"0",B3702:B6462,"5 1 2 1 1 12 31111 6 M59 40200 000172 0000R 00001 00211 015 2112000 2024 CP4PC370*")</f>
        <v>250</v>
      </c>
      <c r="G3701" s="83">
        <f>SUMIFS(G3702:G6462,K3702:K6462,"0",B3702:B6462,"5 1 2 1 1 12 31111 6 M59 40200 000172 0000R 00001 00211 015 2112000 2024 CP4PC370*")</f>
        <v>0</v>
      </c>
      <c r="H3701" s="83">
        <f t="shared" si="58"/>
        <v>250</v>
      </c>
      <c r="I3701" s="83"/>
      <c r="K3701" s="54" t="s">
        <v>15</v>
      </c>
    </row>
    <row r="3702" spans="2:11" ht="41.25" x14ac:dyDescent="0.2">
      <c r="B3702" s="82" t="s">
        <v>6082</v>
      </c>
      <c r="C3702" s="82" t="s">
        <v>282</v>
      </c>
      <c r="D3702" s="83">
        <f>SUMIFS(D3703:D6462,K3703:K6462,"0",B3703:B6462,"5 1 2 1 1 12 31111 6 M59 40200 000172 0000R 00001 00211 015 2112000 2024 CP4PC370 001*")-SUMIFS(E3703:E6462,K3703:K6462,"0",B3703:B6462,"5 1 2 1 1 12 31111 6 M59 40200 000172 0000R 00001 00211 015 2112000 2024 CP4PC370 001*")</f>
        <v>0</v>
      </c>
      <c r="E3702" s="54"/>
      <c r="F3702" s="83">
        <f>SUMIFS(F3703:F6462,K3703:K6462,"0",B3703:B6462,"5 1 2 1 1 12 31111 6 M59 40200 000172 0000R 00001 00211 015 2112000 2024 CP4PC370 001*")</f>
        <v>250</v>
      </c>
      <c r="G3702" s="83">
        <f>SUMIFS(G3703:G6462,K3703:K6462,"0",B3703:B6462,"5 1 2 1 1 12 31111 6 M59 40200 000172 0000R 00001 00211 015 2112000 2024 CP4PC370 001*")</f>
        <v>0</v>
      </c>
      <c r="H3702" s="83">
        <f t="shared" si="58"/>
        <v>250</v>
      </c>
      <c r="I3702" s="83"/>
      <c r="K3702" s="54" t="s">
        <v>15</v>
      </c>
    </row>
    <row r="3703" spans="2:11" ht="33" x14ac:dyDescent="0.2">
      <c r="B3703" s="84" t="s">
        <v>6083</v>
      </c>
      <c r="C3703" s="84" t="s">
        <v>5827</v>
      </c>
      <c r="D3703" s="85">
        <v>0</v>
      </c>
      <c r="E3703" s="85"/>
      <c r="F3703" s="85">
        <v>250</v>
      </c>
      <c r="G3703" s="85">
        <v>0</v>
      </c>
      <c r="H3703" s="85">
        <f t="shared" si="58"/>
        <v>250</v>
      </c>
      <c r="I3703" s="85"/>
      <c r="K3703" s="54" t="s">
        <v>38</v>
      </c>
    </row>
    <row r="3704" spans="2:11" ht="16.5" x14ac:dyDescent="0.2">
      <c r="B3704" s="82" t="s">
        <v>6090</v>
      </c>
      <c r="C3704" s="82" t="s">
        <v>3256</v>
      </c>
      <c r="D3704" s="83">
        <f>SUMIFS(D3705:D6462,K3705:K6462,"0",B3705:B6462,"5 1 2 1 1 12 31111 6 M59 40300*")-SUMIFS(E3705:E6462,K3705:K6462,"0",B3705:B6462,"5 1 2 1 1 12 31111 6 M59 40300*")</f>
        <v>0</v>
      </c>
      <c r="E3704" s="54"/>
      <c r="F3704" s="83">
        <f>SUMIFS(F3705:F6462,K3705:K6462,"0",B3705:B6462,"5 1 2 1 1 12 31111 6 M59 40300*")</f>
        <v>250</v>
      </c>
      <c r="G3704" s="83">
        <f>SUMIFS(G3705:G6462,K3705:K6462,"0",B3705:B6462,"5 1 2 1 1 12 31111 6 M59 40300*")</f>
        <v>0</v>
      </c>
      <c r="H3704" s="83">
        <f t="shared" si="58"/>
        <v>250</v>
      </c>
      <c r="I3704" s="83"/>
      <c r="K3704" s="54" t="s">
        <v>15</v>
      </c>
    </row>
    <row r="3705" spans="2:11" ht="16.5" x14ac:dyDescent="0.2">
      <c r="B3705" s="82" t="s">
        <v>6091</v>
      </c>
      <c r="C3705" s="82" t="s">
        <v>1063</v>
      </c>
      <c r="D3705" s="83">
        <f>SUMIFS(D3706:D6462,K3706:K6462,"0",B3706:B6462,"5 1 2 1 1 12 31111 6 M59 40300 000185*")-SUMIFS(E3706:E6462,K3706:K6462,"0",B3706:B6462,"5 1 2 1 1 12 31111 6 M59 40300 000185*")</f>
        <v>0</v>
      </c>
      <c r="E3705" s="54"/>
      <c r="F3705" s="83">
        <f>SUMIFS(F3706:F6462,K3706:K6462,"0",B3706:B6462,"5 1 2 1 1 12 31111 6 M59 40300 000185*")</f>
        <v>250</v>
      </c>
      <c r="G3705" s="83">
        <f>SUMIFS(G3706:G6462,K3706:K6462,"0",B3706:B6462,"5 1 2 1 1 12 31111 6 M59 40300 000185*")</f>
        <v>0</v>
      </c>
      <c r="H3705" s="83">
        <f t="shared" si="58"/>
        <v>250</v>
      </c>
      <c r="I3705" s="83"/>
      <c r="K3705" s="54" t="s">
        <v>15</v>
      </c>
    </row>
    <row r="3706" spans="2:11" ht="16.5" x14ac:dyDescent="0.2">
      <c r="B3706" s="82" t="s">
        <v>6092</v>
      </c>
      <c r="C3706" s="82" t="s">
        <v>650</v>
      </c>
      <c r="D3706" s="83">
        <f>SUMIFS(D3707:D6462,K3707:K6462,"0",B3707:B6462,"5 1 2 1 1 12 31111 6 M59 40300 000185 0000R*")-SUMIFS(E3707:E6462,K3707:K6462,"0",B3707:B6462,"5 1 2 1 1 12 31111 6 M59 40300 000185 0000R*")</f>
        <v>0</v>
      </c>
      <c r="E3706" s="54"/>
      <c r="F3706" s="83">
        <f>SUMIFS(F3707:F6462,K3707:K6462,"0",B3707:B6462,"5 1 2 1 1 12 31111 6 M59 40300 000185 0000R*")</f>
        <v>250</v>
      </c>
      <c r="G3706" s="83">
        <f>SUMIFS(G3707:G6462,K3707:K6462,"0",B3707:B6462,"5 1 2 1 1 12 31111 6 M59 40300 000185 0000R*")</f>
        <v>0</v>
      </c>
      <c r="H3706" s="83">
        <f t="shared" si="58"/>
        <v>250</v>
      </c>
      <c r="I3706" s="83"/>
      <c r="K3706" s="54" t="s">
        <v>15</v>
      </c>
    </row>
    <row r="3707" spans="2:11" ht="24.75" x14ac:dyDescent="0.2">
      <c r="B3707" s="82" t="s">
        <v>6093</v>
      </c>
      <c r="C3707" s="82" t="s">
        <v>282</v>
      </c>
      <c r="D3707" s="83">
        <f>SUMIFS(D3708:D6462,K3708:K6462,"0",B3708:B6462,"5 1 2 1 1 12 31111 6 M59 40300 000185 0000R 00001*")-SUMIFS(E3708:E6462,K3708:K6462,"0",B3708:B6462,"5 1 2 1 1 12 31111 6 M59 40300 000185 0000R 00001*")</f>
        <v>0</v>
      </c>
      <c r="E3707" s="54"/>
      <c r="F3707" s="83">
        <f>SUMIFS(F3708:F6462,K3708:K6462,"0",B3708:B6462,"5 1 2 1 1 12 31111 6 M59 40300 000185 0000R 00001*")</f>
        <v>250</v>
      </c>
      <c r="G3707" s="83">
        <f>SUMIFS(G3708:G6462,K3708:K6462,"0",B3708:B6462,"5 1 2 1 1 12 31111 6 M59 40300 000185 0000R 00001*")</f>
        <v>0</v>
      </c>
      <c r="H3707" s="83">
        <f t="shared" si="58"/>
        <v>250</v>
      </c>
      <c r="I3707" s="83"/>
      <c r="K3707" s="54" t="s">
        <v>15</v>
      </c>
    </row>
    <row r="3708" spans="2:11" ht="24.75" x14ac:dyDescent="0.2">
      <c r="B3708" s="82" t="s">
        <v>6094</v>
      </c>
      <c r="C3708" s="82" t="s">
        <v>5827</v>
      </c>
      <c r="D3708" s="83">
        <f>SUMIFS(D3709:D6462,K3709:K6462,"0",B3709:B6462,"5 1 2 1 1 12 31111 6 M59 40300 000185 0000R 00001 00211*")-SUMIFS(E3709:E6462,K3709:K6462,"0",B3709:B6462,"5 1 2 1 1 12 31111 6 M59 40300 000185 0000R 00001 00211*")</f>
        <v>0</v>
      </c>
      <c r="E3708" s="54"/>
      <c r="F3708" s="83">
        <f>SUMIFS(F3709:F6462,K3709:K6462,"0",B3709:B6462,"5 1 2 1 1 12 31111 6 M59 40300 000185 0000R 00001 00211*")</f>
        <v>250</v>
      </c>
      <c r="G3708" s="83">
        <f>SUMIFS(G3709:G6462,K3709:K6462,"0",B3709:B6462,"5 1 2 1 1 12 31111 6 M59 40300 000185 0000R 00001 00211*")</f>
        <v>0</v>
      </c>
      <c r="H3708" s="83">
        <f t="shared" si="58"/>
        <v>250</v>
      </c>
      <c r="I3708" s="83"/>
      <c r="K3708" s="54" t="s">
        <v>15</v>
      </c>
    </row>
    <row r="3709" spans="2:11" ht="24.75" x14ac:dyDescent="0.2">
      <c r="B3709" s="82" t="s">
        <v>6095</v>
      </c>
      <c r="C3709" s="82" t="s">
        <v>1051</v>
      </c>
      <c r="D3709" s="83">
        <f>SUMIFS(D3710:D6462,K3710:K6462,"0",B3710:B6462,"5 1 2 1 1 12 31111 6 M59 40300 000185 0000R 00001 00211 015*")-SUMIFS(E3710:E6462,K3710:K6462,"0",B3710:B6462,"5 1 2 1 1 12 31111 6 M59 40300 000185 0000R 00001 00211 015*")</f>
        <v>0</v>
      </c>
      <c r="E3709" s="54"/>
      <c r="F3709" s="83">
        <f>SUMIFS(F3710:F6462,K3710:K6462,"0",B3710:B6462,"5 1 2 1 1 12 31111 6 M59 40300 000185 0000R 00001 00211 015*")</f>
        <v>250</v>
      </c>
      <c r="G3709" s="83">
        <f>SUMIFS(G3710:G6462,K3710:K6462,"0",B3710:B6462,"5 1 2 1 1 12 31111 6 M59 40300 000185 0000R 00001 00211 015*")</f>
        <v>0</v>
      </c>
      <c r="H3709" s="83">
        <f t="shared" si="58"/>
        <v>250</v>
      </c>
      <c r="I3709" s="83"/>
      <c r="K3709" s="54" t="s">
        <v>15</v>
      </c>
    </row>
    <row r="3710" spans="2:11" ht="33" x14ac:dyDescent="0.2">
      <c r="B3710" s="82" t="s">
        <v>6096</v>
      </c>
      <c r="C3710" s="82" t="s">
        <v>5830</v>
      </c>
      <c r="D3710" s="83">
        <f>SUMIFS(D3711:D6462,K3711:K6462,"0",B3711:B6462,"5 1 2 1 1 12 31111 6 M59 40300 000185 0000R 00001 00211 015 2112000*")-SUMIFS(E3711:E6462,K3711:K6462,"0",B3711:B6462,"5 1 2 1 1 12 31111 6 M59 40300 000185 0000R 00001 00211 015 2112000*")</f>
        <v>0</v>
      </c>
      <c r="E3710" s="54"/>
      <c r="F3710" s="83">
        <f>SUMIFS(F3711:F6462,K3711:K6462,"0",B3711:B6462,"5 1 2 1 1 12 31111 6 M59 40300 000185 0000R 00001 00211 015 2112000*")</f>
        <v>250</v>
      </c>
      <c r="G3710" s="83">
        <f>SUMIFS(G3711:G6462,K3711:K6462,"0",B3711:B6462,"5 1 2 1 1 12 31111 6 M59 40300 000185 0000R 00001 00211 015 2112000*")</f>
        <v>0</v>
      </c>
      <c r="H3710" s="83">
        <f t="shared" si="58"/>
        <v>250</v>
      </c>
      <c r="I3710" s="83"/>
      <c r="K3710" s="54" t="s">
        <v>15</v>
      </c>
    </row>
    <row r="3711" spans="2:11" ht="33" x14ac:dyDescent="0.2">
      <c r="B3711" s="82" t="s">
        <v>6097</v>
      </c>
      <c r="C3711" s="82" t="s">
        <v>660</v>
      </c>
      <c r="D3711" s="83">
        <f>SUMIFS(D3712:D6462,K3712:K6462,"0",B3712:B6462,"5 1 2 1 1 12 31111 6 M59 40300 000185 0000R 00001 00211 015 2112000 2024*")-SUMIFS(E3712:E6462,K3712:K6462,"0",B3712:B6462,"5 1 2 1 1 12 31111 6 M59 40300 000185 0000R 00001 00211 015 2112000 2024*")</f>
        <v>0</v>
      </c>
      <c r="E3711" s="54"/>
      <c r="F3711" s="83">
        <f>SUMIFS(F3712:F6462,K3712:K6462,"0",B3712:B6462,"5 1 2 1 1 12 31111 6 M59 40300 000185 0000R 00001 00211 015 2112000 2024*")</f>
        <v>250</v>
      </c>
      <c r="G3711" s="83">
        <f>SUMIFS(G3712:G6462,K3712:K6462,"0",B3712:B6462,"5 1 2 1 1 12 31111 6 M59 40300 000185 0000R 00001 00211 015 2112000 2024*")</f>
        <v>0</v>
      </c>
      <c r="H3711" s="83">
        <f t="shared" si="58"/>
        <v>250</v>
      </c>
      <c r="I3711" s="83"/>
      <c r="K3711" s="54" t="s">
        <v>15</v>
      </c>
    </row>
    <row r="3712" spans="2:11" ht="41.25" x14ac:dyDescent="0.2">
      <c r="B3712" s="82" t="s">
        <v>6098</v>
      </c>
      <c r="C3712" s="82" t="s">
        <v>662</v>
      </c>
      <c r="D3712" s="83">
        <f>SUMIFS(D3713:D6462,K3713:K6462,"0",B3713:B6462,"5 1 2 1 1 12 31111 6 M59 40300 000185 0000R 00001 00211 015 2112000 2024 CP4TV371*")-SUMIFS(E3713:E6462,K3713:K6462,"0",B3713:B6462,"5 1 2 1 1 12 31111 6 M59 40300 000185 0000R 00001 00211 015 2112000 2024 CP4TV371*")</f>
        <v>0</v>
      </c>
      <c r="E3712" s="54"/>
      <c r="F3712" s="83">
        <f>SUMIFS(F3713:F6462,K3713:K6462,"0",B3713:B6462,"5 1 2 1 1 12 31111 6 M59 40300 000185 0000R 00001 00211 015 2112000 2024 CP4TV371*")</f>
        <v>250</v>
      </c>
      <c r="G3712" s="83">
        <f>SUMIFS(G3713:G6462,K3713:K6462,"0",B3713:B6462,"5 1 2 1 1 12 31111 6 M59 40300 000185 0000R 00001 00211 015 2112000 2024 CP4TV371*")</f>
        <v>0</v>
      </c>
      <c r="H3712" s="83">
        <f t="shared" si="58"/>
        <v>250</v>
      </c>
      <c r="I3712" s="83"/>
      <c r="K3712" s="54" t="s">
        <v>15</v>
      </c>
    </row>
    <row r="3713" spans="2:11" ht="41.25" x14ac:dyDescent="0.2">
      <c r="B3713" s="82" t="s">
        <v>6099</v>
      </c>
      <c r="C3713" s="82" t="s">
        <v>282</v>
      </c>
      <c r="D3713" s="83">
        <f>SUMIFS(D3714:D6462,K3714:K6462,"0",B3714:B6462,"5 1 2 1 1 12 31111 6 M59 40300 000185 0000R 00001 00211 015 2112000 2024 CP4TV371 001*")-SUMIFS(E3714:E6462,K3714:K6462,"0",B3714:B6462,"5 1 2 1 1 12 31111 6 M59 40300 000185 0000R 00001 00211 015 2112000 2024 CP4TV371 001*")</f>
        <v>0</v>
      </c>
      <c r="E3713" s="54"/>
      <c r="F3713" s="83">
        <f>SUMIFS(F3714:F6462,K3714:K6462,"0",B3714:B6462,"5 1 2 1 1 12 31111 6 M59 40300 000185 0000R 00001 00211 015 2112000 2024 CP4TV371 001*")</f>
        <v>250</v>
      </c>
      <c r="G3713" s="83">
        <f>SUMIFS(G3714:G6462,K3714:K6462,"0",B3714:B6462,"5 1 2 1 1 12 31111 6 M59 40300 000185 0000R 00001 00211 015 2112000 2024 CP4TV371 001*")</f>
        <v>0</v>
      </c>
      <c r="H3713" s="83">
        <f t="shared" si="58"/>
        <v>250</v>
      </c>
      <c r="I3713" s="83"/>
      <c r="K3713" s="54" t="s">
        <v>15</v>
      </c>
    </row>
    <row r="3714" spans="2:11" ht="33" x14ac:dyDescent="0.2">
      <c r="B3714" s="84" t="s">
        <v>6100</v>
      </c>
      <c r="C3714" s="84" t="s">
        <v>5827</v>
      </c>
      <c r="D3714" s="85">
        <v>0</v>
      </c>
      <c r="E3714" s="85"/>
      <c r="F3714" s="85">
        <v>250</v>
      </c>
      <c r="G3714" s="85">
        <v>0</v>
      </c>
      <c r="H3714" s="85">
        <f t="shared" si="58"/>
        <v>250</v>
      </c>
      <c r="I3714" s="85"/>
      <c r="K3714" s="54" t="s">
        <v>38</v>
      </c>
    </row>
    <row r="3715" spans="2:11" ht="16.5" x14ac:dyDescent="0.2">
      <c r="B3715" s="82" t="s">
        <v>6107</v>
      </c>
      <c r="C3715" s="82" t="s">
        <v>3268</v>
      </c>
      <c r="D3715" s="83">
        <f>SUMIFS(D3716:D6462,K3716:K6462,"0",B3716:B6462,"5 1 2 1 1 12 31111 6 M59 40400*")-SUMIFS(E3716:E6462,K3716:K6462,"0",B3716:B6462,"5 1 2 1 1 12 31111 6 M59 40400*")</f>
        <v>0</v>
      </c>
      <c r="E3715" s="54"/>
      <c r="F3715" s="83">
        <f>SUMIFS(F3716:F6462,K3716:K6462,"0",B3716:B6462,"5 1 2 1 1 12 31111 6 M59 40400*")</f>
        <v>250</v>
      </c>
      <c r="G3715" s="83">
        <f>SUMIFS(G3716:G6462,K3716:K6462,"0",B3716:B6462,"5 1 2 1 1 12 31111 6 M59 40400*")</f>
        <v>0</v>
      </c>
      <c r="H3715" s="83">
        <f t="shared" si="58"/>
        <v>250</v>
      </c>
      <c r="I3715" s="83"/>
      <c r="K3715" s="54" t="s">
        <v>15</v>
      </c>
    </row>
    <row r="3716" spans="2:11" ht="16.5" x14ac:dyDescent="0.2">
      <c r="B3716" s="82" t="s">
        <v>6108</v>
      </c>
      <c r="C3716" s="82" t="s">
        <v>3270</v>
      </c>
      <c r="D3716" s="83">
        <f>SUMIFS(D3717:D6462,K3717:K6462,"0",B3717:B6462,"5 1 2 1 1 12 31111 6 M59 40400 000173*")-SUMIFS(E3717:E6462,K3717:K6462,"0",B3717:B6462,"5 1 2 1 1 12 31111 6 M59 40400 000173*")</f>
        <v>0</v>
      </c>
      <c r="E3716" s="54"/>
      <c r="F3716" s="83">
        <f>SUMIFS(F3717:F6462,K3717:K6462,"0",B3717:B6462,"5 1 2 1 1 12 31111 6 M59 40400 000173*")</f>
        <v>250</v>
      </c>
      <c r="G3716" s="83">
        <f>SUMIFS(G3717:G6462,K3717:K6462,"0",B3717:B6462,"5 1 2 1 1 12 31111 6 M59 40400 000173*")</f>
        <v>0</v>
      </c>
      <c r="H3716" s="83">
        <f t="shared" si="58"/>
        <v>250</v>
      </c>
      <c r="I3716" s="83"/>
      <c r="K3716" s="54" t="s">
        <v>15</v>
      </c>
    </row>
    <row r="3717" spans="2:11" ht="16.5" x14ac:dyDescent="0.2">
      <c r="B3717" s="82" t="s">
        <v>6109</v>
      </c>
      <c r="C3717" s="82" t="s">
        <v>650</v>
      </c>
      <c r="D3717" s="83">
        <f>SUMIFS(D3718:D6462,K3718:K6462,"0",B3718:B6462,"5 1 2 1 1 12 31111 6 M59 40400 000173 0000R*")-SUMIFS(E3718:E6462,K3718:K6462,"0",B3718:B6462,"5 1 2 1 1 12 31111 6 M59 40400 000173 0000R*")</f>
        <v>0</v>
      </c>
      <c r="E3717" s="54"/>
      <c r="F3717" s="83">
        <f>SUMIFS(F3718:F6462,K3718:K6462,"0",B3718:B6462,"5 1 2 1 1 12 31111 6 M59 40400 000173 0000R*")</f>
        <v>250</v>
      </c>
      <c r="G3717" s="83">
        <f>SUMIFS(G3718:G6462,K3718:K6462,"0",B3718:B6462,"5 1 2 1 1 12 31111 6 M59 40400 000173 0000R*")</f>
        <v>0</v>
      </c>
      <c r="H3717" s="83">
        <f t="shared" si="58"/>
        <v>250</v>
      </c>
      <c r="I3717" s="83"/>
      <c r="K3717" s="54" t="s">
        <v>15</v>
      </c>
    </row>
    <row r="3718" spans="2:11" ht="24.75" x14ac:dyDescent="0.2">
      <c r="B3718" s="82" t="s">
        <v>6110</v>
      </c>
      <c r="C3718" s="82" t="s">
        <v>282</v>
      </c>
      <c r="D3718" s="83">
        <f>SUMIFS(D3719:D6462,K3719:K6462,"0",B3719:B6462,"5 1 2 1 1 12 31111 6 M59 40400 000173 0000R 00001*")-SUMIFS(E3719:E6462,K3719:K6462,"0",B3719:B6462,"5 1 2 1 1 12 31111 6 M59 40400 000173 0000R 00001*")</f>
        <v>0</v>
      </c>
      <c r="E3718" s="54"/>
      <c r="F3718" s="83">
        <f>SUMIFS(F3719:F6462,K3719:K6462,"0",B3719:B6462,"5 1 2 1 1 12 31111 6 M59 40400 000173 0000R 00001*")</f>
        <v>250</v>
      </c>
      <c r="G3718" s="83">
        <f>SUMIFS(G3719:G6462,K3719:K6462,"0",B3719:B6462,"5 1 2 1 1 12 31111 6 M59 40400 000173 0000R 00001*")</f>
        <v>0</v>
      </c>
      <c r="H3718" s="83">
        <f t="shared" si="58"/>
        <v>250</v>
      </c>
      <c r="I3718" s="83"/>
      <c r="K3718" s="54" t="s">
        <v>15</v>
      </c>
    </row>
    <row r="3719" spans="2:11" ht="24.75" x14ac:dyDescent="0.2">
      <c r="B3719" s="82" t="s">
        <v>6111</v>
      </c>
      <c r="C3719" s="82" t="s">
        <v>5827</v>
      </c>
      <c r="D3719" s="83">
        <f>SUMIFS(D3720:D6462,K3720:K6462,"0",B3720:B6462,"5 1 2 1 1 12 31111 6 M59 40400 000173 0000R 00001 00211*")-SUMIFS(E3720:E6462,K3720:K6462,"0",B3720:B6462,"5 1 2 1 1 12 31111 6 M59 40400 000173 0000R 00001 00211*")</f>
        <v>0</v>
      </c>
      <c r="E3719" s="54"/>
      <c r="F3719" s="83">
        <f>SUMIFS(F3720:F6462,K3720:K6462,"0",B3720:B6462,"5 1 2 1 1 12 31111 6 M59 40400 000173 0000R 00001 00211*")</f>
        <v>250</v>
      </c>
      <c r="G3719" s="83">
        <f>SUMIFS(G3720:G6462,K3720:K6462,"0",B3720:B6462,"5 1 2 1 1 12 31111 6 M59 40400 000173 0000R 00001 00211*")</f>
        <v>0</v>
      </c>
      <c r="H3719" s="83">
        <f t="shared" si="58"/>
        <v>250</v>
      </c>
      <c r="I3719" s="83"/>
      <c r="K3719" s="54" t="s">
        <v>15</v>
      </c>
    </row>
    <row r="3720" spans="2:11" ht="24.75" x14ac:dyDescent="0.2">
      <c r="B3720" s="82" t="s">
        <v>6112</v>
      </c>
      <c r="C3720" s="82" t="s">
        <v>1051</v>
      </c>
      <c r="D3720" s="83">
        <f>SUMIFS(D3721:D6462,K3721:K6462,"0",B3721:B6462,"5 1 2 1 1 12 31111 6 M59 40400 000173 0000R 00001 00211 015*")-SUMIFS(E3721:E6462,K3721:K6462,"0",B3721:B6462,"5 1 2 1 1 12 31111 6 M59 40400 000173 0000R 00001 00211 015*")</f>
        <v>0</v>
      </c>
      <c r="E3720" s="54"/>
      <c r="F3720" s="83">
        <f>SUMIFS(F3721:F6462,K3721:K6462,"0",B3721:B6462,"5 1 2 1 1 12 31111 6 M59 40400 000173 0000R 00001 00211 015*")</f>
        <v>250</v>
      </c>
      <c r="G3720" s="83">
        <f>SUMIFS(G3721:G6462,K3721:K6462,"0",B3721:B6462,"5 1 2 1 1 12 31111 6 M59 40400 000173 0000R 00001 00211 015*")</f>
        <v>0</v>
      </c>
      <c r="H3720" s="83">
        <f t="shared" si="58"/>
        <v>250</v>
      </c>
      <c r="I3720" s="83"/>
      <c r="K3720" s="54" t="s">
        <v>15</v>
      </c>
    </row>
    <row r="3721" spans="2:11" ht="33" x14ac:dyDescent="0.2">
      <c r="B3721" s="82" t="s">
        <v>6113</v>
      </c>
      <c r="C3721" s="82" t="s">
        <v>5830</v>
      </c>
      <c r="D3721" s="83">
        <f>SUMIFS(D3722:D6462,K3722:K6462,"0",B3722:B6462,"5 1 2 1 1 12 31111 6 M59 40400 000173 0000R 00001 00211 015 2112000*")-SUMIFS(E3722:E6462,K3722:K6462,"0",B3722:B6462,"5 1 2 1 1 12 31111 6 M59 40400 000173 0000R 00001 00211 015 2112000*")</f>
        <v>0</v>
      </c>
      <c r="E3721" s="54"/>
      <c r="F3721" s="83">
        <f>SUMIFS(F3722:F6462,K3722:K6462,"0",B3722:B6462,"5 1 2 1 1 12 31111 6 M59 40400 000173 0000R 00001 00211 015 2112000*")</f>
        <v>250</v>
      </c>
      <c r="G3721" s="83">
        <f>SUMIFS(G3722:G6462,K3722:K6462,"0",B3722:B6462,"5 1 2 1 1 12 31111 6 M59 40400 000173 0000R 00001 00211 015 2112000*")</f>
        <v>0</v>
      </c>
      <c r="H3721" s="83">
        <f t="shared" si="58"/>
        <v>250</v>
      </c>
      <c r="I3721" s="83"/>
      <c r="K3721" s="54" t="s">
        <v>15</v>
      </c>
    </row>
    <row r="3722" spans="2:11" ht="33" x14ac:dyDescent="0.2">
      <c r="B3722" s="82" t="s">
        <v>6114</v>
      </c>
      <c r="C3722" s="82" t="s">
        <v>660</v>
      </c>
      <c r="D3722" s="83">
        <f>SUMIFS(D3723:D6462,K3723:K6462,"0",B3723:B6462,"5 1 2 1 1 12 31111 6 M59 40400 000173 0000R 00001 00211 015 2112000 2024*")-SUMIFS(E3723:E6462,K3723:K6462,"0",B3723:B6462,"5 1 2 1 1 12 31111 6 M59 40400 000173 0000R 00001 00211 015 2112000 2024*")</f>
        <v>0</v>
      </c>
      <c r="E3722" s="54"/>
      <c r="F3722" s="83">
        <f>SUMIFS(F3723:F6462,K3723:K6462,"0",B3723:B6462,"5 1 2 1 1 12 31111 6 M59 40400 000173 0000R 00001 00211 015 2112000 2024*")</f>
        <v>250</v>
      </c>
      <c r="G3722" s="83">
        <f>SUMIFS(G3723:G6462,K3723:K6462,"0",B3723:B6462,"5 1 2 1 1 12 31111 6 M59 40400 000173 0000R 00001 00211 015 2112000 2024*")</f>
        <v>0</v>
      </c>
      <c r="H3722" s="83">
        <f t="shared" si="58"/>
        <v>250</v>
      </c>
      <c r="I3722" s="83"/>
      <c r="K3722" s="54" t="s">
        <v>15</v>
      </c>
    </row>
    <row r="3723" spans="2:11" ht="41.25" x14ac:dyDescent="0.2">
      <c r="B3723" s="82" t="s">
        <v>6115</v>
      </c>
      <c r="C3723" s="82" t="s">
        <v>662</v>
      </c>
      <c r="D3723" s="83">
        <f>SUMIFS(D3724:D6462,K3724:K6462,"0",B3724:B6462,"5 1 2 1 1 12 31111 6 M59 40400 000173 0000R 00001 00211 015 2112000 2024 CP4PD369*")-SUMIFS(E3724:E6462,K3724:K6462,"0",B3724:B6462,"5 1 2 1 1 12 31111 6 M59 40400 000173 0000R 00001 00211 015 2112000 2024 CP4PD369*")</f>
        <v>0</v>
      </c>
      <c r="E3723" s="54"/>
      <c r="F3723" s="83">
        <f>SUMIFS(F3724:F6462,K3724:K6462,"0",B3724:B6462,"5 1 2 1 1 12 31111 6 M59 40400 000173 0000R 00001 00211 015 2112000 2024 CP4PD369*")</f>
        <v>250</v>
      </c>
      <c r="G3723" s="83">
        <f>SUMIFS(G3724:G6462,K3724:K6462,"0",B3724:B6462,"5 1 2 1 1 12 31111 6 M59 40400 000173 0000R 00001 00211 015 2112000 2024 CP4PD369*")</f>
        <v>0</v>
      </c>
      <c r="H3723" s="83">
        <f t="shared" si="58"/>
        <v>250</v>
      </c>
      <c r="I3723" s="83"/>
      <c r="K3723" s="54" t="s">
        <v>15</v>
      </c>
    </row>
    <row r="3724" spans="2:11" ht="41.25" x14ac:dyDescent="0.2">
      <c r="B3724" s="82" t="s">
        <v>6116</v>
      </c>
      <c r="C3724" s="82" t="s">
        <v>282</v>
      </c>
      <c r="D3724" s="83">
        <f>SUMIFS(D3725:D6462,K3725:K6462,"0",B3725:B6462,"5 1 2 1 1 12 31111 6 M59 40400 000173 0000R 00001 00211 015 2112000 2024 CP4PD369 001*")-SUMIFS(E3725:E6462,K3725:K6462,"0",B3725:B6462,"5 1 2 1 1 12 31111 6 M59 40400 000173 0000R 00001 00211 015 2112000 2024 CP4PD369 001*")</f>
        <v>0</v>
      </c>
      <c r="E3724" s="54"/>
      <c r="F3724" s="83">
        <f>SUMIFS(F3725:F6462,K3725:K6462,"0",B3725:B6462,"5 1 2 1 1 12 31111 6 M59 40400 000173 0000R 00001 00211 015 2112000 2024 CP4PD369 001*")</f>
        <v>250</v>
      </c>
      <c r="G3724" s="83">
        <f>SUMIFS(G3725:G6462,K3725:K6462,"0",B3725:B6462,"5 1 2 1 1 12 31111 6 M59 40400 000173 0000R 00001 00211 015 2112000 2024 CP4PD369 001*")</f>
        <v>0</v>
      </c>
      <c r="H3724" s="83">
        <f t="shared" si="58"/>
        <v>250</v>
      </c>
      <c r="I3724" s="83"/>
      <c r="K3724" s="54" t="s">
        <v>15</v>
      </c>
    </row>
    <row r="3725" spans="2:11" ht="33" x14ac:dyDescent="0.2">
      <c r="B3725" s="84" t="s">
        <v>6117</v>
      </c>
      <c r="C3725" s="84" t="s">
        <v>5827</v>
      </c>
      <c r="D3725" s="85">
        <v>0</v>
      </c>
      <c r="E3725" s="85"/>
      <c r="F3725" s="85">
        <v>250</v>
      </c>
      <c r="G3725" s="85">
        <v>0</v>
      </c>
      <c r="H3725" s="85">
        <f t="shared" si="58"/>
        <v>250</v>
      </c>
      <c r="I3725" s="85"/>
      <c r="K3725" s="54" t="s">
        <v>38</v>
      </c>
    </row>
    <row r="3726" spans="2:11" ht="16.5" x14ac:dyDescent="0.2">
      <c r="B3726" s="82" t="s">
        <v>6124</v>
      </c>
      <c r="C3726" s="82" t="s">
        <v>3281</v>
      </c>
      <c r="D3726" s="83">
        <f>SUMIFS(D3727:D6462,K3727:K6462,"0",B3727:B6462,"5 1 2 1 1 12 31111 6 M59 50000*")-SUMIFS(E3727:E6462,K3727:K6462,"0",B3727:B6462,"5 1 2 1 1 12 31111 6 M59 50000*")</f>
        <v>0</v>
      </c>
      <c r="E3726" s="54"/>
      <c r="F3726" s="83">
        <f>SUMIFS(F3727:F6462,K3727:K6462,"0",B3727:B6462,"5 1 2 1 1 12 31111 6 M59 50000*")</f>
        <v>944.96</v>
      </c>
      <c r="G3726" s="83">
        <f>SUMIFS(G3727:G6462,K3727:K6462,"0",B3727:B6462,"5 1 2 1 1 12 31111 6 M59 50000*")</f>
        <v>0</v>
      </c>
      <c r="H3726" s="83">
        <f t="shared" si="58"/>
        <v>944.96</v>
      </c>
      <c r="I3726" s="83"/>
      <c r="K3726" s="54" t="s">
        <v>15</v>
      </c>
    </row>
    <row r="3727" spans="2:11" ht="16.5" x14ac:dyDescent="0.2">
      <c r="B3727" s="82" t="s">
        <v>6125</v>
      </c>
      <c r="C3727" s="82" t="s">
        <v>3283</v>
      </c>
      <c r="D3727" s="83">
        <f>SUMIFS(D3728:D6462,K3728:K6462,"0",B3728:B6462,"5 1 2 1 1 12 31111 6 M59 50000 000223*")-SUMIFS(E3728:E6462,K3728:K6462,"0",B3728:B6462,"5 1 2 1 1 12 31111 6 M59 50000 000223*")</f>
        <v>0</v>
      </c>
      <c r="E3727" s="54"/>
      <c r="F3727" s="83">
        <f>SUMIFS(F3728:F6462,K3728:K6462,"0",B3728:B6462,"5 1 2 1 1 12 31111 6 M59 50000 000223*")</f>
        <v>944.96</v>
      </c>
      <c r="G3727" s="83">
        <f>SUMIFS(G3728:G6462,K3728:K6462,"0",B3728:B6462,"5 1 2 1 1 12 31111 6 M59 50000 000223*")</f>
        <v>0</v>
      </c>
      <c r="H3727" s="83">
        <f t="shared" si="58"/>
        <v>944.96</v>
      </c>
      <c r="I3727" s="83"/>
      <c r="K3727" s="54" t="s">
        <v>15</v>
      </c>
    </row>
    <row r="3728" spans="2:11" ht="16.5" x14ac:dyDescent="0.2">
      <c r="B3728" s="82" t="s">
        <v>6126</v>
      </c>
      <c r="C3728" s="82" t="s">
        <v>1065</v>
      </c>
      <c r="D3728" s="83">
        <f>SUMIFS(D3729:D6462,K3729:K6462,"0",B3729:B6462,"5 1 2 1 1 12 31111 6 M59 50000 000223 0000E*")-SUMIFS(E3729:E6462,K3729:K6462,"0",B3729:B6462,"5 1 2 1 1 12 31111 6 M59 50000 000223 0000E*")</f>
        <v>0</v>
      </c>
      <c r="E3728" s="54"/>
      <c r="F3728" s="83">
        <f>SUMIFS(F3729:F6462,K3729:K6462,"0",B3729:B6462,"5 1 2 1 1 12 31111 6 M59 50000 000223 0000E*")</f>
        <v>944.96</v>
      </c>
      <c r="G3728" s="83">
        <f>SUMIFS(G3729:G6462,K3729:K6462,"0",B3729:B6462,"5 1 2 1 1 12 31111 6 M59 50000 000223 0000E*")</f>
        <v>0</v>
      </c>
      <c r="H3728" s="83">
        <f t="shared" si="58"/>
        <v>944.96</v>
      </c>
      <c r="I3728" s="83"/>
      <c r="K3728" s="54" t="s">
        <v>15</v>
      </c>
    </row>
    <row r="3729" spans="2:11" ht="24.75" x14ac:dyDescent="0.2">
      <c r="B3729" s="82" t="s">
        <v>6127</v>
      </c>
      <c r="C3729" s="82" t="s">
        <v>282</v>
      </c>
      <c r="D3729" s="83">
        <f>SUMIFS(D3730:D6462,K3730:K6462,"0",B3730:B6462,"5 1 2 1 1 12 31111 6 M59 50000 000223 0000E 00001*")-SUMIFS(E3730:E6462,K3730:K6462,"0",B3730:B6462,"5 1 2 1 1 12 31111 6 M59 50000 000223 0000E 00001*")</f>
        <v>0</v>
      </c>
      <c r="E3729" s="54"/>
      <c r="F3729" s="83">
        <f>SUMIFS(F3730:F6462,K3730:K6462,"0",B3730:B6462,"5 1 2 1 1 12 31111 6 M59 50000 000223 0000E 00001*")</f>
        <v>944.96</v>
      </c>
      <c r="G3729" s="83">
        <f>SUMIFS(G3730:G6462,K3730:K6462,"0",B3730:B6462,"5 1 2 1 1 12 31111 6 M59 50000 000223 0000E 00001*")</f>
        <v>0</v>
      </c>
      <c r="H3729" s="83">
        <f t="shared" si="58"/>
        <v>944.96</v>
      </c>
      <c r="I3729" s="83"/>
      <c r="K3729" s="54" t="s">
        <v>15</v>
      </c>
    </row>
    <row r="3730" spans="2:11" ht="24.75" x14ac:dyDescent="0.2">
      <c r="B3730" s="82" t="s">
        <v>6128</v>
      </c>
      <c r="C3730" s="82" t="s">
        <v>5827</v>
      </c>
      <c r="D3730" s="83">
        <f>SUMIFS(D3731:D6462,K3731:K6462,"0",B3731:B6462,"5 1 2 1 1 12 31111 6 M59 50000 000223 0000E 00001 00211*")-SUMIFS(E3731:E6462,K3731:K6462,"0",B3731:B6462,"5 1 2 1 1 12 31111 6 M59 50000 000223 0000E 00001 00211*")</f>
        <v>0</v>
      </c>
      <c r="E3730" s="54"/>
      <c r="F3730" s="83">
        <f>SUMIFS(F3731:F6462,K3731:K6462,"0",B3731:B6462,"5 1 2 1 1 12 31111 6 M59 50000 000223 0000E 00001 00211*")</f>
        <v>944.96</v>
      </c>
      <c r="G3730" s="83">
        <f>SUMIFS(G3731:G6462,K3731:K6462,"0",B3731:B6462,"5 1 2 1 1 12 31111 6 M59 50000 000223 0000E 00001 00211*")</f>
        <v>0</v>
      </c>
      <c r="H3730" s="83">
        <f t="shared" si="58"/>
        <v>944.96</v>
      </c>
      <c r="I3730" s="83"/>
      <c r="K3730" s="54" t="s">
        <v>15</v>
      </c>
    </row>
    <row r="3731" spans="2:11" ht="24.75" x14ac:dyDescent="0.2">
      <c r="B3731" s="82" t="s">
        <v>6129</v>
      </c>
      <c r="C3731" s="82" t="s">
        <v>1051</v>
      </c>
      <c r="D3731" s="83">
        <f>SUMIFS(D3732:D6462,K3732:K6462,"0",B3732:B6462,"5 1 2 1 1 12 31111 6 M59 50000 000223 0000E 00001 00211 015*")-SUMIFS(E3732:E6462,K3732:K6462,"0",B3732:B6462,"5 1 2 1 1 12 31111 6 M59 50000 000223 0000E 00001 00211 015*")</f>
        <v>0</v>
      </c>
      <c r="E3731" s="54"/>
      <c r="F3731" s="83">
        <f>SUMIFS(F3732:F6462,K3732:K6462,"0",B3732:B6462,"5 1 2 1 1 12 31111 6 M59 50000 000223 0000E 00001 00211 015*")</f>
        <v>944.96</v>
      </c>
      <c r="G3731" s="83">
        <f>SUMIFS(G3732:G6462,K3732:K6462,"0",B3732:B6462,"5 1 2 1 1 12 31111 6 M59 50000 000223 0000E 00001 00211 015*")</f>
        <v>0</v>
      </c>
      <c r="H3731" s="83">
        <f t="shared" si="58"/>
        <v>944.96</v>
      </c>
      <c r="I3731" s="83"/>
      <c r="K3731" s="54" t="s">
        <v>15</v>
      </c>
    </row>
    <row r="3732" spans="2:11" ht="33" x14ac:dyDescent="0.2">
      <c r="B3732" s="82" t="s">
        <v>6130</v>
      </c>
      <c r="C3732" s="82" t="s">
        <v>5830</v>
      </c>
      <c r="D3732" s="83">
        <f>SUMIFS(D3733:D6462,K3733:K6462,"0",B3733:B6462,"5 1 2 1 1 12 31111 6 M59 50000 000223 0000E 00001 00211 015 2112000*")-SUMIFS(E3733:E6462,K3733:K6462,"0",B3733:B6462,"5 1 2 1 1 12 31111 6 M59 50000 000223 0000E 00001 00211 015 2112000*")</f>
        <v>0</v>
      </c>
      <c r="E3732" s="54"/>
      <c r="F3732" s="83">
        <f>SUMIFS(F3733:F6462,K3733:K6462,"0",B3733:B6462,"5 1 2 1 1 12 31111 6 M59 50000 000223 0000E 00001 00211 015 2112000*")</f>
        <v>944.96</v>
      </c>
      <c r="G3732" s="83">
        <f>SUMIFS(G3733:G6462,K3733:K6462,"0",B3733:B6462,"5 1 2 1 1 12 31111 6 M59 50000 000223 0000E 00001 00211 015 2112000*")</f>
        <v>0</v>
      </c>
      <c r="H3732" s="83">
        <f t="shared" si="58"/>
        <v>944.96</v>
      </c>
      <c r="I3732" s="83"/>
      <c r="K3732" s="54" t="s">
        <v>15</v>
      </c>
    </row>
    <row r="3733" spans="2:11" ht="33" x14ac:dyDescent="0.2">
      <c r="B3733" s="82" t="s">
        <v>6131</v>
      </c>
      <c r="C3733" s="82" t="s">
        <v>660</v>
      </c>
      <c r="D3733" s="83">
        <f>SUMIFS(D3734:D6462,K3734:K6462,"0",B3734:B6462,"5 1 2 1 1 12 31111 6 M59 50000 000223 0000E 00001 00211 015 2112000 2024*")-SUMIFS(E3734:E6462,K3734:K6462,"0",B3734:B6462,"5 1 2 1 1 12 31111 6 M59 50000 000223 0000E 00001 00211 015 2112000 2024*")</f>
        <v>0</v>
      </c>
      <c r="E3733" s="54"/>
      <c r="F3733" s="83">
        <f>SUMIFS(F3734:F6462,K3734:K6462,"0",B3734:B6462,"5 1 2 1 1 12 31111 6 M59 50000 000223 0000E 00001 00211 015 2112000 2024*")</f>
        <v>944.96</v>
      </c>
      <c r="G3733" s="83">
        <f>SUMIFS(G3734:G6462,K3734:K6462,"0",B3734:B6462,"5 1 2 1 1 12 31111 6 M59 50000 000223 0000E 00001 00211 015 2112000 2024*")</f>
        <v>0</v>
      </c>
      <c r="H3733" s="83">
        <f t="shared" si="58"/>
        <v>944.96</v>
      </c>
      <c r="I3733" s="83"/>
      <c r="K3733" s="54" t="s">
        <v>15</v>
      </c>
    </row>
    <row r="3734" spans="2:11" ht="41.25" x14ac:dyDescent="0.2">
      <c r="B3734" s="82" t="s">
        <v>6132</v>
      </c>
      <c r="C3734" s="82" t="s">
        <v>662</v>
      </c>
      <c r="D3734" s="83">
        <f>SUMIFS(D3735:D6462,K3735:K6462,"0",B3735:B6462,"5 1 2 1 1 12 31111 6 M59 50000 000223 0000E 00001 00211 015 2112000 2024 CP1DA424*")-SUMIFS(E3735:E6462,K3735:K6462,"0",B3735:B6462,"5 1 2 1 1 12 31111 6 M59 50000 000223 0000E 00001 00211 015 2112000 2024 CP1DA424*")</f>
        <v>0</v>
      </c>
      <c r="E3734" s="54"/>
      <c r="F3734" s="83">
        <f>SUMIFS(F3735:F6462,K3735:K6462,"0",B3735:B6462,"5 1 2 1 1 12 31111 6 M59 50000 000223 0000E 00001 00211 015 2112000 2024 CP1DA424*")</f>
        <v>944.96</v>
      </c>
      <c r="G3734" s="83">
        <f>SUMIFS(G3735:G6462,K3735:K6462,"0",B3735:B6462,"5 1 2 1 1 12 31111 6 M59 50000 000223 0000E 00001 00211 015 2112000 2024 CP1DA424*")</f>
        <v>0</v>
      </c>
      <c r="H3734" s="83">
        <f t="shared" si="58"/>
        <v>944.96</v>
      </c>
      <c r="I3734" s="83"/>
      <c r="K3734" s="54" t="s">
        <v>15</v>
      </c>
    </row>
    <row r="3735" spans="2:11" ht="41.25" x14ac:dyDescent="0.2">
      <c r="B3735" s="82" t="s">
        <v>6133</v>
      </c>
      <c r="C3735" s="82" t="s">
        <v>282</v>
      </c>
      <c r="D3735" s="83">
        <f>SUMIFS(D3736:D6462,K3736:K6462,"0",B3736:B6462,"5 1 2 1 1 12 31111 6 M59 50000 000223 0000E 00001 00211 015 2112000 2024 CP1DA424 001*")-SUMIFS(E3736:E6462,K3736:K6462,"0",B3736:B6462,"5 1 2 1 1 12 31111 6 M59 50000 000223 0000E 00001 00211 015 2112000 2024 CP1DA424 001*")</f>
        <v>0</v>
      </c>
      <c r="E3735" s="54"/>
      <c r="F3735" s="83">
        <f>SUMIFS(F3736:F6462,K3736:K6462,"0",B3736:B6462,"5 1 2 1 1 12 31111 6 M59 50000 000223 0000E 00001 00211 015 2112000 2024 CP1DA424 001*")</f>
        <v>944.96</v>
      </c>
      <c r="G3735" s="83">
        <f>SUMIFS(G3736:G6462,K3736:K6462,"0",B3736:B6462,"5 1 2 1 1 12 31111 6 M59 50000 000223 0000E 00001 00211 015 2112000 2024 CP1DA424 001*")</f>
        <v>0</v>
      </c>
      <c r="H3735" s="83">
        <f t="shared" si="58"/>
        <v>944.96</v>
      </c>
      <c r="I3735" s="83"/>
      <c r="K3735" s="54" t="s">
        <v>15</v>
      </c>
    </row>
    <row r="3736" spans="2:11" ht="33" x14ac:dyDescent="0.2">
      <c r="B3736" s="84" t="s">
        <v>6134</v>
      </c>
      <c r="C3736" s="84" t="s">
        <v>5827</v>
      </c>
      <c r="D3736" s="85">
        <v>0</v>
      </c>
      <c r="E3736" s="85"/>
      <c r="F3736" s="85">
        <v>944.96</v>
      </c>
      <c r="G3736" s="85">
        <v>0</v>
      </c>
      <c r="H3736" s="85">
        <f t="shared" si="58"/>
        <v>944.96</v>
      </c>
      <c r="I3736" s="85"/>
      <c r="K3736" s="54" t="s">
        <v>38</v>
      </c>
    </row>
    <row r="3737" spans="2:11" ht="16.5" x14ac:dyDescent="0.2">
      <c r="B3737" s="82" t="s">
        <v>6135</v>
      </c>
      <c r="C3737" s="82" t="s">
        <v>3294</v>
      </c>
      <c r="D3737" s="83">
        <f>SUMIFS(D3738:D6462,K3738:K6462,"0",B3738:B6462,"5 1 2 1 1 12 31111 6 M59 50100*")-SUMIFS(E3738:E6462,K3738:K6462,"0",B3738:B6462,"5 1 2 1 1 12 31111 6 M59 50100*")</f>
        <v>0</v>
      </c>
      <c r="E3737" s="54"/>
      <c r="F3737" s="83">
        <f>SUMIFS(F3738:F6462,K3738:K6462,"0",B3738:B6462,"5 1 2 1 1 12 31111 6 M59 50100*")</f>
        <v>250</v>
      </c>
      <c r="G3737" s="83">
        <f>SUMIFS(G3738:G6462,K3738:K6462,"0",B3738:B6462,"5 1 2 1 1 12 31111 6 M59 50100*")</f>
        <v>0</v>
      </c>
      <c r="H3737" s="83">
        <f t="shared" si="58"/>
        <v>250</v>
      </c>
      <c r="I3737" s="83"/>
      <c r="K3737" s="54" t="s">
        <v>15</v>
      </c>
    </row>
    <row r="3738" spans="2:11" ht="16.5" x14ac:dyDescent="0.2">
      <c r="B3738" s="82" t="s">
        <v>6136</v>
      </c>
      <c r="C3738" s="82" t="s">
        <v>648</v>
      </c>
      <c r="D3738" s="83">
        <f>SUMIFS(D3739:D6462,K3739:K6462,"0",B3739:B6462,"5 1 2 1 1 12 31111 6 M59 50100 000132*")-SUMIFS(E3739:E6462,K3739:K6462,"0",B3739:B6462,"5 1 2 1 1 12 31111 6 M59 50100 000132*")</f>
        <v>0</v>
      </c>
      <c r="E3738" s="54"/>
      <c r="F3738" s="83">
        <f>SUMIFS(F3739:F6462,K3739:K6462,"0",B3739:B6462,"5 1 2 1 1 12 31111 6 M59 50100 000132*")</f>
        <v>250</v>
      </c>
      <c r="G3738" s="83">
        <f>SUMIFS(G3739:G6462,K3739:K6462,"0",B3739:B6462,"5 1 2 1 1 12 31111 6 M59 50100 000132*")</f>
        <v>0</v>
      </c>
      <c r="H3738" s="83">
        <f t="shared" si="58"/>
        <v>250</v>
      </c>
      <c r="I3738" s="83"/>
      <c r="K3738" s="54" t="s">
        <v>15</v>
      </c>
    </row>
    <row r="3739" spans="2:11" ht="16.5" x14ac:dyDescent="0.2">
      <c r="B3739" s="82" t="s">
        <v>6137</v>
      </c>
      <c r="C3739" s="82" t="s">
        <v>650</v>
      </c>
      <c r="D3739" s="83">
        <f>SUMIFS(D3740:D6462,K3740:K6462,"0",B3740:B6462,"5 1 2 1 1 12 31111 6 M59 50100 000132 0000R*")-SUMIFS(E3740:E6462,K3740:K6462,"0",B3740:B6462,"5 1 2 1 1 12 31111 6 M59 50100 000132 0000R*")</f>
        <v>0</v>
      </c>
      <c r="E3739" s="54"/>
      <c r="F3739" s="83">
        <f>SUMIFS(F3740:F6462,K3740:K6462,"0",B3740:B6462,"5 1 2 1 1 12 31111 6 M59 50100 000132 0000R*")</f>
        <v>250</v>
      </c>
      <c r="G3739" s="83">
        <f>SUMIFS(G3740:G6462,K3740:K6462,"0",B3740:B6462,"5 1 2 1 1 12 31111 6 M59 50100 000132 0000R*")</f>
        <v>0</v>
      </c>
      <c r="H3739" s="83">
        <f t="shared" si="58"/>
        <v>250</v>
      </c>
      <c r="I3739" s="83"/>
      <c r="K3739" s="54" t="s">
        <v>15</v>
      </c>
    </row>
    <row r="3740" spans="2:11" ht="24.75" x14ac:dyDescent="0.2">
      <c r="B3740" s="82" t="s">
        <v>6138</v>
      </c>
      <c r="C3740" s="82" t="s">
        <v>282</v>
      </c>
      <c r="D3740" s="83">
        <f>SUMIFS(D3741:D6462,K3741:K6462,"0",B3741:B6462,"5 1 2 1 1 12 31111 6 M59 50100 000132 0000R 00001*")-SUMIFS(E3741:E6462,K3741:K6462,"0",B3741:B6462,"5 1 2 1 1 12 31111 6 M59 50100 000132 0000R 00001*")</f>
        <v>0</v>
      </c>
      <c r="E3740" s="54"/>
      <c r="F3740" s="83">
        <f>SUMIFS(F3741:F6462,K3741:K6462,"0",B3741:B6462,"5 1 2 1 1 12 31111 6 M59 50100 000132 0000R 00001*")</f>
        <v>250</v>
      </c>
      <c r="G3740" s="83">
        <f>SUMIFS(G3741:G6462,K3741:K6462,"0",B3741:B6462,"5 1 2 1 1 12 31111 6 M59 50100 000132 0000R 00001*")</f>
        <v>0</v>
      </c>
      <c r="H3740" s="83">
        <f t="shared" si="58"/>
        <v>250</v>
      </c>
      <c r="I3740" s="83"/>
      <c r="K3740" s="54" t="s">
        <v>15</v>
      </c>
    </row>
    <row r="3741" spans="2:11" ht="24.75" x14ac:dyDescent="0.2">
      <c r="B3741" s="82" t="s">
        <v>6139</v>
      </c>
      <c r="C3741" s="82" t="s">
        <v>5827</v>
      </c>
      <c r="D3741" s="83">
        <f>SUMIFS(D3742:D6462,K3742:K6462,"0",B3742:B6462,"5 1 2 1 1 12 31111 6 M59 50100 000132 0000R 00001 00211*")-SUMIFS(E3742:E6462,K3742:K6462,"0",B3742:B6462,"5 1 2 1 1 12 31111 6 M59 50100 000132 0000R 00001 00211*")</f>
        <v>0</v>
      </c>
      <c r="E3741" s="54"/>
      <c r="F3741" s="83">
        <f>SUMIFS(F3742:F6462,K3742:K6462,"0",B3742:B6462,"5 1 2 1 1 12 31111 6 M59 50100 000132 0000R 00001 00211*")</f>
        <v>250</v>
      </c>
      <c r="G3741" s="83">
        <f>SUMIFS(G3742:G6462,K3742:K6462,"0",B3742:B6462,"5 1 2 1 1 12 31111 6 M59 50100 000132 0000R 00001 00211*")</f>
        <v>0</v>
      </c>
      <c r="H3741" s="83">
        <f t="shared" si="58"/>
        <v>250</v>
      </c>
      <c r="I3741" s="83"/>
      <c r="K3741" s="54" t="s">
        <v>15</v>
      </c>
    </row>
    <row r="3742" spans="2:11" ht="24.75" x14ac:dyDescent="0.2">
      <c r="B3742" s="82" t="s">
        <v>6140</v>
      </c>
      <c r="C3742" s="82" t="s">
        <v>1051</v>
      </c>
      <c r="D3742" s="83">
        <f>SUMIFS(D3743:D6462,K3743:K6462,"0",B3743:B6462,"5 1 2 1 1 12 31111 6 M59 50100 000132 0000R 00001 00211 015*")-SUMIFS(E3743:E6462,K3743:K6462,"0",B3743:B6462,"5 1 2 1 1 12 31111 6 M59 50100 000132 0000R 00001 00211 015*")</f>
        <v>0</v>
      </c>
      <c r="E3742" s="54"/>
      <c r="F3742" s="83">
        <f>SUMIFS(F3743:F6462,K3743:K6462,"0",B3743:B6462,"5 1 2 1 1 12 31111 6 M59 50100 000132 0000R 00001 00211 015*")</f>
        <v>250</v>
      </c>
      <c r="G3742" s="83">
        <f>SUMIFS(G3743:G6462,K3743:K6462,"0",B3743:B6462,"5 1 2 1 1 12 31111 6 M59 50100 000132 0000R 00001 00211 015*")</f>
        <v>0</v>
      </c>
      <c r="H3742" s="83">
        <f t="shared" si="58"/>
        <v>250</v>
      </c>
      <c r="I3742" s="83"/>
      <c r="K3742" s="54" t="s">
        <v>15</v>
      </c>
    </row>
    <row r="3743" spans="2:11" ht="33" x14ac:dyDescent="0.2">
      <c r="B3743" s="82" t="s">
        <v>6141</v>
      </c>
      <c r="C3743" s="82" t="s">
        <v>5830</v>
      </c>
      <c r="D3743" s="83">
        <f>SUMIFS(D3744:D6462,K3744:K6462,"0",B3744:B6462,"5 1 2 1 1 12 31111 6 M59 50100 000132 0000R 00001 00211 015 2112000*")-SUMIFS(E3744:E6462,K3744:K6462,"0",B3744:B6462,"5 1 2 1 1 12 31111 6 M59 50100 000132 0000R 00001 00211 015 2112000*")</f>
        <v>0</v>
      </c>
      <c r="E3743" s="54"/>
      <c r="F3743" s="83">
        <f>SUMIFS(F3744:F6462,K3744:K6462,"0",B3744:B6462,"5 1 2 1 1 12 31111 6 M59 50100 000132 0000R 00001 00211 015 2112000*")</f>
        <v>250</v>
      </c>
      <c r="G3743" s="83">
        <f>SUMIFS(G3744:G6462,K3744:K6462,"0",B3744:B6462,"5 1 2 1 1 12 31111 6 M59 50100 000132 0000R 00001 00211 015 2112000*")</f>
        <v>0</v>
      </c>
      <c r="H3743" s="83">
        <f t="shared" si="58"/>
        <v>250</v>
      </c>
      <c r="I3743" s="83"/>
      <c r="K3743" s="54" t="s">
        <v>15</v>
      </c>
    </row>
    <row r="3744" spans="2:11" ht="33" x14ac:dyDescent="0.2">
      <c r="B3744" s="82" t="s">
        <v>6142</v>
      </c>
      <c r="C3744" s="82" t="s">
        <v>660</v>
      </c>
      <c r="D3744" s="83">
        <f>SUMIFS(D3745:D6462,K3745:K6462,"0",B3745:B6462,"5 1 2 1 1 12 31111 6 M59 50100 000132 0000R 00001 00211 015 2112000 2024*")-SUMIFS(E3745:E6462,K3745:K6462,"0",B3745:B6462,"5 1 2 1 1 12 31111 6 M59 50100 000132 0000R 00001 00211 015 2112000 2024*")</f>
        <v>0</v>
      </c>
      <c r="E3744" s="54"/>
      <c r="F3744" s="83">
        <f>SUMIFS(F3745:F6462,K3745:K6462,"0",B3745:B6462,"5 1 2 1 1 12 31111 6 M59 50100 000132 0000R 00001 00211 015 2112000 2024*")</f>
        <v>250</v>
      </c>
      <c r="G3744" s="83">
        <f>SUMIFS(G3745:G6462,K3745:K6462,"0",B3745:B6462,"5 1 2 1 1 12 31111 6 M59 50100 000132 0000R 00001 00211 015 2112000 2024*")</f>
        <v>0</v>
      </c>
      <c r="H3744" s="83">
        <f t="shared" si="58"/>
        <v>250</v>
      </c>
      <c r="I3744" s="83"/>
      <c r="K3744" s="54" t="s">
        <v>15</v>
      </c>
    </row>
    <row r="3745" spans="2:11" ht="41.25" x14ac:dyDescent="0.2">
      <c r="B3745" s="82" t="s">
        <v>6143</v>
      </c>
      <c r="C3745" s="82" t="s">
        <v>1056</v>
      </c>
      <c r="D3745" s="83">
        <f>SUMIFS(D3746:D6462,K3746:K6462,"0",B3746:B6462,"5 1 2 1 1 12 31111 6 M59 50100 000132 0000R 00001 00211 015 2112000 2024 CP1AG431*")-SUMIFS(E3746:E6462,K3746:K6462,"0",B3746:B6462,"5 1 2 1 1 12 31111 6 M59 50100 000132 0000R 00001 00211 015 2112000 2024 CP1AG431*")</f>
        <v>0</v>
      </c>
      <c r="E3745" s="54"/>
      <c r="F3745" s="83">
        <f>SUMIFS(F3746:F6462,K3746:K6462,"0",B3746:B6462,"5 1 2 1 1 12 31111 6 M59 50100 000132 0000R 00001 00211 015 2112000 2024 CP1AG431*")</f>
        <v>250</v>
      </c>
      <c r="G3745" s="83">
        <f>SUMIFS(G3746:G6462,K3746:K6462,"0",B3746:B6462,"5 1 2 1 1 12 31111 6 M59 50100 000132 0000R 00001 00211 015 2112000 2024 CP1AG431*")</f>
        <v>0</v>
      </c>
      <c r="H3745" s="83">
        <f t="shared" si="58"/>
        <v>250</v>
      </c>
      <c r="I3745" s="83"/>
      <c r="K3745" s="54" t="s">
        <v>15</v>
      </c>
    </row>
    <row r="3746" spans="2:11" ht="41.25" x14ac:dyDescent="0.2">
      <c r="B3746" s="82" t="s">
        <v>6144</v>
      </c>
      <c r="C3746" s="82" t="s">
        <v>282</v>
      </c>
      <c r="D3746" s="83">
        <f>SUMIFS(D3747:D6462,K3747:K6462,"0",B3747:B6462,"5 1 2 1 1 12 31111 6 M59 50100 000132 0000R 00001 00211 015 2112000 2024 CP1AG431 001*")-SUMIFS(E3747:E6462,K3747:K6462,"0",B3747:B6462,"5 1 2 1 1 12 31111 6 M59 50100 000132 0000R 00001 00211 015 2112000 2024 CP1AG431 001*")</f>
        <v>0</v>
      </c>
      <c r="E3746" s="54"/>
      <c r="F3746" s="83">
        <f>SUMIFS(F3747:F6462,K3747:K6462,"0",B3747:B6462,"5 1 2 1 1 12 31111 6 M59 50100 000132 0000R 00001 00211 015 2112000 2024 CP1AG431 001*")</f>
        <v>250</v>
      </c>
      <c r="G3746" s="83">
        <f>SUMIFS(G3747:G6462,K3747:K6462,"0",B3747:B6462,"5 1 2 1 1 12 31111 6 M59 50100 000132 0000R 00001 00211 015 2112000 2024 CP1AG431 001*")</f>
        <v>0</v>
      </c>
      <c r="H3746" s="83">
        <f t="shared" si="58"/>
        <v>250</v>
      </c>
      <c r="I3746" s="83"/>
      <c r="K3746" s="54" t="s">
        <v>15</v>
      </c>
    </row>
    <row r="3747" spans="2:11" ht="33" x14ac:dyDescent="0.2">
      <c r="B3747" s="84" t="s">
        <v>6145</v>
      </c>
      <c r="C3747" s="84" t="s">
        <v>5827</v>
      </c>
      <c r="D3747" s="85">
        <v>0</v>
      </c>
      <c r="E3747" s="85"/>
      <c r="F3747" s="85">
        <v>250</v>
      </c>
      <c r="G3747" s="85">
        <v>0</v>
      </c>
      <c r="H3747" s="85">
        <f t="shared" si="58"/>
        <v>250</v>
      </c>
      <c r="I3747" s="85"/>
      <c r="K3747" s="54" t="s">
        <v>38</v>
      </c>
    </row>
    <row r="3748" spans="2:11" ht="16.5" x14ac:dyDescent="0.2">
      <c r="B3748" s="82" t="s">
        <v>6146</v>
      </c>
      <c r="C3748" s="82" t="s">
        <v>1269</v>
      </c>
      <c r="D3748" s="83">
        <f>SUMIFS(D3749:D6462,K3749:K6462,"0",B3749:B6462,"5 1 2 1 1 12 31111 6 M59 60100*")-SUMIFS(E3749:E6462,K3749:K6462,"0",B3749:B6462,"5 1 2 1 1 12 31111 6 M59 60100*")</f>
        <v>0</v>
      </c>
      <c r="E3748" s="54"/>
      <c r="F3748" s="83">
        <f>SUMIFS(F3749:F6462,K3749:K6462,"0",B3749:B6462,"5 1 2 1 1 12 31111 6 M59 60100*")</f>
        <v>3450</v>
      </c>
      <c r="G3748" s="83">
        <f>SUMIFS(G3749:G6462,K3749:K6462,"0",B3749:B6462,"5 1 2 1 1 12 31111 6 M59 60100*")</f>
        <v>0</v>
      </c>
      <c r="H3748" s="83">
        <f t="shared" si="58"/>
        <v>3450</v>
      </c>
      <c r="I3748" s="83"/>
      <c r="K3748" s="54" t="s">
        <v>15</v>
      </c>
    </row>
    <row r="3749" spans="2:11" ht="16.5" x14ac:dyDescent="0.2">
      <c r="B3749" s="82" t="s">
        <v>6147</v>
      </c>
      <c r="C3749" s="82" t="s">
        <v>648</v>
      </c>
      <c r="D3749" s="83">
        <f>SUMIFS(D3750:D6462,K3750:K6462,"0",B3750:B6462,"5 1 2 1 1 12 31111 6 M59 60100 000132*")-SUMIFS(E3750:E6462,K3750:K6462,"0",B3750:B6462,"5 1 2 1 1 12 31111 6 M59 60100 000132*")</f>
        <v>0</v>
      </c>
      <c r="E3749" s="54"/>
      <c r="F3749" s="83">
        <f>SUMIFS(F3750:F6462,K3750:K6462,"0",B3750:B6462,"5 1 2 1 1 12 31111 6 M59 60100 000132*")</f>
        <v>3450</v>
      </c>
      <c r="G3749" s="83">
        <f>SUMIFS(G3750:G6462,K3750:K6462,"0",B3750:B6462,"5 1 2 1 1 12 31111 6 M59 60100 000132*")</f>
        <v>0</v>
      </c>
      <c r="H3749" s="83">
        <f t="shared" si="58"/>
        <v>3450</v>
      </c>
      <c r="I3749" s="83"/>
      <c r="K3749" s="54" t="s">
        <v>15</v>
      </c>
    </row>
    <row r="3750" spans="2:11" ht="16.5" x14ac:dyDescent="0.2">
      <c r="B3750" s="82" t="s">
        <v>6148</v>
      </c>
      <c r="C3750" s="82" t="s">
        <v>650</v>
      </c>
      <c r="D3750" s="83">
        <f>SUMIFS(D3751:D6462,K3751:K6462,"0",B3751:B6462,"5 1 2 1 1 12 31111 6 M59 60100 000132 0000R*")-SUMIFS(E3751:E6462,K3751:K6462,"0",B3751:B6462,"5 1 2 1 1 12 31111 6 M59 60100 000132 0000R*")</f>
        <v>0</v>
      </c>
      <c r="E3750" s="54"/>
      <c r="F3750" s="83">
        <f>SUMIFS(F3751:F6462,K3751:K6462,"0",B3751:B6462,"5 1 2 1 1 12 31111 6 M59 60100 000132 0000R*")</f>
        <v>3450</v>
      </c>
      <c r="G3750" s="83">
        <f>SUMIFS(G3751:G6462,K3751:K6462,"0",B3751:B6462,"5 1 2 1 1 12 31111 6 M59 60100 000132 0000R*")</f>
        <v>0</v>
      </c>
      <c r="H3750" s="83">
        <f t="shared" si="58"/>
        <v>3450</v>
      </c>
      <c r="I3750" s="83"/>
      <c r="K3750" s="54" t="s">
        <v>15</v>
      </c>
    </row>
    <row r="3751" spans="2:11" ht="24.75" x14ac:dyDescent="0.2">
      <c r="B3751" s="82" t="s">
        <v>6149</v>
      </c>
      <c r="C3751" s="82" t="s">
        <v>282</v>
      </c>
      <c r="D3751" s="83">
        <f>SUMIFS(D3752:D6462,K3752:K6462,"0",B3752:B6462,"5 1 2 1 1 12 31111 6 M59 60100 000132 0000R 00001*")-SUMIFS(E3752:E6462,K3752:K6462,"0",B3752:B6462,"5 1 2 1 1 12 31111 6 M59 60100 000132 0000R 00001*")</f>
        <v>0</v>
      </c>
      <c r="E3751" s="54"/>
      <c r="F3751" s="83">
        <f>SUMIFS(F3752:F6462,K3752:K6462,"0",B3752:B6462,"5 1 2 1 1 12 31111 6 M59 60100 000132 0000R 00001*")</f>
        <v>3450</v>
      </c>
      <c r="G3751" s="83">
        <f>SUMIFS(G3752:G6462,K3752:K6462,"0",B3752:B6462,"5 1 2 1 1 12 31111 6 M59 60100 000132 0000R 00001*")</f>
        <v>0</v>
      </c>
      <c r="H3751" s="83">
        <f t="shared" si="58"/>
        <v>3450</v>
      </c>
      <c r="I3751" s="83"/>
      <c r="K3751" s="54" t="s">
        <v>15</v>
      </c>
    </row>
    <row r="3752" spans="2:11" ht="24.75" x14ac:dyDescent="0.2">
      <c r="B3752" s="82" t="s">
        <v>6150</v>
      </c>
      <c r="C3752" s="82" t="s">
        <v>5827</v>
      </c>
      <c r="D3752" s="83">
        <f>SUMIFS(D3753:D6462,K3753:K6462,"0",B3753:B6462,"5 1 2 1 1 12 31111 6 M59 60100 000132 0000R 00001 00211*")-SUMIFS(E3753:E6462,K3753:K6462,"0",B3753:B6462,"5 1 2 1 1 12 31111 6 M59 60100 000132 0000R 00001 00211*")</f>
        <v>0</v>
      </c>
      <c r="E3752" s="54"/>
      <c r="F3752" s="83">
        <f>SUMIFS(F3753:F6462,K3753:K6462,"0",B3753:B6462,"5 1 2 1 1 12 31111 6 M59 60100 000132 0000R 00001 00211*")</f>
        <v>3450</v>
      </c>
      <c r="G3752" s="83">
        <f>SUMIFS(G3753:G6462,K3753:K6462,"0",B3753:B6462,"5 1 2 1 1 12 31111 6 M59 60100 000132 0000R 00001 00211*")</f>
        <v>0</v>
      </c>
      <c r="H3752" s="83">
        <f t="shared" si="58"/>
        <v>3450</v>
      </c>
      <c r="I3752" s="83"/>
      <c r="K3752" s="54" t="s">
        <v>15</v>
      </c>
    </row>
    <row r="3753" spans="2:11" ht="24.75" x14ac:dyDescent="0.2">
      <c r="B3753" s="82" t="s">
        <v>6151</v>
      </c>
      <c r="C3753" s="82" t="s">
        <v>1051</v>
      </c>
      <c r="D3753" s="83">
        <f>SUMIFS(D3754:D6462,K3754:K6462,"0",B3754:B6462,"5 1 2 1 1 12 31111 6 M59 60100 000132 0000R 00001 00211 015*")-SUMIFS(E3754:E6462,K3754:K6462,"0",B3754:B6462,"5 1 2 1 1 12 31111 6 M59 60100 000132 0000R 00001 00211 015*")</f>
        <v>0</v>
      </c>
      <c r="E3753" s="54"/>
      <c r="F3753" s="83">
        <f>SUMIFS(F3754:F6462,K3754:K6462,"0",B3754:B6462,"5 1 2 1 1 12 31111 6 M59 60100 000132 0000R 00001 00211 015*")</f>
        <v>3450</v>
      </c>
      <c r="G3753" s="83">
        <f>SUMIFS(G3754:G6462,K3754:K6462,"0",B3754:B6462,"5 1 2 1 1 12 31111 6 M59 60100 000132 0000R 00001 00211 015*")</f>
        <v>0</v>
      </c>
      <c r="H3753" s="83">
        <f t="shared" si="58"/>
        <v>3450</v>
      </c>
      <c r="I3753" s="83"/>
      <c r="K3753" s="54" t="s">
        <v>15</v>
      </c>
    </row>
    <row r="3754" spans="2:11" ht="33" x14ac:dyDescent="0.2">
      <c r="B3754" s="82" t="s">
        <v>6152</v>
      </c>
      <c r="C3754" s="82" t="s">
        <v>5830</v>
      </c>
      <c r="D3754" s="83">
        <f>SUMIFS(D3755:D6462,K3755:K6462,"0",B3755:B6462,"5 1 2 1 1 12 31111 6 M59 60100 000132 0000R 00001 00211 015 2112000*")-SUMIFS(E3755:E6462,K3755:K6462,"0",B3755:B6462,"5 1 2 1 1 12 31111 6 M59 60100 000132 0000R 00001 00211 015 2112000*")</f>
        <v>0</v>
      </c>
      <c r="E3754" s="54"/>
      <c r="F3754" s="83">
        <f>SUMIFS(F3755:F6462,K3755:K6462,"0",B3755:B6462,"5 1 2 1 1 12 31111 6 M59 60100 000132 0000R 00001 00211 015 2112000*")</f>
        <v>3450</v>
      </c>
      <c r="G3754" s="83">
        <f>SUMIFS(G3755:G6462,K3755:K6462,"0",B3755:B6462,"5 1 2 1 1 12 31111 6 M59 60100 000132 0000R 00001 00211 015 2112000*")</f>
        <v>0</v>
      </c>
      <c r="H3754" s="83">
        <f t="shared" si="58"/>
        <v>3450</v>
      </c>
      <c r="I3754" s="83"/>
      <c r="K3754" s="54" t="s">
        <v>15</v>
      </c>
    </row>
    <row r="3755" spans="2:11" ht="33" x14ac:dyDescent="0.2">
      <c r="B3755" s="82" t="s">
        <v>6153</v>
      </c>
      <c r="C3755" s="82" t="s">
        <v>660</v>
      </c>
      <c r="D3755" s="83">
        <f>SUMIFS(D3756:D6462,K3756:K6462,"0",B3756:B6462,"5 1 2 1 1 12 31111 6 M59 60100 000132 0000R 00001 00211 015 2112000 2024*")-SUMIFS(E3756:E6462,K3756:K6462,"0",B3756:B6462,"5 1 2 1 1 12 31111 6 M59 60100 000132 0000R 00001 00211 015 2112000 2024*")</f>
        <v>0</v>
      </c>
      <c r="E3755" s="54"/>
      <c r="F3755" s="83">
        <f>SUMIFS(F3756:F6462,K3756:K6462,"0",B3756:B6462,"5 1 2 1 1 12 31111 6 M59 60100 000132 0000R 00001 00211 015 2112000 2024*")</f>
        <v>3450</v>
      </c>
      <c r="G3755" s="83">
        <f>SUMIFS(G3756:G6462,K3756:K6462,"0",B3756:B6462,"5 1 2 1 1 12 31111 6 M59 60100 000132 0000R 00001 00211 015 2112000 2024*")</f>
        <v>0</v>
      </c>
      <c r="H3755" s="83">
        <f t="shared" ref="H3755:H3818" si="59">D3755 + F3755 - G3755</f>
        <v>3450</v>
      </c>
      <c r="I3755" s="83"/>
      <c r="K3755" s="54" t="s">
        <v>15</v>
      </c>
    </row>
    <row r="3756" spans="2:11" ht="41.25" x14ac:dyDescent="0.2">
      <c r="B3756" s="82" t="s">
        <v>6154</v>
      </c>
      <c r="C3756" s="82" t="s">
        <v>1056</v>
      </c>
      <c r="D3756" s="83">
        <f>SUMIFS(D3757:D6462,K3757:K6462,"0",B3757:B6462,"5 1 2 1 1 12 31111 6 M59 60100 000132 0000R 00001 00211 015 2112000 2024 CP1DM394*")-SUMIFS(E3757:E6462,K3757:K6462,"0",B3757:B6462,"5 1 2 1 1 12 31111 6 M59 60100 000132 0000R 00001 00211 015 2112000 2024 CP1DM394*")</f>
        <v>0</v>
      </c>
      <c r="E3756" s="54"/>
      <c r="F3756" s="83">
        <f>SUMIFS(F3757:F6462,K3757:K6462,"0",B3757:B6462,"5 1 2 1 1 12 31111 6 M59 60100 000132 0000R 00001 00211 015 2112000 2024 CP1DM394*")</f>
        <v>3450</v>
      </c>
      <c r="G3756" s="83">
        <f>SUMIFS(G3757:G6462,K3757:K6462,"0",B3757:B6462,"5 1 2 1 1 12 31111 6 M59 60100 000132 0000R 00001 00211 015 2112000 2024 CP1DM394*")</f>
        <v>0</v>
      </c>
      <c r="H3756" s="83">
        <f t="shared" si="59"/>
        <v>3450</v>
      </c>
      <c r="I3756" s="83"/>
      <c r="K3756" s="54" t="s">
        <v>15</v>
      </c>
    </row>
    <row r="3757" spans="2:11" ht="41.25" x14ac:dyDescent="0.2">
      <c r="B3757" s="82" t="s">
        <v>6155</v>
      </c>
      <c r="C3757" s="82" t="s">
        <v>282</v>
      </c>
      <c r="D3757" s="83">
        <f>SUMIFS(D3758:D6462,K3758:K6462,"0",B3758:B6462,"5 1 2 1 1 12 31111 6 M59 60100 000132 0000R 00001 00211 015 2112000 2024 CP1DM394 001*")-SUMIFS(E3758:E6462,K3758:K6462,"0",B3758:B6462,"5 1 2 1 1 12 31111 6 M59 60100 000132 0000R 00001 00211 015 2112000 2024 CP1DM394 001*")</f>
        <v>0</v>
      </c>
      <c r="E3757" s="54"/>
      <c r="F3757" s="83">
        <f>SUMIFS(F3758:F6462,K3758:K6462,"0",B3758:B6462,"5 1 2 1 1 12 31111 6 M59 60100 000132 0000R 00001 00211 015 2112000 2024 CP1DM394 001*")</f>
        <v>3450</v>
      </c>
      <c r="G3757" s="83">
        <f>SUMIFS(G3758:G6462,K3758:K6462,"0",B3758:B6462,"5 1 2 1 1 12 31111 6 M59 60100 000132 0000R 00001 00211 015 2112000 2024 CP1DM394 001*")</f>
        <v>0</v>
      </c>
      <c r="H3757" s="83">
        <f t="shared" si="59"/>
        <v>3450</v>
      </c>
      <c r="I3757" s="83"/>
      <c r="K3757" s="54" t="s">
        <v>15</v>
      </c>
    </row>
    <row r="3758" spans="2:11" ht="33" x14ac:dyDescent="0.2">
      <c r="B3758" s="84" t="s">
        <v>6156</v>
      </c>
      <c r="C3758" s="84" t="s">
        <v>5827</v>
      </c>
      <c r="D3758" s="85">
        <v>0</v>
      </c>
      <c r="E3758" s="85"/>
      <c r="F3758" s="85">
        <v>3450</v>
      </c>
      <c r="G3758" s="85">
        <v>0</v>
      </c>
      <c r="H3758" s="85">
        <f t="shared" si="59"/>
        <v>3450</v>
      </c>
      <c r="I3758" s="85"/>
      <c r="K3758" s="54" t="s">
        <v>38</v>
      </c>
    </row>
    <row r="3759" spans="2:11" ht="16.5" x14ac:dyDescent="0.2">
      <c r="B3759" s="82" t="s">
        <v>6157</v>
      </c>
      <c r="C3759" s="82" t="s">
        <v>3377</v>
      </c>
      <c r="D3759" s="83">
        <f>SUMIFS(D3760:D6462,K3760:K6462,"0",B3760:B6462,"5 1 2 1 1 12 31111 6 M59 70000*")-SUMIFS(E3760:E6462,K3760:K6462,"0",B3760:B6462,"5 1 2 1 1 12 31111 6 M59 70000*")</f>
        <v>0</v>
      </c>
      <c r="E3759" s="54"/>
      <c r="F3759" s="83">
        <f>SUMIFS(F3760:F6462,K3760:K6462,"0",B3760:B6462,"5 1 2 1 1 12 31111 6 M59 70000*")</f>
        <v>250</v>
      </c>
      <c r="G3759" s="83">
        <f>SUMIFS(G3760:G6462,K3760:K6462,"0",B3760:B6462,"5 1 2 1 1 12 31111 6 M59 70000*")</f>
        <v>0</v>
      </c>
      <c r="H3759" s="83">
        <f t="shared" si="59"/>
        <v>250</v>
      </c>
      <c r="I3759" s="83"/>
      <c r="K3759" s="54" t="s">
        <v>15</v>
      </c>
    </row>
    <row r="3760" spans="2:11" ht="16.5" x14ac:dyDescent="0.2">
      <c r="B3760" s="82" t="s">
        <v>6158</v>
      </c>
      <c r="C3760" s="82" t="s">
        <v>648</v>
      </c>
      <c r="D3760" s="83">
        <f>SUMIFS(D3761:D6462,K3761:K6462,"0",B3761:B6462,"5 1 2 1 1 12 31111 6 M59 70000 000132*")-SUMIFS(E3761:E6462,K3761:K6462,"0",B3761:B6462,"5 1 2 1 1 12 31111 6 M59 70000 000132*")</f>
        <v>0</v>
      </c>
      <c r="E3760" s="54"/>
      <c r="F3760" s="83">
        <f>SUMIFS(F3761:F6462,K3761:K6462,"0",B3761:B6462,"5 1 2 1 1 12 31111 6 M59 70000 000132*")</f>
        <v>250</v>
      </c>
      <c r="G3760" s="83">
        <f>SUMIFS(G3761:G6462,K3761:K6462,"0",B3761:B6462,"5 1 2 1 1 12 31111 6 M59 70000 000132*")</f>
        <v>0</v>
      </c>
      <c r="H3760" s="83">
        <f t="shared" si="59"/>
        <v>250</v>
      </c>
      <c r="I3760" s="83"/>
      <c r="K3760" s="54" t="s">
        <v>15</v>
      </c>
    </row>
    <row r="3761" spans="2:11" ht="16.5" x14ac:dyDescent="0.2">
      <c r="B3761" s="82" t="s">
        <v>6159</v>
      </c>
      <c r="C3761" s="82" t="s">
        <v>650</v>
      </c>
      <c r="D3761" s="83">
        <f>SUMIFS(D3762:D6462,K3762:K6462,"0",B3762:B6462,"5 1 2 1 1 12 31111 6 M59 70000 000132 0000R*")-SUMIFS(E3762:E6462,K3762:K6462,"0",B3762:B6462,"5 1 2 1 1 12 31111 6 M59 70000 000132 0000R*")</f>
        <v>0</v>
      </c>
      <c r="E3761" s="54"/>
      <c r="F3761" s="83">
        <f>SUMIFS(F3762:F6462,K3762:K6462,"0",B3762:B6462,"5 1 2 1 1 12 31111 6 M59 70000 000132 0000R*")</f>
        <v>250</v>
      </c>
      <c r="G3761" s="83">
        <f>SUMIFS(G3762:G6462,K3762:K6462,"0",B3762:B6462,"5 1 2 1 1 12 31111 6 M59 70000 000132 0000R*")</f>
        <v>0</v>
      </c>
      <c r="H3761" s="83">
        <f t="shared" si="59"/>
        <v>250</v>
      </c>
      <c r="I3761" s="83"/>
      <c r="K3761" s="54" t="s">
        <v>15</v>
      </c>
    </row>
    <row r="3762" spans="2:11" ht="24.75" x14ac:dyDescent="0.2">
      <c r="B3762" s="82" t="s">
        <v>6160</v>
      </c>
      <c r="C3762" s="82" t="s">
        <v>282</v>
      </c>
      <c r="D3762" s="83">
        <f>SUMIFS(D3763:D6462,K3763:K6462,"0",B3763:B6462,"5 1 2 1 1 12 31111 6 M59 70000 000132 0000R 00001*")-SUMIFS(E3763:E6462,K3763:K6462,"0",B3763:B6462,"5 1 2 1 1 12 31111 6 M59 70000 000132 0000R 00001*")</f>
        <v>0</v>
      </c>
      <c r="E3762" s="54"/>
      <c r="F3762" s="83">
        <f>SUMIFS(F3763:F6462,K3763:K6462,"0",B3763:B6462,"5 1 2 1 1 12 31111 6 M59 70000 000132 0000R 00001*")</f>
        <v>250</v>
      </c>
      <c r="G3762" s="83">
        <f>SUMIFS(G3763:G6462,K3763:K6462,"0",B3763:B6462,"5 1 2 1 1 12 31111 6 M59 70000 000132 0000R 00001*")</f>
        <v>0</v>
      </c>
      <c r="H3762" s="83">
        <f t="shared" si="59"/>
        <v>250</v>
      </c>
      <c r="I3762" s="83"/>
      <c r="K3762" s="54" t="s">
        <v>15</v>
      </c>
    </row>
    <row r="3763" spans="2:11" ht="24.75" x14ac:dyDescent="0.2">
      <c r="B3763" s="82" t="s">
        <v>6161</v>
      </c>
      <c r="C3763" s="82" t="s">
        <v>5827</v>
      </c>
      <c r="D3763" s="83">
        <f>SUMIFS(D3764:D6462,K3764:K6462,"0",B3764:B6462,"5 1 2 1 1 12 31111 6 M59 70000 000132 0000R 00001 00211*")-SUMIFS(E3764:E6462,K3764:K6462,"0",B3764:B6462,"5 1 2 1 1 12 31111 6 M59 70000 000132 0000R 00001 00211*")</f>
        <v>0</v>
      </c>
      <c r="E3763" s="54"/>
      <c r="F3763" s="83">
        <f>SUMIFS(F3764:F6462,K3764:K6462,"0",B3764:B6462,"5 1 2 1 1 12 31111 6 M59 70000 000132 0000R 00001 00211*")</f>
        <v>250</v>
      </c>
      <c r="G3763" s="83">
        <f>SUMIFS(G3764:G6462,K3764:K6462,"0",B3764:B6462,"5 1 2 1 1 12 31111 6 M59 70000 000132 0000R 00001 00211*")</f>
        <v>0</v>
      </c>
      <c r="H3763" s="83">
        <f t="shared" si="59"/>
        <v>250</v>
      </c>
      <c r="I3763" s="83"/>
      <c r="K3763" s="54" t="s">
        <v>15</v>
      </c>
    </row>
    <row r="3764" spans="2:11" ht="24.75" x14ac:dyDescent="0.2">
      <c r="B3764" s="82" t="s">
        <v>6162</v>
      </c>
      <c r="C3764" s="82" t="s">
        <v>1051</v>
      </c>
      <c r="D3764" s="83">
        <f>SUMIFS(D3765:D6462,K3765:K6462,"0",B3765:B6462,"5 1 2 1 1 12 31111 6 M59 70000 000132 0000R 00001 00211 015*")-SUMIFS(E3765:E6462,K3765:K6462,"0",B3765:B6462,"5 1 2 1 1 12 31111 6 M59 70000 000132 0000R 00001 00211 015*")</f>
        <v>0</v>
      </c>
      <c r="E3764" s="54"/>
      <c r="F3764" s="83">
        <f>SUMIFS(F3765:F6462,K3765:K6462,"0",B3765:B6462,"5 1 2 1 1 12 31111 6 M59 70000 000132 0000R 00001 00211 015*")</f>
        <v>250</v>
      </c>
      <c r="G3764" s="83">
        <f>SUMIFS(G3765:G6462,K3765:K6462,"0",B3765:B6462,"5 1 2 1 1 12 31111 6 M59 70000 000132 0000R 00001 00211 015*")</f>
        <v>0</v>
      </c>
      <c r="H3764" s="83">
        <f t="shared" si="59"/>
        <v>250</v>
      </c>
      <c r="I3764" s="83"/>
      <c r="K3764" s="54" t="s">
        <v>15</v>
      </c>
    </row>
    <row r="3765" spans="2:11" ht="33" x14ac:dyDescent="0.2">
      <c r="B3765" s="82" t="s">
        <v>6163</v>
      </c>
      <c r="C3765" s="82" t="s">
        <v>5830</v>
      </c>
      <c r="D3765" s="83">
        <f>SUMIFS(D3766:D6462,K3766:K6462,"0",B3766:B6462,"5 1 2 1 1 12 31111 6 M59 70000 000132 0000R 00001 00211 015 2112000*")-SUMIFS(E3766:E6462,K3766:K6462,"0",B3766:B6462,"5 1 2 1 1 12 31111 6 M59 70000 000132 0000R 00001 00211 015 2112000*")</f>
        <v>0</v>
      </c>
      <c r="E3765" s="54"/>
      <c r="F3765" s="83">
        <f>SUMIFS(F3766:F6462,K3766:K6462,"0",B3766:B6462,"5 1 2 1 1 12 31111 6 M59 70000 000132 0000R 00001 00211 015 2112000*")</f>
        <v>250</v>
      </c>
      <c r="G3765" s="83">
        <f>SUMIFS(G3766:G6462,K3766:K6462,"0",B3766:B6462,"5 1 2 1 1 12 31111 6 M59 70000 000132 0000R 00001 00211 015 2112000*")</f>
        <v>0</v>
      </c>
      <c r="H3765" s="83">
        <f t="shared" si="59"/>
        <v>250</v>
      </c>
      <c r="I3765" s="83"/>
      <c r="K3765" s="54" t="s">
        <v>15</v>
      </c>
    </row>
    <row r="3766" spans="2:11" ht="33" x14ac:dyDescent="0.2">
      <c r="B3766" s="82" t="s">
        <v>6164</v>
      </c>
      <c r="C3766" s="82" t="s">
        <v>660</v>
      </c>
      <c r="D3766" s="83">
        <f>SUMIFS(D3767:D6462,K3767:K6462,"0",B3767:B6462,"5 1 2 1 1 12 31111 6 M59 70000 000132 0000R 00001 00211 015 2112000 2024*")-SUMIFS(E3767:E6462,K3767:K6462,"0",B3767:B6462,"5 1 2 1 1 12 31111 6 M59 70000 000132 0000R 00001 00211 015 2112000 2024*")</f>
        <v>0</v>
      </c>
      <c r="E3766" s="54"/>
      <c r="F3766" s="83">
        <f>SUMIFS(F3767:F6462,K3767:K6462,"0",B3767:B6462,"5 1 2 1 1 12 31111 6 M59 70000 000132 0000R 00001 00211 015 2112000 2024*")</f>
        <v>250</v>
      </c>
      <c r="G3766" s="83">
        <f>SUMIFS(G3767:G6462,K3767:K6462,"0",B3767:B6462,"5 1 2 1 1 12 31111 6 M59 70000 000132 0000R 00001 00211 015 2112000 2024*")</f>
        <v>0</v>
      </c>
      <c r="H3766" s="83">
        <f t="shared" si="59"/>
        <v>250</v>
      </c>
      <c r="I3766" s="83"/>
      <c r="K3766" s="54" t="s">
        <v>15</v>
      </c>
    </row>
    <row r="3767" spans="2:11" ht="41.25" x14ac:dyDescent="0.2">
      <c r="B3767" s="82" t="s">
        <v>6165</v>
      </c>
      <c r="C3767" s="82" t="s">
        <v>1056</v>
      </c>
      <c r="D3767" s="83">
        <f>SUMIFS(D3768:D6462,K3768:K6462,"0",B3768:B6462,"5 1 2 1 1 12 31111 6 M59 70000 000132 0000R 00001 00211 015 2112000 2024 CP1DS387*")-SUMIFS(E3768:E6462,K3768:K6462,"0",B3768:B6462,"5 1 2 1 1 12 31111 6 M59 70000 000132 0000R 00001 00211 015 2112000 2024 CP1DS387*")</f>
        <v>0</v>
      </c>
      <c r="E3767" s="54"/>
      <c r="F3767" s="83">
        <f>SUMIFS(F3768:F6462,K3768:K6462,"0",B3768:B6462,"5 1 2 1 1 12 31111 6 M59 70000 000132 0000R 00001 00211 015 2112000 2024 CP1DS387*")</f>
        <v>250</v>
      </c>
      <c r="G3767" s="83">
        <f>SUMIFS(G3768:G6462,K3768:K6462,"0",B3768:B6462,"5 1 2 1 1 12 31111 6 M59 70000 000132 0000R 00001 00211 015 2112000 2024 CP1DS387*")</f>
        <v>0</v>
      </c>
      <c r="H3767" s="83">
        <f t="shared" si="59"/>
        <v>250</v>
      </c>
      <c r="I3767" s="83"/>
      <c r="K3767" s="54" t="s">
        <v>15</v>
      </c>
    </row>
    <row r="3768" spans="2:11" ht="41.25" x14ac:dyDescent="0.2">
      <c r="B3768" s="82" t="s">
        <v>6166</v>
      </c>
      <c r="C3768" s="82" t="s">
        <v>282</v>
      </c>
      <c r="D3768" s="83">
        <f>SUMIFS(D3769:D6462,K3769:K6462,"0",B3769:B6462,"5 1 2 1 1 12 31111 6 M59 70000 000132 0000R 00001 00211 015 2112000 2024 CP1DS387 001*")-SUMIFS(E3769:E6462,K3769:K6462,"0",B3769:B6462,"5 1 2 1 1 12 31111 6 M59 70000 000132 0000R 00001 00211 015 2112000 2024 CP1DS387 001*")</f>
        <v>0</v>
      </c>
      <c r="E3768" s="54"/>
      <c r="F3768" s="83">
        <f>SUMIFS(F3769:F6462,K3769:K6462,"0",B3769:B6462,"5 1 2 1 1 12 31111 6 M59 70000 000132 0000R 00001 00211 015 2112000 2024 CP1DS387 001*")</f>
        <v>250</v>
      </c>
      <c r="G3768" s="83">
        <f>SUMIFS(G3769:G6462,K3769:K6462,"0",B3769:B6462,"5 1 2 1 1 12 31111 6 M59 70000 000132 0000R 00001 00211 015 2112000 2024 CP1DS387 001*")</f>
        <v>0</v>
      </c>
      <c r="H3768" s="83">
        <f t="shared" si="59"/>
        <v>250</v>
      </c>
      <c r="I3768" s="83"/>
      <c r="K3768" s="54" t="s">
        <v>15</v>
      </c>
    </row>
    <row r="3769" spans="2:11" ht="33" x14ac:dyDescent="0.2">
      <c r="B3769" s="84" t="s">
        <v>6167</v>
      </c>
      <c r="C3769" s="84" t="s">
        <v>5827</v>
      </c>
      <c r="D3769" s="85">
        <v>0</v>
      </c>
      <c r="E3769" s="85"/>
      <c r="F3769" s="85">
        <v>250</v>
      </c>
      <c r="G3769" s="85">
        <v>0</v>
      </c>
      <c r="H3769" s="85">
        <f t="shared" si="59"/>
        <v>250</v>
      </c>
      <c r="I3769" s="85"/>
      <c r="K3769" s="54" t="s">
        <v>38</v>
      </c>
    </row>
    <row r="3770" spans="2:11" ht="16.5" x14ac:dyDescent="0.2">
      <c r="B3770" s="82" t="s">
        <v>6168</v>
      </c>
      <c r="C3770" s="82" t="s">
        <v>3389</v>
      </c>
      <c r="D3770" s="83">
        <f>SUMIFS(D3771:D6462,K3771:K6462,"0",B3771:B6462,"5 1 2 1 1 12 31111 6 M59 70100*")-SUMIFS(E3771:E6462,K3771:K6462,"0",B3771:B6462,"5 1 2 1 1 12 31111 6 M59 70100*")</f>
        <v>0</v>
      </c>
      <c r="E3770" s="54"/>
      <c r="F3770" s="83">
        <f>SUMIFS(F3771:F6462,K3771:K6462,"0",B3771:B6462,"5 1 2 1 1 12 31111 6 M59 70100*")</f>
        <v>250</v>
      </c>
      <c r="G3770" s="83">
        <f>SUMIFS(G3771:G6462,K3771:K6462,"0",B3771:B6462,"5 1 2 1 1 12 31111 6 M59 70100*")</f>
        <v>0</v>
      </c>
      <c r="H3770" s="83">
        <f t="shared" si="59"/>
        <v>250</v>
      </c>
      <c r="I3770" s="83"/>
      <c r="K3770" s="54" t="s">
        <v>15</v>
      </c>
    </row>
    <row r="3771" spans="2:11" ht="16.5" x14ac:dyDescent="0.2">
      <c r="B3771" s="82" t="s">
        <v>6169</v>
      </c>
      <c r="C3771" s="82" t="s">
        <v>648</v>
      </c>
      <c r="D3771" s="83">
        <f>SUMIFS(D3772:D6462,K3772:K6462,"0",B3772:B6462,"5 1 2 1 1 12 31111 6 M59 70100 000132*")-SUMIFS(E3772:E6462,K3772:K6462,"0",B3772:B6462,"5 1 2 1 1 12 31111 6 M59 70100 000132*")</f>
        <v>0</v>
      </c>
      <c r="E3771" s="54"/>
      <c r="F3771" s="83">
        <f>SUMIFS(F3772:F6462,K3772:K6462,"0",B3772:B6462,"5 1 2 1 1 12 31111 6 M59 70100 000132*")</f>
        <v>250</v>
      </c>
      <c r="G3771" s="83">
        <f>SUMIFS(G3772:G6462,K3772:K6462,"0",B3772:B6462,"5 1 2 1 1 12 31111 6 M59 70100 000132*")</f>
        <v>0</v>
      </c>
      <c r="H3771" s="83">
        <f t="shared" si="59"/>
        <v>250</v>
      </c>
      <c r="I3771" s="83"/>
      <c r="K3771" s="54" t="s">
        <v>15</v>
      </c>
    </row>
    <row r="3772" spans="2:11" ht="16.5" x14ac:dyDescent="0.2">
      <c r="B3772" s="82" t="s">
        <v>6170</v>
      </c>
      <c r="C3772" s="82" t="s">
        <v>650</v>
      </c>
      <c r="D3772" s="83">
        <f>SUMIFS(D3773:D6462,K3773:K6462,"0",B3773:B6462,"5 1 2 1 1 12 31111 6 M59 70100 000132 0000R*")-SUMIFS(E3773:E6462,K3773:K6462,"0",B3773:B6462,"5 1 2 1 1 12 31111 6 M59 70100 000132 0000R*")</f>
        <v>0</v>
      </c>
      <c r="E3772" s="54"/>
      <c r="F3772" s="83">
        <f>SUMIFS(F3773:F6462,K3773:K6462,"0",B3773:B6462,"5 1 2 1 1 12 31111 6 M59 70100 000132 0000R*")</f>
        <v>250</v>
      </c>
      <c r="G3772" s="83">
        <f>SUMIFS(G3773:G6462,K3773:K6462,"0",B3773:B6462,"5 1 2 1 1 12 31111 6 M59 70100 000132 0000R*")</f>
        <v>0</v>
      </c>
      <c r="H3772" s="83">
        <f t="shared" si="59"/>
        <v>250</v>
      </c>
      <c r="I3772" s="83"/>
      <c r="K3772" s="54" t="s">
        <v>15</v>
      </c>
    </row>
    <row r="3773" spans="2:11" ht="24.75" x14ac:dyDescent="0.2">
      <c r="B3773" s="82" t="s">
        <v>6171</v>
      </c>
      <c r="C3773" s="82" t="s">
        <v>282</v>
      </c>
      <c r="D3773" s="83">
        <f>SUMIFS(D3774:D6462,K3774:K6462,"0",B3774:B6462,"5 1 2 1 1 12 31111 6 M59 70100 000132 0000R 00001*")-SUMIFS(E3774:E6462,K3774:K6462,"0",B3774:B6462,"5 1 2 1 1 12 31111 6 M59 70100 000132 0000R 00001*")</f>
        <v>0</v>
      </c>
      <c r="E3773" s="54"/>
      <c r="F3773" s="83">
        <f>SUMIFS(F3774:F6462,K3774:K6462,"0",B3774:B6462,"5 1 2 1 1 12 31111 6 M59 70100 000132 0000R 00001*")</f>
        <v>250</v>
      </c>
      <c r="G3773" s="83">
        <f>SUMIFS(G3774:G6462,K3774:K6462,"0",B3774:B6462,"5 1 2 1 1 12 31111 6 M59 70100 000132 0000R 00001*")</f>
        <v>0</v>
      </c>
      <c r="H3773" s="83">
        <f t="shared" si="59"/>
        <v>250</v>
      </c>
      <c r="I3773" s="83"/>
      <c r="K3773" s="54" t="s">
        <v>15</v>
      </c>
    </row>
    <row r="3774" spans="2:11" ht="24.75" x14ac:dyDescent="0.2">
      <c r="B3774" s="82" t="s">
        <v>6172</v>
      </c>
      <c r="C3774" s="82" t="s">
        <v>5827</v>
      </c>
      <c r="D3774" s="83">
        <f>SUMIFS(D3775:D6462,K3775:K6462,"0",B3775:B6462,"5 1 2 1 1 12 31111 6 M59 70100 000132 0000R 00001 00211*")-SUMIFS(E3775:E6462,K3775:K6462,"0",B3775:B6462,"5 1 2 1 1 12 31111 6 M59 70100 000132 0000R 00001 00211*")</f>
        <v>0</v>
      </c>
      <c r="E3774" s="54"/>
      <c r="F3774" s="83">
        <f>SUMIFS(F3775:F6462,K3775:K6462,"0",B3775:B6462,"5 1 2 1 1 12 31111 6 M59 70100 000132 0000R 00001 00211*")</f>
        <v>250</v>
      </c>
      <c r="G3774" s="83">
        <f>SUMIFS(G3775:G6462,K3775:K6462,"0",B3775:B6462,"5 1 2 1 1 12 31111 6 M59 70100 000132 0000R 00001 00211*")</f>
        <v>0</v>
      </c>
      <c r="H3774" s="83">
        <f t="shared" si="59"/>
        <v>250</v>
      </c>
      <c r="I3774" s="83"/>
      <c r="K3774" s="54" t="s">
        <v>15</v>
      </c>
    </row>
    <row r="3775" spans="2:11" ht="24.75" x14ac:dyDescent="0.2">
      <c r="B3775" s="82" t="s">
        <v>6173</v>
      </c>
      <c r="C3775" s="82" t="s">
        <v>1051</v>
      </c>
      <c r="D3775" s="83">
        <f>SUMIFS(D3776:D6462,K3776:K6462,"0",B3776:B6462,"5 1 2 1 1 12 31111 6 M59 70100 000132 0000R 00001 00211 015*")-SUMIFS(E3776:E6462,K3776:K6462,"0",B3776:B6462,"5 1 2 1 1 12 31111 6 M59 70100 000132 0000R 00001 00211 015*")</f>
        <v>0</v>
      </c>
      <c r="E3775" s="54"/>
      <c r="F3775" s="83">
        <f>SUMIFS(F3776:F6462,K3776:K6462,"0",B3776:B6462,"5 1 2 1 1 12 31111 6 M59 70100 000132 0000R 00001 00211 015*")</f>
        <v>250</v>
      </c>
      <c r="G3775" s="83">
        <f>SUMIFS(G3776:G6462,K3776:K6462,"0",B3776:B6462,"5 1 2 1 1 12 31111 6 M59 70100 000132 0000R 00001 00211 015*")</f>
        <v>0</v>
      </c>
      <c r="H3775" s="83">
        <f t="shared" si="59"/>
        <v>250</v>
      </c>
      <c r="I3775" s="83"/>
      <c r="K3775" s="54" t="s">
        <v>15</v>
      </c>
    </row>
    <row r="3776" spans="2:11" ht="33" x14ac:dyDescent="0.2">
      <c r="B3776" s="82" t="s">
        <v>6174</v>
      </c>
      <c r="C3776" s="82" t="s">
        <v>5830</v>
      </c>
      <c r="D3776" s="83">
        <f>SUMIFS(D3777:D6462,K3777:K6462,"0",B3777:B6462,"5 1 2 1 1 12 31111 6 M59 70100 000132 0000R 00001 00211 015 2112000*")-SUMIFS(E3777:E6462,K3777:K6462,"0",B3777:B6462,"5 1 2 1 1 12 31111 6 M59 70100 000132 0000R 00001 00211 015 2112000*")</f>
        <v>0</v>
      </c>
      <c r="E3776" s="54"/>
      <c r="F3776" s="83">
        <f>SUMIFS(F3777:F6462,K3777:K6462,"0",B3777:B6462,"5 1 2 1 1 12 31111 6 M59 70100 000132 0000R 00001 00211 015 2112000*")</f>
        <v>250</v>
      </c>
      <c r="G3776" s="83">
        <f>SUMIFS(G3777:G6462,K3777:K6462,"0",B3777:B6462,"5 1 2 1 1 12 31111 6 M59 70100 000132 0000R 00001 00211 015 2112000*")</f>
        <v>0</v>
      </c>
      <c r="H3776" s="83">
        <f t="shared" si="59"/>
        <v>250</v>
      </c>
      <c r="I3776" s="83"/>
      <c r="K3776" s="54" t="s">
        <v>15</v>
      </c>
    </row>
    <row r="3777" spans="2:11" ht="33" x14ac:dyDescent="0.2">
      <c r="B3777" s="82" t="s">
        <v>6175</v>
      </c>
      <c r="C3777" s="82" t="s">
        <v>660</v>
      </c>
      <c r="D3777" s="83">
        <f>SUMIFS(D3778:D6462,K3778:K6462,"0",B3778:B6462,"5 1 2 1 1 12 31111 6 M59 70100 000132 0000R 00001 00211 015 2112000 2024*")-SUMIFS(E3778:E6462,K3778:K6462,"0",B3778:B6462,"5 1 2 1 1 12 31111 6 M59 70100 000132 0000R 00001 00211 015 2112000 2024*")</f>
        <v>0</v>
      </c>
      <c r="E3777" s="54"/>
      <c r="F3777" s="83">
        <f>SUMIFS(F3778:F6462,K3778:K6462,"0",B3778:B6462,"5 1 2 1 1 12 31111 6 M59 70100 000132 0000R 00001 00211 015 2112000 2024*")</f>
        <v>250</v>
      </c>
      <c r="G3777" s="83">
        <f>SUMIFS(G3778:G6462,K3778:K6462,"0",B3778:B6462,"5 1 2 1 1 12 31111 6 M59 70100 000132 0000R 00001 00211 015 2112000 2024*")</f>
        <v>0</v>
      </c>
      <c r="H3777" s="83">
        <f t="shared" si="59"/>
        <v>250</v>
      </c>
      <c r="I3777" s="83"/>
      <c r="K3777" s="54" t="s">
        <v>15</v>
      </c>
    </row>
    <row r="3778" spans="2:11" ht="41.25" x14ac:dyDescent="0.2">
      <c r="B3778" s="82" t="s">
        <v>6176</v>
      </c>
      <c r="C3778" s="82" t="s">
        <v>1056</v>
      </c>
      <c r="D3778" s="83">
        <f>SUMIFS(D3779:D6462,K3779:K6462,"0",B3779:B6462,"5 1 2 1 1 12 31111 6 M59 70100 000132 0000R 00001 00211 015 2112000 2024 CP1MM393*")-SUMIFS(E3779:E6462,K3779:K6462,"0",B3779:B6462,"5 1 2 1 1 12 31111 6 M59 70100 000132 0000R 00001 00211 015 2112000 2024 CP1MM393*")</f>
        <v>0</v>
      </c>
      <c r="E3778" s="54"/>
      <c r="F3778" s="83">
        <f>SUMIFS(F3779:F6462,K3779:K6462,"0",B3779:B6462,"5 1 2 1 1 12 31111 6 M59 70100 000132 0000R 00001 00211 015 2112000 2024 CP1MM393*")</f>
        <v>250</v>
      </c>
      <c r="G3778" s="83">
        <f>SUMIFS(G3779:G6462,K3779:K6462,"0",B3779:B6462,"5 1 2 1 1 12 31111 6 M59 70100 000132 0000R 00001 00211 015 2112000 2024 CP1MM393*")</f>
        <v>0</v>
      </c>
      <c r="H3778" s="83">
        <f t="shared" si="59"/>
        <v>250</v>
      </c>
      <c r="I3778" s="83"/>
      <c r="K3778" s="54" t="s">
        <v>15</v>
      </c>
    </row>
    <row r="3779" spans="2:11" ht="41.25" x14ac:dyDescent="0.2">
      <c r="B3779" s="82" t="s">
        <v>6177</v>
      </c>
      <c r="C3779" s="82" t="s">
        <v>282</v>
      </c>
      <c r="D3779" s="83">
        <f>SUMIFS(D3780:D6462,K3780:K6462,"0",B3780:B6462,"5 1 2 1 1 12 31111 6 M59 70100 000132 0000R 00001 00211 015 2112000 2024 CP1MM393 001*")-SUMIFS(E3780:E6462,K3780:K6462,"0",B3780:B6462,"5 1 2 1 1 12 31111 6 M59 70100 000132 0000R 00001 00211 015 2112000 2024 CP1MM393 001*")</f>
        <v>0</v>
      </c>
      <c r="E3779" s="54"/>
      <c r="F3779" s="83">
        <f>SUMIFS(F3780:F6462,K3780:K6462,"0",B3780:B6462,"5 1 2 1 1 12 31111 6 M59 70100 000132 0000R 00001 00211 015 2112000 2024 CP1MM393 001*")</f>
        <v>250</v>
      </c>
      <c r="G3779" s="83">
        <f>SUMIFS(G3780:G6462,K3780:K6462,"0",B3780:B6462,"5 1 2 1 1 12 31111 6 M59 70100 000132 0000R 00001 00211 015 2112000 2024 CP1MM393 001*")</f>
        <v>0</v>
      </c>
      <c r="H3779" s="83">
        <f t="shared" si="59"/>
        <v>250</v>
      </c>
      <c r="I3779" s="83"/>
      <c r="K3779" s="54" t="s">
        <v>15</v>
      </c>
    </row>
    <row r="3780" spans="2:11" ht="33" x14ac:dyDescent="0.2">
      <c r="B3780" s="84" t="s">
        <v>6178</v>
      </c>
      <c r="C3780" s="84" t="s">
        <v>5827</v>
      </c>
      <c r="D3780" s="85">
        <v>0</v>
      </c>
      <c r="E3780" s="85"/>
      <c r="F3780" s="85">
        <v>250</v>
      </c>
      <c r="G3780" s="85">
        <v>0</v>
      </c>
      <c r="H3780" s="85">
        <f t="shared" si="59"/>
        <v>250</v>
      </c>
      <c r="I3780" s="85"/>
      <c r="K3780" s="54" t="s">
        <v>38</v>
      </c>
    </row>
    <row r="3781" spans="2:11" ht="16.5" x14ac:dyDescent="0.2">
      <c r="B3781" s="82" t="s">
        <v>6179</v>
      </c>
      <c r="C3781" s="82" t="s">
        <v>3401</v>
      </c>
      <c r="D3781" s="83">
        <f>SUMIFS(D3782:D6462,K3782:K6462,"0",B3782:B6462,"5 1 2 1 1 12 31111 6 M59 70200*")-SUMIFS(E3782:E6462,K3782:K6462,"0",B3782:B6462,"5 1 2 1 1 12 31111 6 M59 70200*")</f>
        <v>0</v>
      </c>
      <c r="E3781" s="54"/>
      <c r="F3781" s="83">
        <f>SUMIFS(F3782:F6462,K3782:K6462,"0",B3782:B6462,"5 1 2 1 1 12 31111 6 M59 70200*")</f>
        <v>250</v>
      </c>
      <c r="G3781" s="83">
        <f>SUMIFS(G3782:G6462,K3782:K6462,"0",B3782:B6462,"5 1 2 1 1 12 31111 6 M59 70200*")</f>
        <v>0</v>
      </c>
      <c r="H3781" s="83">
        <f t="shared" si="59"/>
        <v>250</v>
      </c>
      <c r="I3781" s="83"/>
      <c r="K3781" s="54" t="s">
        <v>15</v>
      </c>
    </row>
    <row r="3782" spans="2:11" ht="16.5" x14ac:dyDescent="0.2">
      <c r="B3782" s="82" t="s">
        <v>6180</v>
      </c>
      <c r="C3782" s="82" t="s">
        <v>648</v>
      </c>
      <c r="D3782" s="83">
        <f>SUMIFS(D3783:D6462,K3783:K6462,"0",B3783:B6462,"5 1 2 1 1 12 31111 6 M59 70200 000132*")-SUMIFS(E3783:E6462,K3783:K6462,"0",B3783:B6462,"5 1 2 1 1 12 31111 6 M59 70200 000132*")</f>
        <v>0</v>
      </c>
      <c r="E3782" s="54"/>
      <c r="F3782" s="83">
        <f>SUMIFS(F3783:F6462,K3783:K6462,"0",B3783:B6462,"5 1 2 1 1 12 31111 6 M59 70200 000132*")</f>
        <v>250</v>
      </c>
      <c r="G3782" s="83">
        <f>SUMIFS(G3783:G6462,K3783:K6462,"0",B3783:B6462,"5 1 2 1 1 12 31111 6 M59 70200 000132*")</f>
        <v>0</v>
      </c>
      <c r="H3782" s="83">
        <f t="shared" si="59"/>
        <v>250</v>
      </c>
      <c r="I3782" s="83"/>
      <c r="K3782" s="54" t="s">
        <v>15</v>
      </c>
    </row>
    <row r="3783" spans="2:11" ht="16.5" x14ac:dyDescent="0.2">
      <c r="B3783" s="82" t="s">
        <v>6181</v>
      </c>
      <c r="C3783" s="82" t="s">
        <v>650</v>
      </c>
      <c r="D3783" s="83">
        <f>SUMIFS(D3784:D6462,K3784:K6462,"0",B3784:B6462,"5 1 2 1 1 12 31111 6 M59 70200 000132 0000R*")-SUMIFS(E3784:E6462,K3784:K6462,"0",B3784:B6462,"5 1 2 1 1 12 31111 6 M59 70200 000132 0000R*")</f>
        <v>0</v>
      </c>
      <c r="E3783" s="54"/>
      <c r="F3783" s="83">
        <f>SUMIFS(F3784:F6462,K3784:K6462,"0",B3784:B6462,"5 1 2 1 1 12 31111 6 M59 70200 000132 0000R*")</f>
        <v>250</v>
      </c>
      <c r="G3783" s="83">
        <f>SUMIFS(G3784:G6462,K3784:K6462,"0",B3784:B6462,"5 1 2 1 1 12 31111 6 M59 70200 000132 0000R*")</f>
        <v>0</v>
      </c>
      <c r="H3783" s="83">
        <f t="shared" si="59"/>
        <v>250</v>
      </c>
      <c r="I3783" s="83"/>
      <c r="K3783" s="54" t="s">
        <v>15</v>
      </c>
    </row>
    <row r="3784" spans="2:11" ht="24.75" x14ac:dyDescent="0.2">
      <c r="B3784" s="82" t="s">
        <v>6182</v>
      </c>
      <c r="C3784" s="82" t="s">
        <v>282</v>
      </c>
      <c r="D3784" s="83">
        <f>SUMIFS(D3785:D6462,K3785:K6462,"0",B3785:B6462,"5 1 2 1 1 12 31111 6 M59 70200 000132 0000R 00001*")-SUMIFS(E3785:E6462,K3785:K6462,"0",B3785:B6462,"5 1 2 1 1 12 31111 6 M59 70200 000132 0000R 00001*")</f>
        <v>0</v>
      </c>
      <c r="E3784" s="54"/>
      <c r="F3784" s="83">
        <f>SUMIFS(F3785:F6462,K3785:K6462,"0",B3785:B6462,"5 1 2 1 1 12 31111 6 M59 70200 000132 0000R 00001*")</f>
        <v>250</v>
      </c>
      <c r="G3784" s="83">
        <f>SUMIFS(G3785:G6462,K3785:K6462,"0",B3785:B6462,"5 1 2 1 1 12 31111 6 M59 70200 000132 0000R 00001*")</f>
        <v>0</v>
      </c>
      <c r="H3784" s="83">
        <f t="shared" si="59"/>
        <v>250</v>
      </c>
      <c r="I3784" s="83"/>
      <c r="K3784" s="54" t="s">
        <v>15</v>
      </c>
    </row>
    <row r="3785" spans="2:11" ht="24.75" x14ac:dyDescent="0.2">
      <c r="B3785" s="82" t="s">
        <v>6183</v>
      </c>
      <c r="C3785" s="82" t="s">
        <v>5827</v>
      </c>
      <c r="D3785" s="83">
        <f>SUMIFS(D3786:D6462,K3786:K6462,"0",B3786:B6462,"5 1 2 1 1 12 31111 6 M59 70200 000132 0000R 00001 00211*")-SUMIFS(E3786:E6462,K3786:K6462,"0",B3786:B6462,"5 1 2 1 1 12 31111 6 M59 70200 000132 0000R 00001 00211*")</f>
        <v>0</v>
      </c>
      <c r="E3785" s="54"/>
      <c r="F3785" s="83">
        <f>SUMIFS(F3786:F6462,K3786:K6462,"0",B3786:B6462,"5 1 2 1 1 12 31111 6 M59 70200 000132 0000R 00001 00211*")</f>
        <v>250</v>
      </c>
      <c r="G3785" s="83">
        <f>SUMIFS(G3786:G6462,K3786:K6462,"0",B3786:B6462,"5 1 2 1 1 12 31111 6 M59 70200 000132 0000R 00001 00211*")</f>
        <v>0</v>
      </c>
      <c r="H3785" s="83">
        <f t="shared" si="59"/>
        <v>250</v>
      </c>
      <c r="I3785" s="83"/>
      <c r="K3785" s="54" t="s">
        <v>15</v>
      </c>
    </row>
    <row r="3786" spans="2:11" ht="24.75" x14ac:dyDescent="0.2">
      <c r="B3786" s="82" t="s">
        <v>6184</v>
      </c>
      <c r="C3786" s="82" t="s">
        <v>1051</v>
      </c>
      <c r="D3786" s="83">
        <f>SUMIFS(D3787:D6462,K3787:K6462,"0",B3787:B6462,"5 1 2 1 1 12 31111 6 M59 70200 000132 0000R 00001 00211 015*")-SUMIFS(E3787:E6462,K3787:K6462,"0",B3787:B6462,"5 1 2 1 1 12 31111 6 M59 70200 000132 0000R 00001 00211 015*")</f>
        <v>0</v>
      </c>
      <c r="E3786" s="54"/>
      <c r="F3786" s="83">
        <f>SUMIFS(F3787:F6462,K3787:K6462,"0",B3787:B6462,"5 1 2 1 1 12 31111 6 M59 70200 000132 0000R 00001 00211 015*")</f>
        <v>250</v>
      </c>
      <c r="G3786" s="83">
        <f>SUMIFS(G3787:G6462,K3787:K6462,"0",B3787:B6462,"5 1 2 1 1 12 31111 6 M59 70200 000132 0000R 00001 00211 015*")</f>
        <v>0</v>
      </c>
      <c r="H3786" s="83">
        <f t="shared" si="59"/>
        <v>250</v>
      </c>
      <c r="I3786" s="83"/>
      <c r="K3786" s="54" t="s">
        <v>15</v>
      </c>
    </row>
    <row r="3787" spans="2:11" ht="33" x14ac:dyDescent="0.2">
      <c r="B3787" s="82" t="s">
        <v>6185</v>
      </c>
      <c r="C3787" s="82" t="s">
        <v>5830</v>
      </c>
      <c r="D3787" s="83">
        <f>SUMIFS(D3788:D6462,K3788:K6462,"0",B3788:B6462,"5 1 2 1 1 12 31111 6 M59 70200 000132 0000R 00001 00211 015 2112000*")-SUMIFS(E3788:E6462,K3788:K6462,"0",B3788:B6462,"5 1 2 1 1 12 31111 6 M59 70200 000132 0000R 00001 00211 015 2112000*")</f>
        <v>0</v>
      </c>
      <c r="E3787" s="54"/>
      <c r="F3787" s="83">
        <f>SUMIFS(F3788:F6462,K3788:K6462,"0",B3788:B6462,"5 1 2 1 1 12 31111 6 M59 70200 000132 0000R 00001 00211 015 2112000*")</f>
        <v>250</v>
      </c>
      <c r="G3787" s="83">
        <f>SUMIFS(G3788:G6462,K3788:K6462,"0",B3788:B6462,"5 1 2 1 1 12 31111 6 M59 70200 000132 0000R 00001 00211 015 2112000*")</f>
        <v>0</v>
      </c>
      <c r="H3787" s="83">
        <f t="shared" si="59"/>
        <v>250</v>
      </c>
      <c r="I3787" s="83"/>
      <c r="K3787" s="54" t="s">
        <v>15</v>
      </c>
    </row>
    <row r="3788" spans="2:11" ht="33" x14ac:dyDescent="0.2">
      <c r="B3788" s="82" t="s">
        <v>6186</v>
      </c>
      <c r="C3788" s="82" t="s">
        <v>660</v>
      </c>
      <c r="D3788" s="83">
        <f>SUMIFS(D3789:D6462,K3789:K6462,"0",B3789:B6462,"5 1 2 1 1 12 31111 6 M59 70200 000132 0000R 00001 00211 015 2112000 2024*")-SUMIFS(E3789:E6462,K3789:K6462,"0",B3789:B6462,"5 1 2 1 1 12 31111 6 M59 70200 000132 0000R 00001 00211 015 2112000 2024*")</f>
        <v>0</v>
      </c>
      <c r="E3788" s="54"/>
      <c r="F3788" s="83">
        <f>SUMIFS(F3789:F6462,K3789:K6462,"0",B3789:B6462,"5 1 2 1 1 12 31111 6 M59 70200 000132 0000R 00001 00211 015 2112000 2024*")</f>
        <v>250</v>
      </c>
      <c r="G3788" s="83">
        <f>SUMIFS(G3789:G6462,K3789:K6462,"0",B3789:B6462,"5 1 2 1 1 12 31111 6 M59 70200 000132 0000R 00001 00211 015 2112000 2024*")</f>
        <v>0</v>
      </c>
      <c r="H3788" s="83">
        <f t="shared" si="59"/>
        <v>250</v>
      </c>
      <c r="I3788" s="83"/>
      <c r="K3788" s="54" t="s">
        <v>15</v>
      </c>
    </row>
    <row r="3789" spans="2:11" ht="41.25" x14ac:dyDescent="0.2">
      <c r="B3789" s="82" t="s">
        <v>6187</v>
      </c>
      <c r="C3789" s="82" t="s">
        <v>1056</v>
      </c>
      <c r="D3789" s="83">
        <f>SUMIFS(D3790:D6462,K3790:K6462,"0",B3790:B6462,"5 1 2 1 1 12 31111 6 M59 70200 000132 0000R 00001 00211 015 2112000 2024 CP1SE410*")-SUMIFS(E3790:E6462,K3790:K6462,"0",B3790:B6462,"5 1 2 1 1 12 31111 6 M59 70200 000132 0000R 00001 00211 015 2112000 2024 CP1SE410*")</f>
        <v>0</v>
      </c>
      <c r="E3789" s="54"/>
      <c r="F3789" s="83">
        <f>SUMIFS(F3790:F6462,K3790:K6462,"0",B3790:B6462,"5 1 2 1 1 12 31111 6 M59 70200 000132 0000R 00001 00211 015 2112000 2024 CP1SE410*")</f>
        <v>250</v>
      </c>
      <c r="G3789" s="83">
        <f>SUMIFS(G3790:G6462,K3790:K6462,"0",B3790:B6462,"5 1 2 1 1 12 31111 6 M59 70200 000132 0000R 00001 00211 015 2112000 2024 CP1SE410*")</f>
        <v>0</v>
      </c>
      <c r="H3789" s="83">
        <f t="shared" si="59"/>
        <v>250</v>
      </c>
      <c r="I3789" s="83"/>
      <c r="K3789" s="54" t="s">
        <v>15</v>
      </c>
    </row>
    <row r="3790" spans="2:11" ht="41.25" x14ac:dyDescent="0.2">
      <c r="B3790" s="82" t="s">
        <v>6188</v>
      </c>
      <c r="C3790" s="82" t="s">
        <v>282</v>
      </c>
      <c r="D3790" s="83">
        <f>SUMIFS(D3791:D6462,K3791:K6462,"0",B3791:B6462,"5 1 2 1 1 12 31111 6 M59 70200 000132 0000R 00001 00211 015 2112000 2024 CP1SE410 001*")-SUMIFS(E3791:E6462,K3791:K6462,"0",B3791:B6462,"5 1 2 1 1 12 31111 6 M59 70200 000132 0000R 00001 00211 015 2112000 2024 CP1SE410 001*")</f>
        <v>0</v>
      </c>
      <c r="E3790" s="54"/>
      <c r="F3790" s="83">
        <f>SUMIFS(F3791:F6462,K3791:K6462,"0",B3791:B6462,"5 1 2 1 1 12 31111 6 M59 70200 000132 0000R 00001 00211 015 2112000 2024 CP1SE410 001*")</f>
        <v>250</v>
      </c>
      <c r="G3790" s="83">
        <f>SUMIFS(G3791:G6462,K3791:K6462,"0",B3791:B6462,"5 1 2 1 1 12 31111 6 M59 70200 000132 0000R 00001 00211 015 2112000 2024 CP1SE410 001*")</f>
        <v>0</v>
      </c>
      <c r="H3790" s="83">
        <f t="shared" si="59"/>
        <v>250</v>
      </c>
      <c r="I3790" s="83"/>
      <c r="K3790" s="54" t="s">
        <v>15</v>
      </c>
    </row>
    <row r="3791" spans="2:11" ht="33" x14ac:dyDescent="0.2">
      <c r="B3791" s="84" t="s">
        <v>6189</v>
      </c>
      <c r="C3791" s="84" t="s">
        <v>5827</v>
      </c>
      <c r="D3791" s="85">
        <v>0</v>
      </c>
      <c r="E3791" s="85"/>
      <c r="F3791" s="85">
        <v>250</v>
      </c>
      <c r="G3791" s="85">
        <v>0</v>
      </c>
      <c r="H3791" s="85">
        <f t="shared" si="59"/>
        <v>250</v>
      </c>
      <c r="I3791" s="85"/>
      <c r="K3791" s="54" t="s">
        <v>38</v>
      </c>
    </row>
    <row r="3792" spans="2:11" ht="16.5" x14ac:dyDescent="0.2">
      <c r="B3792" s="82" t="s">
        <v>6190</v>
      </c>
      <c r="C3792" s="82" t="s">
        <v>3413</v>
      </c>
      <c r="D3792" s="83">
        <f>SUMIFS(D3793:D6462,K3793:K6462,"0",B3793:B6462,"5 1 2 1 1 12 31111 6 M59 70300*")-SUMIFS(E3793:E6462,K3793:K6462,"0",B3793:B6462,"5 1 2 1 1 12 31111 6 M59 70300*")</f>
        <v>0</v>
      </c>
      <c r="E3792" s="54"/>
      <c r="F3792" s="83">
        <f>SUMIFS(F3793:F6462,K3793:K6462,"0",B3793:B6462,"5 1 2 1 1 12 31111 6 M59 70300*")</f>
        <v>250</v>
      </c>
      <c r="G3792" s="83">
        <f>SUMIFS(G3793:G6462,K3793:K6462,"0",B3793:B6462,"5 1 2 1 1 12 31111 6 M59 70300*")</f>
        <v>0</v>
      </c>
      <c r="H3792" s="83">
        <f t="shared" si="59"/>
        <v>250</v>
      </c>
      <c r="I3792" s="83"/>
      <c r="K3792" s="54" t="s">
        <v>15</v>
      </c>
    </row>
    <row r="3793" spans="2:11" ht="16.5" x14ac:dyDescent="0.2">
      <c r="B3793" s="82" t="s">
        <v>6191</v>
      </c>
      <c r="C3793" s="82" t="s">
        <v>648</v>
      </c>
      <c r="D3793" s="83">
        <f>SUMIFS(D3794:D6462,K3794:K6462,"0",B3794:B6462,"5 1 2 1 1 12 31111 6 M59 70300 000132*")-SUMIFS(E3794:E6462,K3794:K6462,"0",B3794:B6462,"5 1 2 1 1 12 31111 6 M59 70300 000132*")</f>
        <v>0</v>
      </c>
      <c r="E3793" s="54"/>
      <c r="F3793" s="83">
        <f>SUMIFS(F3794:F6462,K3794:K6462,"0",B3794:B6462,"5 1 2 1 1 12 31111 6 M59 70300 000132*")</f>
        <v>250</v>
      </c>
      <c r="G3793" s="83">
        <f>SUMIFS(G3794:G6462,K3794:K6462,"0",B3794:B6462,"5 1 2 1 1 12 31111 6 M59 70300 000132*")</f>
        <v>0</v>
      </c>
      <c r="H3793" s="83">
        <f t="shared" si="59"/>
        <v>250</v>
      </c>
      <c r="I3793" s="83"/>
      <c r="K3793" s="54" t="s">
        <v>15</v>
      </c>
    </row>
    <row r="3794" spans="2:11" ht="16.5" x14ac:dyDescent="0.2">
      <c r="B3794" s="82" t="s">
        <v>6192</v>
      </c>
      <c r="C3794" s="82" t="s">
        <v>650</v>
      </c>
      <c r="D3794" s="83">
        <f>SUMIFS(D3795:D6462,K3795:K6462,"0",B3795:B6462,"5 1 2 1 1 12 31111 6 M59 70300 000132 0000R*")-SUMIFS(E3795:E6462,K3795:K6462,"0",B3795:B6462,"5 1 2 1 1 12 31111 6 M59 70300 000132 0000R*")</f>
        <v>0</v>
      </c>
      <c r="E3794" s="54"/>
      <c r="F3794" s="83">
        <f>SUMIFS(F3795:F6462,K3795:K6462,"0",B3795:B6462,"5 1 2 1 1 12 31111 6 M59 70300 000132 0000R*")</f>
        <v>250</v>
      </c>
      <c r="G3794" s="83">
        <f>SUMIFS(G3795:G6462,K3795:K6462,"0",B3795:B6462,"5 1 2 1 1 12 31111 6 M59 70300 000132 0000R*")</f>
        <v>0</v>
      </c>
      <c r="H3794" s="83">
        <f t="shared" si="59"/>
        <v>250</v>
      </c>
      <c r="I3794" s="83"/>
      <c r="K3794" s="54" t="s">
        <v>15</v>
      </c>
    </row>
    <row r="3795" spans="2:11" ht="24.75" x14ac:dyDescent="0.2">
      <c r="B3795" s="82" t="s">
        <v>6193</v>
      </c>
      <c r="C3795" s="82" t="s">
        <v>282</v>
      </c>
      <c r="D3795" s="83">
        <f>SUMIFS(D3796:D6462,K3796:K6462,"0",B3796:B6462,"5 1 2 1 1 12 31111 6 M59 70300 000132 0000R 00001*")-SUMIFS(E3796:E6462,K3796:K6462,"0",B3796:B6462,"5 1 2 1 1 12 31111 6 M59 70300 000132 0000R 00001*")</f>
        <v>0</v>
      </c>
      <c r="E3795" s="54"/>
      <c r="F3795" s="83">
        <f>SUMIFS(F3796:F6462,K3796:K6462,"0",B3796:B6462,"5 1 2 1 1 12 31111 6 M59 70300 000132 0000R 00001*")</f>
        <v>250</v>
      </c>
      <c r="G3795" s="83">
        <f>SUMIFS(G3796:G6462,K3796:K6462,"0",B3796:B6462,"5 1 2 1 1 12 31111 6 M59 70300 000132 0000R 00001*")</f>
        <v>0</v>
      </c>
      <c r="H3795" s="83">
        <f t="shared" si="59"/>
        <v>250</v>
      </c>
      <c r="I3795" s="83"/>
      <c r="K3795" s="54" t="s">
        <v>15</v>
      </c>
    </row>
    <row r="3796" spans="2:11" ht="24.75" x14ac:dyDescent="0.2">
      <c r="B3796" s="82" t="s">
        <v>6194</v>
      </c>
      <c r="C3796" s="82" t="s">
        <v>5827</v>
      </c>
      <c r="D3796" s="83">
        <f>SUMIFS(D3797:D6462,K3797:K6462,"0",B3797:B6462,"5 1 2 1 1 12 31111 6 M59 70300 000132 0000R 00001 00211*")-SUMIFS(E3797:E6462,K3797:K6462,"0",B3797:B6462,"5 1 2 1 1 12 31111 6 M59 70300 000132 0000R 00001 00211*")</f>
        <v>0</v>
      </c>
      <c r="E3796" s="54"/>
      <c r="F3796" s="83">
        <f>SUMIFS(F3797:F6462,K3797:K6462,"0",B3797:B6462,"5 1 2 1 1 12 31111 6 M59 70300 000132 0000R 00001 00211*")</f>
        <v>250</v>
      </c>
      <c r="G3796" s="83">
        <f>SUMIFS(G3797:G6462,K3797:K6462,"0",B3797:B6462,"5 1 2 1 1 12 31111 6 M59 70300 000132 0000R 00001 00211*")</f>
        <v>0</v>
      </c>
      <c r="H3796" s="83">
        <f t="shared" si="59"/>
        <v>250</v>
      </c>
      <c r="I3796" s="83"/>
      <c r="K3796" s="54" t="s">
        <v>15</v>
      </c>
    </row>
    <row r="3797" spans="2:11" ht="24.75" x14ac:dyDescent="0.2">
      <c r="B3797" s="82" t="s">
        <v>6195</v>
      </c>
      <c r="C3797" s="82" t="s">
        <v>1051</v>
      </c>
      <c r="D3797" s="83">
        <f>SUMIFS(D3798:D6462,K3798:K6462,"0",B3798:B6462,"5 1 2 1 1 12 31111 6 M59 70300 000132 0000R 00001 00211 015*")-SUMIFS(E3798:E6462,K3798:K6462,"0",B3798:B6462,"5 1 2 1 1 12 31111 6 M59 70300 000132 0000R 00001 00211 015*")</f>
        <v>0</v>
      </c>
      <c r="E3797" s="54"/>
      <c r="F3797" s="83">
        <f>SUMIFS(F3798:F6462,K3798:K6462,"0",B3798:B6462,"5 1 2 1 1 12 31111 6 M59 70300 000132 0000R 00001 00211 015*")</f>
        <v>250</v>
      </c>
      <c r="G3797" s="83">
        <f>SUMIFS(G3798:G6462,K3798:K6462,"0",B3798:B6462,"5 1 2 1 1 12 31111 6 M59 70300 000132 0000R 00001 00211 015*")</f>
        <v>0</v>
      </c>
      <c r="H3797" s="83">
        <f t="shared" si="59"/>
        <v>250</v>
      </c>
      <c r="I3797" s="83"/>
      <c r="K3797" s="54" t="s">
        <v>15</v>
      </c>
    </row>
    <row r="3798" spans="2:11" ht="33" x14ac:dyDescent="0.2">
      <c r="B3798" s="82" t="s">
        <v>6196</v>
      </c>
      <c r="C3798" s="82" t="s">
        <v>5830</v>
      </c>
      <c r="D3798" s="83">
        <f>SUMIFS(D3799:D6462,K3799:K6462,"0",B3799:B6462,"5 1 2 1 1 12 31111 6 M59 70300 000132 0000R 00001 00211 015 2112000*")-SUMIFS(E3799:E6462,K3799:K6462,"0",B3799:B6462,"5 1 2 1 1 12 31111 6 M59 70300 000132 0000R 00001 00211 015 2112000*")</f>
        <v>0</v>
      </c>
      <c r="E3798" s="54"/>
      <c r="F3798" s="83">
        <f>SUMIFS(F3799:F6462,K3799:K6462,"0",B3799:B6462,"5 1 2 1 1 12 31111 6 M59 70300 000132 0000R 00001 00211 015 2112000*")</f>
        <v>250</v>
      </c>
      <c r="G3798" s="83">
        <f>SUMIFS(G3799:G6462,K3799:K6462,"0",B3799:B6462,"5 1 2 1 1 12 31111 6 M59 70300 000132 0000R 00001 00211 015 2112000*")</f>
        <v>0</v>
      </c>
      <c r="H3798" s="83">
        <f t="shared" si="59"/>
        <v>250</v>
      </c>
      <c r="I3798" s="83"/>
      <c r="K3798" s="54" t="s">
        <v>15</v>
      </c>
    </row>
    <row r="3799" spans="2:11" ht="33" x14ac:dyDescent="0.2">
      <c r="B3799" s="82" t="s">
        <v>6197</v>
      </c>
      <c r="C3799" s="82" t="s">
        <v>660</v>
      </c>
      <c r="D3799" s="83">
        <f>SUMIFS(D3800:D6462,K3800:K6462,"0",B3800:B6462,"5 1 2 1 1 12 31111 6 M59 70300 000132 0000R 00001 00211 015 2112000 2024*")-SUMIFS(E3800:E6462,K3800:K6462,"0",B3800:B6462,"5 1 2 1 1 12 31111 6 M59 70300 000132 0000R 00001 00211 015 2112000 2024*")</f>
        <v>0</v>
      </c>
      <c r="E3799" s="54"/>
      <c r="F3799" s="83">
        <f>SUMIFS(F3800:F6462,K3800:K6462,"0",B3800:B6462,"5 1 2 1 1 12 31111 6 M59 70300 000132 0000R 00001 00211 015 2112000 2024*")</f>
        <v>250</v>
      </c>
      <c r="G3799" s="83">
        <f>SUMIFS(G3800:G6462,K3800:K6462,"0",B3800:B6462,"5 1 2 1 1 12 31111 6 M59 70300 000132 0000R 00001 00211 015 2112000 2024*")</f>
        <v>0</v>
      </c>
      <c r="H3799" s="83">
        <f t="shared" si="59"/>
        <v>250</v>
      </c>
      <c r="I3799" s="83"/>
      <c r="K3799" s="54" t="s">
        <v>15</v>
      </c>
    </row>
    <row r="3800" spans="2:11" ht="41.25" x14ac:dyDescent="0.2">
      <c r="B3800" s="82" t="s">
        <v>6198</v>
      </c>
      <c r="C3800" s="82" t="s">
        <v>1056</v>
      </c>
      <c r="D3800" s="83">
        <f>SUMIFS(D3801:D6462,K3801:K6462,"0",B3801:B6462,"5 1 2 1 1 12 31111 6 M59 70300 000132 0000R 00001 00211 015 2112000 2024 CP1CU419*")-SUMIFS(E3801:E6462,K3801:K6462,"0",B3801:B6462,"5 1 2 1 1 12 31111 6 M59 70300 000132 0000R 00001 00211 015 2112000 2024 CP1CU419*")</f>
        <v>0</v>
      </c>
      <c r="E3800" s="54"/>
      <c r="F3800" s="83">
        <f>SUMIFS(F3801:F6462,K3801:K6462,"0",B3801:B6462,"5 1 2 1 1 12 31111 6 M59 70300 000132 0000R 00001 00211 015 2112000 2024 CP1CU419*")</f>
        <v>250</v>
      </c>
      <c r="G3800" s="83">
        <f>SUMIFS(G3801:G6462,K3801:K6462,"0",B3801:B6462,"5 1 2 1 1 12 31111 6 M59 70300 000132 0000R 00001 00211 015 2112000 2024 CP1CU419*")</f>
        <v>0</v>
      </c>
      <c r="H3800" s="83">
        <f t="shared" si="59"/>
        <v>250</v>
      </c>
      <c r="I3800" s="83"/>
      <c r="K3800" s="54" t="s">
        <v>15</v>
      </c>
    </row>
    <row r="3801" spans="2:11" ht="41.25" x14ac:dyDescent="0.2">
      <c r="B3801" s="82" t="s">
        <v>6199</v>
      </c>
      <c r="C3801" s="82" t="s">
        <v>282</v>
      </c>
      <c r="D3801" s="83">
        <f>SUMIFS(D3802:D6462,K3802:K6462,"0",B3802:B6462,"5 1 2 1 1 12 31111 6 M59 70300 000132 0000R 00001 00211 015 2112000 2024 CP1CU419 001*")-SUMIFS(E3802:E6462,K3802:K6462,"0",B3802:B6462,"5 1 2 1 1 12 31111 6 M59 70300 000132 0000R 00001 00211 015 2112000 2024 CP1CU419 001*")</f>
        <v>0</v>
      </c>
      <c r="E3801" s="54"/>
      <c r="F3801" s="83">
        <f>SUMIFS(F3802:F6462,K3802:K6462,"0",B3802:B6462,"5 1 2 1 1 12 31111 6 M59 70300 000132 0000R 00001 00211 015 2112000 2024 CP1CU419 001*")</f>
        <v>250</v>
      </c>
      <c r="G3801" s="83">
        <f>SUMIFS(G3802:G6462,K3802:K6462,"0",B3802:B6462,"5 1 2 1 1 12 31111 6 M59 70300 000132 0000R 00001 00211 015 2112000 2024 CP1CU419 001*")</f>
        <v>0</v>
      </c>
      <c r="H3801" s="83">
        <f t="shared" si="59"/>
        <v>250</v>
      </c>
      <c r="I3801" s="83"/>
      <c r="K3801" s="54" t="s">
        <v>15</v>
      </c>
    </row>
    <row r="3802" spans="2:11" ht="33" x14ac:dyDescent="0.2">
      <c r="B3802" s="84" t="s">
        <v>6200</v>
      </c>
      <c r="C3802" s="84" t="s">
        <v>5827</v>
      </c>
      <c r="D3802" s="85">
        <v>0</v>
      </c>
      <c r="E3802" s="85"/>
      <c r="F3802" s="85">
        <v>250</v>
      </c>
      <c r="G3802" s="85">
        <v>0</v>
      </c>
      <c r="H3802" s="85">
        <f t="shared" si="59"/>
        <v>250</v>
      </c>
      <c r="I3802" s="85"/>
      <c r="K3802" s="54" t="s">
        <v>38</v>
      </c>
    </row>
    <row r="3803" spans="2:11" ht="16.5" x14ac:dyDescent="0.2">
      <c r="B3803" s="82" t="s">
        <v>6201</v>
      </c>
      <c r="C3803" s="82" t="s">
        <v>3425</v>
      </c>
      <c r="D3803" s="83">
        <f>SUMIFS(D3804:D6462,K3804:K6462,"0",B3804:B6462,"5 1 2 1 1 12 31111 6 M59 70400*")-SUMIFS(E3804:E6462,K3804:K6462,"0",B3804:B6462,"5 1 2 1 1 12 31111 6 M59 70400*")</f>
        <v>0</v>
      </c>
      <c r="E3803" s="54"/>
      <c r="F3803" s="83">
        <f>SUMIFS(F3804:F6462,K3804:K6462,"0",B3804:B6462,"5 1 2 1 1 12 31111 6 M59 70400*")</f>
        <v>250</v>
      </c>
      <c r="G3803" s="83">
        <f>SUMIFS(G3804:G6462,K3804:K6462,"0",B3804:B6462,"5 1 2 1 1 12 31111 6 M59 70400*")</f>
        <v>0</v>
      </c>
      <c r="H3803" s="83">
        <f t="shared" si="59"/>
        <v>250</v>
      </c>
      <c r="I3803" s="83"/>
      <c r="K3803" s="54" t="s">
        <v>15</v>
      </c>
    </row>
    <row r="3804" spans="2:11" ht="16.5" x14ac:dyDescent="0.2">
      <c r="B3804" s="82" t="s">
        <v>6202</v>
      </c>
      <c r="C3804" s="82" t="s">
        <v>3427</v>
      </c>
      <c r="D3804" s="83">
        <f>SUMIFS(D3805:D6462,K3805:K6462,"0",B3805:B6462,"5 1 2 1 1 12 31111 6 M59 70400 000241*")-SUMIFS(E3805:E6462,K3805:K6462,"0",B3805:B6462,"5 1 2 1 1 12 31111 6 M59 70400 000241*")</f>
        <v>0</v>
      </c>
      <c r="E3804" s="54"/>
      <c r="F3804" s="83">
        <f>SUMIFS(F3805:F6462,K3805:K6462,"0",B3805:B6462,"5 1 2 1 1 12 31111 6 M59 70400 000241*")</f>
        <v>250</v>
      </c>
      <c r="G3804" s="83">
        <f>SUMIFS(G3805:G6462,K3805:K6462,"0",B3805:B6462,"5 1 2 1 1 12 31111 6 M59 70400 000241*")</f>
        <v>0</v>
      </c>
      <c r="H3804" s="83">
        <f t="shared" si="59"/>
        <v>250</v>
      </c>
      <c r="I3804" s="83"/>
      <c r="K3804" s="54" t="s">
        <v>15</v>
      </c>
    </row>
    <row r="3805" spans="2:11" ht="16.5" x14ac:dyDescent="0.2">
      <c r="B3805" s="82" t="s">
        <v>6203</v>
      </c>
      <c r="C3805" s="82" t="s">
        <v>650</v>
      </c>
      <c r="D3805" s="83">
        <f>SUMIFS(D3806:D6462,K3806:K6462,"0",B3806:B6462,"5 1 2 1 1 12 31111 6 M59 70400 000241 0000R*")-SUMIFS(E3806:E6462,K3806:K6462,"0",B3806:B6462,"5 1 2 1 1 12 31111 6 M59 70400 000241 0000R*")</f>
        <v>0</v>
      </c>
      <c r="E3805" s="54"/>
      <c r="F3805" s="83">
        <f>SUMIFS(F3806:F6462,K3806:K6462,"0",B3806:B6462,"5 1 2 1 1 12 31111 6 M59 70400 000241 0000R*")</f>
        <v>250</v>
      </c>
      <c r="G3805" s="83">
        <f>SUMIFS(G3806:G6462,K3806:K6462,"0",B3806:B6462,"5 1 2 1 1 12 31111 6 M59 70400 000241 0000R*")</f>
        <v>0</v>
      </c>
      <c r="H3805" s="83">
        <f t="shared" si="59"/>
        <v>250</v>
      </c>
      <c r="I3805" s="83"/>
      <c r="K3805" s="54" t="s">
        <v>15</v>
      </c>
    </row>
    <row r="3806" spans="2:11" ht="24.75" x14ac:dyDescent="0.2">
      <c r="B3806" s="82" t="s">
        <v>6204</v>
      </c>
      <c r="C3806" s="82" t="s">
        <v>282</v>
      </c>
      <c r="D3806" s="83">
        <f>SUMIFS(D3807:D6462,K3807:K6462,"0",B3807:B6462,"5 1 2 1 1 12 31111 6 M59 70400 000241 0000R 00001*")-SUMIFS(E3807:E6462,K3807:K6462,"0",B3807:B6462,"5 1 2 1 1 12 31111 6 M59 70400 000241 0000R 00001*")</f>
        <v>0</v>
      </c>
      <c r="E3806" s="54"/>
      <c r="F3806" s="83">
        <f>SUMIFS(F3807:F6462,K3807:K6462,"0",B3807:B6462,"5 1 2 1 1 12 31111 6 M59 70400 000241 0000R 00001*")</f>
        <v>250</v>
      </c>
      <c r="G3806" s="83">
        <f>SUMIFS(G3807:G6462,K3807:K6462,"0",B3807:B6462,"5 1 2 1 1 12 31111 6 M59 70400 000241 0000R 00001*")</f>
        <v>0</v>
      </c>
      <c r="H3806" s="83">
        <f t="shared" si="59"/>
        <v>250</v>
      </c>
      <c r="I3806" s="83"/>
      <c r="K3806" s="54" t="s">
        <v>15</v>
      </c>
    </row>
    <row r="3807" spans="2:11" ht="24.75" x14ac:dyDescent="0.2">
      <c r="B3807" s="82" t="s">
        <v>6205</v>
      </c>
      <c r="C3807" s="82" t="s">
        <v>5827</v>
      </c>
      <c r="D3807" s="83">
        <f>SUMIFS(D3808:D6462,K3808:K6462,"0",B3808:B6462,"5 1 2 1 1 12 31111 6 M59 70400 000241 0000R 00001 00211*")-SUMIFS(E3808:E6462,K3808:K6462,"0",B3808:B6462,"5 1 2 1 1 12 31111 6 M59 70400 000241 0000R 00001 00211*")</f>
        <v>0</v>
      </c>
      <c r="E3807" s="54"/>
      <c r="F3807" s="83">
        <f>SUMIFS(F3808:F6462,K3808:K6462,"0",B3808:B6462,"5 1 2 1 1 12 31111 6 M59 70400 000241 0000R 00001 00211*")</f>
        <v>250</v>
      </c>
      <c r="G3807" s="83">
        <f>SUMIFS(G3808:G6462,K3808:K6462,"0",B3808:B6462,"5 1 2 1 1 12 31111 6 M59 70400 000241 0000R 00001 00211*")</f>
        <v>0</v>
      </c>
      <c r="H3807" s="83">
        <f t="shared" si="59"/>
        <v>250</v>
      </c>
      <c r="I3807" s="83"/>
      <c r="K3807" s="54" t="s">
        <v>15</v>
      </c>
    </row>
    <row r="3808" spans="2:11" ht="24.75" x14ac:dyDescent="0.2">
      <c r="B3808" s="82" t="s">
        <v>6206</v>
      </c>
      <c r="C3808" s="82" t="s">
        <v>1051</v>
      </c>
      <c r="D3808" s="83">
        <f>SUMIFS(D3809:D6462,K3809:K6462,"0",B3809:B6462,"5 1 2 1 1 12 31111 6 M59 70400 000241 0000R 00001 00211 015*")-SUMIFS(E3809:E6462,K3809:K6462,"0",B3809:B6462,"5 1 2 1 1 12 31111 6 M59 70400 000241 0000R 00001 00211 015*")</f>
        <v>0</v>
      </c>
      <c r="E3808" s="54"/>
      <c r="F3808" s="83">
        <f>SUMIFS(F3809:F6462,K3809:K6462,"0",B3809:B6462,"5 1 2 1 1 12 31111 6 M59 70400 000241 0000R 00001 00211 015*")</f>
        <v>250</v>
      </c>
      <c r="G3808" s="83">
        <f>SUMIFS(G3809:G6462,K3809:K6462,"0",B3809:B6462,"5 1 2 1 1 12 31111 6 M59 70400 000241 0000R 00001 00211 015*")</f>
        <v>0</v>
      </c>
      <c r="H3808" s="83">
        <f t="shared" si="59"/>
        <v>250</v>
      </c>
      <c r="I3808" s="83"/>
      <c r="K3808" s="54" t="s">
        <v>15</v>
      </c>
    </row>
    <row r="3809" spans="2:11" ht="33" x14ac:dyDescent="0.2">
      <c r="B3809" s="82" t="s">
        <v>6207</v>
      </c>
      <c r="C3809" s="82" t="s">
        <v>5830</v>
      </c>
      <c r="D3809" s="83">
        <f>SUMIFS(D3810:D6462,K3810:K6462,"0",B3810:B6462,"5 1 2 1 1 12 31111 6 M59 70400 000241 0000R 00001 00211 015 2112000*")-SUMIFS(E3810:E6462,K3810:K6462,"0",B3810:B6462,"5 1 2 1 1 12 31111 6 M59 70400 000241 0000R 00001 00211 015 2112000*")</f>
        <v>0</v>
      </c>
      <c r="E3809" s="54"/>
      <c r="F3809" s="83">
        <f>SUMIFS(F3810:F6462,K3810:K6462,"0",B3810:B6462,"5 1 2 1 1 12 31111 6 M59 70400 000241 0000R 00001 00211 015 2112000*")</f>
        <v>250</v>
      </c>
      <c r="G3809" s="83">
        <f>SUMIFS(G3810:G6462,K3810:K6462,"0",B3810:B6462,"5 1 2 1 1 12 31111 6 M59 70400 000241 0000R 00001 00211 015 2112000*")</f>
        <v>0</v>
      </c>
      <c r="H3809" s="83">
        <f t="shared" si="59"/>
        <v>250</v>
      </c>
      <c r="I3809" s="83"/>
      <c r="K3809" s="54" t="s">
        <v>15</v>
      </c>
    </row>
    <row r="3810" spans="2:11" ht="33" x14ac:dyDescent="0.2">
      <c r="B3810" s="82" t="s">
        <v>6208</v>
      </c>
      <c r="C3810" s="82" t="s">
        <v>660</v>
      </c>
      <c r="D3810" s="83">
        <f>SUMIFS(D3811:D6462,K3811:K6462,"0",B3811:B6462,"5 1 2 1 1 12 31111 6 M59 70400 000241 0000R 00001 00211 015 2112000 2024*")-SUMIFS(E3811:E6462,K3811:K6462,"0",B3811:B6462,"5 1 2 1 1 12 31111 6 M59 70400 000241 0000R 00001 00211 015 2112000 2024*")</f>
        <v>0</v>
      </c>
      <c r="E3810" s="54"/>
      <c r="F3810" s="83">
        <f>SUMIFS(F3811:F6462,K3811:K6462,"0",B3811:B6462,"5 1 2 1 1 12 31111 6 M59 70400 000241 0000R 00001 00211 015 2112000 2024*")</f>
        <v>250</v>
      </c>
      <c r="G3810" s="83">
        <f>SUMIFS(G3811:G6462,K3811:K6462,"0",B3811:B6462,"5 1 2 1 1 12 31111 6 M59 70400 000241 0000R 00001 00211 015 2112000 2024*")</f>
        <v>0</v>
      </c>
      <c r="H3810" s="83">
        <f t="shared" si="59"/>
        <v>250</v>
      </c>
      <c r="I3810" s="83"/>
      <c r="K3810" s="54" t="s">
        <v>15</v>
      </c>
    </row>
    <row r="3811" spans="2:11" ht="41.25" x14ac:dyDescent="0.2">
      <c r="B3811" s="82" t="s">
        <v>6209</v>
      </c>
      <c r="C3811" s="82" t="s">
        <v>662</v>
      </c>
      <c r="D3811" s="83">
        <f>SUMIFS(D3812:D6462,K3812:K6462,"0",B3812:B6462,"5 1 2 1 1 12 31111 6 M59 70400 000241 0000R 00001 00211 015 2112000 2024 CP1DD418*")-SUMIFS(E3812:E6462,K3812:K6462,"0",B3812:B6462,"5 1 2 1 1 12 31111 6 M59 70400 000241 0000R 00001 00211 015 2112000 2024 CP1DD418*")</f>
        <v>0</v>
      </c>
      <c r="E3811" s="54"/>
      <c r="F3811" s="83">
        <f>SUMIFS(F3812:F6462,K3812:K6462,"0",B3812:B6462,"5 1 2 1 1 12 31111 6 M59 70400 000241 0000R 00001 00211 015 2112000 2024 CP1DD418*")</f>
        <v>250</v>
      </c>
      <c r="G3811" s="83">
        <f>SUMIFS(G3812:G6462,K3812:K6462,"0",B3812:B6462,"5 1 2 1 1 12 31111 6 M59 70400 000241 0000R 00001 00211 015 2112000 2024 CP1DD418*")</f>
        <v>0</v>
      </c>
      <c r="H3811" s="83">
        <f t="shared" si="59"/>
        <v>250</v>
      </c>
      <c r="I3811" s="83"/>
      <c r="K3811" s="54" t="s">
        <v>15</v>
      </c>
    </row>
    <row r="3812" spans="2:11" ht="41.25" x14ac:dyDescent="0.2">
      <c r="B3812" s="82" t="s">
        <v>6210</v>
      </c>
      <c r="C3812" s="82" t="s">
        <v>282</v>
      </c>
      <c r="D3812" s="83">
        <f>SUMIFS(D3813:D6462,K3813:K6462,"0",B3813:B6462,"5 1 2 1 1 12 31111 6 M59 70400 000241 0000R 00001 00211 015 2112000 2024 CP1DD418 001*")-SUMIFS(E3813:E6462,K3813:K6462,"0",B3813:B6462,"5 1 2 1 1 12 31111 6 M59 70400 000241 0000R 00001 00211 015 2112000 2024 CP1DD418 001*")</f>
        <v>0</v>
      </c>
      <c r="E3812" s="54"/>
      <c r="F3812" s="83">
        <f>SUMIFS(F3813:F6462,K3813:K6462,"0",B3813:B6462,"5 1 2 1 1 12 31111 6 M59 70400 000241 0000R 00001 00211 015 2112000 2024 CP1DD418 001*")</f>
        <v>250</v>
      </c>
      <c r="G3812" s="83">
        <f>SUMIFS(G3813:G6462,K3813:K6462,"0",B3813:B6462,"5 1 2 1 1 12 31111 6 M59 70400 000241 0000R 00001 00211 015 2112000 2024 CP1DD418 001*")</f>
        <v>0</v>
      </c>
      <c r="H3812" s="83">
        <f t="shared" si="59"/>
        <v>250</v>
      </c>
      <c r="I3812" s="83"/>
      <c r="K3812" s="54" t="s">
        <v>15</v>
      </c>
    </row>
    <row r="3813" spans="2:11" ht="33" x14ac:dyDescent="0.2">
      <c r="B3813" s="84" t="s">
        <v>6211</v>
      </c>
      <c r="C3813" s="84" t="s">
        <v>5827</v>
      </c>
      <c r="D3813" s="85">
        <v>0</v>
      </c>
      <c r="E3813" s="85"/>
      <c r="F3813" s="85">
        <v>250</v>
      </c>
      <c r="G3813" s="85">
        <v>0</v>
      </c>
      <c r="H3813" s="85">
        <f t="shared" si="59"/>
        <v>250</v>
      </c>
      <c r="I3813" s="85"/>
      <c r="K3813" s="54" t="s">
        <v>38</v>
      </c>
    </row>
    <row r="3814" spans="2:11" ht="16.5" x14ac:dyDescent="0.2">
      <c r="B3814" s="82" t="s">
        <v>6212</v>
      </c>
      <c r="C3814" s="82" t="s">
        <v>3438</v>
      </c>
      <c r="D3814" s="83">
        <f>SUMIFS(D3815:D6462,K3815:K6462,"0",B3815:B6462,"5 1 2 1 1 12 31111 6 M59 70500*")-SUMIFS(E3815:E6462,K3815:K6462,"0",B3815:B6462,"5 1 2 1 1 12 31111 6 M59 70500*")</f>
        <v>0</v>
      </c>
      <c r="E3814" s="54"/>
      <c r="F3814" s="83">
        <f>SUMIFS(F3815:F6462,K3815:K6462,"0",B3815:B6462,"5 1 2 1 1 12 31111 6 M59 70500*")</f>
        <v>250</v>
      </c>
      <c r="G3814" s="83">
        <f>SUMIFS(G3815:G6462,K3815:K6462,"0",B3815:B6462,"5 1 2 1 1 12 31111 6 M59 70500*")</f>
        <v>0</v>
      </c>
      <c r="H3814" s="83">
        <f t="shared" si="59"/>
        <v>250</v>
      </c>
      <c r="I3814" s="83"/>
      <c r="K3814" s="54" t="s">
        <v>15</v>
      </c>
    </row>
    <row r="3815" spans="2:11" ht="16.5" x14ac:dyDescent="0.2">
      <c r="B3815" s="82" t="s">
        <v>6213</v>
      </c>
      <c r="C3815" s="82" t="s">
        <v>648</v>
      </c>
      <c r="D3815" s="83">
        <f>SUMIFS(D3816:D6462,K3816:K6462,"0",B3816:B6462,"5 1 2 1 1 12 31111 6 M59 70500 000132*")-SUMIFS(E3816:E6462,K3816:K6462,"0",B3816:B6462,"5 1 2 1 1 12 31111 6 M59 70500 000132*")</f>
        <v>0</v>
      </c>
      <c r="E3815" s="54"/>
      <c r="F3815" s="83">
        <f>SUMIFS(F3816:F6462,K3816:K6462,"0",B3816:B6462,"5 1 2 1 1 12 31111 6 M59 70500 000132*")</f>
        <v>250</v>
      </c>
      <c r="G3815" s="83">
        <f>SUMIFS(G3816:G6462,K3816:K6462,"0",B3816:B6462,"5 1 2 1 1 12 31111 6 M59 70500 000132*")</f>
        <v>0</v>
      </c>
      <c r="H3815" s="83">
        <f t="shared" si="59"/>
        <v>250</v>
      </c>
      <c r="I3815" s="83"/>
      <c r="K3815" s="54" t="s">
        <v>15</v>
      </c>
    </row>
    <row r="3816" spans="2:11" ht="16.5" x14ac:dyDescent="0.2">
      <c r="B3816" s="82" t="s">
        <v>6214</v>
      </c>
      <c r="C3816" s="82" t="s">
        <v>650</v>
      </c>
      <c r="D3816" s="83">
        <f>SUMIFS(D3817:D6462,K3817:K6462,"0",B3817:B6462,"5 1 2 1 1 12 31111 6 M59 70500 000132 0000R*")-SUMIFS(E3817:E6462,K3817:K6462,"0",B3817:B6462,"5 1 2 1 1 12 31111 6 M59 70500 000132 0000R*")</f>
        <v>0</v>
      </c>
      <c r="E3816" s="54"/>
      <c r="F3816" s="83">
        <f>SUMIFS(F3817:F6462,K3817:K6462,"0",B3817:B6462,"5 1 2 1 1 12 31111 6 M59 70500 000132 0000R*")</f>
        <v>250</v>
      </c>
      <c r="G3816" s="83">
        <f>SUMIFS(G3817:G6462,K3817:K6462,"0",B3817:B6462,"5 1 2 1 1 12 31111 6 M59 70500 000132 0000R*")</f>
        <v>0</v>
      </c>
      <c r="H3816" s="83">
        <f t="shared" si="59"/>
        <v>250</v>
      </c>
      <c r="I3816" s="83"/>
      <c r="K3816" s="54" t="s">
        <v>15</v>
      </c>
    </row>
    <row r="3817" spans="2:11" ht="24.75" x14ac:dyDescent="0.2">
      <c r="B3817" s="82" t="s">
        <v>6215</v>
      </c>
      <c r="C3817" s="82" t="s">
        <v>282</v>
      </c>
      <c r="D3817" s="83">
        <f>SUMIFS(D3818:D6462,K3818:K6462,"0",B3818:B6462,"5 1 2 1 1 12 31111 6 M59 70500 000132 0000R 00001*")-SUMIFS(E3818:E6462,K3818:K6462,"0",B3818:B6462,"5 1 2 1 1 12 31111 6 M59 70500 000132 0000R 00001*")</f>
        <v>0</v>
      </c>
      <c r="E3817" s="54"/>
      <c r="F3817" s="83">
        <f>SUMIFS(F3818:F6462,K3818:K6462,"0",B3818:B6462,"5 1 2 1 1 12 31111 6 M59 70500 000132 0000R 00001*")</f>
        <v>250</v>
      </c>
      <c r="G3817" s="83">
        <f>SUMIFS(G3818:G6462,K3818:K6462,"0",B3818:B6462,"5 1 2 1 1 12 31111 6 M59 70500 000132 0000R 00001*")</f>
        <v>0</v>
      </c>
      <c r="H3817" s="83">
        <f t="shared" si="59"/>
        <v>250</v>
      </c>
      <c r="I3817" s="83"/>
      <c r="K3817" s="54" t="s">
        <v>15</v>
      </c>
    </row>
    <row r="3818" spans="2:11" ht="24.75" x14ac:dyDescent="0.2">
      <c r="B3818" s="82" t="s">
        <v>6216</v>
      </c>
      <c r="C3818" s="82" t="s">
        <v>5827</v>
      </c>
      <c r="D3818" s="83">
        <f>SUMIFS(D3819:D6462,K3819:K6462,"0",B3819:B6462,"5 1 2 1 1 12 31111 6 M59 70500 000132 0000R 00001 00211*")-SUMIFS(E3819:E6462,K3819:K6462,"0",B3819:B6462,"5 1 2 1 1 12 31111 6 M59 70500 000132 0000R 00001 00211*")</f>
        <v>0</v>
      </c>
      <c r="E3818" s="54"/>
      <c r="F3818" s="83">
        <f>SUMIFS(F3819:F6462,K3819:K6462,"0",B3819:B6462,"5 1 2 1 1 12 31111 6 M59 70500 000132 0000R 00001 00211*")</f>
        <v>250</v>
      </c>
      <c r="G3818" s="83">
        <f>SUMIFS(G3819:G6462,K3819:K6462,"0",B3819:B6462,"5 1 2 1 1 12 31111 6 M59 70500 000132 0000R 00001 00211*")</f>
        <v>0</v>
      </c>
      <c r="H3818" s="83">
        <f t="shared" si="59"/>
        <v>250</v>
      </c>
      <c r="I3818" s="83"/>
      <c r="K3818" s="54" t="s">
        <v>15</v>
      </c>
    </row>
    <row r="3819" spans="2:11" ht="24.75" x14ac:dyDescent="0.2">
      <c r="B3819" s="82" t="s">
        <v>6217</v>
      </c>
      <c r="C3819" s="82" t="s">
        <v>1051</v>
      </c>
      <c r="D3819" s="83">
        <f>SUMIFS(D3820:D6462,K3820:K6462,"0",B3820:B6462,"5 1 2 1 1 12 31111 6 M59 70500 000132 0000R 00001 00211 015*")-SUMIFS(E3820:E6462,K3820:K6462,"0",B3820:B6462,"5 1 2 1 1 12 31111 6 M59 70500 000132 0000R 00001 00211 015*")</f>
        <v>0</v>
      </c>
      <c r="E3819" s="54"/>
      <c r="F3819" s="83">
        <f>SUMIFS(F3820:F6462,K3820:K6462,"0",B3820:B6462,"5 1 2 1 1 12 31111 6 M59 70500 000132 0000R 00001 00211 015*")</f>
        <v>250</v>
      </c>
      <c r="G3819" s="83">
        <f>SUMIFS(G3820:G6462,K3820:K6462,"0",B3820:B6462,"5 1 2 1 1 12 31111 6 M59 70500 000132 0000R 00001 00211 015*")</f>
        <v>0</v>
      </c>
      <c r="H3819" s="83">
        <f t="shared" ref="H3819:H3882" si="60">D3819 + F3819 - G3819</f>
        <v>250</v>
      </c>
      <c r="I3819" s="83"/>
      <c r="K3819" s="54" t="s">
        <v>15</v>
      </c>
    </row>
    <row r="3820" spans="2:11" ht="33" x14ac:dyDescent="0.2">
      <c r="B3820" s="82" t="s">
        <v>6218</v>
      </c>
      <c r="C3820" s="82" t="s">
        <v>5830</v>
      </c>
      <c r="D3820" s="83">
        <f>SUMIFS(D3821:D6462,K3821:K6462,"0",B3821:B6462,"5 1 2 1 1 12 31111 6 M59 70500 000132 0000R 00001 00211 015 2112000*")-SUMIFS(E3821:E6462,K3821:K6462,"0",B3821:B6462,"5 1 2 1 1 12 31111 6 M59 70500 000132 0000R 00001 00211 015 2112000*")</f>
        <v>0</v>
      </c>
      <c r="E3820" s="54"/>
      <c r="F3820" s="83">
        <f>SUMIFS(F3821:F6462,K3821:K6462,"0",B3821:B6462,"5 1 2 1 1 12 31111 6 M59 70500 000132 0000R 00001 00211 015 2112000*")</f>
        <v>250</v>
      </c>
      <c r="G3820" s="83">
        <f>SUMIFS(G3821:G6462,K3821:K6462,"0",B3821:B6462,"5 1 2 1 1 12 31111 6 M59 70500 000132 0000R 00001 00211 015 2112000*")</f>
        <v>0</v>
      </c>
      <c r="H3820" s="83">
        <f t="shared" si="60"/>
        <v>250</v>
      </c>
      <c r="I3820" s="83"/>
      <c r="K3820" s="54" t="s">
        <v>15</v>
      </c>
    </row>
    <row r="3821" spans="2:11" ht="33" x14ac:dyDescent="0.2">
      <c r="B3821" s="82" t="s">
        <v>6219</v>
      </c>
      <c r="C3821" s="82" t="s">
        <v>660</v>
      </c>
      <c r="D3821" s="83">
        <f>SUMIFS(D3822:D6462,K3822:K6462,"0",B3822:B6462,"5 1 2 1 1 12 31111 6 M59 70500 000132 0000R 00001 00211 015 2112000 2024*")-SUMIFS(E3822:E6462,K3822:K6462,"0",B3822:B6462,"5 1 2 1 1 12 31111 6 M59 70500 000132 0000R 00001 00211 015 2112000 2024*")</f>
        <v>0</v>
      </c>
      <c r="E3821" s="54"/>
      <c r="F3821" s="83">
        <f>SUMIFS(F3822:F6462,K3822:K6462,"0",B3822:B6462,"5 1 2 1 1 12 31111 6 M59 70500 000132 0000R 00001 00211 015 2112000 2024*")</f>
        <v>250</v>
      </c>
      <c r="G3821" s="83">
        <f>SUMIFS(G3822:G6462,K3822:K6462,"0",B3822:B6462,"5 1 2 1 1 12 31111 6 M59 70500 000132 0000R 00001 00211 015 2112000 2024*")</f>
        <v>0</v>
      </c>
      <c r="H3821" s="83">
        <f t="shared" si="60"/>
        <v>250</v>
      </c>
      <c r="I3821" s="83"/>
      <c r="K3821" s="54" t="s">
        <v>15</v>
      </c>
    </row>
    <row r="3822" spans="2:11" ht="41.25" x14ac:dyDescent="0.2">
      <c r="B3822" s="82" t="s">
        <v>6220</v>
      </c>
      <c r="C3822" s="82" t="s">
        <v>1056</v>
      </c>
      <c r="D3822" s="83">
        <f>SUMIFS(D3823:D6462,K3823:K6462,"0",B3823:B6462,"5 1 2 1 1 12 31111 6 M59 70500 000132 0000R 00001 00211 015 2112000 2024 CP1DT395*")-SUMIFS(E3823:E6462,K3823:K6462,"0",B3823:B6462,"5 1 2 1 1 12 31111 6 M59 70500 000132 0000R 00001 00211 015 2112000 2024 CP1DT395*")</f>
        <v>0</v>
      </c>
      <c r="E3822" s="54"/>
      <c r="F3822" s="83">
        <f>SUMIFS(F3823:F6462,K3823:K6462,"0",B3823:B6462,"5 1 2 1 1 12 31111 6 M59 70500 000132 0000R 00001 00211 015 2112000 2024 CP1DT395*")</f>
        <v>250</v>
      </c>
      <c r="G3822" s="83">
        <f>SUMIFS(G3823:G6462,K3823:K6462,"0",B3823:B6462,"5 1 2 1 1 12 31111 6 M59 70500 000132 0000R 00001 00211 015 2112000 2024 CP1DT395*")</f>
        <v>0</v>
      </c>
      <c r="H3822" s="83">
        <f t="shared" si="60"/>
        <v>250</v>
      </c>
      <c r="I3822" s="83"/>
      <c r="K3822" s="54" t="s">
        <v>15</v>
      </c>
    </row>
    <row r="3823" spans="2:11" ht="41.25" x14ac:dyDescent="0.2">
      <c r="B3823" s="82" t="s">
        <v>6221</v>
      </c>
      <c r="C3823" s="82" t="s">
        <v>282</v>
      </c>
      <c r="D3823" s="83">
        <f>SUMIFS(D3824:D6462,K3824:K6462,"0",B3824:B6462,"5 1 2 1 1 12 31111 6 M59 70500 000132 0000R 00001 00211 015 2112000 2024 CP1DT395 001*")-SUMIFS(E3824:E6462,K3824:K6462,"0",B3824:B6462,"5 1 2 1 1 12 31111 6 M59 70500 000132 0000R 00001 00211 015 2112000 2024 CP1DT395 001*")</f>
        <v>0</v>
      </c>
      <c r="E3823" s="54"/>
      <c r="F3823" s="83">
        <f>SUMIFS(F3824:F6462,K3824:K6462,"0",B3824:B6462,"5 1 2 1 1 12 31111 6 M59 70500 000132 0000R 00001 00211 015 2112000 2024 CP1DT395 001*")</f>
        <v>250</v>
      </c>
      <c r="G3823" s="83">
        <f>SUMIFS(G3824:G6462,K3824:K6462,"0",B3824:B6462,"5 1 2 1 1 12 31111 6 M59 70500 000132 0000R 00001 00211 015 2112000 2024 CP1DT395 001*")</f>
        <v>0</v>
      </c>
      <c r="H3823" s="83">
        <f t="shared" si="60"/>
        <v>250</v>
      </c>
      <c r="I3823" s="83"/>
      <c r="K3823" s="54" t="s">
        <v>15</v>
      </c>
    </row>
    <row r="3824" spans="2:11" ht="33" x14ac:dyDescent="0.2">
      <c r="B3824" s="84" t="s">
        <v>6222</v>
      </c>
      <c r="C3824" s="84" t="s">
        <v>5827</v>
      </c>
      <c r="D3824" s="85">
        <v>0</v>
      </c>
      <c r="E3824" s="85"/>
      <c r="F3824" s="85">
        <v>250</v>
      </c>
      <c r="G3824" s="85">
        <v>0</v>
      </c>
      <c r="H3824" s="85">
        <f t="shared" si="60"/>
        <v>250</v>
      </c>
      <c r="I3824" s="85"/>
      <c r="K3824" s="54" t="s">
        <v>38</v>
      </c>
    </row>
    <row r="3825" spans="2:11" ht="16.5" x14ac:dyDescent="0.2">
      <c r="B3825" s="82" t="s">
        <v>6223</v>
      </c>
      <c r="C3825" s="82" t="s">
        <v>3450</v>
      </c>
      <c r="D3825" s="83">
        <f>SUMIFS(D3826:D6462,K3826:K6462,"0",B3826:B6462,"5 1 2 1 1 12 31111 6 M59 70600*")-SUMIFS(E3826:E6462,K3826:K6462,"0",B3826:B6462,"5 1 2 1 1 12 31111 6 M59 70600*")</f>
        <v>0</v>
      </c>
      <c r="E3825" s="54"/>
      <c r="F3825" s="83">
        <f>SUMIFS(F3826:F6462,K3826:K6462,"0",B3826:B6462,"5 1 2 1 1 12 31111 6 M59 70600*")</f>
        <v>250</v>
      </c>
      <c r="G3825" s="83">
        <f>SUMIFS(G3826:G6462,K3826:K6462,"0",B3826:B6462,"5 1 2 1 1 12 31111 6 M59 70600*")</f>
        <v>0</v>
      </c>
      <c r="H3825" s="83">
        <f t="shared" si="60"/>
        <v>250</v>
      </c>
      <c r="I3825" s="83"/>
      <c r="K3825" s="54" t="s">
        <v>15</v>
      </c>
    </row>
    <row r="3826" spans="2:11" ht="16.5" x14ac:dyDescent="0.2">
      <c r="B3826" s="82" t="s">
        <v>6224</v>
      </c>
      <c r="C3826" s="82" t="s">
        <v>648</v>
      </c>
      <c r="D3826" s="83">
        <f>SUMIFS(D3827:D6462,K3827:K6462,"0",B3827:B6462,"5 1 2 1 1 12 31111 6 M59 70600 000132*")-SUMIFS(E3827:E6462,K3827:K6462,"0",B3827:B6462,"5 1 2 1 1 12 31111 6 M59 70600 000132*")</f>
        <v>0</v>
      </c>
      <c r="E3826" s="54"/>
      <c r="F3826" s="83">
        <f>SUMIFS(F3827:F6462,K3827:K6462,"0",B3827:B6462,"5 1 2 1 1 12 31111 6 M59 70600 000132*")</f>
        <v>250</v>
      </c>
      <c r="G3826" s="83">
        <f>SUMIFS(G3827:G6462,K3827:K6462,"0",B3827:B6462,"5 1 2 1 1 12 31111 6 M59 70600 000132*")</f>
        <v>0</v>
      </c>
      <c r="H3826" s="83">
        <f t="shared" si="60"/>
        <v>250</v>
      </c>
      <c r="I3826" s="83"/>
      <c r="K3826" s="54" t="s">
        <v>15</v>
      </c>
    </row>
    <row r="3827" spans="2:11" ht="16.5" x14ac:dyDescent="0.2">
      <c r="B3827" s="82" t="s">
        <v>6225</v>
      </c>
      <c r="C3827" s="82" t="s">
        <v>650</v>
      </c>
      <c r="D3827" s="83">
        <f>SUMIFS(D3828:D6462,K3828:K6462,"0",B3828:B6462,"5 1 2 1 1 12 31111 6 M59 70600 000132 0000R*")-SUMIFS(E3828:E6462,K3828:K6462,"0",B3828:B6462,"5 1 2 1 1 12 31111 6 M59 70600 000132 0000R*")</f>
        <v>0</v>
      </c>
      <c r="E3827" s="54"/>
      <c r="F3827" s="83">
        <f>SUMIFS(F3828:F6462,K3828:K6462,"0",B3828:B6462,"5 1 2 1 1 12 31111 6 M59 70600 000132 0000R*")</f>
        <v>250</v>
      </c>
      <c r="G3827" s="83">
        <f>SUMIFS(G3828:G6462,K3828:K6462,"0",B3828:B6462,"5 1 2 1 1 12 31111 6 M59 70600 000132 0000R*")</f>
        <v>0</v>
      </c>
      <c r="H3827" s="83">
        <f t="shared" si="60"/>
        <v>250</v>
      </c>
      <c r="I3827" s="83"/>
      <c r="K3827" s="54" t="s">
        <v>15</v>
      </c>
    </row>
    <row r="3828" spans="2:11" ht="24.75" x14ac:dyDescent="0.2">
      <c r="B3828" s="82" t="s">
        <v>6226</v>
      </c>
      <c r="C3828" s="82" t="s">
        <v>282</v>
      </c>
      <c r="D3828" s="83">
        <f>SUMIFS(D3829:D6462,K3829:K6462,"0",B3829:B6462,"5 1 2 1 1 12 31111 6 M59 70600 000132 0000R 00001*")-SUMIFS(E3829:E6462,K3829:K6462,"0",B3829:B6462,"5 1 2 1 1 12 31111 6 M59 70600 000132 0000R 00001*")</f>
        <v>0</v>
      </c>
      <c r="E3828" s="54"/>
      <c r="F3828" s="83">
        <f>SUMIFS(F3829:F6462,K3829:K6462,"0",B3829:B6462,"5 1 2 1 1 12 31111 6 M59 70600 000132 0000R 00001*")</f>
        <v>250</v>
      </c>
      <c r="G3828" s="83">
        <f>SUMIFS(G3829:G6462,K3829:K6462,"0",B3829:B6462,"5 1 2 1 1 12 31111 6 M59 70600 000132 0000R 00001*")</f>
        <v>0</v>
      </c>
      <c r="H3828" s="83">
        <f t="shared" si="60"/>
        <v>250</v>
      </c>
      <c r="I3828" s="83"/>
      <c r="K3828" s="54" t="s">
        <v>15</v>
      </c>
    </row>
    <row r="3829" spans="2:11" ht="24.75" x14ac:dyDescent="0.2">
      <c r="B3829" s="82" t="s">
        <v>6227</v>
      </c>
      <c r="C3829" s="82" t="s">
        <v>5827</v>
      </c>
      <c r="D3829" s="83">
        <f>SUMIFS(D3830:D6462,K3830:K6462,"0",B3830:B6462,"5 1 2 1 1 12 31111 6 M59 70600 000132 0000R 00001 00211*")-SUMIFS(E3830:E6462,K3830:K6462,"0",B3830:B6462,"5 1 2 1 1 12 31111 6 M59 70600 000132 0000R 00001 00211*")</f>
        <v>0</v>
      </c>
      <c r="E3829" s="54"/>
      <c r="F3829" s="83">
        <f>SUMIFS(F3830:F6462,K3830:K6462,"0",B3830:B6462,"5 1 2 1 1 12 31111 6 M59 70600 000132 0000R 00001 00211*")</f>
        <v>250</v>
      </c>
      <c r="G3829" s="83">
        <f>SUMIFS(G3830:G6462,K3830:K6462,"0",B3830:B6462,"5 1 2 1 1 12 31111 6 M59 70600 000132 0000R 00001 00211*")</f>
        <v>0</v>
      </c>
      <c r="H3829" s="83">
        <f t="shared" si="60"/>
        <v>250</v>
      </c>
      <c r="I3829" s="83"/>
      <c r="K3829" s="54" t="s">
        <v>15</v>
      </c>
    </row>
    <row r="3830" spans="2:11" ht="24.75" x14ac:dyDescent="0.2">
      <c r="B3830" s="82" t="s">
        <v>6228</v>
      </c>
      <c r="C3830" s="82" t="s">
        <v>1051</v>
      </c>
      <c r="D3830" s="83">
        <f>SUMIFS(D3831:D6462,K3831:K6462,"0",B3831:B6462,"5 1 2 1 1 12 31111 6 M59 70600 000132 0000R 00001 00211 015*")-SUMIFS(E3831:E6462,K3831:K6462,"0",B3831:B6462,"5 1 2 1 1 12 31111 6 M59 70600 000132 0000R 00001 00211 015*")</f>
        <v>0</v>
      </c>
      <c r="E3830" s="54"/>
      <c r="F3830" s="83">
        <f>SUMIFS(F3831:F6462,K3831:K6462,"0",B3831:B6462,"5 1 2 1 1 12 31111 6 M59 70600 000132 0000R 00001 00211 015*")</f>
        <v>250</v>
      </c>
      <c r="G3830" s="83">
        <f>SUMIFS(G3831:G6462,K3831:K6462,"0",B3831:B6462,"5 1 2 1 1 12 31111 6 M59 70600 000132 0000R 00001 00211 015*")</f>
        <v>0</v>
      </c>
      <c r="H3830" s="83">
        <f t="shared" si="60"/>
        <v>250</v>
      </c>
      <c r="I3830" s="83"/>
      <c r="K3830" s="54" t="s">
        <v>15</v>
      </c>
    </row>
    <row r="3831" spans="2:11" ht="33" x14ac:dyDescent="0.2">
      <c r="B3831" s="82" t="s">
        <v>6229</v>
      </c>
      <c r="C3831" s="82" t="s">
        <v>5830</v>
      </c>
      <c r="D3831" s="83">
        <f>SUMIFS(D3832:D6462,K3832:K6462,"0",B3832:B6462,"5 1 2 1 1 12 31111 6 M59 70600 000132 0000R 00001 00211 015 2112000*")-SUMIFS(E3832:E6462,K3832:K6462,"0",B3832:B6462,"5 1 2 1 1 12 31111 6 M59 70600 000132 0000R 00001 00211 015 2112000*")</f>
        <v>0</v>
      </c>
      <c r="E3831" s="54"/>
      <c r="F3831" s="83">
        <f>SUMIFS(F3832:F6462,K3832:K6462,"0",B3832:B6462,"5 1 2 1 1 12 31111 6 M59 70600 000132 0000R 00001 00211 015 2112000*")</f>
        <v>250</v>
      </c>
      <c r="G3831" s="83">
        <f>SUMIFS(G3832:G6462,K3832:K6462,"0",B3832:B6462,"5 1 2 1 1 12 31111 6 M59 70600 000132 0000R 00001 00211 015 2112000*")</f>
        <v>0</v>
      </c>
      <c r="H3831" s="83">
        <f t="shared" si="60"/>
        <v>250</v>
      </c>
      <c r="I3831" s="83"/>
      <c r="K3831" s="54" t="s">
        <v>15</v>
      </c>
    </row>
    <row r="3832" spans="2:11" ht="33" x14ac:dyDescent="0.2">
      <c r="B3832" s="82" t="s">
        <v>6230</v>
      </c>
      <c r="C3832" s="82" t="s">
        <v>660</v>
      </c>
      <c r="D3832" s="83">
        <f>SUMIFS(D3833:D6462,K3833:K6462,"0",B3833:B6462,"5 1 2 1 1 12 31111 6 M59 70600 000132 0000R 00001 00211 015 2112000 2024*")-SUMIFS(E3833:E6462,K3833:K6462,"0",B3833:B6462,"5 1 2 1 1 12 31111 6 M59 70600 000132 0000R 00001 00211 015 2112000 2024*")</f>
        <v>0</v>
      </c>
      <c r="E3832" s="54"/>
      <c r="F3832" s="83">
        <f>SUMIFS(F3833:F6462,K3833:K6462,"0",B3833:B6462,"5 1 2 1 1 12 31111 6 M59 70600 000132 0000R 00001 00211 015 2112000 2024*")</f>
        <v>250</v>
      </c>
      <c r="G3832" s="83">
        <f>SUMIFS(G3833:G6462,K3833:K6462,"0",B3833:B6462,"5 1 2 1 1 12 31111 6 M59 70600 000132 0000R 00001 00211 015 2112000 2024*")</f>
        <v>0</v>
      </c>
      <c r="H3832" s="83">
        <f t="shared" si="60"/>
        <v>250</v>
      </c>
      <c r="I3832" s="83"/>
      <c r="K3832" s="54" t="s">
        <v>15</v>
      </c>
    </row>
    <row r="3833" spans="2:11" ht="41.25" x14ac:dyDescent="0.2">
      <c r="B3833" s="82" t="s">
        <v>6231</v>
      </c>
      <c r="C3833" s="82" t="s">
        <v>1056</v>
      </c>
      <c r="D3833" s="83">
        <f>SUMIFS(D3834:D6462,K3834:K6462,"0",B3834:B6462,"5 1 2 1 1 12 31111 6 M59 70600 000132 0000R 00001 00211 015 2112000 2024 CP1DJ409*")-SUMIFS(E3834:E6462,K3834:K6462,"0",B3834:B6462,"5 1 2 1 1 12 31111 6 M59 70600 000132 0000R 00001 00211 015 2112000 2024 CP1DJ409*")</f>
        <v>0</v>
      </c>
      <c r="E3833" s="54"/>
      <c r="F3833" s="83">
        <f>SUMIFS(F3834:F6462,K3834:K6462,"0",B3834:B6462,"5 1 2 1 1 12 31111 6 M59 70600 000132 0000R 00001 00211 015 2112000 2024 CP1DJ409*")</f>
        <v>250</v>
      </c>
      <c r="G3833" s="83">
        <f>SUMIFS(G3834:G6462,K3834:K6462,"0",B3834:B6462,"5 1 2 1 1 12 31111 6 M59 70600 000132 0000R 00001 00211 015 2112000 2024 CP1DJ409*")</f>
        <v>0</v>
      </c>
      <c r="H3833" s="83">
        <f t="shared" si="60"/>
        <v>250</v>
      </c>
      <c r="I3833" s="83"/>
      <c r="K3833" s="54" t="s">
        <v>15</v>
      </c>
    </row>
    <row r="3834" spans="2:11" ht="41.25" x14ac:dyDescent="0.2">
      <c r="B3834" s="82" t="s">
        <v>6232</v>
      </c>
      <c r="C3834" s="82" t="s">
        <v>282</v>
      </c>
      <c r="D3834" s="83">
        <f>SUMIFS(D3835:D6462,K3835:K6462,"0",B3835:B6462,"5 1 2 1 1 12 31111 6 M59 70600 000132 0000R 00001 00211 015 2112000 2024 CP1DJ409 001*")-SUMIFS(E3835:E6462,K3835:K6462,"0",B3835:B6462,"5 1 2 1 1 12 31111 6 M59 70600 000132 0000R 00001 00211 015 2112000 2024 CP1DJ409 001*")</f>
        <v>0</v>
      </c>
      <c r="E3834" s="54"/>
      <c r="F3834" s="83">
        <f>SUMIFS(F3835:F6462,K3835:K6462,"0",B3835:B6462,"5 1 2 1 1 12 31111 6 M59 70600 000132 0000R 00001 00211 015 2112000 2024 CP1DJ409 001*")</f>
        <v>250</v>
      </c>
      <c r="G3834" s="83">
        <f>SUMIFS(G3835:G6462,K3835:K6462,"0",B3835:B6462,"5 1 2 1 1 12 31111 6 M59 70600 000132 0000R 00001 00211 015 2112000 2024 CP1DJ409 001*")</f>
        <v>0</v>
      </c>
      <c r="H3834" s="83">
        <f t="shared" si="60"/>
        <v>250</v>
      </c>
      <c r="I3834" s="83"/>
      <c r="K3834" s="54" t="s">
        <v>15</v>
      </c>
    </row>
    <row r="3835" spans="2:11" ht="33" x14ac:dyDescent="0.2">
      <c r="B3835" s="84" t="s">
        <v>6233</v>
      </c>
      <c r="C3835" s="84" t="s">
        <v>5827</v>
      </c>
      <c r="D3835" s="85">
        <v>0</v>
      </c>
      <c r="E3835" s="85"/>
      <c r="F3835" s="85">
        <v>250</v>
      </c>
      <c r="G3835" s="85">
        <v>0</v>
      </c>
      <c r="H3835" s="85">
        <f t="shared" si="60"/>
        <v>250</v>
      </c>
      <c r="I3835" s="85"/>
      <c r="K3835" s="54" t="s">
        <v>38</v>
      </c>
    </row>
    <row r="3836" spans="2:11" ht="16.5" x14ac:dyDescent="0.2">
      <c r="B3836" s="82" t="s">
        <v>6234</v>
      </c>
      <c r="C3836" s="82" t="s">
        <v>3462</v>
      </c>
      <c r="D3836" s="83">
        <f>SUMIFS(D3837:D6462,K3837:K6462,"0",B3837:B6462,"5 1 2 1 1 12 31111 6 M59 70700*")-SUMIFS(E3837:E6462,K3837:K6462,"0",B3837:B6462,"5 1 2 1 1 12 31111 6 M59 70700*")</f>
        <v>0</v>
      </c>
      <c r="E3836" s="54"/>
      <c r="F3836" s="83">
        <f>SUMIFS(F3837:F6462,K3837:K6462,"0",B3837:B6462,"5 1 2 1 1 12 31111 6 M59 70700*")</f>
        <v>250</v>
      </c>
      <c r="G3836" s="83">
        <f>SUMIFS(G3837:G6462,K3837:K6462,"0",B3837:B6462,"5 1 2 1 1 12 31111 6 M59 70700*")</f>
        <v>0</v>
      </c>
      <c r="H3836" s="83">
        <f t="shared" si="60"/>
        <v>250</v>
      </c>
      <c r="I3836" s="83"/>
      <c r="K3836" s="54" t="s">
        <v>15</v>
      </c>
    </row>
    <row r="3837" spans="2:11" ht="16.5" x14ac:dyDescent="0.2">
      <c r="B3837" s="82" t="s">
        <v>6235</v>
      </c>
      <c r="C3837" s="82" t="s">
        <v>648</v>
      </c>
      <c r="D3837" s="83">
        <f>SUMIFS(D3838:D6462,K3838:K6462,"0",B3838:B6462,"5 1 2 1 1 12 31111 6 M59 70700 000132*")-SUMIFS(E3838:E6462,K3838:K6462,"0",B3838:B6462,"5 1 2 1 1 12 31111 6 M59 70700 000132*")</f>
        <v>0</v>
      </c>
      <c r="E3837" s="54"/>
      <c r="F3837" s="83">
        <f>SUMIFS(F3838:F6462,K3838:K6462,"0",B3838:B6462,"5 1 2 1 1 12 31111 6 M59 70700 000132*")</f>
        <v>250</v>
      </c>
      <c r="G3837" s="83">
        <f>SUMIFS(G3838:G6462,K3838:K6462,"0",B3838:B6462,"5 1 2 1 1 12 31111 6 M59 70700 000132*")</f>
        <v>0</v>
      </c>
      <c r="H3837" s="83">
        <f t="shared" si="60"/>
        <v>250</v>
      </c>
      <c r="I3837" s="83"/>
      <c r="K3837" s="54" t="s">
        <v>15</v>
      </c>
    </row>
    <row r="3838" spans="2:11" ht="16.5" x14ac:dyDescent="0.2">
      <c r="B3838" s="82" t="s">
        <v>6236</v>
      </c>
      <c r="C3838" s="82" t="s">
        <v>650</v>
      </c>
      <c r="D3838" s="83">
        <f>SUMIFS(D3839:D6462,K3839:K6462,"0",B3839:B6462,"5 1 2 1 1 12 31111 6 M59 70700 000132 0000R*")-SUMIFS(E3839:E6462,K3839:K6462,"0",B3839:B6462,"5 1 2 1 1 12 31111 6 M59 70700 000132 0000R*")</f>
        <v>0</v>
      </c>
      <c r="E3838" s="54"/>
      <c r="F3838" s="83">
        <f>SUMIFS(F3839:F6462,K3839:K6462,"0",B3839:B6462,"5 1 2 1 1 12 31111 6 M59 70700 000132 0000R*")</f>
        <v>250</v>
      </c>
      <c r="G3838" s="83">
        <f>SUMIFS(G3839:G6462,K3839:K6462,"0",B3839:B6462,"5 1 2 1 1 12 31111 6 M59 70700 000132 0000R*")</f>
        <v>0</v>
      </c>
      <c r="H3838" s="83">
        <f t="shared" si="60"/>
        <v>250</v>
      </c>
      <c r="I3838" s="83"/>
      <c r="K3838" s="54" t="s">
        <v>15</v>
      </c>
    </row>
    <row r="3839" spans="2:11" ht="24.75" x14ac:dyDescent="0.2">
      <c r="B3839" s="82" t="s">
        <v>6237</v>
      </c>
      <c r="C3839" s="82" t="s">
        <v>282</v>
      </c>
      <c r="D3839" s="83">
        <f>SUMIFS(D3840:D6462,K3840:K6462,"0",B3840:B6462,"5 1 2 1 1 12 31111 6 M59 70700 000132 0000R 00001*")-SUMIFS(E3840:E6462,K3840:K6462,"0",B3840:B6462,"5 1 2 1 1 12 31111 6 M59 70700 000132 0000R 00001*")</f>
        <v>0</v>
      </c>
      <c r="E3839" s="54"/>
      <c r="F3839" s="83">
        <f>SUMIFS(F3840:F6462,K3840:K6462,"0",B3840:B6462,"5 1 2 1 1 12 31111 6 M59 70700 000132 0000R 00001*")</f>
        <v>250</v>
      </c>
      <c r="G3839" s="83">
        <f>SUMIFS(G3840:G6462,K3840:K6462,"0",B3840:B6462,"5 1 2 1 1 12 31111 6 M59 70700 000132 0000R 00001*")</f>
        <v>0</v>
      </c>
      <c r="H3839" s="83">
        <f t="shared" si="60"/>
        <v>250</v>
      </c>
      <c r="I3839" s="83"/>
      <c r="K3839" s="54" t="s">
        <v>15</v>
      </c>
    </row>
    <row r="3840" spans="2:11" ht="24.75" x14ac:dyDescent="0.2">
      <c r="B3840" s="82" t="s">
        <v>6238</v>
      </c>
      <c r="C3840" s="82" t="s">
        <v>5827</v>
      </c>
      <c r="D3840" s="83">
        <f>SUMIFS(D3841:D6462,K3841:K6462,"0",B3841:B6462,"5 1 2 1 1 12 31111 6 M59 70700 000132 0000R 00001 00211*")-SUMIFS(E3841:E6462,K3841:K6462,"0",B3841:B6462,"5 1 2 1 1 12 31111 6 M59 70700 000132 0000R 00001 00211*")</f>
        <v>0</v>
      </c>
      <c r="E3840" s="54"/>
      <c r="F3840" s="83">
        <f>SUMIFS(F3841:F6462,K3841:K6462,"0",B3841:B6462,"5 1 2 1 1 12 31111 6 M59 70700 000132 0000R 00001 00211*")</f>
        <v>250</v>
      </c>
      <c r="G3840" s="83">
        <f>SUMIFS(G3841:G6462,K3841:K6462,"0",B3841:B6462,"5 1 2 1 1 12 31111 6 M59 70700 000132 0000R 00001 00211*")</f>
        <v>0</v>
      </c>
      <c r="H3840" s="83">
        <f t="shared" si="60"/>
        <v>250</v>
      </c>
      <c r="I3840" s="83"/>
      <c r="K3840" s="54" t="s">
        <v>15</v>
      </c>
    </row>
    <row r="3841" spans="2:11" ht="24.75" x14ac:dyDescent="0.2">
      <c r="B3841" s="82" t="s">
        <v>6239</v>
      </c>
      <c r="C3841" s="82" t="s">
        <v>1051</v>
      </c>
      <c r="D3841" s="83">
        <f>SUMIFS(D3842:D6462,K3842:K6462,"0",B3842:B6462,"5 1 2 1 1 12 31111 6 M59 70700 000132 0000R 00001 00211 015*")-SUMIFS(E3842:E6462,K3842:K6462,"0",B3842:B6462,"5 1 2 1 1 12 31111 6 M59 70700 000132 0000R 00001 00211 015*")</f>
        <v>0</v>
      </c>
      <c r="E3841" s="54"/>
      <c r="F3841" s="83">
        <f>SUMIFS(F3842:F6462,K3842:K6462,"0",B3842:B6462,"5 1 2 1 1 12 31111 6 M59 70700 000132 0000R 00001 00211 015*")</f>
        <v>250</v>
      </c>
      <c r="G3841" s="83">
        <f>SUMIFS(G3842:G6462,K3842:K6462,"0",B3842:B6462,"5 1 2 1 1 12 31111 6 M59 70700 000132 0000R 00001 00211 015*")</f>
        <v>0</v>
      </c>
      <c r="H3841" s="83">
        <f t="shared" si="60"/>
        <v>250</v>
      </c>
      <c r="I3841" s="83"/>
      <c r="K3841" s="54" t="s">
        <v>15</v>
      </c>
    </row>
    <row r="3842" spans="2:11" ht="33" x14ac:dyDescent="0.2">
      <c r="B3842" s="82" t="s">
        <v>6240</v>
      </c>
      <c r="C3842" s="82" t="s">
        <v>5830</v>
      </c>
      <c r="D3842" s="83">
        <f>SUMIFS(D3843:D6462,K3843:K6462,"0",B3843:B6462,"5 1 2 1 1 12 31111 6 M59 70700 000132 0000R 00001 00211 015 2112000*")-SUMIFS(E3843:E6462,K3843:K6462,"0",B3843:B6462,"5 1 2 1 1 12 31111 6 M59 70700 000132 0000R 00001 00211 015 2112000*")</f>
        <v>0</v>
      </c>
      <c r="E3842" s="54"/>
      <c r="F3842" s="83">
        <f>SUMIFS(F3843:F6462,K3843:K6462,"0",B3843:B6462,"5 1 2 1 1 12 31111 6 M59 70700 000132 0000R 00001 00211 015 2112000*")</f>
        <v>250</v>
      </c>
      <c r="G3842" s="83">
        <f>SUMIFS(G3843:G6462,K3843:K6462,"0",B3843:B6462,"5 1 2 1 1 12 31111 6 M59 70700 000132 0000R 00001 00211 015 2112000*")</f>
        <v>0</v>
      </c>
      <c r="H3842" s="83">
        <f t="shared" si="60"/>
        <v>250</v>
      </c>
      <c r="I3842" s="83"/>
      <c r="K3842" s="54" t="s">
        <v>15</v>
      </c>
    </row>
    <row r="3843" spans="2:11" ht="33" x14ac:dyDescent="0.2">
      <c r="B3843" s="82" t="s">
        <v>6241</v>
      </c>
      <c r="C3843" s="82" t="s">
        <v>660</v>
      </c>
      <c r="D3843" s="83">
        <f>SUMIFS(D3844:D6462,K3844:K6462,"0",B3844:B6462,"5 1 2 1 1 12 31111 6 M59 70700 000132 0000R 00001 00211 015 2112000 2024*")-SUMIFS(E3844:E6462,K3844:K6462,"0",B3844:B6462,"5 1 2 1 1 12 31111 6 M59 70700 000132 0000R 00001 00211 015 2112000 2024*")</f>
        <v>0</v>
      </c>
      <c r="E3843" s="54"/>
      <c r="F3843" s="83">
        <f>SUMIFS(F3844:F6462,K3844:K6462,"0",B3844:B6462,"5 1 2 1 1 12 31111 6 M59 70700 000132 0000R 00001 00211 015 2112000 2024*")</f>
        <v>250</v>
      </c>
      <c r="G3843" s="83">
        <f>SUMIFS(G3844:G6462,K3844:K6462,"0",B3844:B6462,"5 1 2 1 1 12 31111 6 M59 70700 000132 0000R 00001 00211 015 2112000 2024*")</f>
        <v>0</v>
      </c>
      <c r="H3843" s="83">
        <f t="shared" si="60"/>
        <v>250</v>
      </c>
      <c r="I3843" s="83"/>
      <c r="K3843" s="54" t="s">
        <v>15</v>
      </c>
    </row>
    <row r="3844" spans="2:11" ht="41.25" x14ac:dyDescent="0.2">
      <c r="B3844" s="82" t="s">
        <v>6242</v>
      </c>
      <c r="C3844" s="82" t="s">
        <v>1056</v>
      </c>
      <c r="D3844" s="83">
        <f>SUMIFS(D3845:D6462,K3845:K6462,"0",B3845:B6462,"5 1 2 1 1 12 31111 6 M59 70700 000132 0000R 00001 00211 015 2112000 2024 CP1SA397*")-SUMIFS(E3845:E6462,K3845:K6462,"0",B3845:B6462,"5 1 2 1 1 12 31111 6 M59 70700 000132 0000R 00001 00211 015 2112000 2024 CP1SA397*")</f>
        <v>0</v>
      </c>
      <c r="E3844" s="54"/>
      <c r="F3844" s="83">
        <f>SUMIFS(F3845:F6462,K3845:K6462,"0",B3845:B6462,"5 1 2 1 1 12 31111 6 M59 70700 000132 0000R 00001 00211 015 2112000 2024 CP1SA397*")</f>
        <v>250</v>
      </c>
      <c r="G3844" s="83">
        <f>SUMIFS(G3845:G6462,K3845:K6462,"0",B3845:B6462,"5 1 2 1 1 12 31111 6 M59 70700 000132 0000R 00001 00211 015 2112000 2024 CP1SA397*")</f>
        <v>0</v>
      </c>
      <c r="H3844" s="83">
        <f t="shared" si="60"/>
        <v>250</v>
      </c>
      <c r="I3844" s="83"/>
      <c r="K3844" s="54" t="s">
        <v>15</v>
      </c>
    </row>
    <row r="3845" spans="2:11" ht="41.25" x14ac:dyDescent="0.2">
      <c r="B3845" s="82" t="s">
        <v>6243</v>
      </c>
      <c r="C3845" s="82" t="s">
        <v>282</v>
      </c>
      <c r="D3845" s="83">
        <f>SUMIFS(D3846:D6462,K3846:K6462,"0",B3846:B6462,"5 1 2 1 1 12 31111 6 M59 70700 000132 0000R 00001 00211 015 2112000 2024 CP1SA397 001*")-SUMIFS(E3846:E6462,K3846:K6462,"0",B3846:B6462,"5 1 2 1 1 12 31111 6 M59 70700 000132 0000R 00001 00211 015 2112000 2024 CP1SA397 001*")</f>
        <v>0</v>
      </c>
      <c r="E3845" s="54"/>
      <c r="F3845" s="83">
        <f>SUMIFS(F3846:F6462,K3846:K6462,"0",B3846:B6462,"5 1 2 1 1 12 31111 6 M59 70700 000132 0000R 00001 00211 015 2112000 2024 CP1SA397 001*")</f>
        <v>250</v>
      </c>
      <c r="G3845" s="83">
        <f>SUMIFS(G3846:G6462,K3846:K6462,"0",B3846:B6462,"5 1 2 1 1 12 31111 6 M59 70700 000132 0000R 00001 00211 015 2112000 2024 CP1SA397 001*")</f>
        <v>0</v>
      </c>
      <c r="H3845" s="83">
        <f t="shared" si="60"/>
        <v>250</v>
      </c>
      <c r="I3845" s="83"/>
      <c r="K3845" s="54" t="s">
        <v>15</v>
      </c>
    </row>
    <row r="3846" spans="2:11" ht="33" x14ac:dyDescent="0.2">
      <c r="B3846" s="84" t="s">
        <v>6244</v>
      </c>
      <c r="C3846" s="84" t="s">
        <v>5827</v>
      </c>
      <c r="D3846" s="85">
        <v>0</v>
      </c>
      <c r="E3846" s="85"/>
      <c r="F3846" s="85">
        <v>250</v>
      </c>
      <c r="G3846" s="85">
        <v>0</v>
      </c>
      <c r="H3846" s="85">
        <f t="shared" si="60"/>
        <v>250</v>
      </c>
      <c r="I3846" s="85"/>
      <c r="K3846" s="54" t="s">
        <v>38</v>
      </c>
    </row>
    <row r="3847" spans="2:11" ht="16.5" x14ac:dyDescent="0.2">
      <c r="B3847" s="82" t="s">
        <v>6245</v>
      </c>
      <c r="C3847" s="82" t="s">
        <v>3474</v>
      </c>
      <c r="D3847" s="83">
        <f>SUMIFS(D3848:D6462,K3848:K6462,"0",B3848:B6462,"5 1 2 1 1 12 31111 6 M59 70800*")-SUMIFS(E3848:E6462,K3848:K6462,"0",B3848:B6462,"5 1 2 1 1 12 31111 6 M59 70800*")</f>
        <v>0</v>
      </c>
      <c r="E3847" s="54"/>
      <c r="F3847" s="83">
        <f>SUMIFS(F3848:F6462,K3848:K6462,"0",B3848:B6462,"5 1 2 1 1 12 31111 6 M59 70800*")</f>
        <v>250</v>
      </c>
      <c r="G3847" s="83">
        <f>SUMIFS(G3848:G6462,K3848:K6462,"0",B3848:B6462,"5 1 2 1 1 12 31111 6 M59 70800*")</f>
        <v>0</v>
      </c>
      <c r="H3847" s="83">
        <f t="shared" si="60"/>
        <v>250</v>
      </c>
      <c r="I3847" s="83"/>
      <c r="K3847" s="54" t="s">
        <v>15</v>
      </c>
    </row>
    <row r="3848" spans="2:11" ht="16.5" x14ac:dyDescent="0.2">
      <c r="B3848" s="82" t="s">
        <v>6246</v>
      </c>
      <c r="C3848" s="82" t="s">
        <v>648</v>
      </c>
      <c r="D3848" s="83">
        <f>SUMIFS(D3849:D6462,K3849:K6462,"0",B3849:B6462,"5 1 2 1 1 12 31111 6 M59 70800 000132*")-SUMIFS(E3849:E6462,K3849:K6462,"0",B3849:B6462,"5 1 2 1 1 12 31111 6 M59 70800 000132*")</f>
        <v>0</v>
      </c>
      <c r="E3848" s="54"/>
      <c r="F3848" s="83">
        <f>SUMIFS(F3849:F6462,K3849:K6462,"0",B3849:B6462,"5 1 2 1 1 12 31111 6 M59 70800 000132*")</f>
        <v>250</v>
      </c>
      <c r="G3848" s="83">
        <f>SUMIFS(G3849:G6462,K3849:K6462,"0",B3849:B6462,"5 1 2 1 1 12 31111 6 M59 70800 000132*")</f>
        <v>0</v>
      </c>
      <c r="H3848" s="83">
        <f t="shared" si="60"/>
        <v>250</v>
      </c>
      <c r="I3848" s="83"/>
      <c r="K3848" s="54" t="s">
        <v>15</v>
      </c>
    </row>
    <row r="3849" spans="2:11" ht="16.5" x14ac:dyDescent="0.2">
      <c r="B3849" s="82" t="s">
        <v>6247</v>
      </c>
      <c r="C3849" s="82" t="s">
        <v>650</v>
      </c>
      <c r="D3849" s="83">
        <f>SUMIFS(D3850:D6462,K3850:K6462,"0",B3850:B6462,"5 1 2 1 1 12 31111 6 M59 70800 000132 0000R*")-SUMIFS(E3850:E6462,K3850:K6462,"0",B3850:B6462,"5 1 2 1 1 12 31111 6 M59 70800 000132 0000R*")</f>
        <v>0</v>
      </c>
      <c r="E3849" s="54"/>
      <c r="F3849" s="83">
        <f>SUMIFS(F3850:F6462,K3850:K6462,"0",B3850:B6462,"5 1 2 1 1 12 31111 6 M59 70800 000132 0000R*")</f>
        <v>250</v>
      </c>
      <c r="G3849" s="83">
        <f>SUMIFS(G3850:G6462,K3850:K6462,"0",B3850:B6462,"5 1 2 1 1 12 31111 6 M59 70800 000132 0000R*")</f>
        <v>0</v>
      </c>
      <c r="H3849" s="83">
        <f t="shared" si="60"/>
        <v>250</v>
      </c>
      <c r="I3849" s="83"/>
      <c r="K3849" s="54" t="s">
        <v>15</v>
      </c>
    </row>
    <row r="3850" spans="2:11" ht="24.75" x14ac:dyDescent="0.2">
      <c r="B3850" s="82" t="s">
        <v>6248</v>
      </c>
      <c r="C3850" s="82" t="s">
        <v>282</v>
      </c>
      <c r="D3850" s="83">
        <f>SUMIFS(D3851:D6462,K3851:K6462,"0",B3851:B6462,"5 1 2 1 1 12 31111 6 M59 70800 000132 0000R 00001*")-SUMIFS(E3851:E6462,K3851:K6462,"0",B3851:B6462,"5 1 2 1 1 12 31111 6 M59 70800 000132 0000R 00001*")</f>
        <v>0</v>
      </c>
      <c r="E3850" s="54"/>
      <c r="F3850" s="83">
        <f>SUMIFS(F3851:F6462,K3851:K6462,"0",B3851:B6462,"5 1 2 1 1 12 31111 6 M59 70800 000132 0000R 00001*")</f>
        <v>250</v>
      </c>
      <c r="G3850" s="83">
        <f>SUMIFS(G3851:G6462,K3851:K6462,"0",B3851:B6462,"5 1 2 1 1 12 31111 6 M59 70800 000132 0000R 00001*")</f>
        <v>0</v>
      </c>
      <c r="H3850" s="83">
        <f t="shared" si="60"/>
        <v>250</v>
      </c>
      <c r="I3850" s="83"/>
      <c r="K3850" s="54" t="s">
        <v>15</v>
      </c>
    </row>
    <row r="3851" spans="2:11" ht="24.75" x14ac:dyDescent="0.2">
      <c r="B3851" s="82" t="s">
        <v>6249</v>
      </c>
      <c r="C3851" s="82" t="s">
        <v>5827</v>
      </c>
      <c r="D3851" s="83">
        <f>SUMIFS(D3852:D6462,K3852:K6462,"0",B3852:B6462,"5 1 2 1 1 12 31111 6 M59 70800 000132 0000R 00001 00211*")-SUMIFS(E3852:E6462,K3852:K6462,"0",B3852:B6462,"5 1 2 1 1 12 31111 6 M59 70800 000132 0000R 00001 00211*")</f>
        <v>0</v>
      </c>
      <c r="E3851" s="54"/>
      <c r="F3851" s="83">
        <f>SUMIFS(F3852:F6462,K3852:K6462,"0",B3852:B6462,"5 1 2 1 1 12 31111 6 M59 70800 000132 0000R 00001 00211*")</f>
        <v>250</v>
      </c>
      <c r="G3851" s="83">
        <f>SUMIFS(G3852:G6462,K3852:K6462,"0",B3852:B6462,"5 1 2 1 1 12 31111 6 M59 70800 000132 0000R 00001 00211*")</f>
        <v>0</v>
      </c>
      <c r="H3851" s="83">
        <f t="shared" si="60"/>
        <v>250</v>
      </c>
      <c r="I3851" s="83"/>
      <c r="K3851" s="54" t="s">
        <v>15</v>
      </c>
    </row>
    <row r="3852" spans="2:11" ht="24.75" x14ac:dyDescent="0.2">
      <c r="B3852" s="82" t="s">
        <v>6250</v>
      </c>
      <c r="C3852" s="82" t="s">
        <v>1051</v>
      </c>
      <c r="D3852" s="83">
        <f>SUMIFS(D3853:D6462,K3853:K6462,"0",B3853:B6462,"5 1 2 1 1 12 31111 6 M59 70800 000132 0000R 00001 00211 015*")-SUMIFS(E3853:E6462,K3853:K6462,"0",B3853:B6462,"5 1 2 1 1 12 31111 6 M59 70800 000132 0000R 00001 00211 015*")</f>
        <v>0</v>
      </c>
      <c r="E3852" s="54"/>
      <c r="F3852" s="83">
        <f>SUMIFS(F3853:F6462,K3853:K6462,"0",B3853:B6462,"5 1 2 1 1 12 31111 6 M59 70800 000132 0000R 00001 00211 015*")</f>
        <v>250</v>
      </c>
      <c r="G3852" s="83">
        <f>SUMIFS(G3853:G6462,K3853:K6462,"0",B3853:B6462,"5 1 2 1 1 12 31111 6 M59 70800 000132 0000R 00001 00211 015*")</f>
        <v>0</v>
      </c>
      <c r="H3852" s="83">
        <f t="shared" si="60"/>
        <v>250</v>
      </c>
      <c r="I3852" s="83"/>
      <c r="K3852" s="54" t="s">
        <v>15</v>
      </c>
    </row>
    <row r="3853" spans="2:11" ht="33" x14ac:dyDescent="0.2">
      <c r="B3853" s="82" t="s">
        <v>6251</v>
      </c>
      <c r="C3853" s="82" t="s">
        <v>5830</v>
      </c>
      <c r="D3853" s="83">
        <f>SUMIFS(D3854:D6462,K3854:K6462,"0",B3854:B6462,"5 1 2 1 1 12 31111 6 M59 70800 000132 0000R 00001 00211 015 2112000*")-SUMIFS(E3854:E6462,K3854:K6462,"0",B3854:B6462,"5 1 2 1 1 12 31111 6 M59 70800 000132 0000R 00001 00211 015 2112000*")</f>
        <v>0</v>
      </c>
      <c r="E3853" s="54"/>
      <c r="F3853" s="83">
        <f>SUMIFS(F3854:F6462,K3854:K6462,"0",B3854:B6462,"5 1 2 1 1 12 31111 6 M59 70800 000132 0000R 00001 00211 015 2112000*")</f>
        <v>250</v>
      </c>
      <c r="G3853" s="83">
        <f>SUMIFS(G3854:G6462,K3854:K6462,"0",B3854:B6462,"5 1 2 1 1 12 31111 6 M59 70800 000132 0000R 00001 00211 015 2112000*")</f>
        <v>0</v>
      </c>
      <c r="H3853" s="83">
        <f t="shared" si="60"/>
        <v>250</v>
      </c>
      <c r="I3853" s="83"/>
      <c r="K3853" s="54" t="s">
        <v>15</v>
      </c>
    </row>
    <row r="3854" spans="2:11" ht="33" x14ac:dyDescent="0.2">
      <c r="B3854" s="82" t="s">
        <v>6252</v>
      </c>
      <c r="C3854" s="82" t="s">
        <v>660</v>
      </c>
      <c r="D3854" s="83">
        <f>SUMIFS(D3855:D6462,K3855:K6462,"0",B3855:B6462,"5 1 2 1 1 12 31111 6 M59 70800 000132 0000R 00001 00211 015 2112000 2024*")-SUMIFS(E3855:E6462,K3855:K6462,"0",B3855:B6462,"5 1 2 1 1 12 31111 6 M59 70800 000132 0000R 00001 00211 015 2112000 2024*")</f>
        <v>0</v>
      </c>
      <c r="E3854" s="54"/>
      <c r="F3854" s="83">
        <f>SUMIFS(F3855:F6462,K3855:K6462,"0",B3855:B6462,"5 1 2 1 1 12 31111 6 M59 70800 000132 0000R 00001 00211 015 2112000 2024*")</f>
        <v>250</v>
      </c>
      <c r="G3854" s="83">
        <f>SUMIFS(G3855:G6462,K3855:K6462,"0",B3855:B6462,"5 1 2 1 1 12 31111 6 M59 70800 000132 0000R 00001 00211 015 2112000 2024*")</f>
        <v>0</v>
      </c>
      <c r="H3854" s="83">
        <f t="shared" si="60"/>
        <v>250</v>
      </c>
      <c r="I3854" s="83"/>
      <c r="K3854" s="54" t="s">
        <v>15</v>
      </c>
    </row>
    <row r="3855" spans="2:11" ht="41.25" x14ac:dyDescent="0.2">
      <c r="B3855" s="82" t="s">
        <v>6253</v>
      </c>
      <c r="C3855" s="82" t="s">
        <v>662</v>
      </c>
      <c r="D3855" s="83">
        <f>SUMIFS(D3856:D6462,K3856:K6462,"0",B3856:B6462,"5 1 2 1 1 12 31111 6 M59 70800 000132 0000R 00001 00211 015 2112000 2024 CP1ED416*")-SUMIFS(E3856:E6462,K3856:K6462,"0",B3856:B6462,"5 1 2 1 1 12 31111 6 M59 70800 000132 0000R 00001 00211 015 2112000 2024 CP1ED416*")</f>
        <v>0</v>
      </c>
      <c r="E3855" s="54"/>
      <c r="F3855" s="83">
        <f>SUMIFS(F3856:F6462,K3856:K6462,"0",B3856:B6462,"5 1 2 1 1 12 31111 6 M59 70800 000132 0000R 00001 00211 015 2112000 2024 CP1ED416*")</f>
        <v>250</v>
      </c>
      <c r="G3855" s="83">
        <f>SUMIFS(G3856:G6462,K3856:K6462,"0",B3856:B6462,"5 1 2 1 1 12 31111 6 M59 70800 000132 0000R 00001 00211 015 2112000 2024 CP1ED416*")</f>
        <v>0</v>
      </c>
      <c r="H3855" s="83">
        <f t="shared" si="60"/>
        <v>250</v>
      </c>
      <c r="I3855" s="83"/>
      <c r="K3855" s="54" t="s">
        <v>15</v>
      </c>
    </row>
    <row r="3856" spans="2:11" ht="41.25" x14ac:dyDescent="0.2">
      <c r="B3856" s="82" t="s">
        <v>6254</v>
      </c>
      <c r="C3856" s="82" t="s">
        <v>282</v>
      </c>
      <c r="D3856" s="83">
        <f>SUMIFS(D3857:D6462,K3857:K6462,"0",B3857:B6462,"5 1 2 1 1 12 31111 6 M59 70800 000132 0000R 00001 00211 015 2112000 2024 CP1ED416 001*")-SUMIFS(E3857:E6462,K3857:K6462,"0",B3857:B6462,"5 1 2 1 1 12 31111 6 M59 70800 000132 0000R 00001 00211 015 2112000 2024 CP1ED416 001*")</f>
        <v>0</v>
      </c>
      <c r="E3856" s="54"/>
      <c r="F3856" s="83">
        <f>SUMIFS(F3857:F6462,K3857:K6462,"0",B3857:B6462,"5 1 2 1 1 12 31111 6 M59 70800 000132 0000R 00001 00211 015 2112000 2024 CP1ED416 001*")</f>
        <v>250</v>
      </c>
      <c r="G3856" s="83">
        <f>SUMIFS(G3857:G6462,K3857:K6462,"0",B3857:B6462,"5 1 2 1 1 12 31111 6 M59 70800 000132 0000R 00001 00211 015 2112000 2024 CP1ED416 001*")</f>
        <v>0</v>
      </c>
      <c r="H3856" s="83">
        <f t="shared" si="60"/>
        <v>250</v>
      </c>
      <c r="I3856" s="83"/>
      <c r="K3856" s="54" t="s">
        <v>15</v>
      </c>
    </row>
    <row r="3857" spans="2:11" ht="33" x14ac:dyDescent="0.2">
      <c r="B3857" s="84" t="s">
        <v>6255</v>
      </c>
      <c r="C3857" s="84" t="s">
        <v>5827</v>
      </c>
      <c r="D3857" s="85">
        <v>0</v>
      </c>
      <c r="E3857" s="85"/>
      <c r="F3857" s="85">
        <v>250</v>
      </c>
      <c r="G3857" s="85">
        <v>0</v>
      </c>
      <c r="H3857" s="85">
        <f t="shared" si="60"/>
        <v>250</v>
      </c>
      <c r="I3857" s="85"/>
      <c r="K3857" s="54" t="s">
        <v>38</v>
      </c>
    </row>
    <row r="3858" spans="2:11" ht="16.5" x14ac:dyDescent="0.2">
      <c r="B3858" s="82" t="s">
        <v>6256</v>
      </c>
      <c r="C3858" s="82" t="s">
        <v>3486</v>
      </c>
      <c r="D3858" s="83">
        <f>SUMIFS(D3859:D6462,K3859:K6462,"0",B3859:B6462,"5 1 2 1 1 12 31111 6 M59 70900*")-SUMIFS(E3859:E6462,K3859:K6462,"0",B3859:B6462,"5 1 2 1 1 12 31111 6 M59 70900*")</f>
        <v>0</v>
      </c>
      <c r="E3858" s="54"/>
      <c r="F3858" s="83">
        <f>SUMIFS(F3859:F6462,K3859:K6462,"0",B3859:B6462,"5 1 2 1 1 12 31111 6 M59 70900*")</f>
        <v>250</v>
      </c>
      <c r="G3858" s="83">
        <f>SUMIFS(G3859:G6462,K3859:K6462,"0",B3859:B6462,"5 1 2 1 1 12 31111 6 M59 70900*")</f>
        <v>0</v>
      </c>
      <c r="H3858" s="83">
        <f t="shared" si="60"/>
        <v>250</v>
      </c>
      <c r="I3858" s="83"/>
      <c r="K3858" s="54" t="s">
        <v>15</v>
      </c>
    </row>
    <row r="3859" spans="2:11" ht="24.75" x14ac:dyDescent="0.2">
      <c r="B3859" s="82" t="s">
        <v>6257</v>
      </c>
      <c r="C3859" s="82" t="s">
        <v>3152</v>
      </c>
      <c r="D3859" s="83">
        <f>SUMIFS(D3860:D6462,K3860:K6462,"0",B3860:B6462,"5 1 2 1 1 12 31111 6 M59 70900 000181*")-SUMIFS(E3860:E6462,K3860:K6462,"0",B3860:B6462,"5 1 2 1 1 12 31111 6 M59 70900 000181*")</f>
        <v>0</v>
      </c>
      <c r="E3859" s="54"/>
      <c r="F3859" s="83">
        <f>SUMIFS(F3860:F6462,K3860:K6462,"0",B3860:B6462,"5 1 2 1 1 12 31111 6 M59 70900 000181*")</f>
        <v>250</v>
      </c>
      <c r="G3859" s="83">
        <f>SUMIFS(G3860:G6462,K3860:K6462,"0",B3860:B6462,"5 1 2 1 1 12 31111 6 M59 70900 000181*")</f>
        <v>0</v>
      </c>
      <c r="H3859" s="83">
        <f t="shared" si="60"/>
        <v>250</v>
      </c>
      <c r="I3859" s="83"/>
      <c r="K3859" s="54" t="s">
        <v>15</v>
      </c>
    </row>
    <row r="3860" spans="2:11" ht="16.5" x14ac:dyDescent="0.2">
      <c r="B3860" s="82" t="s">
        <v>6258</v>
      </c>
      <c r="C3860" s="82" t="s">
        <v>650</v>
      </c>
      <c r="D3860" s="83">
        <f>SUMIFS(D3861:D6462,K3861:K6462,"0",B3861:B6462,"5 1 2 1 1 12 31111 6 M59 70900 000181 0000R*")-SUMIFS(E3861:E6462,K3861:K6462,"0",B3861:B6462,"5 1 2 1 1 12 31111 6 M59 70900 000181 0000R*")</f>
        <v>0</v>
      </c>
      <c r="E3860" s="54"/>
      <c r="F3860" s="83">
        <f>SUMIFS(F3861:F6462,K3861:K6462,"0",B3861:B6462,"5 1 2 1 1 12 31111 6 M59 70900 000181 0000R*")</f>
        <v>250</v>
      </c>
      <c r="G3860" s="83">
        <f>SUMIFS(G3861:G6462,K3861:K6462,"0",B3861:B6462,"5 1 2 1 1 12 31111 6 M59 70900 000181 0000R*")</f>
        <v>0</v>
      </c>
      <c r="H3860" s="83">
        <f t="shared" si="60"/>
        <v>250</v>
      </c>
      <c r="I3860" s="83"/>
      <c r="K3860" s="54" t="s">
        <v>15</v>
      </c>
    </row>
    <row r="3861" spans="2:11" ht="24.75" x14ac:dyDescent="0.2">
      <c r="B3861" s="82" t="s">
        <v>6259</v>
      </c>
      <c r="C3861" s="82" t="s">
        <v>282</v>
      </c>
      <c r="D3861" s="83">
        <f>SUMIFS(D3862:D6462,K3862:K6462,"0",B3862:B6462,"5 1 2 1 1 12 31111 6 M59 70900 000181 0000R 00001*")-SUMIFS(E3862:E6462,K3862:K6462,"0",B3862:B6462,"5 1 2 1 1 12 31111 6 M59 70900 000181 0000R 00001*")</f>
        <v>0</v>
      </c>
      <c r="E3861" s="54"/>
      <c r="F3861" s="83">
        <f>SUMIFS(F3862:F6462,K3862:K6462,"0",B3862:B6462,"5 1 2 1 1 12 31111 6 M59 70900 000181 0000R 00001*")</f>
        <v>250</v>
      </c>
      <c r="G3861" s="83">
        <f>SUMIFS(G3862:G6462,K3862:K6462,"0",B3862:B6462,"5 1 2 1 1 12 31111 6 M59 70900 000181 0000R 00001*")</f>
        <v>0</v>
      </c>
      <c r="H3861" s="83">
        <f t="shared" si="60"/>
        <v>250</v>
      </c>
      <c r="I3861" s="83"/>
      <c r="K3861" s="54" t="s">
        <v>15</v>
      </c>
    </row>
    <row r="3862" spans="2:11" ht="24.75" x14ac:dyDescent="0.2">
      <c r="B3862" s="82" t="s">
        <v>6260</v>
      </c>
      <c r="C3862" s="82" t="s">
        <v>5827</v>
      </c>
      <c r="D3862" s="83">
        <f>SUMIFS(D3863:D6462,K3863:K6462,"0",B3863:B6462,"5 1 2 1 1 12 31111 6 M59 70900 000181 0000R 00001 00211*")-SUMIFS(E3863:E6462,K3863:K6462,"0",B3863:B6462,"5 1 2 1 1 12 31111 6 M59 70900 000181 0000R 00001 00211*")</f>
        <v>0</v>
      </c>
      <c r="E3862" s="54"/>
      <c r="F3862" s="83">
        <f>SUMIFS(F3863:F6462,K3863:K6462,"0",B3863:B6462,"5 1 2 1 1 12 31111 6 M59 70900 000181 0000R 00001 00211*")</f>
        <v>250</v>
      </c>
      <c r="G3862" s="83">
        <f>SUMIFS(G3863:G6462,K3863:K6462,"0",B3863:B6462,"5 1 2 1 1 12 31111 6 M59 70900 000181 0000R 00001 00211*")</f>
        <v>0</v>
      </c>
      <c r="H3862" s="83">
        <f t="shared" si="60"/>
        <v>250</v>
      </c>
      <c r="I3862" s="83"/>
      <c r="K3862" s="54" t="s">
        <v>15</v>
      </c>
    </row>
    <row r="3863" spans="2:11" ht="24.75" x14ac:dyDescent="0.2">
      <c r="B3863" s="82" t="s">
        <v>6261</v>
      </c>
      <c r="C3863" s="82" t="s">
        <v>1051</v>
      </c>
      <c r="D3863" s="83">
        <f>SUMIFS(D3864:D6462,K3864:K6462,"0",B3864:B6462,"5 1 2 1 1 12 31111 6 M59 70900 000181 0000R 00001 00211 015*")-SUMIFS(E3864:E6462,K3864:K6462,"0",B3864:B6462,"5 1 2 1 1 12 31111 6 M59 70900 000181 0000R 00001 00211 015*")</f>
        <v>0</v>
      </c>
      <c r="E3863" s="54"/>
      <c r="F3863" s="83">
        <f>SUMIFS(F3864:F6462,K3864:K6462,"0",B3864:B6462,"5 1 2 1 1 12 31111 6 M59 70900 000181 0000R 00001 00211 015*")</f>
        <v>250</v>
      </c>
      <c r="G3863" s="83">
        <f>SUMIFS(G3864:G6462,K3864:K6462,"0",B3864:B6462,"5 1 2 1 1 12 31111 6 M59 70900 000181 0000R 00001 00211 015*")</f>
        <v>0</v>
      </c>
      <c r="H3863" s="83">
        <f t="shared" si="60"/>
        <v>250</v>
      </c>
      <c r="I3863" s="83"/>
      <c r="K3863" s="54" t="s">
        <v>15</v>
      </c>
    </row>
    <row r="3864" spans="2:11" ht="33" x14ac:dyDescent="0.2">
      <c r="B3864" s="82" t="s">
        <v>6262</v>
      </c>
      <c r="C3864" s="82" t="s">
        <v>5830</v>
      </c>
      <c r="D3864" s="83">
        <f>SUMIFS(D3865:D6462,K3865:K6462,"0",B3865:B6462,"5 1 2 1 1 12 31111 6 M59 70900 000181 0000R 00001 00211 015 2112000*")-SUMIFS(E3865:E6462,K3865:K6462,"0",B3865:B6462,"5 1 2 1 1 12 31111 6 M59 70900 000181 0000R 00001 00211 015 2112000*")</f>
        <v>0</v>
      </c>
      <c r="E3864" s="54"/>
      <c r="F3864" s="83">
        <f>SUMIFS(F3865:F6462,K3865:K6462,"0",B3865:B6462,"5 1 2 1 1 12 31111 6 M59 70900 000181 0000R 00001 00211 015 2112000*")</f>
        <v>250</v>
      </c>
      <c r="G3864" s="83">
        <f>SUMIFS(G3865:G6462,K3865:K6462,"0",B3865:B6462,"5 1 2 1 1 12 31111 6 M59 70900 000181 0000R 00001 00211 015 2112000*")</f>
        <v>0</v>
      </c>
      <c r="H3864" s="83">
        <f t="shared" si="60"/>
        <v>250</v>
      </c>
      <c r="I3864" s="83"/>
      <c r="K3864" s="54" t="s">
        <v>15</v>
      </c>
    </row>
    <row r="3865" spans="2:11" ht="33" x14ac:dyDescent="0.2">
      <c r="B3865" s="82" t="s">
        <v>6263</v>
      </c>
      <c r="C3865" s="82" t="s">
        <v>660</v>
      </c>
      <c r="D3865" s="83">
        <f>SUMIFS(D3866:D6462,K3866:K6462,"0",B3866:B6462,"5 1 2 1 1 12 31111 6 M59 70900 000181 0000R 00001 00211 015 2112000 2024*")-SUMIFS(E3866:E6462,K3866:K6462,"0",B3866:B6462,"5 1 2 1 1 12 31111 6 M59 70900 000181 0000R 00001 00211 015 2112000 2024*")</f>
        <v>0</v>
      </c>
      <c r="E3865" s="54"/>
      <c r="F3865" s="83">
        <f>SUMIFS(F3866:F6462,K3866:K6462,"0",B3866:B6462,"5 1 2 1 1 12 31111 6 M59 70900 000181 0000R 00001 00211 015 2112000 2024*")</f>
        <v>250</v>
      </c>
      <c r="G3865" s="83">
        <f>SUMIFS(G3866:G6462,K3866:K6462,"0",B3866:B6462,"5 1 2 1 1 12 31111 6 M59 70900 000181 0000R 00001 00211 015 2112000 2024*")</f>
        <v>0</v>
      </c>
      <c r="H3865" s="83">
        <f t="shared" si="60"/>
        <v>250</v>
      </c>
      <c r="I3865" s="83"/>
      <c r="K3865" s="54" t="s">
        <v>15</v>
      </c>
    </row>
    <row r="3866" spans="2:11" ht="41.25" x14ac:dyDescent="0.2">
      <c r="B3866" s="82" t="s">
        <v>6264</v>
      </c>
      <c r="C3866" s="82" t="s">
        <v>3495</v>
      </c>
      <c r="D3866" s="83">
        <f>SUMIFS(D3867:D6462,K3867:K6462,"0",B3867:B6462,"5 1 2 1 1 12 31111 6 M59 70900 000181 0000R 00001 00211 015 2112000 2024 CP1EM392*")-SUMIFS(E3867:E6462,K3867:K6462,"0",B3867:B6462,"5 1 2 1 1 12 31111 6 M59 70900 000181 0000R 00001 00211 015 2112000 2024 CP1EM392*")</f>
        <v>0</v>
      </c>
      <c r="E3866" s="54"/>
      <c r="F3866" s="83">
        <f>SUMIFS(F3867:F6462,K3867:K6462,"0",B3867:B6462,"5 1 2 1 1 12 31111 6 M59 70900 000181 0000R 00001 00211 015 2112000 2024 CP1EM392*")</f>
        <v>250</v>
      </c>
      <c r="G3866" s="83">
        <f>SUMIFS(G3867:G6462,K3867:K6462,"0",B3867:B6462,"5 1 2 1 1 12 31111 6 M59 70900 000181 0000R 00001 00211 015 2112000 2024 CP1EM392*")</f>
        <v>0</v>
      </c>
      <c r="H3866" s="83">
        <f t="shared" si="60"/>
        <v>250</v>
      </c>
      <c r="I3866" s="83"/>
      <c r="K3866" s="54" t="s">
        <v>15</v>
      </c>
    </row>
    <row r="3867" spans="2:11" ht="41.25" x14ac:dyDescent="0.2">
      <c r="B3867" s="82" t="s">
        <v>6265</v>
      </c>
      <c r="C3867" s="82" t="s">
        <v>282</v>
      </c>
      <c r="D3867" s="83">
        <f>SUMIFS(D3868:D6462,K3868:K6462,"0",B3868:B6462,"5 1 2 1 1 12 31111 6 M59 70900 000181 0000R 00001 00211 015 2112000 2024 CP1EM392 001*")-SUMIFS(E3868:E6462,K3868:K6462,"0",B3868:B6462,"5 1 2 1 1 12 31111 6 M59 70900 000181 0000R 00001 00211 015 2112000 2024 CP1EM392 001*")</f>
        <v>0</v>
      </c>
      <c r="E3867" s="54"/>
      <c r="F3867" s="83">
        <f>SUMIFS(F3868:F6462,K3868:K6462,"0",B3868:B6462,"5 1 2 1 1 12 31111 6 M59 70900 000181 0000R 00001 00211 015 2112000 2024 CP1EM392 001*")</f>
        <v>250</v>
      </c>
      <c r="G3867" s="83">
        <f>SUMIFS(G3868:G6462,K3868:K6462,"0",B3868:B6462,"5 1 2 1 1 12 31111 6 M59 70900 000181 0000R 00001 00211 015 2112000 2024 CP1EM392 001*")</f>
        <v>0</v>
      </c>
      <c r="H3867" s="83">
        <f t="shared" si="60"/>
        <v>250</v>
      </c>
      <c r="I3867" s="83"/>
      <c r="K3867" s="54" t="s">
        <v>15</v>
      </c>
    </row>
    <row r="3868" spans="2:11" ht="33" x14ac:dyDescent="0.2">
      <c r="B3868" s="84" t="s">
        <v>6266</v>
      </c>
      <c r="C3868" s="84" t="s">
        <v>5827</v>
      </c>
      <c r="D3868" s="85">
        <v>0</v>
      </c>
      <c r="E3868" s="85"/>
      <c r="F3868" s="85">
        <v>250</v>
      </c>
      <c r="G3868" s="85">
        <v>0</v>
      </c>
      <c r="H3868" s="85">
        <f t="shared" si="60"/>
        <v>250</v>
      </c>
      <c r="I3868" s="85"/>
      <c r="K3868" s="54" t="s">
        <v>38</v>
      </c>
    </row>
    <row r="3869" spans="2:11" ht="16.5" x14ac:dyDescent="0.2">
      <c r="B3869" s="82" t="s">
        <v>6267</v>
      </c>
      <c r="C3869" s="82" t="s">
        <v>3499</v>
      </c>
      <c r="D3869" s="83">
        <f>SUMIFS(D3870:D6462,K3870:K6462,"0",B3870:B6462,"5 1 2 1 1 12 31111 6 M59 71000*")-SUMIFS(E3870:E6462,K3870:K6462,"0",B3870:B6462,"5 1 2 1 1 12 31111 6 M59 71000*")</f>
        <v>0</v>
      </c>
      <c r="E3869" s="54"/>
      <c r="F3869" s="83">
        <f>SUMIFS(F3870:F6462,K3870:K6462,"0",B3870:B6462,"5 1 2 1 1 12 31111 6 M59 71000*")</f>
        <v>250</v>
      </c>
      <c r="G3869" s="83">
        <f>SUMIFS(G3870:G6462,K3870:K6462,"0",B3870:B6462,"5 1 2 1 1 12 31111 6 M59 71000*")</f>
        <v>0</v>
      </c>
      <c r="H3869" s="83">
        <f t="shared" si="60"/>
        <v>250</v>
      </c>
      <c r="I3869" s="83"/>
      <c r="K3869" s="54" t="s">
        <v>15</v>
      </c>
    </row>
    <row r="3870" spans="2:11" ht="16.5" x14ac:dyDescent="0.2">
      <c r="B3870" s="82" t="s">
        <v>6268</v>
      </c>
      <c r="C3870" s="82" t="s">
        <v>648</v>
      </c>
      <c r="D3870" s="83">
        <f>SUMIFS(D3871:D6462,K3871:K6462,"0",B3871:B6462,"5 1 2 1 1 12 31111 6 M59 71000 000132*")-SUMIFS(E3871:E6462,K3871:K6462,"0",B3871:B6462,"5 1 2 1 1 12 31111 6 M59 71000 000132*")</f>
        <v>0</v>
      </c>
      <c r="E3870" s="54"/>
      <c r="F3870" s="83">
        <f>SUMIFS(F3871:F6462,K3871:K6462,"0",B3871:B6462,"5 1 2 1 1 12 31111 6 M59 71000 000132*")</f>
        <v>250</v>
      </c>
      <c r="G3870" s="83">
        <f>SUMIFS(G3871:G6462,K3871:K6462,"0",B3871:B6462,"5 1 2 1 1 12 31111 6 M59 71000 000132*")</f>
        <v>0</v>
      </c>
      <c r="H3870" s="83">
        <f t="shared" si="60"/>
        <v>250</v>
      </c>
      <c r="I3870" s="83"/>
      <c r="K3870" s="54" t="s">
        <v>15</v>
      </c>
    </row>
    <row r="3871" spans="2:11" ht="16.5" x14ac:dyDescent="0.2">
      <c r="B3871" s="82" t="s">
        <v>6269</v>
      </c>
      <c r="C3871" s="82" t="s">
        <v>650</v>
      </c>
      <c r="D3871" s="83">
        <f>SUMIFS(D3872:D6462,K3872:K6462,"0",B3872:B6462,"5 1 2 1 1 12 31111 6 M59 71000 000132 0000R*")-SUMIFS(E3872:E6462,K3872:K6462,"0",B3872:B6462,"5 1 2 1 1 12 31111 6 M59 71000 000132 0000R*")</f>
        <v>0</v>
      </c>
      <c r="E3871" s="54"/>
      <c r="F3871" s="83">
        <f>SUMIFS(F3872:F6462,K3872:K6462,"0",B3872:B6462,"5 1 2 1 1 12 31111 6 M59 71000 000132 0000R*")</f>
        <v>250</v>
      </c>
      <c r="G3871" s="83">
        <f>SUMIFS(G3872:G6462,K3872:K6462,"0",B3872:B6462,"5 1 2 1 1 12 31111 6 M59 71000 000132 0000R*")</f>
        <v>0</v>
      </c>
      <c r="H3871" s="83">
        <f t="shared" si="60"/>
        <v>250</v>
      </c>
      <c r="I3871" s="83"/>
      <c r="K3871" s="54" t="s">
        <v>15</v>
      </c>
    </row>
    <row r="3872" spans="2:11" ht="24.75" x14ac:dyDescent="0.2">
      <c r="B3872" s="82" t="s">
        <v>6270</v>
      </c>
      <c r="C3872" s="82" t="s">
        <v>282</v>
      </c>
      <c r="D3872" s="83">
        <f>SUMIFS(D3873:D6462,K3873:K6462,"0",B3873:B6462,"5 1 2 1 1 12 31111 6 M59 71000 000132 0000R 00001*")-SUMIFS(E3873:E6462,K3873:K6462,"0",B3873:B6462,"5 1 2 1 1 12 31111 6 M59 71000 000132 0000R 00001*")</f>
        <v>0</v>
      </c>
      <c r="E3872" s="54"/>
      <c r="F3872" s="83">
        <f>SUMIFS(F3873:F6462,K3873:K6462,"0",B3873:B6462,"5 1 2 1 1 12 31111 6 M59 71000 000132 0000R 00001*")</f>
        <v>250</v>
      </c>
      <c r="G3872" s="83">
        <f>SUMIFS(G3873:G6462,K3873:K6462,"0",B3873:B6462,"5 1 2 1 1 12 31111 6 M59 71000 000132 0000R 00001*")</f>
        <v>0</v>
      </c>
      <c r="H3872" s="83">
        <f t="shared" si="60"/>
        <v>250</v>
      </c>
      <c r="I3872" s="83"/>
      <c r="K3872" s="54" t="s">
        <v>15</v>
      </c>
    </row>
    <row r="3873" spans="2:11" ht="24.75" x14ac:dyDescent="0.2">
      <c r="B3873" s="82" t="s">
        <v>6271</v>
      </c>
      <c r="C3873" s="82" t="s">
        <v>5827</v>
      </c>
      <c r="D3873" s="83">
        <f>SUMIFS(D3874:D6462,K3874:K6462,"0",B3874:B6462,"5 1 2 1 1 12 31111 6 M59 71000 000132 0000R 00001 00211*")-SUMIFS(E3874:E6462,K3874:K6462,"0",B3874:B6462,"5 1 2 1 1 12 31111 6 M59 71000 000132 0000R 00001 00211*")</f>
        <v>0</v>
      </c>
      <c r="E3873" s="54"/>
      <c r="F3873" s="83">
        <f>SUMIFS(F3874:F6462,K3874:K6462,"0",B3874:B6462,"5 1 2 1 1 12 31111 6 M59 71000 000132 0000R 00001 00211*")</f>
        <v>250</v>
      </c>
      <c r="G3873" s="83">
        <f>SUMIFS(G3874:G6462,K3874:K6462,"0",B3874:B6462,"5 1 2 1 1 12 31111 6 M59 71000 000132 0000R 00001 00211*")</f>
        <v>0</v>
      </c>
      <c r="H3873" s="83">
        <f t="shared" si="60"/>
        <v>250</v>
      </c>
      <c r="I3873" s="83"/>
      <c r="K3873" s="54" t="s">
        <v>15</v>
      </c>
    </row>
    <row r="3874" spans="2:11" ht="24.75" x14ac:dyDescent="0.2">
      <c r="B3874" s="82" t="s">
        <v>6272</v>
      </c>
      <c r="C3874" s="82" t="s">
        <v>1051</v>
      </c>
      <c r="D3874" s="83">
        <f>SUMIFS(D3875:D6462,K3875:K6462,"0",B3875:B6462,"5 1 2 1 1 12 31111 6 M59 71000 000132 0000R 00001 00211 015*")-SUMIFS(E3875:E6462,K3875:K6462,"0",B3875:B6462,"5 1 2 1 1 12 31111 6 M59 71000 000132 0000R 00001 00211 015*")</f>
        <v>0</v>
      </c>
      <c r="E3874" s="54"/>
      <c r="F3874" s="83">
        <f>SUMIFS(F3875:F6462,K3875:K6462,"0",B3875:B6462,"5 1 2 1 1 12 31111 6 M59 71000 000132 0000R 00001 00211 015*")</f>
        <v>250</v>
      </c>
      <c r="G3874" s="83">
        <f>SUMIFS(G3875:G6462,K3875:K6462,"0",B3875:B6462,"5 1 2 1 1 12 31111 6 M59 71000 000132 0000R 00001 00211 015*")</f>
        <v>0</v>
      </c>
      <c r="H3874" s="83">
        <f t="shared" si="60"/>
        <v>250</v>
      </c>
      <c r="I3874" s="83"/>
      <c r="K3874" s="54" t="s">
        <v>15</v>
      </c>
    </row>
    <row r="3875" spans="2:11" ht="33" x14ac:dyDescent="0.2">
      <c r="B3875" s="82" t="s">
        <v>6273</v>
      </c>
      <c r="C3875" s="82" t="s">
        <v>5830</v>
      </c>
      <c r="D3875" s="83">
        <f>SUMIFS(D3876:D6462,K3876:K6462,"0",B3876:B6462,"5 1 2 1 1 12 31111 6 M59 71000 000132 0000R 00001 00211 015 2112000*")-SUMIFS(E3876:E6462,K3876:K6462,"0",B3876:B6462,"5 1 2 1 1 12 31111 6 M59 71000 000132 0000R 00001 00211 015 2112000*")</f>
        <v>0</v>
      </c>
      <c r="E3875" s="54"/>
      <c r="F3875" s="83">
        <f>SUMIFS(F3876:F6462,K3876:K6462,"0",B3876:B6462,"5 1 2 1 1 12 31111 6 M59 71000 000132 0000R 00001 00211 015 2112000*")</f>
        <v>250</v>
      </c>
      <c r="G3875" s="83">
        <f>SUMIFS(G3876:G6462,K3876:K6462,"0",B3876:B6462,"5 1 2 1 1 12 31111 6 M59 71000 000132 0000R 00001 00211 015 2112000*")</f>
        <v>0</v>
      </c>
      <c r="H3875" s="83">
        <f t="shared" si="60"/>
        <v>250</v>
      </c>
      <c r="I3875" s="83"/>
      <c r="K3875" s="54" t="s">
        <v>15</v>
      </c>
    </row>
    <row r="3876" spans="2:11" ht="33" x14ac:dyDescent="0.2">
      <c r="B3876" s="82" t="s">
        <v>6274</v>
      </c>
      <c r="C3876" s="82" t="s">
        <v>660</v>
      </c>
      <c r="D3876" s="83">
        <f>SUMIFS(D3877:D6462,K3877:K6462,"0",B3877:B6462,"5 1 2 1 1 12 31111 6 M59 71000 000132 0000R 00001 00211 015 2112000 2024*")-SUMIFS(E3877:E6462,K3877:K6462,"0",B3877:B6462,"5 1 2 1 1 12 31111 6 M59 71000 000132 0000R 00001 00211 015 2112000 2024*")</f>
        <v>0</v>
      </c>
      <c r="E3876" s="54"/>
      <c r="F3876" s="83">
        <f>SUMIFS(F3877:F6462,K3877:K6462,"0",B3877:B6462,"5 1 2 1 1 12 31111 6 M59 71000 000132 0000R 00001 00211 015 2112000 2024*")</f>
        <v>250</v>
      </c>
      <c r="G3876" s="83">
        <f>SUMIFS(G3877:G6462,K3877:K6462,"0",B3877:B6462,"5 1 2 1 1 12 31111 6 M59 71000 000132 0000R 00001 00211 015 2112000 2024*")</f>
        <v>0</v>
      </c>
      <c r="H3876" s="83">
        <f t="shared" si="60"/>
        <v>250</v>
      </c>
      <c r="I3876" s="83"/>
      <c r="K3876" s="54" t="s">
        <v>15</v>
      </c>
    </row>
    <row r="3877" spans="2:11" ht="41.25" x14ac:dyDescent="0.2">
      <c r="B3877" s="82" t="s">
        <v>6275</v>
      </c>
      <c r="C3877" s="82" t="s">
        <v>662</v>
      </c>
      <c r="D3877" s="83">
        <f>SUMIFS(D3878:D6462,K3878:K6462,"0",B3878:B6462,"5 1 2 1 1 12 31111 6 M59 71000 000132 0000R 00001 00211 015 2112000 2024 CP1AP422*")-SUMIFS(E3878:E6462,K3878:K6462,"0",B3878:B6462,"5 1 2 1 1 12 31111 6 M59 71000 000132 0000R 00001 00211 015 2112000 2024 CP1AP422*")</f>
        <v>0</v>
      </c>
      <c r="E3877" s="54"/>
      <c r="F3877" s="83">
        <f>SUMIFS(F3878:F6462,K3878:K6462,"0",B3878:B6462,"5 1 2 1 1 12 31111 6 M59 71000 000132 0000R 00001 00211 015 2112000 2024 CP1AP422*")</f>
        <v>250</v>
      </c>
      <c r="G3877" s="83">
        <f>SUMIFS(G3878:G6462,K3878:K6462,"0",B3878:B6462,"5 1 2 1 1 12 31111 6 M59 71000 000132 0000R 00001 00211 015 2112000 2024 CP1AP422*")</f>
        <v>0</v>
      </c>
      <c r="H3877" s="83">
        <f t="shared" si="60"/>
        <v>250</v>
      </c>
      <c r="I3877" s="83"/>
      <c r="K3877" s="54" t="s">
        <v>15</v>
      </c>
    </row>
    <row r="3878" spans="2:11" ht="41.25" x14ac:dyDescent="0.2">
      <c r="B3878" s="82" t="s">
        <v>6276</v>
      </c>
      <c r="C3878" s="82" t="s">
        <v>282</v>
      </c>
      <c r="D3878" s="83">
        <f>SUMIFS(D3879:D6462,K3879:K6462,"0",B3879:B6462,"5 1 2 1 1 12 31111 6 M59 71000 000132 0000R 00001 00211 015 2112000 2024 CP1AP422 001*")-SUMIFS(E3879:E6462,K3879:K6462,"0",B3879:B6462,"5 1 2 1 1 12 31111 6 M59 71000 000132 0000R 00001 00211 015 2112000 2024 CP1AP422 001*")</f>
        <v>0</v>
      </c>
      <c r="E3878" s="54"/>
      <c r="F3878" s="83">
        <f>SUMIFS(F3879:F6462,K3879:K6462,"0",B3879:B6462,"5 1 2 1 1 12 31111 6 M59 71000 000132 0000R 00001 00211 015 2112000 2024 CP1AP422 001*")</f>
        <v>250</v>
      </c>
      <c r="G3878" s="83">
        <f>SUMIFS(G3879:G6462,K3879:K6462,"0",B3879:B6462,"5 1 2 1 1 12 31111 6 M59 71000 000132 0000R 00001 00211 015 2112000 2024 CP1AP422 001*")</f>
        <v>0</v>
      </c>
      <c r="H3878" s="83">
        <f t="shared" si="60"/>
        <v>250</v>
      </c>
      <c r="I3878" s="83"/>
      <c r="K3878" s="54" t="s">
        <v>15</v>
      </c>
    </row>
    <row r="3879" spans="2:11" ht="33" x14ac:dyDescent="0.2">
      <c r="B3879" s="84" t="s">
        <v>6277</v>
      </c>
      <c r="C3879" s="84" t="s">
        <v>5827</v>
      </c>
      <c r="D3879" s="85">
        <v>0</v>
      </c>
      <c r="E3879" s="85"/>
      <c r="F3879" s="85">
        <v>250</v>
      </c>
      <c r="G3879" s="85">
        <v>0</v>
      </c>
      <c r="H3879" s="85">
        <f t="shared" si="60"/>
        <v>250</v>
      </c>
      <c r="I3879" s="85"/>
      <c r="K3879" s="54" t="s">
        <v>38</v>
      </c>
    </row>
    <row r="3880" spans="2:11" ht="16.5" x14ac:dyDescent="0.2">
      <c r="B3880" s="82" t="s">
        <v>6278</v>
      </c>
      <c r="C3880" s="82" t="s">
        <v>3535</v>
      </c>
      <c r="D3880" s="83">
        <f>SUMIFS(D3881:D6462,K3881:K6462,"0",B3881:B6462,"5 1 2 1 1 12 31111 6 M59 80100*")-SUMIFS(E3881:E6462,K3881:K6462,"0",B3881:B6462,"5 1 2 1 1 12 31111 6 M59 80100*")</f>
        <v>0</v>
      </c>
      <c r="E3880" s="54"/>
      <c r="F3880" s="83">
        <f>SUMIFS(F3881:F6462,K3881:K6462,"0",B3881:B6462,"5 1 2 1 1 12 31111 6 M59 80100*")</f>
        <v>250</v>
      </c>
      <c r="G3880" s="83">
        <f>SUMIFS(G3881:G6462,K3881:K6462,"0",B3881:B6462,"5 1 2 1 1 12 31111 6 M59 80100*")</f>
        <v>0</v>
      </c>
      <c r="H3880" s="83">
        <f t="shared" si="60"/>
        <v>250</v>
      </c>
      <c r="I3880" s="83"/>
      <c r="K3880" s="54" t="s">
        <v>15</v>
      </c>
    </row>
    <row r="3881" spans="2:11" ht="16.5" x14ac:dyDescent="0.2">
      <c r="B3881" s="82" t="s">
        <v>6279</v>
      </c>
      <c r="C3881" s="82" t="s">
        <v>648</v>
      </c>
      <c r="D3881" s="83">
        <f>SUMIFS(D3882:D6462,K3882:K6462,"0",B3882:B6462,"5 1 2 1 1 12 31111 6 M59 80100 000132*")-SUMIFS(E3882:E6462,K3882:K6462,"0",B3882:B6462,"5 1 2 1 1 12 31111 6 M59 80100 000132*")</f>
        <v>0</v>
      </c>
      <c r="E3881" s="54"/>
      <c r="F3881" s="83">
        <f>SUMIFS(F3882:F6462,K3882:K6462,"0",B3882:B6462,"5 1 2 1 1 12 31111 6 M59 80100 000132*")</f>
        <v>250</v>
      </c>
      <c r="G3881" s="83">
        <f>SUMIFS(G3882:G6462,K3882:K6462,"0",B3882:B6462,"5 1 2 1 1 12 31111 6 M59 80100 000132*")</f>
        <v>0</v>
      </c>
      <c r="H3881" s="83">
        <f t="shared" si="60"/>
        <v>250</v>
      </c>
      <c r="I3881" s="83"/>
      <c r="K3881" s="54" t="s">
        <v>15</v>
      </c>
    </row>
    <row r="3882" spans="2:11" ht="16.5" x14ac:dyDescent="0.2">
      <c r="B3882" s="82" t="s">
        <v>6280</v>
      </c>
      <c r="C3882" s="82" t="s">
        <v>650</v>
      </c>
      <c r="D3882" s="83">
        <f>SUMIFS(D3883:D6462,K3883:K6462,"0",B3883:B6462,"5 1 2 1 1 12 31111 6 M59 80100 000132 0000R*")-SUMIFS(E3883:E6462,K3883:K6462,"0",B3883:B6462,"5 1 2 1 1 12 31111 6 M59 80100 000132 0000R*")</f>
        <v>0</v>
      </c>
      <c r="E3882" s="54"/>
      <c r="F3882" s="83">
        <f>SUMIFS(F3883:F6462,K3883:K6462,"0",B3883:B6462,"5 1 2 1 1 12 31111 6 M59 80100 000132 0000R*")</f>
        <v>250</v>
      </c>
      <c r="G3882" s="83">
        <f>SUMIFS(G3883:G6462,K3883:K6462,"0",B3883:B6462,"5 1 2 1 1 12 31111 6 M59 80100 000132 0000R*")</f>
        <v>0</v>
      </c>
      <c r="H3882" s="83">
        <f t="shared" si="60"/>
        <v>250</v>
      </c>
      <c r="I3882" s="83"/>
      <c r="K3882" s="54" t="s">
        <v>15</v>
      </c>
    </row>
    <row r="3883" spans="2:11" ht="24.75" x14ac:dyDescent="0.2">
      <c r="B3883" s="82" t="s">
        <v>6281</v>
      </c>
      <c r="C3883" s="82" t="s">
        <v>282</v>
      </c>
      <c r="D3883" s="83">
        <f>SUMIFS(D3884:D6462,K3884:K6462,"0",B3884:B6462,"5 1 2 1 1 12 31111 6 M59 80100 000132 0000R 00001*")-SUMIFS(E3884:E6462,K3884:K6462,"0",B3884:B6462,"5 1 2 1 1 12 31111 6 M59 80100 000132 0000R 00001*")</f>
        <v>0</v>
      </c>
      <c r="E3883" s="54"/>
      <c r="F3883" s="83">
        <f>SUMIFS(F3884:F6462,K3884:K6462,"0",B3884:B6462,"5 1 2 1 1 12 31111 6 M59 80100 000132 0000R 00001*")</f>
        <v>250</v>
      </c>
      <c r="G3883" s="83">
        <f>SUMIFS(G3884:G6462,K3884:K6462,"0",B3884:B6462,"5 1 2 1 1 12 31111 6 M59 80100 000132 0000R 00001*")</f>
        <v>0</v>
      </c>
      <c r="H3883" s="83">
        <f t="shared" ref="H3883:H3946" si="61">D3883 + F3883 - G3883</f>
        <v>250</v>
      </c>
      <c r="I3883" s="83"/>
      <c r="K3883" s="54" t="s">
        <v>15</v>
      </c>
    </row>
    <row r="3884" spans="2:11" ht="24.75" x14ac:dyDescent="0.2">
      <c r="B3884" s="82" t="s">
        <v>6282</v>
      </c>
      <c r="C3884" s="82" t="s">
        <v>5827</v>
      </c>
      <c r="D3884" s="83">
        <f>SUMIFS(D3885:D6462,K3885:K6462,"0",B3885:B6462,"5 1 2 1 1 12 31111 6 M59 80100 000132 0000R 00001 00211*")-SUMIFS(E3885:E6462,K3885:K6462,"0",B3885:B6462,"5 1 2 1 1 12 31111 6 M59 80100 000132 0000R 00001 00211*")</f>
        <v>0</v>
      </c>
      <c r="E3884" s="54"/>
      <c r="F3884" s="83">
        <f>SUMIFS(F3885:F6462,K3885:K6462,"0",B3885:B6462,"5 1 2 1 1 12 31111 6 M59 80100 000132 0000R 00001 00211*")</f>
        <v>250</v>
      </c>
      <c r="G3884" s="83">
        <f>SUMIFS(G3885:G6462,K3885:K6462,"0",B3885:B6462,"5 1 2 1 1 12 31111 6 M59 80100 000132 0000R 00001 00211*")</f>
        <v>0</v>
      </c>
      <c r="H3884" s="83">
        <f t="shared" si="61"/>
        <v>250</v>
      </c>
      <c r="I3884" s="83"/>
      <c r="K3884" s="54" t="s">
        <v>15</v>
      </c>
    </row>
    <row r="3885" spans="2:11" ht="24.75" x14ac:dyDescent="0.2">
      <c r="B3885" s="82" t="s">
        <v>6283</v>
      </c>
      <c r="C3885" s="82" t="s">
        <v>1051</v>
      </c>
      <c r="D3885" s="83">
        <f>SUMIFS(D3886:D6462,K3886:K6462,"0",B3886:B6462,"5 1 2 1 1 12 31111 6 M59 80100 000132 0000R 00001 00211 015*")-SUMIFS(E3886:E6462,K3886:K6462,"0",B3886:B6462,"5 1 2 1 1 12 31111 6 M59 80100 000132 0000R 00001 00211 015*")</f>
        <v>0</v>
      </c>
      <c r="E3885" s="54"/>
      <c r="F3885" s="83">
        <f>SUMIFS(F3886:F6462,K3886:K6462,"0",B3886:B6462,"5 1 2 1 1 12 31111 6 M59 80100 000132 0000R 00001 00211 015*")</f>
        <v>250</v>
      </c>
      <c r="G3885" s="83">
        <f>SUMIFS(G3886:G6462,K3886:K6462,"0",B3886:B6462,"5 1 2 1 1 12 31111 6 M59 80100 000132 0000R 00001 00211 015*")</f>
        <v>0</v>
      </c>
      <c r="H3885" s="83">
        <f t="shared" si="61"/>
        <v>250</v>
      </c>
      <c r="I3885" s="83"/>
      <c r="K3885" s="54" t="s">
        <v>15</v>
      </c>
    </row>
    <row r="3886" spans="2:11" ht="33" x14ac:dyDescent="0.2">
      <c r="B3886" s="82" t="s">
        <v>6284</v>
      </c>
      <c r="C3886" s="82" t="s">
        <v>5830</v>
      </c>
      <c r="D3886" s="83">
        <f>SUMIFS(D3887:D6462,K3887:K6462,"0",B3887:B6462,"5 1 2 1 1 12 31111 6 M59 80100 000132 0000R 00001 00211 015 2112000*")-SUMIFS(E3887:E6462,K3887:K6462,"0",B3887:B6462,"5 1 2 1 1 12 31111 6 M59 80100 000132 0000R 00001 00211 015 2112000*")</f>
        <v>0</v>
      </c>
      <c r="E3886" s="54"/>
      <c r="F3886" s="83">
        <f>SUMIFS(F3887:F6462,K3887:K6462,"0",B3887:B6462,"5 1 2 1 1 12 31111 6 M59 80100 000132 0000R 00001 00211 015 2112000*")</f>
        <v>250</v>
      </c>
      <c r="G3886" s="83">
        <f>SUMIFS(G3887:G6462,K3887:K6462,"0",B3887:B6462,"5 1 2 1 1 12 31111 6 M59 80100 000132 0000R 00001 00211 015 2112000*")</f>
        <v>0</v>
      </c>
      <c r="H3886" s="83">
        <f t="shared" si="61"/>
        <v>250</v>
      </c>
      <c r="I3886" s="83"/>
      <c r="K3886" s="54" t="s">
        <v>15</v>
      </c>
    </row>
    <row r="3887" spans="2:11" ht="33" x14ac:dyDescent="0.2">
      <c r="B3887" s="82" t="s">
        <v>6285</v>
      </c>
      <c r="C3887" s="82" t="s">
        <v>660</v>
      </c>
      <c r="D3887" s="83">
        <f>SUMIFS(D3888:D6462,K3888:K6462,"0",B3888:B6462,"5 1 2 1 1 12 31111 6 M59 80100 000132 0000R 00001 00211 015 2112000 2024*")-SUMIFS(E3888:E6462,K3888:K6462,"0",B3888:B6462,"5 1 2 1 1 12 31111 6 M59 80100 000132 0000R 00001 00211 015 2112000 2024*")</f>
        <v>0</v>
      </c>
      <c r="E3887" s="54"/>
      <c r="F3887" s="83">
        <f>SUMIFS(F3888:F6462,K3888:K6462,"0",B3888:B6462,"5 1 2 1 1 12 31111 6 M59 80100 000132 0000R 00001 00211 015 2112000 2024*")</f>
        <v>250</v>
      </c>
      <c r="G3887" s="83">
        <f>SUMIFS(G3888:G6462,K3888:K6462,"0",B3888:B6462,"5 1 2 1 1 12 31111 6 M59 80100 000132 0000R 00001 00211 015 2112000 2024*")</f>
        <v>0</v>
      </c>
      <c r="H3887" s="83">
        <f t="shared" si="61"/>
        <v>250</v>
      </c>
      <c r="I3887" s="83"/>
      <c r="K3887" s="54" t="s">
        <v>15</v>
      </c>
    </row>
    <row r="3888" spans="2:11" ht="41.25" x14ac:dyDescent="0.2">
      <c r="B3888" s="82" t="s">
        <v>6286</v>
      </c>
      <c r="C3888" s="82" t="s">
        <v>1056</v>
      </c>
      <c r="D3888" s="83">
        <f>SUMIFS(D3889:D6462,K3889:K6462,"0",B3889:B6462,"5 1 2 1 1 12 31111 6 M59 80100 000132 0000R 00001 00211 015 2112000 2024 CP1AC425*")-SUMIFS(E3889:E6462,K3889:K6462,"0",B3889:B6462,"5 1 2 1 1 12 31111 6 M59 80100 000132 0000R 00001 00211 015 2112000 2024 CP1AC425*")</f>
        <v>0</v>
      </c>
      <c r="E3888" s="54"/>
      <c r="F3888" s="83">
        <f>SUMIFS(F3889:F6462,K3889:K6462,"0",B3889:B6462,"5 1 2 1 1 12 31111 6 M59 80100 000132 0000R 00001 00211 015 2112000 2024 CP1AC425*")</f>
        <v>250</v>
      </c>
      <c r="G3888" s="83">
        <f>SUMIFS(G3889:G6462,K3889:K6462,"0",B3889:B6462,"5 1 2 1 1 12 31111 6 M59 80100 000132 0000R 00001 00211 015 2112000 2024 CP1AC425*")</f>
        <v>0</v>
      </c>
      <c r="H3888" s="83">
        <f t="shared" si="61"/>
        <v>250</v>
      </c>
      <c r="I3888" s="83"/>
      <c r="K3888" s="54" t="s">
        <v>15</v>
      </c>
    </row>
    <row r="3889" spans="2:11" ht="41.25" x14ac:dyDescent="0.2">
      <c r="B3889" s="82" t="s">
        <v>6287</v>
      </c>
      <c r="C3889" s="82" t="s">
        <v>282</v>
      </c>
      <c r="D3889" s="83">
        <f>SUMIFS(D3890:D6462,K3890:K6462,"0",B3890:B6462,"5 1 2 1 1 12 31111 6 M59 80100 000132 0000R 00001 00211 015 2112000 2024 CP1AC425 001*")-SUMIFS(E3890:E6462,K3890:K6462,"0",B3890:B6462,"5 1 2 1 1 12 31111 6 M59 80100 000132 0000R 00001 00211 015 2112000 2024 CP1AC425 001*")</f>
        <v>0</v>
      </c>
      <c r="E3889" s="54"/>
      <c r="F3889" s="83">
        <f>SUMIFS(F3890:F6462,K3890:K6462,"0",B3890:B6462,"5 1 2 1 1 12 31111 6 M59 80100 000132 0000R 00001 00211 015 2112000 2024 CP1AC425 001*")</f>
        <v>250</v>
      </c>
      <c r="G3889" s="83">
        <f>SUMIFS(G3890:G6462,K3890:K6462,"0",B3890:B6462,"5 1 2 1 1 12 31111 6 M59 80100 000132 0000R 00001 00211 015 2112000 2024 CP1AC425 001*")</f>
        <v>0</v>
      </c>
      <c r="H3889" s="83">
        <f t="shared" si="61"/>
        <v>250</v>
      </c>
      <c r="I3889" s="83"/>
      <c r="K3889" s="54" t="s">
        <v>15</v>
      </c>
    </row>
    <row r="3890" spans="2:11" ht="33" x14ac:dyDescent="0.2">
      <c r="B3890" s="84" t="s">
        <v>6288</v>
      </c>
      <c r="C3890" s="84" t="s">
        <v>5827</v>
      </c>
      <c r="D3890" s="85">
        <v>0</v>
      </c>
      <c r="E3890" s="85"/>
      <c r="F3890" s="85">
        <v>250</v>
      </c>
      <c r="G3890" s="85">
        <v>0</v>
      </c>
      <c r="H3890" s="85">
        <f t="shared" si="61"/>
        <v>250</v>
      </c>
      <c r="I3890" s="85"/>
      <c r="K3890" s="54" t="s">
        <v>38</v>
      </c>
    </row>
    <row r="3891" spans="2:11" ht="16.5" x14ac:dyDescent="0.2">
      <c r="B3891" s="82" t="s">
        <v>6289</v>
      </c>
      <c r="C3891" s="82" t="s">
        <v>6290</v>
      </c>
      <c r="D3891" s="83">
        <f>SUMIFS(D3892:D6462,K3892:K6462,"0",B3892:B6462,"5 1 2 1 1 12 31111 6 M59 80200*")-SUMIFS(E3892:E6462,K3892:K6462,"0",B3892:B6462,"5 1 2 1 1 12 31111 6 M59 80200*")</f>
        <v>0</v>
      </c>
      <c r="E3891" s="54"/>
      <c r="F3891" s="83">
        <f>SUMIFS(F3892:F6462,K3892:K6462,"0",B3892:B6462,"5 1 2 1 1 12 31111 6 M59 80200*")</f>
        <v>250</v>
      </c>
      <c r="G3891" s="83">
        <f>SUMIFS(G3892:G6462,K3892:K6462,"0",B3892:B6462,"5 1 2 1 1 12 31111 6 M59 80200*")</f>
        <v>0</v>
      </c>
      <c r="H3891" s="83">
        <f t="shared" si="61"/>
        <v>250</v>
      </c>
      <c r="I3891" s="83"/>
      <c r="K3891" s="54" t="s">
        <v>15</v>
      </c>
    </row>
    <row r="3892" spans="2:11" ht="16.5" x14ac:dyDescent="0.2">
      <c r="B3892" s="82" t="s">
        <v>6291</v>
      </c>
      <c r="C3892" s="82" t="s">
        <v>648</v>
      </c>
      <c r="D3892" s="83">
        <f>SUMIFS(D3893:D6462,K3893:K6462,"0",B3893:B6462,"5 1 2 1 1 12 31111 6 M59 80200 000132*")-SUMIFS(E3893:E6462,K3893:K6462,"0",B3893:B6462,"5 1 2 1 1 12 31111 6 M59 80200 000132*")</f>
        <v>0</v>
      </c>
      <c r="E3892" s="54"/>
      <c r="F3892" s="83">
        <f>SUMIFS(F3893:F6462,K3893:K6462,"0",B3893:B6462,"5 1 2 1 1 12 31111 6 M59 80200 000132*")</f>
        <v>250</v>
      </c>
      <c r="G3892" s="83">
        <f>SUMIFS(G3893:G6462,K3893:K6462,"0",B3893:B6462,"5 1 2 1 1 12 31111 6 M59 80200 000132*")</f>
        <v>0</v>
      </c>
      <c r="H3892" s="83">
        <f t="shared" si="61"/>
        <v>250</v>
      </c>
      <c r="I3892" s="83"/>
      <c r="K3892" s="54" t="s">
        <v>15</v>
      </c>
    </row>
    <row r="3893" spans="2:11" ht="16.5" x14ac:dyDescent="0.2">
      <c r="B3893" s="82" t="s">
        <v>6292</v>
      </c>
      <c r="C3893" s="82" t="s">
        <v>650</v>
      </c>
      <c r="D3893" s="83">
        <f>SUMIFS(D3894:D6462,K3894:K6462,"0",B3894:B6462,"5 1 2 1 1 12 31111 6 M59 80200 000132 0000R*")-SUMIFS(E3894:E6462,K3894:K6462,"0",B3894:B6462,"5 1 2 1 1 12 31111 6 M59 80200 000132 0000R*")</f>
        <v>0</v>
      </c>
      <c r="E3893" s="54"/>
      <c r="F3893" s="83">
        <f>SUMIFS(F3894:F6462,K3894:K6462,"0",B3894:B6462,"5 1 2 1 1 12 31111 6 M59 80200 000132 0000R*")</f>
        <v>250</v>
      </c>
      <c r="G3893" s="83">
        <f>SUMIFS(G3894:G6462,K3894:K6462,"0",B3894:B6462,"5 1 2 1 1 12 31111 6 M59 80200 000132 0000R*")</f>
        <v>0</v>
      </c>
      <c r="H3893" s="83">
        <f t="shared" si="61"/>
        <v>250</v>
      </c>
      <c r="I3893" s="83"/>
      <c r="K3893" s="54" t="s">
        <v>15</v>
      </c>
    </row>
    <row r="3894" spans="2:11" ht="24.75" x14ac:dyDescent="0.2">
      <c r="B3894" s="82" t="s">
        <v>6293</v>
      </c>
      <c r="C3894" s="82" t="s">
        <v>282</v>
      </c>
      <c r="D3894" s="83">
        <f>SUMIFS(D3895:D6462,K3895:K6462,"0",B3895:B6462,"5 1 2 1 1 12 31111 6 M59 80200 000132 0000R 00001*")-SUMIFS(E3895:E6462,K3895:K6462,"0",B3895:B6462,"5 1 2 1 1 12 31111 6 M59 80200 000132 0000R 00001*")</f>
        <v>0</v>
      </c>
      <c r="E3894" s="54"/>
      <c r="F3894" s="83">
        <f>SUMIFS(F3895:F6462,K3895:K6462,"0",B3895:B6462,"5 1 2 1 1 12 31111 6 M59 80200 000132 0000R 00001*")</f>
        <v>250</v>
      </c>
      <c r="G3894" s="83">
        <f>SUMIFS(G3895:G6462,K3895:K6462,"0",B3895:B6462,"5 1 2 1 1 12 31111 6 M59 80200 000132 0000R 00001*")</f>
        <v>0</v>
      </c>
      <c r="H3894" s="83">
        <f t="shared" si="61"/>
        <v>250</v>
      </c>
      <c r="I3894" s="83"/>
      <c r="K3894" s="54" t="s">
        <v>15</v>
      </c>
    </row>
    <row r="3895" spans="2:11" ht="24.75" x14ac:dyDescent="0.2">
      <c r="B3895" s="82" t="s">
        <v>6294</v>
      </c>
      <c r="C3895" s="82" t="s">
        <v>5827</v>
      </c>
      <c r="D3895" s="83">
        <f>SUMIFS(D3896:D6462,K3896:K6462,"0",B3896:B6462,"5 1 2 1 1 12 31111 6 M59 80200 000132 0000R 00001 00211*")-SUMIFS(E3896:E6462,K3896:K6462,"0",B3896:B6462,"5 1 2 1 1 12 31111 6 M59 80200 000132 0000R 00001 00211*")</f>
        <v>0</v>
      </c>
      <c r="E3895" s="54"/>
      <c r="F3895" s="83">
        <f>SUMIFS(F3896:F6462,K3896:K6462,"0",B3896:B6462,"5 1 2 1 1 12 31111 6 M59 80200 000132 0000R 00001 00211*")</f>
        <v>250</v>
      </c>
      <c r="G3895" s="83">
        <f>SUMIFS(G3896:G6462,K3896:K6462,"0",B3896:B6462,"5 1 2 1 1 12 31111 6 M59 80200 000132 0000R 00001 00211*")</f>
        <v>0</v>
      </c>
      <c r="H3895" s="83">
        <f t="shared" si="61"/>
        <v>250</v>
      </c>
      <c r="I3895" s="83"/>
      <c r="K3895" s="54" t="s">
        <v>15</v>
      </c>
    </row>
    <row r="3896" spans="2:11" ht="24.75" x14ac:dyDescent="0.2">
      <c r="B3896" s="82" t="s">
        <v>6295</v>
      </c>
      <c r="C3896" s="82" t="s">
        <v>1051</v>
      </c>
      <c r="D3896" s="83">
        <f>SUMIFS(D3897:D6462,K3897:K6462,"0",B3897:B6462,"5 1 2 1 1 12 31111 6 M59 80200 000132 0000R 00001 00211 015*")-SUMIFS(E3897:E6462,K3897:K6462,"0",B3897:B6462,"5 1 2 1 1 12 31111 6 M59 80200 000132 0000R 00001 00211 015*")</f>
        <v>0</v>
      </c>
      <c r="E3896" s="54"/>
      <c r="F3896" s="83">
        <f>SUMIFS(F3897:F6462,K3897:K6462,"0",B3897:B6462,"5 1 2 1 1 12 31111 6 M59 80200 000132 0000R 00001 00211 015*")</f>
        <v>250</v>
      </c>
      <c r="G3896" s="83">
        <f>SUMIFS(G3897:G6462,K3897:K6462,"0",B3897:B6462,"5 1 2 1 1 12 31111 6 M59 80200 000132 0000R 00001 00211 015*")</f>
        <v>0</v>
      </c>
      <c r="H3896" s="83">
        <f t="shared" si="61"/>
        <v>250</v>
      </c>
      <c r="I3896" s="83"/>
      <c r="K3896" s="54" t="s">
        <v>15</v>
      </c>
    </row>
    <row r="3897" spans="2:11" ht="33" x14ac:dyDescent="0.2">
      <c r="B3897" s="82" t="s">
        <v>6296</v>
      </c>
      <c r="C3897" s="82" t="s">
        <v>5830</v>
      </c>
      <c r="D3897" s="83">
        <f>SUMIFS(D3898:D6462,K3898:K6462,"0",B3898:B6462,"5 1 2 1 1 12 31111 6 M59 80200 000132 0000R 00001 00211 015 2112000*")-SUMIFS(E3898:E6462,K3898:K6462,"0",B3898:B6462,"5 1 2 1 1 12 31111 6 M59 80200 000132 0000R 00001 00211 015 2112000*")</f>
        <v>0</v>
      </c>
      <c r="E3897" s="54"/>
      <c r="F3897" s="83">
        <f>SUMIFS(F3898:F6462,K3898:K6462,"0",B3898:B6462,"5 1 2 1 1 12 31111 6 M59 80200 000132 0000R 00001 00211 015 2112000*")</f>
        <v>250</v>
      </c>
      <c r="G3897" s="83">
        <f>SUMIFS(G3898:G6462,K3898:K6462,"0",B3898:B6462,"5 1 2 1 1 12 31111 6 M59 80200 000132 0000R 00001 00211 015 2112000*")</f>
        <v>0</v>
      </c>
      <c r="H3897" s="83">
        <f t="shared" si="61"/>
        <v>250</v>
      </c>
      <c r="I3897" s="83"/>
      <c r="K3897" s="54" t="s">
        <v>15</v>
      </c>
    </row>
    <row r="3898" spans="2:11" ht="33" x14ac:dyDescent="0.2">
      <c r="B3898" s="82" t="s">
        <v>6297</v>
      </c>
      <c r="C3898" s="82" t="s">
        <v>660</v>
      </c>
      <c r="D3898" s="83">
        <f>SUMIFS(D3899:D6462,K3899:K6462,"0",B3899:B6462,"5 1 2 1 1 12 31111 6 M59 80200 000132 0000R 00001 00211 015 2112000 2024*")-SUMIFS(E3899:E6462,K3899:K6462,"0",B3899:B6462,"5 1 2 1 1 12 31111 6 M59 80200 000132 0000R 00001 00211 015 2112000 2024*")</f>
        <v>0</v>
      </c>
      <c r="E3898" s="54"/>
      <c r="F3898" s="83">
        <f>SUMIFS(F3899:F6462,K3899:K6462,"0",B3899:B6462,"5 1 2 1 1 12 31111 6 M59 80200 000132 0000R 00001 00211 015 2112000 2024*")</f>
        <v>250</v>
      </c>
      <c r="G3898" s="83">
        <f>SUMIFS(G3899:G6462,K3899:K6462,"0",B3899:B6462,"5 1 2 1 1 12 31111 6 M59 80200 000132 0000R 00001 00211 015 2112000 2024*")</f>
        <v>0</v>
      </c>
      <c r="H3898" s="83">
        <f t="shared" si="61"/>
        <v>250</v>
      </c>
      <c r="I3898" s="83"/>
      <c r="K3898" s="54" t="s">
        <v>15</v>
      </c>
    </row>
    <row r="3899" spans="2:11" ht="41.25" x14ac:dyDescent="0.2">
      <c r="B3899" s="82" t="s">
        <v>6298</v>
      </c>
      <c r="C3899" s="82" t="s">
        <v>1056</v>
      </c>
      <c r="D3899" s="83">
        <f>SUMIFS(D3900:D6462,K3900:K6462,"0",B3900:B6462,"5 1 2 1 1 12 31111 6 M59 80200 000132 0000R 00001 00211 015 2112000 2024 CP1RF400*")-SUMIFS(E3900:E6462,K3900:K6462,"0",B3900:B6462,"5 1 2 1 1 12 31111 6 M59 80200 000132 0000R 00001 00211 015 2112000 2024 CP1RF400*")</f>
        <v>0</v>
      </c>
      <c r="E3899" s="54"/>
      <c r="F3899" s="83">
        <f>SUMIFS(F3900:F6462,K3900:K6462,"0",B3900:B6462,"5 1 2 1 1 12 31111 6 M59 80200 000132 0000R 00001 00211 015 2112000 2024 CP1RF400*")</f>
        <v>250</v>
      </c>
      <c r="G3899" s="83">
        <f>SUMIFS(G3900:G6462,K3900:K6462,"0",B3900:B6462,"5 1 2 1 1 12 31111 6 M59 80200 000132 0000R 00001 00211 015 2112000 2024 CP1RF400*")</f>
        <v>0</v>
      </c>
      <c r="H3899" s="83">
        <f t="shared" si="61"/>
        <v>250</v>
      </c>
      <c r="I3899" s="83"/>
      <c r="K3899" s="54" t="s">
        <v>15</v>
      </c>
    </row>
    <row r="3900" spans="2:11" ht="41.25" x14ac:dyDescent="0.2">
      <c r="B3900" s="82" t="s">
        <v>6299</v>
      </c>
      <c r="C3900" s="82" t="s">
        <v>282</v>
      </c>
      <c r="D3900" s="83">
        <f>SUMIFS(D3901:D6462,K3901:K6462,"0",B3901:B6462,"5 1 2 1 1 12 31111 6 M59 80200 000132 0000R 00001 00211 015 2112000 2024 CP1RF400 001*")-SUMIFS(E3901:E6462,K3901:K6462,"0",B3901:B6462,"5 1 2 1 1 12 31111 6 M59 80200 000132 0000R 00001 00211 015 2112000 2024 CP1RF400 001*")</f>
        <v>0</v>
      </c>
      <c r="E3900" s="54"/>
      <c r="F3900" s="83">
        <f>SUMIFS(F3901:F6462,K3901:K6462,"0",B3901:B6462,"5 1 2 1 1 12 31111 6 M59 80200 000132 0000R 00001 00211 015 2112000 2024 CP1RF400 001*")</f>
        <v>250</v>
      </c>
      <c r="G3900" s="83">
        <f>SUMIFS(G3901:G6462,K3901:K6462,"0",B3901:B6462,"5 1 2 1 1 12 31111 6 M59 80200 000132 0000R 00001 00211 015 2112000 2024 CP1RF400 001*")</f>
        <v>0</v>
      </c>
      <c r="H3900" s="83">
        <f t="shared" si="61"/>
        <v>250</v>
      </c>
      <c r="I3900" s="83"/>
      <c r="K3900" s="54" t="s">
        <v>15</v>
      </c>
    </row>
    <row r="3901" spans="2:11" ht="41.25" x14ac:dyDescent="0.2">
      <c r="B3901" s="84" t="s">
        <v>6300</v>
      </c>
      <c r="C3901" s="84" t="s">
        <v>5827</v>
      </c>
      <c r="D3901" s="85">
        <v>0</v>
      </c>
      <c r="E3901" s="85"/>
      <c r="F3901" s="85">
        <v>250</v>
      </c>
      <c r="G3901" s="85">
        <v>0</v>
      </c>
      <c r="H3901" s="85">
        <f t="shared" si="61"/>
        <v>250</v>
      </c>
      <c r="I3901" s="85"/>
      <c r="K3901" s="54" t="s">
        <v>38</v>
      </c>
    </row>
    <row r="3902" spans="2:11" ht="16.5" x14ac:dyDescent="0.2">
      <c r="B3902" s="82" t="s">
        <v>6301</v>
      </c>
      <c r="C3902" s="82" t="s">
        <v>3547</v>
      </c>
      <c r="D3902" s="83">
        <f>SUMIFS(D3903:D6462,K3903:K6462,"0",B3903:B6462,"5 1 2 1 1 12 31111 6 M59 80300*")-SUMIFS(E3903:E6462,K3903:K6462,"0",B3903:B6462,"5 1 2 1 1 12 31111 6 M59 80300*")</f>
        <v>0</v>
      </c>
      <c r="E3902" s="54"/>
      <c r="F3902" s="83">
        <f>SUMIFS(F3903:F6462,K3903:K6462,"0",B3903:B6462,"5 1 2 1 1 12 31111 6 M59 80300*")</f>
        <v>250</v>
      </c>
      <c r="G3902" s="83">
        <f>SUMIFS(G3903:G6462,K3903:K6462,"0",B3903:B6462,"5 1 2 1 1 12 31111 6 M59 80300*")</f>
        <v>0</v>
      </c>
      <c r="H3902" s="83">
        <f t="shared" si="61"/>
        <v>250</v>
      </c>
      <c r="I3902" s="83"/>
      <c r="K3902" s="54" t="s">
        <v>15</v>
      </c>
    </row>
    <row r="3903" spans="2:11" ht="16.5" x14ac:dyDescent="0.2">
      <c r="B3903" s="82" t="s">
        <v>6302</v>
      </c>
      <c r="C3903" s="82" t="s">
        <v>648</v>
      </c>
      <c r="D3903" s="83">
        <f>SUMIFS(D3904:D6462,K3904:K6462,"0",B3904:B6462,"5 1 2 1 1 12 31111 6 M59 80300 000132*")-SUMIFS(E3904:E6462,K3904:K6462,"0",B3904:B6462,"5 1 2 1 1 12 31111 6 M59 80300 000132*")</f>
        <v>0</v>
      </c>
      <c r="E3903" s="54"/>
      <c r="F3903" s="83">
        <f>SUMIFS(F3904:F6462,K3904:K6462,"0",B3904:B6462,"5 1 2 1 1 12 31111 6 M59 80300 000132*")</f>
        <v>250</v>
      </c>
      <c r="G3903" s="83">
        <f>SUMIFS(G3904:G6462,K3904:K6462,"0",B3904:B6462,"5 1 2 1 1 12 31111 6 M59 80300 000132*")</f>
        <v>0</v>
      </c>
      <c r="H3903" s="83">
        <f t="shared" si="61"/>
        <v>250</v>
      </c>
      <c r="I3903" s="83"/>
      <c r="K3903" s="54" t="s">
        <v>15</v>
      </c>
    </row>
    <row r="3904" spans="2:11" ht="16.5" x14ac:dyDescent="0.2">
      <c r="B3904" s="82" t="s">
        <v>6303</v>
      </c>
      <c r="C3904" s="82" t="s">
        <v>650</v>
      </c>
      <c r="D3904" s="83">
        <f>SUMIFS(D3905:D6462,K3905:K6462,"0",B3905:B6462,"5 1 2 1 1 12 31111 6 M59 80300 000132 0000R*")-SUMIFS(E3905:E6462,K3905:K6462,"0",B3905:B6462,"5 1 2 1 1 12 31111 6 M59 80300 000132 0000R*")</f>
        <v>0</v>
      </c>
      <c r="E3904" s="54"/>
      <c r="F3904" s="83">
        <f>SUMIFS(F3905:F6462,K3905:K6462,"0",B3905:B6462,"5 1 2 1 1 12 31111 6 M59 80300 000132 0000R*")</f>
        <v>250</v>
      </c>
      <c r="G3904" s="83">
        <f>SUMIFS(G3905:G6462,K3905:K6462,"0",B3905:B6462,"5 1 2 1 1 12 31111 6 M59 80300 000132 0000R*")</f>
        <v>0</v>
      </c>
      <c r="H3904" s="83">
        <f t="shared" si="61"/>
        <v>250</v>
      </c>
      <c r="I3904" s="83"/>
      <c r="K3904" s="54" t="s">
        <v>15</v>
      </c>
    </row>
    <row r="3905" spans="2:11" ht="24.75" x14ac:dyDescent="0.2">
      <c r="B3905" s="82" t="s">
        <v>6304</v>
      </c>
      <c r="C3905" s="82" t="s">
        <v>282</v>
      </c>
      <c r="D3905" s="83">
        <f>SUMIFS(D3906:D6462,K3906:K6462,"0",B3906:B6462,"5 1 2 1 1 12 31111 6 M59 80300 000132 0000R 00001*")-SUMIFS(E3906:E6462,K3906:K6462,"0",B3906:B6462,"5 1 2 1 1 12 31111 6 M59 80300 000132 0000R 00001*")</f>
        <v>0</v>
      </c>
      <c r="E3905" s="54"/>
      <c r="F3905" s="83">
        <f>SUMIFS(F3906:F6462,K3906:K6462,"0",B3906:B6462,"5 1 2 1 1 12 31111 6 M59 80300 000132 0000R 00001*")</f>
        <v>250</v>
      </c>
      <c r="G3905" s="83">
        <f>SUMIFS(G3906:G6462,K3906:K6462,"0",B3906:B6462,"5 1 2 1 1 12 31111 6 M59 80300 000132 0000R 00001*")</f>
        <v>0</v>
      </c>
      <c r="H3905" s="83">
        <f t="shared" si="61"/>
        <v>250</v>
      </c>
      <c r="I3905" s="83"/>
      <c r="K3905" s="54" t="s">
        <v>15</v>
      </c>
    </row>
    <row r="3906" spans="2:11" ht="24.75" x14ac:dyDescent="0.2">
      <c r="B3906" s="82" t="s">
        <v>6305</v>
      </c>
      <c r="C3906" s="82" t="s">
        <v>5827</v>
      </c>
      <c r="D3906" s="83">
        <f>SUMIFS(D3907:D6462,K3907:K6462,"0",B3907:B6462,"5 1 2 1 1 12 31111 6 M59 80300 000132 0000R 00001 00211*")-SUMIFS(E3907:E6462,K3907:K6462,"0",B3907:B6462,"5 1 2 1 1 12 31111 6 M59 80300 000132 0000R 00001 00211*")</f>
        <v>0</v>
      </c>
      <c r="E3906" s="54"/>
      <c r="F3906" s="83">
        <f>SUMIFS(F3907:F6462,K3907:K6462,"0",B3907:B6462,"5 1 2 1 1 12 31111 6 M59 80300 000132 0000R 00001 00211*")</f>
        <v>250</v>
      </c>
      <c r="G3906" s="83">
        <f>SUMIFS(G3907:G6462,K3907:K6462,"0",B3907:B6462,"5 1 2 1 1 12 31111 6 M59 80300 000132 0000R 00001 00211*")</f>
        <v>0</v>
      </c>
      <c r="H3906" s="83">
        <f t="shared" si="61"/>
        <v>250</v>
      </c>
      <c r="I3906" s="83"/>
      <c r="K3906" s="54" t="s">
        <v>15</v>
      </c>
    </row>
    <row r="3907" spans="2:11" ht="24.75" x14ac:dyDescent="0.2">
      <c r="B3907" s="82" t="s">
        <v>6306</v>
      </c>
      <c r="C3907" s="82" t="s">
        <v>1051</v>
      </c>
      <c r="D3907" s="83">
        <f>SUMIFS(D3908:D6462,K3908:K6462,"0",B3908:B6462,"5 1 2 1 1 12 31111 6 M59 80300 000132 0000R 00001 00211 015*")-SUMIFS(E3908:E6462,K3908:K6462,"0",B3908:B6462,"5 1 2 1 1 12 31111 6 M59 80300 000132 0000R 00001 00211 015*")</f>
        <v>0</v>
      </c>
      <c r="E3907" s="54"/>
      <c r="F3907" s="83">
        <f>SUMIFS(F3908:F6462,K3908:K6462,"0",B3908:B6462,"5 1 2 1 1 12 31111 6 M59 80300 000132 0000R 00001 00211 015*")</f>
        <v>250</v>
      </c>
      <c r="G3907" s="83">
        <f>SUMIFS(G3908:G6462,K3908:K6462,"0",B3908:B6462,"5 1 2 1 1 12 31111 6 M59 80300 000132 0000R 00001 00211 015*")</f>
        <v>0</v>
      </c>
      <c r="H3907" s="83">
        <f t="shared" si="61"/>
        <v>250</v>
      </c>
      <c r="I3907" s="83"/>
      <c r="K3907" s="54" t="s">
        <v>15</v>
      </c>
    </row>
    <row r="3908" spans="2:11" ht="33" x14ac:dyDescent="0.2">
      <c r="B3908" s="82" t="s">
        <v>6307</v>
      </c>
      <c r="C3908" s="82" t="s">
        <v>5830</v>
      </c>
      <c r="D3908" s="83">
        <f>SUMIFS(D3909:D6462,K3909:K6462,"0",B3909:B6462,"5 1 2 1 1 12 31111 6 M59 80300 000132 0000R 00001 00211 015 2112000*")-SUMIFS(E3909:E6462,K3909:K6462,"0",B3909:B6462,"5 1 2 1 1 12 31111 6 M59 80300 000132 0000R 00001 00211 015 2112000*")</f>
        <v>0</v>
      </c>
      <c r="E3908" s="54"/>
      <c r="F3908" s="83">
        <f>SUMIFS(F3909:F6462,K3909:K6462,"0",B3909:B6462,"5 1 2 1 1 12 31111 6 M59 80300 000132 0000R 00001 00211 015 2112000*")</f>
        <v>250</v>
      </c>
      <c r="G3908" s="83">
        <f>SUMIFS(G3909:G6462,K3909:K6462,"0",B3909:B6462,"5 1 2 1 1 12 31111 6 M59 80300 000132 0000R 00001 00211 015 2112000*")</f>
        <v>0</v>
      </c>
      <c r="H3908" s="83">
        <f t="shared" si="61"/>
        <v>250</v>
      </c>
      <c r="I3908" s="83"/>
      <c r="K3908" s="54" t="s">
        <v>15</v>
      </c>
    </row>
    <row r="3909" spans="2:11" ht="33" x14ac:dyDescent="0.2">
      <c r="B3909" s="82" t="s">
        <v>6308</v>
      </c>
      <c r="C3909" s="82" t="s">
        <v>660</v>
      </c>
      <c r="D3909" s="83">
        <f>SUMIFS(D3910:D6462,K3910:K6462,"0",B3910:B6462,"5 1 2 1 1 12 31111 6 M59 80300 000132 0000R 00001 00211 015 2112000 2024*")-SUMIFS(E3910:E6462,K3910:K6462,"0",B3910:B6462,"5 1 2 1 1 12 31111 6 M59 80300 000132 0000R 00001 00211 015 2112000 2024*")</f>
        <v>0</v>
      </c>
      <c r="E3909" s="54"/>
      <c r="F3909" s="83">
        <f>SUMIFS(F3910:F6462,K3910:K6462,"0",B3910:B6462,"5 1 2 1 1 12 31111 6 M59 80300 000132 0000R 00001 00211 015 2112000 2024*")</f>
        <v>250</v>
      </c>
      <c r="G3909" s="83">
        <f>SUMIFS(G3910:G6462,K3910:K6462,"0",B3910:B6462,"5 1 2 1 1 12 31111 6 M59 80300 000132 0000R 00001 00211 015 2112000 2024*")</f>
        <v>0</v>
      </c>
      <c r="H3909" s="83">
        <f t="shared" si="61"/>
        <v>250</v>
      </c>
      <c r="I3909" s="83"/>
      <c r="K3909" s="54" t="s">
        <v>15</v>
      </c>
    </row>
    <row r="3910" spans="2:11" ht="41.25" x14ac:dyDescent="0.2">
      <c r="B3910" s="82" t="s">
        <v>6309</v>
      </c>
      <c r="C3910" s="82" t="s">
        <v>1056</v>
      </c>
      <c r="D3910" s="83">
        <f>SUMIFS(D3911:D6462,K3911:K6462,"0",B3911:B6462,"5 1 2 1 1 12 31111 6 M59 80300 000132 0000R 00001 00211 015 2112000 2024 CP1GA414*")-SUMIFS(E3911:E6462,K3911:K6462,"0",B3911:B6462,"5 1 2 1 1 12 31111 6 M59 80300 000132 0000R 00001 00211 015 2112000 2024 CP1GA414*")</f>
        <v>0</v>
      </c>
      <c r="E3910" s="54"/>
      <c r="F3910" s="83">
        <f>SUMIFS(F3911:F6462,K3911:K6462,"0",B3911:B6462,"5 1 2 1 1 12 31111 6 M59 80300 000132 0000R 00001 00211 015 2112000 2024 CP1GA414*")</f>
        <v>250</v>
      </c>
      <c r="G3910" s="83">
        <f>SUMIFS(G3911:G6462,K3911:K6462,"0",B3911:B6462,"5 1 2 1 1 12 31111 6 M59 80300 000132 0000R 00001 00211 015 2112000 2024 CP1GA414*")</f>
        <v>0</v>
      </c>
      <c r="H3910" s="83">
        <f t="shared" si="61"/>
        <v>250</v>
      </c>
      <c r="I3910" s="83"/>
      <c r="K3910" s="54" t="s">
        <v>15</v>
      </c>
    </row>
    <row r="3911" spans="2:11" ht="41.25" x14ac:dyDescent="0.2">
      <c r="B3911" s="82" t="s">
        <v>6310</v>
      </c>
      <c r="C3911" s="82" t="s">
        <v>282</v>
      </c>
      <c r="D3911" s="83">
        <f>SUMIFS(D3912:D6462,K3912:K6462,"0",B3912:B6462,"5 1 2 1 1 12 31111 6 M59 80300 000132 0000R 00001 00211 015 2112000 2024 CP1GA414 001*")-SUMIFS(E3912:E6462,K3912:K6462,"0",B3912:B6462,"5 1 2 1 1 12 31111 6 M59 80300 000132 0000R 00001 00211 015 2112000 2024 CP1GA414 001*")</f>
        <v>0</v>
      </c>
      <c r="E3911" s="54"/>
      <c r="F3911" s="83">
        <f>SUMIFS(F3912:F6462,K3912:K6462,"0",B3912:B6462,"5 1 2 1 1 12 31111 6 M59 80300 000132 0000R 00001 00211 015 2112000 2024 CP1GA414 001*")</f>
        <v>250</v>
      </c>
      <c r="G3911" s="83">
        <f>SUMIFS(G3912:G6462,K3912:K6462,"0",B3912:B6462,"5 1 2 1 1 12 31111 6 M59 80300 000132 0000R 00001 00211 015 2112000 2024 CP1GA414 001*")</f>
        <v>0</v>
      </c>
      <c r="H3911" s="83">
        <f t="shared" si="61"/>
        <v>250</v>
      </c>
      <c r="I3911" s="83"/>
      <c r="K3911" s="54" t="s">
        <v>15</v>
      </c>
    </row>
    <row r="3912" spans="2:11" ht="41.25" x14ac:dyDescent="0.2">
      <c r="B3912" s="84" t="s">
        <v>6311</v>
      </c>
      <c r="C3912" s="84" t="s">
        <v>5827</v>
      </c>
      <c r="D3912" s="85">
        <v>0</v>
      </c>
      <c r="E3912" s="85"/>
      <c r="F3912" s="85">
        <v>250</v>
      </c>
      <c r="G3912" s="85">
        <v>0</v>
      </c>
      <c r="H3912" s="85">
        <f t="shared" si="61"/>
        <v>250</v>
      </c>
      <c r="I3912" s="85"/>
      <c r="K3912" s="54" t="s">
        <v>38</v>
      </c>
    </row>
    <row r="3913" spans="2:11" ht="16.5" x14ac:dyDescent="0.2">
      <c r="B3913" s="82" t="s">
        <v>6312</v>
      </c>
      <c r="C3913" s="82" t="s">
        <v>3559</v>
      </c>
      <c r="D3913" s="83">
        <f>SUMIFS(D3914:D6462,K3914:K6462,"0",B3914:B6462,"5 1 2 1 1 12 31111 6 M59 80400*")-SUMIFS(E3914:E6462,K3914:K6462,"0",B3914:B6462,"5 1 2 1 1 12 31111 6 M59 80400*")</f>
        <v>0</v>
      </c>
      <c r="E3913" s="54"/>
      <c r="F3913" s="83">
        <f>SUMIFS(F3914:F6462,K3914:K6462,"0",B3914:B6462,"5 1 2 1 1 12 31111 6 M59 80400*")</f>
        <v>250</v>
      </c>
      <c r="G3913" s="83">
        <f>SUMIFS(G3914:G6462,K3914:K6462,"0",B3914:B6462,"5 1 2 1 1 12 31111 6 M59 80400*")</f>
        <v>0</v>
      </c>
      <c r="H3913" s="83">
        <f t="shared" si="61"/>
        <v>250</v>
      </c>
      <c r="I3913" s="83"/>
      <c r="K3913" s="54" t="s">
        <v>15</v>
      </c>
    </row>
    <row r="3914" spans="2:11" ht="16.5" x14ac:dyDescent="0.2">
      <c r="B3914" s="82" t="s">
        <v>6313</v>
      </c>
      <c r="C3914" s="82" t="s">
        <v>648</v>
      </c>
      <c r="D3914" s="83">
        <f>SUMIFS(D3915:D6462,K3915:K6462,"0",B3915:B6462,"5 1 2 1 1 12 31111 6 M59 80400 000132*")-SUMIFS(E3915:E6462,K3915:K6462,"0",B3915:B6462,"5 1 2 1 1 12 31111 6 M59 80400 000132*")</f>
        <v>0</v>
      </c>
      <c r="E3914" s="54"/>
      <c r="F3914" s="83">
        <f>SUMIFS(F3915:F6462,K3915:K6462,"0",B3915:B6462,"5 1 2 1 1 12 31111 6 M59 80400 000132*")</f>
        <v>250</v>
      </c>
      <c r="G3914" s="83">
        <f>SUMIFS(G3915:G6462,K3915:K6462,"0",B3915:B6462,"5 1 2 1 1 12 31111 6 M59 80400 000132*")</f>
        <v>0</v>
      </c>
      <c r="H3914" s="83">
        <f t="shared" si="61"/>
        <v>250</v>
      </c>
      <c r="I3914" s="83"/>
      <c r="K3914" s="54" t="s">
        <v>15</v>
      </c>
    </row>
    <row r="3915" spans="2:11" ht="16.5" x14ac:dyDescent="0.2">
      <c r="B3915" s="82" t="s">
        <v>6314</v>
      </c>
      <c r="C3915" s="82" t="s">
        <v>650</v>
      </c>
      <c r="D3915" s="83">
        <f>SUMIFS(D3916:D6462,K3916:K6462,"0",B3916:B6462,"5 1 2 1 1 12 31111 6 M59 80400 000132 0000R*")-SUMIFS(E3916:E6462,K3916:K6462,"0",B3916:B6462,"5 1 2 1 1 12 31111 6 M59 80400 000132 0000R*")</f>
        <v>0</v>
      </c>
      <c r="E3915" s="54"/>
      <c r="F3915" s="83">
        <f>SUMIFS(F3916:F6462,K3916:K6462,"0",B3916:B6462,"5 1 2 1 1 12 31111 6 M59 80400 000132 0000R*")</f>
        <v>250</v>
      </c>
      <c r="G3915" s="83">
        <f>SUMIFS(G3916:G6462,K3916:K6462,"0",B3916:B6462,"5 1 2 1 1 12 31111 6 M59 80400 000132 0000R*")</f>
        <v>0</v>
      </c>
      <c r="H3915" s="83">
        <f t="shared" si="61"/>
        <v>250</v>
      </c>
      <c r="I3915" s="83"/>
      <c r="K3915" s="54" t="s">
        <v>15</v>
      </c>
    </row>
    <row r="3916" spans="2:11" ht="24.75" x14ac:dyDescent="0.2">
      <c r="B3916" s="82" t="s">
        <v>6315</v>
      </c>
      <c r="C3916" s="82" t="s">
        <v>282</v>
      </c>
      <c r="D3916" s="83">
        <f>SUMIFS(D3917:D6462,K3917:K6462,"0",B3917:B6462,"5 1 2 1 1 12 31111 6 M59 80400 000132 0000R 00001*")-SUMIFS(E3917:E6462,K3917:K6462,"0",B3917:B6462,"5 1 2 1 1 12 31111 6 M59 80400 000132 0000R 00001*")</f>
        <v>0</v>
      </c>
      <c r="E3916" s="54"/>
      <c r="F3916" s="83">
        <f>SUMIFS(F3917:F6462,K3917:K6462,"0",B3917:B6462,"5 1 2 1 1 12 31111 6 M59 80400 000132 0000R 00001*")</f>
        <v>250</v>
      </c>
      <c r="G3916" s="83">
        <f>SUMIFS(G3917:G6462,K3917:K6462,"0",B3917:B6462,"5 1 2 1 1 12 31111 6 M59 80400 000132 0000R 00001*")</f>
        <v>0</v>
      </c>
      <c r="H3916" s="83">
        <f t="shared" si="61"/>
        <v>250</v>
      </c>
      <c r="I3916" s="83"/>
      <c r="K3916" s="54" t="s">
        <v>15</v>
      </c>
    </row>
    <row r="3917" spans="2:11" ht="24.75" x14ac:dyDescent="0.2">
      <c r="B3917" s="82" t="s">
        <v>6316</v>
      </c>
      <c r="C3917" s="82" t="s">
        <v>5827</v>
      </c>
      <c r="D3917" s="83">
        <f>SUMIFS(D3918:D6462,K3918:K6462,"0",B3918:B6462,"5 1 2 1 1 12 31111 6 M59 80400 000132 0000R 00001 00211*")-SUMIFS(E3918:E6462,K3918:K6462,"0",B3918:B6462,"5 1 2 1 1 12 31111 6 M59 80400 000132 0000R 00001 00211*")</f>
        <v>0</v>
      </c>
      <c r="E3917" s="54"/>
      <c r="F3917" s="83">
        <f>SUMIFS(F3918:F6462,K3918:K6462,"0",B3918:B6462,"5 1 2 1 1 12 31111 6 M59 80400 000132 0000R 00001 00211*")</f>
        <v>250</v>
      </c>
      <c r="G3917" s="83">
        <f>SUMIFS(G3918:G6462,K3918:K6462,"0",B3918:B6462,"5 1 2 1 1 12 31111 6 M59 80400 000132 0000R 00001 00211*")</f>
        <v>0</v>
      </c>
      <c r="H3917" s="83">
        <f t="shared" si="61"/>
        <v>250</v>
      </c>
      <c r="I3917" s="83"/>
      <c r="K3917" s="54" t="s">
        <v>15</v>
      </c>
    </row>
    <row r="3918" spans="2:11" ht="24.75" x14ac:dyDescent="0.2">
      <c r="B3918" s="82" t="s">
        <v>6317</v>
      </c>
      <c r="C3918" s="82" t="s">
        <v>1051</v>
      </c>
      <c r="D3918" s="83">
        <f>SUMIFS(D3919:D6462,K3919:K6462,"0",B3919:B6462,"5 1 2 1 1 12 31111 6 M59 80400 000132 0000R 00001 00211 015*")-SUMIFS(E3919:E6462,K3919:K6462,"0",B3919:B6462,"5 1 2 1 1 12 31111 6 M59 80400 000132 0000R 00001 00211 015*")</f>
        <v>0</v>
      </c>
      <c r="E3918" s="54"/>
      <c r="F3918" s="83">
        <f>SUMIFS(F3919:F6462,K3919:K6462,"0",B3919:B6462,"5 1 2 1 1 12 31111 6 M59 80400 000132 0000R 00001 00211 015*")</f>
        <v>250</v>
      </c>
      <c r="G3918" s="83">
        <f>SUMIFS(G3919:G6462,K3919:K6462,"0",B3919:B6462,"5 1 2 1 1 12 31111 6 M59 80400 000132 0000R 00001 00211 015*")</f>
        <v>0</v>
      </c>
      <c r="H3918" s="83">
        <f t="shared" si="61"/>
        <v>250</v>
      </c>
      <c r="I3918" s="83"/>
      <c r="K3918" s="54" t="s">
        <v>15</v>
      </c>
    </row>
    <row r="3919" spans="2:11" ht="33" x14ac:dyDescent="0.2">
      <c r="B3919" s="82" t="s">
        <v>6318</v>
      </c>
      <c r="C3919" s="82" t="s">
        <v>5830</v>
      </c>
      <c r="D3919" s="83">
        <f>SUMIFS(D3920:D6462,K3920:K6462,"0",B3920:B6462,"5 1 2 1 1 12 31111 6 M59 80400 000132 0000R 00001 00211 015 2112000*")-SUMIFS(E3920:E6462,K3920:K6462,"0",B3920:B6462,"5 1 2 1 1 12 31111 6 M59 80400 000132 0000R 00001 00211 015 2112000*")</f>
        <v>0</v>
      </c>
      <c r="E3919" s="54"/>
      <c r="F3919" s="83">
        <f>SUMIFS(F3920:F6462,K3920:K6462,"0",B3920:B6462,"5 1 2 1 1 12 31111 6 M59 80400 000132 0000R 00001 00211 015 2112000*")</f>
        <v>250</v>
      </c>
      <c r="G3919" s="83">
        <f>SUMIFS(G3920:G6462,K3920:K6462,"0",B3920:B6462,"5 1 2 1 1 12 31111 6 M59 80400 000132 0000R 00001 00211 015 2112000*")</f>
        <v>0</v>
      </c>
      <c r="H3919" s="83">
        <f t="shared" si="61"/>
        <v>250</v>
      </c>
      <c r="I3919" s="83"/>
      <c r="K3919" s="54" t="s">
        <v>15</v>
      </c>
    </row>
    <row r="3920" spans="2:11" ht="33" x14ac:dyDescent="0.2">
      <c r="B3920" s="82" t="s">
        <v>6319</v>
      </c>
      <c r="C3920" s="82" t="s">
        <v>660</v>
      </c>
      <c r="D3920" s="83">
        <f>SUMIFS(D3921:D6462,K3921:K6462,"0",B3921:B6462,"5 1 2 1 1 12 31111 6 M59 80400 000132 0000R 00001 00211 015 2112000 2024*")-SUMIFS(E3921:E6462,K3921:K6462,"0",B3921:B6462,"5 1 2 1 1 12 31111 6 M59 80400 000132 0000R 00001 00211 015 2112000 2024*")</f>
        <v>0</v>
      </c>
      <c r="E3920" s="54"/>
      <c r="F3920" s="83">
        <f>SUMIFS(F3921:F6462,K3921:K6462,"0",B3921:B6462,"5 1 2 1 1 12 31111 6 M59 80400 000132 0000R 00001 00211 015 2112000 2024*")</f>
        <v>250</v>
      </c>
      <c r="G3920" s="83">
        <f>SUMIFS(G3921:G6462,K3921:K6462,"0",B3921:B6462,"5 1 2 1 1 12 31111 6 M59 80400 000132 0000R 00001 00211 015 2112000 2024*")</f>
        <v>0</v>
      </c>
      <c r="H3920" s="83">
        <f t="shared" si="61"/>
        <v>250</v>
      </c>
      <c r="I3920" s="83"/>
      <c r="K3920" s="54" t="s">
        <v>15</v>
      </c>
    </row>
    <row r="3921" spans="2:11" ht="41.25" x14ac:dyDescent="0.2">
      <c r="B3921" s="82" t="s">
        <v>6320</v>
      </c>
      <c r="C3921" s="82" t="s">
        <v>1056</v>
      </c>
      <c r="D3921" s="83">
        <f>SUMIFS(D3922:D6462,K3922:K6462,"0",B3922:B6462,"5 1 2 1 1 12 31111 6 M59 80400 000132 0000R 00001 00211 015 2112000 2024 CP1DP403*")-SUMIFS(E3922:E6462,K3922:K6462,"0",B3922:B6462,"5 1 2 1 1 12 31111 6 M59 80400 000132 0000R 00001 00211 015 2112000 2024 CP1DP403*")</f>
        <v>0</v>
      </c>
      <c r="E3921" s="54"/>
      <c r="F3921" s="83">
        <f>SUMIFS(F3922:F6462,K3922:K6462,"0",B3922:B6462,"5 1 2 1 1 12 31111 6 M59 80400 000132 0000R 00001 00211 015 2112000 2024 CP1DP403*")</f>
        <v>250</v>
      </c>
      <c r="G3921" s="83">
        <f>SUMIFS(G3922:G6462,K3922:K6462,"0",B3922:B6462,"5 1 2 1 1 12 31111 6 M59 80400 000132 0000R 00001 00211 015 2112000 2024 CP1DP403*")</f>
        <v>0</v>
      </c>
      <c r="H3921" s="83">
        <f t="shared" si="61"/>
        <v>250</v>
      </c>
      <c r="I3921" s="83"/>
      <c r="K3921" s="54" t="s">
        <v>15</v>
      </c>
    </row>
    <row r="3922" spans="2:11" ht="41.25" x14ac:dyDescent="0.2">
      <c r="B3922" s="82" t="s">
        <v>6321</v>
      </c>
      <c r="C3922" s="82" t="s">
        <v>282</v>
      </c>
      <c r="D3922" s="83">
        <f>SUMIFS(D3923:D6462,K3923:K6462,"0",B3923:B6462,"5 1 2 1 1 12 31111 6 M59 80400 000132 0000R 00001 00211 015 2112000 2024 CP1DP403 001*")-SUMIFS(E3923:E6462,K3923:K6462,"0",B3923:B6462,"5 1 2 1 1 12 31111 6 M59 80400 000132 0000R 00001 00211 015 2112000 2024 CP1DP403 001*")</f>
        <v>0</v>
      </c>
      <c r="E3922" s="54"/>
      <c r="F3922" s="83">
        <f>SUMIFS(F3923:F6462,K3923:K6462,"0",B3923:B6462,"5 1 2 1 1 12 31111 6 M59 80400 000132 0000R 00001 00211 015 2112000 2024 CP1DP403 001*")</f>
        <v>250</v>
      </c>
      <c r="G3922" s="83">
        <f>SUMIFS(G3923:G6462,K3923:K6462,"0",B3923:B6462,"5 1 2 1 1 12 31111 6 M59 80400 000132 0000R 00001 00211 015 2112000 2024 CP1DP403 001*")</f>
        <v>0</v>
      </c>
      <c r="H3922" s="83">
        <f t="shared" si="61"/>
        <v>250</v>
      </c>
      <c r="I3922" s="83"/>
      <c r="K3922" s="54" t="s">
        <v>15</v>
      </c>
    </row>
    <row r="3923" spans="2:11" ht="41.25" x14ac:dyDescent="0.2">
      <c r="B3923" s="84" t="s">
        <v>6322</v>
      </c>
      <c r="C3923" s="84" t="s">
        <v>5827</v>
      </c>
      <c r="D3923" s="85">
        <v>0</v>
      </c>
      <c r="E3923" s="85"/>
      <c r="F3923" s="85">
        <v>250</v>
      </c>
      <c r="G3923" s="85">
        <v>0</v>
      </c>
      <c r="H3923" s="85">
        <f t="shared" si="61"/>
        <v>250</v>
      </c>
      <c r="I3923" s="85"/>
      <c r="K3923" s="54" t="s">
        <v>38</v>
      </c>
    </row>
    <row r="3924" spans="2:11" ht="24.75" x14ac:dyDescent="0.2">
      <c r="B3924" s="82" t="s">
        <v>6323</v>
      </c>
      <c r="C3924" s="82" t="s">
        <v>3571</v>
      </c>
      <c r="D3924" s="83">
        <f>SUMIFS(D3925:D6462,K3925:K6462,"0",B3925:B6462,"5 1 2 1 1 12 31111 6 M59 80500*")-SUMIFS(E3925:E6462,K3925:K6462,"0",B3925:B6462,"5 1 2 1 1 12 31111 6 M59 80500*")</f>
        <v>0</v>
      </c>
      <c r="E3924" s="54"/>
      <c r="F3924" s="83">
        <f>SUMIFS(F3925:F6462,K3925:K6462,"0",B3925:B6462,"5 1 2 1 1 12 31111 6 M59 80500*")</f>
        <v>250</v>
      </c>
      <c r="G3924" s="83">
        <f>SUMIFS(G3925:G6462,K3925:K6462,"0",B3925:B6462,"5 1 2 1 1 12 31111 6 M59 80500*")</f>
        <v>0</v>
      </c>
      <c r="H3924" s="83">
        <f t="shared" si="61"/>
        <v>250</v>
      </c>
      <c r="I3924" s="83"/>
      <c r="K3924" s="54" t="s">
        <v>15</v>
      </c>
    </row>
    <row r="3925" spans="2:11" ht="16.5" x14ac:dyDescent="0.2">
      <c r="B3925" s="82" t="s">
        <v>6324</v>
      </c>
      <c r="C3925" s="82" t="s">
        <v>3573</v>
      </c>
      <c r="D3925" s="83">
        <f>SUMIFS(D3926:D6462,K3926:K6462,"0",B3926:B6462,"5 1 2 1 1 12 31111 6 M59 80500 000216*")-SUMIFS(E3926:E6462,K3926:K6462,"0",B3926:B6462,"5 1 2 1 1 12 31111 6 M59 80500 000216*")</f>
        <v>0</v>
      </c>
      <c r="E3925" s="54"/>
      <c r="F3925" s="83">
        <f>SUMIFS(F3926:F6462,K3926:K6462,"0",B3926:B6462,"5 1 2 1 1 12 31111 6 M59 80500 000216*")</f>
        <v>250</v>
      </c>
      <c r="G3925" s="83">
        <f>SUMIFS(G3926:G6462,K3926:K6462,"0",B3926:B6462,"5 1 2 1 1 12 31111 6 M59 80500 000216*")</f>
        <v>0</v>
      </c>
      <c r="H3925" s="83">
        <f t="shared" si="61"/>
        <v>250</v>
      </c>
      <c r="I3925" s="83"/>
      <c r="K3925" s="54" t="s">
        <v>15</v>
      </c>
    </row>
    <row r="3926" spans="2:11" ht="16.5" x14ac:dyDescent="0.2">
      <c r="B3926" s="82" t="s">
        <v>6325</v>
      </c>
      <c r="C3926" s="82" t="s">
        <v>650</v>
      </c>
      <c r="D3926" s="83">
        <f>SUMIFS(D3927:D6462,K3927:K6462,"0",B3927:B6462,"5 1 2 1 1 12 31111 6 M59 80500 000216 0000R*")-SUMIFS(E3927:E6462,K3927:K6462,"0",B3927:B6462,"5 1 2 1 1 12 31111 6 M59 80500 000216 0000R*")</f>
        <v>0</v>
      </c>
      <c r="E3926" s="54"/>
      <c r="F3926" s="83">
        <f>SUMIFS(F3927:F6462,K3927:K6462,"0",B3927:B6462,"5 1 2 1 1 12 31111 6 M59 80500 000216 0000R*")</f>
        <v>250</v>
      </c>
      <c r="G3926" s="83">
        <f>SUMIFS(G3927:G6462,K3927:K6462,"0",B3927:B6462,"5 1 2 1 1 12 31111 6 M59 80500 000216 0000R*")</f>
        <v>0</v>
      </c>
      <c r="H3926" s="83">
        <f t="shared" si="61"/>
        <v>250</v>
      </c>
      <c r="I3926" s="83"/>
      <c r="K3926" s="54" t="s">
        <v>15</v>
      </c>
    </row>
    <row r="3927" spans="2:11" ht="24.75" x14ac:dyDescent="0.2">
      <c r="B3927" s="82" t="s">
        <v>6326</v>
      </c>
      <c r="C3927" s="82" t="s">
        <v>282</v>
      </c>
      <c r="D3927" s="83">
        <f>SUMIFS(D3928:D6462,K3928:K6462,"0",B3928:B6462,"5 1 2 1 1 12 31111 6 M59 80500 000216 0000R 00001*")-SUMIFS(E3928:E6462,K3928:K6462,"0",B3928:B6462,"5 1 2 1 1 12 31111 6 M59 80500 000216 0000R 00001*")</f>
        <v>0</v>
      </c>
      <c r="E3927" s="54"/>
      <c r="F3927" s="83">
        <f>SUMIFS(F3928:F6462,K3928:K6462,"0",B3928:B6462,"5 1 2 1 1 12 31111 6 M59 80500 000216 0000R 00001*")</f>
        <v>250</v>
      </c>
      <c r="G3927" s="83">
        <f>SUMIFS(G3928:G6462,K3928:K6462,"0",B3928:B6462,"5 1 2 1 1 12 31111 6 M59 80500 000216 0000R 00001*")</f>
        <v>0</v>
      </c>
      <c r="H3927" s="83">
        <f t="shared" si="61"/>
        <v>250</v>
      </c>
      <c r="I3927" s="83"/>
      <c r="K3927" s="54" t="s">
        <v>15</v>
      </c>
    </row>
    <row r="3928" spans="2:11" ht="24.75" x14ac:dyDescent="0.2">
      <c r="B3928" s="82" t="s">
        <v>6327</v>
      </c>
      <c r="C3928" s="82" t="s">
        <v>5827</v>
      </c>
      <c r="D3928" s="83">
        <f>SUMIFS(D3929:D6462,K3929:K6462,"0",B3929:B6462,"5 1 2 1 1 12 31111 6 M59 80500 000216 0000R 00001 00211*")-SUMIFS(E3929:E6462,K3929:K6462,"0",B3929:B6462,"5 1 2 1 1 12 31111 6 M59 80500 000216 0000R 00001 00211*")</f>
        <v>0</v>
      </c>
      <c r="E3928" s="54"/>
      <c r="F3928" s="83">
        <f>SUMIFS(F3929:F6462,K3929:K6462,"0",B3929:B6462,"5 1 2 1 1 12 31111 6 M59 80500 000216 0000R 00001 00211*")</f>
        <v>250</v>
      </c>
      <c r="G3928" s="83">
        <f>SUMIFS(G3929:G6462,K3929:K6462,"0",B3929:B6462,"5 1 2 1 1 12 31111 6 M59 80500 000216 0000R 00001 00211*")</f>
        <v>0</v>
      </c>
      <c r="H3928" s="83">
        <f t="shared" si="61"/>
        <v>250</v>
      </c>
      <c r="I3928" s="83"/>
      <c r="K3928" s="54" t="s">
        <v>15</v>
      </c>
    </row>
    <row r="3929" spans="2:11" ht="24.75" x14ac:dyDescent="0.2">
      <c r="B3929" s="82" t="s">
        <v>6328</v>
      </c>
      <c r="C3929" s="82" t="s">
        <v>1051</v>
      </c>
      <c r="D3929" s="83">
        <f>SUMIFS(D3930:D6462,K3930:K6462,"0",B3930:B6462,"5 1 2 1 1 12 31111 6 M59 80500 000216 0000R 00001 00211 015*")-SUMIFS(E3930:E6462,K3930:K6462,"0",B3930:B6462,"5 1 2 1 1 12 31111 6 M59 80500 000216 0000R 00001 00211 015*")</f>
        <v>0</v>
      </c>
      <c r="E3929" s="54"/>
      <c r="F3929" s="83">
        <f>SUMIFS(F3930:F6462,K3930:K6462,"0",B3930:B6462,"5 1 2 1 1 12 31111 6 M59 80500 000216 0000R 00001 00211 015*")</f>
        <v>250</v>
      </c>
      <c r="G3929" s="83">
        <f>SUMIFS(G3930:G6462,K3930:K6462,"0",B3930:B6462,"5 1 2 1 1 12 31111 6 M59 80500 000216 0000R 00001 00211 015*")</f>
        <v>0</v>
      </c>
      <c r="H3929" s="83">
        <f t="shared" si="61"/>
        <v>250</v>
      </c>
      <c r="I3929" s="83"/>
      <c r="K3929" s="54" t="s">
        <v>15</v>
      </c>
    </row>
    <row r="3930" spans="2:11" ht="33" x14ac:dyDescent="0.2">
      <c r="B3930" s="82" t="s">
        <v>6329</v>
      </c>
      <c r="C3930" s="82" t="s">
        <v>5830</v>
      </c>
      <c r="D3930" s="83">
        <f>SUMIFS(D3931:D6462,K3931:K6462,"0",B3931:B6462,"5 1 2 1 1 12 31111 6 M59 80500 000216 0000R 00001 00211 015 2112000*")-SUMIFS(E3931:E6462,K3931:K6462,"0",B3931:B6462,"5 1 2 1 1 12 31111 6 M59 80500 000216 0000R 00001 00211 015 2112000*")</f>
        <v>0</v>
      </c>
      <c r="E3930" s="54"/>
      <c r="F3930" s="83">
        <f>SUMIFS(F3931:F6462,K3931:K6462,"0",B3931:B6462,"5 1 2 1 1 12 31111 6 M59 80500 000216 0000R 00001 00211 015 2112000*")</f>
        <v>250</v>
      </c>
      <c r="G3930" s="83">
        <f>SUMIFS(G3931:G6462,K3931:K6462,"0",B3931:B6462,"5 1 2 1 1 12 31111 6 M59 80500 000216 0000R 00001 00211 015 2112000*")</f>
        <v>0</v>
      </c>
      <c r="H3930" s="83">
        <f t="shared" si="61"/>
        <v>250</v>
      </c>
      <c r="I3930" s="83"/>
      <c r="K3930" s="54" t="s">
        <v>15</v>
      </c>
    </row>
    <row r="3931" spans="2:11" ht="33" x14ac:dyDescent="0.2">
      <c r="B3931" s="82" t="s">
        <v>6330</v>
      </c>
      <c r="C3931" s="82" t="s">
        <v>660</v>
      </c>
      <c r="D3931" s="83">
        <f>SUMIFS(D3932:D6462,K3932:K6462,"0",B3932:B6462,"5 1 2 1 1 12 31111 6 M59 80500 000216 0000R 00001 00211 015 2112000 2024*")-SUMIFS(E3932:E6462,K3932:K6462,"0",B3932:B6462,"5 1 2 1 1 12 31111 6 M59 80500 000216 0000R 00001 00211 015 2112000 2024*")</f>
        <v>0</v>
      </c>
      <c r="E3931" s="54"/>
      <c r="F3931" s="83">
        <f>SUMIFS(F3932:F6462,K3932:K6462,"0",B3932:B6462,"5 1 2 1 1 12 31111 6 M59 80500 000216 0000R 00001 00211 015 2112000 2024*")</f>
        <v>250</v>
      </c>
      <c r="G3931" s="83">
        <f>SUMIFS(G3932:G6462,K3932:K6462,"0",B3932:B6462,"5 1 2 1 1 12 31111 6 M59 80500 000216 0000R 00001 00211 015 2112000 2024*")</f>
        <v>0</v>
      </c>
      <c r="H3931" s="83">
        <f t="shared" si="61"/>
        <v>250</v>
      </c>
      <c r="I3931" s="83"/>
      <c r="K3931" s="54" t="s">
        <v>15</v>
      </c>
    </row>
    <row r="3932" spans="2:11" ht="41.25" x14ac:dyDescent="0.2">
      <c r="B3932" s="82" t="s">
        <v>6331</v>
      </c>
      <c r="C3932" s="82" t="s">
        <v>1056</v>
      </c>
      <c r="D3932" s="83">
        <f>SUMIFS(D3933:D6462,K3933:K6462,"0",B3933:B6462,"5 1 2 1 1 12 31111 6 M59 80500 000216 0000R 00001 00211 015 2112000 2024 CP1MA417*")-SUMIFS(E3933:E6462,K3933:K6462,"0",B3933:B6462,"5 1 2 1 1 12 31111 6 M59 80500 000216 0000R 00001 00211 015 2112000 2024 CP1MA417*")</f>
        <v>0</v>
      </c>
      <c r="E3932" s="54"/>
      <c r="F3932" s="83">
        <f>SUMIFS(F3933:F6462,K3933:K6462,"0",B3933:B6462,"5 1 2 1 1 12 31111 6 M59 80500 000216 0000R 00001 00211 015 2112000 2024 CP1MA417*")</f>
        <v>250</v>
      </c>
      <c r="G3932" s="83">
        <f>SUMIFS(G3933:G6462,K3933:K6462,"0",B3933:B6462,"5 1 2 1 1 12 31111 6 M59 80500 000216 0000R 00001 00211 015 2112000 2024 CP1MA417*")</f>
        <v>0</v>
      </c>
      <c r="H3932" s="83">
        <f t="shared" si="61"/>
        <v>250</v>
      </c>
      <c r="I3932" s="83"/>
      <c r="K3932" s="54" t="s">
        <v>15</v>
      </c>
    </row>
    <row r="3933" spans="2:11" ht="41.25" x14ac:dyDescent="0.2">
      <c r="B3933" s="82" t="s">
        <v>6332</v>
      </c>
      <c r="C3933" s="82" t="s">
        <v>282</v>
      </c>
      <c r="D3933" s="83">
        <f>SUMIFS(D3934:D6462,K3934:K6462,"0",B3934:B6462,"5 1 2 1 1 12 31111 6 M59 80500 000216 0000R 00001 00211 015 2112000 2024 CP1MA417 001*")-SUMIFS(E3934:E6462,K3934:K6462,"0",B3934:B6462,"5 1 2 1 1 12 31111 6 M59 80500 000216 0000R 00001 00211 015 2112000 2024 CP1MA417 001*")</f>
        <v>0</v>
      </c>
      <c r="E3933" s="54"/>
      <c r="F3933" s="83">
        <f>SUMIFS(F3934:F6462,K3934:K6462,"0",B3934:B6462,"5 1 2 1 1 12 31111 6 M59 80500 000216 0000R 00001 00211 015 2112000 2024 CP1MA417 001*")</f>
        <v>250</v>
      </c>
      <c r="G3933" s="83">
        <f>SUMIFS(G3934:G6462,K3934:K6462,"0",B3934:B6462,"5 1 2 1 1 12 31111 6 M59 80500 000216 0000R 00001 00211 015 2112000 2024 CP1MA417 001*")</f>
        <v>0</v>
      </c>
      <c r="H3933" s="83">
        <f t="shared" si="61"/>
        <v>250</v>
      </c>
      <c r="I3933" s="83"/>
      <c r="K3933" s="54" t="s">
        <v>15</v>
      </c>
    </row>
    <row r="3934" spans="2:11" ht="33" x14ac:dyDescent="0.2">
      <c r="B3934" s="84" t="s">
        <v>6333</v>
      </c>
      <c r="C3934" s="84" t="s">
        <v>5827</v>
      </c>
      <c r="D3934" s="85">
        <v>0</v>
      </c>
      <c r="E3934" s="85"/>
      <c r="F3934" s="85">
        <v>250</v>
      </c>
      <c r="G3934" s="85">
        <v>0</v>
      </c>
      <c r="H3934" s="85">
        <f t="shared" si="61"/>
        <v>250</v>
      </c>
      <c r="I3934" s="85"/>
      <c r="K3934" s="54" t="s">
        <v>38</v>
      </c>
    </row>
    <row r="3935" spans="2:11" ht="16.5" x14ac:dyDescent="0.2">
      <c r="B3935" s="82" t="s">
        <v>6334</v>
      </c>
      <c r="C3935" s="82" t="s">
        <v>3596</v>
      </c>
      <c r="D3935" s="83">
        <f>SUMIFS(D3936:D6462,K3936:K6462,"0",B3936:B6462,"5 1 2 1 1 12 31111 6 M59 90000*")-SUMIFS(E3936:E6462,K3936:K6462,"0",B3936:B6462,"5 1 2 1 1 12 31111 6 M59 90000*")</f>
        <v>0</v>
      </c>
      <c r="E3935" s="54"/>
      <c r="F3935" s="83">
        <f>SUMIFS(F3936:F6462,K3936:K6462,"0",B3936:B6462,"5 1 2 1 1 12 31111 6 M59 90000*")</f>
        <v>1849.99</v>
      </c>
      <c r="G3935" s="83">
        <f>SUMIFS(G3936:G6462,K3936:K6462,"0",B3936:B6462,"5 1 2 1 1 12 31111 6 M59 90000*")</f>
        <v>0</v>
      </c>
      <c r="H3935" s="83">
        <f t="shared" si="61"/>
        <v>1849.99</v>
      </c>
      <c r="I3935" s="83"/>
      <c r="K3935" s="54" t="s">
        <v>15</v>
      </c>
    </row>
    <row r="3936" spans="2:11" ht="16.5" x14ac:dyDescent="0.2">
      <c r="B3936" s="82" t="s">
        <v>6335</v>
      </c>
      <c r="C3936" s="82" t="s">
        <v>648</v>
      </c>
      <c r="D3936" s="83">
        <f>SUMIFS(D3937:D6462,K3937:K6462,"0",B3937:B6462,"5 1 2 1 1 12 31111 6 M59 90000 000132*")-SUMIFS(E3937:E6462,K3937:K6462,"0",B3937:B6462,"5 1 2 1 1 12 31111 6 M59 90000 000132*")</f>
        <v>0</v>
      </c>
      <c r="E3936" s="54"/>
      <c r="F3936" s="83">
        <f>SUMIFS(F3937:F6462,K3937:K6462,"0",B3937:B6462,"5 1 2 1 1 12 31111 6 M59 90000 000132*")</f>
        <v>1849.99</v>
      </c>
      <c r="G3936" s="83">
        <f>SUMIFS(G3937:G6462,K3937:K6462,"0",B3937:B6462,"5 1 2 1 1 12 31111 6 M59 90000 000132*")</f>
        <v>0</v>
      </c>
      <c r="H3936" s="83">
        <f t="shared" si="61"/>
        <v>1849.99</v>
      </c>
      <c r="I3936" s="83"/>
      <c r="K3936" s="54" t="s">
        <v>15</v>
      </c>
    </row>
    <row r="3937" spans="2:11" ht="16.5" x14ac:dyDescent="0.2">
      <c r="B3937" s="82" t="s">
        <v>6336</v>
      </c>
      <c r="C3937" s="82" t="s">
        <v>650</v>
      </c>
      <c r="D3937" s="83">
        <f>SUMIFS(D3938:D6462,K3938:K6462,"0",B3938:B6462,"5 1 2 1 1 12 31111 6 M59 90000 000132 0000R*")-SUMIFS(E3938:E6462,K3938:K6462,"0",B3938:B6462,"5 1 2 1 1 12 31111 6 M59 90000 000132 0000R*")</f>
        <v>0</v>
      </c>
      <c r="E3937" s="54"/>
      <c r="F3937" s="83">
        <f>SUMIFS(F3938:F6462,K3938:K6462,"0",B3938:B6462,"5 1 2 1 1 12 31111 6 M59 90000 000132 0000R*")</f>
        <v>1849.99</v>
      </c>
      <c r="G3937" s="83">
        <f>SUMIFS(G3938:G6462,K3938:K6462,"0",B3938:B6462,"5 1 2 1 1 12 31111 6 M59 90000 000132 0000R*")</f>
        <v>0</v>
      </c>
      <c r="H3937" s="83">
        <f t="shared" si="61"/>
        <v>1849.99</v>
      </c>
      <c r="I3937" s="83"/>
      <c r="K3937" s="54" t="s">
        <v>15</v>
      </c>
    </row>
    <row r="3938" spans="2:11" ht="24.75" x14ac:dyDescent="0.2">
      <c r="B3938" s="82" t="s">
        <v>6337</v>
      </c>
      <c r="C3938" s="82" t="s">
        <v>282</v>
      </c>
      <c r="D3938" s="83">
        <f>SUMIFS(D3939:D6462,K3939:K6462,"0",B3939:B6462,"5 1 2 1 1 12 31111 6 M59 90000 000132 0000R 00001*")-SUMIFS(E3939:E6462,K3939:K6462,"0",B3939:B6462,"5 1 2 1 1 12 31111 6 M59 90000 000132 0000R 00001*")</f>
        <v>0</v>
      </c>
      <c r="E3938" s="54"/>
      <c r="F3938" s="83">
        <f>SUMIFS(F3939:F6462,K3939:K6462,"0",B3939:B6462,"5 1 2 1 1 12 31111 6 M59 90000 000132 0000R 00001*")</f>
        <v>1849.99</v>
      </c>
      <c r="G3938" s="83">
        <f>SUMIFS(G3939:G6462,K3939:K6462,"0",B3939:B6462,"5 1 2 1 1 12 31111 6 M59 90000 000132 0000R 00001*")</f>
        <v>0</v>
      </c>
      <c r="H3938" s="83">
        <f t="shared" si="61"/>
        <v>1849.99</v>
      </c>
      <c r="I3938" s="83"/>
      <c r="K3938" s="54" t="s">
        <v>15</v>
      </c>
    </row>
    <row r="3939" spans="2:11" ht="24.75" x14ac:dyDescent="0.2">
      <c r="B3939" s="82" t="s">
        <v>6338</v>
      </c>
      <c r="C3939" s="82" t="s">
        <v>5827</v>
      </c>
      <c r="D3939" s="83">
        <f>SUMIFS(D3940:D6462,K3940:K6462,"0",B3940:B6462,"5 1 2 1 1 12 31111 6 M59 90000 000132 0000R 00001 00211*")-SUMIFS(E3940:E6462,K3940:K6462,"0",B3940:B6462,"5 1 2 1 1 12 31111 6 M59 90000 000132 0000R 00001 00211*")</f>
        <v>0</v>
      </c>
      <c r="E3939" s="54"/>
      <c r="F3939" s="83">
        <f>SUMIFS(F3940:F6462,K3940:K6462,"0",B3940:B6462,"5 1 2 1 1 12 31111 6 M59 90000 000132 0000R 00001 00211*")</f>
        <v>1849.99</v>
      </c>
      <c r="G3939" s="83">
        <f>SUMIFS(G3940:G6462,K3940:K6462,"0",B3940:B6462,"5 1 2 1 1 12 31111 6 M59 90000 000132 0000R 00001 00211*")</f>
        <v>0</v>
      </c>
      <c r="H3939" s="83">
        <f t="shared" si="61"/>
        <v>1849.99</v>
      </c>
      <c r="I3939" s="83"/>
      <c r="K3939" s="54" t="s">
        <v>15</v>
      </c>
    </row>
    <row r="3940" spans="2:11" ht="24.75" x14ac:dyDescent="0.2">
      <c r="B3940" s="82" t="s">
        <v>6339</v>
      </c>
      <c r="C3940" s="82" t="s">
        <v>1051</v>
      </c>
      <c r="D3940" s="83">
        <f>SUMIFS(D3941:D6462,K3941:K6462,"0",B3941:B6462,"5 1 2 1 1 12 31111 6 M59 90000 000132 0000R 00001 00211 015*")-SUMIFS(E3941:E6462,K3941:K6462,"0",B3941:B6462,"5 1 2 1 1 12 31111 6 M59 90000 000132 0000R 00001 00211 015*")</f>
        <v>0</v>
      </c>
      <c r="E3940" s="54"/>
      <c r="F3940" s="83">
        <f>SUMIFS(F3941:F6462,K3941:K6462,"0",B3941:B6462,"5 1 2 1 1 12 31111 6 M59 90000 000132 0000R 00001 00211 015*")</f>
        <v>1849.99</v>
      </c>
      <c r="G3940" s="83">
        <f>SUMIFS(G3941:G6462,K3941:K6462,"0",B3941:B6462,"5 1 2 1 1 12 31111 6 M59 90000 000132 0000R 00001 00211 015*")</f>
        <v>0</v>
      </c>
      <c r="H3940" s="83">
        <f t="shared" si="61"/>
        <v>1849.99</v>
      </c>
      <c r="I3940" s="83"/>
      <c r="K3940" s="54" t="s">
        <v>15</v>
      </c>
    </row>
    <row r="3941" spans="2:11" ht="33" x14ac:dyDescent="0.2">
      <c r="B3941" s="82" t="s">
        <v>6340</v>
      </c>
      <c r="C3941" s="82" t="s">
        <v>5830</v>
      </c>
      <c r="D3941" s="83">
        <f>SUMIFS(D3942:D6462,K3942:K6462,"0",B3942:B6462,"5 1 2 1 1 12 31111 6 M59 90000 000132 0000R 00001 00211 015 2112000*")-SUMIFS(E3942:E6462,K3942:K6462,"0",B3942:B6462,"5 1 2 1 1 12 31111 6 M59 90000 000132 0000R 00001 00211 015 2112000*")</f>
        <v>0</v>
      </c>
      <c r="E3941" s="54"/>
      <c r="F3941" s="83">
        <f>SUMIFS(F3942:F6462,K3942:K6462,"0",B3942:B6462,"5 1 2 1 1 12 31111 6 M59 90000 000132 0000R 00001 00211 015 2112000*")</f>
        <v>1849.99</v>
      </c>
      <c r="G3941" s="83">
        <f>SUMIFS(G3942:G6462,K3942:K6462,"0",B3942:B6462,"5 1 2 1 1 12 31111 6 M59 90000 000132 0000R 00001 00211 015 2112000*")</f>
        <v>0</v>
      </c>
      <c r="H3941" s="83">
        <f t="shared" si="61"/>
        <v>1849.99</v>
      </c>
      <c r="I3941" s="83"/>
      <c r="K3941" s="54" t="s">
        <v>15</v>
      </c>
    </row>
    <row r="3942" spans="2:11" ht="33" x14ac:dyDescent="0.2">
      <c r="B3942" s="82" t="s">
        <v>6341</v>
      </c>
      <c r="C3942" s="82" t="s">
        <v>660</v>
      </c>
      <c r="D3942" s="83">
        <f>SUMIFS(D3943:D6462,K3943:K6462,"0",B3943:B6462,"5 1 2 1 1 12 31111 6 M59 90000 000132 0000R 00001 00211 015 2112000 2024*")-SUMIFS(E3943:E6462,K3943:K6462,"0",B3943:B6462,"5 1 2 1 1 12 31111 6 M59 90000 000132 0000R 00001 00211 015 2112000 2024*")</f>
        <v>0</v>
      </c>
      <c r="E3942" s="54"/>
      <c r="F3942" s="83">
        <f>SUMIFS(F3943:F6462,K3943:K6462,"0",B3943:B6462,"5 1 2 1 1 12 31111 6 M59 90000 000132 0000R 00001 00211 015 2112000 2024*")</f>
        <v>1849.99</v>
      </c>
      <c r="G3942" s="83">
        <f>SUMIFS(G3943:G6462,K3943:K6462,"0",B3943:B6462,"5 1 2 1 1 12 31111 6 M59 90000 000132 0000R 00001 00211 015 2112000 2024*")</f>
        <v>0</v>
      </c>
      <c r="H3942" s="83">
        <f t="shared" si="61"/>
        <v>1849.99</v>
      </c>
      <c r="I3942" s="83"/>
      <c r="K3942" s="54" t="s">
        <v>15</v>
      </c>
    </row>
    <row r="3943" spans="2:11" ht="41.25" x14ac:dyDescent="0.2">
      <c r="B3943" s="82" t="s">
        <v>6342</v>
      </c>
      <c r="C3943" s="82" t="s">
        <v>1056</v>
      </c>
      <c r="D3943" s="83">
        <f>SUMIFS(D3944:D6462,K3944:K6462,"0",B3944:B6462,"5 1 2 1 1 12 31111 6 M59 90000 000132 0000R 00001 00211 015 2112000 2024 CP1SG383*")-SUMIFS(E3944:E6462,K3944:K6462,"0",B3944:B6462,"5 1 2 1 1 12 31111 6 M59 90000 000132 0000R 00001 00211 015 2112000 2024 CP1SG383*")</f>
        <v>0</v>
      </c>
      <c r="E3943" s="54"/>
      <c r="F3943" s="83">
        <f>SUMIFS(F3944:F6462,K3944:K6462,"0",B3944:B6462,"5 1 2 1 1 12 31111 6 M59 90000 000132 0000R 00001 00211 015 2112000 2024 CP1SG383*")</f>
        <v>1849.99</v>
      </c>
      <c r="G3943" s="83">
        <f>SUMIFS(G3944:G6462,K3944:K6462,"0",B3944:B6462,"5 1 2 1 1 12 31111 6 M59 90000 000132 0000R 00001 00211 015 2112000 2024 CP1SG383*")</f>
        <v>0</v>
      </c>
      <c r="H3943" s="83">
        <f t="shared" si="61"/>
        <v>1849.99</v>
      </c>
      <c r="I3943" s="83"/>
      <c r="K3943" s="54" t="s">
        <v>15</v>
      </c>
    </row>
    <row r="3944" spans="2:11" ht="41.25" x14ac:dyDescent="0.2">
      <c r="B3944" s="82" t="s">
        <v>6343</v>
      </c>
      <c r="C3944" s="82" t="s">
        <v>282</v>
      </c>
      <c r="D3944" s="83">
        <f>SUMIFS(D3945:D6462,K3945:K6462,"0",B3945:B6462,"5 1 2 1 1 12 31111 6 M59 90000 000132 0000R 00001 00211 015 2112000 2024 CP1SG383 001*")-SUMIFS(E3945:E6462,K3945:K6462,"0",B3945:B6462,"5 1 2 1 1 12 31111 6 M59 90000 000132 0000R 00001 00211 015 2112000 2024 CP1SG383 001*")</f>
        <v>0</v>
      </c>
      <c r="E3944" s="54"/>
      <c r="F3944" s="83">
        <f>SUMIFS(F3945:F6462,K3945:K6462,"0",B3945:B6462,"5 1 2 1 1 12 31111 6 M59 90000 000132 0000R 00001 00211 015 2112000 2024 CP1SG383 001*")</f>
        <v>1849.99</v>
      </c>
      <c r="G3944" s="83">
        <f>SUMIFS(G3945:G6462,K3945:K6462,"0",B3945:B6462,"5 1 2 1 1 12 31111 6 M59 90000 000132 0000R 00001 00211 015 2112000 2024 CP1SG383 001*")</f>
        <v>0</v>
      </c>
      <c r="H3944" s="83">
        <f t="shared" si="61"/>
        <v>1849.99</v>
      </c>
      <c r="I3944" s="83"/>
      <c r="K3944" s="54" t="s">
        <v>15</v>
      </c>
    </row>
    <row r="3945" spans="2:11" ht="41.25" x14ac:dyDescent="0.2">
      <c r="B3945" s="84" t="s">
        <v>6344</v>
      </c>
      <c r="C3945" s="84" t="s">
        <v>5827</v>
      </c>
      <c r="D3945" s="85">
        <v>0</v>
      </c>
      <c r="E3945" s="85"/>
      <c r="F3945" s="85">
        <v>1849.99</v>
      </c>
      <c r="G3945" s="85">
        <v>0</v>
      </c>
      <c r="H3945" s="85">
        <f t="shared" si="61"/>
        <v>1849.99</v>
      </c>
      <c r="I3945" s="85"/>
      <c r="K3945" s="54" t="s">
        <v>38</v>
      </c>
    </row>
    <row r="3946" spans="2:11" ht="16.5" x14ac:dyDescent="0.2">
      <c r="B3946" s="82" t="s">
        <v>6345</v>
      </c>
      <c r="C3946" s="82" t="s">
        <v>3608</v>
      </c>
      <c r="D3946" s="83">
        <f>SUMIFS(D3947:D6462,K3947:K6462,"0",B3947:B6462,"5 1 2 1 1 12 31111 6 M59 91000*")-SUMIFS(E3947:E6462,K3947:K6462,"0",B3947:B6462,"5 1 2 1 1 12 31111 6 M59 91000*")</f>
        <v>0</v>
      </c>
      <c r="E3946" s="54"/>
      <c r="F3946" s="83">
        <f>SUMIFS(F3947:F6462,K3947:K6462,"0",B3947:B6462,"5 1 2 1 1 12 31111 6 M59 91000*")</f>
        <v>899.99</v>
      </c>
      <c r="G3946" s="83">
        <f>SUMIFS(G3947:G6462,K3947:K6462,"0",B3947:B6462,"5 1 2 1 1 12 31111 6 M59 91000*")</f>
        <v>0</v>
      </c>
      <c r="H3946" s="83">
        <f t="shared" si="61"/>
        <v>899.99</v>
      </c>
      <c r="I3946" s="83"/>
      <c r="K3946" s="54" t="s">
        <v>15</v>
      </c>
    </row>
    <row r="3947" spans="2:11" ht="16.5" x14ac:dyDescent="0.2">
      <c r="B3947" s="82" t="s">
        <v>6346</v>
      </c>
      <c r="C3947" s="82" t="s">
        <v>648</v>
      </c>
      <c r="D3947" s="83">
        <f>SUMIFS(D3948:D6462,K3948:K6462,"0",B3948:B6462,"5 1 2 1 1 12 31111 6 M59 91000 000132*")-SUMIFS(E3948:E6462,K3948:K6462,"0",B3948:B6462,"5 1 2 1 1 12 31111 6 M59 91000 000132*")</f>
        <v>0</v>
      </c>
      <c r="E3947" s="54"/>
      <c r="F3947" s="83">
        <f>SUMIFS(F3948:F6462,K3948:K6462,"0",B3948:B6462,"5 1 2 1 1 12 31111 6 M59 91000 000132*")</f>
        <v>899.99</v>
      </c>
      <c r="G3947" s="83">
        <f>SUMIFS(G3948:G6462,K3948:K6462,"0",B3948:B6462,"5 1 2 1 1 12 31111 6 M59 91000 000132*")</f>
        <v>0</v>
      </c>
      <c r="H3947" s="83">
        <f t="shared" ref="H3947:H4010" si="62">D3947 + F3947 - G3947</f>
        <v>899.99</v>
      </c>
      <c r="I3947" s="83"/>
      <c r="K3947" s="54" t="s">
        <v>15</v>
      </c>
    </row>
    <row r="3948" spans="2:11" ht="16.5" x14ac:dyDescent="0.2">
      <c r="B3948" s="82" t="s">
        <v>6347</v>
      </c>
      <c r="C3948" s="82" t="s">
        <v>650</v>
      </c>
      <c r="D3948" s="83">
        <f>SUMIFS(D3949:D6462,K3949:K6462,"0",B3949:B6462,"5 1 2 1 1 12 31111 6 M59 91000 000132 0000R*")-SUMIFS(E3949:E6462,K3949:K6462,"0",B3949:B6462,"5 1 2 1 1 12 31111 6 M59 91000 000132 0000R*")</f>
        <v>0</v>
      </c>
      <c r="E3948" s="54"/>
      <c r="F3948" s="83">
        <f>SUMIFS(F3949:F6462,K3949:K6462,"0",B3949:B6462,"5 1 2 1 1 12 31111 6 M59 91000 000132 0000R*")</f>
        <v>899.99</v>
      </c>
      <c r="G3948" s="83">
        <f>SUMIFS(G3949:G6462,K3949:K6462,"0",B3949:B6462,"5 1 2 1 1 12 31111 6 M59 91000 000132 0000R*")</f>
        <v>0</v>
      </c>
      <c r="H3948" s="83">
        <f t="shared" si="62"/>
        <v>899.99</v>
      </c>
      <c r="I3948" s="83"/>
      <c r="K3948" s="54" t="s">
        <v>15</v>
      </c>
    </row>
    <row r="3949" spans="2:11" ht="24.75" x14ac:dyDescent="0.2">
      <c r="B3949" s="82" t="s">
        <v>6348</v>
      </c>
      <c r="C3949" s="82" t="s">
        <v>282</v>
      </c>
      <c r="D3949" s="83">
        <f>SUMIFS(D3950:D6462,K3950:K6462,"0",B3950:B6462,"5 1 2 1 1 12 31111 6 M59 91000 000132 0000R 00001*")-SUMIFS(E3950:E6462,K3950:K6462,"0",B3950:B6462,"5 1 2 1 1 12 31111 6 M59 91000 000132 0000R 00001*")</f>
        <v>0</v>
      </c>
      <c r="E3949" s="54"/>
      <c r="F3949" s="83">
        <f>SUMIFS(F3950:F6462,K3950:K6462,"0",B3950:B6462,"5 1 2 1 1 12 31111 6 M59 91000 000132 0000R 00001*")</f>
        <v>899.99</v>
      </c>
      <c r="G3949" s="83">
        <f>SUMIFS(G3950:G6462,K3950:K6462,"0",B3950:B6462,"5 1 2 1 1 12 31111 6 M59 91000 000132 0000R 00001*")</f>
        <v>0</v>
      </c>
      <c r="H3949" s="83">
        <f t="shared" si="62"/>
        <v>899.99</v>
      </c>
      <c r="I3949" s="83"/>
      <c r="K3949" s="54" t="s">
        <v>15</v>
      </c>
    </row>
    <row r="3950" spans="2:11" ht="24.75" x14ac:dyDescent="0.2">
      <c r="B3950" s="82" t="s">
        <v>6349</v>
      </c>
      <c r="C3950" s="82" t="s">
        <v>5827</v>
      </c>
      <c r="D3950" s="83">
        <f>SUMIFS(D3951:D6462,K3951:K6462,"0",B3951:B6462,"5 1 2 1 1 12 31111 6 M59 91000 000132 0000R 00001 00211*")-SUMIFS(E3951:E6462,K3951:K6462,"0",B3951:B6462,"5 1 2 1 1 12 31111 6 M59 91000 000132 0000R 00001 00211*")</f>
        <v>0</v>
      </c>
      <c r="E3950" s="54"/>
      <c r="F3950" s="83">
        <f>SUMIFS(F3951:F6462,K3951:K6462,"0",B3951:B6462,"5 1 2 1 1 12 31111 6 M59 91000 000132 0000R 00001 00211*")</f>
        <v>899.99</v>
      </c>
      <c r="G3950" s="83">
        <f>SUMIFS(G3951:G6462,K3951:K6462,"0",B3951:B6462,"5 1 2 1 1 12 31111 6 M59 91000 000132 0000R 00001 00211*")</f>
        <v>0</v>
      </c>
      <c r="H3950" s="83">
        <f t="shared" si="62"/>
        <v>899.99</v>
      </c>
      <c r="I3950" s="83"/>
      <c r="K3950" s="54" t="s">
        <v>15</v>
      </c>
    </row>
    <row r="3951" spans="2:11" ht="24.75" x14ac:dyDescent="0.2">
      <c r="B3951" s="82" t="s">
        <v>6350</v>
      </c>
      <c r="C3951" s="82" t="s">
        <v>1051</v>
      </c>
      <c r="D3951" s="83">
        <f>SUMIFS(D3952:D6462,K3952:K6462,"0",B3952:B6462,"5 1 2 1 1 12 31111 6 M59 91000 000132 0000R 00001 00211 015*")-SUMIFS(E3952:E6462,K3952:K6462,"0",B3952:B6462,"5 1 2 1 1 12 31111 6 M59 91000 000132 0000R 00001 00211 015*")</f>
        <v>0</v>
      </c>
      <c r="E3951" s="54"/>
      <c r="F3951" s="83">
        <f>SUMIFS(F3952:F6462,K3952:K6462,"0",B3952:B6462,"5 1 2 1 1 12 31111 6 M59 91000 000132 0000R 00001 00211 015*")</f>
        <v>899.99</v>
      </c>
      <c r="G3951" s="83">
        <f>SUMIFS(G3952:G6462,K3952:K6462,"0",B3952:B6462,"5 1 2 1 1 12 31111 6 M59 91000 000132 0000R 00001 00211 015*")</f>
        <v>0</v>
      </c>
      <c r="H3951" s="83">
        <f t="shared" si="62"/>
        <v>899.99</v>
      </c>
      <c r="I3951" s="83"/>
      <c r="K3951" s="54" t="s">
        <v>15</v>
      </c>
    </row>
    <row r="3952" spans="2:11" ht="33" x14ac:dyDescent="0.2">
      <c r="B3952" s="82" t="s">
        <v>6351</v>
      </c>
      <c r="C3952" s="82" t="s">
        <v>5830</v>
      </c>
      <c r="D3952" s="83">
        <f>SUMIFS(D3953:D6462,K3953:K6462,"0",B3953:B6462,"5 1 2 1 1 12 31111 6 M59 91000 000132 0000R 00001 00211 015 2112000*")-SUMIFS(E3953:E6462,K3953:K6462,"0",B3953:B6462,"5 1 2 1 1 12 31111 6 M59 91000 000132 0000R 00001 00211 015 2112000*")</f>
        <v>0</v>
      </c>
      <c r="E3952" s="54"/>
      <c r="F3952" s="83">
        <f>SUMIFS(F3953:F6462,K3953:K6462,"0",B3953:B6462,"5 1 2 1 1 12 31111 6 M59 91000 000132 0000R 00001 00211 015 2112000*")</f>
        <v>899.99</v>
      </c>
      <c r="G3952" s="83">
        <f>SUMIFS(G3953:G6462,K3953:K6462,"0",B3953:B6462,"5 1 2 1 1 12 31111 6 M59 91000 000132 0000R 00001 00211 015 2112000*")</f>
        <v>0</v>
      </c>
      <c r="H3952" s="83">
        <f t="shared" si="62"/>
        <v>899.99</v>
      </c>
      <c r="I3952" s="83"/>
      <c r="K3952" s="54" t="s">
        <v>15</v>
      </c>
    </row>
    <row r="3953" spans="2:11" ht="33" x14ac:dyDescent="0.2">
      <c r="B3953" s="82" t="s">
        <v>6352</v>
      </c>
      <c r="C3953" s="82" t="s">
        <v>660</v>
      </c>
      <c r="D3953" s="83">
        <f>SUMIFS(D3954:D6462,K3954:K6462,"0",B3954:B6462,"5 1 2 1 1 12 31111 6 M59 91000 000132 0000R 00001 00211 015 2112000 2024*")-SUMIFS(E3954:E6462,K3954:K6462,"0",B3954:B6462,"5 1 2 1 1 12 31111 6 M59 91000 000132 0000R 00001 00211 015 2112000 2024*")</f>
        <v>0</v>
      </c>
      <c r="E3953" s="54"/>
      <c r="F3953" s="83">
        <f>SUMIFS(F3954:F6462,K3954:K6462,"0",B3954:B6462,"5 1 2 1 1 12 31111 6 M59 91000 000132 0000R 00001 00211 015 2112000 2024*")</f>
        <v>899.99</v>
      </c>
      <c r="G3953" s="83">
        <f>SUMIFS(G3954:G6462,K3954:K6462,"0",B3954:B6462,"5 1 2 1 1 12 31111 6 M59 91000 000132 0000R 00001 00211 015 2112000 2024*")</f>
        <v>0</v>
      </c>
      <c r="H3953" s="83">
        <f t="shared" si="62"/>
        <v>899.99</v>
      </c>
      <c r="I3953" s="83"/>
      <c r="K3953" s="54" t="s">
        <v>15</v>
      </c>
    </row>
    <row r="3954" spans="2:11" ht="41.25" x14ac:dyDescent="0.2">
      <c r="B3954" s="82" t="s">
        <v>6353</v>
      </c>
      <c r="C3954" s="82" t="s">
        <v>1056</v>
      </c>
      <c r="D3954" s="83">
        <f>SUMIFS(D3955:D6462,K3955:K6462,"0",B3955:B6462,"5 1 2 1 1 12 31111 6 M59 91000 000132 0000R 00001 00211 015 2112000 2024 CP1RE398*")-SUMIFS(E3955:E6462,K3955:K6462,"0",B3955:B6462,"5 1 2 1 1 12 31111 6 M59 91000 000132 0000R 00001 00211 015 2112000 2024 CP1RE398*")</f>
        <v>0</v>
      </c>
      <c r="E3954" s="54"/>
      <c r="F3954" s="83">
        <f>SUMIFS(F3955:F6462,K3955:K6462,"0",B3955:B6462,"5 1 2 1 1 12 31111 6 M59 91000 000132 0000R 00001 00211 015 2112000 2024 CP1RE398*")</f>
        <v>899.99</v>
      </c>
      <c r="G3954" s="83">
        <f>SUMIFS(G3955:G6462,K3955:K6462,"0",B3955:B6462,"5 1 2 1 1 12 31111 6 M59 91000 000132 0000R 00001 00211 015 2112000 2024 CP1RE398*")</f>
        <v>0</v>
      </c>
      <c r="H3954" s="83">
        <f t="shared" si="62"/>
        <v>899.99</v>
      </c>
      <c r="I3954" s="83"/>
      <c r="K3954" s="54" t="s">
        <v>15</v>
      </c>
    </row>
    <row r="3955" spans="2:11" ht="41.25" x14ac:dyDescent="0.2">
      <c r="B3955" s="82" t="s">
        <v>6354</v>
      </c>
      <c r="C3955" s="82" t="s">
        <v>282</v>
      </c>
      <c r="D3955" s="83">
        <f>SUMIFS(D3956:D6462,K3956:K6462,"0",B3956:B6462,"5 1 2 1 1 12 31111 6 M59 91000 000132 0000R 00001 00211 015 2112000 2024 CP1RE398 001*")-SUMIFS(E3956:E6462,K3956:K6462,"0",B3956:B6462,"5 1 2 1 1 12 31111 6 M59 91000 000132 0000R 00001 00211 015 2112000 2024 CP1RE398 001*")</f>
        <v>0</v>
      </c>
      <c r="E3955" s="54"/>
      <c r="F3955" s="83">
        <f>SUMIFS(F3956:F6462,K3956:K6462,"0",B3956:B6462,"5 1 2 1 1 12 31111 6 M59 91000 000132 0000R 00001 00211 015 2112000 2024 CP1RE398 001*")</f>
        <v>899.99</v>
      </c>
      <c r="G3955" s="83">
        <f>SUMIFS(G3956:G6462,K3956:K6462,"0",B3956:B6462,"5 1 2 1 1 12 31111 6 M59 91000 000132 0000R 00001 00211 015 2112000 2024 CP1RE398 001*")</f>
        <v>0</v>
      </c>
      <c r="H3955" s="83">
        <f t="shared" si="62"/>
        <v>899.99</v>
      </c>
      <c r="I3955" s="83"/>
      <c r="K3955" s="54" t="s">
        <v>15</v>
      </c>
    </row>
    <row r="3956" spans="2:11" ht="33" x14ac:dyDescent="0.2">
      <c r="B3956" s="84" t="s">
        <v>6355</v>
      </c>
      <c r="C3956" s="84" t="s">
        <v>5827</v>
      </c>
      <c r="D3956" s="85">
        <v>0</v>
      </c>
      <c r="E3956" s="85"/>
      <c r="F3956" s="85">
        <v>899.99</v>
      </c>
      <c r="G3956" s="85">
        <v>0</v>
      </c>
      <c r="H3956" s="85">
        <f t="shared" si="62"/>
        <v>899.99</v>
      </c>
      <c r="I3956" s="85"/>
      <c r="K3956" s="54" t="s">
        <v>38</v>
      </c>
    </row>
    <row r="3957" spans="2:11" ht="16.5" x14ac:dyDescent="0.2">
      <c r="B3957" s="82" t="s">
        <v>6356</v>
      </c>
      <c r="C3957" s="82" t="s">
        <v>3620</v>
      </c>
      <c r="D3957" s="83">
        <f>SUMIFS(D3958:D6462,K3958:K6462,"0",B3958:B6462,"5 1 2 1 1 12 31111 6 M59 92000*")-SUMIFS(E3958:E6462,K3958:K6462,"0",B3958:B6462,"5 1 2 1 1 12 31111 6 M59 92000*")</f>
        <v>0</v>
      </c>
      <c r="E3957" s="54"/>
      <c r="F3957" s="83">
        <f>SUMIFS(F3958:F6462,K3958:K6462,"0",B3958:B6462,"5 1 2 1 1 12 31111 6 M59 92000*")</f>
        <v>1798704.91</v>
      </c>
      <c r="G3957" s="83">
        <f>SUMIFS(G3958:G6462,K3958:K6462,"0",B3958:B6462,"5 1 2 1 1 12 31111 6 M59 92000*")</f>
        <v>0</v>
      </c>
      <c r="H3957" s="83">
        <f t="shared" si="62"/>
        <v>1798704.91</v>
      </c>
      <c r="I3957" s="83"/>
      <c r="K3957" s="54" t="s">
        <v>15</v>
      </c>
    </row>
    <row r="3958" spans="2:11" ht="24.75" x14ac:dyDescent="0.2">
      <c r="B3958" s="82" t="s">
        <v>6357</v>
      </c>
      <c r="C3958" s="82" t="s">
        <v>3152</v>
      </c>
      <c r="D3958" s="83">
        <f>SUMIFS(D3959:D6462,K3959:K6462,"0",B3959:B6462,"5 1 2 1 1 12 31111 6 M59 92000 000181*")-SUMIFS(E3959:E6462,K3959:K6462,"0",B3959:B6462,"5 1 2 1 1 12 31111 6 M59 92000 000181*")</f>
        <v>0</v>
      </c>
      <c r="E3958" s="54"/>
      <c r="F3958" s="83">
        <f>SUMIFS(F3959:F6462,K3959:K6462,"0",B3959:B6462,"5 1 2 1 1 12 31111 6 M59 92000 000181*")</f>
        <v>1798704.91</v>
      </c>
      <c r="G3958" s="83">
        <f>SUMIFS(G3959:G6462,K3959:K6462,"0",B3959:B6462,"5 1 2 1 1 12 31111 6 M59 92000 000181*")</f>
        <v>0</v>
      </c>
      <c r="H3958" s="83">
        <f t="shared" si="62"/>
        <v>1798704.91</v>
      </c>
      <c r="I3958" s="83"/>
      <c r="K3958" s="54" t="s">
        <v>15</v>
      </c>
    </row>
    <row r="3959" spans="2:11" ht="16.5" x14ac:dyDescent="0.2">
      <c r="B3959" s="82" t="s">
        <v>6358</v>
      </c>
      <c r="C3959" s="82" t="s">
        <v>1065</v>
      </c>
      <c r="D3959" s="83">
        <f>SUMIFS(D3960:D6462,K3960:K6462,"0",B3960:B6462,"5 1 2 1 1 12 31111 6 M59 92000 000181 0000E*")-SUMIFS(E3960:E6462,K3960:K6462,"0",B3960:B6462,"5 1 2 1 1 12 31111 6 M59 92000 000181 0000E*")</f>
        <v>0</v>
      </c>
      <c r="E3959" s="54"/>
      <c r="F3959" s="83">
        <f>SUMIFS(F3960:F6462,K3960:K6462,"0",B3960:B6462,"5 1 2 1 1 12 31111 6 M59 92000 000181 0000E*")</f>
        <v>1798704.91</v>
      </c>
      <c r="G3959" s="83">
        <f>SUMIFS(G3960:G6462,K3960:K6462,"0",B3960:B6462,"5 1 2 1 1 12 31111 6 M59 92000 000181 0000E*")</f>
        <v>0</v>
      </c>
      <c r="H3959" s="83">
        <f t="shared" si="62"/>
        <v>1798704.91</v>
      </c>
      <c r="I3959" s="83"/>
      <c r="K3959" s="54" t="s">
        <v>15</v>
      </c>
    </row>
    <row r="3960" spans="2:11" ht="24.75" x14ac:dyDescent="0.2">
      <c r="B3960" s="82" t="s">
        <v>6359</v>
      </c>
      <c r="C3960" s="82" t="s">
        <v>282</v>
      </c>
      <c r="D3960" s="83">
        <f>SUMIFS(D3961:D6462,K3961:K6462,"0",B3961:B6462,"5 1 2 1 1 12 31111 6 M59 92000 000181 0000E 00001*")-SUMIFS(E3961:E6462,K3961:K6462,"0",B3961:B6462,"5 1 2 1 1 12 31111 6 M59 92000 000181 0000E 00001*")</f>
        <v>0</v>
      </c>
      <c r="E3960" s="54"/>
      <c r="F3960" s="83">
        <f>SUMIFS(F3961:F6462,K3961:K6462,"0",B3961:B6462,"5 1 2 1 1 12 31111 6 M59 92000 000181 0000E 00001*")</f>
        <v>1798704.91</v>
      </c>
      <c r="G3960" s="83">
        <f>SUMIFS(G3961:G6462,K3961:K6462,"0",B3961:B6462,"5 1 2 1 1 12 31111 6 M59 92000 000181 0000E 00001*")</f>
        <v>0</v>
      </c>
      <c r="H3960" s="83">
        <f t="shared" si="62"/>
        <v>1798704.91</v>
      </c>
      <c r="I3960" s="83"/>
      <c r="K3960" s="54" t="s">
        <v>15</v>
      </c>
    </row>
    <row r="3961" spans="2:11" ht="24.75" x14ac:dyDescent="0.2">
      <c r="B3961" s="82" t="s">
        <v>6360</v>
      </c>
      <c r="C3961" s="82" t="s">
        <v>5827</v>
      </c>
      <c r="D3961" s="83">
        <f>SUMIFS(D3962:D6462,K3962:K6462,"0",B3962:B6462,"5 1 2 1 1 12 31111 6 M59 92000 000181 0000E 00001 00211*")-SUMIFS(E3962:E6462,K3962:K6462,"0",B3962:B6462,"5 1 2 1 1 12 31111 6 M59 92000 000181 0000E 00001 00211*")</f>
        <v>0</v>
      </c>
      <c r="E3961" s="54"/>
      <c r="F3961" s="83">
        <f>SUMIFS(F3962:F6462,K3962:K6462,"0",B3962:B6462,"5 1 2 1 1 12 31111 6 M59 92000 000181 0000E 00001 00211*")</f>
        <v>1798704.91</v>
      </c>
      <c r="G3961" s="83">
        <f>SUMIFS(G3962:G6462,K3962:K6462,"0",B3962:B6462,"5 1 2 1 1 12 31111 6 M59 92000 000181 0000E 00001 00211*")</f>
        <v>0</v>
      </c>
      <c r="H3961" s="83">
        <f t="shared" si="62"/>
        <v>1798704.91</v>
      </c>
      <c r="I3961" s="83"/>
      <c r="K3961" s="54" t="s">
        <v>15</v>
      </c>
    </row>
    <row r="3962" spans="2:11" ht="24.75" x14ac:dyDescent="0.2">
      <c r="B3962" s="82" t="s">
        <v>6361</v>
      </c>
      <c r="C3962" s="82" t="s">
        <v>1051</v>
      </c>
      <c r="D3962" s="83">
        <f>SUMIFS(D3963:D6462,K3963:K6462,"0",B3963:B6462,"5 1 2 1 1 12 31111 6 M59 92000 000181 0000E 00001 00211 015*")-SUMIFS(E3963:E6462,K3963:K6462,"0",B3963:B6462,"5 1 2 1 1 12 31111 6 M59 92000 000181 0000E 00001 00211 015*")</f>
        <v>0</v>
      </c>
      <c r="E3962" s="54"/>
      <c r="F3962" s="83">
        <f>SUMIFS(F3963:F6462,K3963:K6462,"0",B3963:B6462,"5 1 2 1 1 12 31111 6 M59 92000 000181 0000E 00001 00211 015*")</f>
        <v>1798704.91</v>
      </c>
      <c r="G3962" s="83">
        <f>SUMIFS(G3963:G6462,K3963:K6462,"0",B3963:B6462,"5 1 2 1 1 12 31111 6 M59 92000 000181 0000E 00001 00211 015*")</f>
        <v>0</v>
      </c>
      <c r="H3962" s="83">
        <f t="shared" si="62"/>
        <v>1798704.91</v>
      </c>
      <c r="I3962" s="83"/>
      <c r="K3962" s="54" t="s">
        <v>15</v>
      </c>
    </row>
    <row r="3963" spans="2:11" ht="33" x14ac:dyDescent="0.2">
      <c r="B3963" s="82" t="s">
        <v>6362</v>
      </c>
      <c r="C3963" s="82" t="s">
        <v>5830</v>
      </c>
      <c r="D3963" s="83">
        <f>SUMIFS(D3964:D6462,K3964:K6462,"0",B3964:B6462,"5 1 2 1 1 12 31111 6 M59 92000 000181 0000E 00001 00211 015 2112000*")-SUMIFS(E3964:E6462,K3964:K6462,"0",B3964:B6462,"5 1 2 1 1 12 31111 6 M59 92000 000181 0000E 00001 00211 015 2112000*")</f>
        <v>0</v>
      </c>
      <c r="E3963" s="54"/>
      <c r="F3963" s="83">
        <f>SUMIFS(F3964:F6462,K3964:K6462,"0",B3964:B6462,"5 1 2 1 1 12 31111 6 M59 92000 000181 0000E 00001 00211 015 2112000*")</f>
        <v>1798704.91</v>
      </c>
      <c r="G3963" s="83">
        <f>SUMIFS(G3964:G6462,K3964:K6462,"0",B3964:B6462,"5 1 2 1 1 12 31111 6 M59 92000 000181 0000E 00001 00211 015 2112000*")</f>
        <v>0</v>
      </c>
      <c r="H3963" s="83">
        <f t="shared" si="62"/>
        <v>1798704.91</v>
      </c>
      <c r="I3963" s="83"/>
      <c r="K3963" s="54" t="s">
        <v>15</v>
      </c>
    </row>
    <row r="3964" spans="2:11" ht="33" x14ac:dyDescent="0.2">
      <c r="B3964" s="82" t="s">
        <v>6363</v>
      </c>
      <c r="C3964" s="82" t="s">
        <v>660</v>
      </c>
      <c r="D3964" s="83">
        <f>SUMIFS(D3965:D6462,K3965:K6462,"0",B3965:B6462,"5 1 2 1 1 12 31111 6 M59 92000 000181 0000E 00001 00211 015 2112000 2024*")-SUMIFS(E3965:E6462,K3965:K6462,"0",B3965:B6462,"5 1 2 1 1 12 31111 6 M59 92000 000181 0000E 00001 00211 015 2112000 2024*")</f>
        <v>0</v>
      </c>
      <c r="E3964" s="54"/>
      <c r="F3964" s="83">
        <f>SUMIFS(F3965:F6462,K3965:K6462,"0",B3965:B6462,"5 1 2 1 1 12 31111 6 M59 92000 000181 0000E 00001 00211 015 2112000 2024*")</f>
        <v>1798704.91</v>
      </c>
      <c r="G3964" s="83">
        <f>SUMIFS(G3965:G6462,K3965:K6462,"0",B3965:B6462,"5 1 2 1 1 12 31111 6 M59 92000 000181 0000E 00001 00211 015 2112000 2024*")</f>
        <v>0</v>
      </c>
      <c r="H3964" s="83">
        <f t="shared" si="62"/>
        <v>1798704.91</v>
      </c>
      <c r="I3964" s="83"/>
      <c r="K3964" s="54" t="s">
        <v>15</v>
      </c>
    </row>
    <row r="3965" spans="2:11" ht="41.25" x14ac:dyDescent="0.2">
      <c r="B3965" s="82" t="s">
        <v>6364</v>
      </c>
      <c r="C3965" s="82" t="s">
        <v>1056</v>
      </c>
      <c r="D3965" s="83">
        <f>SUMIFS(D3966:D6462,K3966:K6462,"0",B3966:B6462,"5 1 2 1 1 12 31111 6 M59 92000 000181 0000E 00001 00211 015 2112000 2024 CP1RC399*")-SUMIFS(E3966:E6462,K3966:K6462,"0",B3966:B6462,"5 1 2 1 1 12 31111 6 M59 92000 000181 0000E 00001 00211 015 2112000 2024 CP1RC399*")</f>
        <v>0</v>
      </c>
      <c r="E3965" s="54"/>
      <c r="F3965" s="83">
        <f>SUMIFS(F3966:F6462,K3966:K6462,"0",B3966:B6462,"5 1 2 1 1 12 31111 6 M59 92000 000181 0000E 00001 00211 015 2112000 2024 CP1RC399*")</f>
        <v>1798704.91</v>
      </c>
      <c r="G3965" s="83">
        <f>SUMIFS(G3966:G6462,K3966:K6462,"0",B3966:B6462,"5 1 2 1 1 12 31111 6 M59 92000 000181 0000E 00001 00211 015 2112000 2024 CP1RC399*")</f>
        <v>0</v>
      </c>
      <c r="H3965" s="83">
        <f t="shared" si="62"/>
        <v>1798704.91</v>
      </c>
      <c r="I3965" s="83"/>
      <c r="K3965" s="54" t="s">
        <v>15</v>
      </c>
    </row>
    <row r="3966" spans="2:11" ht="41.25" x14ac:dyDescent="0.2">
      <c r="B3966" s="82" t="s">
        <v>6365</v>
      </c>
      <c r="C3966" s="82" t="s">
        <v>282</v>
      </c>
      <c r="D3966" s="83">
        <f>SUMIFS(D3967:D6462,K3967:K6462,"0",B3967:B6462,"5 1 2 1 1 12 31111 6 M59 92000 000181 0000E 00001 00211 015 2112000 2024 CP1RC399 001*")-SUMIFS(E3967:E6462,K3967:K6462,"0",B3967:B6462,"5 1 2 1 1 12 31111 6 M59 92000 000181 0000E 00001 00211 015 2112000 2024 CP1RC399 001*")</f>
        <v>0</v>
      </c>
      <c r="E3966" s="54"/>
      <c r="F3966" s="83">
        <f>SUMIFS(F3967:F6462,K3967:K6462,"0",B3967:B6462,"5 1 2 1 1 12 31111 6 M59 92000 000181 0000E 00001 00211 015 2112000 2024 CP1RC399 001*")</f>
        <v>1798704.91</v>
      </c>
      <c r="G3966" s="83">
        <f>SUMIFS(G3967:G6462,K3967:K6462,"0",B3967:B6462,"5 1 2 1 1 12 31111 6 M59 92000 000181 0000E 00001 00211 015 2112000 2024 CP1RC399 001*")</f>
        <v>0</v>
      </c>
      <c r="H3966" s="83">
        <f t="shared" si="62"/>
        <v>1798704.91</v>
      </c>
      <c r="I3966" s="83"/>
      <c r="K3966" s="54" t="s">
        <v>15</v>
      </c>
    </row>
    <row r="3967" spans="2:11" ht="33" x14ac:dyDescent="0.2">
      <c r="B3967" s="84" t="s">
        <v>6366</v>
      </c>
      <c r="C3967" s="84" t="s">
        <v>5817</v>
      </c>
      <c r="D3967" s="85">
        <v>0</v>
      </c>
      <c r="E3967" s="85"/>
      <c r="F3967" s="85">
        <v>1798704.91</v>
      </c>
      <c r="G3967" s="85">
        <v>0</v>
      </c>
      <c r="H3967" s="85">
        <f t="shared" si="62"/>
        <v>1798704.91</v>
      </c>
      <c r="I3967" s="85"/>
      <c r="K3967" s="54" t="s">
        <v>38</v>
      </c>
    </row>
    <row r="3968" spans="2:11" ht="24.75" x14ac:dyDescent="0.2">
      <c r="B3968" s="82" t="s">
        <v>6367</v>
      </c>
      <c r="C3968" s="82" t="s">
        <v>3632</v>
      </c>
      <c r="D3968" s="83">
        <f>SUMIFS(D3969:D6462,K3969:K6462,"0",B3969:B6462,"5 1 2 1 1 12 31111 6 M59 93000*")-SUMIFS(E3969:E6462,K3969:K6462,"0",B3969:B6462,"5 1 2 1 1 12 31111 6 M59 93000*")</f>
        <v>0</v>
      </c>
      <c r="E3968" s="54"/>
      <c r="F3968" s="83">
        <f>SUMIFS(F3969:F6462,K3969:K6462,"0",B3969:B6462,"5 1 2 1 1 12 31111 6 M59 93000*")</f>
        <v>250</v>
      </c>
      <c r="G3968" s="83">
        <f>SUMIFS(G3969:G6462,K3969:K6462,"0",B3969:B6462,"5 1 2 1 1 12 31111 6 M59 93000*")</f>
        <v>0</v>
      </c>
      <c r="H3968" s="83">
        <f t="shared" si="62"/>
        <v>250</v>
      </c>
      <c r="I3968" s="83"/>
      <c r="K3968" s="54" t="s">
        <v>15</v>
      </c>
    </row>
    <row r="3969" spans="2:11" ht="16.5" x14ac:dyDescent="0.2">
      <c r="B3969" s="82" t="s">
        <v>6368</v>
      </c>
      <c r="C3969" s="82" t="s">
        <v>648</v>
      </c>
      <c r="D3969" s="83">
        <f>SUMIFS(D3970:D6462,K3970:K6462,"0",B3970:B6462,"5 1 2 1 1 12 31111 6 M59 93000 000132*")-SUMIFS(E3970:E6462,K3970:K6462,"0",B3970:B6462,"5 1 2 1 1 12 31111 6 M59 93000 000132*")</f>
        <v>0</v>
      </c>
      <c r="E3969" s="54"/>
      <c r="F3969" s="83">
        <f>SUMIFS(F3970:F6462,K3970:K6462,"0",B3970:B6462,"5 1 2 1 1 12 31111 6 M59 93000 000132*")</f>
        <v>250</v>
      </c>
      <c r="G3969" s="83">
        <f>SUMIFS(G3970:G6462,K3970:K6462,"0",B3970:B6462,"5 1 2 1 1 12 31111 6 M59 93000 000132*")</f>
        <v>0</v>
      </c>
      <c r="H3969" s="83">
        <f t="shared" si="62"/>
        <v>250</v>
      </c>
      <c r="I3969" s="83"/>
      <c r="K3969" s="54" t="s">
        <v>15</v>
      </c>
    </row>
    <row r="3970" spans="2:11" ht="16.5" x14ac:dyDescent="0.2">
      <c r="B3970" s="82" t="s">
        <v>6369</v>
      </c>
      <c r="C3970" s="82" t="s">
        <v>650</v>
      </c>
      <c r="D3970" s="83">
        <f>SUMIFS(D3971:D6462,K3971:K6462,"0",B3971:B6462,"5 1 2 1 1 12 31111 6 M59 93000 000132 0000R*")-SUMIFS(E3971:E6462,K3971:K6462,"0",B3971:B6462,"5 1 2 1 1 12 31111 6 M59 93000 000132 0000R*")</f>
        <v>0</v>
      </c>
      <c r="E3970" s="54"/>
      <c r="F3970" s="83">
        <f>SUMIFS(F3971:F6462,K3971:K6462,"0",B3971:B6462,"5 1 2 1 1 12 31111 6 M59 93000 000132 0000R*")</f>
        <v>250</v>
      </c>
      <c r="G3970" s="83">
        <f>SUMIFS(G3971:G6462,K3971:K6462,"0",B3971:B6462,"5 1 2 1 1 12 31111 6 M59 93000 000132 0000R*")</f>
        <v>0</v>
      </c>
      <c r="H3970" s="83">
        <f t="shared" si="62"/>
        <v>250</v>
      </c>
      <c r="I3970" s="83"/>
      <c r="K3970" s="54" t="s">
        <v>15</v>
      </c>
    </row>
    <row r="3971" spans="2:11" ht="24.75" x14ac:dyDescent="0.2">
      <c r="B3971" s="82" t="s">
        <v>6370</v>
      </c>
      <c r="C3971" s="82" t="s">
        <v>282</v>
      </c>
      <c r="D3971" s="83">
        <f>SUMIFS(D3972:D6462,K3972:K6462,"0",B3972:B6462,"5 1 2 1 1 12 31111 6 M59 93000 000132 0000R 00001*")-SUMIFS(E3972:E6462,K3972:K6462,"0",B3972:B6462,"5 1 2 1 1 12 31111 6 M59 93000 000132 0000R 00001*")</f>
        <v>0</v>
      </c>
      <c r="E3971" s="54"/>
      <c r="F3971" s="83">
        <f>SUMIFS(F3972:F6462,K3972:K6462,"0",B3972:B6462,"5 1 2 1 1 12 31111 6 M59 93000 000132 0000R 00001*")</f>
        <v>250</v>
      </c>
      <c r="G3971" s="83">
        <f>SUMIFS(G3972:G6462,K3972:K6462,"0",B3972:B6462,"5 1 2 1 1 12 31111 6 M59 93000 000132 0000R 00001*")</f>
        <v>0</v>
      </c>
      <c r="H3971" s="83">
        <f t="shared" si="62"/>
        <v>250</v>
      </c>
      <c r="I3971" s="83"/>
      <c r="K3971" s="54" t="s">
        <v>15</v>
      </c>
    </row>
    <row r="3972" spans="2:11" ht="24.75" x14ac:dyDescent="0.2">
      <c r="B3972" s="82" t="s">
        <v>6371</v>
      </c>
      <c r="C3972" s="82" t="s">
        <v>5827</v>
      </c>
      <c r="D3972" s="83">
        <f>SUMIFS(D3973:D6462,K3973:K6462,"0",B3973:B6462,"5 1 2 1 1 12 31111 6 M59 93000 000132 0000R 00001 00211*")-SUMIFS(E3973:E6462,K3973:K6462,"0",B3973:B6462,"5 1 2 1 1 12 31111 6 M59 93000 000132 0000R 00001 00211*")</f>
        <v>0</v>
      </c>
      <c r="E3972" s="54"/>
      <c r="F3972" s="83">
        <f>SUMIFS(F3973:F6462,K3973:K6462,"0",B3973:B6462,"5 1 2 1 1 12 31111 6 M59 93000 000132 0000R 00001 00211*")</f>
        <v>250</v>
      </c>
      <c r="G3972" s="83">
        <f>SUMIFS(G3973:G6462,K3973:K6462,"0",B3973:B6462,"5 1 2 1 1 12 31111 6 M59 93000 000132 0000R 00001 00211*")</f>
        <v>0</v>
      </c>
      <c r="H3972" s="83">
        <f t="shared" si="62"/>
        <v>250</v>
      </c>
      <c r="I3972" s="83"/>
      <c r="K3972" s="54" t="s">
        <v>15</v>
      </c>
    </row>
    <row r="3973" spans="2:11" ht="24.75" x14ac:dyDescent="0.2">
      <c r="B3973" s="82" t="s">
        <v>6372</v>
      </c>
      <c r="C3973" s="82" t="s">
        <v>1051</v>
      </c>
      <c r="D3973" s="83">
        <f>SUMIFS(D3974:D6462,K3974:K6462,"0",B3974:B6462,"5 1 2 1 1 12 31111 6 M59 93000 000132 0000R 00001 00211 015*")-SUMIFS(E3974:E6462,K3974:K6462,"0",B3974:B6462,"5 1 2 1 1 12 31111 6 M59 93000 000132 0000R 00001 00211 015*")</f>
        <v>0</v>
      </c>
      <c r="E3973" s="54"/>
      <c r="F3973" s="83">
        <f>SUMIFS(F3974:F6462,K3974:K6462,"0",B3974:B6462,"5 1 2 1 1 12 31111 6 M59 93000 000132 0000R 00001 00211 015*")</f>
        <v>250</v>
      </c>
      <c r="G3973" s="83">
        <f>SUMIFS(G3974:G6462,K3974:K6462,"0",B3974:B6462,"5 1 2 1 1 12 31111 6 M59 93000 000132 0000R 00001 00211 015*")</f>
        <v>0</v>
      </c>
      <c r="H3973" s="83">
        <f t="shared" si="62"/>
        <v>250</v>
      </c>
      <c r="I3973" s="83"/>
      <c r="K3973" s="54" t="s">
        <v>15</v>
      </c>
    </row>
    <row r="3974" spans="2:11" ht="33" x14ac:dyDescent="0.2">
      <c r="B3974" s="82" t="s">
        <v>6373</v>
      </c>
      <c r="C3974" s="82" t="s">
        <v>5830</v>
      </c>
      <c r="D3974" s="83">
        <f>SUMIFS(D3975:D6462,K3975:K6462,"0",B3975:B6462,"5 1 2 1 1 12 31111 6 M59 93000 000132 0000R 00001 00211 015 2112000*")-SUMIFS(E3975:E6462,K3975:K6462,"0",B3975:B6462,"5 1 2 1 1 12 31111 6 M59 93000 000132 0000R 00001 00211 015 2112000*")</f>
        <v>0</v>
      </c>
      <c r="E3974" s="54"/>
      <c r="F3974" s="83">
        <f>SUMIFS(F3975:F6462,K3975:K6462,"0",B3975:B6462,"5 1 2 1 1 12 31111 6 M59 93000 000132 0000R 00001 00211 015 2112000*")</f>
        <v>250</v>
      </c>
      <c r="G3974" s="83">
        <f>SUMIFS(G3975:G6462,K3975:K6462,"0",B3975:B6462,"5 1 2 1 1 12 31111 6 M59 93000 000132 0000R 00001 00211 015 2112000*")</f>
        <v>0</v>
      </c>
      <c r="H3974" s="83">
        <f t="shared" si="62"/>
        <v>250</v>
      </c>
      <c r="I3974" s="83"/>
      <c r="K3974" s="54" t="s">
        <v>15</v>
      </c>
    </row>
    <row r="3975" spans="2:11" ht="33" x14ac:dyDescent="0.2">
      <c r="B3975" s="82" t="s">
        <v>6374</v>
      </c>
      <c r="C3975" s="82" t="s">
        <v>660</v>
      </c>
      <c r="D3975" s="83">
        <f>SUMIFS(D3976:D6462,K3976:K6462,"0",B3976:B6462,"5 1 2 1 1 12 31111 6 M59 93000 000132 0000R 00001 00211 015 2112000 2024*")-SUMIFS(E3976:E6462,K3976:K6462,"0",B3976:B6462,"5 1 2 1 1 12 31111 6 M59 93000 000132 0000R 00001 00211 015 2112000 2024*")</f>
        <v>0</v>
      </c>
      <c r="E3975" s="54"/>
      <c r="F3975" s="83">
        <f>SUMIFS(F3976:F6462,K3976:K6462,"0",B3976:B6462,"5 1 2 1 1 12 31111 6 M59 93000 000132 0000R 00001 00211 015 2112000 2024*")</f>
        <v>250</v>
      </c>
      <c r="G3975" s="83">
        <f>SUMIFS(G3976:G6462,K3976:K6462,"0",B3976:B6462,"5 1 2 1 1 12 31111 6 M59 93000 000132 0000R 00001 00211 015 2112000 2024*")</f>
        <v>0</v>
      </c>
      <c r="H3975" s="83">
        <f t="shared" si="62"/>
        <v>250</v>
      </c>
      <c r="I3975" s="83"/>
      <c r="K3975" s="54" t="s">
        <v>15</v>
      </c>
    </row>
    <row r="3976" spans="2:11" ht="41.25" x14ac:dyDescent="0.2">
      <c r="B3976" s="82" t="s">
        <v>6375</v>
      </c>
      <c r="C3976" s="82" t="s">
        <v>1056</v>
      </c>
      <c r="D3976" s="83">
        <f>SUMIFS(D3977:D6462,K3977:K6462,"0",B3977:B6462,"5 1 2 1 1 12 31111 6 M59 93000 000132 0000R 00001 00211 015 2112000 2024 CP1RS429*")-SUMIFS(E3977:E6462,K3977:K6462,"0",B3977:B6462,"5 1 2 1 1 12 31111 6 M59 93000 000132 0000R 00001 00211 015 2112000 2024 CP1RS429*")</f>
        <v>0</v>
      </c>
      <c r="E3976" s="54"/>
      <c r="F3976" s="83">
        <f>SUMIFS(F3977:F6462,K3977:K6462,"0",B3977:B6462,"5 1 2 1 1 12 31111 6 M59 93000 000132 0000R 00001 00211 015 2112000 2024 CP1RS429*")</f>
        <v>250</v>
      </c>
      <c r="G3976" s="83">
        <f>SUMIFS(G3977:G6462,K3977:K6462,"0",B3977:B6462,"5 1 2 1 1 12 31111 6 M59 93000 000132 0000R 00001 00211 015 2112000 2024 CP1RS429*")</f>
        <v>0</v>
      </c>
      <c r="H3976" s="83">
        <f t="shared" si="62"/>
        <v>250</v>
      </c>
      <c r="I3976" s="83"/>
      <c r="K3976" s="54" t="s">
        <v>15</v>
      </c>
    </row>
    <row r="3977" spans="2:11" ht="41.25" x14ac:dyDescent="0.2">
      <c r="B3977" s="82" t="s">
        <v>6376</v>
      </c>
      <c r="C3977" s="82" t="s">
        <v>282</v>
      </c>
      <c r="D3977" s="83">
        <f>SUMIFS(D3978:D6462,K3978:K6462,"0",B3978:B6462,"5 1 2 1 1 12 31111 6 M59 93000 000132 0000R 00001 00211 015 2112000 2024 CP1RS429 001*")-SUMIFS(E3978:E6462,K3978:K6462,"0",B3978:B6462,"5 1 2 1 1 12 31111 6 M59 93000 000132 0000R 00001 00211 015 2112000 2024 CP1RS429 001*")</f>
        <v>0</v>
      </c>
      <c r="E3977" s="54"/>
      <c r="F3977" s="83">
        <f>SUMIFS(F3978:F6462,K3978:K6462,"0",B3978:B6462,"5 1 2 1 1 12 31111 6 M59 93000 000132 0000R 00001 00211 015 2112000 2024 CP1RS429 001*")</f>
        <v>250</v>
      </c>
      <c r="G3977" s="83">
        <f>SUMIFS(G3978:G6462,K3978:K6462,"0",B3978:B6462,"5 1 2 1 1 12 31111 6 M59 93000 000132 0000R 00001 00211 015 2112000 2024 CP1RS429 001*")</f>
        <v>0</v>
      </c>
      <c r="H3977" s="83">
        <f t="shared" si="62"/>
        <v>250</v>
      </c>
      <c r="I3977" s="83"/>
      <c r="K3977" s="54" t="s">
        <v>15</v>
      </c>
    </row>
    <row r="3978" spans="2:11" ht="41.25" x14ac:dyDescent="0.2">
      <c r="B3978" s="84" t="s">
        <v>6377</v>
      </c>
      <c r="C3978" s="84" t="s">
        <v>5827</v>
      </c>
      <c r="D3978" s="85">
        <v>0</v>
      </c>
      <c r="E3978" s="85"/>
      <c r="F3978" s="85">
        <v>250</v>
      </c>
      <c r="G3978" s="85">
        <v>0</v>
      </c>
      <c r="H3978" s="85">
        <f t="shared" si="62"/>
        <v>250</v>
      </c>
      <c r="I3978" s="85"/>
      <c r="K3978" s="54" t="s">
        <v>38</v>
      </c>
    </row>
    <row r="3979" spans="2:11" ht="16.5" x14ac:dyDescent="0.2">
      <c r="B3979" s="82" t="s">
        <v>6378</v>
      </c>
      <c r="C3979" s="82" t="s">
        <v>3644</v>
      </c>
      <c r="D3979" s="83">
        <f>SUMIFS(D3980:D6462,K3980:K6462,"0",B3980:B6462,"5 1 2 1 1 12 31111 6 M59 94000*")-SUMIFS(E3980:E6462,K3980:K6462,"0",B3980:B6462,"5 1 2 1 1 12 31111 6 M59 94000*")</f>
        <v>0</v>
      </c>
      <c r="E3979" s="54"/>
      <c r="F3979" s="83">
        <f>SUMIFS(F3980:F6462,K3980:K6462,"0",B3980:B6462,"5 1 2 1 1 12 31111 6 M59 94000*")</f>
        <v>1649342.51</v>
      </c>
      <c r="G3979" s="83">
        <f>SUMIFS(G3980:G6462,K3980:K6462,"0",B3980:B6462,"5 1 2 1 1 12 31111 6 M59 94000*")</f>
        <v>0</v>
      </c>
      <c r="H3979" s="83">
        <f t="shared" si="62"/>
        <v>1649342.51</v>
      </c>
      <c r="I3979" s="83"/>
      <c r="K3979" s="54" t="s">
        <v>15</v>
      </c>
    </row>
    <row r="3980" spans="2:11" ht="24.75" x14ac:dyDescent="0.2">
      <c r="B3980" s="82" t="s">
        <v>6379</v>
      </c>
      <c r="C3980" s="82" t="s">
        <v>3152</v>
      </c>
      <c r="D3980" s="83">
        <f>SUMIFS(D3981:D6462,K3981:K6462,"0",B3981:B6462,"5 1 2 1 1 12 31111 6 M59 94000 000181*")-SUMIFS(E3981:E6462,K3981:K6462,"0",B3981:B6462,"5 1 2 1 1 12 31111 6 M59 94000 000181*")</f>
        <v>0</v>
      </c>
      <c r="E3980" s="54"/>
      <c r="F3980" s="83">
        <f>SUMIFS(F3981:F6462,K3981:K6462,"0",B3981:B6462,"5 1 2 1 1 12 31111 6 M59 94000 000181*")</f>
        <v>1649342.51</v>
      </c>
      <c r="G3980" s="83">
        <f>SUMIFS(G3981:G6462,K3981:K6462,"0",B3981:B6462,"5 1 2 1 1 12 31111 6 M59 94000 000181*")</f>
        <v>0</v>
      </c>
      <c r="H3980" s="83">
        <f t="shared" si="62"/>
        <v>1649342.51</v>
      </c>
      <c r="I3980" s="83"/>
      <c r="K3980" s="54" t="s">
        <v>15</v>
      </c>
    </row>
    <row r="3981" spans="2:11" ht="16.5" x14ac:dyDescent="0.2">
      <c r="B3981" s="82" t="s">
        <v>6380</v>
      </c>
      <c r="C3981" s="82" t="s">
        <v>650</v>
      </c>
      <c r="D3981" s="83">
        <f>SUMIFS(D3982:D6462,K3982:K6462,"0",B3982:B6462,"5 1 2 1 1 12 31111 6 M59 94000 000181 0000R*")-SUMIFS(E3982:E6462,K3982:K6462,"0",B3982:B6462,"5 1 2 1 1 12 31111 6 M59 94000 000181 0000R*")</f>
        <v>0</v>
      </c>
      <c r="E3981" s="54"/>
      <c r="F3981" s="83">
        <f>SUMIFS(F3982:F6462,K3982:K6462,"0",B3982:B6462,"5 1 2 1 1 12 31111 6 M59 94000 000181 0000R*")</f>
        <v>1649342.51</v>
      </c>
      <c r="G3981" s="83">
        <f>SUMIFS(G3982:G6462,K3982:K6462,"0",B3982:B6462,"5 1 2 1 1 12 31111 6 M59 94000 000181 0000R*")</f>
        <v>0</v>
      </c>
      <c r="H3981" s="83">
        <f t="shared" si="62"/>
        <v>1649342.51</v>
      </c>
      <c r="I3981" s="83"/>
      <c r="K3981" s="54" t="s">
        <v>15</v>
      </c>
    </row>
    <row r="3982" spans="2:11" ht="24.75" x14ac:dyDescent="0.2">
      <c r="B3982" s="82" t="s">
        <v>6381</v>
      </c>
      <c r="C3982" s="82" t="s">
        <v>282</v>
      </c>
      <c r="D3982" s="83">
        <f>SUMIFS(D3983:D6462,K3983:K6462,"0",B3983:B6462,"5 1 2 1 1 12 31111 6 M59 94000 000181 0000R 00001*")-SUMIFS(E3983:E6462,K3983:K6462,"0",B3983:B6462,"5 1 2 1 1 12 31111 6 M59 94000 000181 0000R 00001*")</f>
        <v>0</v>
      </c>
      <c r="E3982" s="54"/>
      <c r="F3982" s="83">
        <f>SUMIFS(F3983:F6462,K3983:K6462,"0",B3983:B6462,"5 1 2 1 1 12 31111 6 M59 94000 000181 0000R 00001*")</f>
        <v>1649342.51</v>
      </c>
      <c r="G3982" s="83">
        <f>SUMIFS(G3983:G6462,K3983:K6462,"0",B3983:B6462,"5 1 2 1 1 12 31111 6 M59 94000 000181 0000R 00001*")</f>
        <v>0</v>
      </c>
      <c r="H3982" s="83">
        <f t="shared" si="62"/>
        <v>1649342.51</v>
      </c>
      <c r="I3982" s="83"/>
      <c r="K3982" s="54" t="s">
        <v>15</v>
      </c>
    </row>
    <row r="3983" spans="2:11" ht="24.75" x14ac:dyDescent="0.2">
      <c r="B3983" s="82" t="s">
        <v>6382</v>
      </c>
      <c r="C3983" s="82" t="s">
        <v>5827</v>
      </c>
      <c r="D3983" s="83">
        <f>SUMIFS(D3984:D6462,K3984:K6462,"0",B3984:B6462,"5 1 2 1 1 12 31111 6 M59 94000 000181 0000R 00001 00211*")-SUMIFS(E3984:E6462,K3984:K6462,"0",B3984:B6462,"5 1 2 1 1 12 31111 6 M59 94000 000181 0000R 00001 00211*")</f>
        <v>0</v>
      </c>
      <c r="E3983" s="54"/>
      <c r="F3983" s="83">
        <f>SUMIFS(F3984:F6462,K3984:K6462,"0",B3984:B6462,"5 1 2 1 1 12 31111 6 M59 94000 000181 0000R 00001 00211*")</f>
        <v>1649342.51</v>
      </c>
      <c r="G3983" s="83">
        <f>SUMIFS(G3984:G6462,K3984:K6462,"0",B3984:B6462,"5 1 2 1 1 12 31111 6 M59 94000 000181 0000R 00001 00211*")</f>
        <v>0</v>
      </c>
      <c r="H3983" s="83">
        <f t="shared" si="62"/>
        <v>1649342.51</v>
      </c>
      <c r="I3983" s="83"/>
      <c r="K3983" s="54" t="s">
        <v>15</v>
      </c>
    </row>
    <row r="3984" spans="2:11" ht="24.75" x14ac:dyDescent="0.2">
      <c r="B3984" s="82" t="s">
        <v>6383</v>
      </c>
      <c r="C3984" s="82" t="s">
        <v>1051</v>
      </c>
      <c r="D3984" s="83">
        <f>SUMIFS(D3985:D6462,K3985:K6462,"0",B3985:B6462,"5 1 2 1 1 12 31111 6 M59 94000 000181 0000R 00001 00211 015*")-SUMIFS(E3985:E6462,K3985:K6462,"0",B3985:B6462,"5 1 2 1 1 12 31111 6 M59 94000 000181 0000R 00001 00211 015*")</f>
        <v>0</v>
      </c>
      <c r="E3984" s="54"/>
      <c r="F3984" s="83">
        <f>SUMIFS(F3985:F6462,K3985:K6462,"0",B3985:B6462,"5 1 2 1 1 12 31111 6 M59 94000 000181 0000R 00001 00211 015*")</f>
        <v>1649342.51</v>
      </c>
      <c r="G3984" s="83">
        <f>SUMIFS(G3985:G6462,K3985:K6462,"0",B3985:B6462,"5 1 2 1 1 12 31111 6 M59 94000 000181 0000R 00001 00211 015*")</f>
        <v>0</v>
      </c>
      <c r="H3984" s="83">
        <f t="shared" si="62"/>
        <v>1649342.51</v>
      </c>
      <c r="I3984" s="83"/>
      <c r="K3984" s="54" t="s">
        <v>15</v>
      </c>
    </row>
    <row r="3985" spans="2:11" ht="33" x14ac:dyDescent="0.2">
      <c r="B3985" s="82" t="s">
        <v>6384</v>
      </c>
      <c r="C3985" s="82" t="s">
        <v>5830</v>
      </c>
      <c r="D3985" s="83">
        <f>SUMIFS(D3986:D6462,K3986:K6462,"0",B3986:B6462,"5 1 2 1 1 12 31111 6 M59 94000 000181 0000R 00001 00211 015 2112000*")-SUMIFS(E3986:E6462,K3986:K6462,"0",B3986:B6462,"5 1 2 1 1 12 31111 6 M59 94000 000181 0000R 00001 00211 015 2112000*")</f>
        <v>0</v>
      </c>
      <c r="E3985" s="54"/>
      <c r="F3985" s="83">
        <f>SUMIFS(F3986:F6462,K3986:K6462,"0",B3986:B6462,"5 1 2 1 1 12 31111 6 M59 94000 000181 0000R 00001 00211 015 2112000*")</f>
        <v>1649342.51</v>
      </c>
      <c r="G3985" s="83">
        <f>SUMIFS(G3986:G6462,K3986:K6462,"0",B3986:B6462,"5 1 2 1 1 12 31111 6 M59 94000 000181 0000R 00001 00211 015 2112000*")</f>
        <v>0</v>
      </c>
      <c r="H3985" s="83">
        <f t="shared" si="62"/>
        <v>1649342.51</v>
      </c>
      <c r="I3985" s="83"/>
      <c r="K3985" s="54" t="s">
        <v>15</v>
      </c>
    </row>
    <row r="3986" spans="2:11" ht="33" x14ac:dyDescent="0.2">
      <c r="B3986" s="82" t="s">
        <v>6385</v>
      </c>
      <c r="C3986" s="82" t="s">
        <v>660</v>
      </c>
      <c r="D3986" s="83">
        <f>SUMIFS(D3987:D6462,K3987:K6462,"0",B3987:B6462,"5 1 2 1 1 12 31111 6 M59 94000 000181 0000R 00001 00211 015 2112000 2024*")-SUMIFS(E3987:E6462,K3987:K6462,"0",B3987:B6462,"5 1 2 1 1 12 31111 6 M59 94000 000181 0000R 00001 00211 015 2112000 2024*")</f>
        <v>0</v>
      </c>
      <c r="E3986" s="54"/>
      <c r="F3986" s="83">
        <f>SUMIFS(F3987:F6462,K3987:K6462,"0",B3987:B6462,"5 1 2 1 1 12 31111 6 M59 94000 000181 0000R 00001 00211 015 2112000 2024*")</f>
        <v>1649342.51</v>
      </c>
      <c r="G3986" s="83">
        <f>SUMIFS(G3987:G6462,K3987:K6462,"0",B3987:B6462,"5 1 2 1 1 12 31111 6 M59 94000 000181 0000R 00001 00211 015 2112000 2024*")</f>
        <v>0</v>
      </c>
      <c r="H3986" s="83">
        <f t="shared" si="62"/>
        <v>1649342.51</v>
      </c>
      <c r="I3986" s="83"/>
      <c r="K3986" s="54" t="s">
        <v>15</v>
      </c>
    </row>
    <row r="3987" spans="2:11" ht="41.25" x14ac:dyDescent="0.2">
      <c r="B3987" s="82" t="s">
        <v>6386</v>
      </c>
      <c r="C3987" s="82" t="s">
        <v>1056</v>
      </c>
      <c r="D3987" s="83">
        <f>SUMIFS(D3988:D6462,K3988:K6462,"0",B3988:B6462,"5 1 2 1 1 12 31111 6 M59 94000 000181 0000R 00001 00211 015 2112000 2024 CP1OM392*")-SUMIFS(E3988:E6462,K3988:K6462,"0",B3988:B6462,"5 1 2 1 1 12 31111 6 M59 94000 000181 0000R 00001 00211 015 2112000 2024 CP1OM392*")</f>
        <v>0</v>
      </c>
      <c r="E3987" s="54"/>
      <c r="F3987" s="83">
        <f>SUMIFS(F3988:F6462,K3988:K6462,"0",B3988:B6462,"5 1 2 1 1 12 31111 6 M59 94000 000181 0000R 00001 00211 015 2112000 2024 CP1OM392*")</f>
        <v>1649342.51</v>
      </c>
      <c r="G3987" s="83">
        <f>SUMIFS(G3988:G6462,K3988:K6462,"0",B3988:B6462,"5 1 2 1 1 12 31111 6 M59 94000 000181 0000R 00001 00211 015 2112000 2024 CP1OM392*")</f>
        <v>0</v>
      </c>
      <c r="H3987" s="83">
        <f t="shared" si="62"/>
        <v>1649342.51</v>
      </c>
      <c r="I3987" s="83"/>
      <c r="K3987" s="54" t="s">
        <v>15</v>
      </c>
    </row>
    <row r="3988" spans="2:11" ht="41.25" x14ac:dyDescent="0.2">
      <c r="B3988" s="82" t="s">
        <v>6387</v>
      </c>
      <c r="C3988" s="82" t="s">
        <v>282</v>
      </c>
      <c r="D3988" s="83">
        <f>SUMIFS(D3989:D6462,K3989:K6462,"0",B3989:B6462,"5 1 2 1 1 12 31111 6 M59 94000 000181 0000R 00001 00211 015 2112000 2024 CP1OM392 001*")-SUMIFS(E3989:E6462,K3989:K6462,"0",B3989:B6462,"5 1 2 1 1 12 31111 6 M59 94000 000181 0000R 00001 00211 015 2112000 2024 CP1OM392 001*")</f>
        <v>0</v>
      </c>
      <c r="E3988" s="54"/>
      <c r="F3988" s="83">
        <f>SUMIFS(F3989:F6462,K3989:K6462,"0",B3989:B6462,"5 1 2 1 1 12 31111 6 M59 94000 000181 0000R 00001 00211 015 2112000 2024 CP1OM392 001*")</f>
        <v>1649342.51</v>
      </c>
      <c r="G3988" s="83">
        <f>SUMIFS(G3989:G6462,K3989:K6462,"0",B3989:B6462,"5 1 2 1 1 12 31111 6 M59 94000 000181 0000R 00001 00211 015 2112000 2024 CP1OM392 001*")</f>
        <v>0</v>
      </c>
      <c r="H3988" s="83">
        <f t="shared" si="62"/>
        <v>1649342.51</v>
      </c>
      <c r="I3988" s="83"/>
      <c r="K3988" s="54" t="s">
        <v>15</v>
      </c>
    </row>
    <row r="3989" spans="2:11" ht="33" x14ac:dyDescent="0.2">
      <c r="B3989" s="84" t="s">
        <v>6388</v>
      </c>
      <c r="C3989" s="84" t="s">
        <v>5817</v>
      </c>
      <c r="D3989" s="85">
        <v>0</v>
      </c>
      <c r="E3989" s="85"/>
      <c r="F3989" s="85">
        <v>1649342.51</v>
      </c>
      <c r="G3989" s="85">
        <v>0</v>
      </c>
      <c r="H3989" s="85">
        <f t="shared" si="62"/>
        <v>1649342.51</v>
      </c>
      <c r="I3989" s="85"/>
      <c r="K3989" s="54" t="s">
        <v>38</v>
      </c>
    </row>
    <row r="3990" spans="2:11" ht="16.5" x14ac:dyDescent="0.2">
      <c r="B3990" s="82" t="s">
        <v>6389</v>
      </c>
      <c r="C3990" s="82" t="s">
        <v>3656</v>
      </c>
      <c r="D3990" s="83">
        <f>SUMIFS(D3991:D6462,K3991:K6462,"0",B3991:B6462,"5 1 2 1 1 12 31111 6 M59 94100*")-SUMIFS(E3991:E6462,K3991:K6462,"0",B3991:B6462,"5 1 2 1 1 12 31111 6 M59 94100*")</f>
        <v>0</v>
      </c>
      <c r="E3990" s="54"/>
      <c r="F3990" s="83">
        <f>SUMIFS(F3991:F6462,K3991:K6462,"0",B3991:B6462,"5 1 2 1 1 12 31111 6 M59 94100*")</f>
        <v>1999.99</v>
      </c>
      <c r="G3990" s="83">
        <f>SUMIFS(G3991:G6462,K3991:K6462,"0",B3991:B6462,"5 1 2 1 1 12 31111 6 M59 94100*")</f>
        <v>0</v>
      </c>
      <c r="H3990" s="83">
        <f t="shared" si="62"/>
        <v>1999.99</v>
      </c>
      <c r="I3990" s="83"/>
      <c r="K3990" s="54" t="s">
        <v>15</v>
      </c>
    </row>
    <row r="3991" spans="2:11" ht="16.5" x14ac:dyDescent="0.2">
      <c r="B3991" s="82" t="s">
        <v>6390</v>
      </c>
      <c r="C3991" s="82" t="s">
        <v>648</v>
      </c>
      <c r="D3991" s="83">
        <f>SUMIFS(D3992:D6462,K3992:K6462,"0",B3992:B6462,"5 1 2 1 1 12 31111 6 M59 94100 000132*")-SUMIFS(E3992:E6462,K3992:K6462,"0",B3992:B6462,"5 1 2 1 1 12 31111 6 M59 94100 000132*")</f>
        <v>0</v>
      </c>
      <c r="E3991" s="54"/>
      <c r="F3991" s="83">
        <f>SUMIFS(F3992:F6462,K3992:K6462,"0",B3992:B6462,"5 1 2 1 1 12 31111 6 M59 94100 000132*")</f>
        <v>1999.99</v>
      </c>
      <c r="G3991" s="83">
        <f>SUMIFS(G3992:G6462,K3992:K6462,"0",B3992:B6462,"5 1 2 1 1 12 31111 6 M59 94100 000132*")</f>
        <v>0</v>
      </c>
      <c r="H3991" s="83">
        <f t="shared" si="62"/>
        <v>1999.99</v>
      </c>
      <c r="I3991" s="83"/>
      <c r="K3991" s="54" t="s">
        <v>15</v>
      </c>
    </row>
    <row r="3992" spans="2:11" ht="16.5" x14ac:dyDescent="0.2">
      <c r="B3992" s="82" t="s">
        <v>6391</v>
      </c>
      <c r="C3992" s="82" t="s">
        <v>650</v>
      </c>
      <c r="D3992" s="83">
        <f>SUMIFS(D3993:D6462,K3993:K6462,"0",B3993:B6462,"5 1 2 1 1 12 31111 6 M59 94100 000132 0000R*")-SUMIFS(E3993:E6462,K3993:K6462,"0",B3993:B6462,"5 1 2 1 1 12 31111 6 M59 94100 000132 0000R*")</f>
        <v>0</v>
      </c>
      <c r="E3992" s="54"/>
      <c r="F3992" s="83">
        <f>SUMIFS(F3993:F6462,K3993:K6462,"0",B3993:B6462,"5 1 2 1 1 12 31111 6 M59 94100 000132 0000R*")</f>
        <v>1999.99</v>
      </c>
      <c r="G3992" s="83">
        <f>SUMIFS(G3993:G6462,K3993:K6462,"0",B3993:B6462,"5 1 2 1 1 12 31111 6 M59 94100 000132 0000R*")</f>
        <v>0</v>
      </c>
      <c r="H3992" s="83">
        <f t="shared" si="62"/>
        <v>1999.99</v>
      </c>
      <c r="I3992" s="83"/>
      <c r="K3992" s="54" t="s">
        <v>15</v>
      </c>
    </row>
    <row r="3993" spans="2:11" ht="24.75" x14ac:dyDescent="0.2">
      <c r="B3993" s="82" t="s">
        <v>6392</v>
      </c>
      <c r="C3993" s="82" t="s">
        <v>282</v>
      </c>
      <c r="D3993" s="83">
        <f>SUMIFS(D3994:D6462,K3994:K6462,"0",B3994:B6462,"5 1 2 1 1 12 31111 6 M59 94100 000132 0000R 00001*")-SUMIFS(E3994:E6462,K3994:K6462,"0",B3994:B6462,"5 1 2 1 1 12 31111 6 M59 94100 000132 0000R 00001*")</f>
        <v>0</v>
      </c>
      <c r="E3993" s="54"/>
      <c r="F3993" s="83">
        <f>SUMIFS(F3994:F6462,K3994:K6462,"0",B3994:B6462,"5 1 2 1 1 12 31111 6 M59 94100 000132 0000R 00001*")</f>
        <v>1999.99</v>
      </c>
      <c r="G3993" s="83">
        <f>SUMIFS(G3994:G6462,K3994:K6462,"0",B3994:B6462,"5 1 2 1 1 12 31111 6 M59 94100 000132 0000R 00001*")</f>
        <v>0</v>
      </c>
      <c r="H3993" s="83">
        <f t="shared" si="62"/>
        <v>1999.99</v>
      </c>
      <c r="I3993" s="83"/>
      <c r="K3993" s="54" t="s">
        <v>15</v>
      </c>
    </row>
    <row r="3994" spans="2:11" ht="24.75" x14ac:dyDescent="0.2">
      <c r="B3994" s="82" t="s">
        <v>6393</v>
      </c>
      <c r="C3994" s="82" t="s">
        <v>5827</v>
      </c>
      <c r="D3994" s="83">
        <f>SUMIFS(D3995:D6462,K3995:K6462,"0",B3995:B6462,"5 1 2 1 1 12 31111 6 M59 94100 000132 0000R 00001 00211*")-SUMIFS(E3995:E6462,K3995:K6462,"0",B3995:B6462,"5 1 2 1 1 12 31111 6 M59 94100 000132 0000R 00001 00211*")</f>
        <v>0</v>
      </c>
      <c r="E3994" s="54"/>
      <c r="F3994" s="83">
        <f>SUMIFS(F3995:F6462,K3995:K6462,"0",B3995:B6462,"5 1 2 1 1 12 31111 6 M59 94100 000132 0000R 00001 00211*")</f>
        <v>1999.99</v>
      </c>
      <c r="G3994" s="83">
        <f>SUMIFS(G3995:G6462,K3995:K6462,"0",B3995:B6462,"5 1 2 1 1 12 31111 6 M59 94100 000132 0000R 00001 00211*")</f>
        <v>0</v>
      </c>
      <c r="H3994" s="83">
        <f t="shared" si="62"/>
        <v>1999.99</v>
      </c>
      <c r="I3994" s="83"/>
      <c r="K3994" s="54" t="s">
        <v>15</v>
      </c>
    </row>
    <row r="3995" spans="2:11" ht="24.75" x14ac:dyDescent="0.2">
      <c r="B3995" s="82" t="s">
        <v>6394</v>
      </c>
      <c r="C3995" s="82" t="s">
        <v>1051</v>
      </c>
      <c r="D3995" s="83">
        <f>SUMIFS(D3996:D6462,K3996:K6462,"0",B3996:B6462,"5 1 2 1 1 12 31111 6 M59 94100 000132 0000R 00001 00211 015*")-SUMIFS(E3996:E6462,K3996:K6462,"0",B3996:B6462,"5 1 2 1 1 12 31111 6 M59 94100 000132 0000R 00001 00211 015*")</f>
        <v>0</v>
      </c>
      <c r="E3995" s="54"/>
      <c r="F3995" s="83">
        <f>SUMIFS(F3996:F6462,K3996:K6462,"0",B3996:B6462,"5 1 2 1 1 12 31111 6 M59 94100 000132 0000R 00001 00211 015*")</f>
        <v>1999.99</v>
      </c>
      <c r="G3995" s="83">
        <f>SUMIFS(G3996:G6462,K3996:K6462,"0",B3996:B6462,"5 1 2 1 1 12 31111 6 M59 94100 000132 0000R 00001 00211 015*")</f>
        <v>0</v>
      </c>
      <c r="H3995" s="83">
        <f t="shared" si="62"/>
        <v>1999.99</v>
      </c>
      <c r="I3995" s="83"/>
      <c r="K3995" s="54" t="s">
        <v>15</v>
      </c>
    </row>
    <row r="3996" spans="2:11" ht="33" x14ac:dyDescent="0.2">
      <c r="B3996" s="82" t="s">
        <v>6395</v>
      </c>
      <c r="C3996" s="82" t="s">
        <v>5830</v>
      </c>
      <c r="D3996" s="83">
        <f>SUMIFS(D3997:D6462,K3997:K6462,"0",B3997:B6462,"5 1 2 1 1 12 31111 6 M59 94100 000132 0000R 00001 00211 015 2112000*")-SUMIFS(E3997:E6462,K3997:K6462,"0",B3997:B6462,"5 1 2 1 1 12 31111 6 M59 94100 000132 0000R 00001 00211 015 2112000*")</f>
        <v>0</v>
      </c>
      <c r="E3996" s="54"/>
      <c r="F3996" s="83">
        <f>SUMIFS(F3997:F6462,K3997:K6462,"0",B3997:B6462,"5 1 2 1 1 12 31111 6 M59 94100 000132 0000R 00001 00211 015 2112000*")</f>
        <v>1999.99</v>
      </c>
      <c r="G3996" s="83">
        <f>SUMIFS(G3997:G6462,K3997:K6462,"0",B3997:B6462,"5 1 2 1 1 12 31111 6 M59 94100 000132 0000R 00001 00211 015 2112000*")</f>
        <v>0</v>
      </c>
      <c r="H3996" s="83">
        <f t="shared" si="62"/>
        <v>1999.99</v>
      </c>
      <c r="I3996" s="83"/>
      <c r="K3996" s="54" t="s">
        <v>15</v>
      </c>
    </row>
    <row r="3997" spans="2:11" ht="33" x14ac:dyDescent="0.2">
      <c r="B3997" s="82" t="s">
        <v>6396</v>
      </c>
      <c r="C3997" s="82" t="s">
        <v>660</v>
      </c>
      <c r="D3997" s="83">
        <f>SUMIFS(D3998:D6462,K3998:K6462,"0",B3998:B6462,"5 1 2 1 1 12 31111 6 M59 94100 000132 0000R 00001 00211 015 2112000 2024*")-SUMIFS(E3998:E6462,K3998:K6462,"0",B3998:B6462,"5 1 2 1 1 12 31111 6 M59 94100 000132 0000R 00001 00211 015 2112000 2024*")</f>
        <v>0</v>
      </c>
      <c r="E3997" s="54"/>
      <c r="F3997" s="83">
        <f>SUMIFS(F3998:F6462,K3998:K6462,"0",B3998:B6462,"5 1 2 1 1 12 31111 6 M59 94100 000132 0000R 00001 00211 015 2112000 2024*")</f>
        <v>1999.99</v>
      </c>
      <c r="G3997" s="83">
        <f>SUMIFS(G3998:G6462,K3998:K6462,"0",B3998:B6462,"5 1 2 1 1 12 31111 6 M59 94100 000132 0000R 00001 00211 015 2112000 2024*")</f>
        <v>0</v>
      </c>
      <c r="H3997" s="83">
        <f t="shared" si="62"/>
        <v>1999.99</v>
      </c>
      <c r="I3997" s="83"/>
      <c r="K3997" s="54" t="s">
        <v>15</v>
      </c>
    </row>
    <row r="3998" spans="2:11" ht="41.25" x14ac:dyDescent="0.2">
      <c r="B3998" s="82" t="s">
        <v>6397</v>
      </c>
      <c r="C3998" s="82" t="s">
        <v>1056</v>
      </c>
      <c r="D3998" s="83">
        <f>SUMIFS(D3999:D6462,K3999:K6462,"0",B3999:B6462,"5 1 2 1 1 12 31111 6 M59 94100 000132 0000R 00001 00211 015 2112000 2024 CP1AT427*")-SUMIFS(E3999:E6462,K3999:K6462,"0",B3999:B6462,"5 1 2 1 1 12 31111 6 M59 94100 000132 0000R 00001 00211 015 2112000 2024 CP1AT427*")</f>
        <v>0</v>
      </c>
      <c r="E3998" s="54"/>
      <c r="F3998" s="83">
        <f>SUMIFS(F3999:F6462,K3999:K6462,"0",B3999:B6462,"5 1 2 1 1 12 31111 6 M59 94100 000132 0000R 00001 00211 015 2112000 2024 CP1AT427*")</f>
        <v>1999.99</v>
      </c>
      <c r="G3998" s="83">
        <f>SUMIFS(G3999:G6462,K3999:K6462,"0",B3999:B6462,"5 1 2 1 1 12 31111 6 M59 94100 000132 0000R 00001 00211 015 2112000 2024 CP1AT427*")</f>
        <v>0</v>
      </c>
      <c r="H3998" s="83">
        <f t="shared" si="62"/>
        <v>1999.99</v>
      </c>
      <c r="I3998" s="83"/>
      <c r="K3998" s="54" t="s">
        <v>15</v>
      </c>
    </row>
    <row r="3999" spans="2:11" ht="41.25" x14ac:dyDescent="0.2">
      <c r="B3999" s="82" t="s">
        <v>6398</v>
      </c>
      <c r="C3999" s="82" t="s">
        <v>282</v>
      </c>
      <c r="D3999" s="83">
        <f>SUMIFS(D4000:D6462,K4000:K6462,"0",B4000:B6462,"5 1 2 1 1 12 31111 6 M59 94100 000132 0000R 00001 00211 015 2112000 2024 CP1AT427 001*")-SUMIFS(E4000:E6462,K4000:K6462,"0",B4000:B6462,"5 1 2 1 1 12 31111 6 M59 94100 000132 0000R 00001 00211 015 2112000 2024 CP1AT427 001*")</f>
        <v>0</v>
      </c>
      <c r="E3999" s="54"/>
      <c r="F3999" s="83">
        <f>SUMIFS(F4000:F6462,K4000:K6462,"0",B4000:B6462,"5 1 2 1 1 12 31111 6 M59 94100 000132 0000R 00001 00211 015 2112000 2024 CP1AT427 001*")</f>
        <v>1999.99</v>
      </c>
      <c r="G3999" s="83">
        <f>SUMIFS(G4000:G6462,K4000:K6462,"0",B4000:B6462,"5 1 2 1 1 12 31111 6 M59 94100 000132 0000R 00001 00211 015 2112000 2024 CP1AT427 001*")</f>
        <v>0</v>
      </c>
      <c r="H3999" s="83">
        <f t="shared" si="62"/>
        <v>1999.99</v>
      </c>
      <c r="I3999" s="83"/>
      <c r="K3999" s="54" t="s">
        <v>15</v>
      </c>
    </row>
    <row r="4000" spans="2:11" ht="33" x14ac:dyDescent="0.2">
      <c r="B4000" s="84" t="s">
        <v>6399</v>
      </c>
      <c r="C4000" s="84" t="s">
        <v>5827</v>
      </c>
      <c r="D4000" s="85">
        <v>0</v>
      </c>
      <c r="E4000" s="85"/>
      <c r="F4000" s="85">
        <v>1999.99</v>
      </c>
      <c r="G4000" s="85">
        <v>0</v>
      </c>
      <c r="H4000" s="85">
        <f t="shared" si="62"/>
        <v>1999.99</v>
      </c>
      <c r="I4000" s="85"/>
      <c r="K4000" s="54" t="s">
        <v>38</v>
      </c>
    </row>
    <row r="4001" spans="2:11" ht="16.5" x14ac:dyDescent="0.2">
      <c r="B4001" s="82" t="s">
        <v>6400</v>
      </c>
      <c r="C4001" s="82" t="s">
        <v>3668</v>
      </c>
      <c r="D4001" s="83">
        <f>SUMIFS(D4002:D6462,K4002:K6462,"0",B4002:B6462,"5 1 2 1 1 12 31111 6 M59 95000*")-SUMIFS(E4002:E6462,K4002:K6462,"0",B4002:B6462,"5 1 2 1 1 12 31111 6 M59 95000*")</f>
        <v>0</v>
      </c>
      <c r="E4001" s="54"/>
      <c r="F4001" s="83">
        <f>SUMIFS(F4002:F6462,K4002:K6462,"0",B4002:B6462,"5 1 2 1 1 12 31111 6 M59 95000*")</f>
        <v>250</v>
      </c>
      <c r="G4001" s="83">
        <f>SUMIFS(G4002:G6462,K4002:K6462,"0",B4002:B6462,"5 1 2 1 1 12 31111 6 M59 95000*")</f>
        <v>0</v>
      </c>
      <c r="H4001" s="83">
        <f t="shared" si="62"/>
        <v>250</v>
      </c>
      <c r="I4001" s="83"/>
      <c r="K4001" s="54" t="s">
        <v>15</v>
      </c>
    </row>
    <row r="4002" spans="2:11" ht="16.5" x14ac:dyDescent="0.2">
      <c r="B4002" s="82" t="s">
        <v>6401</v>
      </c>
      <c r="C4002" s="82" t="s">
        <v>1063</v>
      </c>
      <c r="D4002" s="83">
        <f>SUMIFS(D4003:D6462,K4003:K6462,"0",B4003:B6462,"5 1 2 1 1 12 31111 6 M59 95000 000139*")-SUMIFS(E4003:E6462,K4003:K6462,"0",B4003:B6462,"5 1 2 1 1 12 31111 6 M59 95000 000139*")</f>
        <v>0</v>
      </c>
      <c r="E4002" s="54"/>
      <c r="F4002" s="83">
        <f>SUMIFS(F4003:F6462,K4003:K6462,"0",B4003:B6462,"5 1 2 1 1 12 31111 6 M59 95000 000139*")</f>
        <v>250</v>
      </c>
      <c r="G4002" s="83">
        <f>SUMIFS(G4003:G6462,K4003:K6462,"0",B4003:B6462,"5 1 2 1 1 12 31111 6 M59 95000 000139*")</f>
        <v>0</v>
      </c>
      <c r="H4002" s="83">
        <f t="shared" si="62"/>
        <v>250</v>
      </c>
      <c r="I4002" s="83"/>
      <c r="K4002" s="54" t="s">
        <v>15</v>
      </c>
    </row>
    <row r="4003" spans="2:11" ht="24.75" x14ac:dyDescent="0.2">
      <c r="B4003" s="82" t="s">
        <v>6402</v>
      </c>
      <c r="C4003" s="82" t="s">
        <v>3671</v>
      </c>
      <c r="D4003" s="83">
        <f>SUMIFS(D4004:D6462,K4004:K6462,"0",B4004:B6462,"5 1 2 1 1 12 31111 6 M59 95000 000139 0000L*")-SUMIFS(E4004:E6462,K4004:K6462,"0",B4004:B6462,"5 1 2 1 1 12 31111 6 M59 95000 000139 0000L*")</f>
        <v>0</v>
      </c>
      <c r="E4003" s="54"/>
      <c r="F4003" s="83">
        <f>SUMIFS(F4004:F6462,K4004:K6462,"0",B4004:B6462,"5 1 2 1 1 12 31111 6 M59 95000 000139 0000L*")</f>
        <v>250</v>
      </c>
      <c r="G4003" s="83">
        <f>SUMIFS(G4004:G6462,K4004:K6462,"0",B4004:B6462,"5 1 2 1 1 12 31111 6 M59 95000 000139 0000L*")</f>
        <v>0</v>
      </c>
      <c r="H4003" s="83">
        <f t="shared" si="62"/>
        <v>250</v>
      </c>
      <c r="I4003" s="83"/>
      <c r="K4003" s="54" t="s">
        <v>15</v>
      </c>
    </row>
    <row r="4004" spans="2:11" ht="24.75" x14ac:dyDescent="0.2">
      <c r="B4004" s="82" t="s">
        <v>6403</v>
      </c>
      <c r="C4004" s="82" t="s">
        <v>282</v>
      </c>
      <c r="D4004" s="83">
        <f>SUMIFS(D4005:D6462,K4005:K6462,"0",B4005:B6462,"5 1 2 1 1 12 31111 6 M59 95000 000139 0000L 00001*")-SUMIFS(E4005:E6462,K4005:K6462,"0",B4005:B6462,"5 1 2 1 1 12 31111 6 M59 95000 000139 0000L 00001*")</f>
        <v>0</v>
      </c>
      <c r="E4004" s="54"/>
      <c r="F4004" s="83">
        <f>SUMIFS(F4005:F6462,K4005:K6462,"0",B4005:B6462,"5 1 2 1 1 12 31111 6 M59 95000 000139 0000L 00001*")</f>
        <v>250</v>
      </c>
      <c r="G4004" s="83">
        <f>SUMIFS(G4005:G6462,K4005:K6462,"0",B4005:B6462,"5 1 2 1 1 12 31111 6 M59 95000 000139 0000L 00001*")</f>
        <v>0</v>
      </c>
      <c r="H4004" s="83">
        <f t="shared" si="62"/>
        <v>250</v>
      </c>
      <c r="I4004" s="83"/>
      <c r="K4004" s="54" t="s">
        <v>15</v>
      </c>
    </row>
    <row r="4005" spans="2:11" ht="24.75" x14ac:dyDescent="0.2">
      <c r="B4005" s="82" t="s">
        <v>6404</v>
      </c>
      <c r="C4005" s="82" t="s">
        <v>5827</v>
      </c>
      <c r="D4005" s="83">
        <f>SUMIFS(D4006:D6462,K4006:K6462,"0",B4006:B6462,"5 1 2 1 1 12 31111 6 M59 95000 000139 0000L 00001 00211*")-SUMIFS(E4006:E6462,K4006:K6462,"0",B4006:B6462,"5 1 2 1 1 12 31111 6 M59 95000 000139 0000L 00001 00211*")</f>
        <v>0</v>
      </c>
      <c r="E4005" s="54"/>
      <c r="F4005" s="83">
        <f>SUMIFS(F4006:F6462,K4006:K6462,"0",B4006:B6462,"5 1 2 1 1 12 31111 6 M59 95000 000139 0000L 00001 00211*")</f>
        <v>250</v>
      </c>
      <c r="G4005" s="83">
        <f>SUMIFS(G4006:G6462,K4006:K6462,"0",B4006:B6462,"5 1 2 1 1 12 31111 6 M59 95000 000139 0000L 00001 00211*")</f>
        <v>0</v>
      </c>
      <c r="H4005" s="83">
        <f t="shared" si="62"/>
        <v>250</v>
      </c>
      <c r="I4005" s="83"/>
      <c r="K4005" s="54" t="s">
        <v>15</v>
      </c>
    </row>
    <row r="4006" spans="2:11" ht="24.75" x14ac:dyDescent="0.2">
      <c r="B4006" s="82" t="s">
        <v>6405</v>
      </c>
      <c r="C4006" s="82" t="s">
        <v>1051</v>
      </c>
      <c r="D4006" s="83">
        <f>SUMIFS(D4007:D6462,K4007:K6462,"0",B4007:B6462,"5 1 2 1 1 12 31111 6 M59 95000 000139 0000L 00001 00211 015*")-SUMIFS(E4007:E6462,K4007:K6462,"0",B4007:B6462,"5 1 2 1 1 12 31111 6 M59 95000 000139 0000L 00001 00211 015*")</f>
        <v>0</v>
      </c>
      <c r="E4006" s="54"/>
      <c r="F4006" s="83">
        <f>SUMIFS(F4007:F6462,K4007:K6462,"0",B4007:B6462,"5 1 2 1 1 12 31111 6 M59 95000 000139 0000L 00001 00211 015*")</f>
        <v>250</v>
      </c>
      <c r="G4006" s="83">
        <f>SUMIFS(G4007:G6462,K4007:K6462,"0",B4007:B6462,"5 1 2 1 1 12 31111 6 M59 95000 000139 0000L 00001 00211 015*")</f>
        <v>0</v>
      </c>
      <c r="H4006" s="83">
        <f t="shared" si="62"/>
        <v>250</v>
      </c>
      <c r="I4006" s="83"/>
      <c r="K4006" s="54" t="s">
        <v>15</v>
      </c>
    </row>
    <row r="4007" spans="2:11" ht="33" x14ac:dyDescent="0.2">
      <c r="B4007" s="82" t="s">
        <v>6406</v>
      </c>
      <c r="C4007" s="82" t="s">
        <v>5830</v>
      </c>
      <c r="D4007" s="83">
        <f>SUMIFS(D4008:D6462,K4008:K6462,"0",B4008:B6462,"5 1 2 1 1 12 31111 6 M59 95000 000139 0000L 00001 00211 015 2112000*")-SUMIFS(E4008:E6462,K4008:K6462,"0",B4008:B6462,"5 1 2 1 1 12 31111 6 M59 95000 000139 0000L 00001 00211 015 2112000*")</f>
        <v>0</v>
      </c>
      <c r="E4007" s="54"/>
      <c r="F4007" s="83">
        <f>SUMIFS(F4008:F6462,K4008:K6462,"0",B4008:B6462,"5 1 2 1 1 12 31111 6 M59 95000 000139 0000L 00001 00211 015 2112000*")</f>
        <v>250</v>
      </c>
      <c r="G4007" s="83">
        <f>SUMIFS(G4008:G6462,K4008:K6462,"0",B4008:B6462,"5 1 2 1 1 12 31111 6 M59 95000 000139 0000L 00001 00211 015 2112000*")</f>
        <v>0</v>
      </c>
      <c r="H4007" s="83">
        <f t="shared" si="62"/>
        <v>250</v>
      </c>
      <c r="I4007" s="83"/>
      <c r="K4007" s="54" t="s">
        <v>15</v>
      </c>
    </row>
    <row r="4008" spans="2:11" ht="33" x14ac:dyDescent="0.2">
      <c r="B4008" s="82" t="s">
        <v>6407</v>
      </c>
      <c r="C4008" s="82" t="s">
        <v>660</v>
      </c>
      <c r="D4008" s="83">
        <f>SUMIFS(D4009:D6462,K4009:K6462,"0",B4009:B6462,"5 1 2 1 1 12 31111 6 M59 95000 000139 0000L 00001 00211 015 2112000 2024*")-SUMIFS(E4009:E6462,K4009:K6462,"0",B4009:B6462,"5 1 2 1 1 12 31111 6 M59 95000 000139 0000L 00001 00211 015 2112000 2024*")</f>
        <v>0</v>
      </c>
      <c r="E4008" s="54"/>
      <c r="F4008" s="83">
        <f>SUMIFS(F4009:F6462,K4009:K6462,"0",B4009:B6462,"5 1 2 1 1 12 31111 6 M59 95000 000139 0000L 00001 00211 015 2112000 2024*")</f>
        <v>250</v>
      </c>
      <c r="G4008" s="83">
        <f>SUMIFS(G4009:G6462,K4009:K6462,"0",B4009:B6462,"5 1 2 1 1 12 31111 6 M59 95000 000139 0000L 00001 00211 015 2112000 2024*")</f>
        <v>0</v>
      </c>
      <c r="H4008" s="83">
        <f t="shared" si="62"/>
        <v>250</v>
      </c>
      <c r="I4008" s="83"/>
      <c r="K4008" s="54" t="s">
        <v>15</v>
      </c>
    </row>
    <row r="4009" spans="2:11" ht="41.25" x14ac:dyDescent="0.2">
      <c r="B4009" s="82" t="s">
        <v>6408</v>
      </c>
      <c r="C4009" s="82" t="s">
        <v>1056</v>
      </c>
      <c r="D4009" s="83">
        <f>SUMIFS(D4010:D6462,K4010:K6462,"0",B4010:B6462,"5 1 2 1 1 12 31111 6 M59 95000 000139 0000L 00001 00211 015 2112000 2024 CP1AJ437*")-SUMIFS(E4010:E6462,K4010:K6462,"0",B4010:B6462,"5 1 2 1 1 12 31111 6 M59 95000 000139 0000L 00001 00211 015 2112000 2024 CP1AJ437*")</f>
        <v>0</v>
      </c>
      <c r="E4009" s="54"/>
      <c r="F4009" s="83">
        <f>SUMIFS(F4010:F6462,K4010:K6462,"0",B4010:B6462,"5 1 2 1 1 12 31111 6 M59 95000 000139 0000L 00001 00211 015 2112000 2024 CP1AJ437*")</f>
        <v>250</v>
      </c>
      <c r="G4009" s="83">
        <f>SUMIFS(G4010:G6462,K4010:K6462,"0",B4010:B6462,"5 1 2 1 1 12 31111 6 M59 95000 000139 0000L 00001 00211 015 2112000 2024 CP1AJ437*")</f>
        <v>0</v>
      </c>
      <c r="H4009" s="83">
        <f t="shared" si="62"/>
        <v>250</v>
      </c>
      <c r="I4009" s="83"/>
      <c r="K4009" s="54" t="s">
        <v>15</v>
      </c>
    </row>
    <row r="4010" spans="2:11" ht="41.25" x14ac:dyDescent="0.2">
      <c r="B4010" s="82" t="s">
        <v>6409</v>
      </c>
      <c r="C4010" s="82" t="s">
        <v>282</v>
      </c>
      <c r="D4010" s="83">
        <f>SUMIFS(D4011:D6462,K4011:K6462,"0",B4011:B6462,"5 1 2 1 1 12 31111 6 M59 95000 000139 0000L 00001 00211 015 2112000 2024 CP1AJ437 001*")-SUMIFS(E4011:E6462,K4011:K6462,"0",B4011:B6462,"5 1 2 1 1 12 31111 6 M59 95000 000139 0000L 00001 00211 015 2112000 2024 CP1AJ437 001*")</f>
        <v>0</v>
      </c>
      <c r="E4010" s="54"/>
      <c r="F4010" s="83">
        <f>SUMIFS(F4011:F6462,K4011:K6462,"0",B4011:B6462,"5 1 2 1 1 12 31111 6 M59 95000 000139 0000L 00001 00211 015 2112000 2024 CP1AJ437 001*")</f>
        <v>250</v>
      </c>
      <c r="G4010" s="83">
        <f>SUMIFS(G4011:G6462,K4011:K6462,"0",B4011:B6462,"5 1 2 1 1 12 31111 6 M59 95000 000139 0000L 00001 00211 015 2112000 2024 CP1AJ437 001*")</f>
        <v>0</v>
      </c>
      <c r="H4010" s="83">
        <f t="shared" si="62"/>
        <v>250</v>
      </c>
      <c r="I4010" s="83"/>
      <c r="K4010" s="54" t="s">
        <v>15</v>
      </c>
    </row>
    <row r="4011" spans="2:11" ht="33" x14ac:dyDescent="0.2">
      <c r="B4011" s="84" t="s">
        <v>6410</v>
      </c>
      <c r="C4011" s="84" t="s">
        <v>5827</v>
      </c>
      <c r="D4011" s="85">
        <v>0</v>
      </c>
      <c r="E4011" s="85"/>
      <c r="F4011" s="85">
        <v>250</v>
      </c>
      <c r="G4011" s="85">
        <v>0</v>
      </c>
      <c r="H4011" s="85">
        <f t="shared" ref="H4011:H4074" si="63">D4011 + F4011 - G4011</f>
        <v>250</v>
      </c>
      <c r="I4011" s="85"/>
      <c r="K4011" s="54" t="s">
        <v>38</v>
      </c>
    </row>
    <row r="4012" spans="2:11" ht="16.5" x14ac:dyDescent="0.2">
      <c r="B4012" s="82" t="s">
        <v>6411</v>
      </c>
      <c r="C4012" s="82" t="s">
        <v>3681</v>
      </c>
      <c r="D4012" s="83">
        <f>SUMIFS(D4013:D6462,K4013:K6462,"0",B4013:B6462,"5 1 2 1 1 12 31111 6 M59 96000*")-SUMIFS(E4013:E6462,K4013:K6462,"0",B4013:B6462,"5 1 2 1 1 12 31111 6 M59 96000*")</f>
        <v>0</v>
      </c>
      <c r="E4012" s="54"/>
      <c r="F4012" s="83">
        <f>SUMIFS(F4013:F6462,K4013:K6462,"0",B4013:B6462,"5 1 2 1 1 12 31111 6 M59 96000*")</f>
        <v>250</v>
      </c>
      <c r="G4012" s="83">
        <f>SUMIFS(G4013:G6462,K4013:K6462,"0",B4013:B6462,"5 1 2 1 1 12 31111 6 M59 96000*")</f>
        <v>0</v>
      </c>
      <c r="H4012" s="83">
        <f t="shared" si="63"/>
        <v>250</v>
      </c>
      <c r="I4012" s="83"/>
      <c r="K4012" s="54" t="s">
        <v>15</v>
      </c>
    </row>
    <row r="4013" spans="2:11" ht="16.5" x14ac:dyDescent="0.2">
      <c r="B4013" s="82" t="s">
        <v>6412</v>
      </c>
      <c r="C4013" s="82" t="s">
        <v>648</v>
      </c>
      <c r="D4013" s="83">
        <f>SUMIFS(D4014:D6462,K4014:K6462,"0",B4014:B6462,"5 1 2 1 1 12 31111 6 M59 96000 000132*")-SUMIFS(E4014:E6462,K4014:K6462,"0",B4014:B6462,"5 1 2 1 1 12 31111 6 M59 96000 000132*")</f>
        <v>0</v>
      </c>
      <c r="E4013" s="54"/>
      <c r="F4013" s="83">
        <f>SUMIFS(F4014:F6462,K4014:K6462,"0",B4014:B6462,"5 1 2 1 1 12 31111 6 M59 96000 000132*")</f>
        <v>250</v>
      </c>
      <c r="G4013" s="83">
        <f>SUMIFS(G4014:G6462,K4014:K6462,"0",B4014:B6462,"5 1 2 1 1 12 31111 6 M59 96000 000132*")</f>
        <v>0</v>
      </c>
      <c r="H4013" s="83">
        <f t="shared" si="63"/>
        <v>250</v>
      </c>
      <c r="I4013" s="83"/>
      <c r="K4013" s="54" t="s">
        <v>15</v>
      </c>
    </row>
    <row r="4014" spans="2:11" ht="16.5" x14ac:dyDescent="0.2">
      <c r="B4014" s="82" t="s">
        <v>6413</v>
      </c>
      <c r="C4014" s="82" t="s">
        <v>650</v>
      </c>
      <c r="D4014" s="83">
        <f>SUMIFS(D4015:D6462,K4015:K6462,"0",B4015:B6462,"5 1 2 1 1 12 31111 6 M59 96000 000132 0000R*")-SUMIFS(E4015:E6462,K4015:K6462,"0",B4015:B6462,"5 1 2 1 1 12 31111 6 M59 96000 000132 0000R*")</f>
        <v>0</v>
      </c>
      <c r="E4014" s="54"/>
      <c r="F4014" s="83">
        <f>SUMIFS(F4015:F6462,K4015:K6462,"0",B4015:B6462,"5 1 2 1 1 12 31111 6 M59 96000 000132 0000R*")</f>
        <v>250</v>
      </c>
      <c r="G4014" s="83">
        <f>SUMIFS(G4015:G6462,K4015:K6462,"0",B4015:B6462,"5 1 2 1 1 12 31111 6 M59 96000 000132 0000R*")</f>
        <v>0</v>
      </c>
      <c r="H4014" s="83">
        <f t="shared" si="63"/>
        <v>250</v>
      </c>
      <c r="I4014" s="83"/>
      <c r="K4014" s="54" t="s">
        <v>15</v>
      </c>
    </row>
    <row r="4015" spans="2:11" ht="24.75" x14ac:dyDescent="0.2">
      <c r="B4015" s="82" t="s">
        <v>6414</v>
      </c>
      <c r="C4015" s="82" t="s">
        <v>282</v>
      </c>
      <c r="D4015" s="83">
        <f>SUMIFS(D4016:D6462,K4016:K6462,"0",B4016:B6462,"5 1 2 1 1 12 31111 6 M59 96000 000132 0000R 00001*")-SUMIFS(E4016:E6462,K4016:K6462,"0",B4016:B6462,"5 1 2 1 1 12 31111 6 M59 96000 000132 0000R 00001*")</f>
        <v>0</v>
      </c>
      <c r="E4015" s="54"/>
      <c r="F4015" s="83">
        <f>SUMIFS(F4016:F6462,K4016:K6462,"0",B4016:B6462,"5 1 2 1 1 12 31111 6 M59 96000 000132 0000R 00001*")</f>
        <v>250</v>
      </c>
      <c r="G4015" s="83">
        <f>SUMIFS(G4016:G6462,K4016:K6462,"0",B4016:B6462,"5 1 2 1 1 12 31111 6 M59 96000 000132 0000R 00001*")</f>
        <v>0</v>
      </c>
      <c r="H4015" s="83">
        <f t="shared" si="63"/>
        <v>250</v>
      </c>
      <c r="I4015" s="83"/>
      <c r="K4015" s="54" t="s">
        <v>15</v>
      </c>
    </row>
    <row r="4016" spans="2:11" ht="24.75" x14ac:dyDescent="0.2">
      <c r="B4016" s="82" t="s">
        <v>6415</v>
      </c>
      <c r="C4016" s="82" t="s">
        <v>5827</v>
      </c>
      <c r="D4016" s="83">
        <f>SUMIFS(D4017:D6462,K4017:K6462,"0",B4017:B6462,"5 1 2 1 1 12 31111 6 M59 96000 000132 0000R 00001 00211*")-SUMIFS(E4017:E6462,K4017:K6462,"0",B4017:B6462,"5 1 2 1 1 12 31111 6 M59 96000 000132 0000R 00001 00211*")</f>
        <v>0</v>
      </c>
      <c r="E4016" s="54"/>
      <c r="F4016" s="83">
        <f>SUMIFS(F4017:F6462,K4017:K6462,"0",B4017:B6462,"5 1 2 1 1 12 31111 6 M59 96000 000132 0000R 00001 00211*")</f>
        <v>250</v>
      </c>
      <c r="G4016" s="83">
        <f>SUMIFS(G4017:G6462,K4017:K6462,"0",B4017:B6462,"5 1 2 1 1 12 31111 6 M59 96000 000132 0000R 00001 00211*")</f>
        <v>0</v>
      </c>
      <c r="H4016" s="83">
        <f t="shared" si="63"/>
        <v>250</v>
      </c>
      <c r="I4016" s="83"/>
      <c r="K4016" s="54" t="s">
        <v>15</v>
      </c>
    </row>
    <row r="4017" spans="2:11" ht="24.75" x14ac:dyDescent="0.2">
      <c r="B4017" s="82" t="s">
        <v>6416</v>
      </c>
      <c r="C4017" s="82" t="s">
        <v>1051</v>
      </c>
      <c r="D4017" s="83">
        <f>SUMIFS(D4018:D6462,K4018:K6462,"0",B4018:B6462,"5 1 2 1 1 12 31111 6 M59 96000 000132 0000R 00001 00211 015*")-SUMIFS(E4018:E6462,K4018:K6462,"0",B4018:B6462,"5 1 2 1 1 12 31111 6 M59 96000 000132 0000R 00001 00211 015*")</f>
        <v>0</v>
      </c>
      <c r="E4017" s="54"/>
      <c r="F4017" s="83">
        <f>SUMIFS(F4018:F6462,K4018:K6462,"0",B4018:B6462,"5 1 2 1 1 12 31111 6 M59 96000 000132 0000R 00001 00211 015*")</f>
        <v>250</v>
      </c>
      <c r="G4017" s="83">
        <f>SUMIFS(G4018:G6462,K4018:K6462,"0",B4018:B6462,"5 1 2 1 1 12 31111 6 M59 96000 000132 0000R 00001 00211 015*")</f>
        <v>0</v>
      </c>
      <c r="H4017" s="83">
        <f t="shared" si="63"/>
        <v>250</v>
      </c>
      <c r="I4017" s="83"/>
      <c r="K4017" s="54" t="s">
        <v>15</v>
      </c>
    </row>
    <row r="4018" spans="2:11" ht="33" x14ac:dyDescent="0.2">
      <c r="B4018" s="82" t="s">
        <v>6417</v>
      </c>
      <c r="C4018" s="82" t="s">
        <v>5830</v>
      </c>
      <c r="D4018" s="83">
        <f>SUMIFS(D4019:D6462,K4019:K6462,"0",B4019:B6462,"5 1 2 1 1 12 31111 6 M59 96000 000132 0000R 00001 00211 015 2112000*")-SUMIFS(E4019:E6462,K4019:K6462,"0",B4019:B6462,"5 1 2 1 1 12 31111 6 M59 96000 000132 0000R 00001 00211 015 2112000*")</f>
        <v>0</v>
      </c>
      <c r="E4018" s="54"/>
      <c r="F4018" s="83">
        <f>SUMIFS(F4019:F6462,K4019:K6462,"0",B4019:B6462,"5 1 2 1 1 12 31111 6 M59 96000 000132 0000R 00001 00211 015 2112000*")</f>
        <v>250</v>
      </c>
      <c r="G4018" s="83">
        <f>SUMIFS(G4019:G6462,K4019:K6462,"0",B4019:B6462,"5 1 2 1 1 12 31111 6 M59 96000 000132 0000R 00001 00211 015 2112000*")</f>
        <v>0</v>
      </c>
      <c r="H4018" s="83">
        <f t="shared" si="63"/>
        <v>250</v>
      </c>
      <c r="I4018" s="83"/>
      <c r="K4018" s="54" t="s">
        <v>15</v>
      </c>
    </row>
    <row r="4019" spans="2:11" ht="33" x14ac:dyDescent="0.2">
      <c r="B4019" s="82" t="s">
        <v>6418</v>
      </c>
      <c r="C4019" s="82" t="s">
        <v>660</v>
      </c>
      <c r="D4019" s="83">
        <f>SUMIFS(D4020:D6462,K4020:K6462,"0",B4020:B6462,"5 1 2 1 1 12 31111 6 M59 96000 000132 0000R 00001 00211 015 2112000 2024*")-SUMIFS(E4020:E6462,K4020:K6462,"0",B4020:B6462,"5 1 2 1 1 12 31111 6 M59 96000 000132 0000R 00001 00211 015 2112000 2024*")</f>
        <v>0</v>
      </c>
      <c r="E4019" s="54"/>
      <c r="F4019" s="83">
        <f>SUMIFS(F4020:F6462,K4020:K6462,"0",B4020:B6462,"5 1 2 1 1 12 31111 6 M59 96000 000132 0000R 00001 00211 015 2112000 2024*")</f>
        <v>250</v>
      </c>
      <c r="G4019" s="83">
        <f>SUMIFS(G4020:G6462,K4020:K6462,"0",B4020:B6462,"5 1 2 1 1 12 31111 6 M59 96000 000132 0000R 00001 00211 015 2112000 2024*")</f>
        <v>0</v>
      </c>
      <c r="H4019" s="83">
        <f t="shared" si="63"/>
        <v>250</v>
      </c>
      <c r="I4019" s="83"/>
      <c r="K4019" s="54" t="s">
        <v>15</v>
      </c>
    </row>
    <row r="4020" spans="2:11" ht="41.25" x14ac:dyDescent="0.2">
      <c r="B4020" s="82" t="s">
        <v>6419</v>
      </c>
      <c r="C4020" s="82" t="s">
        <v>662</v>
      </c>
      <c r="D4020" s="83">
        <f>SUMIFS(D4021:D6462,K4021:K6462,"0",B4021:B6462,"5 1 2 1 1 12 31111 6 M59 96000 000132 0000R 00001 00211 015 2112000 2024 CP1PA379*")-SUMIFS(E4021:E6462,K4021:K6462,"0",B4021:B6462,"5 1 2 1 1 12 31111 6 M59 96000 000132 0000R 00001 00211 015 2112000 2024 CP1PA379*")</f>
        <v>0</v>
      </c>
      <c r="E4020" s="54"/>
      <c r="F4020" s="83">
        <f>SUMIFS(F4021:F6462,K4021:K6462,"0",B4021:B6462,"5 1 2 1 1 12 31111 6 M59 96000 000132 0000R 00001 00211 015 2112000 2024 CP1PA379*")</f>
        <v>250</v>
      </c>
      <c r="G4020" s="83">
        <f>SUMIFS(G4021:G6462,K4021:K6462,"0",B4021:B6462,"5 1 2 1 1 12 31111 6 M59 96000 000132 0000R 00001 00211 015 2112000 2024 CP1PA379*")</f>
        <v>0</v>
      </c>
      <c r="H4020" s="83">
        <f t="shared" si="63"/>
        <v>250</v>
      </c>
      <c r="I4020" s="83"/>
      <c r="K4020" s="54" t="s">
        <v>15</v>
      </c>
    </row>
    <row r="4021" spans="2:11" ht="41.25" x14ac:dyDescent="0.2">
      <c r="B4021" s="82" t="s">
        <v>6420</v>
      </c>
      <c r="C4021" s="82" t="s">
        <v>282</v>
      </c>
      <c r="D4021" s="83">
        <f>SUMIFS(D4022:D6462,K4022:K6462,"0",B4022:B6462,"5 1 2 1 1 12 31111 6 M59 96000 000132 0000R 00001 00211 015 2112000 2024 CP1PA379 001*")-SUMIFS(E4022:E6462,K4022:K6462,"0",B4022:B6462,"5 1 2 1 1 12 31111 6 M59 96000 000132 0000R 00001 00211 015 2112000 2024 CP1PA379 001*")</f>
        <v>0</v>
      </c>
      <c r="E4021" s="54"/>
      <c r="F4021" s="83">
        <f>SUMIFS(F4022:F6462,K4022:K6462,"0",B4022:B6462,"5 1 2 1 1 12 31111 6 M59 96000 000132 0000R 00001 00211 015 2112000 2024 CP1PA379 001*")</f>
        <v>250</v>
      </c>
      <c r="G4021" s="83">
        <f>SUMIFS(G4022:G6462,K4022:K6462,"0",B4022:B6462,"5 1 2 1 1 12 31111 6 M59 96000 000132 0000R 00001 00211 015 2112000 2024 CP1PA379 001*")</f>
        <v>0</v>
      </c>
      <c r="H4021" s="83">
        <f t="shared" si="63"/>
        <v>250</v>
      </c>
      <c r="I4021" s="83"/>
      <c r="K4021" s="54" t="s">
        <v>15</v>
      </c>
    </row>
    <row r="4022" spans="2:11" ht="41.25" x14ac:dyDescent="0.2">
      <c r="B4022" s="84" t="s">
        <v>6421</v>
      </c>
      <c r="C4022" s="84" t="s">
        <v>5827</v>
      </c>
      <c r="D4022" s="85">
        <v>0</v>
      </c>
      <c r="E4022" s="85"/>
      <c r="F4022" s="85">
        <v>250</v>
      </c>
      <c r="G4022" s="85">
        <v>0</v>
      </c>
      <c r="H4022" s="85">
        <f t="shared" si="63"/>
        <v>250</v>
      </c>
      <c r="I4022" s="85"/>
      <c r="K4022" s="54" t="s">
        <v>38</v>
      </c>
    </row>
    <row r="4023" spans="2:11" ht="16.5" x14ac:dyDescent="0.2">
      <c r="B4023" s="82" t="s">
        <v>6422</v>
      </c>
      <c r="C4023" s="82" t="s">
        <v>3693</v>
      </c>
      <c r="D4023" s="83">
        <f>SUMIFS(D4024:D6462,K4024:K6462,"0",B4024:B6462,"5 1 2 1 1 12 31111 6 M59 96100*")-SUMIFS(E4024:E6462,K4024:K6462,"0",B4024:B6462,"5 1 2 1 1 12 31111 6 M59 96100*")</f>
        <v>0</v>
      </c>
      <c r="E4023" s="54"/>
      <c r="F4023" s="83">
        <f>SUMIFS(F4024:F6462,K4024:K6462,"0",B4024:B6462,"5 1 2 1 1 12 31111 6 M59 96100*")</f>
        <v>250</v>
      </c>
      <c r="G4023" s="83">
        <f>SUMIFS(G4024:G6462,K4024:K6462,"0",B4024:B6462,"5 1 2 1 1 12 31111 6 M59 96100*")</f>
        <v>0</v>
      </c>
      <c r="H4023" s="83">
        <f t="shared" si="63"/>
        <v>250</v>
      </c>
      <c r="I4023" s="83"/>
      <c r="K4023" s="54" t="s">
        <v>15</v>
      </c>
    </row>
    <row r="4024" spans="2:11" ht="16.5" x14ac:dyDescent="0.2">
      <c r="B4024" s="82" t="s">
        <v>6423</v>
      </c>
      <c r="C4024" s="82" t="s">
        <v>1310</v>
      </c>
      <c r="D4024" s="83">
        <f>SUMIFS(D4025:D6462,K4025:K6462,"0",B4025:B6462,"5 1 2 1 1 12 31111 6 M59 96100 000211*")-SUMIFS(E4025:E6462,K4025:K6462,"0",B4025:B6462,"5 1 2 1 1 12 31111 6 M59 96100 000211*")</f>
        <v>0</v>
      </c>
      <c r="E4024" s="54"/>
      <c r="F4024" s="83">
        <f>SUMIFS(F4025:F6462,K4025:K6462,"0",B4025:B6462,"5 1 2 1 1 12 31111 6 M59 96100 000211*")</f>
        <v>250</v>
      </c>
      <c r="G4024" s="83">
        <f>SUMIFS(G4025:G6462,K4025:K6462,"0",B4025:B6462,"5 1 2 1 1 12 31111 6 M59 96100 000211*")</f>
        <v>0</v>
      </c>
      <c r="H4024" s="83">
        <f t="shared" si="63"/>
        <v>250</v>
      </c>
      <c r="I4024" s="83"/>
      <c r="K4024" s="54" t="s">
        <v>15</v>
      </c>
    </row>
    <row r="4025" spans="2:11" ht="16.5" x14ac:dyDescent="0.2">
      <c r="B4025" s="82" t="s">
        <v>6424</v>
      </c>
      <c r="C4025" s="82" t="s">
        <v>3696</v>
      </c>
      <c r="D4025" s="83">
        <f>SUMIFS(D4026:D6462,K4026:K6462,"0",B4026:B6462,"5 1 2 1 1 12 31111 6 M59 96100 000211 0000U*")-SUMIFS(E4026:E6462,K4026:K6462,"0",B4026:B6462,"5 1 2 1 1 12 31111 6 M59 96100 000211 0000U*")</f>
        <v>0</v>
      </c>
      <c r="E4025" s="54"/>
      <c r="F4025" s="83">
        <f>SUMIFS(F4026:F6462,K4026:K6462,"0",B4026:B6462,"5 1 2 1 1 12 31111 6 M59 96100 000211 0000U*")</f>
        <v>250</v>
      </c>
      <c r="G4025" s="83">
        <f>SUMIFS(G4026:G6462,K4026:K6462,"0",B4026:B6462,"5 1 2 1 1 12 31111 6 M59 96100 000211 0000U*")</f>
        <v>0</v>
      </c>
      <c r="H4025" s="83">
        <f t="shared" si="63"/>
        <v>250</v>
      </c>
      <c r="I4025" s="83"/>
      <c r="K4025" s="54" t="s">
        <v>15</v>
      </c>
    </row>
    <row r="4026" spans="2:11" ht="24.75" x14ac:dyDescent="0.2">
      <c r="B4026" s="82" t="s">
        <v>6425</v>
      </c>
      <c r="C4026" s="82" t="s">
        <v>282</v>
      </c>
      <c r="D4026" s="83">
        <f>SUMIFS(D4027:D6462,K4027:K6462,"0",B4027:B6462,"5 1 2 1 1 12 31111 6 M59 96100 000211 0000U 00001*")-SUMIFS(E4027:E6462,K4027:K6462,"0",B4027:B6462,"5 1 2 1 1 12 31111 6 M59 96100 000211 0000U 00001*")</f>
        <v>0</v>
      </c>
      <c r="E4026" s="54"/>
      <c r="F4026" s="83">
        <f>SUMIFS(F4027:F6462,K4027:K6462,"0",B4027:B6462,"5 1 2 1 1 12 31111 6 M59 96100 000211 0000U 00001*")</f>
        <v>250</v>
      </c>
      <c r="G4026" s="83">
        <f>SUMIFS(G4027:G6462,K4027:K6462,"0",B4027:B6462,"5 1 2 1 1 12 31111 6 M59 96100 000211 0000U 00001*")</f>
        <v>0</v>
      </c>
      <c r="H4026" s="83">
        <f t="shared" si="63"/>
        <v>250</v>
      </c>
      <c r="I4026" s="83"/>
      <c r="K4026" s="54" t="s">
        <v>15</v>
      </c>
    </row>
    <row r="4027" spans="2:11" ht="24.75" x14ac:dyDescent="0.2">
      <c r="B4027" s="82" t="s">
        <v>6426</v>
      </c>
      <c r="C4027" s="82" t="s">
        <v>5827</v>
      </c>
      <c r="D4027" s="83">
        <f>SUMIFS(D4028:D6462,K4028:K6462,"0",B4028:B6462,"5 1 2 1 1 12 31111 6 M59 96100 000211 0000U 00001 00211*")-SUMIFS(E4028:E6462,K4028:K6462,"0",B4028:B6462,"5 1 2 1 1 12 31111 6 M59 96100 000211 0000U 00001 00211*")</f>
        <v>0</v>
      </c>
      <c r="E4027" s="54"/>
      <c r="F4027" s="83">
        <f>SUMIFS(F4028:F6462,K4028:K6462,"0",B4028:B6462,"5 1 2 1 1 12 31111 6 M59 96100 000211 0000U 00001 00211*")</f>
        <v>250</v>
      </c>
      <c r="G4027" s="83">
        <f>SUMIFS(G4028:G6462,K4028:K6462,"0",B4028:B6462,"5 1 2 1 1 12 31111 6 M59 96100 000211 0000U 00001 00211*")</f>
        <v>0</v>
      </c>
      <c r="H4027" s="83">
        <f t="shared" si="63"/>
        <v>250</v>
      </c>
      <c r="I4027" s="83"/>
      <c r="K4027" s="54" t="s">
        <v>15</v>
      </c>
    </row>
    <row r="4028" spans="2:11" ht="24.75" x14ac:dyDescent="0.2">
      <c r="B4028" s="82" t="s">
        <v>6427</v>
      </c>
      <c r="C4028" s="82" t="s">
        <v>1051</v>
      </c>
      <c r="D4028" s="83">
        <f>SUMIFS(D4029:D6462,K4029:K6462,"0",B4029:B6462,"5 1 2 1 1 12 31111 6 M59 96100 000211 0000U 00001 00211 015*")-SUMIFS(E4029:E6462,K4029:K6462,"0",B4029:B6462,"5 1 2 1 1 12 31111 6 M59 96100 000211 0000U 00001 00211 015*")</f>
        <v>0</v>
      </c>
      <c r="E4028" s="54"/>
      <c r="F4028" s="83">
        <f>SUMIFS(F4029:F6462,K4029:K6462,"0",B4029:B6462,"5 1 2 1 1 12 31111 6 M59 96100 000211 0000U 00001 00211 015*")</f>
        <v>250</v>
      </c>
      <c r="G4028" s="83">
        <f>SUMIFS(G4029:G6462,K4029:K6462,"0",B4029:B6462,"5 1 2 1 1 12 31111 6 M59 96100 000211 0000U 00001 00211 015*")</f>
        <v>0</v>
      </c>
      <c r="H4028" s="83">
        <f t="shared" si="63"/>
        <v>250</v>
      </c>
      <c r="I4028" s="83"/>
      <c r="K4028" s="54" t="s">
        <v>15</v>
      </c>
    </row>
    <row r="4029" spans="2:11" ht="33" x14ac:dyDescent="0.2">
      <c r="B4029" s="82" t="s">
        <v>6428</v>
      </c>
      <c r="C4029" s="82" t="s">
        <v>5830</v>
      </c>
      <c r="D4029" s="83">
        <f>SUMIFS(D4030:D6462,K4030:K6462,"0",B4030:B6462,"5 1 2 1 1 12 31111 6 M59 96100 000211 0000U 00001 00211 015 2112000*")-SUMIFS(E4030:E6462,K4030:K6462,"0",B4030:B6462,"5 1 2 1 1 12 31111 6 M59 96100 000211 0000U 00001 00211 015 2112000*")</f>
        <v>0</v>
      </c>
      <c r="E4029" s="54"/>
      <c r="F4029" s="83">
        <f>SUMIFS(F4030:F6462,K4030:K6462,"0",B4030:B6462,"5 1 2 1 1 12 31111 6 M59 96100 000211 0000U 00001 00211 015 2112000*")</f>
        <v>250</v>
      </c>
      <c r="G4029" s="83">
        <f>SUMIFS(G4030:G6462,K4030:K6462,"0",B4030:B6462,"5 1 2 1 1 12 31111 6 M59 96100 000211 0000U 00001 00211 015 2112000*")</f>
        <v>0</v>
      </c>
      <c r="H4029" s="83">
        <f t="shared" si="63"/>
        <v>250</v>
      </c>
      <c r="I4029" s="83"/>
      <c r="K4029" s="54" t="s">
        <v>15</v>
      </c>
    </row>
    <row r="4030" spans="2:11" ht="33" x14ac:dyDescent="0.2">
      <c r="B4030" s="82" t="s">
        <v>6429</v>
      </c>
      <c r="C4030" s="82" t="s">
        <v>660</v>
      </c>
      <c r="D4030" s="83">
        <f>SUMIFS(D4031:D6462,K4031:K6462,"0",B4031:B6462,"5 1 2 1 1 12 31111 6 M59 96100 000211 0000U 00001 00211 015 2112000 2024*")-SUMIFS(E4031:E6462,K4031:K6462,"0",B4031:B6462,"5 1 2 1 1 12 31111 6 M59 96100 000211 0000U 00001 00211 015 2112000 2024*")</f>
        <v>0</v>
      </c>
      <c r="E4030" s="54"/>
      <c r="F4030" s="83">
        <f>SUMIFS(F4031:F6462,K4031:K6462,"0",B4031:B6462,"5 1 2 1 1 12 31111 6 M59 96100 000211 0000U 00001 00211 015 2112000 2024*")</f>
        <v>250</v>
      </c>
      <c r="G4030" s="83">
        <f>SUMIFS(G4031:G6462,K4031:K6462,"0",B4031:B6462,"5 1 2 1 1 12 31111 6 M59 96100 000211 0000U 00001 00211 015 2112000 2024*")</f>
        <v>0</v>
      </c>
      <c r="H4030" s="83">
        <f t="shared" si="63"/>
        <v>250</v>
      </c>
      <c r="I4030" s="83"/>
      <c r="K4030" s="54" t="s">
        <v>15</v>
      </c>
    </row>
    <row r="4031" spans="2:11" ht="41.25" x14ac:dyDescent="0.2">
      <c r="B4031" s="82" t="s">
        <v>6430</v>
      </c>
      <c r="C4031" s="82" t="s">
        <v>1056</v>
      </c>
      <c r="D4031" s="83">
        <f>SUMIFS(D4032:D6462,K4032:K6462,"0",B4032:B6462,"5 1 2 1 1 12 31111 6 M59 96100 000211 0000U 00001 00211 015 2112000 2024 CP1IU412*")-SUMIFS(E4032:E6462,K4032:K6462,"0",B4032:B6462,"5 1 2 1 1 12 31111 6 M59 96100 000211 0000U 00001 00211 015 2112000 2024 CP1IU412*")</f>
        <v>0</v>
      </c>
      <c r="E4031" s="54"/>
      <c r="F4031" s="83">
        <f>SUMIFS(F4032:F6462,K4032:K6462,"0",B4032:B6462,"5 1 2 1 1 12 31111 6 M59 96100 000211 0000U 00001 00211 015 2112000 2024 CP1IU412*")</f>
        <v>250</v>
      </c>
      <c r="G4031" s="83">
        <f>SUMIFS(G4032:G6462,K4032:K6462,"0",B4032:B6462,"5 1 2 1 1 12 31111 6 M59 96100 000211 0000U 00001 00211 015 2112000 2024 CP1IU412*")</f>
        <v>0</v>
      </c>
      <c r="H4031" s="83">
        <f t="shared" si="63"/>
        <v>250</v>
      </c>
      <c r="I4031" s="83"/>
      <c r="K4031" s="54" t="s">
        <v>15</v>
      </c>
    </row>
    <row r="4032" spans="2:11" ht="41.25" x14ac:dyDescent="0.2">
      <c r="B4032" s="82" t="s">
        <v>6431</v>
      </c>
      <c r="C4032" s="82" t="s">
        <v>282</v>
      </c>
      <c r="D4032" s="83">
        <f>SUMIFS(D4033:D6462,K4033:K6462,"0",B4033:B6462,"5 1 2 1 1 12 31111 6 M59 96100 000211 0000U 00001 00211 015 2112000 2024 CP1IU412 001*")-SUMIFS(E4033:E6462,K4033:K6462,"0",B4033:B6462,"5 1 2 1 1 12 31111 6 M59 96100 000211 0000U 00001 00211 015 2112000 2024 CP1IU412 001*")</f>
        <v>0</v>
      </c>
      <c r="E4032" s="54"/>
      <c r="F4032" s="83">
        <f>SUMIFS(F4033:F6462,K4033:K6462,"0",B4033:B6462,"5 1 2 1 1 12 31111 6 M59 96100 000211 0000U 00001 00211 015 2112000 2024 CP1IU412 001*")</f>
        <v>250</v>
      </c>
      <c r="G4032" s="83">
        <f>SUMIFS(G4033:G6462,K4033:K6462,"0",B4033:B6462,"5 1 2 1 1 12 31111 6 M59 96100 000211 0000U 00001 00211 015 2112000 2024 CP1IU412 001*")</f>
        <v>0</v>
      </c>
      <c r="H4032" s="83">
        <f t="shared" si="63"/>
        <v>250</v>
      </c>
      <c r="I4032" s="83"/>
      <c r="K4032" s="54" t="s">
        <v>15</v>
      </c>
    </row>
    <row r="4033" spans="2:11" ht="33" x14ac:dyDescent="0.2">
      <c r="B4033" s="84" t="s">
        <v>6432</v>
      </c>
      <c r="C4033" s="84" t="s">
        <v>5827</v>
      </c>
      <c r="D4033" s="85">
        <v>0</v>
      </c>
      <c r="E4033" s="85"/>
      <c r="F4033" s="85">
        <v>250</v>
      </c>
      <c r="G4033" s="85">
        <v>0</v>
      </c>
      <c r="H4033" s="85">
        <f t="shared" si="63"/>
        <v>250</v>
      </c>
      <c r="I4033" s="85"/>
      <c r="K4033" s="54" t="s">
        <v>38</v>
      </c>
    </row>
    <row r="4034" spans="2:11" ht="16.5" x14ac:dyDescent="0.2">
      <c r="B4034" s="82" t="s">
        <v>6433</v>
      </c>
      <c r="C4034" s="82" t="s">
        <v>3706</v>
      </c>
      <c r="D4034" s="83">
        <f>SUMIFS(D4035:D6462,K4035:K6462,"0",B4035:B6462,"5 1 2 1 1 12 31111 6 M59 96200*")-SUMIFS(E4035:E6462,K4035:K6462,"0",B4035:B6462,"5 1 2 1 1 12 31111 6 M59 96200*")</f>
        <v>0</v>
      </c>
      <c r="E4034" s="54"/>
      <c r="F4034" s="83">
        <f>SUMIFS(F4035:F6462,K4035:K6462,"0",B4035:B6462,"5 1 2 1 1 12 31111 6 M59 96200*")</f>
        <v>250</v>
      </c>
      <c r="G4034" s="83">
        <f>SUMIFS(G4035:G6462,K4035:K6462,"0",B4035:B6462,"5 1 2 1 1 12 31111 6 M59 96200*")</f>
        <v>0</v>
      </c>
      <c r="H4034" s="83">
        <f t="shared" si="63"/>
        <v>250</v>
      </c>
      <c r="I4034" s="83"/>
      <c r="K4034" s="54" t="s">
        <v>15</v>
      </c>
    </row>
    <row r="4035" spans="2:11" ht="16.5" x14ac:dyDescent="0.2">
      <c r="B4035" s="82" t="s">
        <v>6434</v>
      </c>
      <c r="C4035" s="82" t="s">
        <v>648</v>
      </c>
      <c r="D4035" s="83">
        <f>SUMIFS(D4036:D6462,K4036:K6462,"0",B4036:B6462,"5 1 2 1 1 12 31111 6 M59 96200 000132*")-SUMIFS(E4036:E6462,K4036:K6462,"0",B4036:B6462,"5 1 2 1 1 12 31111 6 M59 96200 000132*")</f>
        <v>0</v>
      </c>
      <c r="E4035" s="54"/>
      <c r="F4035" s="83">
        <f>SUMIFS(F4036:F6462,K4036:K6462,"0",B4036:B6462,"5 1 2 1 1 12 31111 6 M59 96200 000132*")</f>
        <v>250</v>
      </c>
      <c r="G4035" s="83">
        <f>SUMIFS(G4036:G6462,K4036:K6462,"0",B4036:B6462,"5 1 2 1 1 12 31111 6 M59 96200 000132*")</f>
        <v>0</v>
      </c>
      <c r="H4035" s="83">
        <f t="shared" si="63"/>
        <v>250</v>
      </c>
      <c r="I4035" s="83"/>
      <c r="K4035" s="54" t="s">
        <v>15</v>
      </c>
    </row>
    <row r="4036" spans="2:11" ht="16.5" x14ac:dyDescent="0.2">
      <c r="B4036" s="82" t="s">
        <v>6435</v>
      </c>
      <c r="C4036" s="82" t="s">
        <v>650</v>
      </c>
      <c r="D4036" s="83">
        <f>SUMIFS(D4037:D6462,K4037:K6462,"0",B4037:B6462,"5 1 2 1 1 12 31111 6 M59 96200 000132 0000R*")-SUMIFS(E4037:E6462,K4037:K6462,"0",B4037:B6462,"5 1 2 1 1 12 31111 6 M59 96200 000132 0000R*")</f>
        <v>0</v>
      </c>
      <c r="E4036" s="54"/>
      <c r="F4036" s="83">
        <f>SUMIFS(F4037:F6462,K4037:K6462,"0",B4037:B6462,"5 1 2 1 1 12 31111 6 M59 96200 000132 0000R*")</f>
        <v>250</v>
      </c>
      <c r="G4036" s="83">
        <f>SUMIFS(G4037:G6462,K4037:K6462,"0",B4037:B6462,"5 1 2 1 1 12 31111 6 M59 96200 000132 0000R*")</f>
        <v>0</v>
      </c>
      <c r="H4036" s="83">
        <f t="shared" si="63"/>
        <v>250</v>
      </c>
      <c r="I4036" s="83"/>
      <c r="K4036" s="54" t="s">
        <v>15</v>
      </c>
    </row>
    <row r="4037" spans="2:11" ht="24.75" x14ac:dyDescent="0.2">
      <c r="B4037" s="82" t="s">
        <v>6436</v>
      </c>
      <c r="C4037" s="82" t="s">
        <v>282</v>
      </c>
      <c r="D4037" s="83">
        <f>SUMIFS(D4038:D6462,K4038:K6462,"0",B4038:B6462,"5 1 2 1 1 12 31111 6 M59 96200 000132 0000R 00001*")-SUMIFS(E4038:E6462,K4038:K6462,"0",B4038:B6462,"5 1 2 1 1 12 31111 6 M59 96200 000132 0000R 00001*")</f>
        <v>0</v>
      </c>
      <c r="E4037" s="54"/>
      <c r="F4037" s="83">
        <f>SUMIFS(F4038:F6462,K4038:K6462,"0",B4038:B6462,"5 1 2 1 1 12 31111 6 M59 96200 000132 0000R 00001*")</f>
        <v>250</v>
      </c>
      <c r="G4037" s="83">
        <f>SUMIFS(G4038:G6462,K4038:K6462,"0",B4038:B6462,"5 1 2 1 1 12 31111 6 M59 96200 000132 0000R 00001*")</f>
        <v>0</v>
      </c>
      <c r="H4037" s="83">
        <f t="shared" si="63"/>
        <v>250</v>
      </c>
      <c r="I4037" s="83"/>
      <c r="K4037" s="54" t="s">
        <v>15</v>
      </c>
    </row>
    <row r="4038" spans="2:11" ht="24.75" x14ac:dyDescent="0.2">
      <c r="B4038" s="82" t="s">
        <v>6437</v>
      </c>
      <c r="C4038" s="82" t="s">
        <v>5827</v>
      </c>
      <c r="D4038" s="83">
        <f>SUMIFS(D4039:D6462,K4039:K6462,"0",B4039:B6462,"5 1 2 1 1 12 31111 6 M59 96200 000132 0000R 00001 00211*")-SUMIFS(E4039:E6462,K4039:K6462,"0",B4039:B6462,"5 1 2 1 1 12 31111 6 M59 96200 000132 0000R 00001 00211*")</f>
        <v>0</v>
      </c>
      <c r="E4038" s="54"/>
      <c r="F4038" s="83">
        <f>SUMIFS(F4039:F6462,K4039:K6462,"0",B4039:B6462,"5 1 2 1 1 12 31111 6 M59 96200 000132 0000R 00001 00211*")</f>
        <v>250</v>
      </c>
      <c r="G4038" s="83">
        <f>SUMIFS(G4039:G6462,K4039:K6462,"0",B4039:B6462,"5 1 2 1 1 12 31111 6 M59 96200 000132 0000R 00001 00211*")</f>
        <v>0</v>
      </c>
      <c r="H4038" s="83">
        <f t="shared" si="63"/>
        <v>250</v>
      </c>
      <c r="I4038" s="83"/>
      <c r="K4038" s="54" t="s">
        <v>15</v>
      </c>
    </row>
    <row r="4039" spans="2:11" ht="24.75" x14ac:dyDescent="0.2">
      <c r="B4039" s="82" t="s">
        <v>6438</v>
      </c>
      <c r="C4039" s="82" t="s">
        <v>1051</v>
      </c>
      <c r="D4039" s="83">
        <f>SUMIFS(D4040:D6462,K4040:K6462,"0",B4040:B6462,"5 1 2 1 1 12 31111 6 M59 96200 000132 0000R 00001 00211 015*")-SUMIFS(E4040:E6462,K4040:K6462,"0",B4040:B6462,"5 1 2 1 1 12 31111 6 M59 96200 000132 0000R 00001 00211 015*")</f>
        <v>0</v>
      </c>
      <c r="E4039" s="54"/>
      <c r="F4039" s="83">
        <f>SUMIFS(F4040:F6462,K4040:K6462,"0",B4040:B6462,"5 1 2 1 1 12 31111 6 M59 96200 000132 0000R 00001 00211 015*")</f>
        <v>250</v>
      </c>
      <c r="G4039" s="83">
        <f>SUMIFS(G4040:G6462,K4040:K6462,"0",B4040:B6462,"5 1 2 1 1 12 31111 6 M59 96200 000132 0000R 00001 00211 015*")</f>
        <v>0</v>
      </c>
      <c r="H4039" s="83">
        <f t="shared" si="63"/>
        <v>250</v>
      </c>
      <c r="I4039" s="83"/>
      <c r="K4039" s="54" t="s">
        <v>15</v>
      </c>
    </row>
    <row r="4040" spans="2:11" ht="33" x14ac:dyDescent="0.2">
      <c r="B4040" s="82" t="s">
        <v>6439</v>
      </c>
      <c r="C4040" s="82" t="s">
        <v>5830</v>
      </c>
      <c r="D4040" s="83">
        <f>SUMIFS(D4041:D6462,K4041:K6462,"0",B4041:B6462,"5 1 2 1 1 12 31111 6 M59 96200 000132 0000R 00001 00211 015 2112000*")-SUMIFS(E4041:E6462,K4041:K6462,"0",B4041:B6462,"5 1 2 1 1 12 31111 6 M59 96200 000132 0000R 00001 00211 015 2112000*")</f>
        <v>0</v>
      </c>
      <c r="E4040" s="54"/>
      <c r="F4040" s="83">
        <f>SUMIFS(F4041:F6462,K4041:K6462,"0",B4041:B6462,"5 1 2 1 1 12 31111 6 M59 96200 000132 0000R 00001 00211 015 2112000*")</f>
        <v>250</v>
      </c>
      <c r="G4040" s="83">
        <f>SUMIFS(G4041:G6462,K4041:K6462,"0",B4041:B6462,"5 1 2 1 1 12 31111 6 M59 96200 000132 0000R 00001 00211 015 2112000*")</f>
        <v>0</v>
      </c>
      <c r="H4040" s="83">
        <f t="shared" si="63"/>
        <v>250</v>
      </c>
      <c r="I4040" s="83"/>
      <c r="K4040" s="54" t="s">
        <v>15</v>
      </c>
    </row>
    <row r="4041" spans="2:11" ht="33" x14ac:dyDescent="0.2">
      <c r="B4041" s="82" t="s">
        <v>6440</v>
      </c>
      <c r="C4041" s="82" t="s">
        <v>660</v>
      </c>
      <c r="D4041" s="83">
        <f>SUMIFS(D4042:D6462,K4042:K6462,"0",B4042:B6462,"5 1 2 1 1 12 31111 6 M59 96200 000132 0000R 00001 00211 015 2112000 2024*")-SUMIFS(E4042:E6462,K4042:K6462,"0",B4042:B6462,"5 1 2 1 1 12 31111 6 M59 96200 000132 0000R 00001 00211 015 2112000 2024*")</f>
        <v>0</v>
      </c>
      <c r="E4041" s="54"/>
      <c r="F4041" s="83">
        <f>SUMIFS(F4042:F6462,K4042:K6462,"0",B4042:B6462,"5 1 2 1 1 12 31111 6 M59 96200 000132 0000R 00001 00211 015 2112000 2024*")</f>
        <v>250</v>
      </c>
      <c r="G4041" s="83">
        <f>SUMIFS(G4042:G6462,K4042:K6462,"0",B4042:B6462,"5 1 2 1 1 12 31111 6 M59 96200 000132 0000R 00001 00211 015 2112000 2024*")</f>
        <v>0</v>
      </c>
      <c r="H4041" s="83">
        <f t="shared" si="63"/>
        <v>250</v>
      </c>
      <c r="I4041" s="83"/>
      <c r="K4041" s="54" t="s">
        <v>15</v>
      </c>
    </row>
    <row r="4042" spans="2:11" ht="41.25" x14ac:dyDescent="0.2">
      <c r="B4042" s="82" t="s">
        <v>6441</v>
      </c>
      <c r="C4042" s="82" t="s">
        <v>662</v>
      </c>
      <c r="D4042" s="83">
        <f>SUMIFS(D4043:D6462,K4043:K6462,"0",B4043:B6462,"5 1 2 1 1 12 31111 6 M59 96200 000132 0000R 00001 00211 015 2112000 2024 CP1AL423*")-SUMIFS(E4043:E6462,K4043:K6462,"0",B4043:B6462,"5 1 2 1 1 12 31111 6 M59 96200 000132 0000R 00001 00211 015 2112000 2024 CP1AL423*")</f>
        <v>0</v>
      </c>
      <c r="E4042" s="54"/>
      <c r="F4042" s="83">
        <f>SUMIFS(F4043:F6462,K4043:K6462,"0",B4043:B6462,"5 1 2 1 1 12 31111 6 M59 96200 000132 0000R 00001 00211 015 2112000 2024 CP1AL423*")</f>
        <v>250</v>
      </c>
      <c r="G4042" s="83">
        <f>SUMIFS(G4043:G6462,K4043:K6462,"0",B4043:B6462,"5 1 2 1 1 12 31111 6 M59 96200 000132 0000R 00001 00211 015 2112000 2024 CP1AL423*")</f>
        <v>0</v>
      </c>
      <c r="H4042" s="83">
        <f t="shared" si="63"/>
        <v>250</v>
      </c>
      <c r="I4042" s="83"/>
      <c r="K4042" s="54" t="s">
        <v>15</v>
      </c>
    </row>
    <row r="4043" spans="2:11" ht="41.25" x14ac:dyDescent="0.2">
      <c r="B4043" s="82" t="s">
        <v>6442</v>
      </c>
      <c r="C4043" s="82" t="s">
        <v>282</v>
      </c>
      <c r="D4043" s="83">
        <f>SUMIFS(D4044:D6462,K4044:K6462,"0",B4044:B6462,"5 1 2 1 1 12 31111 6 M59 96200 000132 0000R 00001 00211 015 2112000 2024 CP1AL423 001*")-SUMIFS(E4044:E6462,K4044:K6462,"0",B4044:B6462,"5 1 2 1 1 12 31111 6 M59 96200 000132 0000R 00001 00211 015 2112000 2024 CP1AL423 001*")</f>
        <v>0</v>
      </c>
      <c r="E4043" s="54"/>
      <c r="F4043" s="83">
        <f>SUMIFS(F4044:F6462,K4044:K6462,"0",B4044:B6462,"5 1 2 1 1 12 31111 6 M59 96200 000132 0000R 00001 00211 015 2112000 2024 CP1AL423 001*")</f>
        <v>250</v>
      </c>
      <c r="G4043" s="83">
        <f>SUMIFS(G4044:G6462,K4044:K6462,"0",B4044:B6462,"5 1 2 1 1 12 31111 6 M59 96200 000132 0000R 00001 00211 015 2112000 2024 CP1AL423 001*")</f>
        <v>0</v>
      </c>
      <c r="H4043" s="83">
        <f t="shared" si="63"/>
        <v>250</v>
      </c>
      <c r="I4043" s="83"/>
      <c r="K4043" s="54" t="s">
        <v>15</v>
      </c>
    </row>
    <row r="4044" spans="2:11" ht="41.25" x14ac:dyDescent="0.2">
      <c r="B4044" s="84" t="s">
        <v>6443</v>
      </c>
      <c r="C4044" s="84" t="s">
        <v>5827</v>
      </c>
      <c r="D4044" s="85">
        <v>0</v>
      </c>
      <c r="E4044" s="85"/>
      <c r="F4044" s="85">
        <v>250</v>
      </c>
      <c r="G4044" s="85">
        <v>0</v>
      </c>
      <c r="H4044" s="85">
        <f t="shared" si="63"/>
        <v>250</v>
      </c>
      <c r="I4044" s="85"/>
      <c r="K4044" s="54" t="s">
        <v>38</v>
      </c>
    </row>
    <row r="4045" spans="2:11" ht="16.5" x14ac:dyDescent="0.2">
      <c r="B4045" s="82" t="s">
        <v>6444</v>
      </c>
      <c r="C4045" s="82" t="s">
        <v>1308</v>
      </c>
      <c r="D4045" s="83">
        <f>SUMIFS(D4046:D6462,K4046:K6462,"0",B4046:B6462,"5 1 2 1 1 12 31111 6 M59 96300*")-SUMIFS(E4046:E6462,K4046:K6462,"0",B4046:B6462,"5 1 2 1 1 12 31111 6 M59 96300*")</f>
        <v>0</v>
      </c>
      <c r="E4045" s="54"/>
      <c r="F4045" s="83">
        <f>SUMIFS(F4046:F6462,K4046:K6462,"0",B4046:B6462,"5 1 2 1 1 12 31111 6 M59 96300*")</f>
        <v>250</v>
      </c>
      <c r="G4045" s="83">
        <f>SUMIFS(G4046:G6462,K4046:K6462,"0",B4046:B6462,"5 1 2 1 1 12 31111 6 M59 96300*")</f>
        <v>0</v>
      </c>
      <c r="H4045" s="83">
        <f t="shared" si="63"/>
        <v>250</v>
      </c>
      <c r="I4045" s="83"/>
      <c r="K4045" s="54" t="s">
        <v>15</v>
      </c>
    </row>
    <row r="4046" spans="2:11" ht="16.5" x14ac:dyDescent="0.2">
      <c r="B4046" s="82" t="s">
        <v>6445</v>
      </c>
      <c r="C4046" s="82" t="s">
        <v>1310</v>
      </c>
      <c r="D4046" s="83">
        <f>SUMIFS(D4047:D6462,K4047:K6462,"0",B4047:B6462,"5 1 2 1 1 12 31111 6 M59 96300 000211*")-SUMIFS(E4047:E6462,K4047:K6462,"0",B4047:B6462,"5 1 2 1 1 12 31111 6 M59 96300 000211*")</f>
        <v>0</v>
      </c>
      <c r="E4046" s="54"/>
      <c r="F4046" s="83">
        <f>SUMIFS(F4047:F6462,K4047:K6462,"0",B4047:B6462,"5 1 2 1 1 12 31111 6 M59 96300 000211*")</f>
        <v>250</v>
      </c>
      <c r="G4046" s="83">
        <f>SUMIFS(G4047:G6462,K4047:K6462,"0",B4047:B6462,"5 1 2 1 1 12 31111 6 M59 96300 000211*")</f>
        <v>0</v>
      </c>
      <c r="H4046" s="83">
        <f t="shared" si="63"/>
        <v>250</v>
      </c>
      <c r="I4046" s="83"/>
      <c r="K4046" s="54" t="s">
        <v>15</v>
      </c>
    </row>
    <row r="4047" spans="2:11" ht="16.5" x14ac:dyDescent="0.2">
      <c r="B4047" s="82" t="s">
        <v>6446</v>
      </c>
      <c r="C4047" s="82" t="s">
        <v>1065</v>
      </c>
      <c r="D4047" s="83">
        <f>SUMIFS(D4048:D6462,K4048:K6462,"0",B4048:B6462,"5 1 2 1 1 12 31111 6 M59 96300 000211 0000E*")-SUMIFS(E4048:E6462,K4048:K6462,"0",B4048:B6462,"5 1 2 1 1 12 31111 6 M59 96300 000211 0000E*")</f>
        <v>0</v>
      </c>
      <c r="E4047" s="54"/>
      <c r="F4047" s="83">
        <f>SUMIFS(F4048:F6462,K4048:K6462,"0",B4048:B6462,"5 1 2 1 1 12 31111 6 M59 96300 000211 0000E*")</f>
        <v>250</v>
      </c>
      <c r="G4047" s="83">
        <f>SUMIFS(G4048:G6462,K4048:K6462,"0",B4048:B6462,"5 1 2 1 1 12 31111 6 M59 96300 000211 0000E*")</f>
        <v>0</v>
      </c>
      <c r="H4047" s="83">
        <f t="shared" si="63"/>
        <v>250</v>
      </c>
      <c r="I4047" s="83"/>
      <c r="K4047" s="54" t="s">
        <v>15</v>
      </c>
    </row>
    <row r="4048" spans="2:11" ht="24.75" x14ac:dyDescent="0.2">
      <c r="B4048" s="82" t="s">
        <v>6447</v>
      </c>
      <c r="C4048" s="82" t="s">
        <v>282</v>
      </c>
      <c r="D4048" s="83">
        <f>SUMIFS(D4049:D6462,K4049:K6462,"0",B4049:B6462,"5 1 2 1 1 12 31111 6 M59 96300 000211 0000E 00001*")-SUMIFS(E4049:E6462,K4049:K6462,"0",B4049:B6462,"5 1 2 1 1 12 31111 6 M59 96300 000211 0000E 00001*")</f>
        <v>0</v>
      </c>
      <c r="E4048" s="54"/>
      <c r="F4048" s="83">
        <f>SUMIFS(F4049:F6462,K4049:K6462,"0",B4049:B6462,"5 1 2 1 1 12 31111 6 M59 96300 000211 0000E 00001*")</f>
        <v>250</v>
      </c>
      <c r="G4048" s="83">
        <f>SUMIFS(G4049:G6462,K4049:K6462,"0",B4049:B6462,"5 1 2 1 1 12 31111 6 M59 96300 000211 0000E 00001*")</f>
        <v>0</v>
      </c>
      <c r="H4048" s="83">
        <f t="shared" si="63"/>
        <v>250</v>
      </c>
      <c r="I4048" s="83"/>
      <c r="K4048" s="54" t="s">
        <v>15</v>
      </c>
    </row>
    <row r="4049" spans="2:11" ht="24.75" x14ac:dyDescent="0.2">
      <c r="B4049" s="82" t="s">
        <v>6448</v>
      </c>
      <c r="C4049" s="82" t="s">
        <v>5827</v>
      </c>
      <c r="D4049" s="83">
        <f>SUMIFS(D4050:D6462,K4050:K6462,"0",B4050:B6462,"5 1 2 1 1 12 31111 6 M59 96300 000211 0000E 00001 00211*")-SUMIFS(E4050:E6462,K4050:K6462,"0",B4050:B6462,"5 1 2 1 1 12 31111 6 M59 96300 000211 0000E 00001 00211*")</f>
        <v>0</v>
      </c>
      <c r="E4049" s="54"/>
      <c r="F4049" s="83">
        <f>SUMIFS(F4050:F6462,K4050:K6462,"0",B4050:B6462,"5 1 2 1 1 12 31111 6 M59 96300 000211 0000E 00001 00211*")</f>
        <v>250</v>
      </c>
      <c r="G4049" s="83">
        <f>SUMIFS(G4050:G6462,K4050:K6462,"0",B4050:B6462,"5 1 2 1 1 12 31111 6 M59 96300 000211 0000E 00001 00211*")</f>
        <v>0</v>
      </c>
      <c r="H4049" s="83">
        <f t="shared" si="63"/>
        <v>250</v>
      </c>
      <c r="I4049" s="83"/>
      <c r="K4049" s="54" t="s">
        <v>15</v>
      </c>
    </row>
    <row r="4050" spans="2:11" ht="24.75" x14ac:dyDescent="0.2">
      <c r="B4050" s="82" t="s">
        <v>6449</v>
      </c>
      <c r="C4050" s="82" t="s">
        <v>1051</v>
      </c>
      <c r="D4050" s="83">
        <f>SUMIFS(D4051:D6462,K4051:K6462,"0",B4051:B6462,"5 1 2 1 1 12 31111 6 M59 96300 000211 0000E 00001 00211 015*")-SUMIFS(E4051:E6462,K4051:K6462,"0",B4051:B6462,"5 1 2 1 1 12 31111 6 M59 96300 000211 0000E 00001 00211 015*")</f>
        <v>0</v>
      </c>
      <c r="E4050" s="54"/>
      <c r="F4050" s="83">
        <f>SUMIFS(F4051:F6462,K4051:K6462,"0",B4051:B6462,"5 1 2 1 1 12 31111 6 M59 96300 000211 0000E 00001 00211 015*")</f>
        <v>250</v>
      </c>
      <c r="G4050" s="83">
        <f>SUMIFS(G4051:G6462,K4051:K6462,"0",B4051:B6462,"5 1 2 1 1 12 31111 6 M59 96300 000211 0000E 00001 00211 015*")</f>
        <v>0</v>
      </c>
      <c r="H4050" s="83">
        <f t="shared" si="63"/>
        <v>250</v>
      </c>
      <c r="I4050" s="83"/>
      <c r="K4050" s="54" t="s">
        <v>15</v>
      </c>
    </row>
    <row r="4051" spans="2:11" ht="33" x14ac:dyDescent="0.2">
      <c r="B4051" s="82" t="s">
        <v>6450</v>
      </c>
      <c r="C4051" s="82" t="s">
        <v>5830</v>
      </c>
      <c r="D4051" s="83">
        <f>SUMIFS(D4052:D6462,K4052:K6462,"0",B4052:B6462,"5 1 2 1 1 12 31111 6 M59 96300 000211 0000E 00001 00211 015 2112000*")-SUMIFS(E4052:E6462,K4052:K6462,"0",B4052:B6462,"5 1 2 1 1 12 31111 6 M59 96300 000211 0000E 00001 00211 015 2112000*")</f>
        <v>0</v>
      </c>
      <c r="E4051" s="54"/>
      <c r="F4051" s="83">
        <f>SUMIFS(F4052:F6462,K4052:K6462,"0",B4052:B6462,"5 1 2 1 1 12 31111 6 M59 96300 000211 0000E 00001 00211 015 2112000*")</f>
        <v>250</v>
      </c>
      <c r="G4051" s="83">
        <f>SUMIFS(G4052:G6462,K4052:K6462,"0",B4052:B6462,"5 1 2 1 1 12 31111 6 M59 96300 000211 0000E 00001 00211 015 2112000*")</f>
        <v>0</v>
      </c>
      <c r="H4051" s="83">
        <f t="shared" si="63"/>
        <v>250</v>
      </c>
      <c r="I4051" s="83"/>
      <c r="K4051" s="54" t="s">
        <v>15</v>
      </c>
    </row>
    <row r="4052" spans="2:11" ht="33" x14ac:dyDescent="0.2">
      <c r="B4052" s="82" t="s">
        <v>6451</v>
      </c>
      <c r="C4052" s="82" t="s">
        <v>660</v>
      </c>
      <c r="D4052" s="83">
        <f>SUMIFS(D4053:D6462,K4053:K6462,"0",B4053:B6462,"5 1 2 1 1 12 31111 6 M59 96300 000211 0000E 00001 00211 015 2112000 2024*")-SUMIFS(E4053:E6462,K4053:K6462,"0",B4053:B6462,"5 1 2 1 1 12 31111 6 M59 96300 000211 0000E 00001 00211 015 2112000 2024*")</f>
        <v>0</v>
      </c>
      <c r="E4052" s="54"/>
      <c r="F4052" s="83">
        <f>SUMIFS(F4053:F6462,K4053:K6462,"0",B4053:B6462,"5 1 2 1 1 12 31111 6 M59 96300 000211 0000E 00001 00211 015 2112000 2024*")</f>
        <v>250</v>
      </c>
      <c r="G4052" s="83">
        <f>SUMIFS(G4053:G6462,K4053:K6462,"0",B4053:B6462,"5 1 2 1 1 12 31111 6 M59 96300 000211 0000E 00001 00211 015 2112000 2024*")</f>
        <v>0</v>
      </c>
      <c r="H4052" s="83">
        <f t="shared" si="63"/>
        <v>250</v>
      </c>
      <c r="I4052" s="83"/>
      <c r="K4052" s="54" t="s">
        <v>15</v>
      </c>
    </row>
    <row r="4053" spans="2:11" ht="41.25" x14ac:dyDescent="0.2">
      <c r="B4053" s="82" t="s">
        <v>6452</v>
      </c>
      <c r="C4053" s="82" t="s">
        <v>1056</v>
      </c>
      <c r="D4053" s="83">
        <f>SUMIFS(D4054:D6462,K4054:K6462,"0",B4054:B6462,"5 1 2 1 1 12 31111 6 M59 96300 000211 0000E 00001 00211 015 2112000 2024 CP1SB396*")-SUMIFS(E4054:E6462,K4054:K6462,"0",B4054:B6462,"5 1 2 1 1 12 31111 6 M59 96300 000211 0000E 00001 00211 015 2112000 2024 CP1SB396*")</f>
        <v>0</v>
      </c>
      <c r="E4053" s="54"/>
      <c r="F4053" s="83">
        <f>SUMIFS(F4054:F6462,K4054:K6462,"0",B4054:B6462,"5 1 2 1 1 12 31111 6 M59 96300 000211 0000E 00001 00211 015 2112000 2024 CP1SB396*")</f>
        <v>250</v>
      </c>
      <c r="G4053" s="83">
        <f>SUMIFS(G4054:G6462,K4054:K6462,"0",B4054:B6462,"5 1 2 1 1 12 31111 6 M59 96300 000211 0000E 00001 00211 015 2112000 2024 CP1SB396*")</f>
        <v>0</v>
      </c>
      <c r="H4053" s="83">
        <f t="shared" si="63"/>
        <v>250</v>
      </c>
      <c r="I4053" s="83"/>
      <c r="K4053" s="54" t="s">
        <v>15</v>
      </c>
    </row>
    <row r="4054" spans="2:11" ht="41.25" x14ac:dyDescent="0.2">
      <c r="B4054" s="82" t="s">
        <v>6453</v>
      </c>
      <c r="C4054" s="82" t="s">
        <v>282</v>
      </c>
      <c r="D4054" s="83">
        <f>SUMIFS(D4055:D6462,K4055:K6462,"0",B4055:B6462,"5 1 2 1 1 12 31111 6 M59 96300 000211 0000E 00001 00211 015 2112000 2024 CP1SB396 001*")-SUMIFS(E4055:E6462,K4055:K6462,"0",B4055:B6462,"5 1 2 1 1 12 31111 6 M59 96300 000211 0000E 00001 00211 015 2112000 2024 CP1SB396 001*")</f>
        <v>0</v>
      </c>
      <c r="E4054" s="54"/>
      <c r="F4054" s="83">
        <f>SUMIFS(F4055:F6462,K4055:K6462,"0",B4055:B6462,"5 1 2 1 1 12 31111 6 M59 96300 000211 0000E 00001 00211 015 2112000 2024 CP1SB396 001*")</f>
        <v>250</v>
      </c>
      <c r="G4054" s="83">
        <f>SUMIFS(G4055:G6462,K4055:K6462,"0",B4055:B6462,"5 1 2 1 1 12 31111 6 M59 96300 000211 0000E 00001 00211 015 2112000 2024 CP1SB396 001*")</f>
        <v>0</v>
      </c>
      <c r="H4054" s="83">
        <f t="shared" si="63"/>
        <v>250</v>
      </c>
      <c r="I4054" s="83"/>
      <c r="K4054" s="54" t="s">
        <v>15</v>
      </c>
    </row>
    <row r="4055" spans="2:11" ht="33" x14ac:dyDescent="0.2">
      <c r="B4055" s="84" t="s">
        <v>6454</v>
      </c>
      <c r="C4055" s="84" t="s">
        <v>5827</v>
      </c>
      <c r="D4055" s="85">
        <v>0</v>
      </c>
      <c r="E4055" s="85"/>
      <c r="F4055" s="85">
        <v>250</v>
      </c>
      <c r="G4055" s="85">
        <v>0</v>
      </c>
      <c r="H4055" s="85">
        <f t="shared" si="63"/>
        <v>250</v>
      </c>
      <c r="I4055" s="85"/>
      <c r="K4055" s="54" t="s">
        <v>38</v>
      </c>
    </row>
    <row r="4056" spans="2:11" ht="16.5" x14ac:dyDescent="0.2">
      <c r="B4056" s="82" t="s">
        <v>6455</v>
      </c>
      <c r="C4056" s="82" t="s">
        <v>3729</v>
      </c>
      <c r="D4056" s="83">
        <f>SUMIFS(D4057:D6462,K4057:K6462,"0",B4057:B6462,"5 1 2 1 1 12 31111 6 M59 97000*")-SUMIFS(E4057:E6462,K4057:K6462,"0",B4057:B6462,"5 1 2 1 1 12 31111 6 M59 97000*")</f>
        <v>0</v>
      </c>
      <c r="E4056" s="54"/>
      <c r="F4056" s="83">
        <f>SUMIFS(F4057:F6462,K4057:K6462,"0",B4057:B6462,"5 1 2 1 1 12 31111 6 M59 97000*")</f>
        <v>250</v>
      </c>
      <c r="G4056" s="83">
        <f>SUMIFS(G4057:G6462,K4057:K6462,"0",B4057:B6462,"5 1 2 1 1 12 31111 6 M59 97000*")</f>
        <v>0</v>
      </c>
      <c r="H4056" s="83">
        <f t="shared" si="63"/>
        <v>250</v>
      </c>
      <c r="I4056" s="83"/>
      <c r="K4056" s="54" t="s">
        <v>15</v>
      </c>
    </row>
    <row r="4057" spans="2:11" ht="16.5" x14ac:dyDescent="0.2">
      <c r="B4057" s="82" t="s">
        <v>6456</v>
      </c>
      <c r="C4057" s="82" t="s">
        <v>648</v>
      </c>
      <c r="D4057" s="83">
        <f>SUMIFS(D4058:D6462,K4058:K6462,"0",B4058:B6462,"5 1 2 1 1 12 31111 6 M59 97000 000132*")-SUMIFS(E4058:E6462,K4058:K6462,"0",B4058:B6462,"5 1 2 1 1 12 31111 6 M59 97000 000132*")</f>
        <v>0</v>
      </c>
      <c r="E4057" s="54"/>
      <c r="F4057" s="83">
        <f>SUMIFS(F4058:F6462,K4058:K6462,"0",B4058:B6462,"5 1 2 1 1 12 31111 6 M59 97000 000132*")</f>
        <v>250</v>
      </c>
      <c r="G4057" s="83">
        <f>SUMIFS(G4058:G6462,K4058:K6462,"0",B4058:B6462,"5 1 2 1 1 12 31111 6 M59 97000 000132*")</f>
        <v>0</v>
      </c>
      <c r="H4057" s="83">
        <f t="shared" si="63"/>
        <v>250</v>
      </c>
      <c r="I4057" s="83"/>
      <c r="K4057" s="54" t="s">
        <v>15</v>
      </c>
    </row>
    <row r="4058" spans="2:11" ht="16.5" x14ac:dyDescent="0.2">
      <c r="B4058" s="82" t="s">
        <v>6457</v>
      </c>
      <c r="C4058" s="82" t="s">
        <v>650</v>
      </c>
      <c r="D4058" s="83">
        <f>SUMIFS(D4059:D6462,K4059:K6462,"0",B4059:B6462,"5 1 2 1 1 12 31111 6 M59 97000 000132 0000R*")-SUMIFS(E4059:E6462,K4059:K6462,"0",B4059:B6462,"5 1 2 1 1 12 31111 6 M59 97000 000132 0000R*")</f>
        <v>0</v>
      </c>
      <c r="E4058" s="54"/>
      <c r="F4058" s="83">
        <f>SUMIFS(F4059:F6462,K4059:K6462,"0",B4059:B6462,"5 1 2 1 1 12 31111 6 M59 97000 000132 0000R*")</f>
        <v>250</v>
      </c>
      <c r="G4058" s="83">
        <f>SUMIFS(G4059:G6462,K4059:K6462,"0",B4059:B6462,"5 1 2 1 1 12 31111 6 M59 97000 000132 0000R*")</f>
        <v>0</v>
      </c>
      <c r="H4058" s="83">
        <f t="shared" si="63"/>
        <v>250</v>
      </c>
      <c r="I4058" s="83"/>
      <c r="K4058" s="54" t="s">
        <v>15</v>
      </c>
    </row>
    <row r="4059" spans="2:11" ht="24.75" x14ac:dyDescent="0.2">
      <c r="B4059" s="82" t="s">
        <v>6458</v>
      </c>
      <c r="C4059" s="82" t="s">
        <v>282</v>
      </c>
      <c r="D4059" s="83">
        <f>SUMIFS(D4060:D6462,K4060:K6462,"0",B4060:B6462,"5 1 2 1 1 12 31111 6 M59 97000 000132 0000R 00001*")-SUMIFS(E4060:E6462,K4060:K6462,"0",B4060:B6462,"5 1 2 1 1 12 31111 6 M59 97000 000132 0000R 00001*")</f>
        <v>0</v>
      </c>
      <c r="E4059" s="54"/>
      <c r="F4059" s="83">
        <f>SUMIFS(F4060:F6462,K4060:K6462,"0",B4060:B6462,"5 1 2 1 1 12 31111 6 M59 97000 000132 0000R 00001*")</f>
        <v>250</v>
      </c>
      <c r="G4059" s="83">
        <f>SUMIFS(G4060:G6462,K4060:K6462,"0",B4060:B6462,"5 1 2 1 1 12 31111 6 M59 97000 000132 0000R 00001*")</f>
        <v>0</v>
      </c>
      <c r="H4059" s="83">
        <f t="shared" si="63"/>
        <v>250</v>
      </c>
      <c r="I4059" s="83"/>
      <c r="K4059" s="54" t="s">
        <v>15</v>
      </c>
    </row>
    <row r="4060" spans="2:11" ht="24.75" x14ac:dyDescent="0.2">
      <c r="B4060" s="82" t="s">
        <v>6459</v>
      </c>
      <c r="C4060" s="82" t="s">
        <v>5827</v>
      </c>
      <c r="D4060" s="83">
        <f>SUMIFS(D4061:D6462,K4061:K6462,"0",B4061:B6462,"5 1 2 1 1 12 31111 6 M59 97000 000132 0000R 00001 00211*")-SUMIFS(E4061:E6462,K4061:K6462,"0",B4061:B6462,"5 1 2 1 1 12 31111 6 M59 97000 000132 0000R 00001 00211*")</f>
        <v>0</v>
      </c>
      <c r="E4060" s="54"/>
      <c r="F4060" s="83">
        <f>SUMIFS(F4061:F6462,K4061:K6462,"0",B4061:B6462,"5 1 2 1 1 12 31111 6 M59 97000 000132 0000R 00001 00211*")</f>
        <v>250</v>
      </c>
      <c r="G4060" s="83">
        <f>SUMIFS(G4061:G6462,K4061:K6462,"0",B4061:B6462,"5 1 2 1 1 12 31111 6 M59 97000 000132 0000R 00001 00211*")</f>
        <v>0</v>
      </c>
      <c r="H4060" s="83">
        <f t="shared" si="63"/>
        <v>250</v>
      </c>
      <c r="I4060" s="83"/>
      <c r="K4060" s="54" t="s">
        <v>15</v>
      </c>
    </row>
    <row r="4061" spans="2:11" ht="24.75" x14ac:dyDescent="0.2">
      <c r="B4061" s="82" t="s">
        <v>6460</v>
      </c>
      <c r="C4061" s="82" t="s">
        <v>1051</v>
      </c>
      <c r="D4061" s="83">
        <f>SUMIFS(D4062:D6462,K4062:K6462,"0",B4062:B6462,"5 1 2 1 1 12 31111 6 M59 97000 000132 0000R 00001 00211 015*")-SUMIFS(E4062:E6462,K4062:K6462,"0",B4062:B6462,"5 1 2 1 1 12 31111 6 M59 97000 000132 0000R 00001 00211 015*")</f>
        <v>0</v>
      </c>
      <c r="E4061" s="54"/>
      <c r="F4061" s="83">
        <f>SUMIFS(F4062:F6462,K4062:K6462,"0",B4062:B6462,"5 1 2 1 1 12 31111 6 M59 97000 000132 0000R 00001 00211 015*")</f>
        <v>250</v>
      </c>
      <c r="G4061" s="83">
        <f>SUMIFS(G4062:G6462,K4062:K6462,"0",B4062:B6462,"5 1 2 1 1 12 31111 6 M59 97000 000132 0000R 00001 00211 015*")</f>
        <v>0</v>
      </c>
      <c r="H4061" s="83">
        <f t="shared" si="63"/>
        <v>250</v>
      </c>
      <c r="I4061" s="83"/>
      <c r="K4061" s="54" t="s">
        <v>15</v>
      </c>
    </row>
    <row r="4062" spans="2:11" ht="33" x14ac:dyDescent="0.2">
      <c r="B4062" s="82" t="s">
        <v>6461</v>
      </c>
      <c r="C4062" s="82" t="s">
        <v>5830</v>
      </c>
      <c r="D4062" s="83">
        <f>SUMIFS(D4063:D6462,K4063:K6462,"0",B4063:B6462,"5 1 2 1 1 12 31111 6 M59 97000 000132 0000R 00001 00211 015 2112000*")-SUMIFS(E4063:E6462,K4063:K6462,"0",B4063:B6462,"5 1 2 1 1 12 31111 6 M59 97000 000132 0000R 00001 00211 015 2112000*")</f>
        <v>0</v>
      </c>
      <c r="E4062" s="54"/>
      <c r="F4062" s="83">
        <f>SUMIFS(F4063:F6462,K4063:K6462,"0",B4063:B6462,"5 1 2 1 1 12 31111 6 M59 97000 000132 0000R 00001 00211 015 2112000*")</f>
        <v>250</v>
      </c>
      <c r="G4062" s="83">
        <f>SUMIFS(G4063:G6462,K4063:K6462,"0",B4063:B6462,"5 1 2 1 1 12 31111 6 M59 97000 000132 0000R 00001 00211 015 2112000*")</f>
        <v>0</v>
      </c>
      <c r="H4062" s="83">
        <f t="shared" si="63"/>
        <v>250</v>
      </c>
      <c r="I4062" s="83"/>
      <c r="K4062" s="54" t="s">
        <v>15</v>
      </c>
    </row>
    <row r="4063" spans="2:11" ht="33" x14ac:dyDescent="0.2">
      <c r="B4063" s="82" t="s">
        <v>6462</v>
      </c>
      <c r="C4063" s="82" t="s">
        <v>660</v>
      </c>
      <c r="D4063" s="83">
        <f>SUMIFS(D4064:D6462,K4064:K6462,"0",B4064:B6462,"5 1 2 1 1 12 31111 6 M59 97000 000132 0000R 00001 00211 015 2112000 2024*")-SUMIFS(E4064:E6462,K4064:K6462,"0",B4064:B6462,"5 1 2 1 1 12 31111 6 M59 97000 000132 0000R 00001 00211 015 2112000 2024*")</f>
        <v>0</v>
      </c>
      <c r="E4063" s="54"/>
      <c r="F4063" s="83">
        <f>SUMIFS(F4064:F6462,K4064:K6462,"0",B4064:B6462,"5 1 2 1 1 12 31111 6 M59 97000 000132 0000R 00001 00211 015 2112000 2024*")</f>
        <v>250</v>
      </c>
      <c r="G4063" s="83">
        <f>SUMIFS(G4064:G6462,K4064:K6462,"0",B4064:B6462,"5 1 2 1 1 12 31111 6 M59 97000 000132 0000R 00001 00211 015 2112000 2024*")</f>
        <v>0</v>
      </c>
      <c r="H4063" s="83">
        <f t="shared" si="63"/>
        <v>250</v>
      </c>
      <c r="I4063" s="83"/>
      <c r="K4063" s="54" t="s">
        <v>15</v>
      </c>
    </row>
    <row r="4064" spans="2:11" ht="41.25" x14ac:dyDescent="0.2">
      <c r="B4064" s="82" t="s">
        <v>6463</v>
      </c>
      <c r="C4064" s="82" t="s">
        <v>1056</v>
      </c>
      <c r="D4064" s="83">
        <f>SUMIFS(D4065:D6462,K4065:K6462,"0",B4065:B6462,"5 1 2 1 1 12 31111 6 M59 97000 000132 0000R 00001 00211 015 2112000 2024 CP1SP428*")-SUMIFS(E4065:E6462,K4065:K6462,"0",B4065:B6462,"5 1 2 1 1 12 31111 6 M59 97000 000132 0000R 00001 00211 015 2112000 2024 CP1SP428*")</f>
        <v>0</v>
      </c>
      <c r="E4064" s="54"/>
      <c r="F4064" s="83">
        <f>SUMIFS(F4065:F6462,K4065:K6462,"0",B4065:B6462,"5 1 2 1 1 12 31111 6 M59 97000 000132 0000R 00001 00211 015 2112000 2024 CP1SP428*")</f>
        <v>250</v>
      </c>
      <c r="G4064" s="83">
        <f>SUMIFS(G4065:G6462,K4065:K6462,"0",B4065:B6462,"5 1 2 1 1 12 31111 6 M59 97000 000132 0000R 00001 00211 015 2112000 2024 CP1SP428*")</f>
        <v>0</v>
      </c>
      <c r="H4064" s="83">
        <f t="shared" si="63"/>
        <v>250</v>
      </c>
      <c r="I4064" s="83"/>
      <c r="K4064" s="54" t="s">
        <v>15</v>
      </c>
    </row>
    <row r="4065" spans="2:11" ht="41.25" x14ac:dyDescent="0.2">
      <c r="B4065" s="82" t="s">
        <v>6464</v>
      </c>
      <c r="C4065" s="82" t="s">
        <v>282</v>
      </c>
      <c r="D4065" s="83">
        <f>SUMIFS(D4066:D6462,K4066:K6462,"0",B4066:B6462,"5 1 2 1 1 12 31111 6 M59 97000 000132 0000R 00001 00211 015 2112000 2024 CP1SP428 001*")-SUMIFS(E4066:E6462,K4066:K6462,"0",B4066:B6462,"5 1 2 1 1 12 31111 6 M59 97000 000132 0000R 00001 00211 015 2112000 2024 CP1SP428 001*")</f>
        <v>0</v>
      </c>
      <c r="E4065" s="54"/>
      <c r="F4065" s="83">
        <f>SUMIFS(F4066:F6462,K4066:K6462,"0",B4066:B6462,"5 1 2 1 1 12 31111 6 M59 97000 000132 0000R 00001 00211 015 2112000 2024 CP1SP428 001*")</f>
        <v>250</v>
      </c>
      <c r="G4065" s="83">
        <f>SUMIFS(G4066:G6462,K4066:K6462,"0",B4066:B6462,"5 1 2 1 1 12 31111 6 M59 97000 000132 0000R 00001 00211 015 2112000 2024 CP1SP428 001*")</f>
        <v>0</v>
      </c>
      <c r="H4065" s="83">
        <f t="shared" si="63"/>
        <v>250</v>
      </c>
      <c r="I4065" s="83"/>
      <c r="K4065" s="54" t="s">
        <v>15</v>
      </c>
    </row>
    <row r="4066" spans="2:11" ht="33" x14ac:dyDescent="0.2">
      <c r="B4066" s="84" t="s">
        <v>6465</v>
      </c>
      <c r="C4066" s="84" t="s">
        <v>5817</v>
      </c>
      <c r="D4066" s="85">
        <v>0</v>
      </c>
      <c r="E4066" s="85"/>
      <c r="F4066" s="85">
        <v>250</v>
      </c>
      <c r="G4066" s="85">
        <v>0</v>
      </c>
      <c r="H4066" s="85">
        <f t="shared" si="63"/>
        <v>250</v>
      </c>
      <c r="I4066" s="85"/>
      <c r="K4066" s="54" t="s">
        <v>38</v>
      </c>
    </row>
    <row r="4067" spans="2:11" ht="16.5" x14ac:dyDescent="0.2">
      <c r="B4067" s="82" t="s">
        <v>6466</v>
      </c>
      <c r="C4067" s="82" t="s">
        <v>3741</v>
      </c>
      <c r="D4067" s="83">
        <f>SUMIFS(D4068:D6462,K4068:K6462,"0",B4068:B6462,"5 1 2 1 1 12 31111 6 M59 98000*")-SUMIFS(E4068:E6462,K4068:K6462,"0",B4068:B6462,"5 1 2 1 1 12 31111 6 M59 98000*")</f>
        <v>0</v>
      </c>
      <c r="E4067" s="54"/>
      <c r="F4067" s="83">
        <f>SUMIFS(F4068:F6462,K4068:K6462,"0",B4068:B6462,"5 1 2 1 1 12 31111 6 M59 98000*")</f>
        <v>250</v>
      </c>
      <c r="G4067" s="83">
        <f>SUMIFS(G4068:G6462,K4068:K6462,"0",B4068:B6462,"5 1 2 1 1 12 31111 6 M59 98000*")</f>
        <v>0</v>
      </c>
      <c r="H4067" s="83">
        <f t="shared" si="63"/>
        <v>250</v>
      </c>
      <c r="I4067" s="83"/>
      <c r="K4067" s="54" t="s">
        <v>15</v>
      </c>
    </row>
    <row r="4068" spans="2:11" ht="24.75" x14ac:dyDescent="0.2">
      <c r="B4068" s="82" t="s">
        <v>6467</v>
      </c>
      <c r="C4068" s="82" t="s">
        <v>3152</v>
      </c>
      <c r="D4068" s="83">
        <f>SUMIFS(D4069:D6462,K4069:K6462,"0",B4069:B6462,"5 1 2 1 1 12 31111 6 M59 98000 000181*")-SUMIFS(E4069:E6462,K4069:K6462,"0",B4069:B6462,"5 1 2 1 1 12 31111 6 M59 98000 000181*")</f>
        <v>0</v>
      </c>
      <c r="E4068" s="54"/>
      <c r="F4068" s="83">
        <f>SUMIFS(F4069:F6462,K4069:K6462,"0",B4069:B6462,"5 1 2 1 1 12 31111 6 M59 98000 000181*")</f>
        <v>250</v>
      </c>
      <c r="G4068" s="83">
        <f>SUMIFS(G4069:G6462,K4069:K6462,"0",B4069:B6462,"5 1 2 1 1 12 31111 6 M59 98000 000181*")</f>
        <v>0</v>
      </c>
      <c r="H4068" s="83">
        <f t="shared" si="63"/>
        <v>250</v>
      </c>
      <c r="I4068" s="83"/>
      <c r="K4068" s="54" t="s">
        <v>15</v>
      </c>
    </row>
    <row r="4069" spans="2:11" ht="16.5" x14ac:dyDescent="0.2">
      <c r="B4069" s="82" t="s">
        <v>6468</v>
      </c>
      <c r="C4069" s="82" t="s">
        <v>650</v>
      </c>
      <c r="D4069" s="83">
        <f>SUMIFS(D4070:D6462,K4070:K6462,"0",B4070:B6462,"5 1 2 1 1 12 31111 6 M59 98000 000181 0000R*")-SUMIFS(E4070:E6462,K4070:K6462,"0",B4070:B6462,"5 1 2 1 1 12 31111 6 M59 98000 000181 0000R*")</f>
        <v>0</v>
      </c>
      <c r="E4069" s="54"/>
      <c r="F4069" s="83">
        <f>SUMIFS(F4070:F6462,K4070:K6462,"0",B4070:B6462,"5 1 2 1 1 12 31111 6 M59 98000 000181 0000R*")</f>
        <v>250</v>
      </c>
      <c r="G4069" s="83">
        <f>SUMIFS(G4070:G6462,K4070:K6462,"0",B4070:B6462,"5 1 2 1 1 12 31111 6 M59 98000 000181 0000R*")</f>
        <v>0</v>
      </c>
      <c r="H4069" s="83">
        <f t="shared" si="63"/>
        <v>250</v>
      </c>
      <c r="I4069" s="83"/>
      <c r="K4069" s="54" t="s">
        <v>15</v>
      </c>
    </row>
    <row r="4070" spans="2:11" ht="24.75" x14ac:dyDescent="0.2">
      <c r="B4070" s="82" t="s">
        <v>6469</v>
      </c>
      <c r="C4070" s="82" t="s">
        <v>282</v>
      </c>
      <c r="D4070" s="83">
        <f>SUMIFS(D4071:D6462,K4071:K6462,"0",B4071:B6462,"5 1 2 1 1 12 31111 6 M59 98000 000181 0000R 00001*")-SUMIFS(E4071:E6462,K4071:K6462,"0",B4071:B6462,"5 1 2 1 1 12 31111 6 M59 98000 000181 0000R 00001*")</f>
        <v>0</v>
      </c>
      <c r="E4070" s="54"/>
      <c r="F4070" s="83">
        <f>SUMIFS(F4071:F6462,K4071:K6462,"0",B4071:B6462,"5 1 2 1 1 12 31111 6 M59 98000 000181 0000R 00001*")</f>
        <v>250</v>
      </c>
      <c r="G4070" s="83">
        <f>SUMIFS(G4071:G6462,K4071:K6462,"0",B4071:B6462,"5 1 2 1 1 12 31111 6 M59 98000 000181 0000R 00001*")</f>
        <v>0</v>
      </c>
      <c r="H4070" s="83">
        <f t="shared" si="63"/>
        <v>250</v>
      </c>
      <c r="I4070" s="83"/>
      <c r="K4070" s="54" t="s">
        <v>15</v>
      </c>
    </row>
    <row r="4071" spans="2:11" ht="24.75" x14ac:dyDescent="0.2">
      <c r="B4071" s="82" t="s">
        <v>6470</v>
      </c>
      <c r="C4071" s="82" t="s">
        <v>5827</v>
      </c>
      <c r="D4071" s="83">
        <f>SUMIFS(D4072:D6462,K4072:K6462,"0",B4072:B6462,"5 1 2 1 1 12 31111 6 M59 98000 000181 0000R 00001 00211*")-SUMIFS(E4072:E6462,K4072:K6462,"0",B4072:B6462,"5 1 2 1 1 12 31111 6 M59 98000 000181 0000R 00001 00211*")</f>
        <v>0</v>
      </c>
      <c r="E4071" s="54"/>
      <c r="F4071" s="83">
        <f>SUMIFS(F4072:F6462,K4072:K6462,"0",B4072:B6462,"5 1 2 1 1 12 31111 6 M59 98000 000181 0000R 00001 00211*")</f>
        <v>250</v>
      </c>
      <c r="G4071" s="83">
        <f>SUMIFS(G4072:G6462,K4072:K6462,"0",B4072:B6462,"5 1 2 1 1 12 31111 6 M59 98000 000181 0000R 00001 00211*")</f>
        <v>0</v>
      </c>
      <c r="H4071" s="83">
        <f t="shared" si="63"/>
        <v>250</v>
      </c>
      <c r="I4071" s="83"/>
      <c r="K4071" s="54" t="s">
        <v>15</v>
      </c>
    </row>
    <row r="4072" spans="2:11" ht="24.75" x14ac:dyDescent="0.2">
      <c r="B4072" s="82" t="s">
        <v>6471</v>
      </c>
      <c r="C4072" s="82" t="s">
        <v>1051</v>
      </c>
      <c r="D4072" s="83">
        <f>SUMIFS(D4073:D6462,K4073:K6462,"0",B4073:B6462,"5 1 2 1 1 12 31111 6 M59 98000 000181 0000R 00001 00211 015*")-SUMIFS(E4073:E6462,K4073:K6462,"0",B4073:B6462,"5 1 2 1 1 12 31111 6 M59 98000 000181 0000R 00001 00211 015*")</f>
        <v>0</v>
      </c>
      <c r="E4072" s="54"/>
      <c r="F4072" s="83">
        <f>SUMIFS(F4073:F6462,K4073:K6462,"0",B4073:B6462,"5 1 2 1 1 12 31111 6 M59 98000 000181 0000R 00001 00211 015*")</f>
        <v>250</v>
      </c>
      <c r="G4072" s="83">
        <f>SUMIFS(G4073:G6462,K4073:K6462,"0",B4073:B6462,"5 1 2 1 1 12 31111 6 M59 98000 000181 0000R 00001 00211 015*")</f>
        <v>0</v>
      </c>
      <c r="H4072" s="83">
        <f t="shared" si="63"/>
        <v>250</v>
      </c>
      <c r="I4072" s="83"/>
      <c r="K4072" s="54" t="s">
        <v>15</v>
      </c>
    </row>
    <row r="4073" spans="2:11" ht="33" x14ac:dyDescent="0.2">
      <c r="B4073" s="82" t="s">
        <v>6472</v>
      </c>
      <c r="C4073" s="82" t="s">
        <v>5830</v>
      </c>
      <c r="D4073" s="83">
        <f>SUMIFS(D4074:D6462,K4074:K6462,"0",B4074:B6462,"5 1 2 1 1 12 31111 6 M59 98000 000181 0000R 00001 00211 015 2112000*")-SUMIFS(E4074:E6462,K4074:K6462,"0",B4074:B6462,"5 1 2 1 1 12 31111 6 M59 98000 000181 0000R 00001 00211 015 2112000*")</f>
        <v>0</v>
      </c>
      <c r="E4073" s="54"/>
      <c r="F4073" s="83">
        <f>SUMIFS(F4074:F6462,K4074:K6462,"0",B4074:B6462,"5 1 2 1 1 12 31111 6 M59 98000 000181 0000R 00001 00211 015 2112000*")</f>
        <v>250</v>
      </c>
      <c r="G4073" s="83">
        <f>SUMIFS(G4074:G6462,K4074:K6462,"0",B4074:B6462,"5 1 2 1 1 12 31111 6 M59 98000 000181 0000R 00001 00211 015 2112000*")</f>
        <v>0</v>
      </c>
      <c r="H4073" s="83">
        <f t="shared" si="63"/>
        <v>250</v>
      </c>
      <c r="I4073" s="83"/>
      <c r="K4073" s="54" t="s">
        <v>15</v>
      </c>
    </row>
    <row r="4074" spans="2:11" ht="33" x14ac:dyDescent="0.2">
      <c r="B4074" s="82" t="s">
        <v>6473</v>
      </c>
      <c r="C4074" s="82" t="s">
        <v>660</v>
      </c>
      <c r="D4074" s="83">
        <f>SUMIFS(D4075:D6462,K4075:K6462,"0",B4075:B6462,"5 1 2 1 1 12 31111 6 M59 98000 000181 0000R 00001 00211 015 2112000 2024*")-SUMIFS(E4075:E6462,K4075:K6462,"0",B4075:B6462,"5 1 2 1 1 12 31111 6 M59 98000 000181 0000R 00001 00211 015 2112000 2024*")</f>
        <v>0</v>
      </c>
      <c r="E4074" s="54"/>
      <c r="F4074" s="83">
        <f>SUMIFS(F4075:F6462,K4075:K6462,"0",B4075:B6462,"5 1 2 1 1 12 31111 6 M59 98000 000181 0000R 00001 00211 015 2112000 2024*")</f>
        <v>250</v>
      </c>
      <c r="G4074" s="83">
        <f>SUMIFS(G4075:G6462,K4075:K6462,"0",B4075:B6462,"5 1 2 1 1 12 31111 6 M59 98000 000181 0000R 00001 00211 015 2112000 2024*")</f>
        <v>0</v>
      </c>
      <c r="H4074" s="83">
        <f t="shared" si="63"/>
        <v>250</v>
      </c>
      <c r="I4074" s="83"/>
      <c r="K4074" s="54" t="s">
        <v>15</v>
      </c>
    </row>
    <row r="4075" spans="2:11" ht="41.25" x14ac:dyDescent="0.2">
      <c r="B4075" s="82" t="s">
        <v>6474</v>
      </c>
      <c r="C4075" s="82" t="s">
        <v>3495</v>
      </c>
      <c r="D4075" s="83">
        <f>SUMIFS(D4076:D6462,K4076:K6462,"0",B4076:B6462,"5 1 2 1 1 12 31111 6 M59 98000 000181 0000R 00001 00211 015 2112000 2024 CP1RH392*")-SUMIFS(E4076:E6462,K4076:K6462,"0",B4076:B6462,"5 1 2 1 1 12 31111 6 M59 98000 000181 0000R 00001 00211 015 2112000 2024 CP1RH392*")</f>
        <v>0</v>
      </c>
      <c r="E4075" s="54"/>
      <c r="F4075" s="83">
        <f>SUMIFS(F4076:F6462,K4076:K6462,"0",B4076:B6462,"5 1 2 1 1 12 31111 6 M59 98000 000181 0000R 00001 00211 015 2112000 2024 CP1RH392*")</f>
        <v>250</v>
      </c>
      <c r="G4075" s="83">
        <f>SUMIFS(G4076:G6462,K4076:K6462,"0",B4076:B6462,"5 1 2 1 1 12 31111 6 M59 98000 000181 0000R 00001 00211 015 2112000 2024 CP1RH392*")</f>
        <v>0</v>
      </c>
      <c r="H4075" s="83">
        <f t="shared" ref="H4075:H4138" si="64">D4075 + F4075 - G4075</f>
        <v>250</v>
      </c>
      <c r="I4075" s="83"/>
      <c r="K4075" s="54" t="s">
        <v>15</v>
      </c>
    </row>
    <row r="4076" spans="2:11" ht="41.25" x14ac:dyDescent="0.2">
      <c r="B4076" s="82" t="s">
        <v>6475</v>
      </c>
      <c r="C4076" s="82" t="s">
        <v>282</v>
      </c>
      <c r="D4076" s="83">
        <f>SUMIFS(D4077:D6462,K4077:K6462,"0",B4077:B6462,"5 1 2 1 1 12 31111 6 M59 98000 000181 0000R 00001 00211 015 2112000 2024 CP1RH392 001*")-SUMIFS(E4077:E6462,K4077:K6462,"0",B4077:B6462,"5 1 2 1 1 12 31111 6 M59 98000 000181 0000R 00001 00211 015 2112000 2024 CP1RH392 001*")</f>
        <v>0</v>
      </c>
      <c r="E4076" s="54"/>
      <c r="F4076" s="83">
        <f>SUMIFS(F4077:F6462,K4077:K6462,"0",B4077:B6462,"5 1 2 1 1 12 31111 6 M59 98000 000181 0000R 00001 00211 015 2112000 2024 CP1RH392 001*")</f>
        <v>250</v>
      </c>
      <c r="G4076" s="83">
        <f>SUMIFS(G4077:G6462,K4077:K6462,"0",B4077:B6462,"5 1 2 1 1 12 31111 6 M59 98000 000181 0000R 00001 00211 015 2112000 2024 CP1RH392 001*")</f>
        <v>0</v>
      </c>
      <c r="H4076" s="83">
        <f t="shared" si="64"/>
        <v>250</v>
      </c>
      <c r="I4076" s="83"/>
      <c r="K4076" s="54" t="s">
        <v>15</v>
      </c>
    </row>
    <row r="4077" spans="2:11" ht="33" x14ac:dyDescent="0.2">
      <c r="B4077" s="84" t="s">
        <v>6476</v>
      </c>
      <c r="C4077" s="84" t="s">
        <v>5817</v>
      </c>
      <c r="D4077" s="85">
        <v>0</v>
      </c>
      <c r="E4077" s="85"/>
      <c r="F4077" s="85">
        <v>250</v>
      </c>
      <c r="G4077" s="85">
        <v>0</v>
      </c>
      <c r="H4077" s="85">
        <f t="shared" si="64"/>
        <v>250</v>
      </c>
      <c r="I4077" s="85"/>
      <c r="K4077" s="54" t="s">
        <v>38</v>
      </c>
    </row>
    <row r="4078" spans="2:11" ht="16.5" x14ac:dyDescent="0.2">
      <c r="B4078" s="82" t="s">
        <v>6477</v>
      </c>
      <c r="C4078" s="82" t="s">
        <v>3754</v>
      </c>
      <c r="D4078" s="83">
        <f>SUMIFS(D4079:D6462,K4079:K6462,"0",B4079:B6462,"5 1 2 1 1 12 31111 6 M59 99000*")-SUMIFS(E4079:E6462,K4079:K6462,"0",B4079:B6462,"5 1 2 1 1 12 31111 6 M59 99000*")</f>
        <v>0</v>
      </c>
      <c r="E4078" s="54"/>
      <c r="F4078" s="83">
        <f>SUMIFS(F4079:F6462,K4079:K6462,"0",B4079:B6462,"5 1 2 1 1 12 31111 6 M59 99000*")</f>
        <v>996.44</v>
      </c>
      <c r="G4078" s="83">
        <f>SUMIFS(G4079:G6462,K4079:K6462,"0",B4079:B6462,"5 1 2 1 1 12 31111 6 M59 99000*")</f>
        <v>0</v>
      </c>
      <c r="H4078" s="83">
        <f t="shared" si="64"/>
        <v>996.44</v>
      </c>
      <c r="I4078" s="83"/>
      <c r="K4078" s="54" t="s">
        <v>15</v>
      </c>
    </row>
    <row r="4079" spans="2:11" ht="16.5" x14ac:dyDescent="0.2">
      <c r="B4079" s="82" t="s">
        <v>6478</v>
      </c>
      <c r="C4079" s="82" t="s">
        <v>648</v>
      </c>
      <c r="D4079" s="83">
        <f>SUMIFS(D4080:D6462,K4080:K6462,"0",B4080:B6462,"5 1 2 1 1 12 31111 6 M59 99000 000132*")-SUMIFS(E4080:E6462,K4080:K6462,"0",B4080:B6462,"5 1 2 1 1 12 31111 6 M59 99000 000132*")</f>
        <v>0</v>
      </c>
      <c r="E4079" s="54"/>
      <c r="F4079" s="83">
        <f>SUMIFS(F4080:F6462,K4080:K6462,"0",B4080:B6462,"5 1 2 1 1 12 31111 6 M59 99000 000132*")</f>
        <v>996.44</v>
      </c>
      <c r="G4079" s="83">
        <f>SUMIFS(G4080:G6462,K4080:K6462,"0",B4080:B6462,"5 1 2 1 1 12 31111 6 M59 99000 000132*")</f>
        <v>0</v>
      </c>
      <c r="H4079" s="83">
        <f t="shared" si="64"/>
        <v>996.44</v>
      </c>
      <c r="I4079" s="83"/>
      <c r="K4079" s="54" t="s">
        <v>15</v>
      </c>
    </row>
    <row r="4080" spans="2:11" ht="16.5" x14ac:dyDescent="0.2">
      <c r="B4080" s="82" t="s">
        <v>6479</v>
      </c>
      <c r="C4080" s="82" t="s">
        <v>650</v>
      </c>
      <c r="D4080" s="83">
        <f>SUMIFS(D4081:D6462,K4081:K6462,"0",B4081:B6462,"5 1 2 1 1 12 31111 6 M59 99000 000132 0000R*")-SUMIFS(E4081:E6462,K4081:K6462,"0",B4081:B6462,"5 1 2 1 1 12 31111 6 M59 99000 000132 0000R*")</f>
        <v>0</v>
      </c>
      <c r="E4080" s="54"/>
      <c r="F4080" s="83">
        <f>SUMIFS(F4081:F6462,K4081:K6462,"0",B4081:B6462,"5 1 2 1 1 12 31111 6 M59 99000 000132 0000R*")</f>
        <v>996.44</v>
      </c>
      <c r="G4080" s="83">
        <f>SUMIFS(G4081:G6462,K4081:K6462,"0",B4081:B6462,"5 1 2 1 1 12 31111 6 M59 99000 000132 0000R*")</f>
        <v>0</v>
      </c>
      <c r="H4080" s="83">
        <f t="shared" si="64"/>
        <v>996.44</v>
      </c>
      <c r="I4080" s="83"/>
      <c r="K4080" s="54" t="s">
        <v>15</v>
      </c>
    </row>
    <row r="4081" spans="2:11" ht="24.75" x14ac:dyDescent="0.2">
      <c r="B4081" s="82" t="s">
        <v>6480</v>
      </c>
      <c r="C4081" s="82" t="s">
        <v>282</v>
      </c>
      <c r="D4081" s="83">
        <f>SUMIFS(D4082:D6462,K4082:K6462,"0",B4082:B6462,"5 1 2 1 1 12 31111 6 M59 99000 000132 0000R 00001*")-SUMIFS(E4082:E6462,K4082:K6462,"0",B4082:B6462,"5 1 2 1 1 12 31111 6 M59 99000 000132 0000R 00001*")</f>
        <v>0</v>
      </c>
      <c r="E4081" s="54"/>
      <c r="F4081" s="83">
        <f>SUMIFS(F4082:F6462,K4082:K6462,"0",B4082:B6462,"5 1 2 1 1 12 31111 6 M59 99000 000132 0000R 00001*")</f>
        <v>996.44</v>
      </c>
      <c r="G4081" s="83">
        <f>SUMIFS(G4082:G6462,K4082:K6462,"0",B4082:B6462,"5 1 2 1 1 12 31111 6 M59 99000 000132 0000R 00001*")</f>
        <v>0</v>
      </c>
      <c r="H4081" s="83">
        <f t="shared" si="64"/>
        <v>996.44</v>
      </c>
      <c r="I4081" s="83"/>
      <c r="K4081" s="54" t="s">
        <v>15</v>
      </c>
    </row>
    <row r="4082" spans="2:11" ht="24.75" x14ac:dyDescent="0.2">
      <c r="B4082" s="82" t="s">
        <v>6481</v>
      </c>
      <c r="C4082" s="82" t="s">
        <v>5827</v>
      </c>
      <c r="D4082" s="83">
        <f>SUMIFS(D4083:D6462,K4083:K6462,"0",B4083:B6462,"5 1 2 1 1 12 31111 6 M59 99000 000132 0000R 00001 00211*")-SUMIFS(E4083:E6462,K4083:K6462,"0",B4083:B6462,"5 1 2 1 1 12 31111 6 M59 99000 000132 0000R 00001 00211*")</f>
        <v>0</v>
      </c>
      <c r="E4082" s="54"/>
      <c r="F4082" s="83">
        <f>SUMIFS(F4083:F6462,K4083:K6462,"0",B4083:B6462,"5 1 2 1 1 12 31111 6 M59 99000 000132 0000R 00001 00211*")</f>
        <v>996.44</v>
      </c>
      <c r="G4082" s="83">
        <f>SUMIFS(G4083:G6462,K4083:K6462,"0",B4083:B6462,"5 1 2 1 1 12 31111 6 M59 99000 000132 0000R 00001 00211*")</f>
        <v>0</v>
      </c>
      <c r="H4082" s="83">
        <f t="shared" si="64"/>
        <v>996.44</v>
      </c>
      <c r="I4082" s="83"/>
      <c r="K4082" s="54" t="s">
        <v>15</v>
      </c>
    </row>
    <row r="4083" spans="2:11" ht="24.75" x14ac:dyDescent="0.2">
      <c r="B4083" s="82" t="s">
        <v>6482</v>
      </c>
      <c r="C4083" s="82" t="s">
        <v>1051</v>
      </c>
      <c r="D4083" s="83">
        <f>SUMIFS(D4084:D6462,K4084:K6462,"0",B4084:B6462,"5 1 2 1 1 12 31111 6 M59 99000 000132 0000R 00001 00211 015*")-SUMIFS(E4084:E6462,K4084:K6462,"0",B4084:B6462,"5 1 2 1 1 12 31111 6 M59 99000 000132 0000R 00001 00211 015*")</f>
        <v>0</v>
      </c>
      <c r="E4083" s="54"/>
      <c r="F4083" s="83">
        <f>SUMIFS(F4084:F6462,K4084:K6462,"0",B4084:B6462,"5 1 2 1 1 12 31111 6 M59 99000 000132 0000R 00001 00211 015*")</f>
        <v>996.44</v>
      </c>
      <c r="G4083" s="83">
        <f>SUMIFS(G4084:G6462,K4084:K6462,"0",B4084:B6462,"5 1 2 1 1 12 31111 6 M59 99000 000132 0000R 00001 00211 015*")</f>
        <v>0</v>
      </c>
      <c r="H4083" s="83">
        <f t="shared" si="64"/>
        <v>996.44</v>
      </c>
      <c r="I4083" s="83"/>
      <c r="K4083" s="54" t="s">
        <v>15</v>
      </c>
    </row>
    <row r="4084" spans="2:11" ht="33" x14ac:dyDescent="0.2">
      <c r="B4084" s="82" t="s">
        <v>6483</v>
      </c>
      <c r="C4084" s="82" t="s">
        <v>5830</v>
      </c>
      <c r="D4084" s="83">
        <f>SUMIFS(D4085:D6462,K4085:K6462,"0",B4085:B6462,"5 1 2 1 1 12 31111 6 M59 99000 000132 0000R 00001 00211 015 2112000*")-SUMIFS(E4085:E6462,K4085:K6462,"0",B4085:B6462,"5 1 2 1 1 12 31111 6 M59 99000 000132 0000R 00001 00211 015 2112000*")</f>
        <v>0</v>
      </c>
      <c r="E4084" s="54"/>
      <c r="F4084" s="83">
        <f>SUMIFS(F4085:F6462,K4085:K6462,"0",B4085:B6462,"5 1 2 1 1 12 31111 6 M59 99000 000132 0000R 00001 00211 015 2112000*")</f>
        <v>996.44</v>
      </c>
      <c r="G4084" s="83">
        <f>SUMIFS(G4085:G6462,K4085:K6462,"0",B4085:B6462,"5 1 2 1 1 12 31111 6 M59 99000 000132 0000R 00001 00211 015 2112000*")</f>
        <v>0</v>
      </c>
      <c r="H4084" s="83">
        <f t="shared" si="64"/>
        <v>996.44</v>
      </c>
      <c r="I4084" s="83"/>
      <c r="K4084" s="54" t="s">
        <v>15</v>
      </c>
    </row>
    <row r="4085" spans="2:11" ht="33" x14ac:dyDescent="0.2">
      <c r="B4085" s="82" t="s">
        <v>6484</v>
      </c>
      <c r="C4085" s="82" t="s">
        <v>660</v>
      </c>
      <c r="D4085" s="83">
        <f>SUMIFS(D4086:D6462,K4086:K6462,"0",B4086:B6462,"5 1 2 1 1 12 31111 6 M59 99000 000132 0000R 00001 00211 015 2112000 2024*")-SUMIFS(E4086:E6462,K4086:K6462,"0",B4086:B6462,"5 1 2 1 1 12 31111 6 M59 99000 000132 0000R 00001 00211 015 2112000 2024*")</f>
        <v>0</v>
      </c>
      <c r="E4085" s="54"/>
      <c r="F4085" s="83">
        <f>SUMIFS(F4086:F6462,K4086:K6462,"0",B4086:B6462,"5 1 2 1 1 12 31111 6 M59 99000 000132 0000R 00001 00211 015 2112000 2024*")</f>
        <v>996.44</v>
      </c>
      <c r="G4085" s="83">
        <f>SUMIFS(G4086:G6462,K4086:K6462,"0",B4086:B6462,"5 1 2 1 1 12 31111 6 M59 99000 000132 0000R 00001 00211 015 2112000 2024*")</f>
        <v>0</v>
      </c>
      <c r="H4085" s="83">
        <f t="shared" si="64"/>
        <v>996.44</v>
      </c>
      <c r="I4085" s="83"/>
      <c r="K4085" s="54" t="s">
        <v>15</v>
      </c>
    </row>
    <row r="4086" spans="2:11" ht="41.25" x14ac:dyDescent="0.2">
      <c r="B4086" s="82" t="s">
        <v>6485</v>
      </c>
      <c r="C4086" s="82" t="s">
        <v>1056</v>
      </c>
      <c r="D4086" s="83">
        <f>SUMIFS(D4087:D6462,K4087:K6462,"0",B4087:B6462,"5 1 2 1 1 12 31111 6 M59 99000 000132 0000R 00001 00211 015 2112000 2024 CP1MG408*")-SUMIFS(E4087:E6462,K4087:K6462,"0",B4087:B6462,"5 1 2 1 1 12 31111 6 M59 99000 000132 0000R 00001 00211 015 2112000 2024 CP1MG408*")</f>
        <v>0</v>
      </c>
      <c r="E4086" s="54"/>
      <c r="F4086" s="83">
        <f>SUMIFS(F4087:F6462,K4087:K6462,"0",B4087:B6462,"5 1 2 1 1 12 31111 6 M59 99000 000132 0000R 00001 00211 015 2112000 2024 CP1MG408*")</f>
        <v>996.44</v>
      </c>
      <c r="G4086" s="83">
        <f>SUMIFS(G4087:G6462,K4087:K6462,"0",B4087:B6462,"5 1 2 1 1 12 31111 6 M59 99000 000132 0000R 00001 00211 015 2112000 2024 CP1MG408*")</f>
        <v>0</v>
      </c>
      <c r="H4086" s="83">
        <f t="shared" si="64"/>
        <v>996.44</v>
      </c>
      <c r="I4086" s="83"/>
      <c r="K4086" s="54" t="s">
        <v>15</v>
      </c>
    </row>
    <row r="4087" spans="2:11" ht="41.25" x14ac:dyDescent="0.2">
      <c r="B4087" s="82" t="s">
        <v>6486</v>
      </c>
      <c r="C4087" s="82" t="s">
        <v>282</v>
      </c>
      <c r="D4087" s="83">
        <f>SUMIFS(D4088:D6462,K4088:K6462,"0",B4088:B6462,"5 1 2 1 1 12 31111 6 M59 99000 000132 0000R 00001 00211 015 2112000 2024 CP1MG408 001*")-SUMIFS(E4088:E6462,K4088:K6462,"0",B4088:B6462,"5 1 2 1 1 12 31111 6 M59 99000 000132 0000R 00001 00211 015 2112000 2024 CP1MG408 001*")</f>
        <v>0</v>
      </c>
      <c r="E4087" s="54"/>
      <c r="F4087" s="83">
        <f>SUMIFS(F4088:F6462,K4088:K6462,"0",B4088:B6462,"5 1 2 1 1 12 31111 6 M59 99000 000132 0000R 00001 00211 015 2112000 2024 CP1MG408 001*")</f>
        <v>996.44</v>
      </c>
      <c r="G4087" s="83">
        <f>SUMIFS(G4088:G6462,K4088:K6462,"0",B4088:B6462,"5 1 2 1 1 12 31111 6 M59 99000 000132 0000R 00001 00211 015 2112000 2024 CP1MG408 001*")</f>
        <v>0</v>
      </c>
      <c r="H4087" s="83">
        <f t="shared" si="64"/>
        <v>996.44</v>
      </c>
      <c r="I4087" s="83"/>
      <c r="K4087" s="54" t="s">
        <v>15</v>
      </c>
    </row>
    <row r="4088" spans="2:11" ht="41.25" x14ac:dyDescent="0.2">
      <c r="B4088" s="84" t="s">
        <v>6487</v>
      </c>
      <c r="C4088" s="84" t="s">
        <v>5817</v>
      </c>
      <c r="D4088" s="85">
        <v>0</v>
      </c>
      <c r="E4088" s="85"/>
      <c r="F4088" s="85">
        <v>996.44</v>
      </c>
      <c r="G4088" s="85">
        <v>0</v>
      </c>
      <c r="H4088" s="85">
        <f t="shared" si="64"/>
        <v>996.44</v>
      </c>
      <c r="I4088" s="85"/>
      <c r="K4088" s="54" t="s">
        <v>38</v>
      </c>
    </row>
    <row r="4089" spans="2:11" ht="16.5" x14ac:dyDescent="0.2">
      <c r="B4089" s="82" t="s">
        <v>6488</v>
      </c>
      <c r="C4089" s="82" t="s">
        <v>6489</v>
      </c>
      <c r="D4089" s="83">
        <f>SUMIFS(D4090:D6462,K4090:K6462,"0",B4090:B6462,"5 1 2 1 2*")-SUMIFS(E4090:E6462,K4090:K6462,"0",B4090:B6462,"5 1 2 1 2*")</f>
        <v>0</v>
      </c>
      <c r="E4089" s="54"/>
      <c r="F4089" s="83">
        <f>SUMIFS(F4090:F6462,K4090:K6462,"0",B4090:B6462,"5 1 2 1 2*")</f>
        <v>503892.34</v>
      </c>
      <c r="G4089" s="83">
        <f>SUMIFS(G4090:G6462,K4090:K6462,"0",B4090:B6462,"5 1 2 1 2*")</f>
        <v>0</v>
      </c>
      <c r="H4089" s="83">
        <f t="shared" si="64"/>
        <v>503892.34</v>
      </c>
      <c r="I4089" s="83"/>
      <c r="K4089" s="54" t="s">
        <v>15</v>
      </c>
    </row>
    <row r="4090" spans="2:11" ht="12.75" x14ac:dyDescent="0.2">
      <c r="B4090" s="82" t="s">
        <v>6490</v>
      </c>
      <c r="C4090" s="82" t="s">
        <v>26</v>
      </c>
      <c r="D4090" s="83">
        <f>SUMIFS(D4091:D6462,K4091:K6462,"0",B4091:B6462,"5 1 2 1 2 12*")-SUMIFS(E4091:E6462,K4091:K6462,"0",B4091:B6462,"5 1 2 1 2 12*")</f>
        <v>0</v>
      </c>
      <c r="E4090" s="54"/>
      <c r="F4090" s="83">
        <f>SUMIFS(F4091:F6462,K4091:K6462,"0",B4091:B6462,"5 1 2 1 2 12*")</f>
        <v>503892.34</v>
      </c>
      <c r="G4090" s="83">
        <f>SUMIFS(G4091:G6462,K4091:K6462,"0",B4091:B6462,"5 1 2 1 2 12*")</f>
        <v>0</v>
      </c>
      <c r="H4090" s="83">
        <f t="shared" si="64"/>
        <v>503892.34</v>
      </c>
      <c r="I4090" s="83"/>
      <c r="K4090" s="54" t="s">
        <v>15</v>
      </c>
    </row>
    <row r="4091" spans="2:11" ht="16.5" x14ac:dyDescent="0.2">
      <c r="B4091" s="82" t="s">
        <v>6491</v>
      </c>
      <c r="C4091" s="82" t="s">
        <v>28</v>
      </c>
      <c r="D4091" s="83">
        <f>SUMIFS(D4092:D6462,K4092:K6462,"0",B4092:B6462,"5 1 2 1 2 12 31111*")-SUMIFS(E4092:E6462,K4092:K6462,"0",B4092:B6462,"5 1 2 1 2 12 31111*")</f>
        <v>0</v>
      </c>
      <c r="E4091" s="54"/>
      <c r="F4091" s="83">
        <f>SUMIFS(F4092:F6462,K4092:K6462,"0",B4092:B6462,"5 1 2 1 2 12 31111*")</f>
        <v>503892.34</v>
      </c>
      <c r="G4091" s="83">
        <f>SUMIFS(G4092:G6462,K4092:K6462,"0",B4092:B6462,"5 1 2 1 2 12 31111*")</f>
        <v>0</v>
      </c>
      <c r="H4091" s="83">
        <f t="shared" si="64"/>
        <v>503892.34</v>
      </c>
      <c r="I4091" s="83"/>
      <c r="K4091" s="54" t="s">
        <v>15</v>
      </c>
    </row>
    <row r="4092" spans="2:11" ht="12.75" x14ac:dyDescent="0.2">
      <c r="B4092" s="82" t="s">
        <v>6492</v>
      </c>
      <c r="C4092" s="82" t="s">
        <v>30</v>
      </c>
      <c r="D4092" s="83">
        <f>SUMIFS(D4093:D6462,K4093:K6462,"0",B4093:B6462,"5 1 2 1 2 12 31111 6*")-SUMIFS(E4093:E6462,K4093:K6462,"0",B4093:B6462,"5 1 2 1 2 12 31111 6*")</f>
        <v>0</v>
      </c>
      <c r="E4092" s="54"/>
      <c r="F4092" s="83">
        <f>SUMIFS(F4093:F6462,K4093:K6462,"0",B4093:B6462,"5 1 2 1 2 12 31111 6*")</f>
        <v>503892.34</v>
      </c>
      <c r="G4092" s="83">
        <f>SUMIFS(G4093:G6462,K4093:K6462,"0",B4093:B6462,"5 1 2 1 2 12 31111 6*")</f>
        <v>0</v>
      </c>
      <c r="H4092" s="83">
        <f t="shared" si="64"/>
        <v>503892.34</v>
      </c>
      <c r="I4092" s="83"/>
      <c r="K4092" s="54" t="s">
        <v>15</v>
      </c>
    </row>
    <row r="4093" spans="2:11" ht="16.5" x14ac:dyDescent="0.2">
      <c r="B4093" s="82" t="s">
        <v>6493</v>
      </c>
      <c r="C4093" s="82" t="s">
        <v>2284</v>
      </c>
      <c r="D4093" s="83">
        <f>SUMIFS(D4094:D6462,K4094:K6462,"0",B4094:B6462,"5 1 2 1 2 12 31111 6 M59*")-SUMIFS(E4094:E6462,K4094:K6462,"0",B4094:B6462,"5 1 2 1 2 12 31111 6 M59*")</f>
        <v>0</v>
      </c>
      <c r="E4093" s="54"/>
      <c r="F4093" s="83">
        <f>SUMIFS(F4094:F6462,K4094:K6462,"0",B4094:B6462,"5 1 2 1 2 12 31111 6 M59*")</f>
        <v>503892.34</v>
      </c>
      <c r="G4093" s="83">
        <f>SUMIFS(G4094:G6462,K4094:K6462,"0",B4094:B6462,"5 1 2 1 2 12 31111 6 M59*")</f>
        <v>0</v>
      </c>
      <c r="H4093" s="83">
        <f t="shared" si="64"/>
        <v>503892.34</v>
      </c>
      <c r="I4093" s="83"/>
      <c r="K4093" s="54" t="s">
        <v>15</v>
      </c>
    </row>
    <row r="4094" spans="2:11" ht="16.5" x14ac:dyDescent="0.2">
      <c r="B4094" s="82" t="s">
        <v>6494</v>
      </c>
      <c r="C4094" s="82" t="s">
        <v>1044</v>
      </c>
      <c r="D4094" s="83">
        <f>SUMIFS(D4095:D6462,K4095:K6462,"0",B4095:B6462,"5 1 2 1 2 12 31111 6 M59 19000*")-SUMIFS(E4095:E6462,K4095:K6462,"0",B4095:B6462,"5 1 2 1 2 12 31111 6 M59 19000*")</f>
        <v>0</v>
      </c>
      <c r="E4094" s="54"/>
      <c r="F4094" s="83">
        <f>SUMIFS(F4095:F6462,K4095:K6462,"0",B4095:B6462,"5 1 2 1 2 12 31111 6 M59 19000*")</f>
        <v>35850</v>
      </c>
      <c r="G4094" s="83">
        <f>SUMIFS(G4095:G6462,K4095:K6462,"0",B4095:B6462,"5 1 2 1 2 12 31111 6 M59 19000*")</f>
        <v>0</v>
      </c>
      <c r="H4094" s="83">
        <f t="shared" si="64"/>
        <v>35850</v>
      </c>
      <c r="I4094" s="83"/>
      <c r="K4094" s="54" t="s">
        <v>15</v>
      </c>
    </row>
    <row r="4095" spans="2:11" ht="16.5" x14ac:dyDescent="0.2">
      <c r="B4095" s="82" t="s">
        <v>6495</v>
      </c>
      <c r="C4095" s="82" t="s">
        <v>648</v>
      </c>
      <c r="D4095" s="83">
        <f>SUMIFS(D4096:D6462,K4096:K6462,"0",B4096:B6462,"5 1 2 1 2 12 31111 6 M59 19000 000132*")-SUMIFS(E4096:E6462,K4096:K6462,"0",B4096:B6462,"5 1 2 1 2 12 31111 6 M59 19000 000132*")</f>
        <v>0</v>
      </c>
      <c r="E4095" s="54"/>
      <c r="F4095" s="83">
        <f>SUMIFS(F4096:F6462,K4096:K6462,"0",B4096:B6462,"5 1 2 1 2 12 31111 6 M59 19000 000132*")</f>
        <v>35850</v>
      </c>
      <c r="G4095" s="83">
        <f>SUMIFS(G4096:G6462,K4096:K6462,"0",B4096:B6462,"5 1 2 1 2 12 31111 6 M59 19000 000132*")</f>
        <v>0</v>
      </c>
      <c r="H4095" s="83">
        <f t="shared" si="64"/>
        <v>35850</v>
      </c>
      <c r="I4095" s="83"/>
      <c r="K4095" s="54" t="s">
        <v>15</v>
      </c>
    </row>
    <row r="4096" spans="2:11" ht="24.75" x14ac:dyDescent="0.2">
      <c r="B4096" s="82" t="s">
        <v>6496</v>
      </c>
      <c r="C4096" s="82" t="s">
        <v>650</v>
      </c>
      <c r="D4096" s="83">
        <f>SUMIFS(D4097:D6462,K4097:K6462,"0",B4097:B6462,"5 1 2 1 2 12 31111 6 M59 19000 000132 0000R*")-SUMIFS(E4097:E6462,K4097:K6462,"0",B4097:B6462,"5 1 2 1 2 12 31111 6 M59 19000 000132 0000R*")</f>
        <v>0</v>
      </c>
      <c r="E4096" s="54"/>
      <c r="F4096" s="83">
        <f>SUMIFS(F4097:F6462,K4097:K6462,"0",B4097:B6462,"5 1 2 1 2 12 31111 6 M59 19000 000132 0000R*")</f>
        <v>35850</v>
      </c>
      <c r="G4096" s="83">
        <f>SUMIFS(G4097:G6462,K4097:K6462,"0",B4097:B6462,"5 1 2 1 2 12 31111 6 M59 19000 000132 0000R*")</f>
        <v>0</v>
      </c>
      <c r="H4096" s="83">
        <f t="shared" si="64"/>
        <v>35850</v>
      </c>
      <c r="I4096" s="83"/>
      <c r="K4096" s="54" t="s">
        <v>15</v>
      </c>
    </row>
    <row r="4097" spans="2:11" ht="24.75" x14ac:dyDescent="0.2">
      <c r="B4097" s="82" t="s">
        <v>6497</v>
      </c>
      <c r="C4097" s="82" t="s">
        <v>282</v>
      </c>
      <c r="D4097" s="83">
        <f>SUMIFS(D4098:D6462,K4098:K6462,"0",B4098:B6462,"5 1 2 1 2 12 31111 6 M59 19000 000132 0000R 00001*")-SUMIFS(E4098:E6462,K4098:K6462,"0",B4098:B6462,"5 1 2 1 2 12 31111 6 M59 19000 000132 0000R 00001*")</f>
        <v>0</v>
      </c>
      <c r="E4097" s="54"/>
      <c r="F4097" s="83">
        <f>SUMIFS(F4098:F6462,K4098:K6462,"0",B4098:B6462,"5 1 2 1 2 12 31111 6 M59 19000 000132 0000R 00001*")</f>
        <v>35850</v>
      </c>
      <c r="G4097" s="83">
        <f>SUMIFS(G4098:G6462,K4098:K6462,"0",B4098:B6462,"5 1 2 1 2 12 31111 6 M59 19000 000132 0000R 00001*")</f>
        <v>0</v>
      </c>
      <c r="H4097" s="83">
        <f t="shared" si="64"/>
        <v>35850</v>
      </c>
      <c r="I4097" s="83"/>
      <c r="K4097" s="54" t="s">
        <v>15</v>
      </c>
    </row>
    <row r="4098" spans="2:11" ht="24.75" x14ac:dyDescent="0.2">
      <c r="B4098" s="82" t="s">
        <v>6498</v>
      </c>
      <c r="C4098" s="82" t="s">
        <v>6499</v>
      </c>
      <c r="D4098" s="83">
        <f>SUMIFS(D4099:D6462,K4099:K6462,"0",B4099:B6462,"5 1 2 1 2 12 31111 6 M59 19000 000132 0000R 00001 00212*")-SUMIFS(E4099:E6462,K4099:K6462,"0",B4099:B6462,"5 1 2 1 2 12 31111 6 M59 19000 000132 0000R 00001 00212*")</f>
        <v>0</v>
      </c>
      <c r="E4098" s="54"/>
      <c r="F4098" s="83">
        <f>SUMIFS(F4099:F6462,K4099:K6462,"0",B4099:B6462,"5 1 2 1 2 12 31111 6 M59 19000 000132 0000R 00001 00212*")</f>
        <v>35850</v>
      </c>
      <c r="G4098" s="83">
        <f>SUMIFS(G4099:G6462,K4099:K6462,"0",B4099:B6462,"5 1 2 1 2 12 31111 6 M59 19000 000132 0000R 00001 00212*")</f>
        <v>0</v>
      </c>
      <c r="H4098" s="83">
        <f t="shared" si="64"/>
        <v>35850</v>
      </c>
      <c r="I4098" s="83"/>
      <c r="K4098" s="54" t="s">
        <v>15</v>
      </c>
    </row>
    <row r="4099" spans="2:11" ht="33" x14ac:dyDescent="0.2">
      <c r="B4099" s="82" t="s">
        <v>6506</v>
      </c>
      <c r="C4099" s="82" t="s">
        <v>1051</v>
      </c>
      <c r="D4099" s="83">
        <f>SUMIFS(D4100:D6462,K4100:K6462,"0",B4100:B6462,"5 1 2 1 2 12 31111 6 M59 19000 000132 0000R 00001 00212 015*")-SUMIFS(E4100:E6462,K4100:K6462,"0",B4100:B6462,"5 1 2 1 2 12 31111 6 M59 19000 000132 0000R 00001 00212 015*")</f>
        <v>0</v>
      </c>
      <c r="E4099" s="54"/>
      <c r="F4099" s="83">
        <f>SUMIFS(F4100:F6462,K4100:K6462,"0",B4100:B6462,"5 1 2 1 2 12 31111 6 M59 19000 000132 0000R 00001 00212 015*")</f>
        <v>35850</v>
      </c>
      <c r="G4099" s="83">
        <f>SUMIFS(G4100:G6462,K4100:K6462,"0",B4100:B6462,"5 1 2 1 2 12 31111 6 M59 19000 000132 0000R 00001 00212 015*")</f>
        <v>0</v>
      </c>
      <c r="H4099" s="83">
        <f t="shared" si="64"/>
        <v>35850</v>
      </c>
      <c r="I4099" s="83"/>
      <c r="K4099" s="54" t="s">
        <v>15</v>
      </c>
    </row>
    <row r="4100" spans="2:11" ht="33" x14ac:dyDescent="0.2">
      <c r="B4100" s="82" t="s">
        <v>6507</v>
      </c>
      <c r="C4100" s="82" t="s">
        <v>5830</v>
      </c>
      <c r="D4100" s="83">
        <f>SUMIFS(D4101:D6462,K4101:K6462,"0",B4101:B6462,"5 1 2 1 2 12 31111 6 M59 19000 000132 0000R 00001 00212 015 2112000*")-SUMIFS(E4101:E6462,K4101:K6462,"0",B4101:B6462,"5 1 2 1 2 12 31111 6 M59 19000 000132 0000R 00001 00212 015 2112000*")</f>
        <v>0</v>
      </c>
      <c r="E4100" s="54"/>
      <c r="F4100" s="83">
        <f>SUMIFS(F4101:F6462,K4101:K6462,"0",B4101:B6462,"5 1 2 1 2 12 31111 6 M59 19000 000132 0000R 00001 00212 015 2112000*")</f>
        <v>35850</v>
      </c>
      <c r="G4100" s="83">
        <f>SUMIFS(G4101:G6462,K4101:K6462,"0",B4101:B6462,"5 1 2 1 2 12 31111 6 M59 19000 000132 0000R 00001 00212 015 2112000*")</f>
        <v>0</v>
      </c>
      <c r="H4100" s="83">
        <f t="shared" si="64"/>
        <v>35850</v>
      </c>
      <c r="I4100" s="83"/>
      <c r="K4100" s="54" t="s">
        <v>15</v>
      </c>
    </row>
    <row r="4101" spans="2:11" ht="33" x14ac:dyDescent="0.2">
      <c r="B4101" s="82" t="s">
        <v>6508</v>
      </c>
      <c r="C4101" s="82" t="s">
        <v>660</v>
      </c>
      <c r="D4101" s="83">
        <f>SUMIFS(D4102:D6462,K4102:K6462,"0",B4102:B6462,"5 1 2 1 2 12 31111 6 M59 19000 000132 0000R 00001 00212 015 2112000 2024*")-SUMIFS(E4102:E6462,K4102:K6462,"0",B4102:B6462,"5 1 2 1 2 12 31111 6 M59 19000 000132 0000R 00001 00212 015 2112000 2024*")</f>
        <v>0</v>
      </c>
      <c r="E4101" s="54"/>
      <c r="F4101" s="83">
        <f>SUMIFS(F4102:F6462,K4102:K6462,"0",B4102:B6462,"5 1 2 1 2 12 31111 6 M59 19000 000132 0000R 00001 00212 015 2112000 2024*")</f>
        <v>35850</v>
      </c>
      <c r="G4101" s="83">
        <f>SUMIFS(G4102:G6462,K4102:K6462,"0",B4102:B6462,"5 1 2 1 2 12 31111 6 M59 19000 000132 0000R 00001 00212 015 2112000 2024*")</f>
        <v>0</v>
      </c>
      <c r="H4101" s="83">
        <f t="shared" si="64"/>
        <v>35850</v>
      </c>
      <c r="I4101" s="83"/>
      <c r="K4101" s="54" t="s">
        <v>15</v>
      </c>
    </row>
    <row r="4102" spans="2:11" ht="41.25" x14ac:dyDescent="0.2">
      <c r="B4102" s="82" t="s">
        <v>6509</v>
      </c>
      <c r="C4102" s="82" t="s">
        <v>662</v>
      </c>
      <c r="D4102" s="83">
        <f>SUMIFS(D4103:D6462,K4103:K6462,"0",B4103:B6462,"5 1 2 1 2 12 31111 6 M59 19000 000132 0000R 00001 00212 015 2112000 2024 CP1TM440*")-SUMIFS(E4103:E6462,K4103:K6462,"0",B4103:B6462,"5 1 2 1 2 12 31111 6 M59 19000 000132 0000R 00001 00212 015 2112000 2024 CP1TM440*")</f>
        <v>0</v>
      </c>
      <c r="E4102" s="54"/>
      <c r="F4102" s="83">
        <f>SUMIFS(F4103:F6462,K4103:K6462,"0",B4103:B6462,"5 1 2 1 2 12 31111 6 M59 19000 000132 0000R 00001 00212 015 2112000 2024 CP1TM440*")</f>
        <v>35850</v>
      </c>
      <c r="G4102" s="83">
        <f>SUMIFS(G4103:G6462,K4103:K6462,"0",B4103:B6462,"5 1 2 1 2 12 31111 6 M59 19000 000132 0000R 00001 00212 015 2112000 2024 CP1TM440*")</f>
        <v>0</v>
      </c>
      <c r="H4102" s="83">
        <f t="shared" si="64"/>
        <v>35850</v>
      </c>
      <c r="I4102" s="83"/>
      <c r="K4102" s="54" t="s">
        <v>15</v>
      </c>
    </row>
    <row r="4103" spans="2:11" ht="41.25" x14ac:dyDescent="0.2">
      <c r="B4103" s="82" t="s">
        <v>6510</v>
      </c>
      <c r="C4103" s="82" t="s">
        <v>282</v>
      </c>
      <c r="D4103" s="83">
        <f>SUMIFS(D4104:D6462,K4104:K6462,"0",B4104:B6462,"5 1 2 1 2 12 31111 6 M59 19000 000132 0000R 00001 00212 015 2112000 2024 CP1TM440 001*")-SUMIFS(E4104:E6462,K4104:K6462,"0",B4104:B6462,"5 1 2 1 2 12 31111 6 M59 19000 000132 0000R 00001 00212 015 2112000 2024 CP1TM440 001*")</f>
        <v>0</v>
      </c>
      <c r="E4103" s="54"/>
      <c r="F4103" s="83">
        <f>SUMIFS(F4104:F6462,K4104:K6462,"0",B4104:B6462,"5 1 2 1 2 12 31111 6 M59 19000 000132 0000R 00001 00212 015 2112000 2024 CP1TM440 001*")</f>
        <v>35850</v>
      </c>
      <c r="G4103" s="83">
        <f>SUMIFS(G4104:G6462,K4104:K6462,"0",B4104:B6462,"5 1 2 1 2 12 31111 6 M59 19000 000132 0000R 00001 00212 015 2112000 2024 CP1TM440 001*")</f>
        <v>0</v>
      </c>
      <c r="H4103" s="83">
        <f t="shared" si="64"/>
        <v>35850</v>
      </c>
      <c r="I4103" s="83"/>
      <c r="K4103" s="54" t="s">
        <v>15</v>
      </c>
    </row>
    <row r="4104" spans="2:11" ht="33" x14ac:dyDescent="0.2">
      <c r="B4104" s="84" t="s">
        <v>6511</v>
      </c>
      <c r="C4104" s="84" t="s">
        <v>6499</v>
      </c>
      <c r="D4104" s="85">
        <v>0</v>
      </c>
      <c r="E4104" s="85"/>
      <c r="F4104" s="85">
        <v>35850</v>
      </c>
      <c r="G4104" s="85">
        <v>0</v>
      </c>
      <c r="H4104" s="85">
        <f t="shared" si="64"/>
        <v>35850</v>
      </c>
      <c r="I4104" s="85"/>
      <c r="K4104" s="54" t="s">
        <v>38</v>
      </c>
    </row>
    <row r="4105" spans="2:11" ht="16.5" x14ac:dyDescent="0.2">
      <c r="B4105" s="82" t="s">
        <v>6512</v>
      </c>
      <c r="C4105" s="82" t="s">
        <v>1079</v>
      </c>
      <c r="D4105" s="83">
        <f>SUMIFS(D4106:D6462,K4106:K6462,"0",B4106:B6462,"5 1 2 1 2 12 31111 6 M59 20500*")-SUMIFS(E4106:E6462,K4106:K6462,"0",B4106:B6462,"5 1 2 1 2 12 31111 6 M59 20500*")</f>
        <v>0</v>
      </c>
      <c r="E4105" s="54"/>
      <c r="F4105" s="83">
        <f>SUMIFS(F4106:F6462,K4106:K6462,"0",B4106:B6462,"5 1 2 1 2 12 31111 6 M59 20500*")</f>
        <v>468042.34</v>
      </c>
      <c r="G4105" s="83">
        <f>SUMIFS(G4106:G6462,K4106:K6462,"0",B4106:B6462,"5 1 2 1 2 12 31111 6 M59 20500*")</f>
        <v>0</v>
      </c>
      <c r="H4105" s="83">
        <f t="shared" si="64"/>
        <v>468042.34</v>
      </c>
      <c r="I4105" s="83"/>
      <c r="K4105" s="54" t="s">
        <v>15</v>
      </c>
    </row>
    <row r="4106" spans="2:11" ht="16.5" x14ac:dyDescent="0.2">
      <c r="B4106" s="82" t="s">
        <v>6513</v>
      </c>
      <c r="C4106" s="82" t="s">
        <v>648</v>
      </c>
      <c r="D4106" s="83">
        <f>SUMIFS(D4107:D6462,K4107:K6462,"0",B4107:B6462,"5 1 2 1 2 12 31111 6 M59 20500 000132*")-SUMIFS(E4107:E6462,K4107:K6462,"0",B4107:B6462,"5 1 2 1 2 12 31111 6 M59 20500 000132*")</f>
        <v>0</v>
      </c>
      <c r="E4106" s="54"/>
      <c r="F4106" s="83">
        <f>SUMIFS(F4107:F6462,K4107:K6462,"0",B4107:B6462,"5 1 2 1 2 12 31111 6 M59 20500 000132*")</f>
        <v>468042.34</v>
      </c>
      <c r="G4106" s="83">
        <f>SUMIFS(G4107:G6462,K4107:K6462,"0",B4107:B6462,"5 1 2 1 2 12 31111 6 M59 20500 000132*")</f>
        <v>0</v>
      </c>
      <c r="H4106" s="83">
        <f t="shared" si="64"/>
        <v>468042.34</v>
      </c>
      <c r="I4106" s="83"/>
      <c r="K4106" s="54" t="s">
        <v>15</v>
      </c>
    </row>
    <row r="4107" spans="2:11" ht="24.75" x14ac:dyDescent="0.2">
      <c r="B4107" s="82" t="s">
        <v>6514</v>
      </c>
      <c r="C4107" s="82" t="s">
        <v>650</v>
      </c>
      <c r="D4107" s="83">
        <f>SUMIFS(D4108:D6462,K4108:K6462,"0",B4108:B6462,"5 1 2 1 2 12 31111 6 M59 20500 000132 0000R*")-SUMIFS(E4108:E6462,K4108:K6462,"0",B4108:B6462,"5 1 2 1 2 12 31111 6 M59 20500 000132 0000R*")</f>
        <v>0</v>
      </c>
      <c r="E4107" s="54"/>
      <c r="F4107" s="83">
        <f>SUMIFS(F4108:F6462,K4108:K6462,"0",B4108:B6462,"5 1 2 1 2 12 31111 6 M59 20500 000132 0000R*")</f>
        <v>468042.34</v>
      </c>
      <c r="G4107" s="83">
        <f>SUMIFS(G4108:G6462,K4108:K6462,"0",B4108:B6462,"5 1 2 1 2 12 31111 6 M59 20500 000132 0000R*")</f>
        <v>0</v>
      </c>
      <c r="H4107" s="83">
        <f t="shared" si="64"/>
        <v>468042.34</v>
      </c>
      <c r="I4107" s="83"/>
      <c r="K4107" s="54" t="s">
        <v>15</v>
      </c>
    </row>
    <row r="4108" spans="2:11" ht="24.75" x14ac:dyDescent="0.2">
      <c r="B4108" s="82" t="s">
        <v>6515</v>
      </c>
      <c r="C4108" s="82" t="s">
        <v>282</v>
      </c>
      <c r="D4108" s="83">
        <f>SUMIFS(D4109:D6462,K4109:K6462,"0",B4109:B6462,"5 1 2 1 2 12 31111 6 M59 20500 000132 0000R 00001*")-SUMIFS(E4109:E6462,K4109:K6462,"0",B4109:B6462,"5 1 2 1 2 12 31111 6 M59 20500 000132 0000R 00001*")</f>
        <v>0</v>
      </c>
      <c r="E4108" s="54"/>
      <c r="F4108" s="83">
        <f>SUMIFS(F4109:F6462,K4109:K6462,"0",B4109:B6462,"5 1 2 1 2 12 31111 6 M59 20500 000132 0000R 00001*")</f>
        <v>468042.34</v>
      </c>
      <c r="G4108" s="83">
        <f>SUMIFS(G4109:G6462,K4109:K6462,"0",B4109:B6462,"5 1 2 1 2 12 31111 6 M59 20500 000132 0000R 00001*")</f>
        <v>0</v>
      </c>
      <c r="H4108" s="83">
        <f t="shared" si="64"/>
        <v>468042.34</v>
      </c>
      <c r="I4108" s="83"/>
      <c r="K4108" s="54" t="s">
        <v>15</v>
      </c>
    </row>
    <row r="4109" spans="2:11" ht="24.75" x14ac:dyDescent="0.2">
      <c r="B4109" s="82" t="s">
        <v>6516</v>
      </c>
      <c r="C4109" s="82" t="s">
        <v>6499</v>
      </c>
      <c r="D4109" s="83">
        <f>SUMIFS(D4110:D6462,K4110:K6462,"0",B4110:B6462,"5 1 2 1 2 12 31111 6 M59 20500 000132 0000R 00001 00212*")-SUMIFS(E4110:E6462,K4110:K6462,"0",B4110:B6462,"5 1 2 1 2 12 31111 6 M59 20500 000132 0000R 00001 00212*")</f>
        <v>0</v>
      </c>
      <c r="E4109" s="54"/>
      <c r="F4109" s="83">
        <f>SUMIFS(F4110:F6462,K4110:K6462,"0",B4110:B6462,"5 1 2 1 2 12 31111 6 M59 20500 000132 0000R 00001 00212*")</f>
        <v>468042.34</v>
      </c>
      <c r="G4109" s="83">
        <f>SUMIFS(G4110:G6462,K4110:K6462,"0",B4110:B6462,"5 1 2 1 2 12 31111 6 M59 20500 000132 0000R 00001 00212*")</f>
        <v>0</v>
      </c>
      <c r="H4109" s="83">
        <f t="shared" si="64"/>
        <v>468042.34</v>
      </c>
      <c r="I4109" s="83"/>
      <c r="K4109" s="54" t="s">
        <v>15</v>
      </c>
    </row>
    <row r="4110" spans="2:11" ht="33" x14ac:dyDescent="0.2">
      <c r="B4110" s="82" t="s">
        <v>6517</v>
      </c>
      <c r="C4110" s="82" t="s">
        <v>1051</v>
      </c>
      <c r="D4110" s="83">
        <f>SUMIFS(D4111:D6462,K4111:K6462,"0",B4111:B6462,"5 1 2 1 2 12 31111 6 M59 20500 000132 0000R 00001 00212 015*")-SUMIFS(E4111:E6462,K4111:K6462,"0",B4111:B6462,"5 1 2 1 2 12 31111 6 M59 20500 000132 0000R 00001 00212 015*")</f>
        <v>0</v>
      </c>
      <c r="E4110" s="54"/>
      <c r="F4110" s="83">
        <f>SUMIFS(F4111:F6462,K4111:K6462,"0",B4111:B6462,"5 1 2 1 2 12 31111 6 M59 20500 000132 0000R 00001 00212 015*")</f>
        <v>468042.34</v>
      </c>
      <c r="G4110" s="83">
        <f>SUMIFS(G4111:G6462,K4111:K6462,"0",B4111:B6462,"5 1 2 1 2 12 31111 6 M59 20500 000132 0000R 00001 00212 015*")</f>
        <v>0</v>
      </c>
      <c r="H4110" s="83">
        <f t="shared" si="64"/>
        <v>468042.34</v>
      </c>
      <c r="I4110" s="83"/>
      <c r="K4110" s="54" t="s">
        <v>15</v>
      </c>
    </row>
    <row r="4111" spans="2:11" ht="33" x14ac:dyDescent="0.2">
      <c r="B4111" s="82" t="s">
        <v>6518</v>
      </c>
      <c r="C4111" s="82" t="s">
        <v>5830</v>
      </c>
      <c r="D4111" s="83">
        <f>SUMIFS(D4112:D6462,K4112:K6462,"0",B4112:B6462,"5 1 2 1 2 12 31111 6 M59 20500 000132 0000R 00001 00212 015 2112000*")-SUMIFS(E4112:E6462,K4112:K6462,"0",B4112:B6462,"5 1 2 1 2 12 31111 6 M59 20500 000132 0000R 00001 00212 015 2112000*")</f>
        <v>0</v>
      </c>
      <c r="E4111" s="54"/>
      <c r="F4111" s="83">
        <f>SUMIFS(F4112:F6462,K4112:K6462,"0",B4112:B6462,"5 1 2 1 2 12 31111 6 M59 20500 000132 0000R 00001 00212 015 2112000*")</f>
        <v>468042.34</v>
      </c>
      <c r="G4111" s="83">
        <f>SUMIFS(G4112:G6462,K4112:K6462,"0",B4112:B6462,"5 1 2 1 2 12 31111 6 M59 20500 000132 0000R 00001 00212 015 2112000*")</f>
        <v>0</v>
      </c>
      <c r="H4111" s="83">
        <f t="shared" si="64"/>
        <v>468042.34</v>
      </c>
      <c r="I4111" s="83"/>
      <c r="K4111" s="54" t="s">
        <v>15</v>
      </c>
    </row>
    <row r="4112" spans="2:11" ht="33" x14ac:dyDescent="0.2">
      <c r="B4112" s="82" t="s">
        <v>6519</v>
      </c>
      <c r="C4112" s="82" t="s">
        <v>660</v>
      </c>
      <c r="D4112" s="83">
        <f>SUMIFS(D4113:D6462,K4113:K6462,"0",B4113:B6462,"5 1 2 1 2 12 31111 6 M59 20500 000132 0000R 00001 00212 015 2112000 2024*")-SUMIFS(E4113:E6462,K4113:K6462,"0",B4113:B6462,"5 1 2 1 2 12 31111 6 M59 20500 000132 0000R 00001 00212 015 2112000 2024*")</f>
        <v>0</v>
      </c>
      <c r="E4112" s="54"/>
      <c r="F4112" s="83">
        <f>SUMIFS(F4113:F6462,K4113:K6462,"0",B4113:B6462,"5 1 2 1 2 12 31111 6 M59 20500 000132 0000R 00001 00212 015 2112000 2024*")</f>
        <v>468042.34</v>
      </c>
      <c r="G4112" s="83">
        <f>SUMIFS(G4113:G6462,K4113:K6462,"0",B4113:B6462,"5 1 2 1 2 12 31111 6 M59 20500 000132 0000R 00001 00212 015 2112000 2024*")</f>
        <v>0</v>
      </c>
      <c r="H4112" s="83">
        <f t="shared" si="64"/>
        <v>468042.34</v>
      </c>
      <c r="I4112" s="83"/>
      <c r="K4112" s="54" t="s">
        <v>15</v>
      </c>
    </row>
    <row r="4113" spans="2:11" ht="41.25" x14ac:dyDescent="0.2">
      <c r="B4113" s="82" t="s">
        <v>6520</v>
      </c>
      <c r="C4113" s="82" t="s">
        <v>1056</v>
      </c>
      <c r="D4113" s="83">
        <f>SUMIFS(D4114:D6462,K4114:K6462,"0",B4114:B6462,"5 1 2 1 2 12 31111 6 M59 20500 000132 0000R 00001 00212 015 2112000 2024 CP1CP420*")-SUMIFS(E4114:E6462,K4114:K6462,"0",B4114:B6462,"5 1 2 1 2 12 31111 6 M59 20500 000132 0000R 00001 00212 015 2112000 2024 CP1CP420*")</f>
        <v>0</v>
      </c>
      <c r="E4113" s="54"/>
      <c r="F4113" s="83">
        <f>SUMIFS(F4114:F6462,K4114:K6462,"0",B4114:B6462,"5 1 2 1 2 12 31111 6 M59 20500 000132 0000R 00001 00212 015 2112000 2024 CP1CP420*")</f>
        <v>468042.34</v>
      </c>
      <c r="G4113" s="83">
        <f>SUMIFS(G4114:G6462,K4114:K6462,"0",B4114:B6462,"5 1 2 1 2 12 31111 6 M59 20500 000132 0000R 00001 00212 015 2112000 2024 CP1CP420*")</f>
        <v>0</v>
      </c>
      <c r="H4113" s="83">
        <f t="shared" si="64"/>
        <v>468042.34</v>
      </c>
      <c r="I4113" s="83"/>
      <c r="K4113" s="54" t="s">
        <v>15</v>
      </c>
    </row>
    <row r="4114" spans="2:11" ht="41.25" x14ac:dyDescent="0.2">
      <c r="B4114" s="82" t="s">
        <v>6521</v>
      </c>
      <c r="C4114" s="82" t="s">
        <v>282</v>
      </c>
      <c r="D4114" s="83">
        <f>SUMIFS(D4115:D6462,K4115:K6462,"0",B4115:B6462,"5 1 2 1 2 12 31111 6 M59 20500 000132 0000R 00001 00212 015 2112000 2024 CP1CP420 001*")-SUMIFS(E4115:E6462,K4115:K6462,"0",B4115:B6462,"5 1 2 1 2 12 31111 6 M59 20500 000132 0000R 00001 00212 015 2112000 2024 CP1CP420 001*")</f>
        <v>0</v>
      </c>
      <c r="E4114" s="54"/>
      <c r="F4114" s="83">
        <f>SUMIFS(F4115:F6462,K4115:K6462,"0",B4115:B6462,"5 1 2 1 2 12 31111 6 M59 20500 000132 0000R 00001 00212 015 2112000 2024 CP1CP420 001*")</f>
        <v>468042.34</v>
      </c>
      <c r="G4114" s="83">
        <f>SUMIFS(G4115:G6462,K4115:K6462,"0",B4115:B6462,"5 1 2 1 2 12 31111 6 M59 20500 000132 0000R 00001 00212 015 2112000 2024 CP1CP420 001*")</f>
        <v>0</v>
      </c>
      <c r="H4114" s="83">
        <f t="shared" si="64"/>
        <v>468042.34</v>
      </c>
      <c r="I4114" s="83"/>
      <c r="K4114" s="54" t="s">
        <v>15</v>
      </c>
    </row>
    <row r="4115" spans="2:11" ht="33" x14ac:dyDescent="0.2">
      <c r="B4115" s="84" t="s">
        <v>6522</v>
      </c>
      <c r="C4115" s="84" t="s">
        <v>6489</v>
      </c>
      <c r="D4115" s="85">
        <v>0</v>
      </c>
      <c r="E4115" s="85"/>
      <c r="F4115" s="85">
        <v>468042.34</v>
      </c>
      <c r="G4115" s="85">
        <v>0</v>
      </c>
      <c r="H4115" s="85">
        <f t="shared" si="64"/>
        <v>468042.34</v>
      </c>
      <c r="I4115" s="85"/>
      <c r="K4115" s="54" t="s">
        <v>38</v>
      </c>
    </row>
    <row r="4116" spans="2:11" ht="41.25" x14ac:dyDescent="0.2">
      <c r="B4116" s="82" t="s">
        <v>6523</v>
      </c>
      <c r="C4116" s="82" t="s">
        <v>6524</v>
      </c>
      <c r="D4116" s="83">
        <f>SUMIFS(D4117:D6462,K4117:K6462,"0",B4117:B6462,"5 1 2 1 4*")-SUMIFS(E4117:E6462,K4117:K6462,"0",B4117:B6462,"5 1 2 1 4*")</f>
        <v>0</v>
      </c>
      <c r="E4116" s="54"/>
      <c r="F4116" s="83">
        <f>SUMIFS(F4117:F6462,K4117:K6462,"0",B4117:B6462,"5 1 2 1 4*")</f>
        <v>1842.35</v>
      </c>
      <c r="G4116" s="83">
        <f>SUMIFS(G4117:G6462,K4117:K6462,"0",B4117:B6462,"5 1 2 1 4*")</f>
        <v>0</v>
      </c>
      <c r="H4116" s="83">
        <f t="shared" si="64"/>
        <v>1842.35</v>
      </c>
      <c r="I4116" s="83"/>
      <c r="K4116" s="54" t="s">
        <v>15</v>
      </c>
    </row>
    <row r="4117" spans="2:11" ht="12.75" x14ac:dyDescent="0.2">
      <c r="B4117" s="82" t="s">
        <v>6525</v>
      </c>
      <c r="C4117" s="82" t="s">
        <v>26</v>
      </c>
      <c r="D4117" s="83">
        <f>SUMIFS(D4118:D6462,K4118:K6462,"0",B4118:B6462,"5 1 2 1 4 12*")-SUMIFS(E4118:E6462,K4118:K6462,"0",B4118:B6462,"5 1 2 1 4 12*")</f>
        <v>0</v>
      </c>
      <c r="E4117" s="54"/>
      <c r="F4117" s="83">
        <f>SUMIFS(F4118:F6462,K4118:K6462,"0",B4118:B6462,"5 1 2 1 4 12*")</f>
        <v>1842.35</v>
      </c>
      <c r="G4117" s="83">
        <f>SUMIFS(G4118:G6462,K4118:K6462,"0",B4118:B6462,"5 1 2 1 4 12*")</f>
        <v>0</v>
      </c>
      <c r="H4117" s="83">
        <f t="shared" si="64"/>
        <v>1842.35</v>
      </c>
      <c r="I4117" s="83"/>
      <c r="K4117" s="54" t="s">
        <v>15</v>
      </c>
    </row>
    <row r="4118" spans="2:11" ht="16.5" x14ac:dyDescent="0.2">
      <c r="B4118" s="82" t="s">
        <v>6526</v>
      </c>
      <c r="C4118" s="82" t="s">
        <v>28</v>
      </c>
      <c r="D4118" s="83">
        <f>SUMIFS(D4119:D6462,K4119:K6462,"0",B4119:B6462,"5 1 2 1 4 12 31111*")-SUMIFS(E4119:E6462,K4119:K6462,"0",B4119:B6462,"5 1 2 1 4 12 31111*")</f>
        <v>0</v>
      </c>
      <c r="E4118" s="54"/>
      <c r="F4118" s="83">
        <f>SUMIFS(F4119:F6462,K4119:K6462,"0",B4119:B6462,"5 1 2 1 4 12 31111*")</f>
        <v>1842.35</v>
      </c>
      <c r="G4118" s="83">
        <f>SUMIFS(G4119:G6462,K4119:K6462,"0",B4119:B6462,"5 1 2 1 4 12 31111*")</f>
        <v>0</v>
      </c>
      <c r="H4118" s="83">
        <f t="shared" si="64"/>
        <v>1842.35</v>
      </c>
      <c r="I4118" s="83"/>
      <c r="K4118" s="54" t="s">
        <v>15</v>
      </c>
    </row>
    <row r="4119" spans="2:11" ht="12.75" x14ac:dyDescent="0.2">
      <c r="B4119" s="82" t="s">
        <v>6527</v>
      </c>
      <c r="C4119" s="82" t="s">
        <v>30</v>
      </c>
      <c r="D4119" s="83">
        <f>SUMIFS(D4120:D6462,K4120:K6462,"0",B4120:B6462,"5 1 2 1 4 12 31111 6*")-SUMIFS(E4120:E6462,K4120:K6462,"0",B4120:B6462,"5 1 2 1 4 12 31111 6*")</f>
        <v>0</v>
      </c>
      <c r="E4119" s="54"/>
      <c r="F4119" s="83">
        <f>SUMIFS(F4120:F6462,K4120:K6462,"0",B4120:B6462,"5 1 2 1 4 12 31111 6*")</f>
        <v>1842.35</v>
      </c>
      <c r="G4119" s="83">
        <f>SUMIFS(G4120:G6462,K4120:K6462,"0",B4120:B6462,"5 1 2 1 4 12 31111 6*")</f>
        <v>0</v>
      </c>
      <c r="H4119" s="83">
        <f t="shared" si="64"/>
        <v>1842.35</v>
      </c>
      <c r="I4119" s="83"/>
      <c r="K4119" s="54" t="s">
        <v>15</v>
      </c>
    </row>
    <row r="4120" spans="2:11" ht="16.5" x14ac:dyDescent="0.2">
      <c r="B4120" s="82" t="s">
        <v>6528</v>
      </c>
      <c r="C4120" s="82" t="s">
        <v>2284</v>
      </c>
      <c r="D4120" s="83">
        <f>SUMIFS(D4121:D6462,K4121:K6462,"0",B4121:B6462,"5 1 2 1 4 12 31111 6 M59*")-SUMIFS(E4121:E6462,K4121:K6462,"0",B4121:B6462,"5 1 2 1 4 12 31111 6 M59*")</f>
        <v>0</v>
      </c>
      <c r="E4120" s="54"/>
      <c r="F4120" s="83">
        <f>SUMIFS(F4121:F6462,K4121:K6462,"0",B4121:B6462,"5 1 2 1 4 12 31111 6 M59*")</f>
        <v>1842.35</v>
      </c>
      <c r="G4120" s="83">
        <f>SUMIFS(G4121:G6462,K4121:K6462,"0",B4121:B6462,"5 1 2 1 4 12 31111 6 M59*")</f>
        <v>0</v>
      </c>
      <c r="H4120" s="83">
        <f t="shared" si="64"/>
        <v>1842.35</v>
      </c>
      <c r="I4120" s="83"/>
      <c r="K4120" s="54" t="s">
        <v>15</v>
      </c>
    </row>
    <row r="4121" spans="2:11" ht="16.5" x14ac:dyDescent="0.2">
      <c r="B4121" s="82" t="s">
        <v>6541</v>
      </c>
      <c r="C4121" s="82" t="s">
        <v>1044</v>
      </c>
      <c r="D4121" s="83">
        <f>SUMIFS(D4122:D6462,K4122:K6462,"0",B4122:B6462,"5 1 2 1 4 12 31111 6 M59 20000*")-SUMIFS(E4122:E6462,K4122:K6462,"0",B4122:B6462,"5 1 2 1 4 12 31111 6 M59 20000*")</f>
        <v>0</v>
      </c>
      <c r="E4121" s="54"/>
      <c r="F4121" s="83">
        <f>SUMIFS(F4122:F6462,K4122:K6462,"0",B4122:B6462,"5 1 2 1 4 12 31111 6 M59 20000*")</f>
        <v>1633.35</v>
      </c>
      <c r="G4121" s="83">
        <f>SUMIFS(G4122:G6462,K4122:K6462,"0",B4122:B6462,"5 1 2 1 4 12 31111 6 M59 20000*")</f>
        <v>0</v>
      </c>
      <c r="H4121" s="83">
        <f t="shared" si="64"/>
        <v>1633.35</v>
      </c>
      <c r="I4121" s="83"/>
      <c r="K4121" s="54" t="s">
        <v>15</v>
      </c>
    </row>
    <row r="4122" spans="2:11" ht="16.5" x14ac:dyDescent="0.2">
      <c r="B4122" s="82" t="s">
        <v>6542</v>
      </c>
      <c r="C4122" s="82" t="s">
        <v>648</v>
      </c>
      <c r="D4122" s="83">
        <f>SUMIFS(D4123:D6462,K4123:K6462,"0",B4123:B6462,"5 1 2 1 4 12 31111 6 M59 20000 000132*")-SUMIFS(E4123:E6462,K4123:K6462,"0",B4123:B6462,"5 1 2 1 4 12 31111 6 M59 20000 000132*")</f>
        <v>0</v>
      </c>
      <c r="E4122" s="54"/>
      <c r="F4122" s="83">
        <f>SUMIFS(F4123:F6462,K4123:K6462,"0",B4123:B6462,"5 1 2 1 4 12 31111 6 M59 20000 000132*")</f>
        <v>1633.35</v>
      </c>
      <c r="G4122" s="83">
        <f>SUMIFS(G4123:G6462,K4123:K6462,"0",B4123:B6462,"5 1 2 1 4 12 31111 6 M59 20000 000132*")</f>
        <v>0</v>
      </c>
      <c r="H4122" s="83">
        <f t="shared" si="64"/>
        <v>1633.35</v>
      </c>
      <c r="I4122" s="83"/>
      <c r="K4122" s="54" t="s">
        <v>15</v>
      </c>
    </row>
    <row r="4123" spans="2:11" ht="24.75" x14ac:dyDescent="0.2">
      <c r="B4123" s="82" t="s">
        <v>6543</v>
      </c>
      <c r="C4123" s="82" t="s">
        <v>650</v>
      </c>
      <c r="D4123" s="83">
        <f>SUMIFS(D4124:D6462,K4124:K6462,"0",B4124:B6462,"5 1 2 1 4 12 31111 6 M59 20000 000132 0000R*")-SUMIFS(E4124:E6462,K4124:K6462,"0",B4124:B6462,"5 1 2 1 4 12 31111 6 M59 20000 000132 0000R*")</f>
        <v>0</v>
      </c>
      <c r="E4123" s="54"/>
      <c r="F4123" s="83">
        <f>SUMIFS(F4124:F6462,K4124:K6462,"0",B4124:B6462,"5 1 2 1 4 12 31111 6 M59 20000 000132 0000R*")</f>
        <v>1633.35</v>
      </c>
      <c r="G4123" s="83">
        <f>SUMIFS(G4124:G6462,K4124:K6462,"0",B4124:B6462,"5 1 2 1 4 12 31111 6 M59 20000 000132 0000R*")</f>
        <v>0</v>
      </c>
      <c r="H4123" s="83">
        <f t="shared" si="64"/>
        <v>1633.35</v>
      </c>
      <c r="I4123" s="83"/>
      <c r="K4123" s="54" t="s">
        <v>15</v>
      </c>
    </row>
    <row r="4124" spans="2:11" ht="24.75" x14ac:dyDescent="0.2">
      <c r="B4124" s="82" t="s">
        <v>6544</v>
      </c>
      <c r="C4124" s="82" t="s">
        <v>282</v>
      </c>
      <c r="D4124" s="83">
        <f>SUMIFS(D4125:D6462,K4125:K6462,"0",B4125:B6462,"5 1 2 1 4 12 31111 6 M59 20000 000132 0000R 00001*")-SUMIFS(E4125:E6462,K4125:K6462,"0",B4125:B6462,"5 1 2 1 4 12 31111 6 M59 20000 000132 0000R 00001*")</f>
        <v>0</v>
      </c>
      <c r="E4124" s="54"/>
      <c r="F4124" s="83">
        <f>SUMIFS(F4125:F6462,K4125:K6462,"0",B4125:B6462,"5 1 2 1 4 12 31111 6 M59 20000 000132 0000R 00001*")</f>
        <v>1633.35</v>
      </c>
      <c r="G4124" s="83">
        <f>SUMIFS(G4125:G6462,K4125:K6462,"0",B4125:B6462,"5 1 2 1 4 12 31111 6 M59 20000 000132 0000R 00001*")</f>
        <v>0</v>
      </c>
      <c r="H4124" s="83">
        <f t="shared" si="64"/>
        <v>1633.35</v>
      </c>
      <c r="I4124" s="83"/>
      <c r="K4124" s="54" t="s">
        <v>15</v>
      </c>
    </row>
    <row r="4125" spans="2:11" ht="41.25" x14ac:dyDescent="0.2">
      <c r="B4125" s="82" t="s">
        <v>6545</v>
      </c>
      <c r="C4125" s="82" t="s">
        <v>6534</v>
      </c>
      <c r="D4125" s="83">
        <f>SUMIFS(D4126:D6462,K4126:K6462,"0",B4126:B6462,"5 1 2 1 4 12 31111 6 M59 20000 000132 0000R 00001 00214*")-SUMIFS(E4126:E6462,K4126:K6462,"0",B4126:B6462,"5 1 2 1 4 12 31111 6 M59 20000 000132 0000R 00001 00214*")</f>
        <v>0</v>
      </c>
      <c r="E4125" s="54"/>
      <c r="F4125" s="83">
        <f>SUMIFS(F4126:F6462,K4126:K6462,"0",B4126:B6462,"5 1 2 1 4 12 31111 6 M59 20000 000132 0000R 00001 00214*")</f>
        <v>1633.35</v>
      </c>
      <c r="G4125" s="83">
        <f>SUMIFS(G4126:G6462,K4126:K6462,"0",B4126:B6462,"5 1 2 1 4 12 31111 6 M59 20000 000132 0000R 00001 00214*")</f>
        <v>0</v>
      </c>
      <c r="H4125" s="83">
        <f t="shared" si="64"/>
        <v>1633.35</v>
      </c>
      <c r="I4125" s="83"/>
      <c r="K4125" s="54" t="s">
        <v>15</v>
      </c>
    </row>
    <row r="4126" spans="2:11" ht="33" x14ac:dyDescent="0.2">
      <c r="B4126" s="82" t="s">
        <v>6546</v>
      </c>
      <c r="C4126" s="82" t="s">
        <v>1051</v>
      </c>
      <c r="D4126" s="83">
        <f>SUMIFS(D4127:D6462,K4127:K6462,"0",B4127:B6462,"5 1 2 1 4 12 31111 6 M59 20000 000132 0000R 00001 00214 015*")-SUMIFS(E4127:E6462,K4127:K6462,"0",B4127:B6462,"5 1 2 1 4 12 31111 6 M59 20000 000132 0000R 00001 00214 015*")</f>
        <v>0</v>
      </c>
      <c r="E4126" s="54"/>
      <c r="F4126" s="83">
        <f>SUMIFS(F4127:F6462,K4127:K6462,"0",B4127:B6462,"5 1 2 1 4 12 31111 6 M59 20000 000132 0000R 00001 00214 015*")</f>
        <v>1633.35</v>
      </c>
      <c r="G4126" s="83">
        <f>SUMIFS(G4127:G6462,K4127:K6462,"0",B4127:B6462,"5 1 2 1 4 12 31111 6 M59 20000 000132 0000R 00001 00214 015*")</f>
        <v>0</v>
      </c>
      <c r="H4126" s="83">
        <f t="shared" si="64"/>
        <v>1633.35</v>
      </c>
      <c r="I4126" s="83"/>
      <c r="K4126" s="54" t="s">
        <v>15</v>
      </c>
    </row>
    <row r="4127" spans="2:11" ht="33" x14ac:dyDescent="0.2">
      <c r="B4127" s="82" t="s">
        <v>6547</v>
      </c>
      <c r="C4127" s="82" t="s">
        <v>5830</v>
      </c>
      <c r="D4127" s="83">
        <f>SUMIFS(D4128:D6462,K4128:K6462,"0",B4128:B6462,"5 1 2 1 4 12 31111 6 M59 20000 000132 0000R 00001 00214 015 2112000*")-SUMIFS(E4128:E6462,K4128:K6462,"0",B4128:B6462,"5 1 2 1 4 12 31111 6 M59 20000 000132 0000R 00001 00214 015 2112000*")</f>
        <v>0</v>
      </c>
      <c r="E4127" s="54"/>
      <c r="F4127" s="83">
        <f>SUMIFS(F4128:F6462,K4128:K6462,"0",B4128:B6462,"5 1 2 1 4 12 31111 6 M59 20000 000132 0000R 00001 00214 015 2112000*")</f>
        <v>1633.35</v>
      </c>
      <c r="G4127" s="83">
        <f>SUMIFS(G4128:G6462,K4128:K6462,"0",B4128:B6462,"5 1 2 1 4 12 31111 6 M59 20000 000132 0000R 00001 00214 015 2112000*")</f>
        <v>0</v>
      </c>
      <c r="H4127" s="83">
        <f t="shared" si="64"/>
        <v>1633.35</v>
      </c>
      <c r="I4127" s="83"/>
      <c r="K4127" s="54" t="s">
        <v>15</v>
      </c>
    </row>
    <row r="4128" spans="2:11" ht="33" x14ac:dyDescent="0.2">
      <c r="B4128" s="82" t="s">
        <v>6548</v>
      </c>
      <c r="C4128" s="82" t="s">
        <v>660</v>
      </c>
      <c r="D4128" s="83">
        <f>SUMIFS(D4129:D6462,K4129:K6462,"0",B4129:B6462,"5 1 2 1 4 12 31111 6 M59 20000 000132 0000R 00001 00214 015 2112000 2024*")-SUMIFS(E4129:E6462,K4129:K6462,"0",B4129:B6462,"5 1 2 1 4 12 31111 6 M59 20000 000132 0000R 00001 00214 015 2112000 2024*")</f>
        <v>0</v>
      </c>
      <c r="E4128" s="54"/>
      <c r="F4128" s="83">
        <f>SUMIFS(F4129:F6462,K4129:K6462,"0",B4129:B6462,"5 1 2 1 4 12 31111 6 M59 20000 000132 0000R 00001 00214 015 2112000 2024*")</f>
        <v>1633.35</v>
      </c>
      <c r="G4128" s="83">
        <f>SUMIFS(G4129:G6462,K4129:K6462,"0",B4129:B6462,"5 1 2 1 4 12 31111 6 M59 20000 000132 0000R 00001 00214 015 2112000 2024*")</f>
        <v>0</v>
      </c>
      <c r="H4128" s="83">
        <f t="shared" si="64"/>
        <v>1633.35</v>
      </c>
      <c r="I4128" s="83"/>
      <c r="K4128" s="54" t="s">
        <v>15</v>
      </c>
    </row>
    <row r="4129" spans="2:11" ht="41.25" x14ac:dyDescent="0.2">
      <c r="B4129" s="82" t="s">
        <v>6549</v>
      </c>
      <c r="C4129" s="82" t="s">
        <v>1056</v>
      </c>
      <c r="D4129" s="83">
        <f>SUMIFS(D4130:D6462,K4130:K6462,"0",B4130:B6462,"5 1 2 1 4 12 31111 6 M59 20000 000132 0000R 00001 00214 015 2112000 2024 CP1AF389*")-SUMIFS(E4130:E6462,K4130:K6462,"0",B4130:B6462,"5 1 2 1 4 12 31111 6 M59 20000 000132 0000R 00001 00214 015 2112000 2024 CP1AF389*")</f>
        <v>0</v>
      </c>
      <c r="E4129" s="54"/>
      <c r="F4129" s="83">
        <f>SUMIFS(F4130:F6462,K4130:K6462,"0",B4130:B6462,"5 1 2 1 4 12 31111 6 M59 20000 000132 0000R 00001 00214 015 2112000 2024 CP1AF389*")</f>
        <v>1633.35</v>
      </c>
      <c r="G4129" s="83">
        <f>SUMIFS(G4130:G6462,K4130:K6462,"0",B4130:B6462,"5 1 2 1 4 12 31111 6 M59 20000 000132 0000R 00001 00214 015 2112000 2024 CP1AF389*")</f>
        <v>0</v>
      </c>
      <c r="H4129" s="83">
        <f t="shared" si="64"/>
        <v>1633.35</v>
      </c>
      <c r="I4129" s="83"/>
      <c r="K4129" s="54" t="s">
        <v>15</v>
      </c>
    </row>
    <row r="4130" spans="2:11" ht="41.25" x14ac:dyDescent="0.2">
      <c r="B4130" s="82" t="s">
        <v>6550</v>
      </c>
      <c r="C4130" s="82" t="s">
        <v>282</v>
      </c>
      <c r="D4130" s="83">
        <f>SUMIFS(D4131:D6462,K4131:K6462,"0",B4131:B6462,"5 1 2 1 4 12 31111 6 M59 20000 000132 0000R 00001 00214 015 2112000 2024 CP1AF389 001*")-SUMIFS(E4131:E6462,K4131:K6462,"0",B4131:B6462,"5 1 2 1 4 12 31111 6 M59 20000 000132 0000R 00001 00214 015 2112000 2024 CP1AF389 001*")</f>
        <v>0</v>
      </c>
      <c r="E4130" s="54"/>
      <c r="F4130" s="83">
        <f>SUMIFS(F4131:F6462,K4131:K6462,"0",B4131:B6462,"5 1 2 1 4 12 31111 6 M59 20000 000132 0000R 00001 00214 015 2112000 2024 CP1AF389 001*")</f>
        <v>1633.35</v>
      </c>
      <c r="G4130" s="83">
        <f>SUMIFS(G4131:G6462,K4131:K6462,"0",B4131:B6462,"5 1 2 1 4 12 31111 6 M59 20000 000132 0000R 00001 00214 015 2112000 2024 CP1AF389 001*")</f>
        <v>0</v>
      </c>
      <c r="H4130" s="83">
        <f t="shared" si="64"/>
        <v>1633.35</v>
      </c>
      <c r="I4130" s="83"/>
      <c r="K4130" s="54" t="s">
        <v>15</v>
      </c>
    </row>
    <row r="4131" spans="2:11" ht="41.25" x14ac:dyDescent="0.2">
      <c r="B4131" s="84" t="s">
        <v>6551</v>
      </c>
      <c r="C4131" s="84" t="s">
        <v>6534</v>
      </c>
      <c r="D4131" s="85">
        <v>0</v>
      </c>
      <c r="E4131" s="85"/>
      <c r="F4131" s="85">
        <v>1633.35</v>
      </c>
      <c r="G4131" s="85">
        <v>0</v>
      </c>
      <c r="H4131" s="85">
        <f t="shared" si="64"/>
        <v>1633.35</v>
      </c>
      <c r="I4131" s="85"/>
      <c r="K4131" s="54" t="s">
        <v>38</v>
      </c>
    </row>
    <row r="4132" spans="2:11" ht="16.5" x14ac:dyDescent="0.2">
      <c r="B4132" s="82" t="s">
        <v>6564</v>
      </c>
      <c r="C4132" s="82" t="s">
        <v>1079</v>
      </c>
      <c r="D4132" s="83">
        <f>SUMIFS(D4133:D6462,K4133:K6462,"0",B4133:B6462,"5 1 2 1 4 12 31111 6 M59 20500*")-SUMIFS(E4133:E6462,K4133:K6462,"0",B4133:B6462,"5 1 2 1 4 12 31111 6 M59 20500*")</f>
        <v>0</v>
      </c>
      <c r="E4132" s="54"/>
      <c r="F4132" s="83">
        <f>SUMIFS(F4133:F6462,K4133:K6462,"0",B4133:B6462,"5 1 2 1 4 12 31111 6 M59 20500*")</f>
        <v>209</v>
      </c>
      <c r="G4132" s="83">
        <f>SUMIFS(G4133:G6462,K4133:K6462,"0",B4133:B6462,"5 1 2 1 4 12 31111 6 M59 20500*")</f>
        <v>0</v>
      </c>
      <c r="H4132" s="83">
        <f t="shared" si="64"/>
        <v>209</v>
      </c>
      <c r="I4132" s="83"/>
      <c r="K4132" s="54" t="s">
        <v>15</v>
      </c>
    </row>
    <row r="4133" spans="2:11" ht="16.5" x14ac:dyDescent="0.2">
      <c r="B4133" s="82" t="s">
        <v>6565</v>
      </c>
      <c r="C4133" s="82" t="s">
        <v>648</v>
      </c>
      <c r="D4133" s="83">
        <f>SUMIFS(D4134:D6462,K4134:K6462,"0",B4134:B6462,"5 1 2 1 4 12 31111 6 M59 20500 000132*")-SUMIFS(E4134:E6462,K4134:K6462,"0",B4134:B6462,"5 1 2 1 4 12 31111 6 M59 20500 000132*")</f>
        <v>0</v>
      </c>
      <c r="E4133" s="54"/>
      <c r="F4133" s="83">
        <f>SUMIFS(F4134:F6462,K4134:K6462,"0",B4134:B6462,"5 1 2 1 4 12 31111 6 M59 20500 000132*")</f>
        <v>209</v>
      </c>
      <c r="G4133" s="83">
        <f>SUMIFS(G4134:G6462,K4134:K6462,"0",B4134:B6462,"5 1 2 1 4 12 31111 6 M59 20500 000132*")</f>
        <v>0</v>
      </c>
      <c r="H4133" s="83">
        <f t="shared" si="64"/>
        <v>209</v>
      </c>
      <c r="I4133" s="83"/>
      <c r="K4133" s="54" t="s">
        <v>15</v>
      </c>
    </row>
    <row r="4134" spans="2:11" ht="24.75" x14ac:dyDescent="0.2">
      <c r="B4134" s="82" t="s">
        <v>6566</v>
      </c>
      <c r="C4134" s="82" t="s">
        <v>650</v>
      </c>
      <c r="D4134" s="83">
        <f>SUMIFS(D4135:D6462,K4135:K6462,"0",B4135:B6462,"5 1 2 1 4 12 31111 6 M59 20500 000132 0000R*")-SUMIFS(E4135:E6462,K4135:K6462,"0",B4135:B6462,"5 1 2 1 4 12 31111 6 M59 20500 000132 0000R*")</f>
        <v>0</v>
      </c>
      <c r="E4134" s="54"/>
      <c r="F4134" s="83">
        <f>SUMIFS(F4135:F6462,K4135:K6462,"0",B4135:B6462,"5 1 2 1 4 12 31111 6 M59 20500 000132 0000R*")</f>
        <v>209</v>
      </c>
      <c r="G4134" s="83">
        <f>SUMIFS(G4135:G6462,K4135:K6462,"0",B4135:B6462,"5 1 2 1 4 12 31111 6 M59 20500 000132 0000R*")</f>
        <v>0</v>
      </c>
      <c r="H4134" s="83">
        <f t="shared" si="64"/>
        <v>209</v>
      </c>
      <c r="I4134" s="83"/>
      <c r="K4134" s="54" t="s">
        <v>15</v>
      </c>
    </row>
    <row r="4135" spans="2:11" ht="24.75" x14ac:dyDescent="0.2">
      <c r="B4135" s="82" t="s">
        <v>6567</v>
      </c>
      <c r="C4135" s="82" t="s">
        <v>282</v>
      </c>
      <c r="D4135" s="83">
        <f>SUMIFS(D4136:D6462,K4136:K6462,"0",B4136:B6462,"5 1 2 1 4 12 31111 6 M59 20500 000132 0000R 00001*")-SUMIFS(E4136:E6462,K4136:K6462,"0",B4136:B6462,"5 1 2 1 4 12 31111 6 M59 20500 000132 0000R 00001*")</f>
        <v>0</v>
      </c>
      <c r="E4135" s="54"/>
      <c r="F4135" s="83">
        <f>SUMIFS(F4136:F6462,K4136:K6462,"0",B4136:B6462,"5 1 2 1 4 12 31111 6 M59 20500 000132 0000R 00001*")</f>
        <v>209</v>
      </c>
      <c r="G4135" s="83">
        <f>SUMIFS(G4136:G6462,K4136:K6462,"0",B4136:B6462,"5 1 2 1 4 12 31111 6 M59 20500 000132 0000R 00001*")</f>
        <v>0</v>
      </c>
      <c r="H4135" s="83">
        <f t="shared" si="64"/>
        <v>209</v>
      </c>
      <c r="I4135" s="83"/>
      <c r="K4135" s="54" t="s">
        <v>15</v>
      </c>
    </row>
    <row r="4136" spans="2:11" ht="41.25" x14ac:dyDescent="0.2">
      <c r="B4136" s="82" t="s">
        <v>6568</v>
      </c>
      <c r="C4136" s="82" t="s">
        <v>6534</v>
      </c>
      <c r="D4136" s="83">
        <f>SUMIFS(D4137:D6462,K4137:K6462,"0",B4137:B6462,"5 1 2 1 4 12 31111 6 M59 20500 000132 0000R 00001 00214*")-SUMIFS(E4137:E6462,K4137:K6462,"0",B4137:B6462,"5 1 2 1 4 12 31111 6 M59 20500 000132 0000R 00001 00214*")</f>
        <v>0</v>
      </c>
      <c r="E4136" s="54"/>
      <c r="F4136" s="83">
        <f>SUMIFS(F4137:F6462,K4137:K6462,"0",B4137:B6462,"5 1 2 1 4 12 31111 6 M59 20500 000132 0000R 00001 00214*")</f>
        <v>209</v>
      </c>
      <c r="G4136" s="83">
        <f>SUMIFS(G4137:G6462,K4137:K6462,"0",B4137:B6462,"5 1 2 1 4 12 31111 6 M59 20500 000132 0000R 00001 00214*")</f>
        <v>0</v>
      </c>
      <c r="H4136" s="83">
        <f t="shared" si="64"/>
        <v>209</v>
      </c>
      <c r="I4136" s="83"/>
      <c r="K4136" s="54" t="s">
        <v>15</v>
      </c>
    </row>
    <row r="4137" spans="2:11" ht="33" x14ac:dyDescent="0.2">
      <c r="B4137" s="82" t="s">
        <v>6569</v>
      </c>
      <c r="C4137" s="82" t="s">
        <v>1051</v>
      </c>
      <c r="D4137" s="83">
        <f>SUMIFS(D4138:D6462,K4138:K6462,"0",B4138:B6462,"5 1 2 1 4 12 31111 6 M59 20500 000132 0000R 00001 00214 015*")-SUMIFS(E4138:E6462,K4138:K6462,"0",B4138:B6462,"5 1 2 1 4 12 31111 6 M59 20500 000132 0000R 00001 00214 015*")</f>
        <v>0</v>
      </c>
      <c r="E4137" s="54"/>
      <c r="F4137" s="83">
        <f>SUMIFS(F4138:F6462,K4138:K6462,"0",B4138:B6462,"5 1 2 1 4 12 31111 6 M59 20500 000132 0000R 00001 00214 015*")</f>
        <v>209</v>
      </c>
      <c r="G4137" s="83">
        <f>SUMIFS(G4138:G6462,K4138:K6462,"0",B4138:B6462,"5 1 2 1 4 12 31111 6 M59 20500 000132 0000R 00001 00214 015*")</f>
        <v>0</v>
      </c>
      <c r="H4137" s="83">
        <f t="shared" si="64"/>
        <v>209</v>
      </c>
      <c r="I4137" s="83"/>
      <c r="K4137" s="54" t="s">
        <v>15</v>
      </c>
    </row>
    <row r="4138" spans="2:11" ht="33" x14ac:dyDescent="0.2">
      <c r="B4138" s="82" t="s">
        <v>6570</v>
      </c>
      <c r="C4138" s="82" t="s">
        <v>5830</v>
      </c>
      <c r="D4138" s="83">
        <f>SUMIFS(D4139:D6462,K4139:K6462,"0",B4139:B6462,"5 1 2 1 4 12 31111 6 M59 20500 000132 0000R 00001 00214 015 2112000*")-SUMIFS(E4139:E6462,K4139:K6462,"0",B4139:B6462,"5 1 2 1 4 12 31111 6 M59 20500 000132 0000R 00001 00214 015 2112000*")</f>
        <v>0</v>
      </c>
      <c r="E4138" s="54"/>
      <c r="F4138" s="83">
        <f>SUMIFS(F4139:F6462,K4139:K6462,"0",B4139:B6462,"5 1 2 1 4 12 31111 6 M59 20500 000132 0000R 00001 00214 015 2112000*")</f>
        <v>209</v>
      </c>
      <c r="G4138" s="83">
        <f>SUMIFS(G4139:G6462,K4139:K6462,"0",B4139:B6462,"5 1 2 1 4 12 31111 6 M59 20500 000132 0000R 00001 00214 015 2112000*")</f>
        <v>0</v>
      </c>
      <c r="H4138" s="83">
        <f t="shared" si="64"/>
        <v>209</v>
      </c>
      <c r="I4138" s="83"/>
      <c r="K4138" s="54" t="s">
        <v>15</v>
      </c>
    </row>
    <row r="4139" spans="2:11" ht="33" x14ac:dyDescent="0.2">
      <c r="B4139" s="82" t="s">
        <v>6571</v>
      </c>
      <c r="C4139" s="82" t="s">
        <v>660</v>
      </c>
      <c r="D4139" s="83">
        <f>SUMIFS(D4140:D6462,K4140:K6462,"0",B4140:B6462,"5 1 2 1 4 12 31111 6 M59 20500 000132 0000R 00001 00214 015 2112000 2024*")-SUMIFS(E4140:E6462,K4140:K6462,"0",B4140:B6462,"5 1 2 1 4 12 31111 6 M59 20500 000132 0000R 00001 00214 015 2112000 2024*")</f>
        <v>0</v>
      </c>
      <c r="E4139" s="54"/>
      <c r="F4139" s="83">
        <f>SUMIFS(F4140:F6462,K4140:K6462,"0",B4140:B6462,"5 1 2 1 4 12 31111 6 M59 20500 000132 0000R 00001 00214 015 2112000 2024*")</f>
        <v>209</v>
      </c>
      <c r="G4139" s="83">
        <f>SUMIFS(G4140:G6462,K4140:K6462,"0",B4140:B6462,"5 1 2 1 4 12 31111 6 M59 20500 000132 0000R 00001 00214 015 2112000 2024*")</f>
        <v>0</v>
      </c>
      <c r="H4139" s="83">
        <f t="shared" ref="H4139:H4202" si="65">D4139 + F4139 - G4139</f>
        <v>209</v>
      </c>
      <c r="I4139" s="83"/>
      <c r="K4139" s="54" t="s">
        <v>15</v>
      </c>
    </row>
    <row r="4140" spans="2:11" ht="41.25" x14ac:dyDescent="0.2">
      <c r="B4140" s="82" t="s">
        <v>6572</v>
      </c>
      <c r="C4140" s="82" t="s">
        <v>1056</v>
      </c>
      <c r="D4140" s="83">
        <f>SUMIFS(D4141:D6462,K4141:K6462,"0",B4141:B6462,"5 1 2 1 4 12 31111 6 M59 20500 000132 0000R 00001 00214 015 2112000 2024 CP1CP420*")-SUMIFS(E4141:E6462,K4141:K6462,"0",B4141:B6462,"5 1 2 1 4 12 31111 6 M59 20500 000132 0000R 00001 00214 015 2112000 2024 CP1CP420*")</f>
        <v>0</v>
      </c>
      <c r="E4140" s="54"/>
      <c r="F4140" s="83">
        <f>SUMIFS(F4141:F6462,K4141:K6462,"0",B4141:B6462,"5 1 2 1 4 12 31111 6 M59 20500 000132 0000R 00001 00214 015 2112000 2024 CP1CP420*")</f>
        <v>209</v>
      </c>
      <c r="G4140" s="83">
        <f>SUMIFS(G4141:G6462,K4141:K6462,"0",B4141:B6462,"5 1 2 1 4 12 31111 6 M59 20500 000132 0000R 00001 00214 015 2112000 2024 CP1CP420*")</f>
        <v>0</v>
      </c>
      <c r="H4140" s="83">
        <f t="shared" si="65"/>
        <v>209</v>
      </c>
      <c r="I4140" s="83"/>
      <c r="K4140" s="54" t="s">
        <v>15</v>
      </c>
    </row>
    <row r="4141" spans="2:11" ht="41.25" x14ac:dyDescent="0.2">
      <c r="B4141" s="82" t="s">
        <v>6573</v>
      </c>
      <c r="C4141" s="82" t="s">
        <v>282</v>
      </c>
      <c r="D4141" s="83">
        <f>SUMIFS(D4142:D6462,K4142:K6462,"0",B4142:B6462,"5 1 2 1 4 12 31111 6 M59 20500 000132 0000R 00001 00214 015 2112000 2024 CP1CP420 001*")-SUMIFS(E4142:E6462,K4142:K6462,"0",B4142:B6462,"5 1 2 1 4 12 31111 6 M59 20500 000132 0000R 00001 00214 015 2112000 2024 CP1CP420 001*")</f>
        <v>0</v>
      </c>
      <c r="E4141" s="54"/>
      <c r="F4141" s="83">
        <f>SUMIFS(F4142:F6462,K4142:K6462,"0",B4142:B6462,"5 1 2 1 4 12 31111 6 M59 20500 000132 0000R 00001 00214 015 2112000 2024 CP1CP420 001*")</f>
        <v>209</v>
      </c>
      <c r="G4141" s="83">
        <f>SUMIFS(G4142:G6462,K4142:K6462,"0",B4142:B6462,"5 1 2 1 4 12 31111 6 M59 20500 000132 0000R 00001 00214 015 2112000 2024 CP1CP420 001*")</f>
        <v>0</v>
      </c>
      <c r="H4141" s="83">
        <f t="shared" si="65"/>
        <v>209</v>
      </c>
      <c r="I4141" s="83"/>
      <c r="K4141" s="54" t="s">
        <v>15</v>
      </c>
    </row>
    <row r="4142" spans="2:11" ht="33" x14ac:dyDescent="0.2">
      <c r="B4142" s="84" t="s">
        <v>6574</v>
      </c>
      <c r="C4142" s="84" t="s">
        <v>6534</v>
      </c>
      <c r="D4142" s="85">
        <v>0</v>
      </c>
      <c r="E4142" s="85"/>
      <c r="F4142" s="85">
        <v>209</v>
      </c>
      <c r="G4142" s="85">
        <v>0</v>
      </c>
      <c r="H4142" s="85">
        <f t="shared" si="65"/>
        <v>209</v>
      </c>
      <c r="I4142" s="85"/>
      <c r="K4142" s="54" t="s">
        <v>38</v>
      </c>
    </row>
    <row r="4143" spans="2:11" ht="16.5" x14ac:dyDescent="0.2">
      <c r="B4143" s="82" t="s">
        <v>6608</v>
      </c>
      <c r="C4143" s="82" t="s">
        <v>6609</v>
      </c>
      <c r="D4143" s="83">
        <f>SUMIFS(D4144:D6462,K4144:K6462,"0",B4144:B6462,"5 1 2 1 5*")-SUMIFS(E4144:E6462,K4144:K6462,"0",B4144:B6462,"5 1 2 1 5*")</f>
        <v>0</v>
      </c>
      <c r="E4143" s="54"/>
      <c r="F4143" s="83">
        <f>SUMIFS(F4144:F6462,K4144:K6462,"0",B4144:B6462,"5 1 2 1 5*")</f>
        <v>4489.2</v>
      </c>
      <c r="G4143" s="83">
        <f>SUMIFS(G4144:G6462,K4144:K6462,"0",B4144:B6462,"5 1 2 1 5*")</f>
        <v>0</v>
      </c>
      <c r="H4143" s="83">
        <f t="shared" si="65"/>
        <v>4489.2</v>
      </c>
      <c r="I4143" s="83"/>
      <c r="K4143" s="54" t="s">
        <v>15</v>
      </c>
    </row>
    <row r="4144" spans="2:11" ht="12.75" x14ac:dyDescent="0.2">
      <c r="B4144" s="82" t="s">
        <v>6610</v>
      </c>
      <c r="C4144" s="82" t="s">
        <v>26</v>
      </c>
      <c r="D4144" s="83">
        <f>SUMIFS(D4145:D6462,K4145:K6462,"0",B4145:B6462,"5 1 2 1 5 12*")-SUMIFS(E4145:E6462,K4145:K6462,"0",B4145:B6462,"5 1 2 1 5 12*")</f>
        <v>0</v>
      </c>
      <c r="E4144" s="54"/>
      <c r="F4144" s="83">
        <f>SUMIFS(F4145:F6462,K4145:K6462,"0",B4145:B6462,"5 1 2 1 5 12*")</f>
        <v>4489.2</v>
      </c>
      <c r="G4144" s="83">
        <f>SUMIFS(G4145:G6462,K4145:K6462,"0",B4145:B6462,"5 1 2 1 5 12*")</f>
        <v>0</v>
      </c>
      <c r="H4144" s="83">
        <f t="shared" si="65"/>
        <v>4489.2</v>
      </c>
      <c r="I4144" s="83"/>
      <c r="K4144" s="54" t="s">
        <v>15</v>
      </c>
    </row>
    <row r="4145" spans="2:11" ht="16.5" x14ac:dyDescent="0.2">
      <c r="B4145" s="82" t="s">
        <v>6611</v>
      </c>
      <c r="C4145" s="82" t="s">
        <v>28</v>
      </c>
      <c r="D4145" s="83">
        <f>SUMIFS(D4146:D6462,K4146:K6462,"0",B4146:B6462,"5 1 2 1 5 12 31111*")-SUMIFS(E4146:E6462,K4146:K6462,"0",B4146:B6462,"5 1 2 1 5 12 31111*")</f>
        <v>0</v>
      </c>
      <c r="E4145" s="54"/>
      <c r="F4145" s="83">
        <f>SUMIFS(F4146:F6462,K4146:K6462,"0",B4146:B6462,"5 1 2 1 5 12 31111*")</f>
        <v>4489.2</v>
      </c>
      <c r="G4145" s="83">
        <f>SUMIFS(G4146:G6462,K4146:K6462,"0",B4146:B6462,"5 1 2 1 5 12 31111*")</f>
        <v>0</v>
      </c>
      <c r="H4145" s="83">
        <f t="shared" si="65"/>
        <v>4489.2</v>
      </c>
      <c r="I4145" s="83"/>
      <c r="K4145" s="54" t="s">
        <v>15</v>
      </c>
    </row>
    <row r="4146" spans="2:11" ht="12.75" x14ac:dyDescent="0.2">
      <c r="B4146" s="82" t="s">
        <v>6612</v>
      </c>
      <c r="C4146" s="82" t="s">
        <v>30</v>
      </c>
      <c r="D4146" s="83">
        <f>SUMIFS(D4147:D6462,K4147:K6462,"0",B4147:B6462,"5 1 2 1 5 12 31111 6*")-SUMIFS(E4147:E6462,K4147:K6462,"0",B4147:B6462,"5 1 2 1 5 12 31111 6*")</f>
        <v>0</v>
      </c>
      <c r="E4146" s="54"/>
      <c r="F4146" s="83">
        <f>SUMIFS(F4147:F6462,K4147:K6462,"0",B4147:B6462,"5 1 2 1 5 12 31111 6*")</f>
        <v>4489.2</v>
      </c>
      <c r="G4146" s="83">
        <f>SUMIFS(G4147:G6462,K4147:K6462,"0",B4147:B6462,"5 1 2 1 5 12 31111 6*")</f>
        <v>0</v>
      </c>
      <c r="H4146" s="83">
        <f t="shared" si="65"/>
        <v>4489.2</v>
      </c>
      <c r="I4146" s="83"/>
      <c r="K4146" s="54" t="s">
        <v>15</v>
      </c>
    </row>
    <row r="4147" spans="2:11" ht="16.5" x14ac:dyDescent="0.2">
      <c r="B4147" s="82" t="s">
        <v>6613</v>
      </c>
      <c r="C4147" s="82" t="s">
        <v>2284</v>
      </c>
      <c r="D4147" s="83">
        <f>SUMIFS(D4148:D6462,K4148:K6462,"0",B4148:B6462,"5 1 2 1 5 12 31111 6 M59*")-SUMIFS(E4148:E6462,K4148:K6462,"0",B4148:B6462,"5 1 2 1 5 12 31111 6 M59*")</f>
        <v>0</v>
      </c>
      <c r="E4147" s="54"/>
      <c r="F4147" s="83">
        <f>SUMIFS(F4148:F6462,K4148:K6462,"0",B4148:B6462,"5 1 2 1 5 12 31111 6 M59*")</f>
        <v>4489.2</v>
      </c>
      <c r="G4147" s="83">
        <f>SUMIFS(G4148:G6462,K4148:K6462,"0",B4148:B6462,"5 1 2 1 5 12 31111 6 M59*")</f>
        <v>0</v>
      </c>
      <c r="H4147" s="83">
        <f t="shared" si="65"/>
        <v>4489.2</v>
      </c>
      <c r="I4147" s="83"/>
      <c r="K4147" s="54" t="s">
        <v>15</v>
      </c>
    </row>
    <row r="4148" spans="2:11" ht="16.5" x14ac:dyDescent="0.2">
      <c r="B4148" s="82" t="s">
        <v>6626</v>
      </c>
      <c r="C4148" s="82" t="s">
        <v>3608</v>
      </c>
      <c r="D4148" s="83">
        <f>SUMIFS(D4149:D6462,K4149:K6462,"0",B4149:B6462,"5 1 2 1 5 12 31111 6 M59 91000*")-SUMIFS(E4149:E6462,K4149:K6462,"0",B4149:B6462,"5 1 2 1 5 12 31111 6 M59 91000*")</f>
        <v>0</v>
      </c>
      <c r="E4148" s="54"/>
      <c r="F4148" s="83">
        <f>SUMIFS(F4149:F6462,K4149:K6462,"0",B4149:B6462,"5 1 2 1 5 12 31111 6 M59 91000*")</f>
        <v>4489.2</v>
      </c>
      <c r="G4148" s="83">
        <f>SUMIFS(G4149:G6462,K4149:K6462,"0",B4149:B6462,"5 1 2 1 5 12 31111 6 M59 91000*")</f>
        <v>0</v>
      </c>
      <c r="H4148" s="83">
        <f t="shared" si="65"/>
        <v>4489.2</v>
      </c>
      <c r="I4148" s="83"/>
      <c r="K4148" s="54" t="s">
        <v>15</v>
      </c>
    </row>
    <row r="4149" spans="2:11" ht="16.5" x14ac:dyDescent="0.2">
      <c r="B4149" s="82" t="s">
        <v>6627</v>
      </c>
      <c r="C4149" s="82" t="s">
        <v>648</v>
      </c>
      <c r="D4149" s="83">
        <f>SUMIFS(D4150:D6462,K4150:K6462,"0",B4150:B6462,"5 1 2 1 5 12 31111 6 M59 91000 000132*")-SUMIFS(E4150:E6462,K4150:K6462,"0",B4150:B6462,"5 1 2 1 5 12 31111 6 M59 91000 000132*")</f>
        <v>0</v>
      </c>
      <c r="E4149" s="54"/>
      <c r="F4149" s="83">
        <f>SUMIFS(F4150:F6462,K4150:K6462,"0",B4150:B6462,"5 1 2 1 5 12 31111 6 M59 91000 000132*")</f>
        <v>4489.2</v>
      </c>
      <c r="G4149" s="83">
        <f>SUMIFS(G4150:G6462,K4150:K6462,"0",B4150:B6462,"5 1 2 1 5 12 31111 6 M59 91000 000132*")</f>
        <v>0</v>
      </c>
      <c r="H4149" s="83">
        <f t="shared" si="65"/>
        <v>4489.2</v>
      </c>
      <c r="I4149" s="83"/>
      <c r="K4149" s="54" t="s">
        <v>15</v>
      </c>
    </row>
    <row r="4150" spans="2:11" ht="16.5" x14ac:dyDescent="0.2">
      <c r="B4150" s="82" t="s">
        <v>6628</v>
      </c>
      <c r="C4150" s="82" t="s">
        <v>650</v>
      </c>
      <c r="D4150" s="83">
        <f>SUMIFS(D4151:D6462,K4151:K6462,"0",B4151:B6462,"5 1 2 1 5 12 31111 6 M59 91000 000132 0000R*")-SUMIFS(E4151:E6462,K4151:K6462,"0",B4151:B6462,"5 1 2 1 5 12 31111 6 M59 91000 000132 0000R*")</f>
        <v>0</v>
      </c>
      <c r="E4150" s="54"/>
      <c r="F4150" s="83">
        <f>SUMIFS(F4151:F6462,K4151:K6462,"0",B4151:B6462,"5 1 2 1 5 12 31111 6 M59 91000 000132 0000R*")</f>
        <v>4489.2</v>
      </c>
      <c r="G4150" s="83">
        <f>SUMIFS(G4151:G6462,K4151:K6462,"0",B4151:B6462,"5 1 2 1 5 12 31111 6 M59 91000 000132 0000R*")</f>
        <v>0</v>
      </c>
      <c r="H4150" s="83">
        <f t="shared" si="65"/>
        <v>4489.2</v>
      </c>
      <c r="I4150" s="83"/>
      <c r="K4150" s="54" t="s">
        <v>15</v>
      </c>
    </row>
    <row r="4151" spans="2:11" ht="24.75" x14ac:dyDescent="0.2">
      <c r="B4151" s="82" t="s">
        <v>6629</v>
      </c>
      <c r="C4151" s="82" t="s">
        <v>282</v>
      </c>
      <c r="D4151" s="83">
        <f>SUMIFS(D4152:D6462,K4152:K6462,"0",B4152:B6462,"5 1 2 1 5 12 31111 6 M59 91000 000132 0000R 00001*")-SUMIFS(E4152:E6462,K4152:K6462,"0",B4152:B6462,"5 1 2 1 5 12 31111 6 M59 91000 000132 0000R 00001*")</f>
        <v>0</v>
      </c>
      <c r="E4151" s="54"/>
      <c r="F4151" s="83">
        <f>SUMIFS(F4152:F6462,K4152:K6462,"0",B4152:B6462,"5 1 2 1 5 12 31111 6 M59 91000 000132 0000R 00001*")</f>
        <v>4489.2</v>
      </c>
      <c r="G4151" s="83">
        <f>SUMIFS(G4152:G6462,K4152:K6462,"0",B4152:B6462,"5 1 2 1 5 12 31111 6 M59 91000 000132 0000R 00001*")</f>
        <v>0</v>
      </c>
      <c r="H4151" s="83">
        <f t="shared" si="65"/>
        <v>4489.2</v>
      </c>
      <c r="I4151" s="83"/>
      <c r="K4151" s="54" t="s">
        <v>15</v>
      </c>
    </row>
    <row r="4152" spans="2:11" ht="24.75" x14ac:dyDescent="0.2">
      <c r="B4152" s="82" t="s">
        <v>6630</v>
      </c>
      <c r="C4152" s="82" t="s">
        <v>6619</v>
      </c>
      <c r="D4152" s="83">
        <f>SUMIFS(D4153:D6462,K4153:K6462,"0",B4153:B6462,"5 1 2 1 5 12 31111 6 M59 91000 000132 0000R 00001 00215*")-SUMIFS(E4153:E6462,K4153:K6462,"0",B4153:B6462,"5 1 2 1 5 12 31111 6 M59 91000 000132 0000R 00001 00215*")</f>
        <v>0</v>
      </c>
      <c r="E4152" s="54"/>
      <c r="F4152" s="83">
        <f>SUMIFS(F4153:F6462,K4153:K6462,"0",B4153:B6462,"5 1 2 1 5 12 31111 6 M59 91000 000132 0000R 00001 00215*")</f>
        <v>4489.2</v>
      </c>
      <c r="G4152" s="83">
        <f>SUMIFS(G4153:G6462,K4153:K6462,"0",B4153:B6462,"5 1 2 1 5 12 31111 6 M59 91000 000132 0000R 00001 00215*")</f>
        <v>0</v>
      </c>
      <c r="H4152" s="83">
        <f t="shared" si="65"/>
        <v>4489.2</v>
      </c>
      <c r="I4152" s="83"/>
      <c r="K4152" s="54" t="s">
        <v>15</v>
      </c>
    </row>
    <row r="4153" spans="2:11" ht="24.75" x14ac:dyDescent="0.2">
      <c r="B4153" s="82" t="s">
        <v>6631</v>
      </c>
      <c r="C4153" s="82" t="s">
        <v>1051</v>
      </c>
      <c r="D4153" s="83">
        <f>SUMIFS(D4154:D6462,K4154:K6462,"0",B4154:B6462,"5 1 2 1 5 12 31111 6 M59 91000 000132 0000R 00001 00215 015*")-SUMIFS(E4154:E6462,K4154:K6462,"0",B4154:B6462,"5 1 2 1 5 12 31111 6 M59 91000 000132 0000R 00001 00215 015*")</f>
        <v>0</v>
      </c>
      <c r="E4153" s="54"/>
      <c r="F4153" s="83">
        <f>SUMIFS(F4154:F6462,K4154:K6462,"0",B4154:B6462,"5 1 2 1 5 12 31111 6 M59 91000 000132 0000R 00001 00215 015*")</f>
        <v>4489.2</v>
      </c>
      <c r="G4153" s="83">
        <f>SUMIFS(G4154:G6462,K4154:K6462,"0",B4154:B6462,"5 1 2 1 5 12 31111 6 M59 91000 000132 0000R 00001 00215 015*")</f>
        <v>0</v>
      </c>
      <c r="H4153" s="83">
        <f t="shared" si="65"/>
        <v>4489.2</v>
      </c>
      <c r="I4153" s="83"/>
      <c r="K4153" s="54" t="s">
        <v>15</v>
      </c>
    </row>
    <row r="4154" spans="2:11" ht="33" x14ac:dyDescent="0.2">
      <c r="B4154" s="82" t="s">
        <v>6632</v>
      </c>
      <c r="C4154" s="82" t="s">
        <v>5830</v>
      </c>
      <c r="D4154" s="83">
        <f>SUMIFS(D4155:D6462,K4155:K6462,"0",B4155:B6462,"5 1 2 1 5 12 31111 6 M59 91000 000132 0000R 00001 00215 015 2112000*")-SUMIFS(E4155:E6462,K4155:K6462,"0",B4155:B6462,"5 1 2 1 5 12 31111 6 M59 91000 000132 0000R 00001 00215 015 2112000*")</f>
        <v>0</v>
      </c>
      <c r="E4154" s="54"/>
      <c r="F4154" s="83">
        <f>SUMIFS(F4155:F6462,K4155:K6462,"0",B4155:B6462,"5 1 2 1 5 12 31111 6 M59 91000 000132 0000R 00001 00215 015 2112000*")</f>
        <v>4489.2</v>
      </c>
      <c r="G4154" s="83">
        <f>SUMIFS(G4155:G6462,K4155:K6462,"0",B4155:B6462,"5 1 2 1 5 12 31111 6 M59 91000 000132 0000R 00001 00215 015 2112000*")</f>
        <v>0</v>
      </c>
      <c r="H4154" s="83">
        <f t="shared" si="65"/>
        <v>4489.2</v>
      </c>
      <c r="I4154" s="83"/>
      <c r="K4154" s="54" t="s">
        <v>15</v>
      </c>
    </row>
    <row r="4155" spans="2:11" ht="33" x14ac:dyDescent="0.2">
      <c r="B4155" s="82" t="s">
        <v>6633</v>
      </c>
      <c r="C4155" s="82" t="s">
        <v>660</v>
      </c>
      <c r="D4155" s="83">
        <f>SUMIFS(D4156:D6462,K4156:K6462,"0",B4156:B6462,"5 1 2 1 5 12 31111 6 M59 91000 000132 0000R 00001 00215 015 2112000 2024*")-SUMIFS(E4156:E6462,K4156:K6462,"0",B4156:B6462,"5 1 2 1 5 12 31111 6 M59 91000 000132 0000R 00001 00215 015 2112000 2024*")</f>
        <v>0</v>
      </c>
      <c r="E4155" s="54"/>
      <c r="F4155" s="83">
        <f>SUMIFS(F4156:F6462,K4156:K6462,"0",B4156:B6462,"5 1 2 1 5 12 31111 6 M59 91000 000132 0000R 00001 00215 015 2112000 2024*")</f>
        <v>4489.2</v>
      </c>
      <c r="G4155" s="83">
        <f>SUMIFS(G4156:G6462,K4156:K6462,"0",B4156:B6462,"5 1 2 1 5 12 31111 6 M59 91000 000132 0000R 00001 00215 015 2112000 2024*")</f>
        <v>0</v>
      </c>
      <c r="H4155" s="83">
        <f t="shared" si="65"/>
        <v>4489.2</v>
      </c>
      <c r="I4155" s="83"/>
      <c r="K4155" s="54" t="s">
        <v>15</v>
      </c>
    </row>
    <row r="4156" spans="2:11" ht="41.25" x14ac:dyDescent="0.2">
      <c r="B4156" s="82" t="s">
        <v>6634</v>
      </c>
      <c r="C4156" s="82" t="s">
        <v>1056</v>
      </c>
      <c r="D4156" s="83">
        <f>SUMIFS(D4157:D6462,K4157:K6462,"0",B4157:B6462,"5 1 2 1 5 12 31111 6 M59 91000 000132 0000R 00001 00215 015 2112000 2024 CP1RE398*")-SUMIFS(E4157:E6462,K4157:K6462,"0",B4157:B6462,"5 1 2 1 5 12 31111 6 M59 91000 000132 0000R 00001 00215 015 2112000 2024 CP1RE398*")</f>
        <v>0</v>
      </c>
      <c r="E4156" s="54"/>
      <c r="F4156" s="83">
        <f>SUMIFS(F4157:F6462,K4157:K6462,"0",B4157:B6462,"5 1 2 1 5 12 31111 6 M59 91000 000132 0000R 00001 00215 015 2112000 2024 CP1RE398*")</f>
        <v>4489.2</v>
      </c>
      <c r="G4156" s="83">
        <f>SUMIFS(G4157:G6462,K4157:K6462,"0",B4157:B6462,"5 1 2 1 5 12 31111 6 M59 91000 000132 0000R 00001 00215 015 2112000 2024 CP1RE398*")</f>
        <v>0</v>
      </c>
      <c r="H4156" s="83">
        <f t="shared" si="65"/>
        <v>4489.2</v>
      </c>
      <c r="I4156" s="83"/>
      <c r="K4156" s="54" t="s">
        <v>15</v>
      </c>
    </row>
    <row r="4157" spans="2:11" ht="41.25" x14ac:dyDescent="0.2">
      <c r="B4157" s="82" t="s">
        <v>6635</v>
      </c>
      <c r="C4157" s="82" t="s">
        <v>282</v>
      </c>
      <c r="D4157" s="83">
        <f>SUMIFS(D4158:D6462,K4158:K6462,"0",B4158:B6462,"5 1 2 1 5 12 31111 6 M59 91000 000132 0000R 00001 00215 015 2112000 2024 CP1RE398 001*")-SUMIFS(E4158:E6462,K4158:K6462,"0",B4158:B6462,"5 1 2 1 5 12 31111 6 M59 91000 000132 0000R 00001 00215 015 2112000 2024 CP1RE398 001*")</f>
        <v>0</v>
      </c>
      <c r="E4157" s="54"/>
      <c r="F4157" s="83">
        <f>SUMIFS(F4158:F6462,K4158:K6462,"0",B4158:B6462,"5 1 2 1 5 12 31111 6 M59 91000 000132 0000R 00001 00215 015 2112000 2024 CP1RE398 001*")</f>
        <v>4489.2</v>
      </c>
      <c r="G4157" s="83">
        <f>SUMIFS(G4158:G6462,K4158:K6462,"0",B4158:B6462,"5 1 2 1 5 12 31111 6 M59 91000 000132 0000R 00001 00215 015 2112000 2024 CP1RE398 001*")</f>
        <v>0</v>
      </c>
      <c r="H4157" s="83">
        <f t="shared" si="65"/>
        <v>4489.2</v>
      </c>
      <c r="I4157" s="83"/>
      <c r="K4157" s="54" t="s">
        <v>15</v>
      </c>
    </row>
    <row r="4158" spans="2:11" ht="33" x14ac:dyDescent="0.2">
      <c r="B4158" s="84" t="s">
        <v>6636</v>
      </c>
      <c r="C4158" s="84" t="s">
        <v>6619</v>
      </c>
      <c r="D4158" s="85">
        <v>0</v>
      </c>
      <c r="E4158" s="85"/>
      <c r="F4158" s="85">
        <v>4489.2</v>
      </c>
      <c r="G4158" s="85">
        <v>0</v>
      </c>
      <c r="H4158" s="85">
        <f t="shared" si="65"/>
        <v>4489.2</v>
      </c>
      <c r="I4158" s="85"/>
      <c r="K4158" s="54" t="s">
        <v>38</v>
      </c>
    </row>
    <row r="4159" spans="2:11" ht="12.75" x14ac:dyDescent="0.2">
      <c r="B4159" s="82" t="s">
        <v>6637</v>
      </c>
      <c r="C4159" s="82" t="s">
        <v>6638</v>
      </c>
      <c r="D4159" s="83">
        <f>SUMIFS(D4160:D6462,K4160:K6462,"0",B4160:B6462,"5 1 2 1 6*")-SUMIFS(E4160:E6462,K4160:K6462,"0",B4160:B6462,"5 1 2 1 6*")</f>
        <v>0</v>
      </c>
      <c r="E4159" s="54"/>
      <c r="F4159" s="83">
        <f>SUMIFS(F4160:F6462,K4160:K6462,"0",B4160:B6462,"5 1 2 1 6*")</f>
        <v>22458895.619999997</v>
      </c>
      <c r="G4159" s="83">
        <f>SUMIFS(G4160:G6462,K4160:K6462,"0",B4160:B6462,"5 1 2 1 6*")</f>
        <v>0</v>
      </c>
      <c r="H4159" s="83">
        <f t="shared" si="65"/>
        <v>22458895.619999997</v>
      </c>
      <c r="I4159" s="83"/>
      <c r="K4159" s="54" t="s">
        <v>15</v>
      </c>
    </row>
    <row r="4160" spans="2:11" ht="12.75" x14ac:dyDescent="0.2">
      <c r="B4160" s="82" t="s">
        <v>6639</v>
      </c>
      <c r="C4160" s="82" t="s">
        <v>26</v>
      </c>
      <c r="D4160" s="83">
        <f>SUMIFS(D4161:D6462,K4161:K6462,"0",B4161:B6462,"5 1 2 1 6 12*")-SUMIFS(E4161:E6462,K4161:K6462,"0",B4161:B6462,"5 1 2 1 6 12*")</f>
        <v>0</v>
      </c>
      <c r="E4160" s="54"/>
      <c r="F4160" s="83">
        <f>SUMIFS(F4161:F6462,K4161:K6462,"0",B4161:B6462,"5 1 2 1 6 12*")</f>
        <v>22458895.619999997</v>
      </c>
      <c r="G4160" s="83">
        <f>SUMIFS(G4161:G6462,K4161:K6462,"0",B4161:B6462,"5 1 2 1 6 12*")</f>
        <v>0</v>
      </c>
      <c r="H4160" s="83">
        <f t="shared" si="65"/>
        <v>22458895.619999997</v>
      </c>
      <c r="I4160" s="83"/>
      <c r="K4160" s="54" t="s">
        <v>15</v>
      </c>
    </row>
    <row r="4161" spans="2:11" ht="16.5" x14ac:dyDescent="0.2">
      <c r="B4161" s="82" t="s">
        <v>6640</v>
      </c>
      <c r="C4161" s="82" t="s">
        <v>28</v>
      </c>
      <c r="D4161" s="83">
        <f>SUMIFS(D4162:D6462,K4162:K6462,"0",B4162:B6462,"5 1 2 1 6 12 31111*")-SUMIFS(E4162:E6462,K4162:K6462,"0",B4162:B6462,"5 1 2 1 6 12 31111*")</f>
        <v>0</v>
      </c>
      <c r="E4161" s="54"/>
      <c r="F4161" s="83">
        <f>SUMIFS(F4162:F6462,K4162:K6462,"0",B4162:B6462,"5 1 2 1 6 12 31111*")</f>
        <v>22458895.619999997</v>
      </c>
      <c r="G4161" s="83">
        <f>SUMIFS(G4162:G6462,K4162:K6462,"0",B4162:B6462,"5 1 2 1 6 12 31111*")</f>
        <v>0</v>
      </c>
      <c r="H4161" s="83">
        <f t="shared" si="65"/>
        <v>22458895.619999997</v>
      </c>
      <c r="I4161" s="83"/>
      <c r="K4161" s="54" t="s">
        <v>15</v>
      </c>
    </row>
    <row r="4162" spans="2:11" ht="12.75" x14ac:dyDescent="0.2">
      <c r="B4162" s="82" t="s">
        <v>6641</v>
      </c>
      <c r="C4162" s="82" t="s">
        <v>30</v>
      </c>
      <c r="D4162" s="83">
        <f>SUMIFS(D4163:D6462,K4163:K6462,"0",B4163:B6462,"5 1 2 1 6 12 31111 6*")-SUMIFS(E4163:E6462,K4163:K6462,"0",B4163:B6462,"5 1 2 1 6 12 31111 6*")</f>
        <v>0</v>
      </c>
      <c r="E4162" s="54"/>
      <c r="F4162" s="83">
        <f>SUMIFS(F4163:F6462,K4163:K6462,"0",B4163:B6462,"5 1 2 1 6 12 31111 6*")</f>
        <v>22458895.619999997</v>
      </c>
      <c r="G4162" s="83">
        <f>SUMIFS(G4163:G6462,K4163:K6462,"0",B4163:B6462,"5 1 2 1 6 12 31111 6*")</f>
        <v>0</v>
      </c>
      <c r="H4162" s="83">
        <f t="shared" si="65"/>
        <v>22458895.619999997</v>
      </c>
      <c r="I4162" s="83"/>
      <c r="K4162" s="54" t="s">
        <v>15</v>
      </c>
    </row>
    <row r="4163" spans="2:11" ht="16.5" x14ac:dyDescent="0.2">
      <c r="B4163" s="82" t="s">
        <v>6642</v>
      </c>
      <c r="C4163" s="82" t="s">
        <v>2284</v>
      </c>
      <c r="D4163" s="83">
        <f>SUMIFS(D4164:D6462,K4164:K6462,"0",B4164:B6462,"5 1 2 1 6 12 31111 6 M59*")-SUMIFS(E4164:E6462,K4164:K6462,"0",B4164:B6462,"5 1 2 1 6 12 31111 6 M59*")</f>
        <v>0</v>
      </c>
      <c r="E4163" s="54"/>
      <c r="F4163" s="83">
        <f>SUMIFS(F4164:F6462,K4164:K6462,"0",B4164:B6462,"5 1 2 1 6 12 31111 6 M59*")</f>
        <v>22458895.619999997</v>
      </c>
      <c r="G4163" s="83">
        <f>SUMIFS(G4164:G6462,K4164:K6462,"0",B4164:B6462,"5 1 2 1 6 12 31111 6 M59*")</f>
        <v>0</v>
      </c>
      <c r="H4163" s="83">
        <f t="shared" si="65"/>
        <v>22458895.619999997</v>
      </c>
      <c r="I4163" s="83"/>
      <c r="K4163" s="54" t="s">
        <v>15</v>
      </c>
    </row>
    <row r="4164" spans="2:11" ht="16.5" x14ac:dyDescent="0.2">
      <c r="B4164" s="82" t="s">
        <v>6643</v>
      </c>
      <c r="C4164" s="82" t="s">
        <v>1044</v>
      </c>
      <c r="D4164" s="83">
        <f>SUMIFS(D4165:D6462,K4165:K6462,"0",B4165:B6462,"5 1 2 1 6 12 31111 6 M59 19000*")-SUMIFS(E4165:E6462,K4165:K6462,"0",B4165:B6462,"5 1 2 1 6 12 31111 6 M59 19000*")</f>
        <v>0</v>
      </c>
      <c r="E4164" s="54"/>
      <c r="F4164" s="83">
        <f>SUMIFS(F4165:F6462,K4165:K6462,"0",B4165:B6462,"5 1 2 1 6 12 31111 6 M59 19000*")</f>
        <v>40066.28</v>
      </c>
      <c r="G4164" s="83">
        <f>SUMIFS(G4165:G6462,K4165:K6462,"0",B4165:B6462,"5 1 2 1 6 12 31111 6 M59 19000*")</f>
        <v>0</v>
      </c>
      <c r="H4164" s="83">
        <f t="shared" si="65"/>
        <v>40066.28</v>
      </c>
      <c r="I4164" s="83"/>
      <c r="K4164" s="54" t="s">
        <v>15</v>
      </c>
    </row>
    <row r="4165" spans="2:11" ht="16.5" x14ac:dyDescent="0.2">
      <c r="B4165" s="82" t="s">
        <v>6644</v>
      </c>
      <c r="C4165" s="82" t="s">
        <v>648</v>
      </c>
      <c r="D4165" s="83">
        <f>SUMIFS(D4166:D6462,K4166:K6462,"0",B4166:B6462,"5 1 2 1 6 12 31111 6 M59 19000 000132*")-SUMIFS(E4166:E6462,K4166:K6462,"0",B4166:B6462,"5 1 2 1 6 12 31111 6 M59 19000 000132*")</f>
        <v>0</v>
      </c>
      <c r="E4165" s="54"/>
      <c r="F4165" s="83">
        <f>SUMIFS(F4166:F6462,K4166:K6462,"0",B4166:B6462,"5 1 2 1 6 12 31111 6 M59 19000 000132*")</f>
        <v>40066.28</v>
      </c>
      <c r="G4165" s="83">
        <f>SUMIFS(G4166:G6462,K4166:K6462,"0",B4166:B6462,"5 1 2 1 6 12 31111 6 M59 19000 000132*")</f>
        <v>0</v>
      </c>
      <c r="H4165" s="83">
        <f t="shared" si="65"/>
        <v>40066.28</v>
      </c>
      <c r="I4165" s="83"/>
      <c r="K4165" s="54" t="s">
        <v>15</v>
      </c>
    </row>
    <row r="4166" spans="2:11" ht="24.75" x14ac:dyDescent="0.2">
      <c r="B4166" s="82" t="s">
        <v>6645</v>
      </c>
      <c r="C4166" s="82" t="s">
        <v>650</v>
      </c>
      <c r="D4166" s="83">
        <f>SUMIFS(D4167:D6462,K4167:K6462,"0",B4167:B6462,"5 1 2 1 6 12 31111 6 M59 19000 000132 0000R*")-SUMIFS(E4167:E6462,K4167:K6462,"0",B4167:B6462,"5 1 2 1 6 12 31111 6 M59 19000 000132 0000R*")</f>
        <v>0</v>
      </c>
      <c r="E4166" s="54"/>
      <c r="F4166" s="83">
        <f>SUMIFS(F4167:F6462,K4167:K6462,"0",B4167:B6462,"5 1 2 1 6 12 31111 6 M59 19000 000132 0000R*")</f>
        <v>40066.28</v>
      </c>
      <c r="G4166" s="83">
        <f>SUMIFS(G4167:G6462,K4167:K6462,"0",B4167:B6462,"5 1 2 1 6 12 31111 6 M59 19000 000132 0000R*")</f>
        <v>0</v>
      </c>
      <c r="H4166" s="83">
        <f t="shared" si="65"/>
        <v>40066.28</v>
      </c>
      <c r="I4166" s="83"/>
      <c r="K4166" s="54" t="s">
        <v>15</v>
      </c>
    </row>
    <row r="4167" spans="2:11" ht="24.75" x14ac:dyDescent="0.2">
      <c r="B4167" s="82" t="s">
        <v>6646</v>
      </c>
      <c r="C4167" s="82" t="s">
        <v>282</v>
      </c>
      <c r="D4167" s="83">
        <f>SUMIFS(D4168:D6462,K4168:K6462,"0",B4168:B6462,"5 1 2 1 6 12 31111 6 M59 19000 000132 0000R 00001*")-SUMIFS(E4168:E6462,K4168:K6462,"0",B4168:B6462,"5 1 2 1 6 12 31111 6 M59 19000 000132 0000R 00001*")</f>
        <v>0</v>
      </c>
      <c r="E4167" s="54"/>
      <c r="F4167" s="83">
        <f>SUMIFS(F4168:F6462,K4168:K6462,"0",B4168:B6462,"5 1 2 1 6 12 31111 6 M59 19000 000132 0000R 00001*")</f>
        <v>40066.28</v>
      </c>
      <c r="G4167" s="83">
        <f>SUMIFS(G4168:G6462,K4168:K6462,"0",B4168:B6462,"5 1 2 1 6 12 31111 6 M59 19000 000132 0000R 00001*")</f>
        <v>0</v>
      </c>
      <c r="H4167" s="83">
        <f t="shared" si="65"/>
        <v>40066.28</v>
      </c>
      <c r="I4167" s="83"/>
      <c r="K4167" s="54" t="s">
        <v>15</v>
      </c>
    </row>
    <row r="4168" spans="2:11" ht="24.75" x14ac:dyDescent="0.2">
      <c r="B4168" s="82" t="s">
        <v>6647</v>
      </c>
      <c r="C4168" s="82" t="s">
        <v>6648</v>
      </c>
      <c r="D4168" s="83">
        <f>SUMIFS(D4169:D6462,K4169:K6462,"0",B4169:B6462,"5 1 2 1 6 12 31111 6 M59 19000 000132 0000R 00001 00216*")-SUMIFS(E4169:E6462,K4169:K6462,"0",B4169:B6462,"5 1 2 1 6 12 31111 6 M59 19000 000132 0000R 00001 00216*")</f>
        <v>0</v>
      </c>
      <c r="E4168" s="54"/>
      <c r="F4168" s="83">
        <f>SUMIFS(F4169:F6462,K4169:K6462,"0",B4169:B6462,"5 1 2 1 6 12 31111 6 M59 19000 000132 0000R 00001 00216*")</f>
        <v>40066.28</v>
      </c>
      <c r="G4168" s="83">
        <f>SUMIFS(G4169:G6462,K4169:K6462,"0",B4169:B6462,"5 1 2 1 6 12 31111 6 M59 19000 000132 0000R 00001 00216*")</f>
        <v>0</v>
      </c>
      <c r="H4168" s="83">
        <f t="shared" si="65"/>
        <v>40066.28</v>
      </c>
      <c r="I4168" s="83"/>
      <c r="K4168" s="54" t="s">
        <v>15</v>
      </c>
    </row>
    <row r="4169" spans="2:11" ht="33" x14ac:dyDescent="0.2">
      <c r="B4169" s="82" t="s">
        <v>6655</v>
      </c>
      <c r="C4169" s="82" t="s">
        <v>1051</v>
      </c>
      <c r="D4169" s="83">
        <f>SUMIFS(D4170:D6462,K4170:K6462,"0",B4170:B6462,"5 1 2 1 6 12 31111 6 M59 19000 000132 0000R 00001 00216 015*")-SUMIFS(E4170:E6462,K4170:K6462,"0",B4170:B6462,"5 1 2 1 6 12 31111 6 M59 19000 000132 0000R 00001 00216 015*")</f>
        <v>0</v>
      </c>
      <c r="E4169" s="54"/>
      <c r="F4169" s="83">
        <f>SUMIFS(F4170:F6462,K4170:K6462,"0",B4170:B6462,"5 1 2 1 6 12 31111 6 M59 19000 000132 0000R 00001 00216 015*")</f>
        <v>40066.28</v>
      </c>
      <c r="G4169" s="83">
        <f>SUMIFS(G4170:G6462,K4170:K6462,"0",B4170:B6462,"5 1 2 1 6 12 31111 6 M59 19000 000132 0000R 00001 00216 015*")</f>
        <v>0</v>
      </c>
      <c r="H4169" s="83">
        <f t="shared" si="65"/>
        <v>40066.28</v>
      </c>
      <c r="I4169" s="83"/>
      <c r="K4169" s="54" t="s">
        <v>15</v>
      </c>
    </row>
    <row r="4170" spans="2:11" ht="33" x14ac:dyDescent="0.2">
      <c r="B4170" s="82" t="s">
        <v>6656</v>
      </c>
      <c r="C4170" s="82" t="s">
        <v>5830</v>
      </c>
      <c r="D4170" s="83">
        <f>SUMIFS(D4171:D6462,K4171:K6462,"0",B4171:B6462,"5 1 2 1 6 12 31111 6 M59 19000 000132 0000R 00001 00216 015 2112000*")-SUMIFS(E4171:E6462,K4171:K6462,"0",B4171:B6462,"5 1 2 1 6 12 31111 6 M59 19000 000132 0000R 00001 00216 015 2112000*")</f>
        <v>0</v>
      </c>
      <c r="E4170" s="54"/>
      <c r="F4170" s="83">
        <f>SUMIFS(F4171:F6462,K4171:K6462,"0",B4171:B6462,"5 1 2 1 6 12 31111 6 M59 19000 000132 0000R 00001 00216 015 2112000*")</f>
        <v>40066.28</v>
      </c>
      <c r="G4170" s="83">
        <f>SUMIFS(G4171:G6462,K4171:K6462,"0",B4171:B6462,"5 1 2 1 6 12 31111 6 M59 19000 000132 0000R 00001 00216 015 2112000*")</f>
        <v>0</v>
      </c>
      <c r="H4170" s="83">
        <f t="shared" si="65"/>
        <v>40066.28</v>
      </c>
      <c r="I4170" s="83"/>
      <c r="K4170" s="54" t="s">
        <v>15</v>
      </c>
    </row>
    <row r="4171" spans="2:11" ht="33" x14ac:dyDescent="0.2">
      <c r="B4171" s="82" t="s">
        <v>6657</v>
      </c>
      <c r="C4171" s="82" t="s">
        <v>660</v>
      </c>
      <c r="D4171" s="83">
        <f>SUMIFS(D4172:D6462,K4172:K6462,"0",B4172:B6462,"5 1 2 1 6 12 31111 6 M59 19000 000132 0000R 00001 00216 015 2112000 2024*")-SUMIFS(E4172:E6462,K4172:K6462,"0",B4172:B6462,"5 1 2 1 6 12 31111 6 M59 19000 000132 0000R 00001 00216 015 2112000 2024*")</f>
        <v>0</v>
      </c>
      <c r="E4171" s="54"/>
      <c r="F4171" s="83">
        <f>SUMIFS(F4172:F6462,K4172:K6462,"0",B4172:B6462,"5 1 2 1 6 12 31111 6 M59 19000 000132 0000R 00001 00216 015 2112000 2024*")</f>
        <v>40066.28</v>
      </c>
      <c r="G4171" s="83">
        <f>SUMIFS(G4172:G6462,K4172:K6462,"0",B4172:B6462,"5 1 2 1 6 12 31111 6 M59 19000 000132 0000R 00001 00216 015 2112000 2024*")</f>
        <v>0</v>
      </c>
      <c r="H4171" s="83">
        <f t="shared" si="65"/>
        <v>40066.28</v>
      </c>
      <c r="I4171" s="83"/>
      <c r="K4171" s="54" t="s">
        <v>15</v>
      </c>
    </row>
    <row r="4172" spans="2:11" ht="41.25" x14ac:dyDescent="0.2">
      <c r="B4172" s="82" t="s">
        <v>6658</v>
      </c>
      <c r="C4172" s="82" t="s">
        <v>662</v>
      </c>
      <c r="D4172" s="83">
        <f>SUMIFS(D4173:D6462,K4173:K6462,"0",B4173:B6462,"5 1 2 1 6 12 31111 6 M59 19000 000132 0000R 00001 00216 015 2112000 2024 CP1TM440*")-SUMIFS(E4173:E6462,K4173:K6462,"0",B4173:B6462,"5 1 2 1 6 12 31111 6 M59 19000 000132 0000R 00001 00216 015 2112000 2024 CP1TM440*")</f>
        <v>0</v>
      </c>
      <c r="E4172" s="54"/>
      <c r="F4172" s="83">
        <f>SUMIFS(F4173:F6462,K4173:K6462,"0",B4173:B6462,"5 1 2 1 6 12 31111 6 M59 19000 000132 0000R 00001 00216 015 2112000 2024 CP1TM440*")</f>
        <v>40066.28</v>
      </c>
      <c r="G4172" s="83">
        <f>SUMIFS(G4173:G6462,K4173:K6462,"0",B4173:B6462,"5 1 2 1 6 12 31111 6 M59 19000 000132 0000R 00001 00216 015 2112000 2024 CP1TM440*")</f>
        <v>0</v>
      </c>
      <c r="H4172" s="83">
        <f t="shared" si="65"/>
        <v>40066.28</v>
      </c>
      <c r="I4172" s="83"/>
      <c r="K4172" s="54" t="s">
        <v>15</v>
      </c>
    </row>
    <row r="4173" spans="2:11" ht="41.25" x14ac:dyDescent="0.2">
      <c r="B4173" s="82" t="s">
        <v>6659</v>
      </c>
      <c r="C4173" s="82" t="s">
        <v>282</v>
      </c>
      <c r="D4173" s="83">
        <f>SUMIFS(D4174:D6462,K4174:K6462,"0",B4174:B6462,"5 1 2 1 6 12 31111 6 M59 19000 000132 0000R 00001 00216 015 2112000 2024 CP1TM440 001*")-SUMIFS(E4174:E6462,K4174:K6462,"0",B4174:B6462,"5 1 2 1 6 12 31111 6 M59 19000 000132 0000R 00001 00216 015 2112000 2024 CP1TM440 001*")</f>
        <v>0</v>
      </c>
      <c r="E4173" s="54"/>
      <c r="F4173" s="83">
        <f>SUMIFS(F4174:F6462,K4174:K6462,"0",B4174:B6462,"5 1 2 1 6 12 31111 6 M59 19000 000132 0000R 00001 00216 015 2112000 2024 CP1TM440 001*")</f>
        <v>40066.28</v>
      </c>
      <c r="G4173" s="83">
        <f>SUMIFS(G4174:G6462,K4174:K6462,"0",B4174:B6462,"5 1 2 1 6 12 31111 6 M59 19000 000132 0000R 00001 00216 015 2112000 2024 CP1TM440 001*")</f>
        <v>0</v>
      </c>
      <c r="H4173" s="83">
        <f t="shared" si="65"/>
        <v>40066.28</v>
      </c>
      <c r="I4173" s="83"/>
      <c r="K4173" s="54" t="s">
        <v>15</v>
      </c>
    </row>
    <row r="4174" spans="2:11" ht="33" x14ac:dyDescent="0.2">
      <c r="B4174" s="84" t="s">
        <v>6660</v>
      </c>
      <c r="C4174" s="84" t="s">
        <v>6648</v>
      </c>
      <c r="D4174" s="85">
        <v>0</v>
      </c>
      <c r="E4174" s="85"/>
      <c r="F4174" s="85">
        <v>40066.28</v>
      </c>
      <c r="G4174" s="85">
        <v>0</v>
      </c>
      <c r="H4174" s="85">
        <f t="shared" si="65"/>
        <v>40066.28</v>
      </c>
      <c r="I4174" s="85"/>
      <c r="K4174" s="54" t="s">
        <v>38</v>
      </c>
    </row>
    <row r="4175" spans="2:11" ht="16.5" x14ac:dyDescent="0.2">
      <c r="B4175" s="82" t="s">
        <v>6661</v>
      </c>
      <c r="C4175" s="82" t="s">
        <v>1044</v>
      </c>
      <c r="D4175" s="83">
        <f>SUMIFS(D4176:D6462,K4176:K6462,"0",B4176:B6462,"5 1 2 1 6 12 31111 6 M59 20000*")-SUMIFS(E4176:E6462,K4176:K6462,"0",B4176:B6462,"5 1 2 1 6 12 31111 6 M59 20000*")</f>
        <v>0</v>
      </c>
      <c r="E4175" s="54"/>
      <c r="F4175" s="83">
        <f>SUMIFS(F4176:F6462,K4176:K6462,"0",B4176:B6462,"5 1 2 1 6 12 31111 6 M59 20000*")</f>
        <v>27584.799999999999</v>
      </c>
      <c r="G4175" s="83">
        <f>SUMIFS(G4176:G6462,K4176:K6462,"0",B4176:B6462,"5 1 2 1 6 12 31111 6 M59 20000*")</f>
        <v>0</v>
      </c>
      <c r="H4175" s="83">
        <f t="shared" si="65"/>
        <v>27584.799999999999</v>
      </c>
      <c r="I4175" s="83"/>
      <c r="K4175" s="54" t="s">
        <v>15</v>
      </c>
    </row>
    <row r="4176" spans="2:11" ht="16.5" x14ac:dyDescent="0.2">
      <c r="B4176" s="82" t="s">
        <v>6662</v>
      </c>
      <c r="C4176" s="82" t="s">
        <v>648</v>
      </c>
      <c r="D4176" s="83">
        <f>SUMIFS(D4177:D6462,K4177:K6462,"0",B4177:B6462,"5 1 2 1 6 12 31111 6 M59 20000 000132*")-SUMIFS(E4177:E6462,K4177:K6462,"0",B4177:B6462,"5 1 2 1 6 12 31111 6 M59 20000 000132*")</f>
        <v>0</v>
      </c>
      <c r="E4176" s="54"/>
      <c r="F4176" s="83">
        <f>SUMIFS(F4177:F6462,K4177:K6462,"0",B4177:B6462,"5 1 2 1 6 12 31111 6 M59 20000 000132*")</f>
        <v>27584.799999999999</v>
      </c>
      <c r="G4176" s="83">
        <f>SUMIFS(G4177:G6462,K4177:K6462,"0",B4177:B6462,"5 1 2 1 6 12 31111 6 M59 20000 000132*")</f>
        <v>0</v>
      </c>
      <c r="H4176" s="83">
        <f t="shared" si="65"/>
        <v>27584.799999999999</v>
      </c>
      <c r="I4176" s="83"/>
      <c r="K4176" s="54" t="s">
        <v>15</v>
      </c>
    </row>
    <row r="4177" spans="2:11" ht="24.75" x14ac:dyDescent="0.2">
      <c r="B4177" s="82" t="s">
        <v>6663</v>
      </c>
      <c r="C4177" s="82" t="s">
        <v>650</v>
      </c>
      <c r="D4177" s="83">
        <f>SUMIFS(D4178:D6462,K4178:K6462,"0",B4178:B6462,"5 1 2 1 6 12 31111 6 M59 20000 000132 0000R*")-SUMIFS(E4178:E6462,K4178:K6462,"0",B4178:B6462,"5 1 2 1 6 12 31111 6 M59 20000 000132 0000R*")</f>
        <v>0</v>
      </c>
      <c r="E4177" s="54"/>
      <c r="F4177" s="83">
        <f>SUMIFS(F4178:F6462,K4178:K6462,"0",B4178:B6462,"5 1 2 1 6 12 31111 6 M59 20000 000132 0000R*")</f>
        <v>27584.799999999999</v>
      </c>
      <c r="G4177" s="83">
        <f>SUMIFS(G4178:G6462,K4178:K6462,"0",B4178:B6462,"5 1 2 1 6 12 31111 6 M59 20000 000132 0000R*")</f>
        <v>0</v>
      </c>
      <c r="H4177" s="83">
        <f t="shared" si="65"/>
        <v>27584.799999999999</v>
      </c>
      <c r="I4177" s="83"/>
      <c r="K4177" s="54" t="s">
        <v>15</v>
      </c>
    </row>
    <row r="4178" spans="2:11" ht="24.75" x14ac:dyDescent="0.2">
      <c r="B4178" s="82" t="s">
        <v>6664</v>
      </c>
      <c r="C4178" s="82" t="s">
        <v>282</v>
      </c>
      <c r="D4178" s="83">
        <f>SUMIFS(D4179:D6462,K4179:K6462,"0",B4179:B6462,"5 1 2 1 6 12 31111 6 M59 20000 000132 0000R 00001*")-SUMIFS(E4179:E6462,K4179:K6462,"0",B4179:B6462,"5 1 2 1 6 12 31111 6 M59 20000 000132 0000R 00001*")</f>
        <v>0</v>
      </c>
      <c r="E4178" s="54"/>
      <c r="F4178" s="83">
        <f>SUMIFS(F4179:F6462,K4179:K6462,"0",B4179:B6462,"5 1 2 1 6 12 31111 6 M59 20000 000132 0000R 00001*")</f>
        <v>27584.799999999999</v>
      </c>
      <c r="G4178" s="83">
        <f>SUMIFS(G4179:G6462,K4179:K6462,"0",B4179:B6462,"5 1 2 1 6 12 31111 6 M59 20000 000132 0000R 00001*")</f>
        <v>0</v>
      </c>
      <c r="H4178" s="83">
        <f t="shared" si="65"/>
        <v>27584.799999999999</v>
      </c>
      <c r="I4178" s="83"/>
      <c r="K4178" s="54" t="s">
        <v>15</v>
      </c>
    </row>
    <row r="4179" spans="2:11" ht="24.75" x14ac:dyDescent="0.2">
      <c r="B4179" s="82" t="s">
        <v>6665</v>
      </c>
      <c r="C4179" s="82" t="s">
        <v>6648</v>
      </c>
      <c r="D4179" s="83">
        <f>SUMIFS(D4180:D6462,K4180:K6462,"0",B4180:B6462,"5 1 2 1 6 12 31111 6 M59 20000 000132 0000R 00001 00216*")-SUMIFS(E4180:E6462,K4180:K6462,"0",B4180:B6462,"5 1 2 1 6 12 31111 6 M59 20000 000132 0000R 00001 00216*")</f>
        <v>0</v>
      </c>
      <c r="E4179" s="54"/>
      <c r="F4179" s="83">
        <f>SUMIFS(F4180:F6462,K4180:K6462,"0",B4180:B6462,"5 1 2 1 6 12 31111 6 M59 20000 000132 0000R 00001 00216*")</f>
        <v>27584.799999999999</v>
      </c>
      <c r="G4179" s="83">
        <f>SUMIFS(G4180:G6462,K4180:K6462,"0",B4180:B6462,"5 1 2 1 6 12 31111 6 M59 20000 000132 0000R 00001 00216*")</f>
        <v>0</v>
      </c>
      <c r="H4179" s="83">
        <f t="shared" si="65"/>
        <v>27584.799999999999</v>
      </c>
      <c r="I4179" s="83"/>
      <c r="K4179" s="54" t="s">
        <v>15</v>
      </c>
    </row>
    <row r="4180" spans="2:11" ht="33" x14ac:dyDescent="0.2">
      <c r="B4180" s="82" t="s">
        <v>6666</v>
      </c>
      <c r="C4180" s="82" t="s">
        <v>1051</v>
      </c>
      <c r="D4180" s="83">
        <f>SUMIFS(D4181:D6462,K4181:K6462,"0",B4181:B6462,"5 1 2 1 6 12 31111 6 M59 20000 000132 0000R 00001 00216 015*")-SUMIFS(E4181:E6462,K4181:K6462,"0",B4181:B6462,"5 1 2 1 6 12 31111 6 M59 20000 000132 0000R 00001 00216 015*")</f>
        <v>0</v>
      </c>
      <c r="E4180" s="54"/>
      <c r="F4180" s="83">
        <f>SUMIFS(F4181:F6462,K4181:K6462,"0",B4181:B6462,"5 1 2 1 6 12 31111 6 M59 20000 000132 0000R 00001 00216 015*")</f>
        <v>27584.799999999999</v>
      </c>
      <c r="G4180" s="83">
        <f>SUMIFS(G4181:G6462,K4181:K6462,"0",B4181:B6462,"5 1 2 1 6 12 31111 6 M59 20000 000132 0000R 00001 00216 015*")</f>
        <v>0</v>
      </c>
      <c r="H4180" s="83">
        <f t="shared" si="65"/>
        <v>27584.799999999999</v>
      </c>
      <c r="I4180" s="83"/>
      <c r="K4180" s="54" t="s">
        <v>15</v>
      </c>
    </row>
    <row r="4181" spans="2:11" ht="33" x14ac:dyDescent="0.2">
      <c r="B4181" s="82" t="s">
        <v>6667</v>
      </c>
      <c r="C4181" s="82" t="s">
        <v>5830</v>
      </c>
      <c r="D4181" s="83">
        <f>SUMIFS(D4182:D6462,K4182:K6462,"0",B4182:B6462,"5 1 2 1 6 12 31111 6 M59 20000 000132 0000R 00001 00216 015 2112000*")-SUMIFS(E4182:E6462,K4182:K6462,"0",B4182:B6462,"5 1 2 1 6 12 31111 6 M59 20000 000132 0000R 00001 00216 015 2112000*")</f>
        <v>0</v>
      </c>
      <c r="E4181" s="54"/>
      <c r="F4181" s="83">
        <f>SUMIFS(F4182:F6462,K4182:K6462,"0",B4182:B6462,"5 1 2 1 6 12 31111 6 M59 20000 000132 0000R 00001 00216 015 2112000*")</f>
        <v>27584.799999999999</v>
      </c>
      <c r="G4181" s="83">
        <f>SUMIFS(G4182:G6462,K4182:K6462,"0",B4182:B6462,"5 1 2 1 6 12 31111 6 M59 20000 000132 0000R 00001 00216 015 2112000*")</f>
        <v>0</v>
      </c>
      <c r="H4181" s="83">
        <f t="shared" si="65"/>
        <v>27584.799999999999</v>
      </c>
      <c r="I4181" s="83"/>
      <c r="K4181" s="54" t="s">
        <v>15</v>
      </c>
    </row>
    <row r="4182" spans="2:11" ht="33" x14ac:dyDescent="0.2">
      <c r="B4182" s="82" t="s">
        <v>6668</v>
      </c>
      <c r="C4182" s="82" t="s">
        <v>660</v>
      </c>
      <c r="D4182" s="83">
        <f>SUMIFS(D4183:D6462,K4183:K6462,"0",B4183:B6462,"5 1 2 1 6 12 31111 6 M59 20000 000132 0000R 00001 00216 015 2112000 2024*")-SUMIFS(E4183:E6462,K4183:K6462,"0",B4183:B6462,"5 1 2 1 6 12 31111 6 M59 20000 000132 0000R 00001 00216 015 2112000 2024*")</f>
        <v>0</v>
      </c>
      <c r="E4182" s="54"/>
      <c r="F4182" s="83">
        <f>SUMIFS(F4183:F6462,K4183:K6462,"0",B4183:B6462,"5 1 2 1 6 12 31111 6 M59 20000 000132 0000R 00001 00216 015 2112000 2024*")</f>
        <v>27584.799999999999</v>
      </c>
      <c r="G4182" s="83">
        <f>SUMIFS(G4183:G6462,K4183:K6462,"0",B4183:B6462,"5 1 2 1 6 12 31111 6 M59 20000 000132 0000R 00001 00216 015 2112000 2024*")</f>
        <v>0</v>
      </c>
      <c r="H4182" s="83">
        <f t="shared" si="65"/>
        <v>27584.799999999999</v>
      </c>
      <c r="I4182" s="83"/>
      <c r="K4182" s="54" t="s">
        <v>15</v>
      </c>
    </row>
    <row r="4183" spans="2:11" ht="41.25" x14ac:dyDescent="0.2">
      <c r="B4183" s="82" t="s">
        <v>6669</v>
      </c>
      <c r="C4183" s="82" t="s">
        <v>1056</v>
      </c>
      <c r="D4183" s="83">
        <f>SUMIFS(D4184:D6462,K4184:K6462,"0",B4184:B6462,"5 1 2 1 6 12 31111 6 M59 20000 000132 0000R 00001 00216 015 2112000 2024 CP1AF389*")-SUMIFS(E4184:E6462,K4184:K6462,"0",B4184:B6462,"5 1 2 1 6 12 31111 6 M59 20000 000132 0000R 00001 00216 015 2112000 2024 CP1AF389*")</f>
        <v>0</v>
      </c>
      <c r="E4183" s="54"/>
      <c r="F4183" s="83">
        <f>SUMIFS(F4184:F6462,K4184:K6462,"0",B4184:B6462,"5 1 2 1 6 12 31111 6 M59 20000 000132 0000R 00001 00216 015 2112000 2024 CP1AF389*")</f>
        <v>27584.799999999999</v>
      </c>
      <c r="G4183" s="83">
        <f>SUMIFS(G4184:G6462,K4184:K6462,"0",B4184:B6462,"5 1 2 1 6 12 31111 6 M59 20000 000132 0000R 00001 00216 015 2112000 2024 CP1AF389*")</f>
        <v>0</v>
      </c>
      <c r="H4183" s="83">
        <f t="shared" si="65"/>
        <v>27584.799999999999</v>
      </c>
      <c r="I4183" s="83"/>
      <c r="K4183" s="54" t="s">
        <v>15</v>
      </c>
    </row>
    <row r="4184" spans="2:11" ht="41.25" x14ac:dyDescent="0.2">
      <c r="B4184" s="82" t="s">
        <v>6670</v>
      </c>
      <c r="C4184" s="82" t="s">
        <v>282</v>
      </c>
      <c r="D4184" s="83">
        <f>SUMIFS(D4185:D6462,K4185:K6462,"0",B4185:B6462,"5 1 2 1 6 12 31111 6 M59 20000 000132 0000R 00001 00216 015 2112000 2024 CP1AF389 001*")-SUMIFS(E4185:E6462,K4185:K6462,"0",B4185:B6462,"5 1 2 1 6 12 31111 6 M59 20000 000132 0000R 00001 00216 015 2112000 2024 CP1AF389 001*")</f>
        <v>0</v>
      </c>
      <c r="E4184" s="54"/>
      <c r="F4184" s="83">
        <f>SUMIFS(F4185:F6462,K4185:K6462,"0",B4185:B6462,"5 1 2 1 6 12 31111 6 M59 20000 000132 0000R 00001 00216 015 2112000 2024 CP1AF389 001*")</f>
        <v>27584.799999999999</v>
      </c>
      <c r="G4184" s="83">
        <f>SUMIFS(G4185:G6462,K4185:K6462,"0",B4185:B6462,"5 1 2 1 6 12 31111 6 M59 20000 000132 0000R 00001 00216 015 2112000 2024 CP1AF389 001*")</f>
        <v>0</v>
      </c>
      <c r="H4184" s="83">
        <f t="shared" si="65"/>
        <v>27584.799999999999</v>
      </c>
      <c r="I4184" s="83"/>
      <c r="K4184" s="54" t="s">
        <v>15</v>
      </c>
    </row>
    <row r="4185" spans="2:11" ht="41.25" x14ac:dyDescent="0.2">
      <c r="B4185" s="84" t="s">
        <v>6671</v>
      </c>
      <c r="C4185" s="84" t="s">
        <v>6638</v>
      </c>
      <c r="D4185" s="85">
        <v>0</v>
      </c>
      <c r="E4185" s="85"/>
      <c r="F4185" s="85">
        <v>27584.799999999999</v>
      </c>
      <c r="G4185" s="85">
        <v>0</v>
      </c>
      <c r="H4185" s="85">
        <f t="shared" si="65"/>
        <v>27584.799999999999</v>
      </c>
      <c r="I4185" s="85"/>
      <c r="K4185" s="54" t="s">
        <v>38</v>
      </c>
    </row>
    <row r="4186" spans="2:11" ht="16.5" x14ac:dyDescent="0.2">
      <c r="B4186" s="82" t="s">
        <v>6672</v>
      </c>
      <c r="C4186" s="82" t="s">
        <v>1079</v>
      </c>
      <c r="D4186" s="83">
        <f>SUMIFS(D4187:D6462,K4187:K6462,"0",B4187:B6462,"5 1 2 1 6 12 31111 6 M59 20500*")-SUMIFS(E4187:E6462,K4187:K6462,"0",B4187:B6462,"5 1 2 1 6 12 31111 6 M59 20500*")</f>
        <v>0</v>
      </c>
      <c r="E4186" s="54"/>
      <c r="F4186" s="83">
        <f>SUMIFS(F4187:F6462,K4187:K6462,"0",B4187:B6462,"5 1 2 1 6 12 31111 6 M59 20500*")</f>
        <v>6080335</v>
      </c>
      <c r="G4186" s="83">
        <f>SUMIFS(G4187:G6462,K4187:K6462,"0",B4187:B6462,"5 1 2 1 6 12 31111 6 M59 20500*")</f>
        <v>0</v>
      </c>
      <c r="H4186" s="83">
        <f t="shared" si="65"/>
        <v>6080335</v>
      </c>
      <c r="I4186" s="83"/>
      <c r="K4186" s="54" t="s">
        <v>15</v>
      </c>
    </row>
    <row r="4187" spans="2:11" ht="16.5" x14ac:dyDescent="0.2">
      <c r="B4187" s="82" t="s">
        <v>6673</v>
      </c>
      <c r="C4187" s="82" t="s">
        <v>648</v>
      </c>
      <c r="D4187" s="83">
        <f>SUMIFS(D4188:D6462,K4188:K6462,"0",B4188:B6462,"5 1 2 1 6 12 31111 6 M59 20500 000132*")-SUMIFS(E4188:E6462,K4188:K6462,"0",B4188:B6462,"5 1 2 1 6 12 31111 6 M59 20500 000132*")</f>
        <v>0</v>
      </c>
      <c r="E4187" s="54"/>
      <c r="F4187" s="83">
        <f>SUMIFS(F4188:F6462,K4188:K6462,"0",B4188:B6462,"5 1 2 1 6 12 31111 6 M59 20500 000132*")</f>
        <v>6080335</v>
      </c>
      <c r="G4187" s="83">
        <f>SUMIFS(G4188:G6462,K4188:K6462,"0",B4188:B6462,"5 1 2 1 6 12 31111 6 M59 20500 000132*")</f>
        <v>0</v>
      </c>
      <c r="H4187" s="83">
        <f t="shared" si="65"/>
        <v>6080335</v>
      </c>
      <c r="I4187" s="83"/>
      <c r="K4187" s="54" t="s">
        <v>15</v>
      </c>
    </row>
    <row r="4188" spans="2:11" ht="24.75" x14ac:dyDescent="0.2">
      <c r="B4188" s="82" t="s">
        <v>6674</v>
      </c>
      <c r="C4188" s="82" t="s">
        <v>650</v>
      </c>
      <c r="D4188" s="83">
        <f>SUMIFS(D4189:D6462,K4189:K6462,"0",B4189:B6462,"5 1 2 1 6 12 31111 6 M59 20500 000132 0000R*")-SUMIFS(E4189:E6462,K4189:K6462,"0",B4189:B6462,"5 1 2 1 6 12 31111 6 M59 20500 000132 0000R*")</f>
        <v>0</v>
      </c>
      <c r="E4188" s="54"/>
      <c r="F4188" s="83">
        <f>SUMIFS(F4189:F6462,K4189:K6462,"0",B4189:B6462,"5 1 2 1 6 12 31111 6 M59 20500 000132 0000R*")</f>
        <v>6080335</v>
      </c>
      <c r="G4188" s="83">
        <f>SUMIFS(G4189:G6462,K4189:K6462,"0",B4189:B6462,"5 1 2 1 6 12 31111 6 M59 20500 000132 0000R*")</f>
        <v>0</v>
      </c>
      <c r="H4188" s="83">
        <f t="shared" si="65"/>
        <v>6080335</v>
      </c>
      <c r="I4188" s="83"/>
      <c r="K4188" s="54" t="s">
        <v>15</v>
      </c>
    </row>
    <row r="4189" spans="2:11" ht="24.75" x14ac:dyDescent="0.2">
      <c r="B4189" s="82" t="s">
        <v>6675</v>
      </c>
      <c r="C4189" s="82" t="s">
        <v>282</v>
      </c>
      <c r="D4189" s="83">
        <f>SUMIFS(D4190:D6462,K4190:K6462,"0",B4190:B6462,"5 1 2 1 6 12 31111 6 M59 20500 000132 0000R 00001*")-SUMIFS(E4190:E6462,K4190:K6462,"0",B4190:B6462,"5 1 2 1 6 12 31111 6 M59 20500 000132 0000R 00001*")</f>
        <v>0</v>
      </c>
      <c r="E4189" s="54"/>
      <c r="F4189" s="83">
        <f>SUMIFS(F4190:F6462,K4190:K6462,"0",B4190:B6462,"5 1 2 1 6 12 31111 6 M59 20500 000132 0000R 00001*")</f>
        <v>6080335</v>
      </c>
      <c r="G4189" s="83">
        <f>SUMIFS(G4190:G6462,K4190:K6462,"0",B4190:B6462,"5 1 2 1 6 12 31111 6 M59 20500 000132 0000R 00001*")</f>
        <v>0</v>
      </c>
      <c r="H4189" s="83">
        <f t="shared" si="65"/>
        <v>6080335</v>
      </c>
      <c r="I4189" s="83"/>
      <c r="K4189" s="54" t="s">
        <v>15</v>
      </c>
    </row>
    <row r="4190" spans="2:11" ht="24.75" x14ac:dyDescent="0.2">
      <c r="B4190" s="82" t="s">
        <v>6676</v>
      </c>
      <c r="C4190" s="82" t="s">
        <v>6648</v>
      </c>
      <c r="D4190" s="83">
        <f>SUMIFS(D4191:D6462,K4191:K6462,"0",B4191:B6462,"5 1 2 1 6 12 31111 6 M59 20500 000132 0000R 00001 00216*")-SUMIFS(E4191:E6462,K4191:K6462,"0",B4191:B6462,"5 1 2 1 6 12 31111 6 M59 20500 000132 0000R 00001 00216*")</f>
        <v>0</v>
      </c>
      <c r="E4190" s="54"/>
      <c r="F4190" s="83">
        <f>SUMIFS(F4191:F6462,K4191:K6462,"0",B4191:B6462,"5 1 2 1 6 12 31111 6 M59 20500 000132 0000R 00001 00216*")</f>
        <v>6080335</v>
      </c>
      <c r="G4190" s="83">
        <f>SUMIFS(G4191:G6462,K4191:K6462,"0",B4191:B6462,"5 1 2 1 6 12 31111 6 M59 20500 000132 0000R 00001 00216*")</f>
        <v>0</v>
      </c>
      <c r="H4190" s="83">
        <f t="shared" si="65"/>
        <v>6080335</v>
      </c>
      <c r="I4190" s="83"/>
      <c r="K4190" s="54" t="s">
        <v>15</v>
      </c>
    </row>
    <row r="4191" spans="2:11" ht="33" x14ac:dyDescent="0.2">
      <c r="B4191" s="82" t="s">
        <v>6677</v>
      </c>
      <c r="C4191" s="82" t="s">
        <v>1051</v>
      </c>
      <c r="D4191" s="83">
        <f>SUMIFS(D4192:D6462,K4192:K6462,"0",B4192:B6462,"5 1 2 1 6 12 31111 6 M59 20500 000132 0000R 00001 00216 015*")-SUMIFS(E4192:E6462,K4192:K6462,"0",B4192:B6462,"5 1 2 1 6 12 31111 6 M59 20500 000132 0000R 00001 00216 015*")</f>
        <v>0</v>
      </c>
      <c r="E4191" s="54"/>
      <c r="F4191" s="83">
        <f>SUMIFS(F4192:F6462,K4192:K6462,"0",B4192:B6462,"5 1 2 1 6 12 31111 6 M59 20500 000132 0000R 00001 00216 015*")</f>
        <v>6080335</v>
      </c>
      <c r="G4191" s="83">
        <f>SUMIFS(G4192:G6462,K4192:K6462,"0",B4192:B6462,"5 1 2 1 6 12 31111 6 M59 20500 000132 0000R 00001 00216 015*")</f>
        <v>0</v>
      </c>
      <c r="H4191" s="83">
        <f t="shared" si="65"/>
        <v>6080335</v>
      </c>
      <c r="I4191" s="83"/>
      <c r="K4191" s="54" t="s">
        <v>15</v>
      </c>
    </row>
    <row r="4192" spans="2:11" ht="33" x14ac:dyDescent="0.2">
      <c r="B4192" s="82" t="s">
        <v>6678</v>
      </c>
      <c r="C4192" s="82" t="s">
        <v>5830</v>
      </c>
      <c r="D4192" s="83">
        <f>SUMIFS(D4193:D6462,K4193:K6462,"0",B4193:B6462,"5 1 2 1 6 12 31111 6 M59 20500 000132 0000R 00001 00216 015 2112000*")-SUMIFS(E4193:E6462,K4193:K6462,"0",B4193:B6462,"5 1 2 1 6 12 31111 6 M59 20500 000132 0000R 00001 00216 015 2112000*")</f>
        <v>0</v>
      </c>
      <c r="E4192" s="54"/>
      <c r="F4192" s="83">
        <f>SUMIFS(F4193:F6462,K4193:K6462,"0",B4193:B6462,"5 1 2 1 6 12 31111 6 M59 20500 000132 0000R 00001 00216 015 2112000*")</f>
        <v>6080335</v>
      </c>
      <c r="G4192" s="83">
        <f>SUMIFS(G4193:G6462,K4193:K6462,"0",B4193:B6462,"5 1 2 1 6 12 31111 6 M59 20500 000132 0000R 00001 00216 015 2112000*")</f>
        <v>0</v>
      </c>
      <c r="H4192" s="83">
        <f t="shared" si="65"/>
        <v>6080335</v>
      </c>
      <c r="I4192" s="83"/>
      <c r="K4192" s="54" t="s">
        <v>15</v>
      </c>
    </row>
    <row r="4193" spans="2:11" ht="33" x14ac:dyDescent="0.2">
      <c r="B4193" s="82" t="s">
        <v>6679</v>
      </c>
      <c r="C4193" s="82" t="s">
        <v>660</v>
      </c>
      <c r="D4193" s="83">
        <f>SUMIFS(D4194:D6462,K4194:K6462,"0",B4194:B6462,"5 1 2 1 6 12 31111 6 M59 20500 000132 0000R 00001 00216 015 2112000 2024*")-SUMIFS(E4194:E6462,K4194:K6462,"0",B4194:B6462,"5 1 2 1 6 12 31111 6 M59 20500 000132 0000R 00001 00216 015 2112000 2024*")</f>
        <v>0</v>
      </c>
      <c r="E4193" s="54"/>
      <c r="F4193" s="83">
        <f>SUMIFS(F4194:F6462,K4194:K6462,"0",B4194:B6462,"5 1 2 1 6 12 31111 6 M59 20500 000132 0000R 00001 00216 015 2112000 2024*")</f>
        <v>6080335</v>
      </c>
      <c r="G4193" s="83">
        <f>SUMIFS(G4194:G6462,K4194:K6462,"0",B4194:B6462,"5 1 2 1 6 12 31111 6 M59 20500 000132 0000R 00001 00216 015 2112000 2024*")</f>
        <v>0</v>
      </c>
      <c r="H4193" s="83">
        <f t="shared" si="65"/>
        <v>6080335</v>
      </c>
      <c r="I4193" s="83"/>
      <c r="K4193" s="54" t="s">
        <v>15</v>
      </c>
    </row>
    <row r="4194" spans="2:11" ht="41.25" x14ac:dyDescent="0.2">
      <c r="B4194" s="82" t="s">
        <v>6680</v>
      </c>
      <c r="C4194" s="82" t="s">
        <v>1056</v>
      </c>
      <c r="D4194" s="83">
        <f>SUMIFS(D4195:D6462,K4195:K6462,"0",B4195:B6462,"5 1 2 1 6 12 31111 6 M59 20500 000132 0000R 00001 00216 015 2112000 2024 CP1CP420*")-SUMIFS(E4195:E6462,K4195:K6462,"0",B4195:B6462,"5 1 2 1 6 12 31111 6 M59 20500 000132 0000R 00001 00216 015 2112000 2024 CP1CP420*")</f>
        <v>0</v>
      </c>
      <c r="E4194" s="54"/>
      <c r="F4194" s="83">
        <f>SUMIFS(F4195:F6462,K4195:K6462,"0",B4195:B6462,"5 1 2 1 6 12 31111 6 M59 20500 000132 0000R 00001 00216 015 2112000 2024 CP1CP420*")</f>
        <v>6080335</v>
      </c>
      <c r="G4194" s="83">
        <f>SUMIFS(G4195:G6462,K4195:K6462,"0",B4195:B6462,"5 1 2 1 6 12 31111 6 M59 20500 000132 0000R 00001 00216 015 2112000 2024 CP1CP420*")</f>
        <v>0</v>
      </c>
      <c r="H4194" s="83">
        <f t="shared" si="65"/>
        <v>6080335</v>
      </c>
      <c r="I4194" s="83"/>
      <c r="K4194" s="54" t="s">
        <v>15</v>
      </c>
    </row>
    <row r="4195" spans="2:11" ht="41.25" x14ac:dyDescent="0.2">
      <c r="B4195" s="82" t="s">
        <v>6681</v>
      </c>
      <c r="C4195" s="82" t="s">
        <v>282</v>
      </c>
      <c r="D4195" s="83">
        <f>SUMIFS(D4196:D6462,K4196:K6462,"0",B4196:B6462,"5 1 2 1 6 12 31111 6 M59 20500 000132 0000R 00001 00216 015 2112000 2024 CP1CP420 001*")-SUMIFS(E4196:E6462,K4196:K6462,"0",B4196:B6462,"5 1 2 1 6 12 31111 6 M59 20500 000132 0000R 00001 00216 015 2112000 2024 CP1CP420 001*")</f>
        <v>0</v>
      </c>
      <c r="E4195" s="54"/>
      <c r="F4195" s="83">
        <f>SUMIFS(F4196:F6462,K4196:K6462,"0",B4196:B6462,"5 1 2 1 6 12 31111 6 M59 20500 000132 0000R 00001 00216 015 2112000 2024 CP1CP420 001*")</f>
        <v>6080335</v>
      </c>
      <c r="G4195" s="83">
        <f>SUMIFS(G4196:G6462,K4196:K6462,"0",B4196:B6462,"5 1 2 1 6 12 31111 6 M59 20500 000132 0000R 00001 00216 015 2112000 2024 CP1CP420 001*")</f>
        <v>0</v>
      </c>
      <c r="H4195" s="83">
        <f t="shared" si="65"/>
        <v>6080335</v>
      </c>
      <c r="I4195" s="83"/>
      <c r="K4195" s="54" t="s">
        <v>15</v>
      </c>
    </row>
    <row r="4196" spans="2:11" ht="33" x14ac:dyDescent="0.2">
      <c r="B4196" s="84" t="s">
        <v>6682</v>
      </c>
      <c r="C4196" s="84" t="s">
        <v>6638</v>
      </c>
      <c r="D4196" s="85">
        <v>0</v>
      </c>
      <c r="E4196" s="85"/>
      <c r="F4196" s="85">
        <v>6080335</v>
      </c>
      <c r="G4196" s="85">
        <v>0</v>
      </c>
      <c r="H4196" s="85">
        <f t="shared" si="65"/>
        <v>6080335</v>
      </c>
      <c r="I4196" s="85"/>
      <c r="K4196" s="54" t="s">
        <v>38</v>
      </c>
    </row>
    <row r="4197" spans="2:11" ht="16.5" x14ac:dyDescent="0.2">
      <c r="B4197" s="82" t="s">
        <v>6693</v>
      </c>
      <c r="C4197" s="82" t="s">
        <v>3138</v>
      </c>
      <c r="D4197" s="83">
        <f>SUMIFS(D4198:D6462,K4198:K6462,"0",B4198:B6462,"5 1 2 1 6 12 31111 6 M59 20700*")-SUMIFS(E4198:E6462,K4198:K6462,"0",B4198:B6462,"5 1 2 1 6 12 31111 6 M59 20700*")</f>
        <v>0</v>
      </c>
      <c r="E4197" s="54"/>
      <c r="F4197" s="83">
        <f>SUMIFS(F4198:F6462,K4198:K6462,"0",B4198:B6462,"5 1 2 1 6 12 31111 6 M59 20700*")</f>
        <v>3642727.5</v>
      </c>
      <c r="G4197" s="83">
        <f>SUMIFS(G4198:G6462,K4198:K6462,"0",B4198:B6462,"5 1 2 1 6 12 31111 6 M59 20700*")</f>
        <v>0</v>
      </c>
      <c r="H4197" s="83">
        <f t="shared" si="65"/>
        <v>3642727.5</v>
      </c>
      <c r="I4197" s="83"/>
      <c r="K4197" s="54" t="s">
        <v>15</v>
      </c>
    </row>
    <row r="4198" spans="2:11" ht="16.5" x14ac:dyDescent="0.2">
      <c r="B4198" s="82" t="s">
        <v>6694</v>
      </c>
      <c r="C4198" s="82" t="s">
        <v>648</v>
      </c>
      <c r="D4198" s="83">
        <f>SUMIFS(D4199:D6462,K4199:K6462,"0",B4199:B6462,"5 1 2 1 6 12 31111 6 M59 20700 000132*")-SUMIFS(E4199:E6462,K4199:K6462,"0",B4199:B6462,"5 1 2 1 6 12 31111 6 M59 20700 000132*")</f>
        <v>0</v>
      </c>
      <c r="E4198" s="54"/>
      <c r="F4198" s="83">
        <f>SUMIFS(F4199:F6462,K4199:K6462,"0",B4199:B6462,"5 1 2 1 6 12 31111 6 M59 20700 000132*")</f>
        <v>3642727.5</v>
      </c>
      <c r="G4198" s="83">
        <f>SUMIFS(G4199:G6462,K4199:K6462,"0",B4199:B6462,"5 1 2 1 6 12 31111 6 M59 20700 000132*")</f>
        <v>0</v>
      </c>
      <c r="H4198" s="83">
        <f t="shared" si="65"/>
        <v>3642727.5</v>
      </c>
      <c r="I4198" s="83"/>
      <c r="K4198" s="54" t="s">
        <v>15</v>
      </c>
    </row>
    <row r="4199" spans="2:11" ht="24.75" x14ac:dyDescent="0.2">
      <c r="B4199" s="82" t="s">
        <v>6695</v>
      </c>
      <c r="C4199" s="82" t="s">
        <v>650</v>
      </c>
      <c r="D4199" s="83">
        <f>SUMIFS(D4200:D6462,K4200:K6462,"0",B4200:B6462,"5 1 2 1 6 12 31111 6 M59 20700 000132 0000R*")-SUMIFS(E4200:E6462,K4200:K6462,"0",B4200:B6462,"5 1 2 1 6 12 31111 6 M59 20700 000132 0000R*")</f>
        <v>0</v>
      </c>
      <c r="E4199" s="54"/>
      <c r="F4199" s="83">
        <f>SUMIFS(F4200:F6462,K4200:K6462,"0",B4200:B6462,"5 1 2 1 6 12 31111 6 M59 20700 000132 0000R*")</f>
        <v>3642727.5</v>
      </c>
      <c r="G4199" s="83">
        <f>SUMIFS(G4200:G6462,K4200:K6462,"0",B4200:B6462,"5 1 2 1 6 12 31111 6 M59 20700 000132 0000R*")</f>
        <v>0</v>
      </c>
      <c r="H4199" s="83">
        <f t="shared" si="65"/>
        <v>3642727.5</v>
      </c>
      <c r="I4199" s="83"/>
      <c r="K4199" s="54" t="s">
        <v>15</v>
      </c>
    </row>
    <row r="4200" spans="2:11" ht="24.75" x14ac:dyDescent="0.2">
      <c r="B4200" s="82" t="s">
        <v>6696</v>
      </c>
      <c r="C4200" s="82" t="s">
        <v>282</v>
      </c>
      <c r="D4200" s="83">
        <f>SUMIFS(D4201:D6462,K4201:K6462,"0",B4201:B6462,"5 1 2 1 6 12 31111 6 M59 20700 000132 0000R 00001*")-SUMIFS(E4201:E6462,K4201:K6462,"0",B4201:B6462,"5 1 2 1 6 12 31111 6 M59 20700 000132 0000R 00001*")</f>
        <v>0</v>
      </c>
      <c r="E4200" s="54"/>
      <c r="F4200" s="83">
        <f>SUMIFS(F4201:F6462,K4201:K6462,"0",B4201:B6462,"5 1 2 1 6 12 31111 6 M59 20700 000132 0000R 00001*")</f>
        <v>3642727.5</v>
      </c>
      <c r="G4200" s="83">
        <f>SUMIFS(G4201:G6462,K4201:K6462,"0",B4201:B6462,"5 1 2 1 6 12 31111 6 M59 20700 000132 0000R 00001*")</f>
        <v>0</v>
      </c>
      <c r="H4200" s="83">
        <f t="shared" si="65"/>
        <v>3642727.5</v>
      </c>
      <c r="I4200" s="83"/>
      <c r="K4200" s="54" t="s">
        <v>15</v>
      </c>
    </row>
    <row r="4201" spans="2:11" ht="24.75" x14ac:dyDescent="0.2">
      <c r="B4201" s="82" t="s">
        <v>6697</v>
      </c>
      <c r="C4201" s="82" t="s">
        <v>6648</v>
      </c>
      <c r="D4201" s="83">
        <f>SUMIFS(D4202:D6462,K4202:K6462,"0",B4202:B6462,"5 1 2 1 6 12 31111 6 M59 20700 000132 0000R 00001 00216*")-SUMIFS(E4202:E6462,K4202:K6462,"0",B4202:B6462,"5 1 2 1 6 12 31111 6 M59 20700 000132 0000R 00001 00216*")</f>
        <v>0</v>
      </c>
      <c r="E4201" s="54"/>
      <c r="F4201" s="83">
        <f>SUMIFS(F4202:F6462,K4202:K6462,"0",B4202:B6462,"5 1 2 1 6 12 31111 6 M59 20700 000132 0000R 00001 00216*")</f>
        <v>3642727.5</v>
      </c>
      <c r="G4201" s="83">
        <f>SUMIFS(G4202:G6462,K4202:K6462,"0",B4202:B6462,"5 1 2 1 6 12 31111 6 M59 20700 000132 0000R 00001 00216*")</f>
        <v>0</v>
      </c>
      <c r="H4201" s="83">
        <f t="shared" si="65"/>
        <v>3642727.5</v>
      </c>
      <c r="I4201" s="83"/>
      <c r="K4201" s="54" t="s">
        <v>15</v>
      </c>
    </row>
    <row r="4202" spans="2:11" ht="33" x14ac:dyDescent="0.2">
      <c r="B4202" s="82" t="s">
        <v>6698</v>
      </c>
      <c r="C4202" s="82" t="s">
        <v>1051</v>
      </c>
      <c r="D4202" s="83">
        <f>SUMIFS(D4203:D6462,K4203:K6462,"0",B4203:B6462,"5 1 2 1 6 12 31111 6 M59 20700 000132 0000R 00001 00216 015*")-SUMIFS(E4203:E6462,K4203:K6462,"0",B4203:B6462,"5 1 2 1 6 12 31111 6 M59 20700 000132 0000R 00001 00216 015*")</f>
        <v>0</v>
      </c>
      <c r="E4202" s="54"/>
      <c r="F4202" s="83">
        <f>SUMIFS(F4203:F6462,K4203:K6462,"0",B4203:B6462,"5 1 2 1 6 12 31111 6 M59 20700 000132 0000R 00001 00216 015*")</f>
        <v>3642727.5</v>
      </c>
      <c r="G4202" s="83">
        <f>SUMIFS(G4203:G6462,K4203:K6462,"0",B4203:B6462,"5 1 2 1 6 12 31111 6 M59 20700 000132 0000R 00001 00216 015*")</f>
        <v>0</v>
      </c>
      <c r="H4202" s="83">
        <f t="shared" si="65"/>
        <v>3642727.5</v>
      </c>
      <c r="I4202" s="83"/>
      <c r="K4202" s="54" t="s">
        <v>15</v>
      </c>
    </row>
    <row r="4203" spans="2:11" ht="33" x14ac:dyDescent="0.2">
      <c r="B4203" s="82" t="s">
        <v>6699</v>
      </c>
      <c r="C4203" s="82" t="s">
        <v>5830</v>
      </c>
      <c r="D4203" s="83">
        <f>SUMIFS(D4204:D6462,K4204:K6462,"0",B4204:B6462,"5 1 2 1 6 12 31111 6 M59 20700 000132 0000R 00001 00216 015 2112000*")-SUMIFS(E4204:E6462,K4204:K6462,"0",B4204:B6462,"5 1 2 1 6 12 31111 6 M59 20700 000132 0000R 00001 00216 015 2112000*")</f>
        <v>0</v>
      </c>
      <c r="E4203" s="54"/>
      <c r="F4203" s="83">
        <f>SUMIFS(F4204:F6462,K4204:K6462,"0",B4204:B6462,"5 1 2 1 6 12 31111 6 M59 20700 000132 0000R 00001 00216 015 2112000*")</f>
        <v>3642727.5</v>
      </c>
      <c r="G4203" s="83">
        <f>SUMIFS(G4204:G6462,K4204:K6462,"0",B4204:B6462,"5 1 2 1 6 12 31111 6 M59 20700 000132 0000R 00001 00216 015 2112000*")</f>
        <v>0</v>
      </c>
      <c r="H4203" s="83">
        <f t="shared" ref="H4203:H4266" si="66">D4203 + F4203 - G4203</f>
        <v>3642727.5</v>
      </c>
      <c r="I4203" s="83"/>
      <c r="K4203" s="54" t="s">
        <v>15</v>
      </c>
    </row>
    <row r="4204" spans="2:11" ht="33" x14ac:dyDescent="0.2">
      <c r="B4204" s="82" t="s">
        <v>6700</v>
      </c>
      <c r="C4204" s="82" t="s">
        <v>660</v>
      </c>
      <c r="D4204" s="83">
        <f>SUMIFS(D4205:D6462,K4205:K6462,"0",B4205:B6462,"5 1 2 1 6 12 31111 6 M59 20700 000132 0000R 00001 00216 015 2112000 2024*")-SUMIFS(E4205:E6462,K4205:K6462,"0",B4205:B6462,"5 1 2 1 6 12 31111 6 M59 20700 000132 0000R 00001 00216 015 2112000 2024*")</f>
        <v>0</v>
      </c>
      <c r="E4204" s="54"/>
      <c r="F4204" s="83">
        <f>SUMIFS(F4205:F6462,K4205:K6462,"0",B4205:B6462,"5 1 2 1 6 12 31111 6 M59 20700 000132 0000R 00001 00216 015 2112000 2024*")</f>
        <v>3642727.5</v>
      </c>
      <c r="G4204" s="83">
        <f>SUMIFS(G4205:G6462,K4205:K6462,"0",B4205:B6462,"5 1 2 1 6 12 31111 6 M59 20700 000132 0000R 00001 00216 015 2112000 2024*")</f>
        <v>0</v>
      </c>
      <c r="H4204" s="83">
        <f t="shared" si="66"/>
        <v>3642727.5</v>
      </c>
      <c r="I4204" s="83"/>
      <c r="K4204" s="54" t="s">
        <v>15</v>
      </c>
    </row>
    <row r="4205" spans="2:11" ht="41.25" x14ac:dyDescent="0.2">
      <c r="B4205" s="82" t="s">
        <v>6701</v>
      </c>
      <c r="C4205" s="82" t="s">
        <v>662</v>
      </c>
      <c r="D4205" s="83">
        <f>SUMIFS(D4206:D6462,K4206:K6462,"0",B4206:B6462,"5 1 2 1 6 12 31111 6 M59 20700 000132 0000R 00001 00216 015 2112000 2024 CP1RM401*")-SUMIFS(E4206:E6462,K4206:K6462,"0",B4206:B6462,"5 1 2 1 6 12 31111 6 M59 20700 000132 0000R 00001 00216 015 2112000 2024 CP1RM401*")</f>
        <v>0</v>
      </c>
      <c r="E4205" s="54"/>
      <c r="F4205" s="83">
        <f>SUMIFS(F4206:F6462,K4206:K6462,"0",B4206:B6462,"5 1 2 1 6 12 31111 6 M59 20700 000132 0000R 00001 00216 015 2112000 2024 CP1RM401*")</f>
        <v>3642727.5</v>
      </c>
      <c r="G4205" s="83">
        <f>SUMIFS(G4206:G6462,K4206:K6462,"0",B4206:B6462,"5 1 2 1 6 12 31111 6 M59 20700 000132 0000R 00001 00216 015 2112000 2024 CP1RM401*")</f>
        <v>0</v>
      </c>
      <c r="H4205" s="83">
        <f t="shared" si="66"/>
        <v>3642727.5</v>
      </c>
      <c r="I4205" s="83"/>
      <c r="K4205" s="54" t="s">
        <v>15</v>
      </c>
    </row>
    <row r="4206" spans="2:11" ht="41.25" x14ac:dyDescent="0.2">
      <c r="B4206" s="82" t="s">
        <v>6702</v>
      </c>
      <c r="C4206" s="82" t="s">
        <v>282</v>
      </c>
      <c r="D4206" s="83">
        <f>SUMIFS(D4207:D6462,K4207:K6462,"0",B4207:B6462,"5 1 2 1 6 12 31111 6 M59 20700 000132 0000R 00001 00216 015 2112000 2024 CP1RM401 001*")-SUMIFS(E4207:E6462,K4207:K6462,"0",B4207:B6462,"5 1 2 1 6 12 31111 6 M59 20700 000132 0000R 00001 00216 015 2112000 2024 CP1RM401 001*")</f>
        <v>0</v>
      </c>
      <c r="E4206" s="54"/>
      <c r="F4206" s="83">
        <f>SUMIFS(F4207:F6462,K4207:K6462,"0",B4207:B6462,"5 1 2 1 6 12 31111 6 M59 20700 000132 0000R 00001 00216 015 2112000 2024 CP1RM401 001*")</f>
        <v>3642727.5</v>
      </c>
      <c r="G4206" s="83">
        <f>SUMIFS(G4207:G6462,K4207:K6462,"0",B4207:B6462,"5 1 2 1 6 12 31111 6 M59 20700 000132 0000R 00001 00216 015 2112000 2024 CP1RM401 001*")</f>
        <v>0</v>
      </c>
      <c r="H4206" s="83">
        <f t="shared" si="66"/>
        <v>3642727.5</v>
      </c>
      <c r="I4206" s="83"/>
      <c r="K4206" s="54" t="s">
        <v>15</v>
      </c>
    </row>
    <row r="4207" spans="2:11" ht="33" x14ac:dyDescent="0.2">
      <c r="B4207" s="84" t="s">
        <v>6703</v>
      </c>
      <c r="C4207" s="84" t="s">
        <v>6638</v>
      </c>
      <c r="D4207" s="85">
        <v>0</v>
      </c>
      <c r="E4207" s="85"/>
      <c r="F4207" s="85">
        <v>3642727.5</v>
      </c>
      <c r="G4207" s="85">
        <v>0</v>
      </c>
      <c r="H4207" s="85">
        <f t="shared" si="66"/>
        <v>3642727.5</v>
      </c>
      <c r="I4207" s="85"/>
      <c r="K4207" s="54" t="s">
        <v>38</v>
      </c>
    </row>
    <row r="4208" spans="2:11" ht="16.5" x14ac:dyDescent="0.2">
      <c r="B4208" s="82" t="s">
        <v>6715</v>
      </c>
      <c r="C4208" s="82" t="s">
        <v>3281</v>
      </c>
      <c r="D4208" s="83">
        <f>SUMIFS(D4209:D6462,K4209:K6462,"0",B4209:B6462,"5 1 2 1 6 12 31111 6 M59 50000*")-SUMIFS(E4209:E6462,K4209:K6462,"0",B4209:B6462,"5 1 2 1 6 12 31111 6 M59 50000*")</f>
        <v>0</v>
      </c>
      <c r="E4208" s="54"/>
      <c r="F4208" s="83">
        <f>SUMIFS(F4209:F6462,K4209:K6462,"0",B4209:B6462,"5 1 2 1 6 12 31111 6 M59 50000*")</f>
        <v>899.96</v>
      </c>
      <c r="G4208" s="83">
        <f>SUMIFS(G4209:G6462,K4209:K6462,"0",B4209:B6462,"5 1 2 1 6 12 31111 6 M59 50000*")</f>
        <v>0</v>
      </c>
      <c r="H4208" s="83">
        <f t="shared" si="66"/>
        <v>899.96</v>
      </c>
      <c r="I4208" s="83"/>
      <c r="K4208" s="54" t="s">
        <v>15</v>
      </c>
    </row>
    <row r="4209" spans="2:11" ht="16.5" x14ac:dyDescent="0.2">
      <c r="B4209" s="82" t="s">
        <v>6716</v>
      </c>
      <c r="C4209" s="82" t="s">
        <v>3283</v>
      </c>
      <c r="D4209" s="83">
        <f>SUMIFS(D4210:D6462,K4210:K6462,"0",B4210:B6462,"5 1 2 1 6 12 31111 6 M59 50000 000223*")-SUMIFS(E4210:E6462,K4210:K6462,"0",B4210:B6462,"5 1 2 1 6 12 31111 6 M59 50000 000223*")</f>
        <v>0</v>
      </c>
      <c r="E4209" s="54"/>
      <c r="F4209" s="83">
        <f>SUMIFS(F4210:F6462,K4210:K6462,"0",B4210:B6462,"5 1 2 1 6 12 31111 6 M59 50000 000223*")</f>
        <v>899.96</v>
      </c>
      <c r="G4209" s="83">
        <f>SUMIFS(G4210:G6462,K4210:K6462,"0",B4210:B6462,"5 1 2 1 6 12 31111 6 M59 50000 000223*")</f>
        <v>0</v>
      </c>
      <c r="H4209" s="83">
        <f t="shared" si="66"/>
        <v>899.96</v>
      </c>
      <c r="I4209" s="83"/>
      <c r="K4209" s="54" t="s">
        <v>15</v>
      </c>
    </row>
    <row r="4210" spans="2:11" ht="24.75" x14ac:dyDescent="0.2">
      <c r="B4210" s="82" t="s">
        <v>6717</v>
      </c>
      <c r="C4210" s="82" t="s">
        <v>1065</v>
      </c>
      <c r="D4210" s="83">
        <f>SUMIFS(D4211:D6462,K4211:K6462,"0",B4211:B6462,"5 1 2 1 6 12 31111 6 M59 50000 000223 0000E*")-SUMIFS(E4211:E6462,K4211:K6462,"0",B4211:B6462,"5 1 2 1 6 12 31111 6 M59 50000 000223 0000E*")</f>
        <v>0</v>
      </c>
      <c r="E4210" s="54"/>
      <c r="F4210" s="83">
        <f>SUMIFS(F4211:F6462,K4211:K6462,"0",B4211:B6462,"5 1 2 1 6 12 31111 6 M59 50000 000223 0000E*")</f>
        <v>899.96</v>
      </c>
      <c r="G4210" s="83">
        <f>SUMIFS(G4211:G6462,K4211:K6462,"0",B4211:B6462,"5 1 2 1 6 12 31111 6 M59 50000 000223 0000E*")</f>
        <v>0</v>
      </c>
      <c r="H4210" s="83">
        <f t="shared" si="66"/>
        <v>899.96</v>
      </c>
      <c r="I4210" s="83"/>
      <c r="K4210" s="54" t="s">
        <v>15</v>
      </c>
    </row>
    <row r="4211" spans="2:11" ht="24.75" x14ac:dyDescent="0.2">
      <c r="B4211" s="82" t="s">
        <v>6718</v>
      </c>
      <c r="C4211" s="82" t="s">
        <v>282</v>
      </c>
      <c r="D4211" s="83">
        <f>SUMIFS(D4212:D6462,K4212:K6462,"0",B4212:B6462,"5 1 2 1 6 12 31111 6 M59 50000 000223 0000E 00001*")-SUMIFS(E4212:E6462,K4212:K6462,"0",B4212:B6462,"5 1 2 1 6 12 31111 6 M59 50000 000223 0000E 00001*")</f>
        <v>0</v>
      </c>
      <c r="E4211" s="54"/>
      <c r="F4211" s="83">
        <f>SUMIFS(F4212:F6462,K4212:K6462,"0",B4212:B6462,"5 1 2 1 6 12 31111 6 M59 50000 000223 0000E 00001*")</f>
        <v>899.96</v>
      </c>
      <c r="G4211" s="83">
        <f>SUMIFS(G4212:G6462,K4212:K6462,"0",B4212:B6462,"5 1 2 1 6 12 31111 6 M59 50000 000223 0000E 00001*")</f>
        <v>0</v>
      </c>
      <c r="H4211" s="83">
        <f t="shared" si="66"/>
        <v>899.96</v>
      </c>
      <c r="I4211" s="83"/>
      <c r="K4211" s="54" t="s">
        <v>15</v>
      </c>
    </row>
    <row r="4212" spans="2:11" ht="24.75" x14ac:dyDescent="0.2">
      <c r="B4212" s="82" t="s">
        <v>6719</v>
      </c>
      <c r="C4212" s="82" t="s">
        <v>6648</v>
      </c>
      <c r="D4212" s="83">
        <f>SUMIFS(D4213:D6462,K4213:K6462,"0",B4213:B6462,"5 1 2 1 6 12 31111 6 M59 50000 000223 0000E 00001 00216*")-SUMIFS(E4213:E6462,K4213:K6462,"0",B4213:B6462,"5 1 2 1 6 12 31111 6 M59 50000 000223 0000E 00001 00216*")</f>
        <v>0</v>
      </c>
      <c r="E4212" s="54"/>
      <c r="F4212" s="83">
        <f>SUMIFS(F4213:F6462,K4213:K6462,"0",B4213:B6462,"5 1 2 1 6 12 31111 6 M59 50000 000223 0000E 00001 00216*")</f>
        <v>899.96</v>
      </c>
      <c r="G4212" s="83">
        <f>SUMIFS(G4213:G6462,K4213:K6462,"0",B4213:B6462,"5 1 2 1 6 12 31111 6 M59 50000 000223 0000E 00001 00216*")</f>
        <v>0</v>
      </c>
      <c r="H4212" s="83">
        <f t="shared" si="66"/>
        <v>899.96</v>
      </c>
      <c r="I4212" s="83"/>
      <c r="K4212" s="54" t="s">
        <v>15</v>
      </c>
    </row>
    <row r="4213" spans="2:11" ht="33" x14ac:dyDescent="0.2">
      <c r="B4213" s="82" t="s">
        <v>6720</v>
      </c>
      <c r="C4213" s="82" t="s">
        <v>1051</v>
      </c>
      <c r="D4213" s="83">
        <f>SUMIFS(D4214:D6462,K4214:K6462,"0",B4214:B6462,"5 1 2 1 6 12 31111 6 M59 50000 000223 0000E 00001 00216 015*")-SUMIFS(E4214:E6462,K4214:K6462,"0",B4214:B6462,"5 1 2 1 6 12 31111 6 M59 50000 000223 0000E 00001 00216 015*")</f>
        <v>0</v>
      </c>
      <c r="E4213" s="54"/>
      <c r="F4213" s="83">
        <f>SUMIFS(F4214:F6462,K4214:K6462,"0",B4214:B6462,"5 1 2 1 6 12 31111 6 M59 50000 000223 0000E 00001 00216 015*")</f>
        <v>899.96</v>
      </c>
      <c r="G4213" s="83">
        <f>SUMIFS(G4214:G6462,K4214:K6462,"0",B4214:B6462,"5 1 2 1 6 12 31111 6 M59 50000 000223 0000E 00001 00216 015*")</f>
        <v>0</v>
      </c>
      <c r="H4213" s="83">
        <f t="shared" si="66"/>
        <v>899.96</v>
      </c>
      <c r="I4213" s="83"/>
      <c r="K4213" s="54" t="s">
        <v>15</v>
      </c>
    </row>
    <row r="4214" spans="2:11" ht="33" x14ac:dyDescent="0.2">
      <c r="B4214" s="82" t="s">
        <v>6721</v>
      </c>
      <c r="C4214" s="82" t="s">
        <v>5830</v>
      </c>
      <c r="D4214" s="83">
        <f>SUMIFS(D4215:D6462,K4215:K6462,"0",B4215:B6462,"5 1 2 1 6 12 31111 6 M59 50000 000223 0000E 00001 00216 015 2112000*")-SUMIFS(E4215:E6462,K4215:K6462,"0",B4215:B6462,"5 1 2 1 6 12 31111 6 M59 50000 000223 0000E 00001 00216 015 2112000*")</f>
        <v>0</v>
      </c>
      <c r="E4214" s="54"/>
      <c r="F4214" s="83">
        <f>SUMIFS(F4215:F6462,K4215:K6462,"0",B4215:B6462,"5 1 2 1 6 12 31111 6 M59 50000 000223 0000E 00001 00216 015 2112000*")</f>
        <v>899.96</v>
      </c>
      <c r="G4214" s="83">
        <f>SUMIFS(G4215:G6462,K4215:K6462,"0",B4215:B6462,"5 1 2 1 6 12 31111 6 M59 50000 000223 0000E 00001 00216 015 2112000*")</f>
        <v>0</v>
      </c>
      <c r="H4214" s="83">
        <f t="shared" si="66"/>
        <v>899.96</v>
      </c>
      <c r="I4214" s="83"/>
      <c r="K4214" s="54" t="s">
        <v>15</v>
      </c>
    </row>
    <row r="4215" spans="2:11" ht="33" x14ac:dyDescent="0.2">
      <c r="B4215" s="82" t="s">
        <v>6722</v>
      </c>
      <c r="C4215" s="82" t="s">
        <v>660</v>
      </c>
      <c r="D4215" s="83">
        <f>SUMIFS(D4216:D6462,K4216:K6462,"0",B4216:B6462,"5 1 2 1 6 12 31111 6 M59 50000 000223 0000E 00001 00216 015 2112000 2024*")-SUMIFS(E4216:E6462,K4216:K6462,"0",B4216:B6462,"5 1 2 1 6 12 31111 6 M59 50000 000223 0000E 00001 00216 015 2112000 2024*")</f>
        <v>0</v>
      </c>
      <c r="E4215" s="54"/>
      <c r="F4215" s="83">
        <f>SUMIFS(F4216:F6462,K4216:K6462,"0",B4216:B6462,"5 1 2 1 6 12 31111 6 M59 50000 000223 0000E 00001 00216 015 2112000 2024*")</f>
        <v>899.96</v>
      </c>
      <c r="G4215" s="83">
        <f>SUMIFS(G4216:G6462,K4216:K6462,"0",B4216:B6462,"5 1 2 1 6 12 31111 6 M59 50000 000223 0000E 00001 00216 015 2112000 2024*")</f>
        <v>0</v>
      </c>
      <c r="H4215" s="83">
        <f t="shared" si="66"/>
        <v>899.96</v>
      </c>
      <c r="I4215" s="83"/>
      <c r="K4215" s="54" t="s">
        <v>15</v>
      </c>
    </row>
    <row r="4216" spans="2:11" ht="41.25" x14ac:dyDescent="0.2">
      <c r="B4216" s="82" t="s">
        <v>6723</v>
      </c>
      <c r="C4216" s="82" t="s">
        <v>662</v>
      </c>
      <c r="D4216" s="83">
        <f>SUMIFS(D4217:D6462,K4217:K6462,"0",B4217:B6462,"5 1 2 1 6 12 31111 6 M59 50000 000223 0000E 00001 00216 015 2112000 2024 CP1DA424*")-SUMIFS(E4217:E6462,K4217:K6462,"0",B4217:B6462,"5 1 2 1 6 12 31111 6 M59 50000 000223 0000E 00001 00216 015 2112000 2024 CP1DA424*")</f>
        <v>0</v>
      </c>
      <c r="E4216" s="54"/>
      <c r="F4216" s="83">
        <f>SUMIFS(F4217:F6462,K4217:K6462,"0",B4217:B6462,"5 1 2 1 6 12 31111 6 M59 50000 000223 0000E 00001 00216 015 2112000 2024 CP1DA424*")</f>
        <v>899.96</v>
      </c>
      <c r="G4216" s="83">
        <f>SUMIFS(G4217:G6462,K4217:K6462,"0",B4217:B6462,"5 1 2 1 6 12 31111 6 M59 50000 000223 0000E 00001 00216 015 2112000 2024 CP1DA424*")</f>
        <v>0</v>
      </c>
      <c r="H4216" s="83">
        <f t="shared" si="66"/>
        <v>899.96</v>
      </c>
      <c r="I4216" s="83"/>
      <c r="K4216" s="54" t="s">
        <v>15</v>
      </c>
    </row>
    <row r="4217" spans="2:11" ht="41.25" x14ac:dyDescent="0.2">
      <c r="B4217" s="82" t="s">
        <v>6724</v>
      </c>
      <c r="C4217" s="82" t="s">
        <v>282</v>
      </c>
      <c r="D4217" s="83">
        <f>SUMIFS(D4218:D6462,K4218:K6462,"0",B4218:B6462,"5 1 2 1 6 12 31111 6 M59 50000 000223 0000E 00001 00216 015 2112000 2024 CP1DA424 001*")-SUMIFS(E4218:E6462,K4218:K6462,"0",B4218:B6462,"5 1 2 1 6 12 31111 6 M59 50000 000223 0000E 00001 00216 015 2112000 2024 CP1DA424 001*")</f>
        <v>0</v>
      </c>
      <c r="E4217" s="54"/>
      <c r="F4217" s="83">
        <f>SUMIFS(F4218:F6462,K4218:K6462,"0",B4218:B6462,"5 1 2 1 6 12 31111 6 M59 50000 000223 0000E 00001 00216 015 2112000 2024 CP1DA424 001*")</f>
        <v>899.96</v>
      </c>
      <c r="G4217" s="83">
        <f>SUMIFS(G4218:G6462,K4218:K6462,"0",B4218:B6462,"5 1 2 1 6 12 31111 6 M59 50000 000223 0000E 00001 00216 015 2112000 2024 CP1DA424 001*")</f>
        <v>0</v>
      </c>
      <c r="H4217" s="83">
        <f t="shared" si="66"/>
        <v>899.96</v>
      </c>
      <c r="I4217" s="83"/>
      <c r="K4217" s="54" t="s">
        <v>15</v>
      </c>
    </row>
    <row r="4218" spans="2:11" ht="41.25" x14ac:dyDescent="0.2">
      <c r="B4218" s="84" t="s">
        <v>6725</v>
      </c>
      <c r="C4218" s="84" t="s">
        <v>6638</v>
      </c>
      <c r="D4218" s="85">
        <v>0</v>
      </c>
      <c r="E4218" s="85"/>
      <c r="F4218" s="85">
        <v>899.96</v>
      </c>
      <c r="G4218" s="85">
        <v>0</v>
      </c>
      <c r="H4218" s="85">
        <f t="shared" si="66"/>
        <v>899.96</v>
      </c>
      <c r="I4218" s="85"/>
      <c r="K4218" s="54" t="s">
        <v>38</v>
      </c>
    </row>
    <row r="4219" spans="2:11" ht="16.5" x14ac:dyDescent="0.2">
      <c r="B4219" s="82" t="s">
        <v>6726</v>
      </c>
      <c r="C4219" s="82" t="s">
        <v>3644</v>
      </c>
      <c r="D4219" s="83">
        <f>SUMIFS(D4220:D6462,K4220:K6462,"0",B4220:B6462,"5 1 2 1 6 12 31111 6 M59 94000*")-SUMIFS(E4220:E6462,K4220:K6462,"0",B4220:B6462,"5 1 2 1 6 12 31111 6 M59 94000*")</f>
        <v>0</v>
      </c>
      <c r="E4219" s="54"/>
      <c r="F4219" s="83">
        <f>SUMIFS(F4220:F6462,K4220:K6462,"0",B4220:B6462,"5 1 2 1 6 12 31111 6 M59 94000*")</f>
        <v>8719900.3599999994</v>
      </c>
      <c r="G4219" s="83">
        <f>SUMIFS(G4220:G6462,K4220:K6462,"0",B4220:B6462,"5 1 2 1 6 12 31111 6 M59 94000*")</f>
        <v>0</v>
      </c>
      <c r="H4219" s="83">
        <f t="shared" si="66"/>
        <v>8719900.3599999994</v>
      </c>
      <c r="I4219" s="83"/>
      <c r="K4219" s="54" t="s">
        <v>15</v>
      </c>
    </row>
    <row r="4220" spans="2:11" ht="24.75" x14ac:dyDescent="0.2">
      <c r="B4220" s="82" t="s">
        <v>6727</v>
      </c>
      <c r="C4220" s="82" t="s">
        <v>3152</v>
      </c>
      <c r="D4220" s="83">
        <f>SUMIFS(D4221:D6462,K4221:K6462,"0",B4221:B6462,"5 1 2 1 6 12 31111 6 M59 94000 000181*")-SUMIFS(E4221:E6462,K4221:K6462,"0",B4221:B6462,"5 1 2 1 6 12 31111 6 M59 94000 000181*")</f>
        <v>0</v>
      </c>
      <c r="E4220" s="54"/>
      <c r="F4220" s="83">
        <f>SUMIFS(F4221:F6462,K4221:K6462,"0",B4221:B6462,"5 1 2 1 6 12 31111 6 M59 94000 000181*")</f>
        <v>8719900.3599999994</v>
      </c>
      <c r="G4220" s="83">
        <f>SUMIFS(G4221:G6462,K4221:K6462,"0",B4221:B6462,"5 1 2 1 6 12 31111 6 M59 94000 000181*")</f>
        <v>0</v>
      </c>
      <c r="H4220" s="83">
        <f t="shared" si="66"/>
        <v>8719900.3599999994</v>
      </c>
      <c r="I4220" s="83"/>
      <c r="K4220" s="54" t="s">
        <v>15</v>
      </c>
    </row>
    <row r="4221" spans="2:11" ht="24.75" x14ac:dyDescent="0.2">
      <c r="B4221" s="82" t="s">
        <v>6728</v>
      </c>
      <c r="C4221" s="82" t="s">
        <v>650</v>
      </c>
      <c r="D4221" s="83">
        <f>SUMIFS(D4222:D6462,K4222:K6462,"0",B4222:B6462,"5 1 2 1 6 12 31111 6 M59 94000 000181 0000R*")-SUMIFS(E4222:E6462,K4222:K6462,"0",B4222:B6462,"5 1 2 1 6 12 31111 6 M59 94000 000181 0000R*")</f>
        <v>0</v>
      </c>
      <c r="E4221" s="54"/>
      <c r="F4221" s="83">
        <f>SUMIFS(F4222:F6462,K4222:K6462,"0",B4222:B6462,"5 1 2 1 6 12 31111 6 M59 94000 000181 0000R*")</f>
        <v>8719900.3599999994</v>
      </c>
      <c r="G4221" s="83">
        <f>SUMIFS(G4222:G6462,K4222:K6462,"0",B4222:B6462,"5 1 2 1 6 12 31111 6 M59 94000 000181 0000R*")</f>
        <v>0</v>
      </c>
      <c r="H4221" s="83">
        <f t="shared" si="66"/>
        <v>8719900.3599999994</v>
      </c>
      <c r="I4221" s="83"/>
      <c r="K4221" s="54" t="s">
        <v>15</v>
      </c>
    </row>
    <row r="4222" spans="2:11" ht="24.75" x14ac:dyDescent="0.2">
      <c r="B4222" s="82" t="s">
        <v>6729</v>
      </c>
      <c r="C4222" s="82" t="s">
        <v>282</v>
      </c>
      <c r="D4222" s="83">
        <f>SUMIFS(D4223:D6462,K4223:K6462,"0",B4223:B6462,"5 1 2 1 6 12 31111 6 M59 94000 000181 0000R 00001*")-SUMIFS(E4223:E6462,K4223:K6462,"0",B4223:B6462,"5 1 2 1 6 12 31111 6 M59 94000 000181 0000R 00001*")</f>
        <v>0</v>
      </c>
      <c r="E4222" s="54"/>
      <c r="F4222" s="83">
        <f>SUMIFS(F4223:F6462,K4223:K6462,"0",B4223:B6462,"5 1 2 1 6 12 31111 6 M59 94000 000181 0000R 00001*")</f>
        <v>8719900.3599999994</v>
      </c>
      <c r="G4222" s="83">
        <f>SUMIFS(G4223:G6462,K4223:K6462,"0",B4223:B6462,"5 1 2 1 6 12 31111 6 M59 94000 000181 0000R 00001*")</f>
        <v>0</v>
      </c>
      <c r="H4222" s="83">
        <f t="shared" si="66"/>
        <v>8719900.3599999994</v>
      </c>
      <c r="I4222" s="83"/>
      <c r="K4222" s="54" t="s">
        <v>15</v>
      </c>
    </row>
    <row r="4223" spans="2:11" ht="24.75" x14ac:dyDescent="0.2">
      <c r="B4223" s="82" t="s">
        <v>6730</v>
      </c>
      <c r="C4223" s="82" t="s">
        <v>6648</v>
      </c>
      <c r="D4223" s="83">
        <f>SUMIFS(D4224:D6462,K4224:K6462,"0",B4224:B6462,"5 1 2 1 6 12 31111 6 M59 94000 000181 0000R 00001 00216*")-SUMIFS(E4224:E6462,K4224:K6462,"0",B4224:B6462,"5 1 2 1 6 12 31111 6 M59 94000 000181 0000R 00001 00216*")</f>
        <v>0</v>
      </c>
      <c r="E4223" s="54"/>
      <c r="F4223" s="83">
        <f>SUMIFS(F4224:F6462,K4224:K6462,"0",B4224:B6462,"5 1 2 1 6 12 31111 6 M59 94000 000181 0000R 00001 00216*")</f>
        <v>8719900.3599999994</v>
      </c>
      <c r="G4223" s="83">
        <f>SUMIFS(G4224:G6462,K4224:K6462,"0",B4224:B6462,"5 1 2 1 6 12 31111 6 M59 94000 000181 0000R 00001 00216*")</f>
        <v>0</v>
      </c>
      <c r="H4223" s="83">
        <f t="shared" si="66"/>
        <v>8719900.3599999994</v>
      </c>
      <c r="I4223" s="83"/>
      <c r="K4223" s="54" t="s">
        <v>15</v>
      </c>
    </row>
    <row r="4224" spans="2:11" ht="33" x14ac:dyDescent="0.2">
      <c r="B4224" s="82" t="s">
        <v>6731</v>
      </c>
      <c r="C4224" s="82" t="s">
        <v>1051</v>
      </c>
      <c r="D4224" s="83">
        <f>SUMIFS(D4225:D6462,K4225:K6462,"0",B4225:B6462,"5 1 2 1 6 12 31111 6 M59 94000 000181 0000R 00001 00216 015*")-SUMIFS(E4225:E6462,K4225:K6462,"0",B4225:B6462,"5 1 2 1 6 12 31111 6 M59 94000 000181 0000R 00001 00216 015*")</f>
        <v>0</v>
      </c>
      <c r="E4224" s="54"/>
      <c r="F4224" s="83">
        <f>SUMIFS(F4225:F6462,K4225:K6462,"0",B4225:B6462,"5 1 2 1 6 12 31111 6 M59 94000 000181 0000R 00001 00216 015*")</f>
        <v>8719900.3599999994</v>
      </c>
      <c r="G4224" s="83">
        <f>SUMIFS(G4225:G6462,K4225:K6462,"0",B4225:B6462,"5 1 2 1 6 12 31111 6 M59 94000 000181 0000R 00001 00216 015*")</f>
        <v>0</v>
      </c>
      <c r="H4224" s="83">
        <f t="shared" si="66"/>
        <v>8719900.3599999994</v>
      </c>
      <c r="I4224" s="83"/>
      <c r="K4224" s="54" t="s">
        <v>15</v>
      </c>
    </row>
    <row r="4225" spans="2:11" ht="33" x14ac:dyDescent="0.2">
      <c r="B4225" s="82" t="s">
        <v>6732</v>
      </c>
      <c r="C4225" s="82" t="s">
        <v>5830</v>
      </c>
      <c r="D4225" s="83">
        <f>SUMIFS(D4226:D6462,K4226:K6462,"0",B4226:B6462,"5 1 2 1 6 12 31111 6 M59 94000 000181 0000R 00001 00216 015 2112000*")-SUMIFS(E4226:E6462,K4226:K6462,"0",B4226:B6462,"5 1 2 1 6 12 31111 6 M59 94000 000181 0000R 00001 00216 015 2112000*")</f>
        <v>0</v>
      </c>
      <c r="E4225" s="54"/>
      <c r="F4225" s="83">
        <f>SUMIFS(F4226:F6462,K4226:K6462,"0",B4226:B6462,"5 1 2 1 6 12 31111 6 M59 94000 000181 0000R 00001 00216 015 2112000*")</f>
        <v>8719900.3599999994</v>
      </c>
      <c r="G4225" s="83">
        <f>SUMIFS(G4226:G6462,K4226:K6462,"0",B4226:B6462,"5 1 2 1 6 12 31111 6 M59 94000 000181 0000R 00001 00216 015 2112000*")</f>
        <v>0</v>
      </c>
      <c r="H4225" s="83">
        <f t="shared" si="66"/>
        <v>8719900.3599999994</v>
      </c>
      <c r="I4225" s="83"/>
      <c r="K4225" s="54" t="s">
        <v>15</v>
      </c>
    </row>
    <row r="4226" spans="2:11" ht="33" x14ac:dyDescent="0.2">
      <c r="B4226" s="82" t="s">
        <v>6733</v>
      </c>
      <c r="C4226" s="82" t="s">
        <v>660</v>
      </c>
      <c r="D4226" s="83">
        <f>SUMIFS(D4227:D6462,K4227:K6462,"0",B4227:B6462,"5 1 2 1 6 12 31111 6 M59 94000 000181 0000R 00001 00216 015 2112000 2024*")-SUMIFS(E4227:E6462,K4227:K6462,"0",B4227:B6462,"5 1 2 1 6 12 31111 6 M59 94000 000181 0000R 00001 00216 015 2112000 2024*")</f>
        <v>0</v>
      </c>
      <c r="E4226" s="54"/>
      <c r="F4226" s="83">
        <f>SUMIFS(F4227:F6462,K4227:K6462,"0",B4227:B6462,"5 1 2 1 6 12 31111 6 M59 94000 000181 0000R 00001 00216 015 2112000 2024*")</f>
        <v>8719900.3599999994</v>
      </c>
      <c r="G4226" s="83">
        <f>SUMIFS(G4227:G6462,K4227:K6462,"0",B4227:B6462,"5 1 2 1 6 12 31111 6 M59 94000 000181 0000R 00001 00216 015 2112000 2024*")</f>
        <v>0</v>
      </c>
      <c r="H4226" s="83">
        <f t="shared" si="66"/>
        <v>8719900.3599999994</v>
      </c>
      <c r="I4226" s="83"/>
      <c r="K4226" s="54" t="s">
        <v>15</v>
      </c>
    </row>
    <row r="4227" spans="2:11" ht="41.25" x14ac:dyDescent="0.2">
      <c r="B4227" s="82" t="s">
        <v>6734</v>
      </c>
      <c r="C4227" s="82" t="s">
        <v>1056</v>
      </c>
      <c r="D4227" s="83">
        <f>SUMIFS(D4228:D6462,K4228:K6462,"0",B4228:B6462,"5 1 2 1 6 12 31111 6 M59 94000 000181 0000R 00001 00216 015 2112000 2024 CP1OM392*")-SUMIFS(E4228:E6462,K4228:K6462,"0",B4228:B6462,"5 1 2 1 6 12 31111 6 M59 94000 000181 0000R 00001 00216 015 2112000 2024 CP1OM392*")</f>
        <v>0</v>
      </c>
      <c r="E4227" s="54"/>
      <c r="F4227" s="83">
        <f>SUMIFS(F4228:F6462,K4228:K6462,"0",B4228:B6462,"5 1 2 1 6 12 31111 6 M59 94000 000181 0000R 00001 00216 015 2112000 2024 CP1OM392*")</f>
        <v>8719900.3599999994</v>
      </c>
      <c r="G4227" s="83">
        <f>SUMIFS(G4228:G6462,K4228:K6462,"0",B4228:B6462,"5 1 2 1 6 12 31111 6 M59 94000 000181 0000R 00001 00216 015 2112000 2024 CP1OM392*")</f>
        <v>0</v>
      </c>
      <c r="H4227" s="83">
        <f t="shared" si="66"/>
        <v>8719900.3599999994</v>
      </c>
      <c r="I4227" s="83"/>
      <c r="K4227" s="54" t="s">
        <v>15</v>
      </c>
    </row>
    <row r="4228" spans="2:11" ht="41.25" x14ac:dyDescent="0.2">
      <c r="B4228" s="82" t="s">
        <v>6735</v>
      </c>
      <c r="C4228" s="82" t="s">
        <v>282</v>
      </c>
      <c r="D4228" s="83">
        <f>SUMIFS(D4229:D6462,K4229:K6462,"0",B4229:B6462,"5 1 2 1 6 12 31111 6 M59 94000 000181 0000R 00001 00216 015 2112000 2024 CP1OM392 001*")-SUMIFS(E4229:E6462,K4229:K6462,"0",B4229:B6462,"5 1 2 1 6 12 31111 6 M59 94000 000181 0000R 00001 00216 015 2112000 2024 CP1OM392 001*")</f>
        <v>0</v>
      </c>
      <c r="E4228" s="54"/>
      <c r="F4228" s="83">
        <f>SUMIFS(F4229:F6462,K4229:K6462,"0",B4229:B6462,"5 1 2 1 6 12 31111 6 M59 94000 000181 0000R 00001 00216 015 2112000 2024 CP1OM392 001*")</f>
        <v>8719900.3599999994</v>
      </c>
      <c r="G4228" s="83">
        <f>SUMIFS(G4229:G6462,K4229:K6462,"0",B4229:B6462,"5 1 2 1 6 12 31111 6 M59 94000 000181 0000R 00001 00216 015 2112000 2024 CP1OM392 001*")</f>
        <v>0</v>
      </c>
      <c r="H4228" s="83">
        <f t="shared" si="66"/>
        <v>8719900.3599999994</v>
      </c>
      <c r="I4228" s="83"/>
      <c r="K4228" s="54" t="s">
        <v>15</v>
      </c>
    </row>
    <row r="4229" spans="2:11" ht="33" x14ac:dyDescent="0.2">
      <c r="B4229" s="84" t="s">
        <v>6736</v>
      </c>
      <c r="C4229" s="84" t="s">
        <v>6638</v>
      </c>
      <c r="D4229" s="85">
        <v>0</v>
      </c>
      <c r="E4229" s="85"/>
      <c r="F4229" s="85">
        <v>8719900.3599999994</v>
      </c>
      <c r="G4229" s="85">
        <v>0</v>
      </c>
      <c r="H4229" s="85">
        <f t="shared" si="66"/>
        <v>8719900.3599999994</v>
      </c>
      <c r="I4229" s="85"/>
      <c r="K4229" s="54" t="s">
        <v>38</v>
      </c>
    </row>
    <row r="4230" spans="2:11" ht="16.5" x14ac:dyDescent="0.2">
      <c r="B4230" s="82" t="s">
        <v>6737</v>
      </c>
      <c r="C4230" s="82" t="s">
        <v>3693</v>
      </c>
      <c r="D4230" s="83">
        <f>SUMIFS(D4231:D6462,K4231:K6462,"0",B4231:B6462,"5 1 2 1 6 12 31111 6 M59 96100*")-SUMIFS(E4231:E6462,K4231:K6462,"0",B4231:B6462,"5 1 2 1 6 12 31111 6 M59 96100*")</f>
        <v>0</v>
      </c>
      <c r="E4230" s="54"/>
      <c r="F4230" s="83">
        <f>SUMIFS(F4231:F6462,K4231:K6462,"0",B4231:B6462,"5 1 2 1 6 12 31111 6 M59 96100*")</f>
        <v>3836933.31</v>
      </c>
      <c r="G4230" s="83">
        <f>SUMIFS(G4231:G6462,K4231:K6462,"0",B4231:B6462,"5 1 2 1 6 12 31111 6 M59 96100*")</f>
        <v>0</v>
      </c>
      <c r="H4230" s="83">
        <f t="shared" si="66"/>
        <v>3836933.31</v>
      </c>
      <c r="I4230" s="83"/>
      <c r="K4230" s="54" t="s">
        <v>15</v>
      </c>
    </row>
    <row r="4231" spans="2:11" ht="16.5" x14ac:dyDescent="0.2">
      <c r="B4231" s="82" t="s">
        <v>6738</v>
      </c>
      <c r="C4231" s="82" t="s">
        <v>1310</v>
      </c>
      <c r="D4231" s="83">
        <f>SUMIFS(D4232:D6462,K4232:K6462,"0",B4232:B6462,"5 1 2 1 6 12 31111 6 M59 96100 000211*")-SUMIFS(E4232:E6462,K4232:K6462,"0",B4232:B6462,"5 1 2 1 6 12 31111 6 M59 96100 000211*")</f>
        <v>0</v>
      </c>
      <c r="E4231" s="54"/>
      <c r="F4231" s="83">
        <f>SUMIFS(F4232:F6462,K4232:K6462,"0",B4232:B6462,"5 1 2 1 6 12 31111 6 M59 96100 000211*")</f>
        <v>3836933.31</v>
      </c>
      <c r="G4231" s="83">
        <f>SUMIFS(G4232:G6462,K4232:K6462,"0",B4232:B6462,"5 1 2 1 6 12 31111 6 M59 96100 000211*")</f>
        <v>0</v>
      </c>
      <c r="H4231" s="83">
        <f t="shared" si="66"/>
        <v>3836933.31</v>
      </c>
      <c r="I4231" s="83"/>
      <c r="K4231" s="54" t="s">
        <v>15</v>
      </c>
    </row>
    <row r="4232" spans="2:11" ht="24.75" x14ac:dyDescent="0.2">
      <c r="B4232" s="82" t="s">
        <v>6739</v>
      </c>
      <c r="C4232" s="82" t="s">
        <v>3696</v>
      </c>
      <c r="D4232" s="83">
        <f>SUMIFS(D4233:D6462,K4233:K6462,"0",B4233:B6462,"5 1 2 1 6 12 31111 6 M59 96100 000211 0000U*")-SUMIFS(E4233:E6462,K4233:K6462,"0",B4233:B6462,"5 1 2 1 6 12 31111 6 M59 96100 000211 0000U*")</f>
        <v>0</v>
      </c>
      <c r="E4232" s="54"/>
      <c r="F4232" s="83">
        <f>SUMIFS(F4233:F6462,K4233:K6462,"0",B4233:B6462,"5 1 2 1 6 12 31111 6 M59 96100 000211 0000U*")</f>
        <v>3836933.31</v>
      </c>
      <c r="G4232" s="83">
        <f>SUMIFS(G4233:G6462,K4233:K6462,"0",B4233:B6462,"5 1 2 1 6 12 31111 6 M59 96100 000211 0000U*")</f>
        <v>0</v>
      </c>
      <c r="H4232" s="83">
        <f t="shared" si="66"/>
        <v>3836933.31</v>
      </c>
      <c r="I4232" s="83"/>
      <c r="K4232" s="54" t="s">
        <v>15</v>
      </c>
    </row>
    <row r="4233" spans="2:11" ht="24.75" x14ac:dyDescent="0.2">
      <c r="B4233" s="82" t="s">
        <v>6740</v>
      </c>
      <c r="C4233" s="82" t="s">
        <v>282</v>
      </c>
      <c r="D4233" s="83">
        <f>SUMIFS(D4234:D6462,K4234:K6462,"0",B4234:B6462,"5 1 2 1 6 12 31111 6 M59 96100 000211 0000U 00001*")-SUMIFS(E4234:E6462,K4234:K6462,"0",B4234:B6462,"5 1 2 1 6 12 31111 6 M59 96100 000211 0000U 00001*")</f>
        <v>0</v>
      </c>
      <c r="E4233" s="54"/>
      <c r="F4233" s="83">
        <f>SUMIFS(F4234:F6462,K4234:K6462,"0",B4234:B6462,"5 1 2 1 6 12 31111 6 M59 96100 000211 0000U 00001*")</f>
        <v>3836933.31</v>
      </c>
      <c r="G4233" s="83">
        <f>SUMIFS(G4234:G6462,K4234:K6462,"0",B4234:B6462,"5 1 2 1 6 12 31111 6 M59 96100 000211 0000U 00001*")</f>
        <v>0</v>
      </c>
      <c r="H4233" s="83">
        <f t="shared" si="66"/>
        <v>3836933.31</v>
      </c>
      <c r="I4233" s="83"/>
      <c r="K4233" s="54" t="s">
        <v>15</v>
      </c>
    </row>
    <row r="4234" spans="2:11" ht="24.75" x14ac:dyDescent="0.2">
      <c r="B4234" s="82" t="s">
        <v>6741</v>
      </c>
      <c r="C4234" s="82" t="s">
        <v>6648</v>
      </c>
      <c r="D4234" s="83">
        <f>SUMIFS(D4235:D6462,K4235:K6462,"0",B4235:B6462,"5 1 2 1 6 12 31111 6 M59 96100 000211 0000U 00001 00216*")-SUMIFS(E4235:E6462,K4235:K6462,"0",B4235:B6462,"5 1 2 1 6 12 31111 6 M59 96100 000211 0000U 00001 00216*")</f>
        <v>0</v>
      </c>
      <c r="E4234" s="54"/>
      <c r="F4234" s="83">
        <f>SUMIFS(F4235:F6462,K4235:K6462,"0",B4235:B6462,"5 1 2 1 6 12 31111 6 M59 96100 000211 0000U 00001 00216*")</f>
        <v>3836933.31</v>
      </c>
      <c r="G4234" s="83">
        <f>SUMIFS(G4235:G6462,K4235:K6462,"0",B4235:B6462,"5 1 2 1 6 12 31111 6 M59 96100 000211 0000U 00001 00216*")</f>
        <v>0</v>
      </c>
      <c r="H4234" s="83">
        <f t="shared" si="66"/>
        <v>3836933.31</v>
      </c>
      <c r="I4234" s="83"/>
      <c r="K4234" s="54" t="s">
        <v>15</v>
      </c>
    </row>
    <row r="4235" spans="2:11" ht="33" x14ac:dyDescent="0.2">
      <c r="B4235" s="82" t="s">
        <v>6742</v>
      </c>
      <c r="C4235" s="82" t="s">
        <v>1051</v>
      </c>
      <c r="D4235" s="83">
        <f>SUMIFS(D4236:D6462,K4236:K6462,"0",B4236:B6462,"5 1 2 1 6 12 31111 6 M59 96100 000211 0000U 00001 00216 015*")-SUMIFS(E4236:E6462,K4236:K6462,"0",B4236:B6462,"5 1 2 1 6 12 31111 6 M59 96100 000211 0000U 00001 00216 015*")</f>
        <v>0</v>
      </c>
      <c r="E4235" s="54"/>
      <c r="F4235" s="83">
        <f>SUMIFS(F4236:F6462,K4236:K6462,"0",B4236:B6462,"5 1 2 1 6 12 31111 6 M59 96100 000211 0000U 00001 00216 015*")</f>
        <v>3836933.31</v>
      </c>
      <c r="G4235" s="83">
        <f>SUMIFS(G4236:G6462,K4236:K6462,"0",B4236:B6462,"5 1 2 1 6 12 31111 6 M59 96100 000211 0000U 00001 00216 015*")</f>
        <v>0</v>
      </c>
      <c r="H4235" s="83">
        <f t="shared" si="66"/>
        <v>3836933.31</v>
      </c>
      <c r="I4235" s="83"/>
      <c r="K4235" s="54" t="s">
        <v>15</v>
      </c>
    </row>
    <row r="4236" spans="2:11" ht="33" x14ac:dyDescent="0.2">
      <c r="B4236" s="82" t="s">
        <v>6743</v>
      </c>
      <c r="C4236" s="82" t="s">
        <v>5830</v>
      </c>
      <c r="D4236" s="83">
        <f>SUMIFS(D4237:D6462,K4237:K6462,"0",B4237:B6462,"5 1 2 1 6 12 31111 6 M59 96100 000211 0000U 00001 00216 015 2112000*")-SUMIFS(E4237:E6462,K4237:K6462,"0",B4237:B6462,"5 1 2 1 6 12 31111 6 M59 96100 000211 0000U 00001 00216 015 2112000*")</f>
        <v>0</v>
      </c>
      <c r="E4236" s="54"/>
      <c r="F4236" s="83">
        <f>SUMIFS(F4237:F6462,K4237:K6462,"0",B4237:B6462,"5 1 2 1 6 12 31111 6 M59 96100 000211 0000U 00001 00216 015 2112000*")</f>
        <v>3836933.31</v>
      </c>
      <c r="G4236" s="83">
        <f>SUMIFS(G4237:G6462,K4237:K6462,"0",B4237:B6462,"5 1 2 1 6 12 31111 6 M59 96100 000211 0000U 00001 00216 015 2112000*")</f>
        <v>0</v>
      </c>
      <c r="H4236" s="83">
        <f t="shared" si="66"/>
        <v>3836933.31</v>
      </c>
      <c r="I4236" s="83"/>
      <c r="K4236" s="54" t="s">
        <v>15</v>
      </c>
    </row>
    <row r="4237" spans="2:11" ht="33" x14ac:dyDescent="0.2">
      <c r="B4237" s="82" t="s">
        <v>6744</v>
      </c>
      <c r="C4237" s="82" t="s">
        <v>660</v>
      </c>
      <c r="D4237" s="83">
        <f>SUMIFS(D4238:D6462,K4238:K6462,"0",B4238:B6462,"5 1 2 1 6 12 31111 6 M59 96100 000211 0000U 00001 00216 015 2112000 2024*")-SUMIFS(E4238:E6462,K4238:K6462,"0",B4238:B6462,"5 1 2 1 6 12 31111 6 M59 96100 000211 0000U 00001 00216 015 2112000 2024*")</f>
        <v>0</v>
      </c>
      <c r="E4237" s="54"/>
      <c r="F4237" s="83">
        <f>SUMIFS(F4238:F6462,K4238:K6462,"0",B4238:B6462,"5 1 2 1 6 12 31111 6 M59 96100 000211 0000U 00001 00216 015 2112000 2024*")</f>
        <v>3836933.31</v>
      </c>
      <c r="G4237" s="83">
        <f>SUMIFS(G4238:G6462,K4238:K6462,"0",B4238:B6462,"5 1 2 1 6 12 31111 6 M59 96100 000211 0000U 00001 00216 015 2112000 2024*")</f>
        <v>0</v>
      </c>
      <c r="H4237" s="83">
        <f t="shared" si="66"/>
        <v>3836933.31</v>
      </c>
      <c r="I4237" s="83"/>
      <c r="K4237" s="54" t="s">
        <v>15</v>
      </c>
    </row>
    <row r="4238" spans="2:11" ht="41.25" x14ac:dyDescent="0.2">
      <c r="B4238" s="82" t="s">
        <v>6745</v>
      </c>
      <c r="C4238" s="82" t="s">
        <v>1056</v>
      </c>
      <c r="D4238" s="83">
        <f>SUMIFS(D4239:D6462,K4239:K6462,"0",B4239:B6462,"5 1 2 1 6 12 31111 6 M59 96100 000211 0000U 00001 00216 015 2112000 2024 CP1IU412*")-SUMIFS(E4239:E6462,K4239:K6462,"0",B4239:B6462,"5 1 2 1 6 12 31111 6 M59 96100 000211 0000U 00001 00216 015 2112000 2024 CP1IU412*")</f>
        <v>0</v>
      </c>
      <c r="E4238" s="54"/>
      <c r="F4238" s="83">
        <f>SUMIFS(F4239:F6462,K4239:K6462,"0",B4239:B6462,"5 1 2 1 6 12 31111 6 M59 96100 000211 0000U 00001 00216 015 2112000 2024 CP1IU412*")</f>
        <v>3836933.31</v>
      </c>
      <c r="G4238" s="83">
        <f>SUMIFS(G4239:G6462,K4239:K6462,"0",B4239:B6462,"5 1 2 1 6 12 31111 6 M59 96100 000211 0000U 00001 00216 015 2112000 2024 CP1IU412*")</f>
        <v>0</v>
      </c>
      <c r="H4238" s="83">
        <f t="shared" si="66"/>
        <v>3836933.31</v>
      </c>
      <c r="I4238" s="83"/>
      <c r="K4238" s="54" t="s">
        <v>15</v>
      </c>
    </row>
    <row r="4239" spans="2:11" ht="41.25" x14ac:dyDescent="0.2">
      <c r="B4239" s="82" t="s">
        <v>6746</v>
      </c>
      <c r="C4239" s="82" t="s">
        <v>282</v>
      </c>
      <c r="D4239" s="83">
        <f>SUMIFS(D4240:D6462,K4240:K6462,"0",B4240:B6462,"5 1 2 1 6 12 31111 6 M59 96100 000211 0000U 00001 00216 015 2112000 2024 CP1IU412 001*")-SUMIFS(E4240:E6462,K4240:K6462,"0",B4240:B6462,"5 1 2 1 6 12 31111 6 M59 96100 000211 0000U 00001 00216 015 2112000 2024 CP1IU412 001*")</f>
        <v>0</v>
      </c>
      <c r="E4239" s="54"/>
      <c r="F4239" s="83">
        <f>SUMIFS(F4240:F6462,K4240:K6462,"0",B4240:B6462,"5 1 2 1 6 12 31111 6 M59 96100 000211 0000U 00001 00216 015 2112000 2024 CP1IU412 001*")</f>
        <v>3836933.31</v>
      </c>
      <c r="G4239" s="83">
        <f>SUMIFS(G4240:G6462,K4240:K6462,"0",B4240:B6462,"5 1 2 1 6 12 31111 6 M59 96100 000211 0000U 00001 00216 015 2112000 2024 CP1IU412 001*")</f>
        <v>0</v>
      </c>
      <c r="H4239" s="83">
        <f t="shared" si="66"/>
        <v>3836933.31</v>
      </c>
      <c r="I4239" s="83"/>
      <c r="K4239" s="54" t="s">
        <v>15</v>
      </c>
    </row>
    <row r="4240" spans="2:11" ht="33" x14ac:dyDescent="0.2">
      <c r="B4240" s="84" t="s">
        <v>6747</v>
      </c>
      <c r="C4240" s="84" t="s">
        <v>6638</v>
      </c>
      <c r="D4240" s="85">
        <v>0</v>
      </c>
      <c r="E4240" s="85"/>
      <c r="F4240" s="85">
        <v>3836933.31</v>
      </c>
      <c r="G4240" s="85">
        <v>0</v>
      </c>
      <c r="H4240" s="85">
        <f t="shared" si="66"/>
        <v>3836933.31</v>
      </c>
      <c r="I4240" s="85"/>
      <c r="K4240" s="54" t="s">
        <v>38</v>
      </c>
    </row>
    <row r="4241" spans="2:11" ht="16.5" x14ac:dyDescent="0.2">
      <c r="B4241" s="82" t="s">
        <v>6748</v>
      </c>
      <c r="C4241" s="82" t="s">
        <v>1308</v>
      </c>
      <c r="D4241" s="83">
        <f>SUMIFS(D4242:D6462,K4242:K6462,"0",B4242:B6462,"5 1 2 1 6 12 31111 6 M59 96300*")-SUMIFS(E4242:E6462,K4242:K6462,"0",B4242:B6462,"5 1 2 1 6 12 31111 6 M59 96300*")</f>
        <v>0</v>
      </c>
      <c r="E4241" s="54"/>
      <c r="F4241" s="83">
        <f>SUMIFS(F4242:F6462,K4242:K6462,"0",B4242:B6462,"5 1 2 1 6 12 31111 6 M59 96300*")</f>
        <v>110448.41</v>
      </c>
      <c r="G4241" s="83">
        <f>SUMIFS(G4242:G6462,K4242:K6462,"0",B4242:B6462,"5 1 2 1 6 12 31111 6 M59 96300*")</f>
        <v>0</v>
      </c>
      <c r="H4241" s="83">
        <f t="shared" si="66"/>
        <v>110448.41</v>
      </c>
      <c r="I4241" s="83"/>
      <c r="K4241" s="54" t="s">
        <v>15</v>
      </c>
    </row>
    <row r="4242" spans="2:11" ht="16.5" x14ac:dyDescent="0.2">
      <c r="B4242" s="82" t="s">
        <v>6749</v>
      </c>
      <c r="C4242" s="82" t="s">
        <v>1310</v>
      </c>
      <c r="D4242" s="83">
        <f>SUMIFS(D4243:D6462,K4243:K6462,"0",B4243:B6462,"5 1 2 1 6 12 31111 6 M59 96300 000211*")-SUMIFS(E4243:E6462,K4243:K6462,"0",B4243:B6462,"5 1 2 1 6 12 31111 6 M59 96300 000211*")</f>
        <v>0</v>
      </c>
      <c r="E4242" s="54"/>
      <c r="F4242" s="83">
        <f>SUMIFS(F4243:F6462,K4243:K6462,"0",B4243:B6462,"5 1 2 1 6 12 31111 6 M59 96300 000211*")</f>
        <v>110448.41</v>
      </c>
      <c r="G4242" s="83">
        <f>SUMIFS(G4243:G6462,K4243:K6462,"0",B4243:B6462,"5 1 2 1 6 12 31111 6 M59 96300 000211*")</f>
        <v>0</v>
      </c>
      <c r="H4242" s="83">
        <f t="shared" si="66"/>
        <v>110448.41</v>
      </c>
      <c r="I4242" s="83"/>
      <c r="K4242" s="54" t="s">
        <v>15</v>
      </c>
    </row>
    <row r="4243" spans="2:11" ht="24.75" x14ac:dyDescent="0.2">
      <c r="B4243" s="82" t="s">
        <v>6750</v>
      </c>
      <c r="C4243" s="82" t="s">
        <v>1065</v>
      </c>
      <c r="D4243" s="83">
        <f>SUMIFS(D4244:D6462,K4244:K6462,"0",B4244:B6462,"5 1 2 1 6 12 31111 6 M59 96300 000211 0000E*")-SUMIFS(E4244:E6462,K4244:K6462,"0",B4244:B6462,"5 1 2 1 6 12 31111 6 M59 96300 000211 0000E*")</f>
        <v>0</v>
      </c>
      <c r="E4243" s="54"/>
      <c r="F4243" s="83">
        <f>SUMIFS(F4244:F6462,K4244:K6462,"0",B4244:B6462,"5 1 2 1 6 12 31111 6 M59 96300 000211 0000E*")</f>
        <v>110448.41</v>
      </c>
      <c r="G4243" s="83">
        <f>SUMIFS(G4244:G6462,K4244:K6462,"0",B4244:B6462,"5 1 2 1 6 12 31111 6 M59 96300 000211 0000E*")</f>
        <v>0</v>
      </c>
      <c r="H4243" s="83">
        <f t="shared" si="66"/>
        <v>110448.41</v>
      </c>
      <c r="I4243" s="83"/>
      <c r="K4243" s="54" t="s">
        <v>15</v>
      </c>
    </row>
    <row r="4244" spans="2:11" ht="24.75" x14ac:dyDescent="0.2">
      <c r="B4244" s="82" t="s">
        <v>6751</v>
      </c>
      <c r="C4244" s="82" t="s">
        <v>282</v>
      </c>
      <c r="D4244" s="83">
        <f>SUMIFS(D4245:D6462,K4245:K6462,"0",B4245:B6462,"5 1 2 1 6 12 31111 6 M59 96300 000211 0000E 00001*")-SUMIFS(E4245:E6462,K4245:K6462,"0",B4245:B6462,"5 1 2 1 6 12 31111 6 M59 96300 000211 0000E 00001*")</f>
        <v>0</v>
      </c>
      <c r="E4244" s="54"/>
      <c r="F4244" s="83">
        <f>SUMIFS(F4245:F6462,K4245:K6462,"0",B4245:B6462,"5 1 2 1 6 12 31111 6 M59 96300 000211 0000E 00001*")</f>
        <v>110448.41</v>
      </c>
      <c r="G4244" s="83">
        <f>SUMIFS(G4245:G6462,K4245:K6462,"0",B4245:B6462,"5 1 2 1 6 12 31111 6 M59 96300 000211 0000E 00001*")</f>
        <v>0</v>
      </c>
      <c r="H4244" s="83">
        <f t="shared" si="66"/>
        <v>110448.41</v>
      </c>
      <c r="I4244" s="83"/>
      <c r="K4244" s="54" t="s">
        <v>15</v>
      </c>
    </row>
    <row r="4245" spans="2:11" ht="24.75" x14ac:dyDescent="0.2">
      <c r="B4245" s="82" t="s">
        <v>6752</v>
      </c>
      <c r="C4245" s="82" t="s">
        <v>6648</v>
      </c>
      <c r="D4245" s="83">
        <f>SUMIFS(D4246:D6462,K4246:K6462,"0",B4246:B6462,"5 1 2 1 6 12 31111 6 M59 96300 000211 0000E 00001 00216*")-SUMIFS(E4246:E6462,K4246:K6462,"0",B4246:B6462,"5 1 2 1 6 12 31111 6 M59 96300 000211 0000E 00001 00216*")</f>
        <v>0</v>
      </c>
      <c r="E4245" s="54"/>
      <c r="F4245" s="83">
        <f>SUMIFS(F4246:F6462,K4246:K6462,"0",B4246:B6462,"5 1 2 1 6 12 31111 6 M59 96300 000211 0000E 00001 00216*")</f>
        <v>110448.41</v>
      </c>
      <c r="G4245" s="83">
        <f>SUMIFS(G4246:G6462,K4246:K6462,"0",B4246:B6462,"5 1 2 1 6 12 31111 6 M59 96300 000211 0000E 00001 00216*")</f>
        <v>0</v>
      </c>
      <c r="H4245" s="83">
        <f t="shared" si="66"/>
        <v>110448.41</v>
      </c>
      <c r="I4245" s="83"/>
      <c r="K4245" s="54" t="s">
        <v>15</v>
      </c>
    </row>
    <row r="4246" spans="2:11" ht="33" x14ac:dyDescent="0.2">
      <c r="B4246" s="82" t="s">
        <v>6760</v>
      </c>
      <c r="C4246" s="82" t="s">
        <v>1051</v>
      </c>
      <c r="D4246" s="83">
        <f>SUMIFS(D4247:D6462,K4247:K6462,"0",B4247:B6462,"5 1 2 1 6 12 31111 6 M59 96300 000211 0000E 00001 00216 015*")-SUMIFS(E4247:E6462,K4247:K6462,"0",B4247:B6462,"5 1 2 1 6 12 31111 6 M59 96300 000211 0000E 00001 00216 015*")</f>
        <v>0</v>
      </c>
      <c r="E4246" s="54"/>
      <c r="F4246" s="83">
        <f>SUMIFS(F4247:F6462,K4247:K6462,"0",B4247:B6462,"5 1 2 1 6 12 31111 6 M59 96300 000211 0000E 00001 00216 015*")</f>
        <v>110448.41</v>
      </c>
      <c r="G4246" s="83">
        <f>SUMIFS(G4247:G6462,K4247:K6462,"0",B4247:B6462,"5 1 2 1 6 12 31111 6 M59 96300 000211 0000E 00001 00216 015*")</f>
        <v>0</v>
      </c>
      <c r="H4246" s="83">
        <f t="shared" si="66"/>
        <v>110448.41</v>
      </c>
      <c r="I4246" s="83"/>
      <c r="K4246" s="54" t="s">
        <v>15</v>
      </c>
    </row>
    <row r="4247" spans="2:11" ht="33" x14ac:dyDescent="0.2">
      <c r="B4247" s="82" t="s">
        <v>6761</v>
      </c>
      <c r="C4247" s="82" t="s">
        <v>5830</v>
      </c>
      <c r="D4247" s="83">
        <f>SUMIFS(D4248:D6462,K4248:K6462,"0",B4248:B6462,"5 1 2 1 6 12 31111 6 M59 96300 000211 0000E 00001 00216 015 2112000*")-SUMIFS(E4248:E6462,K4248:K6462,"0",B4248:B6462,"5 1 2 1 6 12 31111 6 M59 96300 000211 0000E 00001 00216 015 2112000*")</f>
        <v>0</v>
      </c>
      <c r="E4247" s="54"/>
      <c r="F4247" s="83">
        <f>SUMIFS(F4248:F6462,K4248:K6462,"0",B4248:B6462,"5 1 2 1 6 12 31111 6 M59 96300 000211 0000E 00001 00216 015 2112000*")</f>
        <v>110448.41</v>
      </c>
      <c r="G4247" s="83">
        <f>SUMIFS(G4248:G6462,K4248:K6462,"0",B4248:B6462,"5 1 2 1 6 12 31111 6 M59 96300 000211 0000E 00001 00216 015 2112000*")</f>
        <v>0</v>
      </c>
      <c r="H4247" s="83">
        <f t="shared" si="66"/>
        <v>110448.41</v>
      </c>
      <c r="I4247" s="83"/>
      <c r="K4247" s="54" t="s">
        <v>15</v>
      </c>
    </row>
    <row r="4248" spans="2:11" ht="33" x14ac:dyDescent="0.2">
      <c r="B4248" s="82" t="s">
        <v>6762</v>
      </c>
      <c r="C4248" s="82" t="s">
        <v>660</v>
      </c>
      <c r="D4248" s="83">
        <f>SUMIFS(D4249:D6462,K4249:K6462,"0",B4249:B6462,"5 1 2 1 6 12 31111 6 M59 96300 000211 0000E 00001 00216 015 2112000 2024*")-SUMIFS(E4249:E6462,K4249:K6462,"0",B4249:B6462,"5 1 2 1 6 12 31111 6 M59 96300 000211 0000E 00001 00216 015 2112000 2024*")</f>
        <v>0</v>
      </c>
      <c r="E4248" s="54"/>
      <c r="F4248" s="83">
        <f>SUMIFS(F4249:F6462,K4249:K6462,"0",B4249:B6462,"5 1 2 1 6 12 31111 6 M59 96300 000211 0000E 00001 00216 015 2112000 2024*")</f>
        <v>110448.41</v>
      </c>
      <c r="G4248" s="83">
        <f>SUMIFS(G4249:G6462,K4249:K6462,"0",B4249:B6462,"5 1 2 1 6 12 31111 6 M59 96300 000211 0000E 00001 00216 015 2112000 2024*")</f>
        <v>0</v>
      </c>
      <c r="H4248" s="83">
        <f t="shared" si="66"/>
        <v>110448.41</v>
      </c>
      <c r="I4248" s="83"/>
      <c r="K4248" s="54" t="s">
        <v>15</v>
      </c>
    </row>
    <row r="4249" spans="2:11" ht="41.25" x14ac:dyDescent="0.2">
      <c r="B4249" s="82" t="s">
        <v>6763</v>
      </c>
      <c r="C4249" s="82" t="s">
        <v>1056</v>
      </c>
      <c r="D4249" s="83">
        <f>SUMIFS(D4250:D6462,K4250:K6462,"0",B4250:B6462,"5 1 2 1 6 12 31111 6 M59 96300 000211 0000E 00001 00216 015 2112000 2024 CP1SB396*")-SUMIFS(E4250:E6462,K4250:K6462,"0",B4250:B6462,"5 1 2 1 6 12 31111 6 M59 96300 000211 0000E 00001 00216 015 2112000 2024 CP1SB396*")</f>
        <v>0</v>
      </c>
      <c r="E4249" s="54"/>
      <c r="F4249" s="83">
        <f>SUMIFS(F4250:F6462,K4250:K6462,"0",B4250:B6462,"5 1 2 1 6 12 31111 6 M59 96300 000211 0000E 00001 00216 015 2112000 2024 CP1SB396*")</f>
        <v>110448.41</v>
      </c>
      <c r="G4249" s="83">
        <f>SUMIFS(G4250:G6462,K4250:K6462,"0",B4250:B6462,"5 1 2 1 6 12 31111 6 M59 96300 000211 0000E 00001 00216 015 2112000 2024 CP1SB396*")</f>
        <v>0</v>
      </c>
      <c r="H4249" s="83">
        <f t="shared" si="66"/>
        <v>110448.41</v>
      </c>
      <c r="I4249" s="83"/>
      <c r="K4249" s="54" t="s">
        <v>15</v>
      </c>
    </row>
    <row r="4250" spans="2:11" ht="41.25" x14ac:dyDescent="0.2">
      <c r="B4250" s="82" t="s">
        <v>6764</v>
      </c>
      <c r="C4250" s="82" t="s">
        <v>282</v>
      </c>
      <c r="D4250" s="83">
        <f>SUMIFS(D4251:D6462,K4251:K6462,"0",B4251:B6462,"5 1 2 1 6 12 31111 6 M59 96300 000211 0000E 00001 00216 015 2112000 2024 CP1SB396 001*")-SUMIFS(E4251:E6462,K4251:K6462,"0",B4251:B6462,"5 1 2 1 6 12 31111 6 M59 96300 000211 0000E 00001 00216 015 2112000 2024 CP1SB396 001*")</f>
        <v>0</v>
      </c>
      <c r="E4250" s="54"/>
      <c r="F4250" s="83">
        <f>SUMIFS(F4251:F6462,K4251:K6462,"0",B4251:B6462,"5 1 2 1 6 12 31111 6 M59 96300 000211 0000E 00001 00216 015 2112000 2024 CP1SB396 001*")</f>
        <v>110448.41</v>
      </c>
      <c r="G4250" s="83">
        <f>SUMIFS(G4251:G6462,K4251:K6462,"0",B4251:B6462,"5 1 2 1 6 12 31111 6 M59 96300 000211 0000E 00001 00216 015 2112000 2024 CP1SB396 001*")</f>
        <v>0</v>
      </c>
      <c r="H4250" s="83">
        <f t="shared" si="66"/>
        <v>110448.41</v>
      </c>
      <c r="I4250" s="83"/>
      <c r="K4250" s="54" t="s">
        <v>15</v>
      </c>
    </row>
    <row r="4251" spans="2:11" ht="33" x14ac:dyDescent="0.2">
      <c r="B4251" s="84" t="s">
        <v>6765</v>
      </c>
      <c r="C4251" s="84" t="s">
        <v>6648</v>
      </c>
      <c r="D4251" s="85">
        <v>0</v>
      </c>
      <c r="E4251" s="85"/>
      <c r="F4251" s="85">
        <v>110448.41</v>
      </c>
      <c r="G4251" s="85">
        <v>0</v>
      </c>
      <c r="H4251" s="85">
        <f t="shared" si="66"/>
        <v>110448.41</v>
      </c>
      <c r="I4251" s="85"/>
      <c r="K4251" s="54" t="s">
        <v>38</v>
      </c>
    </row>
    <row r="4252" spans="2:11" ht="12.75" x14ac:dyDescent="0.2">
      <c r="B4252" s="82" t="s">
        <v>6796</v>
      </c>
      <c r="C4252" s="82" t="s">
        <v>507</v>
      </c>
      <c r="D4252" s="83">
        <f>SUMIFS(D4253:D6462,K4253:K6462,"0",B4253:B6462,"5 1 2 2*")-SUMIFS(E4253:E6462,K4253:K6462,"0",B4253:B6462,"5 1 2 2*")</f>
        <v>0</v>
      </c>
      <c r="E4252" s="54"/>
      <c r="F4252" s="83">
        <f>SUMIFS(F4253:F6462,K4253:K6462,"0",B4253:B6462,"5 1 2 2*")</f>
        <v>19970.949999999997</v>
      </c>
      <c r="G4252" s="83">
        <f>SUMIFS(G4253:G6462,K4253:K6462,"0",B4253:B6462,"5 1 2 2*")</f>
        <v>0</v>
      </c>
      <c r="H4252" s="83">
        <f t="shared" si="66"/>
        <v>19970.949999999997</v>
      </c>
      <c r="I4252" s="83"/>
      <c r="K4252" s="54" t="s">
        <v>15</v>
      </c>
    </row>
    <row r="4253" spans="2:11" ht="16.5" x14ac:dyDescent="0.2">
      <c r="B4253" s="82" t="s">
        <v>6797</v>
      </c>
      <c r="C4253" s="82" t="s">
        <v>6798</v>
      </c>
      <c r="D4253" s="83">
        <f>SUMIFS(D4254:D6462,K4254:K6462,"0",B4254:B6462,"5 1 2 2 1*")-SUMIFS(E4254:E6462,K4254:K6462,"0",B4254:B6462,"5 1 2 2 1*")</f>
        <v>0</v>
      </c>
      <c r="E4253" s="54"/>
      <c r="F4253" s="83">
        <f>SUMIFS(F4254:F6462,K4254:K6462,"0",B4254:B6462,"5 1 2 2 1*")</f>
        <v>14952.05</v>
      </c>
      <c r="G4253" s="83">
        <f>SUMIFS(G4254:G6462,K4254:K6462,"0",B4254:B6462,"5 1 2 2 1*")</f>
        <v>0</v>
      </c>
      <c r="H4253" s="83">
        <f t="shared" si="66"/>
        <v>14952.05</v>
      </c>
      <c r="I4253" s="83"/>
      <c r="K4253" s="54" t="s">
        <v>15</v>
      </c>
    </row>
    <row r="4254" spans="2:11" ht="12.75" x14ac:dyDescent="0.2">
      <c r="B4254" s="82" t="s">
        <v>6799</v>
      </c>
      <c r="C4254" s="82" t="s">
        <v>26</v>
      </c>
      <c r="D4254" s="83">
        <f>SUMIFS(D4255:D6462,K4255:K6462,"0",B4255:B6462,"5 1 2 2 1 12*")-SUMIFS(E4255:E6462,K4255:K6462,"0",B4255:B6462,"5 1 2 2 1 12*")</f>
        <v>0</v>
      </c>
      <c r="E4254" s="54"/>
      <c r="F4254" s="83">
        <f>SUMIFS(F4255:F6462,K4255:K6462,"0",B4255:B6462,"5 1 2 2 1 12*")</f>
        <v>14952.05</v>
      </c>
      <c r="G4254" s="83">
        <f>SUMIFS(G4255:G6462,K4255:K6462,"0",B4255:B6462,"5 1 2 2 1 12*")</f>
        <v>0</v>
      </c>
      <c r="H4254" s="83">
        <f t="shared" si="66"/>
        <v>14952.05</v>
      </c>
      <c r="I4254" s="83"/>
      <c r="K4254" s="54" t="s">
        <v>15</v>
      </c>
    </row>
    <row r="4255" spans="2:11" ht="16.5" x14ac:dyDescent="0.2">
      <c r="B4255" s="82" t="s">
        <v>6800</v>
      </c>
      <c r="C4255" s="82" t="s">
        <v>28</v>
      </c>
      <c r="D4255" s="83">
        <f>SUMIFS(D4256:D6462,K4256:K6462,"0",B4256:B6462,"5 1 2 2 1 12 31111*")-SUMIFS(E4256:E6462,K4256:K6462,"0",B4256:B6462,"5 1 2 2 1 12 31111*")</f>
        <v>0</v>
      </c>
      <c r="E4255" s="54"/>
      <c r="F4255" s="83">
        <f>SUMIFS(F4256:F6462,K4256:K6462,"0",B4256:B6462,"5 1 2 2 1 12 31111*")</f>
        <v>14952.05</v>
      </c>
      <c r="G4255" s="83">
        <f>SUMIFS(G4256:G6462,K4256:K6462,"0",B4256:B6462,"5 1 2 2 1 12 31111*")</f>
        <v>0</v>
      </c>
      <c r="H4255" s="83">
        <f t="shared" si="66"/>
        <v>14952.05</v>
      </c>
      <c r="I4255" s="83"/>
      <c r="K4255" s="54" t="s">
        <v>15</v>
      </c>
    </row>
    <row r="4256" spans="2:11" ht="12.75" x14ac:dyDescent="0.2">
      <c r="B4256" s="82" t="s">
        <v>6801</v>
      </c>
      <c r="C4256" s="82" t="s">
        <v>30</v>
      </c>
      <c r="D4256" s="83">
        <f>SUMIFS(D4257:D6462,K4257:K6462,"0",B4257:B6462,"5 1 2 2 1 12 31111 6*")-SUMIFS(E4257:E6462,K4257:K6462,"0",B4257:B6462,"5 1 2 2 1 12 31111 6*")</f>
        <v>0</v>
      </c>
      <c r="E4256" s="54"/>
      <c r="F4256" s="83">
        <f>SUMIFS(F4257:F6462,K4257:K6462,"0",B4257:B6462,"5 1 2 2 1 12 31111 6*")</f>
        <v>14952.05</v>
      </c>
      <c r="G4256" s="83">
        <f>SUMIFS(G4257:G6462,K4257:K6462,"0",B4257:B6462,"5 1 2 2 1 12 31111 6*")</f>
        <v>0</v>
      </c>
      <c r="H4256" s="83">
        <f t="shared" si="66"/>
        <v>14952.05</v>
      </c>
      <c r="I4256" s="83"/>
      <c r="K4256" s="54" t="s">
        <v>15</v>
      </c>
    </row>
    <row r="4257" spans="2:11" ht="16.5" x14ac:dyDescent="0.2">
      <c r="B4257" s="82" t="s">
        <v>6802</v>
      </c>
      <c r="C4257" s="82" t="s">
        <v>2284</v>
      </c>
      <c r="D4257" s="83">
        <f>SUMIFS(D4258:D6462,K4258:K6462,"0",B4258:B6462,"5 1 2 2 1 12 31111 6 M59*")-SUMIFS(E4258:E6462,K4258:K6462,"0",B4258:B6462,"5 1 2 2 1 12 31111 6 M59*")</f>
        <v>0</v>
      </c>
      <c r="E4257" s="54"/>
      <c r="F4257" s="83">
        <f>SUMIFS(F4258:F6462,K4258:K6462,"0",B4258:B6462,"5 1 2 2 1 12 31111 6 M59*")</f>
        <v>14952.05</v>
      </c>
      <c r="G4257" s="83">
        <f>SUMIFS(G4258:G6462,K4258:K6462,"0",B4258:B6462,"5 1 2 2 1 12 31111 6 M59*")</f>
        <v>0</v>
      </c>
      <c r="H4257" s="83">
        <f t="shared" si="66"/>
        <v>14952.05</v>
      </c>
      <c r="I4257" s="83"/>
      <c r="K4257" s="54" t="s">
        <v>15</v>
      </c>
    </row>
    <row r="4258" spans="2:11" ht="16.5" x14ac:dyDescent="0.2">
      <c r="B4258" s="82" t="s">
        <v>6803</v>
      </c>
      <c r="C4258" s="82" t="s">
        <v>1044</v>
      </c>
      <c r="D4258" s="83">
        <f>SUMIFS(D4259:D6462,K4259:K6462,"0",B4259:B6462,"5 1 2 2 1 12 31111 6 M59 19000*")-SUMIFS(E4259:E6462,K4259:K6462,"0",B4259:B6462,"5 1 2 2 1 12 31111 6 M59 19000*")</f>
        <v>0</v>
      </c>
      <c r="E4258" s="54"/>
      <c r="F4258" s="83">
        <f>SUMIFS(F4259:F6462,K4259:K6462,"0",B4259:B6462,"5 1 2 2 1 12 31111 6 M59 19000*")</f>
        <v>2937</v>
      </c>
      <c r="G4258" s="83">
        <f>SUMIFS(G4259:G6462,K4259:K6462,"0",B4259:B6462,"5 1 2 2 1 12 31111 6 M59 19000*")</f>
        <v>0</v>
      </c>
      <c r="H4258" s="83">
        <f t="shared" si="66"/>
        <v>2937</v>
      </c>
      <c r="I4258" s="83"/>
      <c r="K4258" s="54" t="s">
        <v>15</v>
      </c>
    </row>
    <row r="4259" spans="2:11" ht="16.5" x14ac:dyDescent="0.2">
      <c r="B4259" s="82" t="s">
        <v>6804</v>
      </c>
      <c r="C4259" s="82" t="s">
        <v>648</v>
      </c>
      <c r="D4259" s="83">
        <f>SUMIFS(D4260:D6462,K4260:K6462,"0",B4260:B6462,"5 1 2 2 1 12 31111 6 M59 19000 000132*")-SUMIFS(E4260:E6462,K4260:K6462,"0",B4260:B6462,"5 1 2 2 1 12 31111 6 M59 19000 000132*")</f>
        <v>0</v>
      </c>
      <c r="E4259" s="54"/>
      <c r="F4259" s="83">
        <f>SUMIFS(F4260:F6462,K4260:K6462,"0",B4260:B6462,"5 1 2 2 1 12 31111 6 M59 19000 000132*")</f>
        <v>2937</v>
      </c>
      <c r="G4259" s="83">
        <f>SUMIFS(G4260:G6462,K4260:K6462,"0",B4260:B6462,"5 1 2 2 1 12 31111 6 M59 19000 000132*")</f>
        <v>0</v>
      </c>
      <c r="H4259" s="83">
        <f t="shared" si="66"/>
        <v>2937</v>
      </c>
      <c r="I4259" s="83"/>
      <c r="K4259" s="54" t="s">
        <v>15</v>
      </c>
    </row>
    <row r="4260" spans="2:11" ht="24.75" x14ac:dyDescent="0.2">
      <c r="B4260" s="82" t="s">
        <v>6805</v>
      </c>
      <c r="C4260" s="82" t="s">
        <v>650</v>
      </c>
      <c r="D4260" s="83">
        <f>SUMIFS(D4261:D6462,K4261:K6462,"0",B4261:B6462,"5 1 2 2 1 12 31111 6 M59 19000 000132 0000R*")-SUMIFS(E4261:E6462,K4261:K6462,"0",B4261:B6462,"5 1 2 2 1 12 31111 6 M59 19000 000132 0000R*")</f>
        <v>0</v>
      </c>
      <c r="E4260" s="54"/>
      <c r="F4260" s="83">
        <f>SUMIFS(F4261:F6462,K4261:K6462,"0",B4261:B6462,"5 1 2 2 1 12 31111 6 M59 19000 000132 0000R*")</f>
        <v>2937</v>
      </c>
      <c r="G4260" s="83">
        <f>SUMIFS(G4261:G6462,K4261:K6462,"0",B4261:B6462,"5 1 2 2 1 12 31111 6 M59 19000 000132 0000R*")</f>
        <v>0</v>
      </c>
      <c r="H4260" s="83">
        <f t="shared" si="66"/>
        <v>2937</v>
      </c>
      <c r="I4260" s="83"/>
      <c r="K4260" s="54" t="s">
        <v>15</v>
      </c>
    </row>
    <row r="4261" spans="2:11" ht="24.75" x14ac:dyDescent="0.2">
      <c r="B4261" s="82" t="s">
        <v>6806</v>
      </c>
      <c r="C4261" s="82" t="s">
        <v>282</v>
      </c>
      <c r="D4261" s="83">
        <f>SUMIFS(D4262:D6462,K4262:K6462,"0",B4262:B6462,"5 1 2 2 1 12 31111 6 M59 19000 000132 0000R 00001*")-SUMIFS(E4262:E6462,K4262:K6462,"0",B4262:B6462,"5 1 2 2 1 12 31111 6 M59 19000 000132 0000R 00001*")</f>
        <v>0</v>
      </c>
      <c r="E4261" s="54"/>
      <c r="F4261" s="83">
        <f>SUMIFS(F4262:F6462,K4262:K6462,"0",B4262:B6462,"5 1 2 2 1 12 31111 6 M59 19000 000132 0000R 00001*")</f>
        <v>2937</v>
      </c>
      <c r="G4261" s="83">
        <f>SUMIFS(G4262:G6462,K4262:K6462,"0",B4262:B6462,"5 1 2 2 1 12 31111 6 M59 19000 000132 0000R 00001*")</f>
        <v>0</v>
      </c>
      <c r="H4261" s="83">
        <f t="shared" si="66"/>
        <v>2937</v>
      </c>
      <c r="I4261" s="83"/>
      <c r="K4261" s="54" t="s">
        <v>15</v>
      </c>
    </row>
    <row r="4262" spans="2:11" ht="24.75" x14ac:dyDescent="0.2">
      <c r="B4262" s="82" t="s">
        <v>6807</v>
      </c>
      <c r="C4262" s="82" t="s">
        <v>6808</v>
      </c>
      <c r="D4262" s="83">
        <f>SUMIFS(D4263:D6462,K4263:K6462,"0",B4263:B6462,"5 1 2 2 1 12 31111 6 M59 19000 000132 0000R 00001 00221*")-SUMIFS(E4263:E6462,K4263:K6462,"0",B4263:B6462,"5 1 2 2 1 12 31111 6 M59 19000 000132 0000R 00001 00221*")</f>
        <v>0</v>
      </c>
      <c r="E4262" s="54"/>
      <c r="F4262" s="83">
        <f>SUMIFS(F4263:F6462,K4263:K6462,"0",B4263:B6462,"5 1 2 2 1 12 31111 6 M59 19000 000132 0000R 00001 00221*")</f>
        <v>2937</v>
      </c>
      <c r="G4262" s="83">
        <f>SUMIFS(G4263:G6462,K4263:K6462,"0",B4263:B6462,"5 1 2 2 1 12 31111 6 M59 19000 000132 0000R 00001 00221*")</f>
        <v>0</v>
      </c>
      <c r="H4262" s="83">
        <f t="shared" si="66"/>
        <v>2937</v>
      </c>
      <c r="I4262" s="83"/>
      <c r="K4262" s="54" t="s">
        <v>15</v>
      </c>
    </row>
    <row r="4263" spans="2:11" ht="33" x14ac:dyDescent="0.2">
      <c r="B4263" s="82" t="s">
        <v>6809</v>
      </c>
      <c r="C4263" s="82" t="s">
        <v>1051</v>
      </c>
      <c r="D4263" s="83">
        <f>SUMIFS(D4264:D6462,K4264:K6462,"0",B4264:B6462,"5 1 2 2 1 12 31111 6 M59 19000 000132 0000R 00001 00221 015*")-SUMIFS(E4264:E6462,K4264:K6462,"0",B4264:B6462,"5 1 2 2 1 12 31111 6 M59 19000 000132 0000R 00001 00221 015*")</f>
        <v>0</v>
      </c>
      <c r="E4263" s="54"/>
      <c r="F4263" s="83">
        <f>SUMIFS(F4264:F6462,K4264:K6462,"0",B4264:B6462,"5 1 2 2 1 12 31111 6 M59 19000 000132 0000R 00001 00221 015*")</f>
        <v>2937</v>
      </c>
      <c r="G4263" s="83">
        <f>SUMIFS(G4264:G6462,K4264:K6462,"0",B4264:B6462,"5 1 2 2 1 12 31111 6 M59 19000 000132 0000R 00001 00221 015*")</f>
        <v>0</v>
      </c>
      <c r="H4263" s="83">
        <f t="shared" si="66"/>
        <v>2937</v>
      </c>
      <c r="I4263" s="83"/>
      <c r="K4263" s="54" t="s">
        <v>15</v>
      </c>
    </row>
    <row r="4264" spans="2:11" ht="33" x14ac:dyDescent="0.2">
      <c r="B4264" s="82" t="s">
        <v>6810</v>
      </c>
      <c r="C4264" s="82" t="s">
        <v>5830</v>
      </c>
      <c r="D4264" s="83">
        <f>SUMIFS(D4265:D6462,K4265:K6462,"0",B4265:B6462,"5 1 2 2 1 12 31111 6 M59 19000 000132 0000R 00001 00221 015 2112000*")-SUMIFS(E4265:E6462,K4265:K6462,"0",B4265:B6462,"5 1 2 2 1 12 31111 6 M59 19000 000132 0000R 00001 00221 015 2112000*")</f>
        <v>0</v>
      </c>
      <c r="E4264" s="54"/>
      <c r="F4264" s="83">
        <f>SUMIFS(F4265:F6462,K4265:K6462,"0",B4265:B6462,"5 1 2 2 1 12 31111 6 M59 19000 000132 0000R 00001 00221 015 2112000*")</f>
        <v>2937</v>
      </c>
      <c r="G4264" s="83">
        <f>SUMIFS(G4265:G6462,K4265:K6462,"0",B4265:B6462,"5 1 2 2 1 12 31111 6 M59 19000 000132 0000R 00001 00221 015 2112000*")</f>
        <v>0</v>
      </c>
      <c r="H4264" s="83">
        <f t="shared" si="66"/>
        <v>2937</v>
      </c>
      <c r="I4264" s="83"/>
      <c r="K4264" s="54" t="s">
        <v>15</v>
      </c>
    </row>
    <row r="4265" spans="2:11" ht="33" x14ac:dyDescent="0.2">
      <c r="B4265" s="82" t="s">
        <v>6811</v>
      </c>
      <c r="C4265" s="82" t="s">
        <v>660</v>
      </c>
      <c r="D4265" s="83">
        <f>SUMIFS(D4266:D6462,K4266:K6462,"0",B4266:B6462,"5 1 2 2 1 12 31111 6 M59 19000 000132 0000R 00001 00221 015 2112000 2024*")-SUMIFS(E4266:E6462,K4266:K6462,"0",B4266:B6462,"5 1 2 2 1 12 31111 6 M59 19000 000132 0000R 00001 00221 015 2112000 2024*")</f>
        <v>0</v>
      </c>
      <c r="E4265" s="54"/>
      <c r="F4265" s="83">
        <f>SUMIFS(F4266:F6462,K4266:K6462,"0",B4266:B6462,"5 1 2 2 1 12 31111 6 M59 19000 000132 0000R 00001 00221 015 2112000 2024*")</f>
        <v>2937</v>
      </c>
      <c r="G4265" s="83">
        <f>SUMIFS(G4266:G6462,K4266:K6462,"0",B4266:B6462,"5 1 2 2 1 12 31111 6 M59 19000 000132 0000R 00001 00221 015 2112000 2024*")</f>
        <v>0</v>
      </c>
      <c r="H4265" s="83">
        <f t="shared" si="66"/>
        <v>2937</v>
      </c>
      <c r="I4265" s="83"/>
      <c r="K4265" s="54" t="s">
        <v>15</v>
      </c>
    </row>
    <row r="4266" spans="2:11" ht="41.25" x14ac:dyDescent="0.2">
      <c r="B4266" s="82" t="s">
        <v>6812</v>
      </c>
      <c r="C4266" s="82" t="s">
        <v>662</v>
      </c>
      <c r="D4266" s="83">
        <f>SUMIFS(D4267:D6462,K4267:K6462,"0",B4267:B6462,"5 1 2 2 1 12 31111 6 M59 19000 000132 0000R 00001 00221 015 2112000 2024 CP1TM440*")-SUMIFS(E4267:E6462,K4267:K6462,"0",B4267:B6462,"5 1 2 2 1 12 31111 6 M59 19000 000132 0000R 00001 00221 015 2112000 2024 CP1TM440*")</f>
        <v>0</v>
      </c>
      <c r="E4266" s="54"/>
      <c r="F4266" s="83">
        <f>SUMIFS(F4267:F6462,K4267:K6462,"0",B4267:B6462,"5 1 2 2 1 12 31111 6 M59 19000 000132 0000R 00001 00221 015 2112000 2024 CP1TM440*")</f>
        <v>2937</v>
      </c>
      <c r="G4266" s="83">
        <f>SUMIFS(G4267:G6462,K4267:K6462,"0",B4267:B6462,"5 1 2 2 1 12 31111 6 M59 19000 000132 0000R 00001 00221 015 2112000 2024 CP1TM440*")</f>
        <v>0</v>
      </c>
      <c r="H4266" s="83">
        <f t="shared" si="66"/>
        <v>2937</v>
      </c>
      <c r="I4266" s="83"/>
      <c r="K4266" s="54" t="s">
        <v>15</v>
      </c>
    </row>
    <row r="4267" spans="2:11" ht="41.25" x14ac:dyDescent="0.2">
      <c r="B4267" s="82" t="s">
        <v>6813</v>
      </c>
      <c r="C4267" s="82" t="s">
        <v>282</v>
      </c>
      <c r="D4267" s="83">
        <f>SUMIFS(D4268:D6462,K4268:K6462,"0",B4268:B6462,"5 1 2 2 1 12 31111 6 M59 19000 000132 0000R 00001 00221 015 2112000 2024 CP1TM440 001*")-SUMIFS(E4268:E6462,K4268:K6462,"0",B4268:B6462,"5 1 2 2 1 12 31111 6 M59 19000 000132 0000R 00001 00221 015 2112000 2024 CP1TM440 001*")</f>
        <v>0</v>
      </c>
      <c r="E4267" s="54"/>
      <c r="F4267" s="83">
        <f>SUMIFS(F4268:F6462,K4268:K6462,"0",B4268:B6462,"5 1 2 2 1 12 31111 6 M59 19000 000132 0000R 00001 00221 015 2112000 2024 CP1TM440 001*")</f>
        <v>2937</v>
      </c>
      <c r="G4267" s="83">
        <f>SUMIFS(G4268:G6462,K4268:K6462,"0",B4268:B6462,"5 1 2 2 1 12 31111 6 M59 19000 000132 0000R 00001 00221 015 2112000 2024 CP1TM440 001*")</f>
        <v>0</v>
      </c>
      <c r="H4267" s="83">
        <f t="shared" ref="H4267:H4330" si="67">D4267 + F4267 - G4267</f>
        <v>2937</v>
      </c>
      <c r="I4267" s="83"/>
      <c r="K4267" s="54" t="s">
        <v>15</v>
      </c>
    </row>
    <row r="4268" spans="2:11" ht="33" x14ac:dyDescent="0.2">
      <c r="B4268" s="84" t="s">
        <v>6814</v>
      </c>
      <c r="C4268" s="84" t="s">
        <v>6808</v>
      </c>
      <c r="D4268" s="85">
        <v>0</v>
      </c>
      <c r="E4268" s="85"/>
      <c r="F4268" s="85">
        <v>2937</v>
      </c>
      <c r="G4268" s="85">
        <v>0</v>
      </c>
      <c r="H4268" s="85">
        <f t="shared" si="67"/>
        <v>2937</v>
      </c>
      <c r="I4268" s="85"/>
      <c r="K4268" s="54" t="s">
        <v>38</v>
      </c>
    </row>
    <row r="4269" spans="2:11" ht="16.5" x14ac:dyDescent="0.2">
      <c r="B4269" s="82" t="s">
        <v>6815</v>
      </c>
      <c r="C4269" s="82" t="s">
        <v>1079</v>
      </c>
      <c r="D4269" s="83">
        <f>SUMIFS(D4270:D6462,K4270:K6462,"0",B4270:B6462,"5 1 2 2 1 12 31111 6 M59 20500*")-SUMIFS(E4270:E6462,K4270:K6462,"0",B4270:B6462,"5 1 2 2 1 12 31111 6 M59 20500*")</f>
        <v>0</v>
      </c>
      <c r="E4269" s="54"/>
      <c r="F4269" s="83">
        <f>SUMIFS(F4270:F6462,K4270:K6462,"0",B4270:B6462,"5 1 2 2 1 12 31111 6 M59 20500*")</f>
        <v>12015.05</v>
      </c>
      <c r="G4269" s="83">
        <f>SUMIFS(G4270:G6462,K4270:K6462,"0",B4270:B6462,"5 1 2 2 1 12 31111 6 M59 20500*")</f>
        <v>0</v>
      </c>
      <c r="H4269" s="83">
        <f t="shared" si="67"/>
        <v>12015.05</v>
      </c>
      <c r="I4269" s="83"/>
      <c r="K4269" s="54" t="s">
        <v>15</v>
      </c>
    </row>
    <row r="4270" spans="2:11" ht="16.5" x14ac:dyDescent="0.2">
      <c r="B4270" s="82" t="s">
        <v>6816</v>
      </c>
      <c r="C4270" s="82" t="s">
        <v>648</v>
      </c>
      <c r="D4270" s="83">
        <f>SUMIFS(D4271:D6462,K4271:K6462,"0",B4271:B6462,"5 1 2 2 1 12 31111 6 M59 20500 000132*")-SUMIFS(E4271:E6462,K4271:K6462,"0",B4271:B6462,"5 1 2 2 1 12 31111 6 M59 20500 000132*")</f>
        <v>0</v>
      </c>
      <c r="E4270" s="54"/>
      <c r="F4270" s="83">
        <f>SUMIFS(F4271:F6462,K4271:K6462,"0",B4271:B6462,"5 1 2 2 1 12 31111 6 M59 20500 000132*")</f>
        <v>12015.05</v>
      </c>
      <c r="G4270" s="83">
        <f>SUMIFS(G4271:G6462,K4271:K6462,"0",B4271:B6462,"5 1 2 2 1 12 31111 6 M59 20500 000132*")</f>
        <v>0</v>
      </c>
      <c r="H4270" s="83">
        <f t="shared" si="67"/>
        <v>12015.05</v>
      </c>
      <c r="I4270" s="83"/>
      <c r="K4270" s="54" t="s">
        <v>15</v>
      </c>
    </row>
    <row r="4271" spans="2:11" ht="24.75" x14ac:dyDescent="0.2">
      <c r="B4271" s="82" t="s">
        <v>6817</v>
      </c>
      <c r="C4271" s="82" t="s">
        <v>650</v>
      </c>
      <c r="D4271" s="83">
        <f>SUMIFS(D4272:D6462,K4272:K6462,"0",B4272:B6462,"5 1 2 2 1 12 31111 6 M59 20500 000132 0000R*")-SUMIFS(E4272:E6462,K4272:K6462,"0",B4272:B6462,"5 1 2 2 1 12 31111 6 M59 20500 000132 0000R*")</f>
        <v>0</v>
      </c>
      <c r="E4271" s="54"/>
      <c r="F4271" s="83">
        <f>SUMIFS(F4272:F6462,K4272:K6462,"0",B4272:B6462,"5 1 2 2 1 12 31111 6 M59 20500 000132 0000R*")</f>
        <v>12015.05</v>
      </c>
      <c r="G4271" s="83">
        <f>SUMIFS(G4272:G6462,K4272:K6462,"0",B4272:B6462,"5 1 2 2 1 12 31111 6 M59 20500 000132 0000R*")</f>
        <v>0</v>
      </c>
      <c r="H4271" s="83">
        <f t="shared" si="67"/>
        <v>12015.05</v>
      </c>
      <c r="I4271" s="83"/>
      <c r="K4271" s="54" t="s">
        <v>15</v>
      </c>
    </row>
    <row r="4272" spans="2:11" ht="24.75" x14ac:dyDescent="0.2">
      <c r="B4272" s="82" t="s">
        <v>6818</v>
      </c>
      <c r="C4272" s="82" t="s">
        <v>282</v>
      </c>
      <c r="D4272" s="83">
        <f>SUMIFS(D4273:D6462,K4273:K6462,"0",B4273:B6462,"5 1 2 2 1 12 31111 6 M59 20500 000132 0000R 00001*")-SUMIFS(E4273:E6462,K4273:K6462,"0",B4273:B6462,"5 1 2 2 1 12 31111 6 M59 20500 000132 0000R 00001*")</f>
        <v>0</v>
      </c>
      <c r="E4272" s="54"/>
      <c r="F4272" s="83">
        <f>SUMIFS(F4273:F6462,K4273:K6462,"0",B4273:B6462,"5 1 2 2 1 12 31111 6 M59 20500 000132 0000R 00001*")</f>
        <v>12015.05</v>
      </c>
      <c r="G4272" s="83">
        <f>SUMIFS(G4273:G6462,K4273:K6462,"0",B4273:B6462,"5 1 2 2 1 12 31111 6 M59 20500 000132 0000R 00001*")</f>
        <v>0</v>
      </c>
      <c r="H4272" s="83">
        <f t="shared" si="67"/>
        <v>12015.05</v>
      </c>
      <c r="I4272" s="83"/>
      <c r="K4272" s="54" t="s">
        <v>15</v>
      </c>
    </row>
    <row r="4273" spans="2:11" ht="24.75" x14ac:dyDescent="0.2">
      <c r="B4273" s="82" t="s">
        <v>6819</v>
      </c>
      <c r="C4273" s="82" t="s">
        <v>6808</v>
      </c>
      <c r="D4273" s="83">
        <f>SUMIFS(D4274:D6462,K4274:K6462,"0",B4274:B6462,"5 1 2 2 1 12 31111 6 M59 20500 000132 0000R 00001 00221*")-SUMIFS(E4274:E6462,K4274:K6462,"0",B4274:B6462,"5 1 2 2 1 12 31111 6 M59 20500 000132 0000R 00001 00221*")</f>
        <v>0</v>
      </c>
      <c r="E4273" s="54"/>
      <c r="F4273" s="83">
        <f>SUMIFS(F4274:F6462,K4274:K6462,"0",B4274:B6462,"5 1 2 2 1 12 31111 6 M59 20500 000132 0000R 00001 00221*")</f>
        <v>12015.05</v>
      </c>
      <c r="G4273" s="83">
        <f>SUMIFS(G4274:G6462,K4274:K6462,"0",B4274:B6462,"5 1 2 2 1 12 31111 6 M59 20500 000132 0000R 00001 00221*")</f>
        <v>0</v>
      </c>
      <c r="H4273" s="83">
        <f t="shared" si="67"/>
        <v>12015.05</v>
      </c>
      <c r="I4273" s="83"/>
      <c r="K4273" s="54" t="s">
        <v>15</v>
      </c>
    </row>
    <row r="4274" spans="2:11" ht="33" x14ac:dyDescent="0.2">
      <c r="B4274" s="82" t="s">
        <v>6820</v>
      </c>
      <c r="C4274" s="82" t="s">
        <v>1051</v>
      </c>
      <c r="D4274" s="83">
        <f>SUMIFS(D4275:D6462,K4275:K6462,"0",B4275:B6462,"5 1 2 2 1 12 31111 6 M59 20500 000132 0000R 00001 00221 015*")-SUMIFS(E4275:E6462,K4275:K6462,"0",B4275:B6462,"5 1 2 2 1 12 31111 6 M59 20500 000132 0000R 00001 00221 015*")</f>
        <v>0</v>
      </c>
      <c r="E4274" s="54"/>
      <c r="F4274" s="83">
        <f>SUMIFS(F4275:F6462,K4275:K6462,"0",B4275:B6462,"5 1 2 2 1 12 31111 6 M59 20500 000132 0000R 00001 00221 015*")</f>
        <v>12015.05</v>
      </c>
      <c r="G4274" s="83">
        <f>SUMIFS(G4275:G6462,K4275:K6462,"0",B4275:B6462,"5 1 2 2 1 12 31111 6 M59 20500 000132 0000R 00001 00221 015*")</f>
        <v>0</v>
      </c>
      <c r="H4274" s="83">
        <f t="shared" si="67"/>
        <v>12015.05</v>
      </c>
      <c r="I4274" s="83"/>
      <c r="K4274" s="54" t="s">
        <v>15</v>
      </c>
    </row>
    <row r="4275" spans="2:11" ht="33" x14ac:dyDescent="0.2">
      <c r="B4275" s="82" t="s">
        <v>6821</v>
      </c>
      <c r="C4275" s="82" t="s">
        <v>5830</v>
      </c>
      <c r="D4275" s="83">
        <f>SUMIFS(D4276:D6462,K4276:K6462,"0",B4276:B6462,"5 1 2 2 1 12 31111 6 M59 20500 000132 0000R 00001 00221 015 2112000*")-SUMIFS(E4276:E6462,K4276:K6462,"0",B4276:B6462,"5 1 2 2 1 12 31111 6 M59 20500 000132 0000R 00001 00221 015 2112000*")</f>
        <v>0</v>
      </c>
      <c r="E4275" s="54"/>
      <c r="F4275" s="83">
        <f>SUMIFS(F4276:F6462,K4276:K6462,"0",B4276:B6462,"5 1 2 2 1 12 31111 6 M59 20500 000132 0000R 00001 00221 015 2112000*")</f>
        <v>12015.05</v>
      </c>
      <c r="G4275" s="83">
        <f>SUMIFS(G4276:G6462,K4276:K6462,"0",B4276:B6462,"5 1 2 2 1 12 31111 6 M59 20500 000132 0000R 00001 00221 015 2112000*")</f>
        <v>0</v>
      </c>
      <c r="H4275" s="83">
        <f t="shared" si="67"/>
        <v>12015.05</v>
      </c>
      <c r="I4275" s="83"/>
      <c r="K4275" s="54" t="s">
        <v>15</v>
      </c>
    </row>
    <row r="4276" spans="2:11" ht="33" x14ac:dyDescent="0.2">
      <c r="B4276" s="82" t="s">
        <v>6822</v>
      </c>
      <c r="C4276" s="82" t="s">
        <v>660</v>
      </c>
      <c r="D4276" s="83">
        <f>SUMIFS(D4277:D6462,K4277:K6462,"0",B4277:B6462,"5 1 2 2 1 12 31111 6 M59 20500 000132 0000R 00001 00221 015 2112000 2024*")-SUMIFS(E4277:E6462,K4277:K6462,"0",B4277:B6462,"5 1 2 2 1 12 31111 6 M59 20500 000132 0000R 00001 00221 015 2112000 2024*")</f>
        <v>0</v>
      </c>
      <c r="E4276" s="54"/>
      <c r="F4276" s="83">
        <f>SUMIFS(F4277:F6462,K4277:K6462,"0",B4277:B6462,"5 1 2 2 1 12 31111 6 M59 20500 000132 0000R 00001 00221 015 2112000 2024*")</f>
        <v>12015.05</v>
      </c>
      <c r="G4276" s="83">
        <f>SUMIFS(G4277:G6462,K4277:K6462,"0",B4277:B6462,"5 1 2 2 1 12 31111 6 M59 20500 000132 0000R 00001 00221 015 2112000 2024*")</f>
        <v>0</v>
      </c>
      <c r="H4276" s="83">
        <f t="shared" si="67"/>
        <v>12015.05</v>
      </c>
      <c r="I4276" s="83"/>
      <c r="K4276" s="54" t="s">
        <v>15</v>
      </c>
    </row>
    <row r="4277" spans="2:11" ht="41.25" x14ac:dyDescent="0.2">
      <c r="B4277" s="82" t="s">
        <v>6823</v>
      </c>
      <c r="C4277" s="82" t="s">
        <v>1056</v>
      </c>
      <c r="D4277" s="83">
        <f>SUMIFS(D4278:D6462,K4278:K6462,"0",B4278:B6462,"5 1 2 2 1 12 31111 6 M59 20500 000132 0000R 00001 00221 015 2112000 2024 CP1CP420*")-SUMIFS(E4278:E6462,K4278:K6462,"0",B4278:B6462,"5 1 2 2 1 12 31111 6 M59 20500 000132 0000R 00001 00221 015 2112000 2024 CP1CP420*")</f>
        <v>0</v>
      </c>
      <c r="E4277" s="54"/>
      <c r="F4277" s="83">
        <f>SUMIFS(F4278:F6462,K4278:K6462,"0",B4278:B6462,"5 1 2 2 1 12 31111 6 M59 20500 000132 0000R 00001 00221 015 2112000 2024 CP1CP420*")</f>
        <v>12015.05</v>
      </c>
      <c r="G4277" s="83">
        <f>SUMIFS(G4278:G6462,K4278:K6462,"0",B4278:B6462,"5 1 2 2 1 12 31111 6 M59 20500 000132 0000R 00001 00221 015 2112000 2024 CP1CP420*")</f>
        <v>0</v>
      </c>
      <c r="H4277" s="83">
        <f t="shared" si="67"/>
        <v>12015.05</v>
      </c>
      <c r="I4277" s="83"/>
      <c r="K4277" s="54" t="s">
        <v>15</v>
      </c>
    </row>
    <row r="4278" spans="2:11" ht="41.25" x14ac:dyDescent="0.2">
      <c r="B4278" s="82" t="s">
        <v>6824</v>
      </c>
      <c r="C4278" s="82" t="s">
        <v>282</v>
      </c>
      <c r="D4278" s="83">
        <f>SUMIFS(D4279:D6462,K4279:K6462,"0",B4279:B6462,"5 1 2 2 1 12 31111 6 M59 20500 000132 0000R 00001 00221 015 2112000 2024 CP1CP420 001*")-SUMIFS(E4279:E6462,K4279:K6462,"0",B4279:B6462,"5 1 2 2 1 12 31111 6 M59 20500 000132 0000R 00001 00221 015 2112000 2024 CP1CP420 001*")</f>
        <v>0</v>
      </c>
      <c r="E4278" s="54"/>
      <c r="F4278" s="83">
        <f>SUMIFS(F4279:F6462,K4279:K6462,"0",B4279:B6462,"5 1 2 2 1 12 31111 6 M59 20500 000132 0000R 00001 00221 015 2112000 2024 CP1CP420 001*")</f>
        <v>12015.05</v>
      </c>
      <c r="G4278" s="83">
        <f>SUMIFS(G4279:G6462,K4279:K6462,"0",B4279:B6462,"5 1 2 2 1 12 31111 6 M59 20500 000132 0000R 00001 00221 015 2112000 2024 CP1CP420 001*")</f>
        <v>0</v>
      </c>
      <c r="H4278" s="83">
        <f t="shared" si="67"/>
        <v>12015.05</v>
      </c>
      <c r="I4278" s="83"/>
      <c r="K4278" s="54" t="s">
        <v>15</v>
      </c>
    </row>
    <row r="4279" spans="2:11" ht="33" x14ac:dyDescent="0.2">
      <c r="B4279" s="84" t="s">
        <v>6825</v>
      </c>
      <c r="C4279" s="84" t="s">
        <v>6798</v>
      </c>
      <c r="D4279" s="85">
        <v>0</v>
      </c>
      <c r="E4279" s="85"/>
      <c r="F4279" s="85">
        <v>12015.05</v>
      </c>
      <c r="G4279" s="85">
        <v>0</v>
      </c>
      <c r="H4279" s="85">
        <f t="shared" si="67"/>
        <v>12015.05</v>
      </c>
      <c r="I4279" s="85"/>
      <c r="K4279" s="54" t="s">
        <v>38</v>
      </c>
    </row>
    <row r="4280" spans="2:11" ht="16.5" x14ac:dyDescent="0.2">
      <c r="B4280" s="82" t="s">
        <v>6847</v>
      </c>
      <c r="C4280" s="82" t="s">
        <v>6848</v>
      </c>
      <c r="D4280" s="83">
        <f>SUMIFS(D4281:D6462,K4281:K6462,"0",B4281:B6462,"5 1 2 2 3*")-SUMIFS(E4281:E6462,K4281:K6462,"0",B4281:B6462,"5 1 2 2 3*")</f>
        <v>0</v>
      </c>
      <c r="E4280" s="54"/>
      <c r="F4280" s="83">
        <f>SUMIFS(F4281:F6462,K4281:K6462,"0",B4281:B6462,"5 1 2 2 3*")</f>
        <v>5018.8999999999996</v>
      </c>
      <c r="G4280" s="83">
        <f>SUMIFS(G4281:G6462,K4281:K6462,"0",B4281:B6462,"5 1 2 2 3*")</f>
        <v>0</v>
      </c>
      <c r="H4280" s="83">
        <f t="shared" si="67"/>
        <v>5018.8999999999996</v>
      </c>
      <c r="I4280" s="83"/>
      <c r="K4280" s="54" t="s">
        <v>15</v>
      </c>
    </row>
    <row r="4281" spans="2:11" ht="12.75" x14ac:dyDescent="0.2">
      <c r="B4281" s="82" t="s">
        <v>6849</v>
      </c>
      <c r="C4281" s="82" t="s">
        <v>26</v>
      </c>
      <c r="D4281" s="83">
        <f>SUMIFS(D4282:D6462,K4282:K6462,"0",B4282:B6462,"5 1 2 2 3 12*")-SUMIFS(E4282:E6462,K4282:K6462,"0",B4282:B6462,"5 1 2 2 3 12*")</f>
        <v>0</v>
      </c>
      <c r="E4281" s="54"/>
      <c r="F4281" s="83">
        <f>SUMIFS(F4282:F6462,K4282:K6462,"0",B4282:B6462,"5 1 2 2 3 12*")</f>
        <v>5018.8999999999996</v>
      </c>
      <c r="G4281" s="83">
        <f>SUMIFS(G4282:G6462,K4282:K6462,"0",B4282:B6462,"5 1 2 2 3 12*")</f>
        <v>0</v>
      </c>
      <c r="H4281" s="83">
        <f t="shared" si="67"/>
        <v>5018.8999999999996</v>
      </c>
      <c r="I4281" s="83"/>
      <c r="K4281" s="54" t="s">
        <v>15</v>
      </c>
    </row>
    <row r="4282" spans="2:11" ht="16.5" x14ac:dyDescent="0.2">
      <c r="B4282" s="82" t="s">
        <v>6850</v>
      </c>
      <c r="C4282" s="82" t="s">
        <v>28</v>
      </c>
      <c r="D4282" s="83">
        <f>SUMIFS(D4283:D6462,K4283:K6462,"0",B4283:B6462,"5 1 2 2 3 12 31111*")-SUMIFS(E4283:E6462,K4283:K6462,"0",B4283:B6462,"5 1 2 2 3 12 31111*")</f>
        <v>0</v>
      </c>
      <c r="E4282" s="54"/>
      <c r="F4282" s="83">
        <f>SUMIFS(F4283:F6462,K4283:K6462,"0",B4283:B6462,"5 1 2 2 3 12 31111*")</f>
        <v>5018.8999999999996</v>
      </c>
      <c r="G4282" s="83">
        <f>SUMIFS(G4283:G6462,K4283:K6462,"0",B4283:B6462,"5 1 2 2 3 12 31111*")</f>
        <v>0</v>
      </c>
      <c r="H4282" s="83">
        <f t="shared" si="67"/>
        <v>5018.8999999999996</v>
      </c>
      <c r="I4282" s="83"/>
      <c r="K4282" s="54" t="s">
        <v>15</v>
      </c>
    </row>
    <row r="4283" spans="2:11" ht="12.75" x14ac:dyDescent="0.2">
      <c r="B4283" s="82" t="s">
        <v>6851</v>
      </c>
      <c r="C4283" s="82" t="s">
        <v>30</v>
      </c>
      <c r="D4283" s="83">
        <f>SUMIFS(D4284:D6462,K4284:K6462,"0",B4284:B6462,"5 1 2 2 3 12 31111 6*")-SUMIFS(E4284:E6462,K4284:K6462,"0",B4284:B6462,"5 1 2 2 3 12 31111 6*")</f>
        <v>0</v>
      </c>
      <c r="E4283" s="54"/>
      <c r="F4283" s="83">
        <f>SUMIFS(F4284:F6462,K4284:K6462,"0",B4284:B6462,"5 1 2 2 3 12 31111 6*")</f>
        <v>5018.8999999999996</v>
      </c>
      <c r="G4283" s="83">
        <f>SUMIFS(G4284:G6462,K4284:K6462,"0",B4284:B6462,"5 1 2 2 3 12 31111 6*")</f>
        <v>0</v>
      </c>
      <c r="H4283" s="83">
        <f t="shared" si="67"/>
        <v>5018.8999999999996</v>
      </c>
      <c r="I4283" s="83"/>
      <c r="K4283" s="54" t="s">
        <v>15</v>
      </c>
    </row>
    <row r="4284" spans="2:11" ht="16.5" x14ac:dyDescent="0.2">
      <c r="B4284" s="82" t="s">
        <v>6852</v>
      </c>
      <c r="C4284" s="82" t="s">
        <v>2284</v>
      </c>
      <c r="D4284" s="83">
        <f>SUMIFS(D4285:D6462,K4285:K6462,"0",B4285:B6462,"5 1 2 2 3 12 31111 6 M59*")-SUMIFS(E4285:E6462,K4285:K6462,"0",B4285:B6462,"5 1 2 2 3 12 31111 6 M59*")</f>
        <v>0</v>
      </c>
      <c r="E4284" s="54"/>
      <c r="F4284" s="83">
        <f>SUMIFS(F4285:F6462,K4285:K6462,"0",B4285:B6462,"5 1 2 2 3 12 31111 6 M59*")</f>
        <v>5018.8999999999996</v>
      </c>
      <c r="G4284" s="83">
        <f>SUMIFS(G4285:G6462,K4285:K6462,"0",B4285:B6462,"5 1 2 2 3 12 31111 6 M59*")</f>
        <v>0</v>
      </c>
      <c r="H4284" s="83">
        <f t="shared" si="67"/>
        <v>5018.8999999999996</v>
      </c>
      <c r="I4284" s="83"/>
      <c r="K4284" s="54" t="s">
        <v>15</v>
      </c>
    </row>
    <row r="4285" spans="2:11" ht="16.5" x14ac:dyDescent="0.2">
      <c r="B4285" s="82" t="s">
        <v>6853</v>
      </c>
      <c r="C4285" s="82" t="s">
        <v>1044</v>
      </c>
      <c r="D4285" s="83">
        <f>SUMIFS(D4286:D6462,K4286:K6462,"0",B4286:B6462,"5 1 2 2 3 12 31111 6 M59 20000*")-SUMIFS(E4286:E6462,K4286:K6462,"0",B4286:B6462,"5 1 2 2 3 12 31111 6 M59 20000*")</f>
        <v>0</v>
      </c>
      <c r="E4285" s="54"/>
      <c r="F4285" s="83">
        <f>SUMIFS(F4286:F6462,K4286:K6462,"0",B4286:B6462,"5 1 2 2 3 12 31111 6 M59 20000*")</f>
        <v>269.98</v>
      </c>
      <c r="G4285" s="83">
        <f>SUMIFS(G4286:G6462,K4286:K6462,"0",B4286:B6462,"5 1 2 2 3 12 31111 6 M59 20000*")</f>
        <v>0</v>
      </c>
      <c r="H4285" s="83">
        <f t="shared" si="67"/>
        <v>269.98</v>
      </c>
      <c r="I4285" s="83"/>
      <c r="K4285" s="54" t="s">
        <v>15</v>
      </c>
    </row>
    <row r="4286" spans="2:11" ht="16.5" x14ac:dyDescent="0.2">
      <c r="B4286" s="82" t="s">
        <v>6854</v>
      </c>
      <c r="C4286" s="82" t="s">
        <v>648</v>
      </c>
      <c r="D4286" s="83">
        <f>SUMIFS(D4287:D6462,K4287:K6462,"0",B4287:B6462,"5 1 2 2 3 12 31111 6 M59 20000 000132*")-SUMIFS(E4287:E6462,K4287:K6462,"0",B4287:B6462,"5 1 2 2 3 12 31111 6 M59 20000 000132*")</f>
        <v>0</v>
      </c>
      <c r="E4286" s="54"/>
      <c r="F4286" s="83">
        <f>SUMIFS(F4287:F6462,K4287:K6462,"0",B4287:B6462,"5 1 2 2 3 12 31111 6 M59 20000 000132*")</f>
        <v>269.98</v>
      </c>
      <c r="G4286" s="83">
        <f>SUMIFS(G4287:G6462,K4287:K6462,"0",B4287:B6462,"5 1 2 2 3 12 31111 6 M59 20000 000132*")</f>
        <v>0</v>
      </c>
      <c r="H4286" s="83">
        <f t="shared" si="67"/>
        <v>269.98</v>
      </c>
      <c r="I4286" s="83"/>
      <c r="K4286" s="54" t="s">
        <v>15</v>
      </c>
    </row>
    <row r="4287" spans="2:11" ht="24.75" x14ac:dyDescent="0.2">
      <c r="B4287" s="82" t="s">
        <v>6855</v>
      </c>
      <c r="C4287" s="82" t="s">
        <v>650</v>
      </c>
      <c r="D4287" s="83">
        <f>SUMIFS(D4288:D6462,K4288:K6462,"0",B4288:B6462,"5 1 2 2 3 12 31111 6 M59 20000 000132 0000R*")-SUMIFS(E4288:E6462,K4288:K6462,"0",B4288:B6462,"5 1 2 2 3 12 31111 6 M59 20000 000132 0000R*")</f>
        <v>0</v>
      </c>
      <c r="E4287" s="54"/>
      <c r="F4287" s="83">
        <f>SUMIFS(F4288:F6462,K4288:K6462,"0",B4288:B6462,"5 1 2 2 3 12 31111 6 M59 20000 000132 0000R*")</f>
        <v>269.98</v>
      </c>
      <c r="G4287" s="83">
        <f>SUMIFS(G4288:G6462,K4288:K6462,"0",B4288:B6462,"5 1 2 2 3 12 31111 6 M59 20000 000132 0000R*")</f>
        <v>0</v>
      </c>
      <c r="H4287" s="83">
        <f t="shared" si="67"/>
        <v>269.98</v>
      </c>
      <c r="I4287" s="83"/>
      <c r="K4287" s="54" t="s">
        <v>15</v>
      </c>
    </row>
    <row r="4288" spans="2:11" ht="24.75" x14ac:dyDescent="0.2">
      <c r="B4288" s="82" t="s">
        <v>6856</v>
      </c>
      <c r="C4288" s="82" t="s">
        <v>282</v>
      </c>
      <c r="D4288" s="83">
        <f>SUMIFS(D4289:D6462,K4289:K6462,"0",B4289:B6462,"5 1 2 2 3 12 31111 6 M59 20000 000132 0000R 00001*")-SUMIFS(E4289:E6462,K4289:K6462,"0",B4289:B6462,"5 1 2 2 3 12 31111 6 M59 20000 000132 0000R 00001*")</f>
        <v>0</v>
      </c>
      <c r="E4288" s="54"/>
      <c r="F4288" s="83">
        <f>SUMIFS(F4289:F6462,K4289:K6462,"0",B4289:B6462,"5 1 2 2 3 12 31111 6 M59 20000 000132 0000R 00001*")</f>
        <v>269.98</v>
      </c>
      <c r="G4288" s="83">
        <f>SUMIFS(G4289:G6462,K4289:K6462,"0",B4289:B6462,"5 1 2 2 3 12 31111 6 M59 20000 000132 0000R 00001*")</f>
        <v>0</v>
      </c>
      <c r="H4288" s="83">
        <f t="shared" si="67"/>
        <v>269.98</v>
      </c>
      <c r="I4288" s="83"/>
      <c r="K4288" s="54" t="s">
        <v>15</v>
      </c>
    </row>
    <row r="4289" spans="2:11" ht="24.75" x14ac:dyDescent="0.2">
      <c r="B4289" s="82" t="s">
        <v>6857</v>
      </c>
      <c r="C4289" s="82" t="s">
        <v>6858</v>
      </c>
      <c r="D4289" s="83">
        <f>SUMIFS(D4290:D6462,K4290:K6462,"0",B4290:B6462,"5 1 2 2 3 12 31111 6 M59 20000 000132 0000R 00001 00223*")-SUMIFS(E4290:E6462,K4290:K6462,"0",B4290:B6462,"5 1 2 2 3 12 31111 6 M59 20000 000132 0000R 00001 00223*")</f>
        <v>0</v>
      </c>
      <c r="E4289" s="54"/>
      <c r="F4289" s="83">
        <f>SUMIFS(F4290:F6462,K4290:K6462,"0",B4290:B6462,"5 1 2 2 3 12 31111 6 M59 20000 000132 0000R 00001 00223*")</f>
        <v>269.98</v>
      </c>
      <c r="G4289" s="83">
        <f>SUMIFS(G4290:G6462,K4290:K6462,"0",B4290:B6462,"5 1 2 2 3 12 31111 6 M59 20000 000132 0000R 00001 00223*")</f>
        <v>0</v>
      </c>
      <c r="H4289" s="83">
        <f t="shared" si="67"/>
        <v>269.98</v>
      </c>
      <c r="I4289" s="83"/>
      <c r="K4289" s="54" t="s">
        <v>15</v>
      </c>
    </row>
    <row r="4290" spans="2:11" ht="33" x14ac:dyDescent="0.2">
      <c r="B4290" s="82" t="s">
        <v>6859</v>
      </c>
      <c r="C4290" s="82" t="s">
        <v>1051</v>
      </c>
      <c r="D4290" s="83">
        <f>SUMIFS(D4291:D6462,K4291:K6462,"0",B4291:B6462,"5 1 2 2 3 12 31111 6 M59 20000 000132 0000R 00001 00223 015*")-SUMIFS(E4291:E6462,K4291:K6462,"0",B4291:B6462,"5 1 2 2 3 12 31111 6 M59 20000 000132 0000R 00001 00223 015*")</f>
        <v>0</v>
      </c>
      <c r="E4290" s="54"/>
      <c r="F4290" s="83">
        <f>SUMIFS(F4291:F6462,K4291:K6462,"0",B4291:B6462,"5 1 2 2 3 12 31111 6 M59 20000 000132 0000R 00001 00223 015*")</f>
        <v>269.98</v>
      </c>
      <c r="G4290" s="83">
        <f>SUMIFS(G4291:G6462,K4291:K6462,"0",B4291:B6462,"5 1 2 2 3 12 31111 6 M59 20000 000132 0000R 00001 00223 015*")</f>
        <v>0</v>
      </c>
      <c r="H4290" s="83">
        <f t="shared" si="67"/>
        <v>269.98</v>
      </c>
      <c r="I4290" s="83"/>
      <c r="K4290" s="54" t="s">
        <v>15</v>
      </c>
    </row>
    <row r="4291" spans="2:11" ht="33" x14ac:dyDescent="0.2">
      <c r="B4291" s="82" t="s">
        <v>6860</v>
      </c>
      <c r="C4291" s="82" t="s">
        <v>5830</v>
      </c>
      <c r="D4291" s="83">
        <f>SUMIFS(D4292:D6462,K4292:K6462,"0",B4292:B6462,"5 1 2 2 3 12 31111 6 M59 20000 000132 0000R 00001 00223 015 2112000*")-SUMIFS(E4292:E6462,K4292:K6462,"0",B4292:B6462,"5 1 2 2 3 12 31111 6 M59 20000 000132 0000R 00001 00223 015 2112000*")</f>
        <v>0</v>
      </c>
      <c r="E4291" s="54"/>
      <c r="F4291" s="83">
        <f>SUMIFS(F4292:F6462,K4292:K6462,"0",B4292:B6462,"5 1 2 2 3 12 31111 6 M59 20000 000132 0000R 00001 00223 015 2112000*")</f>
        <v>269.98</v>
      </c>
      <c r="G4291" s="83">
        <f>SUMIFS(G4292:G6462,K4292:K6462,"0",B4292:B6462,"5 1 2 2 3 12 31111 6 M59 20000 000132 0000R 00001 00223 015 2112000*")</f>
        <v>0</v>
      </c>
      <c r="H4291" s="83">
        <f t="shared" si="67"/>
        <v>269.98</v>
      </c>
      <c r="I4291" s="83"/>
      <c r="K4291" s="54" t="s">
        <v>15</v>
      </c>
    </row>
    <row r="4292" spans="2:11" ht="33" x14ac:dyDescent="0.2">
      <c r="B4292" s="82" t="s">
        <v>6861</v>
      </c>
      <c r="C4292" s="82" t="s">
        <v>660</v>
      </c>
      <c r="D4292" s="83">
        <f>SUMIFS(D4293:D6462,K4293:K6462,"0",B4293:B6462,"5 1 2 2 3 12 31111 6 M59 20000 000132 0000R 00001 00223 015 2112000 2024*")-SUMIFS(E4293:E6462,K4293:K6462,"0",B4293:B6462,"5 1 2 2 3 12 31111 6 M59 20000 000132 0000R 00001 00223 015 2112000 2024*")</f>
        <v>0</v>
      </c>
      <c r="E4292" s="54"/>
      <c r="F4292" s="83">
        <f>SUMIFS(F4293:F6462,K4293:K6462,"0",B4293:B6462,"5 1 2 2 3 12 31111 6 M59 20000 000132 0000R 00001 00223 015 2112000 2024*")</f>
        <v>269.98</v>
      </c>
      <c r="G4292" s="83">
        <f>SUMIFS(G4293:G6462,K4293:K6462,"0",B4293:B6462,"5 1 2 2 3 12 31111 6 M59 20000 000132 0000R 00001 00223 015 2112000 2024*")</f>
        <v>0</v>
      </c>
      <c r="H4292" s="83">
        <f t="shared" si="67"/>
        <v>269.98</v>
      </c>
      <c r="I4292" s="83"/>
      <c r="K4292" s="54" t="s">
        <v>15</v>
      </c>
    </row>
    <row r="4293" spans="2:11" ht="41.25" x14ac:dyDescent="0.2">
      <c r="B4293" s="82" t="s">
        <v>6862</v>
      </c>
      <c r="C4293" s="82" t="s">
        <v>1056</v>
      </c>
      <c r="D4293" s="83">
        <f>SUMIFS(D4294:D6462,K4294:K6462,"0",B4294:B6462,"5 1 2 2 3 12 31111 6 M59 20000 000132 0000R 00001 00223 015 2112000 2024 CP1AF389*")-SUMIFS(E4294:E6462,K4294:K6462,"0",B4294:B6462,"5 1 2 2 3 12 31111 6 M59 20000 000132 0000R 00001 00223 015 2112000 2024 CP1AF389*")</f>
        <v>0</v>
      </c>
      <c r="E4293" s="54"/>
      <c r="F4293" s="83">
        <f>SUMIFS(F4294:F6462,K4294:K6462,"0",B4294:B6462,"5 1 2 2 3 12 31111 6 M59 20000 000132 0000R 00001 00223 015 2112000 2024 CP1AF389*")</f>
        <v>269.98</v>
      </c>
      <c r="G4293" s="83">
        <f>SUMIFS(G4294:G6462,K4294:K6462,"0",B4294:B6462,"5 1 2 2 3 12 31111 6 M59 20000 000132 0000R 00001 00223 015 2112000 2024 CP1AF389*")</f>
        <v>0</v>
      </c>
      <c r="H4293" s="83">
        <f t="shared" si="67"/>
        <v>269.98</v>
      </c>
      <c r="I4293" s="83"/>
      <c r="K4293" s="54" t="s">
        <v>15</v>
      </c>
    </row>
    <row r="4294" spans="2:11" ht="41.25" x14ac:dyDescent="0.2">
      <c r="B4294" s="82" t="s">
        <v>6863</v>
      </c>
      <c r="C4294" s="82" t="s">
        <v>282</v>
      </c>
      <c r="D4294" s="83">
        <f>SUMIFS(D4295:D6462,K4295:K6462,"0",B4295:B6462,"5 1 2 2 3 12 31111 6 M59 20000 000132 0000R 00001 00223 015 2112000 2024 CP1AF389 001*")-SUMIFS(E4295:E6462,K4295:K6462,"0",B4295:B6462,"5 1 2 2 3 12 31111 6 M59 20000 000132 0000R 00001 00223 015 2112000 2024 CP1AF389 001*")</f>
        <v>0</v>
      </c>
      <c r="E4294" s="54"/>
      <c r="F4294" s="83">
        <f>SUMIFS(F4295:F6462,K4295:K6462,"0",B4295:B6462,"5 1 2 2 3 12 31111 6 M59 20000 000132 0000R 00001 00223 015 2112000 2024 CP1AF389 001*")</f>
        <v>269.98</v>
      </c>
      <c r="G4294" s="83">
        <f>SUMIFS(G4295:G6462,K4295:K6462,"0",B4295:B6462,"5 1 2 2 3 12 31111 6 M59 20000 000132 0000R 00001 00223 015 2112000 2024 CP1AF389 001*")</f>
        <v>0</v>
      </c>
      <c r="H4294" s="83">
        <f t="shared" si="67"/>
        <v>269.98</v>
      </c>
      <c r="I4294" s="83"/>
      <c r="K4294" s="54" t="s">
        <v>15</v>
      </c>
    </row>
    <row r="4295" spans="2:11" ht="41.25" x14ac:dyDescent="0.2">
      <c r="B4295" s="84" t="s">
        <v>6864</v>
      </c>
      <c r="C4295" s="84" t="s">
        <v>6865</v>
      </c>
      <c r="D4295" s="85">
        <v>0</v>
      </c>
      <c r="E4295" s="85"/>
      <c r="F4295" s="85">
        <v>269.98</v>
      </c>
      <c r="G4295" s="85">
        <v>0</v>
      </c>
      <c r="H4295" s="85">
        <f t="shared" si="67"/>
        <v>269.98</v>
      </c>
      <c r="I4295" s="85"/>
      <c r="K4295" s="54" t="s">
        <v>38</v>
      </c>
    </row>
    <row r="4296" spans="2:11" ht="16.5" x14ac:dyDescent="0.2">
      <c r="B4296" s="82" t="s">
        <v>6866</v>
      </c>
      <c r="C4296" s="82" t="s">
        <v>1079</v>
      </c>
      <c r="D4296" s="83">
        <f>SUMIFS(D4297:D6462,K4297:K6462,"0",B4297:B6462,"5 1 2 2 3 12 31111 6 M59 20500*")-SUMIFS(E4297:E6462,K4297:K6462,"0",B4297:B6462,"5 1 2 2 3 12 31111 6 M59 20500*")</f>
        <v>0</v>
      </c>
      <c r="E4296" s="54"/>
      <c r="F4296" s="83">
        <f>SUMIFS(F4297:F6462,K4297:K6462,"0",B4297:B6462,"5 1 2 2 3 12 31111 6 M59 20500*")</f>
        <v>4748.92</v>
      </c>
      <c r="G4296" s="83">
        <f>SUMIFS(G4297:G6462,K4297:K6462,"0",B4297:B6462,"5 1 2 2 3 12 31111 6 M59 20500*")</f>
        <v>0</v>
      </c>
      <c r="H4296" s="83">
        <f t="shared" si="67"/>
        <v>4748.92</v>
      </c>
      <c r="I4296" s="83"/>
      <c r="K4296" s="54" t="s">
        <v>15</v>
      </c>
    </row>
    <row r="4297" spans="2:11" ht="16.5" x14ac:dyDescent="0.2">
      <c r="B4297" s="82" t="s">
        <v>6867</v>
      </c>
      <c r="C4297" s="82" t="s">
        <v>648</v>
      </c>
      <c r="D4297" s="83">
        <f>SUMIFS(D4298:D6462,K4298:K6462,"0",B4298:B6462,"5 1 2 2 3 12 31111 6 M59 20500 000132*")-SUMIFS(E4298:E6462,K4298:K6462,"0",B4298:B6462,"5 1 2 2 3 12 31111 6 M59 20500 000132*")</f>
        <v>0</v>
      </c>
      <c r="E4297" s="54"/>
      <c r="F4297" s="83">
        <f>SUMIFS(F4298:F6462,K4298:K6462,"0",B4298:B6462,"5 1 2 2 3 12 31111 6 M59 20500 000132*")</f>
        <v>4748.92</v>
      </c>
      <c r="G4297" s="83">
        <f>SUMIFS(G4298:G6462,K4298:K6462,"0",B4298:B6462,"5 1 2 2 3 12 31111 6 M59 20500 000132*")</f>
        <v>0</v>
      </c>
      <c r="H4297" s="83">
        <f t="shared" si="67"/>
        <v>4748.92</v>
      </c>
      <c r="I4297" s="83"/>
      <c r="K4297" s="54" t="s">
        <v>15</v>
      </c>
    </row>
    <row r="4298" spans="2:11" ht="24.75" x14ac:dyDescent="0.2">
      <c r="B4298" s="82" t="s">
        <v>6868</v>
      </c>
      <c r="C4298" s="82" t="s">
        <v>650</v>
      </c>
      <c r="D4298" s="83">
        <f>SUMIFS(D4299:D6462,K4299:K6462,"0",B4299:B6462,"5 1 2 2 3 12 31111 6 M59 20500 000132 0000R*")-SUMIFS(E4299:E6462,K4299:K6462,"0",B4299:B6462,"5 1 2 2 3 12 31111 6 M59 20500 000132 0000R*")</f>
        <v>0</v>
      </c>
      <c r="E4298" s="54"/>
      <c r="F4298" s="83">
        <f>SUMIFS(F4299:F6462,K4299:K6462,"0",B4299:B6462,"5 1 2 2 3 12 31111 6 M59 20500 000132 0000R*")</f>
        <v>4748.92</v>
      </c>
      <c r="G4298" s="83">
        <f>SUMIFS(G4299:G6462,K4299:K6462,"0",B4299:B6462,"5 1 2 2 3 12 31111 6 M59 20500 000132 0000R*")</f>
        <v>0</v>
      </c>
      <c r="H4298" s="83">
        <f t="shared" si="67"/>
        <v>4748.92</v>
      </c>
      <c r="I4298" s="83"/>
      <c r="K4298" s="54" t="s">
        <v>15</v>
      </c>
    </row>
    <row r="4299" spans="2:11" ht="24.75" x14ac:dyDescent="0.2">
      <c r="B4299" s="82" t="s">
        <v>6869</v>
      </c>
      <c r="C4299" s="82" t="s">
        <v>282</v>
      </c>
      <c r="D4299" s="83">
        <f>SUMIFS(D4300:D6462,K4300:K6462,"0",B4300:B6462,"5 1 2 2 3 12 31111 6 M59 20500 000132 0000R 00001*")-SUMIFS(E4300:E6462,K4300:K6462,"0",B4300:B6462,"5 1 2 2 3 12 31111 6 M59 20500 000132 0000R 00001*")</f>
        <v>0</v>
      </c>
      <c r="E4299" s="54"/>
      <c r="F4299" s="83">
        <f>SUMIFS(F4300:F6462,K4300:K6462,"0",B4300:B6462,"5 1 2 2 3 12 31111 6 M59 20500 000132 0000R 00001*")</f>
        <v>4748.92</v>
      </c>
      <c r="G4299" s="83">
        <f>SUMIFS(G4300:G6462,K4300:K6462,"0",B4300:B6462,"5 1 2 2 3 12 31111 6 M59 20500 000132 0000R 00001*")</f>
        <v>0</v>
      </c>
      <c r="H4299" s="83">
        <f t="shared" si="67"/>
        <v>4748.92</v>
      </c>
      <c r="I4299" s="83"/>
      <c r="K4299" s="54" t="s">
        <v>15</v>
      </c>
    </row>
    <row r="4300" spans="2:11" ht="24.75" x14ac:dyDescent="0.2">
      <c r="B4300" s="82" t="s">
        <v>6870</v>
      </c>
      <c r="C4300" s="82" t="s">
        <v>6858</v>
      </c>
      <c r="D4300" s="83">
        <f>SUMIFS(D4301:D6462,K4301:K6462,"0",B4301:B6462,"5 1 2 2 3 12 31111 6 M59 20500 000132 0000R 00001 00223*")-SUMIFS(E4301:E6462,K4301:K6462,"0",B4301:B6462,"5 1 2 2 3 12 31111 6 M59 20500 000132 0000R 00001 00223*")</f>
        <v>0</v>
      </c>
      <c r="E4300" s="54"/>
      <c r="F4300" s="83">
        <f>SUMIFS(F4301:F6462,K4301:K6462,"0",B4301:B6462,"5 1 2 2 3 12 31111 6 M59 20500 000132 0000R 00001 00223*")</f>
        <v>4748.92</v>
      </c>
      <c r="G4300" s="83">
        <f>SUMIFS(G4301:G6462,K4301:K6462,"0",B4301:B6462,"5 1 2 2 3 12 31111 6 M59 20500 000132 0000R 00001 00223*")</f>
        <v>0</v>
      </c>
      <c r="H4300" s="83">
        <f t="shared" si="67"/>
        <v>4748.92</v>
      </c>
      <c r="I4300" s="83"/>
      <c r="K4300" s="54" t="s">
        <v>15</v>
      </c>
    </row>
    <row r="4301" spans="2:11" ht="33" x14ac:dyDescent="0.2">
      <c r="B4301" s="82" t="s">
        <v>6871</v>
      </c>
      <c r="C4301" s="82" t="s">
        <v>1051</v>
      </c>
      <c r="D4301" s="83">
        <f>SUMIFS(D4302:D6462,K4302:K6462,"0",B4302:B6462,"5 1 2 2 3 12 31111 6 M59 20500 000132 0000R 00001 00223 015*")-SUMIFS(E4302:E6462,K4302:K6462,"0",B4302:B6462,"5 1 2 2 3 12 31111 6 M59 20500 000132 0000R 00001 00223 015*")</f>
        <v>0</v>
      </c>
      <c r="E4301" s="54"/>
      <c r="F4301" s="83">
        <f>SUMIFS(F4302:F6462,K4302:K6462,"0",B4302:B6462,"5 1 2 2 3 12 31111 6 M59 20500 000132 0000R 00001 00223 015*")</f>
        <v>4748.92</v>
      </c>
      <c r="G4301" s="83">
        <f>SUMIFS(G4302:G6462,K4302:K6462,"0",B4302:B6462,"5 1 2 2 3 12 31111 6 M59 20500 000132 0000R 00001 00223 015*")</f>
        <v>0</v>
      </c>
      <c r="H4301" s="83">
        <f t="shared" si="67"/>
        <v>4748.92</v>
      </c>
      <c r="I4301" s="83"/>
      <c r="K4301" s="54" t="s">
        <v>15</v>
      </c>
    </row>
    <row r="4302" spans="2:11" ht="33" x14ac:dyDescent="0.2">
      <c r="B4302" s="82" t="s">
        <v>6872</v>
      </c>
      <c r="C4302" s="82" t="s">
        <v>5830</v>
      </c>
      <c r="D4302" s="83">
        <f>SUMIFS(D4303:D6462,K4303:K6462,"0",B4303:B6462,"5 1 2 2 3 12 31111 6 M59 20500 000132 0000R 00001 00223 015 2112000*")-SUMIFS(E4303:E6462,K4303:K6462,"0",B4303:B6462,"5 1 2 2 3 12 31111 6 M59 20500 000132 0000R 00001 00223 015 2112000*")</f>
        <v>0</v>
      </c>
      <c r="E4302" s="54"/>
      <c r="F4302" s="83">
        <f>SUMIFS(F4303:F6462,K4303:K6462,"0",B4303:B6462,"5 1 2 2 3 12 31111 6 M59 20500 000132 0000R 00001 00223 015 2112000*")</f>
        <v>4748.92</v>
      </c>
      <c r="G4302" s="83">
        <f>SUMIFS(G4303:G6462,K4303:K6462,"0",B4303:B6462,"5 1 2 2 3 12 31111 6 M59 20500 000132 0000R 00001 00223 015 2112000*")</f>
        <v>0</v>
      </c>
      <c r="H4302" s="83">
        <f t="shared" si="67"/>
        <v>4748.92</v>
      </c>
      <c r="I4302" s="83"/>
      <c r="K4302" s="54" t="s">
        <v>15</v>
      </c>
    </row>
    <row r="4303" spans="2:11" ht="33" x14ac:dyDescent="0.2">
      <c r="B4303" s="82" t="s">
        <v>6873</v>
      </c>
      <c r="C4303" s="82" t="s">
        <v>660</v>
      </c>
      <c r="D4303" s="83">
        <f>SUMIFS(D4304:D6462,K4304:K6462,"0",B4304:B6462,"5 1 2 2 3 12 31111 6 M59 20500 000132 0000R 00001 00223 015 2112000 2024*")-SUMIFS(E4304:E6462,K4304:K6462,"0",B4304:B6462,"5 1 2 2 3 12 31111 6 M59 20500 000132 0000R 00001 00223 015 2112000 2024*")</f>
        <v>0</v>
      </c>
      <c r="E4303" s="54"/>
      <c r="F4303" s="83">
        <f>SUMIFS(F4304:F6462,K4304:K6462,"0",B4304:B6462,"5 1 2 2 3 12 31111 6 M59 20500 000132 0000R 00001 00223 015 2112000 2024*")</f>
        <v>4748.92</v>
      </c>
      <c r="G4303" s="83">
        <f>SUMIFS(G4304:G6462,K4304:K6462,"0",B4304:B6462,"5 1 2 2 3 12 31111 6 M59 20500 000132 0000R 00001 00223 015 2112000 2024*")</f>
        <v>0</v>
      </c>
      <c r="H4303" s="83">
        <f t="shared" si="67"/>
        <v>4748.92</v>
      </c>
      <c r="I4303" s="83"/>
      <c r="K4303" s="54" t="s">
        <v>15</v>
      </c>
    </row>
    <row r="4304" spans="2:11" ht="41.25" x14ac:dyDescent="0.2">
      <c r="B4304" s="82" t="s">
        <v>6874</v>
      </c>
      <c r="C4304" s="82" t="s">
        <v>1056</v>
      </c>
      <c r="D4304" s="83">
        <f>SUMIFS(D4305:D6462,K4305:K6462,"0",B4305:B6462,"5 1 2 2 3 12 31111 6 M59 20500 000132 0000R 00001 00223 015 2112000 2024 CP1CP420*")-SUMIFS(E4305:E6462,K4305:K6462,"0",B4305:B6462,"5 1 2 2 3 12 31111 6 M59 20500 000132 0000R 00001 00223 015 2112000 2024 CP1CP420*")</f>
        <v>0</v>
      </c>
      <c r="E4304" s="54"/>
      <c r="F4304" s="83">
        <f>SUMIFS(F4305:F6462,K4305:K6462,"0",B4305:B6462,"5 1 2 2 3 12 31111 6 M59 20500 000132 0000R 00001 00223 015 2112000 2024 CP1CP420*")</f>
        <v>4748.92</v>
      </c>
      <c r="G4304" s="83">
        <f>SUMIFS(G4305:G6462,K4305:K6462,"0",B4305:B6462,"5 1 2 2 3 12 31111 6 M59 20500 000132 0000R 00001 00223 015 2112000 2024 CP1CP420*")</f>
        <v>0</v>
      </c>
      <c r="H4304" s="83">
        <f t="shared" si="67"/>
        <v>4748.92</v>
      </c>
      <c r="I4304" s="83"/>
      <c r="K4304" s="54" t="s">
        <v>15</v>
      </c>
    </row>
    <row r="4305" spans="2:11" ht="41.25" x14ac:dyDescent="0.2">
      <c r="B4305" s="82" t="s">
        <v>6875</v>
      </c>
      <c r="C4305" s="82" t="s">
        <v>282</v>
      </c>
      <c r="D4305" s="83">
        <f>SUMIFS(D4306:D6462,K4306:K6462,"0",B4306:B6462,"5 1 2 2 3 12 31111 6 M59 20500 000132 0000R 00001 00223 015 2112000 2024 CP1CP420 001*")-SUMIFS(E4306:E6462,K4306:K6462,"0",B4306:B6462,"5 1 2 2 3 12 31111 6 M59 20500 000132 0000R 00001 00223 015 2112000 2024 CP1CP420 001*")</f>
        <v>0</v>
      </c>
      <c r="E4305" s="54"/>
      <c r="F4305" s="83">
        <f>SUMIFS(F4306:F6462,K4306:K6462,"0",B4306:B6462,"5 1 2 2 3 12 31111 6 M59 20500 000132 0000R 00001 00223 015 2112000 2024 CP1CP420 001*")</f>
        <v>4748.92</v>
      </c>
      <c r="G4305" s="83">
        <f>SUMIFS(G4306:G6462,K4306:K6462,"0",B4306:B6462,"5 1 2 2 3 12 31111 6 M59 20500 000132 0000R 00001 00223 015 2112000 2024 CP1CP420 001*")</f>
        <v>0</v>
      </c>
      <c r="H4305" s="83">
        <f t="shared" si="67"/>
        <v>4748.92</v>
      </c>
      <c r="I4305" s="83"/>
      <c r="K4305" s="54" t="s">
        <v>15</v>
      </c>
    </row>
    <row r="4306" spans="2:11" ht="33" x14ac:dyDescent="0.2">
      <c r="B4306" s="84" t="s">
        <v>6876</v>
      </c>
      <c r="C4306" s="84" t="s">
        <v>6848</v>
      </c>
      <c r="D4306" s="85">
        <v>0</v>
      </c>
      <c r="E4306" s="85"/>
      <c r="F4306" s="85">
        <v>4748.92</v>
      </c>
      <c r="G4306" s="85">
        <v>0</v>
      </c>
      <c r="H4306" s="85">
        <f t="shared" si="67"/>
        <v>4748.92</v>
      </c>
      <c r="I4306" s="85"/>
      <c r="K4306" s="54" t="s">
        <v>38</v>
      </c>
    </row>
    <row r="4307" spans="2:11" ht="24.75" x14ac:dyDescent="0.2">
      <c r="B4307" s="82" t="s">
        <v>6877</v>
      </c>
      <c r="C4307" s="82" t="s">
        <v>6878</v>
      </c>
      <c r="D4307" s="83">
        <f>SUMIFS(D4308:D6462,K4308:K6462,"0",B4308:B6462,"5 1 2 3*")-SUMIFS(E4308:E6462,K4308:K6462,"0",B4308:B6462,"5 1 2 3*")</f>
        <v>0</v>
      </c>
      <c r="E4307" s="54"/>
      <c r="F4307" s="83">
        <f>SUMIFS(F4308:F6462,K4308:K6462,"0",B4308:B6462,"5 1 2 3*")</f>
        <v>99.99</v>
      </c>
      <c r="G4307" s="83">
        <f>SUMIFS(G4308:G6462,K4308:K6462,"0",B4308:B6462,"5 1 2 3*")</f>
        <v>0</v>
      </c>
      <c r="H4307" s="83">
        <f t="shared" si="67"/>
        <v>99.99</v>
      </c>
      <c r="I4307" s="83"/>
      <c r="K4307" s="54" t="s">
        <v>15</v>
      </c>
    </row>
    <row r="4308" spans="2:11" ht="24.75" x14ac:dyDescent="0.2">
      <c r="B4308" s="82" t="s">
        <v>6879</v>
      </c>
      <c r="C4308" s="82" t="s">
        <v>6880</v>
      </c>
      <c r="D4308" s="83">
        <f>SUMIFS(D4309:D6462,K4309:K6462,"0",B4309:B6462,"5 1 2 3 2*")-SUMIFS(E4309:E6462,K4309:K6462,"0",B4309:B6462,"5 1 2 3 2*")</f>
        <v>0</v>
      </c>
      <c r="E4308" s="54"/>
      <c r="F4308" s="83">
        <f>SUMIFS(F4309:F6462,K4309:K6462,"0",B4309:B6462,"5 1 2 3 2*")</f>
        <v>99.99</v>
      </c>
      <c r="G4308" s="83">
        <f>SUMIFS(G4309:G6462,K4309:K6462,"0",B4309:B6462,"5 1 2 3 2*")</f>
        <v>0</v>
      </c>
      <c r="H4308" s="83">
        <f t="shared" si="67"/>
        <v>99.99</v>
      </c>
      <c r="I4308" s="83"/>
      <c r="K4308" s="54" t="s">
        <v>15</v>
      </c>
    </row>
    <row r="4309" spans="2:11" ht="12.75" x14ac:dyDescent="0.2">
      <c r="B4309" s="82" t="s">
        <v>6881</v>
      </c>
      <c r="C4309" s="82" t="s">
        <v>26</v>
      </c>
      <c r="D4309" s="83">
        <f>SUMIFS(D4310:D6462,K4310:K6462,"0",B4310:B6462,"5 1 2 3 2 12*")-SUMIFS(E4310:E6462,K4310:K6462,"0",B4310:B6462,"5 1 2 3 2 12*")</f>
        <v>0</v>
      </c>
      <c r="E4309" s="54"/>
      <c r="F4309" s="83">
        <f>SUMIFS(F4310:F6462,K4310:K6462,"0",B4310:B6462,"5 1 2 3 2 12*")</f>
        <v>99.99</v>
      </c>
      <c r="G4309" s="83">
        <f>SUMIFS(G4310:G6462,K4310:K6462,"0",B4310:B6462,"5 1 2 3 2 12*")</f>
        <v>0</v>
      </c>
      <c r="H4309" s="83">
        <f t="shared" si="67"/>
        <v>99.99</v>
      </c>
      <c r="I4309" s="83"/>
      <c r="K4309" s="54" t="s">
        <v>15</v>
      </c>
    </row>
    <row r="4310" spans="2:11" ht="16.5" x14ac:dyDescent="0.2">
      <c r="B4310" s="82" t="s">
        <v>6882</v>
      </c>
      <c r="C4310" s="82" t="s">
        <v>28</v>
      </c>
      <c r="D4310" s="83">
        <f>SUMIFS(D4311:D6462,K4311:K6462,"0",B4311:B6462,"5 1 2 3 2 12 31111*")-SUMIFS(E4311:E6462,K4311:K6462,"0",B4311:B6462,"5 1 2 3 2 12 31111*")</f>
        <v>0</v>
      </c>
      <c r="E4310" s="54"/>
      <c r="F4310" s="83">
        <f>SUMIFS(F4311:F6462,K4311:K6462,"0",B4311:B6462,"5 1 2 3 2 12 31111*")</f>
        <v>99.99</v>
      </c>
      <c r="G4310" s="83">
        <f>SUMIFS(G4311:G6462,K4311:K6462,"0",B4311:B6462,"5 1 2 3 2 12 31111*")</f>
        <v>0</v>
      </c>
      <c r="H4310" s="83">
        <f t="shared" si="67"/>
        <v>99.99</v>
      </c>
      <c r="I4310" s="83"/>
      <c r="K4310" s="54" t="s">
        <v>15</v>
      </c>
    </row>
    <row r="4311" spans="2:11" ht="12.75" x14ac:dyDescent="0.2">
      <c r="B4311" s="82" t="s">
        <v>6883</v>
      </c>
      <c r="C4311" s="82" t="s">
        <v>30</v>
      </c>
      <c r="D4311" s="83">
        <f>SUMIFS(D4312:D6462,K4312:K6462,"0",B4312:B6462,"5 1 2 3 2 12 31111 6*")-SUMIFS(E4312:E6462,K4312:K6462,"0",B4312:B6462,"5 1 2 3 2 12 31111 6*")</f>
        <v>0</v>
      </c>
      <c r="E4311" s="54"/>
      <c r="F4311" s="83">
        <f>SUMIFS(F4312:F6462,K4312:K6462,"0",B4312:B6462,"5 1 2 3 2 12 31111 6*")</f>
        <v>99.99</v>
      </c>
      <c r="G4311" s="83">
        <f>SUMIFS(G4312:G6462,K4312:K6462,"0",B4312:B6462,"5 1 2 3 2 12 31111 6*")</f>
        <v>0</v>
      </c>
      <c r="H4311" s="83">
        <f t="shared" si="67"/>
        <v>99.99</v>
      </c>
      <c r="I4311" s="83"/>
      <c r="K4311" s="54" t="s">
        <v>15</v>
      </c>
    </row>
    <row r="4312" spans="2:11" ht="16.5" x14ac:dyDescent="0.2">
      <c r="B4312" s="82" t="s">
        <v>6884</v>
      </c>
      <c r="C4312" s="82" t="s">
        <v>2284</v>
      </c>
      <c r="D4312" s="83">
        <f>SUMIFS(D4313:D6462,K4313:K6462,"0",B4313:B6462,"5 1 2 3 2 12 31111 6 M59*")-SUMIFS(E4313:E6462,K4313:K6462,"0",B4313:B6462,"5 1 2 3 2 12 31111 6 M59*")</f>
        <v>0</v>
      </c>
      <c r="E4312" s="54"/>
      <c r="F4312" s="83">
        <f>SUMIFS(F4313:F6462,K4313:K6462,"0",B4313:B6462,"5 1 2 3 2 12 31111 6 M59*")</f>
        <v>99.99</v>
      </c>
      <c r="G4312" s="83">
        <f>SUMIFS(G4313:G6462,K4313:K6462,"0",B4313:B6462,"5 1 2 3 2 12 31111 6 M59*")</f>
        <v>0</v>
      </c>
      <c r="H4312" s="83">
        <f t="shared" si="67"/>
        <v>99.99</v>
      </c>
      <c r="I4312" s="83"/>
      <c r="K4312" s="54" t="s">
        <v>15</v>
      </c>
    </row>
    <row r="4313" spans="2:11" ht="16.5" x14ac:dyDescent="0.2">
      <c r="B4313" s="82" t="s">
        <v>6885</v>
      </c>
      <c r="C4313" s="82" t="s">
        <v>3281</v>
      </c>
      <c r="D4313" s="83">
        <f>SUMIFS(D4314:D6462,K4314:K6462,"0",B4314:B6462,"5 1 2 3 2 12 31111 6 M59 50000*")-SUMIFS(E4314:E6462,K4314:K6462,"0",B4314:B6462,"5 1 2 3 2 12 31111 6 M59 50000*")</f>
        <v>0</v>
      </c>
      <c r="E4313" s="54"/>
      <c r="F4313" s="83">
        <f>SUMIFS(F4314:F6462,K4314:K6462,"0",B4314:B6462,"5 1 2 3 2 12 31111 6 M59 50000*")</f>
        <v>99.99</v>
      </c>
      <c r="G4313" s="83">
        <f>SUMIFS(G4314:G6462,K4314:K6462,"0",B4314:B6462,"5 1 2 3 2 12 31111 6 M59 50000*")</f>
        <v>0</v>
      </c>
      <c r="H4313" s="83">
        <f t="shared" si="67"/>
        <v>99.99</v>
      </c>
      <c r="I4313" s="83"/>
      <c r="K4313" s="54" t="s">
        <v>15</v>
      </c>
    </row>
    <row r="4314" spans="2:11" ht="16.5" x14ac:dyDescent="0.2">
      <c r="B4314" s="82" t="s">
        <v>6886</v>
      </c>
      <c r="C4314" s="82" t="s">
        <v>3283</v>
      </c>
      <c r="D4314" s="83">
        <f>SUMIFS(D4315:D6462,K4315:K6462,"0",B4315:B6462,"5 1 2 3 2 12 31111 6 M59 50000 000223*")-SUMIFS(E4315:E6462,K4315:K6462,"0",B4315:B6462,"5 1 2 3 2 12 31111 6 M59 50000 000223*")</f>
        <v>0</v>
      </c>
      <c r="E4314" s="54"/>
      <c r="F4314" s="83">
        <f>SUMIFS(F4315:F6462,K4315:K6462,"0",B4315:B6462,"5 1 2 3 2 12 31111 6 M59 50000 000223*")</f>
        <v>99.99</v>
      </c>
      <c r="G4314" s="83">
        <f>SUMIFS(G4315:G6462,K4315:K6462,"0",B4315:B6462,"5 1 2 3 2 12 31111 6 M59 50000 000223*")</f>
        <v>0</v>
      </c>
      <c r="H4314" s="83">
        <f t="shared" si="67"/>
        <v>99.99</v>
      </c>
      <c r="I4314" s="83"/>
      <c r="K4314" s="54" t="s">
        <v>15</v>
      </c>
    </row>
    <row r="4315" spans="2:11" ht="24.75" x14ac:dyDescent="0.2">
      <c r="B4315" s="82" t="s">
        <v>6887</v>
      </c>
      <c r="C4315" s="82" t="s">
        <v>1065</v>
      </c>
      <c r="D4315" s="83">
        <f>SUMIFS(D4316:D6462,K4316:K6462,"0",B4316:B6462,"5 1 2 3 2 12 31111 6 M59 50000 000223 0000E*")-SUMIFS(E4316:E6462,K4316:K6462,"0",B4316:B6462,"5 1 2 3 2 12 31111 6 M59 50000 000223 0000E*")</f>
        <v>0</v>
      </c>
      <c r="E4315" s="54"/>
      <c r="F4315" s="83">
        <f>SUMIFS(F4316:F6462,K4316:K6462,"0",B4316:B6462,"5 1 2 3 2 12 31111 6 M59 50000 000223 0000E*")</f>
        <v>99.99</v>
      </c>
      <c r="G4315" s="83">
        <f>SUMIFS(G4316:G6462,K4316:K6462,"0",B4316:B6462,"5 1 2 3 2 12 31111 6 M59 50000 000223 0000E*")</f>
        <v>0</v>
      </c>
      <c r="H4315" s="83">
        <f t="shared" si="67"/>
        <v>99.99</v>
      </c>
      <c r="I4315" s="83"/>
      <c r="K4315" s="54" t="s">
        <v>15</v>
      </c>
    </row>
    <row r="4316" spans="2:11" ht="24.75" x14ac:dyDescent="0.2">
      <c r="B4316" s="82" t="s">
        <v>6888</v>
      </c>
      <c r="C4316" s="82" t="s">
        <v>282</v>
      </c>
      <c r="D4316" s="83">
        <f>SUMIFS(D4317:D6462,K4317:K6462,"0",B4317:B6462,"5 1 2 3 2 12 31111 6 M59 50000 000223 0000E 00001*")-SUMIFS(E4317:E6462,K4317:K6462,"0",B4317:B6462,"5 1 2 3 2 12 31111 6 M59 50000 000223 0000E 00001*")</f>
        <v>0</v>
      </c>
      <c r="E4316" s="54"/>
      <c r="F4316" s="83">
        <f>SUMIFS(F4317:F6462,K4317:K6462,"0",B4317:B6462,"5 1 2 3 2 12 31111 6 M59 50000 000223 0000E 00001*")</f>
        <v>99.99</v>
      </c>
      <c r="G4316" s="83">
        <f>SUMIFS(G4317:G6462,K4317:K6462,"0",B4317:B6462,"5 1 2 3 2 12 31111 6 M59 50000 000223 0000E 00001*")</f>
        <v>0</v>
      </c>
      <c r="H4316" s="83">
        <f t="shared" si="67"/>
        <v>99.99</v>
      </c>
      <c r="I4316" s="83"/>
      <c r="K4316" s="54" t="s">
        <v>15</v>
      </c>
    </row>
    <row r="4317" spans="2:11" ht="24.75" x14ac:dyDescent="0.2">
      <c r="B4317" s="82" t="s">
        <v>6889</v>
      </c>
      <c r="C4317" s="82" t="s">
        <v>6890</v>
      </c>
      <c r="D4317" s="83">
        <f>SUMIFS(D4318:D6462,K4318:K6462,"0",B4318:B6462,"5 1 2 3 2 12 31111 6 M59 50000 000223 0000E 00001 00232*")-SUMIFS(E4318:E6462,K4318:K6462,"0",B4318:B6462,"5 1 2 3 2 12 31111 6 M59 50000 000223 0000E 00001 00232*")</f>
        <v>0</v>
      </c>
      <c r="E4317" s="54"/>
      <c r="F4317" s="83">
        <f>SUMIFS(F4318:F6462,K4318:K6462,"0",B4318:B6462,"5 1 2 3 2 12 31111 6 M59 50000 000223 0000E 00001 00232*")</f>
        <v>99.99</v>
      </c>
      <c r="G4317" s="83">
        <f>SUMIFS(G4318:G6462,K4318:K6462,"0",B4318:B6462,"5 1 2 3 2 12 31111 6 M59 50000 000223 0000E 00001 00232*")</f>
        <v>0</v>
      </c>
      <c r="H4317" s="83">
        <f t="shared" si="67"/>
        <v>99.99</v>
      </c>
      <c r="I4317" s="83"/>
      <c r="K4317" s="54" t="s">
        <v>15</v>
      </c>
    </row>
    <row r="4318" spans="2:11" ht="33" x14ac:dyDescent="0.2">
      <c r="B4318" s="82" t="s">
        <v>6891</v>
      </c>
      <c r="C4318" s="82" t="s">
        <v>1051</v>
      </c>
      <c r="D4318" s="83">
        <f>SUMIFS(D4319:D6462,K4319:K6462,"0",B4319:B6462,"5 1 2 3 2 12 31111 6 M59 50000 000223 0000E 00001 00232 015*")-SUMIFS(E4319:E6462,K4319:K6462,"0",B4319:B6462,"5 1 2 3 2 12 31111 6 M59 50000 000223 0000E 00001 00232 015*")</f>
        <v>0</v>
      </c>
      <c r="E4318" s="54"/>
      <c r="F4318" s="83">
        <f>SUMIFS(F4319:F6462,K4319:K6462,"0",B4319:B6462,"5 1 2 3 2 12 31111 6 M59 50000 000223 0000E 00001 00232 015*")</f>
        <v>99.99</v>
      </c>
      <c r="G4318" s="83">
        <f>SUMIFS(G4319:G6462,K4319:K6462,"0",B4319:B6462,"5 1 2 3 2 12 31111 6 M59 50000 000223 0000E 00001 00232 015*")</f>
        <v>0</v>
      </c>
      <c r="H4318" s="83">
        <f t="shared" si="67"/>
        <v>99.99</v>
      </c>
      <c r="I4318" s="83"/>
      <c r="K4318" s="54" t="s">
        <v>15</v>
      </c>
    </row>
    <row r="4319" spans="2:11" ht="33" x14ac:dyDescent="0.2">
      <c r="B4319" s="82" t="s">
        <v>6892</v>
      </c>
      <c r="C4319" s="82" t="s">
        <v>5830</v>
      </c>
      <c r="D4319" s="83">
        <f>SUMIFS(D4320:D6462,K4320:K6462,"0",B4320:B6462,"5 1 2 3 2 12 31111 6 M59 50000 000223 0000E 00001 00232 015 2112000*")-SUMIFS(E4320:E6462,K4320:K6462,"0",B4320:B6462,"5 1 2 3 2 12 31111 6 M59 50000 000223 0000E 00001 00232 015 2112000*")</f>
        <v>0</v>
      </c>
      <c r="E4319" s="54"/>
      <c r="F4319" s="83">
        <f>SUMIFS(F4320:F6462,K4320:K6462,"0",B4320:B6462,"5 1 2 3 2 12 31111 6 M59 50000 000223 0000E 00001 00232 015 2112000*")</f>
        <v>99.99</v>
      </c>
      <c r="G4319" s="83">
        <f>SUMIFS(G4320:G6462,K4320:K6462,"0",B4320:B6462,"5 1 2 3 2 12 31111 6 M59 50000 000223 0000E 00001 00232 015 2112000*")</f>
        <v>0</v>
      </c>
      <c r="H4319" s="83">
        <f t="shared" si="67"/>
        <v>99.99</v>
      </c>
      <c r="I4319" s="83"/>
      <c r="K4319" s="54" t="s">
        <v>15</v>
      </c>
    </row>
    <row r="4320" spans="2:11" ht="33" x14ac:dyDescent="0.2">
      <c r="B4320" s="82" t="s">
        <v>6893</v>
      </c>
      <c r="C4320" s="82" t="s">
        <v>660</v>
      </c>
      <c r="D4320" s="83">
        <f>SUMIFS(D4321:D6462,K4321:K6462,"0",B4321:B6462,"5 1 2 3 2 12 31111 6 M59 50000 000223 0000E 00001 00232 015 2112000 2024*")-SUMIFS(E4321:E6462,K4321:K6462,"0",B4321:B6462,"5 1 2 3 2 12 31111 6 M59 50000 000223 0000E 00001 00232 015 2112000 2024*")</f>
        <v>0</v>
      </c>
      <c r="E4320" s="54"/>
      <c r="F4320" s="83">
        <f>SUMIFS(F4321:F6462,K4321:K6462,"0",B4321:B6462,"5 1 2 3 2 12 31111 6 M59 50000 000223 0000E 00001 00232 015 2112000 2024*")</f>
        <v>99.99</v>
      </c>
      <c r="G4320" s="83">
        <f>SUMIFS(G4321:G6462,K4321:K6462,"0",B4321:B6462,"5 1 2 3 2 12 31111 6 M59 50000 000223 0000E 00001 00232 015 2112000 2024*")</f>
        <v>0</v>
      </c>
      <c r="H4320" s="83">
        <f t="shared" si="67"/>
        <v>99.99</v>
      </c>
      <c r="I4320" s="83"/>
      <c r="K4320" s="54" t="s">
        <v>15</v>
      </c>
    </row>
    <row r="4321" spans="2:11" ht="41.25" x14ac:dyDescent="0.2">
      <c r="B4321" s="82" t="s">
        <v>6894</v>
      </c>
      <c r="C4321" s="82" t="s">
        <v>662</v>
      </c>
      <c r="D4321" s="83">
        <f>SUMIFS(D4322:D6462,K4322:K6462,"0",B4322:B6462,"5 1 2 3 2 12 31111 6 M59 50000 000223 0000E 00001 00232 015 2112000 2024 CP1DA424*")-SUMIFS(E4322:E6462,K4322:K6462,"0",B4322:B6462,"5 1 2 3 2 12 31111 6 M59 50000 000223 0000E 00001 00232 015 2112000 2024 CP1DA424*")</f>
        <v>0</v>
      </c>
      <c r="E4321" s="54"/>
      <c r="F4321" s="83">
        <f>SUMIFS(F4322:F6462,K4322:K6462,"0",B4322:B6462,"5 1 2 3 2 12 31111 6 M59 50000 000223 0000E 00001 00232 015 2112000 2024 CP1DA424*")</f>
        <v>99.99</v>
      </c>
      <c r="G4321" s="83">
        <f>SUMIFS(G4322:G6462,K4322:K6462,"0",B4322:B6462,"5 1 2 3 2 12 31111 6 M59 50000 000223 0000E 00001 00232 015 2112000 2024 CP1DA424*")</f>
        <v>0</v>
      </c>
      <c r="H4321" s="83">
        <f t="shared" si="67"/>
        <v>99.99</v>
      </c>
      <c r="I4321" s="83"/>
      <c r="K4321" s="54" t="s">
        <v>15</v>
      </c>
    </row>
    <row r="4322" spans="2:11" ht="41.25" x14ac:dyDescent="0.2">
      <c r="B4322" s="82" t="s">
        <v>6895</v>
      </c>
      <c r="C4322" s="82" t="s">
        <v>282</v>
      </c>
      <c r="D4322" s="83">
        <f>SUMIFS(D4323:D6462,K4323:K6462,"0",B4323:B6462,"5 1 2 3 2 12 31111 6 M59 50000 000223 0000E 00001 00232 015 2112000 2024 CP1DA424 001*")-SUMIFS(E4323:E6462,K4323:K6462,"0",B4323:B6462,"5 1 2 3 2 12 31111 6 M59 50000 000223 0000E 00001 00232 015 2112000 2024 CP1DA424 001*")</f>
        <v>0</v>
      </c>
      <c r="E4322" s="54"/>
      <c r="F4322" s="83">
        <f>SUMIFS(F4323:F6462,K4323:K6462,"0",B4323:B6462,"5 1 2 3 2 12 31111 6 M59 50000 000223 0000E 00001 00232 015 2112000 2024 CP1DA424 001*")</f>
        <v>99.99</v>
      </c>
      <c r="G4322" s="83">
        <f>SUMIFS(G4323:G6462,K4323:K6462,"0",B4323:B6462,"5 1 2 3 2 12 31111 6 M59 50000 000223 0000E 00001 00232 015 2112000 2024 CP1DA424 001*")</f>
        <v>0</v>
      </c>
      <c r="H4322" s="83">
        <f t="shared" si="67"/>
        <v>99.99</v>
      </c>
      <c r="I4322" s="83"/>
      <c r="K4322" s="54" t="s">
        <v>15</v>
      </c>
    </row>
    <row r="4323" spans="2:11" ht="41.25" x14ac:dyDescent="0.2">
      <c r="B4323" s="84" t="s">
        <v>6896</v>
      </c>
      <c r="C4323" s="84" t="s">
        <v>6890</v>
      </c>
      <c r="D4323" s="85">
        <v>0</v>
      </c>
      <c r="E4323" s="85"/>
      <c r="F4323" s="85">
        <v>99.99</v>
      </c>
      <c r="G4323" s="85">
        <v>0</v>
      </c>
      <c r="H4323" s="85">
        <f t="shared" si="67"/>
        <v>99.99</v>
      </c>
      <c r="I4323" s="85"/>
      <c r="K4323" s="54" t="s">
        <v>38</v>
      </c>
    </row>
    <row r="4324" spans="2:11" ht="24.75" x14ac:dyDescent="0.2">
      <c r="B4324" s="82" t="s">
        <v>6897</v>
      </c>
      <c r="C4324" s="82" t="s">
        <v>518</v>
      </c>
      <c r="D4324" s="83">
        <f>SUMIFS(D4325:D6462,K4325:K6462,"0",B4325:B6462,"5 1 2 4*")-SUMIFS(E4325:E6462,K4325:K6462,"0",B4325:B6462,"5 1 2 4*")</f>
        <v>0</v>
      </c>
      <c r="E4324" s="54"/>
      <c r="F4324" s="83">
        <f>SUMIFS(F4325:F6462,K4325:K6462,"0",B4325:B6462,"5 1 2 4*")</f>
        <v>717757.99999999977</v>
      </c>
      <c r="G4324" s="83">
        <f>SUMIFS(G4325:G6462,K4325:K6462,"0",B4325:B6462,"5 1 2 4*")</f>
        <v>0</v>
      </c>
      <c r="H4324" s="83">
        <f t="shared" si="67"/>
        <v>717757.99999999977</v>
      </c>
      <c r="I4324" s="83"/>
      <c r="K4324" s="54" t="s">
        <v>15</v>
      </c>
    </row>
    <row r="4325" spans="2:11" ht="16.5" x14ac:dyDescent="0.2">
      <c r="B4325" s="82" t="s">
        <v>6898</v>
      </c>
      <c r="C4325" s="82" t="s">
        <v>6899</v>
      </c>
      <c r="D4325" s="83">
        <f>SUMIFS(D4326:D6462,K4326:K6462,"0",B4326:B6462,"5 1 2 4 1*")-SUMIFS(E4326:E6462,K4326:K6462,"0",B4326:B6462,"5 1 2 4 1*")</f>
        <v>0</v>
      </c>
      <c r="E4325" s="54"/>
      <c r="F4325" s="83">
        <f>SUMIFS(F4326:F6462,K4326:K6462,"0",B4326:B6462,"5 1 2 4 1*")</f>
        <v>853.94</v>
      </c>
      <c r="G4325" s="83">
        <f>SUMIFS(G4326:G6462,K4326:K6462,"0",B4326:B6462,"5 1 2 4 1*")</f>
        <v>0</v>
      </c>
      <c r="H4325" s="83">
        <f t="shared" si="67"/>
        <v>853.94</v>
      </c>
      <c r="I4325" s="83"/>
      <c r="K4325" s="54" t="s">
        <v>15</v>
      </c>
    </row>
    <row r="4326" spans="2:11" ht="12.75" x14ac:dyDescent="0.2">
      <c r="B4326" s="82" t="s">
        <v>6900</v>
      </c>
      <c r="C4326" s="82" t="s">
        <v>26</v>
      </c>
      <c r="D4326" s="83">
        <f>SUMIFS(D4327:D6462,K4327:K6462,"0",B4327:B6462,"5 1 2 4 1 12*")-SUMIFS(E4327:E6462,K4327:K6462,"0",B4327:B6462,"5 1 2 4 1 12*")</f>
        <v>0</v>
      </c>
      <c r="E4326" s="54"/>
      <c r="F4326" s="83">
        <f>SUMIFS(F4327:F6462,K4327:K6462,"0",B4327:B6462,"5 1 2 4 1 12*")</f>
        <v>853.94</v>
      </c>
      <c r="G4326" s="83">
        <f>SUMIFS(G4327:G6462,K4327:K6462,"0",B4327:B6462,"5 1 2 4 1 12*")</f>
        <v>0</v>
      </c>
      <c r="H4326" s="83">
        <f t="shared" si="67"/>
        <v>853.94</v>
      </c>
      <c r="I4326" s="83"/>
      <c r="K4326" s="54" t="s">
        <v>15</v>
      </c>
    </row>
    <row r="4327" spans="2:11" ht="16.5" x14ac:dyDescent="0.2">
      <c r="B4327" s="82" t="s">
        <v>6901</v>
      </c>
      <c r="C4327" s="82" t="s">
        <v>28</v>
      </c>
      <c r="D4327" s="83">
        <f>SUMIFS(D4328:D6462,K4328:K6462,"0",B4328:B6462,"5 1 2 4 1 12 31111*")-SUMIFS(E4328:E6462,K4328:K6462,"0",B4328:B6462,"5 1 2 4 1 12 31111*")</f>
        <v>0</v>
      </c>
      <c r="E4327" s="54"/>
      <c r="F4327" s="83">
        <f>SUMIFS(F4328:F6462,K4328:K6462,"0",B4328:B6462,"5 1 2 4 1 12 31111*")</f>
        <v>853.94</v>
      </c>
      <c r="G4327" s="83">
        <f>SUMIFS(G4328:G6462,K4328:K6462,"0",B4328:B6462,"5 1 2 4 1 12 31111*")</f>
        <v>0</v>
      </c>
      <c r="H4327" s="83">
        <f t="shared" si="67"/>
        <v>853.94</v>
      </c>
      <c r="I4327" s="83"/>
      <c r="K4327" s="54" t="s">
        <v>15</v>
      </c>
    </row>
    <row r="4328" spans="2:11" ht="12.75" x14ac:dyDescent="0.2">
      <c r="B4328" s="82" t="s">
        <v>6902</v>
      </c>
      <c r="C4328" s="82" t="s">
        <v>30</v>
      </c>
      <c r="D4328" s="83">
        <f>SUMIFS(D4329:D6462,K4329:K6462,"0",B4329:B6462,"5 1 2 4 1 12 31111 6*")-SUMIFS(E4329:E6462,K4329:K6462,"0",B4329:B6462,"5 1 2 4 1 12 31111 6*")</f>
        <v>0</v>
      </c>
      <c r="E4328" s="54"/>
      <c r="F4328" s="83">
        <f>SUMIFS(F4329:F6462,K4329:K6462,"0",B4329:B6462,"5 1 2 4 1 12 31111 6*")</f>
        <v>853.94</v>
      </c>
      <c r="G4328" s="83">
        <f>SUMIFS(G4329:G6462,K4329:K6462,"0",B4329:B6462,"5 1 2 4 1 12 31111 6*")</f>
        <v>0</v>
      </c>
      <c r="H4328" s="83">
        <f t="shared" si="67"/>
        <v>853.94</v>
      </c>
      <c r="I4328" s="83"/>
      <c r="K4328" s="54" t="s">
        <v>15</v>
      </c>
    </row>
    <row r="4329" spans="2:11" ht="16.5" x14ac:dyDescent="0.2">
      <c r="B4329" s="82" t="s">
        <v>6903</v>
      </c>
      <c r="C4329" s="82" t="s">
        <v>2284</v>
      </c>
      <c r="D4329" s="83">
        <f>SUMIFS(D4330:D6462,K4330:K6462,"0",B4330:B6462,"5 1 2 4 1 12 31111 6 M59*")-SUMIFS(E4330:E6462,K4330:K6462,"0",B4330:B6462,"5 1 2 4 1 12 31111 6 M59*")</f>
        <v>0</v>
      </c>
      <c r="E4329" s="54"/>
      <c r="F4329" s="83">
        <f>SUMIFS(F4330:F6462,K4330:K6462,"0",B4330:B6462,"5 1 2 4 1 12 31111 6 M59*")</f>
        <v>853.94</v>
      </c>
      <c r="G4329" s="83">
        <f>SUMIFS(G4330:G6462,K4330:K6462,"0",B4330:B6462,"5 1 2 4 1 12 31111 6 M59*")</f>
        <v>0</v>
      </c>
      <c r="H4329" s="83">
        <f t="shared" si="67"/>
        <v>853.94</v>
      </c>
      <c r="I4329" s="83"/>
      <c r="K4329" s="54" t="s">
        <v>15</v>
      </c>
    </row>
    <row r="4330" spans="2:11" ht="16.5" x14ac:dyDescent="0.2">
      <c r="B4330" s="82" t="s">
        <v>6916</v>
      </c>
      <c r="C4330" s="82" t="s">
        <v>3103</v>
      </c>
      <c r="D4330" s="83">
        <f>SUMIFS(D4331:D6462,K4331:K6462,"0",B4331:B6462,"5 1 2 4 1 12 31111 6 M59 20400*")-SUMIFS(E4331:E6462,K4331:K6462,"0",B4331:B6462,"5 1 2 4 1 12 31111 6 M59 20400*")</f>
        <v>0</v>
      </c>
      <c r="E4330" s="54"/>
      <c r="F4330" s="83">
        <f>SUMIFS(F4331:F6462,K4331:K6462,"0",B4331:B6462,"5 1 2 4 1 12 31111 6 M59 20400*")</f>
        <v>304.99</v>
      </c>
      <c r="G4330" s="83">
        <f>SUMIFS(G4331:G6462,K4331:K6462,"0",B4331:B6462,"5 1 2 4 1 12 31111 6 M59 20400*")</f>
        <v>0</v>
      </c>
      <c r="H4330" s="83">
        <f t="shared" si="67"/>
        <v>304.99</v>
      </c>
      <c r="I4330" s="83"/>
      <c r="K4330" s="54" t="s">
        <v>15</v>
      </c>
    </row>
    <row r="4331" spans="2:11" ht="16.5" x14ac:dyDescent="0.2">
      <c r="B4331" s="82" t="s">
        <v>6917</v>
      </c>
      <c r="C4331" s="82" t="s">
        <v>648</v>
      </c>
      <c r="D4331" s="83">
        <f>SUMIFS(D4332:D6462,K4332:K6462,"0",B4332:B6462,"5 1 2 4 1 12 31111 6 M59 20400 000132*")-SUMIFS(E4332:E6462,K4332:K6462,"0",B4332:B6462,"5 1 2 4 1 12 31111 6 M59 20400 000132*")</f>
        <v>0</v>
      </c>
      <c r="E4331" s="54"/>
      <c r="F4331" s="83">
        <f>SUMIFS(F4332:F6462,K4332:K6462,"0",B4332:B6462,"5 1 2 4 1 12 31111 6 M59 20400 000132*")</f>
        <v>304.99</v>
      </c>
      <c r="G4331" s="83">
        <f>SUMIFS(G4332:G6462,K4332:K6462,"0",B4332:B6462,"5 1 2 4 1 12 31111 6 M59 20400 000132*")</f>
        <v>0</v>
      </c>
      <c r="H4331" s="83">
        <f t="shared" ref="H4331:H4394" si="68">D4331 + F4331 - G4331</f>
        <v>304.99</v>
      </c>
      <c r="I4331" s="83"/>
      <c r="K4331" s="54" t="s">
        <v>15</v>
      </c>
    </row>
    <row r="4332" spans="2:11" ht="24.75" x14ac:dyDescent="0.2">
      <c r="B4332" s="82" t="s">
        <v>6918</v>
      </c>
      <c r="C4332" s="82" t="s">
        <v>650</v>
      </c>
      <c r="D4332" s="83">
        <f>SUMIFS(D4333:D6462,K4333:K6462,"0",B4333:B6462,"5 1 2 4 1 12 31111 6 M59 20400 000132 0000R*")-SUMIFS(E4333:E6462,K4333:K6462,"0",B4333:B6462,"5 1 2 4 1 12 31111 6 M59 20400 000132 0000R*")</f>
        <v>0</v>
      </c>
      <c r="E4332" s="54"/>
      <c r="F4332" s="83">
        <f>SUMIFS(F4333:F6462,K4333:K6462,"0",B4333:B6462,"5 1 2 4 1 12 31111 6 M59 20400 000132 0000R*")</f>
        <v>304.99</v>
      </c>
      <c r="G4332" s="83">
        <f>SUMIFS(G4333:G6462,K4333:K6462,"0",B4333:B6462,"5 1 2 4 1 12 31111 6 M59 20400 000132 0000R*")</f>
        <v>0</v>
      </c>
      <c r="H4332" s="83">
        <f t="shared" si="68"/>
        <v>304.99</v>
      </c>
      <c r="I4332" s="83"/>
      <c r="K4332" s="54" t="s">
        <v>15</v>
      </c>
    </row>
    <row r="4333" spans="2:11" ht="24.75" x14ac:dyDescent="0.2">
      <c r="B4333" s="82" t="s">
        <v>6919</v>
      </c>
      <c r="C4333" s="82" t="s">
        <v>282</v>
      </c>
      <c r="D4333" s="83">
        <f>SUMIFS(D4334:D6462,K4334:K6462,"0",B4334:B6462,"5 1 2 4 1 12 31111 6 M59 20400 000132 0000R 00001*")-SUMIFS(E4334:E6462,K4334:K6462,"0",B4334:B6462,"5 1 2 4 1 12 31111 6 M59 20400 000132 0000R 00001*")</f>
        <v>0</v>
      </c>
      <c r="E4333" s="54"/>
      <c r="F4333" s="83">
        <f>SUMIFS(F4334:F6462,K4334:K6462,"0",B4334:B6462,"5 1 2 4 1 12 31111 6 M59 20400 000132 0000R 00001*")</f>
        <v>304.99</v>
      </c>
      <c r="G4333" s="83">
        <f>SUMIFS(G4334:G6462,K4334:K6462,"0",B4334:B6462,"5 1 2 4 1 12 31111 6 M59 20400 000132 0000R 00001*")</f>
        <v>0</v>
      </c>
      <c r="H4333" s="83">
        <f t="shared" si="68"/>
        <v>304.99</v>
      </c>
      <c r="I4333" s="83"/>
      <c r="K4333" s="54" t="s">
        <v>15</v>
      </c>
    </row>
    <row r="4334" spans="2:11" ht="24.75" x14ac:dyDescent="0.2">
      <c r="B4334" s="82" t="s">
        <v>6920</v>
      </c>
      <c r="C4334" s="82" t="s">
        <v>6909</v>
      </c>
      <c r="D4334" s="83">
        <f>SUMIFS(D4335:D6462,K4335:K6462,"0",B4335:B6462,"5 1 2 4 1 12 31111 6 M59 20400 000132 0000R 00001 00241*")-SUMIFS(E4335:E6462,K4335:K6462,"0",B4335:B6462,"5 1 2 4 1 12 31111 6 M59 20400 000132 0000R 00001 00241*")</f>
        <v>0</v>
      </c>
      <c r="E4334" s="54"/>
      <c r="F4334" s="83">
        <f>SUMIFS(F4335:F6462,K4335:K6462,"0",B4335:B6462,"5 1 2 4 1 12 31111 6 M59 20400 000132 0000R 00001 00241*")</f>
        <v>304.99</v>
      </c>
      <c r="G4334" s="83">
        <f>SUMIFS(G4335:G6462,K4335:K6462,"0",B4335:B6462,"5 1 2 4 1 12 31111 6 M59 20400 000132 0000R 00001 00241*")</f>
        <v>0</v>
      </c>
      <c r="H4334" s="83">
        <f t="shared" si="68"/>
        <v>304.99</v>
      </c>
      <c r="I4334" s="83"/>
      <c r="K4334" s="54" t="s">
        <v>15</v>
      </c>
    </row>
    <row r="4335" spans="2:11" ht="33" x14ac:dyDescent="0.2">
      <c r="B4335" s="82" t="s">
        <v>6921</v>
      </c>
      <c r="C4335" s="82" t="s">
        <v>1051</v>
      </c>
      <c r="D4335" s="83">
        <f>SUMIFS(D4336:D6462,K4336:K6462,"0",B4336:B6462,"5 1 2 4 1 12 31111 6 M59 20400 000132 0000R 00001 00241 015*")-SUMIFS(E4336:E6462,K4336:K6462,"0",B4336:B6462,"5 1 2 4 1 12 31111 6 M59 20400 000132 0000R 00001 00241 015*")</f>
        <v>0</v>
      </c>
      <c r="E4335" s="54"/>
      <c r="F4335" s="83">
        <f>SUMIFS(F4336:F6462,K4336:K6462,"0",B4336:B6462,"5 1 2 4 1 12 31111 6 M59 20400 000132 0000R 00001 00241 015*")</f>
        <v>304.99</v>
      </c>
      <c r="G4335" s="83">
        <f>SUMIFS(G4336:G6462,K4336:K6462,"0",B4336:B6462,"5 1 2 4 1 12 31111 6 M59 20400 000132 0000R 00001 00241 015*")</f>
        <v>0</v>
      </c>
      <c r="H4335" s="83">
        <f t="shared" si="68"/>
        <v>304.99</v>
      </c>
      <c r="I4335" s="83"/>
      <c r="K4335" s="54" t="s">
        <v>15</v>
      </c>
    </row>
    <row r="4336" spans="2:11" ht="33" x14ac:dyDescent="0.2">
      <c r="B4336" s="82" t="s">
        <v>6922</v>
      </c>
      <c r="C4336" s="82" t="s">
        <v>5830</v>
      </c>
      <c r="D4336" s="83">
        <f>SUMIFS(D4337:D6462,K4337:K6462,"0",B4337:B6462,"5 1 2 4 1 12 31111 6 M59 20400 000132 0000R 00001 00241 015 2112000*")-SUMIFS(E4337:E6462,K4337:K6462,"0",B4337:B6462,"5 1 2 4 1 12 31111 6 M59 20400 000132 0000R 00001 00241 015 2112000*")</f>
        <v>0</v>
      </c>
      <c r="E4336" s="54"/>
      <c r="F4336" s="83">
        <f>SUMIFS(F4337:F6462,K4337:K6462,"0",B4337:B6462,"5 1 2 4 1 12 31111 6 M59 20400 000132 0000R 00001 00241 015 2112000*")</f>
        <v>304.99</v>
      </c>
      <c r="G4336" s="83">
        <f>SUMIFS(G4337:G6462,K4337:K6462,"0",B4337:B6462,"5 1 2 4 1 12 31111 6 M59 20400 000132 0000R 00001 00241 015 2112000*")</f>
        <v>0</v>
      </c>
      <c r="H4336" s="83">
        <f t="shared" si="68"/>
        <v>304.99</v>
      </c>
      <c r="I4336" s="83"/>
      <c r="K4336" s="54" t="s">
        <v>15</v>
      </c>
    </row>
    <row r="4337" spans="2:11" ht="33" x14ac:dyDescent="0.2">
      <c r="B4337" s="82" t="s">
        <v>6923</v>
      </c>
      <c r="C4337" s="82" t="s">
        <v>660</v>
      </c>
      <c r="D4337" s="83">
        <f>SUMIFS(D4338:D6462,K4338:K6462,"0",B4338:B6462,"5 1 2 4 1 12 31111 6 M59 20400 000132 0000R 00001 00241 015 2112000 2024*")-SUMIFS(E4338:E6462,K4338:K6462,"0",B4338:B6462,"5 1 2 4 1 12 31111 6 M59 20400 000132 0000R 00001 00241 015 2112000 2024*")</f>
        <v>0</v>
      </c>
      <c r="E4337" s="54"/>
      <c r="F4337" s="83">
        <f>SUMIFS(F4338:F6462,K4338:K6462,"0",B4338:B6462,"5 1 2 4 1 12 31111 6 M59 20400 000132 0000R 00001 00241 015 2112000 2024*")</f>
        <v>304.99</v>
      </c>
      <c r="G4337" s="83">
        <f>SUMIFS(G4338:G6462,K4338:K6462,"0",B4338:B6462,"5 1 2 4 1 12 31111 6 M59 20400 000132 0000R 00001 00241 015 2112000 2024*")</f>
        <v>0</v>
      </c>
      <c r="H4337" s="83">
        <f t="shared" si="68"/>
        <v>304.99</v>
      </c>
      <c r="I4337" s="83"/>
      <c r="K4337" s="54" t="s">
        <v>15</v>
      </c>
    </row>
    <row r="4338" spans="2:11" ht="41.25" x14ac:dyDescent="0.2">
      <c r="B4338" s="82" t="s">
        <v>6924</v>
      </c>
      <c r="C4338" s="82" t="s">
        <v>1056</v>
      </c>
      <c r="D4338" s="83">
        <f>SUMIFS(D4339:D6462,K4339:K6462,"0",B4339:B6462,"5 1 2 4 1 12 31111 6 M59 20400 000132 0000R 00001 00241 015 2112000 2024 CP1PV404*")-SUMIFS(E4339:E6462,K4339:K6462,"0",B4339:B6462,"5 1 2 4 1 12 31111 6 M59 20400 000132 0000R 00001 00241 015 2112000 2024 CP1PV404*")</f>
        <v>0</v>
      </c>
      <c r="E4338" s="54"/>
      <c r="F4338" s="83">
        <f>SUMIFS(F4339:F6462,K4339:K6462,"0",B4339:B6462,"5 1 2 4 1 12 31111 6 M59 20400 000132 0000R 00001 00241 015 2112000 2024 CP1PV404*")</f>
        <v>304.99</v>
      </c>
      <c r="G4338" s="83">
        <f>SUMIFS(G4339:G6462,K4339:K6462,"0",B4339:B6462,"5 1 2 4 1 12 31111 6 M59 20400 000132 0000R 00001 00241 015 2112000 2024 CP1PV404*")</f>
        <v>0</v>
      </c>
      <c r="H4338" s="83">
        <f t="shared" si="68"/>
        <v>304.99</v>
      </c>
      <c r="I4338" s="83"/>
      <c r="K4338" s="54" t="s">
        <v>15</v>
      </c>
    </row>
    <row r="4339" spans="2:11" ht="41.25" x14ac:dyDescent="0.2">
      <c r="B4339" s="82" t="s">
        <v>6925</v>
      </c>
      <c r="C4339" s="82" t="s">
        <v>282</v>
      </c>
      <c r="D4339" s="83">
        <f>SUMIFS(D4340:D6462,K4340:K6462,"0",B4340:B6462,"5 1 2 4 1 12 31111 6 M59 20400 000132 0000R 00001 00241 015 2112000 2024 CP1PV404 001*")-SUMIFS(E4340:E6462,K4340:K6462,"0",B4340:B6462,"5 1 2 4 1 12 31111 6 M59 20400 000132 0000R 00001 00241 015 2112000 2024 CP1PV404 001*")</f>
        <v>0</v>
      </c>
      <c r="E4339" s="54"/>
      <c r="F4339" s="83">
        <f>SUMIFS(F4340:F6462,K4340:K6462,"0",B4340:B6462,"5 1 2 4 1 12 31111 6 M59 20400 000132 0000R 00001 00241 015 2112000 2024 CP1PV404 001*")</f>
        <v>304.99</v>
      </c>
      <c r="G4339" s="83">
        <f>SUMIFS(G4340:G6462,K4340:K6462,"0",B4340:B6462,"5 1 2 4 1 12 31111 6 M59 20400 000132 0000R 00001 00241 015 2112000 2024 CP1PV404 001*")</f>
        <v>0</v>
      </c>
      <c r="H4339" s="83">
        <f t="shared" si="68"/>
        <v>304.99</v>
      </c>
      <c r="I4339" s="83"/>
      <c r="K4339" s="54" t="s">
        <v>15</v>
      </c>
    </row>
    <row r="4340" spans="2:11" ht="41.25" x14ac:dyDescent="0.2">
      <c r="B4340" s="84" t="s">
        <v>6926</v>
      </c>
      <c r="C4340" s="84" t="s">
        <v>6909</v>
      </c>
      <c r="D4340" s="85">
        <v>0</v>
      </c>
      <c r="E4340" s="85"/>
      <c r="F4340" s="85">
        <v>304.99</v>
      </c>
      <c r="G4340" s="85">
        <v>0</v>
      </c>
      <c r="H4340" s="85">
        <f t="shared" si="68"/>
        <v>304.99</v>
      </c>
      <c r="I4340" s="85"/>
      <c r="K4340" s="54" t="s">
        <v>38</v>
      </c>
    </row>
    <row r="4341" spans="2:11" ht="16.5" x14ac:dyDescent="0.2">
      <c r="B4341" s="82" t="s">
        <v>6927</v>
      </c>
      <c r="C4341" s="82" t="s">
        <v>3281</v>
      </c>
      <c r="D4341" s="83">
        <f>SUMIFS(D4342:D6462,K4342:K6462,"0",B4342:B6462,"5 1 2 4 1 12 31111 6 M59 50000*")-SUMIFS(E4342:E6462,K4342:K6462,"0",B4342:B6462,"5 1 2 4 1 12 31111 6 M59 50000*")</f>
        <v>0</v>
      </c>
      <c r="E4341" s="54"/>
      <c r="F4341" s="83">
        <f>SUMIFS(F4342:F6462,K4342:K6462,"0",B4342:B6462,"5 1 2 4 1 12 31111 6 M59 50000*")</f>
        <v>152.49</v>
      </c>
      <c r="G4341" s="83">
        <f>SUMIFS(G4342:G6462,K4342:K6462,"0",B4342:B6462,"5 1 2 4 1 12 31111 6 M59 50000*")</f>
        <v>0</v>
      </c>
      <c r="H4341" s="83">
        <f t="shared" si="68"/>
        <v>152.49</v>
      </c>
      <c r="I4341" s="83"/>
      <c r="K4341" s="54" t="s">
        <v>15</v>
      </c>
    </row>
    <row r="4342" spans="2:11" ht="16.5" x14ac:dyDescent="0.2">
      <c r="B4342" s="82" t="s">
        <v>6928</v>
      </c>
      <c r="C4342" s="82" t="s">
        <v>3283</v>
      </c>
      <c r="D4342" s="83">
        <f>SUMIFS(D4343:D6462,K4343:K6462,"0",B4343:B6462,"5 1 2 4 1 12 31111 6 M59 50000 000223*")-SUMIFS(E4343:E6462,K4343:K6462,"0",B4343:B6462,"5 1 2 4 1 12 31111 6 M59 50000 000223*")</f>
        <v>0</v>
      </c>
      <c r="E4342" s="54"/>
      <c r="F4342" s="83">
        <f>SUMIFS(F4343:F6462,K4343:K6462,"0",B4343:B6462,"5 1 2 4 1 12 31111 6 M59 50000 000223*")</f>
        <v>152.49</v>
      </c>
      <c r="G4342" s="83">
        <f>SUMIFS(G4343:G6462,K4343:K6462,"0",B4343:B6462,"5 1 2 4 1 12 31111 6 M59 50000 000223*")</f>
        <v>0</v>
      </c>
      <c r="H4342" s="83">
        <f t="shared" si="68"/>
        <v>152.49</v>
      </c>
      <c r="I4342" s="83"/>
      <c r="K4342" s="54" t="s">
        <v>15</v>
      </c>
    </row>
    <row r="4343" spans="2:11" ht="24.75" x14ac:dyDescent="0.2">
      <c r="B4343" s="82" t="s">
        <v>6929</v>
      </c>
      <c r="C4343" s="82" t="s">
        <v>1065</v>
      </c>
      <c r="D4343" s="83">
        <f>SUMIFS(D4344:D6462,K4344:K6462,"0",B4344:B6462,"5 1 2 4 1 12 31111 6 M59 50000 000223 0000E*")-SUMIFS(E4344:E6462,K4344:K6462,"0",B4344:B6462,"5 1 2 4 1 12 31111 6 M59 50000 000223 0000E*")</f>
        <v>0</v>
      </c>
      <c r="E4343" s="54"/>
      <c r="F4343" s="83">
        <f>SUMIFS(F4344:F6462,K4344:K6462,"0",B4344:B6462,"5 1 2 4 1 12 31111 6 M59 50000 000223 0000E*")</f>
        <v>152.49</v>
      </c>
      <c r="G4343" s="83">
        <f>SUMIFS(G4344:G6462,K4344:K6462,"0",B4344:B6462,"5 1 2 4 1 12 31111 6 M59 50000 000223 0000E*")</f>
        <v>0</v>
      </c>
      <c r="H4343" s="83">
        <f t="shared" si="68"/>
        <v>152.49</v>
      </c>
      <c r="I4343" s="83"/>
      <c r="K4343" s="54" t="s">
        <v>15</v>
      </c>
    </row>
    <row r="4344" spans="2:11" ht="24.75" x14ac:dyDescent="0.2">
      <c r="B4344" s="82" t="s">
        <v>6930</v>
      </c>
      <c r="C4344" s="82" t="s">
        <v>282</v>
      </c>
      <c r="D4344" s="83">
        <f>SUMIFS(D4345:D6462,K4345:K6462,"0",B4345:B6462,"5 1 2 4 1 12 31111 6 M59 50000 000223 0000E 00001*")-SUMIFS(E4345:E6462,K4345:K6462,"0",B4345:B6462,"5 1 2 4 1 12 31111 6 M59 50000 000223 0000E 00001*")</f>
        <v>0</v>
      </c>
      <c r="E4344" s="54"/>
      <c r="F4344" s="83">
        <f>SUMIFS(F4345:F6462,K4345:K6462,"0",B4345:B6462,"5 1 2 4 1 12 31111 6 M59 50000 000223 0000E 00001*")</f>
        <v>152.49</v>
      </c>
      <c r="G4344" s="83">
        <f>SUMIFS(G4345:G6462,K4345:K6462,"0",B4345:B6462,"5 1 2 4 1 12 31111 6 M59 50000 000223 0000E 00001*")</f>
        <v>0</v>
      </c>
      <c r="H4344" s="83">
        <f t="shared" si="68"/>
        <v>152.49</v>
      </c>
      <c r="I4344" s="83"/>
      <c r="K4344" s="54" t="s">
        <v>15</v>
      </c>
    </row>
    <row r="4345" spans="2:11" ht="24.75" x14ac:dyDescent="0.2">
      <c r="B4345" s="82" t="s">
        <v>6931</v>
      </c>
      <c r="C4345" s="82" t="s">
        <v>6909</v>
      </c>
      <c r="D4345" s="83">
        <f>SUMIFS(D4346:D6462,K4346:K6462,"0",B4346:B6462,"5 1 2 4 1 12 31111 6 M59 50000 000223 0000E 00001 00241*")-SUMIFS(E4346:E6462,K4346:K6462,"0",B4346:B6462,"5 1 2 4 1 12 31111 6 M59 50000 000223 0000E 00001 00241*")</f>
        <v>0</v>
      </c>
      <c r="E4345" s="54"/>
      <c r="F4345" s="83">
        <f>SUMIFS(F4346:F6462,K4346:K6462,"0",B4346:B6462,"5 1 2 4 1 12 31111 6 M59 50000 000223 0000E 00001 00241*")</f>
        <v>152.49</v>
      </c>
      <c r="G4345" s="83">
        <f>SUMIFS(G4346:G6462,K4346:K6462,"0",B4346:B6462,"5 1 2 4 1 12 31111 6 M59 50000 000223 0000E 00001 00241*")</f>
        <v>0</v>
      </c>
      <c r="H4345" s="83">
        <f t="shared" si="68"/>
        <v>152.49</v>
      </c>
      <c r="I4345" s="83"/>
      <c r="K4345" s="54" t="s">
        <v>15</v>
      </c>
    </row>
    <row r="4346" spans="2:11" ht="33" x14ac:dyDescent="0.2">
      <c r="B4346" s="82" t="s">
        <v>6932</v>
      </c>
      <c r="C4346" s="82" t="s">
        <v>1051</v>
      </c>
      <c r="D4346" s="83">
        <f>SUMIFS(D4347:D6462,K4347:K6462,"0",B4347:B6462,"5 1 2 4 1 12 31111 6 M59 50000 000223 0000E 00001 00241 015*")-SUMIFS(E4347:E6462,K4347:K6462,"0",B4347:B6462,"5 1 2 4 1 12 31111 6 M59 50000 000223 0000E 00001 00241 015*")</f>
        <v>0</v>
      </c>
      <c r="E4346" s="54"/>
      <c r="F4346" s="83">
        <f>SUMIFS(F4347:F6462,K4347:K6462,"0",B4347:B6462,"5 1 2 4 1 12 31111 6 M59 50000 000223 0000E 00001 00241 015*")</f>
        <v>152.49</v>
      </c>
      <c r="G4346" s="83">
        <f>SUMIFS(G4347:G6462,K4347:K6462,"0",B4347:B6462,"5 1 2 4 1 12 31111 6 M59 50000 000223 0000E 00001 00241 015*")</f>
        <v>0</v>
      </c>
      <c r="H4346" s="83">
        <f t="shared" si="68"/>
        <v>152.49</v>
      </c>
      <c r="I4346" s="83"/>
      <c r="K4346" s="54" t="s">
        <v>15</v>
      </c>
    </row>
    <row r="4347" spans="2:11" ht="33" x14ac:dyDescent="0.2">
      <c r="B4347" s="82" t="s">
        <v>6933</v>
      </c>
      <c r="C4347" s="82" t="s">
        <v>5830</v>
      </c>
      <c r="D4347" s="83">
        <f>SUMIFS(D4348:D6462,K4348:K6462,"0",B4348:B6462,"5 1 2 4 1 12 31111 6 M59 50000 000223 0000E 00001 00241 015 2112000*")-SUMIFS(E4348:E6462,K4348:K6462,"0",B4348:B6462,"5 1 2 4 1 12 31111 6 M59 50000 000223 0000E 00001 00241 015 2112000*")</f>
        <v>0</v>
      </c>
      <c r="E4347" s="54"/>
      <c r="F4347" s="83">
        <f>SUMIFS(F4348:F6462,K4348:K6462,"0",B4348:B6462,"5 1 2 4 1 12 31111 6 M59 50000 000223 0000E 00001 00241 015 2112000*")</f>
        <v>152.49</v>
      </c>
      <c r="G4347" s="83">
        <f>SUMIFS(G4348:G6462,K4348:K6462,"0",B4348:B6462,"5 1 2 4 1 12 31111 6 M59 50000 000223 0000E 00001 00241 015 2112000*")</f>
        <v>0</v>
      </c>
      <c r="H4347" s="83">
        <f t="shared" si="68"/>
        <v>152.49</v>
      </c>
      <c r="I4347" s="83"/>
      <c r="K4347" s="54" t="s">
        <v>15</v>
      </c>
    </row>
    <row r="4348" spans="2:11" ht="33" x14ac:dyDescent="0.2">
      <c r="B4348" s="82" t="s">
        <v>6934</v>
      </c>
      <c r="C4348" s="82" t="s">
        <v>660</v>
      </c>
      <c r="D4348" s="83">
        <f>SUMIFS(D4349:D6462,K4349:K6462,"0",B4349:B6462,"5 1 2 4 1 12 31111 6 M59 50000 000223 0000E 00001 00241 015 2112000 2024*")-SUMIFS(E4349:E6462,K4349:K6462,"0",B4349:B6462,"5 1 2 4 1 12 31111 6 M59 50000 000223 0000E 00001 00241 015 2112000 2024*")</f>
        <v>0</v>
      </c>
      <c r="E4348" s="54"/>
      <c r="F4348" s="83">
        <f>SUMIFS(F4349:F6462,K4349:K6462,"0",B4349:B6462,"5 1 2 4 1 12 31111 6 M59 50000 000223 0000E 00001 00241 015 2112000 2024*")</f>
        <v>152.49</v>
      </c>
      <c r="G4348" s="83">
        <f>SUMIFS(G4349:G6462,K4349:K6462,"0",B4349:B6462,"5 1 2 4 1 12 31111 6 M59 50000 000223 0000E 00001 00241 015 2112000 2024*")</f>
        <v>0</v>
      </c>
      <c r="H4348" s="83">
        <f t="shared" si="68"/>
        <v>152.49</v>
      </c>
      <c r="I4348" s="83"/>
      <c r="K4348" s="54" t="s">
        <v>15</v>
      </c>
    </row>
    <row r="4349" spans="2:11" ht="41.25" x14ac:dyDescent="0.2">
      <c r="B4349" s="82" t="s">
        <v>6935</v>
      </c>
      <c r="C4349" s="82" t="s">
        <v>662</v>
      </c>
      <c r="D4349" s="83">
        <f>SUMIFS(D4350:D6462,K4350:K6462,"0",B4350:B6462,"5 1 2 4 1 12 31111 6 M59 50000 000223 0000E 00001 00241 015 2112000 2024 CP1DA424*")-SUMIFS(E4350:E6462,K4350:K6462,"0",B4350:B6462,"5 1 2 4 1 12 31111 6 M59 50000 000223 0000E 00001 00241 015 2112000 2024 CP1DA424*")</f>
        <v>0</v>
      </c>
      <c r="E4349" s="54"/>
      <c r="F4349" s="83">
        <f>SUMIFS(F4350:F6462,K4350:K6462,"0",B4350:B6462,"5 1 2 4 1 12 31111 6 M59 50000 000223 0000E 00001 00241 015 2112000 2024 CP1DA424*")</f>
        <v>152.49</v>
      </c>
      <c r="G4349" s="83">
        <f>SUMIFS(G4350:G6462,K4350:K6462,"0",B4350:B6462,"5 1 2 4 1 12 31111 6 M59 50000 000223 0000E 00001 00241 015 2112000 2024 CP1DA424*")</f>
        <v>0</v>
      </c>
      <c r="H4349" s="83">
        <f t="shared" si="68"/>
        <v>152.49</v>
      </c>
      <c r="I4349" s="83"/>
      <c r="K4349" s="54" t="s">
        <v>15</v>
      </c>
    </row>
    <row r="4350" spans="2:11" ht="41.25" x14ac:dyDescent="0.2">
      <c r="B4350" s="82" t="s">
        <v>6936</v>
      </c>
      <c r="C4350" s="82" t="s">
        <v>282</v>
      </c>
      <c r="D4350" s="83">
        <f>SUMIFS(D4351:D6462,K4351:K6462,"0",B4351:B6462,"5 1 2 4 1 12 31111 6 M59 50000 000223 0000E 00001 00241 015 2112000 2024 CP1DA424 001*")-SUMIFS(E4351:E6462,K4351:K6462,"0",B4351:B6462,"5 1 2 4 1 12 31111 6 M59 50000 000223 0000E 00001 00241 015 2112000 2024 CP1DA424 001*")</f>
        <v>0</v>
      </c>
      <c r="E4350" s="54"/>
      <c r="F4350" s="83">
        <f>SUMIFS(F4351:F6462,K4351:K6462,"0",B4351:B6462,"5 1 2 4 1 12 31111 6 M59 50000 000223 0000E 00001 00241 015 2112000 2024 CP1DA424 001*")</f>
        <v>152.49</v>
      </c>
      <c r="G4350" s="83">
        <f>SUMIFS(G4351:G6462,K4351:K6462,"0",B4351:B6462,"5 1 2 4 1 12 31111 6 M59 50000 000223 0000E 00001 00241 015 2112000 2024 CP1DA424 001*")</f>
        <v>0</v>
      </c>
      <c r="H4350" s="83">
        <f t="shared" si="68"/>
        <v>152.49</v>
      </c>
      <c r="I4350" s="83"/>
      <c r="K4350" s="54" t="s">
        <v>15</v>
      </c>
    </row>
    <row r="4351" spans="2:11" ht="41.25" x14ac:dyDescent="0.2">
      <c r="B4351" s="84" t="s">
        <v>6937</v>
      </c>
      <c r="C4351" s="84" t="s">
        <v>6909</v>
      </c>
      <c r="D4351" s="85">
        <v>0</v>
      </c>
      <c r="E4351" s="85"/>
      <c r="F4351" s="85">
        <v>152.49</v>
      </c>
      <c r="G4351" s="85">
        <v>0</v>
      </c>
      <c r="H4351" s="85">
        <f t="shared" si="68"/>
        <v>152.49</v>
      </c>
      <c r="I4351" s="85"/>
      <c r="K4351" s="54" t="s">
        <v>38</v>
      </c>
    </row>
    <row r="4352" spans="2:11" ht="16.5" x14ac:dyDescent="0.2">
      <c r="B4352" s="82" t="s">
        <v>6938</v>
      </c>
      <c r="C4352" s="82" t="s">
        <v>3754</v>
      </c>
      <c r="D4352" s="83">
        <f>SUMIFS(D4353:D6462,K4353:K6462,"0",B4353:B6462,"5 1 2 4 1 12 31111 6 M59 99000*")-SUMIFS(E4353:E6462,K4353:K6462,"0",B4353:B6462,"5 1 2 4 1 12 31111 6 M59 99000*")</f>
        <v>0</v>
      </c>
      <c r="E4352" s="54"/>
      <c r="F4352" s="83">
        <f>SUMIFS(F4353:F6462,K4353:K6462,"0",B4353:B6462,"5 1 2 4 1 12 31111 6 M59 99000*")</f>
        <v>396.46</v>
      </c>
      <c r="G4352" s="83">
        <f>SUMIFS(G4353:G6462,K4353:K6462,"0",B4353:B6462,"5 1 2 4 1 12 31111 6 M59 99000*")</f>
        <v>0</v>
      </c>
      <c r="H4352" s="83">
        <f t="shared" si="68"/>
        <v>396.46</v>
      </c>
      <c r="I4352" s="83"/>
      <c r="K4352" s="54" t="s">
        <v>15</v>
      </c>
    </row>
    <row r="4353" spans="2:11" ht="16.5" x14ac:dyDescent="0.2">
      <c r="B4353" s="82" t="s">
        <v>6939</v>
      </c>
      <c r="C4353" s="82" t="s">
        <v>648</v>
      </c>
      <c r="D4353" s="83">
        <f>SUMIFS(D4354:D6462,K4354:K6462,"0",B4354:B6462,"5 1 2 4 1 12 31111 6 M59 99000 000132*")-SUMIFS(E4354:E6462,K4354:K6462,"0",B4354:B6462,"5 1 2 4 1 12 31111 6 M59 99000 000132*")</f>
        <v>0</v>
      </c>
      <c r="E4353" s="54"/>
      <c r="F4353" s="83">
        <f>SUMIFS(F4354:F6462,K4354:K6462,"0",B4354:B6462,"5 1 2 4 1 12 31111 6 M59 99000 000132*")</f>
        <v>396.46</v>
      </c>
      <c r="G4353" s="83">
        <f>SUMIFS(G4354:G6462,K4354:K6462,"0",B4354:B6462,"5 1 2 4 1 12 31111 6 M59 99000 000132*")</f>
        <v>0</v>
      </c>
      <c r="H4353" s="83">
        <f t="shared" si="68"/>
        <v>396.46</v>
      </c>
      <c r="I4353" s="83"/>
      <c r="K4353" s="54" t="s">
        <v>15</v>
      </c>
    </row>
    <row r="4354" spans="2:11" ht="24.75" x14ac:dyDescent="0.2">
      <c r="B4354" s="82" t="s">
        <v>6940</v>
      </c>
      <c r="C4354" s="82" t="s">
        <v>650</v>
      </c>
      <c r="D4354" s="83">
        <f>SUMIFS(D4355:D6462,K4355:K6462,"0",B4355:B6462,"5 1 2 4 1 12 31111 6 M59 99000 000132 0000R*")-SUMIFS(E4355:E6462,K4355:K6462,"0",B4355:B6462,"5 1 2 4 1 12 31111 6 M59 99000 000132 0000R*")</f>
        <v>0</v>
      </c>
      <c r="E4354" s="54"/>
      <c r="F4354" s="83">
        <f>SUMIFS(F4355:F6462,K4355:K6462,"0",B4355:B6462,"5 1 2 4 1 12 31111 6 M59 99000 000132 0000R*")</f>
        <v>396.46</v>
      </c>
      <c r="G4354" s="83">
        <f>SUMIFS(G4355:G6462,K4355:K6462,"0",B4355:B6462,"5 1 2 4 1 12 31111 6 M59 99000 000132 0000R*")</f>
        <v>0</v>
      </c>
      <c r="H4354" s="83">
        <f t="shared" si="68"/>
        <v>396.46</v>
      </c>
      <c r="I4354" s="83"/>
      <c r="K4354" s="54" t="s">
        <v>15</v>
      </c>
    </row>
    <row r="4355" spans="2:11" ht="24.75" x14ac:dyDescent="0.2">
      <c r="B4355" s="82" t="s">
        <v>6941</v>
      </c>
      <c r="C4355" s="82" t="s">
        <v>282</v>
      </c>
      <c r="D4355" s="83">
        <f>SUMIFS(D4356:D6462,K4356:K6462,"0",B4356:B6462,"5 1 2 4 1 12 31111 6 M59 99000 000132 0000R 00001*")-SUMIFS(E4356:E6462,K4356:K6462,"0",B4356:B6462,"5 1 2 4 1 12 31111 6 M59 99000 000132 0000R 00001*")</f>
        <v>0</v>
      </c>
      <c r="E4355" s="54"/>
      <c r="F4355" s="83">
        <f>SUMIFS(F4356:F6462,K4356:K6462,"0",B4356:B6462,"5 1 2 4 1 12 31111 6 M59 99000 000132 0000R 00001*")</f>
        <v>396.46</v>
      </c>
      <c r="G4355" s="83">
        <f>SUMIFS(G4356:G6462,K4356:K6462,"0",B4356:B6462,"5 1 2 4 1 12 31111 6 M59 99000 000132 0000R 00001*")</f>
        <v>0</v>
      </c>
      <c r="H4355" s="83">
        <f t="shared" si="68"/>
        <v>396.46</v>
      </c>
      <c r="I4355" s="83"/>
      <c r="K4355" s="54" t="s">
        <v>15</v>
      </c>
    </row>
    <row r="4356" spans="2:11" ht="24.75" x14ac:dyDescent="0.2">
      <c r="B4356" s="82" t="s">
        <v>6942</v>
      </c>
      <c r="C4356" s="82" t="s">
        <v>6909</v>
      </c>
      <c r="D4356" s="83">
        <f>SUMIFS(D4357:D6462,K4357:K6462,"0",B4357:B6462,"5 1 2 4 1 12 31111 6 M59 99000 000132 0000R 00001 00241*")-SUMIFS(E4357:E6462,K4357:K6462,"0",B4357:B6462,"5 1 2 4 1 12 31111 6 M59 99000 000132 0000R 00001 00241*")</f>
        <v>0</v>
      </c>
      <c r="E4356" s="54"/>
      <c r="F4356" s="83">
        <f>SUMIFS(F4357:F6462,K4357:K6462,"0",B4357:B6462,"5 1 2 4 1 12 31111 6 M59 99000 000132 0000R 00001 00241*")</f>
        <v>396.46</v>
      </c>
      <c r="G4356" s="83">
        <f>SUMIFS(G4357:G6462,K4357:K6462,"0",B4357:B6462,"5 1 2 4 1 12 31111 6 M59 99000 000132 0000R 00001 00241*")</f>
        <v>0</v>
      </c>
      <c r="H4356" s="83">
        <f t="shared" si="68"/>
        <v>396.46</v>
      </c>
      <c r="I4356" s="83"/>
      <c r="K4356" s="54" t="s">
        <v>15</v>
      </c>
    </row>
    <row r="4357" spans="2:11" ht="33" x14ac:dyDescent="0.2">
      <c r="B4357" s="82" t="s">
        <v>6943</v>
      </c>
      <c r="C4357" s="82" t="s">
        <v>1051</v>
      </c>
      <c r="D4357" s="83">
        <f>SUMIFS(D4358:D6462,K4358:K6462,"0",B4358:B6462,"5 1 2 4 1 12 31111 6 M59 99000 000132 0000R 00001 00241 015*")-SUMIFS(E4358:E6462,K4358:K6462,"0",B4358:B6462,"5 1 2 4 1 12 31111 6 M59 99000 000132 0000R 00001 00241 015*")</f>
        <v>0</v>
      </c>
      <c r="E4357" s="54"/>
      <c r="F4357" s="83">
        <f>SUMIFS(F4358:F6462,K4358:K6462,"0",B4358:B6462,"5 1 2 4 1 12 31111 6 M59 99000 000132 0000R 00001 00241 015*")</f>
        <v>396.46</v>
      </c>
      <c r="G4357" s="83">
        <f>SUMIFS(G4358:G6462,K4358:K6462,"0",B4358:B6462,"5 1 2 4 1 12 31111 6 M59 99000 000132 0000R 00001 00241 015*")</f>
        <v>0</v>
      </c>
      <c r="H4357" s="83">
        <f t="shared" si="68"/>
        <v>396.46</v>
      </c>
      <c r="I4357" s="83"/>
      <c r="K4357" s="54" t="s">
        <v>15</v>
      </c>
    </row>
    <row r="4358" spans="2:11" ht="33" x14ac:dyDescent="0.2">
      <c r="B4358" s="82" t="s">
        <v>6944</v>
      </c>
      <c r="C4358" s="82" t="s">
        <v>5830</v>
      </c>
      <c r="D4358" s="83">
        <f>SUMIFS(D4359:D6462,K4359:K6462,"0",B4359:B6462,"5 1 2 4 1 12 31111 6 M59 99000 000132 0000R 00001 00241 015 2112000*")-SUMIFS(E4359:E6462,K4359:K6462,"0",B4359:B6462,"5 1 2 4 1 12 31111 6 M59 99000 000132 0000R 00001 00241 015 2112000*")</f>
        <v>0</v>
      </c>
      <c r="E4358" s="54"/>
      <c r="F4358" s="83">
        <f>SUMIFS(F4359:F6462,K4359:K6462,"0",B4359:B6462,"5 1 2 4 1 12 31111 6 M59 99000 000132 0000R 00001 00241 015 2112000*")</f>
        <v>396.46</v>
      </c>
      <c r="G4358" s="83">
        <f>SUMIFS(G4359:G6462,K4359:K6462,"0",B4359:B6462,"5 1 2 4 1 12 31111 6 M59 99000 000132 0000R 00001 00241 015 2112000*")</f>
        <v>0</v>
      </c>
      <c r="H4358" s="83">
        <f t="shared" si="68"/>
        <v>396.46</v>
      </c>
      <c r="I4358" s="83"/>
      <c r="K4358" s="54" t="s">
        <v>15</v>
      </c>
    </row>
    <row r="4359" spans="2:11" ht="33" x14ac:dyDescent="0.2">
      <c r="B4359" s="82" t="s">
        <v>6945</v>
      </c>
      <c r="C4359" s="82" t="s">
        <v>660</v>
      </c>
      <c r="D4359" s="83">
        <f>SUMIFS(D4360:D6462,K4360:K6462,"0",B4360:B6462,"5 1 2 4 1 12 31111 6 M59 99000 000132 0000R 00001 00241 015 2112000 2024*")-SUMIFS(E4360:E6462,K4360:K6462,"0",B4360:B6462,"5 1 2 4 1 12 31111 6 M59 99000 000132 0000R 00001 00241 015 2112000 2024*")</f>
        <v>0</v>
      </c>
      <c r="E4359" s="54"/>
      <c r="F4359" s="83">
        <f>SUMIFS(F4360:F6462,K4360:K6462,"0",B4360:B6462,"5 1 2 4 1 12 31111 6 M59 99000 000132 0000R 00001 00241 015 2112000 2024*")</f>
        <v>396.46</v>
      </c>
      <c r="G4359" s="83">
        <f>SUMIFS(G4360:G6462,K4360:K6462,"0",B4360:B6462,"5 1 2 4 1 12 31111 6 M59 99000 000132 0000R 00001 00241 015 2112000 2024*")</f>
        <v>0</v>
      </c>
      <c r="H4359" s="83">
        <f t="shared" si="68"/>
        <v>396.46</v>
      </c>
      <c r="I4359" s="83"/>
      <c r="K4359" s="54" t="s">
        <v>15</v>
      </c>
    </row>
    <row r="4360" spans="2:11" ht="41.25" x14ac:dyDescent="0.2">
      <c r="B4360" s="82" t="s">
        <v>6946</v>
      </c>
      <c r="C4360" s="82" t="s">
        <v>1056</v>
      </c>
      <c r="D4360" s="83">
        <f>SUMIFS(D4361:D6462,K4361:K6462,"0",B4361:B6462,"5 1 2 4 1 12 31111 6 M59 99000 000132 0000R 00001 00241 015 2112000 2024 CP1MG408*")-SUMIFS(E4361:E6462,K4361:K6462,"0",B4361:B6462,"5 1 2 4 1 12 31111 6 M59 99000 000132 0000R 00001 00241 015 2112000 2024 CP1MG408*")</f>
        <v>0</v>
      </c>
      <c r="E4360" s="54"/>
      <c r="F4360" s="83">
        <f>SUMIFS(F4361:F6462,K4361:K6462,"0",B4361:B6462,"5 1 2 4 1 12 31111 6 M59 99000 000132 0000R 00001 00241 015 2112000 2024 CP1MG408*")</f>
        <v>396.46</v>
      </c>
      <c r="G4360" s="83">
        <f>SUMIFS(G4361:G6462,K4361:K6462,"0",B4361:B6462,"5 1 2 4 1 12 31111 6 M59 99000 000132 0000R 00001 00241 015 2112000 2024 CP1MG408*")</f>
        <v>0</v>
      </c>
      <c r="H4360" s="83">
        <f t="shared" si="68"/>
        <v>396.46</v>
      </c>
      <c r="I4360" s="83"/>
      <c r="K4360" s="54" t="s">
        <v>15</v>
      </c>
    </row>
    <row r="4361" spans="2:11" ht="41.25" x14ac:dyDescent="0.2">
      <c r="B4361" s="82" t="s">
        <v>6947</v>
      </c>
      <c r="C4361" s="82" t="s">
        <v>282</v>
      </c>
      <c r="D4361" s="83">
        <f>SUMIFS(D4362:D6462,K4362:K6462,"0",B4362:B6462,"5 1 2 4 1 12 31111 6 M59 99000 000132 0000R 00001 00241 015 2112000 2024 CP1MG408 001*")-SUMIFS(E4362:E6462,K4362:K6462,"0",B4362:B6462,"5 1 2 4 1 12 31111 6 M59 99000 000132 0000R 00001 00241 015 2112000 2024 CP1MG408 001*")</f>
        <v>0</v>
      </c>
      <c r="E4361" s="54"/>
      <c r="F4361" s="83">
        <f>SUMIFS(F4362:F6462,K4362:K6462,"0",B4362:B6462,"5 1 2 4 1 12 31111 6 M59 99000 000132 0000R 00001 00241 015 2112000 2024 CP1MG408 001*")</f>
        <v>396.46</v>
      </c>
      <c r="G4361" s="83">
        <f>SUMIFS(G4362:G6462,K4362:K6462,"0",B4362:B6462,"5 1 2 4 1 12 31111 6 M59 99000 000132 0000R 00001 00241 015 2112000 2024 CP1MG408 001*")</f>
        <v>0</v>
      </c>
      <c r="H4361" s="83">
        <f t="shared" si="68"/>
        <v>396.46</v>
      </c>
      <c r="I4361" s="83"/>
      <c r="K4361" s="54" t="s">
        <v>15</v>
      </c>
    </row>
    <row r="4362" spans="2:11" ht="41.25" x14ac:dyDescent="0.2">
      <c r="B4362" s="84" t="s">
        <v>6948</v>
      </c>
      <c r="C4362" s="84" t="s">
        <v>6899</v>
      </c>
      <c r="D4362" s="85">
        <v>0</v>
      </c>
      <c r="E4362" s="85"/>
      <c r="F4362" s="85">
        <v>396.46</v>
      </c>
      <c r="G4362" s="85">
        <v>0</v>
      </c>
      <c r="H4362" s="85">
        <f t="shared" si="68"/>
        <v>396.46</v>
      </c>
      <c r="I4362" s="85"/>
      <c r="K4362" s="54" t="s">
        <v>38</v>
      </c>
    </row>
    <row r="4363" spans="2:11" ht="16.5" x14ac:dyDescent="0.2">
      <c r="B4363" s="82" t="s">
        <v>6949</v>
      </c>
      <c r="C4363" s="82" t="s">
        <v>6950</v>
      </c>
      <c r="D4363" s="83">
        <f>SUMIFS(D4364:D6462,K4364:K6462,"0",B4364:B6462,"5 1 2 4 2*")-SUMIFS(E4364:E6462,K4364:K6462,"0",B4364:B6462,"5 1 2 4 2*")</f>
        <v>0</v>
      </c>
      <c r="E4363" s="54"/>
      <c r="F4363" s="83">
        <f>SUMIFS(F4364:F6462,K4364:K6462,"0",B4364:B6462,"5 1 2 4 2*")</f>
        <v>287026</v>
      </c>
      <c r="G4363" s="83">
        <f>SUMIFS(G4364:G6462,K4364:K6462,"0",B4364:B6462,"5 1 2 4 2*")</f>
        <v>0</v>
      </c>
      <c r="H4363" s="83">
        <f t="shared" si="68"/>
        <v>287026</v>
      </c>
      <c r="I4363" s="83"/>
      <c r="K4363" s="54" t="s">
        <v>15</v>
      </c>
    </row>
    <row r="4364" spans="2:11" ht="12.75" x14ac:dyDescent="0.2">
      <c r="B4364" s="82" t="s">
        <v>6951</v>
      </c>
      <c r="C4364" s="82" t="s">
        <v>26</v>
      </c>
      <c r="D4364" s="83">
        <f>SUMIFS(D4365:D6462,K4365:K6462,"0",B4365:B6462,"5 1 2 4 2 12*")-SUMIFS(E4365:E6462,K4365:K6462,"0",B4365:B6462,"5 1 2 4 2 12*")</f>
        <v>0</v>
      </c>
      <c r="E4364" s="54"/>
      <c r="F4364" s="83">
        <f>SUMIFS(F4365:F6462,K4365:K6462,"0",B4365:B6462,"5 1 2 4 2 12*")</f>
        <v>287026</v>
      </c>
      <c r="G4364" s="83">
        <f>SUMIFS(G4365:G6462,K4365:K6462,"0",B4365:B6462,"5 1 2 4 2 12*")</f>
        <v>0</v>
      </c>
      <c r="H4364" s="83">
        <f t="shared" si="68"/>
        <v>287026</v>
      </c>
      <c r="I4364" s="83"/>
      <c r="K4364" s="54" t="s">
        <v>15</v>
      </c>
    </row>
    <row r="4365" spans="2:11" ht="16.5" x14ac:dyDescent="0.2">
      <c r="B4365" s="82" t="s">
        <v>6952</v>
      </c>
      <c r="C4365" s="82" t="s">
        <v>28</v>
      </c>
      <c r="D4365" s="83">
        <f>SUMIFS(D4366:D6462,K4366:K6462,"0",B4366:B6462,"5 1 2 4 2 12 31111*")-SUMIFS(E4366:E6462,K4366:K6462,"0",B4366:B6462,"5 1 2 4 2 12 31111*")</f>
        <v>0</v>
      </c>
      <c r="E4365" s="54"/>
      <c r="F4365" s="83">
        <f>SUMIFS(F4366:F6462,K4366:K6462,"0",B4366:B6462,"5 1 2 4 2 12 31111*")</f>
        <v>287026</v>
      </c>
      <c r="G4365" s="83">
        <f>SUMIFS(G4366:G6462,K4366:K6462,"0",B4366:B6462,"5 1 2 4 2 12 31111*")</f>
        <v>0</v>
      </c>
      <c r="H4365" s="83">
        <f t="shared" si="68"/>
        <v>287026</v>
      </c>
      <c r="I4365" s="83"/>
      <c r="K4365" s="54" t="s">
        <v>15</v>
      </c>
    </row>
    <row r="4366" spans="2:11" ht="12.75" x14ac:dyDescent="0.2">
      <c r="B4366" s="82" t="s">
        <v>6953</v>
      </c>
      <c r="C4366" s="82" t="s">
        <v>30</v>
      </c>
      <c r="D4366" s="83">
        <f>SUMIFS(D4367:D6462,K4367:K6462,"0",B4367:B6462,"5 1 2 4 2 12 31111 6*")-SUMIFS(E4367:E6462,K4367:K6462,"0",B4367:B6462,"5 1 2 4 2 12 31111 6*")</f>
        <v>0</v>
      </c>
      <c r="E4366" s="54"/>
      <c r="F4366" s="83">
        <f>SUMIFS(F4367:F6462,K4367:K6462,"0",B4367:B6462,"5 1 2 4 2 12 31111 6*")</f>
        <v>287026</v>
      </c>
      <c r="G4366" s="83">
        <f>SUMIFS(G4367:G6462,K4367:K6462,"0",B4367:B6462,"5 1 2 4 2 12 31111 6*")</f>
        <v>0</v>
      </c>
      <c r="H4366" s="83">
        <f t="shared" si="68"/>
        <v>287026</v>
      </c>
      <c r="I4366" s="83"/>
      <c r="K4366" s="54" t="s">
        <v>15</v>
      </c>
    </row>
    <row r="4367" spans="2:11" ht="16.5" x14ac:dyDescent="0.2">
      <c r="B4367" s="82" t="s">
        <v>6954</v>
      </c>
      <c r="C4367" s="82" t="s">
        <v>2284</v>
      </c>
      <c r="D4367" s="83">
        <f>SUMIFS(D4368:D6462,K4368:K6462,"0",B4368:B6462,"5 1 2 4 2 12 31111 6 M59*")-SUMIFS(E4368:E6462,K4368:K6462,"0",B4368:B6462,"5 1 2 4 2 12 31111 6 M59*")</f>
        <v>0</v>
      </c>
      <c r="E4367" s="54"/>
      <c r="F4367" s="83">
        <f>SUMIFS(F4368:F6462,K4368:K6462,"0",B4368:B6462,"5 1 2 4 2 12 31111 6 M59*")</f>
        <v>287026</v>
      </c>
      <c r="G4367" s="83">
        <f>SUMIFS(G4368:G6462,K4368:K6462,"0",B4368:B6462,"5 1 2 4 2 12 31111 6 M59*")</f>
        <v>0</v>
      </c>
      <c r="H4367" s="83">
        <f t="shared" si="68"/>
        <v>287026</v>
      </c>
      <c r="I4367" s="83"/>
      <c r="K4367" s="54" t="s">
        <v>15</v>
      </c>
    </row>
    <row r="4368" spans="2:11" ht="16.5" x14ac:dyDescent="0.2">
      <c r="B4368" s="82" t="s">
        <v>6978</v>
      </c>
      <c r="C4368" s="82" t="s">
        <v>3693</v>
      </c>
      <c r="D4368" s="83">
        <f>SUMIFS(D4369:D6462,K4369:K6462,"0",B4369:B6462,"5 1 2 4 2 12 31111 6 M59 96100*")-SUMIFS(E4369:E6462,K4369:K6462,"0",B4369:B6462,"5 1 2 4 2 12 31111 6 M59 96100*")</f>
        <v>0</v>
      </c>
      <c r="E4368" s="54"/>
      <c r="F4368" s="83">
        <f>SUMIFS(F4369:F6462,K4369:K6462,"0",B4369:B6462,"5 1 2 4 2 12 31111 6 M59 96100*")</f>
        <v>286996</v>
      </c>
      <c r="G4368" s="83">
        <f>SUMIFS(G4369:G6462,K4369:K6462,"0",B4369:B6462,"5 1 2 4 2 12 31111 6 M59 96100*")</f>
        <v>0</v>
      </c>
      <c r="H4368" s="83">
        <f t="shared" si="68"/>
        <v>286996</v>
      </c>
      <c r="I4368" s="83"/>
      <c r="K4368" s="54" t="s">
        <v>15</v>
      </c>
    </row>
    <row r="4369" spans="2:11" ht="16.5" x14ac:dyDescent="0.2">
      <c r="B4369" s="82" t="s">
        <v>6979</v>
      </c>
      <c r="C4369" s="82" t="s">
        <v>1310</v>
      </c>
      <c r="D4369" s="83">
        <f>SUMIFS(D4370:D6462,K4370:K6462,"0",B4370:B6462,"5 1 2 4 2 12 31111 6 M59 96100 000211*")-SUMIFS(E4370:E6462,K4370:K6462,"0",B4370:B6462,"5 1 2 4 2 12 31111 6 M59 96100 000211*")</f>
        <v>0</v>
      </c>
      <c r="E4369" s="54"/>
      <c r="F4369" s="83">
        <f>SUMIFS(F4370:F6462,K4370:K6462,"0",B4370:B6462,"5 1 2 4 2 12 31111 6 M59 96100 000211*")</f>
        <v>286996</v>
      </c>
      <c r="G4369" s="83">
        <f>SUMIFS(G4370:G6462,K4370:K6462,"0",B4370:B6462,"5 1 2 4 2 12 31111 6 M59 96100 000211*")</f>
        <v>0</v>
      </c>
      <c r="H4369" s="83">
        <f t="shared" si="68"/>
        <v>286996</v>
      </c>
      <c r="I4369" s="83"/>
      <c r="K4369" s="54" t="s">
        <v>15</v>
      </c>
    </row>
    <row r="4370" spans="2:11" ht="24.75" x14ac:dyDescent="0.2">
      <c r="B4370" s="82" t="s">
        <v>6980</v>
      </c>
      <c r="C4370" s="82" t="s">
        <v>3696</v>
      </c>
      <c r="D4370" s="83">
        <f>SUMIFS(D4371:D6462,K4371:K6462,"0",B4371:B6462,"5 1 2 4 2 12 31111 6 M59 96100 000211 0000U*")-SUMIFS(E4371:E6462,K4371:K6462,"0",B4371:B6462,"5 1 2 4 2 12 31111 6 M59 96100 000211 0000U*")</f>
        <v>0</v>
      </c>
      <c r="E4370" s="54"/>
      <c r="F4370" s="83">
        <f>SUMIFS(F4371:F6462,K4371:K6462,"0",B4371:B6462,"5 1 2 4 2 12 31111 6 M59 96100 000211 0000U*")</f>
        <v>286996</v>
      </c>
      <c r="G4370" s="83">
        <f>SUMIFS(G4371:G6462,K4371:K6462,"0",B4371:B6462,"5 1 2 4 2 12 31111 6 M59 96100 000211 0000U*")</f>
        <v>0</v>
      </c>
      <c r="H4370" s="83">
        <f t="shared" si="68"/>
        <v>286996</v>
      </c>
      <c r="I4370" s="83"/>
      <c r="K4370" s="54" t="s">
        <v>15</v>
      </c>
    </row>
    <row r="4371" spans="2:11" ht="24.75" x14ac:dyDescent="0.2">
      <c r="B4371" s="82" t="s">
        <v>6981</v>
      </c>
      <c r="C4371" s="82" t="s">
        <v>282</v>
      </c>
      <c r="D4371" s="83">
        <f>SUMIFS(D4372:D6462,K4372:K6462,"0",B4372:B6462,"5 1 2 4 2 12 31111 6 M59 96100 000211 0000U 00001*")-SUMIFS(E4372:E6462,K4372:K6462,"0",B4372:B6462,"5 1 2 4 2 12 31111 6 M59 96100 000211 0000U 00001*")</f>
        <v>0</v>
      </c>
      <c r="E4371" s="54"/>
      <c r="F4371" s="83">
        <f>SUMIFS(F4372:F6462,K4372:K6462,"0",B4372:B6462,"5 1 2 4 2 12 31111 6 M59 96100 000211 0000U 00001*")</f>
        <v>286996</v>
      </c>
      <c r="G4371" s="83">
        <f>SUMIFS(G4372:G6462,K4372:K6462,"0",B4372:B6462,"5 1 2 4 2 12 31111 6 M59 96100 000211 0000U 00001*")</f>
        <v>0</v>
      </c>
      <c r="H4371" s="83">
        <f t="shared" si="68"/>
        <v>286996</v>
      </c>
      <c r="I4371" s="83"/>
      <c r="K4371" s="54" t="s">
        <v>15</v>
      </c>
    </row>
    <row r="4372" spans="2:11" ht="24.75" x14ac:dyDescent="0.2">
      <c r="B4372" s="82" t="s">
        <v>6982</v>
      </c>
      <c r="C4372" s="82" t="s">
        <v>6960</v>
      </c>
      <c r="D4372" s="83">
        <f>SUMIFS(D4373:D6462,K4373:K6462,"0",B4373:B6462,"5 1 2 4 2 12 31111 6 M59 96100 000211 0000U 00001 00242*")-SUMIFS(E4373:E6462,K4373:K6462,"0",B4373:B6462,"5 1 2 4 2 12 31111 6 M59 96100 000211 0000U 00001 00242*")</f>
        <v>0</v>
      </c>
      <c r="E4372" s="54"/>
      <c r="F4372" s="83">
        <f>SUMIFS(F4373:F6462,K4373:K6462,"0",B4373:B6462,"5 1 2 4 2 12 31111 6 M59 96100 000211 0000U 00001 00242*")</f>
        <v>286996</v>
      </c>
      <c r="G4372" s="83">
        <f>SUMIFS(G4373:G6462,K4373:K6462,"0",B4373:B6462,"5 1 2 4 2 12 31111 6 M59 96100 000211 0000U 00001 00242*")</f>
        <v>0</v>
      </c>
      <c r="H4372" s="83">
        <f t="shared" si="68"/>
        <v>286996</v>
      </c>
      <c r="I4372" s="83"/>
      <c r="K4372" s="54" t="s">
        <v>15</v>
      </c>
    </row>
    <row r="4373" spans="2:11" ht="33" x14ac:dyDescent="0.2">
      <c r="B4373" s="82" t="s">
        <v>6983</v>
      </c>
      <c r="C4373" s="82" t="s">
        <v>1051</v>
      </c>
      <c r="D4373" s="83">
        <f>SUMIFS(D4374:D6462,K4374:K6462,"0",B4374:B6462,"5 1 2 4 2 12 31111 6 M59 96100 000211 0000U 00001 00242 015*")-SUMIFS(E4374:E6462,K4374:K6462,"0",B4374:B6462,"5 1 2 4 2 12 31111 6 M59 96100 000211 0000U 00001 00242 015*")</f>
        <v>0</v>
      </c>
      <c r="E4373" s="54"/>
      <c r="F4373" s="83">
        <f>SUMIFS(F4374:F6462,K4374:K6462,"0",B4374:B6462,"5 1 2 4 2 12 31111 6 M59 96100 000211 0000U 00001 00242 015*")</f>
        <v>286996</v>
      </c>
      <c r="G4373" s="83">
        <f>SUMIFS(G4374:G6462,K4374:K6462,"0",B4374:B6462,"5 1 2 4 2 12 31111 6 M59 96100 000211 0000U 00001 00242 015*")</f>
        <v>0</v>
      </c>
      <c r="H4373" s="83">
        <f t="shared" si="68"/>
        <v>286996</v>
      </c>
      <c r="I4373" s="83"/>
      <c r="K4373" s="54" t="s">
        <v>15</v>
      </c>
    </row>
    <row r="4374" spans="2:11" ht="33" x14ac:dyDescent="0.2">
      <c r="B4374" s="82" t="s">
        <v>6984</v>
      </c>
      <c r="C4374" s="82" t="s">
        <v>5830</v>
      </c>
      <c r="D4374" s="83">
        <f>SUMIFS(D4375:D6462,K4375:K6462,"0",B4375:B6462,"5 1 2 4 2 12 31111 6 M59 96100 000211 0000U 00001 00242 015 2112000*")-SUMIFS(E4375:E6462,K4375:K6462,"0",B4375:B6462,"5 1 2 4 2 12 31111 6 M59 96100 000211 0000U 00001 00242 015 2112000*")</f>
        <v>0</v>
      </c>
      <c r="E4374" s="54"/>
      <c r="F4374" s="83">
        <f>SUMIFS(F4375:F6462,K4375:K6462,"0",B4375:B6462,"5 1 2 4 2 12 31111 6 M59 96100 000211 0000U 00001 00242 015 2112000*")</f>
        <v>286996</v>
      </c>
      <c r="G4374" s="83">
        <f>SUMIFS(G4375:G6462,K4375:K6462,"0",B4375:B6462,"5 1 2 4 2 12 31111 6 M59 96100 000211 0000U 00001 00242 015 2112000*")</f>
        <v>0</v>
      </c>
      <c r="H4374" s="83">
        <f t="shared" si="68"/>
        <v>286996</v>
      </c>
      <c r="I4374" s="83"/>
      <c r="K4374" s="54" t="s">
        <v>15</v>
      </c>
    </row>
    <row r="4375" spans="2:11" ht="33" x14ac:dyDescent="0.2">
      <c r="B4375" s="82" t="s">
        <v>6985</v>
      </c>
      <c r="C4375" s="82" t="s">
        <v>660</v>
      </c>
      <c r="D4375" s="83">
        <f>SUMIFS(D4376:D6462,K4376:K6462,"0",B4376:B6462,"5 1 2 4 2 12 31111 6 M59 96100 000211 0000U 00001 00242 015 2112000 2024*")-SUMIFS(E4376:E6462,K4376:K6462,"0",B4376:B6462,"5 1 2 4 2 12 31111 6 M59 96100 000211 0000U 00001 00242 015 2112000 2024*")</f>
        <v>0</v>
      </c>
      <c r="E4375" s="54"/>
      <c r="F4375" s="83">
        <f>SUMIFS(F4376:F6462,K4376:K6462,"0",B4376:B6462,"5 1 2 4 2 12 31111 6 M59 96100 000211 0000U 00001 00242 015 2112000 2024*")</f>
        <v>286996</v>
      </c>
      <c r="G4375" s="83">
        <f>SUMIFS(G4376:G6462,K4376:K6462,"0",B4376:B6462,"5 1 2 4 2 12 31111 6 M59 96100 000211 0000U 00001 00242 015 2112000 2024*")</f>
        <v>0</v>
      </c>
      <c r="H4375" s="83">
        <f t="shared" si="68"/>
        <v>286996</v>
      </c>
      <c r="I4375" s="83"/>
      <c r="K4375" s="54" t="s">
        <v>15</v>
      </c>
    </row>
    <row r="4376" spans="2:11" ht="41.25" x14ac:dyDescent="0.2">
      <c r="B4376" s="82" t="s">
        <v>6986</v>
      </c>
      <c r="C4376" s="82" t="s">
        <v>1056</v>
      </c>
      <c r="D4376" s="83">
        <f>SUMIFS(D4377:D6462,K4377:K6462,"0",B4377:B6462,"5 1 2 4 2 12 31111 6 M59 96100 000211 0000U 00001 00242 015 2112000 2024 CP1IU412*")-SUMIFS(E4377:E6462,K4377:K6462,"0",B4377:B6462,"5 1 2 4 2 12 31111 6 M59 96100 000211 0000U 00001 00242 015 2112000 2024 CP1IU412*")</f>
        <v>0</v>
      </c>
      <c r="E4376" s="54"/>
      <c r="F4376" s="83">
        <f>SUMIFS(F4377:F6462,K4377:K6462,"0",B4377:B6462,"5 1 2 4 2 12 31111 6 M59 96100 000211 0000U 00001 00242 015 2112000 2024 CP1IU412*")</f>
        <v>286996</v>
      </c>
      <c r="G4376" s="83">
        <f>SUMIFS(G4377:G6462,K4377:K6462,"0",B4377:B6462,"5 1 2 4 2 12 31111 6 M59 96100 000211 0000U 00001 00242 015 2112000 2024 CP1IU412*")</f>
        <v>0</v>
      </c>
      <c r="H4376" s="83">
        <f t="shared" si="68"/>
        <v>286996</v>
      </c>
      <c r="I4376" s="83"/>
      <c r="K4376" s="54" t="s">
        <v>15</v>
      </c>
    </row>
    <row r="4377" spans="2:11" ht="41.25" x14ac:dyDescent="0.2">
      <c r="B4377" s="82" t="s">
        <v>6987</v>
      </c>
      <c r="C4377" s="82" t="s">
        <v>282</v>
      </c>
      <c r="D4377" s="83">
        <f>SUMIFS(D4378:D6462,K4378:K6462,"0",B4378:B6462,"5 1 2 4 2 12 31111 6 M59 96100 000211 0000U 00001 00242 015 2112000 2024 CP1IU412 001*")-SUMIFS(E4378:E6462,K4378:K6462,"0",B4378:B6462,"5 1 2 4 2 12 31111 6 M59 96100 000211 0000U 00001 00242 015 2112000 2024 CP1IU412 001*")</f>
        <v>0</v>
      </c>
      <c r="E4377" s="54"/>
      <c r="F4377" s="83">
        <f>SUMIFS(F4378:F6462,K4378:K6462,"0",B4378:B6462,"5 1 2 4 2 12 31111 6 M59 96100 000211 0000U 00001 00242 015 2112000 2024 CP1IU412 001*")</f>
        <v>286996</v>
      </c>
      <c r="G4377" s="83">
        <f>SUMIFS(G4378:G6462,K4378:K6462,"0",B4378:B6462,"5 1 2 4 2 12 31111 6 M59 96100 000211 0000U 00001 00242 015 2112000 2024 CP1IU412 001*")</f>
        <v>0</v>
      </c>
      <c r="H4377" s="83">
        <f t="shared" si="68"/>
        <v>286996</v>
      </c>
      <c r="I4377" s="83"/>
      <c r="K4377" s="54" t="s">
        <v>15</v>
      </c>
    </row>
    <row r="4378" spans="2:11" ht="33" x14ac:dyDescent="0.2">
      <c r="B4378" s="84" t="s">
        <v>6988</v>
      </c>
      <c r="C4378" s="84" t="s">
        <v>6950</v>
      </c>
      <c r="D4378" s="85">
        <v>0</v>
      </c>
      <c r="E4378" s="85"/>
      <c r="F4378" s="85">
        <v>286996</v>
      </c>
      <c r="G4378" s="85">
        <v>0</v>
      </c>
      <c r="H4378" s="85">
        <f t="shared" si="68"/>
        <v>286996</v>
      </c>
      <c r="I4378" s="85"/>
      <c r="K4378" s="54" t="s">
        <v>38</v>
      </c>
    </row>
    <row r="4379" spans="2:11" ht="16.5" x14ac:dyDescent="0.2">
      <c r="B4379" s="82" t="s">
        <v>6989</v>
      </c>
      <c r="C4379" s="82" t="s">
        <v>3754</v>
      </c>
      <c r="D4379" s="83">
        <f>SUMIFS(D4380:D6462,K4380:K6462,"0",B4380:B6462,"5 1 2 4 2 12 31111 6 M59 99000*")-SUMIFS(E4380:E6462,K4380:K6462,"0",B4380:B6462,"5 1 2 4 2 12 31111 6 M59 99000*")</f>
        <v>0</v>
      </c>
      <c r="E4379" s="54"/>
      <c r="F4379" s="83">
        <f>SUMIFS(F4380:F6462,K4380:K6462,"0",B4380:B6462,"5 1 2 4 2 12 31111 6 M59 99000*")</f>
        <v>30</v>
      </c>
      <c r="G4379" s="83">
        <f>SUMIFS(G4380:G6462,K4380:K6462,"0",B4380:B6462,"5 1 2 4 2 12 31111 6 M59 99000*")</f>
        <v>0</v>
      </c>
      <c r="H4379" s="83">
        <f t="shared" si="68"/>
        <v>30</v>
      </c>
      <c r="I4379" s="83"/>
      <c r="K4379" s="54" t="s">
        <v>15</v>
      </c>
    </row>
    <row r="4380" spans="2:11" ht="16.5" x14ac:dyDescent="0.2">
      <c r="B4380" s="82" t="s">
        <v>6990</v>
      </c>
      <c r="C4380" s="82" t="s">
        <v>648</v>
      </c>
      <c r="D4380" s="83">
        <f>SUMIFS(D4381:D6462,K4381:K6462,"0",B4381:B6462,"5 1 2 4 2 12 31111 6 M59 99000 000132*")-SUMIFS(E4381:E6462,K4381:K6462,"0",B4381:B6462,"5 1 2 4 2 12 31111 6 M59 99000 000132*")</f>
        <v>0</v>
      </c>
      <c r="E4380" s="54"/>
      <c r="F4380" s="83">
        <f>SUMIFS(F4381:F6462,K4381:K6462,"0",B4381:B6462,"5 1 2 4 2 12 31111 6 M59 99000 000132*")</f>
        <v>30</v>
      </c>
      <c r="G4380" s="83">
        <f>SUMIFS(G4381:G6462,K4381:K6462,"0",B4381:B6462,"5 1 2 4 2 12 31111 6 M59 99000 000132*")</f>
        <v>0</v>
      </c>
      <c r="H4380" s="83">
        <f t="shared" si="68"/>
        <v>30</v>
      </c>
      <c r="I4380" s="83"/>
      <c r="K4380" s="54" t="s">
        <v>15</v>
      </c>
    </row>
    <row r="4381" spans="2:11" ht="24.75" x14ac:dyDescent="0.2">
      <c r="B4381" s="82" t="s">
        <v>6991</v>
      </c>
      <c r="C4381" s="82" t="s">
        <v>650</v>
      </c>
      <c r="D4381" s="83">
        <f>SUMIFS(D4382:D6462,K4382:K6462,"0",B4382:B6462,"5 1 2 4 2 12 31111 6 M59 99000 000132 0000R*")-SUMIFS(E4382:E6462,K4382:K6462,"0",B4382:B6462,"5 1 2 4 2 12 31111 6 M59 99000 000132 0000R*")</f>
        <v>0</v>
      </c>
      <c r="E4381" s="54"/>
      <c r="F4381" s="83">
        <f>SUMIFS(F4382:F6462,K4382:K6462,"0",B4382:B6462,"5 1 2 4 2 12 31111 6 M59 99000 000132 0000R*")</f>
        <v>30</v>
      </c>
      <c r="G4381" s="83">
        <f>SUMIFS(G4382:G6462,K4382:K6462,"0",B4382:B6462,"5 1 2 4 2 12 31111 6 M59 99000 000132 0000R*")</f>
        <v>0</v>
      </c>
      <c r="H4381" s="83">
        <f t="shared" si="68"/>
        <v>30</v>
      </c>
      <c r="I4381" s="83"/>
      <c r="K4381" s="54" t="s">
        <v>15</v>
      </c>
    </row>
    <row r="4382" spans="2:11" ht="24.75" x14ac:dyDescent="0.2">
      <c r="B4382" s="82" t="s">
        <v>6992</v>
      </c>
      <c r="C4382" s="82" t="s">
        <v>282</v>
      </c>
      <c r="D4382" s="83">
        <f>SUMIFS(D4383:D6462,K4383:K6462,"0",B4383:B6462,"5 1 2 4 2 12 31111 6 M59 99000 000132 0000R 00001*")-SUMIFS(E4383:E6462,K4383:K6462,"0",B4383:B6462,"5 1 2 4 2 12 31111 6 M59 99000 000132 0000R 00001*")</f>
        <v>0</v>
      </c>
      <c r="E4382" s="54"/>
      <c r="F4382" s="83">
        <f>SUMIFS(F4383:F6462,K4383:K6462,"0",B4383:B6462,"5 1 2 4 2 12 31111 6 M59 99000 000132 0000R 00001*")</f>
        <v>30</v>
      </c>
      <c r="G4382" s="83">
        <f>SUMIFS(G4383:G6462,K4383:K6462,"0",B4383:B6462,"5 1 2 4 2 12 31111 6 M59 99000 000132 0000R 00001*")</f>
        <v>0</v>
      </c>
      <c r="H4382" s="83">
        <f t="shared" si="68"/>
        <v>30</v>
      </c>
      <c r="I4382" s="83"/>
      <c r="K4382" s="54" t="s">
        <v>15</v>
      </c>
    </row>
    <row r="4383" spans="2:11" ht="24.75" x14ac:dyDescent="0.2">
      <c r="B4383" s="82" t="s">
        <v>6993</v>
      </c>
      <c r="C4383" s="82" t="s">
        <v>6960</v>
      </c>
      <c r="D4383" s="83">
        <f>SUMIFS(D4384:D6462,K4384:K6462,"0",B4384:B6462,"5 1 2 4 2 12 31111 6 M59 99000 000132 0000R 00001 00242*")-SUMIFS(E4384:E6462,K4384:K6462,"0",B4384:B6462,"5 1 2 4 2 12 31111 6 M59 99000 000132 0000R 00001 00242*")</f>
        <v>0</v>
      </c>
      <c r="E4383" s="54"/>
      <c r="F4383" s="83">
        <f>SUMIFS(F4384:F6462,K4384:K6462,"0",B4384:B6462,"5 1 2 4 2 12 31111 6 M59 99000 000132 0000R 00001 00242*")</f>
        <v>30</v>
      </c>
      <c r="G4383" s="83">
        <f>SUMIFS(G4384:G6462,K4384:K6462,"0",B4384:B6462,"5 1 2 4 2 12 31111 6 M59 99000 000132 0000R 00001 00242*")</f>
        <v>0</v>
      </c>
      <c r="H4383" s="83">
        <f t="shared" si="68"/>
        <v>30</v>
      </c>
      <c r="I4383" s="83"/>
      <c r="K4383" s="54" t="s">
        <v>15</v>
      </c>
    </row>
    <row r="4384" spans="2:11" ht="33" x14ac:dyDescent="0.2">
      <c r="B4384" s="82" t="s">
        <v>6994</v>
      </c>
      <c r="C4384" s="82" t="s">
        <v>1051</v>
      </c>
      <c r="D4384" s="83">
        <f>SUMIFS(D4385:D6462,K4385:K6462,"0",B4385:B6462,"5 1 2 4 2 12 31111 6 M59 99000 000132 0000R 00001 00242 015*")-SUMIFS(E4385:E6462,K4385:K6462,"0",B4385:B6462,"5 1 2 4 2 12 31111 6 M59 99000 000132 0000R 00001 00242 015*")</f>
        <v>0</v>
      </c>
      <c r="E4384" s="54"/>
      <c r="F4384" s="83">
        <f>SUMIFS(F4385:F6462,K4385:K6462,"0",B4385:B6462,"5 1 2 4 2 12 31111 6 M59 99000 000132 0000R 00001 00242 015*")</f>
        <v>30</v>
      </c>
      <c r="G4384" s="83">
        <f>SUMIFS(G4385:G6462,K4385:K6462,"0",B4385:B6462,"5 1 2 4 2 12 31111 6 M59 99000 000132 0000R 00001 00242 015*")</f>
        <v>0</v>
      </c>
      <c r="H4384" s="83">
        <f t="shared" si="68"/>
        <v>30</v>
      </c>
      <c r="I4384" s="83"/>
      <c r="K4384" s="54" t="s">
        <v>15</v>
      </c>
    </row>
    <row r="4385" spans="2:11" ht="33" x14ac:dyDescent="0.2">
      <c r="B4385" s="82" t="s">
        <v>6995</v>
      </c>
      <c r="C4385" s="82" t="s">
        <v>5830</v>
      </c>
      <c r="D4385" s="83">
        <f>SUMIFS(D4386:D6462,K4386:K6462,"0",B4386:B6462,"5 1 2 4 2 12 31111 6 M59 99000 000132 0000R 00001 00242 015 2112000*")-SUMIFS(E4386:E6462,K4386:K6462,"0",B4386:B6462,"5 1 2 4 2 12 31111 6 M59 99000 000132 0000R 00001 00242 015 2112000*")</f>
        <v>0</v>
      </c>
      <c r="E4385" s="54"/>
      <c r="F4385" s="83">
        <f>SUMIFS(F4386:F6462,K4386:K6462,"0",B4386:B6462,"5 1 2 4 2 12 31111 6 M59 99000 000132 0000R 00001 00242 015 2112000*")</f>
        <v>30</v>
      </c>
      <c r="G4385" s="83">
        <f>SUMIFS(G4386:G6462,K4386:K6462,"0",B4386:B6462,"5 1 2 4 2 12 31111 6 M59 99000 000132 0000R 00001 00242 015 2112000*")</f>
        <v>0</v>
      </c>
      <c r="H4385" s="83">
        <f t="shared" si="68"/>
        <v>30</v>
      </c>
      <c r="I4385" s="83"/>
      <c r="K4385" s="54" t="s">
        <v>15</v>
      </c>
    </row>
    <row r="4386" spans="2:11" ht="33" x14ac:dyDescent="0.2">
      <c r="B4386" s="82" t="s">
        <v>6996</v>
      </c>
      <c r="C4386" s="82" t="s">
        <v>660</v>
      </c>
      <c r="D4386" s="83">
        <f>SUMIFS(D4387:D6462,K4387:K6462,"0",B4387:B6462,"5 1 2 4 2 12 31111 6 M59 99000 000132 0000R 00001 00242 015 2112000 2024*")-SUMIFS(E4387:E6462,K4387:K6462,"0",B4387:B6462,"5 1 2 4 2 12 31111 6 M59 99000 000132 0000R 00001 00242 015 2112000 2024*")</f>
        <v>0</v>
      </c>
      <c r="E4386" s="54"/>
      <c r="F4386" s="83">
        <f>SUMIFS(F4387:F6462,K4387:K6462,"0",B4387:B6462,"5 1 2 4 2 12 31111 6 M59 99000 000132 0000R 00001 00242 015 2112000 2024*")</f>
        <v>30</v>
      </c>
      <c r="G4386" s="83">
        <f>SUMIFS(G4387:G6462,K4387:K6462,"0",B4387:B6462,"5 1 2 4 2 12 31111 6 M59 99000 000132 0000R 00001 00242 015 2112000 2024*")</f>
        <v>0</v>
      </c>
      <c r="H4386" s="83">
        <f t="shared" si="68"/>
        <v>30</v>
      </c>
      <c r="I4386" s="83"/>
      <c r="K4386" s="54" t="s">
        <v>15</v>
      </c>
    </row>
    <row r="4387" spans="2:11" ht="41.25" x14ac:dyDescent="0.2">
      <c r="B4387" s="82" t="s">
        <v>6997</v>
      </c>
      <c r="C4387" s="82" t="s">
        <v>1056</v>
      </c>
      <c r="D4387" s="83">
        <f>SUMIFS(D4388:D6462,K4388:K6462,"0",B4388:B6462,"5 1 2 4 2 12 31111 6 M59 99000 000132 0000R 00001 00242 015 2112000 2024 CP1MG408*")-SUMIFS(E4388:E6462,K4388:K6462,"0",B4388:B6462,"5 1 2 4 2 12 31111 6 M59 99000 000132 0000R 00001 00242 015 2112000 2024 CP1MG408*")</f>
        <v>0</v>
      </c>
      <c r="E4387" s="54"/>
      <c r="F4387" s="83">
        <f>SUMIFS(F4388:F6462,K4388:K6462,"0",B4388:B6462,"5 1 2 4 2 12 31111 6 M59 99000 000132 0000R 00001 00242 015 2112000 2024 CP1MG408*")</f>
        <v>30</v>
      </c>
      <c r="G4387" s="83">
        <f>SUMIFS(G4388:G6462,K4388:K6462,"0",B4388:B6462,"5 1 2 4 2 12 31111 6 M59 99000 000132 0000R 00001 00242 015 2112000 2024 CP1MG408*")</f>
        <v>0</v>
      </c>
      <c r="H4387" s="83">
        <f t="shared" si="68"/>
        <v>30</v>
      </c>
      <c r="I4387" s="83"/>
      <c r="K4387" s="54" t="s">
        <v>15</v>
      </c>
    </row>
    <row r="4388" spans="2:11" ht="41.25" x14ac:dyDescent="0.2">
      <c r="B4388" s="82" t="s">
        <v>6998</v>
      </c>
      <c r="C4388" s="82" t="s">
        <v>282</v>
      </c>
      <c r="D4388" s="83">
        <f>SUMIFS(D4389:D6462,K4389:K6462,"0",B4389:B6462,"5 1 2 4 2 12 31111 6 M59 99000 000132 0000R 00001 00242 015 2112000 2024 CP1MG408 001*")-SUMIFS(E4389:E6462,K4389:K6462,"0",B4389:B6462,"5 1 2 4 2 12 31111 6 M59 99000 000132 0000R 00001 00242 015 2112000 2024 CP1MG408 001*")</f>
        <v>0</v>
      </c>
      <c r="E4388" s="54"/>
      <c r="F4388" s="83">
        <f>SUMIFS(F4389:F6462,K4389:K6462,"0",B4389:B6462,"5 1 2 4 2 12 31111 6 M59 99000 000132 0000R 00001 00242 015 2112000 2024 CP1MG408 001*")</f>
        <v>30</v>
      </c>
      <c r="G4388" s="83">
        <f>SUMIFS(G4389:G6462,K4389:K6462,"0",B4389:B6462,"5 1 2 4 2 12 31111 6 M59 99000 000132 0000R 00001 00242 015 2112000 2024 CP1MG408 001*")</f>
        <v>0</v>
      </c>
      <c r="H4388" s="83">
        <f t="shared" si="68"/>
        <v>30</v>
      </c>
      <c r="I4388" s="83"/>
      <c r="K4388" s="54" t="s">
        <v>15</v>
      </c>
    </row>
    <row r="4389" spans="2:11" ht="41.25" x14ac:dyDescent="0.2">
      <c r="B4389" s="84" t="s">
        <v>6999</v>
      </c>
      <c r="C4389" s="84" t="s">
        <v>6950</v>
      </c>
      <c r="D4389" s="85">
        <v>0</v>
      </c>
      <c r="E4389" s="85"/>
      <c r="F4389" s="85">
        <v>30</v>
      </c>
      <c r="G4389" s="85">
        <v>0</v>
      </c>
      <c r="H4389" s="85">
        <f t="shared" si="68"/>
        <v>30</v>
      </c>
      <c r="I4389" s="85"/>
      <c r="K4389" s="54" t="s">
        <v>38</v>
      </c>
    </row>
    <row r="4390" spans="2:11" ht="16.5" x14ac:dyDescent="0.2">
      <c r="B4390" s="82" t="s">
        <v>7000</v>
      </c>
      <c r="C4390" s="82" t="s">
        <v>7001</v>
      </c>
      <c r="D4390" s="83">
        <f>SUMIFS(D4391:D6462,K4391:K6462,"0",B4391:B6462,"5 1 2 4 4*")-SUMIFS(E4391:E6462,K4391:K6462,"0",B4391:B6462,"5 1 2 4 4*")</f>
        <v>0</v>
      </c>
      <c r="E4390" s="54"/>
      <c r="F4390" s="83">
        <f>SUMIFS(F4391:F6462,K4391:K6462,"0",B4391:B6462,"5 1 2 4 4*")</f>
        <v>9484.39</v>
      </c>
      <c r="G4390" s="83">
        <f>SUMIFS(G4391:G6462,K4391:K6462,"0",B4391:B6462,"5 1 2 4 4*")</f>
        <v>0</v>
      </c>
      <c r="H4390" s="83">
        <f t="shared" si="68"/>
        <v>9484.39</v>
      </c>
      <c r="I4390" s="83"/>
      <c r="K4390" s="54" t="s">
        <v>15</v>
      </c>
    </row>
    <row r="4391" spans="2:11" ht="12.75" x14ac:dyDescent="0.2">
      <c r="B4391" s="82" t="s">
        <v>7002</v>
      </c>
      <c r="C4391" s="82" t="s">
        <v>26</v>
      </c>
      <c r="D4391" s="83">
        <f>SUMIFS(D4392:D6462,K4392:K6462,"0",B4392:B6462,"5 1 2 4 4 12*")-SUMIFS(E4392:E6462,K4392:K6462,"0",B4392:B6462,"5 1 2 4 4 12*")</f>
        <v>0</v>
      </c>
      <c r="E4391" s="54"/>
      <c r="F4391" s="83">
        <f>SUMIFS(F4392:F6462,K4392:K6462,"0",B4392:B6462,"5 1 2 4 4 12*")</f>
        <v>9484.39</v>
      </c>
      <c r="G4391" s="83">
        <f>SUMIFS(G4392:G6462,K4392:K6462,"0",B4392:B6462,"5 1 2 4 4 12*")</f>
        <v>0</v>
      </c>
      <c r="H4391" s="83">
        <f t="shared" si="68"/>
        <v>9484.39</v>
      </c>
      <c r="I4391" s="83"/>
      <c r="K4391" s="54" t="s">
        <v>15</v>
      </c>
    </row>
    <row r="4392" spans="2:11" ht="16.5" x14ac:dyDescent="0.2">
      <c r="B4392" s="82" t="s">
        <v>7003</v>
      </c>
      <c r="C4392" s="82" t="s">
        <v>28</v>
      </c>
      <c r="D4392" s="83">
        <f>SUMIFS(D4393:D6462,K4393:K6462,"0",B4393:B6462,"5 1 2 4 4 12 31111*")-SUMIFS(E4393:E6462,K4393:K6462,"0",B4393:B6462,"5 1 2 4 4 12 31111*")</f>
        <v>0</v>
      </c>
      <c r="E4392" s="54"/>
      <c r="F4392" s="83">
        <f>SUMIFS(F4393:F6462,K4393:K6462,"0",B4393:B6462,"5 1 2 4 4 12 31111*")</f>
        <v>9484.39</v>
      </c>
      <c r="G4392" s="83">
        <f>SUMIFS(G4393:G6462,K4393:K6462,"0",B4393:B6462,"5 1 2 4 4 12 31111*")</f>
        <v>0</v>
      </c>
      <c r="H4392" s="83">
        <f t="shared" si="68"/>
        <v>9484.39</v>
      </c>
      <c r="I4392" s="83"/>
      <c r="K4392" s="54" t="s">
        <v>15</v>
      </c>
    </row>
    <row r="4393" spans="2:11" ht="12.75" x14ac:dyDescent="0.2">
      <c r="B4393" s="82" t="s">
        <v>7004</v>
      </c>
      <c r="C4393" s="82" t="s">
        <v>30</v>
      </c>
      <c r="D4393" s="83">
        <f>SUMIFS(D4394:D6462,K4394:K6462,"0",B4394:B6462,"5 1 2 4 4 12 31111 6*")-SUMIFS(E4394:E6462,K4394:K6462,"0",B4394:B6462,"5 1 2 4 4 12 31111 6*")</f>
        <v>0</v>
      </c>
      <c r="E4393" s="54"/>
      <c r="F4393" s="83">
        <f>SUMIFS(F4394:F6462,K4394:K6462,"0",B4394:B6462,"5 1 2 4 4 12 31111 6*")</f>
        <v>9484.39</v>
      </c>
      <c r="G4393" s="83">
        <f>SUMIFS(G4394:G6462,K4394:K6462,"0",B4394:B6462,"5 1 2 4 4 12 31111 6*")</f>
        <v>0</v>
      </c>
      <c r="H4393" s="83">
        <f t="shared" si="68"/>
        <v>9484.39</v>
      </c>
      <c r="I4393" s="83"/>
      <c r="K4393" s="54" t="s">
        <v>15</v>
      </c>
    </row>
    <row r="4394" spans="2:11" ht="16.5" x14ac:dyDescent="0.2">
      <c r="B4394" s="82" t="s">
        <v>7005</v>
      </c>
      <c r="C4394" s="82" t="s">
        <v>2284</v>
      </c>
      <c r="D4394" s="83">
        <f>SUMIFS(D4395:D6462,K4395:K6462,"0",B4395:B6462,"5 1 2 4 4 12 31111 6 M59*")-SUMIFS(E4395:E6462,K4395:K6462,"0",B4395:B6462,"5 1 2 4 4 12 31111 6 M59*")</f>
        <v>0</v>
      </c>
      <c r="E4394" s="54"/>
      <c r="F4394" s="83">
        <f>SUMIFS(F4395:F6462,K4395:K6462,"0",B4395:B6462,"5 1 2 4 4 12 31111 6 M59*")</f>
        <v>9484.39</v>
      </c>
      <c r="G4394" s="83">
        <f>SUMIFS(G4395:G6462,K4395:K6462,"0",B4395:B6462,"5 1 2 4 4 12 31111 6 M59*")</f>
        <v>0</v>
      </c>
      <c r="H4394" s="83">
        <f t="shared" si="68"/>
        <v>9484.39</v>
      </c>
      <c r="I4394" s="83"/>
      <c r="K4394" s="54" t="s">
        <v>15</v>
      </c>
    </row>
    <row r="4395" spans="2:11" ht="16.5" x14ac:dyDescent="0.2">
      <c r="B4395" s="82" t="s">
        <v>7006</v>
      </c>
      <c r="C4395" s="82" t="s">
        <v>1044</v>
      </c>
      <c r="D4395" s="83">
        <f>SUMIFS(D4396:D6462,K4396:K6462,"0",B4396:B6462,"5 1 2 4 4 12 31111 6 M59 19000*")-SUMIFS(E4396:E6462,K4396:K6462,"0",B4396:B6462,"5 1 2 4 4 12 31111 6 M59 19000*")</f>
        <v>0</v>
      </c>
      <c r="E4395" s="54"/>
      <c r="F4395" s="83">
        <f>SUMIFS(F4396:F6462,K4396:K6462,"0",B4396:B6462,"5 1 2 4 4 12 31111 6 M59 19000*")</f>
        <v>1555.4</v>
      </c>
      <c r="G4395" s="83">
        <f>SUMIFS(G4396:G6462,K4396:K6462,"0",B4396:B6462,"5 1 2 4 4 12 31111 6 M59 19000*")</f>
        <v>0</v>
      </c>
      <c r="H4395" s="83">
        <f t="shared" ref="H4395:H4458" si="69">D4395 + F4395 - G4395</f>
        <v>1555.4</v>
      </c>
      <c r="I4395" s="83"/>
      <c r="K4395" s="54" t="s">
        <v>15</v>
      </c>
    </row>
    <row r="4396" spans="2:11" ht="16.5" x14ac:dyDescent="0.2">
      <c r="B4396" s="82" t="s">
        <v>7007</v>
      </c>
      <c r="C4396" s="82" t="s">
        <v>648</v>
      </c>
      <c r="D4396" s="83">
        <f>SUMIFS(D4397:D6462,K4397:K6462,"0",B4397:B6462,"5 1 2 4 4 12 31111 6 M59 19000 000132*")-SUMIFS(E4397:E6462,K4397:K6462,"0",B4397:B6462,"5 1 2 4 4 12 31111 6 M59 19000 000132*")</f>
        <v>0</v>
      </c>
      <c r="E4396" s="54"/>
      <c r="F4396" s="83">
        <f>SUMIFS(F4397:F6462,K4397:K6462,"0",B4397:B6462,"5 1 2 4 4 12 31111 6 M59 19000 000132*")</f>
        <v>1555.4</v>
      </c>
      <c r="G4396" s="83">
        <f>SUMIFS(G4397:G6462,K4397:K6462,"0",B4397:B6462,"5 1 2 4 4 12 31111 6 M59 19000 000132*")</f>
        <v>0</v>
      </c>
      <c r="H4396" s="83">
        <f t="shared" si="69"/>
        <v>1555.4</v>
      </c>
      <c r="I4396" s="83"/>
      <c r="K4396" s="54" t="s">
        <v>15</v>
      </c>
    </row>
    <row r="4397" spans="2:11" ht="24.75" x14ac:dyDescent="0.2">
      <c r="B4397" s="82" t="s">
        <v>7008</v>
      </c>
      <c r="C4397" s="82" t="s">
        <v>650</v>
      </c>
      <c r="D4397" s="83">
        <f>SUMIFS(D4398:D6462,K4398:K6462,"0",B4398:B6462,"5 1 2 4 4 12 31111 6 M59 19000 000132 0000R*")-SUMIFS(E4398:E6462,K4398:K6462,"0",B4398:B6462,"5 1 2 4 4 12 31111 6 M59 19000 000132 0000R*")</f>
        <v>0</v>
      </c>
      <c r="E4397" s="54"/>
      <c r="F4397" s="83">
        <f>SUMIFS(F4398:F6462,K4398:K6462,"0",B4398:B6462,"5 1 2 4 4 12 31111 6 M59 19000 000132 0000R*")</f>
        <v>1555.4</v>
      </c>
      <c r="G4397" s="83">
        <f>SUMIFS(G4398:G6462,K4398:K6462,"0",B4398:B6462,"5 1 2 4 4 12 31111 6 M59 19000 000132 0000R*")</f>
        <v>0</v>
      </c>
      <c r="H4397" s="83">
        <f t="shared" si="69"/>
        <v>1555.4</v>
      </c>
      <c r="I4397" s="83"/>
      <c r="K4397" s="54" t="s">
        <v>15</v>
      </c>
    </row>
    <row r="4398" spans="2:11" ht="24.75" x14ac:dyDescent="0.2">
      <c r="B4398" s="82" t="s">
        <v>7009</v>
      </c>
      <c r="C4398" s="82" t="s">
        <v>282</v>
      </c>
      <c r="D4398" s="83">
        <f>SUMIFS(D4399:D6462,K4399:K6462,"0",B4399:B6462,"5 1 2 4 4 12 31111 6 M59 19000 000132 0000R 00001*")-SUMIFS(E4399:E6462,K4399:K6462,"0",B4399:B6462,"5 1 2 4 4 12 31111 6 M59 19000 000132 0000R 00001*")</f>
        <v>0</v>
      </c>
      <c r="E4398" s="54"/>
      <c r="F4398" s="83">
        <f>SUMIFS(F4399:F6462,K4399:K6462,"0",B4399:B6462,"5 1 2 4 4 12 31111 6 M59 19000 000132 0000R 00001*")</f>
        <v>1555.4</v>
      </c>
      <c r="G4398" s="83">
        <f>SUMIFS(G4399:G6462,K4399:K6462,"0",B4399:B6462,"5 1 2 4 4 12 31111 6 M59 19000 000132 0000R 00001*")</f>
        <v>0</v>
      </c>
      <c r="H4398" s="83">
        <f t="shared" si="69"/>
        <v>1555.4</v>
      </c>
      <c r="I4398" s="83"/>
      <c r="K4398" s="54" t="s">
        <v>15</v>
      </c>
    </row>
    <row r="4399" spans="2:11" ht="24.75" x14ac:dyDescent="0.2">
      <c r="B4399" s="82" t="s">
        <v>7010</v>
      </c>
      <c r="C4399" s="82" t="s">
        <v>7011</v>
      </c>
      <c r="D4399" s="83">
        <f>SUMIFS(D4400:D6462,K4400:K6462,"0",B4400:B6462,"5 1 2 4 4 12 31111 6 M59 19000 000132 0000R 00001 00244*")-SUMIFS(E4400:E6462,K4400:K6462,"0",B4400:B6462,"5 1 2 4 4 12 31111 6 M59 19000 000132 0000R 00001 00244*")</f>
        <v>0</v>
      </c>
      <c r="E4399" s="54"/>
      <c r="F4399" s="83">
        <f>SUMIFS(F4400:F6462,K4400:K6462,"0",B4400:B6462,"5 1 2 4 4 12 31111 6 M59 19000 000132 0000R 00001 00244*")</f>
        <v>1555.4</v>
      </c>
      <c r="G4399" s="83">
        <f>SUMIFS(G4400:G6462,K4400:K6462,"0",B4400:B6462,"5 1 2 4 4 12 31111 6 M59 19000 000132 0000R 00001 00244*")</f>
        <v>0</v>
      </c>
      <c r="H4399" s="83">
        <f t="shared" si="69"/>
        <v>1555.4</v>
      </c>
      <c r="I4399" s="83"/>
      <c r="K4399" s="54" t="s">
        <v>15</v>
      </c>
    </row>
    <row r="4400" spans="2:11" ht="33" x14ac:dyDescent="0.2">
      <c r="B4400" s="82" t="s">
        <v>7012</v>
      </c>
      <c r="C4400" s="82" t="s">
        <v>1051</v>
      </c>
      <c r="D4400" s="83">
        <f>SUMIFS(D4401:D6462,K4401:K6462,"0",B4401:B6462,"5 1 2 4 4 12 31111 6 M59 19000 000132 0000R 00001 00244 015*")-SUMIFS(E4401:E6462,K4401:K6462,"0",B4401:B6462,"5 1 2 4 4 12 31111 6 M59 19000 000132 0000R 00001 00244 015*")</f>
        <v>0</v>
      </c>
      <c r="E4400" s="54"/>
      <c r="F4400" s="83">
        <f>SUMIFS(F4401:F6462,K4401:K6462,"0",B4401:B6462,"5 1 2 4 4 12 31111 6 M59 19000 000132 0000R 00001 00244 015*")</f>
        <v>1555.4</v>
      </c>
      <c r="G4400" s="83">
        <f>SUMIFS(G4401:G6462,K4401:K6462,"0",B4401:B6462,"5 1 2 4 4 12 31111 6 M59 19000 000132 0000R 00001 00244 015*")</f>
        <v>0</v>
      </c>
      <c r="H4400" s="83">
        <f t="shared" si="69"/>
        <v>1555.4</v>
      </c>
      <c r="I4400" s="83"/>
      <c r="K4400" s="54" t="s">
        <v>15</v>
      </c>
    </row>
    <row r="4401" spans="2:11" ht="33" x14ac:dyDescent="0.2">
      <c r="B4401" s="82" t="s">
        <v>7013</v>
      </c>
      <c r="C4401" s="82" t="s">
        <v>5830</v>
      </c>
      <c r="D4401" s="83">
        <f>SUMIFS(D4402:D6462,K4402:K6462,"0",B4402:B6462,"5 1 2 4 4 12 31111 6 M59 19000 000132 0000R 00001 00244 015 2112000*")-SUMIFS(E4402:E6462,K4402:K6462,"0",B4402:B6462,"5 1 2 4 4 12 31111 6 M59 19000 000132 0000R 00001 00244 015 2112000*")</f>
        <v>0</v>
      </c>
      <c r="E4401" s="54"/>
      <c r="F4401" s="83">
        <f>SUMIFS(F4402:F6462,K4402:K6462,"0",B4402:B6462,"5 1 2 4 4 12 31111 6 M59 19000 000132 0000R 00001 00244 015 2112000*")</f>
        <v>1555.4</v>
      </c>
      <c r="G4401" s="83">
        <f>SUMIFS(G4402:G6462,K4402:K6462,"0",B4402:B6462,"5 1 2 4 4 12 31111 6 M59 19000 000132 0000R 00001 00244 015 2112000*")</f>
        <v>0</v>
      </c>
      <c r="H4401" s="83">
        <f t="shared" si="69"/>
        <v>1555.4</v>
      </c>
      <c r="I4401" s="83"/>
      <c r="K4401" s="54" t="s">
        <v>15</v>
      </c>
    </row>
    <row r="4402" spans="2:11" ht="33" x14ac:dyDescent="0.2">
      <c r="B4402" s="82" t="s">
        <v>7014</v>
      </c>
      <c r="C4402" s="82" t="s">
        <v>660</v>
      </c>
      <c r="D4402" s="83">
        <f>SUMIFS(D4403:D6462,K4403:K6462,"0",B4403:B6462,"5 1 2 4 4 12 31111 6 M59 19000 000132 0000R 00001 00244 015 2112000 2024*")-SUMIFS(E4403:E6462,K4403:K6462,"0",B4403:B6462,"5 1 2 4 4 12 31111 6 M59 19000 000132 0000R 00001 00244 015 2112000 2024*")</f>
        <v>0</v>
      </c>
      <c r="E4402" s="54"/>
      <c r="F4402" s="83">
        <f>SUMIFS(F4403:F6462,K4403:K6462,"0",B4403:B6462,"5 1 2 4 4 12 31111 6 M59 19000 000132 0000R 00001 00244 015 2112000 2024*")</f>
        <v>1555.4</v>
      </c>
      <c r="G4402" s="83">
        <f>SUMIFS(G4403:G6462,K4403:K6462,"0",B4403:B6462,"5 1 2 4 4 12 31111 6 M59 19000 000132 0000R 00001 00244 015 2112000 2024*")</f>
        <v>0</v>
      </c>
      <c r="H4402" s="83">
        <f t="shared" si="69"/>
        <v>1555.4</v>
      </c>
      <c r="I4402" s="83"/>
      <c r="K4402" s="54" t="s">
        <v>15</v>
      </c>
    </row>
    <row r="4403" spans="2:11" ht="41.25" x14ac:dyDescent="0.2">
      <c r="B4403" s="82" t="s">
        <v>7015</v>
      </c>
      <c r="C4403" s="82" t="s">
        <v>662</v>
      </c>
      <c r="D4403" s="83">
        <f>SUMIFS(D4404:D6462,K4404:K6462,"0",B4404:B6462,"5 1 2 4 4 12 31111 6 M59 19000 000132 0000R 00001 00244 015 2112000 2024 CP1TM440*")-SUMIFS(E4404:E6462,K4404:K6462,"0",B4404:B6462,"5 1 2 4 4 12 31111 6 M59 19000 000132 0000R 00001 00244 015 2112000 2024 CP1TM440*")</f>
        <v>0</v>
      </c>
      <c r="E4403" s="54"/>
      <c r="F4403" s="83">
        <f>SUMIFS(F4404:F6462,K4404:K6462,"0",B4404:B6462,"5 1 2 4 4 12 31111 6 M59 19000 000132 0000R 00001 00244 015 2112000 2024 CP1TM440*")</f>
        <v>1555.4</v>
      </c>
      <c r="G4403" s="83">
        <f>SUMIFS(G4404:G6462,K4404:K6462,"0",B4404:B6462,"5 1 2 4 4 12 31111 6 M59 19000 000132 0000R 00001 00244 015 2112000 2024 CP1TM440*")</f>
        <v>0</v>
      </c>
      <c r="H4403" s="83">
        <f t="shared" si="69"/>
        <v>1555.4</v>
      </c>
      <c r="I4403" s="83"/>
      <c r="K4403" s="54" t="s">
        <v>15</v>
      </c>
    </row>
    <row r="4404" spans="2:11" ht="33" x14ac:dyDescent="0.2">
      <c r="B4404" s="84" t="s">
        <v>7016</v>
      </c>
      <c r="C4404" s="84" t="s">
        <v>282</v>
      </c>
      <c r="D4404" s="85">
        <v>0</v>
      </c>
      <c r="E4404" s="85"/>
      <c r="F4404" s="85">
        <v>1555.4</v>
      </c>
      <c r="G4404" s="85">
        <v>0</v>
      </c>
      <c r="H4404" s="85">
        <f t="shared" si="69"/>
        <v>1555.4</v>
      </c>
      <c r="I4404" s="85"/>
      <c r="K4404" s="54" t="s">
        <v>38</v>
      </c>
    </row>
    <row r="4405" spans="2:11" ht="16.5" x14ac:dyDescent="0.2">
      <c r="B4405" s="82" t="s">
        <v>7017</v>
      </c>
      <c r="C4405" s="82" t="s">
        <v>3281</v>
      </c>
      <c r="D4405" s="83">
        <f>SUMIFS(D4406:D6462,K4406:K6462,"0",B4406:B6462,"5 1 2 4 4 12 31111 6 M59 50000*")-SUMIFS(E4406:E6462,K4406:K6462,"0",B4406:B6462,"5 1 2 4 4 12 31111 6 M59 50000*")</f>
        <v>0</v>
      </c>
      <c r="E4405" s="54"/>
      <c r="F4405" s="83">
        <f>SUMIFS(F4406:F6462,K4406:K6462,"0",B4406:B6462,"5 1 2 4 4 12 31111 6 M59 50000*")</f>
        <v>156.99</v>
      </c>
      <c r="G4405" s="83">
        <f>SUMIFS(G4406:G6462,K4406:K6462,"0",B4406:B6462,"5 1 2 4 4 12 31111 6 M59 50000*")</f>
        <v>0</v>
      </c>
      <c r="H4405" s="83">
        <f t="shared" si="69"/>
        <v>156.99</v>
      </c>
      <c r="I4405" s="83"/>
      <c r="K4405" s="54" t="s">
        <v>15</v>
      </c>
    </row>
    <row r="4406" spans="2:11" ht="16.5" x14ac:dyDescent="0.2">
      <c r="B4406" s="82" t="s">
        <v>7018</v>
      </c>
      <c r="C4406" s="82" t="s">
        <v>3283</v>
      </c>
      <c r="D4406" s="83">
        <f>SUMIFS(D4407:D6462,K4407:K6462,"0",B4407:B6462,"5 1 2 4 4 12 31111 6 M59 50000 000223*")-SUMIFS(E4407:E6462,K4407:K6462,"0",B4407:B6462,"5 1 2 4 4 12 31111 6 M59 50000 000223*")</f>
        <v>0</v>
      </c>
      <c r="E4406" s="54"/>
      <c r="F4406" s="83">
        <f>SUMIFS(F4407:F6462,K4407:K6462,"0",B4407:B6462,"5 1 2 4 4 12 31111 6 M59 50000 000223*")</f>
        <v>156.99</v>
      </c>
      <c r="G4406" s="83">
        <f>SUMIFS(G4407:G6462,K4407:K6462,"0",B4407:B6462,"5 1 2 4 4 12 31111 6 M59 50000 000223*")</f>
        <v>0</v>
      </c>
      <c r="H4406" s="83">
        <f t="shared" si="69"/>
        <v>156.99</v>
      </c>
      <c r="I4406" s="83"/>
      <c r="K4406" s="54" t="s">
        <v>15</v>
      </c>
    </row>
    <row r="4407" spans="2:11" ht="24.75" x14ac:dyDescent="0.2">
      <c r="B4407" s="82" t="s">
        <v>7019</v>
      </c>
      <c r="C4407" s="82" t="s">
        <v>1065</v>
      </c>
      <c r="D4407" s="83">
        <f>SUMIFS(D4408:D6462,K4408:K6462,"0",B4408:B6462,"5 1 2 4 4 12 31111 6 M59 50000 000223 0000E*")-SUMIFS(E4408:E6462,K4408:K6462,"0",B4408:B6462,"5 1 2 4 4 12 31111 6 M59 50000 000223 0000E*")</f>
        <v>0</v>
      </c>
      <c r="E4407" s="54"/>
      <c r="F4407" s="83">
        <f>SUMIFS(F4408:F6462,K4408:K6462,"0",B4408:B6462,"5 1 2 4 4 12 31111 6 M59 50000 000223 0000E*")</f>
        <v>156.99</v>
      </c>
      <c r="G4407" s="83">
        <f>SUMIFS(G4408:G6462,K4408:K6462,"0",B4408:B6462,"5 1 2 4 4 12 31111 6 M59 50000 000223 0000E*")</f>
        <v>0</v>
      </c>
      <c r="H4407" s="83">
        <f t="shared" si="69"/>
        <v>156.99</v>
      </c>
      <c r="I4407" s="83"/>
      <c r="K4407" s="54" t="s">
        <v>15</v>
      </c>
    </row>
    <row r="4408" spans="2:11" ht="24.75" x14ac:dyDescent="0.2">
      <c r="B4408" s="82" t="s">
        <v>7020</v>
      </c>
      <c r="C4408" s="82" t="s">
        <v>282</v>
      </c>
      <c r="D4408" s="83">
        <f>SUMIFS(D4409:D6462,K4409:K6462,"0",B4409:B6462,"5 1 2 4 4 12 31111 6 M59 50000 000223 0000E 00001*")-SUMIFS(E4409:E6462,K4409:K6462,"0",B4409:B6462,"5 1 2 4 4 12 31111 6 M59 50000 000223 0000E 00001*")</f>
        <v>0</v>
      </c>
      <c r="E4408" s="54"/>
      <c r="F4408" s="83">
        <f>SUMIFS(F4409:F6462,K4409:K6462,"0",B4409:B6462,"5 1 2 4 4 12 31111 6 M59 50000 000223 0000E 00001*")</f>
        <v>156.99</v>
      </c>
      <c r="G4408" s="83">
        <f>SUMIFS(G4409:G6462,K4409:K6462,"0",B4409:B6462,"5 1 2 4 4 12 31111 6 M59 50000 000223 0000E 00001*")</f>
        <v>0</v>
      </c>
      <c r="H4408" s="83">
        <f t="shared" si="69"/>
        <v>156.99</v>
      </c>
      <c r="I4408" s="83"/>
      <c r="K4408" s="54" t="s">
        <v>15</v>
      </c>
    </row>
    <row r="4409" spans="2:11" ht="24.75" x14ac:dyDescent="0.2">
      <c r="B4409" s="82" t="s">
        <v>7021</v>
      </c>
      <c r="C4409" s="82" t="s">
        <v>7011</v>
      </c>
      <c r="D4409" s="83">
        <f>SUMIFS(D4410:D6462,K4410:K6462,"0",B4410:B6462,"5 1 2 4 4 12 31111 6 M59 50000 000223 0000E 00001 00244*")-SUMIFS(E4410:E6462,K4410:K6462,"0",B4410:B6462,"5 1 2 4 4 12 31111 6 M59 50000 000223 0000E 00001 00244*")</f>
        <v>0</v>
      </c>
      <c r="E4409" s="54"/>
      <c r="F4409" s="83">
        <f>SUMIFS(F4410:F6462,K4410:K6462,"0",B4410:B6462,"5 1 2 4 4 12 31111 6 M59 50000 000223 0000E 00001 00244*")</f>
        <v>156.99</v>
      </c>
      <c r="G4409" s="83">
        <f>SUMIFS(G4410:G6462,K4410:K6462,"0",B4410:B6462,"5 1 2 4 4 12 31111 6 M59 50000 000223 0000E 00001 00244*")</f>
        <v>0</v>
      </c>
      <c r="H4409" s="83">
        <f t="shared" si="69"/>
        <v>156.99</v>
      </c>
      <c r="I4409" s="83"/>
      <c r="K4409" s="54" t="s">
        <v>15</v>
      </c>
    </row>
    <row r="4410" spans="2:11" ht="33" x14ac:dyDescent="0.2">
      <c r="B4410" s="82" t="s">
        <v>7022</v>
      </c>
      <c r="C4410" s="82" t="s">
        <v>1051</v>
      </c>
      <c r="D4410" s="83">
        <f>SUMIFS(D4411:D6462,K4411:K6462,"0",B4411:B6462,"5 1 2 4 4 12 31111 6 M59 50000 000223 0000E 00001 00244 015*")-SUMIFS(E4411:E6462,K4411:K6462,"0",B4411:B6462,"5 1 2 4 4 12 31111 6 M59 50000 000223 0000E 00001 00244 015*")</f>
        <v>0</v>
      </c>
      <c r="E4410" s="54"/>
      <c r="F4410" s="83">
        <f>SUMIFS(F4411:F6462,K4411:K6462,"0",B4411:B6462,"5 1 2 4 4 12 31111 6 M59 50000 000223 0000E 00001 00244 015*")</f>
        <v>156.99</v>
      </c>
      <c r="G4410" s="83">
        <f>SUMIFS(G4411:G6462,K4411:K6462,"0",B4411:B6462,"5 1 2 4 4 12 31111 6 M59 50000 000223 0000E 00001 00244 015*")</f>
        <v>0</v>
      </c>
      <c r="H4410" s="83">
        <f t="shared" si="69"/>
        <v>156.99</v>
      </c>
      <c r="I4410" s="83"/>
      <c r="K4410" s="54" t="s">
        <v>15</v>
      </c>
    </row>
    <row r="4411" spans="2:11" ht="33" x14ac:dyDescent="0.2">
      <c r="B4411" s="82" t="s">
        <v>7023</v>
      </c>
      <c r="C4411" s="82" t="s">
        <v>5830</v>
      </c>
      <c r="D4411" s="83">
        <f>SUMIFS(D4412:D6462,K4412:K6462,"0",B4412:B6462,"5 1 2 4 4 12 31111 6 M59 50000 000223 0000E 00001 00244 015 2112000*")-SUMIFS(E4412:E6462,K4412:K6462,"0",B4412:B6462,"5 1 2 4 4 12 31111 6 M59 50000 000223 0000E 00001 00244 015 2112000*")</f>
        <v>0</v>
      </c>
      <c r="E4411" s="54"/>
      <c r="F4411" s="83">
        <f>SUMIFS(F4412:F6462,K4412:K6462,"0",B4412:B6462,"5 1 2 4 4 12 31111 6 M59 50000 000223 0000E 00001 00244 015 2112000*")</f>
        <v>156.99</v>
      </c>
      <c r="G4411" s="83">
        <f>SUMIFS(G4412:G6462,K4412:K6462,"0",B4412:B6462,"5 1 2 4 4 12 31111 6 M59 50000 000223 0000E 00001 00244 015 2112000*")</f>
        <v>0</v>
      </c>
      <c r="H4411" s="83">
        <f t="shared" si="69"/>
        <v>156.99</v>
      </c>
      <c r="I4411" s="83"/>
      <c r="K4411" s="54" t="s">
        <v>15</v>
      </c>
    </row>
    <row r="4412" spans="2:11" ht="33" x14ac:dyDescent="0.2">
      <c r="B4412" s="82" t="s">
        <v>7024</v>
      </c>
      <c r="C4412" s="82" t="s">
        <v>660</v>
      </c>
      <c r="D4412" s="83">
        <f>SUMIFS(D4413:D6462,K4413:K6462,"0",B4413:B6462,"5 1 2 4 4 12 31111 6 M59 50000 000223 0000E 00001 00244 015 2112000 2024*")-SUMIFS(E4413:E6462,K4413:K6462,"0",B4413:B6462,"5 1 2 4 4 12 31111 6 M59 50000 000223 0000E 00001 00244 015 2112000 2024*")</f>
        <v>0</v>
      </c>
      <c r="E4412" s="54"/>
      <c r="F4412" s="83">
        <f>SUMIFS(F4413:F6462,K4413:K6462,"0",B4413:B6462,"5 1 2 4 4 12 31111 6 M59 50000 000223 0000E 00001 00244 015 2112000 2024*")</f>
        <v>156.99</v>
      </c>
      <c r="G4412" s="83">
        <f>SUMIFS(G4413:G6462,K4413:K6462,"0",B4413:B6462,"5 1 2 4 4 12 31111 6 M59 50000 000223 0000E 00001 00244 015 2112000 2024*")</f>
        <v>0</v>
      </c>
      <c r="H4412" s="83">
        <f t="shared" si="69"/>
        <v>156.99</v>
      </c>
      <c r="I4412" s="83"/>
      <c r="K4412" s="54" t="s">
        <v>15</v>
      </c>
    </row>
    <row r="4413" spans="2:11" ht="41.25" x14ac:dyDescent="0.2">
      <c r="B4413" s="82" t="s">
        <v>7025</v>
      </c>
      <c r="C4413" s="82" t="s">
        <v>662</v>
      </c>
      <c r="D4413" s="83">
        <f>SUMIFS(D4414:D6462,K4414:K6462,"0",B4414:B6462,"5 1 2 4 4 12 31111 6 M59 50000 000223 0000E 00001 00244 015 2112000 2024 CP1DA424*")-SUMIFS(E4414:E6462,K4414:K6462,"0",B4414:B6462,"5 1 2 4 4 12 31111 6 M59 50000 000223 0000E 00001 00244 015 2112000 2024 CP1DA424*")</f>
        <v>0</v>
      </c>
      <c r="E4413" s="54"/>
      <c r="F4413" s="83">
        <f>SUMIFS(F4414:F6462,K4414:K6462,"0",B4414:B6462,"5 1 2 4 4 12 31111 6 M59 50000 000223 0000E 00001 00244 015 2112000 2024 CP1DA424*")</f>
        <v>156.99</v>
      </c>
      <c r="G4413" s="83">
        <f>SUMIFS(G4414:G6462,K4414:K6462,"0",B4414:B6462,"5 1 2 4 4 12 31111 6 M59 50000 000223 0000E 00001 00244 015 2112000 2024 CP1DA424*")</f>
        <v>0</v>
      </c>
      <c r="H4413" s="83">
        <f t="shared" si="69"/>
        <v>156.99</v>
      </c>
      <c r="I4413" s="83"/>
      <c r="K4413" s="54" t="s">
        <v>15</v>
      </c>
    </row>
    <row r="4414" spans="2:11" ht="41.25" x14ac:dyDescent="0.2">
      <c r="B4414" s="82" t="s">
        <v>7026</v>
      </c>
      <c r="C4414" s="82" t="s">
        <v>282</v>
      </c>
      <c r="D4414" s="83">
        <f>SUMIFS(D4415:D6462,K4415:K6462,"0",B4415:B6462,"5 1 2 4 4 12 31111 6 M59 50000 000223 0000E 00001 00244 015 2112000 2024 CP1DA424 001*")-SUMIFS(E4415:E6462,K4415:K6462,"0",B4415:B6462,"5 1 2 4 4 12 31111 6 M59 50000 000223 0000E 00001 00244 015 2112000 2024 CP1DA424 001*")</f>
        <v>0</v>
      </c>
      <c r="E4414" s="54"/>
      <c r="F4414" s="83">
        <f>SUMIFS(F4415:F6462,K4415:K6462,"0",B4415:B6462,"5 1 2 4 4 12 31111 6 M59 50000 000223 0000E 00001 00244 015 2112000 2024 CP1DA424 001*")</f>
        <v>156.99</v>
      </c>
      <c r="G4414" s="83">
        <f>SUMIFS(G4415:G6462,K4415:K6462,"0",B4415:B6462,"5 1 2 4 4 12 31111 6 M59 50000 000223 0000E 00001 00244 015 2112000 2024 CP1DA424 001*")</f>
        <v>0</v>
      </c>
      <c r="H4414" s="83">
        <f t="shared" si="69"/>
        <v>156.99</v>
      </c>
      <c r="I4414" s="83"/>
      <c r="K4414" s="54" t="s">
        <v>15</v>
      </c>
    </row>
    <row r="4415" spans="2:11" ht="41.25" x14ac:dyDescent="0.2">
      <c r="B4415" s="84" t="s">
        <v>7027</v>
      </c>
      <c r="C4415" s="84" t="s">
        <v>7011</v>
      </c>
      <c r="D4415" s="85">
        <v>0</v>
      </c>
      <c r="E4415" s="85"/>
      <c r="F4415" s="85">
        <v>156.99</v>
      </c>
      <c r="G4415" s="85">
        <v>0</v>
      </c>
      <c r="H4415" s="85">
        <f t="shared" si="69"/>
        <v>156.99</v>
      </c>
      <c r="I4415" s="85"/>
      <c r="K4415" s="54" t="s">
        <v>38</v>
      </c>
    </row>
    <row r="4416" spans="2:11" ht="16.5" x14ac:dyDescent="0.2">
      <c r="B4416" s="82" t="s">
        <v>7028</v>
      </c>
      <c r="C4416" s="82" t="s">
        <v>3693</v>
      </c>
      <c r="D4416" s="83">
        <f>SUMIFS(D4417:D6462,K4417:K6462,"0",B4417:B6462,"5 1 2 4 4 12 31111 6 M59 96100*")-SUMIFS(E4417:E6462,K4417:K6462,"0",B4417:B6462,"5 1 2 4 4 12 31111 6 M59 96100*")</f>
        <v>0</v>
      </c>
      <c r="E4416" s="54"/>
      <c r="F4416" s="83">
        <f>SUMIFS(F4417:F6462,K4417:K6462,"0",B4417:B6462,"5 1 2 4 4 12 31111 6 M59 96100*")</f>
        <v>7772</v>
      </c>
      <c r="G4416" s="83">
        <f>SUMIFS(G4417:G6462,K4417:K6462,"0",B4417:B6462,"5 1 2 4 4 12 31111 6 M59 96100*")</f>
        <v>0</v>
      </c>
      <c r="H4416" s="83">
        <f t="shared" si="69"/>
        <v>7772</v>
      </c>
      <c r="I4416" s="83"/>
      <c r="K4416" s="54" t="s">
        <v>15</v>
      </c>
    </row>
    <row r="4417" spans="2:11" ht="16.5" x14ac:dyDescent="0.2">
      <c r="B4417" s="82" t="s">
        <v>7029</v>
      </c>
      <c r="C4417" s="82" t="s">
        <v>1310</v>
      </c>
      <c r="D4417" s="83">
        <f>SUMIFS(D4418:D6462,K4418:K6462,"0",B4418:B6462,"5 1 2 4 4 12 31111 6 M59 96100 000211*")-SUMIFS(E4418:E6462,K4418:K6462,"0",B4418:B6462,"5 1 2 4 4 12 31111 6 M59 96100 000211*")</f>
        <v>0</v>
      </c>
      <c r="E4417" s="54"/>
      <c r="F4417" s="83">
        <f>SUMIFS(F4418:F6462,K4418:K6462,"0",B4418:B6462,"5 1 2 4 4 12 31111 6 M59 96100 000211*")</f>
        <v>7772</v>
      </c>
      <c r="G4417" s="83">
        <f>SUMIFS(G4418:G6462,K4418:K6462,"0",B4418:B6462,"5 1 2 4 4 12 31111 6 M59 96100 000211*")</f>
        <v>0</v>
      </c>
      <c r="H4417" s="83">
        <f t="shared" si="69"/>
        <v>7772</v>
      </c>
      <c r="I4417" s="83"/>
      <c r="K4417" s="54" t="s">
        <v>15</v>
      </c>
    </row>
    <row r="4418" spans="2:11" ht="24.75" x14ac:dyDescent="0.2">
      <c r="B4418" s="82" t="s">
        <v>7030</v>
      </c>
      <c r="C4418" s="82" t="s">
        <v>3696</v>
      </c>
      <c r="D4418" s="83">
        <f>SUMIFS(D4419:D6462,K4419:K6462,"0",B4419:B6462,"5 1 2 4 4 12 31111 6 M59 96100 000211 0000U*")-SUMIFS(E4419:E6462,K4419:K6462,"0",B4419:B6462,"5 1 2 4 4 12 31111 6 M59 96100 000211 0000U*")</f>
        <v>0</v>
      </c>
      <c r="E4418" s="54"/>
      <c r="F4418" s="83">
        <f>SUMIFS(F4419:F6462,K4419:K6462,"0",B4419:B6462,"5 1 2 4 4 12 31111 6 M59 96100 000211 0000U*")</f>
        <v>7772</v>
      </c>
      <c r="G4418" s="83">
        <f>SUMIFS(G4419:G6462,K4419:K6462,"0",B4419:B6462,"5 1 2 4 4 12 31111 6 M59 96100 000211 0000U*")</f>
        <v>0</v>
      </c>
      <c r="H4418" s="83">
        <f t="shared" si="69"/>
        <v>7772</v>
      </c>
      <c r="I4418" s="83"/>
      <c r="K4418" s="54" t="s">
        <v>15</v>
      </c>
    </row>
    <row r="4419" spans="2:11" ht="24.75" x14ac:dyDescent="0.2">
      <c r="B4419" s="82" t="s">
        <v>7031</v>
      </c>
      <c r="C4419" s="82" t="s">
        <v>282</v>
      </c>
      <c r="D4419" s="83">
        <f>SUMIFS(D4420:D6462,K4420:K6462,"0",B4420:B6462,"5 1 2 4 4 12 31111 6 M59 96100 000211 0000U 00001*")-SUMIFS(E4420:E6462,K4420:K6462,"0",B4420:B6462,"5 1 2 4 4 12 31111 6 M59 96100 000211 0000U 00001*")</f>
        <v>0</v>
      </c>
      <c r="E4419" s="54"/>
      <c r="F4419" s="83">
        <f>SUMIFS(F4420:F6462,K4420:K6462,"0",B4420:B6462,"5 1 2 4 4 12 31111 6 M59 96100 000211 0000U 00001*")</f>
        <v>7772</v>
      </c>
      <c r="G4419" s="83">
        <f>SUMIFS(G4420:G6462,K4420:K6462,"0",B4420:B6462,"5 1 2 4 4 12 31111 6 M59 96100 000211 0000U 00001*")</f>
        <v>0</v>
      </c>
      <c r="H4419" s="83">
        <f t="shared" si="69"/>
        <v>7772</v>
      </c>
      <c r="I4419" s="83"/>
      <c r="K4419" s="54" t="s">
        <v>15</v>
      </c>
    </row>
    <row r="4420" spans="2:11" ht="24.75" x14ac:dyDescent="0.2">
      <c r="B4420" s="82" t="s">
        <v>7032</v>
      </c>
      <c r="C4420" s="82" t="s">
        <v>7011</v>
      </c>
      <c r="D4420" s="83">
        <f>SUMIFS(D4421:D6462,K4421:K6462,"0",B4421:B6462,"5 1 2 4 4 12 31111 6 M59 96100 000211 0000U 00001 00244*")-SUMIFS(E4421:E6462,K4421:K6462,"0",B4421:B6462,"5 1 2 4 4 12 31111 6 M59 96100 000211 0000U 00001 00244*")</f>
        <v>0</v>
      </c>
      <c r="E4420" s="54"/>
      <c r="F4420" s="83">
        <f>SUMIFS(F4421:F6462,K4421:K6462,"0",B4421:B6462,"5 1 2 4 4 12 31111 6 M59 96100 000211 0000U 00001 00244*")</f>
        <v>7772</v>
      </c>
      <c r="G4420" s="83">
        <f>SUMIFS(G4421:G6462,K4421:K6462,"0",B4421:B6462,"5 1 2 4 4 12 31111 6 M59 96100 000211 0000U 00001 00244*")</f>
        <v>0</v>
      </c>
      <c r="H4420" s="83">
        <f t="shared" si="69"/>
        <v>7772</v>
      </c>
      <c r="I4420" s="83"/>
      <c r="K4420" s="54" t="s">
        <v>15</v>
      </c>
    </row>
    <row r="4421" spans="2:11" ht="33" x14ac:dyDescent="0.2">
      <c r="B4421" s="82" t="s">
        <v>7033</v>
      </c>
      <c r="C4421" s="82" t="s">
        <v>1051</v>
      </c>
      <c r="D4421" s="83">
        <f>SUMIFS(D4422:D6462,K4422:K6462,"0",B4422:B6462,"5 1 2 4 4 12 31111 6 M59 96100 000211 0000U 00001 00244 015*")-SUMIFS(E4422:E6462,K4422:K6462,"0",B4422:B6462,"5 1 2 4 4 12 31111 6 M59 96100 000211 0000U 00001 00244 015*")</f>
        <v>0</v>
      </c>
      <c r="E4421" s="54"/>
      <c r="F4421" s="83">
        <f>SUMIFS(F4422:F6462,K4422:K6462,"0",B4422:B6462,"5 1 2 4 4 12 31111 6 M59 96100 000211 0000U 00001 00244 015*")</f>
        <v>7772</v>
      </c>
      <c r="G4421" s="83">
        <f>SUMIFS(G4422:G6462,K4422:K6462,"0",B4422:B6462,"5 1 2 4 4 12 31111 6 M59 96100 000211 0000U 00001 00244 015*")</f>
        <v>0</v>
      </c>
      <c r="H4421" s="83">
        <f t="shared" si="69"/>
        <v>7772</v>
      </c>
      <c r="I4421" s="83"/>
      <c r="K4421" s="54" t="s">
        <v>15</v>
      </c>
    </row>
    <row r="4422" spans="2:11" ht="33" x14ac:dyDescent="0.2">
      <c r="B4422" s="82" t="s">
        <v>7034</v>
      </c>
      <c r="C4422" s="82" t="s">
        <v>5830</v>
      </c>
      <c r="D4422" s="83">
        <f>SUMIFS(D4423:D6462,K4423:K6462,"0",B4423:B6462,"5 1 2 4 4 12 31111 6 M59 96100 000211 0000U 00001 00244 015 2112000*")-SUMIFS(E4423:E6462,K4423:K6462,"0",B4423:B6462,"5 1 2 4 4 12 31111 6 M59 96100 000211 0000U 00001 00244 015 2112000*")</f>
        <v>0</v>
      </c>
      <c r="E4422" s="54"/>
      <c r="F4422" s="83">
        <f>SUMIFS(F4423:F6462,K4423:K6462,"0",B4423:B6462,"5 1 2 4 4 12 31111 6 M59 96100 000211 0000U 00001 00244 015 2112000*")</f>
        <v>7772</v>
      </c>
      <c r="G4422" s="83">
        <f>SUMIFS(G4423:G6462,K4423:K6462,"0",B4423:B6462,"5 1 2 4 4 12 31111 6 M59 96100 000211 0000U 00001 00244 015 2112000*")</f>
        <v>0</v>
      </c>
      <c r="H4422" s="83">
        <f t="shared" si="69"/>
        <v>7772</v>
      </c>
      <c r="I4422" s="83"/>
      <c r="K4422" s="54" t="s">
        <v>15</v>
      </c>
    </row>
    <row r="4423" spans="2:11" ht="33" x14ac:dyDescent="0.2">
      <c r="B4423" s="82" t="s">
        <v>7035</v>
      </c>
      <c r="C4423" s="82" t="s">
        <v>660</v>
      </c>
      <c r="D4423" s="83">
        <f>SUMIFS(D4424:D6462,K4424:K6462,"0",B4424:B6462,"5 1 2 4 4 12 31111 6 M59 96100 000211 0000U 00001 00244 015 2112000 2024*")-SUMIFS(E4424:E6462,K4424:K6462,"0",B4424:B6462,"5 1 2 4 4 12 31111 6 M59 96100 000211 0000U 00001 00244 015 2112000 2024*")</f>
        <v>0</v>
      </c>
      <c r="E4423" s="54"/>
      <c r="F4423" s="83">
        <f>SUMIFS(F4424:F6462,K4424:K6462,"0",B4424:B6462,"5 1 2 4 4 12 31111 6 M59 96100 000211 0000U 00001 00244 015 2112000 2024*")</f>
        <v>7772</v>
      </c>
      <c r="G4423" s="83">
        <f>SUMIFS(G4424:G6462,K4424:K6462,"0",B4424:B6462,"5 1 2 4 4 12 31111 6 M59 96100 000211 0000U 00001 00244 015 2112000 2024*")</f>
        <v>0</v>
      </c>
      <c r="H4423" s="83">
        <f t="shared" si="69"/>
        <v>7772</v>
      </c>
      <c r="I4423" s="83"/>
      <c r="K4423" s="54" t="s">
        <v>15</v>
      </c>
    </row>
    <row r="4424" spans="2:11" ht="41.25" x14ac:dyDescent="0.2">
      <c r="B4424" s="82" t="s">
        <v>7036</v>
      </c>
      <c r="C4424" s="82" t="s">
        <v>1056</v>
      </c>
      <c r="D4424" s="83">
        <f>SUMIFS(D4425:D6462,K4425:K6462,"0",B4425:B6462,"5 1 2 4 4 12 31111 6 M59 96100 000211 0000U 00001 00244 015 2112000 2024 CP1IU412*")-SUMIFS(E4425:E6462,K4425:K6462,"0",B4425:B6462,"5 1 2 4 4 12 31111 6 M59 96100 000211 0000U 00001 00244 015 2112000 2024 CP1IU412*")</f>
        <v>0</v>
      </c>
      <c r="E4424" s="54"/>
      <c r="F4424" s="83">
        <f>SUMIFS(F4425:F6462,K4425:K6462,"0",B4425:B6462,"5 1 2 4 4 12 31111 6 M59 96100 000211 0000U 00001 00244 015 2112000 2024 CP1IU412*")</f>
        <v>7772</v>
      </c>
      <c r="G4424" s="83">
        <f>SUMIFS(G4425:G6462,K4425:K6462,"0",B4425:B6462,"5 1 2 4 4 12 31111 6 M59 96100 000211 0000U 00001 00244 015 2112000 2024 CP1IU412*")</f>
        <v>0</v>
      </c>
      <c r="H4424" s="83">
        <f t="shared" si="69"/>
        <v>7772</v>
      </c>
      <c r="I4424" s="83"/>
      <c r="K4424" s="54" t="s">
        <v>15</v>
      </c>
    </row>
    <row r="4425" spans="2:11" ht="41.25" x14ac:dyDescent="0.2">
      <c r="B4425" s="82" t="s">
        <v>7037</v>
      </c>
      <c r="C4425" s="82" t="s">
        <v>282</v>
      </c>
      <c r="D4425" s="83">
        <f>SUMIFS(D4426:D6462,K4426:K6462,"0",B4426:B6462,"5 1 2 4 4 12 31111 6 M59 96100 000211 0000U 00001 00244 015 2112000 2024 CP1IU412 001*")-SUMIFS(E4426:E6462,K4426:K6462,"0",B4426:B6462,"5 1 2 4 4 12 31111 6 M59 96100 000211 0000U 00001 00244 015 2112000 2024 CP1IU412 001*")</f>
        <v>0</v>
      </c>
      <c r="E4425" s="54"/>
      <c r="F4425" s="83">
        <f>SUMIFS(F4426:F6462,K4426:K6462,"0",B4426:B6462,"5 1 2 4 4 12 31111 6 M59 96100 000211 0000U 00001 00244 015 2112000 2024 CP1IU412 001*")</f>
        <v>7772</v>
      </c>
      <c r="G4425" s="83">
        <f>SUMIFS(G4426:G6462,K4426:K6462,"0",B4426:B6462,"5 1 2 4 4 12 31111 6 M59 96100 000211 0000U 00001 00244 015 2112000 2024 CP1IU412 001*")</f>
        <v>0</v>
      </c>
      <c r="H4425" s="83">
        <f t="shared" si="69"/>
        <v>7772</v>
      </c>
      <c r="I4425" s="83"/>
      <c r="K4425" s="54" t="s">
        <v>15</v>
      </c>
    </row>
    <row r="4426" spans="2:11" ht="33" x14ac:dyDescent="0.2">
      <c r="B4426" s="84" t="s">
        <v>7038</v>
      </c>
      <c r="C4426" s="84" t="s">
        <v>7011</v>
      </c>
      <c r="D4426" s="85">
        <v>0</v>
      </c>
      <c r="E4426" s="85"/>
      <c r="F4426" s="85">
        <v>7772</v>
      </c>
      <c r="G4426" s="85">
        <v>0</v>
      </c>
      <c r="H4426" s="85">
        <f t="shared" si="69"/>
        <v>7772</v>
      </c>
      <c r="I4426" s="85"/>
      <c r="K4426" s="54" t="s">
        <v>38</v>
      </c>
    </row>
    <row r="4427" spans="2:11" ht="16.5" x14ac:dyDescent="0.2">
      <c r="B4427" s="82" t="s">
        <v>7039</v>
      </c>
      <c r="C4427" s="82" t="s">
        <v>7040</v>
      </c>
      <c r="D4427" s="83">
        <f>SUMIFS(D4428:D6462,K4428:K6462,"0",B4428:B6462,"5 1 2 4 6*")-SUMIFS(E4428:E6462,K4428:K6462,"0",B4428:B6462,"5 1 2 4 6*")</f>
        <v>0</v>
      </c>
      <c r="E4427" s="54"/>
      <c r="F4427" s="83">
        <f>SUMIFS(F4428:F6462,K4428:K6462,"0",B4428:B6462,"5 1 2 4 6*")</f>
        <v>142385.63</v>
      </c>
      <c r="G4427" s="83">
        <f>SUMIFS(G4428:G6462,K4428:K6462,"0",B4428:B6462,"5 1 2 4 6*")</f>
        <v>0</v>
      </c>
      <c r="H4427" s="83">
        <f t="shared" si="69"/>
        <v>142385.63</v>
      </c>
      <c r="I4427" s="83"/>
      <c r="K4427" s="54" t="s">
        <v>15</v>
      </c>
    </row>
    <row r="4428" spans="2:11" ht="12.75" x14ac:dyDescent="0.2">
      <c r="B4428" s="82" t="s">
        <v>7041</v>
      </c>
      <c r="C4428" s="82" t="s">
        <v>26</v>
      </c>
      <c r="D4428" s="83">
        <f>SUMIFS(D4429:D6462,K4429:K6462,"0",B4429:B6462,"5 1 2 4 6 12*")-SUMIFS(E4429:E6462,K4429:K6462,"0",B4429:B6462,"5 1 2 4 6 12*")</f>
        <v>0</v>
      </c>
      <c r="E4428" s="54"/>
      <c r="F4428" s="83">
        <f>SUMIFS(F4429:F6462,K4429:K6462,"0",B4429:B6462,"5 1 2 4 6 12*")</f>
        <v>142385.63</v>
      </c>
      <c r="G4428" s="83">
        <f>SUMIFS(G4429:G6462,K4429:K6462,"0",B4429:B6462,"5 1 2 4 6 12*")</f>
        <v>0</v>
      </c>
      <c r="H4428" s="83">
        <f t="shared" si="69"/>
        <v>142385.63</v>
      </c>
      <c r="I4428" s="83"/>
      <c r="K4428" s="54" t="s">
        <v>15</v>
      </c>
    </row>
    <row r="4429" spans="2:11" ht="16.5" x14ac:dyDescent="0.2">
      <c r="B4429" s="82" t="s">
        <v>7042</v>
      </c>
      <c r="C4429" s="82" t="s">
        <v>28</v>
      </c>
      <c r="D4429" s="83">
        <f>SUMIFS(D4430:D6462,K4430:K6462,"0",B4430:B6462,"5 1 2 4 6 12 31111*")-SUMIFS(E4430:E6462,K4430:K6462,"0",B4430:B6462,"5 1 2 4 6 12 31111*")</f>
        <v>0</v>
      </c>
      <c r="E4429" s="54"/>
      <c r="F4429" s="83">
        <f>SUMIFS(F4430:F6462,K4430:K6462,"0",B4430:B6462,"5 1 2 4 6 12 31111*")</f>
        <v>142385.63</v>
      </c>
      <c r="G4429" s="83">
        <f>SUMIFS(G4430:G6462,K4430:K6462,"0",B4430:B6462,"5 1 2 4 6 12 31111*")</f>
        <v>0</v>
      </c>
      <c r="H4429" s="83">
        <f t="shared" si="69"/>
        <v>142385.63</v>
      </c>
      <c r="I4429" s="83"/>
      <c r="K4429" s="54" t="s">
        <v>15</v>
      </c>
    </row>
    <row r="4430" spans="2:11" ht="12.75" x14ac:dyDescent="0.2">
      <c r="B4430" s="82" t="s">
        <v>7043</v>
      </c>
      <c r="C4430" s="82" t="s">
        <v>30</v>
      </c>
      <c r="D4430" s="83">
        <f>SUMIFS(D4431:D6462,K4431:K6462,"0",B4431:B6462,"5 1 2 4 6 12 31111 6*")-SUMIFS(E4431:E6462,K4431:K6462,"0",B4431:B6462,"5 1 2 4 6 12 31111 6*")</f>
        <v>0</v>
      </c>
      <c r="E4430" s="54"/>
      <c r="F4430" s="83">
        <f>SUMIFS(F4431:F6462,K4431:K6462,"0",B4431:B6462,"5 1 2 4 6 12 31111 6*")</f>
        <v>142385.63</v>
      </c>
      <c r="G4430" s="83">
        <f>SUMIFS(G4431:G6462,K4431:K6462,"0",B4431:B6462,"5 1 2 4 6 12 31111 6*")</f>
        <v>0</v>
      </c>
      <c r="H4430" s="83">
        <f t="shared" si="69"/>
        <v>142385.63</v>
      </c>
      <c r="I4430" s="83"/>
      <c r="K4430" s="54" t="s">
        <v>15</v>
      </c>
    </row>
    <row r="4431" spans="2:11" ht="16.5" x14ac:dyDescent="0.2">
      <c r="B4431" s="82" t="s">
        <v>7044</v>
      </c>
      <c r="C4431" s="82" t="s">
        <v>2284</v>
      </c>
      <c r="D4431" s="83">
        <f>SUMIFS(D4432:D6462,K4432:K6462,"0",B4432:B6462,"5 1 2 4 6 12 31111 6 M59*")-SUMIFS(E4432:E6462,K4432:K6462,"0",B4432:B6462,"5 1 2 4 6 12 31111 6 M59*")</f>
        <v>0</v>
      </c>
      <c r="E4431" s="54"/>
      <c r="F4431" s="83">
        <f>SUMIFS(F4432:F6462,K4432:K6462,"0",B4432:B6462,"5 1 2 4 6 12 31111 6 M59*")</f>
        <v>142385.63</v>
      </c>
      <c r="G4431" s="83">
        <f>SUMIFS(G4432:G6462,K4432:K6462,"0",B4432:B6462,"5 1 2 4 6 12 31111 6 M59*")</f>
        <v>0</v>
      </c>
      <c r="H4431" s="83">
        <f t="shared" si="69"/>
        <v>142385.63</v>
      </c>
      <c r="I4431" s="83"/>
      <c r="K4431" s="54" t="s">
        <v>15</v>
      </c>
    </row>
    <row r="4432" spans="2:11" ht="16.5" x14ac:dyDescent="0.2">
      <c r="B4432" s="82" t="s">
        <v>7058</v>
      </c>
      <c r="C4432" s="82" t="s">
        <v>3103</v>
      </c>
      <c r="D4432" s="83">
        <f>SUMIFS(D4433:D6462,K4433:K6462,"0",B4433:B6462,"5 1 2 4 6 12 31111 6 M59 20400*")-SUMIFS(E4433:E6462,K4433:K6462,"0",B4433:B6462,"5 1 2 4 6 12 31111 6 M59 20400*")</f>
        <v>0</v>
      </c>
      <c r="E4432" s="54"/>
      <c r="F4432" s="83">
        <f>SUMIFS(F4433:F6462,K4433:K6462,"0",B4433:B6462,"5 1 2 4 6 12 31111 6 M59 20400*")</f>
        <v>5077.53</v>
      </c>
      <c r="G4432" s="83">
        <f>SUMIFS(G4433:G6462,K4433:K6462,"0",B4433:B6462,"5 1 2 4 6 12 31111 6 M59 20400*")</f>
        <v>0</v>
      </c>
      <c r="H4432" s="83">
        <f t="shared" si="69"/>
        <v>5077.53</v>
      </c>
      <c r="I4432" s="83"/>
      <c r="K4432" s="54" t="s">
        <v>15</v>
      </c>
    </row>
    <row r="4433" spans="2:11" ht="16.5" x14ac:dyDescent="0.2">
      <c r="B4433" s="82" t="s">
        <v>7059</v>
      </c>
      <c r="C4433" s="82" t="s">
        <v>648</v>
      </c>
      <c r="D4433" s="83">
        <f>SUMIFS(D4434:D6462,K4434:K6462,"0",B4434:B6462,"5 1 2 4 6 12 31111 6 M59 20400 000132*")-SUMIFS(E4434:E6462,K4434:K6462,"0",B4434:B6462,"5 1 2 4 6 12 31111 6 M59 20400 000132*")</f>
        <v>0</v>
      </c>
      <c r="E4433" s="54"/>
      <c r="F4433" s="83">
        <f>SUMIFS(F4434:F6462,K4434:K6462,"0",B4434:B6462,"5 1 2 4 6 12 31111 6 M59 20400 000132*")</f>
        <v>5077.53</v>
      </c>
      <c r="G4433" s="83">
        <f>SUMIFS(G4434:G6462,K4434:K6462,"0",B4434:B6462,"5 1 2 4 6 12 31111 6 M59 20400 000132*")</f>
        <v>0</v>
      </c>
      <c r="H4433" s="83">
        <f t="shared" si="69"/>
        <v>5077.53</v>
      </c>
      <c r="I4433" s="83"/>
      <c r="K4433" s="54" t="s">
        <v>15</v>
      </c>
    </row>
    <row r="4434" spans="2:11" ht="24.75" x14ac:dyDescent="0.2">
      <c r="B4434" s="82" t="s">
        <v>7060</v>
      </c>
      <c r="C4434" s="82" t="s">
        <v>650</v>
      </c>
      <c r="D4434" s="83">
        <f>SUMIFS(D4435:D6462,K4435:K6462,"0",B4435:B6462,"5 1 2 4 6 12 31111 6 M59 20400 000132 0000R*")-SUMIFS(E4435:E6462,K4435:K6462,"0",B4435:B6462,"5 1 2 4 6 12 31111 6 M59 20400 000132 0000R*")</f>
        <v>0</v>
      </c>
      <c r="E4434" s="54"/>
      <c r="F4434" s="83">
        <f>SUMIFS(F4435:F6462,K4435:K6462,"0",B4435:B6462,"5 1 2 4 6 12 31111 6 M59 20400 000132 0000R*")</f>
        <v>5077.53</v>
      </c>
      <c r="G4434" s="83">
        <f>SUMIFS(G4435:G6462,K4435:K6462,"0",B4435:B6462,"5 1 2 4 6 12 31111 6 M59 20400 000132 0000R*")</f>
        <v>0</v>
      </c>
      <c r="H4434" s="83">
        <f t="shared" si="69"/>
        <v>5077.53</v>
      </c>
      <c r="I4434" s="83"/>
      <c r="K4434" s="54" t="s">
        <v>15</v>
      </c>
    </row>
    <row r="4435" spans="2:11" ht="24.75" x14ac:dyDescent="0.2">
      <c r="B4435" s="82" t="s">
        <v>7061</v>
      </c>
      <c r="C4435" s="82" t="s">
        <v>282</v>
      </c>
      <c r="D4435" s="83">
        <f>SUMIFS(D4436:D6462,K4436:K6462,"0",B4436:B6462,"5 1 2 4 6 12 31111 6 M59 20400 000132 0000R 00001*")-SUMIFS(E4436:E6462,K4436:K6462,"0",B4436:B6462,"5 1 2 4 6 12 31111 6 M59 20400 000132 0000R 00001*")</f>
        <v>0</v>
      </c>
      <c r="E4435" s="54"/>
      <c r="F4435" s="83">
        <f>SUMIFS(F4436:F6462,K4436:K6462,"0",B4436:B6462,"5 1 2 4 6 12 31111 6 M59 20400 000132 0000R 00001*")</f>
        <v>5077.53</v>
      </c>
      <c r="G4435" s="83">
        <f>SUMIFS(G4436:G6462,K4436:K6462,"0",B4436:B6462,"5 1 2 4 6 12 31111 6 M59 20400 000132 0000R 00001*")</f>
        <v>0</v>
      </c>
      <c r="H4435" s="83">
        <f t="shared" si="69"/>
        <v>5077.53</v>
      </c>
      <c r="I4435" s="83"/>
      <c r="K4435" s="54" t="s">
        <v>15</v>
      </c>
    </row>
    <row r="4436" spans="2:11" ht="24.75" x14ac:dyDescent="0.2">
      <c r="B4436" s="82" t="s">
        <v>7062</v>
      </c>
      <c r="C4436" s="82" t="s">
        <v>7050</v>
      </c>
      <c r="D4436" s="83">
        <f>SUMIFS(D4437:D6462,K4437:K6462,"0",B4437:B6462,"5 1 2 4 6 12 31111 6 M59 20400 000132 0000R 00001 00246*")-SUMIFS(E4437:E6462,K4437:K6462,"0",B4437:B6462,"5 1 2 4 6 12 31111 6 M59 20400 000132 0000R 00001 00246*")</f>
        <v>0</v>
      </c>
      <c r="E4436" s="54"/>
      <c r="F4436" s="83">
        <f>SUMIFS(F4437:F6462,K4437:K6462,"0",B4437:B6462,"5 1 2 4 6 12 31111 6 M59 20400 000132 0000R 00001 00246*")</f>
        <v>5077.53</v>
      </c>
      <c r="G4436" s="83">
        <f>SUMIFS(G4437:G6462,K4437:K6462,"0",B4437:B6462,"5 1 2 4 6 12 31111 6 M59 20400 000132 0000R 00001 00246*")</f>
        <v>0</v>
      </c>
      <c r="H4436" s="83">
        <f t="shared" si="69"/>
        <v>5077.53</v>
      </c>
      <c r="I4436" s="83"/>
      <c r="K4436" s="54" t="s">
        <v>15</v>
      </c>
    </row>
    <row r="4437" spans="2:11" ht="33" x14ac:dyDescent="0.2">
      <c r="B4437" s="82" t="s">
        <v>7063</v>
      </c>
      <c r="C4437" s="82" t="s">
        <v>1051</v>
      </c>
      <c r="D4437" s="83">
        <f>SUMIFS(D4438:D6462,K4438:K6462,"0",B4438:B6462,"5 1 2 4 6 12 31111 6 M59 20400 000132 0000R 00001 00246 015*")-SUMIFS(E4438:E6462,K4438:K6462,"0",B4438:B6462,"5 1 2 4 6 12 31111 6 M59 20400 000132 0000R 00001 00246 015*")</f>
        <v>0</v>
      </c>
      <c r="E4437" s="54"/>
      <c r="F4437" s="83">
        <f>SUMIFS(F4438:F6462,K4438:K6462,"0",B4438:B6462,"5 1 2 4 6 12 31111 6 M59 20400 000132 0000R 00001 00246 015*")</f>
        <v>5077.53</v>
      </c>
      <c r="G4437" s="83">
        <f>SUMIFS(G4438:G6462,K4438:K6462,"0",B4438:B6462,"5 1 2 4 6 12 31111 6 M59 20400 000132 0000R 00001 00246 015*")</f>
        <v>0</v>
      </c>
      <c r="H4437" s="83">
        <f t="shared" si="69"/>
        <v>5077.53</v>
      </c>
      <c r="I4437" s="83"/>
      <c r="K4437" s="54" t="s">
        <v>15</v>
      </c>
    </row>
    <row r="4438" spans="2:11" ht="33" x14ac:dyDescent="0.2">
      <c r="B4438" s="82" t="s">
        <v>7064</v>
      </c>
      <c r="C4438" s="82" t="s">
        <v>5830</v>
      </c>
      <c r="D4438" s="83">
        <f>SUMIFS(D4439:D6462,K4439:K6462,"0",B4439:B6462,"5 1 2 4 6 12 31111 6 M59 20400 000132 0000R 00001 00246 015 2112000*")-SUMIFS(E4439:E6462,K4439:K6462,"0",B4439:B6462,"5 1 2 4 6 12 31111 6 M59 20400 000132 0000R 00001 00246 015 2112000*")</f>
        <v>0</v>
      </c>
      <c r="E4438" s="54"/>
      <c r="F4438" s="83">
        <f>SUMIFS(F4439:F6462,K4439:K6462,"0",B4439:B6462,"5 1 2 4 6 12 31111 6 M59 20400 000132 0000R 00001 00246 015 2112000*")</f>
        <v>5077.53</v>
      </c>
      <c r="G4438" s="83">
        <f>SUMIFS(G4439:G6462,K4439:K6462,"0",B4439:B6462,"5 1 2 4 6 12 31111 6 M59 20400 000132 0000R 00001 00246 015 2112000*")</f>
        <v>0</v>
      </c>
      <c r="H4438" s="83">
        <f t="shared" si="69"/>
        <v>5077.53</v>
      </c>
      <c r="I4438" s="83"/>
      <c r="K4438" s="54" t="s">
        <v>15</v>
      </c>
    </row>
    <row r="4439" spans="2:11" ht="33" x14ac:dyDescent="0.2">
      <c r="B4439" s="82" t="s">
        <v>7065</v>
      </c>
      <c r="C4439" s="82" t="s">
        <v>660</v>
      </c>
      <c r="D4439" s="83">
        <f>SUMIFS(D4440:D6462,K4440:K6462,"0",B4440:B6462,"5 1 2 4 6 12 31111 6 M59 20400 000132 0000R 00001 00246 015 2112000 2024*")-SUMIFS(E4440:E6462,K4440:K6462,"0",B4440:B6462,"5 1 2 4 6 12 31111 6 M59 20400 000132 0000R 00001 00246 015 2112000 2024*")</f>
        <v>0</v>
      </c>
      <c r="E4439" s="54"/>
      <c r="F4439" s="83">
        <f>SUMIFS(F4440:F6462,K4440:K6462,"0",B4440:B6462,"5 1 2 4 6 12 31111 6 M59 20400 000132 0000R 00001 00246 015 2112000 2024*")</f>
        <v>5077.53</v>
      </c>
      <c r="G4439" s="83">
        <f>SUMIFS(G4440:G6462,K4440:K6462,"0",B4440:B6462,"5 1 2 4 6 12 31111 6 M59 20400 000132 0000R 00001 00246 015 2112000 2024*")</f>
        <v>0</v>
      </c>
      <c r="H4439" s="83">
        <f t="shared" si="69"/>
        <v>5077.53</v>
      </c>
      <c r="I4439" s="83"/>
      <c r="K4439" s="54" t="s">
        <v>15</v>
      </c>
    </row>
    <row r="4440" spans="2:11" ht="41.25" x14ac:dyDescent="0.2">
      <c r="B4440" s="82" t="s">
        <v>7066</v>
      </c>
      <c r="C4440" s="82" t="s">
        <v>1056</v>
      </c>
      <c r="D4440" s="83">
        <f>SUMIFS(D4441:D6462,K4441:K6462,"0",B4441:B6462,"5 1 2 4 6 12 31111 6 M59 20400 000132 0000R 00001 00246 015 2112000 2024 CP1PV404*")-SUMIFS(E4441:E6462,K4441:K6462,"0",B4441:B6462,"5 1 2 4 6 12 31111 6 M59 20400 000132 0000R 00001 00246 015 2112000 2024 CP1PV404*")</f>
        <v>0</v>
      </c>
      <c r="E4440" s="54"/>
      <c r="F4440" s="83">
        <f>SUMIFS(F4441:F6462,K4441:K6462,"0",B4441:B6462,"5 1 2 4 6 12 31111 6 M59 20400 000132 0000R 00001 00246 015 2112000 2024 CP1PV404*")</f>
        <v>5077.53</v>
      </c>
      <c r="G4440" s="83">
        <f>SUMIFS(G4441:G6462,K4441:K6462,"0",B4441:B6462,"5 1 2 4 6 12 31111 6 M59 20400 000132 0000R 00001 00246 015 2112000 2024 CP1PV404*")</f>
        <v>0</v>
      </c>
      <c r="H4440" s="83">
        <f t="shared" si="69"/>
        <v>5077.53</v>
      </c>
      <c r="I4440" s="83"/>
      <c r="K4440" s="54" t="s">
        <v>15</v>
      </c>
    </row>
    <row r="4441" spans="2:11" ht="41.25" x14ac:dyDescent="0.2">
      <c r="B4441" s="82" t="s">
        <v>7067</v>
      </c>
      <c r="C4441" s="82" t="s">
        <v>282</v>
      </c>
      <c r="D4441" s="83">
        <f>SUMIFS(D4442:D6462,K4442:K6462,"0",B4442:B6462,"5 1 2 4 6 12 31111 6 M59 20400 000132 0000R 00001 00246 015 2112000 2024 CP1PV404 001*")-SUMIFS(E4442:E6462,K4442:K6462,"0",B4442:B6462,"5 1 2 4 6 12 31111 6 M59 20400 000132 0000R 00001 00246 015 2112000 2024 CP1PV404 001*")</f>
        <v>0</v>
      </c>
      <c r="E4441" s="54"/>
      <c r="F4441" s="83">
        <f>SUMIFS(F4442:F6462,K4442:K6462,"0",B4442:B6462,"5 1 2 4 6 12 31111 6 M59 20400 000132 0000R 00001 00246 015 2112000 2024 CP1PV404 001*")</f>
        <v>5077.53</v>
      </c>
      <c r="G4441" s="83">
        <f>SUMIFS(G4442:G6462,K4442:K6462,"0",B4442:B6462,"5 1 2 4 6 12 31111 6 M59 20400 000132 0000R 00001 00246 015 2112000 2024 CP1PV404 001*")</f>
        <v>0</v>
      </c>
      <c r="H4441" s="83">
        <f t="shared" si="69"/>
        <v>5077.53</v>
      </c>
      <c r="I4441" s="83"/>
      <c r="K4441" s="54" t="s">
        <v>15</v>
      </c>
    </row>
    <row r="4442" spans="2:11" ht="41.25" x14ac:dyDescent="0.2">
      <c r="B4442" s="84" t="s">
        <v>7068</v>
      </c>
      <c r="C4442" s="84" t="s">
        <v>7050</v>
      </c>
      <c r="D4442" s="85">
        <v>0</v>
      </c>
      <c r="E4442" s="85"/>
      <c r="F4442" s="85">
        <v>5077.53</v>
      </c>
      <c r="G4442" s="85">
        <v>0</v>
      </c>
      <c r="H4442" s="85">
        <f t="shared" si="69"/>
        <v>5077.53</v>
      </c>
      <c r="I4442" s="85"/>
      <c r="K4442" s="54" t="s">
        <v>38</v>
      </c>
    </row>
    <row r="4443" spans="2:11" ht="16.5" x14ac:dyDescent="0.2">
      <c r="B4443" s="82" t="s">
        <v>7069</v>
      </c>
      <c r="C4443" s="82" t="s">
        <v>3138</v>
      </c>
      <c r="D4443" s="83">
        <f>SUMIFS(D4444:D6462,K4444:K6462,"0",B4444:B6462,"5 1 2 4 6 12 31111 6 M59 20700*")-SUMIFS(E4444:E6462,K4444:K6462,"0",B4444:B6462,"5 1 2 4 6 12 31111 6 M59 20700*")</f>
        <v>0</v>
      </c>
      <c r="E4443" s="54"/>
      <c r="F4443" s="83">
        <f>SUMIFS(F4444:F6462,K4444:K6462,"0",B4444:B6462,"5 1 2 4 6 12 31111 6 M59 20700*")</f>
        <v>16290.13</v>
      </c>
      <c r="G4443" s="83">
        <f>SUMIFS(G4444:G6462,K4444:K6462,"0",B4444:B6462,"5 1 2 4 6 12 31111 6 M59 20700*")</f>
        <v>0</v>
      </c>
      <c r="H4443" s="83">
        <f t="shared" si="69"/>
        <v>16290.13</v>
      </c>
      <c r="I4443" s="83"/>
      <c r="K4443" s="54" t="s">
        <v>15</v>
      </c>
    </row>
    <row r="4444" spans="2:11" ht="16.5" x14ac:dyDescent="0.2">
      <c r="B4444" s="82" t="s">
        <v>7070</v>
      </c>
      <c r="C4444" s="82" t="s">
        <v>648</v>
      </c>
      <c r="D4444" s="83">
        <f>SUMIFS(D4445:D6462,K4445:K6462,"0",B4445:B6462,"5 1 2 4 6 12 31111 6 M59 20700 000132*")-SUMIFS(E4445:E6462,K4445:K6462,"0",B4445:B6462,"5 1 2 4 6 12 31111 6 M59 20700 000132*")</f>
        <v>0</v>
      </c>
      <c r="E4444" s="54"/>
      <c r="F4444" s="83">
        <f>SUMIFS(F4445:F6462,K4445:K6462,"0",B4445:B6462,"5 1 2 4 6 12 31111 6 M59 20700 000132*")</f>
        <v>16290.13</v>
      </c>
      <c r="G4444" s="83">
        <f>SUMIFS(G4445:G6462,K4445:K6462,"0",B4445:B6462,"5 1 2 4 6 12 31111 6 M59 20700 000132*")</f>
        <v>0</v>
      </c>
      <c r="H4444" s="83">
        <f t="shared" si="69"/>
        <v>16290.13</v>
      </c>
      <c r="I4444" s="83"/>
      <c r="K4444" s="54" t="s">
        <v>15</v>
      </c>
    </row>
    <row r="4445" spans="2:11" ht="24.75" x14ac:dyDescent="0.2">
      <c r="B4445" s="82" t="s">
        <v>7071</v>
      </c>
      <c r="C4445" s="82" t="s">
        <v>650</v>
      </c>
      <c r="D4445" s="83">
        <f>SUMIFS(D4446:D6462,K4446:K6462,"0",B4446:B6462,"5 1 2 4 6 12 31111 6 M59 20700 000132 0000R*")-SUMIFS(E4446:E6462,K4446:K6462,"0",B4446:B6462,"5 1 2 4 6 12 31111 6 M59 20700 000132 0000R*")</f>
        <v>0</v>
      </c>
      <c r="E4445" s="54"/>
      <c r="F4445" s="83">
        <f>SUMIFS(F4446:F6462,K4446:K6462,"0",B4446:B6462,"5 1 2 4 6 12 31111 6 M59 20700 000132 0000R*")</f>
        <v>16290.13</v>
      </c>
      <c r="G4445" s="83">
        <f>SUMIFS(G4446:G6462,K4446:K6462,"0",B4446:B6462,"5 1 2 4 6 12 31111 6 M59 20700 000132 0000R*")</f>
        <v>0</v>
      </c>
      <c r="H4445" s="83">
        <f t="shared" si="69"/>
        <v>16290.13</v>
      </c>
      <c r="I4445" s="83"/>
      <c r="K4445" s="54" t="s">
        <v>15</v>
      </c>
    </row>
    <row r="4446" spans="2:11" ht="24.75" x14ac:dyDescent="0.2">
      <c r="B4446" s="82" t="s">
        <v>7072</v>
      </c>
      <c r="C4446" s="82" t="s">
        <v>282</v>
      </c>
      <c r="D4446" s="83">
        <f>SUMIFS(D4447:D6462,K4447:K6462,"0",B4447:B6462,"5 1 2 4 6 12 31111 6 M59 20700 000132 0000R 00001*")-SUMIFS(E4447:E6462,K4447:K6462,"0",B4447:B6462,"5 1 2 4 6 12 31111 6 M59 20700 000132 0000R 00001*")</f>
        <v>0</v>
      </c>
      <c r="E4446" s="54"/>
      <c r="F4446" s="83">
        <f>SUMIFS(F4447:F6462,K4447:K6462,"0",B4447:B6462,"5 1 2 4 6 12 31111 6 M59 20700 000132 0000R 00001*")</f>
        <v>16290.13</v>
      </c>
      <c r="G4446" s="83">
        <f>SUMIFS(G4447:G6462,K4447:K6462,"0",B4447:B6462,"5 1 2 4 6 12 31111 6 M59 20700 000132 0000R 00001*")</f>
        <v>0</v>
      </c>
      <c r="H4446" s="83">
        <f t="shared" si="69"/>
        <v>16290.13</v>
      </c>
      <c r="I4446" s="83"/>
      <c r="K4446" s="54" t="s">
        <v>15</v>
      </c>
    </row>
    <row r="4447" spans="2:11" ht="24.75" x14ac:dyDescent="0.2">
      <c r="B4447" s="82" t="s">
        <v>7073</v>
      </c>
      <c r="C4447" s="82" t="s">
        <v>7050</v>
      </c>
      <c r="D4447" s="83">
        <f>SUMIFS(D4448:D6462,K4448:K6462,"0",B4448:B6462,"5 1 2 4 6 12 31111 6 M59 20700 000132 0000R 00001 00246*")-SUMIFS(E4448:E6462,K4448:K6462,"0",B4448:B6462,"5 1 2 4 6 12 31111 6 M59 20700 000132 0000R 00001 00246*")</f>
        <v>0</v>
      </c>
      <c r="E4447" s="54"/>
      <c r="F4447" s="83">
        <f>SUMIFS(F4448:F6462,K4448:K6462,"0",B4448:B6462,"5 1 2 4 6 12 31111 6 M59 20700 000132 0000R 00001 00246*")</f>
        <v>16290.13</v>
      </c>
      <c r="G4447" s="83">
        <f>SUMIFS(G4448:G6462,K4448:K6462,"0",B4448:B6462,"5 1 2 4 6 12 31111 6 M59 20700 000132 0000R 00001 00246*")</f>
        <v>0</v>
      </c>
      <c r="H4447" s="83">
        <f t="shared" si="69"/>
        <v>16290.13</v>
      </c>
      <c r="I4447" s="83"/>
      <c r="K4447" s="54" t="s">
        <v>15</v>
      </c>
    </row>
    <row r="4448" spans="2:11" ht="33" x14ac:dyDescent="0.2">
      <c r="B4448" s="82" t="s">
        <v>7074</v>
      </c>
      <c r="C4448" s="82" t="s">
        <v>1051</v>
      </c>
      <c r="D4448" s="83">
        <f>SUMIFS(D4449:D6462,K4449:K6462,"0",B4449:B6462,"5 1 2 4 6 12 31111 6 M59 20700 000132 0000R 00001 00246 015*")-SUMIFS(E4449:E6462,K4449:K6462,"0",B4449:B6462,"5 1 2 4 6 12 31111 6 M59 20700 000132 0000R 00001 00246 015*")</f>
        <v>0</v>
      </c>
      <c r="E4448" s="54"/>
      <c r="F4448" s="83">
        <f>SUMIFS(F4449:F6462,K4449:K6462,"0",B4449:B6462,"5 1 2 4 6 12 31111 6 M59 20700 000132 0000R 00001 00246 015*")</f>
        <v>16290.13</v>
      </c>
      <c r="G4448" s="83">
        <f>SUMIFS(G4449:G6462,K4449:K6462,"0",B4449:B6462,"5 1 2 4 6 12 31111 6 M59 20700 000132 0000R 00001 00246 015*")</f>
        <v>0</v>
      </c>
      <c r="H4448" s="83">
        <f t="shared" si="69"/>
        <v>16290.13</v>
      </c>
      <c r="I4448" s="83"/>
      <c r="K4448" s="54" t="s">
        <v>15</v>
      </c>
    </row>
    <row r="4449" spans="2:11" ht="33" x14ac:dyDescent="0.2">
      <c r="B4449" s="82" t="s">
        <v>7075</v>
      </c>
      <c r="C4449" s="82" t="s">
        <v>5830</v>
      </c>
      <c r="D4449" s="83">
        <f>SUMIFS(D4450:D6462,K4450:K6462,"0",B4450:B6462,"5 1 2 4 6 12 31111 6 M59 20700 000132 0000R 00001 00246 015 2112000*")-SUMIFS(E4450:E6462,K4450:K6462,"0",B4450:B6462,"5 1 2 4 6 12 31111 6 M59 20700 000132 0000R 00001 00246 015 2112000*")</f>
        <v>0</v>
      </c>
      <c r="E4449" s="54"/>
      <c r="F4449" s="83">
        <f>SUMIFS(F4450:F6462,K4450:K6462,"0",B4450:B6462,"5 1 2 4 6 12 31111 6 M59 20700 000132 0000R 00001 00246 015 2112000*")</f>
        <v>16290.13</v>
      </c>
      <c r="G4449" s="83">
        <f>SUMIFS(G4450:G6462,K4450:K6462,"0",B4450:B6462,"5 1 2 4 6 12 31111 6 M59 20700 000132 0000R 00001 00246 015 2112000*")</f>
        <v>0</v>
      </c>
      <c r="H4449" s="83">
        <f t="shared" si="69"/>
        <v>16290.13</v>
      </c>
      <c r="I4449" s="83"/>
      <c r="K4449" s="54" t="s">
        <v>15</v>
      </c>
    </row>
    <row r="4450" spans="2:11" ht="33" x14ac:dyDescent="0.2">
      <c r="B4450" s="82" t="s">
        <v>7076</v>
      </c>
      <c r="C4450" s="82" t="s">
        <v>660</v>
      </c>
      <c r="D4450" s="83">
        <f>SUMIFS(D4451:D6462,K4451:K6462,"0",B4451:B6462,"5 1 2 4 6 12 31111 6 M59 20700 000132 0000R 00001 00246 015 2112000 2024*")-SUMIFS(E4451:E6462,K4451:K6462,"0",B4451:B6462,"5 1 2 4 6 12 31111 6 M59 20700 000132 0000R 00001 00246 015 2112000 2024*")</f>
        <v>0</v>
      </c>
      <c r="E4450" s="54"/>
      <c r="F4450" s="83">
        <f>SUMIFS(F4451:F6462,K4451:K6462,"0",B4451:B6462,"5 1 2 4 6 12 31111 6 M59 20700 000132 0000R 00001 00246 015 2112000 2024*")</f>
        <v>16290.13</v>
      </c>
      <c r="G4450" s="83">
        <f>SUMIFS(G4451:G6462,K4451:K6462,"0",B4451:B6462,"5 1 2 4 6 12 31111 6 M59 20700 000132 0000R 00001 00246 015 2112000 2024*")</f>
        <v>0</v>
      </c>
      <c r="H4450" s="83">
        <f t="shared" si="69"/>
        <v>16290.13</v>
      </c>
      <c r="I4450" s="83"/>
      <c r="K4450" s="54" t="s">
        <v>15</v>
      </c>
    </row>
    <row r="4451" spans="2:11" ht="41.25" x14ac:dyDescent="0.2">
      <c r="B4451" s="82" t="s">
        <v>7077</v>
      </c>
      <c r="C4451" s="82" t="s">
        <v>662</v>
      </c>
      <c r="D4451" s="83">
        <f>SUMIFS(D4452:D6462,K4452:K6462,"0",B4452:B6462,"5 1 2 4 6 12 31111 6 M59 20700 000132 0000R 00001 00246 015 2112000 2024 CP1RM401*")-SUMIFS(E4452:E6462,K4452:K6462,"0",B4452:B6462,"5 1 2 4 6 12 31111 6 M59 20700 000132 0000R 00001 00246 015 2112000 2024 CP1RM401*")</f>
        <v>0</v>
      </c>
      <c r="E4451" s="54"/>
      <c r="F4451" s="83">
        <f>SUMIFS(F4452:F6462,K4452:K6462,"0",B4452:B6462,"5 1 2 4 6 12 31111 6 M59 20700 000132 0000R 00001 00246 015 2112000 2024 CP1RM401*")</f>
        <v>16290.13</v>
      </c>
      <c r="G4451" s="83">
        <f>SUMIFS(G4452:G6462,K4452:K6462,"0",B4452:B6462,"5 1 2 4 6 12 31111 6 M59 20700 000132 0000R 00001 00246 015 2112000 2024 CP1RM401*")</f>
        <v>0</v>
      </c>
      <c r="H4451" s="83">
        <f t="shared" si="69"/>
        <v>16290.13</v>
      </c>
      <c r="I4451" s="83"/>
      <c r="K4451" s="54" t="s">
        <v>15</v>
      </c>
    </row>
    <row r="4452" spans="2:11" ht="41.25" x14ac:dyDescent="0.2">
      <c r="B4452" s="82" t="s">
        <v>7078</v>
      </c>
      <c r="C4452" s="82" t="s">
        <v>282</v>
      </c>
      <c r="D4452" s="83">
        <f>SUMIFS(D4453:D6462,K4453:K6462,"0",B4453:B6462,"5 1 2 4 6 12 31111 6 M59 20700 000132 0000R 00001 00246 015 2112000 2024 CP1RM401 001*")-SUMIFS(E4453:E6462,K4453:K6462,"0",B4453:B6462,"5 1 2 4 6 12 31111 6 M59 20700 000132 0000R 00001 00246 015 2112000 2024 CP1RM401 001*")</f>
        <v>0</v>
      </c>
      <c r="E4452" s="54"/>
      <c r="F4452" s="83">
        <f>SUMIFS(F4453:F6462,K4453:K6462,"0",B4453:B6462,"5 1 2 4 6 12 31111 6 M59 20700 000132 0000R 00001 00246 015 2112000 2024 CP1RM401 001*")</f>
        <v>16290.13</v>
      </c>
      <c r="G4452" s="83">
        <f>SUMIFS(G4453:G6462,K4453:K6462,"0",B4453:B6462,"5 1 2 4 6 12 31111 6 M59 20700 000132 0000R 00001 00246 015 2112000 2024 CP1RM401 001*")</f>
        <v>0</v>
      </c>
      <c r="H4452" s="83">
        <f t="shared" si="69"/>
        <v>16290.13</v>
      </c>
      <c r="I4452" s="83"/>
      <c r="K4452" s="54" t="s">
        <v>15</v>
      </c>
    </row>
    <row r="4453" spans="2:11" ht="33" x14ac:dyDescent="0.2">
      <c r="B4453" s="84" t="s">
        <v>7079</v>
      </c>
      <c r="C4453" s="84" t="s">
        <v>7040</v>
      </c>
      <c r="D4453" s="85">
        <v>0</v>
      </c>
      <c r="E4453" s="85"/>
      <c r="F4453" s="85">
        <v>16290.13</v>
      </c>
      <c r="G4453" s="85">
        <v>0</v>
      </c>
      <c r="H4453" s="85">
        <f t="shared" si="69"/>
        <v>16290.13</v>
      </c>
      <c r="I4453" s="85"/>
      <c r="K4453" s="54" t="s">
        <v>38</v>
      </c>
    </row>
    <row r="4454" spans="2:11" ht="16.5" x14ac:dyDescent="0.2">
      <c r="B4454" s="82" t="s">
        <v>7091</v>
      </c>
      <c r="C4454" s="82" t="s">
        <v>3281</v>
      </c>
      <c r="D4454" s="83">
        <f>SUMIFS(D4455:D6462,K4455:K6462,"0",B4455:B6462,"5 1 2 4 6 12 31111 6 M59 50000*")-SUMIFS(E4455:E6462,K4455:K6462,"0",B4455:B6462,"5 1 2 4 6 12 31111 6 M59 50000*")</f>
        <v>0</v>
      </c>
      <c r="E4454" s="54"/>
      <c r="F4454" s="83">
        <f>SUMIFS(F4455:F6462,K4455:K6462,"0",B4455:B6462,"5 1 2 4 6 12 31111 6 M59 50000*")</f>
        <v>6797.36</v>
      </c>
      <c r="G4454" s="83">
        <f>SUMIFS(G4455:G6462,K4455:K6462,"0",B4455:B6462,"5 1 2 4 6 12 31111 6 M59 50000*")</f>
        <v>0</v>
      </c>
      <c r="H4454" s="83">
        <f t="shared" si="69"/>
        <v>6797.36</v>
      </c>
      <c r="I4454" s="83"/>
      <c r="K4454" s="54" t="s">
        <v>15</v>
      </c>
    </row>
    <row r="4455" spans="2:11" ht="16.5" x14ac:dyDescent="0.2">
      <c r="B4455" s="82" t="s">
        <v>7092</v>
      </c>
      <c r="C4455" s="82" t="s">
        <v>3283</v>
      </c>
      <c r="D4455" s="83">
        <f>SUMIFS(D4456:D6462,K4456:K6462,"0",B4456:B6462,"5 1 2 4 6 12 31111 6 M59 50000 000223*")-SUMIFS(E4456:E6462,K4456:K6462,"0",B4456:B6462,"5 1 2 4 6 12 31111 6 M59 50000 000223*")</f>
        <v>0</v>
      </c>
      <c r="E4455" s="54"/>
      <c r="F4455" s="83">
        <f>SUMIFS(F4456:F6462,K4456:K6462,"0",B4456:B6462,"5 1 2 4 6 12 31111 6 M59 50000 000223*")</f>
        <v>6797.36</v>
      </c>
      <c r="G4455" s="83">
        <f>SUMIFS(G4456:G6462,K4456:K6462,"0",B4456:B6462,"5 1 2 4 6 12 31111 6 M59 50000 000223*")</f>
        <v>0</v>
      </c>
      <c r="H4455" s="83">
        <f t="shared" si="69"/>
        <v>6797.36</v>
      </c>
      <c r="I4455" s="83"/>
      <c r="K4455" s="54" t="s">
        <v>15</v>
      </c>
    </row>
    <row r="4456" spans="2:11" ht="24.75" x14ac:dyDescent="0.2">
      <c r="B4456" s="82" t="s">
        <v>7093</v>
      </c>
      <c r="C4456" s="82" t="s">
        <v>1065</v>
      </c>
      <c r="D4456" s="83">
        <f>SUMIFS(D4457:D6462,K4457:K6462,"0",B4457:B6462,"5 1 2 4 6 12 31111 6 M59 50000 000223 0000E*")-SUMIFS(E4457:E6462,K4457:K6462,"0",B4457:B6462,"5 1 2 4 6 12 31111 6 M59 50000 000223 0000E*")</f>
        <v>0</v>
      </c>
      <c r="E4456" s="54"/>
      <c r="F4456" s="83">
        <f>SUMIFS(F4457:F6462,K4457:K6462,"0",B4457:B6462,"5 1 2 4 6 12 31111 6 M59 50000 000223 0000E*")</f>
        <v>6797.36</v>
      </c>
      <c r="G4456" s="83">
        <f>SUMIFS(G4457:G6462,K4457:K6462,"0",B4457:B6462,"5 1 2 4 6 12 31111 6 M59 50000 000223 0000E*")</f>
        <v>0</v>
      </c>
      <c r="H4456" s="83">
        <f t="shared" si="69"/>
        <v>6797.36</v>
      </c>
      <c r="I4456" s="83"/>
      <c r="K4456" s="54" t="s">
        <v>15</v>
      </c>
    </row>
    <row r="4457" spans="2:11" ht="24.75" x14ac:dyDescent="0.2">
      <c r="B4457" s="82" t="s">
        <v>7094</v>
      </c>
      <c r="C4457" s="82" t="s">
        <v>282</v>
      </c>
      <c r="D4457" s="83">
        <f>SUMIFS(D4458:D6462,K4458:K6462,"0",B4458:B6462,"5 1 2 4 6 12 31111 6 M59 50000 000223 0000E 00001*")-SUMIFS(E4458:E6462,K4458:K6462,"0",B4458:B6462,"5 1 2 4 6 12 31111 6 M59 50000 000223 0000E 00001*")</f>
        <v>0</v>
      </c>
      <c r="E4457" s="54"/>
      <c r="F4457" s="83">
        <f>SUMIFS(F4458:F6462,K4458:K6462,"0",B4458:B6462,"5 1 2 4 6 12 31111 6 M59 50000 000223 0000E 00001*")</f>
        <v>6797.36</v>
      </c>
      <c r="G4457" s="83">
        <f>SUMIFS(G4458:G6462,K4458:K6462,"0",B4458:B6462,"5 1 2 4 6 12 31111 6 M59 50000 000223 0000E 00001*")</f>
        <v>0</v>
      </c>
      <c r="H4457" s="83">
        <f t="shared" si="69"/>
        <v>6797.36</v>
      </c>
      <c r="I4457" s="83"/>
      <c r="K4457" s="54" t="s">
        <v>15</v>
      </c>
    </row>
    <row r="4458" spans="2:11" ht="24.75" x14ac:dyDescent="0.2">
      <c r="B4458" s="82" t="s">
        <v>7095</v>
      </c>
      <c r="C4458" s="82" t="s">
        <v>7050</v>
      </c>
      <c r="D4458" s="83">
        <f>SUMIFS(D4459:D6462,K4459:K6462,"0",B4459:B6462,"5 1 2 4 6 12 31111 6 M59 50000 000223 0000E 00001 00246*")-SUMIFS(E4459:E6462,K4459:K6462,"0",B4459:B6462,"5 1 2 4 6 12 31111 6 M59 50000 000223 0000E 00001 00246*")</f>
        <v>0</v>
      </c>
      <c r="E4458" s="54"/>
      <c r="F4458" s="83">
        <f>SUMIFS(F4459:F6462,K4459:K6462,"0",B4459:B6462,"5 1 2 4 6 12 31111 6 M59 50000 000223 0000E 00001 00246*")</f>
        <v>6797.36</v>
      </c>
      <c r="G4458" s="83">
        <f>SUMIFS(G4459:G6462,K4459:K6462,"0",B4459:B6462,"5 1 2 4 6 12 31111 6 M59 50000 000223 0000E 00001 00246*")</f>
        <v>0</v>
      </c>
      <c r="H4458" s="83">
        <f t="shared" si="69"/>
        <v>6797.36</v>
      </c>
      <c r="I4458" s="83"/>
      <c r="K4458" s="54" t="s">
        <v>15</v>
      </c>
    </row>
    <row r="4459" spans="2:11" ht="33" x14ac:dyDescent="0.2">
      <c r="B4459" s="82" t="s">
        <v>7096</v>
      </c>
      <c r="C4459" s="82" t="s">
        <v>1051</v>
      </c>
      <c r="D4459" s="83">
        <f>SUMIFS(D4460:D6462,K4460:K6462,"0",B4460:B6462,"5 1 2 4 6 12 31111 6 M59 50000 000223 0000E 00001 00246 015*")-SUMIFS(E4460:E6462,K4460:K6462,"0",B4460:B6462,"5 1 2 4 6 12 31111 6 M59 50000 000223 0000E 00001 00246 015*")</f>
        <v>0</v>
      </c>
      <c r="E4459" s="54"/>
      <c r="F4459" s="83">
        <f>SUMIFS(F4460:F6462,K4460:K6462,"0",B4460:B6462,"5 1 2 4 6 12 31111 6 M59 50000 000223 0000E 00001 00246 015*")</f>
        <v>6797.36</v>
      </c>
      <c r="G4459" s="83">
        <f>SUMIFS(G4460:G6462,K4460:K6462,"0",B4460:B6462,"5 1 2 4 6 12 31111 6 M59 50000 000223 0000E 00001 00246 015*")</f>
        <v>0</v>
      </c>
      <c r="H4459" s="83">
        <f t="shared" ref="H4459:H4522" si="70">D4459 + F4459 - G4459</f>
        <v>6797.36</v>
      </c>
      <c r="I4459" s="83"/>
      <c r="K4459" s="54" t="s">
        <v>15</v>
      </c>
    </row>
    <row r="4460" spans="2:11" ht="33" x14ac:dyDescent="0.2">
      <c r="B4460" s="82" t="s">
        <v>7097</v>
      </c>
      <c r="C4460" s="82" t="s">
        <v>5830</v>
      </c>
      <c r="D4460" s="83">
        <f>SUMIFS(D4461:D6462,K4461:K6462,"0",B4461:B6462,"5 1 2 4 6 12 31111 6 M59 50000 000223 0000E 00001 00246 015 2112000*")-SUMIFS(E4461:E6462,K4461:K6462,"0",B4461:B6462,"5 1 2 4 6 12 31111 6 M59 50000 000223 0000E 00001 00246 015 2112000*")</f>
        <v>0</v>
      </c>
      <c r="E4460" s="54"/>
      <c r="F4460" s="83">
        <f>SUMIFS(F4461:F6462,K4461:K6462,"0",B4461:B6462,"5 1 2 4 6 12 31111 6 M59 50000 000223 0000E 00001 00246 015 2112000*")</f>
        <v>6797.36</v>
      </c>
      <c r="G4460" s="83">
        <f>SUMIFS(G4461:G6462,K4461:K6462,"0",B4461:B6462,"5 1 2 4 6 12 31111 6 M59 50000 000223 0000E 00001 00246 015 2112000*")</f>
        <v>0</v>
      </c>
      <c r="H4460" s="83">
        <f t="shared" si="70"/>
        <v>6797.36</v>
      </c>
      <c r="I4460" s="83"/>
      <c r="K4460" s="54" t="s">
        <v>15</v>
      </c>
    </row>
    <row r="4461" spans="2:11" ht="33" x14ac:dyDescent="0.2">
      <c r="B4461" s="82" t="s">
        <v>7098</v>
      </c>
      <c r="C4461" s="82" t="s">
        <v>660</v>
      </c>
      <c r="D4461" s="83">
        <f>SUMIFS(D4462:D6462,K4462:K6462,"0",B4462:B6462,"5 1 2 4 6 12 31111 6 M59 50000 000223 0000E 00001 00246 015 2112000 2024*")-SUMIFS(E4462:E6462,K4462:K6462,"0",B4462:B6462,"5 1 2 4 6 12 31111 6 M59 50000 000223 0000E 00001 00246 015 2112000 2024*")</f>
        <v>0</v>
      </c>
      <c r="E4461" s="54"/>
      <c r="F4461" s="83">
        <f>SUMIFS(F4462:F6462,K4462:K6462,"0",B4462:B6462,"5 1 2 4 6 12 31111 6 M59 50000 000223 0000E 00001 00246 015 2112000 2024*")</f>
        <v>6797.36</v>
      </c>
      <c r="G4461" s="83">
        <f>SUMIFS(G4462:G6462,K4462:K6462,"0",B4462:B6462,"5 1 2 4 6 12 31111 6 M59 50000 000223 0000E 00001 00246 015 2112000 2024*")</f>
        <v>0</v>
      </c>
      <c r="H4461" s="83">
        <f t="shared" si="70"/>
        <v>6797.36</v>
      </c>
      <c r="I4461" s="83"/>
      <c r="K4461" s="54" t="s">
        <v>15</v>
      </c>
    </row>
    <row r="4462" spans="2:11" ht="41.25" x14ac:dyDescent="0.2">
      <c r="B4462" s="82" t="s">
        <v>7099</v>
      </c>
      <c r="C4462" s="82" t="s">
        <v>662</v>
      </c>
      <c r="D4462" s="83">
        <f>SUMIFS(D4463:D6462,K4463:K6462,"0",B4463:B6462,"5 1 2 4 6 12 31111 6 M59 50000 000223 0000E 00001 00246 015 2112000 2024 CP1DA424*")-SUMIFS(E4463:E6462,K4463:K6462,"0",B4463:B6462,"5 1 2 4 6 12 31111 6 M59 50000 000223 0000E 00001 00246 015 2112000 2024 CP1DA424*")</f>
        <v>0</v>
      </c>
      <c r="E4462" s="54"/>
      <c r="F4462" s="83">
        <f>SUMIFS(F4463:F6462,K4463:K6462,"0",B4463:B6462,"5 1 2 4 6 12 31111 6 M59 50000 000223 0000E 00001 00246 015 2112000 2024 CP1DA424*")</f>
        <v>6797.36</v>
      </c>
      <c r="G4462" s="83">
        <f>SUMIFS(G4463:G6462,K4463:K6462,"0",B4463:B6462,"5 1 2 4 6 12 31111 6 M59 50000 000223 0000E 00001 00246 015 2112000 2024 CP1DA424*")</f>
        <v>0</v>
      </c>
      <c r="H4462" s="83">
        <f t="shared" si="70"/>
        <v>6797.36</v>
      </c>
      <c r="I4462" s="83"/>
      <c r="K4462" s="54" t="s">
        <v>15</v>
      </c>
    </row>
    <row r="4463" spans="2:11" ht="41.25" x14ac:dyDescent="0.2">
      <c r="B4463" s="82" t="s">
        <v>7100</v>
      </c>
      <c r="C4463" s="82" t="s">
        <v>282</v>
      </c>
      <c r="D4463" s="83">
        <f>SUMIFS(D4464:D6462,K4464:K6462,"0",B4464:B6462,"5 1 2 4 6 12 31111 6 M59 50000 000223 0000E 00001 00246 015 2112000 2024 CP1DA424 001*")-SUMIFS(E4464:E6462,K4464:K6462,"0",B4464:B6462,"5 1 2 4 6 12 31111 6 M59 50000 000223 0000E 00001 00246 015 2112000 2024 CP1DA424 001*")</f>
        <v>0</v>
      </c>
      <c r="E4463" s="54"/>
      <c r="F4463" s="83">
        <f>SUMIFS(F4464:F6462,K4464:K6462,"0",B4464:B6462,"5 1 2 4 6 12 31111 6 M59 50000 000223 0000E 00001 00246 015 2112000 2024 CP1DA424 001*")</f>
        <v>6797.36</v>
      </c>
      <c r="G4463" s="83">
        <f>SUMIFS(G4464:G6462,K4464:K6462,"0",B4464:B6462,"5 1 2 4 6 12 31111 6 M59 50000 000223 0000E 00001 00246 015 2112000 2024 CP1DA424 001*")</f>
        <v>0</v>
      </c>
      <c r="H4463" s="83">
        <f t="shared" si="70"/>
        <v>6797.36</v>
      </c>
      <c r="I4463" s="83"/>
      <c r="K4463" s="54" t="s">
        <v>15</v>
      </c>
    </row>
    <row r="4464" spans="2:11" ht="41.25" x14ac:dyDescent="0.2">
      <c r="B4464" s="84" t="s">
        <v>7101</v>
      </c>
      <c r="C4464" s="84" t="s">
        <v>7050</v>
      </c>
      <c r="D4464" s="85">
        <v>0</v>
      </c>
      <c r="E4464" s="85"/>
      <c r="F4464" s="85">
        <v>6797.36</v>
      </c>
      <c r="G4464" s="85">
        <v>0</v>
      </c>
      <c r="H4464" s="85">
        <f t="shared" si="70"/>
        <v>6797.36</v>
      </c>
      <c r="I4464" s="85"/>
      <c r="K4464" s="54" t="s">
        <v>38</v>
      </c>
    </row>
    <row r="4465" spans="2:11" ht="16.5" x14ac:dyDescent="0.2">
      <c r="B4465" s="82" t="s">
        <v>7102</v>
      </c>
      <c r="C4465" s="82" t="s">
        <v>1269</v>
      </c>
      <c r="D4465" s="83">
        <f>SUMIFS(D4466:D6462,K4466:K6462,"0",B4466:B6462,"5 1 2 4 6 12 31111 6 M59 60100*")-SUMIFS(E4466:E6462,K4466:K6462,"0",B4466:B6462,"5 1 2 4 6 12 31111 6 M59 60100*")</f>
        <v>0</v>
      </c>
      <c r="E4465" s="54"/>
      <c r="F4465" s="83">
        <f>SUMIFS(F4466:F6462,K4466:K6462,"0",B4466:B6462,"5 1 2 4 6 12 31111 6 M59 60100*")</f>
        <v>659.98</v>
      </c>
      <c r="G4465" s="83">
        <f>SUMIFS(G4466:G6462,K4466:K6462,"0",B4466:B6462,"5 1 2 4 6 12 31111 6 M59 60100*")</f>
        <v>0</v>
      </c>
      <c r="H4465" s="83">
        <f t="shared" si="70"/>
        <v>659.98</v>
      </c>
      <c r="I4465" s="83"/>
      <c r="K4465" s="54" t="s">
        <v>15</v>
      </c>
    </row>
    <row r="4466" spans="2:11" ht="16.5" x14ac:dyDescent="0.2">
      <c r="B4466" s="82" t="s">
        <v>7103</v>
      </c>
      <c r="C4466" s="82" t="s">
        <v>648</v>
      </c>
      <c r="D4466" s="83">
        <f>SUMIFS(D4467:D6462,K4467:K6462,"0",B4467:B6462,"5 1 2 4 6 12 31111 6 M59 60100 000132*")-SUMIFS(E4467:E6462,K4467:K6462,"0",B4467:B6462,"5 1 2 4 6 12 31111 6 M59 60100 000132*")</f>
        <v>0</v>
      </c>
      <c r="E4466" s="54"/>
      <c r="F4466" s="83">
        <f>SUMIFS(F4467:F6462,K4467:K6462,"0",B4467:B6462,"5 1 2 4 6 12 31111 6 M59 60100 000132*")</f>
        <v>659.98</v>
      </c>
      <c r="G4466" s="83">
        <f>SUMIFS(G4467:G6462,K4467:K6462,"0",B4467:B6462,"5 1 2 4 6 12 31111 6 M59 60100 000132*")</f>
        <v>0</v>
      </c>
      <c r="H4466" s="83">
        <f t="shared" si="70"/>
        <v>659.98</v>
      </c>
      <c r="I4466" s="83"/>
      <c r="K4466" s="54" t="s">
        <v>15</v>
      </c>
    </row>
    <row r="4467" spans="2:11" ht="24.75" x14ac:dyDescent="0.2">
      <c r="B4467" s="82" t="s">
        <v>7104</v>
      </c>
      <c r="C4467" s="82" t="s">
        <v>650</v>
      </c>
      <c r="D4467" s="83">
        <f>SUMIFS(D4468:D6462,K4468:K6462,"0",B4468:B6462,"5 1 2 4 6 12 31111 6 M59 60100 000132 0000R*")-SUMIFS(E4468:E6462,K4468:K6462,"0",B4468:B6462,"5 1 2 4 6 12 31111 6 M59 60100 000132 0000R*")</f>
        <v>0</v>
      </c>
      <c r="E4467" s="54"/>
      <c r="F4467" s="83">
        <f>SUMIFS(F4468:F6462,K4468:K6462,"0",B4468:B6462,"5 1 2 4 6 12 31111 6 M59 60100 000132 0000R*")</f>
        <v>659.98</v>
      </c>
      <c r="G4467" s="83">
        <f>SUMIFS(G4468:G6462,K4468:K6462,"0",B4468:B6462,"5 1 2 4 6 12 31111 6 M59 60100 000132 0000R*")</f>
        <v>0</v>
      </c>
      <c r="H4467" s="83">
        <f t="shared" si="70"/>
        <v>659.98</v>
      </c>
      <c r="I4467" s="83"/>
      <c r="K4467" s="54" t="s">
        <v>15</v>
      </c>
    </row>
    <row r="4468" spans="2:11" ht="24.75" x14ac:dyDescent="0.2">
      <c r="B4468" s="82" t="s">
        <v>7105</v>
      </c>
      <c r="C4468" s="82" t="s">
        <v>282</v>
      </c>
      <c r="D4468" s="83">
        <f>SUMIFS(D4469:D6462,K4469:K6462,"0",B4469:B6462,"5 1 2 4 6 12 31111 6 M59 60100 000132 0000R 00001*")-SUMIFS(E4469:E6462,K4469:K6462,"0",B4469:B6462,"5 1 2 4 6 12 31111 6 M59 60100 000132 0000R 00001*")</f>
        <v>0</v>
      </c>
      <c r="E4468" s="54"/>
      <c r="F4468" s="83">
        <f>SUMIFS(F4469:F6462,K4469:K6462,"0",B4469:B6462,"5 1 2 4 6 12 31111 6 M59 60100 000132 0000R 00001*")</f>
        <v>659.98</v>
      </c>
      <c r="G4468" s="83">
        <f>SUMIFS(G4469:G6462,K4469:K6462,"0",B4469:B6462,"5 1 2 4 6 12 31111 6 M59 60100 000132 0000R 00001*")</f>
        <v>0</v>
      </c>
      <c r="H4468" s="83">
        <f t="shared" si="70"/>
        <v>659.98</v>
      </c>
      <c r="I4468" s="83"/>
      <c r="K4468" s="54" t="s">
        <v>15</v>
      </c>
    </row>
    <row r="4469" spans="2:11" ht="24.75" x14ac:dyDescent="0.2">
      <c r="B4469" s="82" t="s">
        <v>7106</v>
      </c>
      <c r="C4469" s="82" t="s">
        <v>7050</v>
      </c>
      <c r="D4469" s="83">
        <f>SUMIFS(D4470:D6462,K4470:K6462,"0",B4470:B6462,"5 1 2 4 6 12 31111 6 M59 60100 000132 0000R 00001 00246*")-SUMIFS(E4470:E6462,K4470:K6462,"0",B4470:B6462,"5 1 2 4 6 12 31111 6 M59 60100 000132 0000R 00001 00246*")</f>
        <v>0</v>
      </c>
      <c r="E4469" s="54"/>
      <c r="F4469" s="83">
        <f>SUMIFS(F4470:F6462,K4470:K6462,"0",B4470:B6462,"5 1 2 4 6 12 31111 6 M59 60100 000132 0000R 00001 00246*")</f>
        <v>659.98</v>
      </c>
      <c r="G4469" s="83">
        <f>SUMIFS(G4470:G6462,K4470:K6462,"0",B4470:B6462,"5 1 2 4 6 12 31111 6 M59 60100 000132 0000R 00001 00246*")</f>
        <v>0</v>
      </c>
      <c r="H4469" s="83">
        <f t="shared" si="70"/>
        <v>659.98</v>
      </c>
      <c r="I4469" s="83"/>
      <c r="K4469" s="54" t="s">
        <v>15</v>
      </c>
    </row>
    <row r="4470" spans="2:11" ht="33" x14ac:dyDescent="0.2">
      <c r="B4470" s="82" t="s">
        <v>7107</v>
      </c>
      <c r="C4470" s="82" t="s">
        <v>1051</v>
      </c>
      <c r="D4470" s="83">
        <f>SUMIFS(D4471:D6462,K4471:K6462,"0",B4471:B6462,"5 1 2 4 6 12 31111 6 M59 60100 000132 0000R 00001 00246 015*")-SUMIFS(E4471:E6462,K4471:K6462,"0",B4471:B6462,"5 1 2 4 6 12 31111 6 M59 60100 000132 0000R 00001 00246 015*")</f>
        <v>0</v>
      </c>
      <c r="E4470" s="54"/>
      <c r="F4470" s="83">
        <f>SUMIFS(F4471:F6462,K4471:K6462,"0",B4471:B6462,"5 1 2 4 6 12 31111 6 M59 60100 000132 0000R 00001 00246 015*")</f>
        <v>659.98</v>
      </c>
      <c r="G4470" s="83">
        <f>SUMIFS(G4471:G6462,K4471:K6462,"0",B4471:B6462,"5 1 2 4 6 12 31111 6 M59 60100 000132 0000R 00001 00246 015*")</f>
        <v>0</v>
      </c>
      <c r="H4470" s="83">
        <f t="shared" si="70"/>
        <v>659.98</v>
      </c>
      <c r="I4470" s="83"/>
      <c r="K4470" s="54" t="s">
        <v>15</v>
      </c>
    </row>
    <row r="4471" spans="2:11" ht="33" x14ac:dyDescent="0.2">
      <c r="B4471" s="82" t="s">
        <v>7108</v>
      </c>
      <c r="C4471" s="82" t="s">
        <v>5830</v>
      </c>
      <c r="D4471" s="83">
        <f>SUMIFS(D4472:D6462,K4472:K6462,"0",B4472:B6462,"5 1 2 4 6 12 31111 6 M59 60100 000132 0000R 00001 00246 015 2112000*")-SUMIFS(E4472:E6462,K4472:K6462,"0",B4472:B6462,"5 1 2 4 6 12 31111 6 M59 60100 000132 0000R 00001 00246 015 2112000*")</f>
        <v>0</v>
      </c>
      <c r="E4471" s="54"/>
      <c r="F4471" s="83">
        <f>SUMIFS(F4472:F6462,K4472:K6462,"0",B4472:B6462,"5 1 2 4 6 12 31111 6 M59 60100 000132 0000R 00001 00246 015 2112000*")</f>
        <v>659.98</v>
      </c>
      <c r="G4471" s="83">
        <f>SUMIFS(G4472:G6462,K4472:K6462,"0",B4472:B6462,"5 1 2 4 6 12 31111 6 M59 60100 000132 0000R 00001 00246 015 2112000*")</f>
        <v>0</v>
      </c>
      <c r="H4471" s="83">
        <f t="shared" si="70"/>
        <v>659.98</v>
      </c>
      <c r="I4471" s="83"/>
      <c r="K4471" s="54" t="s">
        <v>15</v>
      </c>
    </row>
    <row r="4472" spans="2:11" ht="33" x14ac:dyDescent="0.2">
      <c r="B4472" s="82" t="s">
        <v>7109</v>
      </c>
      <c r="C4472" s="82" t="s">
        <v>660</v>
      </c>
      <c r="D4472" s="83">
        <f>SUMIFS(D4473:D6462,K4473:K6462,"0",B4473:B6462,"5 1 2 4 6 12 31111 6 M59 60100 000132 0000R 00001 00246 015 2112000 2024*")-SUMIFS(E4473:E6462,K4473:K6462,"0",B4473:B6462,"5 1 2 4 6 12 31111 6 M59 60100 000132 0000R 00001 00246 015 2112000 2024*")</f>
        <v>0</v>
      </c>
      <c r="E4472" s="54"/>
      <c r="F4472" s="83">
        <f>SUMIFS(F4473:F6462,K4473:K6462,"0",B4473:B6462,"5 1 2 4 6 12 31111 6 M59 60100 000132 0000R 00001 00246 015 2112000 2024*")</f>
        <v>659.98</v>
      </c>
      <c r="G4472" s="83">
        <f>SUMIFS(G4473:G6462,K4473:K6462,"0",B4473:B6462,"5 1 2 4 6 12 31111 6 M59 60100 000132 0000R 00001 00246 015 2112000 2024*")</f>
        <v>0</v>
      </c>
      <c r="H4472" s="83">
        <f t="shared" si="70"/>
        <v>659.98</v>
      </c>
      <c r="I4472" s="83"/>
      <c r="K4472" s="54" t="s">
        <v>15</v>
      </c>
    </row>
    <row r="4473" spans="2:11" ht="41.25" x14ac:dyDescent="0.2">
      <c r="B4473" s="82" t="s">
        <v>7110</v>
      </c>
      <c r="C4473" s="82" t="s">
        <v>1056</v>
      </c>
      <c r="D4473" s="83">
        <f>SUMIFS(D4474:D6462,K4474:K6462,"0",B4474:B6462,"5 1 2 4 6 12 31111 6 M59 60100 000132 0000R 00001 00246 015 2112000 2024 CP1DM394*")-SUMIFS(E4474:E6462,K4474:K6462,"0",B4474:B6462,"5 1 2 4 6 12 31111 6 M59 60100 000132 0000R 00001 00246 015 2112000 2024 CP1DM394*")</f>
        <v>0</v>
      </c>
      <c r="E4473" s="54"/>
      <c r="F4473" s="83">
        <f>SUMIFS(F4474:F6462,K4474:K6462,"0",B4474:B6462,"5 1 2 4 6 12 31111 6 M59 60100 000132 0000R 00001 00246 015 2112000 2024 CP1DM394*")</f>
        <v>659.98</v>
      </c>
      <c r="G4473" s="83">
        <f>SUMIFS(G4474:G6462,K4474:K6462,"0",B4474:B6462,"5 1 2 4 6 12 31111 6 M59 60100 000132 0000R 00001 00246 015 2112000 2024 CP1DM394*")</f>
        <v>0</v>
      </c>
      <c r="H4473" s="83">
        <f t="shared" si="70"/>
        <v>659.98</v>
      </c>
      <c r="I4473" s="83"/>
      <c r="K4473" s="54" t="s">
        <v>15</v>
      </c>
    </row>
    <row r="4474" spans="2:11" ht="41.25" x14ac:dyDescent="0.2">
      <c r="B4474" s="82" t="s">
        <v>7111</v>
      </c>
      <c r="C4474" s="82" t="s">
        <v>282</v>
      </c>
      <c r="D4474" s="83">
        <f>SUMIFS(D4475:D6462,K4475:K6462,"0",B4475:B6462,"5 1 2 4 6 12 31111 6 M59 60100 000132 0000R 00001 00246 015 2112000 2024 CP1DM394 001*")-SUMIFS(E4475:E6462,K4475:K6462,"0",B4475:B6462,"5 1 2 4 6 12 31111 6 M59 60100 000132 0000R 00001 00246 015 2112000 2024 CP1DM394 001*")</f>
        <v>0</v>
      </c>
      <c r="E4474" s="54"/>
      <c r="F4474" s="83">
        <f>SUMIFS(F4475:F6462,K4475:K6462,"0",B4475:B6462,"5 1 2 4 6 12 31111 6 M59 60100 000132 0000R 00001 00246 015 2112000 2024 CP1DM394 001*")</f>
        <v>659.98</v>
      </c>
      <c r="G4474" s="83">
        <f>SUMIFS(G4475:G6462,K4475:K6462,"0",B4475:B6462,"5 1 2 4 6 12 31111 6 M59 60100 000132 0000R 00001 00246 015 2112000 2024 CP1DM394 001*")</f>
        <v>0</v>
      </c>
      <c r="H4474" s="83">
        <f t="shared" si="70"/>
        <v>659.98</v>
      </c>
      <c r="I4474" s="83"/>
      <c r="K4474" s="54" t="s">
        <v>15</v>
      </c>
    </row>
    <row r="4475" spans="2:11" ht="33" x14ac:dyDescent="0.2">
      <c r="B4475" s="84" t="s">
        <v>7112</v>
      </c>
      <c r="C4475" s="84" t="s">
        <v>7050</v>
      </c>
      <c r="D4475" s="85">
        <v>0</v>
      </c>
      <c r="E4475" s="85"/>
      <c r="F4475" s="85">
        <v>659.98</v>
      </c>
      <c r="G4475" s="85">
        <v>0</v>
      </c>
      <c r="H4475" s="85">
        <f t="shared" si="70"/>
        <v>659.98</v>
      </c>
      <c r="I4475" s="85"/>
      <c r="K4475" s="54" t="s">
        <v>38</v>
      </c>
    </row>
    <row r="4476" spans="2:11" ht="16.5" x14ac:dyDescent="0.2">
      <c r="B4476" s="82" t="s">
        <v>7113</v>
      </c>
      <c r="C4476" s="82" t="s">
        <v>3693</v>
      </c>
      <c r="D4476" s="83">
        <f>SUMIFS(D4477:D6462,K4477:K6462,"0",B4477:B6462,"5 1 2 4 6 12 31111 6 M59 96100*")-SUMIFS(E4477:E6462,K4477:K6462,"0",B4477:B6462,"5 1 2 4 6 12 31111 6 M59 96100*")</f>
        <v>0</v>
      </c>
      <c r="E4476" s="54"/>
      <c r="F4476" s="83">
        <f>SUMIFS(F4477:F6462,K4477:K6462,"0",B4477:B6462,"5 1 2 4 6 12 31111 6 M59 96100*")</f>
        <v>1888.45</v>
      </c>
      <c r="G4476" s="83">
        <f>SUMIFS(G4477:G6462,K4477:K6462,"0",B4477:B6462,"5 1 2 4 6 12 31111 6 M59 96100*")</f>
        <v>0</v>
      </c>
      <c r="H4476" s="83">
        <f t="shared" si="70"/>
        <v>1888.45</v>
      </c>
      <c r="I4476" s="83"/>
      <c r="K4476" s="54" t="s">
        <v>15</v>
      </c>
    </row>
    <row r="4477" spans="2:11" ht="16.5" x14ac:dyDescent="0.2">
      <c r="B4477" s="82" t="s">
        <v>7114</v>
      </c>
      <c r="C4477" s="82" t="s">
        <v>1310</v>
      </c>
      <c r="D4477" s="83">
        <f>SUMIFS(D4478:D6462,K4478:K6462,"0",B4478:B6462,"5 1 2 4 6 12 31111 6 M59 96100 000211*")-SUMIFS(E4478:E6462,K4478:K6462,"0",B4478:B6462,"5 1 2 4 6 12 31111 6 M59 96100 000211*")</f>
        <v>0</v>
      </c>
      <c r="E4477" s="54"/>
      <c r="F4477" s="83">
        <f>SUMIFS(F4478:F6462,K4478:K6462,"0",B4478:B6462,"5 1 2 4 6 12 31111 6 M59 96100 000211*")</f>
        <v>1888.45</v>
      </c>
      <c r="G4477" s="83">
        <f>SUMIFS(G4478:G6462,K4478:K6462,"0",B4478:B6462,"5 1 2 4 6 12 31111 6 M59 96100 000211*")</f>
        <v>0</v>
      </c>
      <c r="H4477" s="83">
        <f t="shared" si="70"/>
        <v>1888.45</v>
      </c>
      <c r="I4477" s="83"/>
      <c r="K4477" s="54" t="s">
        <v>15</v>
      </c>
    </row>
    <row r="4478" spans="2:11" ht="24.75" x14ac:dyDescent="0.2">
      <c r="B4478" s="82" t="s">
        <v>7115</v>
      </c>
      <c r="C4478" s="82" t="s">
        <v>3696</v>
      </c>
      <c r="D4478" s="83">
        <f>SUMIFS(D4479:D6462,K4479:K6462,"0",B4479:B6462,"5 1 2 4 6 12 31111 6 M59 96100 000211 0000U*")-SUMIFS(E4479:E6462,K4479:K6462,"0",B4479:B6462,"5 1 2 4 6 12 31111 6 M59 96100 000211 0000U*")</f>
        <v>0</v>
      </c>
      <c r="E4478" s="54"/>
      <c r="F4478" s="83">
        <f>SUMIFS(F4479:F6462,K4479:K6462,"0",B4479:B6462,"5 1 2 4 6 12 31111 6 M59 96100 000211 0000U*")</f>
        <v>1888.45</v>
      </c>
      <c r="G4478" s="83">
        <f>SUMIFS(G4479:G6462,K4479:K6462,"0",B4479:B6462,"5 1 2 4 6 12 31111 6 M59 96100 000211 0000U*")</f>
        <v>0</v>
      </c>
      <c r="H4478" s="83">
        <f t="shared" si="70"/>
        <v>1888.45</v>
      </c>
      <c r="I4478" s="83"/>
      <c r="K4478" s="54" t="s">
        <v>15</v>
      </c>
    </row>
    <row r="4479" spans="2:11" ht="24.75" x14ac:dyDescent="0.2">
      <c r="B4479" s="82" t="s">
        <v>7116</v>
      </c>
      <c r="C4479" s="82" t="s">
        <v>282</v>
      </c>
      <c r="D4479" s="83">
        <f>SUMIFS(D4480:D6462,K4480:K6462,"0",B4480:B6462,"5 1 2 4 6 12 31111 6 M59 96100 000211 0000U 00001*")-SUMIFS(E4480:E6462,K4480:K6462,"0",B4480:B6462,"5 1 2 4 6 12 31111 6 M59 96100 000211 0000U 00001*")</f>
        <v>0</v>
      </c>
      <c r="E4479" s="54"/>
      <c r="F4479" s="83">
        <f>SUMIFS(F4480:F6462,K4480:K6462,"0",B4480:B6462,"5 1 2 4 6 12 31111 6 M59 96100 000211 0000U 00001*")</f>
        <v>1888.45</v>
      </c>
      <c r="G4479" s="83">
        <f>SUMIFS(G4480:G6462,K4480:K6462,"0",B4480:B6462,"5 1 2 4 6 12 31111 6 M59 96100 000211 0000U 00001*")</f>
        <v>0</v>
      </c>
      <c r="H4479" s="83">
        <f t="shared" si="70"/>
        <v>1888.45</v>
      </c>
      <c r="I4479" s="83"/>
      <c r="K4479" s="54" t="s">
        <v>15</v>
      </c>
    </row>
    <row r="4480" spans="2:11" ht="24.75" x14ac:dyDescent="0.2">
      <c r="B4480" s="82" t="s">
        <v>7117</v>
      </c>
      <c r="C4480" s="82" t="s">
        <v>7050</v>
      </c>
      <c r="D4480" s="83">
        <f>SUMIFS(D4481:D6462,K4481:K6462,"0",B4481:B6462,"5 1 2 4 6 12 31111 6 M59 96100 000211 0000U 00001 00246*")-SUMIFS(E4481:E6462,K4481:K6462,"0",B4481:B6462,"5 1 2 4 6 12 31111 6 M59 96100 000211 0000U 00001 00246*")</f>
        <v>0</v>
      </c>
      <c r="E4480" s="54"/>
      <c r="F4480" s="83">
        <f>SUMIFS(F4481:F6462,K4481:K6462,"0",B4481:B6462,"5 1 2 4 6 12 31111 6 M59 96100 000211 0000U 00001 00246*")</f>
        <v>1888.45</v>
      </c>
      <c r="G4480" s="83">
        <f>SUMIFS(G4481:G6462,K4481:K6462,"0",B4481:B6462,"5 1 2 4 6 12 31111 6 M59 96100 000211 0000U 00001 00246*")</f>
        <v>0</v>
      </c>
      <c r="H4480" s="83">
        <f t="shared" si="70"/>
        <v>1888.45</v>
      </c>
      <c r="I4480" s="83"/>
      <c r="K4480" s="54" t="s">
        <v>15</v>
      </c>
    </row>
    <row r="4481" spans="2:11" ht="33" x14ac:dyDescent="0.2">
      <c r="B4481" s="82" t="s">
        <v>7118</v>
      </c>
      <c r="C4481" s="82" t="s">
        <v>1051</v>
      </c>
      <c r="D4481" s="83">
        <f>SUMIFS(D4482:D6462,K4482:K6462,"0",B4482:B6462,"5 1 2 4 6 12 31111 6 M59 96100 000211 0000U 00001 00246 015*")-SUMIFS(E4482:E6462,K4482:K6462,"0",B4482:B6462,"5 1 2 4 6 12 31111 6 M59 96100 000211 0000U 00001 00246 015*")</f>
        <v>0</v>
      </c>
      <c r="E4481" s="54"/>
      <c r="F4481" s="83">
        <f>SUMIFS(F4482:F6462,K4482:K6462,"0",B4482:B6462,"5 1 2 4 6 12 31111 6 M59 96100 000211 0000U 00001 00246 015*")</f>
        <v>1888.45</v>
      </c>
      <c r="G4481" s="83">
        <f>SUMIFS(G4482:G6462,K4482:K6462,"0",B4482:B6462,"5 1 2 4 6 12 31111 6 M59 96100 000211 0000U 00001 00246 015*")</f>
        <v>0</v>
      </c>
      <c r="H4481" s="83">
        <f t="shared" si="70"/>
        <v>1888.45</v>
      </c>
      <c r="I4481" s="83"/>
      <c r="K4481" s="54" t="s">
        <v>15</v>
      </c>
    </row>
    <row r="4482" spans="2:11" ht="33" x14ac:dyDescent="0.2">
      <c r="B4482" s="82" t="s">
        <v>7119</v>
      </c>
      <c r="C4482" s="82" t="s">
        <v>5830</v>
      </c>
      <c r="D4482" s="83">
        <f>SUMIFS(D4483:D6462,K4483:K6462,"0",B4483:B6462,"5 1 2 4 6 12 31111 6 M59 96100 000211 0000U 00001 00246 015 2112000*")-SUMIFS(E4483:E6462,K4483:K6462,"0",B4483:B6462,"5 1 2 4 6 12 31111 6 M59 96100 000211 0000U 00001 00246 015 2112000*")</f>
        <v>0</v>
      </c>
      <c r="E4482" s="54"/>
      <c r="F4482" s="83">
        <f>SUMIFS(F4483:F6462,K4483:K6462,"0",B4483:B6462,"5 1 2 4 6 12 31111 6 M59 96100 000211 0000U 00001 00246 015 2112000*")</f>
        <v>1888.45</v>
      </c>
      <c r="G4482" s="83">
        <f>SUMIFS(G4483:G6462,K4483:K6462,"0",B4483:B6462,"5 1 2 4 6 12 31111 6 M59 96100 000211 0000U 00001 00246 015 2112000*")</f>
        <v>0</v>
      </c>
      <c r="H4482" s="83">
        <f t="shared" si="70"/>
        <v>1888.45</v>
      </c>
      <c r="I4482" s="83"/>
      <c r="K4482" s="54" t="s">
        <v>15</v>
      </c>
    </row>
    <row r="4483" spans="2:11" ht="33" x14ac:dyDescent="0.2">
      <c r="B4483" s="82" t="s">
        <v>7120</v>
      </c>
      <c r="C4483" s="82" t="s">
        <v>660</v>
      </c>
      <c r="D4483" s="83">
        <f>SUMIFS(D4484:D6462,K4484:K6462,"0",B4484:B6462,"5 1 2 4 6 12 31111 6 M59 96100 000211 0000U 00001 00246 015 2112000 2024*")-SUMIFS(E4484:E6462,K4484:K6462,"0",B4484:B6462,"5 1 2 4 6 12 31111 6 M59 96100 000211 0000U 00001 00246 015 2112000 2024*")</f>
        <v>0</v>
      </c>
      <c r="E4483" s="54"/>
      <c r="F4483" s="83">
        <f>SUMIFS(F4484:F6462,K4484:K6462,"0",B4484:B6462,"5 1 2 4 6 12 31111 6 M59 96100 000211 0000U 00001 00246 015 2112000 2024*")</f>
        <v>1888.45</v>
      </c>
      <c r="G4483" s="83">
        <f>SUMIFS(G4484:G6462,K4484:K6462,"0",B4484:B6462,"5 1 2 4 6 12 31111 6 M59 96100 000211 0000U 00001 00246 015 2112000 2024*")</f>
        <v>0</v>
      </c>
      <c r="H4483" s="83">
        <f t="shared" si="70"/>
        <v>1888.45</v>
      </c>
      <c r="I4483" s="83"/>
      <c r="K4483" s="54" t="s">
        <v>15</v>
      </c>
    </row>
    <row r="4484" spans="2:11" ht="41.25" x14ac:dyDescent="0.2">
      <c r="B4484" s="82" t="s">
        <v>7121</v>
      </c>
      <c r="C4484" s="82" t="s">
        <v>1056</v>
      </c>
      <c r="D4484" s="83">
        <f>SUMIFS(D4485:D6462,K4485:K6462,"0",B4485:B6462,"5 1 2 4 6 12 31111 6 M59 96100 000211 0000U 00001 00246 015 2112000 2024 CP1IU412*")-SUMIFS(E4485:E6462,K4485:K6462,"0",B4485:B6462,"5 1 2 4 6 12 31111 6 M59 96100 000211 0000U 00001 00246 015 2112000 2024 CP1IU412*")</f>
        <v>0</v>
      </c>
      <c r="E4484" s="54"/>
      <c r="F4484" s="83">
        <f>SUMIFS(F4485:F6462,K4485:K6462,"0",B4485:B6462,"5 1 2 4 6 12 31111 6 M59 96100 000211 0000U 00001 00246 015 2112000 2024 CP1IU412*")</f>
        <v>1888.45</v>
      </c>
      <c r="G4484" s="83">
        <f>SUMIFS(G4485:G6462,K4485:K6462,"0",B4485:B6462,"5 1 2 4 6 12 31111 6 M59 96100 000211 0000U 00001 00246 015 2112000 2024 CP1IU412*")</f>
        <v>0</v>
      </c>
      <c r="H4484" s="83">
        <f t="shared" si="70"/>
        <v>1888.45</v>
      </c>
      <c r="I4484" s="83"/>
      <c r="K4484" s="54" t="s">
        <v>15</v>
      </c>
    </row>
    <row r="4485" spans="2:11" ht="41.25" x14ac:dyDescent="0.2">
      <c r="B4485" s="82" t="s">
        <v>7122</v>
      </c>
      <c r="C4485" s="82" t="s">
        <v>282</v>
      </c>
      <c r="D4485" s="83">
        <f>SUMIFS(D4486:D6462,K4486:K6462,"0",B4486:B6462,"5 1 2 4 6 12 31111 6 M59 96100 000211 0000U 00001 00246 015 2112000 2024 CP1IU412 001*")-SUMIFS(E4486:E6462,K4486:K6462,"0",B4486:B6462,"5 1 2 4 6 12 31111 6 M59 96100 000211 0000U 00001 00246 015 2112000 2024 CP1IU412 001*")</f>
        <v>0</v>
      </c>
      <c r="E4485" s="54"/>
      <c r="F4485" s="83">
        <f>SUMIFS(F4486:F6462,K4486:K6462,"0",B4486:B6462,"5 1 2 4 6 12 31111 6 M59 96100 000211 0000U 00001 00246 015 2112000 2024 CP1IU412 001*")</f>
        <v>1888.45</v>
      </c>
      <c r="G4485" s="83">
        <f>SUMIFS(G4486:G6462,K4486:K6462,"0",B4486:B6462,"5 1 2 4 6 12 31111 6 M59 96100 000211 0000U 00001 00246 015 2112000 2024 CP1IU412 001*")</f>
        <v>0</v>
      </c>
      <c r="H4485" s="83">
        <f t="shared" si="70"/>
        <v>1888.45</v>
      </c>
      <c r="I4485" s="83"/>
      <c r="K4485" s="54" t="s">
        <v>15</v>
      </c>
    </row>
    <row r="4486" spans="2:11" ht="33" x14ac:dyDescent="0.2">
      <c r="B4486" s="84" t="s">
        <v>7123</v>
      </c>
      <c r="C4486" s="84" t="s">
        <v>7040</v>
      </c>
      <c r="D4486" s="85">
        <v>0</v>
      </c>
      <c r="E4486" s="85"/>
      <c r="F4486" s="85">
        <v>1888.45</v>
      </c>
      <c r="G4486" s="85">
        <v>0</v>
      </c>
      <c r="H4486" s="85">
        <f t="shared" si="70"/>
        <v>1888.45</v>
      </c>
      <c r="I4486" s="85"/>
      <c r="K4486" s="54" t="s">
        <v>38</v>
      </c>
    </row>
    <row r="4487" spans="2:11" ht="16.5" x14ac:dyDescent="0.2">
      <c r="B4487" s="82" t="s">
        <v>7124</v>
      </c>
      <c r="C4487" s="82" t="s">
        <v>3706</v>
      </c>
      <c r="D4487" s="83">
        <f>SUMIFS(D4488:D6462,K4488:K6462,"0",B4488:B6462,"5 1 2 4 6 12 31111 6 M59 96200*")-SUMIFS(E4488:E6462,K4488:K6462,"0",B4488:B6462,"5 1 2 4 6 12 31111 6 M59 96200*")</f>
        <v>0</v>
      </c>
      <c r="E4487" s="54"/>
      <c r="F4487" s="83">
        <f>SUMIFS(F4488:F6462,K4488:K6462,"0",B4488:B6462,"5 1 2 4 6 12 31111 6 M59 96200*")</f>
        <v>93680.67</v>
      </c>
      <c r="G4487" s="83">
        <f>SUMIFS(G4488:G6462,K4488:K6462,"0",B4488:B6462,"5 1 2 4 6 12 31111 6 M59 96200*")</f>
        <v>0</v>
      </c>
      <c r="H4487" s="83">
        <f t="shared" si="70"/>
        <v>93680.67</v>
      </c>
      <c r="I4487" s="83"/>
      <c r="K4487" s="54" t="s">
        <v>15</v>
      </c>
    </row>
    <row r="4488" spans="2:11" ht="16.5" x14ac:dyDescent="0.2">
      <c r="B4488" s="82" t="s">
        <v>7125</v>
      </c>
      <c r="C4488" s="82" t="s">
        <v>648</v>
      </c>
      <c r="D4488" s="83">
        <f>SUMIFS(D4489:D6462,K4489:K6462,"0",B4489:B6462,"5 1 2 4 6 12 31111 6 M59 96200 000132*")-SUMIFS(E4489:E6462,K4489:K6462,"0",B4489:B6462,"5 1 2 4 6 12 31111 6 M59 96200 000132*")</f>
        <v>0</v>
      </c>
      <c r="E4488" s="54"/>
      <c r="F4488" s="83">
        <f>SUMIFS(F4489:F6462,K4489:K6462,"0",B4489:B6462,"5 1 2 4 6 12 31111 6 M59 96200 000132*")</f>
        <v>93680.67</v>
      </c>
      <c r="G4488" s="83">
        <f>SUMIFS(G4489:G6462,K4489:K6462,"0",B4489:B6462,"5 1 2 4 6 12 31111 6 M59 96200 000132*")</f>
        <v>0</v>
      </c>
      <c r="H4488" s="83">
        <f t="shared" si="70"/>
        <v>93680.67</v>
      </c>
      <c r="I4488" s="83"/>
      <c r="K4488" s="54" t="s">
        <v>15</v>
      </c>
    </row>
    <row r="4489" spans="2:11" ht="24.75" x14ac:dyDescent="0.2">
      <c r="B4489" s="82" t="s">
        <v>7126</v>
      </c>
      <c r="C4489" s="82" t="s">
        <v>650</v>
      </c>
      <c r="D4489" s="83">
        <f>SUMIFS(D4490:D6462,K4490:K6462,"0",B4490:B6462,"5 1 2 4 6 12 31111 6 M59 96200 000132 0000R*")-SUMIFS(E4490:E6462,K4490:K6462,"0",B4490:B6462,"5 1 2 4 6 12 31111 6 M59 96200 000132 0000R*")</f>
        <v>0</v>
      </c>
      <c r="E4489" s="54"/>
      <c r="F4489" s="83">
        <f>SUMIFS(F4490:F6462,K4490:K6462,"0",B4490:B6462,"5 1 2 4 6 12 31111 6 M59 96200 000132 0000R*")</f>
        <v>93680.67</v>
      </c>
      <c r="G4489" s="83">
        <f>SUMIFS(G4490:G6462,K4490:K6462,"0",B4490:B6462,"5 1 2 4 6 12 31111 6 M59 96200 000132 0000R*")</f>
        <v>0</v>
      </c>
      <c r="H4489" s="83">
        <f t="shared" si="70"/>
        <v>93680.67</v>
      </c>
      <c r="I4489" s="83"/>
      <c r="K4489" s="54" t="s">
        <v>15</v>
      </c>
    </row>
    <row r="4490" spans="2:11" ht="24.75" x14ac:dyDescent="0.2">
      <c r="B4490" s="82" t="s">
        <v>7127</v>
      </c>
      <c r="C4490" s="82" t="s">
        <v>282</v>
      </c>
      <c r="D4490" s="83">
        <f>SUMIFS(D4491:D6462,K4491:K6462,"0",B4491:B6462,"5 1 2 4 6 12 31111 6 M59 96200 000132 0000R 00001*")-SUMIFS(E4491:E6462,K4491:K6462,"0",B4491:B6462,"5 1 2 4 6 12 31111 6 M59 96200 000132 0000R 00001*")</f>
        <v>0</v>
      </c>
      <c r="E4490" s="54"/>
      <c r="F4490" s="83">
        <f>SUMIFS(F4491:F6462,K4491:K6462,"0",B4491:B6462,"5 1 2 4 6 12 31111 6 M59 96200 000132 0000R 00001*")</f>
        <v>93680.67</v>
      </c>
      <c r="G4490" s="83">
        <f>SUMIFS(G4491:G6462,K4491:K6462,"0",B4491:B6462,"5 1 2 4 6 12 31111 6 M59 96200 000132 0000R 00001*")</f>
        <v>0</v>
      </c>
      <c r="H4490" s="83">
        <f t="shared" si="70"/>
        <v>93680.67</v>
      </c>
      <c r="I4490" s="83"/>
      <c r="K4490" s="54" t="s">
        <v>15</v>
      </c>
    </row>
    <row r="4491" spans="2:11" ht="24.75" x14ac:dyDescent="0.2">
      <c r="B4491" s="82" t="s">
        <v>7128</v>
      </c>
      <c r="C4491" s="82" t="s">
        <v>7050</v>
      </c>
      <c r="D4491" s="83">
        <f>SUMIFS(D4492:D6462,K4492:K6462,"0",B4492:B6462,"5 1 2 4 6 12 31111 6 M59 96200 000132 0000R 00001 00246*")-SUMIFS(E4492:E6462,K4492:K6462,"0",B4492:B6462,"5 1 2 4 6 12 31111 6 M59 96200 000132 0000R 00001 00246*")</f>
        <v>0</v>
      </c>
      <c r="E4491" s="54"/>
      <c r="F4491" s="83">
        <f>SUMIFS(F4492:F6462,K4492:K6462,"0",B4492:B6462,"5 1 2 4 6 12 31111 6 M59 96200 000132 0000R 00001 00246*")</f>
        <v>93680.67</v>
      </c>
      <c r="G4491" s="83">
        <f>SUMIFS(G4492:G6462,K4492:K6462,"0",B4492:B6462,"5 1 2 4 6 12 31111 6 M59 96200 000132 0000R 00001 00246*")</f>
        <v>0</v>
      </c>
      <c r="H4491" s="83">
        <f t="shared" si="70"/>
        <v>93680.67</v>
      </c>
      <c r="I4491" s="83"/>
      <c r="K4491" s="54" t="s">
        <v>15</v>
      </c>
    </row>
    <row r="4492" spans="2:11" ht="33" x14ac:dyDescent="0.2">
      <c r="B4492" s="82" t="s">
        <v>7129</v>
      </c>
      <c r="C4492" s="82" t="s">
        <v>1051</v>
      </c>
      <c r="D4492" s="83">
        <f>SUMIFS(D4493:D6462,K4493:K6462,"0",B4493:B6462,"5 1 2 4 6 12 31111 6 M59 96200 000132 0000R 00001 00246 015*")-SUMIFS(E4493:E6462,K4493:K6462,"0",B4493:B6462,"5 1 2 4 6 12 31111 6 M59 96200 000132 0000R 00001 00246 015*")</f>
        <v>0</v>
      </c>
      <c r="E4492" s="54"/>
      <c r="F4492" s="83">
        <f>SUMIFS(F4493:F6462,K4493:K6462,"0",B4493:B6462,"5 1 2 4 6 12 31111 6 M59 96200 000132 0000R 00001 00246 015*")</f>
        <v>93680.67</v>
      </c>
      <c r="G4492" s="83">
        <f>SUMIFS(G4493:G6462,K4493:K6462,"0",B4493:B6462,"5 1 2 4 6 12 31111 6 M59 96200 000132 0000R 00001 00246 015*")</f>
        <v>0</v>
      </c>
      <c r="H4492" s="83">
        <f t="shared" si="70"/>
        <v>93680.67</v>
      </c>
      <c r="I4492" s="83"/>
      <c r="K4492" s="54" t="s">
        <v>15</v>
      </c>
    </row>
    <row r="4493" spans="2:11" ht="33" x14ac:dyDescent="0.2">
      <c r="B4493" s="82" t="s">
        <v>7130</v>
      </c>
      <c r="C4493" s="82" t="s">
        <v>5830</v>
      </c>
      <c r="D4493" s="83">
        <f>SUMIFS(D4494:D6462,K4494:K6462,"0",B4494:B6462,"5 1 2 4 6 12 31111 6 M59 96200 000132 0000R 00001 00246 015 2112000*")-SUMIFS(E4494:E6462,K4494:K6462,"0",B4494:B6462,"5 1 2 4 6 12 31111 6 M59 96200 000132 0000R 00001 00246 015 2112000*")</f>
        <v>0</v>
      </c>
      <c r="E4493" s="54"/>
      <c r="F4493" s="83">
        <f>SUMIFS(F4494:F6462,K4494:K6462,"0",B4494:B6462,"5 1 2 4 6 12 31111 6 M59 96200 000132 0000R 00001 00246 015 2112000*")</f>
        <v>93680.67</v>
      </c>
      <c r="G4493" s="83">
        <f>SUMIFS(G4494:G6462,K4494:K6462,"0",B4494:B6462,"5 1 2 4 6 12 31111 6 M59 96200 000132 0000R 00001 00246 015 2112000*")</f>
        <v>0</v>
      </c>
      <c r="H4493" s="83">
        <f t="shared" si="70"/>
        <v>93680.67</v>
      </c>
      <c r="I4493" s="83"/>
      <c r="K4493" s="54" t="s">
        <v>15</v>
      </c>
    </row>
    <row r="4494" spans="2:11" ht="33" x14ac:dyDescent="0.2">
      <c r="B4494" s="82" t="s">
        <v>7131</v>
      </c>
      <c r="C4494" s="82" t="s">
        <v>660</v>
      </c>
      <c r="D4494" s="83">
        <f>SUMIFS(D4495:D6462,K4495:K6462,"0",B4495:B6462,"5 1 2 4 6 12 31111 6 M59 96200 000132 0000R 00001 00246 015 2112000 2024*")-SUMIFS(E4495:E6462,K4495:K6462,"0",B4495:B6462,"5 1 2 4 6 12 31111 6 M59 96200 000132 0000R 00001 00246 015 2112000 2024*")</f>
        <v>0</v>
      </c>
      <c r="E4494" s="54"/>
      <c r="F4494" s="83">
        <f>SUMIFS(F4495:F6462,K4495:K6462,"0",B4495:B6462,"5 1 2 4 6 12 31111 6 M59 96200 000132 0000R 00001 00246 015 2112000 2024*")</f>
        <v>93680.67</v>
      </c>
      <c r="G4494" s="83">
        <f>SUMIFS(G4495:G6462,K4495:K6462,"0",B4495:B6462,"5 1 2 4 6 12 31111 6 M59 96200 000132 0000R 00001 00246 015 2112000 2024*")</f>
        <v>0</v>
      </c>
      <c r="H4494" s="83">
        <f t="shared" si="70"/>
        <v>93680.67</v>
      </c>
      <c r="I4494" s="83"/>
      <c r="K4494" s="54" t="s">
        <v>15</v>
      </c>
    </row>
    <row r="4495" spans="2:11" ht="41.25" x14ac:dyDescent="0.2">
      <c r="B4495" s="82" t="s">
        <v>7132</v>
      </c>
      <c r="C4495" s="82" t="s">
        <v>662</v>
      </c>
      <c r="D4495" s="83">
        <f>SUMIFS(D4496:D6462,K4496:K6462,"0",B4496:B6462,"5 1 2 4 6 12 31111 6 M59 96200 000132 0000R 00001 00246 015 2112000 2024 CP1AL423*")-SUMIFS(E4496:E6462,K4496:K6462,"0",B4496:B6462,"5 1 2 4 6 12 31111 6 M59 96200 000132 0000R 00001 00246 015 2112000 2024 CP1AL423*")</f>
        <v>0</v>
      </c>
      <c r="E4495" s="54"/>
      <c r="F4495" s="83">
        <f>SUMIFS(F4496:F6462,K4496:K6462,"0",B4496:B6462,"5 1 2 4 6 12 31111 6 M59 96200 000132 0000R 00001 00246 015 2112000 2024 CP1AL423*")</f>
        <v>93680.67</v>
      </c>
      <c r="G4495" s="83">
        <f>SUMIFS(G4496:G6462,K4496:K6462,"0",B4496:B6462,"5 1 2 4 6 12 31111 6 M59 96200 000132 0000R 00001 00246 015 2112000 2024 CP1AL423*")</f>
        <v>0</v>
      </c>
      <c r="H4495" s="83">
        <f t="shared" si="70"/>
        <v>93680.67</v>
      </c>
      <c r="I4495" s="83"/>
      <c r="K4495" s="54" t="s">
        <v>15</v>
      </c>
    </row>
    <row r="4496" spans="2:11" ht="41.25" x14ac:dyDescent="0.2">
      <c r="B4496" s="82" t="s">
        <v>7133</v>
      </c>
      <c r="C4496" s="82" t="s">
        <v>282</v>
      </c>
      <c r="D4496" s="83">
        <f>SUMIFS(D4497:D6462,K4497:K6462,"0",B4497:B6462,"5 1 2 4 6 12 31111 6 M59 96200 000132 0000R 00001 00246 015 2112000 2024 CP1AL423 001*")-SUMIFS(E4497:E6462,K4497:K6462,"0",B4497:B6462,"5 1 2 4 6 12 31111 6 M59 96200 000132 0000R 00001 00246 015 2112000 2024 CP1AL423 001*")</f>
        <v>0</v>
      </c>
      <c r="E4496" s="54"/>
      <c r="F4496" s="83">
        <f>SUMIFS(F4497:F6462,K4497:K6462,"0",B4497:B6462,"5 1 2 4 6 12 31111 6 M59 96200 000132 0000R 00001 00246 015 2112000 2024 CP1AL423 001*")</f>
        <v>93680.67</v>
      </c>
      <c r="G4496" s="83">
        <f>SUMIFS(G4497:G6462,K4497:K6462,"0",B4497:B6462,"5 1 2 4 6 12 31111 6 M59 96200 000132 0000R 00001 00246 015 2112000 2024 CP1AL423 001*")</f>
        <v>0</v>
      </c>
      <c r="H4496" s="83">
        <f t="shared" si="70"/>
        <v>93680.67</v>
      </c>
      <c r="I4496" s="83"/>
      <c r="K4496" s="54" t="s">
        <v>15</v>
      </c>
    </row>
    <row r="4497" spans="2:11" ht="41.25" x14ac:dyDescent="0.2">
      <c r="B4497" s="84" t="s">
        <v>7134</v>
      </c>
      <c r="C4497" s="84" t="s">
        <v>7050</v>
      </c>
      <c r="D4497" s="85">
        <v>0</v>
      </c>
      <c r="E4497" s="85"/>
      <c r="F4497" s="85">
        <v>93680.67</v>
      </c>
      <c r="G4497" s="85">
        <v>0</v>
      </c>
      <c r="H4497" s="85">
        <f t="shared" si="70"/>
        <v>93680.67</v>
      </c>
      <c r="I4497" s="85"/>
      <c r="K4497" s="54" t="s">
        <v>38</v>
      </c>
    </row>
    <row r="4498" spans="2:11" ht="16.5" x14ac:dyDescent="0.2">
      <c r="B4498" s="82" t="s">
        <v>7135</v>
      </c>
      <c r="C4498" s="82" t="s">
        <v>3754</v>
      </c>
      <c r="D4498" s="83">
        <f>SUMIFS(D4499:D6462,K4499:K6462,"0",B4499:B6462,"5 1 2 4 6 12 31111 6 M59 99000*")-SUMIFS(E4499:E6462,K4499:K6462,"0",B4499:B6462,"5 1 2 4 6 12 31111 6 M59 99000*")</f>
        <v>0</v>
      </c>
      <c r="E4498" s="54"/>
      <c r="F4498" s="83">
        <f>SUMIFS(F4499:F6462,K4499:K6462,"0",B4499:B6462,"5 1 2 4 6 12 31111 6 M59 99000*")</f>
        <v>17991.509999999998</v>
      </c>
      <c r="G4498" s="83">
        <f>SUMIFS(G4499:G6462,K4499:K6462,"0",B4499:B6462,"5 1 2 4 6 12 31111 6 M59 99000*")</f>
        <v>0</v>
      </c>
      <c r="H4498" s="83">
        <f t="shared" si="70"/>
        <v>17991.509999999998</v>
      </c>
      <c r="I4498" s="83"/>
      <c r="K4498" s="54" t="s">
        <v>15</v>
      </c>
    </row>
    <row r="4499" spans="2:11" ht="16.5" x14ac:dyDescent="0.2">
      <c r="B4499" s="82" t="s">
        <v>7136</v>
      </c>
      <c r="C4499" s="82" t="s">
        <v>648</v>
      </c>
      <c r="D4499" s="83">
        <f>SUMIFS(D4500:D6462,K4500:K6462,"0",B4500:B6462,"5 1 2 4 6 12 31111 6 M59 99000 000132*")-SUMIFS(E4500:E6462,K4500:K6462,"0",B4500:B6462,"5 1 2 4 6 12 31111 6 M59 99000 000132*")</f>
        <v>0</v>
      </c>
      <c r="E4499" s="54"/>
      <c r="F4499" s="83">
        <f>SUMIFS(F4500:F6462,K4500:K6462,"0",B4500:B6462,"5 1 2 4 6 12 31111 6 M59 99000 000132*")</f>
        <v>17991.509999999998</v>
      </c>
      <c r="G4499" s="83">
        <f>SUMIFS(G4500:G6462,K4500:K6462,"0",B4500:B6462,"5 1 2 4 6 12 31111 6 M59 99000 000132*")</f>
        <v>0</v>
      </c>
      <c r="H4499" s="83">
        <f t="shared" si="70"/>
        <v>17991.509999999998</v>
      </c>
      <c r="I4499" s="83"/>
      <c r="K4499" s="54" t="s">
        <v>15</v>
      </c>
    </row>
    <row r="4500" spans="2:11" ht="24.75" x14ac:dyDescent="0.2">
      <c r="B4500" s="82" t="s">
        <v>7137</v>
      </c>
      <c r="C4500" s="82" t="s">
        <v>650</v>
      </c>
      <c r="D4500" s="83">
        <f>SUMIFS(D4501:D6462,K4501:K6462,"0",B4501:B6462,"5 1 2 4 6 12 31111 6 M59 99000 000132 0000R*")-SUMIFS(E4501:E6462,K4501:K6462,"0",B4501:B6462,"5 1 2 4 6 12 31111 6 M59 99000 000132 0000R*")</f>
        <v>0</v>
      </c>
      <c r="E4500" s="54"/>
      <c r="F4500" s="83">
        <f>SUMIFS(F4501:F6462,K4501:K6462,"0",B4501:B6462,"5 1 2 4 6 12 31111 6 M59 99000 000132 0000R*")</f>
        <v>17991.509999999998</v>
      </c>
      <c r="G4500" s="83">
        <f>SUMIFS(G4501:G6462,K4501:K6462,"0",B4501:B6462,"5 1 2 4 6 12 31111 6 M59 99000 000132 0000R*")</f>
        <v>0</v>
      </c>
      <c r="H4500" s="83">
        <f t="shared" si="70"/>
        <v>17991.509999999998</v>
      </c>
      <c r="I4500" s="83"/>
      <c r="K4500" s="54" t="s">
        <v>15</v>
      </c>
    </row>
    <row r="4501" spans="2:11" ht="24.75" x14ac:dyDescent="0.2">
      <c r="B4501" s="82" t="s">
        <v>7138</v>
      </c>
      <c r="C4501" s="82" t="s">
        <v>282</v>
      </c>
      <c r="D4501" s="83">
        <f>SUMIFS(D4502:D6462,K4502:K6462,"0",B4502:B6462,"5 1 2 4 6 12 31111 6 M59 99000 000132 0000R 00001*")-SUMIFS(E4502:E6462,K4502:K6462,"0",B4502:B6462,"5 1 2 4 6 12 31111 6 M59 99000 000132 0000R 00001*")</f>
        <v>0</v>
      </c>
      <c r="E4501" s="54"/>
      <c r="F4501" s="83">
        <f>SUMIFS(F4502:F6462,K4502:K6462,"0",B4502:B6462,"5 1 2 4 6 12 31111 6 M59 99000 000132 0000R 00001*")</f>
        <v>17991.509999999998</v>
      </c>
      <c r="G4501" s="83">
        <f>SUMIFS(G4502:G6462,K4502:K6462,"0",B4502:B6462,"5 1 2 4 6 12 31111 6 M59 99000 000132 0000R 00001*")</f>
        <v>0</v>
      </c>
      <c r="H4501" s="83">
        <f t="shared" si="70"/>
        <v>17991.509999999998</v>
      </c>
      <c r="I4501" s="83"/>
      <c r="K4501" s="54" t="s">
        <v>15</v>
      </c>
    </row>
    <row r="4502" spans="2:11" ht="24.75" x14ac:dyDescent="0.2">
      <c r="B4502" s="82" t="s">
        <v>7139</v>
      </c>
      <c r="C4502" s="82" t="s">
        <v>7050</v>
      </c>
      <c r="D4502" s="83">
        <f>SUMIFS(D4503:D6462,K4503:K6462,"0",B4503:B6462,"5 1 2 4 6 12 31111 6 M59 99000 000132 0000R 00001 00246*")-SUMIFS(E4503:E6462,K4503:K6462,"0",B4503:B6462,"5 1 2 4 6 12 31111 6 M59 99000 000132 0000R 00001 00246*")</f>
        <v>0</v>
      </c>
      <c r="E4502" s="54"/>
      <c r="F4502" s="83">
        <f>SUMIFS(F4503:F6462,K4503:K6462,"0",B4503:B6462,"5 1 2 4 6 12 31111 6 M59 99000 000132 0000R 00001 00246*")</f>
        <v>17991.509999999998</v>
      </c>
      <c r="G4502" s="83">
        <f>SUMIFS(G4503:G6462,K4503:K6462,"0",B4503:B6462,"5 1 2 4 6 12 31111 6 M59 99000 000132 0000R 00001 00246*")</f>
        <v>0</v>
      </c>
      <c r="H4502" s="83">
        <f t="shared" si="70"/>
        <v>17991.509999999998</v>
      </c>
      <c r="I4502" s="83"/>
      <c r="K4502" s="54" t="s">
        <v>15</v>
      </c>
    </row>
    <row r="4503" spans="2:11" ht="33" x14ac:dyDescent="0.2">
      <c r="B4503" s="82" t="s">
        <v>7140</v>
      </c>
      <c r="C4503" s="82" t="s">
        <v>1051</v>
      </c>
      <c r="D4503" s="83">
        <f>SUMIFS(D4504:D6462,K4504:K6462,"0",B4504:B6462,"5 1 2 4 6 12 31111 6 M59 99000 000132 0000R 00001 00246 015*")-SUMIFS(E4504:E6462,K4504:K6462,"0",B4504:B6462,"5 1 2 4 6 12 31111 6 M59 99000 000132 0000R 00001 00246 015*")</f>
        <v>0</v>
      </c>
      <c r="E4503" s="54"/>
      <c r="F4503" s="83">
        <f>SUMIFS(F4504:F6462,K4504:K6462,"0",B4504:B6462,"5 1 2 4 6 12 31111 6 M59 99000 000132 0000R 00001 00246 015*")</f>
        <v>17991.509999999998</v>
      </c>
      <c r="G4503" s="83">
        <f>SUMIFS(G4504:G6462,K4504:K6462,"0",B4504:B6462,"5 1 2 4 6 12 31111 6 M59 99000 000132 0000R 00001 00246 015*")</f>
        <v>0</v>
      </c>
      <c r="H4503" s="83">
        <f t="shared" si="70"/>
        <v>17991.509999999998</v>
      </c>
      <c r="I4503" s="83"/>
      <c r="K4503" s="54" t="s">
        <v>15</v>
      </c>
    </row>
    <row r="4504" spans="2:11" ht="33" x14ac:dyDescent="0.2">
      <c r="B4504" s="82" t="s">
        <v>7141</v>
      </c>
      <c r="C4504" s="82" t="s">
        <v>5830</v>
      </c>
      <c r="D4504" s="83">
        <f>SUMIFS(D4505:D6462,K4505:K6462,"0",B4505:B6462,"5 1 2 4 6 12 31111 6 M59 99000 000132 0000R 00001 00246 015 2112000*")-SUMIFS(E4505:E6462,K4505:K6462,"0",B4505:B6462,"5 1 2 4 6 12 31111 6 M59 99000 000132 0000R 00001 00246 015 2112000*")</f>
        <v>0</v>
      </c>
      <c r="E4504" s="54"/>
      <c r="F4504" s="83">
        <f>SUMIFS(F4505:F6462,K4505:K6462,"0",B4505:B6462,"5 1 2 4 6 12 31111 6 M59 99000 000132 0000R 00001 00246 015 2112000*")</f>
        <v>17991.509999999998</v>
      </c>
      <c r="G4504" s="83">
        <f>SUMIFS(G4505:G6462,K4505:K6462,"0",B4505:B6462,"5 1 2 4 6 12 31111 6 M59 99000 000132 0000R 00001 00246 015 2112000*")</f>
        <v>0</v>
      </c>
      <c r="H4504" s="83">
        <f t="shared" si="70"/>
        <v>17991.509999999998</v>
      </c>
      <c r="I4504" s="83"/>
      <c r="K4504" s="54" t="s">
        <v>15</v>
      </c>
    </row>
    <row r="4505" spans="2:11" ht="33" x14ac:dyDescent="0.2">
      <c r="B4505" s="82" t="s">
        <v>7142</v>
      </c>
      <c r="C4505" s="82" t="s">
        <v>660</v>
      </c>
      <c r="D4505" s="83">
        <f>SUMIFS(D4506:D6462,K4506:K6462,"0",B4506:B6462,"5 1 2 4 6 12 31111 6 M59 99000 000132 0000R 00001 00246 015 2112000 2024*")-SUMIFS(E4506:E6462,K4506:K6462,"0",B4506:B6462,"5 1 2 4 6 12 31111 6 M59 99000 000132 0000R 00001 00246 015 2112000 2024*")</f>
        <v>0</v>
      </c>
      <c r="E4505" s="54"/>
      <c r="F4505" s="83">
        <f>SUMIFS(F4506:F6462,K4506:K6462,"0",B4506:B6462,"5 1 2 4 6 12 31111 6 M59 99000 000132 0000R 00001 00246 015 2112000 2024*")</f>
        <v>17991.509999999998</v>
      </c>
      <c r="G4505" s="83">
        <f>SUMIFS(G4506:G6462,K4506:K6462,"0",B4506:B6462,"5 1 2 4 6 12 31111 6 M59 99000 000132 0000R 00001 00246 015 2112000 2024*")</f>
        <v>0</v>
      </c>
      <c r="H4505" s="83">
        <f t="shared" si="70"/>
        <v>17991.509999999998</v>
      </c>
      <c r="I4505" s="83"/>
      <c r="K4505" s="54" t="s">
        <v>15</v>
      </c>
    </row>
    <row r="4506" spans="2:11" ht="41.25" x14ac:dyDescent="0.2">
      <c r="B4506" s="82" t="s">
        <v>7143</v>
      </c>
      <c r="C4506" s="82" t="s">
        <v>1056</v>
      </c>
      <c r="D4506" s="83">
        <f>SUMIFS(D4507:D6462,K4507:K6462,"0",B4507:B6462,"5 1 2 4 6 12 31111 6 M59 99000 000132 0000R 00001 00246 015 2112000 2024 CP1MG408*")-SUMIFS(E4507:E6462,K4507:K6462,"0",B4507:B6462,"5 1 2 4 6 12 31111 6 M59 99000 000132 0000R 00001 00246 015 2112000 2024 CP1MG408*")</f>
        <v>0</v>
      </c>
      <c r="E4506" s="54"/>
      <c r="F4506" s="83">
        <f>SUMIFS(F4507:F6462,K4507:K6462,"0",B4507:B6462,"5 1 2 4 6 12 31111 6 M59 99000 000132 0000R 00001 00246 015 2112000 2024 CP1MG408*")</f>
        <v>17991.509999999998</v>
      </c>
      <c r="G4506" s="83">
        <f>SUMIFS(G4507:G6462,K4507:K6462,"0",B4507:B6462,"5 1 2 4 6 12 31111 6 M59 99000 000132 0000R 00001 00246 015 2112000 2024 CP1MG408*")</f>
        <v>0</v>
      </c>
      <c r="H4506" s="83">
        <f t="shared" si="70"/>
        <v>17991.509999999998</v>
      </c>
      <c r="I4506" s="83"/>
      <c r="K4506" s="54" t="s">
        <v>15</v>
      </c>
    </row>
    <row r="4507" spans="2:11" ht="41.25" x14ac:dyDescent="0.2">
      <c r="B4507" s="82" t="s">
        <v>7144</v>
      </c>
      <c r="C4507" s="82" t="s">
        <v>282</v>
      </c>
      <c r="D4507" s="83">
        <f>SUMIFS(D4508:D6462,K4508:K6462,"0",B4508:B6462,"5 1 2 4 6 12 31111 6 M59 99000 000132 0000R 00001 00246 015 2112000 2024 CP1MG408 001*")-SUMIFS(E4508:E6462,K4508:K6462,"0",B4508:B6462,"5 1 2 4 6 12 31111 6 M59 99000 000132 0000R 00001 00246 015 2112000 2024 CP1MG408 001*")</f>
        <v>0</v>
      </c>
      <c r="E4507" s="54"/>
      <c r="F4507" s="83">
        <f>SUMIFS(F4508:F6462,K4508:K6462,"0",B4508:B6462,"5 1 2 4 6 12 31111 6 M59 99000 000132 0000R 00001 00246 015 2112000 2024 CP1MG408 001*")</f>
        <v>17991.509999999998</v>
      </c>
      <c r="G4507" s="83">
        <f>SUMIFS(G4508:G6462,K4508:K6462,"0",B4508:B6462,"5 1 2 4 6 12 31111 6 M59 99000 000132 0000R 00001 00246 015 2112000 2024 CP1MG408 001*")</f>
        <v>0</v>
      </c>
      <c r="H4507" s="83">
        <f t="shared" si="70"/>
        <v>17991.509999999998</v>
      </c>
      <c r="I4507" s="83"/>
      <c r="K4507" s="54" t="s">
        <v>15</v>
      </c>
    </row>
    <row r="4508" spans="2:11" ht="41.25" x14ac:dyDescent="0.2">
      <c r="B4508" s="84" t="s">
        <v>7145</v>
      </c>
      <c r="C4508" s="84" t="s">
        <v>7040</v>
      </c>
      <c r="D4508" s="85">
        <v>0</v>
      </c>
      <c r="E4508" s="85"/>
      <c r="F4508" s="85">
        <v>17991.509999999998</v>
      </c>
      <c r="G4508" s="85">
        <v>0</v>
      </c>
      <c r="H4508" s="85">
        <f t="shared" si="70"/>
        <v>17991.509999999998</v>
      </c>
      <c r="I4508" s="85"/>
      <c r="K4508" s="54" t="s">
        <v>38</v>
      </c>
    </row>
    <row r="4509" spans="2:11" ht="16.5" x14ac:dyDescent="0.2">
      <c r="B4509" s="82" t="s">
        <v>7146</v>
      </c>
      <c r="C4509" s="82" t="s">
        <v>7147</v>
      </c>
      <c r="D4509" s="83">
        <f>SUMIFS(D4510:D6462,K4510:K6462,"0",B4510:B6462,"5 1 2 4 7*")-SUMIFS(E4510:E6462,K4510:K6462,"0",B4510:B6462,"5 1 2 4 7*")</f>
        <v>0</v>
      </c>
      <c r="E4509" s="54"/>
      <c r="F4509" s="83">
        <f>SUMIFS(F4510:F6462,K4510:K6462,"0",B4510:B6462,"5 1 2 4 7*")</f>
        <v>167288.78999999998</v>
      </c>
      <c r="G4509" s="83">
        <f>SUMIFS(G4510:G6462,K4510:K6462,"0",B4510:B6462,"5 1 2 4 7*")</f>
        <v>0</v>
      </c>
      <c r="H4509" s="83">
        <f t="shared" si="70"/>
        <v>167288.78999999998</v>
      </c>
      <c r="I4509" s="83"/>
      <c r="K4509" s="54" t="s">
        <v>15</v>
      </c>
    </row>
    <row r="4510" spans="2:11" ht="12.75" x14ac:dyDescent="0.2">
      <c r="B4510" s="82" t="s">
        <v>7148</v>
      </c>
      <c r="C4510" s="82" t="s">
        <v>26</v>
      </c>
      <c r="D4510" s="83">
        <f>SUMIFS(D4511:D6462,K4511:K6462,"0",B4511:B6462,"5 1 2 4 7 12*")-SUMIFS(E4511:E6462,K4511:K6462,"0",B4511:B6462,"5 1 2 4 7 12*")</f>
        <v>0</v>
      </c>
      <c r="E4510" s="54"/>
      <c r="F4510" s="83">
        <f>SUMIFS(F4511:F6462,K4511:K6462,"0",B4511:B6462,"5 1 2 4 7 12*")</f>
        <v>167288.78999999998</v>
      </c>
      <c r="G4510" s="83">
        <f>SUMIFS(G4511:G6462,K4511:K6462,"0",B4511:B6462,"5 1 2 4 7 12*")</f>
        <v>0</v>
      </c>
      <c r="H4510" s="83">
        <f t="shared" si="70"/>
        <v>167288.78999999998</v>
      </c>
      <c r="I4510" s="83"/>
      <c r="K4510" s="54" t="s">
        <v>15</v>
      </c>
    </row>
    <row r="4511" spans="2:11" ht="16.5" x14ac:dyDescent="0.2">
      <c r="B4511" s="82" t="s">
        <v>7149</v>
      </c>
      <c r="C4511" s="82" t="s">
        <v>28</v>
      </c>
      <c r="D4511" s="83">
        <f>SUMIFS(D4512:D6462,K4512:K6462,"0",B4512:B6462,"5 1 2 4 7 12 31111*")-SUMIFS(E4512:E6462,K4512:K6462,"0",B4512:B6462,"5 1 2 4 7 12 31111*")</f>
        <v>0</v>
      </c>
      <c r="E4511" s="54"/>
      <c r="F4511" s="83">
        <f>SUMIFS(F4512:F6462,K4512:K6462,"0",B4512:B6462,"5 1 2 4 7 12 31111*")</f>
        <v>167288.78999999998</v>
      </c>
      <c r="G4511" s="83">
        <f>SUMIFS(G4512:G6462,K4512:K6462,"0",B4512:B6462,"5 1 2 4 7 12 31111*")</f>
        <v>0</v>
      </c>
      <c r="H4511" s="83">
        <f t="shared" si="70"/>
        <v>167288.78999999998</v>
      </c>
      <c r="I4511" s="83"/>
      <c r="K4511" s="54" t="s">
        <v>15</v>
      </c>
    </row>
    <row r="4512" spans="2:11" ht="12.75" x14ac:dyDescent="0.2">
      <c r="B4512" s="82" t="s">
        <v>7150</v>
      </c>
      <c r="C4512" s="82" t="s">
        <v>30</v>
      </c>
      <c r="D4512" s="83">
        <f>SUMIFS(D4513:D6462,K4513:K6462,"0",B4513:B6462,"5 1 2 4 7 12 31111 6*")-SUMIFS(E4513:E6462,K4513:K6462,"0",B4513:B6462,"5 1 2 4 7 12 31111 6*")</f>
        <v>0</v>
      </c>
      <c r="E4512" s="54"/>
      <c r="F4512" s="83">
        <f>SUMIFS(F4513:F6462,K4513:K6462,"0",B4513:B6462,"5 1 2 4 7 12 31111 6*")</f>
        <v>167288.78999999998</v>
      </c>
      <c r="G4512" s="83">
        <f>SUMIFS(G4513:G6462,K4513:K6462,"0",B4513:B6462,"5 1 2 4 7 12 31111 6*")</f>
        <v>0</v>
      </c>
      <c r="H4512" s="83">
        <f t="shared" si="70"/>
        <v>167288.78999999998</v>
      </c>
      <c r="I4512" s="83"/>
      <c r="K4512" s="54" t="s">
        <v>15</v>
      </c>
    </row>
    <row r="4513" spans="2:11" ht="16.5" x14ac:dyDescent="0.2">
      <c r="B4513" s="82" t="s">
        <v>7151</v>
      </c>
      <c r="C4513" s="82" t="s">
        <v>2284</v>
      </c>
      <c r="D4513" s="83">
        <f>SUMIFS(D4514:D6462,K4514:K6462,"0",B4514:B6462,"5 1 2 4 7 12 31111 6 M59*")-SUMIFS(E4514:E6462,K4514:K6462,"0",B4514:B6462,"5 1 2 4 7 12 31111 6 M59*")</f>
        <v>0</v>
      </c>
      <c r="E4513" s="54"/>
      <c r="F4513" s="83">
        <f>SUMIFS(F4514:F6462,K4514:K6462,"0",B4514:B6462,"5 1 2 4 7 12 31111 6 M59*")</f>
        <v>167288.78999999998</v>
      </c>
      <c r="G4513" s="83">
        <f>SUMIFS(G4514:G6462,K4514:K6462,"0",B4514:B6462,"5 1 2 4 7 12 31111 6 M59*")</f>
        <v>0</v>
      </c>
      <c r="H4513" s="83">
        <f t="shared" si="70"/>
        <v>167288.78999999998</v>
      </c>
      <c r="I4513" s="83"/>
      <c r="K4513" s="54" t="s">
        <v>15</v>
      </c>
    </row>
    <row r="4514" spans="2:11" ht="16.5" x14ac:dyDescent="0.2">
      <c r="B4514" s="82" t="s">
        <v>7164</v>
      </c>
      <c r="C4514" s="82" t="s">
        <v>3103</v>
      </c>
      <c r="D4514" s="83">
        <f>SUMIFS(D4515:D6462,K4515:K6462,"0",B4515:B6462,"5 1 2 4 7 12 31111 6 M59 20400*")-SUMIFS(E4515:E6462,K4515:K6462,"0",B4515:B6462,"5 1 2 4 7 12 31111 6 M59 20400*")</f>
        <v>0</v>
      </c>
      <c r="E4514" s="54"/>
      <c r="F4514" s="83">
        <f>SUMIFS(F4515:F6462,K4515:K6462,"0",B4515:B6462,"5 1 2 4 7 12 31111 6 M59 20400*")</f>
        <v>2387.4299999999998</v>
      </c>
      <c r="G4514" s="83">
        <f>SUMIFS(G4515:G6462,K4515:K6462,"0",B4515:B6462,"5 1 2 4 7 12 31111 6 M59 20400*")</f>
        <v>0</v>
      </c>
      <c r="H4514" s="83">
        <f t="shared" si="70"/>
        <v>2387.4299999999998</v>
      </c>
      <c r="I4514" s="83"/>
      <c r="K4514" s="54" t="s">
        <v>15</v>
      </c>
    </row>
    <row r="4515" spans="2:11" ht="16.5" x14ac:dyDescent="0.2">
      <c r="B4515" s="82" t="s">
        <v>7165</v>
      </c>
      <c r="C4515" s="82" t="s">
        <v>648</v>
      </c>
      <c r="D4515" s="83">
        <f>SUMIFS(D4516:D6462,K4516:K6462,"0",B4516:B6462,"5 1 2 4 7 12 31111 6 M59 20400 000132*")-SUMIFS(E4516:E6462,K4516:K6462,"0",B4516:B6462,"5 1 2 4 7 12 31111 6 M59 20400 000132*")</f>
        <v>0</v>
      </c>
      <c r="E4515" s="54"/>
      <c r="F4515" s="83">
        <f>SUMIFS(F4516:F6462,K4516:K6462,"0",B4516:B6462,"5 1 2 4 7 12 31111 6 M59 20400 000132*")</f>
        <v>2387.4299999999998</v>
      </c>
      <c r="G4515" s="83">
        <f>SUMIFS(G4516:G6462,K4516:K6462,"0",B4516:B6462,"5 1 2 4 7 12 31111 6 M59 20400 000132*")</f>
        <v>0</v>
      </c>
      <c r="H4515" s="83">
        <f t="shared" si="70"/>
        <v>2387.4299999999998</v>
      </c>
      <c r="I4515" s="83"/>
      <c r="K4515" s="54" t="s">
        <v>15</v>
      </c>
    </row>
    <row r="4516" spans="2:11" ht="24.75" x14ac:dyDescent="0.2">
      <c r="B4516" s="82" t="s">
        <v>7166</v>
      </c>
      <c r="C4516" s="82" t="s">
        <v>650</v>
      </c>
      <c r="D4516" s="83">
        <f>SUMIFS(D4517:D6462,K4517:K6462,"0",B4517:B6462,"5 1 2 4 7 12 31111 6 M59 20400 000132 0000R*")-SUMIFS(E4517:E6462,K4517:K6462,"0",B4517:B6462,"5 1 2 4 7 12 31111 6 M59 20400 000132 0000R*")</f>
        <v>0</v>
      </c>
      <c r="E4516" s="54"/>
      <c r="F4516" s="83">
        <f>SUMIFS(F4517:F6462,K4517:K6462,"0",B4517:B6462,"5 1 2 4 7 12 31111 6 M59 20400 000132 0000R*")</f>
        <v>2387.4299999999998</v>
      </c>
      <c r="G4516" s="83">
        <f>SUMIFS(G4517:G6462,K4517:K6462,"0",B4517:B6462,"5 1 2 4 7 12 31111 6 M59 20400 000132 0000R*")</f>
        <v>0</v>
      </c>
      <c r="H4516" s="83">
        <f t="shared" si="70"/>
        <v>2387.4299999999998</v>
      </c>
      <c r="I4516" s="83"/>
      <c r="K4516" s="54" t="s">
        <v>15</v>
      </c>
    </row>
    <row r="4517" spans="2:11" ht="24.75" x14ac:dyDescent="0.2">
      <c r="B4517" s="82" t="s">
        <v>7167</v>
      </c>
      <c r="C4517" s="82" t="s">
        <v>282</v>
      </c>
      <c r="D4517" s="83">
        <f>SUMIFS(D4518:D6462,K4518:K6462,"0",B4518:B6462,"5 1 2 4 7 12 31111 6 M59 20400 000132 0000R 00001*")-SUMIFS(E4518:E6462,K4518:K6462,"0",B4518:B6462,"5 1 2 4 7 12 31111 6 M59 20400 000132 0000R 00001*")</f>
        <v>0</v>
      </c>
      <c r="E4517" s="54"/>
      <c r="F4517" s="83">
        <f>SUMIFS(F4518:F6462,K4518:K6462,"0",B4518:B6462,"5 1 2 4 7 12 31111 6 M59 20400 000132 0000R 00001*")</f>
        <v>2387.4299999999998</v>
      </c>
      <c r="G4517" s="83">
        <f>SUMIFS(G4518:G6462,K4518:K6462,"0",B4518:B6462,"5 1 2 4 7 12 31111 6 M59 20400 000132 0000R 00001*")</f>
        <v>0</v>
      </c>
      <c r="H4517" s="83">
        <f t="shared" si="70"/>
        <v>2387.4299999999998</v>
      </c>
      <c r="I4517" s="83"/>
      <c r="K4517" s="54" t="s">
        <v>15</v>
      </c>
    </row>
    <row r="4518" spans="2:11" ht="24.75" x14ac:dyDescent="0.2">
      <c r="B4518" s="82" t="s">
        <v>7168</v>
      </c>
      <c r="C4518" s="82" t="s">
        <v>7157</v>
      </c>
      <c r="D4518" s="83">
        <f>SUMIFS(D4519:D6462,K4519:K6462,"0",B4519:B6462,"5 1 2 4 7 12 31111 6 M59 20400 000132 0000R 00001 00247*")-SUMIFS(E4519:E6462,K4519:K6462,"0",B4519:B6462,"5 1 2 4 7 12 31111 6 M59 20400 000132 0000R 00001 00247*")</f>
        <v>0</v>
      </c>
      <c r="E4518" s="54"/>
      <c r="F4518" s="83">
        <f>SUMIFS(F4519:F6462,K4519:K6462,"0",B4519:B6462,"5 1 2 4 7 12 31111 6 M59 20400 000132 0000R 00001 00247*")</f>
        <v>2387.4299999999998</v>
      </c>
      <c r="G4518" s="83">
        <f>SUMIFS(G4519:G6462,K4519:K6462,"0",B4519:B6462,"5 1 2 4 7 12 31111 6 M59 20400 000132 0000R 00001 00247*")</f>
        <v>0</v>
      </c>
      <c r="H4518" s="83">
        <f t="shared" si="70"/>
        <v>2387.4299999999998</v>
      </c>
      <c r="I4518" s="83"/>
      <c r="K4518" s="54" t="s">
        <v>15</v>
      </c>
    </row>
    <row r="4519" spans="2:11" ht="33" x14ac:dyDescent="0.2">
      <c r="B4519" s="82" t="s">
        <v>7169</v>
      </c>
      <c r="C4519" s="82" t="s">
        <v>1051</v>
      </c>
      <c r="D4519" s="83">
        <f>SUMIFS(D4520:D6462,K4520:K6462,"0",B4520:B6462,"5 1 2 4 7 12 31111 6 M59 20400 000132 0000R 00001 00247 015*")-SUMIFS(E4520:E6462,K4520:K6462,"0",B4520:B6462,"5 1 2 4 7 12 31111 6 M59 20400 000132 0000R 00001 00247 015*")</f>
        <v>0</v>
      </c>
      <c r="E4519" s="54"/>
      <c r="F4519" s="83">
        <f>SUMIFS(F4520:F6462,K4520:K6462,"0",B4520:B6462,"5 1 2 4 7 12 31111 6 M59 20400 000132 0000R 00001 00247 015*")</f>
        <v>2387.4299999999998</v>
      </c>
      <c r="G4519" s="83">
        <f>SUMIFS(G4520:G6462,K4520:K6462,"0",B4520:B6462,"5 1 2 4 7 12 31111 6 M59 20400 000132 0000R 00001 00247 015*")</f>
        <v>0</v>
      </c>
      <c r="H4519" s="83">
        <f t="shared" si="70"/>
        <v>2387.4299999999998</v>
      </c>
      <c r="I4519" s="83"/>
      <c r="K4519" s="54" t="s">
        <v>15</v>
      </c>
    </row>
    <row r="4520" spans="2:11" ht="33" x14ac:dyDescent="0.2">
      <c r="B4520" s="82" t="s">
        <v>7170</v>
      </c>
      <c r="C4520" s="82" t="s">
        <v>5830</v>
      </c>
      <c r="D4520" s="83">
        <f>SUMIFS(D4521:D6462,K4521:K6462,"0",B4521:B6462,"5 1 2 4 7 12 31111 6 M59 20400 000132 0000R 00001 00247 015 2112000*")-SUMIFS(E4521:E6462,K4521:K6462,"0",B4521:B6462,"5 1 2 4 7 12 31111 6 M59 20400 000132 0000R 00001 00247 015 2112000*")</f>
        <v>0</v>
      </c>
      <c r="E4520" s="54"/>
      <c r="F4520" s="83">
        <f>SUMIFS(F4521:F6462,K4521:K6462,"0",B4521:B6462,"5 1 2 4 7 12 31111 6 M59 20400 000132 0000R 00001 00247 015 2112000*")</f>
        <v>2387.4299999999998</v>
      </c>
      <c r="G4520" s="83">
        <f>SUMIFS(G4521:G6462,K4521:K6462,"0",B4521:B6462,"5 1 2 4 7 12 31111 6 M59 20400 000132 0000R 00001 00247 015 2112000*")</f>
        <v>0</v>
      </c>
      <c r="H4520" s="83">
        <f t="shared" si="70"/>
        <v>2387.4299999999998</v>
      </c>
      <c r="I4520" s="83"/>
      <c r="K4520" s="54" t="s">
        <v>15</v>
      </c>
    </row>
    <row r="4521" spans="2:11" ht="33" x14ac:dyDescent="0.2">
      <c r="B4521" s="82" t="s">
        <v>7171</v>
      </c>
      <c r="C4521" s="82" t="s">
        <v>660</v>
      </c>
      <c r="D4521" s="83">
        <f>SUMIFS(D4522:D6462,K4522:K6462,"0",B4522:B6462,"5 1 2 4 7 12 31111 6 M59 20400 000132 0000R 00001 00247 015 2112000 2024*")-SUMIFS(E4522:E6462,K4522:K6462,"0",B4522:B6462,"5 1 2 4 7 12 31111 6 M59 20400 000132 0000R 00001 00247 015 2112000 2024*")</f>
        <v>0</v>
      </c>
      <c r="E4521" s="54"/>
      <c r="F4521" s="83">
        <f>SUMIFS(F4522:F6462,K4522:K6462,"0",B4522:B6462,"5 1 2 4 7 12 31111 6 M59 20400 000132 0000R 00001 00247 015 2112000 2024*")</f>
        <v>2387.4299999999998</v>
      </c>
      <c r="G4521" s="83">
        <f>SUMIFS(G4522:G6462,K4522:K6462,"0",B4522:B6462,"5 1 2 4 7 12 31111 6 M59 20400 000132 0000R 00001 00247 015 2112000 2024*")</f>
        <v>0</v>
      </c>
      <c r="H4521" s="83">
        <f t="shared" si="70"/>
        <v>2387.4299999999998</v>
      </c>
      <c r="I4521" s="83"/>
      <c r="K4521" s="54" t="s">
        <v>15</v>
      </c>
    </row>
    <row r="4522" spans="2:11" ht="41.25" x14ac:dyDescent="0.2">
      <c r="B4522" s="82" t="s">
        <v>7172</v>
      </c>
      <c r="C4522" s="82" t="s">
        <v>1056</v>
      </c>
      <c r="D4522" s="83">
        <f>SUMIFS(D4523:D6462,K4523:K6462,"0",B4523:B6462,"5 1 2 4 7 12 31111 6 M59 20400 000132 0000R 00001 00247 015 2112000 2024 CP1PV404*")-SUMIFS(E4523:E6462,K4523:K6462,"0",B4523:B6462,"5 1 2 4 7 12 31111 6 M59 20400 000132 0000R 00001 00247 015 2112000 2024 CP1PV404*")</f>
        <v>0</v>
      </c>
      <c r="E4522" s="54"/>
      <c r="F4522" s="83">
        <f>SUMIFS(F4523:F6462,K4523:K6462,"0",B4523:B6462,"5 1 2 4 7 12 31111 6 M59 20400 000132 0000R 00001 00247 015 2112000 2024 CP1PV404*")</f>
        <v>2387.4299999999998</v>
      </c>
      <c r="G4522" s="83">
        <f>SUMIFS(G4523:G6462,K4523:K6462,"0",B4523:B6462,"5 1 2 4 7 12 31111 6 M59 20400 000132 0000R 00001 00247 015 2112000 2024 CP1PV404*")</f>
        <v>0</v>
      </c>
      <c r="H4522" s="83">
        <f t="shared" si="70"/>
        <v>2387.4299999999998</v>
      </c>
      <c r="I4522" s="83"/>
      <c r="K4522" s="54" t="s">
        <v>15</v>
      </c>
    </row>
    <row r="4523" spans="2:11" ht="41.25" x14ac:dyDescent="0.2">
      <c r="B4523" s="82" t="s">
        <v>7173</v>
      </c>
      <c r="C4523" s="82" t="s">
        <v>282</v>
      </c>
      <c r="D4523" s="83">
        <f>SUMIFS(D4524:D6462,K4524:K6462,"0",B4524:B6462,"5 1 2 4 7 12 31111 6 M59 20400 000132 0000R 00001 00247 015 2112000 2024 CP1PV404 001*")-SUMIFS(E4524:E6462,K4524:K6462,"0",B4524:B6462,"5 1 2 4 7 12 31111 6 M59 20400 000132 0000R 00001 00247 015 2112000 2024 CP1PV404 001*")</f>
        <v>0</v>
      </c>
      <c r="E4523" s="54"/>
      <c r="F4523" s="83">
        <f>SUMIFS(F4524:F6462,K4524:K6462,"0",B4524:B6462,"5 1 2 4 7 12 31111 6 M59 20400 000132 0000R 00001 00247 015 2112000 2024 CP1PV404 001*")</f>
        <v>2387.4299999999998</v>
      </c>
      <c r="G4523" s="83">
        <f>SUMIFS(G4524:G6462,K4524:K6462,"0",B4524:B6462,"5 1 2 4 7 12 31111 6 M59 20400 000132 0000R 00001 00247 015 2112000 2024 CP1PV404 001*")</f>
        <v>0</v>
      </c>
      <c r="H4523" s="83">
        <f t="shared" ref="H4523:H4586" si="71">D4523 + F4523 - G4523</f>
        <v>2387.4299999999998</v>
      </c>
      <c r="I4523" s="83"/>
      <c r="K4523" s="54" t="s">
        <v>15</v>
      </c>
    </row>
    <row r="4524" spans="2:11" ht="41.25" x14ac:dyDescent="0.2">
      <c r="B4524" s="84" t="s">
        <v>7174</v>
      </c>
      <c r="C4524" s="84" t="s">
        <v>7157</v>
      </c>
      <c r="D4524" s="85">
        <v>0</v>
      </c>
      <c r="E4524" s="85"/>
      <c r="F4524" s="85">
        <v>2387.4299999999998</v>
      </c>
      <c r="G4524" s="85">
        <v>0</v>
      </c>
      <c r="H4524" s="85">
        <f t="shared" si="71"/>
        <v>2387.4299999999998</v>
      </c>
      <c r="I4524" s="85"/>
      <c r="K4524" s="54" t="s">
        <v>38</v>
      </c>
    </row>
    <row r="4525" spans="2:11" ht="16.5" x14ac:dyDescent="0.2">
      <c r="B4525" s="82" t="s">
        <v>7175</v>
      </c>
      <c r="C4525" s="82" t="s">
        <v>3138</v>
      </c>
      <c r="D4525" s="83">
        <f>SUMIFS(D4526:D6462,K4526:K6462,"0",B4526:B6462,"5 1 2 4 7 12 31111 6 M59 20700*")-SUMIFS(E4526:E6462,K4526:K6462,"0",B4526:B6462,"5 1 2 4 7 12 31111 6 M59 20700*")</f>
        <v>0</v>
      </c>
      <c r="E4525" s="54"/>
      <c r="F4525" s="83">
        <f>SUMIFS(F4526:F6462,K4526:K6462,"0",B4526:B6462,"5 1 2 4 7 12 31111 6 M59 20700*")</f>
        <v>132.47</v>
      </c>
      <c r="G4525" s="83">
        <f>SUMIFS(G4526:G6462,K4526:K6462,"0",B4526:B6462,"5 1 2 4 7 12 31111 6 M59 20700*")</f>
        <v>0</v>
      </c>
      <c r="H4525" s="83">
        <f t="shared" si="71"/>
        <v>132.47</v>
      </c>
      <c r="I4525" s="83"/>
      <c r="K4525" s="54" t="s">
        <v>15</v>
      </c>
    </row>
    <row r="4526" spans="2:11" ht="16.5" x14ac:dyDescent="0.2">
      <c r="B4526" s="82" t="s">
        <v>7176</v>
      </c>
      <c r="C4526" s="82" t="s">
        <v>648</v>
      </c>
      <c r="D4526" s="83">
        <f>SUMIFS(D4527:D6462,K4527:K6462,"0",B4527:B6462,"5 1 2 4 7 12 31111 6 M59 20700 000132*")-SUMIFS(E4527:E6462,K4527:K6462,"0",B4527:B6462,"5 1 2 4 7 12 31111 6 M59 20700 000132*")</f>
        <v>0</v>
      </c>
      <c r="E4526" s="54"/>
      <c r="F4526" s="83">
        <f>SUMIFS(F4527:F6462,K4527:K6462,"0",B4527:B6462,"5 1 2 4 7 12 31111 6 M59 20700 000132*")</f>
        <v>132.47</v>
      </c>
      <c r="G4526" s="83">
        <f>SUMIFS(G4527:G6462,K4527:K6462,"0",B4527:B6462,"5 1 2 4 7 12 31111 6 M59 20700 000132*")</f>
        <v>0</v>
      </c>
      <c r="H4526" s="83">
        <f t="shared" si="71"/>
        <v>132.47</v>
      </c>
      <c r="I4526" s="83"/>
      <c r="K4526" s="54" t="s">
        <v>15</v>
      </c>
    </row>
    <row r="4527" spans="2:11" ht="24.75" x14ac:dyDescent="0.2">
      <c r="B4527" s="82" t="s">
        <v>7177</v>
      </c>
      <c r="C4527" s="82" t="s">
        <v>650</v>
      </c>
      <c r="D4527" s="83">
        <f>SUMIFS(D4528:D6462,K4528:K6462,"0",B4528:B6462,"5 1 2 4 7 12 31111 6 M59 20700 000132 0000R*")-SUMIFS(E4528:E6462,K4528:K6462,"0",B4528:B6462,"5 1 2 4 7 12 31111 6 M59 20700 000132 0000R*")</f>
        <v>0</v>
      </c>
      <c r="E4527" s="54"/>
      <c r="F4527" s="83">
        <f>SUMIFS(F4528:F6462,K4528:K6462,"0",B4528:B6462,"5 1 2 4 7 12 31111 6 M59 20700 000132 0000R*")</f>
        <v>132.47</v>
      </c>
      <c r="G4527" s="83">
        <f>SUMIFS(G4528:G6462,K4528:K6462,"0",B4528:B6462,"5 1 2 4 7 12 31111 6 M59 20700 000132 0000R*")</f>
        <v>0</v>
      </c>
      <c r="H4527" s="83">
        <f t="shared" si="71"/>
        <v>132.47</v>
      </c>
      <c r="I4527" s="83"/>
      <c r="K4527" s="54" t="s">
        <v>15</v>
      </c>
    </row>
    <row r="4528" spans="2:11" ht="24.75" x14ac:dyDescent="0.2">
      <c r="B4528" s="82" t="s">
        <v>7178</v>
      </c>
      <c r="C4528" s="82" t="s">
        <v>282</v>
      </c>
      <c r="D4528" s="83">
        <f>SUMIFS(D4529:D6462,K4529:K6462,"0",B4529:B6462,"5 1 2 4 7 12 31111 6 M59 20700 000132 0000R 00001*")-SUMIFS(E4529:E6462,K4529:K6462,"0",B4529:B6462,"5 1 2 4 7 12 31111 6 M59 20700 000132 0000R 00001*")</f>
        <v>0</v>
      </c>
      <c r="E4528" s="54"/>
      <c r="F4528" s="83">
        <f>SUMIFS(F4529:F6462,K4529:K6462,"0",B4529:B6462,"5 1 2 4 7 12 31111 6 M59 20700 000132 0000R 00001*")</f>
        <v>132.47</v>
      </c>
      <c r="G4528" s="83">
        <f>SUMIFS(G4529:G6462,K4529:K6462,"0",B4529:B6462,"5 1 2 4 7 12 31111 6 M59 20700 000132 0000R 00001*")</f>
        <v>0</v>
      </c>
      <c r="H4528" s="83">
        <f t="shared" si="71"/>
        <v>132.47</v>
      </c>
      <c r="I4528" s="83"/>
      <c r="K4528" s="54" t="s">
        <v>15</v>
      </c>
    </row>
    <row r="4529" spans="2:11" ht="24.75" x14ac:dyDescent="0.2">
      <c r="B4529" s="82" t="s">
        <v>7179</v>
      </c>
      <c r="C4529" s="82" t="s">
        <v>7157</v>
      </c>
      <c r="D4529" s="83">
        <f>SUMIFS(D4530:D6462,K4530:K6462,"0",B4530:B6462,"5 1 2 4 7 12 31111 6 M59 20700 000132 0000R 00001 00247*")-SUMIFS(E4530:E6462,K4530:K6462,"0",B4530:B6462,"5 1 2 4 7 12 31111 6 M59 20700 000132 0000R 00001 00247*")</f>
        <v>0</v>
      </c>
      <c r="E4529" s="54"/>
      <c r="F4529" s="83">
        <f>SUMIFS(F4530:F6462,K4530:K6462,"0",B4530:B6462,"5 1 2 4 7 12 31111 6 M59 20700 000132 0000R 00001 00247*")</f>
        <v>132.47</v>
      </c>
      <c r="G4529" s="83">
        <f>SUMIFS(G4530:G6462,K4530:K6462,"0",B4530:B6462,"5 1 2 4 7 12 31111 6 M59 20700 000132 0000R 00001 00247*")</f>
        <v>0</v>
      </c>
      <c r="H4529" s="83">
        <f t="shared" si="71"/>
        <v>132.47</v>
      </c>
      <c r="I4529" s="83"/>
      <c r="K4529" s="54" t="s">
        <v>15</v>
      </c>
    </row>
    <row r="4530" spans="2:11" ht="33" x14ac:dyDescent="0.2">
      <c r="B4530" s="82" t="s">
        <v>7180</v>
      </c>
      <c r="C4530" s="82" t="s">
        <v>1051</v>
      </c>
      <c r="D4530" s="83">
        <f>SUMIFS(D4531:D6462,K4531:K6462,"0",B4531:B6462,"5 1 2 4 7 12 31111 6 M59 20700 000132 0000R 00001 00247 015*")-SUMIFS(E4531:E6462,K4531:K6462,"0",B4531:B6462,"5 1 2 4 7 12 31111 6 M59 20700 000132 0000R 00001 00247 015*")</f>
        <v>0</v>
      </c>
      <c r="E4530" s="54"/>
      <c r="F4530" s="83">
        <f>SUMIFS(F4531:F6462,K4531:K6462,"0",B4531:B6462,"5 1 2 4 7 12 31111 6 M59 20700 000132 0000R 00001 00247 015*")</f>
        <v>132.47</v>
      </c>
      <c r="G4530" s="83">
        <f>SUMIFS(G4531:G6462,K4531:K6462,"0",B4531:B6462,"5 1 2 4 7 12 31111 6 M59 20700 000132 0000R 00001 00247 015*")</f>
        <v>0</v>
      </c>
      <c r="H4530" s="83">
        <f t="shared" si="71"/>
        <v>132.47</v>
      </c>
      <c r="I4530" s="83"/>
      <c r="K4530" s="54" t="s">
        <v>15</v>
      </c>
    </row>
    <row r="4531" spans="2:11" ht="33" x14ac:dyDescent="0.2">
      <c r="B4531" s="82" t="s">
        <v>7181</v>
      </c>
      <c r="C4531" s="82" t="s">
        <v>5830</v>
      </c>
      <c r="D4531" s="83">
        <f>SUMIFS(D4532:D6462,K4532:K6462,"0",B4532:B6462,"5 1 2 4 7 12 31111 6 M59 20700 000132 0000R 00001 00247 015 2112000*")-SUMIFS(E4532:E6462,K4532:K6462,"0",B4532:B6462,"5 1 2 4 7 12 31111 6 M59 20700 000132 0000R 00001 00247 015 2112000*")</f>
        <v>0</v>
      </c>
      <c r="E4531" s="54"/>
      <c r="F4531" s="83">
        <f>SUMIFS(F4532:F6462,K4532:K6462,"0",B4532:B6462,"5 1 2 4 7 12 31111 6 M59 20700 000132 0000R 00001 00247 015 2112000*")</f>
        <v>132.47</v>
      </c>
      <c r="G4531" s="83">
        <f>SUMIFS(G4532:G6462,K4532:K6462,"0",B4532:B6462,"5 1 2 4 7 12 31111 6 M59 20700 000132 0000R 00001 00247 015 2112000*")</f>
        <v>0</v>
      </c>
      <c r="H4531" s="83">
        <f t="shared" si="71"/>
        <v>132.47</v>
      </c>
      <c r="I4531" s="83"/>
      <c r="K4531" s="54" t="s">
        <v>15</v>
      </c>
    </row>
    <row r="4532" spans="2:11" ht="33" x14ac:dyDescent="0.2">
      <c r="B4532" s="82" t="s">
        <v>7182</v>
      </c>
      <c r="C4532" s="82" t="s">
        <v>660</v>
      </c>
      <c r="D4532" s="83">
        <f>SUMIFS(D4533:D6462,K4533:K6462,"0",B4533:B6462,"5 1 2 4 7 12 31111 6 M59 20700 000132 0000R 00001 00247 015 2112000 2024*")-SUMIFS(E4533:E6462,K4533:K6462,"0",B4533:B6462,"5 1 2 4 7 12 31111 6 M59 20700 000132 0000R 00001 00247 015 2112000 2024*")</f>
        <v>0</v>
      </c>
      <c r="E4532" s="54"/>
      <c r="F4532" s="83">
        <f>SUMIFS(F4533:F6462,K4533:K6462,"0",B4533:B6462,"5 1 2 4 7 12 31111 6 M59 20700 000132 0000R 00001 00247 015 2112000 2024*")</f>
        <v>132.47</v>
      </c>
      <c r="G4532" s="83">
        <f>SUMIFS(G4533:G6462,K4533:K6462,"0",B4533:B6462,"5 1 2 4 7 12 31111 6 M59 20700 000132 0000R 00001 00247 015 2112000 2024*")</f>
        <v>0</v>
      </c>
      <c r="H4532" s="83">
        <f t="shared" si="71"/>
        <v>132.47</v>
      </c>
      <c r="I4532" s="83"/>
      <c r="K4532" s="54" t="s">
        <v>15</v>
      </c>
    </row>
    <row r="4533" spans="2:11" ht="41.25" x14ac:dyDescent="0.2">
      <c r="B4533" s="82" t="s">
        <v>7183</v>
      </c>
      <c r="C4533" s="82" t="s">
        <v>662</v>
      </c>
      <c r="D4533" s="83">
        <f>SUMIFS(D4534:D6462,K4534:K6462,"0",B4534:B6462,"5 1 2 4 7 12 31111 6 M59 20700 000132 0000R 00001 00247 015 2112000 2024 CP1RM401*")-SUMIFS(E4534:E6462,K4534:K6462,"0",B4534:B6462,"5 1 2 4 7 12 31111 6 M59 20700 000132 0000R 00001 00247 015 2112000 2024 CP1RM401*")</f>
        <v>0</v>
      </c>
      <c r="E4533" s="54"/>
      <c r="F4533" s="83">
        <f>SUMIFS(F4534:F6462,K4534:K6462,"0",B4534:B6462,"5 1 2 4 7 12 31111 6 M59 20700 000132 0000R 00001 00247 015 2112000 2024 CP1RM401*")</f>
        <v>132.47</v>
      </c>
      <c r="G4533" s="83">
        <f>SUMIFS(G4534:G6462,K4534:K6462,"0",B4534:B6462,"5 1 2 4 7 12 31111 6 M59 20700 000132 0000R 00001 00247 015 2112000 2024 CP1RM401*")</f>
        <v>0</v>
      </c>
      <c r="H4533" s="83">
        <f t="shared" si="71"/>
        <v>132.47</v>
      </c>
      <c r="I4533" s="83"/>
      <c r="K4533" s="54" t="s">
        <v>15</v>
      </c>
    </row>
    <row r="4534" spans="2:11" ht="41.25" x14ac:dyDescent="0.2">
      <c r="B4534" s="82" t="s">
        <v>7184</v>
      </c>
      <c r="C4534" s="82" t="s">
        <v>282</v>
      </c>
      <c r="D4534" s="83">
        <f>SUMIFS(D4535:D6462,K4535:K6462,"0",B4535:B6462,"5 1 2 4 7 12 31111 6 M59 20700 000132 0000R 00001 00247 015 2112000 2024 CP1RM401 001*")-SUMIFS(E4535:E6462,K4535:K6462,"0",B4535:B6462,"5 1 2 4 7 12 31111 6 M59 20700 000132 0000R 00001 00247 015 2112000 2024 CP1RM401 001*")</f>
        <v>0</v>
      </c>
      <c r="E4534" s="54"/>
      <c r="F4534" s="83">
        <f>SUMIFS(F4535:F6462,K4535:K6462,"0",B4535:B6462,"5 1 2 4 7 12 31111 6 M59 20700 000132 0000R 00001 00247 015 2112000 2024 CP1RM401 001*")</f>
        <v>132.47</v>
      </c>
      <c r="G4534" s="83">
        <f>SUMIFS(G4535:G6462,K4535:K6462,"0",B4535:B6462,"5 1 2 4 7 12 31111 6 M59 20700 000132 0000R 00001 00247 015 2112000 2024 CP1RM401 001*")</f>
        <v>0</v>
      </c>
      <c r="H4534" s="83">
        <f t="shared" si="71"/>
        <v>132.47</v>
      </c>
      <c r="I4534" s="83"/>
      <c r="K4534" s="54" t="s">
        <v>15</v>
      </c>
    </row>
    <row r="4535" spans="2:11" ht="33" x14ac:dyDescent="0.2">
      <c r="B4535" s="84" t="s">
        <v>7185</v>
      </c>
      <c r="C4535" s="84" t="s">
        <v>7157</v>
      </c>
      <c r="D4535" s="85">
        <v>0</v>
      </c>
      <c r="E4535" s="85"/>
      <c r="F4535" s="85">
        <v>132.47</v>
      </c>
      <c r="G4535" s="85">
        <v>0</v>
      </c>
      <c r="H4535" s="85">
        <f t="shared" si="71"/>
        <v>132.47</v>
      </c>
      <c r="I4535" s="85"/>
      <c r="K4535" s="54" t="s">
        <v>38</v>
      </c>
    </row>
    <row r="4536" spans="2:11" ht="16.5" x14ac:dyDescent="0.2">
      <c r="B4536" s="82" t="s">
        <v>7186</v>
      </c>
      <c r="C4536" s="82" t="s">
        <v>3281</v>
      </c>
      <c r="D4536" s="83">
        <f>SUMIFS(D4537:D6462,K4537:K6462,"0",B4537:B6462,"5 1 2 4 7 12 31111 6 M59 50000*")-SUMIFS(E4537:E6462,K4537:K6462,"0",B4537:B6462,"5 1 2 4 7 12 31111 6 M59 50000*")</f>
        <v>0</v>
      </c>
      <c r="E4536" s="54"/>
      <c r="F4536" s="83">
        <f>SUMIFS(F4537:F6462,K4537:K6462,"0",B4537:B6462,"5 1 2 4 7 12 31111 6 M59 50000*")</f>
        <v>157646.88</v>
      </c>
      <c r="G4536" s="83">
        <f>SUMIFS(G4537:G6462,K4537:K6462,"0",B4537:B6462,"5 1 2 4 7 12 31111 6 M59 50000*")</f>
        <v>0</v>
      </c>
      <c r="H4536" s="83">
        <f t="shared" si="71"/>
        <v>157646.88</v>
      </c>
      <c r="I4536" s="83"/>
      <c r="K4536" s="54" t="s">
        <v>15</v>
      </c>
    </row>
    <row r="4537" spans="2:11" ht="16.5" x14ac:dyDescent="0.2">
      <c r="B4537" s="82" t="s">
        <v>7187</v>
      </c>
      <c r="C4537" s="82" t="s">
        <v>3283</v>
      </c>
      <c r="D4537" s="83">
        <f>SUMIFS(D4538:D6462,K4538:K6462,"0",B4538:B6462,"5 1 2 4 7 12 31111 6 M59 50000 000223*")-SUMIFS(E4538:E6462,K4538:K6462,"0",B4538:B6462,"5 1 2 4 7 12 31111 6 M59 50000 000223*")</f>
        <v>0</v>
      </c>
      <c r="E4537" s="54"/>
      <c r="F4537" s="83">
        <f>SUMIFS(F4538:F6462,K4538:K6462,"0",B4538:B6462,"5 1 2 4 7 12 31111 6 M59 50000 000223*")</f>
        <v>157646.88</v>
      </c>
      <c r="G4537" s="83">
        <f>SUMIFS(G4538:G6462,K4538:K6462,"0",B4538:B6462,"5 1 2 4 7 12 31111 6 M59 50000 000223*")</f>
        <v>0</v>
      </c>
      <c r="H4537" s="83">
        <f t="shared" si="71"/>
        <v>157646.88</v>
      </c>
      <c r="I4537" s="83"/>
      <c r="K4537" s="54" t="s">
        <v>15</v>
      </c>
    </row>
    <row r="4538" spans="2:11" ht="24.75" x14ac:dyDescent="0.2">
      <c r="B4538" s="82" t="s">
        <v>7188</v>
      </c>
      <c r="C4538" s="82" t="s">
        <v>1065</v>
      </c>
      <c r="D4538" s="83">
        <f>SUMIFS(D4539:D6462,K4539:K6462,"0",B4539:B6462,"5 1 2 4 7 12 31111 6 M59 50000 000223 0000E*")-SUMIFS(E4539:E6462,K4539:K6462,"0",B4539:B6462,"5 1 2 4 7 12 31111 6 M59 50000 000223 0000E*")</f>
        <v>0</v>
      </c>
      <c r="E4538" s="54"/>
      <c r="F4538" s="83">
        <f>SUMIFS(F4539:F6462,K4539:K6462,"0",B4539:B6462,"5 1 2 4 7 12 31111 6 M59 50000 000223 0000E*")</f>
        <v>157646.88</v>
      </c>
      <c r="G4538" s="83">
        <f>SUMIFS(G4539:G6462,K4539:K6462,"0",B4539:B6462,"5 1 2 4 7 12 31111 6 M59 50000 000223 0000E*")</f>
        <v>0</v>
      </c>
      <c r="H4538" s="83">
        <f t="shared" si="71"/>
        <v>157646.88</v>
      </c>
      <c r="I4538" s="83"/>
      <c r="K4538" s="54" t="s">
        <v>15</v>
      </c>
    </row>
    <row r="4539" spans="2:11" ht="24.75" x14ac:dyDescent="0.2">
      <c r="B4539" s="82" t="s">
        <v>7189</v>
      </c>
      <c r="C4539" s="82" t="s">
        <v>282</v>
      </c>
      <c r="D4539" s="83">
        <f>SUMIFS(D4540:D6462,K4540:K6462,"0",B4540:B6462,"5 1 2 4 7 12 31111 6 M59 50000 000223 0000E 00001*")-SUMIFS(E4540:E6462,K4540:K6462,"0",B4540:B6462,"5 1 2 4 7 12 31111 6 M59 50000 000223 0000E 00001*")</f>
        <v>0</v>
      </c>
      <c r="E4539" s="54"/>
      <c r="F4539" s="83">
        <f>SUMIFS(F4540:F6462,K4540:K6462,"0",B4540:B6462,"5 1 2 4 7 12 31111 6 M59 50000 000223 0000E 00001*")</f>
        <v>157646.88</v>
      </c>
      <c r="G4539" s="83">
        <f>SUMIFS(G4540:G6462,K4540:K6462,"0",B4540:B6462,"5 1 2 4 7 12 31111 6 M59 50000 000223 0000E 00001*")</f>
        <v>0</v>
      </c>
      <c r="H4539" s="83">
        <f t="shared" si="71"/>
        <v>157646.88</v>
      </c>
      <c r="I4539" s="83"/>
      <c r="K4539" s="54" t="s">
        <v>15</v>
      </c>
    </row>
    <row r="4540" spans="2:11" ht="24.75" x14ac:dyDescent="0.2">
      <c r="B4540" s="82" t="s">
        <v>7190</v>
      </c>
      <c r="C4540" s="82" t="s">
        <v>7157</v>
      </c>
      <c r="D4540" s="83">
        <f>SUMIFS(D4541:D6462,K4541:K6462,"0",B4541:B6462,"5 1 2 4 7 12 31111 6 M59 50000 000223 0000E 00001 00247*")-SUMIFS(E4541:E6462,K4541:K6462,"0",B4541:B6462,"5 1 2 4 7 12 31111 6 M59 50000 000223 0000E 00001 00247*")</f>
        <v>0</v>
      </c>
      <c r="E4540" s="54"/>
      <c r="F4540" s="83">
        <f>SUMIFS(F4541:F6462,K4541:K6462,"0",B4541:B6462,"5 1 2 4 7 12 31111 6 M59 50000 000223 0000E 00001 00247*")</f>
        <v>157646.88</v>
      </c>
      <c r="G4540" s="83">
        <f>SUMIFS(G4541:G6462,K4541:K6462,"0",B4541:B6462,"5 1 2 4 7 12 31111 6 M59 50000 000223 0000E 00001 00247*")</f>
        <v>0</v>
      </c>
      <c r="H4540" s="83">
        <f t="shared" si="71"/>
        <v>157646.88</v>
      </c>
      <c r="I4540" s="83"/>
      <c r="K4540" s="54" t="s">
        <v>15</v>
      </c>
    </row>
    <row r="4541" spans="2:11" ht="33" x14ac:dyDescent="0.2">
      <c r="B4541" s="82" t="s">
        <v>7191</v>
      </c>
      <c r="C4541" s="82" t="s">
        <v>1051</v>
      </c>
      <c r="D4541" s="83">
        <f>SUMIFS(D4542:D6462,K4542:K6462,"0",B4542:B6462,"5 1 2 4 7 12 31111 6 M59 50000 000223 0000E 00001 00247 015*")-SUMIFS(E4542:E6462,K4542:K6462,"0",B4542:B6462,"5 1 2 4 7 12 31111 6 M59 50000 000223 0000E 00001 00247 015*")</f>
        <v>0</v>
      </c>
      <c r="E4541" s="54"/>
      <c r="F4541" s="83">
        <f>SUMIFS(F4542:F6462,K4542:K6462,"0",B4542:B6462,"5 1 2 4 7 12 31111 6 M59 50000 000223 0000E 00001 00247 015*")</f>
        <v>157646.88</v>
      </c>
      <c r="G4541" s="83">
        <f>SUMIFS(G4542:G6462,K4542:K6462,"0",B4542:B6462,"5 1 2 4 7 12 31111 6 M59 50000 000223 0000E 00001 00247 015*")</f>
        <v>0</v>
      </c>
      <c r="H4541" s="83">
        <f t="shared" si="71"/>
        <v>157646.88</v>
      </c>
      <c r="I4541" s="83"/>
      <c r="K4541" s="54" t="s">
        <v>15</v>
      </c>
    </row>
    <row r="4542" spans="2:11" ht="33" x14ac:dyDescent="0.2">
      <c r="B4542" s="82" t="s">
        <v>7192</v>
      </c>
      <c r="C4542" s="82" t="s">
        <v>5830</v>
      </c>
      <c r="D4542" s="83">
        <f>SUMIFS(D4543:D6462,K4543:K6462,"0",B4543:B6462,"5 1 2 4 7 12 31111 6 M59 50000 000223 0000E 00001 00247 015 2112000*")-SUMIFS(E4543:E6462,K4543:K6462,"0",B4543:B6462,"5 1 2 4 7 12 31111 6 M59 50000 000223 0000E 00001 00247 015 2112000*")</f>
        <v>0</v>
      </c>
      <c r="E4542" s="54"/>
      <c r="F4542" s="83">
        <f>SUMIFS(F4543:F6462,K4543:K6462,"0",B4543:B6462,"5 1 2 4 7 12 31111 6 M59 50000 000223 0000E 00001 00247 015 2112000*")</f>
        <v>157646.88</v>
      </c>
      <c r="G4542" s="83">
        <f>SUMIFS(G4543:G6462,K4543:K6462,"0",B4543:B6462,"5 1 2 4 7 12 31111 6 M59 50000 000223 0000E 00001 00247 015 2112000*")</f>
        <v>0</v>
      </c>
      <c r="H4542" s="83">
        <f t="shared" si="71"/>
        <v>157646.88</v>
      </c>
      <c r="I4542" s="83"/>
      <c r="K4542" s="54" t="s">
        <v>15</v>
      </c>
    </row>
    <row r="4543" spans="2:11" ht="33" x14ac:dyDescent="0.2">
      <c r="B4543" s="82" t="s">
        <v>7193</v>
      </c>
      <c r="C4543" s="82" t="s">
        <v>660</v>
      </c>
      <c r="D4543" s="83">
        <f>SUMIFS(D4544:D6462,K4544:K6462,"0",B4544:B6462,"5 1 2 4 7 12 31111 6 M59 50000 000223 0000E 00001 00247 015 2112000 2024*")-SUMIFS(E4544:E6462,K4544:K6462,"0",B4544:B6462,"5 1 2 4 7 12 31111 6 M59 50000 000223 0000E 00001 00247 015 2112000 2024*")</f>
        <v>0</v>
      </c>
      <c r="E4543" s="54"/>
      <c r="F4543" s="83">
        <f>SUMIFS(F4544:F6462,K4544:K6462,"0",B4544:B6462,"5 1 2 4 7 12 31111 6 M59 50000 000223 0000E 00001 00247 015 2112000 2024*")</f>
        <v>157646.88</v>
      </c>
      <c r="G4543" s="83">
        <f>SUMIFS(G4544:G6462,K4544:K6462,"0",B4544:B6462,"5 1 2 4 7 12 31111 6 M59 50000 000223 0000E 00001 00247 015 2112000 2024*")</f>
        <v>0</v>
      </c>
      <c r="H4543" s="83">
        <f t="shared" si="71"/>
        <v>157646.88</v>
      </c>
      <c r="I4543" s="83"/>
      <c r="K4543" s="54" t="s">
        <v>15</v>
      </c>
    </row>
    <row r="4544" spans="2:11" ht="41.25" x14ac:dyDescent="0.2">
      <c r="B4544" s="82" t="s">
        <v>7194</v>
      </c>
      <c r="C4544" s="82" t="s">
        <v>662</v>
      </c>
      <c r="D4544" s="83">
        <f>SUMIFS(D4545:D6462,K4545:K6462,"0",B4545:B6462,"5 1 2 4 7 12 31111 6 M59 50000 000223 0000E 00001 00247 015 2112000 2024 CP1DA424*")-SUMIFS(E4545:E6462,K4545:K6462,"0",B4545:B6462,"5 1 2 4 7 12 31111 6 M59 50000 000223 0000E 00001 00247 015 2112000 2024 CP1DA424*")</f>
        <v>0</v>
      </c>
      <c r="E4544" s="54"/>
      <c r="F4544" s="83">
        <f>SUMIFS(F4545:F6462,K4545:K6462,"0",B4545:B6462,"5 1 2 4 7 12 31111 6 M59 50000 000223 0000E 00001 00247 015 2112000 2024 CP1DA424*")</f>
        <v>157646.88</v>
      </c>
      <c r="G4544" s="83">
        <f>SUMIFS(G4545:G6462,K4545:K6462,"0",B4545:B6462,"5 1 2 4 7 12 31111 6 M59 50000 000223 0000E 00001 00247 015 2112000 2024 CP1DA424*")</f>
        <v>0</v>
      </c>
      <c r="H4544" s="83">
        <f t="shared" si="71"/>
        <v>157646.88</v>
      </c>
      <c r="I4544" s="83"/>
      <c r="K4544" s="54" t="s">
        <v>15</v>
      </c>
    </row>
    <row r="4545" spans="2:11" ht="41.25" x14ac:dyDescent="0.2">
      <c r="B4545" s="82" t="s">
        <v>7195</v>
      </c>
      <c r="C4545" s="82" t="s">
        <v>282</v>
      </c>
      <c r="D4545" s="83">
        <f>SUMIFS(D4546:D6462,K4546:K6462,"0",B4546:B6462,"5 1 2 4 7 12 31111 6 M59 50000 000223 0000E 00001 00247 015 2112000 2024 CP1DA424 001*")-SUMIFS(E4546:E6462,K4546:K6462,"0",B4546:B6462,"5 1 2 4 7 12 31111 6 M59 50000 000223 0000E 00001 00247 015 2112000 2024 CP1DA424 001*")</f>
        <v>0</v>
      </c>
      <c r="E4545" s="54"/>
      <c r="F4545" s="83">
        <f>SUMIFS(F4546:F6462,K4546:K6462,"0",B4546:B6462,"5 1 2 4 7 12 31111 6 M59 50000 000223 0000E 00001 00247 015 2112000 2024 CP1DA424 001*")</f>
        <v>157646.88</v>
      </c>
      <c r="G4545" s="83">
        <f>SUMIFS(G4546:G6462,K4546:K6462,"0",B4546:B6462,"5 1 2 4 7 12 31111 6 M59 50000 000223 0000E 00001 00247 015 2112000 2024 CP1DA424 001*")</f>
        <v>0</v>
      </c>
      <c r="H4545" s="83">
        <f t="shared" si="71"/>
        <v>157646.88</v>
      </c>
      <c r="I4545" s="83"/>
      <c r="K4545" s="54" t="s">
        <v>15</v>
      </c>
    </row>
    <row r="4546" spans="2:11" ht="41.25" x14ac:dyDescent="0.2">
      <c r="B4546" s="84" t="s">
        <v>7196</v>
      </c>
      <c r="C4546" s="84" t="s">
        <v>7147</v>
      </c>
      <c r="D4546" s="85">
        <v>0</v>
      </c>
      <c r="E4546" s="85"/>
      <c r="F4546" s="85">
        <v>157646.88</v>
      </c>
      <c r="G4546" s="85">
        <v>0</v>
      </c>
      <c r="H4546" s="85">
        <f t="shared" si="71"/>
        <v>157646.88</v>
      </c>
      <c r="I4546" s="85"/>
      <c r="K4546" s="54" t="s">
        <v>38</v>
      </c>
    </row>
    <row r="4547" spans="2:11" ht="16.5" x14ac:dyDescent="0.2">
      <c r="B4547" s="82" t="s">
        <v>7197</v>
      </c>
      <c r="C4547" s="82" t="s">
        <v>1269</v>
      </c>
      <c r="D4547" s="83">
        <f>SUMIFS(D4548:D6462,K4548:K6462,"0",B4548:B6462,"5 1 2 4 7 12 31111 6 M59 60100*")-SUMIFS(E4548:E6462,K4548:K6462,"0",B4548:B6462,"5 1 2 4 7 12 31111 6 M59 60100*")</f>
        <v>0</v>
      </c>
      <c r="E4547" s="54"/>
      <c r="F4547" s="83">
        <f>SUMIFS(F4548:F6462,K4548:K6462,"0",B4548:B6462,"5 1 2 4 7 12 31111 6 M59 60100*")</f>
        <v>665.47</v>
      </c>
      <c r="G4547" s="83">
        <f>SUMIFS(G4548:G6462,K4548:K6462,"0",B4548:B6462,"5 1 2 4 7 12 31111 6 M59 60100*")</f>
        <v>0</v>
      </c>
      <c r="H4547" s="83">
        <f t="shared" si="71"/>
        <v>665.47</v>
      </c>
      <c r="I4547" s="83"/>
      <c r="K4547" s="54" t="s">
        <v>15</v>
      </c>
    </row>
    <row r="4548" spans="2:11" ht="16.5" x14ac:dyDescent="0.2">
      <c r="B4548" s="82" t="s">
        <v>7198</v>
      </c>
      <c r="C4548" s="82" t="s">
        <v>648</v>
      </c>
      <c r="D4548" s="83">
        <f>SUMIFS(D4549:D6462,K4549:K6462,"0",B4549:B6462,"5 1 2 4 7 12 31111 6 M59 60100 000132*")-SUMIFS(E4549:E6462,K4549:K6462,"0",B4549:B6462,"5 1 2 4 7 12 31111 6 M59 60100 000132*")</f>
        <v>0</v>
      </c>
      <c r="E4548" s="54"/>
      <c r="F4548" s="83">
        <f>SUMIFS(F4549:F6462,K4549:K6462,"0",B4549:B6462,"5 1 2 4 7 12 31111 6 M59 60100 000132*")</f>
        <v>665.47</v>
      </c>
      <c r="G4548" s="83">
        <f>SUMIFS(G4549:G6462,K4549:K6462,"0",B4549:B6462,"5 1 2 4 7 12 31111 6 M59 60100 000132*")</f>
        <v>0</v>
      </c>
      <c r="H4548" s="83">
        <f t="shared" si="71"/>
        <v>665.47</v>
      </c>
      <c r="I4548" s="83"/>
      <c r="K4548" s="54" t="s">
        <v>15</v>
      </c>
    </row>
    <row r="4549" spans="2:11" ht="24.75" x14ac:dyDescent="0.2">
      <c r="B4549" s="82" t="s">
        <v>7199</v>
      </c>
      <c r="C4549" s="82" t="s">
        <v>650</v>
      </c>
      <c r="D4549" s="83">
        <f>SUMIFS(D4550:D6462,K4550:K6462,"0",B4550:B6462,"5 1 2 4 7 12 31111 6 M59 60100 000132 0000R*")-SUMIFS(E4550:E6462,K4550:K6462,"0",B4550:B6462,"5 1 2 4 7 12 31111 6 M59 60100 000132 0000R*")</f>
        <v>0</v>
      </c>
      <c r="E4549" s="54"/>
      <c r="F4549" s="83">
        <f>SUMIFS(F4550:F6462,K4550:K6462,"0",B4550:B6462,"5 1 2 4 7 12 31111 6 M59 60100 000132 0000R*")</f>
        <v>665.47</v>
      </c>
      <c r="G4549" s="83">
        <f>SUMIFS(G4550:G6462,K4550:K6462,"0",B4550:B6462,"5 1 2 4 7 12 31111 6 M59 60100 000132 0000R*")</f>
        <v>0</v>
      </c>
      <c r="H4549" s="83">
        <f t="shared" si="71"/>
        <v>665.47</v>
      </c>
      <c r="I4549" s="83"/>
      <c r="K4549" s="54" t="s">
        <v>15</v>
      </c>
    </row>
    <row r="4550" spans="2:11" ht="24.75" x14ac:dyDescent="0.2">
      <c r="B4550" s="82" t="s">
        <v>7200</v>
      </c>
      <c r="C4550" s="82" t="s">
        <v>282</v>
      </c>
      <c r="D4550" s="83">
        <f>SUMIFS(D4551:D6462,K4551:K6462,"0",B4551:B6462,"5 1 2 4 7 12 31111 6 M59 60100 000132 0000R 00001*")-SUMIFS(E4551:E6462,K4551:K6462,"0",B4551:B6462,"5 1 2 4 7 12 31111 6 M59 60100 000132 0000R 00001*")</f>
        <v>0</v>
      </c>
      <c r="E4550" s="54"/>
      <c r="F4550" s="83">
        <f>SUMIFS(F4551:F6462,K4551:K6462,"0",B4551:B6462,"5 1 2 4 7 12 31111 6 M59 60100 000132 0000R 00001*")</f>
        <v>665.47</v>
      </c>
      <c r="G4550" s="83">
        <f>SUMIFS(G4551:G6462,K4551:K6462,"0",B4551:B6462,"5 1 2 4 7 12 31111 6 M59 60100 000132 0000R 00001*")</f>
        <v>0</v>
      </c>
      <c r="H4550" s="83">
        <f t="shared" si="71"/>
        <v>665.47</v>
      </c>
      <c r="I4550" s="83"/>
      <c r="K4550" s="54" t="s">
        <v>15</v>
      </c>
    </row>
    <row r="4551" spans="2:11" ht="24.75" x14ac:dyDescent="0.2">
      <c r="B4551" s="82" t="s">
        <v>7201</v>
      </c>
      <c r="C4551" s="82" t="s">
        <v>7157</v>
      </c>
      <c r="D4551" s="83">
        <f>SUMIFS(D4552:D6462,K4552:K6462,"0",B4552:B6462,"5 1 2 4 7 12 31111 6 M59 60100 000132 0000R 00001 00247*")-SUMIFS(E4552:E6462,K4552:K6462,"0",B4552:B6462,"5 1 2 4 7 12 31111 6 M59 60100 000132 0000R 00001 00247*")</f>
        <v>0</v>
      </c>
      <c r="E4551" s="54"/>
      <c r="F4551" s="83">
        <f>SUMIFS(F4552:F6462,K4552:K6462,"0",B4552:B6462,"5 1 2 4 7 12 31111 6 M59 60100 000132 0000R 00001 00247*")</f>
        <v>665.47</v>
      </c>
      <c r="G4551" s="83">
        <f>SUMIFS(G4552:G6462,K4552:K6462,"0",B4552:B6462,"5 1 2 4 7 12 31111 6 M59 60100 000132 0000R 00001 00247*")</f>
        <v>0</v>
      </c>
      <c r="H4551" s="83">
        <f t="shared" si="71"/>
        <v>665.47</v>
      </c>
      <c r="I4551" s="83"/>
      <c r="K4551" s="54" t="s">
        <v>15</v>
      </c>
    </row>
    <row r="4552" spans="2:11" ht="33" x14ac:dyDescent="0.2">
      <c r="B4552" s="82" t="s">
        <v>7202</v>
      </c>
      <c r="C4552" s="82" t="s">
        <v>1051</v>
      </c>
      <c r="D4552" s="83">
        <f>SUMIFS(D4553:D6462,K4553:K6462,"0",B4553:B6462,"5 1 2 4 7 12 31111 6 M59 60100 000132 0000R 00001 00247 015*")-SUMIFS(E4553:E6462,K4553:K6462,"0",B4553:B6462,"5 1 2 4 7 12 31111 6 M59 60100 000132 0000R 00001 00247 015*")</f>
        <v>0</v>
      </c>
      <c r="E4552" s="54"/>
      <c r="F4552" s="83">
        <f>SUMIFS(F4553:F6462,K4553:K6462,"0",B4553:B6462,"5 1 2 4 7 12 31111 6 M59 60100 000132 0000R 00001 00247 015*")</f>
        <v>665.47</v>
      </c>
      <c r="G4552" s="83">
        <f>SUMIFS(G4553:G6462,K4553:K6462,"0",B4553:B6462,"5 1 2 4 7 12 31111 6 M59 60100 000132 0000R 00001 00247 015*")</f>
        <v>0</v>
      </c>
      <c r="H4552" s="83">
        <f t="shared" si="71"/>
        <v>665.47</v>
      </c>
      <c r="I4552" s="83"/>
      <c r="K4552" s="54" t="s">
        <v>15</v>
      </c>
    </row>
    <row r="4553" spans="2:11" ht="33" x14ac:dyDescent="0.2">
      <c r="B4553" s="82" t="s">
        <v>7203</v>
      </c>
      <c r="C4553" s="82" t="s">
        <v>5830</v>
      </c>
      <c r="D4553" s="83">
        <f>SUMIFS(D4554:D6462,K4554:K6462,"0",B4554:B6462,"5 1 2 4 7 12 31111 6 M59 60100 000132 0000R 00001 00247 015 2112000*")-SUMIFS(E4554:E6462,K4554:K6462,"0",B4554:B6462,"5 1 2 4 7 12 31111 6 M59 60100 000132 0000R 00001 00247 015 2112000*")</f>
        <v>0</v>
      </c>
      <c r="E4553" s="54"/>
      <c r="F4553" s="83">
        <f>SUMIFS(F4554:F6462,K4554:K6462,"0",B4554:B6462,"5 1 2 4 7 12 31111 6 M59 60100 000132 0000R 00001 00247 015 2112000*")</f>
        <v>665.47</v>
      </c>
      <c r="G4553" s="83">
        <f>SUMIFS(G4554:G6462,K4554:K6462,"0",B4554:B6462,"5 1 2 4 7 12 31111 6 M59 60100 000132 0000R 00001 00247 015 2112000*")</f>
        <v>0</v>
      </c>
      <c r="H4553" s="83">
        <f t="shared" si="71"/>
        <v>665.47</v>
      </c>
      <c r="I4553" s="83"/>
      <c r="K4553" s="54" t="s">
        <v>15</v>
      </c>
    </row>
    <row r="4554" spans="2:11" ht="33" x14ac:dyDescent="0.2">
      <c r="B4554" s="82" t="s">
        <v>7204</v>
      </c>
      <c r="C4554" s="82" t="s">
        <v>660</v>
      </c>
      <c r="D4554" s="83">
        <f>SUMIFS(D4555:D6462,K4555:K6462,"0",B4555:B6462,"5 1 2 4 7 12 31111 6 M59 60100 000132 0000R 00001 00247 015 2112000 2024*")-SUMIFS(E4555:E6462,K4555:K6462,"0",B4555:B6462,"5 1 2 4 7 12 31111 6 M59 60100 000132 0000R 00001 00247 015 2112000 2024*")</f>
        <v>0</v>
      </c>
      <c r="E4554" s="54"/>
      <c r="F4554" s="83">
        <f>SUMIFS(F4555:F6462,K4555:K6462,"0",B4555:B6462,"5 1 2 4 7 12 31111 6 M59 60100 000132 0000R 00001 00247 015 2112000 2024*")</f>
        <v>665.47</v>
      </c>
      <c r="G4554" s="83">
        <f>SUMIFS(G4555:G6462,K4555:K6462,"0",B4555:B6462,"5 1 2 4 7 12 31111 6 M59 60100 000132 0000R 00001 00247 015 2112000 2024*")</f>
        <v>0</v>
      </c>
      <c r="H4554" s="83">
        <f t="shared" si="71"/>
        <v>665.47</v>
      </c>
      <c r="I4554" s="83"/>
      <c r="K4554" s="54" t="s">
        <v>15</v>
      </c>
    </row>
    <row r="4555" spans="2:11" ht="41.25" x14ac:dyDescent="0.2">
      <c r="B4555" s="82" t="s">
        <v>7205</v>
      </c>
      <c r="C4555" s="82" t="s">
        <v>1056</v>
      </c>
      <c r="D4555" s="83">
        <f>SUMIFS(D4556:D6462,K4556:K6462,"0",B4556:B6462,"5 1 2 4 7 12 31111 6 M59 60100 000132 0000R 00001 00247 015 2112000 2024 CP1DM394*")-SUMIFS(E4556:E6462,K4556:K6462,"0",B4556:B6462,"5 1 2 4 7 12 31111 6 M59 60100 000132 0000R 00001 00247 015 2112000 2024 CP1DM394*")</f>
        <v>0</v>
      </c>
      <c r="E4555" s="54"/>
      <c r="F4555" s="83">
        <f>SUMIFS(F4556:F6462,K4556:K6462,"0",B4556:B6462,"5 1 2 4 7 12 31111 6 M59 60100 000132 0000R 00001 00247 015 2112000 2024 CP1DM394*")</f>
        <v>665.47</v>
      </c>
      <c r="G4555" s="83">
        <f>SUMIFS(G4556:G6462,K4556:K6462,"0",B4556:B6462,"5 1 2 4 7 12 31111 6 M59 60100 000132 0000R 00001 00247 015 2112000 2024 CP1DM394*")</f>
        <v>0</v>
      </c>
      <c r="H4555" s="83">
        <f t="shared" si="71"/>
        <v>665.47</v>
      </c>
      <c r="I4555" s="83"/>
      <c r="K4555" s="54" t="s">
        <v>15</v>
      </c>
    </row>
    <row r="4556" spans="2:11" ht="41.25" x14ac:dyDescent="0.2">
      <c r="B4556" s="82" t="s">
        <v>7206</v>
      </c>
      <c r="C4556" s="82" t="s">
        <v>282</v>
      </c>
      <c r="D4556" s="83">
        <f>SUMIFS(D4557:D6462,K4557:K6462,"0",B4557:B6462,"5 1 2 4 7 12 31111 6 M59 60100 000132 0000R 00001 00247 015 2112000 2024 CP1DM394 001*")-SUMIFS(E4557:E6462,K4557:K6462,"0",B4557:B6462,"5 1 2 4 7 12 31111 6 M59 60100 000132 0000R 00001 00247 015 2112000 2024 CP1DM394 001*")</f>
        <v>0</v>
      </c>
      <c r="E4556" s="54"/>
      <c r="F4556" s="83">
        <f>SUMIFS(F4557:F6462,K4557:K6462,"0",B4557:B6462,"5 1 2 4 7 12 31111 6 M59 60100 000132 0000R 00001 00247 015 2112000 2024 CP1DM394 001*")</f>
        <v>665.47</v>
      </c>
      <c r="G4556" s="83">
        <f>SUMIFS(G4557:G6462,K4557:K6462,"0",B4557:B6462,"5 1 2 4 7 12 31111 6 M59 60100 000132 0000R 00001 00247 015 2112000 2024 CP1DM394 001*")</f>
        <v>0</v>
      </c>
      <c r="H4556" s="83">
        <f t="shared" si="71"/>
        <v>665.47</v>
      </c>
      <c r="I4556" s="83"/>
      <c r="K4556" s="54" t="s">
        <v>15</v>
      </c>
    </row>
    <row r="4557" spans="2:11" ht="33" x14ac:dyDescent="0.2">
      <c r="B4557" s="84" t="s">
        <v>7207</v>
      </c>
      <c r="C4557" s="84" t="s">
        <v>7157</v>
      </c>
      <c r="D4557" s="85">
        <v>0</v>
      </c>
      <c r="E4557" s="85"/>
      <c r="F4557" s="85">
        <v>665.47</v>
      </c>
      <c r="G4557" s="85">
        <v>0</v>
      </c>
      <c r="H4557" s="85">
        <f t="shared" si="71"/>
        <v>665.47</v>
      </c>
      <c r="I4557" s="85"/>
      <c r="K4557" s="54" t="s">
        <v>38</v>
      </c>
    </row>
    <row r="4558" spans="2:11" ht="16.5" x14ac:dyDescent="0.2">
      <c r="B4558" s="82" t="s">
        <v>7208</v>
      </c>
      <c r="C4558" s="82" t="s">
        <v>3706</v>
      </c>
      <c r="D4558" s="83">
        <f>SUMIFS(D4559:D6462,K4559:K6462,"0",B4559:B6462,"5 1 2 4 7 12 31111 6 M59 96200*")-SUMIFS(E4559:E6462,K4559:K6462,"0",B4559:B6462,"5 1 2 4 7 12 31111 6 M59 96200*")</f>
        <v>0</v>
      </c>
      <c r="E4558" s="54"/>
      <c r="F4558" s="83">
        <f>SUMIFS(F4559:F6462,K4559:K6462,"0",B4559:B6462,"5 1 2 4 7 12 31111 6 M59 96200*")</f>
        <v>3736.21</v>
      </c>
      <c r="G4558" s="83">
        <f>SUMIFS(G4559:G6462,K4559:K6462,"0",B4559:B6462,"5 1 2 4 7 12 31111 6 M59 96200*")</f>
        <v>0</v>
      </c>
      <c r="H4558" s="83">
        <f t="shared" si="71"/>
        <v>3736.21</v>
      </c>
      <c r="I4558" s="83"/>
      <c r="K4558" s="54" t="s">
        <v>15</v>
      </c>
    </row>
    <row r="4559" spans="2:11" ht="16.5" x14ac:dyDescent="0.2">
      <c r="B4559" s="82" t="s">
        <v>7209</v>
      </c>
      <c r="C4559" s="82" t="s">
        <v>648</v>
      </c>
      <c r="D4559" s="83">
        <f>SUMIFS(D4560:D6462,K4560:K6462,"0",B4560:B6462,"5 1 2 4 7 12 31111 6 M59 96200 000132*")-SUMIFS(E4560:E6462,K4560:K6462,"0",B4560:B6462,"5 1 2 4 7 12 31111 6 M59 96200 000132*")</f>
        <v>0</v>
      </c>
      <c r="E4559" s="54"/>
      <c r="F4559" s="83">
        <f>SUMIFS(F4560:F6462,K4560:K6462,"0",B4560:B6462,"5 1 2 4 7 12 31111 6 M59 96200 000132*")</f>
        <v>3736.21</v>
      </c>
      <c r="G4559" s="83">
        <f>SUMIFS(G4560:G6462,K4560:K6462,"0",B4560:B6462,"5 1 2 4 7 12 31111 6 M59 96200 000132*")</f>
        <v>0</v>
      </c>
      <c r="H4559" s="83">
        <f t="shared" si="71"/>
        <v>3736.21</v>
      </c>
      <c r="I4559" s="83"/>
      <c r="K4559" s="54" t="s">
        <v>15</v>
      </c>
    </row>
    <row r="4560" spans="2:11" ht="24.75" x14ac:dyDescent="0.2">
      <c r="B4560" s="82" t="s">
        <v>7210</v>
      </c>
      <c r="C4560" s="82" t="s">
        <v>650</v>
      </c>
      <c r="D4560" s="83">
        <f>SUMIFS(D4561:D6462,K4561:K6462,"0",B4561:B6462,"5 1 2 4 7 12 31111 6 M59 96200 000132 0000R*")-SUMIFS(E4561:E6462,K4561:K6462,"0",B4561:B6462,"5 1 2 4 7 12 31111 6 M59 96200 000132 0000R*")</f>
        <v>0</v>
      </c>
      <c r="E4560" s="54"/>
      <c r="F4560" s="83">
        <f>SUMIFS(F4561:F6462,K4561:K6462,"0",B4561:B6462,"5 1 2 4 7 12 31111 6 M59 96200 000132 0000R*")</f>
        <v>3736.21</v>
      </c>
      <c r="G4560" s="83">
        <f>SUMIFS(G4561:G6462,K4561:K6462,"0",B4561:B6462,"5 1 2 4 7 12 31111 6 M59 96200 000132 0000R*")</f>
        <v>0</v>
      </c>
      <c r="H4560" s="83">
        <f t="shared" si="71"/>
        <v>3736.21</v>
      </c>
      <c r="I4560" s="83"/>
      <c r="K4560" s="54" t="s">
        <v>15</v>
      </c>
    </row>
    <row r="4561" spans="2:11" ht="24.75" x14ac:dyDescent="0.2">
      <c r="B4561" s="82" t="s">
        <v>7211</v>
      </c>
      <c r="C4561" s="82" t="s">
        <v>282</v>
      </c>
      <c r="D4561" s="83">
        <f>SUMIFS(D4562:D6462,K4562:K6462,"0",B4562:B6462,"5 1 2 4 7 12 31111 6 M59 96200 000132 0000R 00001*")-SUMIFS(E4562:E6462,K4562:K6462,"0",B4562:B6462,"5 1 2 4 7 12 31111 6 M59 96200 000132 0000R 00001*")</f>
        <v>0</v>
      </c>
      <c r="E4561" s="54"/>
      <c r="F4561" s="83">
        <f>SUMIFS(F4562:F6462,K4562:K6462,"0",B4562:B6462,"5 1 2 4 7 12 31111 6 M59 96200 000132 0000R 00001*")</f>
        <v>3736.21</v>
      </c>
      <c r="G4561" s="83">
        <f>SUMIFS(G4562:G6462,K4562:K6462,"0",B4562:B6462,"5 1 2 4 7 12 31111 6 M59 96200 000132 0000R 00001*")</f>
        <v>0</v>
      </c>
      <c r="H4561" s="83">
        <f t="shared" si="71"/>
        <v>3736.21</v>
      </c>
      <c r="I4561" s="83"/>
      <c r="K4561" s="54" t="s">
        <v>15</v>
      </c>
    </row>
    <row r="4562" spans="2:11" ht="24.75" x14ac:dyDescent="0.2">
      <c r="B4562" s="82" t="s">
        <v>7212</v>
      </c>
      <c r="C4562" s="82" t="s">
        <v>7157</v>
      </c>
      <c r="D4562" s="83">
        <f>SUMIFS(D4563:D6462,K4563:K6462,"0",B4563:B6462,"5 1 2 4 7 12 31111 6 M59 96200 000132 0000R 00001 00247*")-SUMIFS(E4563:E6462,K4563:K6462,"0",B4563:B6462,"5 1 2 4 7 12 31111 6 M59 96200 000132 0000R 00001 00247*")</f>
        <v>0</v>
      </c>
      <c r="E4562" s="54"/>
      <c r="F4562" s="83">
        <f>SUMIFS(F4563:F6462,K4563:K6462,"0",B4563:B6462,"5 1 2 4 7 12 31111 6 M59 96200 000132 0000R 00001 00247*")</f>
        <v>3736.21</v>
      </c>
      <c r="G4562" s="83">
        <f>SUMIFS(G4563:G6462,K4563:K6462,"0",B4563:B6462,"5 1 2 4 7 12 31111 6 M59 96200 000132 0000R 00001 00247*")</f>
        <v>0</v>
      </c>
      <c r="H4562" s="83">
        <f t="shared" si="71"/>
        <v>3736.21</v>
      </c>
      <c r="I4562" s="83"/>
      <c r="K4562" s="54" t="s">
        <v>15</v>
      </c>
    </row>
    <row r="4563" spans="2:11" ht="33" x14ac:dyDescent="0.2">
      <c r="B4563" s="82" t="s">
        <v>7213</v>
      </c>
      <c r="C4563" s="82" t="s">
        <v>1051</v>
      </c>
      <c r="D4563" s="83">
        <f>SUMIFS(D4564:D6462,K4564:K6462,"0",B4564:B6462,"5 1 2 4 7 12 31111 6 M59 96200 000132 0000R 00001 00247 015*")-SUMIFS(E4564:E6462,K4564:K6462,"0",B4564:B6462,"5 1 2 4 7 12 31111 6 M59 96200 000132 0000R 00001 00247 015*")</f>
        <v>0</v>
      </c>
      <c r="E4563" s="54"/>
      <c r="F4563" s="83">
        <f>SUMIFS(F4564:F6462,K4564:K6462,"0",B4564:B6462,"5 1 2 4 7 12 31111 6 M59 96200 000132 0000R 00001 00247 015*")</f>
        <v>3736.21</v>
      </c>
      <c r="G4563" s="83">
        <f>SUMIFS(G4564:G6462,K4564:K6462,"0",B4564:B6462,"5 1 2 4 7 12 31111 6 M59 96200 000132 0000R 00001 00247 015*")</f>
        <v>0</v>
      </c>
      <c r="H4563" s="83">
        <f t="shared" si="71"/>
        <v>3736.21</v>
      </c>
      <c r="I4563" s="83"/>
      <c r="K4563" s="54" t="s">
        <v>15</v>
      </c>
    </row>
    <row r="4564" spans="2:11" ht="33" x14ac:dyDescent="0.2">
      <c r="B4564" s="82" t="s">
        <v>7214</v>
      </c>
      <c r="C4564" s="82" t="s">
        <v>5830</v>
      </c>
      <c r="D4564" s="83">
        <f>SUMIFS(D4565:D6462,K4565:K6462,"0",B4565:B6462,"5 1 2 4 7 12 31111 6 M59 96200 000132 0000R 00001 00247 015 2112000*")-SUMIFS(E4565:E6462,K4565:K6462,"0",B4565:B6462,"5 1 2 4 7 12 31111 6 M59 96200 000132 0000R 00001 00247 015 2112000*")</f>
        <v>0</v>
      </c>
      <c r="E4564" s="54"/>
      <c r="F4564" s="83">
        <f>SUMIFS(F4565:F6462,K4565:K6462,"0",B4565:B6462,"5 1 2 4 7 12 31111 6 M59 96200 000132 0000R 00001 00247 015 2112000*")</f>
        <v>3736.21</v>
      </c>
      <c r="G4564" s="83">
        <f>SUMIFS(G4565:G6462,K4565:K6462,"0",B4565:B6462,"5 1 2 4 7 12 31111 6 M59 96200 000132 0000R 00001 00247 015 2112000*")</f>
        <v>0</v>
      </c>
      <c r="H4564" s="83">
        <f t="shared" si="71"/>
        <v>3736.21</v>
      </c>
      <c r="I4564" s="83"/>
      <c r="K4564" s="54" t="s">
        <v>15</v>
      </c>
    </row>
    <row r="4565" spans="2:11" ht="33" x14ac:dyDescent="0.2">
      <c r="B4565" s="82" t="s">
        <v>7215</v>
      </c>
      <c r="C4565" s="82" t="s">
        <v>660</v>
      </c>
      <c r="D4565" s="83">
        <f>SUMIFS(D4566:D6462,K4566:K6462,"0",B4566:B6462,"5 1 2 4 7 12 31111 6 M59 96200 000132 0000R 00001 00247 015 2112000 2024*")-SUMIFS(E4566:E6462,K4566:K6462,"0",B4566:B6462,"5 1 2 4 7 12 31111 6 M59 96200 000132 0000R 00001 00247 015 2112000 2024*")</f>
        <v>0</v>
      </c>
      <c r="E4565" s="54"/>
      <c r="F4565" s="83">
        <f>SUMIFS(F4566:F6462,K4566:K6462,"0",B4566:B6462,"5 1 2 4 7 12 31111 6 M59 96200 000132 0000R 00001 00247 015 2112000 2024*")</f>
        <v>3736.21</v>
      </c>
      <c r="G4565" s="83">
        <f>SUMIFS(G4566:G6462,K4566:K6462,"0",B4566:B6462,"5 1 2 4 7 12 31111 6 M59 96200 000132 0000R 00001 00247 015 2112000 2024*")</f>
        <v>0</v>
      </c>
      <c r="H4565" s="83">
        <f t="shared" si="71"/>
        <v>3736.21</v>
      </c>
      <c r="I4565" s="83"/>
      <c r="K4565" s="54" t="s">
        <v>15</v>
      </c>
    </row>
    <row r="4566" spans="2:11" ht="41.25" x14ac:dyDescent="0.2">
      <c r="B4566" s="82" t="s">
        <v>7216</v>
      </c>
      <c r="C4566" s="82" t="s">
        <v>662</v>
      </c>
      <c r="D4566" s="83">
        <f>SUMIFS(D4567:D6462,K4567:K6462,"0",B4567:B6462,"5 1 2 4 7 12 31111 6 M59 96200 000132 0000R 00001 00247 015 2112000 2024 CP1AL423*")-SUMIFS(E4567:E6462,K4567:K6462,"0",B4567:B6462,"5 1 2 4 7 12 31111 6 M59 96200 000132 0000R 00001 00247 015 2112000 2024 CP1AL423*")</f>
        <v>0</v>
      </c>
      <c r="E4566" s="54"/>
      <c r="F4566" s="83">
        <f>SUMIFS(F4567:F6462,K4567:K6462,"0",B4567:B6462,"5 1 2 4 7 12 31111 6 M59 96200 000132 0000R 00001 00247 015 2112000 2024 CP1AL423*")</f>
        <v>3736.21</v>
      </c>
      <c r="G4566" s="83">
        <f>SUMIFS(G4567:G6462,K4567:K6462,"0",B4567:B6462,"5 1 2 4 7 12 31111 6 M59 96200 000132 0000R 00001 00247 015 2112000 2024 CP1AL423*")</f>
        <v>0</v>
      </c>
      <c r="H4566" s="83">
        <f t="shared" si="71"/>
        <v>3736.21</v>
      </c>
      <c r="I4566" s="83"/>
      <c r="K4566" s="54" t="s">
        <v>15</v>
      </c>
    </row>
    <row r="4567" spans="2:11" ht="41.25" x14ac:dyDescent="0.2">
      <c r="B4567" s="82" t="s">
        <v>7217</v>
      </c>
      <c r="C4567" s="82" t="s">
        <v>282</v>
      </c>
      <c r="D4567" s="83">
        <f>SUMIFS(D4568:D6462,K4568:K6462,"0",B4568:B6462,"5 1 2 4 7 12 31111 6 M59 96200 000132 0000R 00001 00247 015 2112000 2024 CP1AL423 001*")-SUMIFS(E4568:E6462,K4568:K6462,"0",B4568:B6462,"5 1 2 4 7 12 31111 6 M59 96200 000132 0000R 00001 00247 015 2112000 2024 CP1AL423 001*")</f>
        <v>0</v>
      </c>
      <c r="E4567" s="54"/>
      <c r="F4567" s="83">
        <f>SUMIFS(F4568:F6462,K4568:K6462,"0",B4568:B6462,"5 1 2 4 7 12 31111 6 M59 96200 000132 0000R 00001 00247 015 2112000 2024 CP1AL423 001*")</f>
        <v>3736.21</v>
      </c>
      <c r="G4567" s="83">
        <f>SUMIFS(G4568:G6462,K4568:K6462,"0",B4568:B6462,"5 1 2 4 7 12 31111 6 M59 96200 000132 0000R 00001 00247 015 2112000 2024 CP1AL423 001*")</f>
        <v>0</v>
      </c>
      <c r="H4567" s="83">
        <f t="shared" si="71"/>
        <v>3736.21</v>
      </c>
      <c r="I4567" s="83"/>
      <c r="K4567" s="54" t="s">
        <v>15</v>
      </c>
    </row>
    <row r="4568" spans="2:11" ht="41.25" x14ac:dyDescent="0.2">
      <c r="B4568" s="84" t="s">
        <v>7218</v>
      </c>
      <c r="C4568" s="84" t="s">
        <v>7157</v>
      </c>
      <c r="D4568" s="85">
        <v>0</v>
      </c>
      <c r="E4568" s="85"/>
      <c r="F4568" s="85">
        <v>3736.21</v>
      </c>
      <c r="G4568" s="85">
        <v>0</v>
      </c>
      <c r="H4568" s="85">
        <f t="shared" si="71"/>
        <v>3736.21</v>
      </c>
      <c r="I4568" s="85"/>
      <c r="K4568" s="54" t="s">
        <v>38</v>
      </c>
    </row>
    <row r="4569" spans="2:11" ht="16.5" x14ac:dyDescent="0.2">
      <c r="B4569" s="82" t="s">
        <v>7219</v>
      </c>
      <c r="C4569" s="82" t="s">
        <v>3754</v>
      </c>
      <c r="D4569" s="83">
        <f>SUMIFS(D4570:D6462,K4570:K6462,"0",B4570:B6462,"5 1 2 4 7 12 31111 6 M59 99000*")-SUMIFS(E4570:E6462,K4570:K6462,"0",B4570:B6462,"5 1 2 4 7 12 31111 6 M59 99000*")</f>
        <v>0</v>
      </c>
      <c r="E4569" s="54"/>
      <c r="F4569" s="83">
        <f>SUMIFS(F4570:F6462,K4570:K6462,"0",B4570:B6462,"5 1 2 4 7 12 31111 6 M59 99000*")</f>
        <v>2720.33</v>
      </c>
      <c r="G4569" s="83">
        <f>SUMIFS(G4570:G6462,K4570:K6462,"0",B4570:B6462,"5 1 2 4 7 12 31111 6 M59 99000*")</f>
        <v>0</v>
      </c>
      <c r="H4569" s="83">
        <f t="shared" si="71"/>
        <v>2720.33</v>
      </c>
      <c r="I4569" s="83"/>
      <c r="K4569" s="54" t="s">
        <v>15</v>
      </c>
    </row>
    <row r="4570" spans="2:11" ht="16.5" x14ac:dyDescent="0.2">
      <c r="B4570" s="82" t="s">
        <v>7220</v>
      </c>
      <c r="C4570" s="82" t="s">
        <v>648</v>
      </c>
      <c r="D4570" s="83">
        <f>SUMIFS(D4571:D6462,K4571:K6462,"0",B4571:B6462,"5 1 2 4 7 12 31111 6 M59 99000 000132*")-SUMIFS(E4571:E6462,K4571:K6462,"0",B4571:B6462,"5 1 2 4 7 12 31111 6 M59 99000 000132*")</f>
        <v>0</v>
      </c>
      <c r="E4570" s="54"/>
      <c r="F4570" s="83">
        <f>SUMIFS(F4571:F6462,K4571:K6462,"0",B4571:B6462,"5 1 2 4 7 12 31111 6 M59 99000 000132*")</f>
        <v>2720.33</v>
      </c>
      <c r="G4570" s="83">
        <f>SUMIFS(G4571:G6462,K4571:K6462,"0",B4571:B6462,"5 1 2 4 7 12 31111 6 M59 99000 000132*")</f>
        <v>0</v>
      </c>
      <c r="H4570" s="83">
        <f t="shared" si="71"/>
        <v>2720.33</v>
      </c>
      <c r="I4570" s="83"/>
      <c r="K4570" s="54" t="s">
        <v>15</v>
      </c>
    </row>
    <row r="4571" spans="2:11" ht="24.75" x14ac:dyDescent="0.2">
      <c r="B4571" s="82" t="s">
        <v>7221</v>
      </c>
      <c r="C4571" s="82" t="s">
        <v>650</v>
      </c>
      <c r="D4571" s="83">
        <f>SUMIFS(D4572:D6462,K4572:K6462,"0",B4572:B6462,"5 1 2 4 7 12 31111 6 M59 99000 000132 0000R*")-SUMIFS(E4572:E6462,K4572:K6462,"0",B4572:B6462,"5 1 2 4 7 12 31111 6 M59 99000 000132 0000R*")</f>
        <v>0</v>
      </c>
      <c r="E4571" s="54"/>
      <c r="F4571" s="83">
        <f>SUMIFS(F4572:F6462,K4572:K6462,"0",B4572:B6462,"5 1 2 4 7 12 31111 6 M59 99000 000132 0000R*")</f>
        <v>2720.33</v>
      </c>
      <c r="G4571" s="83">
        <f>SUMIFS(G4572:G6462,K4572:K6462,"0",B4572:B6462,"5 1 2 4 7 12 31111 6 M59 99000 000132 0000R*")</f>
        <v>0</v>
      </c>
      <c r="H4571" s="83">
        <f t="shared" si="71"/>
        <v>2720.33</v>
      </c>
      <c r="I4571" s="83"/>
      <c r="K4571" s="54" t="s">
        <v>15</v>
      </c>
    </row>
    <row r="4572" spans="2:11" ht="24.75" x14ac:dyDescent="0.2">
      <c r="B4572" s="82" t="s">
        <v>7222</v>
      </c>
      <c r="C4572" s="82" t="s">
        <v>282</v>
      </c>
      <c r="D4572" s="83">
        <f>SUMIFS(D4573:D6462,K4573:K6462,"0",B4573:B6462,"5 1 2 4 7 12 31111 6 M59 99000 000132 0000R 00001*")-SUMIFS(E4573:E6462,K4573:K6462,"0",B4573:B6462,"5 1 2 4 7 12 31111 6 M59 99000 000132 0000R 00001*")</f>
        <v>0</v>
      </c>
      <c r="E4572" s="54"/>
      <c r="F4572" s="83">
        <f>SUMIFS(F4573:F6462,K4573:K6462,"0",B4573:B6462,"5 1 2 4 7 12 31111 6 M59 99000 000132 0000R 00001*")</f>
        <v>2720.33</v>
      </c>
      <c r="G4572" s="83">
        <f>SUMIFS(G4573:G6462,K4573:K6462,"0",B4573:B6462,"5 1 2 4 7 12 31111 6 M59 99000 000132 0000R 00001*")</f>
        <v>0</v>
      </c>
      <c r="H4572" s="83">
        <f t="shared" si="71"/>
        <v>2720.33</v>
      </c>
      <c r="I4572" s="83"/>
      <c r="K4572" s="54" t="s">
        <v>15</v>
      </c>
    </row>
    <row r="4573" spans="2:11" ht="24.75" x14ac:dyDescent="0.2">
      <c r="B4573" s="82" t="s">
        <v>7223</v>
      </c>
      <c r="C4573" s="82" t="s">
        <v>7157</v>
      </c>
      <c r="D4573" s="83">
        <f>SUMIFS(D4574:D6462,K4574:K6462,"0",B4574:B6462,"5 1 2 4 7 12 31111 6 M59 99000 000132 0000R 00001 00247*")-SUMIFS(E4574:E6462,K4574:K6462,"0",B4574:B6462,"5 1 2 4 7 12 31111 6 M59 99000 000132 0000R 00001 00247*")</f>
        <v>0</v>
      </c>
      <c r="E4573" s="54"/>
      <c r="F4573" s="83">
        <f>SUMIFS(F4574:F6462,K4574:K6462,"0",B4574:B6462,"5 1 2 4 7 12 31111 6 M59 99000 000132 0000R 00001 00247*")</f>
        <v>2720.33</v>
      </c>
      <c r="G4573" s="83">
        <f>SUMIFS(G4574:G6462,K4574:K6462,"0",B4574:B6462,"5 1 2 4 7 12 31111 6 M59 99000 000132 0000R 00001 00247*")</f>
        <v>0</v>
      </c>
      <c r="H4573" s="83">
        <f t="shared" si="71"/>
        <v>2720.33</v>
      </c>
      <c r="I4573" s="83"/>
      <c r="K4573" s="54" t="s">
        <v>15</v>
      </c>
    </row>
    <row r="4574" spans="2:11" ht="33" x14ac:dyDescent="0.2">
      <c r="B4574" s="82" t="s">
        <v>7224</v>
      </c>
      <c r="C4574" s="82" t="s">
        <v>1051</v>
      </c>
      <c r="D4574" s="83">
        <f>SUMIFS(D4575:D6462,K4575:K6462,"0",B4575:B6462,"5 1 2 4 7 12 31111 6 M59 99000 000132 0000R 00001 00247 015*")-SUMIFS(E4575:E6462,K4575:K6462,"0",B4575:B6462,"5 1 2 4 7 12 31111 6 M59 99000 000132 0000R 00001 00247 015*")</f>
        <v>0</v>
      </c>
      <c r="E4574" s="54"/>
      <c r="F4574" s="83">
        <f>SUMIFS(F4575:F6462,K4575:K6462,"0",B4575:B6462,"5 1 2 4 7 12 31111 6 M59 99000 000132 0000R 00001 00247 015*")</f>
        <v>2720.33</v>
      </c>
      <c r="G4574" s="83">
        <f>SUMIFS(G4575:G6462,K4575:K6462,"0",B4575:B6462,"5 1 2 4 7 12 31111 6 M59 99000 000132 0000R 00001 00247 015*")</f>
        <v>0</v>
      </c>
      <c r="H4574" s="83">
        <f t="shared" si="71"/>
        <v>2720.33</v>
      </c>
      <c r="I4574" s="83"/>
      <c r="K4574" s="54" t="s">
        <v>15</v>
      </c>
    </row>
    <row r="4575" spans="2:11" ht="33" x14ac:dyDescent="0.2">
      <c r="B4575" s="82" t="s">
        <v>7225</v>
      </c>
      <c r="C4575" s="82" t="s">
        <v>5830</v>
      </c>
      <c r="D4575" s="83">
        <f>SUMIFS(D4576:D6462,K4576:K6462,"0",B4576:B6462,"5 1 2 4 7 12 31111 6 M59 99000 000132 0000R 00001 00247 015 2112000*")-SUMIFS(E4576:E6462,K4576:K6462,"0",B4576:B6462,"5 1 2 4 7 12 31111 6 M59 99000 000132 0000R 00001 00247 015 2112000*")</f>
        <v>0</v>
      </c>
      <c r="E4575" s="54"/>
      <c r="F4575" s="83">
        <f>SUMIFS(F4576:F6462,K4576:K6462,"0",B4576:B6462,"5 1 2 4 7 12 31111 6 M59 99000 000132 0000R 00001 00247 015 2112000*")</f>
        <v>2720.33</v>
      </c>
      <c r="G4575" s="83">
        <f>SUMIFS(G4576:G6462,K4576:K6462,"0",B4576:B6462,"5 1 2 4 7 12 31111 6 M59 99000 000132 0000R 00001 00247 015 2112000*")</f>
        <v>0</v>
      </c>
      <c r="H4575" s="83">
        <f t="shared" si="71"/>
        <v>2720.33</v>
      </c>
      <c r="I4575" s="83"/>
      <c r="K4575" s="54" t="s">
        <v>15</v>
      </c>
    </row>
    <row r="4576" spans="2:11" ht="33" x14ac:dyDescent="0.2">
      <c r="B4576" s="82" t="s">
        <v>7226</v>
      </c>
      <c r="C4576" s="82" t="s">
        <v>660</v>
      </c>
      <c r="D4576" s="83">
        <f>SUMIFS(D4577:D6462,K4577:K6462,"0",B4577:B6462,"5 1 2 4 7 12 31111 6 M59 99000 000132 0000R 00001 00247 015 2112000 2024*")-SUMIFS(E4577:E6462,K4577:K6462,"0",B4577:B6462,"5 1 2 4 7 12 31111 6 M59 99000 000132 0000R 00001 00247 015 2112000 2024*")</f>
        <v>0</v>
      </c>
      <c r="E4576" s="54"/>
      <c r="F4576" s="83">
        <f>SUMIFS(F4577:F6462,K4577:K6462,"0",B4577:B6462,"5 1 2 4 7 12 31111 6 M59 99000 000132 0000R 00001 00247 015 2112000 2024*")</f>
        <v>2720.33</v>
      </c>
      <c r="G4576" s="83">
        <f>SUMIFS(G4577:G6462,K4577:K6462,"0",B4577:B6462,"5 1 2 4 7 12 31111 6 M59 99000 000132 0000R 00001 00247 015 2112000 2024*")</f>
        <v>0</v>
      </c>
      <c r="H4576" s="83">
        <f t="shared" si="71"/>
        <v>2720.33</v>
      </c>
      <c r="I4576" s="83"/>
      <c r="K4576" s="54" t="s">
        <v>15</v>
      </c>
    </row>
    <row r="4577" spans="2:11" ht="41.25" x14ac:dyDescent="0.2">
      <c r="B4577" s="82" t="s">
        <v>7227</v>
      </c>
      <c r="C4577" s="82" t="s">
        <v>1056</v>
      </c>
      <c r="D4577" s="83">
        <f>SUMIFS(D4578:D6462,K4578:K6462,"0",B4578:B6462,"5 1 2 4 7 12 31111 6 M59 99000 000132 0000R 00001 00247 015 2112000 2024 CP1MG408*")-SUMIFS(E4578:E6462,K4578:K6462,"0",B4578:B6462,"5 1 2 4 7 12 31111 6 M59 99000 000132 0000R 00001 00247 015 2112000 2024 CP1MG408*")</f>
        <v>0</v>
      </c>
      <c r="E4577" s="54"/>
      <c r="F4577" s="83">
        <f>SUMIFS(F4578:F6462,K4578:K6462,"0",B4578:B6462,"5 1 2 4 7 12 31111 6 M59 99000 000132 0000R 00001 00247 015 2112000 2024 CP1MG408*")</f>
        <v>2720.33</v>
      </c>
      <c r="G4577" s="83">
        <f>SUMIFS(G4578:G6462,K4578:K6462,"0",B4578:B6462,"5 1 2 4 7 12 31111 6 M59 99000 000132 0000R 00001 00247 015 2112000 2024 CP1MG408*")</f>
        <v>0</v>
      </c>
      <c r="H4577" s="83">
        <f t="shared" si="71"/>
        <v>2720.33</v>
      </c>
      <c r="I4577" s="83"/>
      <c r="K4577" s="54" t="s">
        <v>15</v>
      </c>
    </row>
    <row r="4578" spans="2:11" ht="41.25" x14ac:dyDescent="0.2">
      <c r="B4578" s="82" t="s">
        <v>7228</v>
      </c>
      <c r="C4578" s="82" t="s">
        <v>282</v>
      </c>
      <c r="D4578" s="83">
        <f>SUMIFS(D4579:D6462,K4579:K6462,"0",B4579:B6462,"5 1 2 4 7 12 31111 6 M59 99000 000132 0000R 00001 00247 015 2112000 2024 CP1MG408 001*")-SUMIFS(E4579:E6462,K4579:K6462,"0",B4579:B6462,"5 1 2 4 7 12 31111 6 M59 99000 000132 0000R 00001 00247 015 2112000 2024 CP1MG408 001*")</f>
        <v>0</v>
      </c>
      <c r="E4578" s="54"/>
      <c r="F4578" s="83">
        <f>SUMIFS(F4579:F6462,K4579:K6462,"0",B4579:B6462,"5 1 2 4 7 12 31111 6 M59 99000 000132 0000R 00001 00247 015 2112000 2024 CP1MG408 001*")</f>
        <v>2720.33</v>
      </c>
      <c r="G4578" s="83">
        <f>SUMIFS(G4579:G6462,K4579:K6462,"0",B4579:B6462,"5 1 2 4 7 12 31111 6 M59 99000 000132 0000R 00001 00247 015 2112000 2024 CP1MG408 001*")</f>
        <v>0</v>
      </c>
      <c r="H4578" s="83">
        <f t="shared" si="71"/>
        <v>2720.33</v>
      </c>
      <c r="I4578" s="83"/>
      <c r="K4578" s="54" t="s">
        <v>15</v>
      </c>
    </row>
    <row r="4579" spans="2:11" ht="41.25" x14ac:dyDescent="0.2">
      <c r="B4579" s="84" t="s">
        <v>7229</v>
      </c>
      <c r="C4579" s="84" t="s">
        <v>7147</v>
      </c>
      <c r="D4579" s="85">
        <v>0</v>
      </c>
      <c r="E4579" s="85"/>
      <c r="F4579" s="85">
        <v>2720.33</v>
      </c>
      <c r="G4579" s="85">
        <v>0</v>
      </c>
      <c r="H4579" s="85">
        <f t="shared" si="71"/>
        <v>2720.33</v>
      </c>
      <c r="I4579" s="85"/>
      <c r="K4579" s="54" t="s">
        <v>38</v>
      </c>
    </row>
    <row r="4580" spans="2:11" ht="16.5" x14ac:dyDescent="0.2">
      <c r="B4580" s="82" t="s">
        <v>7230</v>
      </c>
      <c r="C4580" s="82" t="s">
        <v>7231</v>
      </c>
      <c r="D4580" s="83">
        <f>SUMIFS(D4581:D6462,K4581:K6462,"0",B4581:B6462,"5 1 2 4 8*")-SUMIFS(E4581:E6462,K4581:K6462,"0",B4581:B6462,"5 1 2 4 8*")</f>
        <v>0</v>
      </c>
      <c r="E4580" s="54"/>
      <c r="F4580" s="83">
        <f>SUMIFS(F4581:F6462,K4581:K6462,"0",B4581:B6462,"5 1 2 4 8*")</f>
        <v>1954.93</v>
      </c>
      <c r="G4580" s="83">
        <f>SUMIFS(G4581:G6462,K4581:K6462,"0",B4581:B6462,"5 1 2 4 8*")</f>
        <v>0</v>
      </c>
      <c r="H4580" s="83">
        <f t="shared" si="71"/>
        <v>1954.93</v>
      </c>
      <c r="I4580" s="83"/>
      <c r="K4580" s="54" t="s">
        <v>15</v>
      </c>
    </row>
    <row r="4581" spans="2:11" ht="12.75" x14ac:dyDescent="0.2">
      <c r="B4581" s="82" t="s">
        <v>7232</v>
      </c>
      <c r="C4581" s="82" t="s">
        <v>26</v>
      </c>
      <c r="D4581" s="83">
        <f>SUMIFS(D4582:D6462,K4582:K6462,"0",B4582:B6462,"5 1 2 4 8 12*")-SUMIFS(E4582:E6462,K4582:K6462,"0",B4582:B6462,"5 1 2 4 8 12*")</f>
        <v>0</v>
      </c>
      <c r="E4581" s="54"/>
      <c r="F4581" s="83">
        <f>SUMIFS(F4582:F6462,K4582:K6462,"0",B4582:B6462,"5 1 2 4 8 12*")</f>
        <v>1954.93</v>
      </c>
      <c r="G4581" s="83">
        <f>SUMIFS(G4582:G6462,K4582:K6462,"0",B4582:B6462,"5 1 2 4 8 12*")</f>
        <v>0</v>
      </c>
      <c r="H4581" s="83">
        <f t="shared" si="71"/>
        <v>1954.93</v>
      </c>
      <c r="I4581" s="83"/>
      <c r="K4581" s="54" t="s">
        <v>15</v>
      </c>
    </row>
    <row r="4582" spans="2:11" ht="16.5" x14ac:dyDescent="0.2">
      <c r="B4582" s="82" t="s">
        <v>7233</v>
      </c>
      <c r="C4582" s="82" t="s">
        <v>28</v>
      </c>
      <c r="D4582" s="83">
        <f>SUMIFS(D4583:D6462,K4583:K6462,"0",B4583:B6462,"5 1 2 4 8 12 31111*")-SUMIFS(E4583:E6462,K4583:K6462,"0",B4583:B6462,"5 1 2 4 8 12 31111*")</f>
        <v>0</v>
      </c>
      <c r="E4582" s="54"/>
      <c r="F4582" s="83">
        <f>SUMIFS(F4583:F6462,K4583:K6462,"0",B4583:B6462,"5 1 2 4 8 12 31111*")</f>
        <v>1954.93</v>
      </c>
      <c r="G4582" s="83">
        <f>SUMIFS(G4583:G6462,K4583:K6462,"0",B4583:B6462,"5 1 2 4 8 12 31111*")</f>
        <v>0</v>
      </c>
      <c r="H4582" s="83">
        <f t="shared" si="71"/>
        <v>1954.93</v>
      </c>
      <c r="I4582" s="83"/>
      <c r="K4582" s="54" t="s">
        <v>15</v>
      </c>
    </row>
    <row r="4583" spans="2:11" ht="12.75" x14ac:dyDescent="0.2">
      <c r="B4583" s="82" t="s">
        <v>7234</v>
      </c>
      <c r="C4583" s="82" t="s">
        <v>30</v>
      </c>
      <c r="D4583" s="83">
        <f>SUMIFS(D4584:D6462,K4584:K6462,"0",B4584:B6462,"5 1 2 4 8 12 31111 6*")-SUMIFS(E4584:E6462,K4584:K6462,"0",B4584:B6462,"5 1 2 4 8 12 31111 6*")</f>
        <v>0</v>
      </c>
      <c r="E4583" s="54"/>
      <c r="F4583" s="83">
        <f>SUMIFS(F4584:F6462,K4584:K6462,"0",B4584:B6462,"5 1 2 4 8 12 31111 6*")</f>
        <v>1954.93</v>
      </c>
      <c r="G4583" s="83">
        <f>SUMIFS(G4584:G6462,K4584:K6462,"0",B4584:B6462,"5 1 2 4 8 12 31111 6*")</f>
        <v>0</v>
      </c>
      <c r="H4583" s="83">
        <f t="shared" si="71"/>
        <v>1954.93</v>
      </c>
      <c r="I4583" s="83"/>
      <c r="K4583" s="54" t="s">
        <v>15</v>
      </c>
    </row>
    <row r="4584" spans="2:11" ht="16.5" x14ac:dyDescent="0.2">
      <c r="B4584" s="82" t="s">
        <v>7235</v>
      </c>
      <c r="C4584" s="82" t="s">
        <v>2284</v>
      </c>
      <c r="D4584" s="83">
        <f>SUMIFS(D4585:D6462,K4585:K6462,"0",B4585:B6462,"5 1 2 4 8 12 31111 6 M59*")-SUMIFS(E4585:E6462,K4585:K6462,"0",B4585:B6462,"5 1 2 4 8 12 31111 6 M59*")</f>
        <v>0</v>
      </c>
      <c r="E4584" s="54"/>
      <c r="F4584" s="83">
        <f>SUMIFS(F4585:F6462,K4585:K6462,"0",B4585:B6462,"5 1 2 4 8 12 31111 6 M59*")</f>
        <v>1954.93</v>
      </c>
      <c r="G4584" s="83">
        <f>SUMIFS(G4585:G6462,K4585:K6462,"0",B4585:B6462,"5 1 2 4 8 12 31111 6 M59*")</f>
        <v>0</v>
      </c>
      <c r="H4584" s="83">
        <f t="shared" si="71"/>
        <v>1954.93</v>
      </c>
      <c r="I4584" s="83"/>
      <c r="K4584" s="54" t="s">
        <v>15</v>
      </c>
    </row>
    <row r="4585" spans="2:11" ht="16.5" x14ac:dyDescent="0.2">
      <c r="B4585" s="82" t="s">
        <v>7236</v>
      </c>
      <c r="C4585" s="82" t="s">
        <v>3103</v>
      </c>
      <c r="D4585" s="83">
        <f>SUMIFS(D4586:D6462,K4586:K6462,"0",B4586:B6462,"5 1 2 4 8 12 31111 6 M59 20400*")-SUMIFS(E4586:E6462,K4586:K6462,"0",B4586:B6462,"5 1 2 4 8 12 31111 6 M59 20400*")</f>
        <v>0</v>
      </c>
      <c r="E4585" s="54"/>
      <c r="F4585" s="83">
        <f>SUMIFS(F4586:F6462,K4586:K6462,"0",B4586:B6462,"5 1 2 4 8 12 31111 6 M59 20400*")</f>
        <v>43.99</v>
      </c>
      <c r="G4585" s="83">
        <f>SUMIFS(G4586:G6462,K4586:K6462,"0",B4586:B6462,"5 1 2 4 8 12 31111 6 M59 20400*")</f>
        <v>0</v>
      </c>
      <c r="H4585" s="83">
        <f t="shared" si="71"/>
        <v>43.99</v>
      </c>
      <c r="I4585" s="83"/>
      <c r="K4585" s="54" t="s">
        <v>15</v>
      </c>
    </row>
    <row r="4586" spans="2:11" ht="16.5" x14ac:dyDescent="0.2">
      <c r="B4586" s="82" t="s">
        <v>7237</v>
      </c>
      <c r="C4586" s="82" t="s">
        <v>648</v>
      </c>
      <c r="D4586" s="83">
        <f>SUMIFS(D4587:D6462,K4587:K6462,"0",B4587:B6462,"5 1 2 4 8 12 31111 6 M59 20400 000132*")-SUMIFS(E4587:E6462,K4587:K6462,"0",B4587:B6462,"5 1 2 4 8 12 31111 6 M59 20400 000132*")</f>
        <v>0</v>
      </c>
      <c r="E4586" s="54"/>
      <c r="F4586" s="83">
        <f>SUMIFS(F4587:F6462,K4587:K6462,"0",B4587:B6462,"5 1 2 4 8 12 31111 6 M59 20400 000132*")</f>
        <v>43.99</v>
      </c>
      <c r="G4586" s="83">
        <f>SUMIFS(G4587:G6462,K4587:K6462,"0",B4587:B6462,"5 1 2 4 8 12 31111 6 M59 20400 000132*")</f>
        <v>0</v>
      </c>
      <c r="H4586" s="83">
        <f t="shared" si="71"/>
        <v>43.99</v>
      </c>
      <c r="I4586" s="83"/>
      <c r="K4586" s="54" t="s">
        <v>15</v>
      </c>
    </row>
    <row r="4587" spans="2:11" ht="24.75" x14ac:dyDescent="0.2">
      <c r="B4587" s="82" t="s">
        <v>7238</v>
      </c>
      <c r="C4587" s="82" t="s">
        <v>650</v>
      </c>
      <c r="D4587" s="83">
        <f>SUMIFS(D4588:D6462,K4588:K6462,"0",B4588:B6462,"5 1 2 4 8 12 31111 6 M59 20400 000132 0000R*")-SUMIFS(E4588:E6462,K4588:K6462,"0",B4588:B6462,"5 1 2 4 8 12 31111 6 M59 20400 000132 0000R*")</f>
        <v>0</v>
      </c>
      <c r="E4587" s="54"/>
      <c r="F4587" s="83">
        <f>SUMIFS(F4588:F6462,K4588:K6462,"0",B4588:B6462,"5 1 2 4 8 12 31111 6 M59 20400 000132 0000R*")</f>
        <v>43.99</v>
      </c>
      <c r="G4587" s="83">
        <f>SUMIFS(G4588:G6462,K4588:K6462,"0",B4588:B6462,"5 1 2 4 8 12 31111 6 M59 20400 000132 0000R*")</f>
        <v>0</v>
      </c>
      <c r="H4587" s="83">
        <f t="shared" ref="H4587:H4650" si="72">D4587 + F4587 - G4587</f>
        <v>43.99</v>
      </c>
      <c r="I4587" s="83"/>
      <c r="K4587" s="54" t="s">
        <v>15</v>
      </c>
    </row>
    <row r="4588" spans="2:11" ht="24.75" x14ac:dyDescent="0.2">
      <c r="B4588" s="82" t="s">
        <v>7239</v>
      </c>
      <c r="C4588" s="82" t="s">
        <v>282</v>
      </c>
      <c r="D4588" s="83">
        <f>SUMIFS(D4589:D6462,K4589:K6462,"0",B4589:B6462,"5 1 2 4 8 12 31111 6 M59 20400 000132 0000R 00001*")-SUMIFS(E4589:E6462,K4589:K6462,"0",B4589:B6462,"5 1 2 4 8 12 31111 6 M59 20400 000132 0000R 00001*")</f>
        <v>0</v>
      </c>
      <c r="E4588" s="54"/>
      <c r="F4588" s="83">
        <f>SUMIFS(F4589:F6462,K4589:K6462,"0",B4589:B6462,"5 1 2 4 8 12 31111 6 M59 20400 000132 0000R 00001*")</f>
        <v>43.99</v>
      </c>
      <c r="G4588" s="83">
        <f>SUMIFS(G4589:G6462,K4589:K6462,"0",B4589:B6462,"5 1 2 4 8 12 31111 6 M59 20400 000132 0000R 00001*")</f>
        <v>0</v>
      </c>
      <c r="H4588" s="83">
        <f t="shared" si="72"/>
        <v>43.99</v>
      </c>
      <c r="I4588" s="83"/>
      <c r="K4588" s="54" t="s">
        <v>15</v>
      </c>
    </row>
    <row r="4589" spans="2:11" ht="24.75" x14ac:dyDescent="0.2">
      <c r="B4589" s="82" t="s">
        <v>7240</v>
      </c>
      <c r="C4589" s="82" t="s">
        <v>7241</v>
      </c>
      <c r="D4589" s="83">
        <f>SUMIFS(D4590:D6462,K4590:K6462,"0",B4590:B6462,"5 1 2 4 8 12 31111 6 M59 20400 000132 0000R 00001 00248*")-SUMIFS(E4590:E6462,K4590:K6462,"0",B4590:B6462,"5 1 2 4 8 12 31111 6 M59 20400 000132 0000R 00001 00248*")</f>
        <v>0</v>
      </c>
      <c r="E4589" s="54"/>
      <c r="F4589" s="83">
        <f>SUMIFS(F4590:F6462,K4590:K6462,"0",B4590:B6462,"5 1 2 4 8 12 31111 6 M59 20400 000132 0000R 00001 00248*")</f>
        <v>43.99</v>
      </c>
      <c r="G4589" s="83">
        <f>SUMIFS(G4590:G6462,K4590:K6462,"0",B4590:B6462,"5 1 2 4 8 12 31111 6 M59 20400 000132 0000R 00001 00248*")</f>
        <v>0</v>
      </c>
      <c r="H4589" s="83">
        <f t="shared" si="72"/>
        <v>43.99</v>
      </c>
      <c r="I4589" s="83"/>
      <c r="K4589" s="54" t="s">
        <v>15</v>
      </c>
    </row>
    <row r="4590" spans="2:11" ht="33" x14ac:dyDescent="0.2">
      <c r="B4590" s="82" t="s">
        <v>7242</v>
      </c>
      <c r="C4590" s="82" t="s">
        <v>1051</v>
      </c>
      <c r="D4590" s="83">
        <f>SUMIFS(D4591:D6462,K4591:K6462,"0",B4591:B6462,"5 1 2 4 8 12 31111 6 M59 20400 000132 0000R 00001 00248 015*")-SUMIFS(E4591:E6462,K4591:K6462,"0",B4591:B6462,"5 1 2 4 8 12 31111 6 M59 20400 000132 0000R 00001 00248 015*")</f>
        <v>0</v>
      </c>
      <c r="E4590" s="54"/>
      <c r="F4590" s="83">
        <f>SUMIFS(F4591:F6462,K4591:K6462,"0",B4591:B6462,"5 1 2 4 8 12 31111 6 M59 20400 000132 0000R 00001 00248 015*")</f>
        <v>43.99</v>
      </c>
      <c r="G4590" s="83">
        <f>SUMIFS(G4591:G6462,K4591:K6462,"0",B4591:B6462,"5 1 2 4 8 12 31111 6 M59 20400 000132 0000R 00001 00248 015*")</f>
        <v>0</v>
      </c>
      <c r="H4590" s="83">
        <f t="shared" si="72"/>
        <v>43.99</v>
      </c>
      <c r="I4590" s="83"/>
      <c r="K4590" s="54" t="s">
        <v>15</v>
      </c>
    </row>
    <row r="4591" spans="2:11" ht="33" x14ac:dyDescent="0.2">
      <c r="B4591" s="82" t="s">
        <v>7243</v>
      </c>
      <c r="C4591" s="82" t="s">
        <v>5830</v>
      </c>
      <c r="D4591" s="83">
        <f>SUMIFS(D4592:D6462,K4592:K6462,"0",B4592:B6462,"5 1 2 4 8 12 31111 6 M59 20400 000132 0000R 00001 00248 015 2112000*")-SUMIFS(E4592:E6462,K4592:K6462,"0",B4592:B6462,"5 1 2 4 8 12 31111 6 M59 20400 000132 0000R 00001 00248 015 2112000*")</f>
        <v>0</v>
      </c>
      <c r="E4591" s="54"/>
      <c r="F4591" s="83">
        <f>SUMIFS(F4592:F6462,K4592:K6462,"0",B4592:B6462,"5 1 2 4 8 12 31111 6 M59 20400 000132 0000R 00001 00248 015 2112000*")</f>
        <v>43.99</v>
      </c>
      <c r="G4591" s="83">
        <f>SUMIFS(G4592:G6462,K4592:K6462,"0",B4592:B6462,"5 1 2 4 8 12 31111 6 M59 20400 000132 0000R 00001 00248 015 2112000*")</f>
        <v>0</v>
      </c>
      <c r="H4591" s="83">
        <f t="shared" si="72"/>
        <v>43.99</v>
      </c>
      <c r="I4591" s="83"/>
      <c r="K4591" s="54" t="s">
        <v>15</v>
      </c>
    </row>
    <row r="4592" spans="2:11" ht="33" x14ac:dyDescent="0.2">
      <c r="B4592" s="82" t="s">
        <v>7244</v>
      </c>
      <c r="C4592" s="82" t="s">
        <v>660</v>
      </c>
      <c r="D4592" s="83">
        <f>SUMIFS(D4593:D6462,K4593:K6462,"0",B4593:B6462,"5 1 2 4 8 12 31111 6 M59 20400 000132 0000R 00001 00248 015 2112000 2024*")-SUMIFS(E4593:E6462,K4593:K6462,"0",B4593:B6462,"5 1 2 4 8 12 31111 6 M59 20400 000132 0000R 00001 00248 015 2112000 2024*")</f>
        <v>0</v>
      </c>
      <c r="E4592" s="54"/>
      <c r="F4592" s="83">
        <f>SUMIFS(F4593:F6462,K4593:K6462,"0",B4593:B6462,"5 1 2 4 8 12 31111 6 M59 20400 000132 0000R 00001 00248 015 2112000 2024*")</f>
        <v>43.99</v>
      </c>
      <c r="G4592" s="83">
        <f>SUMIFS(G4593:G6462,K4593:K6462,"0",B4593:B6462,"5 1 2 4 8 12 31111 6 M59 20400 000132 0000R 00001 00248 015 2112000 2024*")</f>
        <v>0</v>
      </c>
      <c r="H4592" s="83">
        <f t="shared" si="72"/>
        <v>43.99</v>
      </c>
      <c r="I4592" s="83"/>
      <c r="K4592" s="54" t="s">
        <v>15</v>
      </c>
    </row>
    <row r="4593" spans="2:11" ht="41.25" x14ac:dyDescent="0.2">
      <c r="B4593" s="82" t="s">
        <v>7245</v>
      </c>
      <c r="C4593" s="82" t="s">
        <v>1056</v>
      </c>
      <c r="D4593" s="83">
        <f>SUMIFS(D4594:D6462,K4594:K6462,"0",B4594:B6462,"5 1 2 4 8 12 31111 6 M59 20400 000132 0000R 00001 00248 015 2112000 2024 CP1PV404*")-SUMIFS(E4594:E6462,K4594:K6462,"0",B4594:B6462,"5 1 2 4 8 12 31111 6 M59 20400 000132 0000R 00001 00248 015 2112000 2024 CP1PV404*")</f>
        <v>0</v>
      </c>
      <c r="E4593" s="54"/>
      <c r="F4593" s="83">
        <f>SUMIFS(F4594:F6462,K4594:K6462,"0",B4594:B6462,"5 1 2 4 8 12 31111 6 M59 20400 000132 0000R 00001 00248 015 2112000 2024 CP1PV404*")</f>
        <v>43.99</v>
      </c>
      <c r="G4593" s="83">
        <f>SUMIFS(G4594:G6462,K4594:K6462,"0",B4594:B6462,"5 1 2 4 8 12 31111 6 M59 20400 000132 0000R 00001 00248 015 2112000 2024 CP1PV404*")</f>
        <v>0</v>
      </c>
      <c r="H4593" s="83">
        <f t="shared" si="72"/>
        <v>43.99</v>
      </c>
      <c r="I4593" s="83"/>
      <c r="K4593" s="54" t="s">
        <v>15</v>
      </c>
    </row>
    <row r="4594" spans="2:11" ht="41.25" x14ac:dyDescent="0.2">
      <c r="B4594" s="82" t="s">
        <v>7246</v>
      </c>
      <c r="C4594" s="82" t="s">
        <v>282</v>
      </c>
      <c r="D4594" s="83">
        <f>SUMIFS(D4595:D6462,K4595:K6462,"0",B4595:B6462,"5 1 2 4 8 12 31111 6 M59 20400 000132 0000R 00001 00248 015 2112000 2024 CP1PV404 001*")-SUMIFS(E4595:E6462,K4595:K6462,"0",B4595:B6462,"5 1 2 4 8 12 31111 6 M59 20400 000132 0000R 00001 00248 015 2112000 2024 CP1PV404 001*")</f>
        <v>0</v>
      </c>
      <c r="E4594" s="54"/>
      <c r="F4594" s="83">
        <f>SUMIFS(F4595:F6462,K4595:K6462,"0",B4595:B6462,"5 1 2 4 8 12 31111 6 M59 20400 000132 0000R 00001 00248 015 2112000 2024 CP1PV404 001*")</f>
        <v>43.99</v>
      </c>
      <c r="G4594" s="83">
        <f>SUMIFS(G4595:G6462,K4595:K6462,"0",B4595:B6462,"5 1 2 4 8 12 31111 6 M59 20400 000132 0000R 00001 00248 015 2112000 2024 CP1PV404 001*")</f>
        <v>0</v>
      </c>
      <c r="H4594" s="83">
        <f t="shared" si="72"/>
        <v>43.99</v>
      </c>
      <c r="I4594" s="83"/>
      <c r="K4594" s="54" t="s">
        <v>15</v>
      </c>
    </row>
    <row r="4595" spans="2:11" ht="41.25" x14ac:dyDescent="0.2">
      <c r="B4595" s="84" t="s">
        <v>7247</v>
      </c>
      <c r="C4595" s="84" t="s">
        <v>7241</v>
      </c>
      <c r="D4595" s="85">
        <v>0</v>
      </c>
      <c r="E4595" s="85"/>
      <c r="F4595" s="85">
        <v>43.99</v>
      </c>
      <c r="G4595" s="85">
        <v>0</v>
      </c>
      <c r="H4595" s="85">
        <f t="shared" si="72"/>
        <v>43.99</v>
      </c>
      <c r="I4595" s="85"/>
      <c r="K4595" s="54" t="s">
        <v>38</v>
      </c>
    </row>
    <row r="4596" spans="2:11" ht="16.5" x14ac:dyDescent="0.2">
      <c r="B4596" s="82" t="s">
        <v>7248</v>
      </c>
      <c r="C4596" s="82" t="s">
        <v>3754</v>
      </c>
      <c r="D4596" s="83">
        <f>SUMIFS(D4597:D6462,K4597:K6462,"0",B4597:B6462,"5 1 2 4 8 12 31111 6 M59 99000*")-SUMIFS(E4597:E6462,K4597:K6462,"0",B4597:B6462,"5 1 2 4 8 12 31111 6 M59 99000*")</f>
        <v>0</v>
      </c>
      <c r="E4596" s="54"/>
      <c r="F4596" s="83">
        <f>SUMIFS(F4597:F6462,K4597:K6462,"0",B4597:B6462,"5 1 2 4 8 12 31111 6 M59 99000*")</f>
        <v>1910.94</v>
      </c>
      <c r="G4596" s="83">
        <f>SUMIFS(G4597:G6462,K4597:K6462,"0",B4597:B6462,"5 1 2 4 8 12 31111 6 M59 99000*")</f>
        <v>0</v>
      </c>
      <c r="H4596" s="83">
        <f t="shared" si="72"/>
        <v>1910.94</v>
      </c>
      <c r="I4596" s="83"/>
      <c r="K4596" s="54" t="s">
        <v>15</v>
      </c>
    </row>
    <row r="4597" spans="2:11" ht="16.5" x14ac:dyDescent="0.2">
      <c r="B4597" s="82" t="s">
        <v>7249</v>
      </c>
      <c r="C4597" s="82" t="s">
        <v>648</v>
      </c>
      <c r="D4597" s="83">
        <f>SUMIFS(D4598:D6462,K4598:K6462,"0",B4598:B6462,"5 1 2 4 8 12 31111 6 M59 99000 000132*")-SUMIFS(E4598:E6462,K4598:K6462,"0",B4598:B6462,"5 1 2 4 8 12 31111 6 M59 99000 000132*")</f>
        <v>0</v>
      </c>
      <c r="E4597" s="54"/>
      <c r="F4597" s="83">
        <f>SUMIFS(F4598:F6462,K4598:K6462,"0",B4598:B6462,"5 1 2 4 8 12 31111 6 M59 99000 000132*")</f>
        <v>1910.94</v>
      </c>
      <c r="G4597" s="83">
        <f>SUMIFS(G4598:G6462,K4598:K6462,"0",B4598:B6462,"5 1 2 4 8 12 31111 6 M59 99000 000132*")</f>
        <v>0</v>
      </c>
      <c r="H4597" s="83">
        <f t="shared" si="72"/>
        <v>1910.94</v>
      </c>
      <c r="I4597" s="83"/>
      <c r="K4597" s="54" t="s">
        <v>15</v>
      </c>
    </row>
    <row r="4598" spans="2:11" ht="24.75" x14ac:dyDescent="0.2">
      <c r="B4598" s="82" t="s">
        <v>7250</v>
      </c>
      <c r="C4598" s="82" t="s">
        <v>650</v>
      </c>
      <c r="D4598" s="83">
        <f>SUMIFS(D4599:D6462,K4599:K6462,"0",B4599:B6462,"5 1 2 4 8 12 31111 6 M59 99000 000132 0000R*")-SUMIFS(E4599:E6462,K4599:K6462,"0",B4599:B6462,"5 1 2 4 8 12 31111 6 M59 99000 000132 0000R*")</f>
        <v>0</v>
      </c>
      <c r="E4598" s="54"/>
      <c r="F4598" s="83">
        <f>SUMIFS(F4599:F6462,K4599:K6462,"0",B4599:B6462,"5 1 2 4 8 12 31111 6 M59 99000 000132 0000R*")</f>
        <v>1910.94</v>
      </c>
      <c r="G4598" s="83">
        <f>SUMIFS(G4599:G6462,K4599:K6462,"0",B4599:B6462,"5 1 2 4 8 12 31111 6 M59 99000 000132 0000R*")</f>
        <v>0</v>
      </c>
      <c r="H4598" s="83">
        <f t="shared" si="72"/>
        <v>1910.94</v>
      </c>
      <c r="I4598" s="83"/>
      <c r="K4598" s="54" t="s">
        <v>15</v>
      </c>
    </row>
    <row r="4599" spans="2:11" ht="24.75" x14ac:dyDescent="0.2">
      <c r="B4599" s="82" t="s">
        <v>7251</v>
      </c>
      <c r="C4599" s="82" t="s">
        <v>282</v>
      </c>
      <c r="D4599" s="83">
        <f>SUMIFS(D4600:D6462,K4600:K6462,"0",B4600:B6462,"5 1 2 4 8 12 31111 6 M59 99000 000132 0000R 00001*")-SUMIFS(E4600:E6462,K4600:K6462,"0",B4600:B6462,"5 1 2 4 8 12 31111 6 M59 99000 000132 0000R 00001*")</f>
        <v>0</v>
      </c>
      <c r="E4599" s="54"/>
      <c r="F4599" s="83">
        <f>SUMIFS(F4600:F6462,K4600:K6462,"0",B4600:B6462,"5 1 2 4 8 12 31111 6 M59 99000 000132 0000R 00001*")</f>
        <v>1910.94</v>
      </c>
      <c r="G4599" s="83">
        <f>SUMIFS(G4600:G6462,K4600:K6462,"0",B4600:B6462,"5 1 2 4 8 12 31111 6 M59 99000 000132 0000R 00001*")</f>
        <v>0</v>
      </c>
      <c r="H4599" s="83">
        <f t="shared" si="72"/>
        <v>1910.94</v>
      </c>
      <c r="I4599" s="83"/>
      <c r="K4599" s="54" t="s">
        <v>15</v>
      </c>
    </row>
    <row r="4600" spans="2:11" ht="24.75" x14ac:dyDescent="0.2">
      <c r="B4600" s="82" t="s">
        <v>7252</v>
      </c>
      <c r="C4600" s="82" t="s">
        <v>7241</v>
      </c>
      <c r="D4600" s="83">
        <f>SUMIFS(D4601:D6462,K4601:K6462,"0",B4601:B6462,"5 1 2 4 8 12 31111 6 M59 99000 000132 0000R 00001 00248*")-SUMIFS(E4601:E6462,K4601:K6462,"0",B4601:B6462,"5 1 2 4 8 12 31111 6 M59 99000 000132 0000R 00001 00248*")</f>
        <v>0</v>
      </c>
      <c r="E4600" s="54"/>
      <c r="F4600" s="83">
        <f>SUMIFS(F4601:F6462,K4601:K6462,"0",B4601:B6462,"5 1 2 4 8 12 31111 6 M59 99000 000132 0000R 00001 00248*")</f>
        <v>1910.94</v>
      </c>
      <c r="G4600" s="83">
        <f>SUMIFS(G4601:G6462,K4601:K6462,"0",B4601:B6462,"5 1 2 4 8 12 31111 6 M59 99000 000132 0000R 00001 00248*")</f>
        <v>0</v>
      </c>
      <c r="H4600" s="83">
        <f t="shared" si="72"/>
        <v>1910.94</v>
      </c>
      <c r="I4600" s="83"/>
      <c r="K4600" s="54" t="s">
        <v>15</v>
      </c>
    </row>
    <row r="4601" spans="2:11" ht="33" x14ac:dyDescent="0.2">
      <c r="B4601" s="82" t="s">
        <v>7253</v>
      </c>
      <c r="C4601" s="82" t="s">
        <v>1051</v>
      </c>
      <c r="D4601" s="83">
        <f>SUMIFS(D4602:D6462,K4602:K6462,"0",B4602:B6462,"5 1 2 4 8 12 31111 6 M59 99000 000132 0000R 00001 00248 015*")-SUMIFS(E4602:E6462,K4602:K6462,"0",B4602:B6462,"5 1 2 4 8 12 31111 6 M59 99000 000132 0000R 00001 00248 015*")</f>
        <v>0</v>
      </c>
      <c r="E4601" s="54"/>
      <c r="F4601" s="83">
        <f>SUMIFS(F4602:F6462,K4602:K6462,"0",B4602:B6462,"5 1 2 4 8 12 31111 6 M59 99000 000132 0000R 00001 00248 015*")</f>
        <v>1910.94</v>
      </c>
      <c r="G4601" s="83">
        <f>SUMIFS(G4602:G6462,K4602:K6462,"0",B4602:B6462,"5 1 2 4 8 12 31111 6 M59 99000 000132 0000R 00001 00248 015*")</f>
        <v>0</v>
      </c>
      <c r="H4601" s="83">
        <f t="shared" si="72"/>
        <v>1910.94</v>
      </c>
      <c r="I4601" s="83"/>
      <c r="K4601" s="54" t="s">
        <v>15</v>
      </c>
    </row>
    <row r="4602" spans="2:11" ht="33" x14ac:dyDescent="0.2">
      <c r="B4602" s="82" t="s">
        <v>7254</v>
      </c>
      <c r="C4602" s="82" t="s">
        <v>5830</v>
      </c>
      <c r="D4602" s="83">
        <f>SUMIFS(D4603:D6462,K4603:K6462,"0",B4603:B6462,"5 1 2 4 8 12 31111 6 M59 99000 000132 0000R 00001 00248 015 2112000*")-SUMIFS(E4603:E6462,K4603:K6462,"0",B4603:B6462,"5 1 2 4 8 12 31111 6 M59 99000 000132 0000R 00001 00248 015 2112000*")</f>
        <v>0</v>
      </c>
      <c r="E4602" s="54"/>
      <c r="F4602" s="83">
        <f>SUMIFS(F4603:F6462,K4603:K6462,"0",B4603:B6462,"5 1 2 4 8 12 31111 6 M59 99000 000132 0000R 00001 00248 015 2112000*")</f>
        <v>1910.94</v>
      </c>
      <c r="G4602" s="83">
        <f>SUMIFS(G4603:G6462,K4603:K6462,"0",B4603:B6462,"5 1 2 4 8 12 31111 6 M59 99000 000132 0000R 00001 00248 015 2112000*")</f>
        <v>0</v>
      </c>
      <c r="H4602" s="83">
        <f t="shared" si="72"/>
        <v>1910.94</v>
      </c>
      <c r="I4602" s="83"/>
      <c r="K4602" s="54" t="s">
        <v>15</v>
      </c>
    </row>
    <row r="4603" spans="2:11" ht="33" x14ac:dyDescent="0.2">
      <c r="B4603" s="82" t="s">
        <v>7255</v>
      </c>
      <c r="C4603" s="82" t="s">
        <v>660</v>
      </c>
      <c r="D4603" s="83">
        <f>SUMIFS(D4604:D6462,K4604:K6462,"0",B4604:B6462,"5 1 2 4 8 12 31111 6 M59 99000 000132 0000R 00001 00248 015 2112000 2024*")-SUMIFS(E4604:E6462,K4604:K6462,"0",B4604:B6462,"5 1 2 4 8 12 31111 6 M59 99000 000132 0000R 00001 00248 015 2112000 2024*")</f>
        <v>0</v>
      </c>
      <c r="E4603" s="54"/>
      <c r="F4603" s="83">
        <f>SUMIFS(F4604:F6462,K4604:K6462,"0",B4604:B6462,"5 1 2 4 8 12 31111 6 M59 99000 000132 0000R 00001 00248 015 2112000 2024*")</f>
        <v>1910.94</v>
      </c>
      <c r="G4603" s="83">
        <f>SUMIFS(G4604:G6462,K4604:K6462,"0",B4604:B6462,"5 1 2 4 8 12 31111 6 M59 99000 000132 0000R 00001 00248 015 2112000 2024*")</f>
        <v>0</v>
      </c>
      <c r="H4603" s="83">
        <f t="shared" si="72"/>
        <v>1910.94</v>
      </c>
      <c r="I4603" s="83"/>
      <c r="K4603" s="54" t="s">
        <v>15</v>
      </c>
    </row>
    <row r="4604" spans="2:11" ht="41.25" x14ac:dyDescent="0.2">
      <c r="B4604" s="82" t="s">
        <v>7256</v>
      </c>
      <c r="C4604" s="82" t="s">
        <v>1056</v>
      </c>
      <c r="D4604" s="83">
        <f>SUMIFS(D4605:D6462,K4605:K6462,"0",B4605:B6462,"5 1 2 4 8 12 31111 6 M59 99000 000132 0000R 00001 00248 015 2112000 2024 CP1MG408*")-SUMIFS(E4605:E6462,K4605:K6462,"0",B4605:B6462,"5 1 2 4 8 12 31111 6 M59 99000 000132 0000R 00001 00248 015 2112000 2024 CP1MG408*")</f>
        <v>0</v>
      </c>
      <c r="E4604" s="54"/>
      <c r="F4604" s="83">
        <f>SUMIFS(F4605:F6462,K4605:K6462,"0",B4605:B6462,"5 1 2 4 8 12 31111 6 M59 99000 000132 0000R 00001 00248 015 2112000 2024 CP1MG408*")</f>
        <v>1910.94</v>
      </c>
      <c r="G4604" s="83">
        <f>SUMIFS(G4605:G6462,K4605:K6462,"0",B4605:B6462,"5 1 2 4 8 12 31111 6 M59 99000 000132 0000R 00001 00248 015 2112000 2024 CP1MG408*")</f>
        <v>0</v>
      </c>
      <c r="H4604" s="83">
        <f t="shared" si="72"/>
        <v>1910.94</v>
      </c>
      <c r="I4604" s="83"/>
      <c r="K4604" s="54" t="s">
        <v>15</v>
      </c>
    </row>
    <row r="4605" spans="2:11" ht="41.25" x14ac:dyDescent="0.2">
      <c r="B4605" s="82" t="s">
        <v>7257</v>
      </c>
      <c r="C4605" s="82" t="s">
        <v>282</v>
      </c>
      <c r="D4605" s="83">
        <f>SUMIFS(D4606:D6462,K4606:K6462,"0",B4606:B6462,"5 1 2 4 8 12 31111 6 M59 99000 000132 0000R 00001 00248 015 2112000 2024 CP1MG408 001*")-SUMIFS(E4606:E6462,K4606:K6462,"0",B4606:B6462,"5 1 2 4 8 12 31111 6 M59 99000 000132 0000R 00001 00248 015 2112000 2024 CP1MG408 001*")</f>
        <v>0</v>
      </c>
      <c r="E4605" s="54"/>
      <c r="F4605" s="83">
        <f>SUMIFS(F4606:F6462,K4606:K6462,"0",B4606:B6462,"5 1 2 4 8 12 31111 6 M59 99000 000132 0000R 00001 00248 015 2112000 2024 CP1MG408 001*")</f>
        <v>1910.94</v>
      </c>
      <c r="G4605" s="83">
        <f>SUMIFS(G4606:G6462,K4606:K6462,"0",B4606:B6462,"5 1 2 4 8 12 31111 6 M59 99000 000132 0000R 00001 00248 015 2112000 2024 CP1MG408 001*")</f>
        <v>0</v>
      </c>
      <c r="H4605" s="83">
        <f t="shared" si="72"/>
        <v>1910.94</v>
      </c>
      <c r="I4605" s="83"/>
      <c r="K4605" s="54" t="s">
        <v>15</v>
      </c>
    </row>
    <row r="4606" spans="2:11" ht="41.25" x14ac:dyDescent="0.2">
      <c r="B4606" s="84" t="s">
        <v>7258</v>
      </c>
      <c r="C4606" s="84" t="s">
        <v>7259</v>
      </c>
      <c r="D4606" s="85">
        <v>0</v>
      </c>
      <c r="E4606" s="85"/>
      <c r="F4606" s="85">
        <v>1910.94</v>
      </c>
      <c r="G4606" s="85">
        <v>0</v>
      </c>
      <c r="H4606" s="85">
        <f t="shared" si="72"/>
        <v>1910.94</v>
      </c>
      <c r="I4606" s="85"/>
      <c r="K4606" s="54" t="s">
        <v>38</v>
      </c>
    </row>
    <row r="4607" spans="2:11" ht="33" x14ac:dyDescent="0.2">
      <c r="B4607" s="82" t="s">
        <v>7260</v>
      </c>
      <c r="C4607" s="82" t="s">
        <v>7261</v>
      </c>
      <c r="D4607" s="83">
        <f>SUMIFS(D4608:D6462,K4608:K6462,"0",B4608:B6462,"5 1 2 4 9*")-SUMIFS(E4608:E6462,K4608:K6462,"0",B4608:B6462,"5 1 2 4 9*")</f>
        <v>0</v>
      </c>
      <c r="E4607" s="54"/>
      <c r="F4607" s="83">
        <f>SUMIFS(F4608:F6462,K4608:K6462,"0",B4608:B6462,"5 1 2 4 9*")</f>
        <v>108764.32</v>
      </c>
      <c r="G4607" s="83">
        <f>SUMIFS(G4608:G6462,K4608:K6462,"0",B4608:B6462,"5 1 2 4 9*")</f>
        <v>0</v>
      </c>
      <c r="H4607" s="83">
        <f t="shared" si="72"/>
        <v>108764.32</v>
      </c>
      <c r="I4607" s="83"/>
      <c r="K4607" s="54" t="s">
        <v>15</v>
      </c>
    </row>
    <row r="4608" spans="2:11" ht="12.75" x14ac:dyDescent="0.2">
      <c r="B4608" s="82" t="s">
        <v>7262</v>
      </c>
      <c r="C4608" s="82" t="s">
        <v>26</v>
      </c>
      <c r="D4608" s="83">
        <f>SUMIFS(D4609:D6462,K4609:K6462,"0",B4609:B6462,"5 1 2 4 9 12*")-SUMIFS(E4609:E6462,K4609:K6462,"0",B4609:B6462,"5 1 2 4 9 12*")</f>
        <v>0</v>
      </c>
      <c r="E4608" s="54"/>
      <c r="F4608" s="83">
        <f>SUMIFS(F4609:F6462,K4609:K6462,"0",B4609:B6462,"5 1 2 4 9 12*")</f>
        <v>108764.32</v>
      </c>
      <c r="G4608" s="83">
        <f>SUMIFS(G4609:G6462,K4609:K6462,"0",B4609:B6462,"5 1 2 4 9 12*")</f>
        <v>0</v>
      </c>
      <c r="H4608" s="83">
        <f t="shared" si="72"/>
        <v>108764.32</v>
      </c>
      <c r="I4608" s="83"/>
      <c r="K4608" s="54" t="s">
        <v>15</v>
      </c>
    </row>
    <row r="4609" spans="2:11" ht="16.5" x14ac:dyDescent="0.2">
      <c r="B4609" s="82" t="s">
        <v>7263</v>
      </c>
      <c r="C4609" s="82" t="s">
        <v>28</v>
      </c>
      <c r="D4609" s="83">
        <f>SUMIFS(D4610:D6462,K4610:K6462,"0",B4610:B6462,"5 1 2 4 9 12 31111*")-SUMIFS(E4610:E6462,K4610:K6462,"0",B4610:B6462,"5 1 2 4 9 12 31111*")</f>
        <v>0</v>
      </c>
      <c r="E4609" s="54"/>
      <c r="F4609" s="83">
        <f>SUMIFS(F4610:F6462,K4610:K6462,"0",B4610:B6462,"5 1 2 4 9 12 31111*")</f>
        <v>108764.32</v>
      </c>
      <c r="G4609" s="83">
        <f>SUMIFS(G4610:G6462,K4610:K6462,"0",B4610:B6462,"5 1 2 4 9 12 31111*")</f>
        <v>0</v>
      </c>
      <c r="H4609" s="83">
        <f t="shared" si="72"/>
        <v>108764.32</v>
      </c>
      <c r="I4609" s="83"/>
      <c r="K4609" s="54" t="s">
        <v>15</v>
      </c>
    </row>
    <row r="4610" spans="2:11" ht="12.75" x14ac:dyDescent="0.2">
      <c r="B4610" s="82" t="s">
        <v>7264</v>
      </c>
      <c r="C4610" s="82" t="s">
        <v>30</v>
      </c>
      <c r="D4610" s="83">
        <f>SUMIFS(D4611:D6462,K4611:K6462,"0",B4611:B6462,"5 1 2 4 9 12 31111 6*")-SUMIFS(E4611:E6462,K4611:K6462,"0",B4611:B6462,"5 1 2 4 9 12 31111 6*")</f>
        <v>0</v>
      </c>
      <c r="E4610" s="54"/>
      <c r="F4610" s="83">
        <f>SUMIFS(F4611:F6462,K4611:K6462,"0",B4611:B6462,"5 1 2 4 9 12 31111 6*")</f>
        <v>108764.32</v>
      </c>
      <c r="G4610" s="83">
        <f>SUMIFS(G4611:G6462,K4611:K6462,"0",B4611:B6462,"5 1 2 4 9 12 31111 6*")</f>
        <v>0</v>
      </c>
      <c r="H4610" s="83">
        <f t="shared" si="72"/>
        <v>108764.32</v>
      </c>
      <c r="I4610" s="83"/>
      <c r="K4610" s="54" t="s">
        <v>15</v>
      </c>
    </row>
    <row r="4611" spans="2:11" ht="16.5" x14ac:dyDescent="0.2">
      <c r="B4611" s="82" t="s">
        <v>7265</v>
      </c>
      <c r="C4611" s="82" t="s">
        <v>2284</v>
      </c>
      <c r="D4611" s="83">
        <f>SUMIFS(D4612:D6462,K4612:K6462,"0",B4612:B6462,"5 1 2 4 9 12 31111 6 M59*")-SUMIFS(E4612:E6462,K4612:K6462,"0",B4612:B6462,"5 1 2 4 9 12 31111 6 M59*")</f>
        <v>0</v>
      </c>
      <c r="E4611" s="54"/>
      <c r="F4611" s="83">
        <f>SUMIFS(F4612:F6462,K4612:K6462,"0",B4612:B6462,"5 1 2 4 9 12 31111 6 M59*")</f>
        <v>108764.32</v>
      </c>
      <c r="G4611" s="83">
        <f>SUMIFS(G4612:G6462,K4612:K6462,"0",B4612:B6462,"5 1 2 4 9 12 31111 6 M59*")</f>
        <v>0</v>
      </c>
      <c r="H4611" s="83">
        <f t="shared" si="72"/>
        <v>108764.32</v>
      </c>
      <c r="I4611" s="83"/>
      <c r="K4611" s="54" t="s">
        <v>15</v>
      </c>
    </row>
    <row r="4612" spans="2:11" ht="16.5" x14ac:dyDescent="0.2">
      <c r="B4612" s="82" t="s">
        <v>7278</v>
      </c>
      <c r="C4612" s="82" t="s">
        <v>3103</v>
      </c>
      <c r="D4612" s="83">
        <f>SUMIFS(D4613:D6462,K4613:K6462,"0",B4613:B6462,"5 1 2 4 9 12 31111 6 M59 20400*")-SUMIFS(E4613:E6462,K4613:K6462,"0",B4613:B6462,"5 1 2 4 9 12 31111 6 M59 20400*")</f>
        <v>0</v>
      </c>
      <c r="E4612" s="54"/>
      <c r="F4612" s="83">
        <f>SUMIFS(F4613:F6462,K4613:K6462,"0",B4613:B6462,"5 1 2 4 9 12 31111 6 M59 20400*")</f>
        <v>450.46</v>
      </c>
      <c r="G4612" s="83">
        <f>SUMIFS(G4613:G6462,K4613:K6462,"0",B4613:B6462,"5 1 2 4 9 12 31111 6 M59 20400*")</f>
        <v>0</v>
      </c>
      <c r="H4612" s="83">
        <f t="shared" si="72"/>
        <v>450.46</v>
      </c>
      <c r="I4612" s="83"/>
      <c r="K4612" s="54" t="s">
        <v>15</v>
      </c>
    </row>
    <row r="4613" spans="2:11" ht="16.5" x14ac:dyDescent="0.2">
      <c r="B4613" s="82" t="s">
        <v>7279</v>
      </c>
      <c r="C4613" s="82" t="s">
        <v>648</v>
      </c>
      <c r="D4613" s="83">
        <f>SUMIFS(D4614:D6462,K4614:K6462,"0",B4614:B6462,"5 1 2 4 9 12 31111 6 M59 20400 000132*")-SUMIFS(E4614:E6462,K4614:K6462,"0",B4614:B6462,"5 1 2 4 9 12 31111 6 M59 20400 000132*")</f>
        <v>0</v>
      </c>
      <c r="E4613" s="54"/>
      <c r="F4613" s="83">
        <f>SUMIFS(F4614:F6462,K4614:K6462,"0",B4614:B6462,"5 1 2 4 9 12 31111 6 M59 20400 000132*")</f>
        <v>450.46</v>
      </c>
      <c r="G4613" s="83">
        <f>SUMIFS(G4614:G6462,K4614:K6462,"0",B4614:B6462,"5 1 2 4 9 12 31111 6 M59 20400 000132*")</f>
        <v>0</v>
      </c>
      <c r="H4613" s="83">
        <f t="shared" si="72"/>
        <v>450.46</v>
      </c>
      <c r="I4613" s="83"/>
      <c r="K4613" s="54" t="s">
        <v>15</v>
      </c>
    </row>
    <row r="4614" spans="2:11" ht="24.75" x14ac:dyDescent="0.2">
      <c r="B4614" s="82" t="s">
        <v>7280</v>
      </c>
      <c r="C4614" s="82" t="s">
        <v>650</v>
      </c>
      <c r="D4614" s="83">
        <f>SUMIFS(D4615:D6462,K4615:K6462,"0",B4615:B6462,"5 1 2 4 9 12 31111 6 M59 20400 000132 0000R*")-SUMIFS(E4615:E6462,K4615:K6462,"0",B4615:B6462,"5 1 2 4 9 12 31111 6 M59 20400 000132 0000R*")</f>
        <v>0</v>
      </c>
      <c r="E4614" s="54"/>
      <c r="F4614" s="83">
        <f>SUMIFS(F4615:F6462,K4615:K6462,"0",B4615:B6462,"5 1 2 4 9 12 31111 6 M59 20400 000132 0000R*")</f>
        <v>450.46</v>
      </c>
      <c r="G4614" s="83">
        <f>SUMIFS(G4615:G6462,K4615:K6462,"0",B4615:B6462,"5 1 2 4 9 12 31111 6 M59 20400 000132 0000R*")</f>
        <v>0</v>
      </c>
      <c r="H4614" s="83">
        <f t="shared" si="72"/>
        <v>450.46</v>
      </c>
      <c r="I4614" s="83"/>
      <c r="K4614" s="54" t="s">
        <v>15</v>
      </c>
    </row>
    <row r="4615" spans="2:11" ht="24.75" x14ac:dyDescent="0.2">
      <c r="B4615" s="82" t="s">
        <v>7281</v>
      </c>
      <c r="C4615" s="82" t="s">
        <v>282</v>
      </c>
      <c r="D4615" s="83">
        <f>SUMIFS(D4616:D6462,K4616:K6462,"0",B4616:B6462,"5 1 2 4 9 12 31111 6 M59 20400 000132 0000R 00001*")-SUMIFS(E4616:E6462,K4616:K6462,"0",B4616:B6462,"5 1 2 4 9 12 31111 6 M59 20400 000132 0000R 00001*")</f>
        <v>0</v>
      </c>
      <c r="E4615" s="54"/>
      <c r="F4615" s="83">
        <f>SUMIFS(F4616:F6462,K4616:K6462,"0",B4616:B6462,"5 1 2 4 9 12 31111 6 M59 20400 000132 0000R 00001*")</f>
        <v>450.46</v>
      </c>
      <c r="G4615" s="83">
        <f>SUMIFS(G4616:G6462,K4616:K6462,"0",B4616:B6462,"5 1 2 4 9 12 31111 6 M59 20400 000132 0000R 00001*")</f>
        <v>0</v>
      </c>
      <c r="H4615" s="83">
        <f t="shared" si="72"/>
        <v>450.46</v>
      </c>
      <c r="I4615" s="83"/>
      <c r="K4615" s="54" t="s">
        <v>15</v>
      </c>
    </row>
    <row r="4616" spans="2:11" ht="33" x14ac:dyDescent="0.2">
      <c r="B4616" s="82" t="s">
        <v>7282</v>
      </c>
      <c r="C4616" s="82" t="s">
        <v>7271</v>
      </c>
      <c r="D4616" s="83">
        <f>SUMIFS(D4617:D6462,K4617:K6462,"0",B4617:B6462,"5 1 2 4 9 12 31111 6 M59 20400 000132 0000R 00001 00249*")-SUMIFS(E4617:E6462,K4617:K6462,"0",B4617:B6462,"5 1 2 4 9 12 31111 6 M59 20400 000132 0000R 00001 00249*")</f>
        <v>0</v>
      </c>
      <c r="E4616" s="54"/>
      <c r="F4616" s="83">
        <f>SUMIFS(F4617:F6462,K4617:K6462,"0",B4617:B6462,"5 1 2 4 9 12 31111 6 M59 20400 000132 0000R 00001 00249*")</f>
        <v>450.46</v>
      </c>
      <c r="G4616" s="83">
        <f>SUMIFS(G4617:G6462,K4617:K6462,"0",B4617:B6462,"5 1 2 4 9 12 31111 6 M59 20400 000132 0000R 00001 00249*")</f>
        <v>0</v>
      </c>
      <c r="H4616" s="83">
        <f t="shared" si="72"/>
        <v>450.46</v>
      </c>
      <c r="I4616" s="83"/>
      <c r="K4616" s="54" t="s">
        <v>15</v>
      </c>
    </row>
    <row r="4617" spans="2:11" ht="33" x14ac:dyDescent="0.2">
      <c r="B4617" s="82" t="s">
        <v>7283</v>
      </c>
      <c r="C4617" s="82" t="s">
        <v>1051</v>
      </c>
      <c r="D4617" s="83">
        <f>SUMIFS(D4618:D6462,K4618:K6462,"0",B4618:B6462,"5 1 2 4 9 12 31111 6 M59 20400 000132 0000R 00001 00249 015*")-SUMIFS(E4618:E6462,K4618:K6462,"0",B4618:B6462,"5 1 2 4 9 12 31111 6 M59 20400 000132 0000R 00001 00249 015*")</f>
        <v>0</v>
      </c>
      <c r="E4617" s="54"/>
      <c r="F4617" s="83">
        <f>SUMIFS(F4618:F6462,K4618:K6462,"0",B4618:B6462,"5 1 2 4 9 12 31111 6 M59 20400 000132 0000R 00001 00249 015*")</f>
        <v>450.46</v>
      </c>
      <c r="G4617" s="83">
        <f>SUMIFS(G4618:G6462,K4618:K6462,"0",B4618:B6462,"5 1 2 4 9 12 31111 6 M59 20400 000132 0000R 00001 00249 015*")</f>
        <v>0</v>
      </c>
      <c r="H4617" s="83">
        <f t="shared" si="72"/>
        <v>450.46</v>
      </c>
      <c r="I4617" s="83"/>
      <c r="K4617" s="54" t="s">
        <v>15</v>
      </c>
    </row>
    <row r="4618" spans="2:11" ht="33" x14ac:dyDescent="0.2">
      <c r="B4618" s="82" t="s">
        <v>7284</v>
      </c>
      <c r="C4618" s="82" t="s">
        <v>5830</v>
      </c>
      <c r="D4618" s="83">
        <f>SUMIFS(D4619:D6462,K4619:K6462,"0",B4619:B6462,"5 1 2 4 9 12 31111 6 M59 20400 000132 0000R 00001 00249 015 2112000*")-SUMIFS(E4619:E6462,K4619:K6462,"0",B4619:B6462,"5 1 2 4 9 12 31111 6 M59 20400 000132 0000R 00001 00249 015 2112000*")</f>
        <v>0</v>
      </c>
      <c r="E4618" s="54"/>
      <c r="F4618" s="83">
        <f>SUMIFS(F4619:F6462,K4619:K6462,"0",B4619:B6462,"5 1 2 4 9 12 31111 6 M59 20400 000132 0000R 00001 00249 015 2112000*")</f>
        <v>450.46</v>
      </c>
      <c r="G4618" s="83">
        <f>SUMIFS(G4619:G6462,K4619:K6462,"0",B4619:B6462,"5 1 2 4 9 12 31111 6 M59 20400 000132 0000R 00001 00249 015 2112000*")</f>
        <v>0</v>
      </c>
      <c r="H4618" s="83">
        <f t="shared" si="72"/>
        <v>450.46</v>
      </c>
      <c r="I4618" s="83"/>
      <c r="K4618" s="54" t="s">
        <v>15</v>
      </c>
    </row>
    <row r="4619" spans="2:11" ht="33" x14ac:dyDescent="0.2">
      <c r="B4619" s="82" t="s">
        <v>7285</v>
      </c>
      <c r="C4619" s="82" t="s">
        <v>660</v>
      </c>
      <c r="D4619" s="83">
        <f>SUMIFS(D4620:D6462,K4620:K6462,"0",B4620:B6462,"5 1 2 4 9 12 31111 6 M59 20400 000132 0000R 00001 00249 015 2112000 2024*")-SUMIFS(E4620:E6462,K4620:K6462,"0",B4620:B6462,"5 1 2 4 9 12 31111 6 M59 20400 000132 0000R 00001 00249 015 2112000 2024*")</f>
        <v>0</v>
      </c>
      <c r="E4619" s="54"/>
      <c r="F4619" s="83">
        <f>SUMIFS(F4620:F6462,K4620:K6462,"0",B4620:B6462,"5 1 2 4 9 12 31111 6 M59 20400 000132 0000R 00001 00249 015 2112000 2024*")</f>
        <v>450.46</v>
      </c>
      <c r="G4619" s="83">
        <f>SUMIFS(G4620:G6462,K4620:K6462,"0",B4620:B6462,"5 1 2 4 9 12 31111 6 M59 20400 000132 0000R 00001 00249 015 2112000 2024*")</f>
        <v>0</v>
      </c>
      <c r="H4619" s="83">
        <f t="shared" si="72"/>
        <v>450.46</v>
      </c>
      <c r="I4619" s="83"/>
      <c r="K4619" s="54" t="s">
        <v>15</v>
      </c>
    </row>
    <row r="4620" spans="2:11" ht="41.25" x14ac:dyDescent="0.2">
      <c r="B4620" s="82" t="s">
        <v>7286</v>
      </c>
      <c r="C4620" s="82" t="s">
        <v>1056</v>
      </c>
      <c r="D4620" s="83">
        <f>SUMIFS(D4621:D6462,K4621:K6462,"0",B4621:B6462,"5 1 2 4 9 12 31111 6 M59 20400 000132 0000R 00001 00249 015 2112000 2024 CP1PV404*")-SUMIFS(E4621:E6462,K4621:K6462,"0",B4621:B6462,"5 1 2 4 9 12 31111 6 M59 20400 000132 0000R 00001 00249 015 2112000 2024 CP1PV404*")</f>
        <v>0</v>
      </c>
      <c r="E4620" s="54"/>
      <c r="F4620" s="83">
        <f>SUMIFS(F4621:F6462,K4621:K6462,"0",B4621:B6462,"5 1 2 4 9 12 31111 6 M59 20400 000132 0000R 00001 00249 015 2112000 2024 CP1PV404*")</f>
        <v>450.46</v>
      </c>
      <c r="G4620" s="83">
        <f>SUMIFS(G4621:G6462,K4621:K6462,"0",B4621:B6462,"5 1 2 4 9 12 31111 6 M59 20400 000132 0000R 00001 00249 015 2112000 2024 CP1PV404*")</f>
        <v>0</v>
      </c>
      <c r="H4620" s="83">
        <f t="shared" si="72"/>
        <v>450.46</v>
      </c>
      <c r="I4620" s="83"/>
      <c r="K4620" s="54" t="s">
        <v>15</v>
      </c>
    </row>
    <row r="4621" spans="2:11" ht="41.25" x14ac:dyDescent="0.2">
      <c r="B4621" s="82" t="s">
        <v>7287</v>
      </c>
      <c r="C4621" s="82" t="s">
        <v>282</v>
      </c>
      <c r="D4621" s="83">
        <f>SUMIFS(D4622:D6462,K4622:K6462,"0",B4622:B6462,"5 1 2 4 9 12 31111 6 M59 20400 000132 0000R 00001 00249 015 2112000 2024 CP1PV404 001*")-SUMIFS(E4622:E6462,K4622:K6462,"0",B4622:B6462,"5 1 2 4 9 12 31111 6 M59 20400 000132 0000R 00001 00249 015 2112000 2024 CP1PV404 001*")</f>
        <v>0</v>
      </c>
      <c r="E4621" s="54"/>
      <c r="F4621" s="83">
        <f>SUMIFS(F4622:F6462,K4622:K6462,"0",B4622:B6462,"5 1 2 4 9 12 31111 6 M59 20400 000132 0000R 00001 00249 015 2112000 2024 CP1PV404 001*")</f>
        <v>450.46</v>
      </c>
      <c r="G4621" s="83">
        <f>SUMIFS(G4622:G6462,K4622:K6462,"0",B4622:B6462,"5 1 2 4 9 12 31111 6 M59 20400 000132 0000R 00001 00249 015 2112000 2024 CP1PV404 001*")</f>
        <v>0</v>
      </c>
      <c r="H4621" s="83">
        <f t="shared" si="72"/>
        <v>450.46</v>
      </c>
      <c r="I4621" s="83"/>
      <c r="K4621" s="54" t="s">
        <v>15</v>
      </c>
    </row>
    <row r="4622" spans="2:11" ht="41.25" x14ac:dyDescent="0.2">
      <c r="B4622" s="84" t="s">
        <v>7288</v>
      </c>
      <c r="C4622" s="84" t="s">
        <v>7271</v>
      </c>
      <c r="D4622" s="85">
        <v>0</v>
      </c>
      <c r="E4622" s="85"/>
      <c r="F4622" s="85">
        <v>450.46</v>
      </c>
      <c r="G4622" s="85">
        <v>0</v>
      </c>
      <c r="H4622" s="85">
        <f t="shared" si="72"/>
        <v>450.46</v>
      </c>
      <c r="I4622" s="85"/>
      <c r="K4622" s="54" t="s">
        <v>38</v>
      </c>
    </row>
    <row r="4623" spans="2:11" ht="16.5" x14ac:dyDescent="0.2">
      <c r="B4623" s="82" t="s">
        <v>7300</v>
      </c>
      <c r="C4623" s="82" t="s">
        <v>3138</v>
      </c>
      <c r="D4623" s="83">
        <f>SUMIFS(D4624:D6462,K4624:K6462,"0",B4624:B6462,"5 1 2 4 9 12 31111 6 M59 20700*")-SUMIFS(E4624:E6462,K4624:K6462,"0",B4624:B6462,"5 1 2 4 9 12 31111 6 M59 20700*")</f>
        <v>0</v>
      </c>
      <c r="E4623" s="54"/>
      <c r="F4623" s="83">
        <f>SUMIFS(F4624:F6462,K4624:K6462,"0",B4624:B6462,"5 1 2 4 9 12 31111 6 M59 20700*")</f>
        <v>226.99</v>
      </c>
      <c r="G4623" s="83">
        <f>SUMIFS(G4624:G6462,K4624:K6462,"0",B4624:B6462,"5 1 2 4 9 12 31111 6 M59 20700*")</f>
        <v>0</v>
      </c>
      <c r="H4623" s="83">
        <f t="shared" si="72"/>
        <v>226.99</v>
      </c>
      <c r="I4623" s="83"/>
      <c r="K4623" s="54" t="s">
        <v>15</v>
      </c>
    </row>
    <row r="4624" spans="2:11" ht="16.5" x14ac:dyDescent="0.2">
      <c r="B4624" s="82" t="s">
        <v>7301</v>
      </c>
      <c r="C4624" s="82" t="s">
        <v>648</v>
      </c>
      <c r="D4624" s="83">
        <f>SUMIFS(D4625:D6462,K4625:K6462,"0",B4625:B6462,"5 1 2 4 9 12 31111 6 M59 20700 000132*")-SUMIFS(E4625:E6462,K4625:K6462,"0",B4625:B6462,"5 1 2 4 9 12 31111 6 M59 20700 000132*")</f>
        <v>0</v>
      </c>
      <c r="E4624" s="54"/>
      <c r="F4624" s="83">
        <f>SUMIFS(F4625:F6462,K4625:K6462,"0",B4625:B6462,"5 1 2 4 9 12 31111 6 M59 20700 000132*")</f>
        <v>226.99</v>
      </c>
      <c r="G4624" s="83">
        <f>SUMIFS(G4625:G6462,K4625:K6462,"0",B4625:B6462,"5 1 2 4 9 12 31111 6 M59 20700 000132*")</f>
        <v>0</v>
      </c>
      <c r="H4624" s="83">
        <f t="shared" si="72"/>
        <v>226.99</v>
      </c>
      <c r="I4624" s="83"/>
      <c r="K4624" s="54" t="s">
        <v>15</v>
      </c>
    </row>
    <row r="4625" spans="2:11" ht="24.75" x14ac:dyDescent="0.2">
      <c r="B4625" s="82" t="s">
        <v>7302</v>
      </c>
      <c r="C4625" s="82" t="s">
        <v>650</v>
      </c>
      <c r="D4625" s="83">
        <f>SUMIFS(D4626:D6462,K4626:K6462,"0",B4626:B6462,"5 1 2 4 9 12 31111 6 M59 20700 000132 0000R*")-SUMIFS(E4626:E6462,K4626:K6462,"0",B4626:B6462,"5 1 2 4 9 12 31111 6 M59 20700 000132 0000R*")</f>
        <v>0</v>
      </c>
      <c r="E4625" s="54"/>
      <c r="F4625" s="83">
        <f>SUMIFS(F4626:F6462,K4626:K6462,"0",B4626:B6462,"5 1 2 4 9 12 31111 6 M59 20700 000132 0000R*")</f>
        <v>226.99</v>
      </c>
      <c r="G4625" s="83">
        <f>SUMIFS(G4626:G6462,K4626:K6462,"0",B4626:B6462,"5 1 2 4 9 12 31111 6 M59 20700 000132 0000R*")</f>
        <v>0</v>
      </c>
      <c r="H4625" s="83">
        <f t="shared" si="72"/>
        <v>226.99</v>
      </c>
      <c r="I4625" s="83"/>
      <c r="K4625" s="54" t="s">
        <v>15</v>
      </c>
    </row>
    <row r="4626" spans="2:11" ht="24.75" x14ac:dyDescent="0.2">
      <c r="B4626" s="82" t="s">
        <v>7303</v>
      </c>
      <c r="C4626" s="82" t="s">
        <v>282</v>
      </c>
      <c r="D4626" s="83">
        <f>SUMIFS(D4627:D6462,K4627:K6462,"0",B4627:B6462,"5 1 2 4 9 12 31111 6 M59 20700 000132 0000R 00001*")-SUMIFS(E4627:E6462,K4627:K6462,"0",B4627:B6462,"5 1 2 4 9 12 31111 6 M59 20700 000132 0000R 00001*")</f>
        <v>0</v>
      </c>
      <c r="E4626" s="54"/>
      <c r="F4626" s="83">
        <f>SUMIFS(F4627:F6462,K4627:K6462,"0",B4627:B6462,"5 1 2 4 9 12 31111 6 M59 20700 000132 0000R 00001*")</f>
        <v>226.99</v>
      </c>
      <c r="G4626" s="83">
        <f>SUMIFS(G4627:G6462,K4627:K6462,"0",B4627:B6462,"5 1 2 4 9 12 31111 6 M59 20700 000132 0000R 00001*")</f>
        <v>0</v>
      </c>
      <c r="H4626" s="83">
        <f t="shared" si="72"/>
        <v>226.99</v>
      </c>
      <c r="I4626" s="83"/>
      <c r="K4626" s="54" t="s">
        <v>15</v>
      </c>
    </row>
    <row r="4627" spans="2:11" ht="33" x14ac:dyDescent="0.2">
      <c r="B4627" s="82" t="s">
        <v>7304</v>
      </c>
      <c r="C4627" s="82" t="s">
        <v>7271</v>
      </c>
      <c r="D4627" s="83">
        <f>SUMIFS(D4628:D6462,K4628:K6462,"0",B4628:B6462,"5 1 2 4 9 12 31111 6 M59 20700 000132 0000R 00001 00249*")-SUMIFS(E4628:E6462,K4628:K6462,"0",B4628:B6462,"5 1 2 4 9 12 31111 6 M59 20700 000132 0000R 00001 00249*")</f>
        <v>0</v>
      </c>
      <c r="E4627" s="54"/>
      <c r="F4627" s="83">
        <f>SUMIFS(F4628:F6462,K4628:K6462,"0",B4628:B6462,"5 1 2 4 9 12 31111 6 M59 20700 000132 0000R 00001 00249*")</f>
        <v>226.99</v>
      </c>
      <c r="G4627" s="83">
        <f>SUMIFS(G4628:G6462,K4628:K6462,"0",B4628:B6462,"5 1 2 4 9 12 31111 6 M59 20700 000132 0000R 00001 00249*")</f>
        <v>0</v>
      </c>
      <c r="H4627" s="83">
        <f t="shared" si="72"/>
        <v>226.99</v>
      </c>
      <c r="I4627" s="83"/>
      <c r="K4627" s="54" t="s">
        <v>15</v>
      </c>
    </row>
    <row r="4628" spans="2:11" ht="33" x14ac:dyDescent="0.2">
      <c r="B4628" s="82" t="s">
        <v>7305</v>
      </c>
      <c r="C4628" s="82" t="s">
        <v>1051</v>
      </c>
      <c r="D4628" s="83">
        <f>SUMIFS(D4629:D6462,K4629:K6462,"0",B4629:B6462,"5 1 2 4 9 12 31111 6 M59 20700 000132 0000R 00001 00249 015*")-SUMIFS(E4629:E6462,K4629:K6462,"0",B4629:B6462,"5 1 2 4 9 12 31111 6 M59 20700 000132 0000R 00001 00249 015*")</f>
        <v>0</v>
      </c>
      <c r="E4628" s="54"/>
      <c r="F4628" s="83">
        <f>SUMIFS(F4629:F6462,K4629:K6462,"0",B4629:B6462,"5 1 2 4 9 12 31111 6 M59 20700 000132 0000R 00001 00249 015*")</f>
        <v>226.99</v>
      </c>
      <c r="G4628" s="83">
        <f>SUMIFS(G4629:G6462,K4629:K6462,"0",B4629:B6462,"5 1 2 4 9 12 31111 6 M59 20700 000132 0000R 00001 00249 015*")</f>
        <v>0</v>
      </c>
      <c r="H4628" s="83">
        <f t="shared" si="72"/>
        <v>226.99</v>
      </c>
      <c r="I4628" s="83"/>
      <c r="K4628" s="54" t="s">
        <v>15</v>
      </c>
    </row>
    <row r="4629" spans="2:11" ht="33" x14ac:dyDescent="0.2">
      <c r="B4629" s="82" t="s">
        <v>7306</v>
      </c>
      <c r="C4629" s="82" t="s">
        <v>5830</v>
      </c>
      <c r="D4629" s="83">
        <f>SUMIFS(D4630:D6462,K4630:K6462,"0",B4630:B6462,"5 1 2 4 9 12 31111 6 M59 20700 000132 0000R 00001 00249 015 2112000*")-SUMIFS(E4630:E6462,K4630:K6462,"0",B4630:B6462,"5 1 2 4 9 12 31111 6 M59 20700 000132 0000R 00001 00249 015 2112000*")</f>
        <v>0</v>
      </c>
      <c r="E4629" s="54"/>
      <c r="F4629" s="83">
        <f>SUMIFS(F4630:F6462,K4630:K6462,"0",B4630:B6462,"5 1 2 4 9 12 31111 6 M59 20700 000132 0000R 00001 00249 015 2112000*")</f>
        <v>226.99</v>
      </c>
      <c r="G4629" s="83">
        <f>SUMIFS(G4630:G6462,K4630:K6462,"0",B4630:B6462,"5 1 2 4 9 12 31111 6 M59 20700 000132 0000R 00001 00249 015 2112000*")</f>
        <v>0</v>
      </c>
      <c r="H4629" s="83">
        <f t="shared" si="72"/>
        <v>226.99</v>
      </c>
      <c r="I4629" s="83"/>
      <c r="K4629" s="54" t="s">
        <v>15</v>
      </c>
    </row>
    <row r="4630" spans="2:11" ht="33" x14ac:dyDescent="0.2">
      <c r="B4630" s="82" t="s">
        <v>7307</v>
      </c>
      <c r="C4630" s="82" t="s">
        <v>660</v>
      </c>
      <c r="D4630" s="83">
        <f>SUMIFS(D4631:D6462,K4631:K6462,"0",B4631:B6462,"5 1 2 4 9 12 31111 6 M59 20700 000132 0000R 00001 00249 015 2112000 2024*")-SUMIFS(E4631:E6462,K4631:K6462,"0",B4631:B6462,"5 1 2 4 9 12 31111 6 M59 20700 000132 0000R 00001 00249 015 2112000 2024*")</f>
        <v>0</v>
      </c>
      <c r="E4630" s="54"/>
      <c r="F4630" s="83">
        <f>SUMIFS(F4631:F6462,K4631:K6462,"0",B4631:B6462,"5 1 2 4 9 12 31111 6 M59 20700 000132 0000R 00001 00249 015 2112000 2024*")</f>
        <v>226.99</v>
      </c>
      <c r="G4630" s="83">
        <f>SUMIFS(G4631:G6462,K4631:K6462,"0",B4631:B6462,"5 1 2 4 9 12 31111 6 M59 20700 000132 0000R 00001 00249 015 2112000 2024*")</f>
        <v>0</v>
      </c>
      <c r="H4630" s="83">
        <f t="shared" si="72"/>
        <v>226.99</v>
      </c>
      <c r="I4630" s="83"/>
      <c r="K4630" s="54" t="s">
        <v>15</v>
      </c>
    </row>
    <row r="4631" spans="2:11" ht="41.25" x14ac:dyDescent="0.2">
      <c r="B4631" s="82" t="s">
        <v>7308</v>
      </c>
      <c r="C4631" s="82" t="s">
        <v>662</v>
      </c>
      <c r="D4631" s="83">
        <f>SUMIFS(D4632:D6462,K4632:K6462,"0",B4632:B6462,"5 1 2 4 9 12 31111 6 M59 20700 000132 0000R 00001 00249 015 2112000 2024 CP1RM401*")-SUMIFS(E4632:E6462,K4632:K6462,"0",B4632:B6462,"5 1 2 4 9 12 31111 6 M59 20700 000132 0000R 00001 00249 015 2112000 2024 CP1RM401*")</f>
        <v>0</v>
      </c>
      <c r="E4631" s="54"/>
      <c r="F4631" s="83">
        <f>SUMIFS(F4632:F6462,K4632:K6462,"0",B4632:B6462,"5 1 2 4 9 12 31111 6 M59 20700 000132 0000R 00001 00249 015 2112000 2024 CP1RM401*")</f>
        <v>226.99</v>
      </c>
      <c r="G4631" s="83">
        <f>SUMIFS(G4632:G6462,K4632:K6462,"0",B4632:B6462,"5 1 2 4 9 12 31111 6 M59 20700 000132 0000R 00001 00249 015 2112000 2024 CP1RM401*")</f>
        <v>0</v>
      </c>
      <c r="H4631" s="83">
        <f t="shared" si="72"/>
        <v>226.99</v>
      </c>
      <c r="I4631" s="83"/>
      <c r="K4631" s="54" t="s">
        <v>15</v>
      </c>
    </row>
    <row r="4632" spans="2:11" ht="41.25" x14ac:dyDescent="0.2">
      <c r="B4632" s="82" t="s">
        <v>7309</v>
      </c>
      <c r="C4632" s="82" t="s">
        <v>282</v>
      </c>
      <c r="D4632" s="83">
        <f>SUMIFS(D4633:D6462,K4633:K6462,"0",B4633:B6462,"5 1 2 4 9 12 31111 6 M59 20700 000132 0000R 00001 00249 015 2112000 2024 CP1RM401 001*")-SUMIFS(E4633:E6462,K4633:K6462,"0",B4633:B6462,"5 1 2 4 9 12 31111 6 M59 20700 000132 0000R 00001 00249 015 2112000 2024 CP1RM401 001*")</f>
        <v>0</v>
      </c>
      <c r="E4632" s="54"/>
      <c r="F4632" s="83">
        <f>SUMIFS(F4633:F6462,K4633:K6462,"0",B4633:B6462,"5 1 2 4 9 12 31111 6 M59 20700 000132 0000R 00001 00249 015 2112000 2024 CP1RM401 001*")</f>
        <v>226.99</v>
      </c>
      <c r="G4632" s="83">
        <f>SUMIFS(G4633:G6462,K4633:K6462,"0",B4633:B6462,"5 1 2 4 9 12 31111 6 M59 20700 000132 0000R 00001 00249 015 2112000 2024 CP1RM401 001*")</f>
        <v>0</v>
      </c>
      <c r="H4632" s="83">
        <f t="shared" si="72"/>
        <v>226.99</v>
      </c>
      <c r="I4632" s="83"/>
      <c r="K4632" s="54" t="s">
        <v>15</v>
      </c>
    </row>
    <row r="4633" spans="2:11" ht="33" x14ac:dyDescent="0.2">
      <c r="B4633" s="84" t="s">
        <v>7310</v>
      </c>
      <c r="C4633" s="84" t="s">
        <v>7261</v>
      </c>
      <c r="D4633" s="85">
        <v>0</v>
      </c>
      <c r="E4633" s="85"/>
      <c r="F4633" s="85">
        <v>226.99</v>
      </c>
      <c r="G4633" s="85">
        <v>0</v>
      </c>
      <c r="H4633" s="85">
        <f t="shared" si="72"/>
        <v>226.99</v>
      </c>
      <c r="I4633" s="85"/>
      <c r="K4633" s="54" t="s">
        <v>38</v>
      </c>
    </row>
    <row r="4634" spans="2:11" ht="16.5" x14ac:dyDescent="0.2">
      <c r="B4634" s="82" t="s">
        <v>7323</v>
      </c>
      <c r="C4634" s="82" t="s">
        <v>3281</v>
      </c>
      <c r="D4634" s="83">
        <f>SUMIFS(D4635:D6462,K4635:K6462,"0",B4635:B6462,"5 1 2 4 9 12 31111 6 M59 50000*")-SUMIFS(E4635:E6462,K4635:K6462,"0",B4635:B6462,"5 1 2 4 9 12 31111 6 M59 50000*")</f>
        <v>0</v>
      </c>
      <c r="E4634" s="54"/>
      <c r="F4634" s="83">
        <f>SUMIFS(F4635:F6462,K4635:K6462,"0",B4635:B6462,"5 1 2 4 9 12 31111 6 M59 50000*")</f>
        <v>5305.59</v>
      </c>
      <c r="G4634" s="83">
        <f>SUMIFS(G4635:G6462,K4635:K6462,"0",B4635:B6462,"5 1 2 4 9 12 31111 6 M59 50000*")</f>
        <v>0</v>
      </c>
      <c r="H4634" s="83">
        <f t="shared" si="72"/>
        <v>5305.59</v>
      </c>
      <c r="I4634" s="83"/>
      <c r="K4634" s="54" t="s">
        <v>15</v>
      </c>
    </row>
    <row r="4635" spans="2:11" ht="16.5" x14ac:dyDescent="0.2">
      <c r="B4635" s="82" t="s">
        <v>7324</v>
      </c>
      <c r="C4635" s="82" t="s">
        <v>3283</v>
      </c>
      <c r="D4635" s="83">
        <f>SUMIFS(D4636:D6462,K4636:K6462,"0",B4636:B6462,"5 1 2 4 9 12 31111 6 M59 50000 000223*")-SUMIFS(E4636:E6462,K4636:K6462,"0",B4636:B6462,"5 1 2 4 9 12 31111 6 M59 50000 000223*")</f>
        <v>0</v>
      </c>
      <c r="E4635" s="54"/>
      <c r="F4635" s="83">
        <f>SUMIFS(F4636:F6462,K4636:K6462,"0",B4636:B6462,"5 1 2 4 9 12 31111 6 M59 50000 000223*")</f>
        <v>5305.59</v>
      </c>
      <c r="G4635" s="83">
        <f>SUMIFS(G4636:G6462,K4636:K6462,"0",B4636:B6462,"5 1 2 4 9 12 31111 6 M59 50000 000223*")</f>
        <v>0</v>
      </c>
      <c r="H4635" s="83">
        <f t="shared" si="72"/>
        <v>5305.59</v>
      </c>
      <c r="I4635" s="83"/>
      <c r="K4635" s="54" t="s">
        <v>15</v>
      </c>
    </row>
    <row r="4636" spans="2:11" ht="24.75" x14ac:dyDescent="0.2">
      <c r="B4636" s="82" t="s">
        <v>7325</v>
      </c>
      <c r="C4636" s="82" t="s">
        <v>1065</v>
      </c>
      <c r="D4636" s="83">
        <f>SUMIFS(D4637:D6462,K4637:K6462,"0",B4637:B6462,"5 1 2 4 9 12 31111 6 M59 50000 000223 0000E*")-SUMIFS(E4637:E6462,K4637:K6462,"0",B4637:B6462,"5 1 2 4 9 12 31111 6 M59 50000 000223 0000E*")</f>
        <v>0</v>
      </c>
      <c r="E4636" s="54"/>
      <c r="F4636" s="83">
        <f>SUMIFS(F4637:F6462,K4637:K6462,"0",B4637:B6462,"5 1 2 4 9 12 31111 6 M59 50000 000223 0000E*")</f>
        <v>5305.59</v>
      </c>
      <c r="G4636" s="83">
        <f>SUMIFS(G4637:G6462,K4637:K6462,"0",B4637:B6462,"5 1 2 4 9 12 31111 6 M59 50000 000223 0000E*")</f>
        <v>0</v>
      </c>
      <c r="H4636" s="83">
        <f t="shared" si="72"/>
        <v>5305.59</v>
      </c>
      <c r="I4636" s="83"/>
      <c r="K4636" s="54" t="s">
        <v>15</v>
      </c>
    </row>
    <row r="4637" spans="2:11" ht="24.75" x14ac:dyDescent="0.2">
      <c r="B4637" s="82" t="s">
        <v>7326</v>
      </c>
      <c r="C4637" s="82" t="s">
        <v>282</v>
      </c>
      <c r="D4637" s="83">
        <f>SUMIFS(D4638:D6462,K4638:K6462,"0",B4638:B6462,"5 1 2 4 9 12 31111 6 M59 50000 000223 0000E 00001*")-SUMIFS(E4638:E6462,K4638:K6462,"0",B4638:B6462,"5 1 2 4 9 12 31111 6 M59 50000 000223 0000E 00001*")</f>
        <v>0</v>
      </c>
      <c r="E4637" s="54"/>
      <c r="F4637" s="83">
        <f>SUMIFS(F4638:F6462,K4638:K6462,"0",B4638:B6462,"5 1 2 4 9 12 31111 6 M59 50000 000223 0000E 00001*")</f>
        <v>5305.59</v>
      </c>
      <c r="G4637" s="83">
        <f>SUMIFS(G4638:G6462,K4638:K6462,"0",B4638:B6462,"5 1 2 4 9 12 31111 6 M59 50000 000223 0000E 00001*")</f>
        <v>0</v>
      </c>
      <c r="H4637" s="83">
        <f t="shared" si="72"/>
        <v>5305.59</v>
      </c>
      <c r="I4637" s="83"/>
      <c r="K4637" s="54" t="s">
        <v>15</v>
      </c>
    </row>
    <row r="4638" spans="2:11" ht="33" x14ac:dyDescent="0.2">
      <c r="B4638" s="82" t="s">
        <v>7327</v>
      </c>
      <c r="C4638" s="82" t="s">
        <v>7271</v>
      </c>
      <c r="D4638" s="83">
        <f>SUMIFS(D4639:D6462,K4639:K6462,"0",B4639:B6462,"5 1 2 4 9 12 31111 6 M59 50000 000223 0000E 00001 00249*")-SUMIFS(E4639:E6462,K4639:K6462,"0",B4639:B6462,"5 1 2 4 9 12 31111 6 M59 50000 000223 0000E 00001 00249*")</f>
        <v>0</v>
      </c>
      <c r="E4638" s="54"/>
      <c r="F4638" s="83">
        <f>SUMIFS(F4639:F6462,K4639:K6462,"0",B4639:B6462,"5 1 2 4 9 12 31111 6 M59 50000 000223 0000E 00001 00249*")</f>
        <v>5305.59</v>
      </c>
      <c r="G4638" s="83">
        <f>SUMIFS(G4639:G6462,K4639:K6462,"0",B4639:B6462,"5 1 2 4 9 12 31111 6 M59 50000 000223 0000E 00001 00249*")</f>
        <v>0</v>
      </c>
      <c r="H4638" s="83">
        <f t="shared" si="72"/>
        <v>5305.59</v>
      </c>
      <c r="I4638" s="83"/>
      <c r="K4638" s="54" t="s">
        <v>15</v>
      </c>
    </row>
    <row r="4639" spans="2:11" ht="33" x14ac:dyDescent="0.2">
      <c r="B4639" s="82" t="s">
        <v>7328</v>
      </c>
      <c r="C4639" s="82" t="s">
        <v>1051</v>
      </c>
      <c r="D4639" s="83">
        <f>SUMIFS(D4640:D6462,K4640:K6462,"0",B4640:B6462,"5 1 2 4 9 12 31111 6 M59 50000 000223 0000E 00001 00249 015*")-SUMIFS(E4640:E6462,K4640:K6462,"0",B4640:B6462,"5 1 2 4 9 12 31111 6 M59 50000 000223 0000E 00001 00249 015*")</f>
        <v>0</v>
      </c>
      <c r="E4639" s="54"/>
      <c r="F4639" s="83">
        <f>SUMIFS(F4640:F6462,K4640:K6462,"0",B4640:B6462,"5 1 2 4 9 12 31111 6 M59 50000 000223 0000E 00001 00249 015*")</f>
        <v>5305.59</v>
      </c>
      <c r="G4639" s="83">
        <f>SUMIFS(G4640:G6462,K4640:K6462,"0",B4640:B6462,"5 1 2 4 9 12 31111 6 M59 50000 000223 0000E 00001 00249 015*")</f>
        <v>0</v>
      </c>
      <c r="H4639" s="83">
        <f t="shared" si="72"/>
        <v>5305.59</v>
      </c>
      <c r="I4639" s="83"/>
      <c r="K4639" s="54" t="s">
        <v>15</v>
      </c>
    </row>
    <row r="4640" spans="2:11" ht="33" x14ac:dyDescent="0.2">
      <c r="B4640" s="82" t="s">
        <v>7329</v>
      </c>
      <c r="C4640" s="82" t="s">
        <v>5830</v>
      </c>
      <c r="D4640" s="83">
        <f>SUMIFS(D4641:D6462,K4641:K6462,"0",B4641:B6462,"5 1 2 4 9 12 31111 6 M59 50000 000223 0000E 00001 00249 015 2112000*")-SUMIFS(E4641:E6462,K4641:K6462,"0",B4641:B6462,"5 1 2 4 9 12 31111 6 M59 50000 000223 0000E 00001 00249 015 2112000*")</f>
        <v>0</v>
      </c>
      <c r="E4640" s="54"/>
      <c r="F4640" s="83">
        <f>SUMIFS(F4641:F6462,K4641:K6462,"0",B4641:B6462,"5 1 2 4 9 12 31111 6 M59 50000 000223 0000E 00001 00249 015 2112000*")</f>
        <v>5305.59</v>
      </c>
      <c r="G4640" s="83">
        <f>SUMIFS(G4641:G6462,K4641:K6462,"0",B4641:B6462,"5 1 2 4 9 12 31111 6 M59 50000 000223 0000E 00001 00249 015 2112000*")</f>
        <v>0</v>
      </c>
      <c r="H4640" s="83">
        <f t="shared" si="72"/>
        <v>5305.59</v>
      </c>
      <c r="I4640" s="83"/>
      <c r="K4640" s="54" t="s">
        <v>15</v>
      </c>
    </row>
    <row r="4641" spans="2:11" ht="33" x14ac:dyDescent="0.2">
      <c r="B4641" s="82" t="s">
        <v>7330</v>
      </c>
      <c r="C4641" s="82" t="s">
        <v>660</v>
      </c>
      <c r="D4641" s="83">
        <f>SUMIFS(D4642:D6462,K4642:K6462,"0",B4642:B6462,"5 1 2 4 9 12 31111 6 M59 50000 000223 0000E 00001 00249 015 2112000 2024*")-SUMIFS(E4642:E6462,K4642:K6462,"0",B4642:B6462,"5 1 2 4 9 12 31111 6 M59 50000 000223 0000E 00001 00249 015 2112000 2024*")</f>
        <v>0</v>
      </c>
      <c r="E4641" s="54"/>
      <c r="F4641" s="83">
        <f>SUMIFS(F4642:F6462,K4642:K6462,"0",B4642:B6462,"5 1 2 4 9 12 31111 6 M59 50000 000223 0000E 00001 00249 015 2112000 2024*")</f>
        <v>5305.59</v>
      </c>
      <c r="G4641" s="83">
        <f>SUMIFS(G4642:G6462,K4642:K6462,"0",B4642:B6462,"5 1 2 4 9 12 31111 6 M59 50000 000223 0000E 00001 00249 015 2112000 2024*")</f>
        <v>0</v>
      </c>
      <c r="H4641" s="83">
        <f t="shared" si="72"/>
        <v>5305.59</v>
      </c>
      <c r="I4641" s="83"/>
      <c r="K4641" s="54" t="s">
        <v>15</v>
      </c>
    </row>
    <row r="4642" spans="2:11" ht="41.25" x14ac:dyDescent="0.2">
      <c r="B4642" s="82" t="s">
        <v>7331</v>
      </c>
      <c r="C4642" s="82" t="s">
        <v>662</v>
      </c>
      <c r="D4642" s="83">
        <f>SUMIFS(D4643:D6462,K4643:K6462,"0",B4643:B6462,"5 1 2 4 9 12 31111 6 M59 50000 000223 0000E 00001 00249 015 2112000 2024 CP1DA424*")-SUMIFS(E4643:E6462,K4643:K6462,"0",B4643:B6462,"5 1 2 4 9 12 31111 6 M59 50000 000223 0000E 00001 00249 015 2112000 2024 CP1DA424*")</f>
        <v>0</v>
      </c>
      <c r="E4642" s="54"/>
      <c r="F4642" s="83">
        <f>SUMIFS(F4643:F6462,K4643:K6462,"0",B4643:B6462,"5 1 2 4 9 12 31111 6 M59 50000 000223 0000E 00001 00249 015 2112000 2024 CP1DA424*")</f>
        <v>5305.59</v>
      </c>
      <c r="G4642" s="83">
        <f>SUMIFS(G4643:G6462,K4643:K6462,"0",B4643:B6462,"5 1 2 4 9 12 31111 6 M59 50000 000223 0000E 00001 00249 015 2112000 2024 CP1DA424*")</f>
        <v>0</v>
      </c>
      <c r="H4642" s="83">
        <f t="shared" si="72"/>
        <v>5305.59</v>
      </c>
      <c r="I4642" s="83"/>
      <c r="K4642" s="54" t="s">
        <v>15</v>
      </c>
    </row>
    <row r="4643" spans="2:11" ht="41.25" x14ac:dyDescent="0.2">
      <c r="B4643" s="82" t="s">
        <v>7332</v>
      </c>
      <c r="C4643" s="82" t="s">
        <v>282</v>
      </c>
      <c r="D4643" s="83">
        <f>SUMIFS(D4644:D6462,K4644:K6462,"0",B4644:B6462,"5 1 2 4 9 12 31111 6 M59 50000 000223 0000E 00001 00249 015 2112000 2024 CP1DA424 001*")-SUMIFS(E4644:E6462,K4644:K6462,"0",B4644:B6462,"5 1 2 4 9 12 31111 6 M59 50000 000223 0000E 00001 00249 015 2112000 2024 CP1DA424 001*")</f>
        <v>0</v>
      </c>
      <c r="E4643" s="54"/>
      <c r="F4643" s="83">
        <f>SUMIFS(F4644:F6462,K4644:K6462,"0",B4644:B6462,"5 1 2 4 9 12 31111 6 M59 50000 000223 0000E 00001 00249 015 2112000 2024 CP1DA424 001*")</f>
        <v>5305.59</v>
      </c>
      <c r="G4643" s="83">
        <f>SUMIFS(G4644:G6462,K4644:K6462,"0",B4644:B6462,"5 1 2 4 9 12 31111 6 M59 50000 000223 0000E 00001 00249 015 2112000 2024 CP1DA424 001*")</f>
        <v>0</v>
      </c>
      <c r="H4643" s="83">
        <f t="shared" si="72"/>
        <v>5305.59</v>
      </c>
      <c r="I4643" s="83"/>
      <c r="K4643" s="54" t="s">
        <v>15</v>
      </c>
    </row>
    <row r="4644" spans="2:11" ht="41.25" x14ac:dyDescent="0.2">
      <c r="B4644" s="84" t="s">
        <v>7333</v>
      </c>
      <c r="C4644" s="84" t="s">
        <v>7261</v>
      </c>
      <c r="D4644" s="85">
        <v>0</v>
      </c>
      <c r="E4644" s="85"/>
      <c r="F4644" s="85">
        <v>5305.59</v>
      </c>
      <c r="G4644" s="85">
        <v>0</v>
      </c>
      <c r="H4644" s="85">
        <f t="shared" si="72"/>
        <v>5305.59</v>
      </c>
      <c r="I4644" s="85"/>
      <c r="K4644" s="54" t="s">
        <v>38</v>
      </c>
    </row>
    <row r="4645" spans="2:11" ht="16.5" x14ac:dyDescent="0.2">
      <c r="B4645" s="82" t="s">
        <v>7334</v>
      </c>
      <c r="C4645" s="82" t="s">
        <v>1269</v>
      </c>
      <c r="D4645" s="83">
        <f>SUMIFS(D4646:D6462,K4646:K6462,"0",B4646:B6462,"5 1 2 4 9 12 31111 6 M59 60100*")-SUMIFS(E4646:E6462,K4646:K6462,"0",B4646:B6462,"5 1 2 4 9 12 31111 6 M59 60100*")</f>
        <v>0</v>
      </c>
      <c r="E4645" s="54"/>
      <c r="F4645" s="83">
        <f>SUMIFS(F4646:F6462,K4646:K6462,"0",B4646:B6462,"5 1 2 4 9 12 31111 6 M59 60100*")</f>
        <v>1277.99</v>
      </c>
      <c r="G4645" s="83">
        <f>SUMIFS(G4646:G6462,K4646:K6462,"0",B4646:B6462,"5 1 2 4 9 12 31111 6 M59 60100*")</f>
        <v>0</v>
      </c>
      <c r="H4645" s="83">
        <f t="shared" si="72"/>
        <v>1277.99</v>
      </c>
      <c r="I4645" s="83"/>
      <c r="K4645" s="54" t="s">
        <v>15</v>
      </c>
    </row>
    <row r="4646" spans="2:11" ht="16.5" x14ac:dyDescent="0.2">
      <c r="B4646" s="82" t="s">
        <v>7335</v>
      </c>
      <c r="C4646" s="82" t="s">
        <v>648</v>
      </c>
      <c r="D4646" s="83">
        <f>SUMIFS(D4647:D6462,K4647:K6462,"0",B4647:B6462,"5 1 2 4 9 12 31111 6 M59 60100 000132*")-SUMIFS(E4647:E6462,K4647:K6462,"0",B4647:B6462,"5 1 2 4 9 12 31111 6 M59 60100 000132*")</f>
        <v>0</v>
      </c>
      <c r="E4646" s="54"/>
      <c r="F4646" s="83">
        <f>SUMIFS(F4647:F6462,K4647:K6462,"0",B4647:B6462,"5 1 2 4 9 12 31111 6 M59 60100 000132*")</f>
        <v>1277.99</v>
      </c>
      <c r="G4646" s="83">
        <f>SUMIFS(G4647:G6462,K4647:K6462,"0",B4647:B6462,"5 1 2 4 9 12 31111 6 M59 60100 000132*")</f>
        <v>0</v>
      </c>
      <c r="H4646" s="83">
        <f t="shared" si="72"/>
        <v>1277.99</v>
      </c>
      <c r="I4646" s="83"/>
      <c r="K4646" s="54" t="s">
        <v>15</v>
      </c>
    </row>
    <row r="4647" spans="2:11" ht="24.75" x14ac:dyDescent="0.2">
      <c r="B4647" s="82" t="s">
        <v>7336</v>
      </c>
      <c r="C4647" s="82" t="s">
        <v>650</v>
      </c>
      <c r="D4647" s="83">
        <f>SUMIFS(D4648:D6462,K4648:K6462,"0",B4648:B6462,"5 1 2 4 9 12 31111 6 M59 60100 000132 0000R*")-SUMIFS(E4648:E6462,K4648:K6462,"0",B4648:B6462,"5 1 2 4 9 12 31111 6 M59 60100 000132 0000R*")</f>
        <v>0</v>
      </c>
      <c r="E4647" s="54"/>
      <c r="F4647" s="83">
        <f>SUMIFS(F4648:F6462,K4648:K6462,"0",B4648:B6462,"5 1 2 4 9 12 31111 6 M59 60100 000132 0000R*")</f>
        <v>1277.99</v>
      </c>
      <c r="G4647" s="83">
        <f>SUMIFS(G4648:G6462,K4648:K6462,"0",B4648:B6462,"5 1 2 4 9 12 31111 6 M59 60100 000132 0000R*")</f>
        <v>0</v>
      </c>
      <c r="H4647" s="83">
        <f t="shared" si="72"/>
        <v>1277.99</v>
      </c>
      <c r="I4647" s="83"/>
      <c r="K4647" s="54" t="s">
        <v>15</v>
      </c>
    </row>
    <row r="4648" spans="2:11" ht="24.75" x14ac:dyDescent="0.2">
      <c r="B4648" s="82" t="s">
        <v>7337</v>
      </c>
      <c r="C4648" s="82" t="s">
        <v>282</v>
      </c>
      <c r="D4648" s="83">
        <f>SUMIFS(D4649:D6462,K4649:K6462,"0",B4649:B6462,"5 1 2 4 9 12 31111 6 M59 60100 000132 0000R 00001*")-SUMIFS(E4649:E6462,K4649:K6462,"0",B4649:B6462,"5 1 2 4 9 12 31111 6 M59 60100 000132 0000R 00001*")</f>
        <v>0</v>
      </c>
      <c r="E4648" s="54"/>
      <c r="F4648" s="83">
        <f>SUMIFS(F4649:F6462,K4649:K6462,"0",B4649:B6462,"5 1 2 4 9 12 31111 6 M59 60100 000132 0000R 00001*")</f>
        <v>1277.99</v>
      </c>
      <c r="G4648" s="83">
        <f>SUMIFS(G4649:G6462,K4649:K6462,"0",B4649:B6462,"5 1 2 4 9 12 31111 6 M59 60100 000132 0000R 00001*")</f>
        <v>0</v>
      </c>
      <c r="H4648" s="83">
        <f t="shared" si="72"/>
        <v>1277.99</v>
      </c>
      <c r="I4648" s="83"/>
      <c r="K4648" s="54" t="s">
        <v>15</v>
      </c>
    </row>
    <row r="4649" spans="2:11" ht="33" x14ac:dyDescent="0.2">
      <c r="B4649" s="82" t="s">
        <v>7338</v>
      </c>
      <c r="C4649" s="82" t="s">
        <v>7271</v>
      </c>
      <c r="D4649" s="83">
        <f>SUMIFS(D4650:D6462,K4650:K6462,"0",B4650:B6462,"5 1 2 4 9 12 31111 6 M59 60100 000132 0000R 00001 00249*")-SUMIFS(E4650:E6462,K4650:K6462,"0",B4650:B6462,"5 1 2 4 9 12 31111 6 M59 60100 000132 0000R 00001 00249*")</f>
        <v>0</v>
      </c>
      <c r="E4649" s="54"/>
      <c r="F4649" s="83">
        <f>SUMIFS(F4650:F6462,K4650:K6462,"0",B4650:B6462,"5 1 2 4 9 12 31111 6 M59 60100 000132 0000R 00001 00249*")</f>
        <v>1277.99</v>
      </c>
      <c r="G4649" s="83">
        <f>SUMIFS(G4650:G6462,K4650:K6462,"0",B4650:B6462,"5 1 2 4 9 12 31111 6 M59 60100 000132 0000R 00001 00249*")</f>
        <v>0</v>
      </c>
      <c r="H4649" s="83">
        <f t="shared" si="72"/>
        <v>1277.99</v>
      </c>
      <c r="I4649" s="83"/>
      <c r="K4649" s="54" t="s">
        <v>15</v>
      </c>
    </row>
    <row r="4650" spans="2:11" ht="33" x14ac:dyDescent="0.2">
      <c r="B4650" s="82" t="s">
        <v>7339</v>
      </c>
      <c r="C4650" s="82" t="s">
        <v>1051</v>
      </c>
      <c r="D4650" s="83">
        <f>SUMIFS(D4651:D6462,K4651:K6462,"0",B4651:B6462,"5 1 2 4 9 12 31111 6 M59 60100 000132 0000R 00001 00249 015*")-SUMIFS(E4651:E6462,K4651:K6462,"0",B4651:B6462,"5 1 2 4 9 12 31111 6 M59 60100 000132 0000R 00001 00249 015*")</f>
        <v>0</v>
      </c>
      <c r="E4650" s="54"/>
      <c r="F4650" s="83">
        <f>SUMIFS(F4651:F6462,K4651:K6462,"0",B4651:B6462,"5 1 2 4 9 12 31111 6 M59 60100 000132 0000R 00001 00249 015*")</f>
        <v>1277.99</v>
      </c>
      <c r="G4650" s="83">
        <f>SUMIFS(G4651:G6462,K4651:K6462,"0",B4651:B6462,"5 1 2 4 9 12 31111 6 M59 60100 000132 0000R 00001 00249 015*")</f>
        <v>0</v>
      </c>
      <c r="H4650" s="83">
        <f t="shared" si="72"/>
        <v>1277.99</v>
      </c>
      <c r="I4650" s="83"/>
      <c r="K4650" s="54" t="s">
        <v>15</v>
      </c>
    </row>
    <row r="4651" spans="2:11" ht="33" x14ac:dyDescent="0.2">
      <c r="B4651" s="82" t="s">
        <v>7340</v>
      </c>
      <c r="C4651" s="82" t="s">
        <v>5830</v>
      </c>
      <c r="D4651" s="83">
        <f>SUMIFS(D4652:D6462,K4652:K6462,"0",B4652:B6462,"5 1 2 4 9 12 31111 6 M59 60100 000132 0000R 00001 00249 015 2112000*")-SUMIFS(E4652:E6462,K4652:K6462,"0",B4652:B6462,"5 1 2 4 9 12 31111 6 M59 60100 000132 0000R 00001 00249 015 2112000*")</f>
        <v>0</v>
      </c>
      <c r="E4651" s="54"/>
      <c r="F4651" s="83">
        <f>SUMIFS(F4652:F6462,K4652:K6462,"0",B4652:B6462,"5 1 2 4 9 12 31111 6 M59 60100 000132 0000R 00001 00249 015 2112000*")</f>
        <v>1277.99</v>
      </c>
      <c r="G4651" s="83">
        <f>SUMIFS(G4652:G6462,K4652:K6462,"0",B4652:B6462,"5 1 2 4 9 12 31111 6 M59 60100 000132 0000R 00001 00249 015 2112000*")</f>
        <v>0</v>
      </c>
      <c r="H4651" s="83">
        <f t="shared" ref="H4651:H4714" si="73">D4651 + F4651 - G4651</f>
        <v>1277.99</v>
      </c>
      <c r="I4651" s="83"/>
      <c r="K4651" s="54" t="s">
        <v>15</v>
      </c>
    </row>
    <row r="4652" spans="2:11" ht="33" x14ac:dyDescent="0.2">
      <c r="B4652" s="82" t="s">
        <v>7341</v>
      </c>
      <c r="C4652" s="82" t="s">
        <v>660</v>
      </c>
      <c r="D4652" s="83">
        <f>SUMIFS(D4653:D6462,K4653:K6462,"0",B4653:B6462,"5 1 2 4 9 12 31111 6 M59 60100 000132 0000R 00001 00249 015 2112000 2024*")-SUMIFS(E4653:E6462,K4653:K6462,"0",B4653:B6462,"5 1 2 4 9 12 31111 6 M59 60100 000132 0000R 00001 00249 015 2112000 2024*")</f>
        <v>0</v>
      </c>
      <c r="E4652" s="54"/>
      <c r="F4652" s="83">
        <f>SUMIFS(F4653:F6462,K4653:K6462,"0",B4653:B6462,"5 1 2 4 9 12 31111 6 M59 60100 000132 0000R 00001 00249 015 2112000 2024*")</f>
        <v>1277.99</v>
      </c>
      <c r="G4652" s="83">
        <f>SUMIFS(G4653:G6462,K4653:K6462,"0",B4653:B6462,"5 1 2 4 9 12 31111 6 M59 60100 000132 0000R 00001 00249 015 2112000 2024*")</f>
        <v>0</v>
      </c>
      <c r="H4652" s="83">
        <f t="shared" si="73"/>
        <v>1277.99</v>
      </c>
      <c r="I4652" s="83"/>
      <c r="K4652" s="54" t="s">
        <v>15</v>
      </c>
    </row>
    <row r="4653" spans="2:11" ht="41.25" x14ac:dyDescent="0.2">
      <c r="B4653" s="82" t="s">
        <v>7342</v>
      </c>
      <c r="C4653" s="82" t="s">
        <v>1056</v>
      </c>
      <c r="D4653" s="83">
        <f>SUMIFS(D4654:D6462,K4654:K6462,"0",B4654:B6462,"5 1 2 4 9 12 31111 6 M59 60100 000132 0000R 00001 00249 015 2112000 2024 CP1DM394*")-SUMIFS(E4654:E6462,K4654:K6462,"0",B4654:B6462,"5 1 2 4 9 12 31111 6 M59 60100 000132 0000R 00001 00249 015 2112000 2024 CP1DM394*")</f>
        <v>0</v>
      </c>
      <c r="E4653" s="54"/>
      <c r="F4653" s="83">
        <f>SUMIFS(F4654:F6462,K4654:K6462,"0",B4654:B6462,"5 1 2 4 9 12 31111 6 M59 60100 000132 0000R 00001 00249 015 2112000 2024 CP1DM394*")</f>
        <v>1277.99</v>
      </c>
      <c r="G4653" s="83">
        <f>SUMIFS(G4654:G6462,K4654:K6462,"0",B4654:B6462,"5 1 2 4 9 12 31111 6 M59 60100 000132 0000R 00001 00249 015 2112000 2024 CP1DM394*")</f>
        <v>0</v>
      </c>
      <c r="H4653" s="83">
        <f t="shared" si="73"/>
        <v>1277.99</v>
      </c>
      <c r="I4653" s="83"/>
      <c r="K4653" s="54" t="s">
        <v>15</v>
      </c>
    </row>
    <row r="4654" spans="2:11" ht="41.25" x14ac:dyDescent="0.2">
      <c r="B4654" s="82" t="s">
        <v>7343</v>
      </c>
      <c r="C4654" s="82" t="s">
        <v>282</v>
      </c>
      <c r="D4654" s="83">
        <f>SUMIFS(D4655:D6462,K4655:K6462,"0",B4655:B6462,"5 1 2 4 9 12 31111 6 M59 60100 000132 0000R 00001 00249 015 2112000 2024 CP1DM394 001*")-SUMIFS(E4655:E6462,K4655:K6462,"0",B4655:B6462,"5 1 2 4 9 12 31111 6 M59 60100 000132 0000R 00001 00249 015 2112000 2024 CP1DM394 001*")</f>
        <v>0</v>
      </c>
      <c r="E4654" s="54"/>
      <c r="F4654" s="83">
        <f>SUMIFS(F4655:F6462,K4655:K6462,"0",B4655:B6462,"5 1 2 4 9 12 31111 6 M59 60100 000132 0000R 00001 00249 015 2112000 2024 CP1DM394 001*")</f>
        <v>1277.99</v>
      </c>
      <c r="G4654" s="83">
        <f>SUMIFS(G4655:G6462,K4655:K6462,"0",B4655:B6462,"5 1 2 4 9 12 31111 6 M59 60100 000132 0000R 00001 00249 015 2112000 2024 CP1DM394 001*")</f>
        <v>0</v>
      </c>
      <c r="H4654" s="83">
        <f t="shared" si="73"/>
        <v>1277.99</v>
      </c>
      <c r="I4654" s="83"/>
      <c r="K4654" s="54" t="s">
        <v>15</v>
      </c>
    </row>
    <row r="4655" spans="2:11" ht="33" x14ac:dyDescent="0.2">
      <c r="B4655" s="84" t="s">
        <v>7344</v>
      </c>
      <c r="C4655" s="84" t="s">
        <v>7271</v>
      </c>
      <c r="D4655" s="85">
        <v>0</v>
      </c>
      <c r="E4655" s="85"/>
      <c r="F4655" s="85">
        <v>1277.99</v>
      </c>
      <c r="G4655" s="85">
        <v>0</v>
      </c>
      <c r="H4655" s="85">
        <f t="shared" si="73"/>
        <v>1277.99</v>
      </c>
      <c r="I4655" s="85"/>
      <c r="K4655" s="54" t="s">
        <v>38</v>
      </c>
    </row>
    <row r="4656" spans="2:11" ht="16.5" x14ac:dyDescent="0.2">
      <c r="B4656" s="82" t="s">
        <v>7345</v>
      </c>
      <c r="C4656" s="82" t="s">
        <v>3425</v>
      </c>
      <c r="D4656" s="83">
        <f>SUMIFS(D4657:D6462,K4657:K6462,"0",B4657:B6462,"5 1 2 4 9 12 31111 6 M59 70400*")-SUMIFS(E4657:E6462,K4657:K6462,"0",B4657:B6462,"5 1 2 4 9 12 31111 6 M59 70400*")</f>
        <v>0</v>
      </c>
      <c r="E4656" s="54"/>
      <c r="F4656" s="83">
        <f>SUMIFS(F4657:F6462,K4657:K6462,"0",B4657:B6462,"5 1 2 4 9 12 31111 6 M59 70400*")</f>
        <v>53114.99</v>
      </c>
      <c r="G4656" s="83">
        <f>SUMIFS(G4657:G6462,K4657:K6462,"0",B4657:B6462,"5 1 2 4 9 12 31111 6 M59 70400*")</f>
        <v>0</v>
      </c>
      <c r="H4656" s="83">
        <f t="shared" si="73"/>
        <v>53114.99</v>
      </c>
      <c r="I4656" s="83"/>
      <c r="K4656" s="54" t="s">
        <v>15</v>
      </c>
    </row>
    <row r="4657" spans="2:11" ht="16.5" x14ac:dyDescent="0.2">
      <c r="B4657" s="82" t="s">
        <v>7346</v>
      </c>
      <c r="C4657" s="82" t="s">
        <v>3427</v>
      </c>
      <c r="D4657" s="83">
        <f>SUMIFS(D4658:D6462,K4658:K6462,"0",B4658:B6462,"5 1 2 4 9 12 31111 6 M59 70400 000241*")-SUMIFS(E4658:E6462,K4658:K6462,"0",B4658:B6462,"5 1 2 4 9 12 31111 6 M59 70400 000241*")</f>
        <v>0</v>
      </c>
      <c r="E4657" s="54"/>
      <c r="F4657" s="83">
        <f>SUMIFS(F4658:F6462,K4658:K6462,"0",B4658:B6462,"5 1 2 4 9 12 31111 6 M59 70400 000241*")</f>
        <v>53114.99</v>
      </c>
      <c r="G4657" s="83">
        <f>SUMIFS(G4658:G6462,K4658:K6462,"0",B4658:B6462,"5 1 2 4 9 12 31111 6 M59 70400 000241*")</f>
        <v>0</v>
      </c>
      <c r="H4657" s="83">
        <f t="shared" si="73"/>
        <v>53114.99</v>
      </c>
      <c r="I4657" s="83"/>
      <c r="K4657" s="54" t="s">
        <v>15</v>
      </c>
    </row>
    <row r="4658" spans="2:11" ht="24.75" x14ac:dyDescent="0.2">
      <c r="B4658" s="82" t="s">
        <v>7347</v>
      </c>
      <c r="C4658" s="82" t="s">
        <v>650</v>
      </c>
      <c r="D4658" s="83">
        <f>SUMIFS(D4659:D6462,K4659:K6462,"0",B4659:B6462,"5 1 2 4 9 12 31111 6 M59 70400 000241 0000R*")-SUMIFS(E4659:E6462,K4659:K6462,"0",B4659:B6462,"5 1 2 4 9 12 31111 6 M59 70400 000241 0000R*")</f>
        <v>0</v>
      </c>
      <c r="E4658" s="54"/>
      <c r="F4658" s="83">
        <f>SUMIFS(F4659:F6462,K4659:K6462,"0",B4659:B6462,"5 1 2 4 9 12 31111 6 M59 70400 000241 0000R*")</f>
        <v>53114.99</v>
      </c>
      <c r="G4658" s="83">
        <f>SUMIFS(G4659:G6462,K4659:K6462,"0",B4659:B6462,"5 1 2 4 9 12 31111 6 M59 70400 000241 0000R*")</f>
        <v>0</v>
      </c>
      <c r="H4658" s="83">
        <f t="shared" si="73"/>
        <v>53114.99</v>
      </c>
      <c r="I4658" s="83"/>
      <c r="K4658" s="54" t="s">
        <v>15</v>
      </c>
    </row>
    <row r="4659" spans="2:11" ht="24.75" x14ac:dyDescent="0.2">
      <c r="B4659" s="82" t="s">
        <v>7348</v>
      </c>
      <c r="C4659" s="82" t="s">
        <v>282</v>
      </c>
      <c r="D4659" s="83">
        <f>SUMIFS(D4660:D6462,K4660:K6462,"0",B4660:B6462,"5 1 2 4 9 12 31111 6 M59 70400 000241 0000R 00001*")-SUMIFS(E4660:E6462,K4660:K6462,"0",B4660:B6462,"5 1 2 4 9 12 31111 6 M59 70400 000241 0000R 00001*")</f>
        <v>0</v>
      </c>
      <c r="E4659" s="54"/>
      <c r="F4659" s="83">
        <f>SUMIFS(F4660:F6462,K4660:K6462,"0",B4660:B6462,"5 1 2 4 9 12 31111 6 M59 70400 000241 0000R 00001*")</f>
        <v>53114.99</v>
      </c>
      <c r="G4659" s="83">
        <f>SUMIFS(G4660:G6462,K4660:K6462,"0",B4660:B6462,"5 1 2 4 9 12 31111 6 M59 70400 000241 0000R 00001*")</f>
        <v>0</v>
      </c>
      <c r="H4659" s="83">
        <f t="shared" si="73"/>
        <v>53114.99</v>
      </c>
      <c r="I4659" s="83"/>
      <c r="K4659" s="54" t="s">
        <v>15</v>
      </c>
    </row>
    <row r="4660" spans="2:11" ht="33" x14ac:dyDescent="0.2">
      <c r="B4660" s="82" t="s">
        <v>7349</v>
      </c>
      <c r="C4660" s="82" t="s">
        <v>7271</v>
      </c>
      <c r="D4660" s="83">
        <f>SUMIFS(D4661:D6462,K4661:K6462,"0",B4661:B6462,"5 1 2 4 9 12 31111 6 M59 70400 000241 0000R 00001 00249*")-SUMIFS(E4661:E6462,K4661:K6462,"0",B4661:B6462,"5 1 2 4 9 12 31111 6 M59 70400 000241 0000R 00001 00249*")</f>
        <v>0</v>
      </c>
      <c r="E4660" s="54"/>
      <c r="F4660" s="83">
        <f>SUMIFS(F4661:F6462,K4661:K6462,"0",B4661:B6462,"5 1 2 4 9 12 31111 6 M59 70400 000241 0000R 00001 00249*")</f>
        <v>53114.99</v>
      </c>
      <c r="G4660" s="83">
        <f>SUMIFS(G4661:G6462,K4661:K6462,"0",B4661:B6462,"5 1 2 4 9 12 31111 6 M59 70400 000241 0000R 00001 00249*")</f>
        <v>0</v>
      </c>
      <c r="H4660" s="83">
        <f t="shared" si="73"/>
        <v>53114.99</v>
      </c>
      <c r="I4660" s="83"/>
      <c r="K4660" s="54" t="s">
        <v>15</v>
      </c>
    </row>
    <row r="4661" spans="2:11" ht="33" x14ac:dyDescent="0.2">
      <c r="B4661" s="82" t="s">
        <v>7350</v>
      </c>
      <c r="C4661" s="82" t="s">
        <v>1051</v>
      </c>
      <c r="D4661" s="83">
        <f>SUMIFS(D4662:D6462,K4662:K6462,"0",B4662:B6462,"5 1 2 4 9 12 31111 6 M59 70400 000241 0000R 00001 00249 015*")-SUMIFS(E4662:E6462,K4662:K6462,"0",B4662:B6462,"5 1 2 4 9 12 31111 6 M59 70400 000241 0000R 00001 00249 015*")</f>
        <v>0</v>
      </c>
      <c r="E4661" s="54"/>
      <c r="F4661" s="83">
        <f>SUMIFS(F4662:F6462,K4662:K6462,"0",B4662:B6462,"5 1 2 4 9 12 31111 6 M59 70400 000241 0000R 00001 00249 015*")</f>
        <v>53114.99</v>
      </c>
      <c r="G4661" s="83">
        <f>SUMIFS(G4662:G6462,K4662:K6462,"0",B4662:B6462,"5 1 2 4 9 12 31111 6 M59 70400 000241 0000R 00001 00249 015*")</f>
        <v>0</v>
      </c>
      <c r="H4661" s="83">
        <f t="shared" si="73"/>
        <v>53114.99</v>
      </c>
      <c r="I4661" s="83"/>
      <c r="K4661" s="54" t="s">
        <v>15</v>
      </c>
    </row>
    <row r="4662" spans="2:11" ht="33" x14ac:dyDescent="0.2">
      <c r="B4662" s="82" t="s">
        <v>7351</v>
      </c>
      <c r="C4662" s="82" t="s">
        <v>5830</v>
      </c>
      <c r="D4662" s="83">
        <f>SUMIFS(D4663:D6462,K4663:K6462,"0",B4663:B6462,"5 1 2 4 9 12 31111 6 M59 70400 000241 0000R 00001 00249 015 2112000*")-SUMIFS(E4663:E6462,K4663:K6462,"0",B4663:B6462,"5 1 2 4 9 12 31111 6 M59 70400 000241 0000R 00001 00249 015 2112000*")</f>
        <v>0</v>
      </c>
      <c r="E4662" s="54"/>
      <c r="F4662" s="83">
        <f>SUMIFS(F4663:F6462,K4663:K6462,"0",B4663:B6462,"5 1 2 4 9 12 31111 6 M59 70400 000241 0000R 00001 00249 015 2112000*")</f>
        <v>53114.99</v>
      </c>
      <c r="G4662" s="83">
        <f>SUMIFS(G4663:G6462,K4663:K6462,"0",B4663:B6462,"5 1 2 4 9 12 31111 6 M59 70400 000241 0000R 00001 00249 015 2112000*")</f>
        <v>0</v>
      </c>
      <c r="H4662" s="83">
        <f t="shared" si="73"/>
        <v>53114.99</v>
      </c>
      <c r="I4662" s="83"/>
      <c r="K4662" s="54" t="s">
        <v>15</v>
      </c>
    </row>
    <row r="4663" spans="2:11" ht="33" x14ac:dyDescent="0.2">
      <c r="B4663" s="82" t="s">
        <v>7352</v>
      </c>
      <c r="C4663" s="82" t="s">
        <v>660</v>
      </c>
      <c r="D4663" s="83">
        <f>SUMIFS(D4664:D6462,K4664:K6462,"0",B4664:B6462,"5 1 2 4 9 12 31111 6 M59 70400 000241 0000R 00001 00249 015 2112000 2024*")-SUMIFS(E4664:E6462,K4664:K6462,"0",B4664:B6462,"5 1 2 4 9 12 31111 6 M59 70400 000241 0000R 00001 00249 015 2112000 2024*")</f>
        <v>0</v>
      </c>
      <c r="E4663" s="54"/>
      <c r="F4663" s="83">
        <f>SUMIFS(F4664:F6462,K4664:K6462,"0",B4664:B6462,"5 1 2 4 9 12 31111 6 M59 70400 000241 0000R 00001 00249 015 2112000 2024*")</f>
        <v>53114.99</v>
      </c>
      <c r="G4663" s="83">
        <f>SUMIFS(G4664:G6462,K4664:K6462,"0",B4664:B6462,"5 1 2 4 9 12 31111 6 M59 70400 000241 0000R 00001 00249 015 2112000 2024*")</f>
        <v>0</v>
      </c>
      <c r="H4663" s="83">
        <f t="shared" si="73"/>
        <v>53114.99</v>
      </c>
      <c r="I4663" s="83"/>
      <c r="K4663" s="54" t="s">
        <v>15</v>
      </c>
    </row>
    <row r="4664" spans="2:11" ht="41.25" x14ac:dyDescent="0.2">
      <c r="B4664" s="82" t="s">
        <v>7353</v>
      </c>
      <c r="C4664" s="82" t="s">
        <v>662</v>
      </c>
      <c r="D4664" s="83">
        <f>SUMIFS(D4665:D6462,K4665:K6462,"0",B4665:B6462,"5 1 2 4 9 12 31111 6 M59 70400 000241 0000R 00001 00249 015 2112000 2024 CP1DD418*")-SUMIFS(E4665:E6462,K4665:K6462,"0",B4665:B6462,"5 1 2 4 9 12 31111 6 M59 70400 000241 0000R 00001 00249 015 2112000 2024 CP1DD418*")</f>
        <v>0</v>
      </c>
      <c r="E4664" s="54"/>
      <c r="F4664" s="83">
        <f>SUMIFS(F4665:F6462,K4665:K6462,"0",B4665:B6462,"5 1 2 4 9 12 31111 6 M59 70400 000241 0000R 00001 00249 015 2112000 2024 CP1DD418*")</f>
        <v>53114.99</v>
      </c>
      <c r="G4664" s="83">
        <f>SUMIFS(G4665:G6462,K4665:K6462,"0",B4665:B6462,"5 1 2 4 9 12 31111 6 M59 70400 000241 0000R 00001 00249 015 2112000 2024 CP1DD418*")</f>
        <v>0</v>
      </c>
      <c r="H4664" s="83">
        <f t="shared" si="73"/>
        <v>53114.99</v>
      </c>
      <c r="I4664" s="83"/>
      <c r="K4664" s="54" t="s">
        <v>15</v>
      </c>
    </row>
    <row r="4665" spans="2:11" ht="41.25" x14ac:dyDescent="0.2">
      <c r="B4665" s="82" t="s">
        <v>7354</v>
      </c>
      <c r="C4665" s="82" t="s">
        <v>282</v>
      </c>
      <c r="D4665" s="83">
        <f>SUMIFS(D4666:D6462,K4666:K6462,"0",B4666:B6462,"5 1 2 4 9 12 31111 6 M59 70400 000241 0000R 00001 00249 015 2112000 2024 CP1DD418 001*")-SUMIFS(E4666:E6462,K4666:K6462,"0",B4666:B6462,"5 1 2 4 9 12 31111 6 M59 70400 000241 0000R 00001 00249 015 2112000 2024 CP1DD418 001*")</f>
        <v>0</v>
      </c>
      <c r="E4665" s="54"/>
      <c r="F4665" s="83">
        <f>SUMIFS(F4666:F6462,K4666:K6462,"0",B4666:B6462,"5 1 2 4 9 12 31111 6 M59 70400 000241 0000R 00001 00249 015 2112000 2024 CP1DD418 001*")</f>
        <v>53114.99</v>
      </c>
      <c r="G4665" s="83">
        <f>SUMIFS(G4666:G6462,K4666:K6462,"0",B4666:B6462,"5 1 2 4 9 12 31111 6 M59 70400 000241 0000R 00001 00249 015 2112000 2024 CP1DD418 001*")</f>
        <v>0</v>
      </c>
      <c r="H4665" s="83">
        <f t="shared" si="73"/>
        <v>53114.99</v>
      </c>
      <c r="I4665" s="83"/>
      <c r="K4665" s="54" t="s">
        <v>15</v>
      </c>
    </row>
    <row r="4666" spans="2:11" ht="33" x14ac:dyDescent="0.2">
      <c r="B4666" s="84" t="s">
        <v>7355</v>
      </c>
      <c r="C4666" s="84" t="s">
        <v>7322</v>
      </c>
      <c r="D4666" s="85">
        <v>0</v>
      </c>
      <c r="E4666" s="85"/>
      <c r="F4666" s="85">
        <v>53114.99</v>
      </c>
      <c r="G4666" s="85">
        <v>0</v>
      </c>
      <c r="H4666" s="85">
        <f t="shared" si="73"/>
        <v>53114.99</v>
      </c>
      <c r="I4666" s="85"/>
      <c r="K4666" s="54" t="s">
        <v>38</v>
      </c>
    </row>
    <row r="4667" spans="2:11" ht="16.5" x14ac:dyDescent="0.2">
      <c r="B4667" s="82" t="s">
        <v>7356</v>
      </c>
      <c r="C4667" s="82" t="s">
        <v>3693</v>
      </c>
      <c r="D4667" s="83">
        <f>SUMIFS(D4668:D6462,K4668:K6462,"0",B4668:B6462,"5 1 2 4 9 12 31111 6 M59 96100*")-SUMIFS(E4668:E6462,K4668:K6462,"0",B4668:B6462,"5 1 2 4 9 12 31111 6 M59 96100*")</f>
        <v>0</v>
      </c>
      <c r="E4667" s="54"/>
      <c r="F4667" s="83">
        <f>SUMIFS(F4668:F6462,K4668:K6462,"0",B4668:B6462,"5 1 2 4 9 12 31111 6 M59 96100*")</f>
        <v>44344.66</v>
      </c>
      <c r="G4667" s="83">
        <f>SUMIFS(G4668:G6462,K4668:K6462,"0",B4668:B6462,"5 1 2 4 9 12 31111 6 M59 96100*")</f>
        <v>0</v>
      </c>
      <c r="H4667" s="83">
        <f t="shared" si="73"/>
        <v>44344.66</v>
      </c>
      <c r="I4667" s="83"/>
      <c r="K4667" s="54" t="s">
        <v>15</v>
      </c>
    </row>
    <row r="4668" spans="2:11" ht="16.5" x14ac:dyDescent="0.2">
      <c r="B4668" s="82" t="s">
        <v>7357</v>
      </c>
      <c r="C4668" s="82" t="s">
        <v>1310</v>
      </c>
      <c r="D4668" s="83">
        <f>SUMIFS(D4669:D6462,K4669:K6462,"0",B4669:B6462,"5 1 2 4 9 12 31111 6 M59 96100 000211*")-SUMIFS(E4669:E6462,K4669:K6462,"0",B4669:B6462,"5 1 2 4 9 12 31111 6 M59 96100 000211*")</f>
        <v>0</v>
      </c>
      <c r="E4668" s="54"/>
      <c r="F4668" s="83">
        <f>SUMIFS(F4669:F6462,K4669:K6462,"0",B4669:B6462,"5 1 2 4 9 12 31111 6 M59 96100 000211*")</f>
        <v>44344.66</v>
      </c>
      <c r="G4668" s="83">
        <f>SUMIFS(G4669:G6462,K4669:K6462,"0",B4669:B6462,"5 1 2 4 9 12 31111 6 M59 96100 000211*")</f>
        <v>0</v>
      </c>
      <c r="H4668" s="83">
        <f t="shared" si="73"/>
        <v>44344.66</v>
      </c>
      <c r="I4668" s="83"/>
      <c r="K4668" s="54" t="s">
        <v>15</v>
      </c>
    </row>
    <row r="4669" spans="2:11" ht="24.75" x14ac:dyDescent="0.2">
      <c r="B4669" s="82" t="s">
        <v>7358</v>
      </c>
      <c r="C4669" s="82" t="s">
        <v>3696</v>
      </c>
      <c r="D4669" s="83">
        <f>SUMIFS(D4670:D6462,K4670:K6462,"0",B4670:B6462,"5 1 2 4 9 12 31111 6 M59 96100 000211 0000U*")-SUMIFS(E4670:E6462,K4670:K6462,"0",B4670:B6462,"5 1 2 4 9 12 31111 6 M59 96100 000211 0000U*")</f>
        <v>0</v>
      </c>
      <c r="E4669" s="54"/>
      <c r="F4669" s="83">
        <f>SUMIFS(F4670:F6462,K4670:K6462,"0",B4670:B6462,"5 1 2 4 9 12 31111 6 M59 96100 000211 0000U*")</f>
        <v>44344.66</v>
      </c>
      <c r="G4669" s="83">
        <f>SUMIFS(G4670:G6462,K4670:K6462,"0",B4670:B6462,"5 1 2 4 9 12 31111 6 M59 96100 000211 0000U*")</f>
        <v>0</v>
      </c>
      <c r="H4669" s="83">
        <f t="shared" si="73"/>
        <v>44344.66</v>
      </c>
      <c r="I4669" s="83"/>
      <c r="K4669" s="54" t="s">
        <v>15</v>
      </c>
    </row>
    <row r="4670" spans="2:11" ht="24.75" x14ac:dyDescent="0.2">
      <c r="B4670" s="82" t="s">
        <v>7359</v>
      </c>
      <c r="C4670" s="82" t="s">
        <v>282</v>
      </c>
      <c r="D4670" s="83">
        <f>SUMIFS(D4671:D6462,K4671:K6462,"0",B4671:B6462,"5 1 2 4 9 12 31111 6 M59 96100 000211 0000U 00001*")-SUMIFS(E4671:E6462,K4671:K6462,"0",B4671:B6462,"5 1 2 4 9 12 31111 6 M59 96100 000211 0000U 00001*")</f>
        <v>0</v>
      </c>
      <c r="E4670" s="54"/>
      <c r="F4670" s="83">
        <f>SUMIFS(F4671:F6462,K4671:K6462,"0",B4671:B6462,"5 1 2 4 9 12 31111 6 M59 96100 000211 0000U 00001*")</f>
        <v>44344.66</v>
      </c>
      <c r="G4670" s="83">
        <f>SUMIFS(G4671:G6462,K4671:K6462,"0",B4671:B6462,"5 1 2 4 9 12 31111 6 M59 96100 000211 0000U 00001*")</f>
        <v>0</v>
      </c>
      <c r="H4670" s="83">
        <f t="shared" si="73"/>
        <v>44344.66</v>
      </c>
      <c r="I4670" s="83"/>
      <c r="K4670" s="54" t="s">
        <v>15</v>
      </c>
    </row>
    <row r="4671" spans="2:11" ht="33" x14ac:dyDescent="0.2">
      <c r="B4671" s="82" t="s">
        <v>7360</v>
      </c>
      <c r="C4671" s="82" t="s">
        <v>7271</v>
      </c>
      <c r="D4671" s="83">
        <f>SUMIFS(D4672:D6462,K4672:K6462,"0",B4672:B6462,"5 1 2 4 9 12 31111 6 M59 96100 000211 0000U 00001 00249*")-SUMIFS(E4672:E6462,K4672:K6462,"0",B4672:B6462,"5 1 2 4 9 12 31111 6 M59 96100 000211 0000U 00001 00249*")</f>
        <v>0</v>
      </c>
      <c r="E4671" s="54"/>
      <c r="F4671" s="83">
        <f>SUMIFS(F4672:F6462,K4672:K6462,"0",B4672:B6462,"5 1 2 4 9 12 31111 6 M59 96100 000211 0000U 00001 00249*")</f>
        <v>44344.66</v>
      </c>
      <c r="G4671" s="83">
        <f>SUMIFS(G4672:G6462,K4672:K6462,"0",B4672:B6462,"5 1 2 4 9 12 31111 6 M59 96100 000211 0000U 00001 00249*")</f>
        <v>0</v>
      </c>
      <c r="H4671" s="83">
        <f t="shared" si="73"/>
        <v>44344.66</v>
      </c>
      <c r="I4671" s="83"/>
      <c r="K4671" s="54" t="s">
        <v>15</v>
      </c>
    </row>
    <row r="4672" spans="2:11" ht="33" x14ac:dyDescent="0.2">
      <c r="B4672" s="82" t="s">
        <v>7361</v>
      </c>
      <c r="C4672" s="82" t="s">
        <v>1051</v>
      </c>
      <c r="D4672" s="83">
        <f>SUMIFS(D4673:D6462,K4673:K6462,"0",B4673:B6462,"5 1 2 4 9 12 31111 6 M59 96100 000211 0000U 00001 00249 015*")-SUMIFS(E4673:E6462,K4673:K6462,"0",B4673:B6462,"5 1 2 4 9 12 31111 6 M59 96100 000211 0000U 00001 00249 015*")</f>
        <v>0</v>
      </c>
      <c r="E4672" s="54"/>
      <c r="F4672" s="83">
        <f>SUMIFS(F4673:F6462,K4673:K6462,"0",B4673:B6462,"5 1 2 4 9 12 31111 6 M59 96100 000211 0000U 00001 00249 015*")</f>
        <v>44344.66</v>
      </c>
      <c r="G4672" s="83">
        <f>SUMIFS(G4673:G6462,K4673:K6462,"0",B4673:B6462,"5 1 2 4 9 12 31111 6 M59 96100 000211 0000U 00001 00249 015*")</f>
        <v>0</v>
      </c>
      <c r="H4672" s="83">
        <f t="shared" si="73"/>
        <v>44344.66</v>
      </c>
      <c r="I4672" s="83"/>
      <c r="K4672" s="54" t="s">
        <v>15</v>
      </c>
    </row>
    <row r="4673" spans="2:11" ht="33" x14ac:dyDescent="0.2">
      <c r="B4673" s="82" t="s">
        <v>7362</v>
      </c>
      <c r="C4673" s="82" t="s">
        <v>5830</v>
      </c>
      <c r="D4673" s="83">
        <f>SUMIFS(D4674:D6462,K4674:K6462,"0",B4674:B6462,"5 1 2 4 9 12 31111 6 M59 96100 000211 0000U 00001 00249 015 2112000*")-SUMIFS(E4674:E6462,K4674:K6462,"0",B4674:B6462,"5 1 2 4 9 12 31111 6 M59 96100 000211 0000U 00001 00249 015 2112000*")</f>
        <v>0</v>
      </c>
      <c r="E4673" s="54"/>
      <c r="F4673" s="83">
        <f>SUMIFS(F4674:F6462,K4674:K6462,"0",B4674:B6462,"5 1 2 4 9 12 31111 6 M59 96100 000211 0000U 00001 00249 015 2112000*")</f>
        <v>44344.66</v>
      </c>
      <c r="G4673" s="83">
        <f>SUMIFS(G4674:G6462,K4674:K6462,"0",B4674:B6462,"5 1 2 4 9 12 31111 6 M59 96100 000211 0000U 00001 00249 015 2112000*")</f>
        <v>0</v>
      </c>
      <c r="H4673" s="83">
        <f t="shared" si="73"/>
        <v>44344.66</v>
      </c>
      <c r="I4673" s="83"/>
      <c r="K4673" s="54" t="s">
        <v>15</v>
      </c>
    </row>
    <row r="4674" spans="2:11" ht="33" x14ac:dyDescent="0.2">
      <c r="B4674" s="82" t="s">
        <v>7363</v>
      </c>
      <c r="C4674" s="82" t="s">
        <v>660</v>
      </c>
      <c r="D4674" s="83">
        <f>SUMIFS(D4675:D6462,K4675:K6462,"0",B4675:B6462,"5 1 2 4 9 12 31111 6 M59 96100 000211 0000U 00001 00249 015 2112000 2024*")-SUMIFS(E4675:E6462,K4675:K6462,"0",B4675:B6462,"5 1 2 4 9 12 31111 6 M59 96100 000211 0000U 00001 00249 015 2112000 2024*")</f>
        <v>0</v>
      </c>
      <c r="E4674" s="54"/>
      <c r="F4674" s="83">
        <f>SUMIFS(F4675:F6462,K4675:K6462,"0",B4675:B6462,"5 1 2 4 9 12 31111 6 M59 96100 000211 0000U 00001 00249 015 2112000 2024*")</f>
        <v>44344.66</v>
      </c>
      <c r="G4674" s="83">
        <f>SUMIFS(G4675:G6462,K4675:K6462,"0",B4675:B6462,"5 1 2 4 9 12 31111 6 M59 96100 000211 0000U 00001 00249 015 2112000 2024*")</f>
        <v>0</v>
      </c>
      <c r="H4674" s="83">
        <f t="shared" si="73"/>
        <v>44344.66</v>
      </c>
      <c r="I4674" s="83"/>
      <c r="K4674" s="54" t="s">
        <v>15</v>
      </c>
    </row>
    <row r="4675" spans="2:11" ht="41.25" x14ac:dyDescent="0.2">
      <c r="B4675" s="82" t="s">
        <v>7364</v>
      </c>
      <c r="C4675" s="82" t="s">
        <v>1056</v>
      </c>
      <c r="D4675" s="83">
        <f>SUMIFS(D4676:D6462,K4676:K6462,"0",B4676:B6462,"5 1 2 4 9 12 31111 6 M59 96100 000211 0000U 00001 00249 015 2112000 2024 CP1IU412*")-SUMIFS(E4676:E6462,K4676:K6462,"0",B4676:B6462,"5 1 2 4 9 12 31111 6 M59 96100 000211 0000U 00001 00249 015 2112000 2024 CP1IU412*")</f>
        <v>0</v>
      </c>
      <c r="E4675" s="54"/>
      <c r="F4675" s="83">
        <f>SUMIFS(F4676:F6462,K4676:K6462,"0",B4676:B6462,"5 1 2 4 9 12 31111 6 M59 96100 000211 0000U 00001 00249 015 2112000 2024 CP1IU412*")</f>
        <v>44344.66</v>
      </c>
      <c r="G4675" s="83">
        <f>SUMIFS(G4676:G6462,K4676:K6462,"0",B4676:B6462,"5 1 2 4 9 12 31111 6 M59 96100 000211 0000U 00001 00249 015 2112000 2024 CP1IU412*")</f>
        <v>0</v>
      </c>
      <c r="H4675" s="83">
        <f t="shared" si="73"/>
        <v>44344.66</v>
      </c>
      <c r="I4675" s="83"/>
      <c r="K4675" s="54" t="s">
        <v>15</v>
      </c>
    </row>
    <row r="4676" spans="2:11" ht="41.25" x14ac:dyDescent="0.2">
      <c r="B4676" s="82" t="s">
        <v>7365</v>
      </c>
      <c r="C4676" s="82" t="s">
        <v>282</v>
      </c>
      <c r="D4676" s="83">
        <f>SUMIFS(D4677:D6462,K4677:K6462,"0",B4677:B6462,"5 1 2 4 9 12 31111 6 M59 96100 000211 0000U 00001 00249 015 2112000 2024 CP1IU412 001*")-SUMIFS(E4677:E6462,K4677:K6462,"0",B4677:B6462,"5 1 2 4 9 12 31111 6 M59 96100 000211 0000U 00001 00249 015 2112000 2024 CP1IU412 001*")</f>
        <v>0</v>
      </c>
      <c r="E4676" s="54"/>
      <c r="F4676" s="83">
        <f>SUMIFS(F4677:F6462,K4677:K6462,"0",B4677:B6462,"5 1 2 4 9 12 31111 6 M59 96100 000211 0000U 00001 00249 015 2112000 2024 CP1IU412 001*")</f>
        <v>44344.66</v>
      </c>
      <c r="G4676" s="83">
        <f>SUMIFS(G4677:G6462,K4677:K6462,"0",B4677:B6462,"5 1 2 4 9 12 31111 6 M59 96100 000211 0000U 00001 00249 015 2112000 2024 CP1IU412 001*")</f>
        <v>0</v>
      </c>
      <c r="H4676" s="83">
        <f t="shared" si="73"/>
        <v>44344.66</v>
      </c>
      <c r="I4676" s="83"/>
      <c r="K4676" s="54" t="s">
        <v>15</v>
      </c>
    </row>
    <row r="4677" spans="2:11" ht="33" x14ac:dyDescent="0.2">
      <c r="B4677" s="84" t="s">
        <v>7366</v>
      </c>
      <c r="C4677" s="84" t="s">
        <v>7261</v>
      </c>
      <c r="D4677" s="85">
        <v>0</v>
      </c>
      <c r="E4677" s="85"/>
      <c r="F4677" s="85">
        <v>44344.66</v>
      </c>
      <c r="G4677" s="85">
        <v>0</v>
      </c>
      <c r="H4677" s="85">
        <f t="shared" si="73"/>
        <v>44344.66</v>
      </c>
      <c r="I4677" s="85"/>
      <c r="K4677" s="54" t="s">
        <v>38</v>
      </c>
    </row>
    <row r="4678" spans="2:11" ht="16.5" x14ac:dyDescent="0.2">
      <c r="B4678" s="82" t="s">
        <v>7367</v>
      </c>
      <c r="C4678" s="82" t="s">
        <v>3706</v>
      </c>
      <c r="D4678" s="83">
        <f>SUMIFS(D4679:D6462,K4679:K6462,"0",B4679:B6462,"5 1 2 4 9 12 31111 6 M59 96200*")-SUMIFS(E4679:E6462,K4679:K6462,"0",B4679:B6462,"5 1 2 4 9 12 31111 6 M59 96200*")</f>
        <v>0</v>
      </c>
      <c r="E4678" s="54"/>
      <c r="F4678" s="83">
        <f>SUMIFS(F4679:F6462,K4679:K6462,"0",B4679:B6462,"5 1 2 4 9 12 31111 6 M59 96200*")</f>
        <v>187.99</v>
      </c>
      <c r="G4678" s="83">
        <f>SUMIFS(G4679:G6462,K4679:K6462,"0",B4679:B6462,"5 1 2 4 9 12 31111 6 M59 96200*")</f>
        <v>0</v>
      </c>
      <c r="H4678" s="83">
        <f t="shared" si="73"/>
        <v>187.99</v>
      </c>
      <c r="I4678" s="83"/>
      <c r="K4678" s="54" t="s">
        <v>15</v>
      </c>
    </row>
    <row r="4679" spans="2:11" ht="16.5" x14ac:dyDescent="0.2">
      <c r="B4679" s="82" t="s">
        <v>7368</v>
      </c>
      <c r="C4679" s="82" t="s">
        <v>648</v>
      </c>
      <c r="D4679" s="83">
        <f>SUMIFS(D4680:D6462,K4680:K6462,"0",B4680:B6462,"5 1 2 4 9 12 31111 6 M59 96200 000132*")-SUMIFS(E4680:E6462,K4680:K6462,"0",B4680:B6462,"5 1 2 4 9 12 31111 6 M59 96200 000132*")</f>
        <v>0</v>
      </c>
      <c r="E4679" s="54"/>
      <c r="F4679" s="83">
        <f>SUMIFS(F4680:F6462,K4680:K6462,"0",B4680:B6462,"5 1 2 4 9 12 31111 6 M59 96200 000132*")</f>
        <v>187.99</v>
      </c>
      <c r="G4679" s="83">
        <f>SUMIFS(G4680:G6462,K4680:K6462,"0",B4680:B6462,"5 1 2 4 9 12 31111 6 M59 96200 000132*")</f>
        <v>0</v>
      </c>
      <c r="H4679" s="83">
        <f t="shared" si="73"/>
        <v>187.99</v>
      </c>
      <c r="I4679" s="83"/>
      <c r="K4679" s="54" t="s">
        <v>15</v>
      </c>
    </row>
    <row r="4680" spans="2:11" ht="24.75" x14ac:dyDescent="0.2">
      <c r="B4680" s="82" t="s">
        <v>7369</v>
      </c>
      <c r="C4680" s="82" t="s">
        <v>650</v>
      </c>
      <c r="D4680" s="83">
        <f>SUMIFS(D4681:D6462,K4681:K6462,"0",B4681:B6462,"5 1 2 4 9 12 31111 6 M59 96200 000132 0000R*")-SUMIFS(E4681:E6462,K4681:K6462,"0",B4681:B6462,"5 1 2 4 9 12 31111 6 M59 96200 000132 0000R*")</f>
        <v>0</v>
      </c>
      <c r="E4680" s="54"/>
      <c r="F4680" s="83">
        <f>SUMIFS(F4681:F6462,K4681:K6462,"0",B4681:B6462,"5 1 2 4 9 12 31111 6 M59 96200 000132 0000R*")</f>
        <v>187.99</v>
      </c>
      <c r="G4680" s="83">
        <f>SUMIFS(G4681:G6462,K4681:K6462,"0",B4681:B6462,"5 1 2 4 9 12 31111 6 M59 96200 000132 0000R*")</f>
        <v>0</v>
      </c>
      <c r="H4680" s="83">
        <f t="shared" si="73"/>
        <v>187.99</v>
      </c>
      <c r="I4680" s="83"/>
      <c r="K4680" s="54" t="s">
        <v>15</v>
      </c>
    </row>
    <row r="4681" spans="2:11" ht="24.75" x14ac:dyDescent="0.2">
      <c r="B4681" s="82" t="s">
        <v>7370</v>
      </c>
      <c r="C4681" s="82" t="s">
        <v>282</v>
      </c>
      <c r="D4681" s="83">
        <f>SUMIFS(D4682:D6462,K4682:K6462,"0",B4682:B6462,"5 1 2 4 9 12 31111 6 M59 96200 000132 0000R 00001*")-SUMIFS(E4682:E6462,K4682:K6462,"0",B4682:B6462,"5 1 2 4 9 12 31111 6 M59 96200 000132 0000R 00001*")</f>
        <v>0</v>
      </c>
      <c r="E4681" s="54"/>
      <c r="F4681" s="83">
        <f>SUMIFS(F4682:F6462,K4682:K6462,"0",B4682:B6462,"5 1 2 4 9 12 31111 6 M59 96200 000132 0000R 00001*")</f>
        <v>187.99</v>
      </c>
      <c r="G4681" s="83">
        <f>SUMIFS(G4682:G6462,K4682:K6462,"0",B4682:B6462,"5 1 2 4 9 12 31111 6 M59 96200 000132 0000R 00001*")</f>
        <v>0</v>
      </c>
      <c r="H4681" s="83">
        <f t="shared" si="73"/>
        <v>187.99</v>
      </c>
      <c r="I4681" s="83"/>
      <c r="K4681" s="54" t="s">
        <v>15</v>
      </c>
    </row>
    <row r="4682" spans="2:11" ht="33" x14ac:dyDescent="0.2">
      <c r="B4682" s="82" t="s">
        <v>7371</v>
      </c>
      <c r="C4682" s="82" t="s">
        <v>7271</v>
      </c>
      <c r="D4682" s="83">
        <f>SUMIFS(D4683:D6462,K4683:K6462,"0",B4683:B6462,"5 1 2 4 9 12 31111 6 M59 96200 000132 0000R 00001 00249*")-SUMIFS(E4683:E6462,K4683:K6462,"0",B4683:B6462,"5 1 2 4 9 12 31111 6 M59 96200 000132 0000R 00001 00249*")</f>
        <v>0</v>
      </c>
      <c r="E4682" s="54"/>
      <c r="F4682" s="83">
        <f>SUMIFS(F4683:F6462,K4683:K6462,"0",B4683:B6462,"5 1 2 4 9 12 31111 6 M59 96200 000132 0000R 00001 00249*")</f>
        <v>187.99</v>
      </c>
      <c r="G4682" s="83">
        <f>SUMIFS(G4683:G6462,K4683:K6462,"0",B4683:B6462,"5 1 2 4 9 12 31111 6 M59 96200 000132 0000R 00001 00249*")</f>
        <v>0</v>
      </c>
      <c r="H4682" s="83">
        <f t="shared" si="73"/>
        <v>187.99</v>
      </c>
      <c r="I4682" s="83"/>
      <c r="K4682" s="54" t="s">
        <v>15</v>
      </c>
    </row>
    <row r="4683" spans="2:11" ht="33" x14ac:dyDescent="0.2">
      <c r="B4683" s="82" t="s">
        <v>7372</v>
      </c>
      <c r="C4683" s="82" t="s">
        <v>1051</v>
      </c>
      <c r="D4683" s="83">
        <f>SUMIFS(D4684:D6462,K4684:K6462,"0",B4684:B6462,"5 1 2 4 9 12 31111 6 M59 96200 000132 0000R 00001 00249 015*")-SUMIFS(E4684:E6462,K4684:K6462,"0",B4684:B6462,"5 1 2 4 9 12 31111 6 M59 96200 000132 0000R 00001 00249 015*")</f>
        <v>0</v>
      </c>
      <c r="E4683" s="54"/>
      <c r="F4683" s="83">
        <f>SUMIFS(F4684:F6462,K4684:K6462,"0",B4684:B6462,"5 1 2 4 9 12 31111 6 M59 96200 000132 0000R 00001 00249 015*")</f>
        <v>187.99</v>
      </c>
      <c r="G4683" s="83">
        <f>SUMIFS(G4684:G6462,K4684:K6462,"0",B4684:B6462,"5 1 2 4 9 12 31111 6 M59 96200 000132 0000R 00001 00249 015*")</f>
        <v>0</v>
      </c>
      <c r="H4683" s="83">
        <f t="shared" si="73"/>
        <v>187.99</v>
      </c>
      <c r="I4683" s="83"/>
      <c r="K4683" s="54" t="s">
        <v>15</v>
      </c>
    </row>
    <row r="4684" spans="2:11" ht="33" x14ac:dyDescent="0.2">
      <c r="B4684" s="82" t="s">
        <v>7373</v>
      </c>
      <c r="C4684" s="82" t="s">
        <v>5830</v>
      </c>
      <c r="D4684" s="83">
        <f>SUMIFS(D4685:D6462,K4685:K6462,"0",B4685:B6462,"5 1 2 4 9 12 31111 6 M59 96200 000132 0000R 00001 00249 015 2112000*")-SUMIFS(E4685:E6462,K4685:K6462,"0",B4685:B6462,"5 1 2 4 9 12 31111 6 M59 96200 000132 0000R 00001 00249 015 2112000*")</f>
        <v>0</v>
      </c>
      <c r="E4684" s="54"/>
      <c r="F4684" s="83">
        <f>SUMIFS(F4685:F6462,K4685:K6462,"0",B4685:B6462,"5 1 2 4 9 12 31111 6 M59 96200 000132 0000R 00001 00249 015 2112000*")</f>
        <v>187.99</v>
      </c>
      <c r="G4684" s="83">
        <f>SUMIFS(G4685:G6462,K4685:K6462,"0",B4685:B6462,"5 1 2 4 9 12 31111 6 M59 96200 000132 0000R 00001 00249 015 2112000*")</f>
        <v>0</v>
      </c>
      <c r="H4684" s="83">
        <f t="shared" si="73"/>
        <v>187.99</v>
      </c>
      <c r="I4684" s="83"/>
      <c r="K4684" s="54" t="s">
        <v>15</v>
      </c>
    </row>
    <row r="4685" spans="2:11" ht="33" x14ac:dyDescent="0.2">
      <c r="B4685" s="82" t="s">
        <v>7374</v>
      </c>
      <c r="C4685" s="82" t="s">
        <v>660</v>
      </c>
      <c r="D4685" s="83">
        <f>SUMIFS(D4686:D6462,K4686:K6462,"0",B4686:B6462,"5 1 2 4 9 12 31111 6 M59 96200 000132 0000R 00001 00249 015 2112000 2024*")-SUMIFS(E4686:E6462,K4686:K6462,"0",B4686:B6462,"5 1 2 4 9 12 31111 6 M59 96200 000132 0000R 00001 00249 015 2112000 2024*")</f>
        <v>0</v>
      </c>
      <c r="E4685" s="54"/>
      <c r="F4685" s="83">
        <f>SUMIFS(F4686:F6462,K4686:K6462,"0",B4686:B6462,"5 1 2 4 9 12 31111 6 M59 96200 000132 0000R 00001 00249 015 2112000 2024*")</f>
        <v>187.99</v>
      </c>
      <c r="G4685" s="83">
        <f>SUMIFS(G4686:G6462,K4686:K6462,"0",B4686:B6462,"5 1 2 4 9 12 31111 6 M59 96200 000132 0000R 00001 00249 015 2112000 2024*")</f>
        <v>0</v>
      </c>
      <c r="H4685" s="83">
        <f t="shared" si="73"/>
        <v>187.99</v>
      </c>
      <c r="I4685" s="83"/>
      <c r="K4685" s="54" t="s">
        <v>15</v>
      </c>
    </row>
    <row r="4686" spans="2:11" ht="41.25" x14ac:dyDescent="0.2">
      <c r="B4686" s="82" t="s">
        <v>7375</v>
      </c>
      <c r="C4686" s="82" t="s">
        <v>662</v>
      </c>
      <c r="D4686" s="83">
        <f>SUMIFS(D4687:D6462,K4687:K6462,"0",B4687:B6462,"5 1 2 4 9 12 31111 6 M59 96200 000132 0000R 00001 00249 015 2112000 2024 CP1AL423*")-SUMIFS(E4687:E6462,K4687:K6462,"0",B4687:B6462,"5 1 2 4 9 12 31111 6 M59 96200 000132 0000R 00001 00249 015 2112000 2024 CP1AL423*")</f>
        <v>0</v>
      </c>
      <c r="E4686" s="54"/>
      <c r="F4686" s="83">
        <f>SUMIFS(F4687:F6462,K4687:K6462,"0",B4687:B6462,"5 1 2 4 9 12 31111 6 M59 96200 000132 0000R 00001 00249 015 2112000 2024 CP1AL423*")</f>
        <v>187.99</v>
      </c>
      <c r="G4686" s="83">
        <f>SUMIFS(G4687:G6462,K4687:K6462,"0",B4687:B6462,"5 1 2 4 9 12 31111 6 M59 96200 000132 0000R 00001 00249 015 2112000 2024 CP1AL423*")</f>
        <v>0</v>
      </c>
      <c r="H4686" s="83">
        <f t="shared" si="73"/>
        <v>187.99</v>
      </c>
      <c r="I4686" s="83"/>
      <c r="K4686" s="54" t="s">
        <v>15</v>
      </c>
    </row>
    <row r="4687" spans="2:11" ht="41.25" x14ac:dyDescent="0.2">
      <c r="B4687" s="82" t="s">
        <v>7376</v>
      </c>
      <c r="C4687" s="82" t="s">
        <v>282</v>
      </c>
      <c r="D4687" s="83">
        <f>SUMIFS(D4688:D6462,K4688:K6462,"0",B4688:B6462,"5 1 2 4 9 12 31111 6 M59 96200 000132 0000R 00001 00249 015 2112000 2024 CP1AL423 001*")-SUMIFS(E4688:E6462,K4688:K6462,"0",B4688:B6462,"5 1 2 4 9 12 31111 6 M59 96200 000132 0000R 00001 00249 015 2112000 2024 CP1AL423 001*")</f>
        <v>0</v>
      </c>
      <c r="E4687" s="54"/>
      <c r="F4687" s="83">
        <f>SUMIFS(F4688:F6462,K4688:K6462,"0",B4688:B6462,"5 1 2 4 9 12 31111 6 M59 96200 000132 0000R 00001 00249 015 2112000 2024 CP1AL423 001*")</f>
        <v>187.99</v>
      </c>
      <c r="G4687" s="83">
        <f>SUMIFS(G4688:G6462,K4688:K6462,"0",B4688:B6462,"5 1 2 4 9 12 31111 6 M59 96200 000132 0000R 00001 00249 015 2112000 2024 CP1AL423 001*")</f>
        <v>0</v>
      </c>
      <c r="H4687" s="83">
        <f t="shared" si="73"/>
        <v>187.99</v>
      </c>
      <c r="I4687" s="83"/>
      <c r="K4687" s="54" t="s">
        <v>15</v>
      </c>
    </row>
    <row r="4688" spans="2:11" ht="41.25" x14ac:dyDescent="0.2">
      <c r="B4688" s="84" t="s">
        <v>7377</v>
      </c>
      <c r="C4688" s="84" t="s">
        <v>7271</v>
      </c>
      <c r="D4688" s="85">
        <v>0</v>
      </c>
      <c r="E4688" s="85"/>
      <c r="F4688" s="85">
        <v>187.99</v>
      </c>
      <c r="G4688" s="85">
        <v>0</v>
      </c>
      <c r="H4688" s="85">
        <f t="shared" si="73"/>
        <v>187.99</v>
      </c>
      <c r="I4688" s="85"/>
      <c r="K4688" s="54" t="s">
        <v>38</v>
      </c>
    </row>
    <row r="4689" spans="2:11" ht="16.5" x14ac:dyDescent="0.2">
      <c r="B4689" s="82" t="s">
        <v>7378</v>
      </c>
      <c r="C4689" s="82" t="s">
        <v>1308</v>
      </c>
      <c r="D4689" s="83">
        <f>SUMIFS(D4690:D6462,K4690:K6462,"0",B4690:B6462,"5 1 2 4 9 12 31111 6 M59 96300*")-SUMIFS(E4690:E6462,K4690:K6462,"0",B4690:B6462,"5 1 2 4 9 12 31111 6 M59 96300*")</f>
        <v>0</v>
      </c>
      <c r="E4689" s="54"/>
      <c r="F4689" s="83">
        <f>SUMIFS(F4690:F6462,K4690:K6462,"0",B4690:B6462,"5 1 2 4 9 12 31111 6 M59 96300*")</f>
        <v>3301.16</v>
      </c>
      <c r="G4689" s="83">
        <f>SUMIFS(G4690:G6462,K4690:K6462,"0",B4690:B6462,"5 1 2 4 9 12 31111 6 M59 96300*")</f>
        <v>0</v>
      </c>
      <c r="H4689" s="83">
        <f t="shared" si="73"/>
        <v>3301.16</v>
      </c>
      <c r="I4689" s="83"/>
      <c r="K4689" s="54" t="s">
        <v>15</v>
      </c>
    </row>
    <row r="4690" spans="2:11" ht="16.5" x14ac:dyDescent="0.2">
      <c r="B4690" s="82" t="s">
        <v>7379</v>
      </c>
      <c r="C4690" s="82" t="s">
        <v>1310</v>
      </c>
      <c r="D4690" s="83">
        <f>SUMIFS(D4691:D6462,K4691:K6462,"0",B4691:B6462,"5 1 2 4 9 12 31111 6 M59 96300 000211*")-SUMIFS(E4691:E6462,K4691:K6462,"0",B4691:B6462,"5 1 2 4 9 12 31111 6 M59 96300 000211*")</f>
        <v>0</v>
      </c>
      <c r="E4690" s="54"/>
      <c r="F4690" s="83">
        <f>SUMIFS(F4691:F6462,K4691:K6462,"0",B4691:B6462,"5 1 2 4 9 12 31111 6 M59 96300 000211*")</f>
        <v>3301.16</v>
      </c>
      <c r="G4690" s="83">
        <f>SUMIFS(G4691:G6462,K4691:K6462,"0",B4691:B6462,"5 1 2 4 9 12 31111 6 M59 96300 000211*")</f>
        <v>0</v>
      </c>
      <c r="H4690" s="83">
        <f t="shared" si="73"/>
        <v>3301.16</v>
      </c>
      <c r="I4690" s="83"/>
      <c r="K4690" s="54" t="s">
        <v>15</v>
      </c>
    </row>
    <row r="4691" spans="2:11" ht="24.75" x14ac:dyDescent="0.2">
      <c r="B4691" s="82" t="s">
        <v>7380</v>
      </c>
      <c r="C4691" s="82" t="s">
        <v>1065</v>
      </c>
      <c r="D4691" s="83">
        <f>SUMIFS(D4692:D6462,K4692:K6462,"0",B4692:B6462,"5 1 2 4 9 12 31111 6 M59 96300 000211 0000E*")-SUMIFS(E4692:E6462,K4692:K6462,"0",B4692:B6462,"5 1 2 4 9 12 31111 6 M59 96300 000211 0000E*")</f>
        <v>0</v>
      </c>
      <c r="E4691" s="54"/>
      <c r="F4691" s="83">
        <f>SUMIFS(F4692:F6462,K4692:K6462,"0",B4692:B6462,"5 1 2 4 9 12 31111 6 M59 96300 000211 0000E*")</f>
        <v>3301.16</v>
      </c>
      <c r="G4691" s="83">
        <f>SUMIFS(G4692:G6462,K4692:K6462,"0",B4692:B6462,"5 1 2 4 9 12 31111 6 M59 96300 000211 0000E*")</f>
        <v>0</v>
      </c>
      <c r="H4691" s="83">
        <f t="shared" si="73"/>
        <v>3301.16</v>
      </c>
      <c r="I4691" s="83"/>
      <c r="K4691" s="54" t="s">
        <v>15</v>
      </c>
    </row>
    <row r="4692" spans="2:11" ht="24.75" x14ac:dyDescent="0.2">
      <c r="B4692" s="82" t="s">
        <v>7381</v>
      </c>
      <c r="C4692" s="82" t="s">
        <v>282</v>
      </c>
      <c r="D4692" s="83">
        <f>SUMIFS(D4693:D6462,K4693:K6462,"0",B4693:B6462,"5 1 2 4 9 12 31111 6 M59 96300 000211 0000E 00001*")-SUMIFS(E4693:E6462,K4693:K6462,"0",B4693:B6462,"5 1 2 4 9 12 31111 6 M59 96300 000211 0000E 00001*")</f>
        <v>0</v>
      </c>
      <c r="E4692" s="54"/>
      <c r="F4692" s="83">
        <f>SUMIFS(F4693:F6462,K4693:K6462,"0",B4693:B6462,"5 1 2 4 9 12 31111 6 M59 96300 000211 0000E 00001*")</f>
        <v>3301.16</v>
      </c>
      <c r="G4692" s="83">
        <f>SUMIFS(G4693:G6462,K4693:K6462,"0",B4693:B6462,"5 1 2 4 9 12 31111 6 M59 96300 000211 0000E 00001*")</f>
        <v>0</v>
      </c>
      <c r="H4692" s="83">
        <f t="shared" si="73"/>
        <v>3301.16</v>
      </c>
      <c r="I4692" s="83"/>
      <c r="K4692" s="54" t="s">
        <v>15</v>
      </c>
    </row>
    <row r="4693" spans="2:11" ht="33" x14ac:dyDescent="0.2">
      <c r="B4693" s="82" t="s">
        <v>7382</v>
      </c>
      <c r="C4693" s="82" t="s">
        <v>7271</v>
      </c>
      <c r="D4693" s="83">
        <f>SUMIFS(D4694:D6462,K4694:K6462,"0",B4694:B6462,"5 1 2 4 9 12 31111 6 M59 96300 000211 0000E 00001 00249*")-SUMIFS(E4694:E6462,K4694:K6462,"0",B4694:B6462,"5 1 2 4 9 12 31111 6 M59 96300 000211 0000E 00001 00249*")</f>
        <v>0</v>
      </c>
      <c r="E4693" s="54"/>
      <c r="F4693" s="83">
        <f>SUMIFS(F4694:F6462,K4694:K6462,"0",B4694:B6462,"5 1 2 4 9 12 31111 6 M59 96300 000211 0000E 00001 00249*")</f>
        <v>3301.16</v>
      </c>
      <c r="G4693" s="83">
        <f>SUMIFS(G4694:G6462,K4694:K6462,"0",B4694:B6462,"5 1 2 4 9 12 31111 6 M59 96300 000211 0000E 00001 00249*")</f>
        <v>0</v>
      </c>
      <c r="H4693" s="83">
        <f t="shared" si="73"/>
        <v>3301.16</v>
      </c>
      <c r="I4693" s="83"/>
      <c r="K4693" s="54" t="s">
        <v>15</v>
      </c>
    </row>
    <row r="4694" spans="2:11" ht="33" x14ac:dyDescent="0.2">
      <c r="B4694" s="82" t="s">
        <v>7383</v>
      </c>
      <c r="C4694" s="82" t="s">
        <v>1051</v>
      </c>
      <c r="D4694" s="83">
        <f>SUMIFS(D4695:D6462,K4695:K6462,"0",B4695:B6462,"5 1 2 4 9 12 31111 6 M59 96300 000211 0000E 00001 00249 015*")-SUMIFS(E4695:E6462,K4695:K6462,"0",B4695:B6462,"5 1 2 4 9 12 31111 6 M59 96300 000211 0000E 00001 00249 015*")</f>
        <v>0</v>
      </c>
      <c r="E4694" s="54"/>
      <c r="F4694" s="83">
        <f>SUMIFS(F4695:F6462,K4695:K6462,"0",B4695:B6462,"5 1 2 4 9 12 31111 6 M59 96300 000211 0000E 00001 00249 015*")</f>
        <v>3301.16</v>
      </c>
      <c r="G4694" s="83">
        <f>SUMIFS(G4695:G6462,K4695:K6462,"0",B4695:B6462,"5 1 2 4 9 12 31111 6 M59 96300 000211 0000E 00001 00249 015*")</f>
        <v>0</v>
      </c>
      <c r="H4694" s="83">
        <f t="shared" si="73"/>
        <v>3301.16</v>
      </c>
      <c r="I4694" s="83"/>
      <c r="K4694" s="54" t="s">
        <v>15</v>
      </c>
    </row>
    <row r="4695" spans="2:11" ht="33" x14ac:dyDescent="0.2">
      <c r="B4695" s="82" t="s">
        <v>7384</v>
      </c>
      <c r="C4695" s="82" t="s">
        <v>5830</v>
      </c>
      <c r="D4695" s="83">
        <f>SUMIFS(D4696:D6462,K4696:K6462,"0",B4696:B6462,"5 1 2 4 9 12 31111 6 M59 96300 000211 0000E 00001 00249 015 2112000*")-SUMIFS(E4696:E6462,K4696:K6462,"0",B4696:B6462,"5 1 2 4 9 12 31111 6 M59 96300 000211 0000E 00001 00249 015 2112000*")</f>
        <v>0</v>
      </c>
      <c r="E4695" s="54"/>
      <c r="F4695" s="83">
        <f>SUMIFS(F4696:F6462,K4696:K6462,"0",B4696:B6462,"5 1 2 4 9 12 31111 6 M59 96300 000211 0000E 00001 00249 015 2112000*")</f>
        <v>3301.16</v>
      </c>
      <c r="G4695" s="83">
        <f>SUMIFS(G4696:G6462,K4696:K6462,"0",B4696:B6462,"5 1 2 4 9 12 31111 6 M59 96300 000211 0000E 00001 00249 015 2112000*")</f>
        <v>0</v>
      </c>
      <c r="H4695" s="83">
        <f t="shared" si="73"/>
        <v>3301.16</v>
      </c>
      <c r="I4695" s="83"/>
      <c r="K4695" s="54" t="s">
        <v>15</v>
      </c>
    </row>
    <row r="4696" spans="2:11" ht="33" x14ac:dyDescent="0.2">
      <c r="B4696" s="82" t="s">
        <v>7385</v>
      </c>
      <c r="C4696" s="82" t="s">
        <v>660</v>
      </c>
      <c r="D4696" s="83">
        <f>SUMIFS(D4697:D6462,K4697:K6462,"0",B4697:B6462,"5 1 2 4 9 12 31111 6 M59 96300 000211 0000E 00001 00249 015 2112000 2024*")-SUMIFS(E4697:E6462,K4697:K6462,"0",B4697:B6462,"5 1 2 4 9 12 31111 6 M59 96300 000211 0000E 00001 00249 015 2112000 2024*")</f>
        <v>0</v>
      </c>
      <c r="E4696" s="54"/>
      <c r="F4696" s="83">
        <f>SUMIFS(F4697:F6462,K4697:K6462,"0",B4697:B6462,"5 1 2 4 9 12 31111 6 M59 96300 000211 0000E 00001 00249 015 2112000 2024*")</f>
        <v>3301.16</v>
      </c>
      <c r="G4696" s="83">
        <f>SUMIFS(G4697:G6462,K4697:K6462,"0",B4697:B6462,"5 1 2 4 9 12 31111 6 M59 96300 000211 0000E 00001 00249 015 2112000 2024*")</f>
        <v>0</v>
      </c>
      <c r="H4696" s="83">
        <f t="shared" si="73"/>
        <v>3301.16</v>
      </c>
      <c r="I4696" s="83"/>
      <c r="K4696" s="54" t="s">
        <v>15</v>
      </c>
    </row>
    <row r="4697" spans="2:11" ht="41.25" x14ac:dyDescent="0.2">
      <c r="B4697" s="82" t="s">
        <v>7386</v>
      </c>
      <c r="C4697" s="82" t="s">
        <v>1056</v>
      </c>
      <c r="D4697" s="83">
        <f>SUMIFS(D4698:D6462,K4698:K6462,"0",B4698:B6462,"5 1 2 4 9 12 31111 6 M59 96300 000211 0000E 00001 00249 015 2112000 2024 CP1SB396*")-SUMIFS(E4698:E6462,K4698:K6462,"0",B4698:B6462,"5 1 2 4 9 12 31111 6 M59 96300 000211 0000E 00001 00249 015 2112000 2024 CP1SB396*")</f>
        <v>0</v>
      </c>
      <c r="E4697" s="54"/>
      <c r="F4697" s="83">
        <f>SUMIFS(F4698:F6462,K4698:K6462,"0",B4698:B6462,"5 1 2 4 9 12 31111 6 M59 96300 000211 0000E 00001 00249 015 2112000 2024 CP1SB396*")</f>
        <v>3301.16</v>
      </c>
      <c r="G4697" s="83">
        <f>SUMIFS(G4698:G6462,K4698:K6462,"0",B4698:B6462,"5 1 2 4 9 12 31111 6 M59 96300 000211 0000E 00001 00249 015 2112000 2024 CP1SB396*")</f>
        <v>0</v>
      </c>
      <c r="H4697" s="83">
        <f t="shared" si="73"/>
        <v>3301.16</v>
      </c>
      <c r="I4697" s="83"/>
      <c r="K4697" s="54" t="s">
        <v>15</v>
      </c>
    </row>
    <row r="4698" spans="2:11" ht="41.25" x14ac:dyDescent="0.2">
      <c r="B4698" s="82" t="s">
        <v>7387</v>
      </c>
      <c r="C4698" s="82" t="s">
        <v>282</v>
      </c>
      <c r="D4698" s="83">
        <f>SUMIFS(D4699:D6462,K4699:K6462,"0",B4699:B6462,"5 1 2 4 9 12 31111 6 M59 96300 000211 0000E 00001 00249 015 2112000 2024 CP1SB396 001*")-SUMIFS(E4699:E6462,K4699:K6462,"0",B4699:B6462,"5 1 2 4 9 12 31111 6 M59 96300 000211 0000E 00001 00249 015 2112000 2024 CP1SB396 001*")</f>
        <v>0</v>
      </c>
      <c r="E4698" s="54"/>
      <c r="F4698" s="83">
        <f>SUMIFS(F4699:F6462,K4699:K6462,"0",B4699:B6462,"5 1 2 4 9 12 31111 6 M59 96300 000211 0000E 00001 00249 015 2112000 2024 CP1SB396 001*")</f>
        <v>3301.16</v>
      </c>
      <c r="G4698" s="83">
        <f>SUMIFS(G4699:G6462,K4699:K6462,"0",B4699:B6462,"5 1 2 4 9 12 31111 6 M59 96300 000211 0000E 00001 00249 015 2112000 2024 CP1SB396 001*")</f>
        <v>0</v>
      </c>
      <c r="H4698" s="83">
        <f t="shared" si="73"/>
        <v>3301.16</v>
      </c>
      <c r="I4698" s="83"/>
      <c r="K4698" s="54" t="s">
        <v>15</v>
      </c>
    </row>
    <row r="4699" spans="2:11" ht="33" x14ac:dyDescent="0.2">
      <c r="B4699" s="84" t="s">
        <v>7388</v>
      </c>
      <c r="C4699" s="84" t="s">
        <v>7271</v>
      </c>
      <c r="D4699" s="85">
        <v>0</v>
      </c>
      <c r="E4699" s="85"/>
      <c r="F4699" s="85">
        <v>3301.16</v>
      </c>
      <c r="G4699" s="85">
        <v>0</v>
      </c>
      <c r="H4699" s="85">
        <f t="shared" si="73"/>
        <v>3301.16</v>
      </c>
      <c r="I4699" s="85"/>
      <c r="K4699" s="54" t="s">
        <v>38</v>
      </c>
    </row>
    <row r="4700" spans="2:11" ht="16.5" x14ac:dyDescent="0.2">
      <c r="B4700" s="82" t="s">
        <v>7389</v>
      </c>
      <c r="C4700" s="82" t="s">
        <v>3754</v>
      </c>
      <c r="D4700" s="83">
        <f>SUMIFS(D4701:D6462,K4701:K6462,"0",B4701:B6462,"5 1 2 4 9 12 31111 6 M59 99000*")-SUMIFS(E4701:E6462,K4701:K6462,"0",B4701:B6462,"5 1 2 4 9 12 31111 6 M59 99000*")</f>
        <v>0</v>
      </c>
      <c r="E4700" s="54"/>
      <c r="F4700" s="83">
        <f>SUMIFS(F4701:F6462,K4701:K6462,"0",B4701:B6462,"5 1 2 4 9 12 31111 6 M59 99000*")</f>
        <v>554.49</v>
      </c>
      <c r="G4700" s="83">
        <f>SUMIFS(G4701:G6462,K4701:K6462,"0",B4701:B6462,"5 1 2 4 9 12 31111 6 M59 99000*")</f>
        <v>0</v>
      </c>
      <c r="H4700" s="83">
        <f t="shared" si="73"/>
        <v>554.49</v>
      </c>
      <c r="I4700" s="83"/>
      <c r="K4700" s="54" t="s">
        <v>15</v>
      </c>
    </row>
    <row r="4701" spans="2:11" ht="16.5" x14ac:dyDescent="0.2">
      <c r="B4701" s="82" t="s">
        <v>7390</v>
      </c>
      <c r="C4701" s="82" t="s">
        <v>648</v>
      </c>
      <c r="D4701" s="83">
        <f>SUMIFS(D4702:D6462,K4702:K6462,"0",B4702:B6462,"5 1 2 4 9 12 31111 6 M59 99000 000132*")-SUMIFS(E4702:E6462,K4702:K6462,"0",B4702:B6462,"5 1 2 4 9 12 31111 6 M59 99000 000132*")</f>
        <v>0</v>
      </c>
      <c r="E4701" s="54"/>
      <c r="F4701" s="83">
        <f>SUMIFS(F4702:F6462,K4702:K6462,"0",B4702:B6462,"5 1 2 4 9 12 31111 6 M59 99000 000132*")</f>
        <v>554.49</v>
      </c>
      <c r="G4701" s="83">
        <f>SUMIFS(G4702:G6462,K4702:K6462,"0",B4702:B6462,"5 1 2 4 9 12 31111 6 M59 99000 000132*")</f>
        <v>0</v>
      </c>
      <c r="H4701" s="83">
        <f t="shared" si="73"/>
        <v>554.49</v>
      </c>
      <c r="I4701" s="83"/>
      <c r="K4701" s="54" t="s">
        <v>15</v>
      </c>
    </row>
    <row r="4702" spans="2:11" ht="24.75" x14ac:dyDescent="0.2">
      <c r="B4702" s="82" t="s">
        <v>7391</v>
      </c>
      <c r="C4702" s="82" t="s">
        <v>650</v>
      </c>
      <c r="D4702" s="83">
        <f>SUMIFS(D4703:D6462,K4703:K6462,"0",B4703:B6462,"5 1 2 4 9 12 31111 6 M59 99000 000132 0000R*")-SUMIFS(E4703:E6462,K4703:K6462,"0",B4703:B6462,"5 1 2 4 9 12 31111 6 M59 99000 000132 0000R*")</f>
        <v>0</v>
      </c>
      <c r="E4702" s="54"/>
      <c r="F4702" s="83">
        <f>SUMIFS(F4703:F6462,K4703:K6462,"0",B4703:B6462,"5 1 2 4 9 12 31111 6 M59 99000 000132 0000R*")</f>
        <v>554.49</v>
      </c>
      <c r="G4702" s="83">
        <f>SUMIFS(G4703:G6462,K4703:K6462,"0",B4703:B6462,"5 1 2 4 9 12 31111 6 M59 99000 000132 0000R*")</f>
        <v>0</v>
      </c>
      <c r="H4702" s="83">
        <f t="shared" si="73"/>
        <v>554.49</v>
      </c>
      <c r="I4702" s="83"/>
      <c r="K4702" s="54" t="s">
        <v>15</v>
      </c>
    </row>
    <row r="4703" spans="2:11" ht="24.75" x14ac:dyDescent="0.2">
      <c r="B4703" s="82" t="s">
        <v>7392</v>
      </c>
      <c r="C4703" s="82" t="s">
        <v>282</v>
      </c>
      <c r="D4703" s="83">
        <f>SUMIFS(D4704:D6462,K4704:K6462,"0",B4704:B6462,"5 1 2 4 9 12 31111 6 M59 99000 000132 0000R 00001*")-SUMIFS(E4704:E6462,K4704:K6462,"0",B4704:B6462,"5 1 2 4 9 12 31111 6 M59 99000 000132 0000R 00001*")</f>
        <v>0</v>
      </c>
      <c r="E4703" s="54"/>
      <c r="F4703" s="83">
        <f>SUMIFS(F4704:F6462,K4704:K6462,"0",B4704:B6462,"5 1 2 4 9 12 31111 6 M59 99000 000132 0000R 00001*")</f>
        <v>554.49</v>
      </c>
      <c r="G4703" s="83">
        <f>SUMIFS(G4704:G6462,K4704:K6462,"0",B4704:B6462,"5 1 2 4 9 12 31111 6 M59 99000 000132 0000R 00001*")</f>
        <v>0</v>
      </c>
      <c r="H4703" s="83">
        <f t="shared" si="73"/>
        <v>554.49</v>
      </c>
      <c r="I4703" s="83"/>
      <c r="K4703" s="54" t="s">
        <v>15</v>
      </c>
    </row>
    <row r="4704" spans="2:11" ht="33" x14ac:dyDescent="0.2">
      <c r="B4704" s="82" t="s">
        <v>7393</v>
      </c>
      <c r="C4704" s="82" t="s">
        <v>7271</v>
      </c>
      <c r="D4704" s="83">
        <f>SUMIFS(D4705:D6462,K4705:K6462,"0",B4705:B6462,"5 1 2 4 9 12 31111 6 M59 99000 000132 0000R 00001 00249*")-SUMIFS(E4705:E6462,K4705:K6462,"0",B4705:B6462,"5 1 2 4 9 12 31111 6 M59 99000 000132 0000R 00001 00249*")</f>
        <v>0</v>
      </c>
      <c r="E4704" s="54"/>
      <c r="F4704" s="83">
        <f>SUMIFS(F4705:F6462,K4705:K6462,"0",B4705:B6462,"5 1 2 4 9 12 31111 6 M59 99000 000132 0000R 00001 00249*")</f>
        <v>554.49</v>
      </c>
      <c r="G4704" s="83">
        <f>SUMIFS(G4705:G6462,K4705:K6462,"0",B4705:B6462,"5 1 2 4 9 12 31111 6 M59 99000 000132 0000R 00001 00249*")</f>
        <v>0</v>
      </c>
      <c r="H4704" s="83">
        <f t="shared" si="73"/>
        <v>554.49</v>
      </c>
      <c r="I4704" s="83"/>
      <c r="K4704" s="54" t="s">
        <v>15</v>
      </c>
    </row>
    <row r="4705" spans="2:11" ht="33" x14ac:dyDescent="0.2">
      <c r="B4705" s="82" t="s">
        <v>7394</v>
      </c>
      <c r="C4705" s="82" t="s">
        <v>1051</v>
      </c>
      <c r="D4705" s="83">
        <f>SUMIFS(D4706:D6462,K4706:K6462,"0",B4706:B6462,"5 1 2 4 9 12 31111 6 M59 99000 000132 0000R 00001 00249 015*")-SUMIFS(E4706:E6462,K4706:K6462,"0",B4706:B6462,"5 1 2 4 9 12 31111 6 M59 99000 000132 0000R 00001 00249 015*")</f>
        <v>0</v>
      </c>
      <c r="E4705" s="54"/>
      <c r="F4705" s="83">
        <f>SUMIFS(F4706:F6462,K4706:K6462,"0",B4706:B6462,"5 1 2 4 9 12 31111 6 M59 99000 000132 0000R 00001 00249 015*")</f>
        <v>554.49</v>
      </c>
      <c r="G4705" s="83">
        <f>SUMIFS(G4706:G6462,K4706:K6462,"0",B4706:B6462,"5 1 2 4 9 12 31111 6 M59 99000 000132 0000R 00001 00249 015*")</f>
        <v>0</v>
      </c>
      <c r="H4705" s="83">
        <f t="shared" si="73"/>
        <v>554.49</v>
      </c>
      <c r="I4705" s="83"/>
      <c r="K4705" s="54" t="s">
        <v>15</v>
      </c>
    </row>
    <row r="4706" spans="2:11" ht="33" x14ac:dyDescent="0.2">
      <c r="B4706" s="82" t="s">
        <v>7395</v>
      </c>
      <c r="C4706" s="82" t="s">
        <v>5830</v>
      </c>
      <c r="D4706" s="83">
        <f>SUMIFS(D4707:D6462,K4707:K6462,"0",B4707:B6462,"5 1 2 4 9 12 31111 6 M59 99000 000132 0000R 00001 00249 015 2112000*")-SUMIFS(E4707:E6462,K4707:K6462,"0",B4707:B6462,"5 1 2 4 9 12 31111 6 M59 99000 000132 0000R 00001 00249 015 2112000*")</f>
        <v>0</v>
      </c>
      <c r="E4706" s="54"/>
      <c r="F4706" s="83">
        <f>SUMIFS(F4707:F6462,K4707:K6462,"0",B4707:B6462,"5 1 2 4 9 12 31111 6 M59 99000 000132 0000R 00001 00249 015 2112000*")</f>
        <v>554.49</v>
      </c>
      <c r="G4706" s="83">
        <f>SUMIFS(G4707:G6462,K4707:K6462,"0",B4707:B6462,"5 1 2 4 9 12 31111 6 M59 99000 000132 0000R 00001 00249 015 2112000*")</f>
        <v>0</v>
      </c>
      <c r="H4706" s="83">
        <f t="shared" si="73"/>
        <v>554.49</v>
      </c>
      <c r="I4706" s="83"/>
      <c r="K4706" s="54" t="s">
        <v>15</v>
      </c>
    </row>
    <row r="4707" spans="2:11" ht="33" x14ac:dyDescent="0.2">
      <c r="B4707" s="82" t="s">
        <v>7396</v>
      </c>
      <c r="C4707" s="82" t="s">
        <v>660</v>
      </c>
      <c r="D4707" s="83">
        <f>SUMIFS(D4708:D6462,K4708:K6462,"0",B4708:B6462,"5 1 2 4 9 12 31111 6 M59 99000 000132 0000R 00001 00249 015 2112000 2024*")-SUMIFS(E4708:E6462,K4708:K6462,"0",B4708:B6462,"5 1 2 4 9 12 31111 6 M59 99000 000132 0000R 00001 00249 015 2112000 2024*")</f>
        <v>0</v>
      </c>
      <c r="E4707" s="54"/>
      <c r="F4707" s="83">
        <f>SUMIFS(F4708:F6462,K4708:K6462,"0",B4708:B6462,"5 1 2 4 9 12 31111 6 M59 99000 000132 0000R 00001 00249 015 2112000 2024*")</f>
        <v>554.49</v>
      </c>
      <c r="G4707" s="83">
        <f>SUMIFS(G4708:G6462,K4708:K6462,"0",B4708:B6462,"5 1 2 4 9 12 31111 6 M59 99000 000132 0000R 00001 00249 015 2112000 2024*")</f>
        <v>0</v>
      </c>
      <c r="H4707" s="83">
        <f t="shared" si="73"/>
        <v>554.49</v>
      </c>
      <c r="I4707" s="83"/>
      <c r="K4707" s="54" t="s">
        <v>15</v>
      </c>
    </row>
    <row r="4708" spans="2:11" ht="41.25" x14ac:dyDescent="0.2">
      <c r="B4708" s="82" t="s">
        <v>7397</v>
      </c>
      <c r="C4708" s="82" t="s">
        <v>1056</v>
      </c>
      <c r="D4708" s="83">
        <f>SUMIFS(D4709:D6462,K4709:K6462,"0",B4709:B6462,"5 1 2 4 9 12 31111 6 M59 99000 000132 0000R 00001 00249 015 2112000 2024 CP1MG408*")-SUMIFS(E4709:E6462,K4709:K6462,"0",B4709:B6462,"5 1 2 4 9 12 31111 6 M59 99000 000132 0000R 00001 00249 015 2112000 2024 CP1MG408*")</f>
        <v>0</v>
      </c>
      <c r="E4708" s="54"/>
      <c r="F4708" s="83">
        <f>SUMIFS(F4709:F6462,K4709:K6462,"0",B4709:B6462,"5 1 2 4 9 12 31111 6 M59 99000 000132 0000R 00001 00249 015 2112000 2024 CP1MG408*")</f>
        <v>554.49</v>
      </c>
      <c r="G4708" s="83">
        <f>SUMIFS(G4709:G6462,K4709:K6462,"0",B4709:B6462,"5 1 2 4 9 12 31111 6 M59 99000 000132 0000R 00001 00249 015 2112000 2024 CP1MG408*")</f>
        <v>0</v>
      </c>
      <c r="H4708" s="83">
        <f t="shared" si="73"/>
        <v>554.49</v>
      </c>
      <c r="I4708" s="83"/>
      <c r="K4708" s="54" t="s">
        <v>15</v>
      </c>
    </row>
    <row r="4709" spans="2:11" ht="41.25" x14ac:dyDescent="0.2">
      <c r="B4709" s="82" t="s">
        <v>7398</v>
      </c>
      <c r="C4709" s="82" t="s">
        <v>282</v>
      </c>
      <c r="D4709" s="83">
        <f>SUMIFS(D4710:D6462,K4710:K6462,"0",B4710:B6462,"5 1 2 4 9 12 31111 6 M59 99000 000132 0000R 00001 00249 015 2112000 2024 CP1MG408 001*")-SUMIFS(E4710:E6462,K4710:K6462,"0",B4710:B6462,"5 1 2 4 9 12 31111 6 M59 99000 000132 0000R 00001 00249 015 2112000 2024 CP1MG408 001*")</f>
        <v>0</v>
      </c>
      <c r="E4709" s="54"/>
      <c r="F4709" s="83">
        <f>SUMIFS(F4710:F6462,K4710:K6462,"0",B4710:B6462,"5 1 2 4 9 12 31111 6 M59 99000 000132 0000R 00001 00249 015 2112000 2024 CP1MG408 001*")</f>
        <v>554.49</v>
      </c>
      <c r="G4709" s="83">
        <f>SUMIFS(G4710:G6462,K4710:K6462,"0",B4710:B6462,"5 1 2 4 9 12 31111 6 M59 99000 000132 0000R 00001 00249 015 2112000 2024 CP1MG408 001*")</f>
        <v>0</v>
      </c>
      <c r="H4709" s="83">
        <f t="shared" si="73"/>
        <v>554.49</v>
      </c>
      <c r="I4709" s="83"/>
      <c r="K4709" s="54" t="s">
        <v>15</v>
      </c>
    </row>
    <row r="4710" spans="2:11" ht="41.25" x14ac:dyDescent="0.2">
      <c r="B4710" s="84" t="s">
        <v>7399</v>
      </c>
      <c r="C4710" s="84" t="s">
        <v>7261</v>
      </c>
      <c r="D4710" s="85">
        <v>0</v>
      </c>
      <c r="E4710" s="85"/>
      <c r="F4710" s="85">
        <v>554.49</v>
      </c>
      <c r="G4710" s="85">
        <v>0</v>
      </c>
      <c r="H4710" s="85">
        <f t="shared" si="73"/>
        <v>554.49</v>
      </c>
      <c r="I4710" s="85"/>
      <c r="K4710" s="54" t="s">
        <v>38</v>
      </c>
    </row>
    <row r="4711" spans="2:11" ht="24.75" x14ac:dyDescent="0.2">
      <c r="B4711" s="82" t="s">
        <v>7400</v>
      </c>
      <c r="C4711" s="82" t="s">
        <v>529</v>
      </c>
      <c r="D4711" s="83">
        <f>SUMIFS(D4712:D6462,K4712:K6462,"0",B4712:B6462,"5 1 2 5*")-SUMIFS(E4712:E6462,K4712:K6462,"0",B4712:B6462,"5 1 2 5*")</f>
        <v>0</v>
      </c>
      <c r="E4711" s="54"/>
      <c r="F4711" s="83">
        <f>SUMIFS(F4712:F6462,K4712:K6462,"0",B4712:B6462,"5 1 2 5*")</f>
        <v>4546.05</v>
      </c>
      <c r="G4711" s="83">
        <f>SUMIFS(G4712:G6462,K4712:K6462,"0",B4712:B6462,"5 1 2 5*")</f>
        <v>0</v>
      </c>
      <c r="H4711" s="83">
        <f t="shared" si="73"/>
        <v>4546.05</v>
      </c>
      <c r="I4711" s="83"/>
      <c r="K4711" s="54" t="s">
        <v>15</v>
      </c>
    </row>
    <row r="4712" spans="2:11" ht="16.5" x14ac:dyDescent="0.2">
      <c r="B4712" s="82" t="s">
        <v>7401</v>
      </c>
      <c r="C4712" s="82" t="s">
        <v>7402</v>
      </c>
      <c r="D4712" s="83">
        <f>SUMIFS(D4713:D6462,K4713:K6462,"0",B4713:B6462,"5 1 2 5 1*")-SUMIFS(E4713:E6462,K4713:K6462,"0",B4713:B6462,"5 1 2 5 1*")</f>
        <v>0</v>
      </c>
      <c r="E4712" s="54"/>
      <c r="F4712" s="83">
        <f>SUMIFS(F4713:F6462,K4713:K6462,"0",B4713:B6462,"5 1 2 5 1*")</f>
        <v>117.97999999999999</v>
      </c>
      <c r="G4712" s="83">
        <f>SUMIFS(G4713:G6462,K4713:K6462,"0",B4713:B6462,"5 1 2 5 1*")</f>
        <v>0</v>
      </c>
      <c r="H4712" s="83">
        <f t="shared" si="73"/>
        <v>117.97999999999999</v>
      </c>
      <c r="I4712" s="83"/>
      <c r="K4712" s="54" t="s">
        <v>15</v>
      </c>
    </row>
    <row r="4713" spans="2:11" ht="12.75" x14ac:dyDescent="0.2">
      <c r="B4713" s="82" t="s">
        <v>7403</v>
      </c>
      <c r="C4713" s="82" t="s">
        <v>26</v>
      </c>
      <c r="D4713" s="83">
        <f>SUMIFS(D4714:D6462,K4714:K6462,"0",B4714:B6462,"5 1 2 5 1 12*")-SUMIFS(E4714:E6462,K4714:K6462,"0",B4714:B6462,"5 1 2 5 1 12*")</f>
        <v>0</v>
      </c>
      <c r="E4713" s="54"/>
      <c r="F4713" s="83">
        <f>SUMIFS(F4714:F6462,K4714:K6462,"0",B4714:B6462,"5 1 2 5 1 12*")</f>
        <v>117.97999999999999</v>
      </c>
      <c r="G4713" s="83">
        <f>SUMIFS(G4714:G6462,K4714:K6462,"0",B4714:B6462,"5 1 2 5 1 12*")</f>
        <v>0</v>
      </c>
      <c r="H4713" s="83">
        <f t="shared" si="73"/>
        <v>117.97999999999999</v>
      </c>
      <c r="I4713" s="83"/>
      <c r="K4713" s="54" t="s">
        <v>15</v>
      </c>
    </row>
    <row r="4714" spans="2:11" ht="16.5" x14ac:dyDescent="0.2">
      <c r="B4714" s="82" t="s">
        <v>7404</v>
      </c>
      <c r="C4714" s="82" t="s">
        <v>28</v>
      </c>
      <c r="D4714" s="83">
        <f>SUMIFS(D4715:D6462,K4715:K6462,"0",B4715:B6462,"5 1 2 5 1 12 31111*")-SUMIFS(E4715:E6462,K4715:K6462,"0",B4715:B6462,"5 1 2 5 1 12 31111*")</f>
        <v>0</v>
      </c>
      <c r="E4714" s="54"/>
      <c r="F4714" s="83">
        <f>SUMIFS(F4715:F6462,K4715:K6462,"0",B4715:B6462,"5 1 2 5 1 12 31111*")</f>
        <v>117.97999999999999</v>
      </c>
      <c r="G4714" s="83">
        <f>SUMIFS(G4715:G6462,K4715:K6462,"0",B4715:B6462,"5 1 2 5 1 12 31111*")</f>
        <v>0</v>
      </c>
      <c r="H4714" s="83">
        <f t="shared" si="73"/>
        <v>117.97999999999999</v>
      </c>
      <c r="I4714" s="83"/>
      <c r="K4714" s="54" t="s">
        <v>15</v>
      </c>
    </row>
    <row r="4715" spans="2:11" ht="12.75" x14ac:dyDescent="0.2">
      <c r="B4715" s="82" t="s">
        <v>7405</v>
      </c>
      <c r="C4715" s="82" t="s">
        <v>30</v>
      </c>
      <c r="D4715" s="83">
        <f>SUMIFS(D4716:D6462,K4716:K6462,"0",B4716:B6462,"5 1 2 5 1 12 31111 6*")-SUMIFS(E4716:E6462,K4716:K6462,"0",B4716:B6462,"5 1 2 5 1 12 31111 6*")</f>
        <v>0</v>
      </c>
      <c r="E4715" s="54"/>
      <c r="F4715" s="83">
        <f>SUMIFS(F4716:F6462,K4716:K6462,"0",B4716:B6462,"5 1 2 5 1 12 31111 6*")</f>
        <v>117.97999999999999</v>
      </c>
      <c r="G4715" s="83">
        <f>SUMIFS(G4716:G6462,K4716:K6462,"0",B4716:B6462,"5 1 2 5 1 12 31111 6*")</f>
        <v>0</v>
      </c>
      <c r="H4715" s="83">
        <f t="shared" ref="H4715:H4778" si="74">D4715 + F4715 - G4715</f>
        <v>117.97999999999999</v>
      </c>
      <c r="I4715" s="83"/>
      <c r="K4715" s="54" t="s">
        <v>15</v>
      </c>
    </row>
    <row r="4716" spans="2:11" ht="16.5" x14ac:dyDescent="0.2">
      <c r="B4716" s="82" t="s">
        <v>7406</v>
      </c>
      <c r="C4716" s="82" t="s">
        <v>2284</v>
      </c>
      <c r="D4716" s="83">
        <f>SUMIFS(D4717:D6462,K4717:K6462,"0",B4717:B6462,"5 1 2 5 1 12 31111 6 M59*")-SUMIFS(E4717:E6462,K4717:K6462,"0",B4717:B6462,"5 1 2 5 1 12 31111 6 M59*")</f>
        <v>0</v>
      </c>
      <c r="E4716" s="54"/>
      <c r="F4716" s="83">
        <f>SUMIFS(F4717:F6462,K4717:K6462,"0",B4717:B6462,"5 1 2 5 1 12 31111 6 M59*")</f>
        <v>117.97999999999999</v>
      </c>
      <c r="G4716" s="83">
        <f>SUMIFS(G4717:G6462,K4717:K6462,"0",B4717:B6462,"5 1 2 5 1 12 31111 6 M59*")</f>
        <v>0</v>
      </c>
      <c r="H4716" s="83">
        <f t="shared" si="74"/>
        <v>117.97999999999999</v>
      </c>
      <c r="I4716" s="83"/>
      <c r="K4716" s="54" t="s">
        <v>15</v>
      </c>
    </row>
    <row r="4717" spans="2:11" ht="16.5" x14ac:dyDescent="0.2">
      <c r="B4717" s="82" t="s">
        <v>7407</v>
      </c>
      <c r="C4717" s="82" t="s">
        <v>3281</v>
      </c>
      <c r="D4717" s="83">
        <f>SUMIFS(D4718:D6462,K4718:K6462,"0",B4718:B6462,"5 1 2 5 1 12 31111 6 M59 50000*")-SUMIFS(E4718:E6462,K4718:K6462,"0",B4718:B6462,"5 1 2 5 1 12 31111 6 M59 50000*")</f>
        <v>0</v>
      </c>
      <c r="E4717" s="54"/>
      <c r="F4717" s="83">
        <f>SUMIFS(F4718:F6462,K4718:K6462,"0",B4718:B6462,"5 1 2 5 1 12 31111 6 M59 50000*")</f>
        <v>37.99</v>
      </c>
      <c r="G4717" s="83">
        <f>SUMIFS(G4718:G6462,K4718:K6462,"0",B4718:B6462,"5 1 2 5 1 12 31111 6 M59 50000*")</f>
        <v>0</v>
      </c>
      <c r="H4717" s="83">
        <f t="shared" si="74"/>
        <v>37.99</v>
      </c>
      <c r="I4717" s="83"/>
      <c r="K4717" s="54" t="s">
        <v>15</v>
      </c>
    </row>
    <row r="4718" spans="2:11" ht="16.5" x14ac:dyDescent="0.2">
      <c r="B4718" s="82" t="s">
        <v>7408</v>
      </c>
      <c r="C4718" s="82" t="s">
        <v>3283</v>
      </c>
      <c r="D4718" s="83">
        <f>SUMIFS(D4719:D6462,K4719:K6462,"0",B4719:B6462,"5 1 2 5 1 12 31111 6 M59 50000 000223*")-SUMIFS(E4719:E6462,K4719:K6462,"0",B4719:B6462,"5 1 2 5 1 12 31111 6 M59 50000 000223*")</f>
        <v>0</v>
      </c>
      <c r="E4718" s="54"/>
      <c r="F4718" s="83">
        <f>SUMIFS(F4719:F6462,K4719:K6462,"0",B4719:B6462,"5 1 2 5 1 12 31111 6 M59 50000 000223*")</f>
        <v>37.99</v>
      </c>
      <c r="G4718" s="83">
        <f>SUMIFS(G4719:G6462,K4719:K6462,"0",B4719:B6462,"5 1 2 5 1 12 31111 6 M59 50000 000223*")</f>
        <v>0</v>
      </c>
      <c r="H4718" s="83">
        <f t="shared" si="74"/>
        <v>37.99</v>
      </c>
      <c r="I4718" s="83"/>
      <c r="K4718" s="54" t="s">
        <v>15</v>
      </c>
    </row>
    <row r="4719" spans="2:11" ht="16.5" x14ac:dyDescent="0.2">
      <c r="B4719" s="82" t="s">
        <v>7409</v>
      </c>
      <c r="C4719" s="82" t="s">
        <v>1065</v>
      </c>
      <c r="D4719" s="83">
        <f>SUMIFS(D4720:D6462,K4720:K6462,"0",B4720:B6462,"5 1 2 5 1 12 31111 6 M59 50000 000223 0000E*")-SUMIFS(E4720:E6462,K4720:K6462,"0",B4720:B6462,"5 1 2 5 1 12 31111 6 M59 50000 000223 0000E*")</f>
        <v>0</v>
      </c>
      <c r="E4719" s="54"/>
      <c r="F4719" s="83">
        <f>SUMIFS(F4720:F6462,K4720:K6462,"0",B4720:B6462,"5 1 2 5 1 12 31111 6 M59 50000 000223 0000E*")</f>
        <v>37.99</v>
      </c>
      <c r="G4719" s="83">
        <f>SUMIFS(G4720:G6462,K4720:K6462,"0",B4720:B6462,"5 1 2 5 1 12 31111 6 M59 50000 000223 0000E*")</f>
        <v>0</v>
      </c>
      <c r="H4719" s="83">
        <f t="shared" si="74"/>
        <v>37.99</v>
      </c>
      <c r="I4719" s="83"/>
      <c r="K4719" s="54" t="s">
        <v>15</v>
      </c>
    </row>
    <row r="4720" spans="2:11" ht="24.75" x14ac:dyDescent="0.2">
      <c r="B4720" s="82" t="s">
        <v>7410</v>
      </c>
      <c r="C4720" s="82" t="s">
        <v>282</v>
      </c>
      <c r="D4720" s="83">
        <f>SUMIFS(D4721:D6462,K4721:K6462,"0",B4721:B6462,"5 1 2 5 1 12 31111 6 M59 50000 000223 0000E 00001*")-SUMIFS(E4721:E6462,K4721:K6462,"0",B4721:B6462,"5 1 2 5 1 12 31111 6 M59 50000 000223 0000E 00001*")</f>
        <v>0</v>
      </c>
      <c r="E4720" s="54"/>
      <c r="F4720" s="83">
        <f>SUMIFS(F4721:F6462,K4721:K6462,"0",B4721:B6462,"5 1 2 5 1 12 31111 6 M59 50000 000223 0000E 00001*")</f>
        <v>37.99</v>
      </c>
      <c r="G4720" s="83">
        <f>SUMIFS(G4721:G6462,K4721:K6462,"0",B4721:B6462,"5 1 2 5 1 12 31111 6 M59 50000 000223 0000E 00001*")</f>
        <v>0</v>
      </c>
      <c r="H4720" s="83">
        <f t="shared" si="74"/>
        <v>37.99</v>
      </c>
      <c r="I4720" s="83"/>
      <c r="K4720" s="54" t="s">
        <v>15</v>
      </c>
    </row>
    <row r="4721" spans="2:11" ht="24.75" x14ac:dyDescent="0.2">
      <c r="B4721" s="82" t="s">
        <v>7411</v>
      </c>
      <c r="C4721" s="82" t="s">
        <v>7412</v>
      </c>
      <c r="D4721" s="83">
        <f>SUMIFS(D4722:D6462,K4722:K6462,"0",B4722:B6462,"5 1 2 5 1 12 31111 6 M59 50000 000223 0000E 00001 00251*")-SUMIFS(E4722:E6462,K4722:K6462,"0",B4722:B6462,"5 1 2 5 1 12 31111 6 M59 50000 000223 0000E 00001 00251*")</f>
        <v>0</v>
      </c>
      <c r="E4721" s="54"/>
      <c r="F4721" s="83">
        <f>SUMIFS(F4722:F6462,K4722:K6462,"0",B4722:B6462,"5 1 2 5 1 12 31111 6 M59 50000 000223 0000E 00001 00251*")</f>
        <v>37.99</v>
      </c>
      <c r="G4721" s="83">
        <f>SUMIFS(G4722:G6462,K4722:K6462,"0",B4722:B6462,"5 1 2 5 1 12 31111 6 M59 50000 000223 0000E 00001 00251*")</f>
        <v>0</v>
      </c>
      <c r="H4721" s="83">
        <f t="shared" si="74"/>
        <v>37.99</v>
      </c>
      <c r="I4721" s="83"/>
      <c r="K4721" s="54" t="s">
        <v>15</v>
      </c>
    </row>
    <row r="4722" spans="2:11" ht="24.75" x14ac:dyDescent="0.2">
      <c r="B4722" s="82" t="s">
        <v>7413</v>
      </c>
      <c r="C4722" s="82" t="s">
        <v>1051</v>
      </c>
      <c r="D4722" s="83">
        <f>SUMIFS(D4723:D6462,K4723:K6462,"0",B4723:B6462,"5 1 2 5 1 12 31111 6 M59 50000 000223 0000E 00001 00251 015*")-SUMIFS(E4723:E6462,K4723:K6462,"0",B4723:B6462,"5 1 2 5 1 12 31111 6 M59 50000 000223 0000E 00001 00251 015*")</f>
        <v>0</v>
      </c>
      <c r="E4722" s="54"/>
      <c r="F4722" s="83">
        <f>SUMIFS(F4723:F6462,K4723:K6462,"0",B4723:B6462,"5 1 2 5 1 12 31111 6 M59 50000 000223 0000E 00001 00251 015*")</f>
        <v>37.99</v>
      </c>
      <c r="G4722" s="83">
        <f>SUMIFS(G4723:G6462,K4723:K6462,"0",B4723:B6462,"5 1 2 5 1 12 31111 6 M59 50000 000223 0000E 00001 00251 015*")</f>
        <v>0</v>
      </c>
      <c r="H4722" s="83">
        <f t="shared" si="74"/>
        <v>37.99</v>
      </c>
      <c r="I4722" s="83"/>
      <c r="K4722" s="54" t="s">
        <v>15</v>
      </c>
    </row>
    <row r="4723" spans="2:11" ht="33" x14ac:dyDescent="0.2">
      <c r="B4723" s="82" t="s">
        <v>7414</v>
      </c>
      <c r="C4723" s="82" t="s">
        <v>5830</v>
      </c>
      <c r="D4723" s="83">
        <f>SUMIFS(D4724:D6462,K4724:K6462,"0",B4724:B6462,"5 1 2 5 1 12 31111 6 M59 50000 000223 0000E 00001 00251 015 2112000*")-SUMIFS(E4724:E6462,K4724:K6462,"0",B4724:B6462,"5 1 2 5 1 12 31111 6 M59 50000 000223 0000E 00001 00251 015 2112000*")</f>
        <v>0</v>
      </c>
      <c r="E4723" s="54"/>
      <c r="F4723" s="83">
        <f>SUMIFS(F4724:F6462,K4724:K6462,"0",B4724:B6462,"5 1 2 5 1 12 31111 6 M59 50000 000223 0000E 00001 00251 015 2112000*")</f>
        <v>37.99</v>
      </c>
      <c r="G4723" s="83">
        <f>SUMIFS(G4724:G6462,K4724:K6462,"0",B4724:B6462,"5 1 2 5 1 12 31111 6 M59 50000 000223 0000E 00001 00251 015 2112000*")</f>
        <v>0</v>
      </c>
      <c r="H4723" s="83">
        <f t="shared" si="74"/>
        <v>37.99</v>
      </c>
      <c r="I4723" s="83"/>
      <c r="K4723" s="54" t="s">
        <v>15</v>
      </c>
    </row>
    <row r="4724" spans="2:11" ht="33" x14ac:dyDescent="0.2">
      <c r="B4724" s="82" t="s">
        <v>7415</v>
      </c>
      <c r="C4724" s="82" t="s">
        <v>660</v>
      </c>
      <c r="D4724" s="83">
        <f>SUMIFS(D4725:D6462,K4725:K6462,"0",B4725:B6462,"5 1 2 5 1 12 31111 6 M59 50000 000223 0000E 00001 00251 015 2112000 2024*")-SUMIFS(E4725:E6462,K4725:K6462,"0",B4725:B6462,"5 1 2 5 1 12 31111 6 M59 50000 000223 0000E 00001 00251 015 2112000 2024*")</f>
        <v>0</v>
      </c>
      <c r="E4724" s="54"/>
      <c r="F4724" s="83">
        <f>SUMIFS(F4725:F6462,K4725:K6462,"0",B4725:B6462,"5 1 2 5 1 12 31111 6 M59 50000 000223 0000E 00001 00251 015 2112000 2024*")</f>
        <v>37.99</v>
      </c>
      <c r="G4724" s="83">
        <f>SUMIFS(G4725:G6462,K4725:K6462,"0",B4725:B6462,"5 1 2 5 1 12 31111 6 M59 50000 000223 0000E 00001 00251 015 2112000 2024*")</f>
        <v>0</v>
      </c>
      <c r="H4724" s="83">
        <f t="shared" si="74"/>
        <v>37.99</v>
      </c>
      <c r="I4724" s="83"/>
      <c r="K4724" s="54" t="s">
        <v>15</v>
      </c>
    </row>
    <row r="4725" spans="2:11" ht="41.25" x14ac:dyDescent="0.2">
      <c r="B4725" s="82" t="s">
        <v>7416</v>
      </c>
      <c r="C4725" s="82" t="s">
        <v>662</v>
      </c>
      <c r="D4725" s="83">
        <f>SUMIFS(D4726:D6462,K4726:K6462,"0",B4726:B6462,"5 1 2 5 1 12 31111 6 M59 50000 000223 0000E 00001 00251 015 2112000 2024 CP1DA424*")-SUMIFS(E4726:E6462,K4726:K6462,"0",B4726:B6462,"5 1 2 5 1 12 31111 6 M59 50000 000223 0000E 00001 00251 015 2112000 2024 CP1DA424*")</f>
        <v>0</v>
      </c>
      <c r="E4725" s="54"/>
      <c r="F4725" s="83">
        <f>SUMIFS(F4726:F6462,K4726:K6462,"0",B4726:B6462,"5 1 2 5 1 12 31111 6 M59 50000 000223 0000E 00001 00251 015 2112000 2024 CP1DA424*")</f>
        <v>37.99</v>
      </c>
      <c r="G4725" s="83">
        <f>SUMIFS(G4726:G6462,K4726:K6462,"0",B4726:B6462,"5 1 2 5 1 12 31111 6 M59 50000 000223 0000E 00001 00251 015 2112000 2024 CP1DA424*")</f>
        <v>0</v>
      </c>
      <c r="H4725" s="83">
        <f t="shared" si="74"/>
        <v>37.99</v>
      </c>
      <c r="I4725" s="83"/>
      <c r="K4725" s="54" t="s">
        <v>15</v>
      </c>
    </row>
    <row r="4726" spans="2:11" ht="41.25" x14ac:dyDescent="0.2">
      <c r="B4726" s="82" t="s">
        <v>7417</v>
      </c>
      <c r="C4726" s="82" t="s">
        <v>282</v>
      </c>
      <c r="D4726" s="83">
        <f>SUMIFS(D4727:D6462,K4727:K6462,"0",B4727:B6462,"5 1 2 5 1 12 31111 6 M59 50000 000223 0000E 00001 00251 015 2112000 2024 CP1DA424 001*")-SUMIFS(E4727:E6462,K4727:K6462,"0",B4727:B6462,"5 1 2 5 1 12 31111 6 M59 50000 000223 0000E 00001 00251 015 2112000 2024 CP1DA424 001*")</f>
        <v>0</v>
      </c>
      <c r="E4726" s="54"/>
      <c r="F4726" s="83">
        <f>SUMIFS(F4727:F6462,K4727:K6462,"0",B4727:B6462,"5 1 2 5 1 12 31111 6 M59 50000 000223 0000E 00001 00251 015 2112000 2024 CP1DA424 001*")</f>
        <v>37.99</v>
      </c>
      <c r="G4726" s="83">
        <f>SUMIFS(G4727:G6462,K4727:K6462,"0",B4727:B6462,"5 1 2 5 1 12 31111 6 M59 50000 000223 0000E 00001 00251 015 2112000 2024 CP1DA424 001*")</f>
        <v>0</v>
      </c>
      <c r="H4726" s="83">
        <f t="shared" si="74"/>
        <v>37.99</v>
      </c>
      <c r="I4726" s="83"/>
      <c r="K4726" s="54" t="s">
        <v>15</v>
      </c>
    </row>
    <row r="4727" spans="2:11" ht="41.25" x14ac:dyDescent="0.2">
      <c r="B4727" s="84" t="s">
        <v>7418</v>
      </c>
      <c r="C4727" s="84" t="s">
        <v>7402</v>
      </c>
      <c r="D4727" s="85">
        <v>0</v>
      </c>
      <c r="E4727" s="85"/>
      <c r="F4727" s="85">
        <v>37.99</v>
      </c>
      <c r="G4727" s="85">
        <v>0</v>
      </c>
      <c r="H4727" s="85">
        <f t="shared" si="74"/>
        <v>37.99</v>
      </c>
      <c r="I4727" s="85"/>
      <c r="K4727" s="54" t="s">
        <v>38</v>
      </c>
    </row>
    <row r="4728" spans="2:11" ht="16.5" x14ac:dyDescent="0.2">
      <c r="B4728" s="82" t="s">
        <v>7419</v>
      </c>
      <c r="C4728" s="82" t="s">
        <v>3754</v>
      </c>
      <c r="D4728" s="83">
        <f>SUMIFS(D4729:D6462,K4729:K6462,"0",B4729:B6462,"5 1 2 5 1 12 31111 6 M59 99000*")-SUMIFS(E4729:E6462,K4729:K6462,"0",B4729:B6462,"5 1 2 5 1 12 31111 6 M59 99000*")</f>
        <v>0</v>
      </c>
      <c r="E4728" s="54"/>
      <c r="F4728" s="83">
        <f>SUMIFS(F4729:F6462,K4729:K6462,"0",B4729:B6462,"5 1 2 5 1 12 31111 6 M59 99000*")</f>
        <v>79.989999999999995</v>
      </c>
      <c r="G4728" s="83">
        <f>SUMIFS(G4729:G6462,K4729:K6462,"0",B4729:B6462,"5 1 2 5 1 12 31111 6 M59 99000*")</f>
        <v>0</v>
      </c>
      <c r="H4728" s="83">
        <f t="shared" si="74"/>
        <v>79.989999999999995</v>
      </c>
      <c r="I4728" s="83"/>
      <c r="K4728" s="54" t="s">
        <v>15</v>
      </c>
    </row>
    <row r="4729" spans="2:11" ht="16.5" x14ac:dyDescent="0.2">
      <c r="B4729" s="82" t="s">
        <v>7420</v>
      </c>
      <c r="C4729" s="82" t="s">
        <v>648</v>
      </c>
      <c r="D4729" s="83">
        <f>SUMIFS(D4730:D6462,K4730:K6462,"0",B4730:B6462,"5 1 2 5 1 12 31111 6 M59 99000 000132*")-SUMIFS(E4730:E6462,K4730:K6462,"0",B4730:B6462,"5 1 2 5 1 12 31111 6 M59 99000 000132*")</f>
        <v>0</v>
      </c>
      <c r="E4729" s="54"/>
      <c r="F4729" s="83">
        <f>SUMIFS(F4730:F6462,K4730:K6462,"0",B4730:B6462,"5 1 2 5 1 12 31111 6 M59 99000 000132*")</f>
        <v>79.989999999999995</v>
      </c>
      <c r="G4729" s="83">
        <f>SUMIFS(G4730:G6462,K4730:K6462,"0",B4730:B6462,"5 1 2 5 1 12 31111 6 M59 99000 000132*")</f>
        <v>0</v>
      </c>
      <c r="H4729" s="83">
        <f t="shared" si="74"/>
        <v>79.989999999999995</v>
      </c>
      <c r="I4729" s="83"/>
      <c r="K4729" s="54" t="s">
        <v>15</v>
      </c>
    </row>
    <row r="4730" spans="2:11" ht="16.5" x14ac:dyDescent="0.2">
      <c r="B4730" s="82" t="s">
        <v>7421</v>
      </c>
      <c r="C4730" s="82" t="s">
        <v>650</v>
      </c>
      <c r="D4730" s="83">
        <f>SUMIFS(D4731:D6462,K4731:K6462,"0",B4731:B6462,"5 1 2 5 1 12 31111 6 M59 99000 000132 0000R*")-SUMIFS(E4731:E6462,K4731:K6462,"0",B4731:B6462,"5 1 2 5 1 12 31111 6 M59 99000 000132 0000R*")</f>
        <v>0</v>
      </c>
      <c r="E4730" s="54"/>
      <c r="F4730" s="83">
        <f>SUMIFS(F4731:F6462,K4731:K6462,"0",B4731:B6462,"5 1 2 5 1 12 31111 6 M59 99000 000132 0000R*")</f>
        <v>79.989999999999995</v>
      </c>
      <c r="G4730" s="83">
        <f>SUMIFS(G4731:G6462,K4731:K6462,"0",B4731:B6462,"5 1 2 5 1 12 31111 6 M59 99000 000132 0000R*")</f>
        <v>0</v>
      </c>
      <c r="H4730" s="83">
        <f t="shared" si="74"/>
        <v>79.989999999999995</v>
      </c>
      <c r="I4730" s="83"/>
      <c r="K4730" s="54" t="s">
        <v>15</v>
      </c>
    </row>
    <row r="4731" spans="2:11" ht="24.75" x14ac:dyDescent="0.2">
      <c r="B4731" s="82" t="s">
        <v>7422</v>
      </c>
      <c r="C4731" s="82" t="s">
        <v>282</v>
      </c>
      <c r="D4731" s="83">
        <f>SUMIFS(D4732:D6462,K4732:K6462,"0",B4732:B6462,"5 1 2 5 1 12 31111 6 M59 99000 000132 0000R 00001*")-SUMIFS(E4732:E6462,K4732:K6462,"0",B4732:B6462,"5 1 2 5 1 12 31111 6 M59 99000 000132 0000R 00001*")</f>
        <v>0</v>
      </c>
      <c r="E4731" s="54"/>
      <c r="F4731" s="83">
        <f>SUMIFS(F4732:F6462,K4732:K6462,"0",B4732:B6462,"5 1 2 5 1 12 31111 6 M59 99000 000132 0000R 00001*")</f>
        <v>79.989999999999995</v>
      </c>
      <c r="G4731" s="83">
        <f>SUMIFS(G4732:G6462,K4732:K6462,"0",B4732:B6462,"5 1 2 5 1 12 31111 6 M59 99000 000132 0000R 00001*")</f>
        <v>0</v>
      </c>
      <c r="H4731" s="83">
        <f t="shared" si="74"/>
        <v>79.989999999999995</v>
      </c>
      <c r="I4731" s="83"/>
      <c r="K4731" s="54" t="s">
        <v>15</v>
      </c>
    </row>
    <row r="4732" spans="2:11" ht="24.75" x14ac:dyDescent="0.2">
      <c r="B4732" s="82" t="s">
        <v>7423</v>
      </c>
      <c r="C4732" s="82" t="s">
        <v>7412</v>
      </c>
      <c r="D4732" s="83">
        <f>SUMIFS(D4733:D6462,K4733:K6462,"0",B4733:B6462,"5 1 2 5 1 12 31111 6 M59 99000 000132 0000R 00001 00251*")-SUMIFS(E4733:E6462,K4733:K6462,"0",B4733:B6462,"5 1 2 5 1 12 31111 6 M59 99000 000132 0000R 00001 00251*")</f>
        <v>0</v>
      </c>
      <c r="E4732" s="54"/>
      <c r="F4732" s="83">
        <f>SUMIFS(F4733:F6462,K4733:K6462,"0",B4733:B6462,"5 1 2 5 1 12 31111 6 M59 99000 000132 0000R 00001 00251*")</f>
        <v>79.989999999999995</v>
      </c>
      <c r="G4732" s="83">
        <f>SUMIFS(G4733:G6462,K4733:K6462,"0",B4733:B6462,"5 1 2 5 1 12 31111 6 M59 99000 000132 0000R 00001 00251*")</f>
        <v>0</v>
      </c>
      <c r="H4732" s="83">
        <f t="shared" si="74"/>
        <v>79.989999999999995</v>
      </c>
      <c r="I4732" s="83"/>
      <c r="K4732" s="54" t="s">
        <v>15</v>
      </c>
    </row>
    <row r="4733" spans="2:11" ht="24.75" x14ac:dyDescent="0.2">
      <c r="B4733" s="82" t="s">
        <v>7424</v>
      </c>
      <c r="C4733" s="82" t="s">
        <v>1051</v>
      </c>
      <c r="D4733" s="83">
        <f>SUMIFS(D4734:D6462,K4734:K6462,"0",B4734:B6462,"5 1 2 5 1 12 31111 6 M59 99000 000132 0000R 00001 00251 015*")-SUMIFS(E4734:E6462,K4734:K6462,"0",B4734:B6462,"5 1 2 5 1 12 31111 6 M59 99000 000132 0000R 00001 00251 015*")</f>
        <v>0</v>
      </c>
      <c r="E4733" s="54"/>
      <c r="F4733" s="83">
        <f>SUMIFS(F4734:F6462,K4734:K6462,"0",B4734:B6462,"5 1 2 5 1 12 31111 6 M59 99000 000132 0000R 00001 00251 015*")</f>
        <v>79.989999999999995</v>
      </c>
      <c r="G4733" s="83">
        <f>SUMIFS(G4734:G6462,K4734:K6462,"0",B4734:B6462,"5 1 2 5 1 12 31111 6 M59 99000 000132 0000R 00001 00251 015*")</f>
        <v>0</v>
      </c>
      <c r="H4733" s="83">
        <f t="shared" si="74"/>
        <v>79.989999999999995</v>
      </c>
      <c r="I4733" s="83"/>
      <c r="K4733" s="54" t="s">
        <v>15</v>
      </c>
    </row>
    <row r="4734" spans="2:11" ht="33" x14ac:dyDescent="0.2">
      <c r="B4734" s="82" t="s">
        <v>7425</v>
      </c>
      <c r="C4734" s="82" t="s">
        <v>5830</v>
      </c>
      <c r="D4734" s="83">
        <f>SUMIFS(D4735:D6462,K4735:K6462,"0",B4735:B6462,"5 1 2 5 1 12 31111 6 M59 99000 000132 0000R 00001 00251 015 2112000*")-SUMIFS(E4735:E6462,K4735:K6462,"0",B4735:B6462,"5 1 2 5 1 12 31111 6 M59 99000 000132 0000R 00001 00251 015 2112000*")</f>
        <v>0</v>
      </c>
      <c r="E4734" s="54"/>
      <c r="F4734" s="83">
        <f>SUMIFS(F4735:F6462,K4735:K6462,"0",B4735:B6462,"5 1 2 5 1 12 31111 6 M59 99000 000132 0000R 00001 00251 015 2112000*")</f>
        <v>79.989999999999995</v>
      </c>
      <c r="G4734" s="83">
        <f>SUMIFS(G4735:G6462,K4735:K6462,"0",B4735:B6462,"5 1 2 5 1 12 31111 6 M59 99000 000132 0000R 00001 00251 015 2112000*")</f>
        <v>0</v>
      </c>
      <c r="H4734" s="83">
        <f t="shared" si="74"/>
        <v>79.989999999999995</v>
      </c>
      <c r="I4734" s="83"/>
      <c r="K4734" s="54" t="s">
        <v>15</v>
      </c>
    </row>
    <row r="4735" spans="2:11" ht="33" x14ac:dyDescent="0.2">
      <c r="B4735" s="82" t="s">
        <v>7426</v>
      </c>
      <c r="C4735" s="82" t="s">
        <v>660</v>
      </c>
      <c r="D4735" s="83">
        <f>SUMIFS(D4736:D6462,K4736:K6462,"0",B4736:B6462,"5 1 2 5 1 12 31111 6 M59 99000 000132 0000R 00001 00251 015 2112000 2024*")-SUMIFS(E4736:E6462,K4736:K6462,"0",B4736:B6462,"5 1 2 5 1 12 31111 6 M59 99000 000132 0000R 00001 00251 015 2112000 2024*")</f>
        <v>0</v>
      </c>
      <c r="E4735" s="54"/>
      <c r="F4735" s="83">
        <f>SUMIFS(F4736:F6462,K4736:K6462,"0",B4736:B6462,"5 1 2 5 1 12 31111 6 M59 99000 000132 0000R 00001 00251 015 2112000 2024*")</f>
        <v>79.989999999999995</v>
      </c>
      <c r="G4735" s="83">
        <f>SUMIFS(G4736:G6462,K4736:K6462,"0",B4736:B6462,"5 1 2 5 1 12 31111 6 M59 99000 000132 0000R 00001 00251 015 2112000 2024*")</f>
        <v>0</v>
      </c>
      <c r="H4735" s="83">
        <f t="shared" si="74"/>
        <v>79.989999999999995</v>
      </c>
      <c r="I4735" s="83"/>
      <c r="K4735" s="54" t="s">
        <v>15</v>
      </c>
    </row>
    <row r="4736" spans="2:11" ht="41.25" x14ac:dyDescent="0.2">
      <c r="B4736" s="82" t="s">
        <v>7427</v>
      </c>
      <c r="C4736" s="82" t="s">
        <v>1056</v>
      </c>
      <c r="D4736" s="83">
        <f>SUMIFS(D4737:D6462,K4737:K6462,"0",B4737:B6462,"5 1 2 5 1 12 31111 6 M59 99000 000132 0000R 00001 00251 015 2112000 2024 CP1MG408*")-SUMIFS(E4737:E6462,K4737:K6462,"0",B4737:B6462,"5 1 2 5 1 12 31111 6 M59 99000 000132 0000R 00001 00251 015 2112000 2024 CP1MG408*")</f>
        <v>0</v>
      </c>
      <c r="E4736" s="54"/>
      <c r="F4736" s="83">
        <f>SUMIFS(F4737:F6462,K4737:K6462,"0",B4737:B6462,"5 1 2 5 1 12 31111 6 M59 99000 000132 0000R 00001 00251 015 2112000 2024 CP1MG408*")</f>
        <v>79.989999999999995</v>
      </c>
      <c r="G4736" s="83">
        <f>SUMIFS(G4737:G6462,K4737:K6462,"0",B4737:B6462,"5 1 2 5 1 12 31111 6 M59 99000 000132 0000R 00001 00251 015 2112000 2024 CP1MG408*")</f>
        <v>0</v>
      </c>
      <c r="H4736" s="83">
        <f t="shared" si="74"/>
        <v>79.989999999999995</v>
      </c>
      <c r="I4736" s="83"/>
      <c r="K4736" s="54" t="s">
        <v>15</v>
      </c>
    </row>
    <row r="4737" spans="2:11" ht="41.25" x14ac:dyDescent="0.2">
      <c r="B4737" s="82" t="s">
        <v>7428</v>
      </c>
      <c r="C4737" s="82" t="s">
        <v>282</v>
      </c>
      <c r="D4737" s="83">
        <f>SUMIFS(D4738:D6462,K4738:K6462,"0",B4738:B6462,"5 1 2 5 1 12 31111 6 M59 99000 000132 0000R 00001 00251 015 2112000 2024 CP1MG408 001*")-SUMIFS(E4738:E6462,K4738:K6462,"0",B4738:B6462,"5 1 2 5 1 12 31111 6 M59 99000 000132 0000R 00001 00251 015 2112000 2024 CP1MG408 001*")</f>
        <v>0</v>
      </c>
      <c r="E4737" s="54"/>
      <c r="F4737" s="83">
        <f>SUMIFS(F4738:F6462,K4738:K6462,"0",B4738:B6462,"5 1 2 5 1 12 31111 6 M59 99000 000132 0000R 00001 00251 015 2112000 2024 CP1MG408 001*")</f>
        <v>79.989999999999995</v>
      </c>
      <c r="G4737" s="83">
        <f>SUMIFS(G4738:G6462,K4738:K6462,"0",B4738:B6462,"5 1 2 5 1 12 31111 6 M59 99000 000132 0000R 00001 00251 015 2112000 2024 CP1MG408 001*")</f>
        <v>0</v>
      </c>
      <c r="H4737" s="83">
        <f t="shared" si="74"/>
        <v>79.989999999999995</v>
      </c>
      <c r="I4737" s="83"/>
      <c r="K4737" s="54" t="s">
        <v>15</v>
      </c>
    </row>
    <row r="4738" spans="2:11" ht="41.25" x14ac:dyDescent="0.2">
      <c r="B4738" s="84" t="s">
        <v>7429</v>
      </c>
      <c r="C4738" s="84" t="s">
        <v>7402</v>
      </c>
      <c r="D4738" s="85">
        <v>0</v>
      </c>
      <c r="E4738" s="85"/>
      <c r="F4738" s="85">
        <v>79.989999999999995</v>
      </c>
      <c r="G4738" s="85">
        <v>0</v>
      </c>
      <c r="H4738" s="85">
        <f t="shared" si="74"/>
        <v>79.989999999999995</v>
      </c>
      <c r="I4738" s="85"/>
      <c r="K4738" s="54" t="s">
        <v>38</v>
      </c>
    </row>
    <row r="4739" spans="2:11" ht="24.75" x14ac:dyDescent="0.2">
      <c r="B4739" s="82" t="s">
        <v>7430</v>
      </c>
      <c r="C4739" s="82" t="s">
        <v>7431</v>
      </c>
      <c r="D4739" s="83">
        <f>SUMIFS(D4740:D6462,K4740:K6462,"0",B4740:B6462,"5 1 2 5 5*")-SUMIFS(E4740:E6462,K4740:K6462,"0",B4740:B6462,"5 1 2 5 5*")</f>
        <v>0</v>
      </c>
      <c r="E4739" s="54"/>
      <c r="F4739" s="83">
        <f>SUMIFS(F4740:F6462,K4740:K6462,"0",B4740:B6462,"5 1 2 5 5*")</f>
        <v>101</v>
      </c>
      <c r="G4739" s="83">
        <f>SUMIFS(G4740:G6462,K4740:K6462,"0",B4740:B6462,"5 1 2 5 5*")</f>
        <v>0</v>
      </c>
      <c r="H4739" s="83">
        <f t="shared" si="74"/>
        <v>101</v>
      </c>
      <c r="I4739" s="83"/>
      <c r="K4739" s="54" t="s">
        <v>15</v>
      </c>
    </row>
    <row r="4740" spans="2:11" ht="12.75" x14ac:dyDescent="0.2">
      <c r="B4740" s="82" t="s">
        <v>7432</v>
      </c>
      <c r="C4740" s="82" t="s">
        <v>26</v>
      </c>
      <c r="D4740" s="83">
        <f>SUMIFS(D4741:D6462,K4741:K6462,"0",B4741:B6462,"5 1 2 5 5 12*")-SUMIFS(E4741:E6462,K4741:K6462,"0",B4741:B6462,"5 1 2 5 5 12*")</f>
        <v>0</v>
      </c>
      <c r="E4740" s="54"/>
      <c r="F4740" s="83">
        <f>SUMIFS(F4741:F6462,K4741:K6462,"0",B4741:B6462,"5 1 2 5 5 12*")</f>
        <v>101</v>
      </c>
      <c r="G4740" s="83">
        <f>SUMIFS(G4741:G6462,K4741:K6462,"0",B4741:B6462,"5 1 2 5 5 12*")</f>
        <v>0</v>
      </c>
      <c r="H4740" s="83">
        <f t="shared" si="74"/>
        <v>101</v>
      </c>
      <c r="I4740" s="83"/>
      <c r="K4740" s="54" t="s">
        <v>15</v>
      </c>
    </row>
    <row r="4741" spans="2:11" ht="16.5" x14ac:dyDescent="0.2">
      <c r="B4741" s="82" t="s">
        <v>7433</v>
      </c>
      <c r="C4741" s="82" t="s">
        <v>28</v>
      </c>
      <c r="D4741" s="83">
        <f>SUMIFS(D4742:D6462,K4742:K6462,"0",B4742:B6462,"5 1 2 5 5 12 31111*")-SUMIFS(E4742:E6462,K4742:K6462,"0",B4742:B6462,"5 1 2 5 5 12 31111*")</f>
        <v>0</v>
      </c>
      <c r="E4741" s="54"/>
      <c r="F4741" s="83">
        <f>SUMIFS(F4742:F6462,K4742:K6462,"0",B4742:B6462,"5 1 2 5 5 12 31111*")</f>
        <v>101</v>
      </c>
      <c r="G4741" s="83">
        <f>SUMIFS(G4742:G6462,K4742:K6462,"0",B4742:B6462,"5 1 2 5 5 12 31111*")</f>
        <v>0</v>
      </c>
      <c r="H4741" s="83">
        <f t="shared" si="74"/>
        <v>101</v>
      </c>
      <c r="I4741" s="83"/>
      <c r="K4741" s="54" t="s">
        <v>15</v>
      </c>
    </row>
    <row r="4742" spans="2:11" ht="12.75" x14ac:dyDescent="0.2">
      <c r="B4742" s="82" t="s">
        <v>7434</v>
      </c>
      <c r="C4742" s="82" t="s">
        <v>30</v>
      </c>
      <c r="D4742" s="83">
        <f>SUMIFS(D4743:D6462,K4743:K6462,"0",B4743:B6462,"5 1 2 5 5 12 31111 6*")-SUMIFS(E4743:E6462,K4743:K6462,"0",B4743:B6462,"5 1 2 5 5 12 31111 6*")</f>
        <v>0</v>
      </c>
      <c r="E4742" s="54"/>
      <c r="F4742" s="83">
        <f>SUMIFS(F4743:F6462,K4743:K6462,"0",B4743:B6462,"5 1 2 5 5 12 31111 6*")</f>
        <v>101</v>
      </c>
      <c r="G4742" s="83">
        <f>SUMIFS(G4743:G6462,K4743:K6462,"0",B4743:B6462,"5 1 2 5 5 12 31111 6*")</f>
        <v>0</v>
      </c>
      <c r="H4742" s="83">
        <f t="shared" si="74"/>
        <v>101</v>
      </c>
      <c r="I4742" s="83"/>
      <c r="K4742" s="54" t="s">
        <v>15</v>
      </c>
    </row>
    <row r="4743" spans="2:11" ht="16.5" x14ac:dyDescent="0.2">
      <c r="B4743" s="82" t="s">
        <v>7435</v>
      </c>
      <c r="C4743" s="82" t="s">
        <v>2284</v>
      </c>
      <c r="D4743" s="83">
        <f>SUMIFS(D4744:D6462,K4744:K6462,"0",B4744:B6462,"5 1 2 5 5 12 31111 6 M59*")-SUMIFS(E4744:E6462,K4744:K6462,"0",B4744:B6462,"5 1 2 5 5 12 31111 6 M59*")</f>
        <v>0</v>
      </c>
      <c r="E4743" s="54"/>
      <c r="F4743" s="83">
        <f>SUMIFS(F4744:F6462,K4744:K6462,"0",B4744:B6462,"5 1 2 5 5 12 31111 6 M59*")</f>
        <v>101</v>
      </c>
      <c r="G4743" s="83">
        <f>SUMIFS(G4744:G6462,K4744:K6462,"0",B4744:B6462,"5 1 2 5 5 12 31111 6 M59*")</f>
        <v>0</v>
      </c>
      <c r="H4743" s="83">
        <f t="shared" si="74"/>
        <v>101</v>
      </c>
      <c r="I4743" s="83"/>
      <c r="K4743" s="54" t="s">
        <v>15</v>
      </c>
    </row>
    <row r="4744" spans="2:11" ht="16.5" x14ac:dyDescent="0.2">
      <c r="B4744" s="82" t="s">
        <v>7436</v>
      </c>
      <c r="C4744" s="82" t="s">
        <v>3706</v>
      </c>
      <c r="D4744" s="83">
        <f>SUMIFS(D4745:D6462,K4745:K6462,"0",B4745:B6462,"5 1 2 5 5 12 31111 6 M59 96200*")-SUMIFS(E4745:E6462,K4745:K6462,"0",B4745:B6462,"5 1 2 5 5 12 31111 6 M59 96200*")</f>
        <v>0</v>
      </c>
      <c r="E4744" s="54"/>
      <c r="F4744" s="83">
        <f>SUMIFS(F4745:F6462,K4745:K6462,"0",B4745:B6462,"5 1 2 5 5 12 31111 6 M59 96200*")</f>
        <v>66</v>
      </c>
      <c r="G4744" s="83">
        <f>SUMIFS(G4745:G6462,K4745:K6462,"0",B4745:B6462,"5 1 2 5 5 12 31111 6 M59 96200*")</f>
        <v>0</v>
      </c>
      <c r="H4744" s="83">
        <f t="shared" si="74"/>
        <v>66</v>
      </c>
      <c r="I4744" s="83"/>
      <c r="K4744" s="54" t="s">
        <v>15</v>
      </c>
    </row>
    <row r="4745" spans="2:11" ht="16.5" x14ac:dyDescent="0.2">
      <c r="B4745" s="82" t="s">
        <v>7437</v>
      </c>
      <c r="C4745" s="82" t="s">
        <v>648</v>
      </c>
      <c r="D4745" s="83">
        <f>SUMIFS(D4746:D6462,K4746:K6462,"0",B4746:B6462,"5 1 2 5 5 12 31111 6 M59 96200 000132*")-SUMIFS(E4746:E6462,K4746:K6462,"0",B4746:B6462,"5 1 2 5 5 12 31111 6 M59 96200 000132*")</f>
        <v>0</v>
      </c>
      <c r="E4745" s="54"/>
      <c r="F4745" s="83">
        <f>SUMIFS(F4746:F6462,K4746:K6462,"0",B4746:B6462,"5 1 2 5 5 12 31111 6 M59 96200 000132*")</f>
        <v>66</v>
      </c>
      <c r="G4745" s="83">
        <f>SUMIFS(G4746:G6462,K4746:K6462,"0",B4746:B6462,"5 1 2 5 5 12 31111 6 M59 96200 000132*")</f>
        <v>0</v>
      </c>
      <c r="H4745" s="83">
        <f t="shared" si="74"/>
        <v>66</v>
      </c>
      <c r="I4745" s="83"/>
      <c r="K4745" s="54" t="s">
        <v>15</v>
      </c>
    </row>
    <row r="4746" spans="2:11" ht="24.75" x14ac:dyDescent="0.2">
      <c r="B4746" s="82" t="s">
        <v>7438</v>
      </c>
      <c r="C4746" s="82" t="s">
        <v>650</v>
      </c>
      <c r="D4746" s="83">
        <f>SUMIFS(D4747:D6462,K4747:K6462,"0",B4747:B6462,"5 1 2 5 5 12 31111 6 M59 96200 000132 0000R*")-SUMIFS(E4747:E6462,K4747:K6462,"0",B4747:B6462,"5 1 2 5 5 12 31111 6 M59 96200 000132 0000R*")</f>
        <v>0</v>
      </c>
      <c r="E4746" s="54"/>
      <c r="F4746" s="83">
        <f>SUMIFS(F4747:F6462,K4747:K6462,"0",B4747:B6462,"5 1 2 5 5 12 31111 6 M59 96200 000132 0000R*")</f>
        <v>66</v>
      </c>
      <c r="G4746" s="83">
        <f>SUMIFS(G4747:G6462,K4747:K6462,"0",B4747:B6462,"5 1 2 5 5 12 31111 6 M59 96200 000132 0000R*")</f>
        <v>0</v>
      </c>
      <c r="H4746" s="83">
        <f t="shared" si="74"/>
        <v>66</v>
      </c>
      <c r="I4746" s="83"/>
      <c r="K4746" s="54" t="s">
        <v>15</v>
      </c>
    </row>
    <row r="4747" spans="2:11" ht="24.75" x14ac:dyDescent="0.2">
      <c r="B4747" s="82" t="s">
        <v>7439</v>
      </c>
      <c r="C4747" s="82" t="s">
        <v>282</v>
      </c>
      <c r="D4747" s="83">
        <f>SUMIFS(D4748:D6462,K4748:K6462,"0",B4748:B6462,"5 1 2 5 5 12 31111 6 M59 96200 000132 0000R 00001*")-SUMIFS(E4748:E6462,K4748:K6462,"0",B4748:B6462,"5 1 2 5 5 12 31111 6 M59 96200 000132 0000R 00001*")</f>
        <v>0</v>
      </c>
      <c r="E4747" s="54"/>
      <c r="F4747" s="83">
        <f>SUMIFS(F4748:F6462,K4748:K6462,"0",B4748:B6462,"5 1 2 5 5 12 31111 6 M59 96200 000132 0000R 00001*")</f>
        <v>66</v>
      </c>
      <c r="G4747" s="83">
        <f>SUMIFS(G4748:G6462,K4748:K6462,"0",B4748:B6462,"5 1 2 5 5 12 31111 6 M59 96200 000132 0000R 00001*")</f>
        <v>0</v>
      </c>
      <c r="H4747" s="83">
        <f t="shared" si="74"/>
        <v>66</v>
      </c>
      <c r="I4747" s="83"/>
      <c r="K4747" s="54" t="s">
        <v>15</v>
      </c>
    </row>
    <row r="4748" spans="2:11" ht="24.75" x14ac:dyDescent="0.2">
      <c r="B4748" s="82" t="s">
        <v>7440</v>
      </c>
      <c r="C4748" s="82" t="s">
        <v>7441</v>
      </c>
      <c r="D4748" s="83">
        <f>SUMIFS(D4749:D6462,K4749:K6462,"0",B4749:B6462,"5 1 2 5 5 12 31111 6 M59 96200 000132 0000R 00001 00255*")-SUMIFS(E4749:E6462,K4749:K6462,"0",B4749:B6462,"5 1 2 5 5 12 31111 6 M59 96200 000132 0000R 00001 00255*")</f>
        <v>0</v>
      </c>
      <c r="E4748" s="54"/>
      <c r="F4748" s="83">
        <f>SUMIFS(F4749:F6462,K4749:K6462,"0",B4749:B6462,"5 1 2 5 5 12 31111 6 M59 96200 000132 0000R 00001 00255*")</f>
        <v>66</v>
      </c>
      <c r="G4748" s="83">
        <f>SUMIFS(G4749:G6462,K4749:K6462,"0",B4749:B6462,"5 1 2 5 5 12 31111 6 M59 96200 000132 0000R 00001 00255*")</f>
        <v>0</v>
      </c>
      <c r="H4748" s="83">
        <f t="shared" si="74"/>
        <v>66</v>
      </c>
      <c r="I4748" s="83"/>
      <c r="K4748" s="54" t="s">
        <v>15</v>
      </c>
    </row>
    <row r="4749" spans="2:11" ht="33" x14ac:dyDescent="0.2">
      <c r="B4749" s="82" t="s">
        <v>7442</v>
      </c>
      <c r="C4749" s="82" t="s">
        <v>1051</v>
      </c>
      <c r="D4749" s="83">
        <f>SUMIFS(D4750:D6462,K4750:K6462,"0",B4750:B6462,"5 1 2 5 5 12 31111 6 M59 96200 000132 0000R 00001 00255 015*")-SUMIFS(E4750:E6462,K4750:K6462,"0",B4750:B6462,"5 1 2 5 5 12 31111 6 M59 96200 000132 0000R 00001 00255 015*")</f>
        <v>0</v>
      </c>
      <c r="E4749" s="54"/>
      <c r="F4749" s="83">
        <f>SUMIFS(F4750:F6462,K4750:K6462,"0",B4750:B6462,"5 1 2 5 5 12 31111 6 M59 96200 000132 0000R 00001 00255 015*")</f>
        <v>66</v>
      </c>
      <c r="G4749" s="83">
        <f>SUMIFS(G4750:G6462,K4750:K6462,"0",B4750:B6462,"5 1 2 5 5 12 31111 6 M59 96200 000132 0000R 00001 00255 015*")</f>
        <v>0</v>
      </c>
      <c r="H4749" s="83">
        <f t="shared" si="74"/>
        <v>66</v>
      </c>
      <c r="I4749" s="83"/>
      <c r="K4749" s="54" t="s">
        <v>15</v>
      </c>
    </row>
    <row r="4750" spans="2:11" ht="33" x14ac:dyDescent="0.2">
      <c r="B4750" s="82" t="s">
        <v>7443</v>
      </c>
      <c r="C4750" s="82" t="s">
        <v>5830</v>
      </c>
      <c r="D4750" s="83">
        <f>SUMIFS(D4751:D6462,K4751:K6462,"0",B4751:B6462,"5 1 2 5 5 12 31111 6 M59 96200 000132 0000R 00001 00255 015 2112000*")-SUMIFS(E4751:E6462,K4751:K6462,"0",B4751:B6462,"5 1 2 5 5 12 31111 6 M59 96200 000132 0000R 00001 00255 015 2112000*")</f>
        <v>0</v>
      </c>
      <c r="E4750" s="54"/>
      <c r="F4750" s="83">
        <f>SUMIFS(F4751:F6462,K4751:K6462,"0",B4751:B6462,"5 1 2 5 5 12 31111 6 M59 96200 000132 0000R 00001 00255 015 2112000*")</f>
        <v>66</v>
      </c>
      <c r="G4750" s="83">
        <f>SUMIFS(G4751:G6462,K4751:K6462,"0",B4751:B6462,"5 1 2 5 5 12 31111 6 M59 96200 000132 0000R 00001 00255 015 2112000*")</f>
        <v>0</v>
      </c>
      <c r="H4750" s="83">
        <f t="shared" si="74"/>
        <v>66</v>
      </c>
      <c r="I4750" s="83"/>
      <c r="K4750" s="54" t="s">
        <v>15</v>
      </c>
    </row>
    <row r="4751" spans="2:11" ht="33" x14ac:dyDescent="0.2">
      <c r="B4751" s="82" t="s">
        <v>7444</v>
      </c>
      <c r="C4751" s="82" t="s">
        <v>660</v>
      </c>
      <c r="D4751" s="83">
        <f>SUMIFS(D4752:D6462,K4752:K6462,"0",B4752:B6462,"5 1 2 5 5 12 31111 6 M59 96200 000132 0000R 00001 00255 015 2112000 2024*")-SUMIFS(E4752:E6462,K4752:K6462,"0",B4752:B6462,"5 1 2 5 5 12 31111 6 M59 96200 000132 0000R 00001 00255 015 2112000 2024*")</f>
        <v>0</v>
      </c>
      <c r="E4751" s="54"/>
      <c r="F4751" s="83">
        <f>SUMIFS(F4752:F6462,K4752:K6462,"0",B4752:B6462,"5 1 2 5 5 12 31111 6 M59 96200 000132 0000R 00001 00255 015 2112000 2024*")</f>
        <v>66</v>
      </c>
      <c r="G4751" s="83">
        <f>SUMIFS(G4752:G6462,K4752:K6462,"0",B4752:B6462,"5 1 2 5 5 12 31111 6 M59 96200 000132 0000R 00001 00255 015 2112000 2024*")</f>
        <v>0</v>
      </c>
      <c r="H4751" s="83">
        <f t="shared" si="74"/>
        <v>66</v>
      </c>
      <c r="I4751" s="83"/>
      <c r="K4751" s="54" t="s">
        <v>15</v>
      </c>
    </row>
    <row r="4752" spans="2:11" ht="41.25" x14ac:dyDescent="0.2">
      <c r="B4752" s="82" t="s">
        <v>7445</v>
      </c>
      <c r="C4752" s="82" t="s">
        <v>662</v>
      </c>
      <c r="D4752" s="83">
        <f>SUMIFS(D4753:D6462,K4753:K6462,"0",B4753:B6462,"5 1 2 5 5 12 31111 6 M59 96200 000132 0000R 00001 00255 015 2112000 2024 CP1AL423*")-SUMIFS(E4753:E6462,K4753:K6462,"0",B4753:B6462,"5 1 2 5 5 12 31111 6 M59 96200 000132 0000R 00001 00255 015 2112000 2024 CP1AL423*")</f>
        <v>0</v>
      </c>
      <c r="E4752" s="54"/>
      <c r="F4752" s="83">
        <f>SUMIFS(F4753:F6462,K4753:K6462,"0",B4753:B6462,"5 1 2 5 5 12 31111 6 M59 96200 000132 0000R 00001 00255 015 2112000 2024 CP1AL423*")</f>
        <v>66</v>
      </c>
      <c r="G4752" s="83">
        <f>SUMIFS(G4753:G6462,K4753:K6462,"0",B4753:B6462,"5 1 2 5 5 12 31111 6 M59 96200 000132 0000R 00001 00255 015 2112000 2024 CP1AL423*")</f>
        <v>0</v>
      </c>
      <c r="H4752" s="83">
        <f t="shared" si="74"/>
        <v>66</v>
      </c>
      <c r="I4752" s="83"/>
      <c r="K4752" s="54" t="s">
        <v>15</v>
      </c>
    </row>
    <row r="4753" spans="2:11" ht="41.25" x14ac:dyDescent="0.2">
      <c r="B4753" s="82" t="s">
        <v>7446</v>
      </c>
      <c r="C4753" s="82" t="s">
        <v>282</v>
      </c>
      <c r="D4753" s="83">
        <f>SUMIFS(D4754:D6462,K4754:K6462,"0",B4754:B6462,"5 1 2 5 5 12 31111 6 M59 96200 000132 0000R 00001 00255 015 2112000 2024 CP1AL423 001*")-SUMIFS(E4754:E6462,K4754:K6462,"0",B4754:B6462,"5 1 2 5 5 12 31111 6 M59 96200 000132 0000R 00001 00255 015 2112000 2024 CP1AL423 001*")</f>
        <v>0</v>
      </c>
      <c r="E4753" s="54"/>
      <c r="F4753" s="83">
        <f>SUMIFS(F4754:F6462,K4754:K6462,"0",B4754:B6462,"5 1 2 5 5 12 31111 6 M59 96200 000132 0000R 00001 00255 015 2112000 2024 CP1AL423 001*")</f>
        <v>66</v>
      </c>
      <c r="G4753" s="83">
        <f>SUMIFS(G4754:G6462,K4754:K6462,"0",B4754:B6462,"5 1 2 5 5 12 31111 6 M59 96200 000132 0000R 00001 00255 015 2112000 2024 CP1AL423 001*")</f>
        <v>0</v>
      </c>
      <c r="H4753" s="83">
        <f t="shared" si="74"/>
        <v>66</v>
      </c>
      <c r="I4753" s="83"/>
      <c r="K4753" s="54" t="s">
        <v>15</v>
      </c>
    </row>
    <row r="4754" spans="2:11" ht="41.25" x14ac:dyDescent="0.2">
      <c r="B4754" s="84" t="s">
        <v>7447</v>
      </c>
      <c r="C4754" s="84" t="s">
        <v>7441</v>
      </c>
      <c r="D4754" s="85">
        <v>0</v>
      </c>
      <c r="E4754" s="85"/>
      <c r="F4754" s="85">
        <v>66</v>
      </c>
      <c r="G4754" s="85">
        <v>0</v>
      </c>
      <c r="H4754" s="85">
        <f t="shared" si="74"/>
        <v>66</v>
      </c>
      <c r="I4754" s="85"/>
      <c r="K4754" s="54" t="s">
        <v>38</v>
      </c>
    </row>
    <row r="4755" spans="2:11" ht="16.5" x14ac:dyDescent="0.2">
      <c r="B4755" s="82" t="s">
        <v>7448</v>
      </c>
      <c r="C4755" s="82" t="s">
        <v>3754</v>
      </c>
      <c r="D4755" s="83">
        <f>SUMIFS(D4756:D6462,K4756:K6462,"0",B4756:B6462,"5 1 2 5 5 12 31111 6 M59 99000*")-SUMIFS(E4756:E6462,K4756:K6462,"0",B4756:B6462,"5 1 2 5 5 12 31111 6 M59 99000*")</f>
        <v>0</v>
      </c>
      <c r="E4755" s="54"/>
      <c r="F4755" s="83">
        <f>SUMIFS(F4756:F6462,K4756:K6462,"0",B4756:B6462,"5 1 2 5 5 12 31111 6 M59 99000*")</f>
        <v>35</v>
      </c>
      <c r="G4755" s="83">
        <f>SUMIFS(G4756:G6462,K4756:K6462,"0",B4756:B6462,"5 1 2 5 5 12 31111 6 M59 99000*")</f>
        <v>0</v>
      </c>
      <c r="H4755" s="83">
        <f t="shared" si="74"/>
        <v>35</v>
      </c>
      <c r="I4755" s="83"/>
      <c r="K4755" s="54" t="s">
        <v>15</v>
      </c>
    </row>
    <row r="4756" spans="2:11" ht="16.5" x14ac:dyDescent="0.2">
      <c r="B4756" s="82" t="s">
        <v>7449</v>
      </c>
      <c r="C4756" s="82" t="s">
        <v>648</v>
      </c>
      <c r="D4756" s="83">
        <f>SUMIFS(D4757:D6462,K4757:K6462,"0",B4757:B6462,"5 1 2 5 5 12 31111 6 M59 99000 000132*")-SUMIFS(E4757:E6462,K4757:K6462,"0",B4757:B6462,"5 1 2 5 5 12 31111 6 M59 99000 000132*")</f>
        <v>0</v>
      </c>
      <c r="E4756" s="54"/>
      <c r="F4756" s="83">
        <f>SUMIFS(F4757:F6462,K4757:K6462,"0",B4757:B6462,"5 1 2 5 5 12 31111 6 M59 99000 000132*")</f>
        <v>35</v>
      </c>
      <c r="G4756" s="83">
        <f>SUMIFS(G4757:G6462,K4757:K6462,"0",B4757:B6462,"5 1 2 5 5 12 31111 6 M59 99000 000132*")</f>
        <v>0</v>
      </c>
      <c r="H4756" s="83">
        <f t="shared" si="74"/>
        <v>35</v>
      </c>
      <c r="I4756" s="83"/>
      <c r="K4756" s="54" t="s">
        <v>15</v>
      </c>
    </row>
    <row r="4757" spans="2:11" ht="24.75" x14ac:dyDescent="0.2">
      <c r="B4757" s="82" t="s">
        <v>7450</v>
      </c>
      <c r="C4757" s="82" t="s">
        <v>650</v>
      </c>
      <c r="D4757" s="83">
        <f>SUMIFS(D4758:D6462,K4758:K6462,"0",B4758:B6462,"5 1 2 5 5 12 31111 6 M59 99000 000132 0000R*")-SUMIFS(E4758:E6462,K4758:K6462,"0",B4758:B6462,"5 1 2 5 5 12 31111 6 M59 99000 000132 0000R*")</f>
        <v>0</v>
      </c>
      <c r="E4757" s="54"/>
      <c r="F4757" s="83">
        <f>SUMIFS(F4758:F6462,K4758:K6462,"0",B4758:B6462,"5 1 2 5 5 12 31111 6 M59 99000 000132 0000R*")</f>
        <v>35</v>
      </c>
      <c r="G4757" s="83">
        <f>SUMIFS(G4758:G6462,K4758:K6462,"0",B4758:B6462,"5 1 2 5 5 12 31111 6 M59 99000 000132 0000R*")</f>
        <v>0</v>
      </c>
      <c r="H4757" s="83">
        <f t="shared" si="74"/>
        <v>35</v>
      </c>
      <c r="I4757" s="83"/>
      <c r="K4757" s="54" t="s">
        <v>15</v>
      </c>
    </row>
    <row r="4758" spans="2:11" ht="24.75" x14ac:dyDescent="0.2">
      <c r="B4758" s="82" t="s">
        <v>7451</v>
      </c>
      <c r="C4758" s="82" t="s">
        <v>282</v>
      </c>
      <c r="D4758" s="83">
        <f>SUMIFS(D4759:D6462,K4759:K6462,"0",B4759:B6462,"5 1 2 5 5 12 31111 6 M59 99000 000132 0000R 00001*")-SUMIFS(E4759:E6462,K4759:K6462,"0",B4759:B6462,"5 1 2 5 5 12 31111 6 M59 99000 000132 0000R 00001*")</f>
        <v>0</v>
      </c>
      <c r="E4758" s="54"/>
      <c r="F4758" s="83">
        <f>SUMIFS(F4759:F6462,K4759:K6462,"0",B4759:B6462,"5 1 2 5 5 12 31111 6 M59 99000 000132 0000R 00001*")</f>
        <v>35</v>
      </c>
      <c r="G4758" s="83">
        <f>SUMIFS(G4759:G6462,K4759:K6462,"0",B4759:B6462,"5 1 2 5 5 12 31111 6 M59 99000 000132 0000R 00001*")</f>
        <v>0</v>
      </c>
      <c r="H4758" s="83">
        <f t="shared" si="74"/>
        <v>35</v>
      </c>
      <c r="I4758" s="83"/>
      <c r="K4758" s="54" t="s">
        <v>15</v>
      </c>
    </row>
    <row r="4759" spans="2:11" ht="24.75" x14ac:dyDescent="0.2">
      <c r="B4759" s="82" t="s">
        <v>7452</v>
      </c>
      <c r="C4759" s="82" t="s">
        <v>7441</v>
      </c>
      <c r="D4759" s="83">
        <f>SUMIFS(D4760:D6462,K4760:K6462,"0",B4760:B6462,"5 1 2 5 5 12 31111 6 M59 99000 000132 0000R 00001 00255*")-SUMIFS(E4760:E6462,K4760:K6462,"0",B4760:B6462,"5 1 2 5 5 12 31111 6 M59 99000 000132 0000R 00001 00255*")</f>
        <v>0</v>
      </c>
      <c r="E4759" s="54"/>
      <c r="F4759" s="83">
        <f>SUMIFS(F4760:F6462,K4760:K6462,"0",B4760:B6462,"5 1 2 5 5 12 31111 6 M59 99000 000132 0000R 00001 00255*")</f>
        <v>35</v>
      </c>
      <c r="G4759" s="83">
        <f>SUMIFS(G4760:G6462,K4760:K6462,"0",B4760:B6462,"5 1 2 5 5 12 31111 6 M59 99000 000132 0000R 00001 00255*")</f>
        <v>0</v>
      </c>
      <c r="H4759" s="83">
        <f t="shared" si="74"/>
        <v>35</v>
      </c>
      <c r="I4759" s="83"/>
      <c r="K4759" s="54" t="s">
        <v>15</v>
      </c>
    </row>
    <row r="4760" spans="2:11" ht="33" x14ac:dyDescent="0.2">
      <c r="B4760" s="82" t="s">
        <v>7453</v>
      </c>
      <c r="C4760" s="82" t="s">
        <v>1051</v>
      </c>
      <c r="D4760" s="83">
        <f>SUMIFS(D4761:D6462,K4761:K6462,"0",B4761:B6462,"5 1 2 5 5 12 31111 6 M59 99000 000132 0000R 00001 00255 015*")-SUMIFS(E4761:E6462,K4761:K6462,"0",B4761:B6462,"5 1 2 5 5 12 31111 6 M59 99000 000132 0000R 00001 00255 015*")</f>
        <v>0</v>
      </c>
      <c r="E4760" s="54"/>
      <c r="F4760" s="83">
        <f>SUMIFS(F4761:F6462,K4761:K6462,"0",B4761:B6462,"5 1 2 5 5 12 31111 6 M59 99000 000132 0000R 00001 00255 015*")</f>
        <v>35</v>
      </c>
      <c r="G4760" s="83">
        <f>SUMIFS(G4761:G6462,K4761:K6462,"0",B4761:B6462,"5 1 2 5 5 12 31111 6 M59 99000 000132 0000R 00001 00255 015*")</f>
        <v>0</v>
      </c>
      <c r="H4760" s="83">
        <f t="shared" si="74"/>
        <v>35</v>
      </c>
      <c r="I4760" s="83"/>
      <c r="K4760" s="54" t="s">
        <v>15</v>
      </c>
    </row>
    <row r="4761" spans="2:11" ht="33" x14ac:dyDescent="0.2">
      <c r="B4761" s="82" t="s">
        <v>7454</v>
      </c>
      <c r="C4761" s="82" t="s">
        <v>5830</v>
      </c>
      <c r="D4761" s="83">
        <f>SUMIFS(D4762:D6462,K4762:K6462,"0",B4762:B6462,"5 1 2 5 5 12 31111 6 M59 99000 000132 0000R 00001 00255 015 2112000*")-SUMIFS(E4762:E6462,K4762:K6462,"0",B4762:B6462,"5 1 2 5 5 12 31111 6 M59 99000 000132 0000R 00001 00255 015 2112000*")</f>
        <v>0</v>
      </c>
      <c r="E4761" s="54"/>
      <c r="F4761" s="83">
        <f>SUMIFS(F4762:F6462,K4762:K6462,"0",B4762:B6462,"5 1 2 5 5 12 31111 6 M59 99000 000132 0000R 00001 00255 015 2112000*")</f>
        <v>35</v>
      </c>
      <c r="G4761" s="83">
        <f>SUMIFS(G4762:G6462,K4762:K6462,"0",B4762:B6462,"5 1 2 5 5 12 31111 6 M59 99000 000132 0000R 00001 00255 015 2112000*")</f>
        <v>0</v>
      </c>
      <c r="H4761" s="83">
        <f t="shared" si="74"/>
        <v>35</v>
      </c>
      <c r="I4761" s="83"/>
      <c r="K4761" s="54" t="s">
        <v>15</v>
      </c>
    </row>
    <row r="4762" spans="2:11" ht="33" x14ac:dyDescent="0.2">
      <c r="B4762" s="82" t="s">
        <v>7455</v>
      </c>
      <c r="C4762" s="82" t="s">
        <v>660</v>
      </c>
      <c r="D4762" s="83">
        <f>SUMIFS(D4763:D6462,K4763:K6462,"0",B4763:B6462,"5 1 2 5 5 12 31111 6 M59 99000 000132 0000R 00001 00255 015 2112000 2024*")-SUMIFS(E4763:E6462,K4763:K6462,"0",B4763:B6462,"5 1 2 5 5 12 31111 6 M59 99000 000132 0000R 00001 00255 015 2112000 2024*")</f>
        <v>0</v>
      </c>
      <c r="E4762" s="54"/>
      <c r="F4762" s="83">
        <f>SUMIFS(F4763:F6462,K4763:K6462,"0",B4763:B6462,"5 1 2 5 5 12 31111 6 M59 99000 000132 0000R 00001 00255 015 2112000 2024*")</f>
        <v>35</v>
      </c>
      <c r="G4762" s="83">
        <f>SUMIFS(G4763:G6462,K4763:K6462,"0",B4763:B6462,"5 1 2 5 5 12 31111 6 M59 99000 000132 0000R 00001 00255 015 2112000 2024*")</f>
        <v>0</v>
      </c>
      <c r="H4762" s="83">
        <f t="shared" si="74"/>
        <v>35</v>
      </c>
      <c r="I4762" s="83"/>
      <c r="K4762" s="54" t="s">
        <v>15</v>
      </c>
    </row>
    <row r="4763" spans="2:11" ht="41.25" x14ac:dyDescent="0.2">
      <c r="B4763" s="82" t="s">
        <v>7456</v>
      </c>
      <c r="C4763" s="82" t="s">
        <v>1056</v>
      </c>
      <c r="D4763" s="83">
        <f>SUMIFS(D4764:D6462,K4764:K6462,"0",B4764:B6462,"5 1 2 5 5 12 31111 6 M59 99000 000132 0000R 00001 00255 015 2112000 2024 CP1MG408*")-SUMIFS(E4764:E6462,K4764:K6462,"0",B4764:B6462,"5 1 2 5 5 12 31111 6 M59 99000 000132 0000R 00001 00255 015 2112000 2024 CP1MG408*")</f>
        <v>0</v>
      </c>
      <c r="E4763" s="54"/>
      <c r="F4763" s="83">
        <f>SUMIFS(F4764:F6462,K4764:K6462,"0",B4764:B6462,"5 1 2 5 5 12 31111 6 M59 99000 000132 0000R 00001 00255 015 2112000 2024 CP1MG408*")</f>
        <v>35</v>
      </c>
      <c r="G4763" s="83">
        <f>SUMIFS(G4764:G6462,K4764:K6462,"0",B4764:B6462,"5 1 2 5 5 12 31111 6 M59 99000 000132 0000R 00001 00255 015 2112000 2024 CP1MG408*")</f>
        <v>0</v>
      </c>
      <c r="H4763" s="83">
        <f t="shared" si="74"/>
        <v>35</v>
      </c>
      <c r="I4763" s="83"/>
      <c r="K4763" s="54" t="s">
        <v>15</v>
      </c>
    </row>
    <row r="4764" spans="2:11" ht="41.25" x14ac:dyDescent="0.2">
      <c r="B4764" s="82" t="s">
        <v>7457</v>
      </c>
      <c r="C4764" s="82" t="s">
        <v>282</v>
      </c>
      <c r="D4764" s="83">
        <f>SUMIFS(D4765:D6462,K4765:K6462,"0",B4765:B6462,"5 1 2 5 5 12 31111 6 M59 99000 000132 0000R 00001 00255 015 2112000 2024 CP1MG408 001*")-SUMIFS(E4765:E6462,K4765:K6462,"0",B4765:B6462,"5 1 2 5 5 12 31111 6 M59 99000 000132 0000R 00001 00255 015 2112000 2024 CP1MG408 001*")</f>
        <v>0</v>
      </c>
      <c r="E4764" s="54"/>
      <c r="F4764" s="83">
        <f>SUMIFS(F4765:F6462,K4765:K6462,"0",B4765:B6462,"5 1 2 5 5 12 31111 6 M59 99000 000132 0000R 00001 00255 015 2112000 2024 CP1MG408 001*")</f>
        <v>35</v>
      </c>
      <c r="G4764" s="83">
        <f>SUMIFS(G4765:G6462,K4765:K6462,"0",B4765:B6462,"5 1 2 5 5 12 31111 6 M59 99000 000132 0000R 00001 00255 015 2112000 2024 CP1MG408 001*")</f>
        <v>0</v>
      </c>
      <c r="H4764" s="83">
        <f t="shared" si="74"/>
        <v>35</v>
      </c>
      <c r="I4764" s="83"/>
      <c r="K4764" s="54" t="s">
        <v>15</v>
      </c>
    </row>
    <row r="4765" spans="2:11" ht="41.25" x14ac:dyDescent="0.2">
      <c r="B4765" s="84" t="s">
        <v>7458</v>
      </c>
      <c r="C4765" s="84" t="s">
        <v>7431</v>
      </c>
      <c r="D4765" s="85">
        <v>0</v>
      </c>
      <c r="E4765" s="85"/>
      <c r="F4765" s="85">
        <v>35</v>
      </c>
      <c r="G4765" s="85">
        <v>0</v>
      </c>
      <c r="H4765" s="85">
        <f t="shared" si="74"/>
        <v>35</v>
      </c>
      <c r="I4765" s="85"/>
      <c r="K4765" s="54" t="s">
        <v>38</v>
      </c>
    </row>
    <row r="4766" spans="2:11" ht="16.5" x14ac:dyDescent="0.2">
      <c r="B4766" s="82" t="s">
        <v>7459</v>
      </c>
      <c r="C4766" s="82" t="s">
        <v>7460</v>
      </c>
      <c r="D4766" s="83">
        <f>SUMIFS(D4767:D6462,K4767:K6462,"0",B4767:B6462,"5 1 2 5 6*")-SUMIFS(E4767:E6462,K4767:K6462,"0",B4767:B6462,"5 1 2 5 6*")</f>
        <v>0</v>
      </c>
      <c r="E4766" s="54"/>
      <c r="F4766" s="83">
        <f>SUMIFS(F4767:F6462,K4767:K6462,"0",B4767:B6462,"5 1 2 5 6*")</f>
        <v>4327.07</v>
      </c>
      <c r="G4766" s="83">
        <f>SUMIFS(G4767:G6462,K4767:K6462,"0",B4767:B6462,"5 1 2 5 6*")</f>
        <v>0</v>
      </c>
      <c r="H4766" s="83">
        <f t="shared" si="74"/>
        <v>4327.07</v>
      </c>
      <c r="I4766" s="83"/>
      <c r="K4766" s="54" t="s">
        <v>15</v>
      </c>
    </row>
    <row r="4767" spans="2:11" ht="12.75" x14ac:dyDescent="0.2">
      <c r="B4767" s="82" t="s">
        <v>7461</v>
      </c>
      <c r="C4767" s="82" t="s">
        <v>26</v>
      </c>
      <c r="D4767" s="83">
        <f>SUMIFS(D4768:D6462,K4768:K6462,"0",B4768:B6462,"5 1 2 5 6 12*")-SUMIFS(E4768:E6462,K4768:K6462,"0",B4768:B6462,"5 1 2 5 6 12*")</f>
        <v>0</v>
      </c>
      <c r="E4767" s="54"/>
      <c r="F4767" s="83">
        <f>SUMIFS(F4768:F6462,K4768:K6462,"0",B4768:B6462,"5 1 2 5 6 12*")</f>
        <v>4327.07</v>
      </c>
      <c r="G4767" s="83">
        <f>SUMIFS(G4768:G6462,K4768:K6462,"0",B4768:B6462,"5 1 2 5 6 12*")</f>
        <v>0</v>
      </c>
      <c r="H4767" s="83">
        <f t="shared" si="74"/>
        <v>4327.07</v>
      </c>
      <c r="I4767" s="83"/>
      <c r="K4767" s="54" t="s">
        <v>15</v>
      </c>
    </row>
    <row r="4768" spans="2:11" ht="16.5" x14ac:dyDescent="0.2">
      <c r="B4768" s="82" t="s">
        <v>7462</v>
      </c>
      <c r="C4768" s="82" t="s">
        <v>28</v>
      </c>
      <c r="D4768" s="83">
        <f>SUMIFS(D4769:D6462,K4769:K6462,"0",B4769:B6462,"5 1 2 5 6 12 31111*")-SUMIFS(E4769:E6462,K4769:K6462,"0",B4769:B6462,"5 1 2 5 6 12 31111*")</f>
        <v>0</v>
      </c>
      <c r="E4768" s="54"/>
      <c r="F4768" s="83">
        <f>SUMIFS(F4769:F6462,K4769:K6462,"0",B4769:B6462,"5 1 2 5 6 12 31111*")</f>
        <v>4327.07</v>
      </c>
      <c r="G4768" s="83">
        <f>SUMIFS(G4769:G6462,K4769:K6462,"0",B4769:B6462,"5 1 2 5 6 12 31111*")</f>
        <v>0</v>
      </c>
      <c r="H4768" s="83">
        <f t="shared" si="74"/>
        <v>4327.07</v>
      </c>
      <c r="I4768" s="83"/>
      <c r="K4768" s="54" t="s">
        <v>15</v>
      </c>
    </row>
    <row r="4769" spans="2:11" ht="12.75" x14ac:dyDescent="0.2">
      <c r="B4769" s="82" t="s">
        <v>7463</v>
      </c>
      <c r="C4769" s="82" t="s">
        <v>30</v>
      </c>
      <c r="D4769" s="83">
        <f>SUMIFS(D4770:D6462,K4770:K6462,"0",B4770:B6462,"5 1 2 5 6 12 31111 6*")-SUMIFS(E4770:E6462,K4770:K6462,"0",B4770:B6462,"5 1 2 5 6 12 31111 6*")</f>
        <v>0</v>
      </c>
      <c r="E4769" s="54"/>
      <c r="F4769" s="83">
        <f>SUMIFS(F4770:F6462,K4770:K6462,"0",B4770:B6462,"5 1 2 5 6 12 31111 6*")</f>
        <v>4327.07</v>
      </c>
      <c r="G4769" s="83">
        <f>SUMIFS(G4770:G6462,K4770:K6462,"0",B4770:B6462,"5 1 2 5 6 12 31111 6*")</f>
        <v>0</v>
      </c>
      <c r="H4769" s="83">
        <f t="shared" si="74"/>
        <v>4327.07</v>
      </c>
      <c r="I4769" s="83"/>
      <c r="K4769" s="54" t="s">
        <v>15</v>
      </c>
    </row>
    <row r="4770" spans="2:11" ht="16.5" x14ac:dyDescent="0.2">
      <c r="B4770" s="82" t="s">
        <v>7464</v>
      </c>
      <c r="C4770" s="82" t="s">
        <v>2284</v>
      </c>
      <c r="D4770" s="83">
        <f>SUMIFS(D4771:D6462,K4771:K6462,"0",B4771:B6462,"5 1 2 5 6 12 31111 6 M59*")-SUMIFS(E4771:E6462,K4771:K6462,"0",B4771:B6462,"5 1 2 5 6 12 31111 6 M59*")</f>
        <v>0</v>
      </c>
      <c r="E4770" s="54"/>
      <c r="F4770" s="83">
        <f>SUMIFS(F4771:F6462,K4771:K6462,"0",B4771:B6462,"5 1 2 5 6 12 31111 6 M59*")</f>
        <v>4327.07</v>
      </c>
      <c r="G4770" s="83">
        <f>SUMIFS(G4771:G6462,K4771:K6462,"0",B4771:B6462,"5 1 2 5 6 12 31111 6 M59*")</f>
        <v>0</v>
      </c>
      <c r="H4770" s="83">
        <f t="shared" si="74"/>
        <v>4327.07</v>
      </c>
      <c r="I4770" s="83"/>
      <c r="K4770" s="54" t="s">
        <v>15</v>
      </c>
    </row>
    <row r="4771" spans="2:11" ht="16.5" x14ac:dyDescent="0.2">
      <c r="B4771" s="82" t="s">
        <v>7465</v>
      </c>
      <c r="C4771" s="82" t="s">
        <v>1044</v>
      </c>
      <c r="D4771" s="83">
        <f>SUMIFS(D4772:D6462,K4772:K6462,"0",B4772:B6462,"5 1 2 5 6 12 31111 6 M59 19000*")-SUMIFS(E4772:E6462,K4772:K6462,"0",B4772:B6462,"5 1 2 5 6 12 31111 6 M59 19000*")</f>
        <v>0</v>
      </c>
      <c r="E4771" s="54"/>
      <c r="F4771" s="83">
        <f>SUMIFS(F4772:F6462,K4772:K6462,"0",B4772:B6462,"5 1 2 5 6 12 31111 6 M59 19000*")</f>
        <v>1314.16</v>
      </c>
      <c r="G4771" s="83">
        <f>SUMIFS(G4772:G6462,K4772:K6462,"0",B4772:B6462,"5 1 2 5 6 12 31111 6 M59 19000*")</f>
        <v>0</v>
      </c>
      <c r="H4771" s="83">
        <f t="shared" si="74"/>
        <v>1314.16</v>
      </c>
      <c r="I4771" s="83"/>
      <c r="K4771" s="54" t="s">
        <v>15</v>
      </c>
    </row>
    <row r="4772" spans="2:11" ht="16.5" x14ac:dyDescent="0.2">
      <c r="B4772" s="82" t="s">
        <v>7466</v>
      </c>
      <c r="C4772" s="82" t="s">
        <v>648</v>
      </c>
      <c r="D4772" s="83">
        <f>SUMIFS(D4773:D6462,K4773:K6462,"0",B4773:B6462,"5 1 2 5 6 12 31111 6 M59 19000 000132*")-SUMIFS(E4773:E6462,K4773:K6462,"0",B4773:B6462,"5 1 2 5 6 12 31111 6 M59 19000 000132*")</f>
        <v>0</v>
      </c>
      <c r="E4772" s="54"/>
      <c r="F4772" s="83">
        <f>SUMIFS(F4773:F6462,K4773:K6462,"0",B4773:B6462,"5 1 2 5 6 12 31111 6 M59 19000 000132*")</f>
        <v>1314.16</v>
      </c>
      <c r="G4772" s="83">
        <f>SUMIFS(G4773:G6462,K4773:K6462,"0",B4773:B6462,"5 1 2 5 6 12 31111 6 M59 19000 000132*")</f>
        <v>0</v>
      </c>
      <c r="H4772" s="83">
        <f t="shared" si="74"/>
        <v>1314.16</v>
      </c>
      <c r="I4772" s="83"/>
      <c r="K4772" s="54" t="s">
        <v>15</v>
      </c>
    </row>
    <row r="4773" spans="2:11" ht="24.75" x14ac:dyDescent="0.2">
      <c r="B4773" s="82" t="s">
        <v>7467</v>
      </c>
      <c r="C4773" s="82" t="s">
        <v>650</v>
      </c>
      <c r="D4773" s="83">
        <f>SUMIFS(D4774:D6462,K4774:K6462,"0",B4774:B6462,"5 1 2 5 6 12 31111 6 M59 19000 000132 0000R*")-SUMIFS(E4774:E6462,K4774:K6462,"0",B4774:B6462,"5 1 2 5 6 12 31111 6 M59 19000 000132 0000R*")</f>
        <v>0</v>
      </c>
      <c r="E4773" s="54"/>
      <c r="F4773" s="83">
        <f>SUMIFS(F4774:F6462,K4774:K6462,"0",B4774:B6462,"5 1 2 5 6 12 31111 6 M59 19000 000132 0000R*")</f>
        <v>1314.16</v>
      </c>
      <c r="G4773" s="83">
        <f>SUMIFS(G4774:G6462,K4774:K6462,"0",B4774:B6462,"5 1 2 5 6 12 31111 6 M59 19000 000132 0000R*")</f>
        <v>0</v>
      </c>
      <c r="H4773" s="83">
        <f t="shared" si="74"/>
        <v>1314.16</v>
      </c>
      <c r="I4773" s="83"/>
      <c r="K4773" s="54" t="s">
        <v>15</v>
      </c>
    </row>
    <row r="4774" spans="2:11" ht="24.75" x14ac:dyDescent="0.2">
      <c r="B4774" s="82" t="s">
        <v>7468</v>
      </c>
      <c r="C4774" s="82" t="s">
        <v>282</v>
      </c>
      <c r="D4774" s="83">
        <f>SUMIFS(D4775:D6462,K4775:K6462,"0",B4775:B6462,"5 1 2 5 6 12 31111 6 M59 19000 000132 0000R 00001*")-SUMIFS(E4775:E6462,K4775:K6462,"0",B4775:B6462,"5 1 2 5 6 12 31111 6 M59 19000 000132 0000R 00001*")</f>
        <v>0</v>
      </c>
      <c r="E4774" s="54"/>
      <c r="F4774" s="83">
        <f>SUMIFS(F4775:F6462,K4775:K6462,"0",B4775:B6462,"5 1 2 5 6 12 31111 6 M59 19000 000132 0000R 00001*")</f>
        <v>1314.16</v>
      </c>
      <c r="G4774" s="83">
        <f>SUMIFS(G4775:G6462,K4775:K6462,"0",B4775:B6462,"5 1 2 5 6 12 31111 6 M59 19000 000132 0000R 00001*")</f>
        <v>0</v>
      </c>
      <c r="H4774" s="83">
        <f t="shared" si="74"/>
        <v>1314.16</v>
      </c>
      <c r="I4774" s="83"/>
      <c r="K4774" s="54" t="s">
        <v>15</v>
      </c>
    </row>
    <row r="4775" spans="2:11" ht="24.75" x14ac:dyDescent="0.2">
      <c r="B4775" s="82" t="s">
        <v>7469</v>
      </c>
      <c r="C4775" s="82" t="s">
        <v>7470</v>
      </c>
      <c r="D4775" s="83">
        <f>SUMIFS(D4776:D6462,K4776:K6462,"0",B4776:B6462,"5 1 2 5 6 12 31111 6 M59 19000 000132 0000R 00001 00256*")-SUMIFS(E4776:E6462,K4776:K6462,"0",B4776:B6462,"5 1 2 5 6 12 31111 6 M59 19000 000132 0000R 00001 00256*")</f>
        <v>0</v>
      </c>
      <c r="E4775" s="54"/>
      <c r="F4775" s="83">
        <f>SUMIFS(F4776:F6462,K4776:K6462,"0",B4776:B6462,"5 1 2 5 6 12 31111 6 M59 19000 000132 0000R 00001 00256*")</f>
        <v>1314.16</v>
      </c>
      <c r="G4775" s="83">
        <f>SUMIFS(G4776:G6462,K4776:K6462,"0",B4776:B6462,"5 1 2 5 6 12 31111 6 M59 19000 000132 0000R 00001 00256*")</f>
        <v>0</v>
      </c>
      <c r="H4775" s="83">
        <f t="shared" si="74"/>
        <v>1314.16</v>
      </c>
      <c r="I4775" s="83"/>
      <c r="K4775" s="54" t="s">
        <v>15</v>
      </c>
    </row>
    <row r="4776" spans="2:11" ht="33" x14ac:dyDescent="0.2">
      <c r="B4776" s="82" t="s">
        <v>7471</v>
      </c>
      <c r="C4776" s="82" t="s">
        <v>1051</v>
      </c>
      <c r="D4776" s="83">
        <f>SUMIFS(D4777:D6462,K4777:K6462,"0",B4777:B6462,"5 1 2 5 6 12 31111 6 M59 19000 000132 0000R 00001 00256 015*")-SUMIFS(E4777:E6462,K4777:K6462,"0",B4777:B6462,"5 1 2 5 6 12 31111 6 M59 19000 000132 0000R 00001 00256 015*")</f>
        <v>0</v>
      </c>
      <c r="E4776" s="54"/>
      <c r="F4776" s="83">
        <f>SUMIFS(F4777:F6462,K4777:K6462,"0",B4777:B6462,"5 1 2 5 6 12 31111 6 M59 19000 000132 0000R 00001 00256 015*")</f>
        <v>1314.16</v>
      </c>
      <c r="G4776" s="83">
        <f>SUMIFS(G4777:G6462,K4777:K6462,"0",B4777:B6462,"5 1 2 5 6 12 31111 6 M59 19000 000132 0000R 00001 00256 015*")</f>
        <v>0</v>
      </c>
      <c r="H4776" s="83">
        <f t="shared" si="74"/>
        <v>1314.16</v>
      </c>
      <c r="I4776" s="83"/>
      <c r="K4776" s="54" t="s">
        <v>15</v>
      </c>
    </row>
    <row r="4777" spans="2:11" ht="33" x14ac:dyDescent="0.2">
      <c r="B4777" s="82" t="s">
        <v>7472</v>
      </c>
      <c r="C4777" s="82" t="s">
        <v>5830</v>
      </c>
      <c r="D4777" s="83">
        <f>SUMIFS(D4778:D6462,K4778:K6462,"0",B4778:B6462,"5 1 2 5 6 12 31111 6 M59 19000 000132 0000R 00001 00256 015 2112000*")-SUMIFS(E4778:E6462,K4778:K6462,"0",B4778:B6462,"5 1 2 5 6 12 31111 6 M59 19000 000132 0000R 00001 00256 015 2112000*")</f>
        <v>0</v>
      </c>
      <c r="E4777" s="54"/>
      <c r="F4777" s="83">
        <f>SUMIFS(F4778:F6462,K4778:K6462,"0",B4778:B6462,"5 1 2 5 6 12 31111 6 M59 19000 000132 0000R 00001 00256 015 2112000*")</f>
        <v>1314.16</v>
      </c>
      <c r="G4777" s="83">
        <f>SUMIFS(G4778:G6462,K4778:K6462,"0",B4778:B6462,"5 1 2 5 6 12 31111 6 M59 19000 000132 0000R 00001 00256 015 2112000*")</f>
        <v>0</v>
      </c>
      <c r="H4777" s="83">
        <f t="shared" si="74"/>
        <v>1314.16</v>
      </c>
      <c r="I4777" s="83"/>
      <c r="K4777" s="54" t="s">
        <v>15</v>
      </c>
    </row>
    <row r="4778" spans="2:11" ht="33" x14ac:dyDescent="0.2">
      <c r="B4778" s="82" t="s">
        <v>7473</v>
      </c>
      <c r="C4778" s="82" t="s">
        <v>660</v>
      </c>
      <c r="D4778" s="83">
        <f>SUMIFS(D4779:D6462,K4779:K6462,"0",B4779:B6462,"5 1 2 5 6 12 31111 6 M59 19000 000132 0000R 00001 00256 015 2112000 2024*")-SUMIFS(E4779:E6462,K4779:K6462,"0",B4779:B6462,"5 1 2 5 6 12 31111 6 M59 19000 000132 0000R 00001 00256 015 2112000 2024*")</f>
        <v>0</v>
      </c>
      <c r="E4778" s="54"/>
      <c r="F4778" s="83">
        <f>SUMIFS(F4779:F6462,K4779:K6462,"0",B4779:B6462,"5 1 2 5 6 12 31111 6 M59 19000 000132 0000R 00001 00256 015 2112000 2024*")</f>
        <v>1314.16</v>
      </c>
      <c r="G4778" s="83">
        <f>SUMIFS(G4779:G6462,K4779:K6462,"0",B4779:B6462,"5 1 2 5 6 12 31111 6 M59 19000 000132 0000R 00001 00256 015 2112000 2024*")</f>
        <v>0</v>
      </c>
      <c r="H4778" s="83">
        <f t="shared" si="74"/>
        <v>1314.16</v>
      </c>
      <c r="I4778" s="83"/>
      <c r="K4778" s="54" t="s">
        <v>15</v>
      </c>
    </row>
    <row r="4779" spans="2:11" ht="41.25" x14ac:dyDescent="0.2">
      <c r="B4779" s="82" t="s">
        <v>7474</v>
      </c>
      <c r="C4779" s="82" t="s">
        <v>662</v>
      </c>
      <c r="D4779" s="83">
        <f>SUMIFS(D4780:D6462,K4780:K6462,"0",B4780:B6462,"5 1 2 5 6 12 31111 6 M59 19000 000132 0000R 00001 00256 015 2112000 2024 CP1TM440*")-SUMIFS(E4780:E6462,K4780:K6462,"0",B4780:B6462,"5 1 2 5 6 12 31111 6 M59 19000 000132 0000R 00001 00256 015 2112000 2024 CP1TM440*")</f>
        <v>0</v>
      </c>
      <c r="E4779" s="54"/>
      <c r="F4779" s="83">
        <f>SUMIFS(F4780:F6462,K4780:K6462,"0",B4780:B6462,"5 1 2 5 6 12 31111 6 M59 19000 000132 0000R 00001 00256 015 2112000 2024 CP1TM440*")</f>
        <v>1314.16</v>
      </c>
      <c r="G4779" s="83">
        <f>SUMIFS(G4780:G6462,K4780:K6462,"0",B4780:B6462,"5 1 2 5 6 12 31111 6 M59 19000 000132 0000R 00001 00256 015 2112000 2024 CP1TM440*")</f>
        <v>0</v>
      </c>
      <c r="H4779" s="83">
        <f t="shared" ref="H4779:H4842" si="75">D4779 + F4779 - G4779</f>
        <v>1314.16</v>
      </c>
      <c r="I4779" s="83"/>
      <c r="K4779" s="54" t="s">
        <v>15</v>
      </c>
    </row>
    <row r="4780" spans="2:11" ht="41.25" x14ac:dyDescent="0.2">
      <c r="B4780" s="82" t="s">
        <v>7475</v>
      </c>
      <c r="C4780" s="82" t="s">
        <v>282</v>
      </c>
      <c r="D4780" s="83">
        <f>SUMIFS(D4781:D6462,K4781:K6462,"0",B4781:B6462,"5 1 2 5 6 12 31111 6 M59 19000 000132 0000R 00001 00256 015 2112000 2024 CP1TM440 001*")-SUMIFS(E4781:E6462,K4781:K6462,"0",B4781:B6462,"5 1 2 5 6 12 31111 6 M59 19000 000132 0000R 00001 00256 015 2112000 2024 CP1TM440 001*")</f>
        <v>0</v>
      </c>
      <c r="E4780" s="54"/>
      <c r="F4780" s="83">
        <f>SUMIFS(F4781:F6462,K4781:K6462,"0",B4781:B6462,"5 1 2 5 6 12 31111 6 M59 19000 000132 0000R 00001 00256 015 2112000 2024 CP1TM440 001*")</f>
        <v>1314.16</v>
      </c>
      <c r="G4780" s="83">
        <f>SUMIFS(G4781:G6462,K4781:K6462,"0",B4781:B6462,"5 1 2 5 6 12 31111 6 M59 19000 000132 0000R 00001 00256 015 2112000 2024 CP1TM440 001*")</f>
        <v>0</v>
      </c>
      <c r="H4780" s="83">
        <f t="shared" si="75"/>
        <v>1314.16</v>
      </c>
      <c r="I4780" s="83"/>
      <c r="K4780" s="54" t="s">
        <v>15</v>
      </c>
    </row>
    <row r="4781" spans="2:11" ht="33" x14ac:dyDescent="0.2">
      <c r="B4781" s="84" t="s">
        <v>7476</v>
      </c>
      <c r="C4781" s="84" t="s">
        <v>7477</v>
      </c>
      <c r="D4781" s="85">
        <v>0</v>
      </c>
      <c r="E4781" s="85"/>
      <c r="F4781" s="85">
        <v>1314.16</v>
      </c>
      <c r="G4781" s="85">
        <v>0</v>
      </c>
      <c r="H4781" s="85">
        <f t="shared" si="75"/>
        <v>1314.16</v>
      </c>
      <c r="I4781" s="85"/>
      <c r="K4781" s="54" t="s">
        <v>38</v>
      </c>
    </row>
    <row r="4782" spans="2:11" ht="16.5" x14ac:dyDescent="0.2">
      <c r="B4782" s="82" t="s">
        <v>7489</v>
      </c>
      <c r="C4782" s="82" t="s">
        <v>3281</v>
      </c>
      <c r="D4782" s="83">
        <f>SUMIFS(D4783:D6462,K4783:K6462,"0",B4783:B6462,"5 1 2 5 6 12 31111 6 M59 50000*")-SUMIFS(E4783:E6462,K4783:K6462,"0",B4783:B6462,"5 1 2 5 6 12 31111 6 M59 50000*")</f>
        <v>0</v>
      </c>
      <c r="E4782" s="54"/>
      <c r="F4782" s="83">
        <f>SUMIFS(F4783:F6462,K4783:K6462,"0",B4783:B6462,"5 1 2 5 6 12 31111 6 M59 50000*")</f>
        <v>3012.91</v>
      </c>
      <c r="G4782" s="83">
        <f>SUMIFS(G4783:G6462,K4783:K6462,"0",B4783:B6462,"5 1 2 5 6 12 31111 6 M59 50000*")</f>
        <v>0</v>
      </c>
      <c r="H4782" s="83">
        <f t="shared" si="75"/>
        <v>3012.91</v>
      </c>
      <c r="I4782" s="83"/>
      <c r="K4782" s="54" t="s">
        <v>15</v>
      </c>
    </row>
    <row r="4783" spans="2:11" ht="16.5" x14ac:dyDescent="0.2">
      <c r="B4783" s="82" t="s">
        <v>7490</v>
      </c>
      <c r="C4783" s="82" t="s">
        <v>3283</v>
      </c>
      <c r="D4783" s="83">
        <f>SUMIFS(D4784:D6462,K4784:K6462,"0",B4784:B6462,"5 1 2 5 6 12 31111 6 M59 50000 000223*")-SUMIFS(E4784:E6462,K4784:K6462,"0",B4784:B6462,"5 1 2 5 6 12 31111 6 M59 50000 000223*")</f>
        <v>0</v>
      </c>
      <c r="E4783" s="54"/>
      <c r="F4783" s="83">
        <f>SUMIFS(F4784:F6462,K4784:K6462,"0",B4784:B6462,"5 1 2 5 6 12 31111 6 M59 50000 000223*")</f>
        <v>3012.91</v>
      </c>
      <c r="G4783" s="83">
        <f>SUMIFS(G4784:G6462,K4784:K6462,"0",B4784:B6462,"5 1 2 5 6 12 31111 6 M59 50000 000223*")</f>
        <v>0</v>
      </c>
      <c r="H4783" s="83">
        <f t="shared" si="75"/>
        <v>3012.91</v>
      </c>
      <c r="I4783" s="83"/>
      <c r="K4783" s="54" t="s">
        <v>15</v>
      </c>
    </row>
    <row r="4784" spans="2:11" ht="24.75" x14ac:dyDescent="0.2">
      <c r="B4784" s="82" t="s">
        <v>7491</v>
      </c>
      <c r="C4784" s="82" t="s">
        <v>1065</v>
      </c>
      <c r="D4784" s="83">
        <f>SUMIFS(D4785:D6462,K4785:K6462,"0",B4785:B6462,"5 1 2 5 6 12 31111 6 M59 50000 000223 0000E*")-SUMIFS(E4785:E6462,K4785:K6462,"0",B4785:B6462,"5 1 2 5 6 12 31111 6 M59 50000 000223 0000E*")</f>
        <v>0</v>
      </c>
      <c r="E4784" s="54"/>
      <c r="F4784" s="83">
        <f>SUMIFS(F4785:F6462,K4785:K6462,"0",B4785:B6462,"5 1 2 5 6 12 31111 6 M59 50000 000223 0000E*")</f>
        <v>3012.91</v>
      </c>
      <c r="G4784" s="83">
        <f>SUMIFS(G4785:G6462,K4785:K6462,"0",B4785:B6462,"5 1 2 5 6 12 31111 6 M59 50000 000223 0000E*")</f>
        <v>0</v>
      </c>
      <c r="H4784" s="83">
        <f t="shared" si="75"/>
        <v>3012.91</v>
      </c>
      <c r="I4784" s="83"/>
      <c r="K4784" s="54" t="s">
        <v>15</v>
      </c>
    </row>
    <row r="4785" spans="2:11" ht="24.75" x14ac:dyDescent="0.2">
      <c r="B4785" s="82" t="s">
        <v>7492</v>
      </c>
      <c r="C4785" s="82" t="s">
        <v>282</v>
      </c>
      <c r="D4785" s="83">
        <f>SUMIFS(D4786:D6462,K4786:K6462,"0",B4786:B6462,"5 1 2 5 6 12 31111 6 M59 50000 000223 0000E 00001*")-SUMIFS(E4786:E6462,K4786:K6462,"0",B4786:B6462,"5 1 2 5 6 12 31111 6 M59 50000 000223 0000E 00001*")</f>
        <v>0</v>
      </c>
      <c r="E4785" s="54"/>
      <c r="F4785" s="83">
        <f>SUMIFS(F4786:F6462,K4786:K6462,"0",B4786:B6462,"5 1 2 5 6 12 31111 6 M59 50000 000223 0000E 00001*")</f>
        <v>3012.91</v>
      </c>
      <c r="G4785" s="83">
        <f>SUMIFS(G4786:G6462,K4786:K6462,"0",B4786:B6462,"5 1 2 5 6 12 31111 6 M59 50000 000223 0000E 00001*")</f>
        <v>0</v>
      </c>
      <c r="H4785" s="83">
        <f t="shared" si="75"/>
        <v>3012.91</v>
      </c>
      <c r="I4785" s="83"/>
      <c r="K4785" s="54" t="s">
        <v>15</v>
      </c>
    </row>
    <row r="4786" spans="2:11" ht="24.75" x14ac:dyDescent="0.2">
      <c r="B4786" s="82" t="s">
        <v>7493</v>
      </c>
      <c r="C4786" s="82" t="s">
        <v>7470</v>
      </c>
      <c r="D4786" s="83">
        <f>SUMIFS(D4787:D6462,K4787:K6462,"0",B4787:B6462,"5 1 2 5 6 12 31111 6 M59 50000 000223 0000E 00001 00256*")-SUMIFS(E4787:E6462,K4787:K6462,"0",B4787:B6462,"5 1 2 5 6 12 31111 6 M59 50000 000223 0000E 00001 00256*")</f>
        <v>0</v>
      </c>
      <c r="E4786" s="54"/>
      <c r="F4786" s="83">
        <f>SUMIFS(F4787:F6462,K4787:K6462,"0",B4787:B6462,"5 1 2 5 6 12 31111 6 M59 50000 000223 0000E 00001 00256*")</f>
        <v>3012.91</v>
      </c>
      <c r="G4786" s="83">
        <f>SUMIFS(G4787:G6462,K4787:K6462,"0",B4787:B6462,"5 1 2 5 6 12 31111 6 M59 50000 000223 0000E 00001 00256*")</f>
        <v>0</v>
      </c>
      <c r="H4786" s="83">
        <f t="shared" si="75"/>
        <v>3012.91</v>
      </c>
      <c r="I4786" s="83"/>
      <c r="K4786" s="54" t="s">
        <v>15</v>
      </c>
    </row>
    <row r="4787" spans="2:11" ht="33" x14ac:dyDescent="0.2">
      <c r="B4787" s="82" t="s">
        <v>7494</v>
      </c>
      <c r="C4787" s="82" t="s">
        <v>1051</v>
      </c>
      <c r="D4787" s="83">
        <f>SUMIFS(D4788:D6462,K4788:K6462,"0",B4788:B6462,"5 1 2 5 6 12 31111 6 M59 50000 000223 0000E 00001 00256 015*")-SUMIFS(E4788:E6462,K4788:K6462,"0",B4788:B6462,"5 1 2 5 6 12 31111 6 M59 50000 000223 0000E 00001 00256 015*")</f>
        <v>0</v>
      </c>
      <c r="E4787" s="54"/>
      <c r="F4787" s="83">
        <f>SUMIFS(F4788:F6462,K4788:K6462,"0",B4788:B6462,"5 1 2 5 6 12 31111 6 M59 50000 000223 0000E 00001 00256 015*")</f>
        <v>3012.91</v>
      </c>
      <c r="G4787" s="83">
        <f>SUMIFS(G4788:G6462,K4788:K6462,"0",B4788:B6462,"5 1 2 5 6 12 31111 6 M59 50000 000223 0000E 00001 00256 015*")</f>
        <v>0</v>
      </c>
      <c r="H4787" s="83">
        <f t="shared" si="75"/>
        <v>3012.91</v>
      </c>
      <c r="I4787" s="83"/>
      <c r="K4787" s="54" t="s">
        <v>15</v>
      </c>
    </row>
    <row r="4788" spans="2:11" ht="33" x14ac:dyDescent="0.2">
      <c r="B4788" s="82" t="s">
        <v>7495</v>
      </c>
      <c r="C4788" s="82" t="s">
        <v>5830</v>
      </c>
      <c r="D4788" s="83">
        <f>SUMIFS(D4789:D6462,K4789:K6462,"0",B4789:B6462,"5 1 2 5 6 12 31111 6 M59 50000 000223 0000E 00001 00256 015 2112000*")-SUMIFS(E4789:E6462,K4789:K6462,"0",B4789:B6462,"5 1 2 5 6 12 31111 6 M59 50000 000223 0000E 00001 00256 015 2112000*")</f>
        <v>0</v>
      </c>
      <c r="E4788" s="54"/>
      <c r="F4788" s="83">
        <f>SUMIFS(F4789:F6462,K4789:K6462,"0",B4789:B6462,"5 1 2 5 6 12 31111 6 M59 50000 000223 0000E 00001 00256 015 2112000*")</f>
        <v>3012.91</v>
      </c>
      <c r="G4788" s="83">
        <f>SUMIFS(G4789:G6462,K4789:K6462,"0",B4789:B6462,"5 1 2 5 6 12 31111 6 M59 50000 000223 0000E 00001 00256 015 2112000*")</f>
        <v>0</v>
      </c>
      <c r="H4788" s="83">
        <f t="shared" si="75"/>
        <v>3012.91</v>
      </c>
      <c r="I4788" s="83"/>
      <c r="K4788" s="54" t="s">
        <v>15</v>
      </c>
    </row>
    <row r="4789" spans="2:11" ht="33" x14ac:dyDescent="0.2">
      <c r="B4789" s="82" t="s">
        <v>7496</v>
      </c>
      <c r="C4789" s="82" t="s">
        <v>660</v>
      </c>
      <c r="D4789" s="83">
        <f>SUMIFS(D4790:D6462,K4790:K6462,"0",B4790:B6462,"5 1 2 5 6 12 31111 6 M59 50000 000223 0000E 00001 00256 015 2112000 2024*")-SUMIFS(E4790:E6462,K4790:K6462,"0",B4790:B6462,"5 1 2 5 6 12 31111 6 M59 50000 000223 0000E 00001 00256 015 2112000 2024*")</f>
        <v>0</v>
      </c>
      <c r="E4789" s="54"/>
      <c r="F4789" s="83">
        <f>SUMIFS(F4790:F6462,K4790:K6462,"0",B4790:B6462,"5 1 2 5 6 12 31111 6 M59 50000 000223 0000E 00001 00256 015 2112000 2024*")</f>
        <v>3012.91</v>
      </c>
      <c r="G4789" s="83">
        <f>SUMIFS(G4790:G6462,K4790:K6462,"0",B4790:B6462,"5 1 2 5 6 12 31111 6 M59 50000 000223 0000E 00001 00256 015 2112000 2024*")</f>
        <v>0</v>
      </c>
      <c r="H4789" s="83">
        <f t="shared" si="75"/>
        <v>3012.91</v>
      </c>
      <c r="I4789" s="83"/>
      <c r="K4789" s="54" t="s">
        <v>15</v>
      </c>
    </row>
    <row r="4790" spans="2:11" ht="41.25" x14ac:dyDescent="0.2">
      <c r="B4790" s="82" t="s">
        <v>7497</v>
      </c>
      <c r="C4790" s="82" t="s">
        <v>662</v>
      </c>
      <c r="D4790" s="83">
        <f>SUMIFS(D4791:D6462,K4791:K6462,"0",B4791:B6462,"5 1 2 5 6 12 31111 6 M59 50000 000223 0000E 00001 00256 015 2112000 2024 CP1DA424*")-SUMIFS(E4791:E6462,K4791:K6462,"0",B4791:B6462,"5 1 2 5 6 12 31111 6 M59 50000 000223 0000E 00001 00256 015 2112000 2024 CP1DA424*")</f>
        <v>0</v>
      </c>
      <c r="E4790" s="54"/>
      <c r="F4790" s="83">
        <f>SUMIFS(F4791:F6462,K4791:K6462,"0",B4791:B6462,"5 1 2 5 6 12 31111 6 M59 50000 000223 0000E 00001 00256 015 2112000 2024 CP1DA424*")</f>
        <v>3012.91</v>
      </c>
      <c r="G4790" s="83">
        <f>SUMIFS(G4791:G6462,K4791:K6462,"0",B4791:B6462,"5 1 2 5 6 12 31111 6 M59 50000 000223 0000E 00001 00256 015 2112000 2024 CP1DA424*")</f>
        <v>0</v>
      </c>
      <c r="H4790" s="83">
        <f t="shared" si="75"/>
        <v>3012.91</v>
      </c>
      <c r="I4790" s="83"/>
      <c r="K4790" s="54" t="s">
        <v>15</v>
      </c>
    </row>
    <row r="4791" spans="2:11" ht="41.25" x14ac:dyDescent="0.2">
      <c r="B4791" s="82" t="s">
        <v>7498</v>
      </c>
      <c r="C4791" s="82" t="s">
        <v>282</v>
      </c>
      <c r="D4791" s="83">
        <f>SUMIFS(D4792:D6462,K4792:K6462,"0",B4792:B6462,"5 1 2 5 6 12 31111 6 M59 50000 000223 0000E 00001 00256 015 2112000 2024 CP1DA424 001*")-SUMIFS(E4792:E6462,K4792:K6462,"0",B4792:B6462,"5 1 2 5 6 12 31111 6 M59 50000 000223 0000E 00001 00256 015 2112000 2024 CP1DA424 001*")</f>
        <v>0</v>
      </c>
      <c r="E4791" s="54"/>
      <c r="F4791" s="83">
        <f>SUMIFS(F4792:F6462,K4792:K6462,"0",B4792:B6462,"5 1 2 5 6 12 31111 6 M59 50000 000223 0000E 00001 00256 015 2112000 2024 CP1DA424 001*")</f>
        <v>3012.91</v>
      </c>
      <c r="G4791" s="83">
        <f>SUMIFS(G4792:G6462,K4792:K6462,"0",B4792:B6462,"5 1 2 5 6 12 31111 6 M59 50000 000223 0000E 00001 00256 015 2112000 2024 CP1DA424 001*")</f>
        <v>0</v>
      </c>
      <c r="H4791" s="83">
        <f t="shared" si="75"/>
        <v>3012.91</v>
      </c>
      <c r="I4791" s="83"/>
      <c r="K4791" s="54" t="s">
        <v>15</v>
      </c>
    </row>
    <row r="4792" spans="2:11" ht="41.25" x14ac:dyDescent="0.2">
      <c r="B4792" s="84" t="s">
        <v>7499</v>
      </c>
      <c r="C4792" s="84" t="s">
        <v>7470</v>
      </c>
      <c r="D4792" s="85">
        <v>0</v>
      </c>
      <c r="E4792" s="85"/>
      <c r="F4792" s="85">
        <v>3012.91</v>
      </c>
      <c r="G4792" s="85">
        <v>0</v>
      </c>
      <c r="H4792" s="85">
        <f t="shared" si="75"/>
        <v>3012.91</v>
      </c>
      <c r="I4792" s="85"/>
      <c r="K4792" s="54" t="s">
        <v>38</v>
      </c>
    </row>
    <row r="4793" spans="2:11" ht="16.5" x14ac:dyDescent="0.2">
      <c r="B4793" s="82" t="s">
        <v>7500</v>
      </c>
      <c r="C4793" s="82" t="s">
        <v>540</v>
      </c>
      <c r="D4793" s="83">
        <f>SUMIFS(D4794:D6462,K4794:K6462,"0",B4794:B6462,"5 1 2 6*")-SUMIFS(E4794:E6462,K4794:K6462,"0",B4794:B6462,"5 1 2 6*")</f>
        <v>0</v>
      </c>
      <c r="E4793" s="54"/>
      <c r="F4793" s="83">
        <f>SUMIFS(F4794:F6462,K4794:K6462,"0",B4794:B6462,"5 1 2 6*")</f>
        <v>4343591.3099999996</v>
      </c>
      <c r="G4793" s="83">
        <f>SUMIFS(G4794:G6462,K4794:K6462,"0",B4794:B6462,"5 1 2 6*")</f>
        <v>0</v>
      </c>
      <c r="H4793" s="83">
        <f t="shared" si="75"/>
        <v>4343591.3099999996</v>
      </c>
      <c r="I4793" s="83"/>
      <c r="K4793" s="54" t="s">
        <v>15</v>
      </c>
    </row>
    <row r="4794" spans="2:11" ht="16.5" x14ac:dyDescent="0.2">
      <c r="B4794" s="82" t="s">
        <v>7501</v>
      </c>
      <c r="C4794" s="82" t="s">
        <v>540</v>
      </c>
      <c r="D4794" s="83">
        <f>SUMIFS(D4795:D6462,K4795:K6462,"0",B4795:B6462,"5 1 2 6 1*")-SUMIFS(E4795:E6462,K4795:K6462,"0",B4795:B6462,"5 1 2 6 1*")</f>
        <v>0</v>
      </c>
      <c r="E4794" s="54"/>
      <c r="F4794" s="83">
        <f>SUMIFS(F4795:F6462,K4795:K6462,"0",B4795:B6462,"5 1 2 6 1*")</f>
        <v>4343591.3099999996</v>
      </c>
      <c r="G4794" s="83">
        <f>SUMIFS(G4795:G6462,K4795:K6462,"0",B4795:B6462,"5 1 2 6 1*")</f>
        <v>0</v>
      </c>
      <c r="H4794" s="83">
        <f t="shared" si="75"/>
        <v>4343591.3099999996</v>
      </c>
      <c r="I4794" s="83"/>
      <c r="K4794" s="54" t="s">
        <v>15</v>
      </c>
    </row>
    <row r="4795" spans="2:11" ht="12.75" x14ac:dyDescent="0.2">
      <c r="B4795" s="82" t="s">
        <v>7502</v>
      </c>
      <c r="C4795" s="82" t="s">
        <v>26</v>
      </c>
      <c r="D4795" s="83">
        <f>SUMIFS(D4796:D6462,K4796:K6462,"0",B4796:B6462,"5 1 2 6 1 12*")-SUMIFS(E4796:E6462,K4796:K6462,"0",B4796:B6462,"5 1 2 6 1 12*")</f>
        <v>0</v>
      </c>
      <c r="E4795" s="54"/>
      <c r="F4795" s="83">
        <f>SUMIFS(F4796:F6462,K4796:K6462,"0",B4796:B6462,"5 1 2 6 1 12*")</f>
        <v>4343591.3099999996</v>
      </c>
      <c r="G4795" s="83">
        <f>SUMIFS(G4796:G6462,K4796:K6462,"0",B4796:B6462,"5 1 2 6 1 12*")</f>
        <v>0</v>
      </c>
      <c r="H4795" s="83">
        <f t="shared" si="75"/>
        <v>4343591.3099999996</v>
      </c>
      <c r="I4795" s="83"/>
      <c r="K4795" s="54" t="s">
        <v>15</v>
      </c>
    </row>
    <row r="4796" spans="2:11" ht="16.5" x14ac:dyDescent="0.2">
      <c r="B4796" s="82" t="s">
        <v>7503</v>
      </c>
      <c r="C4796" s="82" t="s">
        <v>28</v>
      </c>
      <c r="D4796" s="83">
        <f>SUMIFS(D4797:D6462,K4797:K6462,"0",B4797:B6462,"5 1 2 6 1 12 31111*")-SUMIFS(E4797:E6462,K4797:K6462,"0",B4797:B6462,"5 1 2 6 1 12 31111*")</f>
        <v>0</v>
      </c>
      <c r="E4796" s="54"/>
      <c r="F4796" s="83">
        <f>SUMIFS(F4797:F6462,K4797:K6462,"0",B4797:B6462,"5 1 2 6 1 12 31111*")</f>
        <v>4343591.3099999996</v>
      </c>
      <c r="G4796" s="83">
        <f>SUMIFS(G4797:G6462,K4797:K6462,"0",B4797:B6462,"5 1 2 6 1 12 31111*")</f>
        <v>0</v>
      </c>
      <c r="H4796" s="83">
        <f t="shared" si="75"/>
        <v>4343591.3099999996</v>
      </c>
      <c r="I4796" s="83"/>
      <c r="K4796" s="54" t="s">
        <v>15</v>
      </c>
    </row>
    <row r="4797" spans="2:11" ht="12.75" x14ac:dyDescent="0.2">
      <c r="B4797" s="82" t="s">
        <v>7504</v>
      </c>
      <c r="C4797" s="82" t="s">
        <v>30</v>
      </c>
      <c r="D4797" s="83">
        <f>SUMIFS(D4798:D6462,K4798:K6462,"0",B4798:B6462,"5 1 2 6 1 12 31111 6*")-SUMIFS(E4798:E6462,K4798:K6462,"0",B4798:B6462,"5 1 2 6 1 12 31111 6*")</f>
        <v>0</v>
      </c>
      <c r="E4797" s="54"/>
      <c r="F4797" s="83">
        <f>SUMIFS(F4798:F6462,K4798:K6462,"0",B4798:B6462,"5 1 2 6 1 12 31111 6*")</f>
        <v>4343591.3099999996</v>
      </c>
      <c r="G4797" s="83">
        <f>SUMIFS(G4798:G6462,K4798:K6462,"0",B4798:B6462,"5 1 2 6 1 12 31111 6*")</f>
        <v>0</v>
      </c>
      <c r="H4797" s="83">
        <f t="shared" si="75"/>
        <v>4343591.3099999996</v>
      </c>
      <c r="I4797" s="83"/>
      <c r="K4797" s="54" t="s">
        <v>15</v>
      </c>
    </row>
    <row r="4798" spans="2:11" ht="16.5" x14ac:dyDescent="0.2">
      <c r="B4798" s="82" t="s">
        <v>7505</v>
      </c>
      <c r="C4798" s="82" t="s">
        <v>2284</v>
      </c>
      <c r="D4798" s="83">
        <f>SUMIFS(D4799:D6462,K4799:K6462,"0",B4799:B6462,"5 1 2 6 1 12 31111 6 M59*")-SUMIFS(E4799:E6462,K4799:K6462,"0",B4799:B6462,"5 1 2 6 1 12 31111 6 M59*")</f>
        <v>0</v>
      </c>
      <c r="E4798" s="54"/>
      <c r="F4798" s="83">
        <f>SUMIFS(F4799:F6462,K4799:K6462,"0",B4799:B6462,"5 1 2 6 1 12 31111 6 M59*")</f>
        <v>4343591.3099999996</v>
      </c>
      <c r="G4798" s="83">
        <f>SUMIFS(G4799:G6462,K4799:K6462,"0",B4799:B6462,"5 1 2 6 1 12 31111 6 M59*")</f>
        <v>0</v>
      </c>
      <c r="H4798" s="83">
        <f t="shared" si="75"/>
        <v>4343591.3099999996</v>
      </c>
      <c r="I4798" s="83"/>
      <c r="K4798" s="54" t="s">
        <v>15</v>
      </c>
    </row>
    <row r="4799" spans="2:11" ht="16.5" x14ac:dyDescent="0.2">
      <c r="B4799" s="82" t="s">
        <v>7506</v>
      </c>
      <c r="C4799" s="82" t="s">
        <v>1243</v>
      </c>
      <c r="D4799" s="83">
        <f>SUMIFS(D4800:D6462,K4800:K6462,"0",B4800:B6462,"5 1 2 6 1 12 31111 6 M59 10000*")-SUMIFS(E4800:E6462,K4800:K6462,"0",B4800:B6462,"5 1 2 6 1 12 31111 6 M59 10000*")</f>
        <v>0</v>
      </c>
      <c r="E4799" s="54"/>
      <c r="F4799" s="83">
        <f>SUMIFS(F4800:F6462,K4800:K6462,"0",B4800:B6462,"5 1 2 6 1 12 31111 6 M59 10000*")</f>
        <v>120086.01</v>
      </c>
      <c r="G4799" s="83">
        <f>SUMIFS(G4800:G6462,K4800:K6462,"0",B4800:B6462,"5 1 2 6 1 12 31111 6 M59 10000*")</f>
        <v>0</v>
      </c>
      <c r="H4799" s="83">
        <f t="shared" si="75"/>
        <v>120086.01</v>
      </c>
      <c r="I4799" s="83"/>
      <c r="K4799" s="54" t="s">
        <v>15</v>
      </c>
    </row>
    <row r="4800" spans="2:11" ht="16.5" x14ac:dyDescent="0.2">
      <c r="B4800" s="82" t="s">
        <v>7507</v>
      </c>
      <c r="C4800" s="82" t="s">
        <v>648</v>
      </c>
      <c r="D4800" s="83">
        <f>SUMIFS(D4801:D6462,K4801:K6462,"0",B4801:B6462,"5 1 2 6 1 12 31111 6 M59 10000 000132*")-SUMIFS(E4801:E6462,K4801:K6462,"0",B4801:B6462,"5 1 2 6 1 12 31111 6 M59 10000 000132*")</f>
        <v>0</v>
      </c>
      <c r="E4800" s="54"/>
      <c r="F4800" s="83">
        <f>SUMIFS(F4801:F6462,K4801:K6462,"0",B4801:B6462,"5 1 2 6 1 12 31111 6 M59 10000 000132*")</f>
        <v>120086.01</v>
      </c>
      <c r="G4800" s="83">
        <f>SUMIFS(G4801:G6462,K4801:K6462,"0",B4801:B6462,"5 1 2 6 1 12 31111 6 M59 10000 000132*")</f>
        <v>0</v>
      </c>
      <c r="H4800" s="83">
        <f t="shared" si="75"/>
        <v>120086.01</v>
      </c>
      <c r="I4800" s="83"/>
      <c r="K4800" s="54" t="s">
        <v>15</v>
      </c>
    </row>
    <row r="4801" spans="2:11" ht="24.75" x14ac:dyDescent="0.2">
      <c r="B4801" s="82" t="s">
        <v>7508</v>
      </c>
      <c r="C4801" s="82" t="s">
        <v>650</v>
      </c>
      <c r="D4801" s="83">
        <f>SUMIFS(D4802:D6462,K4802:K6462,"0",B4802:B6462,"5 1 2 6 1 12 31111 6 M59 10000 000132 0000R*")-SUMIFS(E4802:E6462,K4802:K6462,"0",B4802:B6462,"5 1 2 6 1 12 31111 6 M59 10000 000132 0000R*")</f>
        <v>0</v>
      </c>
      <c r="E4801" s="54"/>
      <c r="F4801" s="83">
        <f>SUMIFS(F4802:F6462,K4802:K6462,"0",B4802:B6462,"5 1 2 6 1 12 31111 6 M59 10000 000132 0000R*")</f>
        <v>120086.01</v>
      </c>
      <c r="G4801" s="83">
        <f>SUMIFS(G4802:G6462,K4802:K6462,"0",B4802:B6462,"5 1 2 6 1 12 31111 6 M59 10000 000132 0000R*")</f>
        <v>0</v>
      </c>
      <c r="H4801" s="83">
        <f t="shared" si="75"/>
        <v>120086.01</v>
      </c>
      <c r="I4801" s="83"/>
      <c r="K4801" s="54" t="s">
        <v>15</v>
      </c>
    </row>
    <row r="4802" spans="2:11" ht="24.75" x14ac:dyDescent="0.2">
      <c r="B4802" s="82" t="s">
        <v>7509</v>
      </c>
      <c r="C4802" s="82" t="s">
        <v>282</v>
      </c>
      <c r="D4802" s="83">
        <f>SUMIFS(D4803:D6462,K4803:K6462,"0",B4803:B6462,"5 1 2 6 1 12 31111 6 M59 10000 000132 0000R 00001*")-SUMIFS(E4803:E6462,K4803:K6462,"0",B4803:B6462,"5 1 2 6 1 12 31111 6 M59 10000 000132 0000R 00001*")</f>
        <v>0</v>
      </c>
      <c r="E4802" s="54"/>
      <c r="F4802" s="83">
        <f>SUMIFS(F4803:F6462,K4803:K6462,"0",B4803:B6462,"5 1 2 6 1 12 31111 6 M59 10000 000132 0000R 00001*")</f>
        <v>120086.01</v>
      </c>
      <c r="G4802" s="83">
        <f>SUMIFS(G4803:G6462,K4803:K6462,"0",B4803:B6462,"5 1 2 6 1 12 31111 6 M59 10000 000132 0000R 00001*")</f>
        <v>0</v>
      </c>
      <c r="H4802" s="83">
        <f t="shared" si="75"/>
        <v>120086.01</v>
      </c>
      <c r="I4802" s="83"/>
      <c r="K4802" s="54" t="s">
        <v>15</v>
      </c>
    </row>
    <row r="4803" spans="2:11" ht="24.75" x14ac:dyDescent="0.2">
      <c r="B4803" s="82" t="s">
        <v>7510</v>
      </c>
      <c r="C4803" s="82" t="s">
        <v>7511</v>
      </c>
      <c r="D4803" s="83">
        <f>SUMIFS(D4804:D6462,K4804:K6462,"0",B4804:B6462,"5 1 2 6 1 12 31111 6 M59 10000 000132 0000R 00001 00261*")-SUMIFS(E4804:E6462,K4804:K6462,"0",B4804:B6462,"5 1 2 6 1 12 31111 6 M59 10000 000132 0000R 00001 00261*")</f>
        <v>0</v>
      </c>
      <c r="E4803" s="54"/>
      <c r="F4803" s="83">
        <f>SUMIFS(F4804:F6462,K4804:K6462,"0",B4804:B6462,"5 1 2 6 1 12 31111 6 M59 10000 000132 0000R 00001 00261*")</f>
        <v>120086.01</v>
      </c>
      <c r="G4803" s="83">
        <f>SUMIFS(G4804:G6462,K4804:K6462,"0",B4804:B6462,"5 1 2 6 1 12 31111 6 M59 10000 000132 0000R 00001 00261*")</f>
        <v>0</v>
      </c>
      <c r="H4803" s="83">
        <f t="shared" si="75"/>
        <v>120086.01</v>
      </c>
      <c r="I4803" s="83"/>
      <c r="K4803" s="54" t="s">
        <v>15</v>
      </c>
    </row>
    <row r="4804" spans="2:11" ht="33" x14ac:dyDescent="0.2">
      <c r="B4804" s="82" t="s">
        <v>7512</v>
      </c>
      <c r="C4804" s="82" t="s">
        <v>1051</v>
      </c>
      <c r="D4804" s="83">
        <f>SUMIFS(D4805:D6462,K4805:K6462,"0",B4805:B6462,"5 1 2 6 1 12 31111 6 M59 10000 000132 0000R 00001 00261 015*")-SUMIFS(E4805:E6462,K4805:K6462,"0",B4805:B6462,"5 1 2 6 1 12 31111 6 M59 10000 000132 0000R 00001 00261 015*")</f>
        <v>0</v>
      </c>
      <c r="E4804" s="54"/>
      <c r="F4804" s="83">
        <f>SUMIFS(F4805:F6462,K4805:K6462,"0",B4805:B6462,"5 1 2 6 1 12 31111 6 M59 10000 000132 0000R 00001 00261 015*")</f>
        <v>120086.01</v>
      </c>
      <c r="G4804" s="83">
        <f>SUMIFS(G4805:G6462,K4805:K6462,"0",B4805:B6462,"5 1 2 6 1 12 31111 6 M59 10000 000132 0000R 00001 00261 015*")</f>
        <v>0</v>
      </c>
      <c r="H4804" s="83">
        <f t="shared" si="75"/>
        <v>120086.01</v>
      </c>
      <c r="I4804" s="83"/>
      <c r="K4804" s="54" t="s">
        <v>15</v>
      </c>
    </row>
    <row r="4805" spans="2:11" ht="33" x14ac:dyDescent="0.2">
      <c r="B4805" s="82" t="s">
        <v>7513</v>
      </c>
      <c r="C4805" s="82" t="s">
        <v>5830</v>
      </c>
      <c r="D4805" s="83">
        <f>SUMIFS(D4806:D6462,K4806:K6462,"0",B4806:B6462,"5 1 2 6 1 12 31111 6 M59 10000 000132 0000R 00001 00261 015 2112000*")-SUMIFS(E4806:E6462,K4806:K6462,"0",B4806:B6462,"5 1 2 6 1 12 31111 6 M59 10000 000132 0000R 00001 00261 015 2112000*")</f>
        <v>0</v>
      </c>
      <c r="E4805" s="54"/>
      <c r="F4805" s="83">
        <f>SUMIFS(F4806:F6462,K4806:K6462,"0",B4806:B6462,"5 1 2 6 1 12 31111 6 M59 10000 000132 0000R 00001 00261 015 2112000*")</f>
        <v>120086.01</v>
      </c>
      <c r="G4805" s="83">
        <f>SUMIFS(G4806:G6462,K4806:K6462,"0",B4806:B6462,"5 1 2 6 1 12 31111 6 M59 10000 000132 0000R 00001 00261 015 2112000*")</f>
        <v>0</v>
      </c>
      <c r="H4805" s="83">
        <f t="shared" si="75"/>
        <v>120086.01</v>
      </c>
      <c r="I4805" s="83"/>
      <c r="K4805" s="54" t="s">
        <v>15</v>
      </c>
    </row>
    <row r="4806" spans="2:11" ht="33" x14ac:dyDescent="0.2">
      <c r="B4806" s="82" t="s">
        <v>7514</v>
      </c>
      <c r="C4806" s="82" t="s">
        <v>660</v>
      </c>
      <c r="D4806" s="83">
        <f>SUMIFS(D4807:D6462,K4807:K6462,"0",B4807:B6462,"5 1 2 6 1 12 31111 6 M59 10000 000132 0000R 00001 00261 015 2112000 2024*")-SUMIFS(E4807:E6462,K4807:K6462,"0",B4807:B6462,"5 1 2 6 1 12 31111 6 M59 10000 000132 0000R 00001 00261 015 2112000 2024*")</f>
        <v>0</v>
      </c>
      <c r="E4806" s="54"/>
      <c r="F4806" s="83">
        <f>SUMIFS(F4807:F6462,K4807:K6462,"0",B4807:B6462,"5 1 2 6 1 12 31111 6 M59 10000 000132 0000R 00001 00261 015 2112000 2024*")</f>
        <v>120086.01</v>
      </c>
      <c r="G4806" s="83">
        <f>SUMIFS(G4807:G6462,K4807:K6462,"0",B4807:B6462,"5 1 2 6 1 12 31111 6 M59 10000 000132 0000R 00001 00261 015 2112000 2024*")</f>
        <v>0</v>
      </c>
      <c r="H4806" s="83">
        <f t="shared" si="75"/>
        <v>120086.01</v>
      </c>
      <c r="I4806" s="83"/>
      <c r="K4806" s="54" t="s">
        <v>15</v>
      </c>
    </row>
    <row r="4807" spans="2:11" ht="41.25" x14ac:dyDescent="0.2">
      <c r="B4807" s="82" t="s">
        <v>7515</v>
      </c>
      <c r="C4807" s="82" t="s">
        <v>662</v>
      </c>
      <c r="D4807" s="83">
        <f>SUMIFS(D4808:D6462,K4808:K6462,"0",B4808:B6462,"5 1 2 6 1 12 31111 6 M59 10000 000132 0000R 00001 00261 015 2112000 2024 CP1PM439*")-SUMIFS(E4808:E6462,K4808:K6462,"0",B4808:B6462,"5 1 2 6 1 12 31111 6 M59 10000 000132 0000R 00001 00261 015 2112000 2024 CP1PM439*")</f>
        <v>0</v>
      </c>
      <c r="E4807" s="54"/>
      <c r="F4807" s="83">
        <f>SUMIFS(F4808:F6462,K4808:K6462,"0",B4808:B6462,"5 1 2 6 1 12 31111 6 M59 10000 000132 0000R 00001 00261 015 2112000 2024 CP1PM439*")</f>
        <v>120086.01</v>
      </c>
      <c r="G4807" s="83">
        <f>SUMIFS(G4808:G6462,K4808:K6462,"0",B4808:B6462,"5 1 2 6 1 12 31111 6 M59 10000 000132 0000R 00001 00261 015 2112000 2024 CP1PM439*")</f>
        <v>0</v>
      </c>
      <c r="H4807" s="83">
        <f t="shared" si="75"/>
        <v>120086.01</v>
      </c>
      <c r="I4807" s="83"/>
      <c r="K4807" s="54" t="s">
        <v>15</v>
      </c>
    </row>
    <row r="4808" spans="2:11" ht="41.25" x14ac:dyDescent="0.2">
      <c r="B4808" s="82" t="s">
        <v>7516</v>
      </c>
      <c r="C4808" s="82" t="s">
        <v>282</v>
      </c>
      <c r="D4808" s="83">
        <f>SUMIFS(D4809:D6462,K4809:K6462,"0",B4809:B6462,"5 1 2 6 1 12 31111 6 M59 10000 000132 0000R 00001 00261 015 2112000 2024 CP1PM439 001*")-SUMIFS(E4809:E6462,K4809:K6462,"0",B4809:B6462,"5 1 2 6 1 12 31111 6 M59 10000 000132 0000R 00001 00261 015 2112000 2024 CP1PM439 001*")</f>
        <v>0</v>
      </c>
      <c r="E4808" s="54"/>
      <c r="F4808" s="83">
        <f>SUMIFS(F4809:F6462,K4809:K6462,"0",B4809:B6462,"5 1 2 6 1 12 31111 6 M59 10000 000132 0000R 00001 00261 015 2112000 2024 CP1PM439 001*")</f>
        <v>120086.01</v>
      </c>
      <c r="G4808" s="83">
        <f>SUMIFS(G4809:G6462,K4809:K6462,"0",B4809:B6462,"5 1 2 6 1 12 31111 6 M59 10000 000132 0000R 00001 00261 015 2112000 2024 CP1PM439 001*")</f>
        <v>0</v>
      </c>
      <c r="H4808" s="83">
        <f t="shared" si="75"/>
        <v>120086.01</v>
      </c>
      <c r="I4808" s="83"/>
      <c r="K4808" s="54" t="s">
        <v>15</v>
      </c>
    </row>
    <row r="4809" spans="2:11" ht="33" x14ac:dyDescent="0.2">
      <c r="B4809" s="84" t="s">
        <v>7517</v>
      </c>
      <c r="C4809" s="84" t="s">
        <v>7511</v>
      </c>
      <c r="D4809" s="85">
        <v>0</v>
      </c>
      <c r="E4809" s="85"/>
      <c r="F4809" s="85">
        <v>120086.01</v>
      </c>
      <c r="G4809" s="85">
        <v>0</v>
      </c>
      <c r="H4809" s="85">
        <f t="shared" si="75"/>
        <v>120086.01</v>
      </c>
      <c r="I4809" s="85"/>
      <c r="K4809" s="54" t="s">
        <v>38</v>
      </c>
    </row>
    <row r="4810" spans="2:11" ht="16.5" x14ac:dyDescent="0.2">
      <c r="B4810" s="82" t="s">
        <v>7535</v>
      </c>
      <c r="C4810" s="82" t="s">
        <v>1044</v>
      </c>
      <c r="D4810" s="83">
        <f>SUMIFS(D4811:D6462,K4811:K6462,"0",B4811:B6462,"5 1 2 6 1 12 31111 6 M59 20000*")-SUMIFS(E4811:E6462,K4811:K6462,"0",B4811:B6462,"5 1 2 6 1 12 31111 6 M59 20000*")</f>
        <v>0</v>
      </c>
      <c r="E4810" s="54"/>
      <c r="F4810" s="83">
        <f>SUMIFS(F4811:F6462,K4811:K6462,"0",B4811:B6462,"5 1 2 6 1 12 31111 6 M59 20000*")</f>
        <v>349.16</v>
      </c>
      <c r="G4810" s="83">
        <f>SUMIFS(G4811:G6462,K4811:K6462,"0",B4811:B6462,"5 1 2 6 1 12 31111 6 M59 20000*")</f>
        <v>0</v>
      </c>
      <c r="H4810" s="83">
        <f t="shared" si="75"/>
        <v>349.16</v>
      </c>
      <c r="I4810" s="83"/>
      <c r="K4810" s="54" t="s">
        <v>15</v>
      </c>
    </row>
    <row r="4811" spans="2:11" ht="16.5" x14ac:dyDescent="0.2">
      <c r="B4811" s="82" t="s">
        <v>7536</v>
      </c>
      <c r="C4811" s="82" t="s">
        <v>648</v>
      </c>
      <c r="D4811" s="83">
        <f>SUMIFS(D4812:D6462,K4812:K6462,"0",B4812:B6462,"5 1 2 6 1 12 31111 6 M59 20000 000132*")-SUMIFS(E4812:E6462,K4812:K6462,"0",B4812:B6462,"5 1 2 6 1 12 31111 6 M59 20000 000132*")</f>
        <v>0</v>
      </c>
      <c r="E4811" s="54"/>
      <c r="F4811" s="83">
        <f>SUMIFS(F4812:F6462,K4812:K6462,"0",B4812:B6462,"5 1 2 6 1 12 31111 6 M59 20000 000132*")</f>
        <v>349.16</v>
      </c>
      <c r="G4811" s="83">
        <f>SUMIFS(G4812:G6462,K4812:K6462,"0",B4812:B6462,"5 1 2 6 1 12 31111 6 M59 20000 000132*")</f>
        <v>0</v>
      </c>
      <c r="H4811" s="83">
        <f t="shared" si="75"/>
        <v>349.16</v>
      </c>
      <c r="I4811" s="83"/>
      <c r="K4811" s="54" t="s">
        <v>15</v>
      </c>
    </row>
    <row r="4812" spans="2:11" ht="24.75" x14ac:dyDescent="0.2">
      <c r="B4812" s="82" t="s">
        <v>7537</v>
      </c>
      <c r="C4812" s="82" t="s">
        <v>650</v>
      </c>
      <c r="D4812" s="83">
        <f>SUMIFS(D4813:D6462,K4813:K6462,"0",B4813:B6462,"5 1 2 6 1 12 31111 6 M59 20000 000132 0000R*")-SUMIFS(E4813:E6462,K4813:K6462,"0",B4813:B6462,"5 1 2 6 1 12 31111 6 M59 20000 000132 0000R*")</f>
        <v>0</v>
      </c>
      <c r="E4812" s="54"/>
      <c r="F4812" s="83">
        <f>SUMIFS(F4813:F6462,K4813:K6462,"0",B4813:B6462,"5 1 2 6 1 12 31111 6 M59 20000 000132 0000R*")</f>
        <v>349.16</v>
      </c>
      <c r="G4812" s="83">
        <f>SUMIFS(G4813:G6462,K4813:K6462,"0",B4813:B6462,"5 1 2 6 1 12 31111 6 M59 20000 000132 0000R*")</f>
        <v>0</v>
      </c>
      <c r="H4812" s="83">
        <f t="shared" si="75"/>
        <v>349.16</v>
      </c>
      <c r="I4812" s="83"/>
      <c r="K4812" s="54" t="s">
        <v>15</v>
      </c>
    </row>
    <row r="4813" spans="2:11" ht="24.75" x14ac:dyDescent="0.2">
      <c r="B4813" s="82" t="s">
        <v>7538</v>
      </c>
      <c r="C4813" s="82" t="s">
        <v>282</v>
      </c>
      <c r="D4813" s="83">
        <f>SUMIFS(D4814:D6462,K4814:K6462,"0",B4814:B6462,"5 1 2 6 1 12 31111 6 M59 20000 000132 0000R 00001*")-SUMIFS(E4814:E6462,K4814:K6462,"0",B4814:B6462,"5 1 2 6 1 12 31111 6 M59 20000 000132 0000R 00001*")</f>
        <v>0</v>
      </c>
      <c r="E4813" s="54"/>
      <c r="F4813" s="83">
        <f>SUMIFS(F4814:F6462,K4814:K6462,"0",B4814:B6462,"5 1 2 6 1 12 31111 6 M59 20000 000132 0000R 00001*")</f>
        <v>349.16</v>
      </c>
      <c r="G4813" s="83">
        <f>SUMIFS(G4814:G6462,K4814:K6462,"0",B4814:B6462,"5 1 2 6 1 12 31111 6 M59 20000 000132 0000R 00001*")</f>
        <v>0</v>
      </c>
      <c r="H4813" s="83">
        <f t="shared" si="75"/>
        <v>349.16</v>
      </c>
      <c r="I4813" s="83"/>
      <c r="K4813" s="54" t="s">
        <v>15</v>
      </c>
    </row>
    <row r="4814" spans="2:11" ht="24.75" x14ac:dyDescent="0.2">
      <c r="B4814" s="82" t="s">
        <v>7539</v>
      </c>
      <c r="C4814" s="82" t="s">
        <v>7511</v>
      </c>
      <c r="D4814" s="83">
        <f>SUMIFS(D4815:D6462,K4815:K6462,"0",B4815:B6462,"5 1 2 6 1 12 31111 6 M59 20000 000132 0000R 00001 00261*")-SUMIFS(E4815:E6462,K4815:K6462,"0",B4815:B6462,"5 1 2 6 1 12 31111 6 M59 20000 000132 0000R 00001 00261*")</f>
        <v>0</v>
      </c>
      <c r="E4814" s="54"/>
      <c r="F4814" s="83">
        <f>SUMIFS(F4815:F6462,K4815:K6462,"0",B4815:B6462,"5 1 2 6 1 12 31111 6 M59 20000 000132 0000R 00001 00261*")</f>
        <v>349.16</v>
      </c>
      <c r="G4814" s="83">
        <f>SUMIFS(G4815:G6462,K4815:K6462,"0",B4815:B6462,"5 1 2 6 1 12 31111 6 M59 20000 000132 0000R 00001 00261*")</f>
        <v>0</v>
      </c>
      <c r="H4814" s="83">
        <f t="shared" si="75"/>
        <v>349.16</v>
      </c>
      <c r="I4814" s="83"/>
      <c r="K4814" s="54" t="s">
        <v>15</v>
      </c>
    </row>
    <row r="4815" spans="2:11" ht="33" x14ac:dyDescent="0.2">
      <c r="B4815" s="82" t="s">
        <v>7540</v>
      </c>
      <c r="C4815" s="82" t="s">
        <v>1051</v>
      </c>
      <c r="D4815" s="83">
        <f>SUMIFS(D4816:D6462,K4816:K6462,"0",B4816:B6462,"5 1 2 6 1 12 31111 6 M59 20000 000132 0000R 00001 00261 015*")-SUMIFS(E4816:E6462,K4816:K6462,"0",B4816:B6462,"5 1 2 6 1 12 31111 6 M59 20000 000132 0000R 00001 00261 015*")</f>
        <v>0</v>
      </c>
      <c r="E4815" s="54"/>
      <c r="F4815" s="83">
        <f>SUMIFS(F4816:F6462,K4816:K6462,"0",B4816:B6462,"5 1 2 6 1 12 31111 6 M59 20000 000132 0000R 00001 00261 015*")</f>
        <v>349.16</v>
      </c>
      <c r="G4815" s="83">
        <f>SUMIFS(G4816:G6462,K4816:K6462,"0",B4816:B6462,"5 1 2 6 1 12 31111 6 M59 20000 000132 0000R 00001 00261 015*")</f>
        <v>0</v>
      </c>
      <c r="H4815" s="83">
        <f t="shared" si="75"/>
        <v>349.16</v>
      </c>
      <c r="I4815" s="83"/>
      <c r="K4815" s="54" t="s">
        <v>15</v>
      </c>
    </row>
    <row r="4816" spans="2:11" ht="33" x14ac:dyDescent="0.2">
      <c r="B4816" s="82" t="s">
        <v>7541</v>
      </c>
      <c r="C4816" s="82" t="s">
        <v>5830</v>
      </c>
      <c r="D4816" s="83">
        <f>SUMIFS(D4817:D6462,K4817:K6462,"0",B4817:B6462,"5 1 2 6 1 12 31111 6 M59 20000 000132 0000R 00001 00261 015 2112000*")-SUMIFS(E4817:E6462,K4817:K6462,"0",B4817:B6462,"5 1 2 6 1 12 31111 6 M59 20000 000132 0000R 00001 00261 015 2112000*")</f>
        <v>0</v>
      </c>
      <c r="E4816" s="54"/>
      <c r="F4816" s="83">
        <f>SUMIFS(F4817:F6462,K4817:K6462,"0",B4817:B6462,"5 1 2 6 1 12 31111 6 M59 20000 000132 0000R 00001 00261 015 2112000*")</f>
        <v>349.16</v>
      </c>
      <c r="G4816" s="83">
        <f>SUMIFS(G4817:G6462,K4817:K6462,"0",B4817:B6462,"5 1 2 6 1 12 31111 6 M59 20000 000132 0000R 00001 00261 015 2112000*")</f>
        <v>0</v>
      </c>
      <c r="H4816" s="83">
        <f t="shared" si="75"/>
        <v>349.16</v>
      </c>
      <c r="I4816" s="83"/>
      <c r="K4816" s="54" t="s">
        <v>15</v>
      </c>
    </row>
    <row r="4817" spans="2:11" ht="33" x14ac:dyDescent="0.2">
      <c r="B4817" s="82" t="s">
        <v>7542</v>
      </c>
      <c r="C4817" s="82" t="s">
        <v>660</v>
      </c>
      <c r="D4817" s="83">
        <f>SUMIFS(D4818:D6462,K4818:K6462,"0",B4818:B6462,"5 1 2 6 1 12 31111 6 M59 20000 000132 0000R 00001 00261 015 2112000 2024*")-SUMIFS(E4818:E6462,K4818:K6462,"0",B4818:B6462,"5 1 2 6 1 12 31111 6 M59 20000 000132 0000R 00001 00261 015 2112000 2024*")</f>
        <v>0</v>
      </c>
      <c r="E4817" s="54"/>
      <c r="F4817" s="83">
        <f>SUMIFS(F4818:F6462,K4818:K6462,"0",B4818:B6462,"5 1 2 6 1 12 31111 6 M59 20000 000132 0000R 00001 00261 015 2112000 2024*")</f>
        <v>349.16</v>
      </c>
      <c r="G4817" s="83">
        <f>SUMIFS(G4818:G6462,K4818:K6462,"0",B4818:B6462,"5 1 2 6 1 12 31111 6 M59 20000 000132 0000R 00001 00261 015 2112000 2024*")</f>
        <v>0</v>
      </c>
      <c r="H4817" s="83">
        <f t="shared" si="75"/>
        <v>349.16</v>
      </c>
      <c r="I4817" s="83"/>
      <c r="K4817" s="54" t="s">
        <v>15</v>
      </c>
    </row>
    <row r="4818" spans="2:11" ht="41.25" x14ac:dyDescent="0.2">
      <c r="B4818" s="82" t="s">
        <v>7543</v>
      </c>
      <c r="C4818" s="82" t="s">
        <v>1056</v>
      </c>
      <c r="D4818" s="83">
        <f>SUMIFS(D4819:D6462,K4819:K6462,"0",B4819:B6462,"5 1 2 6 1 12 31111 6 M59 20000 000132 0000R 00001 00261 015 2112000 2024 CP1AF389*")-SUMIFS(E4819:E6462,K4819:K6462,"0",B4819:B6462,"5 1 2 6 1 12 31111 6 M59 20000 000132 0000R 00001 00261 015 2112000 2024 CP1AF389*")</f>
        <v>0</v>
      </c>
      <c r="E4818" s="54"/>
      <c r="F4818" s="83">
        <f>SUMIFS(F4819:F6462,K4819:K6462,"0",B4819:B6462,"5 1 2 6 1 12 31111 6 M59 20000 000132 0000R 00001 00261 015 2112000 2024 CP1AF389*")</f>
        <v>349.16</v>
      </c>
      <c r="G4818" s="83">
        <f>SUMIFS(G4819:G6462,K4819:K6462,"0",B4819:B6462,"5 1 2 6 1 12 31111 6 M59 20000 000132 0000R 00001 00261 015 2112000 2024 CP1AF389*")</f>
        <v>0</v>
      </c>
      <c r="H4818" s="83">
        <f t="shared" si="75"/>
        <v>349.16</v>
      </c>
      <c r="I4818" s="83"/>
      <c r="K4818" s="54" t="s">
        <v>15</v>
      </c>
    </row>
    <row r="4819" spans="2:11" ht="41.25" x14ac:dyDescent="0.2">
      <c r="B4819" s="82" t="s">
        <v>7544</v>
      </c>
      <c r="C4819" s="82" t="s">
        <v>282</v>
      </c>
      <c r="D4819" s="83">
        <f>SUMIFS(D4820:D6462,K4820:K6462,"0",B4820:B6462,"5 1 2 6 1 12 31111 6 M59 20000 000132 0000R 00001 00261 015 2112000 2024 CP1AF389 001*")-SUMIFS(E4820:E6462,K4820:K6462,"0",B4820:B6462,"5 1 2 6 1 12 31111 6 M59 20000 000132 0000R 00001 00261 015 2112000 2024 CP1AF389 001*")</f>
        <v>0</v>
      </c>
      <c r="E4819" s="54"/>
      <c r="F4819" s="83">
        <f>SUMIFS(F4820:F6462,K4820:K6462,"0",B4820:B6462,"5 1 2 6 1 12 31111 6 M59 20000 000132 0000R 00001 00261 015 2112000 2024 CP1AF389 001*")</f>
        <v>349.16</v>
      </c>
      <c r="G4819" s="83">
        <f>SUMIFS(G4820:G6462,K4820:K6462,"0",B4820:B6462,"5 1 2 6 1 12 31111 6 M59 20000 000132 0000R 00001 00261 015 2112000 2024 CP1AF389 001*")</f>
        <v>0</v>
      </c>
      <c r="H4819" s="83">
        <f t="shared" si="75"/>
        <v>349.16</v>
      </c>
      <c r="I4819" s="83"/>
      <c r="K4819" s="54" t="s">
        <v>15</v>
      </c>
    </row>
    <row r="4820" spans="2:11" ht="41.25" x14ac:dyDescent="0.2">
      <c r="B4820" s="84" t="s">
        <v>7545</v>
      </c>
      <c r="C4820" s="84" t="s">
        <v>540</v>
      </c>
      <c r="D4820" s="85">
        <v>0</v>
      </c>
      <c r="E4820" s="85"/>
      <c r="F4820" s="85">
        <v>349.16</v>
      </c>
      <c r="G4820" s="85">
        <v>0</v>
      </c>
      <c r="H4820" s="85">
        <f t="shared" si="75"/>
        <v>349.16</v>
      </c>
      <c r="I4820" s="85"/>
      <c r="K4820" s="54" t="s">
        <v>38</v>
      </c>
    </row>
    <row r="4821" spans="2:11" ht="16.5" x14ac:dyDescent="0.2">
      <c r="B4821" s="82" t="s">
        <v>7546</v>
      </c>
      <c r="C4821" s="82" t="s">
        <v>1061</v>
      </c>
      <c r="D4821" s="83">
        <f>SUMIFS(D4822:D6462,K4822:K6462,"0",B4822:B6462,"5 1 2 6 1 12 31111 6 M59 20300*")-SUMIFS(E4822:E6462,K4822:K6462,"0",B4822:B6462,"5 1 2 6 1 12 31111 6 M59 20300*")</f>
        <v>0</v>
      </c>
      <c r="E4821" s="54"/>
      <c r="F4821" s="83">
        <f>SUMIFS(F4822:F6462,K4822:K6462,"0",B4822:B6462,"5 1 2 6 1 12 31111 6 M59 20300*")</f>
        <v>600</v>
      </c>
      <c r="G4821" s="83">
        <f>SUMIFS(G4822:G6462,K4822:K6462,"0",B4822:B6462,"5 1 2 6 1 12 31111 6 M59 20300*")</f>
        <v>0</v>
      </c>
      <c r="H4821" s="83">
        <f t="shared" si="75"/>
        <v>600</v>
      </c>
      <c r="I4821" s="83"/>
      <c r="K4821" s="54" t="s">
        <v>15</v>
      </c>
    </row>
    <row r="4822" spans="2:11" ht="16.5" x14ac:dyDescent="0.2">
      <c r="B4822" s="82" t="s">
        <v>7547</v>
      </c>
      <c r="C4822" s="82" t="s">
        <v>648</v>
      </c>
      <c r="D4822" s="83">
        <f>SUMIFS(D4823:D6462,K4823:K6462,"0",B4823:B6462,"5 1 2 6 1 12 31111 6 M59 20300 000132*")-SUMIFS(E4823:E6462,K4823:K6462,"0",B4823:B6462,"5 1 2 6 1 12 31111 6 M59 20300 000132*")</f>
        <v>0</v>
      </c>
      <c r="E4822" s="54"/>
      <c r="F4822" s="83">
        <f>SUMIFS(F4823:F6462,K4823:K6462,"0",B4823:B6462,"5 1 2 6 1 12 31111 6 M59 20300 000132*")</f>
        <v>600</v>
      </c>
      <c r="G4822" s="83">
        <f>SUMIFS(G4823:G6462,K4823:K6462,"0",B4823:B6462,"5 1 2 6 1 12 31111 6 M59 20300 000132*")</f>
        <v>0</v>
      </c>
      <c r="H4822" s="83">
        <f t="shared" si="75"/>
        <v>600</v>
      </c>
      <c r="I4822" s="83"/>
      <c r="K4822" s="54" t="s">
        <v>15</v>
      </c>
    </row>
    <row r="4823" spans="2:11" ht="24.75" x14ac:dyDescent="0.2">
      <c r="B4823" s="82" t="s">
        <v>7548</v>
      </c>
      <c r="C4823" s="82" t="s">
        <v>650</v>
      </c>
      <c r="D4823" s="83">
        <f>SUMIFS(D4824:D6462,K4824:K6462,"0",B4824:B6462,"5 1 2 6 1 12 31111 6 M59 20300 000132 0000R*")-SUMIFS(E4824:E6462,K4824:K6462,"0",B4824:B6462,"5 1 2 6 1 12 31111 6 M59 20300 000132 0000R*")</f>
        <v>0</v>
      </c>
      <c r="E4823" s="54"/>
      <c r="F4823" s="83">
        <f>SUMIFS(F4824:F6462,K4824:K6462,"0",B4824:B6462,"5 1 2 6 1 12 31111 6 M59 20300 000132 0000R*")</f>
        <v>600</v>
      </c>
      <c r="G4823" s="83">
        <f>SUMIFS(G4824:G6462,K4824:K6462,"0",B4824:B6462,"5 1 2 6 1 12 31111 6 M59 20300 000132 0000R*")</f>
        <v>0</v>
      </c>
      <c r="H4823" s="83">
        <f t="shared" si="75"/>
        <v>600</v>
      </c>
      <c r="I4823" s="83"/>
      <c r="K4823" s="54" t="s">
        <v>15</v>
      </c>
    </row>
    <row r="4824" spans="2:11" ht="24.75" x14ac:dyDescent="0.2">
      <c r="B4824" s="82" t="s">
        <v>7549</v>
      </c>
      <c r="C4824" s="82" t="s">
        <v>282</v>
      </c>
      <c r="D4824" s="83">
        <f>SUMIFS(D4825:D6462,K4825:K6462,"0",B4825:B6462,"5 1 2 6 1 12 31111 6 M59 20300 000132 0000R 00001*")-SUMIFS(E4825:E6462,K4825:K6462,"0",B4825:B6462,"5 1 2 6 1 12 31111 6 M59 20300 000132 0000R 00001*")</f>
        <v>0</v>
      </c>
      <c r="E4824" s="54"/>
      <c r="F4824" s="83">
        <f>SUMIFS(F4825:F6462,K4825:K6462,"0",B4825:B6462,"5 1 2 6 1 12 31111 6 M59 20300 000132 0000R 00001*")</f>
        <v>600</v>
      </c>
      <c r="G4824" s="83">
        <f>SUMIFS(G4825:G6462,K4825:K6462,"0",B4825:B6462,"5 1 2 6 1 12 31111 6 M59 20300 000132 0000R 00001*")</f>
        <v>0</v>
      </c>
      <c r="H4824" s="83">
        <f t="shared" si="75"/>
        <v>600</v>
      </c>
      <c r="I4824" s="83"/>
      <c r="K4824" s="54" t="s">
        <v>15</v>
      </c>
    </row>
    <row r="4825" spans="2:11" ht="24.75" x14ac:dyDescent="0.2">
      <c r="B4825" s="82" t="s">
        <v>7550</v>
      </c>
      <c r="C4825" s="82" t="s">
        <v>7511</v>
      </c>
      <c r="D4825" s="83">
        <f>SUMIFS(D4826:D6462,K4826:K6462,"0",B4826:B6462,"5 1 2 6 1 12 31111 6 M59 20300 000132 0000R 00001 00261*")-SUMIFS(E4826:E6462,K4826:K6462,"0",B4826:B6462,"5 1 2 6 1 12 31111 6 M59 20300 000132 0000R 00001 00261*")</f>
        <v>0</v>
      </c>
      <c r="E4825" s="54"/>
      <c r="F4825" s="83">
        <f>SUMIFS(F4826:F6462,K4826:K6462,"0",B4826:B6462,"5 1 2 6 1 12 31111 6 M59 20300 000132 0000R 00001 00261*")</f>
        <v>600</v>
      </c>
      <c r="G4825" s="83">
        <f>SUMIFS(G4826:G6462,K4826:K6462,"0",B4826:B6462,"5 1 2 6 1 12 31111 6 M59 20300 000132 0000R 00001 00261*")</f>
        <v>0</v>
      </c>
      <c r="H4825" s="83">
        <f t="shared" si="75"/>
        <v>600</v>
      </c>
      <c r="I4825" s="83"/>
      <c r="K4825" s="54" t="s">
        <v>15</v>
      </c>
    </row>
    <row r="4826" spans="2:11" ht="33" x14ac:dyDescent="0.2">
      <c r="B4826" s="82" t="s">
        <v>7551</v>
      </c>
      <c r="C4826" s="82" t="s">
        <v>1051</v>
      </c>
      <c r="D4826" s="83">
        <f>SUMIFS(D4827:D6462,K4827:K6462,"0",B4827:B6462,"5 1 2 6 1 12 31111 6 M59 20300 000132 0000R 00001 00261 015*")-SUMIFS(E4827:E6462,K4827:K6462,"0",B4827:B6462,"5 1 2 6 1 12 31111 6 M59 20300 000132 0000R 00001 00261 015*")</f>
        <v>0</v>
      </c>
      <c r="E4826" s="54"/>
      <c r="F4826" s="83">
        <f>SUMIFS(F4827:F6462,K4827:K6462,"0",B4827:B6462,"5 1 2 6 1 12 31111 6 M59 20300 000132 0000R 00001 00261 015*")</f>
        <v>600</v>
      </c>
      <c r="G4826" s="83">
        <f>SUMIFS(G4827:G6462,K4827:K6462,"0",B4827:B6462,"5 1 2 6 1 12 31111 6 M59 20300 000132 0000R 00001 00261 015*")</f>
        <v>0</v>
      </c>
      <c r="H4826" s="83">
        <f t="shared" si="75"/>
        <v>600</v>
      </c>
      <c r="I4826" s="83"/>
      <c r="K4826" s="54" t="s">
        <v>15</v>
      </c>
    </row>
    <row r="4827" spans="2:11" ht="33" x14ac:dyDescent="0.2">
      <c r="B4827" s="82" t="s">
        <v>7552</v>
      </c>
      <c r="C4827" s="82" t="s">
        <v>5830</v>
      </c>
      <c r="D4827" s="83">
        <f>SUMIFS(D4828:D6462,K4828:K6462,"0",B4828:B6462,"5 1 2 6 1 12 31111 6 M59 20300 000132 0000R 00001 00261 015 2112000*")-SUMIFS(E4828:E6462,K4828:K6462,"0",B4828:B6462,"5 1 2 6 1 12 31111 6 M59 20300 000132 0000R 00001 00261 015 2112000*")</f>
        <v>0</v>
      </c>
      <c r="E4827" s="54"/>
      <c r="F4827" s="83">
        <f>SUMIFS(F4828:F6462,K4828:K6462,"0",B4828:B6462,"5 1 2 6 1 12 31111 6 M59 20300 000132 0000R 00001 00261 015 2112000*")</f>
        <v>600</v>
      </c>
      <c r="G4827" s="83">
        <f>SUMIFS(G4828:G6462,K4828:K6462,"0",B4828:B6462,"5 1 2 6 1 12 31111 6 M59 20300 000132 0000R 00001 00261 015 2112000*")</f>
        <v>0</v>
      </c>
      <c r="H4827" s="83">
        <f t="shared" si="75"/>
        <v>600</v>
      </c>
      <c r="I4827" s="83"/>
      <c r="K4827" s="54" t="s">
        <v>15</v>
      </c>
    </row>
    <row r="4828" spans="2:11" ht="33" x14ac:dyDescent="0.2">
      <c r="B4828" s="82" t="s">
        <v>7553</v>
      </c>
      <c r="C4828" s="82" t="s">
        <v>660</v>
      </c>
      <c r="D4828" s="83">
        <f>SUMIFS(D4829:D6462,K4829:K6462,"0",B4829:B6462,"5 1 2 6 1 12 31111 6 M59 20300 000132 0000R 00001 00261 015 2112000 2024*")-SUMIFS(E4829:E6462,K4829:K6462,"0",B4829:B6462,"5 1 2 6 1 12 31111 6 M59 20300 000132 0000R 00001 00261 015 2112000 2024*")</f>
        <v>0</v>
      </c>
      <c r="E4828" s="54"/>
      <c r="F4828" s="83">
        <f>SUMIFS(F4829:F6462,K4829:K6462,"0",B4829:B6462,"5 1 2 6 1 12 31111 6 M59 20300 000132 0000R 00001 00261 015 2112000 2024*")</f>
        <v>600</v>
      </c>
      <c r="G4828" s="83">
        <f>SUMIFS(G4829:G6462,K4829:K6462,"0",B4829:B6462,"5 1 2 6 1 12 31111 6 M59 20300 000132 0000R 00001 00261 015 2112000 2024*")</f>
        <v>0</v>
      </c>
      <c r="H4828" s="83">
        <f t="shared" si="75"/>
        <v>600</v>
      </c>
      <c r="I4828" s="83"/>
      <c r="K4828" s="54" t="s">
        <v>15</v>
      </c>
    </row>
    <row r="4829" spans="2:11" ht="41.25" x14ac:dyDescent="0.2">
      <c r="B4829" s="82" t="s">
        <v>7554</v>
      </c>
      <c r="C4829" s="82" t="s">
        <v>662</v>
      </c>
      <c r="D4829" s="83">
        <f>SUMIFS(D4830:D6462,K4830:K6462,"0",B4830:B6462,"5 1 2 6 1 12 31111 6 M59 20300 000132 0000R 00001 00261 015 2112000 2024 CP1DE415*")-SUMIFS(E4830:E6462,K4830:K6462,"0",B4830:B6462,"5 1 2 6 1 12 31111 6 M59 20300 000132 0000R 00001 00261 015 2112000 2024 CP1DE415*")</f>
        <v>0</v>
      </c>
      <c r="E4829" s="54"/>
      <c r="F4829" s="83">
        <f>SUMIFS(F4830:F6462,K4830:K6462,"0",B4830:B6462,"5 1 2 6 1 12 31111 6 M59 20300 000132 0000R 00001 00261 015 2112000 2024 CP1DE415*")</f>
        <v>600</v>
      </c>
      <c r="G4829" s="83">
        <f>SUMIFS(G4830:G6462,K4830:K6462,"0",B4830:B6462,"5 1 2 6 1 12 31111 6 M59 20300 000132 0000R 00001 00261 015 2112000 2024 CP1DE415*")</f>
        <v>0</v>
      </c>
      <c r="H4829" s="83">
        <f t="shared" si="75"/>
        <v>600</v>
      </c>
      <c r="I4829" s="83"/>
      <c r="K4829" s="54" t="s">
        <v>15</v>
      </c>
    </row>
    <row r="4830" spans="2:11" ht="41.25" x14ac:dyDescent="0.2">
      <c r="B4830" s="82" t="s">
        <v>7555</v>
      </c>
      <c r="C4830" s="82" t="s">
        <v>282</v>
      </c>
      <c r="D4830" s="83">
        <f>SUMIFS(D4831:D6462,K4831:K6462,"0",B4831:B6462,"5 1 2 6 1 12 31111 6 M59 20300 000132 0000R 00001 00261 015 2112000 2024 CP1DE415 001*")-SUMIFS(E4831:E6462,K4831:K6462,"0",B4831:B6462,"5 1 2 6 1 12 31111 6 M59 20300 000132 0000R 00001 00261 015 2112000 2024 CP1DE415 001*")</f>
        <v>0</v>
      </c>
      <c r="E4830" s="54"/>
      <c r="F4830" s="83">
        <f>SUMIFS(F4831:F6462,K4831:K6462,"0",B4831:B6462,"5 1 2 6 1 12 31111 6 M59 20300 000132 0000R 00001 00261 015 2112000 2024 CP1DE415 001*")</f>
        <v>600</v>
      </c>
      <c r="G4830" s="83">
        <f>SUMIFS(G4831:G6462,K4831:K6462,"0",B4831:B6462,"5 1 2 6 1 12 31111 6 M59 20300 000132 0000R 00001 00261 015 2112000 2024 CP1DE415 001*")</f>
        <v>0</v>
      </c>
      <c r="H4830" s="83">
        <f t="shared" si="75"/>
        <v>600</v>
      </c>
      <c r="I4830" s="83"/>
      <c r="K4830" s="54" t="s">
        <v>15</v>
      </c>
    </row>
    <row r="4831" spans="2:11" ht="41.25" x14ac:dyDescent="0.2">
      <c r="B4831" s="84" t="s">
        <v>7556</v>
      </c>
      <c r="C4831" s="84" t="s">
        <v>7511</v>
      </c>
      <c r="D4831" s="85">
        <v>0</v>
      </c>
      <c r="E4831" s="85"/>
      <c r="F4831" s="85">
        <v>600</v>
      </c>
      <c r="G4831" s="85">
        <v>0</v>
      </c>
      <c r="H4831" s="85">
        <f t="shared" si="75"/>
        <v>600</v>
      </c>
      <c r="I4831" s="85"/>
      <c r="K4831" s="54" t="s">
        <v>38</v>
      </c>
    </row>
    <row r="4832" spans="2:11" ht="16.5" x14ac:dyDescent="0.2">
      <c r="B4832" s="82" t="s">
        <v>7567</v>
      </c>
      <c r="C4832" s="82" t="s">
        <v>3103</v>
      </c>
      <c r="D4832" s="83">
        <f>SUMIFS(D4833:D6462,K4833:K6462,"0",B4833:B6462,"5 1 2 6 1 12 31111 6 M59 20400*")-SUMIFS(E4833:E6462,K4833:K6462,"0",B4833:B6462,"5 1 2 6 1 12 31111 6 M59 20400*")</f>
        <v>0</v>
      </c>
      <c r="E4832" s="54"/>
      <c r="F4832" s="83">
        <f>SUMIFS(F4833:F6462,K4833:K6462,"0",B4833:B6462,"5 1 2 6 1 12 31111 6 M59 20400*")</f>
        <v>3837946.71</v>
      </c>
      <c r="G4832" s="83">
        <f>SUMIFS(G4833:G6462,K4833:K6462,"0",B4833:B6462,"5 1 2 6 1 12 31111 6 M59 20400*")</f>
        <v>0</v>
      </c>
      <c r="H4832" s="83">
        <f t="shared" si="75"/>
        <v>3837946.71</v>
      </c>
      <c r="I4832" s="83"/>
      <c r="K4832" s="54" t="s">
        <v>15</v>
      </c>
    </row>
    <row r="4833" spans="2:11" ht="16.5" x14ac:dyDescent="0.2">
      <c r="B4833" s="82" t="s">
        <v>7568</v>
      </c>
      <c r="C4833" s="82" t="s">
        <v>648</v>
      </c>
      <c r="D4833" s="83">
        <f>SUMIFS(D4834:D6462,K4834:K6462,"0",B4834:B6462,"5 1 2 6 1 12 31111 6 M59 20400 000132*")-SUMIFS(E4834:E6462,K4834:K6462,"0",B4834:B6462,"5 1 2 6 1 12 31111 6 M59 20400 000132*")</f>
        <v>0</v>
      </c>
      <c r="E4833" s="54"/>
      <c r="F4833" s="83">
        <f>SUMIFS(F4834:F6462,K4834:K6462,"0",B4834:B6462,"5 1 2 6 1 12 31111 6 M59 20400 000132*")</f>
        <v>3837946.71</v>
      </c>
      <c r="G4833" s="83">
        <f>SUMIFS(G4834:G6462,K4834:K6462,"0",B4834:B6462,"5 1 2 6 1 12 31111 6 M59 20400 000132*")</f>
        <v>0</v>
      </c>
      <c r="H4833" s="83">
        <f t="shared" si="75"/>
        <v>3837946.71</v>
      </c>
      <c r="I4833" s="83"/>
      <c r="K4833" s="54" t="s">
        <v>15</v>
      </c>
    </row>
    <row r="4834" spans="2:11" ht="24.75" x14ac:dyDescent="0.2">
      <c r="B4834" s="82" t="s">
        <v>7569</v>
      </c>
      <c r="C4834" s="82" t="s">
        <v>650</v>
      </c>
      <c r="D4834" s="83">
        <f>SUMIFS(D4835:D6462,K4835:K6462,"0",B4835:B6462,"5 1 2 6 1 12 31111 6 M59 20400 000132 0000R*")-SUMIFS(E4835:E6462,K4835:K6462,"0",B4835:B6462,"5 1 2 6 1 12 31111 6 M59 20400 000132 0000R*")</f>
        <v>0</v>
      </c>
      <c r="E4834" s="54"/>
      <c r="F4834" s="83">
        <f>SUMIFS(F4835:F6462,K4835:K6462,"0",B4835:B6462,"5 1 2 6 1 12 31111 6 M59 20400 000132 0000R*")</f>
        <v>3837946.71</v>
      </c>
      <c r="G4834" s="83">
        <f>SUMIFS(G4835:G6462,K4835:K6462,"0",B4835:B6462,"5 1 2 6 1 12 31111 6 M59 20400 000132 0000R*")</f>
        <v>0</v>
      </c>
      <c r="H4834" s="83">
        <f t="shared" si="75"/>
        <v>3837946.71</v>
      </c>
      <c r="I4834" s="83"/>
      <c r="K4834" s="54" t="s">
        <v>15</v>
      </c>
    </row>
    <row r="4835" spans="2:11" ht="24.75" x14ac:dyDescent="0.2">
      <c r="B4835" s="82" t="s">
        <v>7570</v>
      </c>
      <c r="C4835" s="82" t="s">
        <v>282</v>
      </c>
      <c r="D4835" s="83">
        <f>SUMIFS(D4836:D6462,K4836:K6462,"0",B4836:B6462,"5 1 2 6 1 12 31111 6 M59 20400 000132 0000R 00001*")-SUMIFS(E4836:E6462,K4836:K6462,"0",B4836:B6462,"5 1 2 6 1 12 31111 6 M59 20400 000132 0000R 00001*")</f>
        <v>0</v>
      </c>
      <c r="E4835" s="54"/>
      <c r="F4835" s="83">
        <f>SUMIFS(F4836:F6462,K4836:K6462,"0",B4836:B6462,"5 1 2 6 1 12 31111 6 M59 20400 000132 0000R 00001*")</f>
        <v>3837946.71</v>
      </c>
      <c r="G4835" s="83">
        <f>SUMIFS(G4836:G6462,K4836:K6462,"0",B4836:B6462,"5 1 2 6 1 12 31111 6 M59 20400 000132 0000R 00001*")</f>
        <v>0</v>
      </c>
      <c r="H4835" s="83">
        <f t="shared" si="75"/>
        <v>3837946.71</v>
      </c>
      <c r="I4835" s="83"/>
      <c r="K4835" s="54" t="s">
        <v>15</v>
      </c>
    </row>
    <row r="4836" spans="2:11" ht="24.75" x14ac:dyDescent="0.2">
      <c r="B4836" s="82" t="s">
        <v>7571</v>
      </c>
      <c r="C4836" s="82" t="s">
        <v>7511</v>
      </c>
      <c r="D4836" s="83">
        <f>SUMIFS(D4837:D6462,K4837:K6462,"0",B4837:B6462,"5 1 2 6 1 12 31111 6 M59 20400 000132 0000R 00001 00261*")-SUMIFS(E4837:E6462,K4837:K6462,"0",B4837:B6462,"5 1 2 6 1 12 31111 6 M59 20400 000132 0000R 00001 00261*")</f>
        <v>0</v>
      </c>
      <c r="E4836" s="54"/>
      <c r="F4836" s="83">
        <f>SUMIFS(F4837:F6462,K4837:K6462,"0",B4837:B6462,"5 1 2 6 1 12 31111 6 M59 20400 000132 0000R 00001 00261*")</f>
        <v>3837946.71</v>
      </c>
      <c r="G4836" s="83">
        <f>SUMIFS(G4837:G6462,K4837:K6462,"0",B4837:B6462,"5 1 2 6 1 12 31111 6 M59 20400 000132 0000R 00001 00261*")</f>
        <v>0</v>
      </c>
      <c r="H4836" s="83">
        <f t="shared" si="75"/>
        <v>3837946.71</v>
      </c>
      <c r="I4836" s="83"/>
      <c r="K4836" s="54" t="s">
        <v>15</v>
      </c>
    </row>
    <row r="4837" spans="2:11" ht="33" x14ac:dyDescent="0.2">
      <c r="B4837" s="82" t="s">
        <v>7572</v>
      </c>
      <c r="C4837" s="82" t="s">
        <v>1051</v>
      </c>
      <c r="D4837" s="83">
        <f>SUMIFS(D4838:D6462,K4838:K6462,"0",B4838:B6462,"5 1 2 6 1 12 31111 6 M59 20400 000132 0000R 00001 00261 015*")-SUMIFS(E4838:E6462,K4838:K6462,"0",B4838:B6462,"5 1 2 6 1 12 31111 6 M59 20400 000132 0000R 00001 00261 015*")</f>
        <v>0</v>
      </c>
      <c r="E4837" s="54"/>
      <c r="F4837" s="83">
        <f>SUMIFS(F4838:F6462,K4838:K6462,"0",B4838:B6462,"5 1 2 6 1 12 31111 6 M59 20400 000132 0000R 00001 00261 015*")</f>
        <v>3837946.71</v>
      </c>
      <c r="G4837" s="83">
        <f>SUMIFS(G4838:G6462,K4838:K6462,"0",B4838:B6462,"5 1 2 6 1 12 31111 6 M59 20400 000132 0000R 00001 00261 015*")</f>
        <v>0</v>
      </c>
      <c r="H4837" s="83">
        <f t="shared" si="75"/>
        <v>3837946.71</v>
      </c>
      <c r="I4837" s="83"/>
      <c r="K4837" s="54" t="s">
        <v>15</v>
      </c>
    </row>
    <row r="4838" spans="2:11" ht="33" x14ac:dyDescent="0.2">
      <c r="B4838" s="82" t="s">
        <v>7573</v>
      </c>
      <c r="C4838" s="82" t="s">
        <v>5830</v>
      </c>
      <c r="D4838" s="83">
        <f>SUMIFS(D4839:D6462,K4839:K6462,"0",B4839:B6462,"5 1 2 6 1 12 31111 6 M59 20400 000132 0000R 00001 00261 015 2112000*")-SUMIFS(E4839:E6462,K4839:K6462,"0",B4839:B6462,"5 1 2 6 1 12 31111 6 M59 20400 000132 0000R 00001 00261 015 2112000*")</f>
        <v>0</v>
      </c>
      <c r="E4838" s="54"/>
      <c r="F4838" s="83">
        <f>SUMIFS(F4839:F6462,K4839:K6462,"0",B4839:B6462,"5 1 2 6 1 12 31111 6 M59 20400 000132 0000R 00001 00261 015 2112000*")</f>
        <v>3837946.71</v>
      </c>
      <c r="G4838" s="83">
        <f>SUMIFS(G4839:G6462,K4839:K6462,"0",B4839:B6462,"5 1 2 6 1 12 31111 6 M59 20400 000132 0000R 00001 00261 015 2112000*")</f>
        <v>0</v>
      </c>
      <c r="H4838" s="83">
        <f t="shared" si="75"/>
        <v>3837946.71</v>
      </c>
      <c r="I4838" s="83"/>
      <c r="K4838" s="54" t="s">
        <v>15</v>
      </c>
    </row>
    <row r="4839" spans="2:11" ht="33" x14ac:dyDescent="0.2">
      <c r="B4839" s="82" t="s">
        <v>7574</v>
      </c>
      <c r="C4839" s="82" t="s">
        <v>660</v>
      </c>
      <c r="D4839" s="83">
        <f>SUMIFS(D4840:D6462,K4840:K6462,"0",B4840:B6462,"5 1 2 6 1 12 31111 6 M59 20400 000132 0000R 00001 00261 015 2112000 2024*")-SUMIFS(E4840:E6462,K4840:K6462,"0",B4840:B6462,"5 1 2 6 1 12 31111 6 M59 20400 000132 0000R 00001 00261 015 2112000 2024*")</f>
        <v>0</v>
      </c>
      <c r="E4839" s="54"/>
      <c r="F4839" s="83">
        <f>SUMIFS(F4840:F6462,K4840:K6462,"0",B4840:B6462,"5 1 2 6 1 12 31111 6 M59 20400 000132 0000R 00001 00261 015 2112000 2024*")</f>
        <v>3837946.71</v>
      </c>
      <c r="G4839" s="83">
        <f>SUMIFS(G4840:G6462,K4840:K6462,"0",B4840:B6462,"5 1 2 6 1 12 31111 6 M59 20400 000132 0000R 00001 00261 015 2112000 2024*")</f>
        <v>0</v>
      </c>
      <c r="H4839" s="83">
        <f t="shared" si="75"/>
        <v>3837946.71</v>
      </c>
      <c r="I4839" s="83"/>
      <c r="K4839" s="54" t="s">
        <v>15</v>
      </c>
    </row>
    <row r="4840" spans="2:11" ht="41.25" x14ac:dyDescent="0.2">
      <c r="B4840" s="82" t="s">
        <v>7575</v>
      </c>
      <c r="C4840" s="82" t="s">
        <v>1056</v>
      </c>
      <c r="D4840" s="83">
        <f>SUMIFS(D4841:D6462,K4841:K6462,"0",B4841:B6462,"5 1 2 6 1 12 31111 6 M59 20400 000132 0000R 00001 00261 015 2112000 2024 CP1PV404*")-SUMIFS(E4841:E6462,K4841:K6462,"0",B4841:B6462,"5 1 2 6 1 12 31111 6 M59 20400 000132 0000R 00001 00261 015 2112000 2024 CP1PV404*")</f>
        <v>0</v>
      </c>
      <c r="E4840" s="54"/>
      <c r="F4840" s="83">
        <f>SUMIFS(F4841:F6462,K4841:K6462,"0",B4841:B6462,"5 1 2 6 1 12 31111 6 M59 20400 000132 0000R 00001 00261 015 2112000 2024 CP1PV404*")</f>
        <v>3837946.71</v>
      </c>
      <c r="G4840" s="83">
        <f>SUMIFS(G4841:G6462,K4841:K6462,"0",B4841:B6462,"5 1 2 6 1 12 31111 6 M59 20400 000132 0000R 00001 00261 015 2112000 2024 CP1PV404*")</f>
        <v>0</v>
      </c>
      <c r="H4840" s="83">
        <f t="shared" si="75"/>
        <v>3837946.71</v>
      </c>
      <c r="I4840" s="83"/>
      <c r="K4840" s="54" t="s">
        <v>15</v>
      </c>
    </row>
    <row r="4841" spans="2:11" ht="41.25" x14ac:dyDescent="0.2">
      <c r="B4841" s="82" t="s">
        <v>7576</v>
      </c>
      <c r="C4841" s="82" t="s">
        <v>282</v>
      </c>
      <c r="D4841" s="83">
        <f>SUMIFS(D4842:D6462,K4842:K6462,"0",B4842:B6462,"5 1 2 6 1 12 31111 6 M59 20400 000132 0000R 00001 00261 015 2112000 2024 CP1PV404 001*")-SUMIFS(E4842:E6462,K4842:K6462,"0",B4842:B6462,"5 1 2 6 1 12 31111 6 M59 20400 000132 0000R 00001 00261 015 2112000 2024 CP1PV404 001*")</f>
        <v>0</v>
      </c>
      <c r="E4841" s="54"/>
      <c r="F4841" s="83">
        <f>SUMIFS(F4842:F6462,K4842:K6462,"0",B4842:B6462,"5 1 2 6 1 12 31111 6 M59 20400 000132 0000R 00001 00261 015 2112000 2024 CP1PV404 001*")</f>
        <v>3837946.71</v>
      </c>
      <c r="G4841" s="83">
        <f>SUMIFS(G4842:G6462,K4842:K6462,"0",B4842:B6462,"5 1 2 6 1 12 31111 6 M59 20400 000132 0000R 00001 00261 015 2112000 2024 CP1PV404 001*")</f>
        <v>0</v>
      </c>
      <c r="H4841" s="83">
        <f t="shared" si="75"/>
        <v>3837946.71</v>
      </c>
      <c r="I4841" s="83"/>
      <c r="K4841" s="54" t="s">
        <v>15</v>
      </c>
    </row>
    <row r="4842" spans="2:11" ht="41.25" x14ac:dyDescent="0.2">
      <c r="B4842" s="84" t="s">
        <v>7577</v>
      </c>
      <c r="C4842" s="84" t="s">
        <v>7578</v>
      </c>
      <c r="D4842" s="85">
        <v>0</v>
      </c>
      <c r="E4842" s="85"/>
      <c r="F4842" s="85">
        <v>3837946.71</v>
      </c>
      <c r="G4842" s="85">
        <v>0</v>
      </c>
      <c r="H4842" s="85">
        <f t="shared" si="75"/>
        <v>3837946.71</v>
      </c>
      <c r="I4842" s="85"/>
      <c r="K4842" s="54" t="s">
        <v>38</v>
      </c>
    </row>
    <row r="4843" spans="2:11" ht="16.5" x14ac:dyDescent="0.2">
      <c r="B4843" s="82" t="s">
        <v>7590</v>
      </c>
      <c r="C4843" s="82" t="s">
        <v>3138</v>
      </c>
      <c r="D4843" s="83">
        <f>SUMIFS(D4844:D6462,K4844:K6462,"0",B4844:B6462,"5 1 2 6 1 12 31111 6 M59 20700*")-SUMIFS(E4844:E6462,K4844:K6462,"0",B4844:B6462,"5 1 2 6 1 12 31111 6 M59 20700*")</f>
        <v>0</v>
      </c>
      <c r="E4843" s="54"/>
      <c r="F4843" s="83">
        <f>SUMIFS(F4844:F6462,K4844:K6462,"0",B4844:B6462,"5 1 2 6 1 12 31111 6 M59 20700*")</f>
        <v>75000</v>
      </c>
      <c r="G4843" s="83">
        <f>SUMIFS(G4844:G6462,K4844:K6462,"0",B4844:B6462,"5 1 2 6 1 12 31111 6 M59 20700*")</f>
        <v>0</v>
      </c>
      <c r="H4843" s="83">
        <f t="shared" ref="H4843:H4906" si="76">D4843 + F4843 - G4843</f>
        <v>75000</v>
      </c>
      <c r="I4843" s="83"/>
      <c r="K4843" s="54" t="s">
        <v>15</v>
      </c>
    </row>
    <row r="4844" spans="2:11" ht="16.5" x14ac:dyDescent="0.2">
      <c r="B4844" s="82" t="s">
        <v>7591</v>
      </c>
      <c r="C4844" s="82" t="s">
        <v>648</v>
      </c>
      <c r="D4844" s="83">
        <f>SUMIFS(D4845:D6462,K4845:K6462,"0",B4845:B6462,"5 1 2 6 1 12 31111 6 M59 20700 000132*")-SUMIFS(E4845:E6462,K4845:K6462,"0",B4845:B6462,"5 1 2 6 1 12 31111 6 M59 20700 000132*")</f>
        <v>0</v>
      </c>
      <c r="E4844" s="54"/>
      <c r="F4844" s="83">
        <f>SUMIFS(F4845:F6462,K4845:K6462,"0",B4845:B6462,"5 1 2 6 1 12 31111 6 M59 20700 000132*")</f>
        <v>75000</v>
      </c>
      <c r="G4844" s="83">
        <f>SUMIFS(G4845:G6462,K4845:K6462,"0",B4845:B6462,"5 1 2 6 1 12 31111 6 M59 20700 000132*")</f>
        <v>0</v>
      </c>
      <c r="H4844" s="83">
        <f t="shared" si="76"/>
        <v>75000</v>
      </c>
      <c r="I4844" s="83"/>
      <c r="K4844" s="54" t="s">
        <v>15</v>
      </c>
    </row>
    <row r="4845" spans="2:11" ht="24.75" x14ac:dyDescent="0.2">
      <c r="B4845" s="82" t="s">
        <v>7592</v>
      </c>
      <c r="C4845" s="82" t="s">
        <v>650</v>
      </c>
      <c r="D4845" s="83">
        <f>SUMIFS(D4846:D6462,K4846:K6462,"0",B4846:B6462,"5 1 2 6 1 12 31111 6 M59 20700 000132 0000R*")-SUMIFS(E4846:E6462,K4846:K6462,"0",B4846:B6462,"5 1 2 6 1 12 31111 6 M59 20700 000132 0000R*")</f>
        <v>0</v>
      </c>
      <c r="E4845" s="54"/>
      <c r="F4845" s="83">
        <f>SUMIFS(F4846:F6462,K4846:K6462,"0",B4846:B6462,"5 1 2 6 1 12 31111 6 M59 20700 000132 0000R*")</f>
        <v>75000</v>
      </c>
      <c r="G4845" s="83">
        <f>SUMIFS(G4846:G6462,K4846:K6462,"0",B4846:B6462,"5 1 2 6 1 12 31111 6 M59 20700 000132 0000R*")</f>
        <v>0</v>
      </c>
      <c r="H4845" s="83">
        <f t="shared" si="76"/>
        <v>75000</v>
      </c>
      <c r="I4845" s="83"/>
      <c r="K4845" s="54" t="s">
        <v>15</v>
      </c>
    </row>
    <row r="4846" spans="2:11" ht="24.75" x14ac:dyDescent="0.2">
      <c r="B4846" s="82" t="s">
        <v>7593</v>
      </c>
      <c r="C4846" s="82" t="s">
        <v>282</v>
      </c>
      <c r="D4846" s="83">
        <f>SUMIFS(D4847:D6462,K4847:K6462,"0",B4847:B6462,"5 1 2 6 1 12 31111 6 M59 20700 000132 0000R 00001*")-SUMIFS(E4847:E6462,K4847:K6462,"0",B4847:B6462,"5 1 2 6 1 12 31111 6 M59 20700 000132 0000R 00001*")</f>
        <v>0</v>
      </c>
      <c r="E4846" s="54"/>
      <c r="F4846" s="83">
        <f>SUMIFS(F4847:F6462,K4847:K6462,"0",B4847:B6462,"5 1 2 6 1 12 31111 6 M59 20700 000132 0000R 00001*")</f>
        <v>75000</v>
      </c>
      <c r="G4846" s="83">
        <f>SUMIFS(G4847:G6462,K4847:K6462,"0",B4847:B6462,"5 1 2 6 1 12 31111 6 M59 20700 000132 0000R 00001*")</f>
        <v>0</v>
      </c>
      <c r="H4846" s="83">
        <f t="shared" si="76"/>
        <v>75000</v>
      </c>
      <c r="I4846" s="83"/>
      <c r="K4846" s="54" t="s">
        <v>15</v>
      </c>
    </row>
    <row r="4847" spans="2:11" ht="24.75" x14ac:dyDescent="0.2">
      <c r="B4847" s="82" t="s">
        <v>7594</v>
      </c>
      <c r="C4847" s="82" t="s">
        <v>7511</v>
      </c>
      <c r="D4847" s="83">
        <f>SUMIFS(D4848:D6462,K4848:K6462,"0",B4848:B6462,"5 1 2 6 1 12 31111 6 M59 20700 000132 0000R 00001 00261*")-SUMIFS(E4848:E6462,K4848:K6462,"0",B4848:B6462,"5 1 2 6 1 12 31111 6 M59 20700 000132 0000R 00001 00261*")</f>
        <v>0</v>
      </c>
      <c r="E4847" s="54"/>
      <c r="F4847" s="83">
        <f>SUMIFS(F4848:F6462,K4848:K6462,"0",B4848:B6462,"5 1 2 6 1 12 31111 6 M59 20700 000132 0000R 00001 00261*")</f>
        <v>75000</v>
      </c>
      <c r="G4847" s="83">
        <f>SUMIFS(G4848:G6462,K4848:K6462,"0",B4848:B6462,"5 1 2 6 1 12 31111 6 M59 20700 000132 0000R 00001 00261*")</f>
        <v>0</v>
      </c>
      <c r="H4847" s="83">
        <f t="shared" si="76"/>
        <v>75000</v>
      </c>
      <c r="I4847" s="83"/>
      <c r="K4847" s="54" t="s">
        <v>15</v>
      </c>
    </row>
    <row r="4848" spans="2:11" ht="33" x14ac:dyDescent="0.2">
      <c r="B4848" s="82" t="s">
        <v>7595</v>
      </c>
      <c r="C4848" s="82" t="s">
        <v>1051</v>
      </c>
      <c r="D4848" s="83">
        <f>SUMIFS(D4849:D6462,K4849:K6462,"0",B4849:B6462,"5 1 2 6 1 12 31111 6 M59 20700 000132 0000R 00001 00261 015*")-SUMIFS(E4849:E6462,K4849:K6462,"0",B4849:B6462,"5 1 2 6 1 12 31111 6 M59 20700 000132 0000R 00001 00261 015*")</f>
        <v>0</v>
      </c>
      <c r="E4848" s="54"/>
      <c r="F4848" s="83">
        <f>SUMIFS(F4849:F6462,K4849:K6462,"0",B4849:B6462,"5 1 2 6 1 12 31111 6 M59 20700 000132 0000R 00001 00261 015*")</f>
        <v>75000</v>
      </c>
      <c r="G4848" s="83">
        <f>SUMIFS(G4849:G6462,K4849:K6462,"0",B4849:B6462,"5 1 2 6 1 12 31111 6 M59 20700 000132 0000R 00001 00261 015*")</f>
        <v>0</v>
      </c>
      <c r="H4848" s="83">
        <f t="shared" si="76"/>
        <v>75000</v>
      </c>
      <c r="I4848" s="83"/>
      <c r="K4848" s="54" t="s">
        <v>15</v>
      </c>
    </row>
    <row r="4849" spans="2:11" ht="33" x14ac:dyDescent="0.2">
      <c r="B4849" s="82" t="s">
        <v>7596</v>
      </c>
      <c r="C4849" s="82" t="s">
        <v>5830</v>
      </c>
      <c r="D4849" s="83">
        <f>SUMIFS(D4850:D6462,K4850:K6462,"0",B4850:B6462,"5 1 2 6 1 12 31111 6 M59 20700 000132 0000R 00001 00261 015 2112000*")-SUMIFS(E4850:E6462,K4850:K6462,"0",B4850:B6462,"5 1 2 6 1 12 31111 6 M59 20700 000132 0000R 00001 00261 015 2112000*")</f>
        <v>0</v>
      </c>
      <c r="E4849" s="54"/>
      <c r="F4849" s="83">
        <f>SUMIFS(F4850:F6462,K4850:K6462,"0",B4850:B6462,"5 1 2 6 1 12 31111 6 M59 20700 000132 0000R 00001 00261 015 2112000*")</f>
        <v>75000</v>
      </c>
      <c r="G4849" s="83">
        <f>SUMIFS(G4850:G6462,K4850:K6462,"0",B4850:B6462,"5 1 2 6 1 12 31111 6 M59 20700 000132 0000R 00001 00261 015 2112000*")</f>
        <v>0</v>
      </c>
      <c r="H4849" s="83">
        <f t="shared" si="76"/>
        <v>75000</v>
      </c>
      <c r="I4849" s="83"/>
      <c r="K4849" s="54" t="s">
        <v>15</v>
      </c>
    </row>
    <row r="4850" spans="2:11" ht="33" x14ac:dyDescent="0.2">
      <c r="B4850" s="82" t="s">
        <v>7597</v>
      </c>
      <c r="C4850" s="82" t="s">
        <v>660</v>
      </c>
      <c r="D4850" s="83">
        <f>SUMIFS(D4851:D6462,K4851:K6462,"0",B4851:B6462,"5 1 2 6 1 12 31111 6 M59 20700 000132 0000R 00001 00261 015 2112000 2024*")-SUMIFS(E4851:E6462,K4851:K6462,"0",B4851:B6462,"5 1 2 6 1 12 31111 6 M59 20700 000132 0000R 00001 00261 015 2112000 2024*")</f>
        <v>0</v>
      </c>
      <c r="E4850" s="54"/>
      <c r="F4850" s="83">
        <f>SUMIFS(F4851:F6462,K4851:K6462,"0",B4851:B6462,"5 1 2 6 1 12 31111 6 M59 20700 000132 0000R 00001 00261 015 2112000 2024*")</f>
        <v>75000</v>
      </c>
      <c r="G4850" s="83">
        <f>SUMIFS(G4851:G6462,K4851:K6462,"0",B4851:B6462,"5 1 2 6 1 12 31111 6 M59 20700 000132 0000R 00001 00261 015 2112000 2024*")</f>
        <v>0</v>
      </c>
      <c r="H4850" s="83">
        <f t="shared" si="76"/>
        <v>75000</v>
      </c>
      <c r="I4850" s="83"/>
      <c r="K4850" s="54" t="s">
        <v>15</v>
      </c>
    </row>
    <row r="4851" spans="2:11" ht="41.25" x14ac:dyDescent="0.2">
      <c r="B4851" s="82" t="s">
        <v>7598</v>
      </c>
      <c r="C4851" s="82" t="s">
        <v>662</v>
      </c>
      <c r="D4851" s="83">
        <f>SUMIFS(D4852:D6462,K4852:K6462,"0",B4852:B6462,"5 1 2 6 1 12 31111 6 M59 20700 000132 0000R 00001 00261 015 2112000 2024 CP1RM401*")-SUMIFS(E4852:E6462,K4852:K6462,"0",B4852:B6462,"5 1 2 6 1 12 31111 6 M59 20700 000132 0000R 00001 00261 015 2112000 2024 CP1RM401*")</f>
        <v>0</v>
      </c>
      <c r="E4851" s="54"/>
      <c r="F4851" s="83">
        <f>SUMIFS(F4852:F6462,K4852:K6462,"0",B4852:B6462,"5 1 2 6 1 12 31111 6 M59 20700 000132 0000R 00001 00261 015 2112000 2024 CP1RM401*")</f>
        <v>75000</v>
      </c>
      <c r="G4851" s="83">
        <f>SUMIFS(G4852:G6462,K4852:K6462,"0",B4852:B6462,"5 1 2 6 1 12 31111 6 M59 20700 000132 0000R 00001 00261 015 2112000 2024 CP1RM401*")</f>
        <v>0</v>
      </c>
      <c r="H4851" s="83">
        <f t="shared" si="76"/>
        <v>75000</v>
      </c>
      <c r="I4851" s="83"/>
      <c r="K4851" s="54" t="s">
        <v>15</v>
      </c>
    </row>
    <row r="4852" spans="2:11" ht="41.25" x14ac:dyDescent="0.2">
      <c r="B4852" s="82" t="s">
        <v>7599</v>
      </c>
      <c r="C4852" s="82" t="s">
        <v>282</v>
      </c>
      <c r="D4852" s="83">
        <f>SUMIFS(D4853:D6462,K4853:K6462,"0",B4853:B6462,"5 1 2 6 1 12 31111 6 M59 20700 000132 0000R 00001 00261 015 2112000 2024 CP1RM401 001*")-SUMIFS(E4853:E6462,K4853:K6462,"0",B4853:B6462,"5 1 2 6 1 12 31111 6 M59 20700 000132 0000R 00001 00261 015 2112000 2024 CP1RM401 001*")</f>
        <v>0</v>
      </c>
      <c r="E4852" s="54"/>
      <c r="F4852" s="83">
        <f>SUMIFS(F4853:F6462,K4853:K6462,"0",B4853:B6462,"5 1 2 6 1 12 31111 6 M59 20700 000132 0000R 00001 00261 015 2112000 2024 CP1RM401 001*")</f>
        <v>75000</v>
      </c>
      <c r="G4852" s="83">
        <f>SUMIFS(G4853:G6462,K4853:K6462,"0",B4853:B6462,"5 1 2 6 1 12 31111 6 M59 20700 000132 0000R 00001 00261 015 2112000 2024 CP1RM401 001*")</f>
        <v>0</v>
      </c>
      <c r="H4852" s="83">
        <f t="shared" si="76"/>
        <v>75000</v>
      </c>
      <c r="I4852" s="83"/>
      <c r="K4852" s="54" t="s">
        <v>15</v>
      </c>
    </row>
    <row r="4853" spans="2:11" ht="33" x14ac:dyDescent="0.2">
      <c r="B4853" s="84" t="s">
        <v>7600</v>
      </c>
      <c r="C4853" s="84" t="s">
        <v>7511</v>
      </c>
      <c r="D4853" s="85">
        <v>0</v>
      </c>
      <c r="E4853" s="85"/>
      <c r="F4853" s="85">
        <v>75000</v>
      </c>
      <c r="G4853" s="85">
        <v>0</v>
      </c>
      <c r="H4853" s="85">
        <f t="shared" si="76"/>
        <v>75000</v>
      </c>
      <c r="I4853" s="85"/>
      <c r="K4853" s="54" t="s">
        <v>38</v>
      </c>
    </row>
    <row r="4854" spans="2:11" ht="16.5" x14ac:dyDescent="0.2">
      <c r="B4854" s="82" t="s">
        <v>7601</v>
      </c>
      <c r="C4854" s="82" t="s">
        <v>646</v>
      </c>
      <c r="D4854" s="83">
        <f>SUMIFS(D4855:D6462,K4855:K6462,"0",B4855:B6462,"5 1 2 6 1 12 31111 6 M59 30100*")-SUMIFS(E4855:E6462,K4855:K6462,"0",B4855:B6462,"5 1 2 6 1 12 31111 6 M59 30100*")</f>
        <v>0</v>
      </c>
      <c r="E4854" s="54"/>
      <c r="F4854" s="83">
        <f>SUMIFS(F4855:F6462,K4855:K6462,"0",B4855:B6462,"5 1 2 6 1 12 31111 6 M59 30100*")</f>
        <v>90000</v>
      </c>
      <c r="G4854" s="83">
        <f>SUMIFS(G4855:G6462,K4855:K6462,"0",B4855:B6462,"5 1 2 6 1 12 31111 6 M59 30100*")</f>
        <v>0</v>
      </c>
      <c r="H4854" s="83">
        <f t="shared" si="76"/>
        <v>90000</v>
      </c>
      <c r="I4854" s="83"/>
      <c r="K4854" s="54" t="s">
        <v>15</v>
      </c>
    </row>
    <row r="4855" spans="2:11" ht="16.5" x14ac:dyDescent="0.2">
      <c r="B4855" s="82" t="s">
        <v>7602</v>
      </c>
      <c r="C4855" s="82" t="s">
        <v>648</v>
      </c>
      <c r="D4855" s="83">
        <f>SUMIFS(D4856:D6462,K4856:K6462,"0",B4856:B6462,"5 1 2 6 1 12 31111 6 M59 30100 000132*")-SUMIFS(E4856:E6462,K4856:K6462,"0",B4856:B6462,"5 1 2 6 1 12 31111 6 M59 30100 000132*")</f>
        <v>0</v>
      </c>
      <c r="E4855" s="54"/>
      <c r="F4855" s="83">
        <f>SUMIFS(F4856:F6462,K4856:K6462,"0",B4856:B6462,"5 1 2 6 1 12 31111 6 M59 30100 000132*")</f>
        <v>90000</v>
      </c>
      <c r="G4855" s="83">
        <f>SUMIFS(G4856:G6462,K4856:K6462,"0",B4856:B6462,"5 1 2 6 1 12 31111 6 M59 30100 000132*")</f>
        <v>0</v>
      </c>
      <c r="H4855" s="83">
        <f t="shared" si="76"/>
        <v>90000</v>
      </c>
      <c r="I4855" s="83"/>
      <c r="K4855" s="54" t="s">
        <v>15</v>
      </c>
    </row>
    <row r="4856" spans="2:11" ht="24.75" x14ac:dyDescent="0.2">
      <c r="B4856" s="82" t="s">
        <v>7603</v>
      </c>
      <c r="C4856" s="82" t="s">
        <v>650</v>
      </c>
      <c r="D4856" s="83">
        <f>SUMIFS(D4857:D6462,K4857:K6462,"0",B4857:B6462,"5 1 2 6 1 12 31111 6 M59 30100 000132 0000R*")-SUMIFS(E4857:E6462,K4857:K6462,"0",B4857:B6462,"5 1 2 6 1 12 31111 6 M59 30100 000132 0000R*")</f>
        <v>0</v>
      </c>
      <c r="E4856" s="54"/>
      <c r="F4856" s="83">
        <f>SUMIFS(F4857:F6462,K4857:K6462,"0",B4857:B6462,"5 1 2 6 1 12 31111 6 M59 30100 000132 0000R*")</f>
        <v>90000</v>
      </c>
      <c r="G4856" s="83">
        <f>SUMIFS(G4857:G6462,K4857:K6462,"0",B4857:B6462,"5 1 2 6 1 12 31111 6 M59 30100 000132 0000R*")</f>
        <v>0</v>
      </c>
      <c r="H4856" s="83">
        <f t="shared" si="76"/>
        <v>90000</v>
      </c>
      <c r="I4856" s="83"/>
      <c r="K4856" s="54" t="s">
        <v>15</v>
      </c>
    </row>
    <row r="4857" spans="2:11" ht="24.75" x14ac:dyDescent="0.2">
      <c r="B4857" s="82" t="s">
        <v>7604</v>
      </c>
      <c r="C4857" s="82" t="s">
        <v>282</v>
      </c>
      <c r="D4857" s="83">
        <f>SUMIFS(D4858:D6462,K4858:K6462,"0",B4858:B6462,"5 1 2 6 1 12 31111 6 M59 30100 000132 0000R 00001*")-SUMIFS(E4858:E6462,K4858:K6462,"0",B4858:B6462,"5 1 2 6 1 12 31111 6 M59 30100 000132 0000R 00001*")</f>
        <v>0</v>
      </c>
      <c r="E4857" s="54"/>
      <c r="F4857" s="83">
        <f>SUMIFS(F4858:F6462,K4858:K6462,"0",B4858:B6462,"5 1 2 6 1 12 31111 6 M59 30100 000132 0000R 00001*")</f>
        <v>90000</v>
      </c>
      <c r="G4857" s="83">
        <f>SUMIFS(G4858:G6462,K4858:K6462,"0",B4858:B6462,"5 1 2 6 1 12 31111 6 M59 30100 000132 0000R 00001*")</f>
        <v>0</v>
      </c>
      <c r="H4857" s="83">
        <f t="shared" si="76"/>
        <v>90000</v>
      </c>
      <c r="I4857" s="83"/>
      <c r="K4857" s="54" t="s">
        <v>15</v>
      </c>
    </row>
    <row r="4858" spans="2:11" ht="24.75" x14ac:dyDescent="0.2">
      <c r="B4858" s="82" t="s">
        <v>7605</v>
      </c>
      <c r="C4858" s="82" t="s">
        <v>7511</v>
      </c>
      <c r="D4858" s="83">
        <f>SUMIFS(D4859:D6462,K4859:K6462,"0",B4859:B6462,"5 1 2 6 1 12 31111 6 M59 30100 000132 0000R 00001 00261*")-SUMIFS(E4859:E6462,K4859:K6462,"0",B4859:B6462,"5 1 2 6 1 12 31111 6 M59 30100 000132 0000R 00001 00261*")</f>
        <v>0</v>
      </c>
      <c r="E4858" s="54"/>
      <c r="F4858" s="83">
        <f>SUMIFS(F4859:F6462,K4859:K6462,"0",B4859:B6462,"5 1 2 6 1 12 31111 6 M59 30100 000132 0000R 00001 00261*")</f>
        <v>90000</v>
      </c>
      <c r="G4858" s="83">
        <f>SUMIFS(G4859:G6462,K4859:K6462,"0",B4859:B6462,"5 1 2 6 1 12 31111 6 M59 30100 000132 0000R 00001 00261*")</f>
        <v>0</v>
      </c>
      <c r="H4858" s="83">
        <f t="shared" si="76"/>
        <v>90000</v>
      </c>
      <c r="I4858" s="83"/>
      <c r="K4858" s="54" t="s">
        <v>15</v>
      </c>
    </row>
    <row r="4859" spans="2:11" ht="33" x14ac:dyDescent="0.2">
      <c r="B4859" s="82" t="s">
        <v>7606</v>
      </c>
      <c r="C4859" s="82" t="s">
        <v>1051</v>
      </c>
      <c r="D4859" s="83">
        <f>SUMIFS(D4860:D6462,K4860:K6462,"0",B4860:B6462,"5 1 2 6 1 12 31111 6 M59 30100 000132 0000R 00001 00261 015*")-SUMIFS(E4860:E6462,K4860:K6462,"0",B4860:B6462,"5 1 2 6 1 12 31111 6 M59 30100 000132 0000R 00001 00261 015*")</f>
        <v>0</v>
      </c>
      <c r="E4859" s="54"/>
      <c r="F4859" s="83">
        <f>SUMIFS(F4860:F6462,K4860:K6462,"0",B4860:B6462,"5 1 2 6 1 12 31111 6 M59 30100 000132 0000R 00001 00261 015*")</f>
        <v>90000</v>
      </c>
      <c r="G4859" s="83">
        <f>SUMIFS(G4860:G6462,K4860:K6462,"0",B4860:B6462,"5 1 2 6 1 12 31111 6 M59 30100 000132 0000R 00001 00261 015*")</f>
        <v>0</v>
      </c>
      <c r="H4859" s="83">
        <f t="shared" si="76"/>
        <v>90000</v>
      </c>
      <c r="I4859" s="83"/>
      <c r="K4859" s="54" t="s">
        <v>15</v>
      </c>
    </row>
    <row r="4860" spans="2:11" ht="33" x14ac:dyDescent="0.2">
      <c r="B4860" s="82" t="s">
        <v>7607</v>
      </c>
      <c r="C4860" s="82" t="s">
        <v>5830</v>
      </c>
      <c r="D4860" s="83">
        <f>SUMIFS(D4861:D6462,K4861:K6462,"0",B4861:B6462,"5 1 2 6 1 12 31111 6 M59 30100 000132 0000R 00001 00261 015 2112000*")-SUMIFS(E4861:E6462,K4861:K6462,"0",B4861:B6462,"5 1 2 6 1 12 31111 6 M59 30100 000132 0000R 00001 00261 015 2112000*")</f>
        <v>0</v>
      </c>
      <c r="E4860" s="54"/>
      <c r="F4860" s="83">
        <f>SUMIFS(F4861:F6462,K4861:K6462,"0",B4861:B6462,"5 1 2 6 1 12 31111 6 M59 30100 000132 0000R 00001 00261 015 2112000*")</f>
        <v>90000</v>
      </c>
      <c r="G4860" s="83">
        <f>SUMIFS(G4861:G6462,K4861:K6462,"0",B4861:B6462,"5 1 2 6 1 12 31111 6 M59 30100 000132 0000R 00001 00261 015 2112000*")</f>
        <v>0</v>
      </c>
      <c r="H4860" s="83">
        <f t="shared" si="76"/>
        <v>90000</v>
      </c>
      <c r="I4860" s="83"/>
      <c r="K4860" s="54" t="s">
        <v>15</v>
      </c>
    </row>
    <row r="4861" spans="2:11" ht="33" x14ac:dyDescent="0.2">
      <c r="B4861" s="82" t="s">
        <v>7608</v>
      </c>
      <c r="C4861" s="82" t="s">
        <v>660</v>
      </c>
      <c r="D4861" s="83">
        <f>SUMIFS(D4862:D6462,K4862:K6462,"0",B4862:B6462,"5 1 2 6 1 12 31111 6 M59 30100 000132 0000R 00001 00261 015 2112000 2024*")-SUMIFS(E4862:E6462,K4862:K6462,"0",B4862:B6462,"5 1 2 6 1 12 31111 6 M59 30100 000132 0000R 00001 00261 015 2112000 2024*")</f>
        <v>0</v>
      </c>
      <c r="E4861" s="54"/>
      <c r="F4861" s="83">
        <f>SUMIFS(F4862:F6462,K4862:K6462,"0",B4862:B6462,"5 1 2 6 1 12 31111 6 M59 30100 000132 0000R 00001 00261 015 2112000 2024*")</f>
        <v>90000</v>
      </c>
      <c r="G4861" s="83">
        <f>SUMIFS(G4862:G6462,K4862:K6462,"0",B4862:B6462,"5 1 2 6 1 12 31111 6 M59 30100 000132 0000R 00001 00261 015 2112000 2024*")</f>
        <v>0</v>
      </c>
      <c r="H4861" s="83">
        <f t="shared" si="76"/>
        <v>90000</v>
      </c>
      <c r="I4861" s="83"/>
      <c r="K4861" s="54" t="s">
        <v>15</v>
      </c>
    </row>
    <row r="4862" spans="2:11" ht="41.25" x14ac:dyDescent="0.2">
      <c r="B4862" s="82" t="s">
        <v>7609</v>
      </c>
      <c r="C4862" s="82" t="s">
        <v>662</v>
      </c>
      <c r="D4862" s="83">
        <f>SUMIFS(D4863:D6462,K4863:K6462,"0",B4863:B6462,"5 1 2 6 1 12 31111 6 M59 30100 000132 0000R 00001 00261 015 2112000 2024 CP1OP405*")-SUMIFS(E4863:E6462,K4863:K6462,"0",B4863:B6462,"5 1 2 6 1 12 31111 6 M59 30100 000132 0000R 00001 00261 015 2112000 2024 CP1OP405*")</f>
        <v>0</v>
      </c>
      <c r="E4862" s="54"/>
      <c r="F4862" s="83">
        <f>SUMIFS(F4863:F6462,K4863:K6462,"0",B4863:B6462,"5 1 2 6 1 12 31111 6 M59 30100 000132 0000R 00001 00261 015 2112000 2024 CP1OP405*")</f>
        <v>90000</v>
      </c>
      <c r="G4862" s="83">
        <f>SUMIFS(G4863:G6462,K4863:K6462,"0",B4863:B6462,"5 1 2 6 1 12 31111 6 M59 30100 000132 0000R 00001 00261 015 2112000 2024 CP1OP405*")</f>
        <v>0</v>
      </c>
      <c r="H4862" s="83">
        <f t="shared" si="76"/>
        <v>90000</v>
      </c>
      <c r="I4862" s="83"/>
      <c r="K4862" s="54" t="s">
        <v>15</v>
      </c>
    </row>
    <row r="4863" spans="2:11" ht="41.25" x14ac:dyDescent="0.2">
      <c r="B4863" s="82" t="s">
        <v>7610</v>
      </c>
      <c r="C4863" s="82" t="s">
        <v>282</v>
      </c>
      <c r="D4863" s="83">
        <f>SUMIFS(D4864:D6462,K4864:K6462,"0",B4864:B6462,"5 1 2 6 1 12 31111 6 M59 30100 000132 0000R 00001 00261 015 2112000 2024 CP1OP405 001*")-SUMIFS(E4864:E6462,K4864:K6462,"0",B4864:B6462,"5 1 2 6 1 12 31111 6 M59 30100 000132 0000R 00001 00261 015 2112000 2024 CP1OP405 001*")</f>
        <v>0</v>
      </c>
      <c r="E4863" s="54"/>
      <c r="F4863" s="83">
        <f>SUMIFS(F4864:F6462,K4864:K6462,"0",B4864:B6462,"5 1 2 6 1 12 31111 6 M59 30100 000132 0000R 00001 00261 015 2112000 2024 CP1OP405 001*")</f>
        <v>90000</v>
      </c>
      <c r="G4863" s="83">
        <f>SUMIFS(G4864:G6462,K4864:K6462,"0",B4864:B6462,"5 1 2 6 1 12 31111 6 M59 30100 000132 0000R 00001 00261 015 2112000 2024 CP1OP405 001*")</f>
        <v>0</v>
      </c>
      <c r="H4863" s="83">
        <f t="shared" si="76"/>
        <v>90000</v>
      </c>
      <c r="I4863" s="83"/>
      <c r="K4863" s="54" t="s">
        <v>15</v>
      </c>
    </row>
    <row r="4864" spans="2:11" ht="33" x14ac:dyDescent="0.2">
      <c r="B4864" s="84" t="s">
        <v>7611</v>
      </c>
      <c r="C4864" s="84" t="s">
        <v>7511</v>
      </c>
      <c r="D4864" s="85">
        <v>0</v>
      </c>
      <c r="E4864" s="85"/>
      <c r="F4864" s="85">
        <v>90000</v>
      </c>
      <c r="G4864" s="85">
        <v>0</v>
      </c>
      <c r="H4864" s="85">
        <f t="shared" si="76"/>
        <v>90000</v>
      </c>
      <c r="I4864" s="85"/>
      <c r="K4864" s="54" t="s">
        <v>38</v>
      </c>
    </row>
    <row r="4865" spans="2:11" ht="16.5" x14ac:dyDescent="0.2">
      <c r="B4865" s="82" t="s">
        <v>7645</v>
      </c>
      <c r="C4865" s="82" t="s">
        <v>3281</v>
      </c>
      <c r="D4865" s="83">
        <f>SUMIFS(D4866:D6462,K4866:K6462,"0",B4866:B6462,"5 1 2 6 1 12 31111 6 M59 50000*")-SUMIFS(E4866:E6462,K4866:K6462,"0",B4866:B6462,"5 1 2 6 1 12 31111 6 M59 50000*")</f>
        <v>0</v>
      </c>
      <c r="E4865" s="54"/>
      <c r="F4865" s="83">
        <f>SUMIFS(F4866:F6462,K4866:K6462,"0",B4866:B6462,"5 1 2 6 1 12 31111 6 M59 50000*")</f>
        <v>85000</v>
      </c>
      <c r="G4865" s="83">
        <f>SUMIFS(G4866:G6462,K4866:K6462,"0",B4866:B6462,"5 1 2 6 1 12 31111 6 M59 50000*")</f>
        <v>0</v>
      </c>
      <c r="H4865" s="83">
        <f t="shared" si="76"/>
        <v>85000</v>
      </c>
      <c r="I4865" s="83"/>
      <c r="K4865" s="54" t="s">
        <v>15</v>
      </c>
    </row>
    <row r="4866" spans="2:11" ht="16.5" x14ac:dyDescent="0.2">
      <c r="B4866" s="82" t="s">
        <v>7646</v>
      </c>
      <c r="C4866" s="82" t="s">
        <v>3283</v>
      </c>
      <c r="D4866" s="83">
        <f>SUMIFS(D4867:D6462,K4867:K6462,"0",B4867:B6462,"5 1 2 6 1 12 31111 6 M59 50000 000223*")-SUMIFS(E4867:E6462,K4867:K6462,"0",B4867:B6462,"5 1 2 6 1 12 31111 6 M59 50000 000223*")</f>
        <v>0</v>
      </c>
      <c r="E4866" s="54"/>
      <c r="F4866" s="83">
        <f>SUMIFS(F4867:F6462,K4867:K6462,"0",B4867:B6462,"5 1 2 6 1 12 31111 6 M59 50000 000223*")</f>
        <v>85000</v>
      </c>
      <c r="G4866" s="83">
        <f>SUMIFS(G4867:G6462,K4867:K6462,"0",B4867:B6462,"5 1 2 6 1 12 31111 6 M59 50000 000223*")</f>
        <v>0</v>
      </c>
      <c r="H4866" s="83">
        <f t="shared" si="76"/>
        <v>85000</v>
      </c>
      <c r="I4866" s="83"/>
      <c r="K4866" s="54" t="s">
        <v>15</v>
      </c>
    </row>
    <row r="4867" spans="2:11" ht="24.75" x14ac:dyDescent="0.2">
      <c r="B4867" s="82" t="s">
        <v>7647</v>
      </c>
      <c r="C4867" s="82" t="s">
        <v>1065</v>
      </c>
      <c r="D4867" s="83">
        <f>SUMIFS(D4868:D6462,K4868:K6462,"0",B4868:B6462,"5 1 2 6 1 12 31111 6 M59 50000 000223 0000E*")-SUMIFS(E4868:E6462,K4868:K6462,"0",B4868:B6462,"5 1 2 6 1 12 31111 6 M59 50000 000223 0000E*")</f>
        <v>0</v>
      </c>
      <c r="E4867" s="54"/>
      <c r="F4867" s="83">
        <f>SUMIFS(F4868:F6462,K4868:K6462,"0",B4868:B6462,"5 1 2 6 1 12 31111 6 M59 50000 000223 0000E*")</f>
        <v>85000</v>
      </c>
      <c r="G4867" s="83">
        <f>SUMIFS(G4868:G6462,K4868:K6462,"0",B4868:B6462,"5 1 2 6 1 12 31111 6 M59 50000 000223 0000E*")</f>
        <v>0</v>
      </c>
      <c r="H4867" s="83">
        <f t="shared" si="76"/>
        <v>85000</v>
      </c>
      <c r="I4867" s="83"/>
      <c r="K4867" s="54" t="s">
        <v>15</v>
      </c>
    </row>
    <row r="4868" spans="2:11" ht="24.75" x14ac:dyDescent="0.2">
      <c r="B4868" s="82" t="s">
        <v>7648</v>
      </c>
      <c r="C4868" s="82" t="s">
        <v>282</v>
      </c>
      <c r="D4868" s="83">
        <f>SUMIFS(D4869:D6462,K4869:K6462,"0",B4869:B6462,"5 1 2 6 1 12 31111 6 M59 50000 000223 0000E 00001*")-SUMIFS(E4869:E6462,K4869:K6462,"0",B4869:B6462,"5 1 2 6 1 12 31111 6 M59 50000 000223 0000E 00001*")</f>
        <v>0</v>
      </c>
      <c r="E4868" s="54"/>
      <c r="F4868" s="83">
        <f>SUMIFS(F4869:F6462,K4869:K6462,"0",B4869:B6462,"5 1 2 6 1 12 31111 6 M59 50000 000223 0000E 00001*")</f>
        <v>85000</v>
      </c>
      <c r="G4868" s="83">
        <f>SUMIFS(G4869:G6462,K4869:K6462,"0",B4869:B6462,"5 1 2 6 1 12 31111 6 M59 50000 000223 0000E 00001*")</f>
        <v>0</v>
      </c>
      <c r="H4868" s="83">
        <f t="shared" si="76"/>
        <v>85000</v>
      </c>
      <c r="I4868" s="83"/>
      <c r="K4868" s="54" t="s">
        <v>15</v>
      </c>
    </row>
    <row r="4869" spans="2:11" ht="24.75" x14ac:dyDescent="0.2">
      <c r="B4869" s="82" t="s">
        <v>7649</v>
      </c>
      <c r="C4869" s="82" t="s">
        <v>7511</v>
      </c>
      <c r="D4869" s="83">
        <f>SUMIFS(D4870:D6462,K4870:K6462,"0",B4870:B6462,"5 1 2 6 1 12 31111 6 M59 50000 000223 0000E 00001 00261*")-SUMIFS(E4870:E6462,K4870:K6462,"0",B4870:B6462,"5 1 2 6 1 12 31111 6 M59 50000 000223 0000E 00001 00261*")</f>
        <v>0</v>
      </c>
      <c r="E4869" s="54"/>
      <c r="F4869" s="83">
        <f>SUMIFS(F4870:F6462,K4870:K6462,"0",B4870:B6462,"5 1 2 6 1 12 31111 6 M59 50000 000223 0000E 00001 00261*")</f>
        <v>85000</v>
      </c>
      <c r="G4869" s="83">
        <f>SUMIFS(G4870:G6462,K4870:K6462,"0",B4870:B6462,"5 1 2 6 1 12 31111 6 M59 50000 000223 0000E 00001 00261*")</f>
        <v>0</v>
      </c>
      <c r="H4869" s="83">
        <f t="shared" si="76"/>
        <v>85000</v>
      </c>
      <c r="I4869" s="83"/>
      <c r="K4869" s="54" t="s">
        <v>15</v>
      </c>
    </row>
    <row r="4870" spans="2:11" ht="33" x14ac:dyDescent="0.2">
      <c r="B4870" s="82" t="s">
        <v>7650</v>
      </c>
      <c r="C4870" s="82" t="s">
        <v>1051</v>
      </c>
      <c r="D4870" s="83">
        <f>SUMIFS(D4871:D6462,K4871:K6462,"0",B4871:B6462,"5 1 2 6 1 12 31111 6 M59 50000 000223 0000E 00001 00261 015*")-SUMIFS(E4871:E6462,K4871:K6462,"0",B4871:B6462,"5 1 2 6 1 12 31111 6 M59 50000 000223 0000E 00001 00261 015*")</f>
        <v>0</v>
      </c>
      <c r="E4870" s="54"/>
      <c r="F4870" s="83">
        <f>SUMIFS(F4871:F6462,K4871:K6462,"0",B4871:B6462,"5 1 2 6 1 12 31111 6 M59 50000 000223 0000E 00001 00261 015*")</f>
        <v>85000</v>
      </c>
      <c r="G4870" s="83">
        <f>SUMIFS(G4871:G6462,K4871:K6462,"0",B4871:B6462,"5 1 2 6 1 12 31111 6 M59 50000 000223 0000E 00001 00261 015*")</f>
        <v>0</v>
      </c>
      <c r="H4870" s="83">
        <f t="shared" si="76"/>
        <v>85000</v>
      </c>
      <c r="I4870" s="83"/>
      <c r="K4870" s="54" t="s">
        <v>15</v>
      </c>
    </row>
    <row r="4871" spans="2:11" ht="33" x14ac:dyDescent="0.2">
      <c r="B4871" s="82" t="s">
        <v>7651</v>
      </c>
      <c r="C4871" s="82" t="s">
        <v>5830</v>
      </c>
      <c r="D4871" s="83">
        <f>SUMIFS(D4872:D6462,K4872:K6462,"0",B4872:B6462,"5 1 2 6 1 12 31111 6 M59 50000 000223 0000E 00001 00261 015 2112000*")-SUMIFS(E4872:E6462,K4872:K6462,"0",B4872:B6462,"5 1 2 6 1 12 31111 6 M59 50000 000223 0000E 00001 00261 015 2112000*")</f>
        <v>0</v>
      </c>
      <c r="E4871" s="54"/>
      <c r="F4871" s="83">
        <f>SUMIFS(F4872:F6462,K4872:K6462,"0",B4872:B6462,"5 1 2 6 1 12 31111 6 M59 50000 000223 0000E 00001 00261 015 2112000*")</f>
        <v>85000</v>
      </c>
      <c r="G4871" s="83">
        <f>SUMIFS(G4872:G6462,K4872:K6462,"0",B4872:B6462,"5 1 2 6 1 12 31111 6 M59 50000 000223 0000E 00001 00261 015 2112000*")</f>
        <v>0</v>
      </c>
      <c r="H4871" s="83">
        <f t="shared" si="76"/>
        <v>85000</v>
      </c>
      <c r="I4871" s="83"/>
      <c r="K4871" s="54" t="s">
        <v>15</v>
      </c>
    </row>
    <row r="4872" spans="2:11" ht="33" x14ac:dyDescent="0.2">
      <c r="B4872" s="82" t="s">
        <v>7652</v>
      </c>
      <c r="C4872" s="82" t="s">
        <v>660</v>
      </c>
      <c r="D4872" s="83">
        <f>SUMIFS(D4873:D6462,K4873:K6462,"0",B4873:B6462,"5 1 2 6 1 12 31111 6 M59 50000 000223 0000E 00001 00261 015 2112000 2024*")-SUMIFS(E4873:E6462,K4873:K6462,"0",B4873:B6462,"5 1 2 6 1 12 31111 6 M59 50000 000223 0000E 00001 00261 015 2112000 2024*")</f>
        <v>0</v>
      </c>
      <c r="E4872" s="54"/>
      <c r="F4872" s="83">
        <f>SUMIFS(F4873:F6462,K4873:K6462,"0",B4873:B6462,"5 1 2 6 1 12 31111 6 M59 50000 000223 0000E 00001 00261 015 2112000 2024*")</f>
        <v>85000</v>
      </c>
      <c r="G4872" s="83">
        <f>SUMIFS(G4873:G6462,K4873:K6462,"0",B4873:B6462,"5 1 2 6 1 12 31111 6 M59 50000 000223 0000E 00001 00261 015 2112000 2024*")</f>
        <v>0</v>
      </c>
      <c r="H4872" s="83">
        <f t="shared" si="76"/>
        <v>85000</v>
      </c>
      <c r="I4872" s="83"/>
      <c r="K4872" s="54" t="s">
        <v>15</v>
      </c>
    </row>
    <row r="4873" spans="2:11" ht="41.25" x14ac:dyDescent="0.2">
      <c r="B4873" s="82" t="s">
        <v>7653</v>
      </c>
      <c r="C4873" s="82" t="s">
        <v>662</v>
      </c>
      <c r="D4873" s="83">
        <f>SUMIFS(D4874:D6462,K4874:K6462,"0",B4874:B6462,"5 1 2 6 1 12 31111 6 M59 50000 000223 0000E 00001 00261 015 2112000 2024 CP1DA424*")-SUMIFS(E4874:E6462,K4874:K6462,"0",B4874:B6462,"5 1 2 6 1 12 31111 6 M59 50000 000223 0000E 00001 00261 015 2112000 2024 CP1DA424*")</f>
        <v>0</v>
      </c>
      <c r="E4873" s="54"/>
      <c r="F4873" s="83">
        <f>SUMIFS(F4874:F6462,K4874:K6462,"0",B4874:B6462,"5 1 2 6 1 12 31111 6 M59 50000 000223 0000E 00001 00261 015 2112000 2024 CP1DA424*")</f>
        <v>85000</v>
      </c>
      <c r="G4873" s="83">
        <f>SUMIFS(G4874:G6462,K4874:K6462,"0",B4874:B6462,"5 1 2 6 1 12 31111 6 M59 50000 000223 0000E 00001 00261 015 2112000 2024 CP1DA424*")</f>
        <v>0</v>
      </c>
      <c r="H4873" s="83">
        <f t="shared" si="76"/>
        <v>85000</v>
      </c>
      <c r="I4873" s="83"/>
      <c r="K4873" s="54" t="s">
        <v>15</v>
      </c>
    </row>
    <row r="4874" spans="2:11" ht="41.25" x14ac:dyDescent="0.2">
      <c r="B4874" s="82" t="s">
        <v>7654</v>
      </c>
      <c r="C4874" s="82" t="s">
        <v>282</v>
      </c>
      <c r="D4874" s="83">
        <f>SUMIFS(D4875:D6462,K4875:K6462,"0",B4875:B6462,"5 1 2 6 1 12 31111 6 M59 50000 000223 0000E 00001 00261 015 2112000 2024 CP1DA424 001*")-SUMIFS(E4875:E6462,K4875:K6462,"0",B4875:B6462,"5 1 2 6 1 12 31111 6 M59 50000 000223 0000E 00001 00261 015 2112000 2024 CP1DA424 001*")</f>
        <v>0</v>
      </c>
      <c r="E4874" s="54"/>
      <c r="F4874" s="83">
        <f>SUMIFS(F4875:F6462,K4875:K6462,"0",B4875:B6462,"5 1 2 6 1 12 31111 6 M59 50000 000223 0000E 00001 00261 015 2112000 2024 CP1DA424 001*")</f>
        <v>85000</v>
      </c>
      <c r="G4874" s="83">
        <f>SUMIFS(G4875:G6462,K4875:K6462,"0",B4875:B6462,"5 1 2 6 1 12 31111 6 M59 50000 000223 0000E 00001 00261 015 2112000 2024 CP1DA424 001*")</f>
        <v>0</v>
      </c>
      <c r="H4874" s="83">
        <f t="shared" si="76"/>
        <v>85000</v>
      </c>
      <c r="I4874" s="83"/>
      <c r="K4874" s="54" t="s">
        <v>15</v>
      </c>
    </row>
    <row r="4875" spans="2:11" ht="41.25" x14ac:dyDescent="0.2">
      <c r="B4875" s="84" t="s">
        <v>7655</v>
      </c>
      <c r="C4875" s="84" t="s">
        <v>7511</v>
      </c>
      <c r="D4875" s="85">
        <v>0</v>
      </c>
      <c r="E4875" s="85"/>
      <c r="F4875" s="85">
        <v>85000</v>
      </c>
      <c r="G4875" s="85">
        <v>0</v>
      </c>
      <c r="H4875" s="85">
        <f t="shared" si="76"/>
        <v>85000</v>
      </c>
      <c r="I4875" s="85"/>
      <c r="K4875" s="54" t="s">
        <v>38</v>
      </c>
    </row>
    <row r="4876" spans="2:11" ht="16.5" x14ac:dyDescent="0.2">
      <c r="B4876" s="82" t="s">
        <v>7660</v>
      </c>
      <c r="C4876" s="82" t="s">
        <v>1269</v>
      </c>
      <c r="D4876" s="83">
        <f>SUMIFS(D4877:D6462,K4877:K6462,"0",B4877:B6462,"5 1 2 6 1 12 31111 6 M59 60100*")-SUMIFS(E4877:E6462,K4877:K6462,"0",B4877:B6462,"5 1 2 6 1 12 31111 6 M59 60100*")</f>
        <v>0</v>
      </c>
      <c r="E4876" s="54"/>
      <c r="F4876" s="83">
        <f>SUMIFS(F4877:F6462,K4877:K6462,"0",B4877:B6462,"5 1 2 6 1 12 31111 6 M59 60100*")</f>
        <v>600</v>
      </c>
      <c r="G4876" s="83">
        <f>SUMIFS(G4877:G6462,K4877:K6462,"0",B4877:B6462,"5 1 2 6 1 12 31111 6 M59 60100*")</f>
        <v>0</v>
      </c>
      <c r="H4876" s="83">
        <f t="shared" si="76"/>
        <v>600</v>
      </c>
      <c r="I4876" s="83"/>
      <c r="K4876" s="54" t="s">
        <v>15</v>
      </c>
    </row>
    <row r="4877" spans="2:11" ht="16.5" x14ac:dyDescent="0.2">
      <c r="B4877" s="82" t="s">
        <v>7661</v>
      </c>
      <c r="C4877" s="82" t="s">
        <v>648</v>
      </c>
      <c r="D4877" s="83">
        <f>SUMIFS(D4878:D6462,K4878:K6462,"0",B4878:B6462,"5 1 2 6 1 12 31111 6 M59 60100 000132*")-SUMIFS(E4878:E6462,K4878:K6462,"0",B4878:B6462,"5 1 2 6 1 12 31111 6 M59 60100 000132*")</f>
        <v>0</v>
      </c>
      <c r="E4877" s="54"/>
      <c r="F4877" s="83">
        <f>SUMIFS(F4878:F6462,K4878:K6462,"0",B4878:B6462,"5 1 2 6 1 12 31111 6 M59 60100 000132*")</f>
        <v>600</v>
      </c>
      <c r="G4877" s="83">
        <f>SUMIFS(G4878:G6462,K4878:K6462,"0",B4878:B6462,"5 1 2 6 1 12 31111 6 M59 60100 000132*")</f>
        <v>0</v>
      </c>
      <c r="H4877" s="83">
        <f t="shared" si="76"/>
        <v>600</v>
      </c>
      <c r="I4877" s="83"/>
      <c r="K4877" s="54" t="s">
        <v>15</v>
      </c>
    </row>
    <row r="4878" spans="2:11" ht="24.75" x14ac:dyDescent="0.2">
      <c r="B4878" s="82" t="s">
        <v>7662</v>
      </c>
      <c r="C4878" s="82" t="s">
        <v>650</v>
      </c>
      <c r="D4878" s="83">
        <f>SUMIFS(D4879:D6462,K4879:K6462,"0",B4879:B6462,"5 1 2 6 1 12 31111 6 M59 60100 000132 0000R*")-SUMIFS(E4879:E6462,K4879:K6462,"0",B4879:B6462,"5 1 2 6 1 12 31111 6 M59 60100 000132 0000R*")</f>
        <v>0</v>
      </c>
      <c r="E4878" s="54"/>
      <c r="F4878" s="83">
        <f>SUMIFS(F4879:F6462,K4879:K6462,"0",B4879:B6462,"5 1 2 6 1 12 31111 6 M59 60100 000132 0000R*")</f>
        <v>600</v>
      </c>
      <c r="G4878" s="83">
        <f>SUMIFS(G4879:G6462,K4879:K6462,"0",B4879:B6462,"5 1 2 6 1 12 31111 6 M59 60100 000132 0000R*")</f>
        <v>0</v>
      </c>
      <c r="H4878" s="83">
        <f t="shared" si="76"/>
        <v>600</v>
      </c>
      <c r="I4878" s="83"/>
      <c r="K4878" s="54" t="s">
        <v>15</v>
      </c>
    </row>
    <row r="4879" spans="2:11" ht="24.75" x14ac:dyDescent="0.2">
      <c r="B4879" s="82" t="s">
        <v>7663</v>
      </c>
      <c r="C4879" s="82" t="s">
        <v>282</v>
      </c>
      <c r="D4879" s="83">
        <f>SUMIFS(D4880:D6462,K4880:K6462,"0",B4880:B6462,"5 1 2 6 1 12 31111 6 M59 60100 000132 0000R 00001*")-SUMIFS(E4880:E6462,K4880:K6462,"0",B4880:B6462,"5 1 2 6 1 12 31111 6 M59 60100 000132 0000R 00001*")</f>
        <v>0</v>
      </c>
      <c r="E4879" s="54"/>
      <c r="F4879" s="83">
        <f>SUMIFS(F4880:F6462,K4880:K6462,"0",B4880:B6462,"5 1 2 6 1 12 31111 6 M59 60100 000132 0000R 00001*")</f>
        <v>600</v>
      </c>
      <c r="G4879" s="83">
        <f>SUMIFS(G4880:G6462,K4880:K6462,"0",B4880:B6462,"5 1 2 6 1 12 31111 6 M59 60100 000132 0000R 00001*")</f>
        <v>0</v>
      </c>
      <c r="H4879" s="83">
        <f t="shared" si="76"/>
        <v>600</v>
      </c>
      <c r="I4879" s="83"/>
      <c r="K4879" s="54" t="s">
        <v>15</v>
      </c>
    </row>
    <row r="4880" spans="2:11" ht="24.75" x14ac:dyDescent="0.2">
      <c r="B4880" s="82" t="s">
        <v>7664</v>
      </c>
      <c r="C4880" s="82" t="s">
        <v>7511</v>
      </c>
      <c r="D4880" s="83">
        <f>SUMIFS(D4881:D6462,K4881:K6462,"0",B4881:B6462,"5 1 2 6 1 12 31111 6 M59 60100 000132 0000R 00001 00261*")-SUMIFS(E4881:E6462,K4881:K6462,"0",B4881:B6462,"5 1 2 6 1 12 31111 6 M59 60100 000132 0000R 00001 00261*")</f>
        <v>0</v>
      </c>
      <c r="E4880" s="54"/>
      <c r="F4880" s="83">
        <f>SUMIFS(F4881:F6462,K4881:K6462,"0",B4881:B6462,"5 1 2 6 1 12 31111 6 M59 60100 000132 0000R 00001 00261*")</f>
        <v>600</v>
      </c>
      <c r="G4880" s="83">
        <f>SUMIFS(G4881:G6462,K4881:K6462,"0",B4881:B6462,"5 1 2 6 1 12 31111 6 M59 60100 000132 0000R 00001 00261*")</f>
        <v>0</v>
      </c>
      <c r="H4880" s="83">
        <f t="shared" si="76"/>
        <v>600</v>
      </c>
      <c r="I4880" s="83"/>
      <c r="K4880" s="54" t="s">
        <v>15</v>
      </c>
    </row>
    <row r="4881" spans="2:11" ht="33" x14ac:dyDescent="0.2">
      <c r="B4881" s="82" t="s">
        <v>7665</v>
      </c>
      <c r="C4881" s="82" t="s">
        <v>1051</v>
      </c>
      <c r="D4881" s="83">
        <f>SUMIFS(D4882:D6462,K4882:K6462,"0",B4882:B6462,"5 1 2 6 1 12 31111 6 M59 60100 000132 0000R 00001 00261 015*")-SUMIFS(E4882:E6462,K4882:K6462,"0",B4882:B6462,"5 1 2 6 1 12 31111 6 M59 60100 000132 0000R 00001 00261 015*")</f>
        <v>0</v>
      </c>
      <c r="E4881" s="54"/>
      <c r="F4881" s="83">
        <f>SUMIFS(F4882:F6462,K4882:K6462,"0",B4882:B6462,"5 1 2 6 1 12 31111 6 M59 60100 000132 0000R 00001 00261 015*")</f>
        <v>600</v>
      </c>
      <c r="G4881" s="83">
        <f>SUMIFS(G4882:G6462,K4882:K6462,"0",B4882:B6462,"5 1 2 6 1 12 31111 6 M59 60100 000132 0000R 00001 00261 015*")</f>
        <v>0</v>
      </c>
      <c r="H4881" s="83">
        <f t="shared" si="76"/>
        <v>600</v>
      </c>
      <c r="I4881" s="83"/>
      <c r="K4881" s="54" t="s">
        <v>15</v>
      </c>
    </row>
    <row r="4882" spans="2:11" ht="33" x14ac:dyDescent="0.2">
      <c r="B4882" s="82" t="s">
        <v>7666</v>
      </c>
      <c r="C4882" s="82" t="s">
        <v>5830</v>
      </c>
      <c r="D4882" s="83">
        <f>SUMIFS(D4883:D6462,K4883:K6462,"0",B4883:B6462,"5 1 2 6 1 12 31111 6 M59 60100 000132 0000R 00001 00261 015 2112000*")-SUMIFS(E4883:E6462,K4883:K6462,"0",B4883:B6462,"5 1 2 6 1 12 31111 6 M59 60100 000132 0000R 00001 00261 015 2112000*")</f>
        <v>0</v>
      </c>
      <c r="E4882" s="54"/>
      <c r="F4882" s="83">
        <f>SUMIFS(F4883:F6462,K4883:K6462,"0",B4883:B6462,"5 1 2 6 1 12 31111 6 M59 60100 000132 0000R 00001 00261 015 2112000*")</f>
        <v>600</v>
      </c>
      <c r="G4882" s="83">
        <f>SUMIFS(G4883:G6462,K4883:K6462,"0",B4883:B6462,"5 1 2 6 1 12 31111 6 M59 60100 000132 0000R 00001 00261 015 2112000*")</f>
        <v>0</v>
      </c>
      <c r="H4882" s="83">
        <f t="shared" si="76"/>
        <v>600</v>
      </c>
      <c r="I4882" s="83"/>
      <c r="K4882" s="54" t="s">
        <v>15</v>
      </c>
    </row>
    <row r="4883" spans="2:11" ht="33" x14ac:dyDescent="0.2">
      <c r="B4883" s="82" t="s">
        <v>7667</v>
      </c>
      <c r="C4883" s="82" t="s">
        <v>660</v>
      </c>
      <c r="D4883" s="83">
        <f>SUMIFS(D4884:D6462,K4884:K6462,"0",B4884:B6462,"5 1 2 6 1 12 31111 6 M59 60100 000132 0000R 00001 00261 015 2112000 2024*")-SUMIFS(E4884:E6462,K4884:K6462,"0",B4884:B6462,"5 1 2 6 1 12 31111 6 M59 60100 000132 0000R 00001 00261 015 2112000 2024*")</f>
        <v>0</v>
      </c>
      <c r="E4883" s="54"/>
      <c r="F4883" s="83">
        <f>SUMIFS(F4884:F6462,K4884:K6462,"0",B4884:B6462,"5 1 2 6 1 12 31111 6 M59 60100 000132 0000R 00001 00261 015 2112000 2024*")</f>
        <v>600</v>
      </c>
      <c r="G4883" s="83">
        <f>SUMIFS(G4884:G6462,K4884:K6462,"0",B4884:B6462,"5 1 2 6 1 12 31111 6 M59 60100 000132 0000R 00001 00261 015 2112000 2024*")</f>
        <v>0</v>
      </c>
      <c r="H4883" s="83">
        <f t="shared" si="76"/>
        <v>600</v>
      </c>
      <c r="I4883" s="83"/>
      <c r="K4883" s="54" t="s">
        <v>15</v>
      </c>
    </row>
    <row r="4884" spans="2:11" ht="41.25" x14ac:dyDescent="0.2">
      <c r="B4884" s="82" t="s">
        <v>7668</v>
      </c>
      <c r="C4884" s="82" t="s">
        <v>1056</v>
      </c>
      <c r="D4884" s="83">
        <f>SUMIFS(D4885:D6462,K4885:K6462,"0",B4885:B6462,"5 1 2 6 1 12 31111 6 M59 60100 000132 0000R 00001 00261 015 2112000 2024 CP1DM394*")-SUMIFS(E4885:E6462,K4885:K6462,"0",B4885:B6462,"5 1 2 6 1 12 31111 6 M59 60100 000132 0000R 00001 00261 015 2112000 2024 CP1DM394*")</f>
        <v>0</v>
      </c>
      <c r="E4884" s="54"/>
      <c r="F4884" s="83">
        <f>SUMIFS(F4885:F6462,K4885:K6462,"0",B4885:B6462,"5 1 2 6 1 12 31111 6 M59 60100 000132 0000R 00001 00261 015 2112000 2024 CP1DM394*")</f>
        <v>600</v>
      </c>
      <c r="G4884" s="83">
        <f>SUMIFS(G4885:G6462,K4885:K6462,"0",B4885:B6462,"5 1 2 6 1 12 31111 6 M59 60100 000132 0000R 00001 00261 015 2112000 2024 CP1DM394*")</f>
        <v>0</v>
      </c>
      <c r="H4884" s="83">
        <f t="shared" si="76"/>
        <v>600</v>
      </c>
      <c r="I4884" s="83"/>
      <c r="K4884" s="54" t="s">
        <v>15</v>
      </c>
    </row>
    <row r="4885" spans="2:11" ht="41.25" x14ac:dyDescent="0.2">
      <c r="B4885" s="82" t="s">
        <v>7669</v>
      </c>
      <c r="C4885" s="82" t="s">
        <v>282</v>
      </c>
      <c r="D4885" s="83">
        <f>SUMIFS(D4886:D6462,K4886:K6462,"0",B4886:B6462,"5 1 2 6 1 12 31111 6 M59 60100 000132 0000R 00001 00261 015 2112000 2024 CP1DM394 001*")-SUMIFS(E4886:E6462,K4886:K6462,"0",B4886:B6462,"5 1 2 6 1 12 31111 6 M59 60100 000132 0000R 00001 00261 015 2112000 2024 CP1DM394 001*")</f>
        <v>0</v>
      </c>
      <c r="E4885" s="54"/>
      <c r="F4885" s="83">
        <f>SUMIFS(F4886:F6462,K4886:K6462,"0",B4886:B6462,"5 1 2 6 1 12 31111 6 M59 60100 000132 0000R 00001 00261 015 2112000 2024 CP1DM394 001*")</f>
        <v>600</v>
      </c>
      <c r="G4885" s="83">
        <f>SUMIFS(G4886:G6462,K4886:K6462,"0",B4886:B6462,"5 1 2 6 1 12 31111 6 M59 60100 000132 0000R 00001 00261 015 2112000 2024 CP1DM394 001*")</f>
        <v>0</v>
      </c>
      <c r="H4885" s="83">
        <f t="shared" si="76"/>
        <v>600</v>
      </c>
      <c r="I4885" s="83"/>
      <c r="K4885" s="54" t="s">
        <v>15</v>
      </c>
    </row>
    <row r="4886" spans="2:11" ht="33" x14ac:dyDescent="0.2">
      <c r="B4886" s="84" t="s">
        <v>7670</v>
      </c>
      <c r="C4886" s="84" t="s">
        <v>7511</v>
      </c>
      <c r="D4886" s="85">
        <v>0</v>
      </c>
      <c r="E4886" s="85"/>
      <c r="F4886" s="85">
        <v>600</v>
      </c>
      <c r="G4886" s="85">
        <v>0</v>
      </c>
      <c r="H4886" s="85">
        <f t="shared" si="76"/>
        <v>600</v>
      </c>
      <c r="I4886" s="85"/>
      <c r="K4886" s="54" t="s">
        <v>38</v>
      </c>
    </row>
    <row r="4887" spans="2:11" ht="16.5" x14ac:dyDescent="0.2">
      <c r="B4887" s="82" t="s">
        <v>7671</v>
      </c>
      <c r="C4887" s="82" t="s">
        <v>3608</v>
      </c>
      <c r="D4887" s="83">
        <f>SUMIFS(D4888:D6462,K4888:K6462,"0",B4888:B6462,"5 1 2 6 1 12 31111 6 M59 91000*")-SUMIFS(E4888:E6462,K4888:K6462,"0",B4888:B6462,"5 1 2 6 1 12 31111 6 M59 91000*")</f>
        <v>0</v>
      </c>
      <c r="E4887" s="54"/>
      <c r="F4887" s="83">
        <f>SUMIFS(F4888:F6462,K4888:K6462,"0",B4888:B6462,"5 1 2 6 1 12 31111 6 M59 91000*")</f>
        <v>50600</v>
      </c>
      <c r="G4887" s="83">
        <f>SUMIFS(G4888:G6462,K4888:K6462,"0",B4888:B6462,"5 1 2 6 1 12 31111 6 M59 91000*")</f>
        <v>0</v>
      </c>
      <c r="H4887" s="83">
        <f t="shared" si="76"/>
        <v>50600</v>
      </c>
      <c r="I4887" s="83"/>
      <c r="K4887" s="54" t="s">
        <v>15</v>
      </c>
    </row>
    <row r="4888" spans="2:11" ht="16.5" x14ac:dyDescent="0.2">
      <c r="B4888" s="82" t="s">
        <v>7672</v>
      </c>
      <c r="C4888" s="82" t="s">
        <v>648</v>
      </c>
      <c r="D4888" s="83">
        <f>SUMIFS(D4889:D6462,K4889:K6462,"0",B4889:B6462,"5 1 2 6 1 12 31111 6 M59 91000 000132*")-SUMIFS(E4889:E6462,K4889:K6462,"0",B4889:B6462,"5 1 2 6 1 12 31111 6 M59 91000 000132*")</f>
        <v>0</v>
      </c>
      <c r="E4888" s="54"/>
      <c r="F4888" s="83">
        <f>SUMIFS(F4889:F6462,K4889:K6462,"0",B4889:B6462,"5 1 2 6 1 12 31111 6 M59 91000 000132*")</f>
        <v>50600</v>
      </c>
      <c r="G4888" s="83">
        <f>SUMIFS(G4889:G6462,K4889:K6462,"0",B4889:B6462,"5 1 2 6 1 12 31111 6 M59 91000 000132*")</f>
        <v>0</v>
      </c>
      <c r="H4888" s="83">
        <f t="shared" si="76"/>
        <v>50600</v>
      </c>
      <c r="I4888" s="83"/>
      <c r="K4888" s="54" t="s">
        <v>15</v>
      </c>
    </row>
    <row r="4889" spans="2:11" ht="24.75" x14ac:dyDescent="0.2">
      <c r="B4889" s="82" t="s">
        <v>7673</v>
      </c>
      <c r="C4889" s="82" t="s">
        <v>650</v>
      </c>
      <c r="D4889" s="83">
        <f>SUMIFS(D4890:D6462,K4890:K6462,"0",B4890:B6462,"5 1 2 6 1 12 31111 6 M59 91000 000132 0000R*")-SUMIFS(E4890:E6462,K4890:K6462,"0",B4890:B6462,"5 1 2 6 1 12 31111 6 M59 91000 000132 0000R*")</f>
        <v>0</v>
      </c>
      <c r="E4889" s="54"/>
      <c r="F4889" s="83">
        <f>SUMIFS(F4890:F6462,K4890:K6462,"0",B4890:B6462,"5 1 2 6 1 12 31111 6 M59 91000 000132 0000R*")</f>
        <v>50600</v>
      </c>
      <c r="G4889" s="83">
        <f>SUMIFS(G4890:G6462,K4890:K6462,"0",B4890:B6462,"5 1 2 6 1 12 31111 6 M59 91000 000132 0000R*")</f>
        <v>0</v>
      </c>
      <c r="H4889" s="83">
        <f t="shared" si="76"/>
        <v>50600</v>
      </c>
      <c r="I4889" s="83"/>
      <c r="K4889" s="54" t="s">
        <v>15</v>
      </c>
    </row>
    <row r="4890" spans="2:11" ht="24.75" x14ac:dyDescent="0.2">
      <c r="B4890" s="82" t="s">
        <v>7674</v>
      </c>
      <c r="C4890" s="82" t="s">
        <v>282</v>
      </c>
      <c r="D4890" s="83">
        <f>SUMIFS(D4891:D6462,K4891:K6462,"0",B4891:B6462,"5 1 2 6 1 12 31111 6 M59 91000 000132 0000R 00001*")-SUMIFS(E4891:E6462,K4891:K6462,"0",B4891:B6462,"5 1 2 6 1 12 31111 6 M59 91000 000132 0000R 00001*")</f>
        <v>0</v>
      </c>
      <c r="E4890" s="54"/>
      <c r="F4890" s="83">
        <f>SUMIFS(F4891:F6462,K4891:K6462,"0",B4891:B6462,"5 1 2 6 1 12 31111 6 M59 91000 000132 0000R 00001*")</f>
        <v>50600</v>
      </c>
      <c r="G4890" s="83">
        <f>SUMIFS(G4891:G6462,K4891:K6462,"0",B4891:B6462,"5 1 2 6 1 12 31111 6 M59 91000 000132 0000R 00001*")</f>
        <v>0</v>
      </c>
      <c r="H4890" s="83">
        <f t="shared" si="76"/>
        <v>50600</v>
      </c>
      <c r="I4890" s="83"/>
      <c r="K4890" s="54" t="s">
        <v>15</v>
      </c>
    </row>
    <row r="4891" spans="2:11" ht="24.75" x14ac:dyDescent="0.2">
      <c r="B4891" s="82" t="s">
        <v>7675</v>
      </c>
      <c r="C4891" s="82" t="s">
        <v>7511</v>
      </c>
      <c r="D4891" s="83">
        <f>SUMIFS(D4892:D6462,K4892:K6462,"0",B4892:B6462,"5 1 2 6 1 12 31111 6 M59 91000 000132 0000R 00001 00261*")-SUMIFS(E4892:E6462,K4892:K6462,"0",B4892:B6462,"5 1 2 6 1 12 31111 6 M59 91000 000132 0000R 00001 00261*")</f>
        <v>0</v>
      </c>
      <c r="E4891" s="54"/>
      <c r="F4891" s="83">
        <f>SUMIFS(F4892:F6462,K4892:K6462,"0",B4892:B6462,"5 1 2 6 1 12 31111 6 M59 91000 000132 0000R 00001 00261*")</f>
        <v>50600</v>
      </c>
      <c r="G4891" s="83">
        <f>SUMIFS(G4892:G6462,K4892:K6462,"0",B4892:B6462,"5 1 2 6 1 12 31111 6 M59 91000 000132 0000R 00001 00261*")</f>
        <v>0</v>
      </c>
      <c r="H4891" s="83">
        <f t="shared" si="76"/>
        <v>50600</v>
      </c>
      <c r="I4891" s="83"/>
      <c r="K4891" s="54" t="s">
        <v>15</v>
      </c>
    </row>
    <row r="4892" spans="2:11" ht="33" x14ac:dyDescent="0.2">
      <c r="B4892" s="82" t="s">
        <v>7676</v>
      </c>
      <c r="C4892" s="82" t="s">
        <v>1051</v>
      </c>
      <c r="D4892" s="83">
        <f>SUMIFS(D4893:D6462,K4893:K6462,"0",B4893:B6462,"5 1 2 6 1 12 31111 6 M59 91000 000132 0000R 00001 00261 015*")-SUMIFS(E4893:E6462,K4893:K6462,"0",B4893:B6462,"5 1 2 6 1 12 31111 6 M59 91000 000132 0000R 00001 00261 015*")</f>
        <v>0</v>
      </c>
      <c r="E4892" s="54"/>
      <c r="F4892" s="83">
        <f>SUMIFS(F4893:F6462,K4893:K6462,"0",B4893:B6462,"5 1 2 6 1 12 31111 6 M59 91000 000132 0000R 00001 00261 015*")</f>
        <v>50600</v>
      </c>
      <c r="G4892" s="83">
        <f>SUMIFS(G4893:G6462,K4893:K6462,"0",B4893:B6462,"5 1 2 6 1 12 31111 6 M59 91000 000132 0000R 00001 00261 015*")</f>
        <v>0</v>
      </c>
      <c r="H4892" s="83">
        <f t="shared" si="76"/>
        <v>50600</v>
      </c>
      <c r="I4892" s="83"/>
      <c r="K4892" s="54" t="s">
        <v>15</v>
      </c>
    </row>
    <row r="4893" spans="2:11" ht="33" x14ac:dyDescent="0.2">
      <c r="B4893" s="82" t="s">
        <v>7677</v>
      </c>
      <c r="C4893" s="82" t="s">
        <v>5830</v>
      </c>
      <c r="D4893" s="83">
        <f>SUMIFS(D4894:D6462,K4894:K6462,"0",B4894:B6462,"5 1 2 6 1 12 31111 6 M59 91000 000132 0000R 00001 00261 015 2112000*")-SUMIFS(E4894:E6462,K4894:K6462,"0",B4894:B6462,"5 1 2 6 1 12 31111 6 M59 91000 000132 0000R 00001 00261 015 2112000*")</f>
        <v>0</v>
      </c>
      <c r="E4893" s="54"/>
      <c r="F4893" s="83">
        <f>SUMIFS(F4894:F6462,K4894:K6462,"0",B4894:B6462,"5 1 2 6 1 12 31111 6 M59 91000 000132 0000R 00001 00261 015 2112000*")</f>
        <v>50600</v>
      </c>
      <c r="G4893" s="83">
        <f>SUMIFS(G4894:G6462,K4894:K6462,"0",B4894:B6462,"5 1 2 6 1 12 31111 6 M59 91000 000132 0000R 00001 00261 015 2112000*")</f>
        <v>0</v>
      </c>
      <c r="H4893" s="83">
        <f t="shared" si="76"/>
        <v>50600</v>
      </c>
      <c r="I4893" s="83"/>
      <c r="K4893" s="54" t="s">
        <v>15</v>
      </c>
    </row>
    <row r="4894" spans="2:11" ht="33" x14ac:dyDescent="0.2">
      <c r="B4894" s="82" t="s">
        <v>7678</v>
      </c>
      <c r="C4894" s="82" t="s">
        <v>660</v>
      </c>
      <c r="D4894" s="83">
        <f>SUMIFS(D4895:D6462,K4895:K6462,"0",B4895:B6462,"5 1 2 6 1 12 31111 6 M59 91000 000132 0000R 00001 00261 015 2112000 2024*")-SUMIFS(E4895:E6462,K4895:K6462,"0",B4895:B6462,"5 1 2 6 1 12 31111 6 M59 91000 000132 0000R 00001 00261 015 2112000 2024*")</f>
        <v>0</v>
      </c>
      <c r="E4894" s="54"/>
      <c r="F4894" s="83">
        <f>SUMIFS(F4895:F6462,K4895:K6462,"0",B4895:B6462,"5 1 2 6 1 12 31111 6 M59 91000 000132 0000R 00001 00261 015 2112000 2024*")</f>
        <v>50600</v>
      </c>
      <c r="G4894" s="83">
        <f>SUMIFS(G4895:G6462,K4895:K6462,"0",B4895:B6462,"5 1 2 6 1 12 31111 6 M59 91000 000132 0000R 00001 00261 015 2112000 2024*")</f>
        <v>0</v>
      </c>
      <c r="H4894" s="83">
        <f t="shared" si="76"/>
        <v>50600</v>
      </c>
      <c r="I4894" s="83"/>
      <c r="K4894" s="54" t="s">
        <v>15</v>
      </c>
    </row>
    <row r="4895" spans="2:11" ht="41.25" x14ac:dyDescent="0.2">
      <c r="B4895" s="82" t="s">
        <v>7679</v>
      </c>
      <c r="C4895" s="82" t="s">
        <v>1056</v>
      </c>
      <c r="D4895" s="83">
        <f>SUMIFS(D4896:D6462,K4896:K6462,"0",B4896:B6462,"5 1 2 6 1 12 31111 6 M59 91000 000132 0000R 00001 00261 015 2112000 2024 CP1RE398*")-SUMIFS(E4896:E6462,K4896:K6462,"0",B4896:B6462,"5 1 2 6 1 12 31111 6 M59 91000 000132 0000R 00001 00261 015 2112000 2024 CP1RE398*")</f>
        <v>0</v>
      </c>
      <c r="E4895" s="54"/>
      <c r="F4895" s="83">
        <f>SUMIFS(F4896:F6462,K4896:K6462,"0",B4896:B6462,"5 1 2 6 1 12 31111 6 M59 91000 000132 0000R 00001 00261 015 2112000 2024 CP1RE398*")</f>
        <v>50600</v>
      </c>
      <c r="G4895" s="83">
        <f>SUMIFS(G4896:G6462,K4896:K6462,"0",B4896:B6462,"5 1 2 6 1 12 31111 6 M59 91000 000132 0000R 00001 00261 015 2112000 2024 CP1RE398*")</f>
        <v>0</v>
      </c>
      <c r="H4895" s="83">
        <f t="shared" si="76"/>
        <v>50600</v>
      </c>
      <c r="I4895" s="83"/>
      <c r="K4895" s="54" t="s">
        <v>15</v>
      </c>
    </row>
    <row r="4896" spans="2:11" ht="41.25" x14ac:dyDescent="0.2">
      <c r="B4896" s="82" t="s">
        <v>7680</v>
      </c>
      <c r="C4896" s="82" t="s">
        <v>282</v>
      </c>
      <c r="D4896" s="83">
        <f>SUMIFS(D4897:D6462,K4897:K6462,"0",B4897:B6462,"5 1 2 6 1 12 31111 6 M59 91000 000132 0000R 00001 00261 015 2112000 2024 CP1RE398 001*")-SUMIFS(E4897:E6462,K4897:K6462,"0",B4897:B6462,"5 1 2 6 1 12 31111 6 M59 91000 000132 0000R 00001 00261 015 2112000 2024 CP1RE398 001*")</f>
        <v>0</v>
      </c>
      <c r="E4896" s="54"/>
      <c r="F4896" s="83">
        <f>SUMIFS(F4897:F6462,K4897:K6462,"0",B4897:B6462,"5 1 2 6 1 12 31111 6 M59 91000 000132 0000R 00001 00261 015 2112000 2024 CP1RE398 001*")</f>
        <v>50600</v>
      </c>
      <c r="G4896" s="83">
        <f>SUMIFS(G4897:G6462,K4897:K6462,"0",B4897:B6462,"5 1 2 6 1 12 31111 6 M59 91000 000132 0000R 00001 00261 015 2112000 2024 CP1RE398 001*")</f>
        <v>0</v>
      </c>
      <c r="H4896" s="83">
        <f t="shared" si="76"/>
        <v>50600</v>
      </c>
      <c r="I4896" s="83"/>
      <c r="K4896" s="54" t="s">
        <v>15</v>
      </c>
    </row>
    <row r="4897" spans="2:11" ht="33" x14ac:dyDescent="0.2">
      <c r="B4897" s="84" t="s">
        <v>7681</v>
      </c>
      <c r="C4897" s="84" t="s">
        <v>7511</v>
      </c>
      <c r="D4897" s="85">
        <v>0</v>
      </c>
      <c r="E4897" s="85"/>
      <c r="F4897" s="85">
        <v>50600</v>
      </c>
      <c r="G4897" s="85">
        <v>0</v>
      </c>
      <c r="H4897" s="85">
        <f t="shared" si="76"/>
        <v>50600</v>
      </c>
      <c r="I4897" s="85"/>
      <c r="K4897" s="54" t="s">
        <v>38</v>
      </c>
    </row>
    <row r="4898" spans="2:11" ht="16.5" x14ac:dyDescent="0.2">
      <c r="B4898" s="82" t="s">
        <v>7682</v>
      </c>
      <c r="C4898" s="82" t="s">
        <v>3693</v>
      </c>
      <c r="D4898" s="83">
        <f>SUMIFS(D4899:D6462,K4899:K6462,"0",B4899:B6462,"5 1 2 6 1 12 31111 6 M59 96100*")-SUMIFS(E4899:E6462,K4899:K6462,"0",B4899:B6462,"5 1 2 6 1 12 31111 6 M59 96100*")</f>
        <v>0</v>
      </c>
      <c r="E4898" s="54"/>
      <c r="F4898" s="83">
        <f>SUMIFS(F4899:F6462,K4899:K6462,"0",B4899:B6462,"5 1 2 6 1 12 31111 6 M59 96100*")</f>
        <v>100.01</v>
      </c>
      <c r="G4898" s="83">
        <f>SUMIFS(G4899:G6462,K4899:K6462,"0",B4899:B6462,"5 1 2 6 1 12 31111 6 M59 96100*")</f>
        <v>0</v>
      </c>
      <c r="H4898" s="83">
        <f t="shared" si="76"/>
        <v>100.01</v>
      </c>
      <c r="I4898" s="83"/>
      <c r="K4898" s="54" t="s">
        <v>15</v>
      </c>
    </row>
    <row r="4899" spans="2:11" ht="16.5" x14ac:dyDescent="0.2">
      <c r="B4899" s="82" t="s">
        <v>7683</v>
      </c>
      <c r="C4899" s="82" t="s">
        <v>1310</v>
      </c>
      <c r="D4899" s="83">
        <f>SUMIFS(D4900:D6462,K4900:K6462,"0",B4900:B6462,"5 1 2 6 1 12 31111 6 M59 96100 000211*")-SUMIFS(E4900:E6462,K4900:K6462,"0",B4900:B6462,"5 1 2 6 1 12 31111 6 M59 96100 000211*")</f>
        <v>0</v>
      </c>
      <c r="E4899" s="54"/>
      <c r="F4899" s="83">
        <f>SUMIFS(F4900:F6462,K4900:K6462,"0",B4900:B6462,"5 1 2 6 1 12 31111 6 M59 96100 000211*")</f>
        <v>100.01</v>
      </c>
      <c r="G4899" s="83">
        <f>SUMIFS(G4900:G6462,K4900:K6462,"0",B4900:B6462,"5 1 2 6 1 12 31111 6 M59 96100 000211*")</f>
        <v>0</v>
      </c>
      <c r="H4899" s="83">
        <f t="shared" si="76"/>
        <v>100.01</v>
      </c>
      <c r="I4899" s="83"/>
      <c r="K4899" s="54" t="s">
        <v>15</v>
      </c>
    </row>
    <row r="4900" spans="2:11" ht="24.75" x14ac:dyDescent="0.2">
      <c r="B4900" s="82" t="s">
        <v>7684</v>
      </c>
      <c r="C4900" s="82" t="s">
        <v>3696</v>
      </c>
      <c r="D4900" s="83">
        <f>SUMIFS(D4901:D6462,K4901:K6462,"0",B4901:B6462,"5 1 2 6 1 12 31111 6 M59 96100 000211 0000U*")-SUMIFS(E4901:E6462,K4901:K6462,"0",B4901:B6462,"5 1 2 6 1 12 31111 6 M59 96100 000211 0000U*")</f>
        <v>0</v>
      </c>
      <c r="E4900" s="54"/>
      <c r="F4900" s="83">
        <f>SUMIFS(F4901:F6462,K4901:K6462,"0",B4901:B6462,"5 1 2 6 1 12 31111 6 M59 96100 000211 0000U*")</f>
        <v>100.01</v>
      </c>
      <c r="G4900" s="83">
        <f>SUMIFS(G4901:G6462,K4901:K6462,"0",B4901:B6462,"5 1 2 6 1 12 31111 6 M59 96100 000211 0000U*")</f>
        <v>0</v>
      </c>
      <c r="H4900" s="83">
        <f t="shared" si="76"/>
        <v>100.01</v>
      </c>
      <c r="I4900" s="83"/>
      <c r="K4900" s="54" t="s">
        <v>15</v>
      </c>
    </row>
    <row r="4901" spans="2:11" ht="24.75" x14ac:dyDescent="0.2">
      <c r="B4901" s="82" t="s">
        <v>7685</v>
      </c>
      <c r="C4901" s="82" t="s">
        <v>282</v>
      </c>
      <c r="D4901" s="83">
        <f>SUMIFS(D4902:D6462,K4902:K6462,"0",B4902:B6462,"5 1 2 6 1 12 31111 6 M59 96100 000211 0000U 00001*")-SUMIFS(E4902:E6462,K4902:K6462,"0",B4902:B6462,"5 1 2 6 1 12 31111 6 M59 96100 000211 0000U 00001*")</f>
        <v>0</v>
      </c>
      <c r="E4901" s="54"/>
      <c r="F4901" s="83">
        <f>SUMIFS(F4902:F6462,K4902:K6462,"0",B4902:B6462,"5 1 2 6 1 12 31111 6 M59 96100 000211 0000U 00001*")</f>
        <v>100.01</v>
      </c>
      <c r="G4901" s="83">
        <f>SUMIFS(G4902:G6462,K4902:K6462,"0",B4902:B6462,"5 1 2 6 1 12 31111 6 M59 96100 000211 0000U 00001*")</f>
        <v>0</v>
      </c>
      <c r="H4901" s="83">
        <f t="shared" si="76"/>
        <v>100.01</v>
      </c>
      <c r="I4901" s="83"/>
      <c r="K4901" s="54" t="s">
        <v>15</v>
      </c>
    </row>
    <row r="4902" spans="2:11" ht="24.75" x14ac:dyDescent="0.2">
      <c r="B4902" s="82" t="s">
        <v>7686</v>
      </c>
      <c r="C4902" s="82" t="s">
        <v>7511</v>
      </c>
      <c r="D4902" s="83">
        <f>SUMIFS(D4903:D6462,K4903:K6462,"0",B4903:B6462,"5 1 2 6 1 12 31111 6 M59 96100 000211 0000U 00001 00261*")-SUMIFS(E4903:E6462,K4903:K6462,"0",B4903:B6462,"5 1 2 6 1 12 31111 6 M59 96100 000211 0000U 00001 00261*")</f>
        <v>0</v>
      </c>
      <c r="E4902" s="54"/>
      <c r="F4902" s="83">
        <f>SUMIFS(F4903:F6462,K4903:K6462,"0",B4903:B6462,"5 1 2 6 1 12 31111 6 M59 96100 000211 0000U 00001 00261*")</f>
        <v>100.01</v>
      </c>
      <c r="G4902" s="83">
        <f>SUMIFS(G4903:G6462,K4903:K6462,"0",B4903:B6462,"5 1 2 6 1 12 31111 6 M59 96100 000211 0000U 00001 00261*")</f>
        <v>0</v>
      </c>
      <c r="H4902" s="83">
        <f t="shared" si="76"/>
        <v>100.01</v>
      </c>
      <c r="I4902" s="83"/>
      <c r="K4902" s="54" t="s">
        <v>15</v>
      </c>
    </row>
    <row r="4903" spans="2:11" ht="33" x14ac:dyDescent="0.2">
      <c r="B4903" s="82" t="s">
        <v>7687</v>
      </c>
      <c r="C4903" s="82" t="s">
        <v>1051</v>
      </c>
      <c r="D4903" s="83">
        <f>SUMIFS(D4904:D6462,K4904:K6462,"0",B4904:B6462,"5 1 2 6 1 12 31111 6 M59 96100 000211 0000U 00001 00261 015*")-SUMIFS(E4904:E6462,K4904:K6462,"0",B4904:B6462,"5 1 2 6 1 12 31111 6 M59 96100 000211 0000U 00001 00261 015*")</f>
        <v>0</v>
      </c>
      <c r="E4903" s="54"/>
      <c r="F4903" s="83">
        <f>SUMIFS(F4904:F6462,K4904:K6462,"0",B4904:B6462,"5 1 2 6 1 12 31111 6 M59 96100 000211 0000U 00001 00261 015*")</f>
        <v>100.01</v>
      </c>
      <c r="G4903" s="83">
        <f>SUMIFS(G4904:G6462,K4904:K6462,"0",B4904:B6462,"5 1 2 6 1 12 31111 6 M59 96100 000211 0000U 00001 00261 015*")</f>
        <v>0</v>
      </c>
      <c r="H4903" s="83">
        <f t="shared" si="76"/>
        <v>100.01</v>
      </c>
      <c r="I4903" s="83"/>
      <c r="K4903" s="54" t="s">
        <v>15</v>
      </c>
    </row>
    <row r="4904" spans="2:11" ht="33" x14ac:dyDescent="0.2">
      <c r="B4904" s="82" t="s">
        <v>7688</v>
      </c>
      <c r="C4904" s="82" t="s">
        <v>5830</v>
      </c>
      <c r="D4904" s="83">
        <f>SUMIFS(D4905:D6462,K4905:K6462,"0",B4905:B6462,"5 1 2 6 1 12 31111 6 M59 96100 000211 0000U 00001 00261 015 2112000*")-SUMIFS(E4905:E6462,K4905:K6462,"0",B4905:B6462,"5 1 2 6 1 12 31111 6 M59 96100 000211 0000U 00001 00261 015 2112000*")</f>
        <v>0</v>
      </c>
      <c r="E4904" s="54"/>
      <c r="F4904" s="83">
        <f>SUMIFS(F4905:F6462,K4905:K6462,"0",B4905:B6462,"5 1 2 6 1 12 31111 6 M59 96100 000211 0000U 00001 00261 015 2112000*")</f>
        <v>100.01</v>
      </c>
      <c r="G4904" s="83">
        <f>SUMIFS(G4905:G6462,K4905:K6462,"0",B4905:B6462,"5 1 2 6 1 12 31111 6 M59 96100 000211 0000U 00001 00261 015 2112000*")</f>
        <v>0</v>
      </c>
      <c r="H4904" s="83">
        <f t="shared" si="76"/>
        <v>100.01</v>
      </c>
      <c r="I4904" s="83"/>
      <c r="K4904" s="54" t="s">
        <v>15</v>
      </c>
    </row>
    <row r="4905" spans="2:11" ht="33" x14ac:dyDescent="0.2">
      <c r="B4905" s="82" t="s">
        <v>7689</v>
      </c>
      <c r="C4905" s="82" t="s">
        <v>660</v>
      </c>
      <c r="D4905" s="83">
        <f>SUMIFS(D4906:D6462,K4906:K6462,"0",B4906:B6462,"5 1 2 6 1 12 31111 6 M59 96100 000211 0000U 00001 00261 015 2112000 2024*")-SUMIFS(E4906:E6462,K4906:K6462,"0",B4906:B6462,"5 1 2 6 1 12 31111 6 M59 96100 000211 0000U 00001 00261 015 2112000 2024*")</f>
        <v>0</v>
      </c>
      <c r="E4905" s="54"/>
      <c r="F4905" s="83">
        <f>SUMIFS(F4906:F6462,K4906:K6462,"0",B4906:B6462,"5 1 2 6 1 12 31111 6 M59 96100 000211 0000U 00001 00261 015 2112000 2024*")</f>
        <v>100.01</v>
      </c>
      <c r="G4905" s="83">
        <f>SUMIFS(G4906:G6462,K4906:K6462,"0",B4906:B6462,"5 1 2 6 1 12 31111 6 M59 96100 000211 0000U 00001 00261 015 2112000 2024*")</f>
        <v>0</v>
      </c>
      <c r="H4905" s="83">
        <f t="shared" si="76"/>
        <v>100.01</v>
      </c>
      <c r="I4905" s="83"/>
      <c r="K4905" s="54" t="s">
        <v>15</v>
      </c>
    </row>
    <row r="4906" spans="2:11" ht="41.25" x14ac:dyDescent="0.2">
      <c r="B4906" s="82" t="s">
        <v>7690</v>
      </c>
      <c r="C4906" s="82" t="s">
        <v>1056</v>
      </c>
      <c r="D4906" s="83">
        <f>SUMIFS(D4907:D6462,K4907:K6462,"0",B4907:B6462,"5 1 2 6 1 12 31111 6 M59 96100 000211 0000U 00001 00261 015 2112000 2024 CP1IU412*")-SUMIFS(E4907:E6462,K4907:K6462,"0",B4907:B6462,"5 1 2 6 1 12 31111 6 M59 96100 000211 0000U 00001 00261 015 2112000 2024 CP1IU412*")</f>
        <v>0</v>
      </c>
      <c r="E4906" s="54"/>
      <c r="F4906" s="83">
        <f>SUMIFS(F4907:F6462,K4907:K6462,"0",B4907:B6462,"5 1 2 6 1 12 31111 6 M59 96100 000211 0000U 00001 00261 015 2112000 2024 CP1IU412*")</f>
        <v>100.01</v>
      </c>
      <c r="G4906" s="83">
        <f>SUMIFS(G4907:G6462,K4907:K6462,"0",B4907:B6462,"5 1 2 6 1 12 31111 6 M59 96100 000211 0000U 00001 00261 015 2112000 2024 CP1IU412*")</f>
        <v>0</v>
      </c>
      <c r="H4906" s="83">
        <f t="shared" si="76"/>
        <v>100.01</v>
      </c>
      <c r="I4906" s="83"/>
      <c r="K4906" s="54" t="s">
        <v>15</v>
      </c>
    </row>
    <row r="4907" spans="2:11" ht="41.25" x14ac:dyDescent="0.2">
      <c r="B4907" s="82" t="s">
        <v>7691</v>
      </c>
      <c r="C4907" s="82" t="s">
        <v>282</v>
      </c>
      <c r="D4907" s="83">
        <f>SUMIFS(D4908:D6462,K4908:K6462,"0",B4908:B6462,"5 1 2 6 1 12 31111 6 M59 96100 000211 0000U 00001 00261 015 2112000 2024 CP1IU412 001*")-SUMIFS(E4908:E6462,K4908:K6462,"0",B4908:B6462,"5 1 2 6 1 12 31111 6 M59 96100 000211 0000U 00001 00261 015 2112000 2024 CP1IU412 001*")</f>
        <v>0</v>
      </c>
      <c r="E4907" s="54"/>
      <c r="F4907" s="83">
        <f>SUMIFS(F4908:F6462,K4908:K6462,"0",B4908:B6462,"5 1 2 6 1 12 31111 6 M59 96100 000211 0000U 00001 00261 015 2112000 2024 CP1IU412 001*")</f>
        <v>100.01</v>
      </c>
      <c r="G4907" s="83">
        <f>SUMIFS(G4908:G6462,K4908:K6462,"0",B4908:B6462,"5 1 2 6 1 12 31111 6 M59 96100 000211 0000U 00001 00261 015 2112000 2024 CP1IU412 001*")</f>
        <v>0</v>
      </c>
      <c r="H4907" s="83">
        <f t="shared" ref="H4907:H4970" si="77">D4907 + F4907 - G4907</f>
        <v>100.01</v>
      </c>
      <c r="I4907" s="83"/>
      <c r="K4907" s="54" t="s">
        <v>15</v>
      </c>
    </row>
    <row r="4908" spans="2:11" ht="33" x14ac:dyDescent="0.2">
      <c r="B4908" s="84" t="s">
        <v>7692</v>
      </c>
      <c r="C4908" s="84" t="s">
        <v>7511</v>
      </c>
      <c r="D4908" s="85">
        <v>0</v>
      </c>
      <c r="E4908" s="85"/>
      <c r="F4908" s="85">
        <v>100.01</v>
      </c>
      <c r="G4908" s="85">
        <v>0</v>
      </c>
      <c r="H4908" s="85">
        <f t="shared" si="77"/>
        <v>100.01</v>
      </c>
      <c r="I4908" s="85"/>
      <c r="K4908" s="54" t="s">
        <v>38</v>
      </c>
    </row>
    <row r="4909" spans="2:11" ht="16.5" x14ac:dyDescent="0.2">
      <c r="B4909" s="82" t="s">
        <v>7693</v>
      </c>
      <c r="C4909" s="82" t="s">
        <v>3706</v>
      </c>
      <c r="D4909" s="83">
        <f>SUMIFS(D4910:D6462,K4910:K6462,"0",B4910:B6462,"5 1 2 6 1 12 31111 6 M59 96200*")-SUMIFS(E4910:E6462,K4910:K6462,"0",B4910:B6462,"5 1 2 6 1 12 31111 6 M59 96200*")</f>
        <v>0</v>
      </c>
      <c r="E4909" s="54"/>
      <c r="F4909" s="83">
        <f>SUMIFS(F4910:F6462,K4910:K6462,"0",B4910:B6462,"5 1 2 6 1 12 31111 6 M59 96200*")</f>
        <v>599.99</v>
      </c>
      <c r="G4909" s="83">
        <f>SUMIFS(G4910:G6462,K4910:K6462,"0",B4910:B6462,"5 1 2 6 1 12 31111 6 M59 96200*")</f>
        <v>0</v>
      </c>
      <c r="H4909" s="83">
        <f t="shared" si="77"/>
        <v>599.99</v>
      </c>
      <c r="I4909" s="83"/>
      <c r="K4909" s="54" t="s">
        <v>15</v>
      </c>
    </row>
    <row r="4910" spans="2:11" ht="16.5" x14ac:dyDescent="0.2">
      <c r="B4910" s="82" t="s">
        <v>7694</v>
      </c>
      <c r="C4910" s="82" t="s">
        <v>648</v>
      </c>
      <c r="D4910" s="83">
        <f>SUMIFS(D4911:D6462,K4911:K6462,"0",B4911:B6462,"5 1 2 6 1 12 31111 6 M59 96200 000132*")-SUMIFS(E4911:E6462,K4911:K6462,"0",B4911:B6462,"5 1 2 6 1 12 31111 6 M59 96200 000132*")</f>
        <v>0</v>
      </c>
      <c r="E4910" s="54"/>
      <c r="F4910" s="83">
        <f>SUMIFS(F4911:F6462,K4911:K6462,"0",B4911:B6462,"5 1 2 6 1 12 31111 6 M59 96200 000132*")</f>
        <v>599.99</v>
      </c>
      <c r="G4910" s="83">
        <f>SUMIFS(G4911:G6462,K4911:K6462,"0",B4911:B6462,"5 1 2 6 1 12 31111 6 M59 96200 000132*")</f>
        <v>0</v>
      </c>
      <c r="H4910" s="83">
        <f t="shared" si="77"/>
        <v>599.99</v>
      </c>
      <c r="I4910" s="83"/>
      <c r="K4910" s="54" t="s">
        <v>15</v>
      </c>
    </row>
    <row r="4911" spans="2:11" ht="24.75" x14ac:dyDescent="0.2">
      <c r="B4911" s="82" t="s">
        <v>7695</v>
      </c>
      <c r="C4911" s="82" t="s">
        <v>650</v>
      </c>
      <c r="D4911" s="83">
        <f>SUMIFS(D4912:D6462,K4912:K6462,"0",B4912:B6462,"5 1 2 6 1 12 31111 6 M59 96200 000132 0000R*")-SUMIFS(E4912:E6462,K4912:K6462,"0",B4912:B6462,"5 1 2 6 1 12 31111 6 M59 96200 000132 0000R*")</f>
        <v>0</v>
      </c>
      <c r="E4911" s="54"/>
      <c r="F4911" s="83">
        <f>SUMIFS(F4912:F6462,K4912:K6462,"0",B4912:B6462,"5 1 2 6 1 12 31111 6 M59 96200 000132 0000R*")</f>
        <v>599.99</v>
      </c>
      <c r="G4911" s="83">
        <f>SUMIFS(G4912:G6462,K4912:K6462,"0",B4912:B6462,"5 1 2 6 1 12 31111 6 M59 96200 000132 0000R*")</f>
        <v>0</v>
      </c>
      <c r="H4911" s="83">
        <f t="shared" si="77"/>
        <v>599.99</v>
      </c>
      <c r="I4911" s="83"/>
      <c r="K4911" s="54" t="s">
        <v>15</v>
      </c>
    </row>
    <row r="4912" spans="2:11" ht="24.75" x14ac:dyDescent="0.2">
      <c r="B4912" s="82" t="s">
        <v>7696</v>
      </c>
      <c r="C4912" s="82" t="s">
        <v>282</v>
      </c>
      <c r="D4912" s="83">
        <f>SUMIFS(D4913:D6462,K4913:K6462,"0",B4913:B6462,"5 1 2 6 1 12 31111 6 M59 96200 000132 0000R 00001*")-SUMIFS(E4913:E6462,K4913:K6462,"0",B4913:B6462,"5 1 2 6 1 12 31111 6 M59 96200 000132 0000R 00001*")</f>
        <v>0</v>
      </c>
      <c r="E4912" s="54"/>
      <c r="F4912" s="83">
        <f>SUMIFS(F4913:F6462,K4913:K6462,"0",B4913:B6462,"5 1 2 6 1 12 31111 6 M59 96200 000132 0000R 00001*")</f>
        <v>599.99</v>
      </c>
      <c r="G4912" s="83">
        <f>SUMIFS(G4913:G6462,K4913:K6462,"0",B4913:B6462,"5 1 2 6 1 12 31111 6 M59 96200 000132 0000R 00001*")</f>
        <v>0</v>
      </c>
      <c r="H4912" s="83">
        <f t="shared" si="77"/>
        <v>599.99</v>
      </c>
      <c r="I4912" s="83"/>
      <c r="K4912" s="54" t="s">
        <v>15</v>
      </c>
    </row>
    <row r="4913" spans="2:11" ht="24.75" x14ac:dyDescent="0.2">
      <c r="B4913" s="82" t="s">
        <v>7697</v>
      </c>
      <c r="C4913" s="82" t="s">
        <v>7511</v>
      </c>
      <c r="D4913" s="83">
        <f>SUMIFS(D4914:D6462,K4914:K6462,"0",B4914:B6462,"5 1 2 6 1 12 31111 6 M59 96200 000132 0000R 00001 00261*")-SUMIFS(E4914:E6462,K4914:K6462,"0",B4914:B6462,"5 1 2 6 1 12 31111 6 M59 96200 000132 0000R 00001 00261*")</f>
        <v>0</v>
      </c>
      <c r="E4913" s="54"/>
      <c r="F4913" s="83">
        <f>SUMIFS(F4914:F6462,K4914:K6462,"0",B4914:B6462,"5 1 2 6 1 12 31111 6 M59 96200 000132 0000R 00001 00261*")</f>
        <v>599.99</v>
      </c>
      <c r="G4913" s="83">
        <f>SUMIFS(G4914:G6462,K4914:K6462,"0",B4914:B6462,"5 1 2 6 1 12 31111 6 M59 96200 000132 0000R 00001 00261*")</f>
        <v>0</v>
      </c>
      <c r="H4913" s="83">
        <f t="shared" si="77"/>
        <v>599.99</v>
      </c>
      <c r="I4913" s="83"/>
      <c r="K4913" s="54" t="s">
        <v>15</v>
      </c>
    </row>
    <row r="4914" spans="2:11" ht="33" x14ac:dyDescent="0.2">
      <c r="B4914" s="82" t="s">
        <v>7698</v>
      </c>
      <c r="C4914" s="82" t="s">
        <v>1051</v>
      </c>
      <c r="D4914" s="83">
        <f>SUMIFS(D4915:D6462,K4915:K6462,"0",B4915:B6462,"5 1 2 6 1 12 31111 6 M59 96200 000132 0000R 00001 00261 015*")-SUMIFS(E4915:E6462,K4915:K6462,"0",B4915:B6462,"5 1 2 6 1 12 31111 6 M59 96200 000132 0000R 00001 00261 015*")</f>
        <v>0</v>
      </c>
      <c r="E4914" s="54"/>
      <c r="F4914" s="83">
        <f>SUMIFS(F4915:F6462,K4915:K6462,"0",B4915:B6462,"5 1 2 6 1 12 31111 6 M59 96200 000132 0000R 00001 00261 015*")</f>
        <v>599.99</v>
      </c>
      <c r="G4914" s="83">
        <f>SUMIFS(G4915:G6462,K4915:K6462,"0",B4915:B6462,"5 1 2 6 1 12 31111 6 M59 96200 000132 0000R 00001 00261 015*")</f>
        <v>0</v>
      </c>
      <c r="H4914" s="83">
        <f t="shared" si="77"/>
        <v>599.99</v>
      </c>
      <c r="I4914" s="83"/>
      <c r="K4914" s="54" t="s">
        <v>15</v>
      </c>
    </row>
    <row r="4915" spans="2:11" ht="33" x14ac:dyDescent="0.2">
      <c r="B4915" s="82" t="s">
        <v>7699</v>
      </c>
      <c r="C4915" s="82" t="s">
        <v>5830</v>
      </c>
      <c r="D4915" s="83">
        <f>SUMIFS(D4916:D6462,K4916:K6462,"0",B4916:B6462,"5 1 2 6 1 12 31111 6 M59 96200 000132 0000R 00001 00261 015 2112000*")-SUMIFS(E4916:E6462,K4916:K6462,"0",B4916:B6462,"5 1 2 6 1 12 31111 6 M59 96200 000132 0000R 00001 00261 015 2112000*")</f>
        <v>0</v>
      </c>
      <c r="E4915" s="54"/>
      <c r="F4915" s="83">
        <f>SUMIFS(F4916:F6462,K4916:K6462,"0",B4916:B6462,"5 1 2 6 1 12 31111 6 M59 96200 000132 0000R 00001 00261 015 2112000*")</f>
        <v>599.99</v>
      </c>
      <c r="G4915" s="83">
        <f>SUMIFS(G4916:G6462,K4916:K6462,"0",B4916:B6462,"5 1 2 6 1 12 31111 6 M59 96200 000132 0000R 00001 00261 015 2112000*")</f>
        <v>0</v>
      </c>
      <c r="H4915" s="83">
        <f t="shared" si="77"/>
        <v>599.99</v>
      </c>
      <c r="I4915" s="83"/>
      <c r="K4915" s="54" t="s">
        <v>15</v>
      </c>
    </row>
    <row r="4916" spans="2:11" ht="33" x14ac:dyDescent="0.2">
      <c r="B4916" s="82" t="s">
        <v>7700</v>
      </c>
      <c r="C4916" s="82" t="s">
        <v>660</v>
      </c>
      <c r="D4916" s="83">
        <f>SUMIFS(D4917:D6462,K4917:K6462,"0",B4917:B6462,"5 1 2 6 1 12 31111 6 M59 96200 000132 0000R 00001 00261 015 2112000 2024*")-SUMIFS(E4917:E6462,K4917:K6462,"0",B4917:B6462,"5 1 2 6 1 12 31111 6 M59 96200 000132 0000R 00001 00261 015 2112000 2024*")</f>
        <v>0</v>
      </c>
      <c r="E4916" s="54"/>
      <c r="F4916" s="83">
        <f>SUMIFS(F4917:F6462,K4917:K6462,"0",B4917:B6462,"5 1 2 6 1 12 31111 6 M59 96200 000132 0000R 00001 00261 015 2112000 2024*")</f>
        <v>599.99</v>
      </c>
      <c r="G4916" s="83">
        <f>SUMIFS(G4917:G6462,K4917:K6462,"0",B4917:B6462,"5 1 2 6 1 12 31111 6 M59 96200 000132 0000R 00001 00261 015 2112000 2024*")</f>
        <v>0</v>
      </c>
      <c r="H4916" s="83">
        <f t="shared" si="77"/>
        <v>599.99</v>
      </c>
      <c r="I4916" s="83"/>
      <c r="K4916" s="54" t="s">
        <v>15</v>
      </c>
    </row>
    <row r="4917" spans="2:11" ht="41.25" x14ac:dyDescent="0.2">
      <c r="B4917" s="82" t="s">
        <v>7701</v>
      </c>
      <c r="C4917" s="82" t="s">
        <v>662</v>
      </c>
      <c r="D4917" s="83">
        <f>SUMIFS(D4918:D6462,K4918:K6462,"0",B4918:B6462,"5 1 2 6 1 12 31111 6 M59 96200 000132 0000R 00001 00261 015 2112000 2024 CP1AL423*")-SUMIFS(E4918:E6462,K4918:K6462,"0",B4918:B6462,"5 1 2 6 1 12 31111 6 M59 96200 000132 0000R 00001 00261 015 2112000 2024 CP1AL423*")</f>
        <v>0</v>
      </c>
      <c r="E4917" s="54"/>
      <c r="F4917" s="83">
        <f>SUMIFS(F4918:F6462,K4918:K6462,"0",B4918:B6462,"5 1 2 6 1 12 31111 6 M59 96200 000132 0000R 00001 00261 015 2112000 2024 CP1AL423*")</f>
        <v>599.99</v>
      </c>
      <c r="G4917" s="83">
        <f>SUMIFS(G4918:G6462,K4918:K6462,"0",B4918:B6462,"5 1 2 6 1 12 31111 6 M59 96200 000132 0000R 00001 00261 015 2112000 2024 CP1AL423*")</f>
        <v>0</v>
      </c>
      <c r="H4917" s="83">
        <f t="shared" si="77"/>
        <v>599.99</v>
      </c>
      <c r="I4917" s="83"/>
      <c r="K4917" s="54" t="s">
        <v>15</v>
      </c>
    </row>
    <row r="4918" spans="2:11" ht="41.25" x14ac:dyDescent="0.2">
      <c r="B4918" s="82" t="s">
        <v>7702</v>
      </c>
      <c r="C4918" s="82" t="s">
        <v>282</v>
      </c>
      <c r="D4918" s="83">
        <f>SUMIFS(D4919:D6462,K4919:K6462,"0",B4919:B6462,"5 1 2 6 1 12 31111 6 M59 96200 000132 0000R 00001 00261 015 2112000 2024 CP1AL423 001*")-SUMIFS(E4919:E6462,K4919:K6462,"0",B4919:B6462,"5 1 2 6 1 12 31111 6 M59 96200 000132 0000R 00001 00261 015 2112000 2024 CP1AL423 001*")</f>
        <v>0</v>
      </c>
      <c r="E4918" s="54"/>
      <c r="F4918" s="83">
        <f>SUMIFS(F4919:F6462,K4919:K6462,"0",B4919:B6462,"5 1 2 6 1 12 31111 6 M59 96200 000132 0000R 00001 00261 015 2112000 2024 CP1AL423 001*")</f>
        <v>599.99</v>
      </c>
      <c r="G4918" s="83">
        <f>SUMIFS(G4919:G6462,K4919:K6462,"0",B4919:B6462,"5 1 2 6 1 12 31111 6 M59 96200 000132 0000R 00001 00261 015 2112000 2024 CP1AL423 001*")</f>
        <v>0</v>
      </c>
      <c r="H4918" s="83">
        <f t="shared" si="77"/>
        <v>599.99</v>
      </c>
      <c r="I4918" s="83"/>
      <c r="K4918" s="54" t="s">
        <v>15</v>
      </c>
    </row>
    <row r="4919" spans="2:11" ht="41.25" x14ac:dyDescent="0.2">
      <c r="B4919" s="84" t="s">
        <v>7703</v>
      </c>
      <c r="C4919" s="84" t="s">
        <v>7511</v>
      </c>
      <c r="D4919" s="85">
        <v>0</v>
      </c>
      <c r="E4919" s="85"/>
      <c r="F4919" s="85">
        <v>599.99</v>
      </c>
      <c r="G4919" s="85">
        <v>0</v>
      </c>
      <c r="H4919" s="85">
        <f t="shared" si="77"/>
        <v>599.99</v>
      </c>
      <c r="I4919" s="85"/>
      <c r="K4919" s="54" t="s">
        <v>38</v>
      </c>
    </row>
    <row r="4920" spans="2:11" ht="16.5" x14ac:dyDescent="0.2">
      <c r="B4920" s="82" t="s">
        <v>7704</v>
      </c>
      <c r="C4920" s="82" t="s">
        <v>1308</v>
      </c>
      <c r="D4920" s="83">
        <f>SUMIFS(D4921:D6462,K4921:K6462,"0",B4921:B6462,"5 1 2 6 1 12 31111 6 M59 96300*")-SUMIFS(E4921:E6462,K4921:K6462,"0",B4921:B6462,"5 1 2 6 1 12 31111 6 M59 96300*")</f>
        <v>0</v>
      </c>
      <c r="E4920" s="54"/>
      <c r="F4920" s="83">
        <f>SUMIFS(F4921:F6462,K4921:K6462,"0",B4921:B6462,"5 1 2 6 1 12 31111 6 M59 96300*")</f>
        <v>82709.429999999993</v>
      </c>
      <c r="G4920" s="83">
        <f>SUMIFS(G4921:G6462,K4921:K6462,"0",B4921:B6462,"5 1 2 6 1 12 31111 6 M59 96300*")</f>
        <v>0</v>
      </c>
      <c r="H4920" s="83">
        <f t="shared" si="77"/>
        <v>82709.429999999993</v>
      </c>
      <c r="I4920" s="83"/>
      <c r="K4920" s="54" t="s">
        <v>15</v>
      </c>
    </row>
    <row r="4921" spans="2:11" ht="16.5" x14ac:dyDescent="0.2">
      <c r="B4921" s="82" t="s">
        <v>7705</v>
      </c>
      <c r="C4921" s="82" t="s">
        <v>1310</v>
      </c>
      <c r="D4921" s="83">
        <f>SUMIFS(D4922:D6462,K4922:K6462,"0",B4922:B6462,"5 1 2 6 1 12 31111 6 M59 96300 000211*")-SUMIFS(E4922:E6462,K4922:K6462,"0",B4922:B6462,"5 1 2 6 1 12 31111 6 M59 96300 000211*")</f>
        <v>0</v>
      </c>
      <c r="E4921" s="54"/>
      <c r="F4921" s="83">
        <f>SUMIFS(F4922:F6462,K4922:K6462,"0",B4922:B6462,"5 1 2 6 1 12 31111 6 M59 96300 000211*")</f>
        <v>82709.429999999993</v>
      </c>
      <c r="G4921" s="83">
        <f>SUMIFS(G4922:G6462,K4922:K6462,"0",B4922:B6462,"5 1 2 6 1 12 31111 6 M59 96300 000211*")</f>
        <v>0</v>
      </c>
      <c r="H4921" s="83">
        <f t="shared" si="77"/>
        <v>82709.429999999993</v>
      </c>
      <c r="I4921" s="83"/>
      <c r="K4921" s="54" t="s">
        <v>15</v>
      </c>
    </row>
    <row r="4922" spans="2:11" ht="24.75" x14ac:dyDescent="0.2">
      <c r="B4922" s="82" t="s">
        <v>7706</v>
      </c>
      <c r="C4922" s="82" t="s">
        <v>1065</v>
      </c>
      <c r="D4922" s="83">
        <f>SUMIFS(D4923:D6462,K4923:K6462,"0",B4923:B6462,"5 1 2 6 1 12 31111 6 M59 96300 000211 0000E*")-SUMIFS(E4923:E6462,K4923:K6462,"0",B4923:B6462,"5 1 2 6 1 12 31111 6 M59 96300 000211 0000E*")</f>
        <v>0</v>
      </c>
      <c r="E4922" s="54"/>
      <c r="F4922" s="83">
        <f>SUMIFS(F4923:F6462,K4923:K6462,"0",B4923:B6462,"5 1 2 6 1 12 31111 6 M59 96300 000211 0000E*")</f>
        <v>82709.429999999993</v>
      </c>
      <c r="G4922" s="83">
        <f>SUMIFS(G4923:G6462,K4923:K6462,"0",B4923:B6462,"5 1 2 6 1 12 31111 6 M59 96300 000211 0000E*")</f>
        <v>0</v>
      </c>
      <c r="H4922" s="83">
        <f t="shared" si="77"/>
        <v>82709.429999999993</v>
      </c>
      <c r="I4922" s="83"/>
      <c r="K4922" s="54" t="s">
        <v>15</v>
      </c>
    </row>
    <row r="4923" spans="2:11" ht="24.75" x14ac:dyDescent="0.2">
      <c r="B4923" s="82" t="s">
        <v>7707</v>
      </c>
      <c r="C4923" s="82" t="s">
        <v>282</v>
      </c>
      <c r="D4923" s="83">
        <f>SUMIFS(D4924:D6462,K4924:K6462,"0",B4924:B6462,"5 1 2 6 1 12 31111 6 M59 96300 000211 0000E 00001*")-SUMIFS(E4924:E6462,K4924:K6462,"0",B4924:B6462,"5 1 2 6 1 12 31111 6 M59 96300 000211 0000E 00001*")</f>
        <v>0</v>
      </c>
      <c r="E4923" s="54"/>
      <c r="F4923" s="83">
        <f>SUMIFS(F4924:F6462,K4924:K6462,"0",B4924:B6462,"5 1 2 6 1 12 31111 6 M59 96300 000211 0000E 00001*")</f>
        <v>82709.429999999993</v>
      </c>
      <c r="G4923" s="83">
        <f>SUMIFS(G4924:G6462,K4924:K6462,"0",B4924:B6462,"5 1 2 6 1 12 31111 6 M59 96300 000211 0000E 00001*")</f>
        <v>0</v>
      </c>
      <c r="H4923" s="83">
        <f t="shared" si="77"/>
        <v>82709.429999999993</v>
      </c>
      <c r="I4923" s="83"/>
      <c r="K4923" s="54" t="s">
        <v>15</v>
      </c>
    </row>
    <row r="4924" spans="2:11" ht="24.75" x14ac:dyDescent="0.2">
      <c r="B4924" s="82" t="s">
        <v>7708</v>
      </c>
      <c r="C4924" s="82" t="s">
        <v>7511</v>
      </c>
      <c r="D4924" s="83">
        <f>SUMIFS(D4925:D6462,K4925:K6462,"0",B4925:B6462,"5 1 2 6 1 12 31111 6 M59 96300 000211 0000E 00001 00261*")-SUMIFS(E4925:E6462,K4925:K6462,"0",B4925:B6462,"5 1 2 6 1 12 31111 6 M59 96300 000211 0000E 00001 00261*")</f>
        <v>0</v>
      </c>
      <c r="E4924" s="54"/>
      <c r="F4924" s="83">
        <f>SUMIFS(F4925:F6462,K4925:K6462,"0",B4925:B6462,"5 1 2 6 1 12 31111 6 M59 96300 000211 0000E 00001 00261*")</f>
        <v>82709.429999999993</v>
      </c>
      <c r="G4924" s="83">
        <f>SUMIFS(G4925:G6462,K4925:K6462,"0",B4925:B6462,"5 1 2 6 1 12 31111 6 M59 96300 000211 0000E 00001 00261*")</f>
        <v>0</v>
      </c>
      <c r="H4924" s="83">
        <f t="shared" si="77"/>
        <v>82709.429999999993</v>
      </c>
      <c r="I4924" s="83"/>
      <c r="K4924" s="54" t="s">
        <v>15</v>
      </c>
    </row>
    <row r="4925" spans="2:11" ht="33" x14ac:dyDescent="0.2">
      <c r="B4925" s="82" t="s">
        <v>7709</v>
      </c>
      <c r="C4925" s="82" t="s">
        <v>1051</v>
      </c>
      <c r="D4925" s="83">
        <f>SUMIFS(D4926:D6462,K4926:K6462,"0",B4926:B6462,"5 1 2 6 1 12 31111 6 M59 96300 000211 0000E 00001 00261 015*")-SUMIFS(E4926:E6462,K4926:K6462,"0",B4926:B6462,"5 1 2 6 1 12 31111 6 M59 96300 000211 0000E 00001 00261 015*")</f>
        <v>0</v>
      </c>
      <c r="E4925" s="54"/>
      <c r="F4925" s="83">
        <f>SUMIFS(F4926:F6462,K4926:K6462,"0",B4926:B6462,"5 1 2 6 1 12 31111 6 M59 96300 000211 0000E 00001 00261 015*")</f>
        <v>82709.429999999993</v>
      </c>
      <c r="G4925" s="83">
        <f>SUMIFS(G4926:G6462,K4926:K6462,"0",B4926:B6462,"5 1 2 6 1 12 31111 6 M59 96300 000211 0000E 00001 00261 015*")</f>
        <v>0</v>
      </c>
      <c r="H4925" s="83">
        <f t="shared" si="77"/>
        <v>82709.429999999993</v>
      </c>
      <c r="I4925" s="83"/>
      <c r="K4925" s="54" t="s">
        <v>15</v>
      </c>
    </row>
    <row r="4926" spans="2:11" ht="33" x14ac:dyDescent="0.2">
      <c r="B4926" s="82" t="s">
        <v>7710</v>
      </c>
      <c r="C4926" s="82" t="s">
        <v>5830</v>
      </c>
      <c r="D4926" s="83">
        <f>SUMIFS(D4927:D6462,K4927:K6462,"0",B4927:B6462,"5 1 2 6 1 12 31111 6 M59 96300 000211 0000E 00001 00261 015 2112000*")-SUMIFS(E4927:E6462,K4927:K6462,"0",B4927:B6462,"5 1 2 6 1 12 31111 6 M59 96300 000211 0000E 00001 00261 015 2112000*")</f>
        <v>0</v>
      </c>
      <c r="E4926" s="54"/>
      <c r="F4926" s="83">
        <f>SUMIFS(F4927:F6462,K4927:K6462,"0",B4927:B6462,"5 1 2 6 1 12 31111 6 M59 96300 000211 0000E 00001 00261 015 2112000*")</f>
        <v>82709.429999999993</v>
      </c>
      <c r="G4926" s="83">
        <f>SUMIFS(G4927:G6462,K4927:K6462,"0",B4927:B6462,"5 1 2 6 1 12 31111 6 M59 96300 000211 0000E 00001 00261 015 2112000*")</f>
        <v>0</v>
      </c>
      <c r="H4926" s="83">
        <f t="shared" si="77"/>
        <v>82709.429999999993</v>
      </c>
      <c r="I4926" s="83"/>
      <c r="K4926" s="54" t="s">
        <v>15</v>
      </c>
    </row>
    <row r="4927" spans="2:11" ht="33" x14ac:dyDescent="0.2">
      <c r="B4927" s="82" t="s">
        <v>7711</v>
      </c>
      <c r="C4927" s="82" t="s">
        <v>660</v>
      </c>
      <c r="D4927" s="83">
        <f>SUMIFS(D4928:D6462,K4928:K6462,"0",B4928:B6462,"5 1 2 6 1 12 31111 6 M59 96300 000211 0000E 00001 00261 015 2112000 2024*")-SUMIFS(E4928:E6462,K4928:K6462,"0",B4928:B6462,"5 1 2 6 1 12 31111 6 M59 96300 000211 0000E 00001 00261 015 2112000 2024*")</f>
        <v>0</v>
      </c>
      <c r="E4927" s="54"/>
      <c r="F4927" s="83">
        <f>SUMIFS(F4928:F6462,K4928:K6462,"0",B4928:B6462,"5 1 2 6 1 12 31111 6 M59 96300 000211 0000E 00001 00261 015 2112000 2024*")</f>
        <v>82709.429999999993</v>
      </c>
      <c r="G4927" s="83">
        <f>SUMIFS(G4928:G6462,K4928:K6462,"0",B4928:B6462,"5 1 2 6 1 12 31111 6 M59 96300 000211 0000E 00001 00261 015 2112000 2024*")</f>
        <v>0</v>
      </c>
      <c r="H4927" s="83">
        <f t="shared" si="77"/>
        <v>82709.429999999993</v>
      </c>
      <c r="I4927" s="83"/>
      <c r="K4927" s="54" t="s">
        <v>15</v>
      </c>
    </row>
    <row r="4928" spans="2:11" ht="41.25" x14ac:dyDescent="0.2">
      <c r="B4928" s="82" t="s">
        <v>7712</v>
      </c>
      <c r="C4928" s="82" t="s">
        <v>1056</v>
      </c>
      <c r="D4928" s="83">
        <f>SUMIFS(D4929:D6462,K4929:K6462,"0",B4929:B6462,"5 1 2 6 1 12 31111 6 M59 96300 000211 0000E 00001 00261 015 2112000 2024 CP1SB396*")-SUMIFS(E4929:E6462,K4929:K6462,"0",B4929:B6462,"5 1 2 6 1 12 31111 6 M59 96300 000211 0000E 00001 00261 015 2112000 2024 CP1SB396*")</f>
        <v>0</v>
      </c>
      <c r="E4928" s="54"/>
      <c r="F4928" s="83">
        <f>SUMIFS(F4929:F6462,K4929:K6462,"0",B4929:B6462,"5 1 2 6 1 12 31111 6 M59 96300 000211 0000E 00001 00261 015 2112000 2024 CP1SB396*")</f>
        <v>82709.429999999993</v>
      </c>
      <c r="G4928" s="83">
        <f>SUMIFS(G4929:G6462,K4929:K6462,"0",B4929:B6462,"5 1 2 6 1 12 31111 6 M59 96300 000211 0000E 00001 00261 015 2112000 2024 CP1SB396*")</f>
        <v>0</v>
      </c>
      <c r="H4928" s="83">
        <f t="shared" si="77"/>
        <v>82709.429999999993</v>
      </c>
      <c r="I4928" s="83"/>
      <c r="K4928" s="54" t="s">
        <v>15</v>
      </c>
    </row>
    <row r="4929" spans="2:11" ht="41.25" x14ac:dyDescent="0.2">
      <c r="B4929" s="82" t="s">
        <v>7713</v>
      </c>
      <c r="C4929" s="82" t="s">
        <v>282</v>
      </c>
      <c r="D4929" s="83">
        <f>SUMIFS(D4930:D6462,K4930:K6462,"0",B4930:B6462,"5 1 2 6 1 12 31111 6 M59 96300 000211 0000E 00001 00261 015 2112000 2024 CP1SB396 001*")-SUMIFS(E4930:E6462,K4930:K6462,"0",B4930:B6462,"5 1 2 6 1 12 31111 6 M59 96300 000211 0000E 00001 00261 015 2112000 2024 CP1SB396 001*")</f>
        <v>0</v>
      </c>
      <c r="E4929" s="54"/>
      <c r="F4929" s="83">
        <f>SUMIFS(F4930:F6462,K4930:K6462,"0",B4930:B6462,"5 1 2 6 1 12 31111 6 M59 96300 000211 0000E 00001 00261 015 2112000 2024 CP1SB396 001*")</f>
        <v>82709.429999999993</v>
      </c>
      <c r="G4929" s="83">
        <f>SUMIFS(G4930:G6462,K4930:K6462,"0",B4930:B6462,"5 1 2 6 1 12 31111 6 M59 96300 000211 0000E 00001 00261 015 2112000 2024 CP1SB396 001*")</f>
        <v>0</v>
      </c>
      <c r="H4929" s="83">
        <f t="shared" si="77"/>
        <v>82709.429999999993</v>
      </c>
      <c r="I4929" s="83"/>
      <c r="K4929" s="54" t="s">
        <v>15</v>
      </c>
    </row>
    <row r="4930" spans="2:11" ht="33" x14ac:dyDescent="0.2">
      <c r="B4930" s="84" t="s">
        <v>7714</v>
      </c>
      <c r="C4930" s="84" t="s">
        <v>7511</v>
      </c>
      <c r="D4930" s="85">
        <v>0</v>
      </c>
      <c r="E4930" s="85"/>
      <c r="F4930" s="85">
        <v>82709.429999999993</v>
      </c>
      <c r="G4930" s="85">
        <v>0</v>
      </c>
      <c r="H4930" s="85">
        <f t="shared" si="77"/>
        <v>82709.429999999993</v>
      </c>
      <c r="I4930" s="85"/>
      <c r="K4930" s="54" t="s">
        <v>38</v>
      </c>
    </row>
    <row r="4931" spans="2:11" ht="24.75" x14ac:dyDescent="0.2">
      <c r="B4931" s="82" t="s">
        <v>7717</v>
      </c>
      <c r="C4931" s="82" t="s">
        <v>551</v>
      </c>
      <c r="D4931" s="83">
        <f>SUMIFS(D4932:D6462,K4932:K6462,"0",B4932:B6462,"5 1 2 7*")-SUMIFS(E4932:E6462,K4932:K6462,"0",B4932:B6462,"5 1 2 7*")</f>
        <v>0</v>
      </c>
      <c r="E4931" s="54"/>
      <c r="F4931" s="83">
        <f>SUMIFS(F4932:F6462,K4932:K6462,"0",B4932:B6462,"5 1 2 7*")</f>
        <v>18877.240000000002</v>
      </c>
      <c r="G4931" s="83">
        <f>SUMIFS(G4932:G6462,K4932:K6462,"0",B4932:B6462,"5 1 2 7*")</f>
        <v>0</v>
      </c>
      <c r="H4931" s="83">
        <f t="shared" si="77"/>
        <v>18877.240000000002</v>
      </c>
      <c r="I4931" s="83"/>
      <c r="K4931" s="54" t="s">
        <v>15</v>
      </c>
    </row>
    <row r="4932" spans="2:11" ht="12.75" x14ac:dyDescent="0.2">
      <c r="B4932" s="82" t="s">
        <v>7718</v>
      </c>
      <c r="C4932" s="82" t="s">
        <v>7719</v>
      </c>
      <c r="D4932" s="83">
        <f>SUMIFS(D4933:D6462,K4933:K6462,"0",B4933:B6462,"5 1 2 7 1*")-SUMIFS(E4933:E6462,K4933:K6462,"0",B4933:B6462,"5 1 2 7 1*")</f>
        <v>0</v>
      </c>
      <c r="E4932" s="54"/>
      <c r="F4932" s="83">
        <f>SUMIFS(F4933:F6462,K4933:K6462,"0",B4933:B6462,"5 1 2 7 1*")</f>
        <v>10387.98</v>
      </c>
      <c r="G4932" s="83">
        <f>SUMIFS(G4933:G6462,K4933:K6462,"0",B4933:B6462,"5 1 2 7 1*")</f>
        <v>0</v>
      </c>
      <c r="H4932" s="83">
        <f t="shared" si="77"/>
        <v>10387.98</v>
      </c>
      <c r="I4932" s="83"/>
      <c r="K4932" s="54" t="s">
        <v>15</v>
      </c>
    </row>
    <row r="4933" spans="2:11" ht="12.75" x14ac:dyDescent="0.2">
      <c r="B4933" s="82" t="s">
        <v>7720</v>
      </c>
      <c r="C4933" s="82" t="s">
        <v>26</v>
      </c>
      <c r="D4933" s="83">
        <f>SUMIFS(D4934:D6462,K4934:K6462,"0",B4934:B6462,"5 1 2 7 1 12*")-SUMIFS(E4934:E6462,K4934:K6462,"0",B4934:B6462,"5 1 2 7 1 12*")</f>
        <v>0</v>
      </c>
      <c r="E4933" s="54"/>
      <c r="F4933" s="83">
        <f>SUMIFS(F4934:F6462,K4934:K6462,"0",B4934:B6462,"5 1 2 7 1 12*")</f>
        <v>10387.98</v>
      </c>
      <c r="G4933" s="83">
        <f>SUMIFS(G4934:G6462,K4934:K6462,"0",B4934:B6462,"5 1 2 7 1 12*")</f>
        <v>0</v>
      </c>
      <c r="H4933" s="83">
        <f t="shared" si="77"/>
        <v>10387.98</v>
      </c>
      <c r="I4933" s="83"/>
      <c r="K4933" s="54" t="s">
        <v>15</v>
      </c>
    </row>
    <row r="4934" spans="2:11" ht="16.5" x14ac:dyDescent="0.2">
      <c r="B4934" s="82" t="s">
        <v>7721</v>
      </c>
      <c r="C4934" s="82" t="s">
        <v>28</v>
      </c>
      <c r="D4934" s="83">
        <f>SUMIFS(D4935:D6462,K4935:K6462,"0",B4935:B6462,"5 1 2 7 1 12 31111*")-SUMIFS(E4935:E6462,K4935:K6462,"0",B4935:B6462,"5 1 2 7 1 12 31111*")</f>
        <v>0</v>
      </c>
      <c r="E4934" s="54"/>
      <c r="F4934" s="83">
        <f>SUMIFS(F4935:F6462,K4935:K6462,"0",B4935:B6462,"5 1 2 7 1 12 31111*")</f>
        <v>10387.98</v>
      </c>
      <c r="G4934" s="83">
        <f>SUMIFS(G4935:G6462,K4935:K6462,"0",B4935:B6462,"5 1 2 7 1 12 31111*")</f>
        <v>0</v>
      </c>
      <c r="H4934" s="83">
        <f t="shared" si="77"/>
        <v>10387.98</v>
      </c>
      <c r="I4934" s="83"/>
      <c r="K4934" s="54" t="s">
        <v>15</v>
      </c>
    </row>
    <row r="4935" spans="2:11" ht="12.75" x14ac:dyDescent="0.2">
      <c r="B4935" s="82" t="s">
        <v>7722</v>
      </c>
      <c r="C4935" s="82" t="s">
        <v>30</v>
      </c>
      <c r="D4935" s="83">
        <f>SUMIFS(D4936:D6462,K4936:K6462,"0",B4936:B6462,"5 1 2 7 1 12 31111 6*")-SUMIFS(E4936:E6462,K4936:K6462,"0",B4936:B6462,"5 1 2 7 1 12 31111 6*")</f>
        <v>0</v>
      </c>
      <c r="E4935" s="54"/>
      <c r="F4935" s="83">
        <f>SUMIFS(F4936:F6462,K4936:K6462,"0",B4936:B6462,"5 1 2 7 1 12 31111 6*")</f>
        <v>10387.98</v>
      </c>
      <c r="G4935" s="83">
        <f>SUMIFS(G4936:G6462,K4936:K6462,"0",B4936:B6462,"5 1 2 7 1 12 31111 6*")</f>
        <v>0</v>
      </c>
      <c r="H4935" s="83">
        <f t="shared" si="77"/>
        <v>10387.98</v>
      </c>
      <c r="I4935" s="83"/>
      <c r="K4935" s="54" t="s">
        <v>15</v>
      </c>
    </row>
    <row r="4936" spans="2:11" ht="16.5" x14ac:dyDescent="0.2">
      <c r="B4936" s="82" t="s">
        <v>7723</v>
      </c>
      <c r="C4936" s="82" t="s">
        <v>2284</v>
      </c>
      <c r="D4936" s="83">
        <f>SUMIFS(D4937:D6462,K4937:K6462,"0",B4937:B6462,"5 1 2 7 1 12 31111 6 M59*")-SUMIFS(E4937:E6462,K4937:K6462,"0",B4937:B6462,"5 1 2 7 1 12 31111 6 M59*")</f>
        <v>0</v>
      </c>
      <c r="E4936" s="54"/>
      <c r="F4936" s="83">
        <f>SUMIFS(F4937:F6462,K4937:K6462,"0",B4937:B6462,"5 1 2 7 1 12 31111 6 M59*")</f>
        <v>10387.98</v>
      </c>
      <c r="G4936" s="83">
        <f>SUMIFS(G4937:G6462,K4937:K6462,"0",B4937:B6462,"5 1 2 7 1 12 31111 6 M59*")</f>
        <v>0</v>
      </c>
      <c r="H4936" s="83">
        <f t="shared" si="77"/>
        <v>10387.98</v>
      </c>
      <c r="I4936" s="83"/>
      <c r="K4936" s="54" t="s">
        <v>15</v>
      </c>
    </row>
    <row r="4937" spans="2:11" ht="16.5" x14ac:dyDescent="0.2">
      <c r="B4937" s="82" t="s">
        <v>7747</v>
      </c>
      <c r="C4937" s="82" t="s">
        <v>3706</v>
      </c>
      <c r="D4937" s="83">
        <f>SUMIFS(D4938:D6462,K4938:K6462,"0",B4938:B6462,"5 1 2 7 1 12 31111 6 M59 96200*")-SUMIFS(E4938:E6462,K4938:K6462,"0",B4938:B6462,"5 1 2 7 1 12 31111 6 M59 96200*")</f>
        <v>0</v>
      </c>
      <c r="E4937" s="54"/>
      <c r="F4937" s="83">
        <f>SUMIFS(F4938:F6462,K4938:K6462,"0",B4938:B6462,"5 1 2 7 1 12 31111 6 M59 96200*")</f>
        <v>10387.98</v>
      </c>
      <c r="G4937" s="83">
        <f>SUMIFS(G4938:G6462,K4938:K6462,"0",B4938:B6462,"5 1 2 7 1 12 31111 6 M59 96200*")</f>
        <v>0</v>
      </c>
      <c r="H4937" s="83">
        <f t="shared" si="77"/>
        <v>10387.98</v>
      </c>
      <c r="I4937" s="83"/>
      <c r="K4937" s="54" t="s">
        <v>15</v>
      </c>
    </row>
    <row r="4938" spans="2:11" ht="16.5" x14ac:dyDescent="0.2">
      <c r="B4938" s="82" t="s">
        <v>7748</v>
      </c>
      <c r="C4938" s="82" t="s">
        <v>648</v>
      </c>
      <c r="D4938" s="83">
        <f>SUMIFS(D4939:D6462,K4939:K6462,"0",B4939:B6462,"5 1 2 7 1 12 31111 6 M59 96200 000132*")-SUMIFS(E4939:E6462,K4939:K6462,"0",B4939:B6462,"5 1 2 7 1 12 31111 6 M59 96200 000132*")</f>
        <v>0</v>
      </c>
      <c r="E4938" s="54"/>
      <c r="F4938" s="83">
        <f>SUMIFS(F4939:F6462,K4939:K6462,"0",B4939:B6462,"5 1 2 7 1 12 31111 6 M59 96200 000132*")</f>
        <v>10387.98</v>
      </c>
      <c r="G4938" s="83">
        <f>SUMIFS(G4939:G6462,K4939:K6462,"0",B4939:B6462,"5 1 2 7 1 12 31111 6 M59 96200 000132*")</f>
        <v>0</v>
      </c>
      <c r="H4938" s="83">
        <f t="shared" si="77"/>
        <v>10387.98</v>
      </c>
      <c r="I4938" s="83"/>
      <c r="K4938" s="54" t="s">
        <v>15</v>
      </c>
    </row>
    <row r="4939" spans="2:11" ht="16.5" x14ac:dyDescent="0.2">
      <c r="B4939" s="82" t="s">
        <v>7749</v>
      </c>
      <c r="C4939" s="82" t="s">
        <v>650</v>
      </c>
      <c r="D4939" s="83">
        <f>SUMIFS(D4940:D6462,K4940:K6462,"0",B4940:B6462,"5 1 2 7 1 12 31111 6 M59 96200 000132 0000R*")-SUMIFS(E4940:E6462,K4940:K6462,"0",B4940:B6462,"5 1 2 7 1 12 31111 6 M59 96200 000132 0000R*")</f>
        <v>0</v>
      </c>
      <c r="E4939" s="54"/>
      <c r="F4939" s="83">
        <f>SUMIFS(F4940:F6462,K4940:K6462,"0",B4940:B6462,"5 1 2 7 1 12 31111 6 M59 96200 000132 0000R*")</f>
        <v>10387.98</v>
      </c>
      <c r="G4939" s="83">
        <f>SUMIFS(G4940:G6462,K4940:K6462,"0",B4940:B6462,"5 1 2 7 1 12 31111 6 M59 96200 000132 0000R*")</f>
        <v>0</v>
      </c>
      <c r="H4939" s="83">
        <f t="shared" si="77"/>
        <v>10387.98</v>
      </c>
      <c r="I4939" s="83"/>
      <c r="K4939" s="54" t="s">
        <v>15</v>
      </c>
    </row>
    <row r="4940" spans="2:11" ht="24.75" x14ac:dyDescent="0.2">
      <c r="B4940" s="82" t="s">
        <v>7750</v>
      </c>
      <c r="C4940" s="82" t="s">
        <v>282</v>
      </c>
      <c r="D4940" s="83">
        <f>SUMIFS(D4941:D6462,K4941:K6462,"0",B4941:B6462,"5 1 2 7 1 12 31111 6 M59 96200 000132 0000R 00001*")-SUMIFS(E4941:E6462,K4941:K6462,"0",B4941:B6462,"5 1 2 7 1 12 31111 6 M59 96200 000132 0000R 00001*")</f>
        <v>0</v>
      </c>
      <c r="E4940" s="54"/>
      <c r="F4940" s="83">
        <f>SUMIFS(F4941:F6462,K4941:K6462,"0",B4941:B6462,"5 1 2 7 1 12 31111 6 M59 96200 000132 0000R 00001*")</f>
        <v>10387.98</v>
      </c>
      <c r="G4940" s="83">
        <f>SUMIFS(G4941:G6462,K4941:K6462,"0",B4941:B6462,"5 1 2 7 1 12 31111 6 M59 96200 000132 0000R 00001*")</f>
        <v>0</v>
      </c>
      <c r="H4940" s="83">
        <f t="shared" si="77"/>
        <v>10387.98</v>
      </c>
      <c r="I4940" s="83"/>
      <c r="K4940" s="54" t="s">
        <v>15</v>
      </c>
    </row>
    <row r="4941" spans="2:11" ht="24.75" x14ac:dyDescent="0.2">
      <c r="B4941" s="82" t="s">
        <v>7751</v>
      </c>
      <c r="C4941" s="82" t="s">
        <v>7729</v>
      </c>
      <c r="D4941" s="83">
        <f>SUMIFS(D4942:D6462,K4942:K6462,"0",B4942:B6462,"5 1 2 7 1 12 31111 6 M59 96200 000132 0000R 00001 00271*")-SUMIFS(E4942:E6462,K4942:K6462,"0",B4942:B6462,"5 1 2 7 1 12 31111 6 M59 96200 000132 0000R 00001 00271*")</f>
        <v>0</v>
      </c>
      <c r="E4941" s="54"/>
      <c r="F4941" s="83">
        <f>SUMIFS(F4942:F6462,K4942:K6462,"0",B4942:B6462,"5 1 2 7 1 12 31111 6 M59 96200 000132 0000R 00001 00271*")</f>
        <v>10387.98</v>
      </c>
      <c r="G4941" s="83">
        <f>SUMIFS(G4942:G6462,K4942:K6462,"0",B4942:B6462,"5 1 2 7 1 12 31111 6 M59 96200 000132 0000R 00001 00271*")</f>
        <v>0</v>
      </c>
      <c r="H4941" s="83">
        <f t="shared" si="77"/>
        <v>10387.98</v>
      </c>
      <c r="I4941" s="83"/>
      <c r="K4941" s="54" t="s">
        <v>15</v>
      </c>
    </row>
    <row r="4942" spans="2:11" ht="24.75" x14ac:dyDescent="0.2">
      <c r="B4942" s="82" t="s">
        <v>7752</v>
      </c>
      <c r="C4942" s="82" t="s">
        <v>1051</v>
      </c>
      <c r="D4942" s="83">
        <f>SUMIFS(D4943:D6462,K4943:K6462,"0",B4943:B6462,"5 1 2 7 1 12 31111 6 M59 96200 000132 0000R 00001 00271 015*")-SUMIFS(E4943:E6462,K4943:K6462,"0",B4943:B6462,"5 1 2 7 1 12 31111 6 M59 96200 000132 0000R 00001 00271 015*")</f>
        <v>0</v>
      </c>
      <c r="E4942" s="54"/>
      <c r="F4942" s="83">
        <f>SUMIFS(F4943:F6462,K4943:K6462,"0",B4943:B6462,"5 1 2 7 1 12 31111 6 M59 96200 000132 0000R 00001 00271 015*")</f>
        <v>10387.98</v>
      </c>
      <c r="G4942" s="83">
        <f>SUMIFS(G4943:G6462,K4943:K6462,"0",B4943:B6462,"5 1 2 7 1 12 31111 6 M59 96200 000132 0000R 00001 00271 015*")</f>
        <v>0</v>
      </c>
      <c r="H4942" s="83">
        <f t="shared" si="77"/>
        <v>10387.98</v>
      </c>
      <c r="I4942" s="83"/>
      <c r="K4942" s="54" t="s">
        <v>15</v>
      </c>
    </row>
    <row r="4943" spans="2:11" ht="33" x14ac:dyDescent="0.2">
      <c r="B4943" s="82" t="s">
        <v>7753</v>
      </c>
      <c r="C4943" s="82" t="s">
        <v>5830</v>
      </c>
      <c r="D4943" s="83">
        <f>SUMIFS(D4944:D6462,K4944:K6462,"0",B4944:B6462,"5 1 2 7 1 12 31111 6 M59 96200 000132 0000R 00001 00271 015 2112000*")-SUMIFS(E4944:E6462,K4944:K6462,"0",B4944:B6462,"5 1 2 7 1 12 31111 6 M59 96200 000132 0000R 00001 00271 015 2112000*")</f>
        <v>0</v>
      </c>
      <c r="E4943" s="54"/>
      <c r="F4943" s="83">
        <f>SUMIFS(F4944:F6462,K4944:K6462,"0",B4944:B6462,"5 1 2 7 1 12 31111 6 M59 96200 000132 0000R 00001 00271 015 2112000*")</f>
        <v>10387.98</v>
      </c>
      <c r="G4943" s="83">
        <f>SUMIFS(G4944:G6462,K4944:K6462,"0",B4944:B6462,"5 1 2 7 1 12 31111 6 M59 96200 000132 0000R 00001 00271 015 2112000*")</f>
        <v>0</v>
      </c>
      <c r="H4943" s="83">
        <f t="shared" si="77"/>
        <v>10387.98</v>
      </c>
      <c r="I4943" s="83"/>
      <c r="K4943" s="54" t="s">
        <v>15</v>
      </c>
    </row>
    <row r="4944" spans="2:11" ht="33" x14ac:dyDescent="0.2">
      <c r="B4944" s="82" t="s">
        <v>7754</v>
      </c>
      <c r="C4944" s="82" t="s">
        <v>660</v>
      </c>
      <c r="D4944" s="83">
        <f>SUMIFS(D4945:D6462,K4945:K6462,"0",B4945:B6462,"5 1 2 7 1 12 31111 6 M59 96200 000132 0000R 00001 00271 015 2112000 2024*")-SUMIFS(E4945:E6462,K4945:K6462,"0",B4945:B6462,"5 1 2 7 1 12 31111 6 M59 96200 000132 0000R 00001 00271 015 2112000 2024*")</f>
        <v>0</v>
      </c>
      <c r="E4944" s="54"/>
      <c r="F4944" s="83">
        <f>SUMIFS(F4945:F6462,K4945:K6462,"0",B4945:B6462,"5 1 2 7 1 12 31111 6 M59 96200 000132 0000R 00001 00271 015 2112000 2024*")</f>
        <v>10387.98</v>
      </c>
      <c r="G4944" s="83">
        <f>SUMIFS(G4945:G6462,K4945:K6462,"0",B4945:B6462,"5 1 2 7 1 12 31111 6 M59 96200 000132 0000R 00001 00271 015 2112000 2024*")</f>
        <v>0</v>
      </c>
      <c r="H4944" s="83">
        <f t="shared" si="77"/>
        <v>10387.98</v>
      </c>
      <c r="I4944" s="83"/>
      <c r="K4944" s="54" t="s">
        <v>15</v>
      </c>
    </row>
    <row r="4945" spans="2:11" ht="41.25" x14ac:dyDescent="0.2">
      <c r="B4945" s="82" t="s">
        <v>7755</v>
      </c>
      <c r="C4945" s="82" t="s">
        <v>662</v>
      </c>
      <c r="D4945" s="83">
        <f>SUMIFS(D4946:D6462,K4946:K6462,"0",B4946:B6462,"5 1 2 7 1 12 31111 6 M59 96200 000132 0000R 00001 00271 015 2112000 2024 CP1AL423*")-SUMIFS(E4946:E6462,K4946:K6462,"0",B4946:B6462,"5 1 2 7 1 12 31111 6 M59 96200 000132 0000R 00001 00271 015 2112000 2024 CP1AL423*")</f>
        <v>0</v>
      </c>
      <c r="E4945" s="54"/>
      <c r="F4945" s="83">
        <f>SUMIFS(F4946:F6462,K4946:K6462,"0",B4946:B6462,"5 1 2 7 1 12 31111 6 M59 96200 000132 0000R 00001 00271 015 2112000 2024 CP1AL423*")</f>
        <v>10387.98</v>
      </c>
      <c r="G4945" s="83">
        <f>SUMIFS(G4946:G6462,K4946:K6462,"0",B4946:B6462,"5 1 2 7 1 12 31111 6 M59 96200 000132 0000R 00001 00271 015 2112000 2024 CP1AL423*")</f>
        <v>0</v>
      </c>
      <c r="H4945" s="83">
        <f t="shared" si="77"/>
        <v>10387.98</v>
      </c>
      <c r="I4945" s="83"/>
      <c r="K4945" s="54" t="s">
        <v>15</v>
      </c>
    </row>
    <row r="4946" spans="2:11" ht="41.25" x14ac:dyDescent="0.2">
      <c r="B4946" s="82" t="s">
        <v>7756</v>
      </c>
      <c r="C4946" s="82" t="s">
        <v>282</v>
      </c>
      <c r="D4946" s="83">
        <f>SUMIFS(D4947:D6462,K4947:K6462,"0",B4947:B6462,"5 1 2 7 1 12 31111 6 M59 96200 000132 0000R 00001 00271 015 2112000 2024 CP1AL423 001*")-SUMIFS(E4947:E6462,K4947:K6462,"0",B4947:B6462,"5 1 2 7 1 12 31111 6 M59 96200 000132 0000R 00001 00271 015 2112000 2024 CP1AL423 001*")</f>
        <v>0</v>
      </c>
      <c r="E4946" s="54"/>
      <c r="F4946" s="83">
        <f>SUMIFS(F4947:F6462,K4947:K6462,"0",B4947:B6462,"5 1 2 7 1 12 31111 6 M59 96200 000132 0000R 00001 00271 015 2112000 2024 CP1AL423 001*")</f>
        <v>10387.98</v>
      </c>
      <c r="G4946" s="83">
        <f>SUMIFS(G4947:G6462,K4947:K6462,"0",B4947:B6462,"5 1 2 7 1 12 31111 6 M59 96200 000132 0000R 00001 00271 015 2112000 2024 CP1AL423 001*")</f>
        <v>0</v>
      </c>
      <c r="H4946" s="83">
        <f t="shared" si="77"/>
        <v>10387.98</v>
      </c>
      <c r="I4946" s="83"/>
      <c r="K4946" s="54" t="s">
        <v>15</v>
      </c>
    </row>
    <row r="4947" spans="2:11" ht="41.25" x14ac:dyDescent="0.2">
      <c r="B4947" s="84" t="s">
        <v>7757</v>
      </c>
      <c r="C4947" s="84" t="s">
        <v>5830</v>
      </c>
      <c r="D4947" s="85">
        <v>0</v>
      </c>
      <c r="E4947" s="85"/>
      <c r="F4947" s="85">
        <v>10387.98</v>
      </c>
      <c r="G4947" s="85">
        <v>0</v>
      </c>
      <c r="H4947" s="85">
        <f t="shared" si="77"/>
        <v>10387.98</v>
      </c>
      <c r="I4947" s="85"/>
      <c r="K4947" s="54" t="s">
        <v>38</v>
      </c>
    </row>
    <row r="4948" spans="2:11" ht="16.5" x14ac:dyDescent="0.2">
      <c r="B4948" s="82" t="s">
        <v>7758</v>
      </c>
      <c r="C4948" s="82" t="s">
        <v>7759</v>
      </c>
      <c r="D4948" s="83">
        <f>SUMIFS(D4949:D6462,K4949:K6462,"0",B4949:B6462,"5 1 2 7 2*")-SUMIFS(E4949:E6462,K4949:K6462,"0",B4949:B6462,"5 1 2 7 2*")</f>
        <v>0</v>
      </c>
      <c r="E4948" s="54"/>
      <c r="F4948" s="83">
        <f>SUMIFS(F4949:F6462,K4949:K6462,"0",B4949:B6462,"5 1 2 7 2*")</f>
        <v>7240.29</v>
      </c>
      <c r="G4948" s="83">
        <f>SUMIFS(G4949:G6462,K4949:K6462,"0",B4949:B6462,"5 1 2 7 2*")</f>
        <v>0</v>
      </c>
      <c r="H4948" s="83">
        <f t="shared" si="77"/>
        <v>7240.29</v>
      </c>
      <c r="I4948" s="83"/>
      <c r="K4948" s="54" t="s">
        <v>15</v>
      </c>
    </row>
    <row r="4949" spans="2:11" ht="12.75" x14ac:dyDescent="0.2">
      <c r="B4949" s="82" t="s">
        <v>7760</v>
      </c>
      <c r="C4949" s="82" t="s">
        <v>26</v>
      </c>
      <c r="D4949" s="83">
        <f>SUMIFS(D4950:D6462,K4950:K6462,"0",B4950:B6462,"5 1 2 7 2 12*")-SUMIFS(E4950:E6462,K4950:K6462,"0",B4950:B6462,"5 1 2 7 2 12*")</f>
        <v>0</v>
      </c>
      <c r="E4949" s="54"/>
      <c r="F4949" s="83">
        <f>SUMIFS(F4950:F6462,K4950:K6462,"0",B4950:B6462,"5 1 2 7 2 12*")</f>
        <v>7240.29</v>
      </c>
      <c r="G4949" s="83">
        <f>SUMIFS(G4950:G6462,K4950:K6462,"0",B4950:B6462,"5 1 2 7 2 12*")</f>
        <v>0</v>
      </c>
      <c r="H4949" s="83">
        <f t="shared" si="77"/>
        <v>7240.29</v>
      </c>
      <c r="I4949" s="83"/>
      <c r="K4949" s="54" t="s">
        <v>15</v>
      </c>
    </row>
    <row r="4950" spans="2:11" ht="16.5" x14ac:dyDescent="0.2">
      <c r="B4950" s="82" t="s">
        <v>7761</v>
      </c>
      <c r="C4950" s="82" t="s">
        <v>28</v>
      </c>
      <c r="D4950" s="83">
        <f>SUMIFS(D4951:D6462,K4951:K6462,"0",B4951:B6462,"5 1 2 7 2 12 31111*")-SUMIFS(E4951:E6462,K4951:K6462,"0",B4951:B6462,"5 1 2 7 2 12 31111*")</f>
        <v>0</v>
      </c>
      <c r="E4950" s="54"/>
      <c r="F4950" s="83">
        <f>SUMIFS(F4951:F6462,K4951:K6462,"0",B4951:B6462,"5 1 2 7 2 12 31111*")</f>
        <v>7240.29</v>
      </c>
      <c r="G4950" s="83">
        <f>SUMIFS(G4951:G6462,K4951:K6462,"0",B4951:B6462,"5 1 2 7 2 12 31111*")</f>
        <v>0</v>
      </c>
      <c r="H4950" s="83">
        <f t="shared" si="77"/>
        <v>7240.29</v>
      </c>
      <c r="I4950" s="83"/>
      <c r="K4950" s="54" t="s">
        <v>15</v>
      </c>
    </row>
    <row r="4951" spans="2:11" ht="12.75" x14ac:dyDescent="0.2">
      <c r="B4951" s="82" t="s">
        <v>7762</v>
      </c>
      <c r="C4951" s="82" t="s">
        <v>30</v>
      </c>
      <c r="D4951" s="83">
        <f>SUMIFS(D4952:D6462,K4952:K6462,"0",B4952:B6462,"5 1 2 7 2 12 31111 6*")-SUMIFS(E4952:E6462,K4952:K6462,"0",B4952:B6462,"5 1 2 7 2 12 31111 6*")</f>
        <v>0</v>
      </c>
      <c r="E4951" s="54"/>
      <c r="F4951" s="83">
        <f>SUMIFS(F4952:F6462,K4952:K6462,"0",B4952:B6462,"5 1 2 7 2 12 31111 6*")</f>
        <v>7240.29</v>
      </c>
      <c r="G4951" s="83">
        <f>SUMIFS(G4952:G6462,K4952:K6462,"0",B4952:B6462,"5 1 2 7 2 12 31111 6*")</f>
        <v>0</v>
      </c>
      <c r="H4951" s="83">
        <f t="shared" si="77"/>
        <v>7240.29</v>
      </c>
      <c r="I4951" s="83"/>
      <c r="K4951" s="54" t="s">
        <v>15</v>
      </c>
    </row>
    <row r="4952" spans="2:11" ht="16.5" x14ac:dyDescent="0.2">
      <c r="B4952" s="82" t="s">
        <v>7763</v>
      </c>
      <c r="C4952" s="82" t="s">
        <v>2284</v>
      </c>
      <c r="D4952" s="83">
        <f>SUMIFS(D4953:D6462,K4953:K6462,"0",B4953:B6462,"5 1 2 7 2 12 31111 6 M59*")-SUMIFS(E4953:E6462,K4953:K6462,"0",B4953:B6462,"5 1 2 7 2 12 31111 6 M59*")</f>
        <v>0</v>
      </c>
      <c r="E4952" s="54"/>
      <c r="F4952" s="83">
        <f>SUMIFS(F4953:F6462,K4953:K6462,"0",B4953:B6462,"5 1 2 7 2 12 31111 6 M59*")</f>
        <v>7240.29</v>
      </c>
      <c r="G4952" s="83">
        <f>SUMIFS(G4953:G6462,K4953:K6462,"0",B4953:B6462,"5 1 2 7 2 12 31111 6 M59*")</f>
        <v>0</v>
      </c>
      <c r="H4952" s="83">
        <f t="shared" si="77"/>
        <v>7240.29</v>
      </c>
      <c r="I4952" s="83"/>
      <c r="K4952" s="54" t="s">
        <v>15</v>
      </c>
    </row>
    <row r="4953" spans="2:11" ht="16.5" x14ac:dyDescent="0.2">
      <c r="B4953" s="82" t="s">
        <v>7764</v>
      </c>
      <c r="C4953" s="82" t="s">
        <v>3138</v>
      </c>
      <c r="D4953" s="83">
        <f>SUMIFS(D4954:D6462,K4954:K6462,"0",B4954:B6462,"5 1 2 7 2 12 31111 6 M59 20700*")-SUMIFS(E4954:E6462,K4954:K6462,"0",B4954:B6462,"5 1 2 7 2 12 31111 6 M59 20700*")</f>
        <v>0</v>
      </c>
      <c r="E4953" s="54"/>
      <c r="F4953" s="83">
        <f>SUMIFS(F4954:F6462,K4954:K6462,"0",B4954:B6462,"5 1 2 7 2 12 31111 6 M59 20700*")</f>
        <v>1520</v>
      </c>
      <c r="G4953" s="83">
        <f>SUMIFS(G4954:G6462,K4954:K6462,"0",B4954:B6462,"5 1 2 7 2 12 31111 6 M59 20700*")</f>
        <v>0</v>
      </c>
      <c r="H4953" s="83">
        <f t="shared" si="77"/>
        <v>1520</v>
      </c>
      <c r="I4953" s="83"/>
      <c r="K4953" s="54" t="s">
        <v>15</v>
      </c>
    </row>
    <row r="4954" spans="2:11" ht="16.5" x14ac:dyDescent="0.2">
      <c r="B4954" s="82" t="s">
        <v>7765</v>
      </c>
      <c r="C4954" s="82" t="s">
        <v>648</v>
      </c>
      <c r="D4954" s="83">
        <f>SUMIFS(D4955:D6462,K4955:K6462,"0",B4955:B6462,"5 1 2 7 2 12 31111 6 M59 20700 000132*")-SUMIFS(E4955:E6462,K4955:K6462,"0",B4955:B6462,"5 1 2 7 2 12 31111 6 M59 20700 000132*")</f>
        <v>0</v>
      </c>
      <c r="E4954" s="54"/>
      <c r="F4954" s="83">
        <f>SUMIFS(F4955:F6462,K4955:K6462,"0",B4955:B6462,"5 1 2 7 2 12 31111 6 M59 20700 000132*")</f>
        <v>1520</v>
      </c>
      <c r="G4954" s="83">
        <f>SUMIFS(G4955:G6462,K4955:K6462,"0",B4955:B6462,"5 1 2 7 2 12 31111 6 M59 20700 000132*")</f>
        <v>0</v>
      </c>
      <c r="H4954" s="83">
        <f t="shared" si="77"/>
        <v>1520</v>
      </c>
      <c r="I4954" s="83"/>
      <c r="K4954" s="54" t="s">
        <v>15</v>
      </c>
    </row>
    <row r="4955" spans="2:11" ht="24.75" x14ac:dyDescent="0.2">
      <c r="B4955" s="82" t="s">
        <v>7766</v>
      </c>
      <c r="C4955" s="82" t="s">
        <v>650</v>
      </c>
      <c r="D4955" s="83">
        <f>SUMIFS(D4956:D6462,K4956:K6462,"0",B4956:B6462,"5 1 2 7 2 12 31111 6 M59 20700 000132 0000R*")-SUMIFS(E4956:E6462,K4956:K6462,"0",B4956:B6462,"5 1 2 7 2 12 31111 6 M59 20700 000132 0000R*")</f>
        <v>0</v>
      </c>
      <c r="E4955" s="54"/>
      <c r="F4955" s="83">
        <f>SUMIFS(F4956:F6462,K4956:K6462,"0",B4956:B6462,"5 1 2 7 2 12 31111 6 M59 20700 000132 0000R*")</f>
        <v>1520</v>
      </c>
      <c r="G4955" s="83">
        <f>SUMIFS(G4956:G6462,K4956:K6462,"0",B4956:B6462,"5 1 2 7 2 12 31111 6 M59 20700 000132 0000R*")</f>
        <v>0</v>
      </c>
      <c r="H4955" s="83">
        <f t="shared" si="77"/>
        <v>1520</v>
      </c>
      <c r="I4955" s="83"/>
      <c r="K4955" s="54" t="s">
        <v>15</v>
      </c>
    </row>
    <row r="4956" spans="2:11" ht="24.75" x14ac:dyDescent="0.2">
      <c r="B4956" s="82" t="s">
        <v>7767</v>
      </c>
      <c r="C4956" s="82" t="s">
        <v>282</v>
      </c>
      <c r="D4956" s="83">
        <f>SUMIFS(D4957:D6462,K4957:K6462,"0",B4957:B6462,"5 1 2 7 2 12 31111 6 M59 20700 000132 0000R 00001*")-SUMIFS(E4957:E6462,K4957:K6462,"0",B4957:B6462,"5 1 2 7 2 12 31111 6 M59 20700 000132 0000R 00001*")</f>
        <v>0</v>
      </c>
      <c r="E4956" s="54"/>
      <c r="F4956" s="83">
        <f>SUMIFS(F4957:F6462,K4957:K6462,"0",B4957:B6462,"5 1 2 7 2 12 31111 6 M59 20700 000132 0000R 00001*")</f>
        <v>1520</v>
      </c>
      <c r="G4956" s="83">
        <f>SUMIFS(G4957:G6462,K4957:K6462,"0",B4957:B6462,"5 1 2 7 2 12 31111 6 M59 20700 000132 0000R 00001*")</f>
        <v>0</v>
      </c>
      <c r="H4956" s="83">
        <f t="shared" si="77"/>
        <v>1520</v>
      </c>
      <c r="I4956" s="83"/>
      <c r="K4956" s="54" t="s">
        <v>15</v>
      </c>
    </row>
    <row r="4957" spans="2:11" ht="24.75" x14ac:dyDescent="0.2">
      <c r="B4957" s="82" t="s">
        <v>7768</v>
      </c>
      <c r="C4957" s="82" t="s">
        <v>7769</v>
      </c>
      <c r="D4957" s="83">
        <f>SUMIFS(D4958:D6462,K4958:K6462,"0",B4958:B6462,"5 1 2 7 2 12 31111 6 M59 20700 000132 0000R 00001 00272*")-SUMIFS(E4958:E6462,K4958:K6462,"0",B4958:B6462,"5 1 2 7 2 12 31111 6 M59 20700 000132 0000R 00001 00272*")</f>
        <v>0</v>
      </c>
      <c r="E4957" s="54"/>
      <c r="F4957" s="83">
        <f>SUMIFS(F4958:F6462,K4958:K6462,"0",B4958:B6462,"5 1 2 7 2 12 31111 6 M59 20700 000132 0000R 00001 00272*")</f>
        <v>1520</v>
      </c>
      <c r="G4957" s="83">
        <f>SUMIFS(G4958:G6462,K4958:K6462,"0",B4958:B6462,"5 1 2 7 2 12 31111 6 M59 20700 000132 0000R 00001 00272*")</f>
        <v>0</v>
      </c>
      <c r="H4957" s="83">
        <f t="shared" si="77"/>
        <v>1520</v>
      </c>
      <c r="I4957" s="83"/>
      <c r="K4957" s="54" t="s">
        <v>15</v>
      </c>
    </row>
    <row r="4958" spans="2:11" ht="33" x14ac:dyDescent="0.2">
      <c r="B4958" s="82" t="s">
        <v>7770</v>
      </c>
      <c r="C4958" s="82" t="s">
        <v>1051</v>
      </c>
      <c r="D4958" s="83">
        <f>SUMIFS(D4959:D6462,K4959:K6462,"0",B4959:B6462,"5 1 2 7 2 12 31111 6 M59 20700 000132 0000R 00001 00272 015*")-SUMIFS(E4959:E6462,K4959:K6462,"0",B4959:B6462,"5 1 2 7 2 12 31111 6 M59 20700 000132 0000R 00001 00272 015*")</f>
        <v>0</v>
      </c>
      <c r="E4958" s="54"/>
      <c r="F4958" s="83">
        <f>SUMIFS(F4959:F6462,K4959:K6462,"0",B4959:B6462,"5 1 2 7 2 12 31111 6 M59 20700 000132 0000R 00001 00272 015*")</f>
        <v>1520</v>
      </c>
      <c r="G4958" s="83">
        <f>SUMIFS(G4959:G6462,K4959:K6462,"0",B4959:B6462,"5 1 2 7 2 12 31111 6 M59 20700 000132 0000R 00001 00272 015*")</f>
        <v>0</v>
      </c>
      <c r="H4958" s="83">
        <f t="shared" si="77"/>
        <v>1520</v>
      </c>
      <c r="I4958" s="83"/>
      <c r="K4958" s="54" t="s">
        <v>15</v>
      </c>
    </row>
    <row r="4959" spans="2:11" ht="33" x14ac:dyDescent="0.2">
      <c r="B4959" s="82" t="s">
        <v>7771</v>
      </c>
      <c r="C4959" s="82" t="s">
        <v>5830</v>
      </c>
      <c r="D4959" s="83">
        <f>SUMIFS(D4960:D6462,K4960:K6462,"0",B4960:B6462,"5 1 2 7 2 12 31111 6 M59 20700 000132 0000R 00001 00272 015 2112000*")-SUMIFS(E4960:E6462,K4960:K6462,"0",B4960:B6462,"5 1 2 7 2 12 31111 6 M59 20700 000132 0000R 00001 00272 015 2112000*")</f>
        <v>0</v>
      </c>
      <c r="E4959" s="54"/>
      <c r="F4959" s="83">
        <f>SUMIFS(F4960:F6462,K4960:K6462,"0",B4960:B6462,"5 1 2 7 2 12 31111 6 M59 20700 000132 0000R 00001 00272 015 2112000*")</f>
        <v>1520</v>
      </c>
      <c r="G4959" s="83">
        <f>SUMIFS(G4960:G6462,K4960:K6462,"0",B4960:B6462,"5 1 2 7 2 12 31111 6 M59 20700 000132 0000R 00001 00272 015 2112000*")</f>
        <v>0</v>
      </c>
      <c r="H4959" s="83">
        <f t="shared" si="77"/>
        <v>1520</v>
      </c>
      <c r="I4959" s="83"/>
      <c r="K4959" s="54" t="s">
        <v>15</v>
      </c>
    </row>
    <row r="4960" spans="2:11" ht="33" x14ac:dyDescent="0.2">
      <c r="B4960" s="82" t="s">
        <v>7772</v>
      </c>
      <c r="C4960" s="82" t="s">
        <v>660</v>
      </c>
      <c r="D4960" s="83">
        <f>SUMIFS(D4961:D6462,K4961:K6462,"0",B4961:B6462,"5 1 2 7 2 12 31111 6 M59 20700 000132 0000R 00001 00272 015 2112000 2024*")-SUMIFS(E4961:E6462,K4961:K6462,"0",B4961:B6462,"5 1 2 7 2 12 31111 6 M59 20700 000132 0000R 00001 00272 015 2112000 2024*")</f>
        <v>0</v>
      </c>
      <c r="E4960" s="54"/>
      <c r="F4960" s="83">
        <f>SUMIFS(F4961:F6462,K4961:K6462,"0",B4961:B6462,"5 1 2 7 2 12 31111 6 M59 20700 000132 0000R 00001 00272 015 2112000 2024*")</f>
        <v>1520</v>
      </c>
      <c r="G4960" s="83">
        <f>SUMIFS(G4961:G6462,K4961:K6462,"0",B4961:B6462,"5 1 2 7 2 12 31111 6 M59 20700 000132 0000R 00001 00272 015 2112000 2024*")</f>
        <v>0</v>
      </c>
      <c r="H4960" s="83">
        <f t="shared" si="77"/>
        <v>1520</v>
      </c>
      <c r="I4960" s="83"/>
      <c r="K4960" s="54" t="s">
        <v>15</v>
      </c>
    </row>
    <row r="4961" spans="2:11" ht="41.25" x14ac:dyDescent="0.2">
      <c r="B4961" s="82" t="s">
        <v>7773</v>
      </c>
      <c r="C4961" s="82" t="s">
        <v>662</v>
      </c>
      <c r="D4961" s="83">
        <f>SUMIFS(D4962:D6462,K4962:K6462,"0",B4962:B6462,"5 1 2 7 2 12 31111 6 M59 20700 000132 0000R 00001 00272 015 2112000 2024 CP1RM401*")-SUMIFS(E4962:E6462,K4962:K6462,"0",B4962:B6462,"5 1 2 7 2 12 31111 6 M59 20700 000132 0000R 00001 00272 015 2112000 2024 CP1RM401*")</f>
        <v>0</v>
      </c>
      <c r="E4961" s="54"/>
      <c r="F4961" s="83">
        <f>SUMIFS(F4962:F6462,K4962:K6462,"0",B4962:B6462,"5 1 2 7 2 12 31111 6 M59 20700 000132 0000R 00001 00272 015 2112000 2024 CP1RM401*")</f>
        <v>1520</v>
      </c>
      <c r="G4961" s="83">
        <f>SUMIFS(G4962:G6462,K4962:K6462,"0",B4962:B6462,"5 1 2 7 2 12 31111 6 M59 20700 000132 0000R 00001 00272 015 2112000 2024 CP1RM401*")</f>
        <v>0</v>
      </c>
      <c r="H4961" s="83">
        <f t="shared" si="77"/>
        <v>1520</v>
      </c>
      <c r="I4961" s="83"/>
      <c r="K4961" s="54" t="s">
        <v>15</v>
      </c>
    </row>
    <row r="4962" spans="2:11" ht="41.25" x14ac:dyDescent="0.2">
      <c r="B4962" s="82" t="s">
        <v>7774</v>
      </c>
      <c r="C4962" s="82" t="s">
        <v>282</v>
      </c>
      <c r="D4962" s="83">
        <f>SUMIFS(D4963:D6462,K4963:K6462,"0",B4963:B6462,"5 1 2 7 2 12 31111 6 M59 20700 000132 0000R 00001 00272 015 2112000 2024 CP1RM401 001*")-SUMIFS(E4963:E6462,K4963:K6462,"0",B4963:B6462,"5 1 2 7 2 12 31111 6 M59 20700 000132 0000R 00001 00272 015 2112000 2024 CP1RM401 001*")</f>
        <v>0</v>
      </c>
      <c r="E4962" s="54"/>
      <c r="F4962" s="83">
        <f>SUMIFS(F4963:F6462,K4963:K6462,"0",B4963:B6462,"5 1 2 7 2 12 31111 6 M59 20700 000132 0000R 00001 00272 015 2112000 2024 CP1RM401 001*")</f>
        <v>1520</v>
      </c>
      <c r="G4962" s="83">
        <f>SUMIFS(G4963:G6462,K4963:K6462,"0",B4963:B6462,"5 1 2 7 2 12 31111 6 M59 20700 000132 0000R 00001 00272 015 2112000 2024 CP1RM401 001*")</f>
        <v>0</v>
      </c>
      <c r="H4962" s="83">
        <f t="shared" si="77"/>
        <v>1520</v>
      </c>
      <c r="I4962" s="83"/>
      <c r="K4962" s="54" t="s">
        <v>15</v>
      </c>
    </row>
    <row r="4963" spans="2:11" ht="33" x14ac:dyDescent="0.2">
      <c r="B4963" s="84" t="s">
        <v>7775</v>
      </c>
      <c r="C4963" s="84" t="s">
        <v>7769</v>
      </c>
      <c r="D4963" s="85">
        <v>0</v>
      </c>
      <c r="E4963" s="85"/>
      <c r="F4963" s="85">
        <v>1520</v>
      </c>
      <c r="G4963" s="85">
        <v>0</v>
      </c>
      <c r="H4963" s="85">
        <f t="shared" si="77"/>
        <v>1520</v>
      </c>
      <c r="I4963" s="85"/>
      <c r="K4963" s="54" t="s">
        <v>38</v>
      </c>
    </row>
    <row r="4964" spans="2:11" ht="16.5" x14ac:dyDescent="0.2">
      <c r="B4964" s="82" t="s">
        <v>7789</v>
      </c>
      <c r="C4964" s="82" t="s">
        <v>3281</v>
      </c>
      <c r="D4964" s="83">
        <f>SUMIFS(D4965:D6462,K4965:K6462,"0",B4965:B6462,"5 1 2 7 2 12 31111 6 M59 50000*")-SUMIFS(E4965:E6462,K4965:K6462,"0",B4965:B6462,"5 1 2 7 2 12 31111 6 M59 50000*")</f>
        <v>0</v>
      </c>
      <c r="E4964" s="54"/>
      <c r="F4964" s="83">
        <f>SUMIFS(F4965:F6462,K4965:K6462,"0",B4965:B6462,"5 1 2 7 2 12 31111 6 M59 50000*")</f>
        <v>1168.45</v>
      </c>
      <c r="G4964" s="83">
        <f>SUMIFS(G4965:G6462,K4965:K6462,"0",B4965:B6462,"5 1 2 7 2 12 31111 6 M59 50000*")</f>
        <v>0</v>
      </c>
      <c r="H4964" s="83">
        <f t="shared" si="77"/>
        <v>1168.45</v>
      </c>
      <c r="I4964" s="83"/>
      <c r="K4964" s="54" t="s">
        <v>15</v>
      </c>
    </row>
    <row r="4965" spans="2:11" ht="16.5" x14ac:dyDescent="0.2">
      <c r="B4965" s="82" t="s">
        <v>7790</v>
      </c>
      <c r="C4965" s="82" t="s">
        <v>3283</v>
      </c>
      <c r="D4965" s="83">
        <f>SUMIFS(D4966:D6462,K4966:K6462,"0",B4966:B6462,"5 1 2 7 2 12 31111 6 M59 50000 000223*")-SUMIFS(E4966:E6462,K4966:K6462,"0",B4966:B6462,"5 1 2 7 2 12 31111 6 M59 50000 000223*")</f>
        <v>0</v>
      </c>
      <c r="E4965" s="54"/>
      <c r="F4965" s="83">
        <f>SUMIFS(F4966:F6462,K4966:K6462,"0",B4966:B6462,"5 1 2 7 2 12 31111 6 M59 50000 000223*")</f>
        <v>1168.45</v>
      </c>
      <c r="G4965" s="83">
        <f>SUMIFS(G4966:G6462,K4966:K6462,"0",B4966:B6462,"5 1 2 7 2 12 31111 6 M59 50000 000223*")</f>
        <v>0</v>
      </c>
      <c r="H4965" s="83">
        <f t="shared" si="77"/>
        <v>1168.45</v>
      </c>
      <c r="I4965" s="83"/>
      <c r="K4965" s="54" t="s">
        <v>15</v>
      </c>
    </row>
    <row r="4966" spans="2:11" ht="24.75" x14ac:dyDescent="0.2">
      <c r="B4966" s="82" t="s">
        <v>7791</v>
      </c>
      <c r="C4966" s="82" t="s">
        <v>1065</v>
      </c>
      <c r="D4966" s="83">
        <f>SUMIFS(D4967:D6462,K4967:K6462,"0",B4967:B6462,"5 1 2 7 2 12 31111 6 M59 50000 000223 0000E*")-SUMIFS(E4967:E6462,K4967:K6462,"0",B4967:B6462,"5 1 2 7 2 12 31111 6 M59 50000 000223 0000E*")</f>
        <v>0</v>
      </c>
      <c r="E4966" s="54"/>
      <c r="F4966" s="83">
        <f>SUMIFS(F4967:F6462,K4967:K6462,"0",B4967:B6462,"5 1 2 7 2 12 31111 6 M59 50000 000223 0000E*")</f>
        <v>1168.45</v>
      </c>
      <c r="G4966" s="83">
        <f>SUMIFS(G4967:G6462,K4967:K6462,"0",B4967:B6462,"5 1 2 7 2 12 31111 6 M59 50000 000223 0000E*")</f>
        <v>0</v>
      </c>
      <c r="H4966" s="83">
        <f t="shared" si="77"/>
        <v>1168.45</v>
      </c>
      <c r="I4966" s="83"/>
      <c r="K4966" s="54" t="s">
        <v>15</v>
      </c>
    </row>
    <row r="4967" spans="2:11" ht="24.75" x14ac:dyDescent="0.2">
      <c r="B4967" s="82" t="s">
        <v>7792</v>
      </c>
      <c r="C4967" s="82" t="s">
        <v>282</v>
      </c>
      <c r="D4967" s="83">
        <f>SUMIFS(D4968:D6462,K4968:K6462,"0",B4968:B6462,"5 1 2 7 2 12 31111 6 M59 50000 000223 0000E 00001*")-SUMIFS(E4968:E6462,K4968:K6462,"0",B4968:B6462,"5 1 2 7 2 12 31111 6 M59 50000 000223 0000E 00001*")</f>
        <v>0</v>
      </c>
      <c r="E4967" s="54"/>
      <c r="F4967" s="83">
        <f>SUMIFS(F4968:F6462,K4968:K6462,"0",B4968:B6462,"5 1 2 7 2 12 31111 6 M59 50000 000223 0000E 00001*")</f>
        <v>1168.45</v>
      </c>
      <c r="G4967" s="83">
        <f>SUMIFS(G4968:G6462,K4968:K6462,"0",B4968:B6462,"5 1 2 7 2 12 31111 6 M59 50000 000223 0000E 00001*")</f>
        <v>0</v>
      </c>
      <c r="H4967" s="83">
        <f t="shared" si="77"/>
        <v>1168.45</v>
      </c>
      <c r="I4967" s="83"/>
      <c r="K4967" s="54" t="s">
        <v>15</v>
      </c>
    </row>
    <row r="4968" spans="2:11" ht="24.75" x14ac:dyDescent="0.2">
      <c r="B4968" s="82" t="s">
        <v>7793</v>
      </c>
      <c r="C4968" s="82" t="s">
        <v>7769</v>
      </c>
      <c r="D4968" s="83">
        <f>SUMIFS(D4969:D6462,K4969:K6462,"0",B4969:B6462,"5 1 2 7 2 12 31111 6 M59 50000 000223 0000E 00001 00272*")-SUMIFS(E4969:E6462,K4969:K6462,"0",B4969:B6462,"5 1 2 7 2 12 31111 6 M59 50000 000223 0000E 00001 00272*")</f>
        <v>0</v>
      </c>
      <c r="E4968" s="54"/>
      <c r="F4968" s="83">
        <f>SUMIFS(F4969:F6462,K4969:K6462,"0",B4969:B6462,"5 1 2 7 2 12 31111 6 M59 50000 000223 0000E 00001 00272*")</f>
        <v>1168.45</v>
      </c>
      <c r="G4968" s="83">
        <f>SUMIFS(G4969:G6462,K4969:K6462,"0",B4969:B6462,"5 1 2 7 2 12 31111 6 M59 50000 000223 0000E 00001 00272*")</f>
        <v>0</v>
      </c>
      <c r="H4968" s="83">
        <f t="shared" si="77"/>
        <v>1168.45</v>
      </c>
      <c r="I4968" s="83"/>
      <c r="K4968" s="54" t="s">
        <v>15</v>
      </c>
    </row>
    <row r="4969" spans="2:11" ht="33" x14ac:dyDescent="0.2">
      <c r="B4969" s="82" t="s">
        <v>7794</v>
      </c>
      <c r="C4969" s="82" t="s">
        <v>1051</v>
      </c>
      <c r="D4969" s="83">
        <f>SUMIFS(D4970:D6462,K4970:K6462,"0",B4970:B6462,"5 1 2 7 2 12 31111 6 M59 50000 000223 0000E 00001 00272 015*")-SUMIFS(E4970:E6462,K4970:K6462,"0",B4970:B6462,"5 1 2 7 2 12 31111 6 M59 50000 000223 0000E 00001 00272 015*")</f>
        <v>0</v>
      </c>
      <c r="E4969" s="54"/>
      <c r="F4969" s="83">
        <f>SUMIFS(F4970:F6462,K4970:K6462,"0",B4970:B6462,"5 1 2 7 2 12 31111 6 M59 50000 000223 0000E 00001 00272 015*")</f>
        <v>1168.45</v>
      </c>
      <c r="G4969" s="83">
        <f>SUMIFS(G4970:G6462,K4970:K6462,"0",B4970:B6462,"5 1 2 7 2 12 31111 6 M59 50000 000223 0000E 00001 00272 015*")</f>
        <v>0</v>
      </c>
      <c r="H4969" s="83">
        <f t="shared" si="77"/>
        <v>1168.45</v>
      </c>
      <c r="I4969" s="83"/>
      <c r="K4969" s="54" t="s">
        <v>15</v>
      </c>
    </row>
    <row r="4970" spans="2:11" ht="33" x14ac:dyDescent="0.2">
      <c r="B4970" s="82" t="s">
        <v>7795</v>
      </c>
      <c r="C4970" s="82" t="s">
        <v>5830</v>
      </c>
      <c r="D4970" s="83">
        <f>SUMIFS(D4971:D6462,K4971:K6462,"0",B4971:B6462,"5 1 2 7 2 12 31111 6 M59 50000 000223 0000E 00001 00272 015 2112000*")-SUMIFS(E4971:E6462,K4971:K6462,"0",B4971:B6462,"5 1 2 7 2 12 31111 6 M59 50000 000223 0000E 00001 00272 015 2112000*")</f>
        <v>0</v>
      </c>
      <c r="E4970" s="54"/>
      <c r="F4970" s="83">
        <f>SUMIFS(F4971:F6462,K4971:K6462,"0",B4971:B6462,"5 1 2 7 2 12 31111 6 M59 50000 000223 0000E 00001 00272 015 2112000*")</f>
        <v>1168.45</v>
      </c>
      <c r="G4970" s="83">
        <f>SUMIFS(G4971:G6462,K4971:K6462,"0",B4971:B6462,"5 1 2 7 2 12 31111 6 M59 50000 000223 0000E 00001 00272 015 2112000*")</f>
        <v>0</v>
      </c>
      <c r="H4970" s="83">
        <f t="shared" si="77"/>
        <v>1168.45</v>
      </c>
      <c r="I4970" s="83"/>
      <c r="K4970" s="54" t="s">
        <v>15</v>
      </c>
    </row>
    <row r="4971" spans="2:11" ht="33" x14ac:dyDescent="0.2">
      <c r="B4971" s="82" t="s">
        <v>7796</v>
      </c>
      <c r="C4971" s="82" t="s">
        <v>660</v>
      </c>
      <c r="D4971" s="83">
        <f>SUMIFS(D4972:D6462,K4972:K6462,"0",B4972:B6462,"5 1 2 7 2 12 31111 6 M59 50000 000223 0000E 00001 00272 015 2112000 2024*")-SUMIFS(E4972:E6462,K4972:K6462,"0",B4972:B6462,"5 1 2 7 2 12 31111 6 M59 50000 000223 0000E 00001 00272 015 2112000 2024*")</f>
        <v>0</v>
      </c>
      <c r="E4971" s="54"/>
      <c r="F4971" s="83">
        <f>SUMIFS(F4972:F6462,K4972:K6462,"0",B4972:B6462,"5 1 2 7 2 12 31111 6 M59 50000 000223 0000E 00001 00272 015 2112000 2024*")</f>
        <v>1168.45</v>
      </c>
      <c r="G4971" s="83">
        <f>SUMIFS(G4972:G6462,K4972:K6462,"0",B4972:B6462,"5 1 2 7 2 12 31111 6 M59 50000 000223 0000E 00001 00272 015 2112000 2024*")</f>
        <v>0</v>
      </c>
      <c r="H4971" s="83">
        <f t="shared" ref="H4971:H5034" si="78">D4971 + F4971 - G4971</f>
        <v>1168.45</v>
      </c>
      <c r="I4971" s="83"/>
      <c r="K4971" s="54" t="s">
        <v>15</v>
      </c>
    </row>
    <row r="4972" spans="2:11" ht="41.25" x14ac:dyDescent="0.2">
      <c r="B4972" s="82" t="s">
        <v>7797</v>
      </c>
      <c r="C4972" s="82" t="s">
        <v>662</v>
      </c>
      <c r="D4972" s="83">
        <f>SUMIFS(D4973:D6462,K4973:K6462,"0",B4973:B6462,"5 1 2 7 2 12 31111 6 M59 50000 000223 0000E 00001 00272 015 2112000 2024 CP1DA424*")-SUMIFS(E4973:E6462,K4973:K6462,"0",B4973:B6462,"5 1 2 7 2 12 31111 6 M59 50000 000223 0000E 00001 00272 015 2112000 2024 CP1DA424*")</f>
        <v>0</v>
      </c>
      <c r="E4972" s="54"/>
      <c r="F4972" s="83">
        <f>SUMIFS(F4973:F6462,K4973:K6462,"0",B4973:B6462,"5 1 2 7 2 12 31111 6 M59 50000 000223 0000E 00001 00272 015 2112000 2024 CP1DA424*")</f>
        <v>1168.45</v>
      </c>
      <c r="G4972" s="83">
        <f>SUMIFS(G4973:G6462,K4973:K6462,"0",B4973:B6462,"5 1 2 7 2 12 31111 6 M59 50000 000223 0000E 00001 00272 015 2112000 2024 CP1DA424*")</f>
        <v>0</v>
      </c>
      <c r="H4972" s="83">
        <f t="shared" si="78"/>
        <v>1168.45</v>
      </c>
      <c r="I4972" s="83"/>
      <c r="K4972" s="54" t="s">
        <v>15</v>
      </c>
    </row>
    <row r="4973" spans="2:11" ht="41.25" x14ac:dyDescent="0.2">
      <c r="B4973" s="82" t="s">
        <v>7798</v>
      </c>
      <c r="C4973" s="82" t="s">
        <v>282</v>
      </c>
      <c r="D4973" s="83">
        <f>SUMIFS(D4974:D6462,K4974:K6462,"0",B4974:B6462,"5 1 2 7 2 12 31111 6 M59 50000 000223 0000E 00001 00272 015 2112000 2024 CP1DA424 001*")-SUMIFS(E4974:E6462,K4974:K6462,"0",B4974:B6462,"5 1 2 7 2 12 31111 6 M59 50000 000223 0000E 00001 00272 015 2112000 2024 CP1DA424 001*")</f>
        <v>0</v>
      </c>
      <c r="E4973" s="54"/>
      <c r="F4973" s="83">
        <f>SUMIFS(F4974:F6462,K4974:K6462,"0",B4974:B6462,"5 1 2 7 2 12 31111 6 M59 50000 000223 0000E 00001 00272 015 2112000 2024 CP1DA424 001*")</f>
        <v>1168.45</v>
      </c>
      <c r="G4973" s="83">
        <f>SUMIFS(G4974:G6462,K4974:K6462,"0",B4974:B6462,"5 1 2 7 2 12 31111 6 M59 50000 000223 0000E 00001 00272 015 2112000 2024 CP1DA424 001*")</f>
        <v>0</v>
      </c>
      <c r="H4973" s="83">
        <f t="shared" si="78"/>
        <v>1168.45</v>
      </c>
      <c r="I4973" s="83"/>
      <c r="K4973" s="54" t="s">
        <v>15</v>
      </c>
    </row>
    <row r="4974" spans="2:11" ht="41.25" x14ac:dyDescent="0.2">
      <c r="B4974" s="84" t="s">
        <v>7799</v>
      </c>
      <c r="C4974" s="84" t="s">
        <v>7769</v>
      </c>
      <c r="D4974" s="85">
        <v>0</v>
      </c>
      <c r="E4974" s="85"/>
      <c r="F4974" s="85">
        <v>1168.45</v>
      </c>
      <c r="G4974" s="85">
        <v>0</v>
      </c>
      <c r="H4974" s="85">
        <f t="shared" si="78"/>
        <v>1168.45</v>
      </c>
      <c r="I4974" s="85"/>
      <c r="K4974" s="54" t="s">
        <v>38</v>
      </c>
    </row>
    <row r="4975" spans="2:11" ht="16.5" x14ac:dyDescent="0.2">
      <c r="B4975" s="82" t="s">
        <v>7800</v>
      </c>
      <c r="C4975" s="82" t="s">
        <v>1308</v>
      </c>
      <c r="D4975" s="83">
        <f>SUMIFS(D4976:D6462,K4976:K6462,"0",B4976:B6462,"5 1 2 7 2 12 31111 6 M59 96300*")-SUMIFS(E4976:E6462,K4976:K6462,"0",B4976:B6462,"5 1 2 7 2 12 31111 6 M59 96300*")</f>
        <v>0</v>
      </c>
      <c r="E4975" s="54"/>
      <c r="F4975" s="83">
        <f>SUMIFS(F4976:F6462,K4976:K6462,"0",B4976:B6462,"5 1 2 7 2 12 31111 6 M59 96300*")</f>
        <v>4551.84</v>
      </c>
      <c r="G4975" s="83">
        <f>SUMIFS(G4976:G6462,K4976:K6462,"0",B4976:B6462,"5 1 2 7 2 12 31111 6 M59 96300*")</f>
        <v>0</v>
      </c>
      <c r="H4975" s="83">
        <f t="shared" si="78"/>
        <v>4551.84</v>
      </c>
      <c r="I4975" s="83"/>
      <c r="K4975" s="54" t="s">
        <v>15</v>
      </c>
    </row>
    <row r="4976" spans="2:11" ht="16.5" x14ac:dyDescent="0.2">
      <c r="B4976" s="82" t="s">
        <v>7801</v>
      </c>
      <c r="C4976" s="82" t="s">
        <v>1310</v>
      </c>
      <c r="D4976" s="83">
        <f>SUMIFS(D4977:D6462,K4977:K6462,"0",B4977:B6462,"5 1 2 7 2 12 31111 6 M59 96300 000211*")-SUMIFS(E4977:E6462,K4977:K6462,"0",B4977:B6462,"5 1 2 7 2 12 31111 6 M59 96300 000211*")</f>
        <v>0</v>
      </c>
      <c r="E4976" s="54"/>
      <c r="F4976" s="83">
        <f>SUMIFS(F4977:F6462,K4977:K6462,"0",B4977:B6462,"5 1 2 7 2 12 31111 6 M59 96300 000211*")</f>
        <v>4551.84</v>
      </c>
      <c r="G4976" s="83">
        <f>SUMIFS(G4977:G6462,K4977:K6462,"0",B4977:B6462,"5 1 2 7 2 12 31111 6 M59 96300 000211*")</f>
        <v>0</v>
      </c>
      <c r="H4976" s="83">
        <f t="shared" si="78"/>
        <v>4551.84</v>
      </c>
      <c r="I4976" s="83"/>
      <c r="K4976" s="54" t="s">
        <v>15</v>
      </c>
    </row>
    <row r="4977" spans="2:11" ht="24.75" x14ac:dyDescent="0.2">
      <c r="B4977" s="82" t="s">
        <v>7802</v>
      </c>
      <c r="C4977" s="82" t="s">
        <v>1065</v>
      </c>
      <c r="D4977" s="83">
        <f>SUMIFS(D4978:D6462,K4978:K6462,"0",B4978:B6462,"5 1 2 7 2 12 31111 6 M59 96300 000211 0000E*")-SUMIFS(E4978:E6462,K4978:K6462,"0",B4978:B6462,"5 1 2 7 2 12 31111 6 M59 96300 000211 0000E*")</f>
        <v>0</v>
      </c>
      <c r="E4977" s="54"/>
      <c r="F4977" s="83">
        <f>SUMIFS(F4978:F6462,K4978:K6462,"0",B4978:B6462,"5 1 2 7 2 12 31111 6 M59 96300 000211 0000E*")</f>
        <v>4551.84</v>
      </c>
      <c r="G4977" s="83">
        <f>SUMIFS(G4978:G6462,K4978:K6462,"0",B4978:B6462,"5 1 2 7 2 12 31111 6 M59 96300 000211 0000E*")</f>
        <v>0</v>
      </c>
      <c r="H4977" s="83">
        <f t="shared" si="78"/>
        <v>4551.84</v>
      </c>
      <c r="I4977" s="83"/>
      <c r="K4977" s="54" t="s">
        <v>15</v>
      </c>
    </row>
    <row r="4978" spans="2:11" ht="24.75" x14ac:dyDescent="0.2">
      <c r="B4978" s="82" t="s">
        <v>7803</v>
      </c>
      <c r="C4978" s="82" t="s">
        <v>282</v>
      </c>
      <c r="D4978" s="83">
        <f>SUMIFS(D4979:D6462,K4979:K6462,"0",B4979:B6462,"5 1 2 7 2 12 31111 6 M59 96300 000211 0000E 00001*")-SUMIFS(E4979:E6462,K4979:K6462,"0",B4979:B6462,"5 1 2 7 2 12 31111 6 M59 96300 000211 0000E 00001*")</f>
        <v>0</v>
      </c>
      <c r="E4978" s="54"/>
      <c r="F4978" s="83">
        <f>SUMIFS(F4979:F6462,K4979:K6462,"0",B4979:B6462,"5 1 2 7 2 12 31111 6 M59 96300 000211 0000E 00001*")</f>
        <v>4551.84</v>
      </c>
      <c r="G4978" s="83">
        <f>SUMIFS(G4979:G6462,K4979:K6462,"0",B4979:B6462,"5 1 2 7 2 12 31111 6 M59 96300 000211 0000E 00001*")</f>
        <v>0</v>
      </c>
      <c r="H4978" s="83">
        <f t="shared" si="78"/>
        <v>4551.84</v>
      </c>
      <c r="I4978" s="83"/>
      <c r="K4978" s="54" t="s">
        <v>15</v>
      </c>
    </row>
    <row r="4979" spans="2:11" ht="24.75" x14ac:dyDescent="0.2">
      <c r="B4979" s="82" t="s">
        <v>7804</v>
      </c>
      <c r="C4979" s="82" t="s">
        <v>7769</v>
      </c>
      <c r="D4979" s="83">
        <f>SUMIFS(D4980:D6462,K4980:K6462,"0",B4980:B6462,"5 1 2 7 2 12 31111 6 M59 96300 000211 0000E 00001 00272*")-SUMIFS(E4980:E6462,K4980:K6462,"0",B4980:B6462,"5 1 2 7 2 12 31111 6 M59 96300 000211 0000E 00001 00272*")</f>
        <v>0</v>
      </c>
      <c r="E4979" s="54"/>
      <c r="F4979" s="83">
        <f>SUMIFS(F4980:F6462,K4980:K6462,"0",B4980:B6462,"5 1 2 7 2 12 31111 6 M59 96300 000211 0000E 00001 00272*")</f>
        <v>4551.84</v>
      </c>
      <c r="G4979" s="83">
        <f>SUMIFS(G4980:G6462,K4980:K6462,"0",B4980:B6462,"5 1 2 7 2 12 31111 6 M59 96300 000211 0000E 00001 00272*")</f>
        <v>0</v>
      </c>
      <c r="H4979" s="83">
        <f t="shared" si="78"/>
        <v>4551.84</v>
      </c>
      <c r="I4979" s="83"/>
      <c r="K4979" s="54" t="s">
        <v>15</v>
      </c>
    </row>
    <row r="4980" spans="2:11" ht="33" x14ac:dyDescent="0.2">
      <c r="B4980" s="82" t="s">
        <v>7805</v>
      </c>
      <c r="C4980" s="82" t="s">
        <v>1051</v>
      </c>
      <c r="D4980" s="83">
        <f>SUMIFS(D4981:D6462,K4981:K6462,"0",B4981:B6462,"5 1 2 7 2 12 31111 6 M59 96300 000211 0000E 00001 00272 015*")-SUMIFS(E4981:E6462,K4981:K6462,"0",B4981:B6462,"5 1 2 7 2 12 31111 6 M59 96300 000211 0000E 00001 00272 015*")</f>
        <v>0</v>
      </c>
      <c r="E4980" s="54"/>
      <c r="F4980" s="83">
        <f>SUMIFS(F4981:F6462,K4981:K6462,"0",B4981:B6462,"5 1 2 7 2 12 31111 6 M59 96300 000211 0000E 00001 00272 015*")</f>
        <v>4551.84</v>
      </c>
      <c r="G4980" s="83">
        <f>SUMIFS(G4981:G6462,K4981:K6462,"0",B4981:B6462,"5 1 2 7 2 12 31111 6 M59 96300 000211 0000E 00001 00272 015*")</f>
        <v>0</v>
      </c>
      <c r="H4980" s="83">
        <f t="shared" si="78"/>
        <v>4551.84</v>
      </c>
      <c r="I4980" s="83"/>
      <c r="K4980" s="54" t="s">
        <v>15</v>
      </c>
    </row>
    <row r="4981" spans="2:11" ht="33" x14ac:dyDescent="0.2">
      <c r="B4981" s="82" t="s">
        <v>7806</v>
      </c>
      <c r="C4981" s="82" t="s">
        <v>5830</v>
      </c>
      <c r="D4981" s="83">
        <f>SUMIFS(D4982:D6462,K4982:K6462,"0",B4982:B6462,"5 1 2 7 2 12 31111 6 M59 96300 000211 0000E 00001 00272 015 2112000*")-SUMIFS(E4982:E6462,K4982:K6462,"0",B4982:B6462,"5 1 2 7 2 12 31111 6 M59 96300 000211 0000E 00001 00272 015 2112000*")</f>
        <v>0</v>
      </c>
      <c r="E4981" s="54"/>
      <c r="F4981" s="83">
        <f>SUMIFS(F4982:F6462,K4982:K6462,"0",B4982:B6462,"5 1 2 7 2 12 31111 6 M59 96300 000211 0000E 00001 00272 015 2112000*")</f>
        <v>4551.84</v>
      </c>
      <c r="G4981" s="83">
        <f>SUMIFS(G4982:G6462,K4982:K6462,"0",B4982:B6462,"5 1 2 7 2 12 31111 6 M59 96300 000211 0000E 00001 00272 015 2112000*")</f>
        <v>0</v>
      </c>
      <c r="H4981" s="83">
        <f t="shared" si="78"/>
        <v>4551.84</v>
      </c>
      <c r="I4981" s="83"/>
      <c r="K4981" s="54" t="s">
        <v>15</v>
      </c>
    </row>
    <row r="4982" spans="2:11" ht="33" x14ac:dyDescent="0.2">
      <c r="B4982" s="82" t="s">
        <v>7807</v>
      </c>
      <c r="C4982" s="82" t="s">
        <v>660</v>
      </c>
      <c r="D4982" s="83">
        <f>SUMIFS(D4983:D6462,K4983:K6462,"0",B4983:B6462,"5 1 2 7 2 12 31111 6 M59 96300 000211 0000E 00001 00272 015 2112000 2024*")-SUMIFS(E4983:E6462,K4983:K6462,"0",B4983:B6462,"5 1 2 7 2 12 31111 6 M59 96300 000211 0000E 00001 00272 015 2112000 2024*")</f>
        <v>0</v>
      </c>
      <c r="E4982" s="54"/>
      <c r="F4982" s="83">
        <f>SUMIFS(F4983:F6462,K4983:K6462,"0",B4983:B6462,"5 1 2 7 2 12 31111 6 M59 96300 000211 0000E 00001 00272 015 2112000 2024*")</f>
        <v>4551.84</v>
      </c>
      <c r="G4982" s="83">
        <f>SUMIFS(G4983:G6462,K4983:K6462,"0",B4983:B6462,"5 1 2 7 2 12 31111 6 M59 96300 000211 0000E 00001 00272 015 2112000 2024*")</f>
        <v>0</v>
      </c>
      <c r="H4982" s="83">
        <f t="shared" si="78"/>
        <v>4551.84</v>
      </c>
      <c r="I4982" s="83"/>
      <c r="K4982" s="54" t="s">
        <v>15</v>
      </c>
    </row>
    <row r="4983" spans="2:11" ht="41.25" x14ac:dyDescent="0.2">
      <c r="B4983" s="82" t="s">
        <v>7808</v>
      </c>
      <c r="C4983" s="82" t="s">
        <v>1056</v>
      </c>
      <c r="D4983" s="83">
        <f>SUMIFS(D4984:D6462,K4984:K6462,"0",B4984:B6462,"5 1 2 7 2 12 31111 6 M59 96300 000211 0000E 00001 00272 015 2112000 2024 CP1SB396*")-SUMIFS(E4984:E6462,K4984:K6462,"0",B4984:B6462,"5 1 2 7 2 12 31111 6 M59 96300 000211 0000E 00001 00272 015 2112000 2024 CP1SB396*")</f>
        <v>0</v>
      </c>
      <c r="E4983" s="54"/>
      <c r="F4983" s="83">
        <f>SUMIFS(F4984:F6462,K4984:K6462,"0",B4984:B6462,"5 1 2 7 2 12 31111 6 M59 96300 000211 0000E 00001 00272 015 2112000 2024 CP1SB396*")</f>
        <v>4551.84</v>
      </c>
      <c r="G4983" s="83">
        <f>SUMIFS(G4984:G6462,K4984:K6462,"0",B4984:B6462,"5 1 2 7 2 12 31111 6 M59 96300 000211 0000E 00001 00272 015 2112000 2024 CP1SB396*")</f>
        <v>0</v>
      </c>
      <c r="H4983" s="83">
        <f t="shared" si="78"/>
        <v>4551.84</v>
      </c>
      <c r="I4983" s="83"/>
      <c r="K4983" s="54" t="s">
        <v>15</v>
      </c>
    </row>
    <row r="4984" spans="2:11" ht="41.25" x14ac:dyDescent="0.2">
      <c r="B4984" s="82" t="s">
        <v>7809</v>
      </c>
      <c r="C4984" s="82" t="s">
        <v>282</v>
      </c>
      <c r="D4984" s="83">
        <f>SUMIFS(D4985:D6462,K4985:K6462,"0",B4985:B6462,"5 1 2 7 2 12 31111 6 M59 96300 000211 0000E 00001 00272 015 2112000 2024 CP1SB396 001*")-SUMIFS(E4985:E6462,K4985:K6462,"0",B4985:B6462,"5 1 2 7 2 12 31111 6 M59 96300 000211 0000E 00001 00272 015 2112000 2024 CP1SB396 001*")</f>
        <v>0</v>
      </c>
      <c r="E4984" s="54"/>
      <c r="F4984" s="83">
        <f>SUMIFS(F4985:F6462,K4985:K6462,"0",B4985:B6462,"5 1 2 7 2 12 31111 6 M59 96300 000211 0000E 00001 00272 015 2112000 2024 CP1SB396 001*")</f>
        <v>4551.84</v>
      </c>
      <c r="G4984" s="83">
        <f>SUMIFS(G4985:G6462,K4985:K6462,"0",B4985:B6462,"5 1 2 7 2 12 31111 6 M59 96300 000211 0000E 00001 00272 015 2112000 2024 CP1SB396 001*")</f>
        <v>0</v>
      </c>
      <c r="H4984" s="83">
        <f t="shared" si="78"/>
        <v>4551.84</v>
      </c>
      <c r="I4984" s="83"/>
      <c r="K4984" s="54" t="s">
        <v>15</v>
      </c>
    </row>
    <row r="4985" spans="2:11" ht="33" x14ac:dyDescent="0.2">
      <c r="B4985" s="84" t="s">
        <v>7810</v>
      </c>
      <c r="C4985" s="84" t="s">
        <v>7769</v>
      </c>
      <c r="D4985" s="85">
        <v>0</v>
      </c>
      <c r="E4985" s="85"/>
      <c r="F4985" s="85">
        <v>4551.84</v>
      </c>
      <c r="G4985" s="85">
        <v>0</v>
      </c>
      <c r="H4985" s="85">
        <f t="shared" si="78"/>
        <v>4551.84</v>
      </c>
      <c r="I4985" s="85"/>
      <c r="K4985" s="54" t="s">
        <v>38</v>
      </c>
    </row>
    <row r="4986" spans="2:11" ht="12.75" x14ac:dyDescent="0.2">
      <c r="B4986" s="82" t="s">
        <v>7811</v>
      </c>
      <c r="C4986" s="82" t="s">
        <v>7812</v>
      </c>
      <c r="D4986" s="83">
        <f>SUMIFS(D4987:D6462,K4987:K6462,"0",B4987:B6462,"5 1 2 7 4*")-SUMIFS(E4987:E6462,K4987:K6462,"0",B4987:B6462,"5 1 2 7 4*")</f>
        <v>0</v>
      </c>
      <c r="E4986" s="54"/>
      <c r="F4986" s="83">
        <f>SUMIFS(F4987:F6462,K4987:K6462,"0",B4987:B6462,"5 1 2 7 4*")</f>
        <v>1248.97</v>
      </c>
      <c r="G4986" s="83">
        <f>SUMIFS(G4987:G6462,K4987:K6462,"0",B4987:B6462,"5 1 2 7 4*")</f>
        <v>0</v>
      </c>
      <c r="H4986" s="83">
        <f t="shared" si="78"/>
        <v>1248.97</v>
      </c>
      <c r="I4986" s="83"/>
      <c r="K4986" s="54" t="s">
        <v>15</v>
      </c>
    </row>
    <row r="4987" spans="2:11" ht="12.75" x14ac:dyDescent="0.2">
      <c r="B4987" s="82" t="s">
        <v>7813</v>
      </c>
      <c r="C4987" s="82" t="s">
        <v>26</v>
      </c>
      <c r="D4987" s="83">
        <f>SUMIFS(D4988:D6462,K4988:K6462,"0",B4988:B6462,"5 1 2 7 4 12*")-SUMIFS(E4988:E6462,K4988:K6462,"0",B4988:B6462,"5 1 2 7 4 12*")</f>
        <v>0</v>
      </c>
      <c r="E4987" s="54"/>
      <c r="F4987" s="83">
        <f>SUMIFS(F4988:F6462,K4988:K6462,"0",B4988:B6462,"5 1 2 7 4 12*")</f>
        <v>1248.97</v>
      </c>
      <c r="G4987" s="83">
        <f>SUMIFS(G4988:G6462,K4988:K6462,"0",B4988:B6462,"5 1 2 7 4 12*")</f>
        <v>0</v>
      </c>
      <c r="H4987" s="83">
        <f t="shared" si="78"/>
        <v>1248.97</v>
      </c>
      <c r="I4987" s="83"/>
      <c r="K4987" s="54" t="s">
        <v>15</v>
      </c>
    </row>
    <row r="4988" spans="2:11" ht="16.5" x14ac:dyDescent="0.2">
      <c r="B4988" s="82" t="s">
        <v>7814</v>
      </c>
      <c r="C4988" s="82" t="s">
        <v>28</v>
      </c>
      <c r="D4988" s="83">
        <f>SUMIFS(D4989:D6462,K4989:K6462,"0",B4989:B6462,"5 1 2 7 4 12 31111*")-SUMIFS(E4989:E6462,K4989:K6462,"0",B4989:B6462,"5 1 2 7 4 12 31111*")</f>
        <v>0</v>
      </c>
      <c r="E4988" s="54"/>
      <c r="F4988" s="83">
        <f>SUMIFS(F4989:F6462,K4989:K6462,"0",B4989:B6462,"5 1 2 7 4 12 31111*")</f>
        <v>1248.97</v>
      </c>
      <c r="G4988" s="83">
        <f>SUMIFS(G4989:G6462,K4989:K6462,"0",B4989:B6462,"5 1 2 7 4 12 31111*")</f>
        <v>0</v>
      </c>
      <c r="H4988" s="83">
        <f t="shared" si="78"/>
        <v>1248.97</v>
      </c>
      <c r="I4988" s="83"/>
      <c r="K4988" s="54" t="s">
        <v>15</v>
      </c>
    </row>
    <row r="4989" spans="2:11" ht="12.75" x14ac:dyDescent="0.2">
      <c r="B4989" s="82" t="s">
        <v>7815</v>
      </c>
      <c r="C4989" s="82" t="s">
        <v>30</v>
      </c>
      <c r="D4989" s="83">
        <f>SUMIFS(D4990:D6462,K4990:K6462,"0",B4990:B6462,"5 1 2 7 4 12 31111 6*")-SUMIFS(E4990:E6462,K4990:K6462,"0",B4990:B6462,"5 1 2 7 4 12 31111 6*")</f>
        <v>0</v>
      </c>
      <c r="E4989" s="54"/>
      <c r="F4989" s="83">
        <f>SUMIFS(F4990:F6462,K4990:K6462,"0",B4990:B6462,"5 1 2 7 4 12 31111 6*")</f>
        <v>1248.97</v>
      </c>
      <c r="G4989" s="83">
        <f>SUMIFS(G4990:G6462,K4990:K6462,"0",B4990:B6462,"5 1 2 7 4 12 31111 6*")</f>
        <v>0</v>
      </c>
      <c r="H4989" s="83">
        <f t="shared" si="78"/>
        <v>1248.97</v>
      </c>
      <c r="I4989" s="83"/>
      <c r="K4989" s="54" t="s">
        <v>15</v>
      </c>
    </row>
    <row r="4990" spans="2:11" ht="16.5" x14ac:dyDescent="0.2">
      <c r="B4990" s="82" t="s">
        <v>7816</v>
      </c>
      <c r="C4990" s="82" t="s">
        <v>2284</v>
      </c>
      <c r="D4990" s="83">
        <f>SUMIFS(D4991:D6462,K4991:K6462,"0",B4991:B6462,"5 1 2 7 4 12 31111 6 M59*")-SUMIFS(E4991:E6462,K4991:K6462,"0",B4991:B6462,"5 1 2 7 4 12 31111 6 M59*")</f>
        <v>0</v>
      </c>
      <c r="E4990" s="54"/>
      <c r="F4990" s="83">
        <f>SUMIFS(F4991:F6462,K4991:K6462,"0",B4991:B6462,"5 1 2 7 4 12 31111 6 M59*")</f>
        <v>1248.97</v>
      </c>
      <c r="G4990" s="83">
        <f>SUMIFS(G4991:G6462,K4991:K6462,"0",B4991:B6462,"5 1 2 7 4 12 31111 6 M59*")</f>
        <v>0</v>
      </c>
      <c r="H4990" s="83">
        <f t="shared" si="78"/>
        <v>1248.97</v>
      </c>
      <c r="I4990" s="83"/>
      <c r="K4990" s="54" t="s">
        <v>15</v>
      </c>
    </row>
    <row r="4991" spans="2:11" ht="16.5" x14ac:dyDescent="0.2">
      <c r="B4991" s="82" t="s">
        <v>7817</v>
      </c>
      <c r="C4991" s="82" t="s">
        <v>3281</v>
      </c>
      <c r="D4991" s="83">
        <f>SUMIFS(D4992:D6462,K4992:K6462,"0",B4992:B6462,"5 1 2 7 4 12 31111 6 M59 50000*")-SUMIFS(E4992:E6462,K4992:K6462,"0",B4992:B6462,"5 1 2 7 4 12 31111 6 M59 50000*")</f>
        <v>0</v>
      </c>
      <c r="E4991" s="54"/>
      <c r="F4991" s="83">
        <f>SUMIFS(F4992:F6462,K4992:K6462,"0",B4992:B6462,"5 1 2 7 4 12 31111 6 M59 50000*")</f>
        <v>1248.97</v>
      </c>
      <c r="G4991" s="83">
        <f>SUMIFS(G4992:G6462,K4992:K6462,"0",B4992:B6462,"5 1 2 7 4 12 31111 6 M59 50000*")</f>
        <v>0</v>
      </c>
      <c r="H4991" s="83">
        <f t="shared" si="78"/>
        <v>1248.97</v>
      </c>
      <c r="I4991" s="83"/>
      <c r="K4991" s="54" t="s">
        <v>15</v>
      </c>
    </row>
    <row r="4992" spans="2:11" ht="16.5" x14ac:dyDescent="0.2">
      <c r="B4992" s="82" t="s">
        <v>7818</v>
      </c>
      <c r="C4992" s="82" t="s">
        <v>3283</v>
      </c>
      <c r="D4992" s="83">
        <f>SUMIFS(D4993:D6462,K4993:K6462,"0",B4993:B6462,"5 1 2 7 4 12 31111 6 M59 50000 000223*")-SUMIFS(E4993:E6462,K4993:K6462,"0",B4993:B6462,"5 1 2 7 4 12 31111 6 M59 50000 000223*")</f>
        <v>0</v>
      </c>
      <c r="E4992" s="54"/>
      <c r="F4992" s="83">
        <f>SUMIFS(F4993:F6462,K4993:K6462,"0",B4993:B6462,"5 1 2 7 4 12 31111 6 M59 50000 000223*")</f>
        <v>1248.97</v>
      </c>
      <c r="G4992" s="83">
        <f>SUMIFS(G4993:G6462,K4993:K6462,"0",B4993:B6462,"5 1 2 7 4 12 31111 6 M59 50000 000223*")</f>
        <v>0</v>
      </c>
      <c r="H4992" s="83">
        <f t="shared" si="78"/>
        <v>1248.97</v>
      </c>
      <c r="I4992" s="83"/>
      <c r="K4992" s="54" t="s">
        <v>15</v>
      </c>
    </row>
    <row r="4993" spans="2:11" ht="24.75" x14ac:dyDescent="0.2">
      <c r="B4993" s="82" t="s">
        <v>7819</v>
      </c>
      <c r="C4993" s="82" t="s">
        <v>1065</v>
      </c>
      <c r="D4993" s="83">
        <f>SUMIFS(D4994:D6462,K4994:K6462,"0",B4994:B6462,"5 1 2 7 4 12 31111 6 M59 50000 000223 0000E*")-SUMIFS(E4994:E6462,K4994:K6462,"0",B4994:B6462,"5 1 2 7 4 12 31111 6 M59 50000 000223 0000E*")</f>
        <v>0</v>
      </c>
      <c r="E4993" s="54"/>
      <c r="F4993" s="83">
        <f>SUMIFS(F4994:F6462,K4994:K6462,"0",B4994:B6462,"5 1 2 7 4 12 31111 6 M59 50000 000223 0000E*")</f>
        <v>1248.97</v>
      </c>
      <c r="G4993" s="83">
        <f>SUMIFS(G4994:G6462,K4994:K6462,"0",B4994:B6462,"5 1 2 7 4 12 31111 6 M59 50000 000223 0000E*")</f>
        <v>0</v>
      </c>
      <c r="H4993" s="83">
        <f t="shared" si="78"/>
        <v>1248.97</v>
      </c>
      <c r="I4993" s="83"/>
      <c r="K4993" s="54" t="s">
        <v>15</v>
      </c>
    </row>
    <row r="4994" spans="2:11" ht="24.75" x14ac:dyDescent="0.2">
      <c r="B4994" s="82" t="s">
        <v>7820</v>
      </c>
      <c r="C4994" s="82" t="s">
        <v>282</v>
      </c>
      <c r="D4994" s="83">
        <f>SUMIFS(D4995:D6462,K4995:K6462,"0",B4995:B6462,"5 1 2 7 4 12 31111 6 M59 50000 000223 0000E 00001*")-SUMIFS(E4995:E6462,K4995:K6462,"0",B4995:B6462,"5 1 2 7 4 12 31111 6 M59 50000 000223 0000E 00001*")</f>
        <v>0</v>
      </c>
      <c r="E4994" s="54"/>
      <c r="F4994" s="83">
        <f>SUMIFS(F4995:F6462,K4995:K6462,"0",B4995:B6462,"5 1 2 7 4 12 31111 6 M59 50000 000223 0000E 00001*")</f>
        <v>1248.97</v>
      </c>
      <c r="G4994" s="83">
        <f>SUMIFS(G4995:G6462,K4995:K6462,"0",B4995:B6462,"5 1 2 7 4 12 31111 6 M59 50000 000223 0000E 00001*")</f>
        <v>0</v>
      </c>
      <c r="H4994" s="83">
        <f t="shared" si="78"/>
        <v>1248.97</v>
      </c>
      <c r="I4994" s="83"/>
      <c r="K4994" s="54" t="s">
        <v>15</v>
      </c>
    </row>
    <row r="4995" spans="2:11" ht="24.75" x14ac:dyDescent="0.2">
      <c r="B4995" s="82" t="s">
        <v>7821</v>
      </c>
      <c r="C4995" s="82" t="s">
        <v>7822</v>
      </c>
      <c r="D4995" s="83">
        <f>SUMIFS(D4996:D6462,K4996:K6462,"0",B4996:B6462,"5 1 2 7 4 12 31111 6 M59 50000 000223 0000E 00001 00274*")-SUMIFS(E4996:E6462,K4996:K6462,"0",B4996:B6462,"5 1 2 7 4 12 31111 6 M59 50000 000223 0000E 00001 00274*")</f>
        <v>0</v>
      </c>
      <c r="E4995" s="54"/>
      <c r="F4995" s="83">
        <f>SUMIFS(F4996:F6462,K4996:K6462,"0",B4996:B6462,"5 1 2 7 4 12 31111 6 M59 50000 000223 0000E 00001 00274*")</f>
        <v>1248.97</v>
      </c>
      <c r="G4995" s="83">
        <f>SUMIFS(G4996:G6462,K4996:K6462,"0",B4996:B6462,"5 1 2 7 4 12 31111 6 M59 50000 000223 0000E 00001 00274*")</f>
        <v>0</v>
      </c>
      <c r="H4995" s="83">
        <f t="shared" si="78"/>
        <v>1248.97</v>
      </c>
      <c r="I4995" s="83"/>
      <c r="K4995" s="54" t="s">
        <v>15</v>
      </c>
    </row>
    <row r="4996" spans="2:11" ht="33" x14ac:dyDescent="0.2">
      <c r="B4996" s="82" t="s">
        <v>7823</v>
      </c>
      <c r="C4996" s="82" t="s">
        <v>1051</v>
      </c>
      <c r="D4996" s="83">
        <f>SUMIFS(D4997:D6462,K4997:K6462,"0",B4997:B6462,"5 1 2 7 4 12 31111 6 M59 50000 000223 0000E 00001 00274 015*")-SUMIFS(E4997:E6462,K4997:K6462,"0",B4997:B6462,"5 1 2 7 4 12 31111 6 M59 50000 000223 0000E 00001 00274 015*")</f>
        <v>0</v>
      </c>
      <c r="E4996" s="54"/>
      <c r="F4996" s="83">
        <f>SUMIFS(F4997:F6462,K4997:K6462,"0",B4997:B6462,"5 1 2 7 4 12 31111 6 M59 50000 000223 0000E 00001 00274 015*")</f>
        <v>1248.97</v>
      </c>
      <c r="G4996" s="83">
        <f>SUMIFS(G4997:G6462,K4997:K6462,"0",B4997:B6462,"5 1 2 7 4 12 31111 6 M59 50000 000223 0000E 00001 00274 015*")</f>
        <v>0</v>
      </c>
      <c r="H4996" s="83">
        <f t="shared" si="78"/>
        <v>1248.97</v>
      </c>
      <c r="I4996" s="83"/>
      <c r="K4996" s="54" t="s">
        <v>15</v>
      </c>
    </row>
    <row r="4997" spans="2:11" ht="33" x14ac:dyDescent="0.2">
      <c r="B4997" s="82" t="s">
        <v>7824</v>
      </c>
      <c r="C4997" s="82" t="s">
        <v>5830</v>
      </c>
      <c r="D4997" s="83">
        <f>SUMIFS(D4998:D6462,K4998:K6462,"0",B4998:B6462,"5 1 2 7 4 12 31111 6 M59 50000 000223 0000E 00001 00274 015 2112000*")-SUMIFS(E4998:E6462,K4998:K6462,"0",B4998:B6462,"5 1 2 7 4 12 31111 6 M59 50000 000223 0000E 00001 00274 015 2112000*")</f>
        <v>0</v>
      </c>
      <c r="E4997" s="54"/>
      <c r="F4997" s="83">
        <f>SUMIFS(F4998:F6462,K4998:K6462,"0",B4998:B6462,"5 1 2 7 4 12 31111 6 M59 50000 000223 0000E 00001 00274 015 2112000*")</f>
        <v>1248.97</v>
      </c>
      <c r="G4997" s="83">
        <f>SUMIFS(G4998:G6462,K4998:K6462,"0",B4998:B6462,"5 1 2 7 4 12 31111 6 M59 50000 000223 0000E 00001 00274 015 2112000*")</f>
        <v>0</v>
      </c>
      <c r="H4997" s="83">
        <f t="shared" si="78"/>
        <v>1248.97</v>
      </c>
      <c r="I4997" s="83"/>
      <c r="K4997" s="54" t="s">
        <v>15</v>
      </c>
    </row>
    <row r="4998" spans="2:11" ht="33" x14ac:dyDescent="0.2">
      <c r="B4998" s="82" t="s">
        <v>7825</v>
      </c>
      <c r="C4998" s="82" t="s">
        <v>660</v>
      </c>
      <c r="D4998" s="83">
        <f>SUMIFS(D4999:D6462,K4999:K6462,"0",B4999:B6462,"5 1 2 7 4 12 31111 6 M59 50000 000223 0000E 00001 00274 015 2112000 2024*")-SUMIFS(E4999:E6462,K4999:K6462,"0",B4999:B6462,"5 1 2 7 4 12 31111 6 M59 50000 000223 0000E 00001 00274 015 2112000 2024*")</f>
        <v>0</v>
      </c>
      <c r="E4998" s="54"/>
      <c r="F4998" s="83">
        <f>SUMIFS(F4999:F6462,K4999:K6462,"0",B4999:B6462,"5 1 2 7 4 12 31111 6 M59 50000 000223 0000E 00001 00274 015 2112000 2024*")</f>
        <v>1248.97</v>
      </c>
      <c r="G4998" s="83">
        <f>SUMIFS(G4999:G6462,K4999:K6462,"0",B4999:B6462,"5 1 2 7 4 12 31111 6 M59 50000 000223 0000E 00001 00274 015 2112000 2024*")</f>
        <v>0</v>
      </c>
      <c r="H4998" s="83">
        <f t="shared" si="78"/>
        <v>1248.97</v>
      </c>
      <c r="I4998" s="83"/>
      <c r="K4998" s="54" t="s">
        <v>15</v>
      </c>
    </row>
    <row r="4999" spans="2:11" ht="41.25" x14ac:dyDescent="0.2">
      <c r="B4999" s="82" t="s">
        <v>7826</v>
      </c>
      <c r="C4999" s="82" t="s">
        <v>662</v>
      </c>
      <c r="D4999" s="83">
        <f>SUMIFS(D5000:D6462,K5000:K6462,"0",B5000:B6462,"5 1 2 7 4 12 31111 6 M59 50000 000223 0000E 00001 00274 015 2112000 2024 CP1DA424*")-SUMIFS(E5000:E6462,K5000:K6462,"0",B5000:B6462,"5 1 2 7 4 12 31111 6 M59 50000 000223 0000E 00001 00274 015 2112000 2024 CP1DA424*")</f>
        <v>0</v>
      </c>
      <c r="E4999" s="54"/>
      <c r="F4999" s="83">
        <f>SUMIFS(F5000:F6462,K5000:K6462,"0",B5000:B6462,"5 1 2 7 4 12 31111 6 M59 50000 000223 0000E 00001 00274 015 2112000 2024 CP1DA424*")</f>
        <v>1248.97</v>
      </c>
      <c r="G4999" s="83">
        <f>SUMIFS(G5000:G6462,K5000:K6462,"0",B5000:B6462,"5 1 2 7 4 12 31111 6 M59 50000 000223 0000E 00001 00274 015 2112000 2024 CP1DA424*")</f>
        <v>0</v>
      </c>
      <c r="H4999" s="83">
        <f t="shared" si="78"/>
        <v>1248.97</v>
      </c>
      <c r="I4999" s="83"/>
      <c r="K4999" s="54" t="s">
        <v>15</v>
      </c>
    </row>
    <row r="5000" spans="2:11" ht="41.25" x14ac:dyDescent="0.2">
      <c r="B5000" s="82" t="s">
        <v>7827</v>
      </c>
      <c r="C5000" s="82" t="s">
        <v>282</v>
      </c>
      <c r="D5000" s="83">
        <f>SUMIFS(D5001:D6462,K5001:K6462,"0",B5001:B6462,"5 1 2 7 4 12 31111 6 M59 50000 000223 0000E 00001 00274 015 2112000 2024 CP1DA424 001*")-SUMIFS(E5001:E6462,K5001:K6462,"0",B5001:B6462,"5 1 2 7 4 12 31111 6 M59 50000 000223 0000E 00001 00274 015 2112000 2024 CP1DA424 001*")</f>
        <v>0</v>
      </c>
      <c r="E5000" s="54"/>
      <c r="F5000" s="83">
        <f>SUMIFS(F5001:F6462,K5001:K6462,"0",B5001:B6462,"5 1 2 7 4 12 31111 6 M59 50000 000223 0000E 00001 00274 015 2112000 2024 CP1DA424 001*")</f>
        <v>1248.97</v>
      </c>
      <c r="G5000" s="83">
        <f>SUMIFS(G5001:G6462,K5001:K6462,"0",B5001:B6462,"5 1 2 7 4 12 31111 6 M59 50000 000223 0000E 00001 00274 015 2112000 2024 CP1DA424 001*")</f>
        <v>0</v>
      </c>
      <c r="H5000" s="83">
        <f t="shared" si="78"/>
        <v>1248.97</v>
      </c>
      <c r="I5000" s="83"/>
      <c r="K5000" s="54" t="s">
        <v>15</v>
      </c>
    </row>
    <row r="5001" spans="2:11" ht="41.25" x14ac:dyDescent="0.2">
      <c r="B5001" s="84" t="s">
        <v>7828</v>
      </c>
      <c r="C5001" s="84" t="s">
        <v>7822</v>
      </c>
      <c r="D5001" s="85">
        <v>0</v>
      </c>
      <c r="E5001" s="85"/>
      <c r="F5001" s="85">
        <v>1248.97</v>
      </c>
      <c r="G5001" s="85">
        <v>0</v>
      </c>
      <c r="H5001" s="85">
        <f t="shared" si="78"/>
        <v>1248.97</v>
      </c>
      <c r="I5001" s="85"/>
      <c r="K5001" s="54" t="s">
        <v>38</v>
      </c>
    </row>
    <row r="5002" spans="2:11" ht="24.75" x14ac:dyDescent="0.2">
      <c r="B5002" s="82" t="s">
        <v>7829</v>
      </c>
      <c r="C5002" s="82" t="s">
        <v>7830</v>
      </c>
      <c r="D5002" s="83">
        <f>SUMIFS(D5003:D6462,K5003:K6462,"0",B5003:B6462,"5 1 2 9*")-SUMIFS(E5003:E6462,K5003:K6462,"0",B5003:B6462,"5 1 2 9*")</f>
        <v>0</v>
      </c>
      <c r="E5002" s="54"/>
      <c r="F5002" s="83">
        <f>SUMIFS(F5003:F6462,K5003:K6462,"0",B5003:B6462,"5 1 2 9*")</f>
        <v>5284478.3100000015</v>
      </c>
      <c r="G5002" s="83">
        <f>SUMIFS(G5003:G6462,K5003:K6462,"0",B5003:B6462,"5 1 2 9*")</f>
        <v>0</v>
      </c>
      <c r="H5002" s="83">
        <f t="shared" si="78"/>
        <v>5284478.3100000015</v>
      </c>
      <c r="I5002" s="83"/>
      <c r="K5002" s="54" t="s">
        <v>15</v>
      </c>
    </row>
    <row r="5003" spans="2:11" ht="12.75" x14ac:dyDescent="0.2">
      <c r="B5003" s="82" t="s">
        <v>7831</v>
      </c>
      <c r="C5003" s="82" t="s">
        <v>7832</v>
      </c>
      <c r="D5003" s="83">
        <f>SUMIFS(D5004:D6462,K5004:K6462,"0",B5004:B6462,"5 1 2 9 1*")-SUMIFS(E5004:E6462,K5004:K6462,"0",B5004:B6462,"5 1 2 9 1*")</f>
        <v>0</v>
      </c>
      <c r="E5003" s="54"/>
      <c r="F5003" s="83">
        <f>SUMIFS(F5004:F6462,K5004:K6462,"0",B5004:B6462,"5 1 2 9 1*")</f>
        <v>181405.34</v>
      </c>
      <c r="G5003" s="83">
        <f>SUMIFS(G5004:G6462,K5004:K6462,"0",B5004:B6462,"5 1 2 9 1*")</f>
        <v>0</v>
      </c>
      <c r="H5003" s="83">
        <f t="shared" si="78"/>
        <v>181405.34</v>
      </c>
      <c r="I5003" s="83"/>
      <c r="K5003" s="54" t="s">
        <v>15</v>
      </c>
    </row>
    <row r="5004" spans="2:11" ht="12.75" x14ac:dyDescent="0.2">
      <c r="B5004" s="82" t="s">
        <v>7833</v>
      </c>
      <c r="C5004" s="82" t="s">
        <v>26</v>
      </c>
      <c r="D5004" s="83">
        <f>SUMIFS(D5005:D6462,K5005:K6462,"0",B5005:B6462,"5 1 2 9 1 12*")-SUMIFS(E5005:E6462,K5005:K6462,"0",B5005:B6462,"5 1 2 9 1 12*")</f>
        <v>0</v>
      </c>
      <c r="E5004" s="54"/>
      <c r="F5004" s="83">
        <f>SUMIFS(F5005:F6462,K5005:K6462,"0",B5005:B6462,"5 1 2 9 1 12*")</f>
        <v>181405.34</v>
      </c>
      <c r="G5004" s="83">
        <f>SUMIFS(G5005:G6462,K5005:K6462,"0",B5005:B6462,"5 1 2 9 1 12*")</f>
        <v>0</v>
      </c>
      <c r="H5004" s="83">
        <f t="shared" si="78"/>
        <v>181405.34</v>
      </c>
      <c r="I5004" s="83"/>
      <c r="K5004" s="54" t="s">
        <v>15</v>
      </c>
    </row>
    <row r="5005" spans="2:11" ht="16.5" x14ac:dyDescent="0.2">
      <c r="B5005" s="82" t="s">
        <v>7834</v>
      </c>
      <c r="C5005" s="82" t="s">
        <v>28</v>
      </c>
      <c r="D5005" s="83">
        <f>SUMIFS(D5006:D6462,K5006:K6462,"0",B5006:B6462,"5 1 2 9 1 12 31111*")-SUMIFS(E5006:E6462,K5006:K6462,"0",B5006:B6462,"5 1 2 9 1 12 31111*")</f>
        <v>0</v>
      </c>
      <c r="E5005" s="54"/>
      <c r="F5005" s="83">
        <f>SUMIFS(F5006:F6462,K5006:K6462,"0",B5006:B6462,"5 1 2 9 1 12 31111*")</f>
        <v>181405.34</v>
      </c>
      <c r="G5005" s="83">
        <f>SUMIFS(G5006:G6462,K5006:K6462,"0",B5006:B6462,"5 1 2 9 1 12 31111*")</f>
        <v>0</v>
      </c>
      <c r="H5005" s="83">
        <f t="shared" si="78"/>
        <v>181405.34</v>
      </c>
      <c r="I5005" s="83"/>
      <c r="K5005" s="54" t="s">
        <v>15</v>
      </c>
    </row>
    <row r="5006" spans="2:11" ht="12.75" x14ac:dyDescent="0.2">
      <c r="B5006" s="82" t="s">
        <v>7835</v>
      </c>
      <c r="C5006" s="82" t="s">
        <v>30</v>
      </c>
      <c r="D5006" s="83">
        <f>SUMIFS(D5007:D6462,K5007:K6462,"0",B5007:B6462,"5 1 2 9 1 12 31111 6*")-SUMIFS(E5007:E6462,K5007:K6462,"0",B5007:B6462,"5 1 2 9 1 12 31111 6*")</f>
        <v>0</v>
      </c>
      <c r="E5006" s="54"/>
      <c r="F5006" s="83">
        <f>SUMIFS(F5007:F6462,K5007:K6462,"0",B5007:B6462,"5 1 2 9 1 12 31111 6*")</f>
        <v>181405.34</v>
      </c>
      <c r="G5006" s="83">
        <f>SUMIFS(G5007:G6462,K5007:K6462,"0",B5007:B6462,"5 1 2 9 1 12 31111 6*")</f>
        <v>0</v>
      </c>
      <c r="H5006" s="83">
        <f t="shared" si="78"/>
        <v>181405.34</v>
      </c>
      <c r="I5006" s="83"/>
      <c r="K5006" s="54" t="s">
        <v>15</v>
      </c>
    </row>
    <row r="5007" spans="2:11" ht="16.5" x14ac:dyDescent="0.2">
      <c r="B5007" s="82" t="s">
        <v>7836</v>
      </c>
      <c r="C5007" s="82" t="s">
        <v>2284</v>
      </c>
      <c r="D5007" s="83">
        <f>SUMIFS(D5008:D6462,K5008:K6462,"0",B5008:B6462,"5 1 2 9 1 12 31111 6 M59*")-SUMIFS(E5008:E6462,K5008:K6462,"0",B5008:B6462,"5 1 2 9 1 12 31111 6 M59*")</f>
        <v>0</v>
      </c>
      <c r="E5007" s="54"/>
      <c r="F5007" s="83">
        <f>SUMIFS(F5008:F6462,K5008:K6462,"0",B5008:B6462,"5 1 2 9 1 12 31111 6 M59*")</f>
        <v>181405.34</v>
      </c>
      <c r="G5007" s="83">
        <f>SUMIFS(G5008:G6462,K5008:K6462,"0",B5008:B6462,"5 1 2 9 1 12 31111 6 M59*")</f>
        <v>0</v>
      </c>
      <c r="H5007" s="83">
        <f t="shared" si="78"/>
        <v>181405.34</v>
      </c>
      <c r="I5007" s="83"/>
      <c r="K5007" s="54" t="s">
        <v>15</v>
      </c>
    </row>
    <row r="5008" spans="2:11" ht="16.5" x14ac:dyDescent="0.2">
      <c r="B5008" s="82" t="s">
        <v>7849</v>
      </c>
      <c r="C5008" s="82" t="s">
        <v>3103</v>
      </c>
      <c r="D5008" s="83">
        <f>SUMIFS(D5009:D6462,K5009:K6462,"0",B5009:B6462,"5 1 2 9 1 12 31111 6 M59 20400*")-SUMIFS(E5009:E6462,K5009:K6462,"0",B5009:B6462,"5 1 2 9 1 12 31111 6 M59 20400*")</f>
        <v>0</v>
      </c>
      <c r="E5008" s="54"/>
      <c r="F5008" s="83">
        <f>SUMIFS(F5009:F6462,K5009:K6462,"0",B5009:B6462,"5 1 2 9 1 12 31111 6 M59 20400*")</f>
        <v>22016.43</v>
      </c>
      <c r="G5008" s="83">
        <f>SUMIFS(G5009:G6462,K5009:K6462,"0",B5009:B6462,"5 1 2 9 1 12 31111 6 M59 20400*")</f>
        <v>0</v>
      </c>
      <c r="H5008" s="83">
        <f t="shared" si="78"/>
        <v>22016.43</v>
      </c>
      <c r="I5008" s="83"/>
      <c r="K5008" s="54" t="s">
        <v>15</v>
      </c>
    </row>
    <row r="5009" spans="2:11" ht="16.5" x14ac:dyDescent="0.2">
      <c r="B5009" s="82" t="s">
        <v>7850</v>
      </c>
      <c r="C5009" s="82" t="s">
        <v>648</v>
      </c>
      <c r="D5009" s="83">
        <f>SUMIFS(D5010:D6462,K5010:K6462,"0",B5010:B6462,"5 1 2 9 1 12 31111 6 M59 20400 000132*")-SUMIFS(E5010:E6462,K5010:K6462,"0",B5010:B6462,"5 1 2 9 1 12 31111 6 M59 20400 000132*")</f>
        <v>0</v>
      </c>
      <c r="E5009" s="54"/>
      <c r="F5009" s="83">
        <f>SUMIFS(F5010:F6462,K5010:K6462,"0",B5010:B6462,"5 1 2 9 1 12 31111 6 M59 20400 000132*")</f>
        <v>22016.43</v>
      </c>
      <c r="G5009" s="83">
        <f>SUMIFS(G5010:G6462,K5010:K6462,"0",B5010:B6462,"5 1 2 9 1 12 31111 6 M59 20400 000132*")</f>
        <v>0</v>
      </c>
      <c r="H5009" s="83">
        <f t="shared" si="78"/>
        <v>22016.43</v>
      </c>
      <c r="I5009" s="83"/>
      <c r="K5009" s="54" t="s">
        <v>15</v>
      </c>
    </row>
    <row r="5010" spans="2:11" ht="24.75" x14ac:dyDescent="0.2">
      <c r="B5010" s="82" t="s">
        <v>7851</v>
      </c>
      <c r="C5010" s="82" t="s">
        <v>650</v>
      </c>
      <c r="D5010" s="83">
        <f>SUMIFS(D5011:D6462,K5011:K6462,"0",B5011:B6462,"5 1 2 9 1 12 31111 6 M59 20400 000132 0000R*")-SUMIFS(E5011:E6462,K5011:K6462,"0",B5011:B6462,"5 1 2 9 1 12 31111 6 M59 20400 000132 0000R*")</f>
        <v>0</v>
      </c>
      <c r="E5010" s="54"/>
      <c r="F5010" s="83">
        <f>SUMIFS(F5011:F6462,K5011:K6462,"0",B5011:B6462,"5 1 2 9 1 12 31111 6 M59 20400 000132 0000R*")</f>
        <v>22016.43</v>
      </c>
      <c r="G5010" s="83">
        <f>SUMIFS(G5011:G6462,K5011:K6462,"0",B5011:B6462,"5 1 2 9 1 12 31111 6 M59 20400 000132 0000R*")</f>
        <v>0</v>
      </c>
      <c r="H5010" s="83">
        <f t="shared" si="78"/>
        <v>22016.43</v>
      </c>
      <c r="I5010" s="83"/>
      <c r="K5010" s="54" t="s">
        <v>15</v>
      </c>
    </row>
    <row r="5011" spans="2:11" ht="24.75" x14ac:dyDescent="0.2">
      <c r="B5011" s="82" t="s">
        <v>7852</v>
      </c>
      <c r="C5011" s="82" t="s">
        <v>282</v>
      </c>
      <c r="D5011" s="83">
        <f>SUMIFS(D5012:D6462,K5012:K6462,"0",B5012:B6462,"5 1 2 9 1 12 31111 6 M59 20400 000132 0000R 00001*")-SUMIFS(E5012:E6462,K5012:K6462,"0",B5012:B6462,"5 1 2 9 1 12 31111 6 M59 20400 000132 0000R 00001*")</f>
        <v>0</v>
      </c>
      <c r="E5011" s="54"/>
      <c r="F5011" s="83">
        <f>SUMIFS(F5012:F6462,K5012:K6462,"0",B5012:B6462,"5 1 2 9 1 12 31111 6 M59 20400 000132 0000R 00001*")</f>
        <v>22016.43</v>
      </c>
      <c r="G5011" s="83">
        <f>SUMIFS(G5012:G6462,K5012:K6462,"0",B5012:B6462,"5 1 2 9 1 12 31111 6 M59 20400 000132 0000R 00001*")</f>
        <v>0</v>
      </c>
      <c r="H5011" s="83">
        <f t="shared" si="78"/>
        <v>22016.43</v>
      </c>
      <c r="I5011" s="83"/>
      <c r="K5011" s="54" t="s">
        <v>15</v>
      </c>
    </row>
    <row r="5012" spans="2:11" ht="24.75" x14ac:dyDescent="0.2">
      <c r="B5012" s="82" t="s">
        <v>7853</v>
      </c>
      <c r="C5012" s="82" t="s">
        <v>7842</v>
      </c>
      <c r="D5012" s="83">
        <f>SUMIFS(D5013:D6462,K5013:K6462,"0",B5013:B6462,"5 1 2 9 1 12 31111 6 M59 20400 000132 0000R 00001 00291*")-SUMIFS(E5013:E6462,K5013:K6462,"0",B5013:B6462,"5 1 2 9 1 12 31111 6 M59 20400 000132 0000R 00001 00291*")</f>
        <v>0</v>
      </c>
      <c r="E5012" s="54"/>
      <c r="F5012" s="83">
        <f>SUMIFS(F5013:F6462,K5013:K6462,"0",B5013:B6462,"5 1 2 9 1 12 31111 6 M59 20400 000132 0000R 00001 00291*")</f>
        <v>22016.43</v>
      </c>
      <c r="G5012" s="83">
        <f>SUMIFS(G5013:G6462,K5013:K6462,"0",B5013:B6462,"5 1 2 9 1 12 31111 6 M59 20400 000132 0000R 00001 00291*")</f>
        <v>0</v>
      </c>
      <c r="H5012" s="83">
        <f t="shared" si="78"/>
        <v>22016.43</v>
      </c>
      <c r="I5012" s="83"/>
      <c r="K5012" s="54" t="s">
        <v>15</v>
      </c>
    </row>
    <row r="5013" spans="2:11" ht="33" x14ac:dyDescent="0.2">
      <c r="B5013" s="82" t="s">
        <v>7854</v>
      </c>
      <c r="C5013" s="82" t="s">
        <v>1051</v>
      </c>
      <c r="D5013" s="83">
        <f>SUMIFS(D5014:D6462,K5014:K6462,"0",B5014:B6462,"5 1 2 9 1 12 31111 6 M59 20400 000132 0000R 00001 00291 015*")-SUMIFS(E5014:E6462,K5014:K6462,"0",B5014:B6462,"5 1 2 9 1 12 31111 6 M59 20400 000132 0000R 00001 00291 015*")</f>
        <v>0</v>
      </c>
      <c r="E5013" s="54"/>
      <c r="F5013" s="83">
        <f>SUMIFS(F5014:F6462,K5014:K6462,"0",B5014:B6462,"5 1 2 9 1 12 31111 6 M59 20400 000132 0000R 00001 00291 015*")</f>
        <v>22016.43</v>
      </c>
      <c r="G5013" s="83">
        <f>SUMIFS(G5014:G6462,K5014:K6462,"0",B5014:B6462,"5 1 2 9 1 12 31111 6 M59 20400 000132 0000R 00001 00291 015*")</f>
        <v>0</v>
      </c>
      <c r="H5013" s="83">
        <f t="shared" si="78"/>
        <v>22016.43</v>
      </c>
      <c r="I5013" s="83"/>
      <c r="K5013" s="54" t="s">
        <v>15</v>
      </c>
    </row>
    <row r="5014" spans="2:11" ht="33" x14ac:dyDescent="0.2">
      <c r="B5014" s="82" t="s">
        <v>7855</v>
      </c>
      <c r="C5014" s="82" t="s">
        <v>5830</v>
      </c>
      <c r="D5014" s="83">
        <f>SUMIFS(D5015:D6462,K5015:K6462,"0",B5015:B6462,"5 1 2 9 1 12 31111 6 M59 20400 000132 0000R 00001 00291 015 2112000*")-SUMIFS(E5015:E6462,K5015:K6462,"0",B5015:B6462,"5 1 2 9 1 12 31111 6 M59 20400 000132 0000R 00001 00291 015 2112000*")</f>
        <v>0</v>
      </c>
      <c r="E5014" s="54"/>
      <c r="F5014" s="83">
        <f>SUMIFS(F5015:F6462,K5015:K6462,"0",B5015:B6462,"5 1 2 9 1 12 31111 6 M59 20400 000132 0000R 00001 00291 015 2112000*")</f>
        <v>22016.43</v>
      </c>
      <c r="G5014" s="83">
        <f>SUMIFS(G5015:G6462,K5015:K6462,"0",B5015:B6462,"5 1 2 9 1 12 31111 6 M59 20400 000132 0000R 00001 00291 015 2112000*")</f>
        <v>0</v>
      </c>
      <c r="H5014" s="83">
        <f t="shared" si="78"/>
        <v>22016.43</v>
      </c>
      <c r="I5014" s="83"/>
      <c r="K5014" s="54" t="s">
        <v>15</v>
      </c>
    </row>
    <row r="5015" spans="2:11" ht="33" x14ac:dyDescent="0.2">
      <c r="B5015" s="82" t="s">
        <v>7856</v>
      </c>
      <c r="C5015" s="82" t="s">
        <v>660</v>
      </c>
      <c r="D5015" s="83">
        <f>SUMIFS(D5016:D6462,K5016:K6462,"0",B5016:B6462,"5 1 2 9 1 12 31111 6 M59 20400 000132 0000R 00001 00291 015 2112000 2024*")-SUMIFS(E5016:E6462,K5016:K6462,"0",B5016:B6462,"5 1 2 9 1 12 31111 6 M59 20400 000132 0000R 00001 00291 015 2112000 2024*")</f>
        <v>0</v>
      </c>
      <c r="E5015" s="54"/>
      <c r="F5015" s="83">
        <f>SUMIFS(F5016:F6462,K5016:K6462,"0",B5016:B6462,"5 1 2 9 1 12 31111 6 M59 20400 000132 0000R 00001 00291 015 2112000 2024*")</f>
        <v>22016.43</v>
      </c>
      <c r="G5015" s="83">
        <f>SUMIFS(G5016:G6462,K5016:K6462,"0",B5016:B6462,"5 1 2 9 1 12 31111 6 M59 20400 000132 0000R 00001 00291 015 2112000 2024*")</f>
        <v>0</v>
      </c>
      <c r="H5015" s="83">
        <f t="shared" si="78"/>
        <v>22016.43</v>
      </c>
      <c r="I5015" s="83"/>
      <c r="K5015" s="54" t="s">
        <v>15</v>
      </c>
    </row>
    <row r="5016" spans="2:11" ht="41.25" x14ac:dyDescent="0.2">
      <c r="B5016" s="82" t="s">
        <v>7857</v>
      </c>
      <c r="C5016" s="82" t="s">
        <v>1056</v>
      </c>
      <c r="D5016" s="83">
        <f>SUMIFS(D5017:D6462,K5017:K6462,"0",B5017:B6462,"5 1 2 9 1 12 31111 6 M59 20400 000132 0000R 00001 00291 015 2112000 2024 CP1PV404*")-SUMIFS(E5017:E6462,K5017:K6462,"0",B5017:B6462,"5 1 2 9 1 12 31111 6 M59 20400 000132 0000R 00001 00291 015 2112000 2024 CP1PV404*")</f>
        <v>0</v>
      </c>
      <c r="E5016" s="54"/>
      <c r="F5016" s="83">
        <f>SUMIFS(F5017:F6462,K5017:K6462,"0",B5017:B6462,"5 1 2 9 1 12 31111 6 M59 20400 000132 0000R 00001 00291 015 2112000 2024 CP1PV404*")</f>
        <v>22016.43</v>
      </c>
      <c r="G5016" s="83">
        <f>SUMIFS(G5017:G6462,K5017:K6462,"0",B5017:B6462,"5 1 2 9 1 12 31111 6 M59 20400 000132 0000R 00001 00291 015 2112000 2024 CP1PV404*")</f>
        <v>0</v>
      </c>
      <c r="H5016" s="83">
        <f t="shared" si="78"/>
        <v>22016.43</v>
      </c>
      <c r="I5016" s="83"/>
      <c r="K5016" s="54" t="s">
        <v>15</v>
      </c>
    </row>
    <row r="5017" spans="2:11" ht="41.25" x14ac:dyDescent="0.2">
      <c r="B5017" s="82" t="s">
        <v>7858</v>
      </c>
      <c r="C5017" s="82" t="s">
        <v>282</v>
      </c>
      <c r="D5017" s="83">
        <f>SUMIFS(D5018:D6462,K5018:K6462,"0",B5018:B6462,"5 1 2 9 1 12 31111 6 M59 20400 000132 0000R 00001 00291 015 2112000 2024 CP1PV404 001*")-SUMIFS(E5018:E6462,K5018:K6462,"0",B5018:B6462,"5 1 2 9 1 12 31111 6 M59 20400 000132 0000R 00001 00291 015 2112000 2024 CP1PV404 001*")</f>
        <v>0</v>
      </c>
      <c r="E5017" s="54"/>
      <c r="F5017" s="83">
        <f>SUMIFS(F5018:F6462,K5018:K6462,"0",B5018:B6462,"5 1 2 9 1 12 31111 6 M59 20400 000132 0000R 00001 00291 015 2112000 2024 CP1PV404 001*")</f>
        <v>22016.43</v>
      </c>
      <c r="G5017" s="83">
        <f>SUMIFS(G5018:G6462,K5018:K6462,"0",B5018:B6462,"5 1 2 9 1 12 31111 6 M59 20400 000132 0000R 00001 00291 015 2112000 2024 CP1PV404 001*")</f>
        <v>0</v>
      </c>
      <c r="H5017" s="83">
        <f t="shared" si="78"/>
        <v>22016.43</v>
      </c>
      <c r="I5017" s="83"/>
      <c r="K5017" s="54" t="s">
        <v>15</v>
      </c>
    </row>
    <row r="5018" spans="2:11" ht="41.25" x14ac:dyDescent="0.2">
      <c r="B5018" s="84" t="s">
        <v>7859</v>
      </c>
      <c r="C5018" s="84" t="s">
        <v>7842</v>
      </c>
      <c r="D5018" s="85">
        <v>0</v>
      </c>
      <c r="E5018" s="85"/>
      <c r="F5018" s="85">
        <v>22016.43</v>
      </c>
      <c r="G5018" s="85">
        <v>0</v>
      </c>
      <c r="H5018" s="85">
        <f t="shared" si="78"/>
        <v>22016.43</v>
      </c>
      <c r="I5018" s="85"/>
      <c r="K5018" s="54" t="s">
        <v>38</v>
      </c>
    </row>
    <row r="5019" spans="2:11" ht="16.5" x14ac:dyDescent="0.2">
      <c r="B5019" s="82" t="s">
        <v>7860</v>
      </c>
      <c r="C5019" s="82" t="s">
        <v>1079</v>
      </c>
      <c r="D5019" s="83">
        <f>SUMIFS(D5020:D6462,K5020:K6462,"0",B5020:B6462,"5 1 2 9 1 12 31111 6 M59 20500*")-SUMIFS(E5020:E6462,K5020:K6462,"0",B5020:B6462,"5 1 2 9 1 12 31111 6 M59 20500*")</f>
        <v>0</v>
      </c>
      <c r="E5019" s="54"/>
      <c r="F5019" s="83">
        <f>SUMIFS(F5020:F6462,K5020:K6462,"0",B5020:B6462,"5 1 2 9 1 12 31111 6 M59 20500*")</f>
        <v>20000</v>
      </c>
      <c r="G5019" s="83">
        <f>SUMIFS(G5020:G6462,K5020:K6462,"0",B5020:B6462,"5 1 2 9 1 12 31111 6 M59 20500*")</f>
        <v>0</v>
      </c>
      <c r="H5019" s="83">
        <f t="shared" si="78"/>
        <v>20000</v>
      </c>
      <c r="I5019" s="83"/>
      <c r="K5019" s="54" t="s">
        <v>15</v>
      </c>
    </row>
    <row r="5020" spans="2:11" ht="16.5" x14ac:dyDescent="0.2">
      <c r="B5020" s="82" t="s">
        <v>7861</v>
      </c>
      <c r="C5020" s="82" t="s">
        <v>648</v>
      </c>
      <c r="D5020" s="83">
        <f>SUMIFS(D5021:D6462,K5021:K6462,"0",B5021:B6462,"5 1 2 9 1 12 31111 6 M59 20500 000132*")-SUMIFS(E5021:E6462,K5021:K6462,"0",B5021:B6462,"5 1 2 9 1 12 31111 6 M59 20500 000132*")</f>
        <v>0</v>
      </c>
      <c r="E5020" s="54"/>
      <c r="F5020" s="83">
        <f>SUMIFS(F5021:F6462,K5021:K6462,"0",B5021:B6462,"5 1 2 9 1 12 31111 6 M59 20500 000132*")</f>
        <v>20000</v>
      </c>
      <c r="G5020" s="83">
        <f>SUMIFS(G5021:G6462,K5021:K6462,"0",B5021:B6462,"5 1 2 9 1 12 31111 6 M59 20500 000132*")</f>
        <v>0</v>
      </c>
      <c r="H5020" s="83">
        <f t="shared" si="78"/>
        <v>20000</v>
      </c>
      <c r="I5020" s="83"/>
      <c r="K5020" s="54" t="s">
        <v>15</v>
      </c>
    </row>
    <row r="5021" spans="2:11" ht="24.75" x14ac:dyDescent="0.2">
      <c r="B5021" s="82" t="s">
        <v>7862</v>
      </c>
      <c r="C5021" s="82" t="s">
        <v>650</v>
      </c>
      <c r="D5021" s="83">
        <f>SUMIFS(D5022:D6462,K5022:K6462,"0",B5022:B6462,"5 1 2 9 1 12 31111 6 M59 20500 000132 0000R*")-SUMIFS(E5022:E6462,K5022:K6462,"0",B5022:B6462,"5 1 2 9 1 12 31111 6 M59 20500 000132 0000R*")</f>
        <v>0</v>
      </c>
      <c r="E5021" s="54"/>
      <c r="F5021" s="83">
        <f>SUMIFS(F5022:F6462,K5022:K6462,"0",B5022:B6462,"5 1 2 9 1 12 31111 6 M59 20500 000132 0000R*")</f>
        <v>20000</v>
      </c>
      <c r="G5021" s="83">
        <f>SUMIFS(G5022:G6462,K5022:K6462,"0",B5022:B6462,"5 1 2 9 1 12 31111 6 M59 20500 000132 0000R*")</f>
        <v>0</v>
      </c>
      <c r="H5021" s="83">
        <f t="shared" si="78"/>
        <v>20000</v>
      </c>
      <c r="I5021" s="83"/>
      <c r="K5021" s="54" t="s">
        <v>15</v>
      </c>
    </row>
    <row r="5022" spans="2:11" ht="24.75" x14ac:dyDescent="0.2">
      <c r="B5022" s="82" t="s">
        <v>7863</v>
      </c>
      <c r="C5022" s="82" t="s">
        <v>282</v>
      </c>
      <c r="D5022" s="83">
        <f>SUMIFS(D5023:D6462,K5023:K6462,"0",B5023:B6462,"5 1 2 9 1 12 31111 6 M59 20500 000132 0000R 00001*")-SUMIFS(E5023:E6462,K5023:K6462,"0",B5023:B6462,"5 1 2 9 1 12 31111 6 M59 20500 000132 0000R 00001*")</f>
        <v>0</v>
      </c>
      <c r="E5022" s="54"/>
      <c r="F5022" s="83">
        <f>SUMIFS(F5023:F6462,K5023:K6462,"0",B5023:B6462,"5 1 2 9 1 12 31111 6 M59 20500 000132 0000R 00001*")</f>
        <v>20000</v>
      </c>
      <c r="G5022" s="83">
        <f>SUMIFS(G5023:G6462,K5023:K6462,"0",B5023:B6462,"5 1 2 9 1 12 31111 6 M59 20500 000132 0000R 00001*")</f>
        <v>0</v>
      </c>
      <c r="H5022" s="83">
        <f t="shared" si="78"/>
        <v>20000</v>
      </c>
      <c r="I5022" s="83"/>
      <c r="K5022" s="54" t="s">
        <v>15</v>
      </c>
    </row>
    <row r="5023" spans="2:11" ht="24.75" x14ac:dyDescent="0.2">
      <c r="B5023" s="82" t="s">
        <v>7864</v>
      </c>
      <c r="C5023" s="82" t="s">
        <v>7842</v>
      </c>
      <c r="D5023" s="83">
        <f>SUMIFS(D5024:D6462,K5024:K6462,"0",B5024:B6462,"5 1 2 9 1 12 31111 6 M59 20500 000132 0000R 00001 00291*")-SUMIFS(E5024:E6462,K5024:K6462,"0",B5024:B6462,"5 1 2 9 1 12 31111 6 M59 20500 000132 0000R 00001 00291*")</f>
        <v>0</v>
      </c>
      <c r="E5023" s="54"/>
      <c r="F5023" s="83">
        <f>SUMIFS(F5024:F6462,K5024:K6462,"0",B5024:B6462,"5 1 2 9 1 12 31111 6 M59 20500 000132 0000R 00001 00291*")</f>
        <v>20000</v>
      </c>
      <c r="G5023" s="83">
        <f>SUMIFS(G5024:G6462,K5024:K6462,"0",B5024:B6462,"5 1 2 9 1 12 31111 6 M59 20500 000132 0000R 00001 00291*")</f>
        <v>0</v>
      </c>
      <c r="H5023" s="83">
        <f t="shared" si="78"/>
        <v>20000</v>
      </c>
      <c r="I5023" s="83"/>
      <c r="K5023" s="54" t="s">
        <v>15</v>
      </c>
    </row>
    <row r="5024" spans="2:11" ht="33" x14ac:dyDescent="0.2">
      <c r="B5024" s="82" t="s">
        <v>7865</v>
      </c>
      <c r="C5024" s="82" t="s">
        <v>1051</v>
      </c>
      <c r="D5024" s="83">
        <f>SUMIFS(D5025:D6462,K5025:K6462,"0",B5025:B6462,"5 1 2 9 1 12 31111 6 M59 20500 000132 0000R 00001 00291 015*")-SUMIFS(E5025:E6462,K5025:K6462,"0",B5025:B6462,"5 1 2 9 1 12 31111 6 M59 20500 000132 0000R 00001 00291 015*")</f>
        <v>0</v>
      </c>
      <c r="E5024" s="54"/>
      <c r="F5024" s="83">
        <f>SUMIFS(F5025:F6462,K5025:K6462,"0",B5025:B6462,"5 1 2 9 1 12 31111 6 M59 20500 000132 0000R 00001 00291 015*")</f>
        <v>20000</v>
      </c>
      <c r="G5024" s="83">
        <f>SUMIFS(G5025:G6462,K5025:K6462,"0",B5025:B6462,"5 1 2 9 1 12 31111 6 M59 20500 000132 0000R 00001 00291 015*")</f>
        <v>0</v>
      </c>
      <c r="H5024" s="83">
        <f t="shared" si="78"/>
        <v>20000</v>
      </c>
      <c r="I5024" s="83"/>
      <c r="K5024" s="54" t="s">
        <v>15</v>
      </c>
    </row>
    <row r="5025" spans="2:11" ht="33" x14ac:dyDescent="0.2">
      <c r="B5025" s="82" t="s">
        <v>7866</v>
      </c>
      <c r="C5025" s="82" t="s">
        <v>5830</v>
      </c>
      <c r="D5025" s="83">
        <f>SUMIFS(D5026:D6462,K5026:K6462,"0",B5026:B6462,"5 1 2 9 1 12 31111 6 M59 20500 000132 0000R 00001 00291 015 2112000*")-SUMIFS(E5026:E6462,K5026:K6462,"0",B5026:B6462,"5 1 2 9 1 12 31111 6 M59 20500 000132 0000R 00001 00291 015 2112000*")</f>
        <v>0</v>
      </c>
      <c r="E5025" s="54"/>
      <c r="F5025" s="83">
        <f>SUMIFS(F5026:F6462,K5026:K6462,"0",B5026:B6462,"5 1 2 9 1 12 31111 6 M59 20500 000132 0000R 00001 00291 015 2112000*")</f>
        <v>20000</v>
      </c>
      <c r="G5025" s="83">
        <f>SUMIFS(G5026:G6462,K5026:K6462,"0",B5026:B6462,"5 1 2 9 1 12 31111 6 M59 20500 000132 0000R 00001 00291 015 2112000*")</f>
        <v>0</v>
      </c>
      <c r="H5025" s="83">
        <f t="shared" si="78"/>
        <v>20000</v>
      </c>
      <c r="I5025" s="83"/>
      <c r="K5025" s="54" t="s">
        <v>15</v>
      </c>
    </row>
    <row r="5026" spans="2:11" ht="33" x14ac:dyDescent="0.2">
      <c r="B5026" s="82" t="s">
        <v>7867</v>
      </c>
      <c r="C5026" s="82" t="s">
        <v>660</v>
      </c>
      <c r="D5026" s="83">
        <f>SUMIFS(D5027:D6462,K5027:K6462,"0",B5027:B6462,"5 1 2 9 1 12 31111 6 M59 20500 000132 0000R 00001 00291 015 2112000 2024*")-SUMIFS(E5027:E6462,K5027:K6462,"0",B5027:B6462,"5 1 2 9 1 12 31111 6 M59 20500 000132 0000R 00001 00291 015 2112000 2024*")</f>
        <v>0</v>
      </c>
      <c r="E5026" s="54"/>
      <c r="F5026" s="83">
        <f>SUMIFS(F5027:F6462,K5027:K6462,"0",B5027:B6462,"5 1 2 9 1 12 31111 6 M59 20500 000132 0000R 00001 00291 015 2112000 2024*")</f>
        <v>20000</v>
      </c>
      <c r="G5026" s="83">
        <f>SUMIFS(G5027:G6462,K5027:K6462,"0",B5027:B6462,"5 1 2 9 1 12 31111 6 M59 20500 000132 0000R 00001 00291 015 2112000 2024*")</f>
        <v>0</v>
      </c>
      <c r="H5026" s="83">
        <f t="shared" si="78"/>
        <v>20000</v>
      </c>
      <c r="I5026" s="83"/>
      <c r="K5026" s="54" t="s">
        <v>15</v>
      </c>
    </row>
    <row r="5027" spans="2:11" ht="41.25" x14ac:dyDescent="0.2">
      <c r="B5027" s="82" t="s">
        <v>7868</v>
      </c>
      <c r="C5027" s="82" t="s">
        <v>1056</v>
      </c>
      <c r="D5027" s="83">
        <f>SUMIFS(D5028:D6462,K5028:K6462,"0",B5028:B6462,"5 1 2 9 1 12 31111 6 M59 20500 000132 0000R 00001 00291 015 2112000 2024 CP1CP420*")-SUMIFS(E5028:E6462,K5028:K6462,"0",B5028:B6462,"5 1 2 9 1 12 31111 6 M59 20500 000132 0000R 00001 00291 015 2112000 2024 CP1CP420*")</f>
        <v>0</v>
      </c>
      <c r="E5027" s="54"/>
      <c r="F5027" s="83">
        <f>SUMIFS(F5028:F6462,K5028:K6462,"0",B5028:B6462,"5 1 2 9 1 12 31111 6 M59 20500 000132 0000R 00001 00291 015 2112000 2024 CP1CP420*")</f>
        <v>20000</v>
      </c>
      <c r="G5027" s="83">
        <f>SUMIFS(G5028:G6462,K5028:K6462,"0",B5028:B6462,"5 1 2 9 1 12 31111 6 M59 20500 000132 0000R 00001 00291 015 2112000 2024 CP1CP420*")</f>
        <v>0</v>
      </c>
      <c r="H5027" s="83">
        <f t="shared" si="78"/>
        <v>20000</v>
      </c>
      <c r="I5027" s="83"/>
      <c r="K5027" s="54" t="s">
        <v>15</v>
      </c>
    </row>
    <row r="5028" spans="2:11" ht="41.25" x14ac:dyDescent="0.2">
      <c r="B5028" s="82" t="s">
        <v>7869</v>
      </c>
      <c r="C5028" s="82" t="s">
        <v>282</v>
      </c>
      <c r="D5028" s="83">
        <f>SUMIFS(D5029:D6462,K5029:K6462,"0",B5029:B6462,"5 1 2 9 1 12 31111 6 M59 20500 000132 0000R 00001 00291 015 2112000 2024 CP1CP420 001*")-SUMIFS(E5029:E6462,K5029:K6462,"0",B5029:B6462,"5 1 2 9 1 12 31111 6 M59 20500 000132 0000R 00001 00291 015 2112000 2024 CP1CP420 001*")</f>
        <v>0</v>
      </c>
      <c r="E5028" s="54"/>
      <c r="F5028" s="83">
        <f>SUMIFS(F5029:F6462,K5029:K6462,"0",B5029:B6462,"5 1 2 9 1 12 31111 6 M59 20500 000132 0000R 00001 00291 015 2112000 2024 CP1CP420 001*")</f>
        <v>20000</v>
      </c>
      <c r="G5028" s="83">
        <f>SUMIFS(G5029:G6462,K5029:K6462,"0",B5029:B6462,"5 1 2 9 1 12 31111 6 M59 20500 000132 0000R 00001 00291 015 2112000 2024 CP1CP420 001*")</f>
        <v>0</v>
      </c>
      <c r="H5028" s="83">
        <f t="shared" si="78"/>
        <v>20000</v>
      </c>
      <c r="I5028" s="83"/>
      <c r="K5028" s="54" t="s">
        <v>15</v>
      </c>
    </row>
    <row r="5029" spans="2:11" ht="33" x14ac:dyDescent="0.2">
      <c r="B5029" s="84" t="s">
        <v>7870</v>
      </c>
      <c r="C5029" s="84" t="s">
        <v>7832</v>
      </c>
      <c r="D5029" s="85">
        <v>0</v>
      </c>
      <c r="E5029" s="85"/>
      <c r="F5029" s="85">
        <v>20000</v>
      </c>
      <c r="G5029" s="85">
        <v>0</v>
      </c>
      <c r="H5029" s="85">
        <f t="shared" si="78"/>
        <v>20000</v>
      </c>
      <c r="I5029" s="85"/>
      <c r="K5029" s="54" t="s">
        <v>38</v>
      </c>
    </row>
    <row r="5030" spans="2:11" ht="16.5" x14ac:dyDescent="0.2">
      <c r="B5030" s="82" t="s">
        <v>7871</v>
      </c>
      <c r="C5030" s="82" t="s">
        <v>3138</v>
      </c>
      <c r="D5030" s="83">
        <f>SUMIFS(D5031:D6462,K5031:K6462,"0",B5031:B6462,"5 1 2 9 1 12 31111 6 M59 20700*")-SUMIFS(E5031:E6462,K5031:K6462,"0",B5031:B6462,"5 1 2 9 1 12 31111 6 M59 20700*")</f>
        <v>0</v>
      </c>
      <c r="E5030" s="54"/>
      <c r="F5030" s="83">
        <f>SUMIFS(F5031:F6462,K5031:K6462,"0",B5031:B6462,"5 1 2 9 1 12 31111 6 M59 20700*")</f>
        <v>4008.98</v>
      </c>
      <c r="G5030" s="83">
        <f>SUMIFS(G5031:G6462,K5031:K6462,"0",B5031:B6462,"5 1 2 9 1 12 31111 6 M59 20700*")</f>
        <v>0</v>
      </c>
      <c r="H5030" s="83">
        <f t="shared" si="78"/>
        <v>4008.98</v>
      </c>
      <c r="I5030" s="83"/>
      <c r="K5030" s="54" t="s">
        <v>15</v>
      </c>
    </row>
    <row r="5031" spans="2:11" ht="16.5" x14ac:dyDescent="0.2">
      <c r="B5031" s="82" t="s">
        <v>7872</v>
      </c>
      <c r="C5031" s="82" t="s">
        <v>648</v>
      </c>
      <c r="D5031" s="83">
        <f>SUMIFS(D5032:D6462,K5032:K6462,"0",B5032:B6462,"5 1 2 9 1 12 31111 6 M59 20700 000132*")-SUMIFS(E5032:E6462,K5032:K6462,"0",B5032:B6462,"5 1 2 9 1 12 31111 6 M59 20700 000132*")</f>
        <v>0</v>
      </c>
      <c r="E5031" s="54"/>
      <c r="F5031" s="83">
        <f>SUMIFS(F5032:F6462,K5032:K6462,"0",B5032:B6462,"5 1 2 9 1 12 31111 6 M59 20700 000132*")</f>
        <v>4008.98</v>
      </c>
      <c r="G5031" s="83">
        <f>SUMIFS(G5032:G6462,K5032:K6462,"0",B5032:B6462,"5 1 2 9 1 12 31111 6 M59 20700 000132*")</f>
        <v>0</v>
      </c>
      <c r="H5031" s="83">
        <f t="shared" si="78"/>
        <v>4008.98</v>
      </c>
      <c r="I5031" s="83"/>
      <c r="K5031" s="54" t="s">
        <v>15</v>
      </c>
    </row>
    <row r="5032" spans="2:11" ht="24.75" x14ac:dyDescent="0.2">
      <c r="B5032" s="82" t="s">
        <v>7873</v>
      </c>
      <c r="C5032" s="82" t="s">
        <v>650</v>
      </c>
      <c r="D5032" s="83">
        <f>SUMIFS(D5033:D6462,K5033:K6462,"0",B5033:B6462,"5 1 2 9 1 12 31111 6 M59 20700 000132 0000R*")-SUMIFS(E5033:E6462,K5033:K6462,"0",B5033:B6462,"5 1 2 9 1 12 31111 6 M59 20700 000132 0000R*")</f>
        <v>0</v>
      </c>
      <c r="E5032" s="54"/>
      <c r="F5032" s="83">
        <f>SUMIFS(F5033:F6462,K5033:K6462,"0",B5033:B6462,"5 1 2 9 1 12 31111 6 M59 20700 000132 0000R*")</f>
        <v>4008.98</v>
      </c>
      <c r="G5032" s="83">
        <f>SUMIFS(G5033:G6462,K5033:K6462,"0",B5033:B6462,"5 1 2 9 1 12 31111 6 M59 20700 000132 0000R*")</f>
        <v>0</v>
      </c>
      <c r="H5032" s="83">
        <f t="shared" si="78"/>
        <v>4008.98</v>
      </c>
      <c r="I5032" s="83"/>
      <c r="K5032" s="54" t="s">
        <v>15</v>
      </c>
    </row>
    <row r="5033" spans="2:11" ht="24.75" x14ac:dyDescent="0.2">
      <c r="B5033" s="82" t="s">
        <v>7874</v>
      </c>
      <c r="C5033" s="82" t="s">
        <v>282</v>
      </c>
      <c r="D5033" s="83">
        <f>SUMIFS(D5034:D6462,K5034:K6462,"0",B5034:B6462,"5 1 2 9 1 12 31111 6 M59 20700 000132 0000R 00001*")-SUMIFS(E5034:E6462,K5034:K6462,"0",B5034:B6462,"5 1 2 9 1 12 31111 6 M59 20700 000132 0000R 00001*")</f>
        <v>0</v>
      </c>
      <c r="E5033" s="54"/>
      <c r="F5033" s="83">
        <f>SUMIFS(F5034:F6462,K5034:K6462,"0",B5034:B6462,"5 1 2 9 1 12 31111 6 M59 20700 000132 0000R 00001*")</f>
        <v>4008.98</v>
      </c>
      <c r="G5033" s="83">
        <f>SUMIFS(G5034:G6462,K5034:K6462,"0",B5034:B6462,"5 1 2 9 1 12 31111 6 M59 20700 000132 0000R 00001*")</f>
        <v>0</v>
      </c>
      <c r="H5033" s="83">
        <f t="shared" si="78"/>
        <v>4008.98</v>
      </c>
      <c r="I5033" s="83"/>
      <c r="K5033" s="54" t="s">
        <v>15</v>
      </c>
    </row>
    <row r="5034" spans="2:11" ht="24.75" x14ac:dyDescent="0.2">
      <c r="B5034" s="82" t="s">
        <v>7875</v>
      </c>
      <c r="C5034" s="82" t="s">
        <v>7842</v>
      </c>
      <c r="D5034" s="83">
        <f>SUMIFS(D5035:D6462,K5035:K6462,"0",B5035:B6462,"5 1 2 9 1 12 31111 6 M59 20700 000132 0000R 00001 00291*")-SUMIFS(E5035:E6462,K5035:K6462,"0",B5035:B6462,"5 1 2 9 1 12 31111 6 M59 20700 000132 0000R 00001 00291*")</f>
        <v>0</v>
      </c>
      <c r="E5034" s="54"/>
      <c r="F5034" s="83">
        <f>SUMIFS(F5035:F6462,K5035:K6462,"0",B5035:B6462,"5 1 2 9 1 12 31111 6 M59 20700 000132 0000R 00001 00291*")</f>
        <v>4008.98</v>
      </c>
      <c r="G5034" s="83">
        <f>SUMIFS(G5035:G6462,K5035:K6462,"0",B5035:B6462,"5 1 2 9 1 12 31111 6 M59 20700 000132 0000R 00001 00291*")</f>
        <v>0</v>
      </c>
      <c r="H5034" s="83">
        <f t="shared" si="78"/>
        <v>4008.98</v>
      </c>
      <c r="I5034" s="83"/>
      <c r="K5034" s="54" t="s">
        <v>15</v>
      </c>
    </row>
    <row r="5035" spans="2:11" ht="33" x14ac:dyDescent="0.2">
      <c r="B5035" s="82" t="s">
        <v>7876</v>
      </c>
      <c r="C5035" s="82" t="s">
        <v>1051</v>
      </c>
      <c r="D5035" s="83">
        <f>SUMIFS(D5036:D6462,K5036:K6462,"0",B5036:B6462,"5 1 2 9 1 12 31111 6 M59 20700 000132 0000R 00001 00291 015*")-SUMIFS(E5036:E6462,K5036:K6462,"0",B5036:B6462,"5 1 2 9 1 12 31111 6 M59 20700 000132 0000R 00001 00291 015*")</f>
        <v>0</v>
      </c>
      <c r="E5035" s="54"/>
      <c r="F5035" s="83">
        <f>SUMIFS(F5036:F6462,K5036:K6462,"0",B5036:B6462,"5 1 2 9 1 12 31111 6 M59 20700 000132 0000R 00001 00291 015*")</f>
        <v>4008.98</v>
      </c>
      <c r="G5035" s="83">
        <f>SUMIFS(G5036:G6462,K5036:K6462,"0",B5036:B6462,"5 1 2 9 1 12 31111 6 M59 20700 000132 0000R 00001 00291 015*")</f>
        <v>0</v>
      </c>
      <c r="H5035" s="83">
        <f t="shared" ref="H5035:H5098" si="79">D5035 + F5035 - G5035</f>
        <v>4008.98</v>
      </c>
      <c r="I5035" s="83"/>
      <c r="K5035" s="54" t="s">
        <v>15</v>
      </c>
    </row>
    <row r="5036" spans="2:11" ht="33" x14ac:dyDescent="0.2">
      <c r="B5036" s="82" t="s">
        <v>7877</v>
      </c>
      <c r="C5036" s="82" t="s">
        <v>5830</v>
      </c>
      <c r="D5036" s="83">
        <f>SUMIFS(D5037:D6462,K5037:K6462,"0",B5037:B6462,"5 1 2 9 1 12 31111 6 M59 20700 000132 0000R 00001 00291 015 2112000*")-SUMIFS(E5037:E6462,K5037:K6462,"0",B5037:B6462,"5 1 2 9 1 12 31111 6 M59 20700 000132 0000R 00001 00291 015 2112000*")</f>
        <v>0</v>
      </c>
      <c r="E5036" s="54"/>
      <c r="F5036" s="83">
        <f>SUMIFS(F5037:F6462,K5037:K6462,"0",B5037:B6462,"5 1 2 9 1 12 31111 6 M59 20700 000132 0000R 00001 00291 015 2112000*")</f>
        <v>4008.98</v>
      </c>
      <c r="G5036" s="83">
        <f>SUMIFS(G5037:G6462,K5037:K6462,"0",B5037:B6462,"5 1 2 9 1 12 31111 6 M59 20700 000132 0000R 00001 00291 015 2112000*")</f>
        <v>0</v>
      </c>
      <c r="H5036" s="83">
        <f t="shared" si="79"/>
        <v>4008.98</v>
      </c>
      <c r="I5036" s="83"/>
      <c r="K5036" s="54" t="s">
        <v>15</v>
      </c>
    </row>
    <row r="5037" spans="2:11" ht="33" x14ac:dyDescent="0.2">
      <c r="B5037" s="82" t="s">
        <v>7878</v>
      </c>
      <c r="C5037" s="82" t="s">
        <v>660</v>
      </c>
      <c r="D5037" s="83">
        <f>SUMIFS(D5038:D6462,K5038:K6462,"0",B5038:B6462,"5 1 2 9 1 12 31111 6 M59 20700 000132 0000R 00001 00291 015 2112000 2024*")-SUMIFS(E5038:E6462,K5038:K6462,"0",B5038:B6462,"5 1 2 9 1 12 31111 6 M59 20700 000132 0000R 00001 00291 015 2112000 2024*")</f>
        <v>0</v>
      </c>
      <c r="E5037" s="54"/>
      <c r="F5037" s="83">
        <f>SUMIFS(F5038:F6462,K5038:K6462,"0",B5038:B6462,"5 1 2 9 1 12 31111 6 M59 20700 000132 0000R 00001 00291 015 2112000 2024*")</f>
        <v>4008.98</v>
      </c>
      <c r="G5037" s="83">
        <f>SUMIFS(G5038:G6462,K5038:K6462,"0",B5038:B6462,"5 1 2 9 1 12 31111 6 M59 20700 000132 0000R 00001 00291 015 2112000 2024*")</f>
        <v>0</v>
      </c>
      <c r="H5037" s="83">
        <f t="shared" si="79"/>
        <v>4008.98</v>
      </c>
      <c r="I5037" s="83"/>
      <c r="K5037" s="54" t="s">
        <v>15</v>
      </c>
    </row>
    <row r="5038" spans="2:11" ht="41.25" x14ac:dyDescent="0.2">
      <c r="B5038" s="82" t="s">
        <v>7879</v>
      </c>
      <c r="C5038" s="82" t="s">
        <v>662</v>
      </c>
      <c r="D5038" s="83">
        <f>SUMIFS(D5039:D6462,K5039:K6462,"0",B5039:B6462,"5 1 2 9 1 12 31111 6 M59 20700 000132 0000R 00001 00291 015 2112000 2024 CP1RM401*")-SUMIFS(E5039:E6462,K5039:K6462,"0",B5039:B6462,"5 1 2 9 1 12 31111 6 M59 20700 000132 0000R 00001 00291 015 2112000 2024 CP1RM401*")</f>
        <v>0</v>
      </c>
      <c r="E5038" s="54"/>
      <c r="F5038" s="83">
        <f>SUMIFS(F5039:F6462,K5039:K6462,"0",B5039:B6462,"5 1 2 9 1 12 31111 6 M59 20700 000132 0000R 00001 00291 015 2112000 2024 CP1RM401*")</f>
        <v>4008.98</v>
      </c>
      <c r="G5038" s="83">
        <f>SUMIFS(G5039:G6462,K5039:K6462,"0",B5039:B6462,"5 1 2 9 1 12 31111 6 M59 20700 000132 0000R 00001 00291 015 2112000 2024 CP1RM401*")</f>
        <v>0</v>
      </c>
      <c r="H5038" s="83">
        <f t="shared" si="79"/>
        <v>4008.98</v>
      </c>
      <c r="I5038" s="83"/>
      <c r="K5038" s="54" t="s">
        <v>15</v>
      </c>
    </row>
    <row r="5039" spans="2:11" ht="41.25" x14ac:dyDescent="0.2">
      <c r="B5039" s="82" t="s">
        <v>7880</v>
      </c>
      <c r="C5039" s="82" t="s">
        <v>282</v>
      </c>
      <c r="D5039" s="83">
        <f>SUMIFS(D5040:D6462,K5040:K6462,"0",B5040:B6462,"5 1 2 9 1 12 31111 6 M59 20700 000132 0000R 00001 00291 015 2112000 2024 CP1RM401 001*")-SUMIFS(E5040:E6462,K5040:K6462,"0",B5040:B6462,"5 1 2 9 1 12 31111 6 M59 20700 000132 0000R 00001 00291 015 2112000 2024 CP1RM401 001*")</f>
        <v>0</v>
      </c>
      <c r="E5039" s="54"/>
      <c r="F5039" s="83">
        <f>SUMIFS(F5040:F6462,K5040:K6462,"0",B5040:B6462,"5 1 2 9 1 12 31111 6 M59 20700 000132 0000R 00001 00291 015 2112000 2024 CP1RM401 001*")</f>
        <v>4008.98</v>
      </c>
      <c r="G5039" s="83">
        <f>SUMIFS(G5040:G6462,K5040:K6462,"0",B5040:B6462,"5 1 2 9 1 12 31111 6 M59 20700 000132 0000R 00001 00291 015 2112000 2024 CP1RM401 001*")</f>
        <v>0</v>
      </c>
      <c r="H5039" s="83">
        <f t="shared" si="79"/>
        <v>4008.98</v>
      </c>
      <c r="I5039" s="83"/>
      <c r="K5039" s="54" t="s">
        <v>15</v>
      </c>
    </row>
    <row r="5040" spans="2:11" ht="33" x14ac:dyDescent="0.2">
      <c r="B5040" s="84" t="s">
        <v>7881</v>
      </c>
      <c r="C5040" s="84" t="s">
        <v>7842</v>
      </c>
      <c r="D5040" s="85">
        <v>0</v>
      </c>
      <c r="E5040" s="85"/>
      <c r="F5040" s="85">
        <v>4008.98</v>
      </c>
      <c r="G5040" s="85">
        <v>0</v>
      </c>
      <c r="H5040" s="85">
        <f t="shared" si="79"/>
        <v>4008.98</v>
      </c>
      <c r="I5040" s="85"/>
      <c r="K5040" s="54" t="s">
        <v>38</v>
      </c>
    </row>
    <row r="5041" spans="2:11" ht="16.5" x14ac:dyDescent="0.2">
      <c r="B5041" s="82" t="s">
        <v>7904</v>
      </c>
      <c r="C5041" s="82" t="s">
        <v>3281</v>
      </c>
      <c r="D5041" s="83">
        <f>SUMIFS(D5042:D6462,K5042:K6462,"0",B5042:B6462,"5 1 2 9 1 12 31111 6 M59 50000*")-SUMIFS(E5042:E6462,K5042:K6462,"0",B5042:B6462,"5 1 2 9 1 12 31111 6 M59 50000*")</f>
        <v>0</v>
      </c>
      <c r="E5041" s="54"/>
      <c r="F5041" s="83">
        <f>SUMIFS(F5042:F6462,K5042:K6462,"0",B5042:B6462,"5 1 2 9 1 12 31111 6 M59 50000*")</f>
        <v>12192.49</v>
      </c>
      <c r="G5041" s="83">
        <f>SUMIFS(G5042:G6462,K5042:K6462,"0",B5042:B6462,"5 1 2 9 1 12 31111 6 M59 50000*")</f>
        <v>0</v>
      </c>
      <c r="H5041" s="83">
        <f t="shared" si="79"/>
        <v>12192.49</v>
      </c>
      <c r="I5041" s="83"/>
      <c r="K5041" s="54" t="s">
        <v>15</v>
      </c>
    </row>
    <row r="5042" spans="2:11" ht="16.5" x14ac:dyDescent="0.2">
      <c r="B5042" s="82" t="s">
        <v>7905</v>
      </c>
      <c r="C5042" s="82" t="s">
        <v>3283</v>
      </c>
      <c r="D5042" s="83">
        <f>SUMIFS(D5043:D6462,K5043:K6462,"0",B5043:B6462,"5 1 2 9 1 12 31111 6 M59 50000 000223*")-SUMIFS(E5043:E6462,K5043:K6462,"0",B5043:B6462,"5 1 2 9 1 12 31111 6 M59 50000 000223*")</f>
        <v>0</v>
      </c>
      <c r="E5042" s="54"/>
      <c r="F5042" s="83">
        <f>SUMIFS(F5043:F6462,K5043:K6462,"0",B5043:B6462,"5 1 2 9 1 12 31111 6 M59 50000 000223*")</f>
        <v>12192.49</v>
      </c>
      <c r="G5042" s="83">
        <f>SUMIFS(G5043:G6462,K5043:K6462,"0",B5043:B6462,"5 1 2 9 1 12 31111 6 M59 50000 000223*")</f>
        <v>0</v>
      </c>
      <c r="H5042" s="83">
        <f t="shared" si="79"/>
        <v>12192.49</v>
      </c>
      <c r="I5042" s="83"/>
      <c r="K5042" s="54" t="s">
        <v>15</v>
      </c>
    </row>
    <row r="5043" spans="2:11" ht="24.75" x14ac:dyDescent="0.2">
      <c r="B5043" s="82" t="s">
        <v>7906</v>
      </c>
      <c r="C5043" s="82" t="s">
        <v>1065</v>
      </c>
      <c r="D5043" s="83">
        <f>SUMIFS(D5044:D6462,K5044:K6462,"0",B5044:B6462,"5 1 2 9 1 12 31111 6 M59 50000 000223 0000E*")-SUMIFS(E5044:E6462,K5044:K6462,"0",B5044:B6462,"5 1 2 9 1 12 31111 6 M59 50000 000223 0000E*")</f>
        <v>0</v>
      </c>
      <c r="E5043" s="54"/>
      <c r="F5043" s="83">
        <f>SUMIFS(F5044:F6462,K5044:K6462,"0",B5044:B6462,"5 1 2 9 1 12 31111 6 M59 50000 000223 0000E*")</f>
        <v>12192.49</v>
      </c>
      <c r="G5043" s="83">
        <f>SUMIFS(G5044:G6462,K5044:K6462,"0",B5044:B6462,"5 1 2 9 1 12 31111 6 M59 50000 000223 0000E*")</f>
        <v>0</v>
      </c>
      <c r="H5043" s="83">
        <f t="shared" si="79"/>
        <v>12192.49</v>
      </c>
      <c r="I5043" s="83"/>
      <c r="K5043" s="54" t="s">
        <v>15</v>
      </c>
    </row>
    <row r="5044" spans="2:11" ht="24.75" x14ac:dyDescent="0.2">
      <c r="B5044" s="82" t="s">
        <v>7907</v>
      </c>
      <c r="C5044" s="82" t="s">
        <v>282</v>
      </c>
      <c r="D5044" s="83">
        <f>SUMIFS(D5045:D6462,K5045:K6462,"0",B5045:B6462,"5 1 2 9 1 12 31111 6 M59 50000 000223 0000E 00001*")-SUMIFS(E5045:E6462,K5045:K6462,"0",B5045:B6462,"5 1 2 9 1 12 31111 6 M59 50000 000223 0000E 00001*")</f>
        <v>0</v>
      </c>
      <c r="E5044" s="54"/>
      <c r="F5044" s="83">
        <f>SUMIFS(F5045:F6462,K5045:K6462,"0",B5045:B6462,"5 1 2 9 1 12 31111 6 M59 50000 000223 0000E 00001*")</f>
        <v>12192.49</v>
      </c>
      <c r="G5044" s="83">
        <f>SUMIFS(G5045:G6462,K5045:K6462,"0",B5045:B6462,"5 1 2 9 1 12 31111 6 M59 50000 000223 0000E 00001*")</f>
        <v>0</v>
      </c>
      <c r="H5044" s="83">
        <f t="shared" si="79"/>
        <v>12192.49</v>
      </c>
      <c r="I5044" s="83"/>
      <c r="K5044" s="54" t="s">
        <v>15</v>
      </c>
    </row>
    <row r="5045" spans="2:11" ht="24.75" x14ac:dyDescent="0.2">
      <c r="B5045" s="82" t="s">
        <v>7908</v>
      </c>
      <c r="C5045" s="82" t="s">
        <v>7842</v>
      </c>
      <c r="D5045" s="83">
        <f>SUMIFS(D5046:D6462,K5046:K6462,"0",B5046:B6462,"5 1 2 9 1 12 31111 6 M59 50000 000223 0000E 00001 00291*")-SUMIFS(E5046:E6462,K5046:K6462,"0",B5046:B6462,"5 1 2 9 1 12 31111 6 M59 50000 000223 0000E 00001 00291*")</f>
        <v>0</v>
      </c>
      <c r="E5045" s="54"/>
      <c r="F5045" s="83">
        <f>SUMIFS(F5046:F6462,K5046:K6462,"0",B5046:B6462,"5 1 2 9 1 12 31111 6 M59 50000 000223 0000E 00001 00291*")</f>
        <v>12192.49</v>
      </c>
      <c r="G5045" s="83">
        <f>SUMIFS(G5046:G6462,K5046:K6462,"0",B5046:B6462,"5 1 2 9 1 12 31111 6 M59 50000 000223 0000E 00001 00291*")</f>
        <v>0</v>
      </c>
      <c r="H5045" s="83">
        <f t="shared" si="79"/>
        <v>12192.49</v>
      </c>
      <c r="I5045" s="83"/>
      <c r="K5045" s="54" t="s">
        <v>15</v>
      </c>
    </row>
    <row r="5046" spans="2:11" ht="33" x14ac:dyDescent="0.2">
      <c r="B5046" s="82" t="s">
        <v>7909</v>
      </c>
      <c r="C5046" s="82" t="s">
        <v>1051</v>
      </c>
      <c r="D5046" s="83">
        <f>SUMIFS(D5047:D6462,K5047:K6462,"0",B5047:B6462,"5 1 2 9 1 12 31111 6 M59 50000 000223 0000E 00001 00291 015*")-SUMIFS(E5047:E6462,K5047:K6462,"0",B5047:B6462,"5 1 2 9 1 12 31111 6 M59 50000 000223 0000E 00001 00291 015*")</f>
        <v>0</v>
      </c>
      <c r="E5046" s="54"/>
      <c r="F5046" s="83">
        <f>SUMIFS(F5047:F6462,K5047:K6462,"0",B5047:B6462,"5 1 2 9 1 12 31111 6 M59 50000 000223 0000E 00001 00291 015*")</f>
        <v>12192.49</v>
      </c>
      <c r="G5046" s="83">
        <f>SUMIFS(G5047:G6462,K5047:K6462,"0",B5047:B6462,"5 1 2 9 1 12 31111 6 M59 50000 000223 0000E 00001 00291 015*")</f>
        <v>0</v>
      </c>
      <c r="H5046" s="83">
        <f t="shared" si="79"/>
        <v>12192.49</v>
      </c>
      <c r="I5046" s="83"/>
      <c r="K5046" s="54" t="s">
        <v>15</v>
      </c>
    </row>
    <row r="5047" spans="2:11" ht="33" x14ac:dyDescent="0.2">
      <c r="B5047" s="82" t="s">
        <v>7910</v>
      </c>
      <c r="C5047" s="82" t="s">
        <v>5830</v>
      </c>
      <c r="D5047" s="83">
        <f>SUMIFS(D5048:D6462,K5048:K6462,"0",B5048:B6462,"5 1 2 9 1 12 31111 6 M59 50000 000223 0000E 00001 00291 015 2112000*")-SUMIFS(E5048:E6462,K5048:K6462,"0",B5048:B6462,"5 1 2 9 1 12 31111 6 M59 50000 000223 0000E 00001 00291 015 2112000*")</f>
        <v>0</v>
      </c>
      <c r="E5047" s="54"/>
      <c r="F5047" s="83">
        <f>SUMIFS(F5048:F6462,K5048:K6462,"0",B5048:B6462,"5 1 2 9 1 12 31111 6 M59 50000 000223 0000E 00001 00291 015 2112000*")</f>
        <v>12192.49</v>
      </c>
      <c r="G5047" s="83">
        <f>SUMIFS(G5048:G6462,K5048:K6462,"0",B5048:B6462,"5 1 2 9 1 12 31111 6 M59 50000 000223 0000E 00001 00291 015 2112000*")</f>
        <v>0</v>
      </c>
      <c r="H5047" s="83">
        <f t="shared" si="79"/>
        <v>12192.49</v>
      </c>
      <c r="I5047" s="83"/>
      <c r="K5047" s="54" t="s">
        <v>15</v>
      </c>
    </row>
    <row r="5048" spans="2:11" ht="33" x14ac:dyDescent="0.2">
      <c r="B5048" s="82" t="s">
        <v>7911</v>
      </c>
      <c r="C5048" s="82" t="s">
        <v>660</v>
      </c>
      <c r="D5048" s="83">
        <f>SUMIFS(D5049:D6462,K5049:K6462,"0",B5049:B6462,"5 1 2 9 1 12 31111 6 M59 50000 000223 0000E 00001 00291 015 2112000 2024*")-SUMIFS(E5049:E6462,K5049:K6462,"0",B5049:B6462,"5 1 2 9 1 12 31111 6 M59 50000 000223 0000E 00001 00291 015 2112000 2024*")</f>
        <v>0</v>
      </c>
      <c r="E5048" s="54"/>
      <c r="F5048" s="83">
        <f>SUMIFS(F5049:F6462,K5049:K6462,"0",B5049:B6462,"5 1 2 9 1 12 31111 6 M59 50000 000223 0000E 00001 00291 015 2112000 2024*")</f>
        <v>12192.49</v>
      </c>
      <c r="G5048" s="83">
        <f>SUMIFS(G5049:G6462,K5049:K6462,"0",B5049:B6462,"5 1 2 9 1 12 31111 6 M59 50000 000223 0000E 00001 00291 015 2112000 2024*")</f>
        <v>0</v>
      </c>
      <c r="H5048" s="83">
        <f t="shared" si="79"/>
        <v>12192.49</v>
      </c>
      <c r="I5048" s="83"/>
      <c r="K5048" s="54" t="s">
        <v>15</v>
      </c>
    </row>
    <row r="5049" spans="2:11" ht="41.25" x14ac:dyDescent="0.2">
      <c r="B5049" s="82" t="s">
        <v>7912</v>
      </c>
      <c r="C5049" s="82" t="s">
        <v>662</v>
      </c>
      <c r="D5049" s="83">
        <f>SUMIFS(D5050:D6462,K5050:K6462,"0",B5050:B6462,"5 1 2 9 1 12 31111 6 M59 50000 000223 0000E 00001 00291 015 2112000 2024 CP1DA424*")-SUMIFS(E5050:E6462,K5050:K6462,"0",B5050:B6462,"5 1 2 9 1 12 31111 6 M59 50000 000223 0000E 00001 00291 015 2112000 2024 CP1DA424*")</f>
        <v>0</v>
      </c>
      <c r="E5049" s="54"/>
      <c r="F5049" s="83">
        <f>SUMIFS(F5050:F6462,K5050:K6462,"0",B5050:B6462,"5 1 2 9 1 12 31111 6 M59 50000 000223 0000E 00001 00291 015 2112000 2024 CP1DA424*")</f>
        <v>12192.49</v>
      </c>
      <c r="G5049" s="83">
        <f>SUMIFS(G5050:G6462,K5050:K6462,"0",B5050:B6462,"5 1 2 9 1 12 31111 6 M59 50000 000223 0000E 00001 00291 015 2112000 2024 CP1DA424*")</f>
        <v>0</v>
      </c>
      <c r="H5049" s="83">
        <f t="shared" si="79"/>
        <v>12192.49</v>
      </c>
      <c r="I5049" s="83"/>
      <c r="K5049" s="54" t="s">
        <v>15</v>
      </c>
    </row>
    <row r="5050" spans="2:11" ht="41.25" x14ac:dyDescent="0.2">
      <c r="B5050" s="82" t="s">
        <v>7913</v>
      </c>
      <c r="C5050" s="82" t="s">
        <v>282</v>
      </c>
      <c r="D5050" s="83">
        <f>SUMIFS(D5051:D6462,K5051:K6462,"0",B5051:B6462,"5 1 2 9 1 12 31111 6 M59 50000 000223 0000E 00001 00291 015 2112000 2024 CP1DA424 001*")-SUMIFS(E5051:E6462,K5051:K6462,"0",B5051:B6462,"5 1 2 9 1 12 31111 6 M59 50000 000223 0000E 00001 00291 015 2112000 2024 CP1DA424 001*")</f>
        <v>0</v>
      </c>
      <c r="E5050" s="54"/>
      <c r="F5050" s="83">
        <f>SUMIFS(F5051:F6462,K5051:K6462,"0",B5051:B6462,"5 1 2 9 1 12 31111 6 M59 50000 000223 0000E 00001 00291 015 2112000 2024 CP1DA424 001*")</f>
        <v>12192.49</v>
      </c>
      <c r="G5050" s="83">
        <f>SUMIFS(G5051:G6462,K5051:K6462,"0",B5051:B6462,"5 1 2 9 1 12 31111 6 M59 50000 000223 0000E 00001 00291 015 2112000 2024 CP1DA424 001*")</f>
        <v>0</v>
      </c>
      <c r="H5050" s="83">
        <f t="shared" si="79"/>
        <v>12192.49</v>
      </c>
      <c r="I5050" s="83"/>
      <c r="K5050" s="54" t="s">
        <v>15</v>
      </c>
    </row>
    <row r="5051" spans="2:11" ht="41.25" x14ac:dyDescent="0.2">
      <c r="B5051" s="84" t="s">
        <v>7914</v>
      </c>
      <c r="C5051" s="84" t="s">
        <v>7832</v>
      </c>
      <c r="D5051" s="85">
        <v>0</v>
      </c>
      <c r="E5051" s="85"/>
      <c r="F5051" s="85">
        <v>12192.49</v>
      </c>
      <c r="G5051" s="85">
        <v>0</v>
      </c>
      <c r="H5051" s="85">
        <f t="shared" si="79"/>
        <v>12192.49</v>
      </c>
      <c r="I5051" s="85"/>
      <c r="K5051" s="54" t="s">
        <v>38</v>
      </c>
    </row>
    <row r="5052" spans="2:11" ht="16.5" x14ac:dyDescent="0.2">
      <c r="B5052" s="82" t="s">
        <v>7915</v>
      </c>
      <c r="C5052" s="82" t="s">
        <v>1269</v>
      </c>
      <c r="D5052" s="83">
        <f>SUMIFS(D5053:D6462,K5053:K6462,"0",B5053:B6462,"5 1 2 9 1 12 31111 6 M59 60100*")-SUMIFS(E5053:E6462,K5053:K6462,"0",B5053:B6462,"5 1 2 9 1 12 31111 6 M59 60100*")</f>
        <v>0</v>
      </c>
      <c r="E5052" s="54"/>
      <c r="F5052" s="83">
        <f>SUMIFS(F5053:F6462,K5053:K6462,"0",B5053:B6462,"5 1 2 9 1 12 31111 6 M59 60100*")</f>
        <v>1.5</v>
      </c>
      <c r="G5052" s="83">
        <f>SUMIFS(G5053:G6462,K5053:K6462,"0",B5053:B6462,"5 1 2 9 1 12 31111 6 M59 60100*")</f>
        <v>0</v>
      </c>
      <c r="H5052" s="83">
        <f t="shared" si="79"/>
        <v>1.5</v>
      </c>
      <c r="I5052" s="83"/>
      <c r="K5052" s="54" t="s">
        <v>15</v>
      </c>
    </row>
    <row r="5053" spans="2:11" ht="16.5" x14ac:dyDescent="0.2">
      <c r="B5053" s="82" t="s">
        <v>7916</v>
      </c>
      <c r="C5053" s="82" t="s">
        <v>648</v>
      </c>
      <c r="D5053" s="83">
        <f>SUMIFS(D5054:D6462,K5054:K6462,"0",B5054:B6462,"5 1 2 9 1 12 31111 6 M59 60100 000132*")-SUMIFS(E5054:E6462,K5054:K6462,"0",B5054:B6462,"5 1 2 9 1 12 31111 6 M59 60100 000132*")</f>
        <v>0</v>
      </c>
      <c r="E5053" s="54"/>
      <c r="F5053" s="83">
        <f>SUMIFS(F5054:F6462,K5054:K6462,"0",B5054:B6462,"5 1 2 9 1 12 31111 6 M59 60100 000132*")</f>
        <v>1.5</v>
      </c>
      <c r="G5053" s="83">
        <f>SUMIFS(G5054:G6462,K5054:K6462,"0",B5054:B6462,"5 1 2 9 1 12 31111 6 M59 60100 000132*")</f>
        <v>0</v>
      </c>
      <c r="H5053" s="83">
        <f t="shared" si="79"/>
        <v>1.5</v>
      </c>
      <c r="I5053" s="83"/>
      <c r="K5053" s="54" t="s">
        <v>15</v>
      </c>
    </row>
    <row r="5054" spans="2:11" ht="24.75" x14ac:dyDescent="0.2">
      <c r="B5054" s="82" t="s">
        <v>7917</v>
      </c>
      <c r="C5054" s="82" t="s">
        <v>650</v>
      </c>
      <c r="D5054" s="83">
        <f>SUMIFS(D5055:D6462,K5055:K6462,"0",B5055:B6462,"5 1 2 9 1 12 31111 6 M59 60100 000132 0000R*")-SUMIFS(E5055:E6462,K5055:K6462,"0",B5055:B6462,"5 1 2 9 1 12 31111 6 M59 60100 000132 0000R*")</f>
        <v>0</v>
      </c>
      <c r="E5054" s="54"/>
      <c r="F5054" s="83">
        <f>SUMIFS(F5055:F6462,K5055:K6462,"0",B5055:B6462,"5 1 2 9 1 12 31111 6 M59 60100 000132 0000R*")</f>
        <v>1.5</v>
      </c>
      <c r="G5054" s="83">
        <f>SUMIFS(G5055:G6462,K5055:K6462,"0",B5055:B6462,"5 1 2 9 1 12 31111 6 M59 60100 000132 0000R*")</f>
        <v>0</v>
      </c>
      <c r="H5054" s="83">
        <f t="shared" si="79"/>
        <v>1.5</v>
      </c>
      <c r="I5054" s="83"/>
      <c r="K5054" s="54" t="s">
        <v>15</v>
      </c>
    </row>
    <row r="5055" spans="2:11" ht="24.75" x14ac:dyDescent="0.2">
      <c r="B5055" s="82" t="s">
        <v>7918</v>
      </c>
      <c r="C5055" s="82" t="s">
        <v>282</v>
      </c>
      <c r="D5055" s="83">
        <f>SUMIFS(D5056:D6462,K5056:K6462,"0",B5056:B6462,"5 1 2 9 1 12 31111 6 M59 60100 000132 0000R 00001*")-SUMIFS(E5056:E6462,K5056:K6462,"0",B5056:B6462,"5 1 2 9 1 12 31111 6 M59 60100 000132 0000R 00001*")</f>
        <v>0</v>
      </c>
      <c r="E5055" s="54"/>
      <c r="F5055" s="83">
        <f>SUMIFS(F5056:F6462,K5056:K6462,"0",B5056:B6462,"5 1 2 9 1 12 31111 6 M59 60100 000132 0000R 00001*")</f>
        <v>1.5</v>
      </c>
      <c r="G5055" s="83">
        <f>SUMIFS(G5056:G6462,K5056:K6462,"0",B5056:B6462,"5 1 2 9 1 12 31111 6 M59 60100 000132 0000R 00001*")</f>
        <v>0</v>
      </c>
      <c r="H5055" s="83">
        <f t="shared" si="79"/>
        <v>1.5</v>
      </c>
      <c r="I5055" s="83"/>
      <c r="K5055" s="54" t="s">
        <v>15</v>
      </c>
    </row>
    <row r="5056" spans="2:11" ht="24.75" x14ac:dyDescent="0.2">
      <c r="B5056" s="82" t="s">
        <v>7919</v>
      </c>
      <c r="C5056" s="82" t="s">
        <v>7842</v>
      </c>
      <c r="D5056" s="83">
        <f>SUMIFS(D5057:D6462,K5057:K6462,"0",B5057:B6462,"5 1 2 9 1 12 31111 6 M59 60100 000132 0000R 00001 00291*")-SUMIFS(E5057:E6462,K5057:K6462,"0",B5057:B6462,"5 1 2 9 1 12 31111 6 M59 60100 000132 0000R 00001 00291*")</f>
        <v>0</v>
      </c>
      <c r="E5056" s="54"/>
      <c r="F5056" s="83">
        <f>SUMIFS(F5057:F6462,K5057:K6462,"0",B5057:B6462,"5 1 2 9 1 12 31111 6 M59 60100 000132 0000R 00001 00291*")</f>
        <v>1.5</v>
      </c>
      <c r="G5056" s="83">
        <f>SUMIFS(G5057:G6462,K5057:K6462,"0",B5057:B6462,"5 1 2 9 1 12 31111 6 M59 60100 000132 0000R 00001 00291*")</f>
        <v>0</v>
      </c>
      <c r="H5056" s="83">
        <f t="shared" si="79"/>
        <v>1.5</v>
      </c>
      <c r="I5056" s="83"/>
      <c r="K5056" s="54" t="s">
        <v>15</v>
      </c>
    </row>
    <row r="5057" spans="2:11" ht="33" x14ac:dyDescent="0.2">
      <c r="B5057" s="82" t="s">
        <v>7920</v>
      </c>
      <c r="C5057" s="82" t="s">
        <v>1051</v>
      </c>
      <c r="D5057" s="83">
        <f>SUMIFS(D5058:D6462,K5058:K6462,"0",B5058:B6462,"5 1 2 9 1 12 31111 6 M59 60100 000132 0000R 00001 00291 015*")-SUMIFS(E5058:E6462,K5058:K6462,"0",B5058:B6462,"5 1 2 9 1 12 31111 6 M59 60100 000132 0000R 00001 00291 015*")</f>
        <v>0</v>
      </c>
      <c r="E5057" s="54"/>
      <c r="F5057" s="83">
        <f>SUMIFS(F5058:F6462,K5058:K6462,"0",B5058:B6462,"5 1 2 9 1 12 31111 6 M59 60100 000132 0000R 00001 00291 015*")</f>
        <v>1.5</v>
      </c>
      <c r="G5057" s="83">
        <f>SUMIFS(G5058:G6462,K5058:K6462,"0",B5058:B6462,"5 1 2 9 1 12 31111 6 M59 60100 000132 0000R 00001 00291 015*")</f>
        <v>0</v>
      </c>
      <c r="H5057" s="83">
        <f t="shared" si="79"/>
        <v>1.5</v>
      </c>
      <c r="I5057" s="83"/>
      <c r="K5057" s="54" t="s">
        <v>15</v>
      </c>
    </row>
    <row r="5058" spans="2:11" ht="33" x14ac:dyDescent="0.2">
      <c r="B5058" s="82" t="s">
        <v>7921</v>
      </c>
      <c r="C5058" s="82" t="s">
        <v>5830</v>
      </c>
      <c r="D5058" s="83">
        <f>SUMIFS(D5059:D6462,K5059:K6462,"0",B5059:B6462,"5 1 2 9 1 12 31111 6 M59 60100 000132 0000R 00001 00291 015 2112000*")-SUMIFS(E5059:E6462,K5059:K6462,"0",B5059:B6462,"5 1 2 9 1 12 31111 6 M59 60100 000132 0000R 00001 00291 015 2112000*")</f>
        <v>0</v>
      </c>
      <c r="E5058" s="54"/>
      <c r="F5058" s="83">
        <f>SUMIFS(F5059:F6462,K5059:K6462,"0",B5059:B6462,"5 1 2 9 1 12 31111 6 M59 60100 000132 0000R 00001 00291 015 2112000*")</f>
        <v>1.5</v>
      </c>
      <c r="G5058" s="83">
        <f>SUMIFS(G5059:G6462,K5059:K6462,"0",B5059:B6462,"5 1 2 9 1 12 31111 6 M59 60100 000132 0000R 00001 00291 015 2112000*")</f>
        <v>0</v>
      </c>
      <c r="H5058" s="83">
        <f t="shared" si="79"/>
        <v>1.5</v>
      </c>
      <c r="I5058" s="83"/>
      <c r="K5058" s="54" t="s">
        <v>15</v>
      </c>
    </row>
    <row r="5059" spans="2:11" ht="33" x14ac:dyDescent="0.2">
      <c r="B5059" s="82" t="s">
        <v>7922</v>
      </c>
      <c r="C5059" s="82" t="s">
        <v>660</v>
      </c>
      <c r="D5059" s="83">
        <f>SUMIFS(D5060:D6462,K5060:K6462,"0",B5060:B6462,"5 1 2 9 1 12 31111 6 M59 60100 000132 0000R 00001 00291 015 2112000 2024*")-SUMIFS(E5060:E6462,K5060:K6462,"0",B5060:B6462,"5 1 2 9 1 12 31111 6 M59 60100 000132 0000R 00001 00291 015 2112000 2024*")</f>
        <v>0</v>
      </c>
      <c r="E5059" s="54"/>
      <c r="F5059" s="83">
        <f>SUMIFS(F5060:F6462,K5060:K6462,"0",B5060:B6462,"5 1 2 9 1 12 31111 6 M59 60100 000132 0000R 00001 00291 015 2112000 2024*")</f>
        <v>1.5</v>
      </c>
      <c r="G5059" s="83">
        <f>SUMIFS(G5060:G6462,K5060:K6462,"0",B5060:B6462,"5 1 2 9 1 12 31111 6 M59 60100 000132 0000R 00001 00291 015 2112000 2024*")</f>
        <v>0</v>
      </c>
      <c r="H5059" s="83">
        <f t="shared" si="79"/>
        <v>1.5</v>
      </c>
      <c r="I5059" s="83"/>
      <c r="K5059" s="54" t="s">
        <v>15</v>
      </c>
    </row>
    <row r="5060" spans="2:11" ht="41.25" x14ac:dyDescent="0.2">
      <c r="B5060" s="82" t="s">
        <v>7923</v>
      </c>
      <c r="C5060" s="82" t="s">
        <v>1056</v>
      </c>
      <c r="D5060" s="83">
        <f>SUMIFS(D5061:D6462,K5061:K6462,"0",B5061:B6462,"5 1 2 9 1 12 31111 6 M59 60100 000132 0000R 00001 00291 015 2112000 2024 CP1DM394*")-SUMIFS(E5061:E6462,K5061:K6462,"0",B5061:B6462,"5 1 2 9 1 12 31111 6 M59 60100 000132 0000R 00001 00291 015 2112000 2024 CP1DM394*")</f>
        <v>0</v>
      </c>
      <c r="E5060" s="54"/>
      <c r="F5060" s="83">
        <f>SUMIFS(F5061:F6462,K5061:K6462,"0",B5061:B6462,"5 1 2 9 1 12 31111 6 M59 60100 000132 0000R 00001 00291 015 2112000 2024 CP1DM394*")</f>
        <v>1.5</v>
      </c>
      <c r="G5060" s="83">
        <f>SUMIFS(G5061:G6462,K5061:K6462,"0",B5061:B6462,"5 1 2 9 1 12 31111 6 M59 60100 000132 0000R 00001 00291 015 2112000 2024 CP1DM394*")</f>
        <v>0</v>
      </c>
      <c r="H5060" s="83">
        <f t="shared" si="79"/>
        <v>1.5</v>
      </c>
      <c r="I5060" s="83"/>
      <c r="K5060" s="54" t="s">
        <v>15</v>
      </c>
    </row>
    <row r="5061" spans="2:11" ht="41.25" x14ac:dyDescent="0.2">
      <c r="B5061" s="82" t="s">
        <v>7924</v>
      </c>
      <c r="C5061" s="82" t="s">
        <v>282</v>
      </c>
      <c r="D5061" s="83">
        <f>SUMIFS(D5062:D6462,K5062:K6462,"0",B5062:B6462,"5 1 2 9 1 12 31111 6 M59 60100 000132 0000R 00001 00291 015 2112000 2024 CP1DM394 001*")-SUMIFS(E5062:E6462,K5062:K6462,"0",B5062:B6462,"5 1 2 9 1 12 31111 6 M59 60100 000132 0000R 00001 00291 015 2112000 2024 CP1DM394 001*")</f>
        <v>0</v>
      </c>
      <c r="E5061" s="54"/>
      <c r="F5061" s="83">
        <f>SUMIFS(F5062:F6462,K5062:K6462,"0",B5062:B6462,"5 1 2 9 1 12 31111 6 M59 60100 000132 0000R 00001 00291 015 2112000 2024 CP1DM394 001*")</f>
        <v>1.5</v>
      </c>
      <c r="G5061" s="83">
        <f>SUMIFS(G5062:G6462,K5062:K6462,"0",B5062:B6462,"5 1 2 9 1 12 31111 6 M59 60100 000132 0000R 00001 00291 015 2112000 2024 CP1DM394 001*")</f>
        <v>0</v>
      </c>
      <c r="H5061" s="83">
        <f t="shared" si="79"/>
        <v>1.5</v>
      </c>
      <c r="I5061" s="83"/>
      <c r="K5061" s="54" t="s">
        <v>15</v>
      </c>
    </row>
    <row r="5062" spans="2:11" ht="33" x14ac:dyDescent="0.2">
      <c r="B5062" s="84" t="s">
        <v>7925</v>
      </c>
      <c r="C5062" s="84" t="s">
        <v>7842</v>
      </c>
      <c r="D5062" s="85">
        <v>0</v>
      </c>
      <c r="E5062" s="85"/>
      <c r="F5062" s="85">
        <v>1.5</v>
      </c>
      <c r="G5062" s="85">
        <v>0</v>
      </c>
      <c r="H5062" s="85">
        <f t="shared" si="79"/>
        <v>1.5</v>
      </c>
      <c r="I5062" s="85"/>
      <c r="K5062" s="54" t="s">
        <v>38</v>
      </c>
    </row>
    <row r="5063" spans="2:11" ht="16.5" x14ac:dyDescent="0.2">
      <c r="B5063" s="82" t="s">
        <v>7926</v>
      </c>
      <c r="C5063" s="82" t="s">
        <v>3608</v>
      </c>
      <c r="D5063" s="83">
        <f>SUMIFS(D5064:D6462,K5064:K6462,"0",B5064:B6462,"5 1 2 9 1 12 31111 6 M59 91000*")-SUMIFS(E5064:E6462,K5064:K6462,"0",B5064:B6462,"5 1 2 9 1 12 31111 6 M59 91000*")</f>
        <v>0</v>
      </c>
      <c r="E5063" s="54"/>
      <c r="F5063" s="83">
        <f>SUMIFS(F5064:F6462,K5064:K6462,"0",B5064:B6462,"5 1 2 9 1 12 31111 6 M59 91000*")</f>
        <v>1600</v>
      </c>
      <c r="G5063" s="83">
        <f>SUMIFS(G5064:G6462,K5064:K6462,"0",B5064:B6462,"5 1 2 9 1 12 31111 6 M59 91000*")</f>
        <v>0</v>
      </c>
      <c r="H5063" s="83">
        <f t="shared" si="79"/>
        <v>1600</v>
      </c>
      <c r="I5063" s="83"/>
      <c r="K5063" s="54" t="s">
        <v>15</v>
      </c>
    </row>
    <row r="5064" spans="2:11" ht="16.5" x14ac:dyDescent="0.2">
      <c r="B5064" s="82" t="s">
        <v>7927</v>
      </c>
      <c r="C5064" s="82" t="s">
        <v>648</v>
      </c>
      <c r="D5064" s="83">
        <f>SUMIFS(D5065:D6462,K5065:K6462,"0",B5065:B6462,"5 1 2 9 1 12 31111 6 M59 91000 000132*")-SUMIFS(E5065:E6462,K5065:K6462,"0",B5065:B6462,"5 1 2 9 1 12 31111 6 M59 91000 000132*")</f>
        <v>0</v>
      </c>
      <c r="E5064" s="54"/>
      <c r="F5064" s="83">
        <f>SUMIFS(F5065:F6462,K5065:K6462,"0",B5065:B6462,"5 1 2 9 1 12 31111 6 M59 91000 000132*")</f>
        <v>1600</v>
      </c>
      <c r="G5064" s="83">
        <f>SUMIFS(G5065:G6462,K5065:K6462,"0",B5065:B6462,"5 1 2 9 1 12 31111 6 M59 91000 000132*")</f>
        <v>0</v>
      </c>
      <c r="H5064" s="83">
        <f t="shared" si="79"/>
        <v>1600</v>
      </c>
      <c r="I5064" s="83"/>
      <c r="K5064" s="54" t="s">
        <v>15</v>
      </c>
    </row>
    <row r="5065" spans="2:11" ht="24.75" x14ac:dyDescent="0.2">
      <c r="B5065" s="82" t="s">
        <v>7928</v>
      </c>
      <c r="C5065" s="82" t="s">
        <v>650</v>
      </c>
      <c r="D5065" s="83">
        <f>SUMIFS(D5066:D6462,K5066:K6462,"0",B5066:B6462,"5 1 2 9 1 12 31111 6 M59 91000 000132 0000R*")-SUMIFS(E5066:E6462,K5066:K6462,"0",B5066:B6462,"5 1 2 9 1 12 31111 6 M59 91000 000132 0000R*")</f>
        <v>0</v>
      </c>
      <c r="E5065" s="54"/>
      <c r="F5065" s="83">
        <f>SUMIFS(F5066:F6462,K5066:K6462,"0",B5066:B6462,"5 1 2 9 1 12 31111 6 M59 91000 000132 0000R*")</f>
        <v>1600</v>
      </c>
      <c r="G5065" s="83">
        <f>SUMIFS(G5066:G6462,K5066:K6462,"0",B5066:B6462,"5 1 2 9 1 12 31111 6 M59 91000 000132 0000R*")</f>
        <v>0</v>
      </c>
      <c r="H5065" s="83">
        <f t="shared" si="79"/>
        <v>1600</v>
      </c>
      <c r="I5065" s="83"/>
      <c r="K5065" s="54" t="s">
        <v>15</v>
      </c>
    </row>
    <row r="5066" spans="2:11" ht="24.75" x14ac:dyDescent="0.2">
      <c r="B5066" s="82" t="s">
        <v>7929</v>
      </c>
      <c r="C5066" s="82" t="s">
        <v>282</v>
      </c>
      <c r="D5066" s="83">
        <f>SUMIFS(D5067:D6462,K5067:K6462,"0",B5067:B6462,"5 1 2 9 1 12 31111 6 M59 91000 000132 0000R 00001*")-SUMIFS(E5067:E6462,K5067:K6462,"0",B5067:B6462,"5 1 2 9 1 12 31111 6 M59 91000 000132 0000R 00001*")</f>
        <v>0</v>
      </c>
      <c r="E5066" s="54"/>
      <c r="F5066" s="83">
        <f>SUMIFS(F5067:F6462,K5067:K6462,"0",B5067:B6462,"5 1 2 9 1 12 31111 6 M59 91000 000132 0000R 00001*")</f>
        <v>1600</v>
      </c>
      <c r="G5066" s="83">
        <f>SUMIFS(G5067:G6462,K5067:K6462,"0",B5067:B6462,"5 1 2 9 1 12 31111 6 M59 91000 000132 0000R 00001*")</f>
        <v>0</v>
      </c>
      <c r="H5066" s="83">
        <f t="shared" si="79"/>
        <v>1600</v>
      </c>
      <c r="I5066" s="83"/>
      <c r="K5066" s="54" t="s">
        <v>15</v>
      </c>
    </row>
    <row r="5067" spans="2:11" ht="24.75" x14ac:dyDescent="0.2">
      <c r="B5067" s="82" t="s">
        <v>7930</v>
      </c>
      <c r="C5067" s="82" t="s">
        <v>7842</v>
      </c>
      <c r="D5067" s="83">
        <f>SUMIFS(D5068:D6462,K5068:K6462,"0",B5068:B6462,"5 1 2 9 1 12 31111 6 M59 91000 000132 0000R 00001 00291*")-SUMIFS(E5068:E6462,K5068:K6462,"0",B5068:B6462,"5 1 2 9 1 12 31111 6 M59 91000 000132 0000R 00001 00291*")</f>
        <v>0</v>
      </c>
      <c r="E5067" s="54"/>
      <c r="F5067" s="83">
        <f>SUMIFS(F5068:F6462,K5068:K6462,"0",B5068:B6462,"5 1 2 9 1 12 31111 6 M59 91000 000132 0000R 00001 00291*")</f>
        <v>1600</v>
      </c>
      <c r="G5067" s="83">
        <f>SUMIFS(G5068:G6462,K5068:K6462,"0",B5068:B6462,"5 1 2 9 1 12 31111 6 M59 91000 000132 0000R 00001 00291*")</f>
        <v>0</v>
      </c>
      <c r="H5067" s="83">
        <f t="shared" si="79"/>
        <v>1600</v>
      </c>
      <c r="I5067" s="83"/>
      <c r="K5067" s="54" t="s">
        <v>15</v>
      </c>
    </row>
    <row r="5068" spans="2:11" ht="33" x14ac:dyDescent="0.2">
      <c r="B5068" s="82" t="s">
        <v>7931</v>
      </c>
      <c r="C5068" s="82" t="s">
        <v>1051</v>
      </c>
      <c r="D5068" s="83">
        <f>SUMIFS(D5069:D6462,K5069:K6462,"0",B5069:B6462,"5 1 2 9 1 12 31111 6 M59 91000 000132 0000R 00001 00291 015*")-SUMIFS(E5069:E6462,K5069:K6462,"0",B5069:B6462,"5 1 2 9 1 12 31111 6 M59 91000 000132 0000R 00001 00291 015*")</f>
        <v>0</v>
      </c>
      <c r="E5068" s="54"/>
      <c r="F5068" s="83">
        <f>SUMIFS(F5069:F6462,K5069:K6462,"0",B5069:B6462,"5 1 2 9 1 12 31111 6 M59 91000 000132 0000R 00001 00291 015*")</f>
        <v>1600</v>
      </c>
      <c r="G5068" s="83">
        <f>SUMIFS(G5069:G6462,K5069:K6462,"0",B5069:B6462,"5 1 2 9 1 12 31111 6 M59 91000 000132 0000R 00001 00291 015*")</f>
        <v>0</v>
      </c>
      <c r="H5068" s="83">
        <f t="shared" si="79"/>
        <v>1600</v>
      </c>
      <c r="I5068" s="83"/>
      <c r="K5068" s="54" t="s">
        <v>15</v>
      </c>
    </row>
    <row r="5069" spans="2:11" ht="33" x14ac:dyDescent="0.2">
      <c r="B5069" s="82" t="s">
        <v>7932</v>
      </c>
      <c r="C5069" s="82" t="s">
        <v>5830</v>
      </c>
      <c r="D5069" s="83">
        <f>SUMIFS(D5070:D6462,K5070:K6462,"0",B5070:B6462,"5 1 2 9 1 12 31111 6 M59 91000 000132 0000R 00001 00291 015 2112000*")-SUMIFS(E5070:E6462,K5070:K6462,"0",B5070:B6462,"5 1 2 9 1 12 31111 6 M59 91000 000132 0000R 00001 00291 015 2112000*")</f>
        <v>0</v>
      </c>
      <c r="E5069" s="54"/>
      <c r="F5069" s="83">
        <f>SUMIFS(F5070:F6462,K5070:K6462,"0",B5070:B6462,"5 1 2 9 1 12 31111 6 M59 91000 000132 0000R 00001 00291 015 2112000*")</f>
        <v>1600</v>
      </c>
      <c r="G5069" s="83">
        <f>SUMIFS(G5070:G6462,K5070:K6462,"0",B5070:B6462,"5 1 2 9 1 12 31111 6 M59 91000 000132 0000R 00001 00291 015 2112000*")</f>
        <v>0</v>
      </c>
      <c r="H5069" s="83">
        <f t="shared" si="79"/>
        <v>1600</v>
      </c>
      <c r="I5069" s="83"/>
      <c r="K5069" s="54" t="s">
        <v>15</v>
      </c>
    </row>
    <row r="5070" spans="2:11" ht="33" x14ac:dyDescent="0.2">
      <c r="B5070" s="82" t="s">
        <v>7933</v>
      </c>
      <c r="C5070" s="82" t="s">
        <v>660</v>
      </c>
      <c r="D5070" s="83">
        <f>SUMIFS(D5071:D6462,K5071:K6462,"0",B5071:B6462,"5 1 2 9 1 12 31111 6 M59 91000 000132 0000R 00001 00291 015 2112000 2024*")-SUMIFS(E5071:E6462,K5071:K6462,"0",B5071:B6462,"5 1 2 9 1 12 31111 6 M59 91000 000132 0000R 00001 00291 015 2112000 2024*")</f>
        <v>0</v>
      </c>
      <c r="E5070" s="54"/>
      <c r="F5070" s="83">
        <f>SUMIFS(F5071:F6462,K5071:K6462,"0",B5071:B6462,"5 1 2 9 1 12 31111 6 M59 91000 000132 0000R 00001 00291 015 2112000 2024*")</f>
        <v>1600</v>
      </c>
      <c r="G5070" s="83">
        <f>SUMIFS(G5071:G6462,K5071:K6462,"0",B5071:B6462,"5 1 2 9 1 12 31111 6 M59 91000 000132 0000R 00001 00291 015 2112000 2024*")</f>
        <v>0</v>
      </c>
      <c r="H5070" s="83">
        <f t="shared" si="79"/>
        <v>1600</v>
      </c>
      <c r="I5070" s="83"/>
      <c r="K5070" s="54" t="s">
        <v>15</v>
      </c>
    </row>
    <row r="5071" spans="2:11" ht="41.25" x14ac:dyDescent="0.2">
      <c r="B5071" s="82" t="s">
        <v>7934</v>
      </c>
      <c r="C5071" s="82" t="s">
        <v>1056</v>
      </c>
      <c r="D5071" s="83">
        <f>SUMIFS(D5072:D6462,K5072:K6462,"0",B5072:B6462,"5 1 2 9 1 12 31111 6 M59 91000 000132 0000R 00001 00291 015 2112000 2024 CP1RE398*")-SUMIFS(E5072:E6462,K5072:K6462,"0",B5072:B6462,"5 1 2 9 1 12 31111 6 M59 91000 000132 0000R 00001 00291 015 2112000 2024 CP1RE398*")</f>
        <v>0</v>
      </c>
      <c r="E5071" s="54"/>
      <c r="F5071" s="83">
        <f>SUMIFS(F5072:F6462,K5072:K6462,"0",B5072:B6462,"5 1 2 9 1 12 31111 6 M59 91000 000132 0000R 00001 00291 015 2112000 2024 CP1RE398*")</f>
        <v>1600</v>
      </c>
      <c r="G5071" s="83">
        <f>SUMIFS(G5072:G6462,K5072:K6462,"0",B5072:B6462,"5 1 2 9 1 12 31111 6 M59 91000 000132 0000R 00001 00291 015 2112000 2024 CP1RE398*")</f>
        <v>0</v>
      </c>
      <c r="H5071" s="83">
        <f t="shared" si="79"/>
        <v>1600</v>
      </c>
      <c r="I5071" s="83"/>
      <c r="K5071" s="54" t="s">
        <v>15</v>
      </c>
    </row>
    <row r="5072" spans="2:11" ht="41.25" x14ac:dyDescent="0.2">
      <c r="B5072" s="82" t="s">
        <v>7935</v>
      </c>
      <c r="C5072" s="82" t="s">
        <v>282</v>
      </c>
      <c r="D5072" s="83">
        <f>SUMIFS(D5073:D6462,K5073:K6462,"0",B5073:B6462,"5 1 2 9 1 12 31111 6 M59 91000 000132 0000R 00001 00291 015 2112000 2024 CP1RE398 001*")-SUMIFS(E5073:E6462,K5073:K6462,"0",B5073:B6462,"5 1 2 9 1 12 31111 6 M59 91000 000132 0000R 00001 00291 015 2112000 2024 CP1RE398 001*")</f>
        <v>0</v>
      </c>
      <c r="E5072" s="54"/>
      <c r="F5072" s="83">
        <f>SUMIFS(F5073:F6462,K5073:K6462,"0",B5073:B6462,"5 1 2 9 1 12 31111 6 M59 91000 000132 0000R 00001 00291 015 2112000 2024 CP1RE398 001*")</f>
        <v>1600</v>
      </c>
      <c r="G5072" s="83">
        <f>SUMIFS(G5073:G6462,K5073:K6462,"0",B5073:B6462,"5 1 2 9 1 12 31111 6 M59 91000 000132 0000R 00001 00291 015 2112000 2024 CP1RE398 001*")</f>
        <v>0</v>
      </c>
      <c r="H5072" s="83">
        <f t="shared" si="79"/>
        <v>1600</v>
      </c>
      <c r="I5072" s="83"/>
      <c r="K5072" s="54" t="s">
        <v>15</v>
      </c>
    </row>
    <row r="5073" spans="2:11" ht="33" x14ac:dyDescent="0.2">
      <c r="B5073" s="84" t="s">
        <v>7936</v>
      </c>
      <c r="C5073" s="84" t="s">
        <v>7842</v>
      </c>
      <c r="D5073" s="85">
        <v>0</v>
      </c>
      <c r="E5073" s="85"/>
      <c r="F5073" s="85">
        <v>1600</v>
      </c>
      <c r="G5073" s="85">
        <v>0</v>
      </c>
      <c r="H5073" s="85">
        <f t="shared" si="79"/>
        <v>1600</v>
      </c>
      <c r="I5073" s="85"/>
      <c r="K5073" s="54" t="s">
        <v>38</v>
      </c>
    </row>
    <row r="5074" spans="2:11" ht="16.5" x14ac:dyDescent="0.2">
      <c r="B5074" s="82" t="s">
        <v>7937</v>
      </c>
      <c r="C5074" s="82" t="s">
        <v>3644</v>
      </c>
      <c r="D5074" s="83">
        <f>SUMIFS(D5075:D6462,K5075:K6462,"0",B5075:B6462,"5 1 2 9 1 12 31111 6 M59 94000*")-SUMIFS(E5075:E6462,K5075:K6462,"0",B5075:B6462,"5 1 2 9 1 12 31111 6 M59 94000*")</f>
        <v>0</v>
      </c>
      <c r="E5074" s="54"/>
      <c r="F5074" s="83">
        <f>SUMIFS(F5075:F6462,K5075:K6462,"0",B5075:B6462,"5 1 2 9 1 12 31111 6 M59 94000*")</f>
        <v>30181.41</v>
      </c>
      <c r="G5074" s="83">
        <f>SUMIFS(G5075:G6462,K5075:K6462,"0",B5075:B6462,"5 1 2 9 1 12 31111 6 M59 94000*")</f>
        <v>0</v>
      </c>
      <c r="H5074" s="83">
        <f t="shared" si="79"/>
        <v>30181.41</v>
      </c>
      <c r="I5074" s="83"/>
      <c r="K5074" s="54" t="s">
        <v>15</v>
      </c>
    </row>
    <row r="5075" spans="2:11" ht="24.75" x14ac:dyDescent="0.2">
      <c r="B5075" s="82" t="s">
        <v>7938</v>
      </c>
      <c r="C5075" s="82" t="s">
        <v>3152</v>
      </c>
      <c r="D5075" s="83">
        <f>SUMIFS(D5076:D6462,K5076:K6462,"0",B5076:B6462,"5 1 2 9 1 12 31111 6 M59 94000 000181*")-SUMIFS(E5076:E6462,K5076:K6462,"0",B5076:B6462,"5 1 2 9 1 12 31111 6 M59 94000 000181*")</f>
        <v>0</v>
      </c>
      <c r="E5075" s="54"/>
      <c r="F5075" s="83">
        <f>SUMIFS(F5076:F6462,K5076:K6462,"0",B5076:B6462,"5 1 2 9 1 12 31111 6 M59 94000 000181*")</f>
        <v>30181.41</v>
      </c>
      <c r="G5075" s="83">
        <f>SUMIFS(G5076:G6462,K5076:K6462,"0",B5076:B6462,"5 1 2 9 1 12 31111 6 M59 94000 000181*")</f>
        <v>0</v>
      </c>
      <c r="H5075" s="83">
        <f t="shared" si="79"/>
        <v>30181.41</v>
      </c>
      <c r="I5075" s="83"/>
      <c r="K5075" s="54" t="s">
        <v>15</v>
      </c>
    </row>
    <row r="5076" spans="2:11" ht="24.75" x14ac:dyDescent="0.2">
      <c r="B5076" s="82" t="s">
        <v>7939</v>
      </c>
      <c r="C5076" s="82" t="s">
        <v>650</v>
      </c>
      <c r="D5076" s="83">
        <f>SUMIFS(D5077:D6462,K5077:K6462,"0",B5077:B6462,"5 1 2 9 1 12 31111 6 M59 94000 000181 0000R*")-SUMIFS(E5077:E6462,K5077:K6462,"0",B5077:B6462,"5 1 2 9 1 12 31111 6 M59 94000 000181 0000R*")</f>
        <v>0</v>
      </c>
      <c r="E5076" s="54"/>
      <c r="F5076" s="83">
        <f>SUMIFS(F5077:F6462,K5077:K6462,"0",B5077:B6462,"5 1 2 9 1 12 31111 6 M59 94000 000181 0000R*")</f>
        <v>30181.41</v>
      </c>
      <c r="G5076" s="83">
        <f>SUMIFS(G5077:G6462,K5077:K6462,"0",B5077:B6462,"5 1 2 9 1 12 31111 6 M59 94000 000181 0000R*")</f>
        <v>0</v>
      </c>
      <c r="H5076" s="83">
        <f t="shared" si="79"/>
        <v>30181.41</v>
      </c>
      <c r="I5076" s="83"/>
      <c r="K5076" s="54" t="s">
        <v>15</v>
      </c>
    </row>
    <row r="5077" spans="2:11" ht="24.75" x14ac:dyDescent="0.2">
      <c r="B5077" s="82" t="s">
        <v>7940</v>
      </c>
      <c r="C5077" s="82" t="s">
        <v>282</v>
      </c>
      <c r="D5077" s="83">
        <f>SUMIFS(D5078:D6462,K5078:K6462,"0",B5078:B6462,"5 1 2 9 1 12 31111 6 M59 94000 000181 0000R 00001*")-SUMIFS(E5078:E6462,K5078:K6462,"0",B5078:B6462,"5 1 2 9 1 12 31111 6 M59 94000 000181 0000R 00001*")</f>
        <v>0</v>
      </c>
      <c r="E5077" s="54"/>
      <c r="F5077" s="83">
        <f>SUMIFS(F5078:F6462,K5078:K6462,"0",B5078:B6462,"5 1 2 9 1 12 31111 6 M59 94000 000181 0000R 00001*")</f>
        <v>30181.41</v>
      </c>
      <c r="G5077" s="83">
        <f>SUMIFS(G5078:G6462,K5078:K6462,"0",B5078:B6462,"5 1 2 9 1 12 31111 6 M59 94000 000181 0000R 00001*")</f>
        <v>0</v>
      </c>
      <c r="H5077" s="83">
        <f t="shared" si="79"/>
        <v>30181.41</v>
      </c>
      <c r="I5077" s="83"/>
      <c r="K5077" s="54" t="s">
        <v>15</v>
      </c>
    </row>
    <row r="5078" spans="2:11" ht="24.75" x14ac:dyDescent="0.2">
      <c r="B5078" s="82" t="s">
        <v>7941</v>
      </c>
      <c r="C5078" s="82" t="s">
        <v>7842</v>
      </c>
      <c r="D5078" s="83">
        <f>SUMIFS(D5079:D6462,K5079:K6462,"0",B5079:B6462,"5 1 2 9 1 12 31111 6 M59 94000 000181 0000R 00001 00291*")-SUMIFS(E5079:E6462,K5079:K6462,"0",B5079:B6462,"5 1 2 9 1 12 31111 6 M59 94000 000181 0000R 00001 00291*")</f>
        <v>0</v>
      </c>
      <c r="E5078" s="54"/>
      <c r="F5078" s="83">
        <f>SUMIFS(F5079:F6462,K5079:K6462,"0",B5079:B6462,"5 1 2 9 1 12 31111 6 M59 94000 000181 0000R 00001 00291*")</f>
        <v>30181.41</v>
      </c>
      <c r="G5078" s="83">
        <f>SUMIFS(G5079:G6462,K5079:K6462,"0",B5079:B6462,"5 1 2 9 1 12 31111 6 M59 94000 000181 0000R 00001 00291*")</f>
        <v>0</v>
      </c>
      <c r="H5078" s="83">
        <f t="shared" si="79"/>
        <v>30181.41</v>
      </c>
      <c r="I5078" s="83"/>
      <c r="K5078" s="54" t="s">
        <v>15</v>
      </c>
    </row>
    <row r="5079" spans="2:11" ht="33" x14ac:dyDescent="0.2">
      <c r="B5079" s="82" t="s">
        <v>7942</v>
      </c>
      <c r="C5079" s="82" t="s">
        <v>1051</v>
      </c>
      <c r="D5079" s="83">
        <f>SUMIFS(D5080:D6462,K5080:K6462,"0",B5080:B6462,"5 1 2 9 1 12 31111 6 M59 94000 000181 0000R 00001 00291 015*")-SUMIFS(E5080:E6462,K5080:K6462,"0",B5080:B6462,"5 1 2 9 1 12 31111 6 M59 94000 000181 0000R 00001 00291 015*")</f>
        <v>0</v>
      </c>
      <c r="E5079" s="54"/>
      <c r="F5079" s="83">
        <f>SUMIFS(F5080:F6462,K5080:K6462,"0",B5080:B6462,"5 1 2 9 1 12 31111 6 M59 94000 000181 0000R 00001 00291 015*")</f>
        <v>30181.41</v>
      </c>
      <c r="G5079" s="83">
        <f>SUMIFS(G5080:G6462,K5080:K6462,"0",B5080:B6462,"5 1 2 9 1 12 31111 6 M59 94000 000181 0000R 00001 00291 015*")</f>
        <v>0</v>
      </c>
      <c r="H5079" s="83">
        <f t="shared" si="79"/>
        <v>30181.41</v>
      </c>
      <c r="I5079" s="83"/>
      <c r="K5079" s="54" t="s">
        <v>15</v>
      </c>
    </row>
    <row r="5080" spans="2:11" ht="33" x14ac:dyDescent="0.2">
      <c r="B5080" s="82" t="s">
        <v>7943</v>
      </c>
      <c r="C5080" s="82" t="s">
        <v>5830</v>
      </c>
      <c r="D5080" s="83">
        <f>SUMIFS(D5081:D6462,K5081:K6462,"0",B5081:B6462,"5 1 2 9 1 12 31111 6 M59 94000 000181 0000R 00001 00291 015 2112000*")-SUMIFS(E5081:E6462,K5081:K6462,"0",B5081:B6462,"5 1 2 9 1 12 31111 6 M59 94000 000181 0000R 00001 00291 015 2112000*")</f>
        <v>0</v>
      </c>
      <c r="E5080" s="54"/>
      <c r="F5080" s="83">
        <f>SUMIFS(F5081:F6462,K5081:K6462,"0",B5081:B6462,"5 1 2 9 1 12 31111 6 M59 94000 000181 0000R 00001 00291 015 2112000*")</f>
        <v>30181.41</v>
      </c>
      <c r="G5080" s="83">
        <f>SUMIFS(G5081:G6462,K5081:K6462,"0",B5081:B6462,"5 1 2 9 1 12 31111 6 M59 94000 000181 0000R 00001 00291 015 2112000*")</f>
        <v>0</v>
      </c>
      <c r="H5080" s="83">
        <f t="shared" si="79"/>
        <v>30181.41</v>
      </c>
      <c r="I5080" s="83"/>
      <c r="K5080" s="54" t="s">
        <v>15</v>
      </c>
    </row>
    <row r="5081" spans="2:11" ht="33" x14ac:dyDescent="0.2">
      <c r="B5081" s="82" t="s">
        <v>7944</v>
      </c>
      <c r="C5081" s="82" t="s">
        <v>660</v>
      </c>
      <c r="D5081" s="83">
        <f>SUMIFS(D5082:D6462,K5082:K6462,"0",B5082:B6462,"5 1 2 9 1 12 31111 6 M59 94000 000181 0000R 00001 00291 015 2112000 2024*")-SUMIFS(E5082:E6462,K5082:K6462,"0",B5082:B6462,"5 1 2 9 1 12 31111 6 M59 94000 000181 0000R 00001 00291 015 2112000 2024*")</f>
        <v>0</v>
      </c>
      <c r="E5081" s="54"/>
      <c r="F5081" s="83">
        <f>SUMIFS(F5082:F6462,K5082:K6462,"0",B5082:B6462,"5 1 2 9 1 12 31111 6 M59 94000 000181 0000R 00001 00291 015 2112000 2024*")</f>
        <v>30181.41</v>
      </c>
      <c r="G5081" s="83">
        <f>SUMIFS(G5082:G6462,K5082:K6462,"0",B5082:B6462,"5 1 2 9 1 12 31111 6 M59 94000 000181 0000R 00001 00291 015 2112000 2024*")</f>
        <v>0</v>
      </c>
      <c r="H5081" s="83">
        <f t="shared" si="79"/>
        <v>30181.41</v>
      </c>
      <c r="I5081" s="83"/>
      <c r="K5081" s="54" t="s">
        <v>15</v>
      </c>
    </row>
    <row r="5082" spans="2:11" ht="41.25" x14ac:dyDescent="0.2">
      <c r="B5082" s="82" t="s">
        <v>7945</v>
      </c>
      <c r="C5082" s="82" t="s">
        <v>1056</v>
      </c>
      <c r="D5082" s="83">
        <f>SUMIFS(D5083:D6462,K5083:K6462,"0",B5083:B6462,"5 1 2 9 1 12 31111 6 M59 94000 000181 0000R 00001 00291 015 2112000 2024 CP1OM392*")-SUMIFS(E5083:E6462,K5083:K6462,"0",B5083:B6462,"5 1 2 9 1 12 31111 6 M59 94000 000181 0000R 00001 00291 015 2112000 2024 CP1OM392*")</f>
        <v>0</v>
      </c>
      <c r="E5082" s="54"/>
      <c r="F5082" s="83">
        <f>SUMIFS(F5083:F6462,K5083:K6462,"0",B5083:B6462,"5 1 2 9 1 12 31111 6 M59 94000 000181 0000R 00001 00291 015 2112000 2024 CP1OM392*")</f>
        <v>30181.41</v>
      </c>
      <c r="G5082" s="83">
        <f>SUMIFS(G5083:G6462,K5083:K6462,"0",B5083:B6462,"5 1 2 9 1 12 31111 6 M59 94000 000181 0000R 00001 00291 015 2112000 2024 CP1OM392*")</f>
        <v>0</v>
      </c>
      <c r="H5082" s="83">
        <f t="shared" si="79"/>
        <v>30181.41</v>
      </c>
      <c r="I5082" s="83"/>
      <c r="K5082" s="54" t="s">
        <v>15</v>
      </c>
    </row>
    <row r="5083" spans="2:11" ht="41.25" x14ac:dyDescent="0.2">
      <c r="B5083" s="82" t="s">
        <v>7946</v>
      </c>
      <c r="C5083" s="82" t="s">
        <v>282</v>
      </c>
      <c r="D5083" s="83">
        <f>SUMIFS(D5084:D6462,K5084:K6462,"0",B5084:B6462,"5 1 2 9 1 12 31111 6 M59 94000 000181 0000R 00001 00291 015 2112000 2024 CP1OM392 001*")-SUMIFS(E5084:E6462,K5084:K6462,"0",B5084:B6462,"5 1 2 9 1 12 31111 6 M59 94000 000181 0000R 00001 00291 015 2112000 2024 CP1OM392 001*")</f>
        <v>0</v>
      </c>
      <c r="E5083" s="54"/>
      <c r="F5083" s="83">
        <f>SUMIFS(F5084:F6462,K5084:K6462,"0",B5084:B6462,"5 1 2 9 1 12 31111 6 M59 94000 000181 0000R 00001 00291 015 2112000 2024 CP1OM392 001*")</f>
        <v>30181.41</v>
      </c>
      <c r="G5083" s="83">
        <f>SUMIFS(G5084:G6462,K5084:K6462,"0",B5084:B6462,"5 1 2 9 1 12 31111 6 M59 94000 000181 0000R 00001 00291 015 2112000 2024 CP1OM392 001*")</f>
        <v>0</v>
      </c>
      <c r="H5083" s="83">
        <f t="shared" si="79"/>
        <v>30181.41</v>
      </c>
      <c r="I5083" s="83"/>
      <c r="K5083" s="54" t="s">
        <v>15</v>
      </c>
    </row>
    <row r="5084" spans="2:11" ht="33" x14ac:dyDescent="0.2">
      <c r="B5084" s="84" t="s">
        <v>7947</v>
      </c>
      <c r="C5084" s="84" t="s">
        <v>7832</v>
      </c>
      <c r="D5084" s="85">
        <v>0</v>
      </c>
      <c r="E5084" s="85"/>
      <c r="F5084" s="85">
        <v>30181.41</v>
      </c>
      <c r="G5084" s="85">
        <v>0</v>
      </c>
      <c r="H5084" s="85">
        <f t="shared" si="79"/>
        <v>30181.41</v>
      </c>
      <c r="I5084" s="85"/>
      <c r="K5084" s="54" t="s">
        <v>38</v>
      </c>
    </row>
    <row r="5085" spans="2:11" ht="16.5" x14ac:dyDescent="0.2">
      <c r="B5085" s="82" t="s">
        <v>7948</v>
      </c>
      <c r="C5085" s="82" t="s">
        <v>3693</v>
      </c>
      <c r="D5085" s="83">
        <f>SUMIFS(D5086:D6462,K5086:K6462,"0",B5086:B6462,"5 1 2 9 1 12 31111 6 M59 96100*")-SUMIFS(E5086:E6462,K5086:K6462,"0",B5086:B6462,"5 1 2 9 1 12 31111 6 M59 96100*")</f>
        <v>0</v>
      </c>
      <c r="E5085" s="54"/>
      <c r="F5085" s="83">
        <f>SUMIFS(F5086:F6462,K5086:K6462,"0",B5086:B6462,"5 1 2 9 1 12 31111 6 M59 96100*")</f>
        <v>1129.96</v>
      </c>
      <c r="G5085" s="83">
        <f>SUMIFS(G5086:G6462,K5086:K6462,"0",B5086:B6462,"5 1 2 9 1 12 31111 6 M59 96100*")</f>
        <v>0</v>
      </c>
      <c r="H5085" s="83">
        <f t="shared" si="79"/>
        <v>1129.96</v>
      </c>
      <c r="I5085" s="83"/>
      <c r="K5085" s="54" t="s">
        <v>15</v>
      </c>
    </row>
    <row r="5086" spans="2:11" ht="16.5" x14ac:dyDescent="0.2">
      <c r="B5086" s="82" t="s">
        <v>7949</v>
      </c>
      <c r="C5086" s="82" t="s">
        <v>1310</v>
      </c>
      <c r="D5086" s="83">
        <f>SUMIFS(D5087:D6462,K5087:K6462,"0",B5087:B6462,"5 1 2 9 1 12 31111 6 M59 96100 000211*")-SUMIFS(E5087:E6462,K5087:K6462,"0",B5087:B6462,"5 1 2 9 1 12 31111 6 M59 96100 000211*")</f>
        <v>0</v>
      </c>
      <c r="E5086" s="54"/>
      <c r="F5086" s="83">
        <f>SUMIFS(F5087:F6462,K5087:K6462,"0",B5087:B6462,"5 1 2 9 1 12 31111 6 M59 96100 000211*")</f>
        <v>1129.96</v>
      </c>
      <c r="G5086" s="83">
        <f>SUMIFS(G5087:G6462,K5087:K6462,"0",B5087:B6462,"5 1 2 9 1 12 31111 6 M59 96100 000211*")</f>
        <v>0</v>
      </c>
      <c r="H5086" s="83">
        <f t="shared" si="79"/>
        <v>1129.96</v>
      </c>
      <c r="I5086" s="83"/>
      <c r="K5086" s="54" t="s">
        <v>15</v>
      </c>
    </row>
    <row r="5087" spans="2:11" ht="24.75" x14ac:dyDescent="0.2">
      <c r="B5087" s="82" t="s">
        <v>7950</v>
      </c>
      <c r="C5087" s="82" t="s">
        <v>3696</v>
      </c>
      <c r="D5087" s="83">
        <f>SUMIFS(D5088:D6462,K5088:K6462,"0",B5088:B6462,"5 1 2 9 1 12 31111 6 M59 96100 000211 0000U*")-SUMIFS(E5088:E6462,K5088:K6462,"0",B5088:B6462,"5 1 2 9 1 12 31111 6 M59 96100 000211 0000U*")</f>
        <v>0</v>
      </c>
      <c r="E5087" s="54"/>
      <c r="F5087" s="83">
        <f>SUMIFS(F5088:F6462,K5088:K6462,"0",B5088:B6462,"5 1 2 9 1 12 31111 6 M59 96100 000211 0000U*")</f>
        <v>1129.96</v>
      </c>
      <c r="G5087" s="83">
        <f>SUMIFS(G5088:G6462,K5088:K6462,"0",B5088:B6462,"5 1 2 9 1 12 31111 6 M59 96100 000211 0000U*")</f>
        <v>0</v>
      </c>
      <c r="H5087" s="83">
        <f t="shared" si="79"/>
        <v>1129.96</v>
      </c>
      <c r="I5087" s="83"/>
      <c r="K5087" s="54" t="s">
        <v>15</v>
      </c>
    </row>
    <row r="5088" spans="2:11" ht="24.75" x14ac:dyDescent="0.2">
      <c r="B5088" s="82" t="s">
        <v>7951</v>
      </c>
      <c r="C5088" s="82" t="s">
        <v>282</v>
      </c>
      <c r="D5088" s="83">
        <f>SUMIFS(D5089:D6462,K5089:K6462,"0",B5089:B6462,"5 1 2 9 1 12 31111 6 M59 96100 000211 0000U 00001*")-SUMIFS(E5089:E6462,K5089:K6462,"0",B5089:B6462,"5 1 2 9 1 12 31111 6 M59 96100 000211 0000U 00001*")</f>
        <v>0</v>
      </c>
      <c r="E5088" s="54"/>
      <c r="F5088" s="83">
        <f>SUMIFS(F5089:F6462,K5089:K6462,"0",B5089:B6462,"5 1 2 9 1 12 31111 6 M59 96100 000211 0000U 00001*")</f>
        <v>1129.96</v>
      </c>
      <c r="G5088" s="83">
        <f>SUMIFS(G5089:G6462,K5089:K6462,"0",B5089:B6462,"5 1 2 9 1 12 31111 6 M59 96100 000211 0000U 00001*")</f>
        <v>0</v>
      </c>
      <c r="H5088" s="83">
        <f t="shared" si="79"/>
        <v>1129.96</v>
      </c>
      <c r="I5088" s="83"/>
      <c r="K5088" s="54" t="s">
        <v>15</v>
      </c>
    </row>
    <row r="5089" spans="2:11" ht="24.75" x14ac:dyDescent="0.2">
      <c r="B5089" s="82" t="s">
        <v>7952</v>
      </c>
      <c r="C5089" s="82" t="s">
        <v>7842</v>
      </c>
      <c r="D5089" s="83">
        <f>SUMIFS(D5090:D6462,K5090:K6462,"0",B5090:B6462,"5 1 2 9 1 12 31111 6 M59 96100 000211 0000U 00001 00291*")-SUMIFS(E5090:E6462,K5090:K6462,"0",B5090:B6462,"5 1 2 9 1 12 31111 6 M59 96100 000211 0000U 00001 00291*")</f>
        <v>0</v>
      </c>
      <c r="E5089" s="54"/>
      <c r="F5089" s="83">
        <f>SUMIFS(F5090:F6462,K5090:K6462,"0",B5090:B6462,"5 1 2 9 1 12 31111 6 M59 96100 000211 0000U 00001 00291*")</f>
        <v>1129.96</v>
      </c>
      <c r="G5089" s="83">
        <f>SUMIFS(G5090:G6462,K5090:K6462,"0",B5090:B6462,"5 1 2 9 1 12 31111 6 M59 96100 000211 0000U 00001 00291*")</f>
        <v>0</v>
      </c>
      <c r="H5089" s="83">
        <f t="shared" si="79"/>
        <v>1129.96</v>
      </c>
      <c r="I5089" s="83"/>
      <c r="K5089" s="54" t="s">
        <v>15</v>
      </c>
    </row>
    <row r="5090" spans="2:11" ht="33" x14ac:dyDescent="0.2">
      <c r="B5090" s="82" t="s">
        <v>7953</v>
      </c>
      <c r="C5090" s="82" t="s">
        <v>1051</v>
      </c>
      <c r="D5090" s="83">
        <f>SUMIFS(D5091:D6462,K5091:K6462,"0",B5091:B6462,"5 1 2 9 1 12 31111 6 M59 96100 000211 0000U 00001 00291 015*")-SUMIFS(E5091:E6462,K5091:K6462,"0",B5091:B6462,"5 1 2 9 1 12 31111 6 M59 96100 000211 0000U 00001 00291 015*")</f>
        <v>0</v>
      </c>
      <c r="E5090" s="54"/>
      <c r="F5090" s="83">
        <f>SUMIFS(F5091:F6462,K5091:K6462,"0",B5091:B6462,"5 1 2 9 1 12 31111 6 M59 96100 000211 0000U 00001 00291 015*")</f>
        <v>1129.96</v>
      </c>
      <c r="G5090" s="83">
        <f>SUMIFS(G5091:G6462,K5091:K6462,"0",B5091:B6462,"5 1 2 9 1 12 31111 6 M59 96100 000211 0000U 00001 00291 015*")</f>
        <v>0</v>
      </c>
      <c r="H5090" s="83">
        <f t="shared" si="79"/>
        <v>1129.96</v>
      </c>
      <c r="I5090" s="83"/>
      <c r="K5090" s="54" t="s">
        <v>15</v>
      </c>
    </row>
    <row r="5091" spans="2:11" ht="33" x14ac:dyDescent="0.2">
      <c r="B5091" s="82" t="s">
        <v>7954</v>
      </c>
      <c r="C5091" s="82" t="s">
        <v>5830</v>
      </c>
      <c r="D5091" s="83">
        <f>SUMIFS(D5092:D6462,K5092:K6462,"0",B5092:B6462,"5 1 2 9 1 12 31111 6 M59 96100 000211 0000U 00001 00291 015 2112000*")-SUMIFS(E5092:E6462,K5092:K6462,"0",B5092:B6462,"5 1 2 9 1 12 31111 6 M59 96100 000211 0000U 00001 00291 015 2112000*")</f>
        <v>0</v>
      </c>
      <c r="E5091" s="54"/>
      <c r="F5091" s="83">
        <f>SUMIFS(F5092:F6462,K5092:K6462,"0",B5092:B6462,"5 1 2 9 1 12 31111 6 M59 96100 000211 0000U 00001 00291 015 2112000*")</f>
        <v>1129.96</v>
      </c>
      <c r="G5091" s="83">
        <f>SUMIFS(G5092:G6462,K5092:K6462,"0",B5092:B6462,"5 1 2 9 1 12 31111 6 M59 96100 000211 0000U 00001 00291 015 2112000*")</f>
        <v>0</v>
      </c>
      <c r="H5091" s="83">
        <f t="shared" si="79"/>
        <v>1129.96</v>
      </c>
      <c r="I5091" s="83"/>
      <c r="K5091" s="54" t="s">
        <v>15</v>
      </c>
    </row>
    <row r="5092" spans="2:11" ht="33" x14ac:dyDescent="0.2">
      <c r="B5092" s="82" t="s">
        <v>7955</v>
      </c>
      <c r="C5092" s="82" t="s">
        <v>660</v>
      </c>
      <c r="D5092" s="83">
        <f>SUMIFS(D5093:D6462,K5093:K6462,"0",B5093:B6462,"5 1 2 9 1 12 31111 6 M59 96100 000211 0000U 00001 00291 015 2112000 2024*")-SUMIFS(E5093:E6462,K5093:K6462,"0",B5093:B6462,"5 1 2 9 1 12 31111 6 M59 96100 000211 0000U 00001 00291 015 2112000 2024*")</f>
        <v>0</v>
      </c>
      <c r="E5092" s="54"/>
      <c r="F5092" s="83">
        <f>SUMIFS(F5093:F6462,K5093:K6462,"0",B5093:B6462,"5 1 2 9 1 12 31111 6 M59 96100 000211 0000U 00001 00291 015 2112000 2024*")</f>
        <v>1129.96</v>
      </c>
      <c r="G5092" s="83">
        <f>SUMIFS(G5093:G6462,K5093:K6462,"0",B5093:B6462,"5 1 2 9 1 12 31111 6 M59 96100 000211 0000U 00001 00291 015 2112000 2024*")</f>
        <v>0</v>
      </c>
      <c r="H5092" s="83">
        <f t="shared" si="79"/>
        <v>1129.96</v>
      </c>
      <c r="I5092" s="83"/>
      <c r="K5092" s="54" t="s">
        <v>15</v>
      </c>
    </row>
    <row r="5093" spans="2:11" ht="41.25" x14ac:dyDescent="0.2">
      <c r="B5093" s="82" t="s">
        <v>7956</v>
      </c>
      <c r="C5093" s="82" t="s">
        <v>1056</v>
      </c>
      <c r="D5093" s="83">
        <f>SUMIFS(D5094:D6462,K5094:K6462,"0",B5094:B6462,"5 1 2 9 1 12 31111 6 M59 96100 000211 0000U 00001 00291 015 2112000 2024 CP1IU412*")-SUMIFS(E5094:E6462,K5094:K6462,"0",B5094:B6462,"5 1 2 9 1 12 31111 6 M59 96100 000211 0000U 00001 00291 015 2112000 2024 CP1IU412*")</f>
        <v>0</v>
      </c>
      <c r="E5093" s="54"/>
      <c r="F5093" s="83">
        <f>SUMIFS(F5094:F6462,K5094:K6462,"0",B5094:B6462,"5 1 2 9 1 12 31111 6 M59 96100 000211 0000U 00001 00291 015 2112000 2024 CP1IU412*")</f>
        <v>1129.96</v>
      </c>
      <c r="G5093" s="83">
        <f>SUMIFS(G5094:G6462,K5094:K6462,"0",B5094:B6462,"5 1 2 9 1 12 31111 6 M59 96100 000211 0000U 00001 00291 015 2112000 2024 CP1IU412*")</f>
        <v>0</v>
      </c>
      <c r="H5093" s="83">
        <f t="shared" si="79"/>
        <v>1129.96</v>
      </c>
      <c r="I5093" s="83"/>
      <c r="K5093" s="54" t="s">
        <v>15</v>
      </c>
    </row>
    <row r="5094" spans="2:11" ht="41.25" x14ac:dyDescent="0.2">
      <c r="B5094" s="82" t="s">
        <v>7957</v>
      </c>
      <c r="C5094" s="82" t="s">
        <v>282</v>
      </c>
      <c r="D5094" s="83">
        <f>SUMIFS(D5095:D6462,K5095:K6462,"0",B5095:B6462,"5 1 2 9 1 12 31111 6 M59 96100 000211 0000U 00001 00291 015 2112000 2024 CP1IU412 001*")-SUMIFS(E5095:E6462,K5095:K6462,"0",B5095:B6462,"5 1 2 9 1 12 31111 6 M59 96100 000211 0000U 00001 00291 015 2112000 2024 CP1IU412 001*")</f>
        <v>0</v>
      </c>
      <c r="E5094" s="54"/>
      <c r="F5094" s="83">
        <f>SUMIFS(F5095:F6462,K5095:K6462,"0",B5095:B6462,"5 1 2 9 1 12 31111 6 M59 96100 000211 0000U 00001 00291 015 2112000 2024 CP1IU412 001*")</f>
        <v>1129.96</v>
      </c>
      <c r="G5094" s="83">
        <f>SUMIFS(G5095:G6462,K5095:K6462,"0",B5095:B6462,"5 1 2 9 1 12 31111 6 M59 96100 000211 0000U 00001 00291 015 2112000 2024 CP1IU412 001*")</f>
        <v>0</v>
      </c>
      <c r="H5094" s="83">
        <f t="shared" si="79"/>
        <v>1129.96</v>
      </c>
      <c r="I5094" s="83"/>
      <c r="K5094" s="54" t="s">
        <v>15</v>
      </c>
    </row>
    <row r="5095" spans="2:11" ht="33" x14ac:dyDescent="0.2">
      <c r="B5095" s="84" t="s">
        <v>7958</v>
      </c>
      <c r="C5095" s="84" t="s">
        <v>7832</v>
      </c>
      <c r="D5095" s="85">
        <v>0</v>
      </c>
      <c r="E5095" s="85"/>
      <c r="F5095" s="85">
        <v>1129.96</v>
      </c>
      <c r="G5095" s="85">
        <v>0</v>
      </c>
      <c r="H5095" s="85">
        <f t="shared" si="79"/>
        <v>1129.96</v>
      </c>
      <c r="I5095" s="85"/>
      <c r="K5095" s="54" t="s">
        <v>38</v>
      </c>
    </row>
    <row r="5096" spans="2:11" ht="16.5" x14ac:dyDescent="0.2">
      <c r="B5096" s="82" t="s">
        <v>7959</v>
      </c>
      <c r="C5096" s="82" t="s">
        <v>3706</v>
      </c>
      <c r="D5096" s="83">
        <f>SUMIFS(D5097:D6462,K5097:K6462,"0",B5097:B6462,"5 1 2 9 1 12 31111 6 M59 96200*")-SUMIFS(E5097:E6462,K5097:K6462,"0",B5097:B6462,"5 1 2 9 1 12 31111 6 M59 96200*")</f>
        <v>0</v>
      </c>
      <c r="E5096" s="54"/>
      <c r="F5096" s="83">
        <f>SUMIFS(F5097:F6462,K5097:K6462,"0",B5097:B6462,"5 1 2 9 1 12 31111 6 M59 96200*")</f>
        <v>52423.42</v>
      </c>
      <c r="G5096" s="83">
        <f>SUMIFS(G5097:G6462,K5097:K6462,"0",B5097:B6462,"5 1 2 9 1 12 31111 6 M59 96200*")</f>
        <v>0</v>
      </c>
      <c r="H5096" s="83">
        <f t="shared" si="79"/>
        <v>52423.42</v>
      </c>
      <c r="I5096" s="83"/>
      <c r="K5096" s="54" t="s">
        <v>15</v>
      </c>
    </row>
    <row r="5097" spans="2:11" ht="16.5" x14ac:dyDescent="0.2">
      <c r="B5097" s="82" t="s">
        <v>7960</v>
      </c>
      <c r="C5097" s="82" t="s">
        <v>648</v>
      </c>
      <c r="D5097" s="83">
        <f>SUMIFS(D5098:D6462,K5098:K6462,"0",B5098:B6462,"5 1 2 9 1 12 31111 6 M59 96200 000132*")-SUMIFS(E5098:E6462,K5098:K6462,"0",B5098:B6462,"5 1 2 9 1 12 31111 6 M59 96200 000132*")</f>
        <v>0</v>
      </c>
      <c r="E5097" s="54"/>
      <c r="F5097" s="83">
        <f>SUMIFS(F5098:F6462,K5098:K6462,"0",B5098:B6462,"5 1 2 9 1 12 31111 6 M59 96200 000132*")</f>
        <v>52423.42</v>
      </c>
      <c r="G5097" s="83">
        <f>SUMIFS(G5098:G6462,K5098:K6462,"0",B5098:B6462,"5 1 2 9 1 12 31111 6 M59 96200 000132*")</f>
        <v>0</v>
      </c>
      <c r="H5097" s="83">
        <f t="shared" si="79"/>
        <v>52423.42</v>
      </c>
      <c r="I5097" s="83"/>
      <c r="K5097" s="54" t="s">
        <v>15</v>
      </c>
    </row>
    <row r="5098" spans="2:11" ht="24.75" x14ac:dyDescent="0.2">
      <c r="B5098" s="82" t="s">
        <v>7961</v>
      </c>
      <c r="C5098" s="82" t="s">
        <v>650</v>
      </c>
      <c r="D5098" s="83">
        <f>SUMIFS(D5099:D6462,K5099:K6462,"0",B5099:B6462,"5 1 2 9 1 12 31111 6 M59 96200 000132 0000R*")-SUMIFS(E5099:E6462,K5099:K6462,"0",B5099:B6462,"5 1 2 9 1 12 31111 6 M59 96200 000132 0000R*")</f>
        <v>0</v>
      </c>
      <c r="E5098" s="54"/>
      <c r="F5098" s="83">
        <f>SUMIFS(F5099:F6462,K5099:K6462,"0",B5099:B6462,"5 1 2 9 1 12 31111 6 M59 96200 000132 0000R*")</f>
        <v>52423.42</v>
      </c>
      <c r="G5098" s="83">
        <f>SUMIFS(G5099:G6462,K5099:K6462,"0",B5099:B6462,"5 1 2 9 1 12 31111 6 M59 96200 000132 0000R*")</f>
        <v>0</v>
      </c>
      <c r="H5098" s="83">
        <f t="shared" si="79"/>
        <v>52423.42</v>
      </c>
      <c r="I5098" s="83"/>
      <c r="K5098" s="54" t="s">
        <v>15</v>
      </c>
    </row>
    <row r="5099" spans="2:11" ht="24.75" x14ac:dyDescent="0.2">
      <c r="B5099" s="82" t="s">
        <v>7962</v>
      </c>
      <c r="C5099" s="82" t="s">
        <v>282</v>
      </c>
      <c r="D5099" s="83">
        <f>SUMIFS(D5100:D6462,K5100:K6462,"0",B5100:B6462,"5 1 2 9 1 12 31111 6 M59 96200 000132 0000R 00001*")-SUMIFS(E5100:E6462,K5100:K6462,"0",B5100:B6462,"5 1 2 9 1 12 31111 6 M59 96200 000132 0000R 00001*")</f>
        <v>0</v>
      </c>
      <c r="E5099" s="54"/>
      <c r="F5099" s="83">
        <f>SUMIFS(F5100:F6462,K5100:K6462,"0",B5100:B6462,"5 1 2 9 1 12 31111 6 M59 96200 000132 0000R 00001*")</f>
        <v>52423.42</v>
      </c>
      <c r="G5099" s="83">
        <f>SUMIFS(G5100:G6462,K5100:K6462,"0",B5100:B6462,"5 1 2 9 1 12 31111 6 M59 96200 000132 0000R 00001*")</f>
        <v>0</v>
      </c>
      <c r="H5099" s="83">
        <f t="shared" ref="H5099:H5162" si="80">D5099 + F5099 - G5099</f>
        <v>52423.42</v>
      </c>
      <c r="I5099" s="83"/>
      <c r="K5099" s="54" t="s">
        <v>15</v>
      </c>
    </row>
    <row r="5100" spans="2:11" ht="24.75" x14ac:dyDescent="0.2">
      <c r="B5100" s="82" t="s">
        <v>7963</v>
      </c>
      <c r="C5100" s="82" t="s">
        <v>7842</v>
      </c>
      <c r="D5100" s="83">
        <f>SUMIFS(D5101:D6462,K5101:K6462,"0",B5101:B6462,"5 1 2 9 1 12 31111 6 M59 96200 000132 0000R 00001 00291*")-SUMIFS(E5101:E6462,K5101:K6462,"0",B5101:B6462,"5 1 2 9 1 12 31111 6 M59 96200 000132 0000R 00001 00291*")</f>
        <v>0</v>
      </c>
      <c r="E5100" s="54"/>
      <c r="F5100" s="83">
        <f>SUMIFS(F5101:F6462,K5101:K6462,"0",B5101:B6462,"5 1 2 9 1 12 31111 6 M59 96200 000132 0000R 00001 00291*")</f>
        <v>52423.42</v>
      </c>
      <c r="G5100" s="83">
        <f>SUMIFS(G5101:G6462,K5101:K6462,"0",B5101:B6462,"5 1 2 9 1 12 31111 6 M59 96200 000132 0000R 00001 00291*")</f>
        <v>0</v>
      </c>
      <c r="H5100" s="83">
        <f t="shared" si="80"/>
        <v>52423.42</v>
      </c>
      <c r="I5100" s="83"/>
      <c r="K5100" s="54" t="s">
        <v>15</v>
      </c>
    </row>
    <row r="5101" spans="2:11" ht="33" x14ac:dyDescent="0.2">
      <c r="B5101" s="82" t="s">
        <v>7964</v>
      </c>
      <c r="C5101" s="82" t="s">
        <v>1051</v>
      </c>
      <c r="D5101" s="83">
        <f>SUMIFS(D5102:D6462,K5102:K6462,"0",B5102:B6462,"5 1 2 9 1 12 31111 6 M59 96200 000132 0000R 00001 00291 015*")-SUMIFS(E5102:E6462,K5102:K6462,"0",B5102:B6462,"5 1 2 9 1 12 31111 6 M59 96200 000132 0000R 00001 00291 015*")</f>
        <v>0</v>
      </c>
      <c r="E5101" s="54"/>
      <c r="F5101" s="83">
        <f>SUMIFS(F5102:F6462,K5102:K6462,"0",B5102:B6462,"5 1 2 9 1 12 31111 6 M59 96200 000132 0000R 00001 00291 015*")</f>
        <v>52423.42</v>
      </c>
      <c r="G5101" s="83">
        <f>SUMIFS(G5102:G6462,K5102:K6462,"0",B5102:B6462,"5 1 2 9 1 12 31111 6 M59 96200 000132 0000R 00001 00291 015*")</f>
        <v>0</v>
      </c>
      <c r="H5101" s="83">
        <f t="shared" si="80"/>
        <v>52423.42</v>
      </c>
      <c r="I5101" s="83"/>
      <c r="K5101" s="54" t="s">
        <v>15</v>
      </c>
    </row>
    <row r="5102" spans="2:11" ht="33" x14ac:dyDescent="0.2">
      <c r="B5102" s="82" t="s">
        <v>7965</v>
      </c>
      <c r="C5102" s="82" t="s">
        <v>5830</v>
      </c>
      <c r="D5102" s="83">
        <f>SUMIFS(D5103:D6462,K5103:K6462,"0",B5103:B6462,"5 1 2 9 1 12 31111 6 M59 96200 000132 0000R 00001 00291 015 2112000*")-SUMIFS(E5103:E6462,K5103:K6462,"0",B5103:B6462,"5 1 2 9 1 12 31111 6 M59 96200 000132 0000R 00001 00291 015 2112000*")</f>
        <v>0</v>
      </c>
      <c r="E5102" s="54"/>
      <c r="F5102" s="83">
        <f>SUMIFS(F5103:F6462,K5103:K6462,"0",B5103:B6462,"5 1 2 9 1 12 31111 6 M59 96200 000132 0000R 00001 00291 015 2112000*")</f>
        <v>52423.42</v>
      </c>
      <c r="G5102" s="83">
        <f>SUMIFS(G5103:G6462,K5103:K6462,"0",B5103:B6462,"5 1 2 9 1 12 31111 6 M59 96200 000132 0000R 00001 00291 015 2112000*")</f>
        <v>0</v>
      </c>
      <c r="H5102" s="83">
        <f t="shared" si="80"/>
        <v>52423.42</v>
      </c>
      <c r="I5102" s="83"/>
      <c r="K5102" s="54" t="s">
        <v>15</v>
      </c>
    </row>
    <row r="5103" spans="2:11" ht="33" x14ac:dyDescent="0.2">
      <c r="B5103" s="82" t="s">
        <v>7966</v>
      </c>
      <c r="C5103" s="82" t="s">
        <v>660</v>
      </c>
      <c r="D5103" s="83">
        <f>SUMIFS(D5104:D6462,K5104:K6462,"0",B5104:B6462,"5 1 2 9 1 12 31111 6 M59 96200 000132 0000R 00001 00291 015 2112000 2024*")-SUMIFS(E5104:E6462,K5104:K6462,"0",B5104:B6462,"5 1 2 9 1 12 31111 6 M59 96200 000132 0000R 00001 00291 015 2112000 2024*")</f>
        <v>0</v>
      </c>
      <c r="E5103" s="54"/>
      <c r="F5103" s="83">
        <f>SUMIFS(F5104:F6462,K5104:K6462,"0",B5104:B6462,"5 1 2 9 1 12 31111 6 M59 96200 000132 0000R 00001 00291 015 2112000 2024*")</f>
        <v>52423.42</v>
      </c>
      <c r="G5103" s="83">
        <f>SUMIFS(G5104:G6462,K5104:K6462,"0",B5104:B6462,"5 1 2 9 1 12 31111 6 M59 96200 000132 0000R 00001 00291 015 2112000 2024*")</f>
        <v>0</v>
      </c>
      <c r="H5103" s="83">
        <f t="shared" si="80"/>
        <v>52423.42</v>
      </c>
      <c r="I5103" s="83"/>
      <c r="K5103" s="54" t="s">
        <v>15</v>
      </c>
    </row>
    <row r="5104" spans="2:11" ht="41.25" x14ac:dyDescent="0.2">
      <c r="B5104" s="82" t="s">
        <v>7967</v>
      </c>
      <c r="C5104" s="82" t="s">
        <v>662</v>
      </c>
      <c r="D5104" s="83">
        <f>SUMIFS(D5105:D6462,K5105:K6462,"0",B5105:B6462,"5 1 2 9 1 12 31111 6 M59 96200 000132 0000R 00001 00291 015 2112000 2024 CP1AL423*")-SUMIFS(E5105:E6462,K5105:K6462,"0",B5105:B6462,"5 1 2 9 1 12 31111 6 M59 96200 000132 0000R 00001 00291 015 2112000 2024 CP1AL423*")</f>
        <v>0</v>
      </c>
      <c r="E5104" s="54"/>
      <c r="F5104" s="83">
        <f>SUMIFS(F5105:F6462,K5105:K6462,"0",B5105:B6462,"5 1 2 9 1 12 31111 6 M59 96200 000132 0000R 00001 00291 015 2112000 2024 CP1AL423*")</f>
        <v>52423.42</v>
      </c>
      <c r="G5104" s="83">
        <f>SUMIFS(G5105:G6462,K5105:K6462,"0",B5105:B6462,"5 1 2 9 1 12 31111 6 M59 96200 000132 0000R 00001 00291 015 2112000 2024 CP1AL423*")</f>
        <v>0</v>
      </c>
      <c r="H5104" s="83">
        <f t="shared" si="80"/>
        <v>52423.42</v>
      </c>
      <c r="I5104" s="83"/>
      <c r="K5104" s="54" t="s">
        <v>15</v>
      </c>
    </row>
    <row r="5105" spans="2:11" ht="41.25" x14ac:dyDescent="0.2">
      <c r="B5105" s="82" t="s">
        <v>7968</v>
      </c>
      <c r="C5105" s="82" t="s">
        <v>282</v>
      </c>
      <c r="D5105" s="83">
        <f>SUMIFS(D5106:D6462,K5106:K6462,"0",B5106:B6462,"5 1 2 9 1 12 31111 6 M59 96200 000132 0000R 00001 00291 015 2112000 2024 CP1AL423 001*")-SUMIFS(E5106:E6462,K5106:K6462,"0",B5106:B6462,"5 1 2 9 1 12 31111 6 M59 96200 000132 0000R 00001 00291 015 2112000 2024 CP1AL423 001*")</f>
        <v>0</v>
      </c>
      <c r="E5105" s="54"/>
      <c r="F5105" s="83">
        <f>SUMIFS(F5106:F6462,K5106:K6462,"0",B5106:B6462,"5 1 2 9 1 12 31111 6 M59 96200 000132 0000R 00001 00291 015 2112000 2024 CP1AL423 001*")</f>
        <v>52423.42</v>
      </c>
      <c r="G5105" s="83">
        <f>SUMIFS(G5106:G6462,K5106:K6462,"0",B5106:B6462,"5 1 2 9 1 12 31111 6 M59 96200 000132 0000R 00001 00291 015 2112000 2024 CP1AL423 001*")</f>
        <v>0</v>
      </c>
      <c r="H5105" s="83">
        <f t="shared" si="80"/>
        <v>52423.42</v>
      </c>
      <c r="I5105" s="83"/>
      <c r="K5105" s="54" t="s">
        <v>15</v>
      </c>
    </row>
    <row r="5106" spans="2:11" ht="41.25" x14ac:dyDescent="0.2">
      <c r="B5106" s="84" t="s">
        <v>7969</v>
      </c>
      <c r="C5106" s="84" t="s">
        <v>7842</v>
      </c>
      <c r="D5106" s="85">
        <v>0</v>
      </c>
      <c r="E5106" s="85"/>
      <c r="F5106" s="85">
        <v>52423.42</v>
      </c>
      <c r="G5106" s="85">
        <v>0</v>
      </c>
      <c r="H5106" s="85">
        <f t="shared" si="80"/>
        <v>52423.42</v>
      </c>
      <c r="I5106" s="85"/>
      <c r="K5106" s="54" t="s">
        <v>38</v>
      </c>
    </row>
    <row r="5107" spans="2:11" ht="16.5" x14ac:dyDescent="0.2">
      <c r="B5107" s="82" t="s">
        <v>7970</v>
      </c>
      <c r="C5107" s="82" t="s">
        <v>1308</v>
      </c>
      <c r="D5107" s="83">
        <f>SUMIFS(D5108:D6462,K5108:K6462,"0",B5108:B6462,"5 1 2 9 1 12 31111 6 M59 96300*")-SUMIFS(E5108:E6462,K5108:K6462,"0",B5108:B6462,"5 1 2 9 1 12 31111 6 M59 96300*")</f>
        <v>0</v>
      </c>
      <c r="E5107" s="54"/>
      <c r="F5107" s="83">
        <f>SUMIFS(F5108:F6462,K5108:K6462,"0",B5108:B6462,"5 1 2 9 1 12 31111 6 M59 96300*")</f>
        <v>19772</v>
      </c>
      <c r="G5107" s="83">
        <f>SUMIFS(G5108:G6462,K5108:K6462,"0",B5108:B6462,"5 1 2 9 1 12 31111 6 M59 96300*")</f>
        <v>0</v>
      </c>
      <c r="H5107" s="83">
        <f t="shared" si="80"/>
        <v>19772</v>
      </c>
      <c r="I5107" s="83"/>
      <c r="K5107" s="54" t="s">
        <v>15</v>
      </c>
    </row>
    <row r="5108" spans="2:11" ht="16.5" x14ac:dyDescent="0.2">
      <c r="B5108" s="82" t="s">
        <v>7971</v>
      </c>
      <c r="C5108" s="82" t="s">
        <v>1310</v>
      </c>
      <c r="D5108" s="83">
        <f>SUMIFS(D5109:D6462,K5109:K6462,"0",B5109:B6462,"5 1 2 9 1 12 31111 6 M59 96300 000211*")-SUMIFS(E5109:E6462,K5109:K6462,"0",B5109:B6462,"5 1 2 9 1 12 31111 6 M59 96300 000211*")</f>
        <v>0</v>
      </c>
      <c r="E5108" s="54"/>
      <c r="F5108" s="83">
        <f>SUMIFS(F5109:F6462,K5109:K6462,"0",B5109:B6462,"5 1 2 9 1 12 31111 6 M59 96300 000211*")</f>
        <v>19772</v>
      </c>
      <c r="G5108" s="83">
        <f>SUMIFS(G5109:G6462,K5109:K6462,"0",B5109:B6462,"5 1 2 9 1 12 31111 6 M59 96300 000211*")</f>
        <v>0</v>
      </c>
      <c r="H5108" s="83">
        <f t="shared" si="80"/>
        <v>19772</v>
      </c>
      <c r="I5108" s="83"/>
      <c r="K5108" s="54" t="s">
        <v>15</v>
      </c>
    </row>
    <row r="5109" spans="2:11" ht="24.75" x14ac:dyDescent="0.2">
      <c r="B5109" s="82" t="s">
        <v>7972</v>
      </c>
      <c r="C5109" s="82" t="s">
        <v>1065</v>
      </c>
      <c r="D5109" s="83">
        <f>SUMIFS(D5110:D6462,K5110:K6462,"0",B5110:B6462,"5 1 2 9 1 12 31111 6 M59 96300 000211 0000E*")-SUMIFS(E5110:E6462,K5110:K6462,"0",B5110:B6462,"5 1 2 9 1 12 31111 6 M59 96300 000211 0000E*")</f>
        <v>0</v>
      </c>
      <c r="E5109" s="54"/>
      <c r="F5109" s="83">
        <f>SUMIFS(F5110:F6462,K5110:K6462,"0",B5110:B6462,"5 1 2 9 1 12 31111 6 M59 96300 000211 0000E*")</f>
        <v>19772</v>
      </c>
      <c r="G5109" s="83">
        <f>SUMIFS(G5110:G6462,K5110:K6462,"0",B5110:B6462,"5 1 2 9 1 12 31111 6 M59 96300 000211 0000E*")</f>
        <v>0</v>
      </c>
      <c r="H5109" s="83">
        <f t="shared" si="80"/>
        <v>19772</v>
      </c>
      <c r="I5109" s="83"/>
      <c r="K5109" s="54" t="s">
        <v>15</v>
      </c>
    </row>
    <row r="5110" spans="2:11" ht="24.75" x14ac:dyDescent="0.2">
      <c r="B5110" s="82" t="s">
        <v>7973</v>
      </c>
      <c r="C5110" s="82" t="s">
        <v>282</v>
      </c>
      <c r="D5110" s="83">
        <f>SUMIFS(D5111:D6462,K5111:K6462,"0",B5111:B6462,"5 1 2 9 1 12 31111 6 M59 96300 000211 0000E 00001*")-SUMIFS(E5111:E6462,K5111:K6462,"0",B5111:B6462,"5 1 2 9 1 12 31111 6 M59 96300 000211 0000E 00001*")</f>
        <v>0</v>
      </c>
      <c r="E5110" s="54"/>
      <c r="F5110" s="83">
        <f>SUMIFS(F5111:F6462,K5111:K6462,"0",B5111:B6462,"5 1 2 9 1 12 31111 6 M59 96300 000211 0000E 00001*")</f>
        <v>19772</v>
      </c>
      <c r="G5110" s="83">
        <f>SUMIFS(G5111:G6462,K5111:K6462,"0",B5111:B6462,"5 1 2 9 1 12 31111 6 M59 96300 000211 0000E 00001*")</f>
        <v>0</v>
      </c>
      <c r="H5110" s="83">
        <f t="shared" si="80"/>
        <v>19772</v>
      </c>
      <c r="I5110" s="83"/>
      <c r="K5110" s="54" t="s">
        <v>15</v>
      </c>
    </row>
    <row r="5111" spans="2:11" ht="24.75" x14ac:dyDescent="0.2">
      <c r="B5111" s="82" t="s">
        <v>7974</v>
      </c>
      <c r="C5111" s="82" t="s">
        <v>7842</v>
      </c>
      <c r="D5111" s="83">
        <f>SUMIFS(D5112:D6462,K5112:K6462,"0",B5112:B6462,"5 1 2 9 1 12 31111 6 M59 96300 000211 0000E 00001 00291*")-SUMIFS(E5112:E6462,K5112:K6462,"0",B5112:B6462,"5 1 2 9 1 12 31111 6 M59 96300 000211 0000E 00001 00291*")</f>
        <v>0</v>
      </c>
      <c r="E5111" s="54"/>
      <c r="F5111" s="83">
        <f>SUMIFS(F5112:F6462,K5112:K6462,"0",B5112:B6462,"5 1 2 9 1 12 31111 6 M59 96300 000211 0000E 00001 00291*")</f>
        <v>19772</v>
      </c>
      <c r="G5111" s="83">
        <f>SUMIFS(G5112:G6462,K5112:K6462,"0",B5112:B6462,"5 1 2 9 1 12 31111 6 M59 96300 000211 0000E 00001 00291*")</f>
        <v>0</v>
      </c>
      <c r="H5111" s="83">
        <f t="shared" si="80"/>
        <v>19772</v>
      </c>
      <c r="I5111" s="83"/>
      <c r="K5111" s="54" t="s">
        <v>15</v>
      </c>
    </row>
    <row r="5112" spans="2:11" ht="33" x14ac:dyDescent="0.2">
      <c r="B5112" s="82" t="s">
        <v>7975</v>
      </c>
      <c r="C5112" s="82" t="s">
        <v>1051</v>
      </c>
      <c r="D5112" s="83">
        <f>SUMIFS(D5113:D6462,K5113:K6462,"0",B5113:B6462,"5 1 2 9 1 12 31111 6 M59 96300 000211 0000E 00001 00291 015*")-SUMIFS(E5113:E6462,K5113:K6462,"0",B5113:B6462,"5 1 2 9 1 12 31111 6 M59 96300 000211 0000E 00001 00291 015*")</f>
        <v>0</v>
      </c>
      <c r="E5112" s="54"/>
      <c r="F5112" s="83">
        <f>SUMIFS(F5113:F6462,K5113:K6462,"0",B5113:B6462,"5 1 2 9 1 12 31111 6 M59 96300 000211 0000E 00001 00291 015*")</f>
        <v>19772</v>
      </c>
      <c r="G5112" s="83">
        <f>SUMIFS(G5113:G6462,K5113:K6462,"0",B5113:B6462,"5 1 2 9 1 12 31111 6 M59 96300 000211 0000E 00001 00291 015*")</f>
        <v>0</v>
      </c>
      <c r="H5112" s="83">
        <f t="shared" si="80"/>
        <v>19772</v>
      </c>
      <c r="I5112" s="83"/>
      <c r="K5112" s="54" t="s">
        <v>15</v>
      </c>
    </row>
    <row r="5113" spans="2:11" ht="33" x14ac:dyDescent="0.2">
      <c r="B5113" s="82" t="s">
        <v>7976</v>
      </c>
      <c r="C5113" s="82" t="s">
        <v>5830</v>
      </c>
      <c r="D5113" s="83">
        <f>SUMIFS(D5114:D6462,K5114:K6462,"0",B5114:B6462,"5 1 2 9 1 12 31111 6 M59 96300 000211 0000E 00001 00291 015 2112000*")-SUMIFS(E5114:E6462,K5114:K6462,"0",B5114:B6462,"5 1 2 9 1 12 31111 6 M59 96300 000211 0000E 00001 00291 015 2112000*")</f>
        <v>0</v>
      </c>
      <c r="E5113" s="54"/>
      <c r="F5113" s="83">
        <f>SUMIFS(F5114:F6462,K5114:K6462,"0",B5114:B6462,"5 1 2 9 1 12 31111 6 M59 96300 000211 0000E 00001 00291 015 2112000*")</f>
        <v>19772</v>
      </c>
      <c r="G5113" s="83">
        <f>SUMIFS(G5114:G6462,K5114:K6462,"0",B5114:B6462,"5 1 2 9 1 12 31111 6 M59 96300 000211 0000E 00001 00291 015 2112000*")</f>
        <v>0</v>
      </c>
      <c r="H5113" s="83">
        <f t="shared" si="80"/>
        <v>19772</v>
      </c>
      <c r="I5113" s="83"/>
      <c r="K5113" s="54" t="s">
        <v>15</v>
      </c>
    </row>
    <row r="5114" spans="2:11" ht="33" x14ac:dyDescent="0.2">
      <c r="B5114" s="82" t="s">
        <v>7977</v>
      </c>
      <c r="C5114" s="82" t="s">
        <v>660</v>
      </c>
      <c r="D5114" s="83">
        <f>SUMIFS(D5115:D6462,K5115:K6462,"0",B5115:B6462,"5 1 2 9 1 12 31111 6 M59 96300 000211 0000E 00001 00291 015 2112000 2024*")-SUMIFS(E5115:E6462,K5115:K6462,"0",B5115:B6462,"5 1 2 9 1 12 31111 6 M59 96300 000211 0000E 00001 00291 015 2112000 2024*")</f>
        <v>0</v>
      </c>
      <c r="E5114" s="54"/>
      <c r="F5114" s="83">
        <f>SUMIFS(F5115:F6462,K5115:K6462,"0",B5115:B6462,"5 1 2 9 1 12 31111 6 M59 96300 000211 0000E 00001 00291 015 2112000 2024*")</f>
        <v>19772</v>
      </c>
      <c r="G5114" s="83">
        <f>SUMIFS(G5115:G6462,K5115:K6462,"0",B5115:B6462,"5 1 2 9 1 12 31111 6 M59 96300 000211 0000E 00001 00291 015 2112000 2024*")</f>
        <v>0</v>
      </c>
      <c r="H5114" s="83">
        <f t="shared" si="80"/>
        <v>19772</v>
      </c>
      <c r="I5114" s="83"/>
      <c r="K5114" s="54" t="s">
        <v>15</v>
      </c>
    </row>
    <row r="5115" spans="2:11" ht="41.25" x14ac:dyDescent="0.2">
      <c r="B5115" s="82" t="s">
        <v>7978</v>
      </c>
      <c r="C5115" s="82" t="s">
        <v>1056</v>
      </c>
      <c r="D5115" s="83">
        <f>SUMIFS(D5116:D6462,K5116:K6462,"0",B5116:B6462,"5 1 2 9 1 12 31111 6 M59 96300 000211 0000E 00001 00291 015 2112000 2024 CP1SB396*")-SUMIFS(E5116:E6462,K5116:K6462,"0",B5116:B6462,"5 1 2 9 1 12 31111 6 M59 96300 000211 0000E 00001 00291 015 2112000 2024 CP1SB396*")</f>
        <v>0</v>
      </c>
      <c r="E5115" s="54"/>
      <c r="F5115" s="83">
        <f>SUMIFS(F5116:F6462,K5116:K6462,"0",B5116:B6462,"5 1 2 9 1 12 31111 6 M59 96300 000211 0000E 00001 00291 015 2112000 2024 CP1SB396*")</f>
        <v>19772</v>
      </c>
      <c r="G5115" s="83">
        <f>SUMIFS(G5116:G6462,K5116:K6462,"0",B5116:B6462,"5 1 2 9 1 12 31111 6 M59 96300 000211 0000E 00001 00291 015 2112000 2024 CP1SB396*")</f>
        <v>0</v>
      </c>
      <c r="H5115" s="83">
        <f t="shared" si="80"/>
        <v>19772</v>
      </c>
      <c r="I5115" s="83"/>
      <c r="K5115" s="54" t="s">
        <v>15</v>
      </c>
    </row>
    <row r="5116" spans="2:11" ht="41.25" x14ac:dyDescent="0.2">
      <c r="B5116" s="82" t="s">
        <v>7979</v>
      </c>
      <c r="C5116" s="82" t="s">
        <v>282</v>
      </c>
      <c r="D5116" s="83">
        <f>SUMIFS(D5117:D6462,K5117:K6462,"0",B5117:B6462,"5 1 2 9 1 12 31111 6 M59 96300 000211 0000E 00001 00291 015 2112000 2024 CP1SB396 001*")-SUMIFS(E5117:E6462,K5117:K6462,"0",B5117:B6462,"5 1 2 9 1 12 31111 6 M59 96300 000211 0000E 00001 00291 015 2112000 2024 CP1SB396 001*")</f>
        <v>0</v>
      </c>
      <c r="E5116" s="54"/>
      <c r="F5116" s="83">
        <f>SUMIFS(F5117:F6462,K5117:K6462,"0",B5117:B6462,"5 1 2 9 1 12 31111 6 M59 96300 000211 0000E 00001 00291 015 2112000 2024 CP1SB396 001*")</f>
        <v>19772</v>
      </c>
      <c r="G5116" s="83">
        <f>SUMIFS(G5117:G6462,K5117:K6462,"0",B5117:B6462,"5 1 2 9 1 12 31111 6 M59 96300 000211 0000E 00001 00291 015 2112000 2024 CP1SB396 001*")</f>
        <v>0</v>
      </c>
      <c r="H5116" s="83">
        <f t="shared" si="80"/>
        <v>19772</v>
      </c>
      <c r="I5116" s="83"/>
      <c r="K5116" s="54" t="s">
        <v>15</v>
      </c>
    </row>
    <row r="5117" spans="2:11" ht="33" x14ac:dyDescent="0.2">
      <c r="B5117" s="84" t="s">
        <v>7980</v>
      </c>
      <c r="C5117" s="84" t="s">
        <v>7842</v>
      </c>
      <c r="D5117" s="85">
        <v>0</v>
      </c>
      <c r="E5117" s="85"/>
      <c r="F5117" s="85">
        <v>19772</v>
      </c>
      <c r="G5117" s="85">
        <v>0</v>
      </c>
      <c r="H5117" s="85">
        <f t="shared" si="80"/>
        <v>19772</v>
      </c>
      <c r="I5117" s="85"/>
      <c r="K5117" s="54" t="s">
        <v>38</v>
      </c>
    </row>
    <row r="5118" spans="2:11" ht="16.5" x14ac:dyDescent="0.2">
      <c r="B5118" s="82" t="s">
        <v>7981</v>
      </c>
      <c r="C5118" s="82" t="s">
        <v>3754</v>
      </c>
      <c r="D5118" s="83">
        <f>SUMIFS(D5119:D6462,K5119:K6462,"0",B5119:B6462,"5 1 2 9 1 12 31111 6 M59 99000*")-SUMIFS(E5119:E6462,K5119:K6462,"0",B5119:B6462,"5 1 2 9 1 12 31111 6 M59 99000*")</f>
        <v>0</v>
      </c>
      <c r="E5118" s="54"/>
      <c r="F5118" s="83">
        <f>SUMIFS(F5119:F6462,K5119:K6462,"0",B5119:B6462,"5 1 2 9 1 12 31111 6 M59 99000*")</f>
        <v>18079.150000000001</v>
      </c>
      <c r="G5118" s="83">
        <f>SUMIFS(G5119:G6462,K5119:K6462,"0",B5119:B6462,"5 1 2 9 1 12 31111 6 M59 99000*")</f>
        <v>0</v>
      </c>
      <c r="H5118" s="83">
        <f t="shared" si="80"/>
        <v>18079.150000000001</v>
      </c>
      <c r="I5118" s="83"/>
      <c r="K5118" s="54" t="s">
        <v>15</v>
      </c>
    </row>
    <row r="5119" spans="2:11" ht="16.5" x14ac:dyDescent="0.2">
      <c r="B5119" s="82" t="s">
        <v>7982</v>
      </c>
      <c r="C5119" s="82" t="s">
        <v>648</v>
      </c>
      <c r="D5119" s="83">
        <f>SUMIFS(D5120:D6462,K5120:K6462,"0",B5120:B6462,"5 1 2 9 1 12 31111 6 M59 99000 000132*")-SUMIFS(E5120:E6462,K5120:K6462,"0",B5120:B6462,"5 1 2 9 1 12 31111 6 M59 99000 000132*")</f>
        <v>0</v>
      </c>
      <c r="E5119" s="54"/>
      <c r="F5119" s="83">
        <f>SUMIFS(F5120:F6462,K5120:K6462,"0",B5120:B6462,"5 1 2 9 1 12 31111 6 M59 99000 000132*")</f>
        <v>18079.150000000001</v>
      </c>
      <c r="G5119" s="83">
        <f>SUMIFS(G5120:G6462,K5120:K6462,"0",B5120:B6462,"5 1 2 9 1 12 31111 6 M59 99000 000132*")</f>
        <v>0</v>
      </c>
      <c r="H5119" s="83">
        <f t="shared" si="80"/>
        <v>18079.150000000001</v>
      </c>
      <c r="I5119" s="83"/>
      <c r="K5119" s="54" t="s">
        <v>15</v>
      </c>
    </row>
    <row r="5120" spans="2:11" ht="24.75" x14ac:dyDescent="0.2">
      <c r="B5120" s="82" t="s">
        <v>7983</v>
      </c>
      <c r="C5120" s="82" t="s">
        <v>650</v>
      </c>
      <c r="D5120" s="83">
        <f>SUMIFS(D5121:D6462,K5121:K6462,"0",B5121:B6462,"5 1 2 9 1 12 31111 6 M59 99000 000132 0000R*")-SUMIFS(E5121:E6462,K5121:K6462,"0",B5121:B6462,"5 1 2 9 1 12 31111 6 M59 99000 000132 0000R*")</f>
        <v>0</v>
      </c>
      <c r="E5120" s="54"/>
      <c r="F5120" s="83">
        <f>SUMIFS(F5121:F6462,K5121:K6462,"0",B5121:B6462,"5 1 2 9 1 12 31111 6 M59 99000 000132 0000R*")</f>
        <v>18079.150000000001</v>
      </c>
      <c r="G5120" s="83">
        <f>SUMIFS(G5121:G6462,K5121:K6462,"0",B5121:B6462,"5 1 2 9 1 12 31111 6 M59 99000 000132 0000R*")</f>
        <v>0</v>
      </c>
      <c r="H5120" s="83">
        <f t="shared" si="80"/>
        <v>18079.150000000001</v>
      </c>
      <c r="I5120" s="83"/>
      <c r="K5120" s="54" t="s">
        <v>15</v>
      </c>
    </row>
    <row r="5121" spans="2:11" ht="24.75" x14ac:dyDescent="0.2">
      <c r="B5121" s="82" t="s">
        <v>7984</v>
      </c>
      <c r="C5121" s="82" t="s">
        <v>282</v>
      </c>
      <c r="D5121" s="83">
        <f>SUMIFS(D5122:D6462,K5122:K6462,"0",B5122:B6462,"5 1 2 9 1 12 31111 6 M59 99000 000132 0000R 00001*")-SUMIFS(E5122:E6462,K5122:K6462,"0",B5122:B6462,"5 1 2 9 1 12 31111 6 M59 99000 000132 0000R 00001*")</f>
        <v>0</v>
      </c>
      <c r="E5121" s="54"/>
      <c r="F5121" s="83">
        <f>SUMIFS(F5122:F6462,K5122:K6462,"0",B5122:B6462,"5 1 2 9 1 12 31111 6 M59 99000 000132 0000R 00001*")</f>
        <v>18079.150000000001</v>
      </c>
      <c r="G5121" s="83">
        <f>SUMIFS(G5122:G6462,K5122:K6462,"0",B5122:B6462,"5 1 2 9 1 12 31111 6 M59 99000 000132 0000R 00001*")</f>
        <v>0</v>
      </c>
      <c r="H5121" s="83">
        <f t="shared" si="80"/>
        <v>18079.150000000001</v>
      </c>
      <c r="I5121" s="83"/>
      <c r="K5121" s="54" t="s">
        <v>15</v>
      </c>
    </row>
    <row r="5122" spans="2:11" ht="24.75" x14ac:dyDescent="0.2">
      <c r="B5122" s="82" t="s">
        <v>7985</v>
      </c>
      <c r="C5122" s="82" t="s">
        <v>7842</v>
      </c>
      <c r="D5122" s="83">
        <f>SUMIFS(D5123:D6462,K5123:K6462,"0",B5123:B6462,"5 1 2 9 1 12 31111 6 M59 99000 000132 0000R 00001 00291*")-SUMIFS(E5123:E6462,K5123:K6462,"0",B5123:B6462,"5 1 2 9 1 12 31111 6 M59 99000 000132 0000R 00001 00291*")</f>
        <v>0</v>
      </c>
      <c r="E5122" s="54"/>
      <c r="F5122" s="83">
        <f>SUMIFS(F5123:F6462,K5123:K6462,"0",B5123:B6462,"5 1 2 9 1 12 31111 6 M59 99000 000132 0000R 00001 00291*")</f>
        <v>18079.150000000001</v>
      </c>
      <c r="G5122" s="83">
        <f>SUMIFS(G5123:G6462,K5123:K6462,"0",B5123:B6462,"5 1 2 9 1 12 31111 6 M59 99000 000132 0000R 00001 00291*")</f>
        <v>0</v>
      </c>
      <c r="H5122" s="83">
        <f t="shared" si="80"/>
        <v>18079.150000000001</v>
      </c>
      <c r="I5122" s="83"/>
      <c r="K5122" s="54" t="s">
        <v>15</v>
      </c>
    </row>
    <row r="5123" spans="2:11" ht="33" x14ac:dyDescent="0.2">
      <c r="B5123" s="82" t="s">
        <v>7986</v>
      </c>
      <c r="C5123" s="82" t="s">
        <v>1051</v>
      </c>
      <c r="D5123" s="83">
        <f>SUMIFS(D5124:D6462,K5124:K6462,"0",B5124:B6462,"5 1 2 9 1 12 31111 6 M59 99000 000132 0000R 00001 00291 015*")-SUMIFS(E5124:E6462,K5124:K6462,"0",B5124:B6462,"5 1 2 9 1 12 31111 6 M59 99000 000132 0000R 00001 00291 015*")</f>
        <v>0</v>
      </c>
      <c r="E5123" s="54"/>
      <c r="F5123" s="83">
        <f>SUMIFS(F5124:F6462,K5124:K6462,"0",B5124:B6462,"5 1 2 9 1 12 31111 6 M59 99000 000132 0000R 00001 00291 015*")</f>
        <v>18079.150000000001</v>
      </c>
      <c r="G5123" s="83">
        <f>SUMIFS(G5124:G6462,K5124:K6462,"0",B5124:B6462,"5 1 2 9 1 12 31111 6 M59 99000 000132 0000R 00001 00291 015*")</f>
        <v>0</v>
      </c>
      <c r="H5123" s="83">
        <f t="shared" si="80"/>
        <v>18079.150000000001</v>
      </c>
      <c r="I5123" s="83"/>
      <c r="K5123" s="54" t="s">
        <v>15</v>
      </c>
    </row>
    <row r="5124" spans="2:11" ht="33" x14ac:dyDescent="0.2">
      <c r="B5124" s="82" t="s">
        <v>7987</v>
      </c>
      <c r="C5124" s="82" t="s">
        <v>5830</v>
      </c>
      <c r="D5124" s="83">
        <f>SUMIFS(D5125:D6462,K5125:K6462,"0",B5125:B6462,"5 1 2 9 1 12 31111 6 M59 99000 000132 0000R 00001 00291 015 2112000*")-SUMIFS(E5125:E6462,K5125:K6462,"0",B5125:B6462,"5 1 2 9 1 12 31111 6 M59 99000 000132 0000R 00001 00291 015 2112000*")</f>
        <v>0</v>
      </c>
      <c r="E5124" s="54"/>
      <c r="F5124" s="83">
        <f>SUMIFS(F5125:F6462,K5125:K6462,"0",B5125:B6462,"5 1 2 9 1 12 31111 6 M59 99000 000132 0000R 00001 00291 015 2112000*")</f>
        <v>18079.150000000001</v>
      </c>
      <c r="G5124" s="83">
        <f>SUMIFS(G5125:G6462,K5125:K6462,"0",B5125:B6462,"5 1 2 9 1 12 31111 6 M59 99000 000132 0000R 00001 00291 015 2112000*")</f>
        <v>0</v>
      </c>
      <c r="H5124" s="83">
        <f t="shared" si="80"/>
        <v>18079.150000000001</v>
      </c>
      <c r="I5124" s="83"/>
      <c r="K5124" s="54" t="s">
        <v>15</v>
      </c>
    </row>
    <row r="5125" spans="2:11" ht="33" x14ac:dyDescent="0.2">
      <c r="B5125" s="82" t="s">
        <v>7988</v>
      </c>
      <c r="C5125" s="82" t="s">
        <v>660</v>
      </c>
      <c r="D5125" s="83">
        <f>SUMIFS(D5126:D6462,K5126:K6462,"0",B5126:B6462,"5 1 2 9 1 12 31111 6 M59 99000 000132 0000R 00001 00291 015 2112000 2024*")-SUMIFS(E5126:E6462,K5126:K6462,"0",B5126:B6462,"5 1 2 9 1 12 31111 6 M59 99000 000132 0000R 00001 00291 015 2112000 2024*")</f>
        <v>0</v>
      </c>
      <c r="E5125" s="54"/>
      <c r="F5125" s="83">
        <f>SUMIFS(F5126:F6462,K5126:K6462,"0",B5126:B6462,"5 1 2 9 1 12 31111 6 M59 99000 000132 0000R 00001 00291 015 2112000 2024*")</f>
        <v>18079.150000000001</v>
      </c>
      <c r="G5125" s="83">
        <f>SUMIFS(G5126:G6462,K5126:K6462,"0",B5126:B6462,"5 1 2 9 1 12 31111 6 M59 99000 000132 0000R 00001 00291 015 2112000 2024*")</f>
        <v>0</v>
      </c>
      <c r="H5125" s="83">
        <f t="shared" si="80"/>
        <v>18079.150000000001</v>
      </c>
      <c r="I5125" s="83"/>
      <c r="K5125" s="54" t="s">
        <v>15</v>
      </c>
    </row>
    <row r="5126" spans="2:11" ht="41.25" x14ac:dyDescent="0.2">
      <c r="B5126" s="82" t="s">
        <v>7989</v>
      </c>
      <c r="C5126" s="82" t="s">
        <v>1056</v>
      </c>
      <c r="D5126" s="83">
        <f>SUMIFS(D5127:D6462,K5127:K6462,"0",B5127:B6462,"5 1 2 9 1 12 31111 6 M59 99000 000132 0000R 00001 00291 015 2112000 2024 CP1MG408*")-SUMIFS(E5127:E6462,K5127:K6462,"0",B5127:B6462,"5 1 2 9 1 12 31111 6 M59 99000 000132 0000R 00001 00291 015 2112000 2024 CP1MG408*")</f>
        <v>0</v>
      </c>
      <c r="E5126" s="54"/>
      <c r="F5126" s="83">
        <f>SUMIFS(F5127:F6462,K5127:K6462,"0",B5127:B6462,"5 1 2 9 1 12 31111 6 M59 99000 000132 0000R 00001 00291 015 2112000 2024 CP1MG408*")</f>
        <v>18079.150000000001</v>
      </c>
      <c r="G5126" s="83">
        <f>SUMIFS(G5127:G6462,K5127:K6462,"0",B5127:B6462,"5 1 2 9 1 12 31111 6 M59 99000 000132 0000R 00001 00291 015 2112000 2024 CP1MG408*")</f>
        <v>0</v>
      </c>
      <c r="H5126" s="83">
        <f t="shared" si="80"/>
        <v>18079.150000000001</v>
      </c>
      <c r="I5126" s="83"/>
      <c r="K5126" s="54" t="s">
        <v>15</v>
      </c>
    </row>
    <row r="5127" spans="2:11" ht="41.25" x14ac:dyDescent="0.2">
      <c r="B5127" s="82" t="s">
        <v>7990</v>
      </c>
      <c r="C5127" s="82" t="s">
        <v>282</v>
      </c>
      <c r="D5127" s="83">
        <f>SUMIFS(D5128:D6462,K5128:K6462,"0",B5128:B6462,"5 1 2 9 1 12 31111 6 M59 99000 000132 0000R 00001 00291 015 2112000 2024 CP1MG408 001*")-SUMIFS(E5128:E6462,K5128:K6462,"0",B5128:B6462,"5 1 2 9 1 12 31111 6 M59 99000 000132 0000R 00001 00291 015 2112000 2024 CP1MG408 001*")</f>
        <v>0</v>
      </c>
      <c r="E5127" s="54"/>
      <c r="F5127" s="83">
        <f>SUMIFS(F5128:F6462,K5128:K6462,"0",B5128:B6462,"5 1 2 9 1 12 31111 6 M59 99000 000132 0000R 00001 00291 015 2112000 2024 CP1MG408 001*")</f>
        <v>18079.150000000001</v>
      </c>
      <c r="G5127" s="83">
        <f>SUMIFS(G5128:G6462,K5128:K6462,"0",B5128:B6462,"5 1 2 9 1 12 31111 6 M59 99000 000132 0000R 00001 00291 015 2112000 2024 CP1MG408 001*")</f>
        <v>0</v>
      </c>
      <c r="H5127" s="83">
        <f t="shared" si="80"/>
        <v>18079.150000000001</v>
      </c>
      <c r="I5127" s="83"/>
      <c r="K5127" s="54" t="s">
        <v>15</v>
      </c>
    </row>
    <row r="5128" spans="2:11" ht="41.25" x14ac:dyDescent="0.2">
      <c r="B5128" s="84" t="s">
        <v>7991</v>
      </c>
      <c r="C5128" s="84" t="s">
        <v>7832</v>
      </c>
      <c r="D5128" s="85">
        <v>0</v>
      </c>
      <c r="E5128" s="85"/>
      <c r="F5128" s="85">
        <v>18079.150000000001</v>
      </c>
      <c r="G5128" s="85">
        <v>0</v>
      </c>
      <c r="H5128" s="85">
        <f t="shared" si="80"/>
        <v>18079.150000000001</v>
      </c>
      <c r="I5128" s="85"/>
      <c r="K5128" s="54" t="s">
        <v>38</v>
      </c>
    </row>
    <row r="5129" spans="2:11" ht="16.5" x14ac:dyDescent="0.2">
      <c r="B5129" s="82" t="s">
        <v>7992</v>
      </c>
      <c r="C5129" s="82" t="s">
        <v>7993</v>
      </c>
      <c r="D5129" s="83">
        <f>SUMIFS(D5130:D6462,K5130:K6462,"0",B5130:B6462,"5 1 2 9 2*")-SUMIFS(E5130:E6462,K5130:K6462,"0",B5130:B6462,"5 1 2 9 2*")</f>
        <v>0</v>
      </c>
      <c r="E5129" s="54"/>
      <c r="F5129" s="83">
        <f>SUMIFS(F5130:F6462,K5130:K6462,"0",B5130:B6462,"5 1 2 9 2*")</f>
        <v>2295.91</v>
      </c>
      <c r="G5129" s="83">
        <f>SUMIFS(G5130:G6462,K5130:K6462,"0",B5130:B6462,"5 1 2 9 2*")</f>
        <v>0</v>
      </c>
      <c r="H5129" s="83">
        <f t="shared" si="80"/>
        <v>2295.91</v>
      </c>
      <c r="I5129" s="83"/>
      <c r="K5129" s="54" t="s">
        <v>15</v>
      </c>
    </row>
    <row r="5130" spans="2:11" ht="12.75" x14ac:dyDescent="0.2">
      <c r="B5130" s="82" t="s">
        <v>7994</v>
      </c>
      <c r="C5130" s="82" t="s">
        <v>26</v>
      </c>
      <c r="D5130" s="83">
        <f>SUMIFS(D5131:D6462,K5131:K6462,"0",B5131:B6462,"5 1 2 9 2 12*")-SUMIFS(E5131:E6462,K5131:K6462,"0",B5131:B6462,"5 1 2 9 2 12*")</f>
        <v>0</v>
      </c>
      <c r="E5130" s="54"/>
      <c r="F5130" s="83">
        <f>SUMIFS(F5131:F6462,K5131:K6462,"0",B5131:B6462,"5 1 2 9 2 12*")</f>
        <v>2295.91</v>
      </c>
      <c r="G5130" s="83">
        <f>SUMIFS(G5131:G6462,K5131:K6462,"0",B5131:B6462,"5 1 2 9 2 12*")</f>
        <v>0</v>
      </c>
      <c r="H5130" s="83">
        <f t="shared" si="80"/>
        <v>2295.91</v>
      </c>
      <c r="I5130" s="83"/>
      <c r="K5130" s="54" t="s">
        <v>15</v>
      </c>
    </row>
    <row r="5131" spans="2:11" ht="16.5" x14ac:dyDescent="0.2">
      <c r="B5131" s="82" t="s">
        <v>7995</v>
      </c>
      <c r="C5131" s="82" t="s">
        <v>28</v>
      </c>
      <c r="D5131" s="83">
        <f>SUMIFS(D5132:D6462,K5132:K6462,"0",B5132:B6462,"5 1 2 9 2 12 31111*")-SUMIFS(E5132:E6462,K5132:K6462,"0",B5132:B6462,"5 1 2 9 2 12 31111*")</f>
        <v>0</v>
      </c>
      <c r="E5131" s="54"/>
      <c r="F5131" s="83">
        <f>SUMIFS(F5132:F6462,K5132:K6462,"0",B5132:B6462,"5 1 2 9 2 12 31111*")</f>
        <v>2295.91</v>
      </c>
      <c r="G5131" s="83">
        <f>SUMIFS(G5132:G6462,K5132:K6462,"0",B5132:B6462,"5 1 2 9 2 12 31111*")</f>
        <v>0</v>
      </c>
      <c r="H5131" s="83">
        <f t="shared" si="80"/>
        <v>2295.91</v>
      </c>
      <c r="I5131" s="83"/>
      <c r="K5131" s="54" t="s">
        <v>15</v>
      </c>
    </row>
    <row r="5132" spans="2:11" ht="12.75" x14ac:dyDescent="0.2">
      <c r="B5132" s="82" t="s">
        <v>7996</v>
      </c>
      <c r="C5132" s="82" t="s">
        <v>30</v>
      </c>
      <c r="D5132" s="83">
        <f>SUMIFS(D5133:D6462,K5133:K6462,"0",B5133:B6462,"5 1 2 9 2 12 31111 6*")-SUMIFS(E5133:E6462,K5133:K6462,"0",B5133:B6462,"5 1 2 9 2 12 31111 6*")</f>
        <v>0</v>
      </c>
      <c r="E5132" s="54"/>
      <c r="F5132" s="83">
        <f>SUMIFS(F5133:F6462,K5133:K6462,"0",B5133:B6462,"5 1 2 9 2 12 31111 6*")</f>
        <v>2295.91</v>
      </c>
      <c r="G5132" s="83">
        <f>SUMIFS(G5133:G6462,K5133:K6462,"0",B5133:B6462,"5 1 2 9 2 12 31111 6*")</f>
        <v>0</v>
      </c>
      <c r="H5132" s="83">
        <f t="shared" si="80"/>
        <v>2295.91</v>
      </c>
      <c r="I5132" s="83"/>
      <c r="K5132" s="54" t="s">
        <v>15</v>
      </c>
    </row>
    <row r="5133" spans="2:11" ht="16.5" x14ac:dyDescent="0.2">
      <c r="B5133" s="82" t="s">
        <v>7997</v>
      </c>
      <c r="C5133" s="82" t="s">
        <v>2284</v>
      </c>
      <c r="D5133" s="83">
        <f>SUMIFS(D5134:D6462,K5134:K6462,"0",B5134:B6462,"5 1 2 9 2 12 31111 6 M59*")-SUMIFS(E5134:E6462,K5134:K6462,"0",B5134:B6462,"5 1 2 9 2 12 31111 6 M59*")</f>
        <v>0</v>
      </c>
      <c r="E5133" s="54"/>
      <c r="F5133" s="83">
        <f>SUMIFS(F5134:F6462,K5134:K6462,"0",B5134:B6462,"5 1 2 9 2 12 31111 6 M59*")</f>
        <v>2295.91</v>
      </c>
      <c r="G5133" s="83">
        <f>SUMIFS(G5134:G6462,K5134:K6462,"0",B5134:B6462,"5 1 2 9 2 12 31111 6 M59*")</f>
        <v>0</v>
      </c>
      <c r="H5133" s="83">
        <f t="shared" si="80"/>
        <v>2295.91</v>
      </c>
      <c r="I5133" s="83"/>
      <c r="K5133" s="54" t="s">
        <v>15</v>
      </c>
    </row>
    <row r="5134" spans="2:11" ht="16.5" x14ac:dyDescent="0.2">
      <c r="B5134" s="82" t="s">
        <v>7998</v>
      </c>
      <c r="C5134" s="82" t="s">
        <v>3103</v>
      </c>
      <c r="D5134" s="83">
        <f>SUMIFS(D5135:D6462,K5135:K6462,"0",B5135:B6462,"5 1 2 9 2 12 31111 6 M59 20400*")-SUMIFS(E5135:E6462,K5135:K6462,"0",B5135:B6462,"5 1 2 9 2 12 31111 6 M59 20400*")</f>
        <v>0</v>
      </c>
      <c r="E5134" s="54"/>
      <c r="F5134" s="83">
        <f>SUMIFS(F5135:F6462,K5135:K6462,"0",B5135:B6462,"5 1 2 9 2 12 31111 6 M59 20400*")</f>
        <v>321.97000000000003</v>
      </c>
      <c r="G5134" s="83">
        <f>SUMIFS(G5135:G6462,K5135:K6462,"0",B5135:B6462,"5 1 2 9 2 12 31111 6 M59 20400*")</f>
        <v>0</v>
      </c>
      <c r="H5134" s="83">
        <f t="shared" si="80"/>
        <v>321.97000000000003</v>
      </c>
      <c r="I5134" s="83"/>
      <c r="K5134" s="54" t="s">
        <v>15</v>
      </c>
    </row>
    <row r="5135" spans="2:11" ht="16.5" x14ac:dyDescent="0.2">
      <c r="B5135" s="82" t="s">
        <v>7999</v>
      </c>
      <c r="C5135" s="82" t="s">
        <v>648</v>
      </c>
      <c r="D5135" s="83">
        <f>SUMIFS(D5136:D6462,K5136:K6462,"0",B5136:B6462,"5 1 2 9 2 12 31111 6 M59 20400 000132*")-SUMIFS(E5136:E6462,K5136:K6462,"0",B5136:B6462,"5 1 2 9 2 12 31111 6 M59 20400 000132*")</f>
        <v>0</v>
      </c>
      <c r="E5135" s="54"/>
      <c r="F5135" s="83">
        <f>SUMIFS(F5136:F6462,K5136:K6462,"0",B5136:B6462,"5 1 2 9 2 12 31111 6 M59 20400 000132*")</f>
        <v>321.97000000000003</v>
      </c>
      <c r="G5135" s="83">
        <f>SUMIFS(G5136:G6462,K5136:K6462,"0",B5136:B6462,"5 1 2 9 2 12 31111 6 M59 20400 000132*")</f>
        <v>0</v>
      </c>
      <c r="H5135" s="83">
        <f t="shared" si="80"/>
        <v>321.97000000000003</v>
      </c>
      <c r="I5135" s="83"/>
      <c r="K5135" s="54" t="s">
        <v>15</v>
      </c>
    </row>
    <row r="5136" spans="2:11" ht="24.75" x14ac:dyDescent="0.2">
      <c r="B5136" s="82" t="s">
        <v>8000</v>
      </c>
      <c r="C5136" s="82" t="s">
        <v>650</v>
      </c>
      <c r="D5136" s="83">
        <f>SUMIFS(D5137:D6462,K5137:K6462,"0",B5137:B6462,"5 1 2 9 2 12 31111 6 M59 20400 000132 0000R*")-SUMIFS(E5137:E6462,K5137:K6462,"0",B5137:B6462,"5 1 2 9 2 12 31111 6 M59 20400 000132 0000R*")</f>
        <v>0</v>
      </c>
      <c r="E5136" s="54"/>
      <c r="F5136" s="83">
        <f>SUMIFS(F5137:F6462,K5137:K6462,"0",B5137:B6462,"5 1 2 9 2 12 31111 6 M59 20400 000132 0000R*")</f>
        <v>321.97000000000003</v>
      </c>
      <c r="G5136" s="83">
        <f>SUMIFS(G5137:G6462,K5137:K6462,"0",B5137:B6462,"5 1 2 9 2 12 31111 6 M59 20400 000132 0000R*")</f>
        <v>0</v>
      </c>
      <c r="H5136" s="83">
        <f t="shared" si="80"/>
        <v>321.97000000000003</v>
      </c>
      <c r="I5136" s="83"/>
      <c r="K5136" s="54" t="s">
        <v>15</v>
      </c>
    </row>
    <row r="5137" spans="2:11" ht="24.75" x14ac:dyDescent="0.2">
      <c r="B5137" s="82" t="s">
        <v>8001</v>
      </c>
      <c r="C5137" s="82" t="s">
        <v>282</v>
      </c>
      <c r="D5137" s="83">
        <f>SUMIFS(D5138:D6462,K5138:K6462,"0",B5138:B6462,"5 1 2 9 2 12 31111 6 M59 20400 000132 0000R 00001*")-SUMIFS(E5138:E6462,K5138:K6462,"0",B5138:B6462,"5 1 2 9 2 12 31111 6 M59 20400 000132 0000R 00001*")</f>
        <v>0</v>
      </c>
      <c r="E5137" s="54"/>
      <c r="F5137" s="83">
        <f>SUMIFS(F5138:F6462,K5138:K6462,"0",B5138:B6462,"5 1 2 9 2 12 31111 6 M59 20400 000132 0000R 00001*")</f>
        <v>321.97000000000003</v>
      </c>
      <c r="G5137" s="83">
        <f>SUMIFS(G5138:G6462,K5138:K6462,"0",B5138:B6462,"5 1 2 9 2 12 31111 6 M59 20400 000132 0000R 00001*")</f>
        <v>0</v>
      </c>
      <c r="H5137" s="83">
        <f t="shared" si="80"/>
        <v>321.97000000000003</v>
      </c>
      <c r="I5137" s="83"/>
      <c r="K5137" s="54" t="s">
        <v>15</v>
      </c>
    </row>
    <row r="5138" spans="2:11" ht="24.75" x14ac:dyDescent="0.2">
      <c r="B5138" s="82" t="s">
        <v>8002</v>
      </c>
      <c r="C5138" s="82" t="s">
        <v>8003</v>
      </c>
      <c r="D5138" s="83">
        <f>SUMIFS(D5139:D6462,K5139:K6462,"0",B5139:B6462,"5 1 2 9 2 12 31111 6 M59 20400 000132 0000R 00001 00292*")-SUMIFS(E5139:E6462,K5139:K6462,"0",B5139:B6462,"5 1 2 9 2 12 31111 6 M59 20400 000132 0000R 00001 00292*")</f>
        <v>0</v>
      </c>
      <c r="E5138" s="54"/>
      <c r="F5138" s="83">
        <f>SUMIFS(F5139:F6462,K5139:K6462,"0",B5139:B6462,"5 1 2 9 2 12 31111 6 M59 20400 000132 0000R 00001 00292*")</f>
        <v>321.97000000000003</v>
      </c>
      <c r="G5138" s="83">
        <f>SUMIFS(G5139:G6462,K5139:K6462,"0",B5139:B6462,"5 1 2 9 2 12 31111 6 M59 20400 000132 0000R 00001 00292*")</f>
        <v>0</v>
      </c>
      <c r="H5138" s="83">
        <f t="shared" si="80"/>
        <v>321.97000000000003</v>
      </c>
      <c r="I5138" s="83"/>
      <c r="K5138" s="54" t="s">
        <v>15</v>
      </c>
    </row>
    <row r="5139" spans="2:11" ht="33" x14ac:dyDescent="0.2">
      <c r="B5139" s="82" t="s">
        <v>8004</v>
      </c>
      <c r="C5139" s="82" t="s">
        <v>1051</v>
      </c>
      <c r="D5139" s="83">
        <f>SUMIFS(D5140:D6462,K5140:K6462,"0",B5140:B6462,"5 1 2 9 2 12 31111 6 M59 20400 000132 0000R 00001 00292 015*")-SUMIFS(E5140:E6462,K5140:K6462,"0",B5140:B6462,"5 1 2 9 2 12 31111 6 M59 20400 000132 0000R 00001 00292 015*")</f>
        <v>0</v>
      </c>
      <c r="E5139" s="54"/>
      <c r="F5139" s="83">
        <f>SUMIFS(F5140:F6462,K5140:K6462,"0",B5140:B6462,"5 1 2 9 2 12 31111 6 M59 20400 000132 0000R 00001 00292 015*")</f>
        <v>321.97000000000003</v>
      </c>
      <c r="G5139" s="83">
        <f>SUMIFS(G5140:G6462,K5140:K6462,"0",B5140:B6462,"5 1 2 9 2 12 31111 6 M59 20400 000132 0000R 00001 00292 015*")</f>
        <v>0</v>
      </c>
      <c r="H5139" s="83">
        <f t="shared" si="80"/>
        <v>321.97000000000003</v>
      </c>
      <c r="I5139" s="83"/>
      <c r="K5139" s="54" t="s">
        <v>15</v>
      </c>
    </row>
    <row r="5140" spans="2:11" ht="33" x14ac:dyDescent="0.2">
      <c r="B5140" s="82" t="s">
        <v>8005</v>
      </c>
      <c r="C5140" s="82" t="s">
        <v>5830</v>
      </c>
      <c r="D5140" s="83">
        <f>SUMIFS(D5141:D6462,K5141:K6462,"0",B5141:B6462,"5 1 2 9 2 12 31111 6 M59 20400 000132 0000R 00001 00292 015 2112000*")-SUMIFS(E5141:E6462,K5141:K6462,"0",B5141:B6462,"5 1 2 9 2 12 31111 6 M59 20400 000132 0000R 00001 00292 015 2112000*")</f>
        <v>0</v>
      </c>
      <c r="E5140" s="54"/>
      <c r="F5140" s="83">
        <f>SUMIFS(F5141:F6462,K5141:K6462,"0",B5141:B6462,"5 1 2 9 2 12 31111 6 M59 20400 000132 0000R 00001 00292 015 2112000*")</f>
        <v>321.97000000000003</v>
      </c>
      <c r="G5140" s="83">
        <f>SUMIFS(G5141:G6462,K5141:K6462,"0",B5141:B6462,"5 1 2 9 2 12 31111 6 M59 20400 000132 0000R 00001 00292 015 2112000*")</f>
        <v>0</v>
      </c>
      <c r="H5140" s="83">
        <f t="shared" si="80"/>
        <v>321.97000000000003</v>
      </c>
      <c r="I5140" s="83"/>
      <c r="K5140" s="54" t="s">
        <v>15</v>
      </c>
    </row>
    <row r="5141" spans="2:11" ht="33" x14ac:dyDescent="0.2">
      <c r="B5141" s="82" t="s">
        <v>8006</v>
      </c>
      <c r="C5141" s="82" t="s">
        <v>660</v>
      </c>
      <c r="D5141" s="83">
        <f>SUMIFS(D5142:D6462,K5142:K6462,"0",B5142:B6462,"5 1 2 9 2 12 31111 6 M59 20400 000132 0000R 00001 00292 015 2112000 2024*")-SUMIFS(E5142:E6462,K5142:K6462,"0",B5142:B6462,"5 1 2 9 2 12 31111 6 M59 20400 000132 0000R 00001 00292 015 2112000 2024*")</f>
        <v>0</v>
      </c>
      <c r="E5141" s="54"/>
      <c r="F5141" s="83">
        <f>SUMIFS(F5142:F6462,K5142:K6462,"0",B5142:B6462,"5 1 2 9 2 12 31111 6 M59 20400 000132 0000R 00001 00292 015 2112000 2024*")</f>
        <v>321.97000000000003</v>
      </c>
      <c r="G5141" s="83">
        <f>SUMIFS(G5142:G6462,K5142:K6462,"0",B5142:B6462,"5 1 2 9 2 12 31111 6 M59 20400 000132 0000R 00001 00292 015 2112000 2024*")</f>
        <v>0</v>
      </c>
      <c r="H5141" s="83">
        <f t="shared" si="80"/>
        <v>321.97000000000003</v>
      </c>
      <c r="I5141" s="83"/>
      <c r="K5141" s="54" t="s">
        <v>15</v>
      </c>
    </row>
    <row r="5142" spans="2:11" ht="41.25" x14ac:dyDescent="0.2">
      <c r="B5142" s="82" t="s">
        <v>8007</v>
      </c>
      <c r="C5142" s="82" t="s">
        <v>1056</v>
      </c>
      <c r="D5142" s="83">
        <f>SUMIFS(D5143:D6462,K5143:K6462,"0",B5143:B6462,"5 1 2 9 2 12 31111 6 M59 20400 000132 0000R 00001 00292 015 2112000 2024 CP1PV404*")-SUMIFS(E5143:E6462,K5143:K6462,"0",B5143:B6462,"5 1 2 9 2 12 31111 6 M59 20400 000132 0000R 00001 00292 015 2112000 2024 CP1PV404*")</f>
        <v>0</v>
      </c>
      <c r="E5142" s="54"/>
      <c r="F5142" s="83">
        <f>SUMIFS(F5143:F6462,K5143:K6462,"0",B5143:B6462,"5 1 2 9 2 12 31111 6 M59 20400 000132 0000R 00001 00292 015 2112000 2024 CP1PV404*")</f>
        <v>321.97000000000003</v>
      </c>
      <c r="G5142" s="83">
        <f>SUMIFS(G5143:G6462,K5143:K6462,"0",B5143:B6462,"5 1 2 9 2 12 31111 6 M59 20400 000132 0000R 00001 00292 015 2112000 2024 CP1PV404*")</f>
        <v>0</v>
      </c>
      <c r="H5142" s="83">
        <f t="shared" si="80"/>
        <v>321.97000000000003</v>
      </c>
      <c r="I5142" s="83"/>
      <c r="K5142" s="54" t="s">
        <v>15</v>
      </c>
    </row>
    <row r="5143" spans="2:11" ht="41.25" x14ac:dyDescent="0.2">
      <c r="B5143" s="82" t="s">
        <v>8008</v>
      </c>
      <c r="C5143" s="82" t="s">
        <v>282</v>
      </c>
      <c r="D5143" s="83">
        <f>SUMIFS(D5144:D6462,K5144:K6462,"0",B5144:B6462,"5 1 2 9 2 12 31111 6 M59 20400 000132 0000R 00001 00292 015 2112000 2024 CP1PV404 001*")-SUMIFS(E5144:E6462,K5144:K6462,"0",B5144:B6462,"5 1 2 9 2 12 31111 6 M59 20400 000132 0000R 00001 00292 015 2112000 2024 CP1PV404 001*")</f>
        <v>0</v>
      </c>
      <c r="E5143" s="54"/>
      <c r="F5143" s="83">
        <f>SUMIFS(F5144:F6462,K5144:K6462,"0",B5144:B6462,"5 1 2 9 2 12 31111 6 M59 20400 000132 0000R 00001 00292 015 2112000 2024 CP1PV404 001*")</f>
        <v>321.97000000000003</v>
      </c>
      <c r="G5143" s="83">
        <f>SUMIFS(G5144:G6462,K5144:K6462,"0",B5144:B6462,"5 1 2 9 2 12 31111 6 M59 20400 000132 0000R 00001 00292 015 2112000 2024 CP1PV404 001*")</f>
        <v>0</v>
      </c>
      <c r="H5143" s="83">
        <f t="shared" si="80"/>
        <v>321.97000000000003</v>
      </c>
      <c r="I5143" s="83"/>
      <c r="K5143" s="54" t="s">
        <v>15</v>
      </c>
    </row>
    <row r="5144" spans="2:11" ht="41.25" x14ac:dyDescent="0.2">
      <c r="B5144" s="84" t="s">
        <v>8009</v>
      </c>
      <c r="C5144" s="84" t="s">
        <v>8003</v>
      </c>
      <c r="D5144" s="85">
        <v>0</v>
      </c>
      <c r="E5144" s="85"/>
      <c r="F5144" s="85">
        <v>321.97000000000003</v>
      </c>
      <c r="G5144" s="85">
        <v>0</v>
      </c>
      <c r="H5144" s="85">
        <f t="shared" si="80"/>
        <v>321.97000000000003</v>
      </c>
      <c r="I5144" s="85"/>
      <c r="K5144" s="54" t="s">
        <v>38</v>
      </c>
    </row>
    <row r="5145" spans="2:11" ht="16.5" x14ac:dyDescent="0.2">
      <c r="B5145" s="82" t="s">
        <v>8021</v>
      </c>
      <c r="C5145" s="82" t="s">
        <v>3754</v>
      </c>
      <c r="D5145" s="83">
        <f>SUMIFS(D5146:D6462,K5146:K6462,"0",B5146:B6462,"5 1 2 9 2 12 31111 6 M59 99000*")-SUMIFS(E5146:E6462,K5146:K6462,"0",B5146:B6462,"5 1 2 9 2 12 31111 6 M59 99000*")</f>
        <v>0</v>
      </c>
      <c r="E5145" s="54"/>
      <c r="F5145" s="83">
        <f>SUMIFS(F5146:F6462,K5146:K6462,"0",B5146:B6462,"5 1 2 9 2 12 31111 6 M59 99000*")</f>
        <v>1973.94</v>
      </c>
      <c r="G5145" s="83">
        <f>SUMIFS(G5146:G6462,K5146:K6462,"0",B5146:B6462,"5 1 2 9 2 12 31111 6 M59 99000*")</f>
        <v>0</v>
      </c>
      <c r="H5145" s="83">
        <f t="shared" si="80"/>
        <v>1973.94</v>
      </c>
      <c r="I5145" s="83"/>
      <c r="K5145" s="54" t="s">
        <v>15</v>
      </c>
    </row>
    <row r="5146" spans="2:11" ht="16.5" x14ac:dyDescent="0.2">
      <c r="B5146" s="82" t="s">
        <v>8022</v>
      </c>
      <c r="C5146" s="82" t="s">
        <v>648</v>
      </c>
      <c r="D5146" s="83">
        <f>SUMIFS(D5147:D6462,K5147:K6462,"0",B5147:B6462,"5 1 2 9 2 12 31111 6 M59 99000 000132*")-SUMIFS(E5147:E6462,K5147:K6462,"0",B5147:B6462,"5 1 2 9 2 12 31111 6 M59 99000 000132*")</f>
        <v>0</v>
      </c>
      <c r="E5146" s="54"/>
      <c r="F5146" s="83">
        <f>SUMIFS(F5147:F6462,K5147:K6462,"0",B5147:B6462,"5 1 2 9 2 12 31111 6 M59 99000 000132*")</f>
        <v>1973.94</v>
      </c>
      <c r="G5146" s="83">
        <f>SUMIFS(G5147:G6462,K5147:K6462,"0",B5147:B6462,"5 1 2 9 2 12 31111 6 M59 99000 000132*")</f>
        <v>0</v>
      </c>
      <c r="H5146" s="83">
        <f t="shared" si="80"/>
        <v>1973.94</v>
      </c>
      <c r="I5146" s="83"/>
      <c r="K5146" s="54" t="s">
        <v>15</v>
      </c>
    </row>
    <row r="5147" spans="2:11" ht="24.75" x14ac:dyDescent="0.2">
      <c r="B5147" s="82" t="s">
        <v>8023</v>
      </c>
      <c r="C5147" s="82" t="s">
        <v>650</v>
      </c>
      <c r="D5147" s="83">
        <f>SUMIFS(D5148:D6462,K5148:K6462,"0",B5148:B6462,"5 1 2 9 2 12 31111 6 M59 99000 000132 0000R*")-SUMIFS(E5148:E6462,K5148:K6462,"0",B5148:B6462,"5 1 2 9 2 12 31111 6 M59 99000 000132 0000R*")</f>
        <v>0</v>
      </c>
      <c r="E5147" s="54"/>
      <c r="F5147" s="83">
        <f>SUMIFS(F5148:F6462,K5148:K6462,"0",B5148:B6462,"5 1 2 9 2 12 31111 6 M59 99000 000132 0000R*")</f>
        <v>1973.94</v>
      </c>
      <c r="G5147" s="83">
        <f>SUMIFS(G5148:G6462,K5148:K6462,"0",B5148:B6462,"5 1 2 9 2 12 31111 6 M59 99000 000132 0000R*")</f>
        <v>0</v>
      </c>
      <c r="H5147" s="83">
        <f t="shared" si="80"/>
        <v>1973.94</v>
      </c>
      <c r="I5147" s="83"/>
      <c r="K5147" s="54" t="s">
        <v>15</v>
      </c>
    </row>
    <row r="5148" spans="2:11" ht="24.75" x14ac:dyDescent="0.2">
      <c r="B5148" s="82" t="s">
        <v>8024</v>
      </c>
      <c r="C5148" s="82" t="s">
        <v>282</v>
      </c>
      <c r="D5148" s="83">
        <f>SUMIFS(D5149:D6462,K5149:K6462,"0",B5149:B6462,"5 1 2 9 2 12 31111 6 M59 99000 000132 0000R 00001*")-SUMIFS(E5149:E6462,K5149:K6462,"0",B5149:B6462,"5 1 2 9 2 12 31111 6 M59 99000 000132 0000R 00001*")</f>
        <v>0</v>
      </c>
      <c r="E5148" s="54"/>
      <c r="F5148" s="83">
        <f>SUMIFS(F5149:F6462,K5149:K6462,"0",B5149:B6462,"5 1 2 9 2 12 31111 6 M59 99000 000132 0000R 00001*")</f>
        <v>1973.94</v>
      </c>
      <c r="G5148" s="83">
        <f>SUMIFS(G5149:G6462,K5149:K6462,"0",B5149:B6462,"5 1 2 9 2 12 31111 6 M59 99000 000132 0000R 00001*")</f>
        <v>0</v>
      </c>
      <c r="H5148" s="83">
        <f t="shared" si="80"/>
        <v>1973.94</v>
      </c>
      <c r="I5148" s="83"/>
      <c r="K5148" s="54" t="s">
        <v>15</v>
      </c>
    </row>
    <row r="5149" spans="2:11" ht="24.75" x14ac:dyDescent="0.2">
      <c r="B5149" s="82" t="s">
        <v>8025</v>
      </c>
      <c r="C5149" s="82" t="s">
        <v>8003</v>
      </c>
      <c r="D5149" s="83">
        <f>SUMIFS(D5150:D6462,K5150:K6462,"0",B5150:B6462,"5 1 2 9 2 12 31111 6 M59 99000 000132 0000R 00001 00292*")-SUMIFS(E5150:E6462,K5150:K6462,"0",B5150:B6462,"5 1 2 9 2 12 31111 6 M59 99000 000132 0000R 00001 00292*")</f>
        <v>0</v>
      </c>
      <c r="E5149" s="54"/>
      <c r="F5149" s="83">
        <f>SUMIFS(F5150:F6462,K5150:K6462,"0",B5150:B6462,"5 1 2 9 2 12 31111 6 M59 99000 000132 0000R 00001 00292*")</f>
        <v>1973.94</v>
      </c>
      <c r="G5149" s="83">
        <f>SUMIFS(G5150:G6462,K5150:K6462,"0",B5150:B6462,"5 1 2 9 2 12 31111 6 M59 99000 000132 0000R 00001 00292*")</f>
        <v>0</v>
      </c>
      <c r="H5149" s="83">
        <f t="shared" si="80"/>
        <v>1973.94</v>
      </c>
      <c r="I5149" s="83"/>
      <c r="K5149" s="54" t="s">
        <v>15</v>
      </c>
    </row>
    <row r="5150" spans="2:11" ht="33" x14ac:dyDescent="0.2">
      <c r="B5150" s="82" t="s">
        <v>8026</v>
      </c>
      <c r="C5150" s="82" t="s">
        <v>1051</v>
      </c>
      <c r="D5150" s="83">
        <f>SUMIFS(D5151:D6462,K5151:K6462,"0",B5151:B6462,"5 1 2 9 2 12 31111 6 M59 99000 000132 0000R 00001 00292 015*")-SUMIFS(E5151:E6462,K5151:K6462,"0",B5151:B6462,"5 1 2 9 2 12 31111 6 M59 99000 000132 0000R 00001 00292 015*")</f>
        <v>0</v>
      </c>
      <c r="E5150" s="54"/>
      <c r="F5150" s="83">
        <f>SUMIFS(F5151:F6462,K5151:K6462,"0",B5151:B6462,"5 1 2 9 2 12 31111 6 M59 99000 000132 0000R 00001 00292 015*")</f>
        <v>1973.94</v>
      </c>
      <c r="G5150" s="83">
        <f>SUMIFS(G5151:G6462,K5151:K6462,"0",B5151:B6462,"5 1 2 9 2 12 31111 6 M59 99000 000132 0000R 00001 00292 015*")</f>
        <v>0</v>
      </c>
      <c r="H5150" s="83">
        <f t="shared" si="80"/>
        <v>1973.94</v>
      </c>
      <c r="I5150" s="83"/>
      <c r="K5150" s="54" t="s">
        <v>15</v>
      </c>
    </row>
    <row r="5151" spans="2:11" ht="33" x14ac:dyDescent="0.2">
      <c r="B5151" s="82" t="s">
        <v>8027</v>
      </c>
      <c r="C5151" s="82" t="s">
        <v>5830</v>
      </c>
      <c r="D5151" s="83">
        <f>SUMIFS(D5152:D6462,K5152:K6462,"0",B5152:B6462,"5 1 2 9 2 12 31111 6 M59 99000 000132 0000R 00001 00292 015 2112000*")-SUMIFS(E5152:E6462,K5152:K6462,"0",B5152:B6462,"5 1 2 9 2 12 31111 6 M59 99000 000132 0000R 00001 00292 015 2112000*")</f>
        <v>0</v>
      </c>
      <c r="E5151" s="54"/>
      <c r="F5151" s="83">
        <f>SUMIFS(F5152:F6462,K5152:K6462,"0",B5152:B6462,"5 1 2 9 2 12 31111 6 M59 99000 000132 0000R 00001 00292 015 2112000*")</f>
        <v>1973.94</v>
      </c>
      <c r="G5151" s="83">
        <f>SUMIFS(G5152:G6462,K5152:K6462,"0",B5152:B6462,"5 1 2 9 2 12 31111 6 M59 99000 000132 0000R 00001 00292 015 2112000*")</f>
        <v>0</v>
      </c>
      <c r="H5151" s="83">
        <f t="shared" si="80"/>
        <v>1973.94</v>
      </c>
      <c r="I5151" s="83"/>
      <c r="K5151" s="54" t="s">
        <v>15</v>
      </c>
    </row>
    <row r="5152" spans="2:11" ht="33" x14ac:dyDescent="0.2">
      <c r="B5152" s="82" t="s">
        <v>8028</v>
      </c>
      <c r="C5152" s="82" t="s">
        <v>660</v>
      </c>
      <c r="D5152" s="83">
        <f>SUMIFS(D5153:D6462,K5153:K6462,"0",B5153:B6462,"5 1 2 9 2 12 31111 6 M59 99000 000132 0000R 00001 00292 015 2112000 2024*")-SUMIFS(E5153:E6462,K5153:K6462,"0",B5153:B6462,"5 1 2 9 2 12 31111 6 M59 99000 000132 0000R 00001 00292 015 2112000 2024*")</f>
        <v>0</v>
      </c>
      <c r="E5152" s="54"/>
      <c r="F5152" s="83">
        <f>SUMIFS(F5153:F6462,K5153:K6462,"0",B5153:B6462,"5 1 2 9 2 12 31111 6 M59 99000 000132 0000R 00001 00292 015 2112000 2024*")</f>
        <v>1973.94</v>
      </c>
      <c r="G5152" s="83">
        <f>SUMIFS(G5153:G6462,K5153:K6462,"0",B5153:B6462,"5 1 2 9 2 12 31111 6 M59 99000 000132 0000R 00001 00292 015 2112000 2024*")</f>
        <v>0</v>
      </c>
      <c r="H5152" s="83">
        <f t="shared" si="80"/>
        <v>1973.94</v>
      </c>
      <c r="I5152" s="83"/>
      <c r="K5152" s="54" t="s">
        <v>15</v>
      </c>
    </row>
    <row r="5153" spans="2:11" ht="41.25" x14ac:dyDescent="0.2">
      <c r="B5153" s="82" t="s">
        <v>8029</v>
      </c>
      <c r="C5153" s="82" t="s">
        <v>1056</v>
      </c>
      <c r="D5153" s="83">
        <f>SUMIFS(D5154:D6462,K5154:K6462,"0",B5154:B6462,"5 1 2 9 2 12 31111 6 M59 99000 000132 0000R 00001 00292 015 2112000 2024 CP1MG408*")-SUMIFS(E5154:E6462,K5154:K6462,"0",B5154:B6462,"5 1 2 9 2 12 31111 6 M59 99000 000132 0000R 00001 00292 015 2112000 2024 CP1MG408*")</f>
        <v>0</v>
      </c>
      <c r="E5153" s="54"/>
      <c r="F5153" s="83">
        <f>SUMIFS(F5154:F6462,K5154:K6462,"0",B5154:B6462,"5 1 2 9 2 12 31111 6 M59 99000 000132 0000R 00001 00292 015 2112000 2024 CP1MG408*")</f>
        <v>1973.94</v>
      </c>
      <c r="G5153" s="83">
        <f>SUMIFS(G5154:G6462,K5154:K6462,"0",B5154:B6462,"5 1 2 9 2 12 31111 6 M59 99000 000132 0000R 00001 00292 015 2112000 2024 CP1MG408*")</f>
        <v>0</v>
      </c>
      <c r="H5153" s="83">
        <f t="shared" si="80"/>
        <v>1973.94</v>
      </c>
      <c r="I5153" s="83"/>
      <c r="K5153" s="54" t="s">
        <v>15</v>
      </c>
    </row>
    <row r="5154" spans="2:11" ht="41.25" x14ac:dyDescent="0.2">
      <c r="B5154" s="82" t="s">
        <v>8030</v>
      </c>
      <c r="C5154" s="82" t="s">
        <v>282</v>
      </c>
      <c r="D5154" s="83">
        <f>SUMIFS(D5155:D6462,K5155:K6462,"0",B5155:B6462,"5 1 2 9 2 12 31111 6 M59 99000 000132 0000R 00001 00292 015 2112000 2024 CP1MG408 001*")-SUMIFS(E5155:E6462,K5155:K6462,"0",B5155:B6462,"5 1 2 9 2 12 31111 6 M59 99000 000132 0000R 00001 00292 015 2112000 2024 CP1MG408 001*")</f>
        <v>0</v>
      </c>
      <c r="E5154" s="54"/>
      <c r="F5154" s="83">
        <f>SUMIFS(F5155:F6462,K5155:K6462,"0",B5155:B6462,"5 1 2 9 2 12 31111 6 M59 99000 000132 0000R 00001 00292 015 2112000 2024 CP1MG408 001*")</f>
        <v>1973.94</v>
      </c>
      <c r="G5154" s="83">
        <f>SUMIFS(G5155:G6462,K5155:K6462,"0",B5155:B6462,"5 1 2 9 2 12 31111 6 M59 99000 000132 0000R 00001 00292 015 2112000 2024 CP1MG408 001*")</f>
        <v>0</v>
      </c>
      <c r="H5154" s="83">
        <f t="shared" si="80"/>
        <v>1973.94</v>
      </c>
      <c r="I5154" s="83"/>
      <c r="K5154" s="54" t="s">
        <v>15</v>
      </c>
    </row>
    <row r="5155" spans="2:11" ht="41.25" x14ac:dyDescent="0.2">
      <c r="B5155" s="84" t="s">
        <v>8031</v>
      </c>
      <c r="C5155" s="84" t="s">
        <v>7993</v>
      </c>
      <c r="D5155" s="85">
        <v>0</v>
      </c>
      <c r="E5155" s="85"/>
      <c r="F5155" s="85">
        <v>1973.94</v>
      </c>
      <c r="G5155" s="85">
        <v>0</v>
      </c>
      <c r="H5155" s="85">
        <f t="shared" si="80"/>
        <v>1973.94</v>
      </c>
      <c r="I5155" s="85"/>
      <c r="K5155" s="54" t="s">
        <v>38</v>
      </c>
    </row>
    <row r="5156" spans="2:11" ht="33" x14ac:dyDescent="0.2">
      <c r="B5156" s="82" t="s">
        <v>8032</v>
      </c>
      <c r="C5156" s="82" t="s">
        <v>8033</v>
      </c>
      <c r="D5156" s="83">
        <f>SUMIFS(D5157:D6462,K5157:K6462,"0",B5157:B6462,"5 1 2 9 3*")-SUMIFS(E5157:E6462,K5157:K6462,"0",B5157:B6462,"5 1 2 9 3*")</f>
        <v>0</v>
      </c>
      <c r="E5156" s="54"/>
      <c r="F5156" s="83">
        <f>SUMIFS(F5157:F6462,K5157:K6462,"0",B5157:B6462,"5 1 2 9 3*")</f>
        <v>2999</v>
      </c>
      <c r="G5156" s="83">
        <f>SUMIFS(G5157:G6462,K5157:K6462,"0",B5157:B6462,"5 1 2 9 3*")</f>
        <v>0</v>
      </c>
      <c r="H5156" s="83">
        <f t="shared" si="80"/>
        <v>2999</v>
      </c>
      <c r="I5156" s="83"/>
      <c r="K5156" s="54" t="s">
        <v>15</v>
      </c>
    </row>
    <row r="5157" spans="2:11" ht="12.75" x14ac:dyDescent="0.2">
      <c r="B5157" s="82" t="s">
        <v>8034</v>
      </c>
      <c r="C5157" s="82" t="s">
        <v>26</v>
      </c>
      <c r="D5157" s="83">
        <f>SUMIFS(D5158:D6462,K5158:K6462,"0",B5158:B6462,"5 1 2 9 3 12*")-SUMIFS(E5158:E6462,K5158:K6462,"0",B5158:B6462,"5 1 2 9 3 12*")</f>
        <v>0</v>
      </c>
      <c r="E5157" s="54"/>
      <c r="F5157" s="83">
        <f>SUMIFS(F5158:F6462,K5158:K6462,"0",B5158:B6462,"5 1 2 9 3 12*")</f>
        <v>2999</v>
      </c>
      <c r="G5157" s="83">
        <f>SUMIFS(G5158:G6462,K5158:K6462,"0",B5158:B6462,"5 1 2 9 3 12*")</f>
        <v>0</v>
      </c>
      <c r="H5157" s="83">
        <f t="shared" si="80"/>
        <v>2999</v>
      </c>
      <c r="I5157" s="83"/>
      <c r="K5157" s="54" t="s">
        <v>15</v>
      </c>
    </row>
    <row r="5158" spans="2:11" ht="16.5" x14ac:dyDescent="0.2">
      <c r="B5158" s="82" t="s">
        <v>8035</v>
      </c>
      <c r="C5158" s="82" t="s">
        <v>28</v>
      </c>
      <c r="D5158" s="83">
        <f>SUMIFS(D5159:D6462,K5159:K6462,"0",B5159:B6462,"5 1 2 9 3 12 31111*")-SUMIFS(E5159:E6462,K5159:K6462,"0",B5159:B6462,"5 1 2 9 3 12 31111*")</f>
        <v>0</v>
      </c>
      <c r="E5158" s="54"/>
      <c r="F5158" s="83">
        <f>SUMIFS(F5159:F6462,K5159:K6462,"0",B5159:B6462,"5 1 2 9 3 12 31111*")</f>
        <v>2999</v>
      </c>
      <c r="G5158" s="83">
        <f>SUMIFS(G5159:G6462,K5159:K6462,"0",B5159:B6462,"5 1 2 9 3 12 31111*")</f>
        <v>0</v>
      </c>
      <c r="H5158" s="83">
        <f t="shared" si="80"/>
        <v>2999</v>
      </c>
      <c r="I5158" s="83"/>
      <c r="K5158" s="54" t="s">
        <v>15</v>
      </c>
    </row>
    <row r="5159" spans="2:11" ht="12.75" x14ac:dyDescent="0.2">
      <c r="B5159" s="82" t="s">
        <v>8036</v>
      </c>
      <c r="C5159" s="82" t="s">
        <v>30</v>
      </c>
      <c r="D5159" s="83">
        <f>SUMIFS(D5160:D6462,K5160:K6462,"0",B5160:B6462,"5 1 2 9 3 12 31111 6*")-SUMIFS(E5160:E6462,K5160:K6462,"0",B5160:B6462,"5 1 2 9 3 12 31111 6*")</f>
        <v>0</v>
      </c>
      <c r="E5159" s="54"/>
      <c r="F5159" s="83">
        <f>SUMIFS(F5160:F6462,K5160:K6462,"0",B5160:B6462,"5 1 2 9 3 12 31111 6*")</f>
        <v>2999</v>
      </c>
      <c r="G5159" s="83">
        <f>SUMIFS(G5160:G6462,K5160:K6462,"0",B5160:B6462,"5 1 2 9 3 12 31111 6*")</f>
        <v>0</v>
      </c>
      <c r="H5159" s="83">
        <f t="shared" si="80"/>
        <v>2999</v>
      </c>
      <c r="I5159" s="83"/>
      <c r="K5159" s="54" t="s">
        <v>15</v>
      </c>
    </row>
    <row r="5160" spans="2:11" ht="16.5" x14ac:dyDescent="0.2">
      <c r="B5160" s="82" t="s">
        <v>8037</v>
      </c>
      <c r="C5160" s="82" t="s">
        <v>2284</v>
      </c>
      <c r="D5160" s="83">
        <f>SUMIFS(D5161:D6462,K5161:K6462,"0",B5161:B6462,"5 1 2 9 3 12 31111 6 M59*")-SUMIFS(E5161:E6462,K5161:K6462,"0",B5161:B6462,"5 1 2 9 3 12 31111 6 M59*")</f>
        <v>0</v>
      </c>
      <c r="E5160" s="54"/>
      <c r="F5160" s="83">
        <f>SUMIFS(F5161:F6462,K5161:K6462,"0",B5161:B6462,"5 1 2 9 3 12 31111 6 M59*")</f>
        <v>2999</v>
      </c>
      <c r="G5160" s="83">
        <f>SUMIFS(G5161:G6462,K5161:K6462,"0",B5161:B6462,"5 1 2 9 3 12 31111 6 M59*")</f>
        <v>0</v>
      </c>
      <c r="H5160" s="83">
        <f t="shared" si="80"/>
        <v>2999</v>
      </c>
      <c r="I5160" s="83"/>
      <c r="K5160" s="54" t="s">
        <v>15</v>
      </c>
    </row>
    <row r="5161" spans="2:11" ht="16.5" x14ac:dyDescent="0.2">
      <c r="B5161" s="82" t="s">
        <v>8038</v>
      </c>
      <c r="C5161" s="82" t="s">
        <v>3644</v>
      </c>
      <c r="D5161" s="83">
        <f>SUMIFS(D5162:D6462,K5162:K6462,"0",B5162:B6462,"5 1 2 9 3 12 31111 6 M59 94000*")-SUMIFS(E5162:E6462,K5162:K6462,"0",B5162:B6462,"5 1 2 9 3 12 31111 6 M59 94000*")</f>
        <v>0</v>
      </c>
      <c r="E5161" s="54"/>
      <c r="F5161" s="83">
        <f>SUMIFS(F5162:F6462,K5162:K6462,"0",B5162:B6462,"5 1 2 9 3 12 31111 6 M59 94000*")</f>
        <v>2999</v>
      </c>
      <c r="G5161" s="83">
        <f>SUMIFS(G5162:G6462,K5162:K6462,"0",B5162:B6462,"5 1 2 9 3 12 31111 6 M59 94000*")</f>
        <v>0</v>
      </c>
      <c r="H5161" s="83">
        <f t="shared" si="80"/>
        <v>2999</v>
      </c>
      <c r="I5161" s="83"/>
      <c r="K5161" s="54" t="s">
        <v>15</v>
      </c>
    </row>
    <row r="5162" spans="2:11" ht="24.75" x14ac:dyDescent="0.2">
      <c r="B5162" s="82" t="s">
        <v>8039</v>
      </c>
      <c r="C5162" s="82" t="s">
        <v>3152</v>
      </c>
      <c r="D5162" s="83">
        <f>SUMIFS(D5163:D6462,K5163:K6462,"0",B5163:B6462,"5 1 2 9 3 12 31111 6 M59 94000 000181*")-SUMIFS(E5163:E6462,K5163:K6462,"0",B5163:B6462,"5 1 2 9 3 12 31111 6 M59 94000 000181*")</f>
        <v>0</v>
      </c>
      <c r="E5162" s="54"/>
      <c r="F5162" s="83">
        <f>SUMIFS(F5163:F6462,K5163:K6462,"0",B5163:B6462,"5 1 2 9 3 12 31111 6 M59 94000 000181*")</f>
        <v>2999</v>
      </c>
      <c r="G5162" s="83">
        <f>SUMIFS(G5163:G6462,K5163:K6462,"0",B5163:B6462,"5 1 2 9 3 12 31111 6 M59 94000 000181*")</f>
        <v>0</v>
      </c>
      <c r="H5162" s="83">
        <f t="shared" si="80"/>
        <v>2999</v>
      </c>
      <c r="I5162" s="83"/>
      <c r="K5162" s="54" t="s">
        <v>15</v>
      </c>
    </row>
    <row r="5163" spans="2:11" ht="24.75" x14ac:dyDescent="0.2">
      <c r="B5163" s="82" t="s">
        <v>8040</v>
      </c>
      <c r="C5163" s="82" t="s">
        <v>650</v>
      </c>
      <c r="D5163" s="83">
        <f>SUMIFS(D5164:D6462,K5164:K6462,"0",B5164:B6462,"5 1 2 9 3 12 31111 6 M59 94000 000181 0000R*")-SUMIFS(E5164:E6462,K5164:K6462,"0",B5164:B6462,"5 1 2 9 3 12 31111 6 M59 94000 000181 0000R*")</f>
        <v>0</v>
      </c>
      <c r="E5163" s="54"/>
      <c r="F5163" s="83">
        <f>SUMIFS(F5164:F6462,K5164:K6462,"0",B5164:B6462,"5 1 2 9 3 12 31111 6 M59 94000 000181 0000R*")</f>
        <v>2999</v>
      </c>
      <c r="G5163" s="83">
        <f>SUMIFS(G5164:G6462,K5164:K6462,"0",B5164:B6462,"5 1 2 9 3 12 31111 6 M59 94000 000181 0000R*")</f>
        <v>0</v>
      </c>
      <c r="H5163" s="83">
        <f t="shared" ref="H5163:H5226" si="81">D5163 + F5163 - G5163</f>
        <v>2999</v>
      </c>
      <c r="I5163" s="83"/>
      <c r="K5163" s="54" t="s">
        <v>15</v>
      </c>
    </row>
    <row r="5164" spans="2:11" ht="24.75" x14ac:dyDescent="0.2">
      <c r="B5164" s="82" t="s">
        <v>8041</v>
      </c>
      <c r="C5164" s="82" t="s">
        <v>282</v>
      </c>
      <c r="D5164" s="83">
        <f>SUMIFS(D5165:D6462,K5165:K6462,"0",B5165:B6462,"5 1 2 9 3 12 31111 6 M59 94000 000181 0000R 00001*")-SUMIFS(E5165:E6462,K5165:K6462,"0",B5165:B6462,"5 1 2 9 3 12 31111 6 M59 94000 000181 0000R 00001*")</f>
        <v>0</v>
      </c>
      <c r="E5164" s="54"/>
      <c r="F5164" s="83">
        <f>SUMIFS(F5165:F6462,K5165:K6462,"0",B5165:B6462,"5 1 2 9 3 12 31111 6 M59 94000 000181 0000R 00001*")</f>
        <v>2999</v>
      </c>
      <c r="G5164" s="83">
        <f>SUMIFS(G5165:G6462,K5165:K6462,"0",B5165:B6462,"5 1 2 9 3 12 31111 6 M59 94000 000181 0000R 00001*")</f>
        <v>0</v>
      </c>
      <c r="H5164" s="83">
        <f t="shared" si="81"/>
        <v>2999</v>
      </c>
      <c r="I5164" s="83"/>
      <c r="K5164" s="54" t="s">
        <v>15</v>
      </c>
    </row>
    <row r="5165" spans="2:11" ht="33" x14ac:dyDescent="0.2">
      <c r="B5165" s="82" t="s">
        <v>8042</v>
      </c>
      <c r="C5165" s="82" t="s">
        <v>8043</v>
      </c>
      <c r="D5165" s="83">
        <f>SUMIFS(D5166:D6462,K5166:K6462,"0",B5166:B6462,"5 1 2 9 3 12 31111 6 M59 94000 000181 0000R 00001 00293*")-SUMIFS(E5166:E6462,K5166:K6462,"0",B5166:B6462,"5 1 2 9 3 12 31111 6 M59 94000 000181 0000R 00001 00293*")</f>
        <v>0</v>
      </c>
      <c r="E5165" s="54"/>
      <c r="F5165" s="83">
        <f>SUMIFS(F5166:F6462,K5166:K6462,"0",B5166:B6462,"5 1 2 9 3 12 31111 6 M59 94000 000181 0000R 00001 00293*")</f>
        <v>2999</v>
      </c>
      <c r="G5165" s="83">
        <f>SUMIFS(G5166:G6462,K5166:K6462,"0",B5166:B6462,"5 1 2 9 3 12 31111 6 M59 94000 000181 0000R 00001 00293*")</f>
        <v>0</v>
      </c>
      <c r="H5165" s="83">
        <f t="shared" si="81"/>
        <v>2999</v>
      </c>
      <c r="I5165" s="83"/>
      <c r="K5165" s="54" t="s">
        <v>15</v>
      </c>
    </row>
    <row r="5166" spans="2:11" ht="33" x14ac:dyDescent="0.2">
      <c r="B5166" s="82" t="s">
        <v>8044</v>
      </c>
      <c r="C5166" s="82" t="s">
        <v>1051</v>
      </c>
      <c r="D5166" s="83">
        <f>SUMIFS(D5167:D6462,K5167:K6462,"0",B5167:B6462,"5 1 2 9 3 12 31111 6 M59 94000 000181 0000R 00001 00293 015*")-SUMIFS(E5167:E6462,K5167:K6462,"0",B5167:B6462,"5 1 2 9 3 12 31111 6 M59 94000 000181 0000R 00001 00293 015*")</f>
        <v>0</v>
      </c>
      <c r="E5166" s="54"/>
      <c r="F5166" s="83">
        <f>SUMIFS(F5167:F6462,K5167:K6462,"0",B5167:B6462,"5 1 2 9 3 12 31111 6 M59 94000 000181 0000R 00001 00293 015*")</f>
        <v>2999</v>
      </c>
      <c r="G5166" s="83">
        <f>SUMIFS(G5167:G6462,K5167:K6462,"0",B5167:B6462,"5 1 2 9 3 12 31111 6 M59 94000 000181 0000R 00001 00293 015*")</f>
        <v>0</v>
      </c>
      <c r="H5166" s="83">
        <f t="shared" si="81"/>
        <v>2999</v>
      </c>
      <c r="I5166" s="83"/>
      <c r="K5166" s="54" t="s">
        <v>15</v>
      </c>
    </row>
    <row r="5167" spans="2:11" ht="33" x14ac:dyDescent="0.2">
      <c r="B5167" s="82" t="s">
        <v>8045</v>
      </c>
      <c r="C5167" s="82" t="s">
        <v>5830</v>
      </c>
      <c r="D5167" s="83">
        <f>SUMIFS(D5168:D6462,K5168:K6462,"0",B5168:B6462,"5 1 2 9 3 12 31111 6 M59 94000 000181 0000R 00001 00293 015 2112000*")-SUMIFS(E5168:E6462,K5168:K6462,"0",B5168:B6462,"5 1 2 9 3 12 31111 6 M59 94000 000181 0000R 00001 00293 015 2112000*")</f>
        <v>0</v>
      </c>
      <c r="E5167" s="54"/>
      <c r="F5167" s="83">
        <f>SUMIFS(F5168:F6462,K5168:K6462,"0",B5168:B6462,"5 1 2 9 3 12 31111 6 M59 94000 000181 0000R 00001 00293 015 2112000*")</f>
        <v>2999</v>
      </c>
      <c r="G5167" s="83">
        <f>SUMIFS(G5168:G6462,K5168:K6462,"0",B5168:B6462,"5 1 2 9 3 12 31111 6 M59 94000 000181 0000R 00001 00293 015 2112000*")</f>
        <v>0</v>
      </c>
      <c r="H5167" s="83">
        <f t="shared" si="81"/>
        <v>2999</v>
      </c>
      <c r="I5167" s="83"/>
      <c r="K5167" s="54" t="s">
        <v>15</v>
      </c>
    </row>
    <row r="5168" spans="2:11" ht="33" x14ac:dyDescent="0.2">
      <c r="B5168" s="82" t="s">
        <v>8046</v>
      </c>
      <c r="C5168" s="82" t="s">
        <v>660</v>
      </c>
      <c r="D5168" s="83">
        <f>SUMIFS(D5169:D6462,K5169:K6462,"0",B5169:B6462,"5 1 2 9 3 12 31111 6 M59 94000 000181 0000R 00001 00293 015 2112000 2024*")-SUMIFS(E5169:E6462,K5169:K6462,"0",B5169:B6462,"5 1 2 9 3 12 31111 6 M59 94000 000181 0000R 00001 00293 015 2112000 2024*")</f>
        <v>0</v>
      </c>
      <c r="E5168" s="54"/>
      <c r="F5168" s="83">
        <f>SUMIFS(F5169:F6462,K5169:K6462,"0",B5169:B6462,"5 1 2 9 3 12 31111 6 M59 94000 000181 0000R 00001 00293 015 2112000 2024*")</f>
        <v>2999</v>
      </c>
      <c r="G5168" s="83">
        <f>SUMIFS(G5169:G6462,K5169:K6462,"0",B5169:B6462,"5 1 2 9 3 12 31111 6 M59 94000 000181 0000R 00001 00293 015 2112000 2024*")</f>
        <v>0</v>
      </c>
      <c r="H5168" s="83">
        <f t="shared" si="81"/>
        <v>2999</v>
      </c>
      <c r="I5168" s="83"/>
      <c r="K5168" s="54" t="s">
        <v>15</v>
      </c>
    </row>
    <row r="5169" spans="2:11" ht="41.25" x14ac:dyDescent="0.2">
      <c r="B5169" s="82" t="s">
        <v>8047</v>
      </c>
      <c r="C5169" s="82" t="s">
        <v>1056</v>
      </c>
      <c r="D5169" s="83">
        <f>SUMIFS(D5170:D6462,K5170:K6462,"0",B5170:B6462,"5 1 2 9 3 12 31111 6 M59 94000 000181 0000R 00001 00293 015 2112000 2024 CP1OM392*")-SUMIFS(E5170:E6462,K5170:K6462,"0",B5170:B6462,"5 1 2 9 3 12 31111 6 M59 94000 000181 0000R 00001 00293 015 2112000 2024 CP1OM392*")</f>
        <v>0</v>
      </c>
      <c r="E5169" s="54"/>
      <c r="F5169" s="83">
        <f>SUMIFS(F5170:F6462,K5170:K6462,"0",B5170:B6462,"5 1 2 9 3 12 31111 6 M59 94000 000181 0000R 00001 00293 015 2112000 2024 CP1OM392*")</f>
        <v>2999</v>
      </c>
      <c r="G5169" s="83">
        <f>SUMIFS(G5170:G6462,K5170:K6462,"0",B5170:B6462,"5 1 2 9 3 12 31111 6 M59 94000 000181 0000R 00001 00293 015 2112000 2024 CP1OM392*")</f>
        <v>0</v>
      </c>
      <c r="H5169" s="83">
        <f t="shared" si="81"/>
        <v>2999</v>
      </c>
      <c r="I5169" s="83"/>
      <c r="K5169" s="54" t="s">
        <v>15</v>
      </c>
    </row>
    <row r="5170" spans="2:11" ht="41.25" x14ac:dyDescent="0.2">
      <c r="B5170" s="82" t="s">
        <v>8048</v>
      </c>
      <c r="C5170" s="82" t="s">
        <v>282</v>
      </c>
      <c r="D5170" s="83">
        <f>SUMIFS(D5171:D6462,K5171:K6462,"0",B5171:B6462,"5 1 2 9 3 12 31111 6 M59 94000 000181 0000R 00001 00293 015 2112000 2024 CP1OM392 001*")-SUMIFS(E5171:E6462,K5171:K6462,"0",B5171:B6462,"5 1 2 9 3 12 31111 6 M59 94000 000181 0000R 00001 00293 015 2112000 2024 CP1OM392 001*")</f>
        <v>0</v>
      </c>
      <c r="E5170" s="54"/>
      <c r="F5170" s="83">
        <f>SUMIFS(F5171:F6462,K5171:K6462,"0",B5171:B6462,"5 1 2 9 3 12 31111 6 M59 94000 000181 0000R 00001 00293 015 2112000 2024 CP1OM392 001*")</f>
        <v>2999</v>
      </c>
      <c r="G5170" s="83">
        <f>SUMIFS(G5171:G6462,K5171:K6462,"0",B5171:B6462,"5 1 2 9 3 12 31111 6 M59 94000 000181 0000R 00001 00293 015 2112000 2024 CP1OM392 001*")</f>
        <v>0</v>
      </c>
      <c r="H5170" s="83">
        <f t="shared" si="81"/>
        <v>2999</v>
      </c>
      <c r="I5170" s="83"/>
      <c r="K5170" s="54" t="s">
        <v>15</v>
      </c>
    </row>
    <row r="5171" spans="2:11" ht="33" x14ac:dyDescent="0.2">
      <c r="B5171" s="84" t="s">
        <v>8049</v>
      </c>
      <c r="C5171" s="84" t="s">
        <v>8033</v>
      </c>
      <c r="D5171" s="85">
        <v>0</v>
      </c>
      <c r="E5171" s="85"/>
      <c r="F5171" s="85">
        <v>2999</v>
      </c>
      <c r="G5171" s="85">
        <v>0</v>
      </c>
      <c r="H5171" s="85">
        <f t="shared" si="81"/>
        <v>2999</v>
      </c>
      <c r="I5171" s="85"/>
      <c r="K5171" s="54" t="s">
        <v>38</v>
      </c>
    </row>
    <row r="5172" spans="2:11" ht="24.75" x14ac:dyDescent="0.2">
      <c r="B5172" s="82" t="s">
        <v>8068</v>
      </c>
      <c r="C5172" s="82" t="s">
        <v>8069</v>
      </c>
      <c r="D5172" s="83">
        <f>SUMIFS(D5173:D6462,K5173:K6462,"0",B5173:B6462,"5 1 2 9 6*")-SUMIFS(E5173:E6462,K5173:K6462,"0",B5173:B6462,"5 1 2 9 6*")</f>
        <v>0</v>
      </c>
      <c r="E5172" s="54"/>
      <c r="F5172" s="83">
        <f>SUMIFS(F5173:F6462,K5173:K6462,"0",B5173:B6462,"5 1 2 9 6*")</f>
        <v>4912648.7400000012</v>
      </c>
      <c r="G5172" s="83">
        <f>SUMIFS(G5173:G6462,K5173:K6462,"0",B5173:B6462,"5 1 2 9 6*")</f>
        <v>0</v>
      </c>
      <c r="H5172" s="83">
        <f t="shared" si="81"/>
        <v>4912648.7400000012</v>
      </c>
      <c r="I5172" s="83"/>
      <c r="K5172" s="54" t="s">
        <v>15</v>
      </c>
    </row>
    <row r="5173" spans="2:11" ht="12.75" x14ac:dyDescent="0.2">
      <c r="B5173" s="82" t="s">
        <v>8070</v>
      </c>
      <c r="C5173" s="82" t="s">
        <v>26</v>
      </c>
      <c r="D5173" s="83">
        <f>SUMIFS(D5174:D6462,K5174:K6462,"0",B5174:B6462,"5 1 2 9 6 12*")-SUMIFS(E5174:E6462,K5174:K6462,"0",B5174:B6462,"5 1 2 9 6 12*")</f>
        <v>0</v>
      </c>
      <c r="E5173" s="54"/>
      <c r="F5173" s="83">
        <f>SUMIFS(F5174:F6462,K5174:K6462,"0",B5174:B6462,"5 1 2 9 6 12*")</f>
        <v>4912648.7400000012</v>
      </c>
      <c r="G5173" s="83">
        <f>SUMIFS(G5174:G6462,K5174:K6462,"0",B5174:B6462,"5 1 2 9 6 12*")</f>
        <v>0</v>
      </c>
      <c r="H5173" s="83">
        <f t="shared" si="81"/>
        <v>4912648.7400000012</v>
      </c>
      <c r="I5173" s="83"/>
      <c r="K5173" s="54" t="s">
        <v>15</v>
      </c>
    </row>
    <row r="5174" spans="2:11" ht="16.5" x14ac:dyDescent="0.2">
      <c r="B5174" s="82" t="s">
        <v>8071</v>
      </c>
      <c r="C5174" s="82" t="s">
        <v>28</v>
      </c>
      <c r="D5174" s="83">
        <f>SUMIFS(D5175:D6462,K5175:K6462,"0",B5175:B6462,"5 1 2 9 6 12 31111*")-SUMIFS(E5175:E6462,K5175:K6462,"0",B5175:B6462,"5 1 2 9 6 12 31111*")</f>
        <v>0</v>
      </c>
      <c r="E5174" s="54"/>
      <c r="F5174" s="83">
        <f>SUMIFS(F5175:F6462,K5175:K6462,"0",B5175:B6462,"5 1 2 9 6 12 31111*")</f>
        <v>4912648.7400000012</v>
      </c>
      <c r="G5174" s="83">
        <f>SUMIFS(G5175:G6462,K5175:K6462,"0",B5175:B6462,"5 1 2 9 6 12 31111*")</f>
        <v>0</v>
      </c>
      <c r="H5174" s="83">
        <f t="shared" si="81"/>
        <v>4912648.7400000012</v>
      </c>
      <c r="I5174" s="83"/>
      <c r="K5174" s="54" t="s">
        <v>15</v>
      </c>
    </row>
    <row r="5175" spans="2:11" ht="12.75" x14ac:dyDescent="0.2">
      <c r="B5175" s="82" t="s">
        <v>8072</v>
      </c>
      <c r="C5175" s="82" t="s">
        <v>30</v>
      </c>
      <c r="D5175" s="83">
        <f>SUMIFS(D5176:D6462,K5176:K6462,"0",B5176:B6462,"5 1 2 9 6 12 31111 6*")-SUMIFS(E5176:E6462,K5176:K6462,"0",B5176:B6462,"5 1 2 9 6 12 31111 6*")</f>
        <v>0</v>
      </c>
      <c r="E5175" s="54"/>
      <c r="F5175" s="83">
        <f>SUMIFS(F5176:F6462,K5176:K6462,"0",B5176:B6462,"5 1 2 9 6 12 31111 6*")</f>
        <v>4912648.7400000012</v>
      </c>
      <c r="G5175" s="83">
        <f>SUMIFS(G5176:G6462,K5176:K6462,"0",B5176:B6462,"5 1 2 9 6 12 31111 6*")</f>
        <v>0</v>
      </c>
      <c r="H5175" s="83">
        <f t="shared" si="81"/>
        <v>4912648.7400000012</v>
      </c>
      <c r="I5175" s="83"/>
      <c r="K5175" s="54" t="s">
        <v>15</v>
      </c>
    </row>
    <row r="5176" spans="2:11" ht="16.5" x14ac:dyDescent="0.2">
      <c r="B5176" s="82" t="s">
        <v>8073</v>
      </c>
      <c r="C5176" s="82" t="s">
        <v>2284</v>
      </c>
      <c r="D5176" s="83">
        <f>SUMIFS(D5177:D6462,K5177:K6462,"0",B5177:B6462,"5 1 2 9 6 12 31111 6 M59*")-SUMIFS(E5177:E6462,K5177:K6462,"0",B5177:B6462,"5 1 2 9 6 12 31111 6 M59*")</f>
        <v>0</v>
      </c>
      <c r="E5176" s="54"/>
      <c r="F5176" s="83">
        <f>SUMIFS(F5177:F6462,K5177:K6462,"0",B5177:B6462,"5 1 2 9 6 12 31111 6 M59*")</f>
        <v>4912648.7400000012</v>
      </c>
      <c r="G5176" s="83">
        <f>SUMIFS(G5177:G6462,K5177:K6462,"0",B5177:B6462,"5 1 2 9 6 12 31111 6 M59*")</f>
        <v>0</v>
      </c>
      <c r="H5176" s="83">
        <f t="shared" si="81"/>
        <v>4912648.7400000012</v>
      </c>
      <c r="I5176" s="83"/>
      <c r="K5176" s="54" t="s">
        <v>15</v>
      </c>
    </row>
    <row r="5177" spans="2:11" ht="16.5" x14ac:dyDescent="0.2">
      <c r="B5177" s="82" t="s">
        <v>8086</v>
      </c>
      <c r="C5177" s="82" t="s">
        <v>1061</v>
      </c>
      <c r="D5177" s="83">
        <f>SUMIFS(D5178:D6462,K5178:K6462,"0",B5178:B6462,"5 1 2 9 6 12 31111 6 M59 20300*")-SUMIFS(E5178:E6462,K5178:K6462,"0",B5178:B6462,"5 1 2 9 6 12 31111 6 M59 20300*")</f>
        <v>0</v>
      </c>
      <c r="E5177" s="54"/>
      <c r="F5177" s="83">
        <f>SUMIFS(F5178:F6462,K5178:K6462,"0",B5178:B6462,"5 1 2 9 6 12 31111 6 M59 20300*")</f>
        <v>599.97</v>
      </c>
      <c r="G5177" s="83">
        <f>SUMIFS(G5178:G6462,K5178:K6462,"0",B5178:B6462,"5 1 2 9 6 12 31111 6 M59 20300*")</f>
        <v>0</v>
      </c>
      <c r="H5177" s="83">
        <f t="shared" si="81"/>
        <v>599.97</v>
      </c>
      <c r="I5177" s="83"/>
      <c r="K5177" s="54" t="s">
        <v>15</v>
      </c>
    </row>
    <row r="5178" spans="2:11" ht="16.5" x14ac:dyDescent="0.2">
      <c r="B5178" s="82" t="s">
        <v>8087</v>
      </c>
      <c r="C5178" s="82" t="s">
        <v>648</v>
      </c>
      <c r="D5178" s="83">
        <f>SUMIFS(D5179:D6462,K5179:K6462,"0",B5179:B6462,"5 1 2 9 6 12 31111 6 M59 20300 000132*")-SUMIFS(E5179:E6462,K5179:K6462,"0",B5179:B6462,"5 1 2 9 6 12 31111 6 M59 20300 000132*")</f>
        <v>0</v>
      </c>
      <c r="E5178" s="54"/>
      <c r="F5178" s="83">
        <f>SUMIFS(F5179:F6462,K5179:K6462,"0",B5179:B6462,"5 1 2 9 6 12 31111 6 M59 20300 000132*")</f>
        <v>599.97</v>
      </c>
      <c r="G5178" s="83">
        <f>SUMIFS(G5179:G6462,K5179:K6462,"0",B5179:B6462,"5 1 2 9 6 12 31111 6 M59 20300 000132*")</f>
        <v>0</v>
      </c>
      <c r="H5178" s="83">
        <f t="shared" si="81"/>
        <v>599.97</v>
      </c>
      <c r="I5178" s="83"/>
      <c r="K5178" s="54" t="s">
        <v>15</v>
      </c>
    </row>
    <row r="5179" spans="2:11" ht="24.75" x14ac:dyDescent="0.2">
      <c r="B5179" s="82" t="s">
        <v>8088</v>
      </c>
      <c r="C5179" s="82" t="s">
        <v>650</v>
      </c>
      <c r="D5179" s="83">
        <f>SUMIFS(D5180:D6462,K5180:K6462,"0",B5180:B6462,"5 1 2 9 6 12 31111 6 M59 20300 000132 0000R*")-SUMIFS(E5180:E6462,K5180:K6462,"0",B5180:B6462,"5 1 2 9 6 12 31111 6 M59 20300 000132 0000R*")</f>
        <v>0</v>
      </c>
      <c r="E5179" s="54"/>
      <c r="F5179" s="83">
        <f>SUMIFS(F5180:F6462,K5180:K6462,"0",B5180:B6462,"5 1 2 9 6 12 31111 6 M59 20300 000132 0000R*")</f>
        <v>599.97</v>
      </c>
      <c r="G5179" s="83">
        <f>SUMIFS(G5180:G6462,K5180:K6462,"0",B5180:B6462,"5 1 2 9 6 12 31111 6 M59 20300 000132 0000R*")</f>
        <v>0</v>
      </c>
      <c r="H5179" s="83">
        <f t="shared" si="81"/>
        <v>599.97</v>
      </c>
      <c r="I5179" s="83"/>
      <c r="K5179" s="54" t="s">
        <v>15</v>
      </c>
    </row>
    <row r="5180" spans="2:11" ht="24.75" x14ac:dyDescent="0.2">
      <c r="B5180" s="82" t="s">
        <v>8089</v>
      </c>
      <c r="C5180" s="82" t="s">
        <v>282</v>
      </c>
      <c r="D5180" s="83">
        <f>SUMIFS(D5181:D6462,K5181:K6462,"0",B5181:B6462,"5 1 2 9 6 12 31111 6 M59 20300 000132 0000R 00001*")-SUMIFS(E5181:E6462,K5181:K6462,"0",B5181:B6462,"5 1 2 9 6 12 31111 6 M59 20300 000132 0000R 00001*")</f>
        <v>0</v>
      </c>
      <c r="E5180" s="54"/>
      <c r="F5180" s="83">
        <f>SUMIFS(F5181:F6462,K5181:K6462,"0",B5181:B6462,"5 1 2 9 6 12 31111 6 M59 20300 000132 0000R 00001*")</f>
        <v>599.97</v>
      </c>
      <c r="G5180" s="83">
        <f>SUMIFS(G5181:G6462,K5181:K6462,"0",B5181:B6462,"5 1 2 9 6 12 31111 6 M59 20300 000132 0000R 00001*")</f>
        <v>0</v>
      </c>
      <c r="H5180" s="83">
        <f t="shared" si="81"/>
        <v>599.97</v>
      </c>
      <c r="I5180" s="83"/>
      <c r="K5180" s="54" t="s">
        <v>15</v>
      </c>
    </row>
    <row r="5181" spans="2:11" ht="24.75" x14ac:dyDescent="0.2">
      <c r="B5181" s="82" t="s">
        <v>8090</v>
      </c>
      <c r="C5181" s="82" t="s">
        <v>8079</v>
      </c>
      <c r="D5181" s="83">
        <f>SUMIFS(D5182:D6462,K5182:K6462,"0",B5182:B6462,"5 1 2 9 6 12 31111 6 M59 20300 000132 0000R 00001 00296*")-SUMIFS(E5182:E6462,K5182:K6462,"0",B5182:B6462,"5 1 2 9 6 12 31111 6 M59 20300 000132 0000R 00001 00296*")</f>
        <v>0</v>
      </c>
      <c r="E5181" s="54"/>
      <c r="F5181" s="83">
        <f>SUMIFS(F5182:F6462,K5182:K6462,"0",B5182:B6462,"5 1 2 9 6 12 31111 6 M59 20300 000132 0000R 00001 00296*")</f>
        <v>599.97</v>
      </c>
      <c r="G5181" s="83">
        <f>SUMIFS(G5182:G6462,K5182:K6462,"0",B5182:B6462,"5 1 2 9 6 12 31111 6 M59 20300 000132 0000R 00001 00296*")</f>
        <v>0</v>
      </c>
      <c r="H5181" s="83">
        <f t="shared" si="81"/>
        <v>599.97</v>
      </c>
      <c r="I5181" s="83"/>
      <c r="K5181" s="54" t="s">
        <v>15</v>
      </c>
    </row>
    <row r="5182" spans="2:11" ht="33" x14ac:dyDescent="0.2">
      <c r="B5182" s="82" t="s">
        <v>8091</v>
      </c>
      <c r="C5182" s="82" t="s">
        <v>1051</v>
      </c>
      <c r="D5182" s="83">
        <f>SUMIFS(D5183:D6462,K5183:K6462,"0",B5183:B6462,"5 1 2 9 6 12 31111 6 M59 20300 000132 0000R 00001 00296 015*")-SUMIFS(E5183:E6462,K5183:K6462,"0",B5183:B6462,"5 1 2 9 6 12 31111 6 M59 20300 000132 0000R 00001 00296 015*")</f>
        <v>0</v>
      </c>
      <c r="E5182" s="54"/>
      <c r="F5182" s="83">
        <f>SUMIFS(F5183:F6462,K5183:K6462,"0",B5183:B6462,"5 1 2 9 6 12 31111 6 M59 20300 000132 0000R 00001 00296 015*")</f>
        <v>599.97</v>
      </c>
      <c r="G5182" s="83">
        <f>SUMIFS(G5183:G6462,K5183:K6462,"0",B5183:B6462,"5 1 2 9 6 12 31111 6 M59 20300 000132 0000R 00001 00296 015*")</f>
        <v>0</v>
      </c>
      <c r="H5182" s="83">
        <f t="shared" si="81"/>
        <v>599.97</v>
      </c>
      <c r="I5182" s="83"/>
      <c r="K5182" s="54" t="s">
        <v>15</v>
      </c>
    </row>
    <row r="5183" spans="2:11" ht="33" x14ac:dyDescent="0.2">
      <c r="B5183" s="82" t="s">
        <v>8092</v>
      </c>
      <c r="C5183" s="82" t="s">
        <v>5830</v>
      </c>
      <c r="D5183" s="83">
        <f>SUMIFS(D5184:D6462,K5184:K6462,"0",B5184:B6462,"5 1 2 9 6 12 31111 6 M59 20300 000132 0000R 00001 00296 015 2112000*")-SUMIFS(E5184:E6462,K5184:K6462,"0",B5184:B6462,"5 1 2 9 6 12 31111 6 M59 20300 000132 0000R 00001 00296 015 2112000*")</f>
        <v>0</v>
      </c>
      <c r="E5183" s="54"/>
      <c r="F5183" s="83">
        <f>SUMIFS(F5184:F6462,K5184:K6462,"0",B5184:B6462,"5 1 2 9 6 12 31111 6 M59 20300 000132 0000R 00001 00296 015 2112000*")</f>
        <v>599.97</v>
      </c>
      <c r="G5183" s="83">
        <f>SUMIFS(G5184:G6462,K5184:K6462,"0",B5184:B6462,"5 1 2 9 6 12 31111 6 M59 20300 000132 0000R 00001 00296 015 2112000*")</f>
        <v>0</v>
      </c>
      <c r="H5183" s="83">
        <f t="shared" si="81"/>
        <v>599.97</v>
      </c>
      <c r="I5183" s="83"/>
      <c r="K5183" s="54" t="s">
        <v>15</v>
      </c>
    </row>
    <row r="5184" spans="2:11" ht="33" x14ac:dyDescent="0.2">
      <c r="B5184" s="82" t="s">
        <v>8093</v>
      </c>
      <c r="C5184" s="82" t="s">
        <v>660</v>
      </c>
      <c r="D5184" s="83">
        <f>SUMIFS(D5185:D6462,K5185:K6462,"0",B5185:B6462,"5 1 2 9 6 12 31111 6 M59 20300 000132 0000R 00001 00296 015 2112000 2024*")-SUMIFS(E5185:E6462,K5185:K6462,"0",B5185:B6462,"5 1 2 9 6 12 31111 6 M59 20300 000132 0000R 00001 00296 015 2112000 2024*")</f>
        <v>0</v>
      </c>
      <c r="E5184" s="54"/>
      <c r="F5184" s="83">
        <f>SUMIFS(F5185:F6462,K5185:K6462,"0",B5185:B6462,"5 1 2 9 6 12 31111 6 M59 20300 000132 0000R 00001 00296 015 2112000 2024*")</f>
        <v>599.97</v>
      </c>
      <c r="G5184" s="83">
        <f>SUMIFS(G5185:G6462,K5185:K6462,"0",B5185:B6462,"5 1 2 9 6 12 31111 6 M59 20300 000132 0000R 00001 00296 015 2112000 2024*")</f>
        <v>0</v>
      </c>
      <c r="H5184" s="83">
        <f t="shared" si="81"/>
        <v>599.97</v>
      </c>
      <c r="I5184" s="83"/>
      <c r="K5184" s="54" t="s">
        <v>15</v>
      </c>
    </row>
    <row r="5185" spans="2:11" ht="41.25" x14ac:dyDescent="0.2">
      <c r="B5185" s="82" t="s">
        <v>8094</v>
      </c>
      <c r="C5185" s="82" t="s">
        <v>662</v>
      </c>
      <c r="D5185" s="83">
        <f>SUMIFS(D5186:D6462,K5186:K6462,"0",B5186:B6462,"5 1 2 9 6 12 31111 6 M59 20300 000132 0000R 00001 00296 015 2112000 2024 CP1DE415*")-SUMIFS(E5186:E6462,K5186:K6462,"0",B5186:B6462,"5 1 2 9 6 12 31111 6 M59 20300 000132 0000R 00001 00296 015 2112000 2024 CP1DE415*")</f>
        <v>0</v>
      </c>
      <c r="E5185" s="54"/>
      <c r="F5185" s="83">
        <f>SUMIFS(F5186:F6462,K5186:K6462,"0",B5186:B6462,"5 1 2 9 6 12 31111 6 M59 20300 000132 0000R 00001 00296 015 2112000 2024 CP1DE415*")</f>
        <v>599.97</v>
      </c>
      <c r="G5185" s="83">
        <f>SUMIFS(G5186:G6462,K5186:K6462,"0",B5186:B6462,"5 1 2 9 6 12 31111 6 M59 20300 000132 0000R 00001 00296 015 2112000 2024 CP1DE415*")</f>
        <v>0</v>
      </c>
      <c r="H5185" s="83">
        <f t="shared" si="81"/>
        <v>599.97</v>
      </c>
      <c r="I5185" s="83"/>
      <c r="K5185" s="54" t="s">
        <v>15</v>
      </c>
    </row>
    <row r="5186" spans="2:11" ht="41.25" x14ac:dyDescent="0.2">
      <c r="B5186" s="82" t="s">
        <v>8095</v>
      </c>
      <c r="C5186" s="82" t="s">
        <v>282</v>
      </c>
      <c r="D5186" s="83">
        <f>SUMIFS(D5187:D6462,K5187:K6462,"0",B5187:B6462,"5 1 2 9 6 12 31111 6 M59 20300 000132 0000R 00001 00296 015 2112000 2024 CP1DE415 001*")-SUMIFS(E5187:E6462,K5187:K6462,"0",B5187:B6462,"5 1 2 9 6 12 31111 6 M59 20300 000132 0000R 00001 00296 015 2112000 2024 CP1DE415 001*")</f>
        <v>0</v>
      </c>
      <c r="E5186" s="54"/>
      <c r="F5186" s="83">
        <f>SUMIFS(F5187:F6462,K5187:K6462,"0",B5187:B6462,"5 1 2 9 6 12 31111 6 M59 20300 000132 0000R 00001 00296 015 2112000 2024 CP1DE415 001*")</f>
        <v>599.97</v>
      </c>
      <c r="G5186" s="83">
        <f>SUMIFS(G5187:G6462,K5187:K6462,"0",B5187:B6462,"5 1 2 9 6 12 31111 6 M59 20300 000132 0000R 00001 00296 015 2112000 2024 CP1DE415 001*")</f>
        <v>0</v>
      </c>
      <c r="H5186" s="83">
        <f t="shared" si="81"/>
        <v>599.97</v>
      </c>
      <c r="I5186" s="83"/>
      <c r="K5186" s="54" t="s">
        <v>15</v>
      </c>
    </row>
    <row r="5187" spans="2:11" ht="41.25" x14ac:dyDescent="0.2">
      <c r="B5187" s="84" t="s">
        <v>8096</v>
      </c>
      <c r="C5187" s="84" t="s">
        <v>8079</v>
      </c>
      <c r="D5187" s="85">
        <v>0</v>
      </c>
      <c r="E5187" s="85"/>
      <c r="F5187" s="85">
        <v>599.97</v>
      </c>
      <c r="G5187" s="85">
        <v>0</v>
      </c>
      <c r="H5187" s="85">
        <f t="shared" si="81"/>
        <v>599.97</v>
      </c>
      <c r="I5187" s="85"/>
      <c r="K5187" s="54" t="s">
        <v>38</v>
      </c>
    </row>
    <row r="5188" spans="2:11" ht="16.5" x14ac:dyDescent="0.2">
      <c r="B5188" s="82" t="s">
        <v>8097</v>
      </c>
      <c r="C5188" s="82" t="s">
        <v>3103</v>
      </c>
      <c r="D5188" s="83">
        <f>SUMIFS(D5189:D6462,K5189:K6462,"0",B5189:B6462,"5 1 2 9 6 12 31111 6 M59 20400*")-SUMIFS(E5189:E6462,K5189:K6462,"0",B5189:B6462,"5 1 2 9 6 12 31111 6 M59 20400*")</f>
        <v>0</v>
      </c>
      <c r="E5188" s="54"/>
      <c r="F5188" s="83">
        <f>SUMIFS(F5189:F6462,K5189:K6462,"0",B5189:B6462,"5 1 2 9 6 12 31111 6 M59 20400*")</f>
        <v>4281518.7</v>
      </c>
      <c r="G5188" s="83">
        <f>SUMIFS(G5189:G6462,K5189:K6462,"0",B5189:B6462,"5 1 2 9 6 12 31111 6 M59 20400*")</f>
        <v>0</v>
      </c>
      <c r="H5188" s="83">
        <f t="shared" si="81"/>
        <v>4281518.7</v>
      </c>
      <c r="I5188" s="83"/>
      <c r="K5188" s="54" t="s">
        <v>15</v>
      </c>
    </row>
    <row r="5189" spans="2:11" ht="16.5" x14ac:dyDescent="0.2">
      <c r="B5189" s="82" t="s">
        <v>8098</v>
      </c>
      <c r="C5189" s="82" t="s">
        <v>648</v>
      </c>
      <c r="D5189" s="83">
        <f>SUMIFS(D5190:D6462,K5190:K6462,"0",B5190:B6462,"5 1 2 9 6 12 31111 6 M59 20400 000132*")-SUMIFS(E5190:E6462,K5190:K6462,"0",B5190:B6462,"5 1 2 9 6 12 31111 6 M59 20400 000132*")</f>
        <v>0</v>
      </c>
      <c r="E5189" s="54"/>
      <c r="F5189" s="83">
        <f>SUMIFS(F5190:F6462,K5190:K6462,"0",B5190:B6462,"5 1 2 9 6 12 31111 6 M59 20400 000132*")</f>
        <v>4281518.7</v>
      </c>
      <c r="G5189" s="83">
        <f>SUMIFS(G5190:G6462,K5190:K6462,"0",B5190:B6462,"5 1 2 9 6 12 31111 6 M59 20400 000132*")</f>
        <v>0</v>
      </c>
      <c r="H5189" s="83">
        <f t="shared" si="81"/>
        <v>4281518.7</v>
      </c>
      <c r="I5189" s="83"/>
      <c r="K5189" s="54" t="s">
        <v>15</v>
      </c>
    </row>
    <row r="5190" spans="2:11" ht="24.75" x14ac:dyDescent="0.2">
      <c r="B5190" s="82" t="s">
        <v>8099</v>
      </c>
      <c r="C5190" s="82" t="s">
        <v>650</v>
      </c>
      <c r="D5190" s="83">
        <f>SUMIFS(D5191:D6462,K5191:K6462,"0",B5191:B6462,"5 1 2 9 6 12 31111 6 M59 20400 000132 0000R*")-SUMIFS(E5191:E6462,K5191:K6462,"0",B5191:B6462,"5 1 2 9 6 12 31111 6 M59 20400 000132 0000R*")</f>
        <v>0</v>
      </c>
      <c r="E5190" s="54"/>
      <c r="F5190" s="83">
        <f>SUMIFS(F5191:F6462,K5191:K6462,"0",B5191:B6462,"5 1 2 9 6 12 31111 6 M59 20400 000132 0000R*")</f>
        <v>4281518.7</v>
      </c>
      <c r="G5190" s="83">
        <f>SUMIFS(G5191:G6462,K5191:K6462,"0",B5191:B6462,"5 1 2 9 6 12 31111 6 M59 20400 000132 0000R*")</f>
        <v>0</v>
      </c>
      <c r="H5190" s="83">
        <f t="shared" si="81"/>
        <v>4281518.7</v>
      </c>
      <c r="I5190" s="83"/>
      <c r="K5190" s="54" t="s">
        <v>15</v>
      </c>
    </row>
    <row r="5191" spans="2:11" ht="24.75" x14ac:dyDescent="0.2">
      <c r="B5191" s="82" t="s">
        <v>8100</v>
      </c>
      <c r="C5191" s="82" t="s">
        <v>282</v>
      </c>
      <c r="D5191" s="83">
        <f>SUMIFS(D5192:D6462,K5192:K6462,"0",B5192:B6462,"5 1 2 9 6 12 31111 6 M59 20400 000132 0000R 00001*")-SUMIFS(E5192:E6462,K5192:K6462,"0",B5192:B6462,"5 1 2 9 6 12 31111 6 M59 20400 000132 0000R 00001*")</f>
        <v>0</v>
      </c>
      <c r="E5191" s="54"/>
      <c r="F5191" s="83">
        <f>SUMIFS(F5192:F6462,K5192:K6462,"0",B5192:B6462,"5 1 2 9 6 12 31111 6 M59 20400 000132 0000R 00001*")</f>
        <v>4281518.7</v>
      </c>
      <c r="G5191" s="83">
        <f>SUMIFS(G5192:G6462,K5192:K6462,"0",B5192:B6462,"5 1 2 9 6 12 31111 6 M59 20400 000132 0000R 00001*")</f>
        <v>0</v>
      </c>
      <c r="H5191" s="83">
        <f t="shared" si="81"/>
        <v>4281518.7</v>
      </c>
      <c r="I5191" s="83"/>
      <c r="K5191" s="54" t="s">
        <v>15</v>
      </c>
    </row>
    <row r="5192" spans="2:11" ht="24.75" x14ac:dyDescent="0.2">
      <c r="B5192" s="82" t="s">
        <v>8101</v>
      </c>
      <c r="C5192" s="82" t="s">
        <v>8079</v>
      </c>
      <c r="D5192" s="83">
        <f>SUMIFS(D5193:D6462,K5193:K6462,"0",B5193:B6462,"5 1 2 9 6 12 31111 6 M59 20400 000132 0000R 00001 00296*")-SUMIFS(E5193:E6462,K5193:K6462,"0",B5193:B6462,"5 1 2 9 6 12 31111 6 M59 20400 000132 0000R 00001 00296*")</f>
        <v>0</v>
      </c>
      <c r="E5192" s="54"/>
      <c r="F5192" s="83">
        <f>SUMIFS(F5193:F6462,K5193:K6462,"0",B5193:B6462,"5 1 2 9 6 12 31111 6 M59 20400 000132 0000R 00001 00296*")</f>
        <v>4281518.7</v>
      </c>
      <c r="G5192" s="83">
        <f>SUMIFS(G5193:G6462,K5193:K6462,"0",B5193:B6462,"5 1 2 9 6 12 31111 6 M59 20400 000132 0000R 00001 00296*")</f>
        <v>0</v>
      </c>
      <c r="H5192" s="83">
        <f t="shared" si="81"/>
        <v>4281518.7</v>
      </c>
      <c r="I5192" s="83"/>
      <c r="K5192" s="54" t="s">
        <v>15</v>
      </c>
    </row>
    <row r="5193" spans="2:11" ht="33" x14ac:dyDescent="0.2">
      <c r="B5193" s="82" t="s">
        <v>8102</v>
      </c>
      <c r="C5193" s="82" t="s">
        <v>1051</v>
      </c>
      <c r="D5193" s="83">
        <f>SUMIFS(D5194:D6462,K5194:K6462,"0",B5194:B6462,"5 1 2 9 6 12 31111 6 M59 20400 000132 0000R 00001 00296 015*")-SUMIFS(E5194:E6462,K5194:K6462,"0",B5194:B6462,"5 1 2 9 6 12 31111 6 M59 20400 000132 0000R 00001 00296 015*")</f>
        <v>0</v>
      </c>
      <c r="E5193" s="54"/>
      <c r="F5193" s="83">
        <f>SUMIFS(F5194:F6462,K5194:K6462,"0",B5194:B6462,"5 1 2 9 6 12 31111 6 M59 20400 000132 0000R 00001 00296 015*")</f>
        <v>4281518.7</v>
      </c>
      <c r="G5193" s="83">
        <f>SUMIFS(G5194:G6462,K5194:K6462,"0",B5194:B6462,"5 1 2 9 6 12 31111 6 M59 20400 000132 0000R 00001 00296 015*")</f>
        <v>0</v>
      </c>
      <c r="H5193" s="83">
        <f t="shared" si="81"/>
        <v>4281518.7</v>
      </c>
      <c r="I5193" s="83"/>
      <c r="K5193" s="54" t="s">
        <v>15</v>
      </c>
    </row>
    <row r="5194" spans="2:11" ht="33" x14ac:dyDescent="0.2">
      <c r="B5194" s="82" t="s">
        <v>8103</v>
      </c>
      <c r="C5194" s="82" t="s">
        <v>5830</v>
      </c>
      <c r="D5194" s="83">
        <f>SUMIFS(D5195:D6462,K5195:K6462,"0",B5195:B6462,"5 1 2 9 6 12 31111 6 M59 20400 000132 0000R 00001 00296 015 2112000*")-SUMIFS(E5195:E6462,K5195:K6462,"0",B5195:B6462,"5 1 2 9 6 12 31111 6 M59 20400 000132 0000R 00001 00296 015 2112000*")</f>
        <v>0</v>
      </c>
      <c r="E5194" s="54"/>
      <c r="F5194" s="83">
        <f>SUMIFS(F5195:F6462,K5195:K6462,"0",B5195:B6462,"5 1 2 9 6 12 31111 6 M59 20400 000132 0000R 00001 00296 015 2112000*")</f>
        <v>4281518.7</v>
      </c>
      <c r="G5194" s="83">
        <f>SUMIFS(G5195:G6462,K5195:K6462,"0",B5195:B6462,"5 1 2 9 6 12 31111 6 M59 20400 000132 0000R 00001 00296 015 2112000*")</f>
        <v>0</v>
      </c>
      <c r="H5194" s="83">
        <f t="shared" si="81"/>
        <v>4281518.7</v>
      </c>
      <c r="I5194" s="83"/>
      <c r="K5194" s="54" t="s">
        <v>15</v>
      </c>
    </row>
    <row r="5195" spans="2:11" ht="33" x14ac:dyDescent="0.2">
      <c r="B5195" s="82" t="s">
        <v>8104</v>
      </c>
      <c r="C5195" s="82" t="s">
        <v>660</v>
      </c>
      <c r="D5195" s="83">
        <f>SUMIFS(D5196:D6462,K5196:K6462,"0",B5196:B6462,"5 1 2 9 6 12 31111 6 M59 20400 000132 0000R 00001 00296 015 2112000 2024*")-SUMIFS(E5196:E6462,K5196:K6462,"0",B5196:B6462,"5 1 2 9 6 12 31111 6 M59 20400 000132 0000R 00001 00296 015 2112000 2024*")</f>
        <v>0</v>
      </c>
      <c r="E5195" s="54"/>
      <c r="F5195" s="83">
        <f>SUMIFS(F5196:F6462,K5196:K6462,"0",B5196:B6462,"5 1 2 9 6 12 31111 6 M59 20400 000132 0000R 00001 00296 015 2112000 2024*")</f>
        <v>4281518.7</v>
      </c>
      <c r="G5195" s="83">
        <f>SUMIFS(G5196:G6462,K5196:K6462,"0",B5196:B6462,"5 1 2 9 6 12 31111 6 M59 20400 000132 0000R 00001 00296 015 2112000 2024*")</f>
        <v>0</v>
      </c>
      <c r="H5195" s="83">
        <f t="shared" si="81"/>
        <v>4281518.7</v>
      </c>
      <c r="I5195" s="83"/>
      <c r="K5195" s="54" t="s">
        <v>15</v>
      </c>
    </row>
    <row r="5196" spans="2:11" ht="41.25" x14ac:dyDescent="0.2">
      <c r="B5196" s="82" t="s">
        <v>8105</v>
      </c>
      <c r="C5196" s="82" t="s">
        <v>1056</v>
      </c>
      <c r="D5196" s="83">
        <f>SUMIFS(D5197:D6462,K5197:K6462,"0",B5197:B6462,"5 1 2 9 6 12 31111 6 M59 20400 000132 0000R 00001 00296 015 2112000 2024 CP1PV404*")-SUMIFS(E5197:E6462,K5197:K6462,"0",B5197:B6462,"5 1 2 9 6 12 31111 6 M59 20400 000132 0000R 00001 00296 015 2112000 2024 CP1PV404*")</f>
        <v>0</v>
      </c>
      <c r="E5196" s="54"/>
      <c r="F5196" s="83">
        <f>SUMIFS(F5197:F6462,K5197:K6462,"0",B5197:B6462,"5 1 2 9 6 12 31111 6 M59 20400 000132 0000R 00001 00296 015 2112000 2024 CP1PV404*")</f>
        <v>4281518.7</v>
      </c>
      <c r="G5196" s="83">
        <f>SUMIFS(G5197:G6462,K5197:K6462,"0",B5197:B6462,"5 1 2 9 6 12 31111 6 M59 20400 000132 0000R 00001 00296 015 2112000 2024 CP1PV404*")</f>
        <v>0</v>
      </c>
      <c r="H5196" s="83">
        <f t="shared" si="81"/>
        <v>4281518.7</v>
      </c>
      <c r="I5196" s="83"/>
      <c r="K5196" s="54" t="s">
        <v>15</v>
      </c>
    </row>
    <row r="5197" spans="2:11" ht="41.25" x14ac:dyDescent="0.2">
      <c r="B5197" s="82" t="s">
        <v>8106</v>
      </c>
      <c r="C5197" s="82" t="s">
        <v>282</v>
      </c>
      <c r="D5197" s="83">
        <f>SUMIFS(D5198:D6462,K5198:K6462,"0",B5198:B6462,"5 1 2 9 6 12 31111 6 M59 20400 000132 0000R 00001 00296 015 2112000 2024 CP1PV404 001*")-SUMIFS(E5198:E6462,K5198:K6462,"0",B5198:B6462,"5 1 2 9 6 12 31111 6 M59 20400 000132 0000R 00001 00296 015 2112000 2024 CP1PV404 001*")</f>
        <v>0</v>
      </c>
      <c r="E5197" s="54"/>
      <c r="F5197" s="83">
        <f>SUMIFS(F5198:F6462,K5198:K6462,"0",B5198:B6462,"5 1 2 9 6 12 31111 6 M59 20400 000132 0000R 00001 00296 015 2112000 2024 CP1PV404 001*")</f>
        <v>4281518.7</v>
      </c>
      <c r="G5197" s="83">
        <f>SUMIFS(G5198:G6462,K5198:K6462,"0",B5198:B6462,"5 1 2 9 6 12 31111 6 M59 20400 000132 0000R 00001 00296 015 2112000 2024 CP1PV404 001*")</f>
        <v>0</v>
      </c>
      <c r="H5197" s="83">
        <f t="shared" si="81"/>
        <v>4281518.7</v>
      </c>
      <c r="I5197" s="83"/>
      <c r="K5197" s="54" t="s">
        <v>15</v>
      </c>
    </row>
    <row r="5198" spans="2:11" ht="41.25" x14ac:dyDescent="0.2">
      <c r="B5198" s="84" t="s">
        <v>8107</v>
      </c>
      <c r="C5198" s="84" t="s">
        <v>8069</v>
      </c>
      <c r="D5198" s="85">
        <v>0</v>
      </c>
      <c r="E5198" s="85"/>
      <c r="F5198" s="85">
        <v>4281518.7</v>
      </c>
      <c r="G5198" s="85">
        <v>0</v>
      </c>
      <c r="H5198" s="85">
        <f t="shared" si="81"/>
        <v>4281518.7</v>
      </c>
      <c r="I5198" s="85"/>
      <c r="K5198" s="54" t="s">
        <v>38</v>
      </c>
    </row>
    <row r="5199" spans="2:11" ht="16.5" x14ac:dyDescent="0.2">
      <c r="B5199" s="82" t="s">
        <v>8108</v>
      </c>
      <c r="C5199" s="82" t="s">
        <v>1079</v>
      </c>
      <c r="D5199" s="83">
        <f>SUMIFS(D5200:D6462,K5200:K6462,"0",B5200:B6462,"5 1 2 9 6 12 31111 6 M59 20500*")-SUMIFS(E5200:E6462,K5200:K6462,"0",B5200:B6462,"5 1 2 9 6 12 31111 6 M59 20500*")</f>
        <v>0</v>
      </c>
      <c r="E5199" s="54"/>
      <c r="F5199" s="83">
        <f>SUMIFS(F5200:F6462,K5200:K6462,"0",B5200:B6462,"5 1 2 9 6 12 31111 6 M59 20500*")</f>
        <v>581500</v>
      </c>
      <c r="G5199" s="83">
        <f>SUMIFS(G5200:G6462,K5200:K6462,"0",B5200:B6462,"5 1 2 9 6 12 31111 6 M59 20500*")</f>
        <v>0</v>
      </c>
      <c r="H5199" s="83">
        <f t="shared" si="81"/>
        <v>581500</v>
      </c>
      <c r="I5199" s="83"/>
      <c r="K5199" s="54" t="s">
        <v>15</v>
      </c>
    </row>
    <row r="5200" spans="2:11" ht="16.5" x14ac:dyDescent="0.2">
      <c r="B5200" s="82" t="s">
        <v>8109</v>
      </c>
      <c r="C5200" s="82" t="s">
        <v>648</v>
      </c>
      <c r="D5200" s="83">
        <f>SUMIFS(D5201:D6462,K5201:K6462,"0",B5201:B6462,"5 1 2 9 6 12 31111 6 M59 20500 000132*")-SUMIFS(E5201:E6462,K5201:K6462,"0",B5201:B6462,"5 1 2 9 6 12 31111 6 M59 20500 000132*")</f>
        <v>0</v>
      </c>
      <c r="E5200" s="54"/>
      <c r="F5200" s="83">
        <f>SUMIFS(F5201:F6462,K5201:K6462,"0",B5201:B6462,"5 1 2 9 6 12 31111 6 M59 20500 000132*")</f>
        <v>581500</v>
      </c>
      <c r="G5200" s="83">
        <f>SUMIFS(G5201:G6462,K5201:K6462,"0",B5201:B6462,"5 1 2 9 6 12 31111 6 M59 20500 000132*")</f>
        <v>0</v>
      </c>
      <c r="H5200" s="83">
        <f t="shared" si="81"/>
        <v>581500</v>
      </c>
      <c r="I5200" s="83"/>
      <c r="K5200" s="54" t="s">
        <v>15</v>
      </c>
    </row>
    <row r="5201" spans="2:11" ht="24.75" x14ac:dyDescent="0.2">
      <c r="B5201" s="82" t="s">
        <v>8110</v>
      </c>
      <c r="C5201" s="82" t="s">
        <v>650</v>
      </c>
      <c r="D5201" s="83">
        <f>SUMIFS(D5202:D6462,K5202:K6462,"0",B5202:B6462,"5 1 2 9 6 12 31111 6 M59 20500 000132 0000R*")-SUMIFS(E5202:E6462,K5202:K6462,"0",B5202:B6462,"5 1 2 9 6 12 31111 6 M59 20500 000132 0000R*")</f>
        <v>0</v>
      </c>
      <c r="E5201" s="54"/>
      <c r="F5201" s="83">
        <f>SUMIFS(F5202:F6462,K5202:K6462,"0",B5202:B6462,"5 1 2 9 6 12 31111 6 M59 20500 000132 0000R*")</f>
        <v>581500</v>
      </c>
      <c r="G5201" s="83">
        <f>SUMIFS(G5202:G6462,K5202:K6462,"0",B5202:B6462,"5 1 2 9 6 12 31111 6 M59 20500 000132 0000R*")</f>
        <v>0</v>
      </c>
      <c r="H5201" s="83">
        <f t="shared" si="81"/>
        <v>581500</v>
      </c>
      <c r="I5201" s="83"/>
      <c r="K5201" s="54" t="s">
        <v>15</v>
      </c>
    </row>
    <row r="5202" spans="2:11" ht="24.75" x14ac:dyDescent="0.2">
      <c r="B5202" s="82" t="s">
        <v>8111</v>
      </c>
      <c r="C5202" s="82" t="s">
        <v>282</v>
      </c>
      <c r="D5202" s="83">
        <f>SUMIFS(D5203:D6462,K5203:K6462,"0",B5203:B6462,"5 1 2 9 6 12 31111 6 M59 20500 000132 0000R 00001*")-SUMIFS(E5203:E6462,K5203:K6462,"0",B5203:B6462,"5 1 2 9 6 12 31111 6 M59 20500 000132 0000R 00001*")</f>
        <v>0</v>
      </c>
      <c r="E5202" s="54"/>
      <c r="F5202" s="83">
        <f>SUMIFS(F5203:F6462,K5203:K6462,"0",B5203:B6462,"5 1 2 9 6 12 31111 6 M59 20500 000132 0000R 00001*")</f>
        <v>581500</v>
      </c>
      <c r="G5202" s="83">
        <f>SUMIFS(G5203:G6462,K5203:K6462,"0",B5203:B6462,"5 1 2 9 6 12 31111 6 M59 20500 000132 0000R 00001*")</f>
        <v>0</v>
      </c>
      <c r="H5202" s="83">
        <f t="shared" si="81"/>
        <v>581500</v>
      </c>
      <c r="I5202" s="83"/>
      <c r="K5202" s="54" t="s">
        <v>15</v>
      </c>
    </row>
    <row r="5203" spans="2:11" ht="24.75" x14ac:dyDescent="0.2">
      <c r="B5203" s="82" t="s">
        <v>8112</v>
      </c>
      <c r="C5203" s="82" t="s">
        <v>8079</v>
      </c>
      <c r="D5203" s="83">
        <f>SUMIFS(D5204:D6462,K5204:K6462,"0",B5204:B6462,"5 1 2 9 6 12 31111 6 M59 20500 000132 0000R 00001 00296*")-SUMIFS(E5204:E6462,K5204:K6462,"0",B5204:B6462,"5 1 2 9 6 12 31111 6 M59 20500 000132 0000R 00001 00296*")</f>
        <v>0</v>
      </c>
      <c r="E5203" s="54"/>
      <c r="F5203" s="83">
        <f>SUMIFS(F5204:F6462,K5204:K6462,"0",B5204:B6462,"5 1 2 9 6 12 31111 6 M59 20500 000132 0000R 00001 00296*")</f>
        <v>581500</v>
      </c>
      <c r="G5203" s="83">
        <f>SUMIFS(G5204:G6462,K5204:K6462,"0",B5204:B6462,"5 1 2 9 6 12 31111 6 M59 20500 000132 0000R 00001 00296*")</f>
        <v>0</v>
      </c>
      <c r="H5203" s="83">
        <f t="shared" si="81"/>
        <v>581500</v>
      </c>
      <c r="I5203" s="83"/>
      <c r="K5203" s="54" t="s">
        <v>15</v>
      </c>
    </row>
    <row r="5204" spans="2:11" ht="33" x14ac:dyDescent="0.2">
      <c r="B5204" s="82" t="s">
        <v>8113</v>
      </c>
      <c r="C5204" s="82" t="s">
        <v>1051</v>
      </c>
      <c r="D5204" s="83">
        <f>SUMIFS(D5205:D6462,K5205:K6462,"0",B5205:B6462,"5 1 2 9 6 12 31111 6 M59 20500 000132 0000R 00001 00296 015*")-SUMIFS(E5205:E6462,K5205:K6462,"0",B5205:B6462,"5 1 2 9 6 12 31111 6 M59 20500 000132 0000R 00001 00296 015*")</f>
        <v>0</v>
      </c>
      <c r="E5204" s="54"/>
      <c r="F5204" s="83">
        <f>SUMIFS(F5205:F6462,K5205:K6462,"0",B5205:B6462,"5 1 2 9 6 12 31111 6 M59 20500 000132 0000R 00001 00296 015*")</f>
        <v>581500</v>
      </c>
      <c r="G5204" s="83">
        <f>SUMIFS(G5205:G6462,K5205:K6462,"0",B5205:B6462,"5 1 2 9 6 12 31111 6 M59 20500 000132 0000R 00001 00296 015*")</f>
        <v>0</v>
      </c>
      <c r="H5204" s="83">
        <f t="shared" si="81"/>
        <v>581500</v>
      </c>
      <c r="I5204" s="83"/>
      <c r="K5204" s="54" t="s">
        <v>15</v>
      </c>
    </row>
    <row r="5205" spans="2:11" ht="33" x14ac:dyDescent="0.2">
      <c r="B5205" s="82" t="s">
        <v>8114</v>
      </c>
      <c r="C5205" s="82" t="s">
        <v>5830</v>
      </c>
      <c r="D5205" s="83">
        <f>SUMIFS(D5206:D6462,K5206:K6462,"0",B5206:B6462,"5 1 2 9 6 12 31111 6 M59 20500 000132 0000R 00001 00296 015 2112000*")-SUMIFS(E5206:E6462,K5206:K6462,"0",B5206:B6462,"5 1 2 9 6 12 31111 6 M59 20500 000132 0000R 00001 00296 015 2112000*")</f>
        <v>0</v>
      </c>
      <c r="E5205" s="54"/>
      <c r="F5205" s="83">
        <f>SUMIFS(F5206:F6462,K5206:K6462,"0",B5206:B6462,"5 1 2 9 6 12 31111 6 M59 20500 000132 0000R 00001 00296 015 2112000*")</f>
        <v>581500</v>
      </c>
      <c r="G5205" s="83">
        <f>SUMIFS(G5206:G6462,K5206:K6462,"0",B5206:B6462,"5 1 2 9 6 12 31111 6 M59 20500 000132 0000R 00001 00296 015 2112000*")</f>
        <v>0</v>
      </c>
      <c r="H5205" s="83">
        <f t="shared" si="81"/>
        <v>581500</v>
      </c>
      <c r="I5205" s="83"/>
      <c r="K5205" s="54" t="s">
        <v>15</v>
      </c>
    </row>
    <row r="5206" spans="2:11" ht="33" x14ac:dyDescent="0.2">
      <c r="B5206" s="82" t="s">
        <v>8115</v>
      </c>
      <c r="C5206" s="82" t="s">
        <v>660</v>
      </c>
      <c r="D5206" s="83">
        <f>SUMIFS(D5207:D6462,K5207:K6462,"0",B5207:B6462,"5 1 2 9 6 12 31111 6 M59 20500 000132 0000R 00001 00296 015 2112000 2024*")-SUMIFS(E5207:E6462,K5207:K6462,"0",B5207:B6462,"5 1 2 9 6 12 31111 6 M59 20500 000132 0000R 00001 00296 015 2112000 2024*")</f>
        <v>0</v>
      </c>
      <c r="E5206" s="54"/>
      <c r="F5206" s="83">
        <f>SUMIFS(F5207:F6462,K5207:K6462,"0",B5207:B6462,"5 1 2 9 6 12 31111 6 M59 20500 000132 0000R 00001 00296 015 2112000 2024*")</f>
        <v>581500</v>
      </c>
      <c r="G5206" s="83">
        <f>SUMIFS(G5207:G6462,K5207:K6462,"0",B5207:B6462,"5 1 2 9 6 12 31111 6 M59 20500 000132 0000R 00001 00296 015 2112000 2024*")</f>
        <v>0</v>
      </c>
      <c r="H5206" s="83">
        <f t="shared" si="81"/>
        <v>581500</v>
      </c>
      <c r="I5206" s="83"/>
      <c r="K5206" s="54" t="s">
        <v>15</v>
      </c>
    </row>
    <row r="5207" spans="2:11" ht="41.25" x14ac:dyDescent="0.2">
      <c r="B5207" s="82" t="s">
        <v>8116</v>
      </c>
      <c r="C5207" s="82" t="s">
        <v>1056</v>
      </c>
      <c r="D5207" s="83">
        <f>SUMIFS(D5208:D6462,K5208:K6462,"0",B5208:B6462,"5 1 2 9 6 12 31111 6 M59 20500 000132 0000R 00001 00296 015 2112000 2024 CP1CP420*")-SUMIFS(E5208:E6462,K5208:K6462,"0",B5208:B6462,"5 1 2 9 6 12 31111 6 M59 20500 000132 0000R 00001 00296 015 2112000 2024 CP1CP420*")</f>
        <v>0</v>
      </c>
      <c r="E5207" s="54"/>
      <c r="F5207" s="83">
        <f>SUMIFS(F5208:F6462,K5208:K6462,"0",B5208:B6462,"5 1 2 9 6 12 31111 6 M59 20500 000132 0000R 00001 00296 015 2112000 2024 CP1CP420*")</f>
        <v>581500</v>
      </c>
      <c r="G5207" s="83">
        <f>SUMIFS(G5208:G6462,K5208:K6462,"0",B5208:B6462,"5 1 2 9 6 12 31111 6 M59 20500 000132 0000R 00001 00296 015 2112000 2024 CP1CP420*")</f>
        <v>0</v>
      </c>
      <c r="H5207" s="83">
        <f t="shared" si="81"/>
        <v>581500</v>
      </c>
      <c r="I5207" s="83"/>
      <c r="K5207" s="54" t="s">
        <v>15</v>
      </c>
    </row>
    <row r="5208" spans="2:11" ht="41.25" x14ac:dyDescent="0.2">
      <c r="B5208" s="82" t="s">
        <v>8117</v>
      </c>
      <c r="C5208" s="82" t="s">
        <v>282</v>
      </c>
      <c r="D5208" s="83">
        <f>SUMIFS(D5209:D6462,K5209:K6462,"0",B5209:B6462,"5 1 2 9 6 12 31111 6 M59 20500 000132 0000R 00001 00296 015 2112000 2024 CP1CP420 001*")-SUMIFS(E5209:E6462,K5209:K6462,"0",B5209:B6462,"5 1 2 9 6 12 31111 6 M59 20500 000132 0000R 00001 00296 015 2112000 2024 CP1CP420 001*")</f>
        <v>0</v>
      </c>
      <c r="E5208" s="54"/>
      <c r="F5208" s="83">
        <f>SUMIFS(F5209:F6462,K5209:K6462,"0",B5209:B6462,"5 1 2 9 6 12 31111 6 M59 20500 000132 0000R 00001 00296 015 2112000 2024 CP1CP420 001*")</f>
        <v>581500</v>
      </c>
      <c r="G5208" s="83">
        <f>SUMIFS(G5209:G6462,K5209:K6462,"0",B5209:B6462,"5 1 2 9 6 12 31111 6 M59 20500 000132 0000R 00001 00296 015 2112000 2024 CP1CP420 001*")</f>
        <v>0</v>
      </c>
      <c r="H5208" s="83">
        <f t="shared" si="81"/>
        <v>581500</v>
      </c>
      <c r="I5208" s="83"/>
      <c r="K5208" s="54" t="s">
        <v>15</v>
      </c>
    </row>
    <row r="5209" spans="2:11" ht="33" x14ac:dyDescent="0.2">
      <c r="B5209" s="84" t="s">
        <v>8118</v>
      </c>
      <c r="C5209" s="84" t="s">
        <v>8069</v>
      </c>
      <c r="D5209" s="85">
        <v>0</v>
      </c>
      <c r="E5209" s="85"/>
      <c r="F5209" s="85">
        <v>581500</v>
      </c>
      <c r="G5209" s="85">
        <v>0</v>
      </c>
      <c r="H5209" s="85">
        <f t="shared" si="81"/>
        <v>581500</v>
      </c>
      <c r="I5209" s="85"/>
      <c r="K5209" s="54" t="s">
        <v>38</v>
      </c>
    </row>
    <row r="5210" spans="2:11" ht="16.5" x14ac:dyDescent="0.2">
      <c r="B5210" s="82" t="s">
        <v>8173</v>
      </c>
      <c r="C5210" s="82" t="s">
        <v>1269</v>
      </c>
      <c r="D5210" s="83">
        <f>SUMIFS(D5211:D6462,K5211:K6462,"0",B5211:B6462,"5 1 2 9 6 12 31111 6 M59 60100*")-SUMIFS(E5211:E6462,K5211:K6462,"0",B5211:B6462,"5 1 2 9 6 12 31111 6 M59 60100*")</f>
        <v>0</v>
      </c>
      <c r="E5210" s="54"/>
      <c r="F5210" s="83">
        <f>SUMIFS(F5211:F6462,K5211:K6462,"0",B5211:B6462,"5 1 2 9 6 12 31111 6 M59 60100*")</f>
        <v>2375.0100000000002</v>
      </c>
      <c r="G5210" s="83">
        <f>SUMIFS(G5211:G6462,K5211:K6462,"0",B5211:B6462,"5 1 2 9 6 12 31111 6 M59 60100*")</f>
        <v>0</v>
      </c>
      <c r="H5210" s="83">
        <f t="shared" si="81"/>
        <v>2375.0100000000002</v>
      </c>
      <c r="I5210" s="83"/>
      <c r="K5210" s="54" t="s">
        <v>15</v>
      </c>
    </row>
    <row r="5211" spans="2:11" ht="16.5" x14ac:dyDescent="0.2">
      <c r="B5211" s="82" t="s">
        <v>8174</v>
      </c>
      <c r="C5211" s="82" t="s">
        <v>648</v>
      </c>
      <c r="D5211" s="83">
        <f>SUMIFS(D5212:D6462,K5212:K6462,"0",B5212:B6462,"5 1 2 9 6 12 31111 6 M59 60100 000132*")-SUMIFS(E5212:E6462,K5212:K6462,"0",B5212:B6462,"5 1 2 9 6 12 31111 6 M59 60100 000132*")</f>
        <v>0</v>
      </c>
      <c r="E5211" s="54"/>
      <c r="F5211" s="83">
        <f>SUMIFS(F5212:F6462,K5212:K6462,"0",B5212:B6462,"5 1 2 9 6 12 31111 6 M59 60100 000132*")</f>
        <v>2375.0100000000002</v>
      </c>
      <c r="G5211" s="83">
        <f>SUMIFS(G5212:G6462,K5212:K6462,"0",B5212:B6462,"5 1 2 9 6 12 31111 6 M59 60100 000132*")</f>
        <v>0</v>
      </c>
      <c r="H5211" s="83">
        <f t="shared" si="81"/>
        <v>2375.0100000000002</v>
      </c>
      <c r="I5211" s="83"/>
      <c r="K5211" s="54" t="s">
        <v>15</v>
      </c>
    </row>
    <row r="5212" spans="2:11" ht="24.75" x14ac:dyDescent="0.2">
      <c r="B5212" s="82" t="s">
        <v>8175</v>
      </c>
      <c r="C5212" s="82" t="s">
        <v>650</v>
      </c>
      <c r="D5212" s="83">
        <f>SUMIFS(D5213:D6462,K5213:K6462,"0",B5213:B6462,"5 1 2 9 6 12 31111 6 M59 60100 000132 0000R*")-SUMIFS(E5213:E6462,K5213:K6462,"0",B5213:B6462,"5 1 2 9 6 12 31111 6 M59 60100 000132 0000R*")</f>
        <v>0</v>
      </c>
      <c r="E5212" s="54"/>
      <c r="F5212" s="83">
        <f>SUMIFS(F5213:F6462,K5213:K6462,"0",B5213:B6462,"5 1 2 9 6 12 31111 6 M59 60100 000132 0000R*")</f>
        <v>2375.0100000000002</v>
      </c>
      <c r="G5212" s="83">
        <f>SUMIFS(G5213:G6462,K5213:K6462,"0",B5213:B6462,"5 1 2 9 6 12 31111 6 M59 60100 000132 0000R*")</f>
        <v>0</v>
      </c>
      <c r="H5212" s="83">
        <f t="shared" si="81"/>
        <v>2375.0100000000002</v>
      </c>
      <c r="I5212" s="83"/>
      <c r="K5212" s="54" t="s">
        <v>15</v>
      </c>
    </row>
    <row r="5213" spans="2:11" ht="24.75" x14ac:dyDescent="0.2">
      <c r="B5213" s="82" t="s">
        <v>8176</v>
      </c>
      <c r="C5213" s="82" t="s">
        <v>282</v>
      </c>
      <c r="D5213" s="83">
        <f>SUMIFS(D5214:D6462,K5214:K6462,"0",B5214:B6462,"5 1 2 9 6 12 31111 6 M59 60100 000132 0000R 00001*")-SUMIFS(E5214:E6462,K5214:K6462,"0",B5214:B6462,"5 1 2 9 6 12 31111 6 M59 60100 000132 0000R 00001*")</f>
        <v>0</v>
      </c>
      <c r="E5213" s="54"/>
      <c r="F5213" s="83">
        <f>SUMIFS(F5214:F6462,K5214:K6462,"0",B5214:B6462,"5 1 2 9 6 12 31111 6 M59 60100 000132 0000R 00001*")</f>
        <v>2375.0100000000002</v>
      </c>
      <c r="G5213" s="83">
        <f>SUMIFS(G5214:G6462,K5214:K6462,"0",B5214:B6462,"5 1 2 9 6 12 31111 6 M59 60100 000132 0000R 00001*")</f>
        <v>0</v>
      </c>
      <c r="H5213" s="83">
        <f t="shared" si="81"/>
        <v>2375.0100000000002</v>
      </c>
      <c r="I5213" s="83"/>
      <c r="K5213" s="54" t="s">
        <v>15</v>
      </c>
    </row>
    <row r="5214" spans="2:11" ht="24.75" x14ac:dyDescent="0.2">
      <c r="B5214" s="82" t="s">
        <v>8177</v>
      </c>
      <c r="C5214" s="82" t="s">
        <v>8079</v>
      </c>
      <c r="D5214" s="83">
        <f>SUMIFS(D5215:D6462,K5215:K6462,"0",B5215:B6462,"5 1 2 9 6 12 31111 6 M59 60100 000132 0000R 00001 00296*")-SUMIFS(E5215:E6462,K5215:K6462,"0",B5215:B6462,"5 1 2 9 6 12 31111 6 M59 60100 000132 0000R 00001 00296*")</f>
        <v>0</v>
      </c>
      <c r="E5214" s="54"/>
      <c r="F5214" s="83">
        <f>SUMIFS(F5215:F6462,K5215:K6462,"0",B5215:B6462,"5 1 2 9 6 12 31111 6 M59 60100 000132 0000R 00001 00296*")</f>
        <v>2375.0100000000002</v>
      </c>
      <c r="G5214" s="83">
        <f>SUMIFS(G5215:G6462,K5215:K6462,"0",B5215:B6462,"5 1 2 9 6 12 31111 6 M59 60100 000132 0000R 00001 00296*")</f>
        <v>0</v>
      </c>
      <c r="H5214" s="83">
        <f t="shared" si="81"/>
        <v>2375.0100000000002</v>
      </c>
      <c r="I5214" s="83"/>
      <c r="K5214" s="54" t="s">
        <v>15</v>
      </c>
    </row>
    <row r="5215" spans="2:11" ht="33" x14ac:dyDescent="0.2">
      <c r="B5215" s="82" t="s">
        <v>8178</v>
      </c>
      <c r="C5215" s="82" t="s">
        <v>1051</v>
      </c>
      <c r="D5215" s="83">
        <f>SUMIFS(D5216:D6462,K5216:K6462,"0",B5216:B6462,"5 1 2 9 6 12 31111 6 M59 60100 000132 0000R 00001 00296 015*")-SUMIFS(E5216:E6462,K5216:K6462,"0",B5216:B6462,"5 1 2 9 6 12 31111 6 M59 60100 000132 0000R 00001 00296 015*")</f>
        <v>0</v>
      </c>
      <c r="E5215" s="54"/>
      <c r="F5215" s="83">
        <f>SUMIFS(F5216:F6462,K5216:K6462,"0",B5216:B6462,"5 1 2 9 6 12 31111 6 M59 60100 000132 0000R 00001 00296 015*")</f>
        <v>2375.0100000000002</v>
      </c>
      <c r="G5215" s="83">
        <f>SUMIFS(G5216:G6462,K5216:K6462,"0",B5216:B6462,"5 1 2 9 6 12 31111 6 M59 60100 000132 0000R 00001 00296 015*")</f>
        <v>0</v>
      </c>
      <c r="H5215" s="83">
        <f t="shared" si="81"/>
        <v>2375.0100000000002</v>
      </c>
      <c r="I5215" s="83"/>
      <c r="K5215" s="54" t="s">
        <v>15</v>
      </c>
    </row>
    <row r="5216" spans="2:11" ht="33" x14ac:dyDescent="0.2">
      <c r="B5216" s="82" t="s">
        <v>8179</v>
      </c>
      <c r="C5216" s="82" t="s">
        <v>5830</v>
      </c>
      <c r="D5216" s="83">
        <f>SUMIFS(D5217:D6462,K5217:K6462,"0",B5217:B6462,"5 1 2 9 6 12 31111 6 M59 60100 000132 0000R 00001 00296 015 2112000*")-SUMIFS(E5217:E6462,K5217:K6462,"0",B5217:B6462,"5 1 2 9 6 12 31111 6 M59 60100 000132 0000R 00001 00296 015 2112000*")</f>
        <v>0</v>
      </c>
      <c r="E5216" s="54"/>
      <c r="F5216" s="83">
        <f>SUMIFS(F5217:F6462,K5217:K6462,"0",B5217:B6462,"5 1 2 9 6 12 31111 6 M59 60100 000132 0000R 00001 00296 015 2112000*")</f>
        <v>2375.0100000000002</v>
      </c>
      <c r="G5216" s="83">
        <f>SUMIFS(G5217:G6462,K5217:K6462,"0",B5217:B6462,"5 1 2 9 6 12 31111 6 M59 60100 000132 0000R 00001 00296 015 2112000*")</f>
        <v>0</v>
      </c>
      <c r="H5216" s="83">
        <f t="shared" si="81"/>
        <v>2375.0100000000002</v>
      </c>
      <c r="I5216" s="83"/>
      <c r="K5216" s="54" t="s">
        <v>15</v>
      </c>
    </row>
    <row r="5217" spans="2:11" ht="33" x14ac:dyDescent="0.2">
      <c r="B5217" s="82" t="s">
        <v>8180</v>
      </c>
      <c r="C5217" s="82" t="s">
        <v>660</v>
      </c>
      <c r="D5217" s="83">
        <f>SUMIFS(D5218:D6462,K5218:K6462,"0",B5218:B6462,"5 1 2 9 6 12 31111 6 M59 60100 000132 0000R 00001 00296 015 2112000 2024*")-SUMIFS(E5218:E6462,K5218:K6462,"0",B5218:B6462,"5 1 2 9 6 12 31111 6 M59 60100 000132 0000R 00001 00296 015 2112000 2024*")</f>
        <v>0</v>
      </c>
      <c r="E5217" s="54"/>
      <c r="F5217" s="83">
        <f>SUMIFS(F5218:F6462,K5218:K6462,"0",B5218:B6462,"5 1 2 9 6 12 31111 6 M59 60100 000132 0000R 00001 00296 015 2112000 2024*")</f>
        <v>2375.0100000000002</v>
      </c>
      <c r="G5217" s="83">
        <f>SUMIFS(G5218:G6462,K5218:K6462,"0",B5218:B6462,"5 1 2 9 6 12 31111 6 M59 60100 000132 0000R 00001 00296 015 2112000 2024*")</f>
        <v>0</v>
      </c>
      <c r="H5217" s="83">
        <f t="shared" si="81"/>
        <v>2375.0100000000002</v>
      </c>
      <c r="I5217" s="83"/>
      <c r="K5217" s="54" t="s">
        <v>15</v>
      </c>
    </row>
    <row r="5218" spans="2:11" ht="41.25" x14ac:dyDescent="0.2">
      <c r="B5218" s="82" t="s">
        <v>8181</v>
      </c>
      <c r="C5218" s="82" t="s">
        <v>1056</v>
      </c>
      <c r="D5218" s="83">
        <f>SUMIFS(D5219:D6462,K5219:K6462,"0",B5219:B6462,"5 1 2 9 6 12 31111 6 M59 60100 000132 0000R 00001 00296 015 2112000 2024 CP1DM394*")-SUMIFS(E5219:E6462,K5219:K6462,"0",B5219:B6462,"5 1 2 9 6 12 31111 6 M59 60100 000132 0000R 00001 00296 015 2112000 2024 CP1DM394*")</f>
        <v>0</v>
      </c>
      <c r="E5218" s="54"/>
      <c r="F5218" s="83">
        <f>SUMIFS(F5219:F6462,K5219:K6462,"0",B5219:B6462,"5 1 2 9 6 12 31111 6 M59 60100 000132 0000R 00001 00296 015 2112000 2024 CP1DM394*")</f>
        <v>2375.0100000000002</v>
      </c>
      <c r="G5218" s="83">
        <f>SUMIFS(G5219:G6462,K5219:K6462,"0",B5219:B6462,"5 1 2 9 6 12 31111 6 M59 60100 000132 0000R 00001 00296 015 2112000 2024 CP1DM394*")</f>
        <v>0</v>
      </c>
      <c r="H5218" s="83">
        <f t="shared" si="81"/>
        <v>2375.0100000000002</v>
      </c>
      <c r="I5218" s="83"/>
      <c r="K5218" s="54" t="s">
        <v>15</v>
      </c>
    </row>
    <row r="5219" spans="2:11" ht="41.25" x14ac:dyDescent="0.2">
      <c r="B5219" s="82" t="s">
        <v>8182</v>
      </c>
      <c r="C5219" s="82" t="s">
        <v>282</v>
      </c>
      <c r="D5219" s="83">
        <f>SUMIFS(D5220:D6462,K5220:K6462,"0",B5220:B6462,"5 1 2 9 6 12 31111 6 M59 60100 000132 0000R 00001 00296 015 2112000 2024 CP1DM394 001*")-SUMIFS(E5220:E6462,K5220:K6462,"0",B5220:B6462,"5 1 2 9 6 12 31111 6 M59 60100 000132 0000R 00001 00296 015 2112000 2024 CP1DM394 001*")</f>
        <v>0</v>
      </c>
      <c r="E5219" s="54"/>
      <c r="F5219" s="83">
        <f>SUMIFS(F5220:F6462,K5220:K6462,"0",B5220:B6462,"5 1 2 9 6 12 31111 6 M59 60100 000132 0000R 00001 00296 015 2112000 2024 CP1DM394 001*")</f>
        <v>2375.0100000000002</v>
      </c>
      <c r="G5219" s="83">
        <f>SUMIFS(G5220:G6462,K5220:K6462,"0",B5220:B6462,"5 1 2 9 6 12 31111 6 M59 60100 000132 0000R 00001 00296 015 2112000 2024 CP1DM394 001*")</f>
        <v>0</v>
      </c>
      <c r="H5219" s="83">
        <f t="shared" si="81"/>
        <v>2375.0100000000002</v>
      </c>
      <c r="I5219" s="83"/>
      <c r="K5219" s="54" t="s">
        <v>15</v>
      </c>
    </row>
    <row r="5220" spans="2:11" ht="33" x14ac:dyDescent="0.2">
      <c r="B5220" s="84" t="s">
        <v>8183</v>
      </c>
      <c r="C5220" s="84" t="s">
        <v>8079</v>
      </c>
      <c r="D5220" s="85">
        <v>0</v>
      </c>
      <c r="E5220" s="85"/>
      <c r="F5220" s="85">
        <v>2375.0100000000002</v>
      </c>
      <c r="G5220" s="85">
        <v>0</v>
      </c>
      <c r="H5220" s="85">
        <f t="shared" si="81"/>
        <v>2375.0100000000002</v>
      </c>
      <c r="I5220" s="85"/>
      <c r="K5220" s="54" t="s">
        <v>38</v>
      </c>
    </row>
    <row r="5221" spans="2:11" ht="16.5" x14ac:dyDescent="0.2">
      <c r="B5221" s="82" t="s">
        <v>8184</v>
      </c>
      <c r="C5221" s="82" t="s">
        <v>3608</v>
      </c>
      <c r="D5221" s="83">
        <f>SUMIFS(D5222:D6462,K5222:K6462,"0",B5222:B6462,"5 1 2 9 6 12 31111 6 M59 91000*")-SUMIFS(E5222:E6462,K5222:K6462,"0",B5222:B6462,"5 1 2 9 6 12 31111 6 M59 91000*")</f>
        <v>0</v>
      </c>
      <c r="E5221" s="54"/>
      <c r="F5221" s="83">
        <f>SUMIFS(F5222:F6462,K5222:K6462,"0",B5222:B6462,"5 1 2 9 6 12 31111 6 M59 91000*")</f>
        <v>3099.98</v>
      </c>
      <c r="G5221" s="83">
        <f>SUMIFS(G5222:G6462,K5222:K6462,"0",B5222:B6462,"5 1 2 9 6 12 31111 6 M59 91000*")</f>
        <v>0</v>
      </c>
      <c r="H5221" s="83">
        <f t="shared" si="81"/>
        <v>3099.98</v>
      </c>
      <c r="I5221" s="83"/>
      <c r="K5221" s="54" t="s">
        <v>15</v>
      </c>
    </row>
    <row r="5222" spans="2:11" ht="16.5" x14ac:dyDescent="0.2">
      <c r="B5222" s="82" t="s">
        <v>8185</v>
      </c>
      <c r="C5222" s="82" t="s">
        <v>648</v>
      </c>
      <c r="D5222" s="83">
        <f>SUMIFS(D5223:D6462,K5223:K6462,"0",B5223:B6462,"5 1 2 9 6 12 31111 6 M59 91000 000132*")-SUMIFS(E5223:E6462,K5223:K6462,"0",B5223:B6462,"5 1 2 9 6 12 31111 6 M59 91000 000132*")</f>
        <v>0</v>
      </c>
      <c r="E5222" s="54"/>
      <c r="F5222" s="83">
        <f>SUMIFS(F5223:F6462,K5223:K6462,"0",B5223:B6462,"5 1 2 9 6 12 31111 6 M59 91000 000132*")</f>
        <v>3099.98</v>
      </c>
      <c r="G5222" s="83">
        <f>SUMIFS(G5223:G6462,K5223:K6462,"0",B5223:B6462,"5 1 2 9 6 12 31111 6 M59 91000 000132*")</f>
        <v>0</v>
      </c>
      <c r="H5222" s="83">
        <f t="shared" si="81"/>
        <v>3099.98</v>
      </c>
      <c r="I5222" s="83"/>
      <c r="K5222" s="54" t="s">
        <v>15</v>
      </c>
    </row>
    <row r="5223" spans="2:11" ht="24.75" x14ac:dyDescent="0.2">
      <c r="B5223" s="82" t="s">
        <v>8186</v>
      </c>
      <c r="C5223" s="82" t="s">
        <v>650</v>
      </c>
      <c r="D5223" s="83">
        <f>SUMIFS(D5224:D6462,K5224:K6462,"0",B5224:B6462,"5 1 2 9 6 12 31111 6 M59 91000 000132 0000R*")-SUMIFS(E5224:E6462,K5224:K6462,"0",B5224:B6462,"5 1 2 9 6 12 31111 6 M59 91000 000132 0000R*")</f>
        <v>0</v>
      </c>
      <c r="E5223" s="54"/>
      <c r="F5223" s="83">
        <f>SUMIFS(F5224:F6462,K5224:K6462,"0",B5224:B6462,"5 1 2 9 6 12 31111 6 M59 91000 000132 0000R*")</f>
        <v>3099.98</v>
      </c>
      <c r="G5223" s="83">
        <f>SUMIFS(G5224:G6462,K5224:K6462,"0",B5224:B6462,"5 1 2 9 6 12 31111 6 M59 91000 000132 0000R*")</f>
        <v>0</v>
      </c>
      <c r="H5223" s="83">
        <f t="shared" si="81"/>
        <v>3099.98</v>
      </c>
      <c r="I5223" s="83"/>
      <c r="K5223" s="54" t="s">
        <v>15</v>
      </c>
    </row>
    <row r="5224" spans="2:11" ht="24.75" x14ac:dyDescent="0.2">
      <c r="B5224" s="82" t="s">
        <v>8187</v>
      </c>
      <c r="C5224" s="82" t="s">
        <v>282</v>
      </c>
      <c r="D5224" s="83">
        <f>SUMIFS(D5225:D6462,K5225:K6462,"0",B5225:B6462,"5 1 2 9 6 12 31111 6 M59 91000 000132 0000R 00001*")-SUMIFS(E5225:E6462,K5225:K6462,"0",B5225:B6462,"5 1 2 9 6 12 31111 6 M59 91000 000132 0000R 00001*")</f>
        <v>0</v>
      </c>
      <c r="E5224" s="54"/>
      <c r="F5224" s="83">
        <f>SUMIFS(F5225:F6462,K5225:K6462,"0",B5225:B6462,"5 1 2 9 6 12 31111 6 M59 91000 000132 0000R 00001*")</f>
        <v>3099.98</v>
      </c>
      <c r="G5224" s="83">
        <f>SUMIFS(G5225:G6462,K5225:K6462,"0",B5225:B6462,"5 1 2 9 6 12 31111 6 M59 91000 000132 0000R 00001*")</f>
        <v>0</v>
      </c>
      <c r="H5224" s="83">
        <f t="shared" si="81"/>
        <v>3099.98</v>
      </c>
      <c r="I5224" s="83"/>
      <c r="K5224" s="54" t="s">
        <v>15</v>
      </c>
    </row>
    <row r="5225" spans="2:11" ht="24.75" x14ac:dyDescent="0.2">
      <c r="B5225" s="82" t="s">
        <v>8188</v>
      </c>
      <c r="C5225" s="82" t="s">
        <v>8079</v>
      </c>
      <c r="D5225" s="83">
        <f>SUMIFS(D5226:D6462,K5226:K6462,"0",B5226:B6462,"5 1 2 9 6 12 31111 6 M59 91000 000132 0000R 00001 00296*")-SUMIFS(E5226:E6462,K5226:K6462,"0",B5226:B6462,"5 1 2 9 6 12 31111 6 M59 91000 000132 0000R 00001 00296*")</f>
        <v>0</v>
      </c>
      <c r="E5225" s="54"/>
      <c r="F5225" s="83">
        <f>SUMIFS(F5226:F6462,K5226:K6462,"0",B5226:B6462,"5 1 2 9 6 12 31111 6 M59 91000 000132 0000R 00001 00296*")</f>
        <v>3099.98</v>
      </c>
      <c r="G5225" s="83">
        <f>SUMIFS(G5226:G6462,K5226:K6462,"0",B5226:B6462,"5 1 2 9 6 12 31111 6 M59 91000 000132 0000R 00001 00296*")</f>
        <v>0</v>
      </c>
      <c r="H5225" s="83">
        <f t="shared" si="81"/>
        <v>3099.98</v>
      </c>
      <c r="I5225" s="83"/>
      <c r="K5225" s="54" t="s">
        <v>15</v>
      </c>
    </row>
    <row r="5226" spans="2:11" ht="33" x14ac:dyDescent="0.2">
      <c r="B5226" s="82" t="s">
        <v>8189</v>
      </c>
      <c r="C5226" s="82" t="s">
        <v>1051</v>
      </c>
      <c r="D5226" s="83">
        <f>SUMIFS(D5227:D6462,K5227:K6462,"0",B5227:B6462,"5 1 2 9 6 12 31111 6 M59 91000 000132 0000R 00001 00296 015*")-SUMIFS(E5227:E6462,K5227:K6462,"0",B5227:B6462,"5 1 2 9 6 12 31111 6 M59 91000 000132 0000R 00001 00296 015*")</f>
        <v>0</v>
      </c>
      <c r="E5226" s="54"/>
      <c r="F5226" s="83">
        <f>SUMIFS(F5227:F6462,K5227:K6462,"0",B5227:B6462,"5 1 2 9 6 12 31111 6 M59 91000 000132 0000R 00001 00296 015*")</f>
        <v>3099.98</v>
      </c>
      <c r="G5226" s="83">
        <f>SUMIFS(G5227:G6462,K5227:K6462,"0",B5227:B6462,"5 1 2 9 6 12 31111 6 M59 91000 000132 0000R 00001 00296 015*")</f>
        <v>0</v>
      </c>
      <c r="H5226" s="83">
        <f t="shared" si="81"/>
        <v>3099.98</v>
      </c>
      <c r="I5226" s="83"/>
      <c r="K5226" s="54" t="s">
        <v>15</v>
      </c>
    </row>
    <row r="5227" spans="2:11" ht="33" x14ac:dyDescent="0.2">
      <c r="B5227" s="82" t="s">
        <v>8190</v>
      </c>
      <c r="C5227" s="82" t="s">
        <v>5830</v>
      </c>
      <c r="D5227" s="83">
        <f>SUMIFS(D5228:D6462,K5228:K6462,"0",B5228:B6462,"5 1 2 9 6 12 31111 6 M59 91000 000132 0000R 00001 00296 015 2112000*")-SUMIFS(E5228:E6462,K5228:K6462,"0",B5228:B6462,"5 1 2 9 6 12 31111 6 M59 91000 000132 0000R 00001 00296 015 2112000*")</f>
        <v>0</v>
      </c>
      <c r="E5227" s="54"/>
      <c r="F5227" s="83">
        <f>SUMIFS(F5228:F6462,K5228:K6462,"0",B5228:B6462,"5 1 2 9 6 12 31111 6 M59 91000 000132 0000R 00001 00296 015 2112000*")</f>
        <v>3099.98</v>
      </c>
      <c r="G5227" s="83">
        <f>SUMIFS(G5228:G6462,K5228:K6462,"0",B5228:B6462,"5 1 2 9 6 12 31111 6 M59 91000 000132 0000R 00001 00296 015 2112000*")</f>
        <v>0</v>
      </c>
      <c r="H5227" s="83">
        <f t="shared" ref="H5227:H5290" si="82">D5227 + F5227 - G5227</f>
        <v>3099.98</v>
      </c>
      <c r="I5227" s="83"/>
      <c r="K5227" s="54" t="s">
        <v>15</v>
      </c>
    </row>
    <row r="5228" spans="2:11" ht="33" x14ac:dyDescent="0.2">
      <c r="B5228" s="82" t="s">
        <v>8191</v>
      </c>
      <c r="C5228" s="82" t="s">
        <v>660</v>
      </c>
      <c r="D5228" s="83">
        <f>SUMIFS(D5229:D6462,K5229:K6462,"0",B5229:B6462,"5 1 2 9 6 12 31111 6 M59 91000 000132 0000R 00001 00296 015 2112000 2024*")-SUMIFS(E5229:E6462,K5229:K6462,"0",B5229:B6462,"5 1 2 9 6 12 31111 6 M59 91000 000132 0000R 00001 00296 015 2112000 2024*")</f>
        <v>0</v>
      </c>
      <c r="E5228" s="54"/>
      <c r="F5228" s="83">
        <f>SUMIFS(F5229:F6462,K5229:K6462,"0",B5229:B6462,"5 1 2 9 6 12 31111 6 M59 91000 000132 0000R 00001 00296 015 2112000 2024*")</f>
        <v>3099.98</v>
      </c>
      <c r="G5228" s="83">
        <f>SUMIFS(G5229:G6462,K5229:K6462,"0",B5229:B6462,"5 1 2 9 6 12 31111 6 M59 91000 000132 0000R 00001 00296 015 2112000 2024*")</f>
        <v>0</v>
      </c>
      <c r="H5228" s="83">
        <f t="shared" si="82"/>
        <v>3099.98</v>
      </c>
      <c r="I5228" s="83"/>
      <c r="K5228" s="54" t="s">
        <v>15</v>
      </c>
    </row>
    <row r="5229" spans="2:11" ht="41.25" x14ac:dyDescent="0.2">
      <c r="B5229" s="82" t="s">
        <v>8192</v>
      </c>
      <c r="C5229" s="82" t="s">
        <v>1056</v>
      </c>
      <c r="D5229" s="83">
        <f>SUMIFS(D5230:D6462,K5230:K6462,"0",B5230:B6462,"5 1 2 9 6 12 31111 6 M59 91000 000132 0000R 00001 00296 015 2112000 2024 CP1RE398*")-SUMIFS(E5230:E6462,K5230:K6462,"0",B5230:B6462,"5 1 2 9 6 12 31111 6 M59 91000 000132 0000R 00001 00296 015 2112000 2024 CP1RE398*")</f>
        <v>0</v>
      </c>
      <c r="E5229" s="54"/>
      <c r="F5229" s="83">
        <f>SUMIFS(F5230:F6462,K5230:K6462,"0",B5230:B6462,"5 1 2 9 6 12 31111 6 M59 91000 000132 0000R 00001 00296 015 2112000 2024 CP1RE398*")</f>
        <v>3099.98</v>
      </c>
      <c r="G5229" s="83">
        <f>SUMIFS(G5230:G6462,K5230:K6462,"0",B5230:B6462,"5 1 2 9 6 12 31111 6 M59 91000 000132 0000R 00001 00296 015 2112000 2024 CP1RE398*")</f>
        <v>0</v>
      </c>
      <c r="H5229" s="83">
        <f t="shared" si="82"/>
        <v>3099.98</v>
      </c>
      <c r="I5229" s="83"/>
      <c r="K5229" s="54" t="s">
        <v>15</v>
      </c>
    </row>
    <row r="5230" spans="2:11" ht="41.25" x14ac:dyDescent="0.2">
      <c r="B5230" s="82" t="s">
        <v>8193</v>
      </c>
      <c r="C5230" s="82" t="s">
        <v>282</v>
      </c>
      <c r="D5230" s="83">
        <f>SUMIFS(D5231:D6462,K5231:K6462,"0",B5231:B6462,"5 1 2 9 6 12 31111 6 M59 91000 000132 0000R 00001 00296 015 2112000 2024 CP1RE398 001*")-SUMIFS(E5231:E6462,K5231:K6462,"0",B5231:B6462,"5 1 2 9 6 12 31111 6 M59 91000 000132 0000R 00001 00296 015 2112000 2024 CP1RE398 001*")</f>
        <v>0</v>
      </c>
      <c r="E5230" s="54"/>
      <c r="F5230" s="83">
        <f>SUMIFS(F5231:F6462,K5231:K6462,"0",B5231:B6462,"5 1 2 9 6 12 31111 6 M59 91000 000132 0000R 00001 00296 015 2112000 2024 CP1RE398 001*")</f>
        <v>3099.98</v>
      </c>
      <c r="G5230" s="83">
        <f>SUMIFS(G5231:G6462,K5231:K6462,"0",B5231:B6462,"5 1 2 9 6 12 31111 6 M59 91000 000132 0000R 00001 00296 015 2112000 2024 CP1RE398 001*")</f>
        <v>0</v>
      </c>
      <c r="H5230" s="83">
        <f t="shared" si="82"/>
        <v>3099.98</v>
      </c>
      <c r="I5230" s="83"/>
      <c r="K5230" s="54" t="s">
        <v>15</v>
      </c>
    </row>
    <row r="5231" spans="2:11" ht="33" x14ac:dyDescent="0.2">
      <c r="B5231" s="84" t="s">
        <v>8194</v>
      </c>
      <c r="C5231" s="84" t="s">
        <v>8079</v>
      </c>
      <c r="D5231" s="85">
        <v>0</v>
      </c>
      <c r="E5231" s="85"/>
      <c r="F5231" s="85">
        <v>3099.98</v>
      </c>
      <c r="G5231" s="85">
        <v>0</v>
      </c>
      <c r="H5231" s="85">
        <f t="shared" si="82"/>
        <v>3099.98</v>
      </c>
      <c r="I5231" s="85"/>
      <c r="K5231" s="54" t="s">
        <v>38</v>
      </c>
    </row>
    <row r="5232" spans="2:11" ht="16.5" x14ac:dyDescent="0.2">
      <c r="B5232" s="82" t="s">
        <v>8195</v>
      </c>
      <c r="C5232" s="82" t="s">
        <v>3693</v>
      </c>
      <c r="D5232" s="83">
        <f>SUMIFS(D5233:D6462,K5233:K6462,"0",B5233:B6462,"5 1 2 9 6 12 31111 6 M59 96100*")-SUMIFS(E5233:E6462,K5233:K6462,"0",B5233:B6462,"5 1 2 9 6 12 31111 6 M59 96100*")</f>
        <v>0</v>
      </c>
      <c r="E5232" s="54"/>
      <c r="F5232" s="83">
        <f>SUMIFS(F5233:F6462,K5233:K6462,"0",B5233:B6462,"5 1 2 9 6 12 31111 6 M59 96100*")</f>
        <v>2550.12</v>
      </c>
      <c r="G5232" s="83">
        <f>SUMIFS(G5233:G6462,K5233:K6462,"0",B5233:B6462,"5 1 2 9 6 12 31111 6 M59 96100*")</f>
        <v>0</v>
      </c>
      <c r="H5232" s="83">
        <f t="shared" si="82"/>
        <v>2550.12</v>
      </c>
      <c r="I5232" s="83"/>
      <c r="K5232" s="54" t="s">
        <v>15</v>
      </c>
    </row>
    <row r="5233" spans="2:11" ht="16.5" x14ac:dyDescent="0.2">
      <c r="B5233" s="82" t="s">
        <v>8196</v>
      </c>
      <c r="C5233" s="82" t="s">
        <v>1310</v>
      </c>
      <c r="D5233" s="83">
        <f>SUMIFS(D5234:D6462,K5234:K6462,"0",B5234:B6462,"5 1 2 9 6 12 31111 6 M59 96100 000211*")-SUMIFS(E5234:E6462,K5234:K6462,"0",B5234:B6462,"5 1 2 9 6 12 31111 6 M59 96100 000211*")</f>
        <v>0</v>
      </c>
      <c r="E5233" s="54"/>
      <c r="F5233" s="83">
        <f>SUMIFS(F5234:F6462,K5234:K6462,"0",B5234:B6462,"5 1 2 9 6 12 31111 6 M59 96100 000211*")</f>
        <v>2550.12</v>
      </c>
      <c r="G5233" s="83">
        <f>SUMIFS(G5234:G6462,K5234:K6462,"0",B5234:B6462,"5 1 2 9 6 12 31111 6 M59 96100 000211*")</f>
        <v>0</v>
      </c>
      <c r="H5233" s="83">
        <f t="shared" si="82"/>
        <v>2550.12</v>
      </c>
      <c r="I5233" s="83"/>
      <c r="K5233" s="54" t="s">
        <v>15</v>
      </c>
    </row>
    <row r="5234" spans="2:11" ht="24.75" x14ac:dyDescent="0.2">
      <c r="B5234" s="82" t="s">
        <v>8197</v>
      </c>
      <c r="C5234" s="82" t="s">
        <v>3696</v>
      </c>
      <c r="D5234" s="83">
        <f>SUMIFS(D5235:D6462,K5235:K6462,"0",B5235:B6462,"5 1 2 9 6 12 31111 6 M59 96100 000211 0000U*")-SUMIFS(E5235:E6462,K5235:K6462,"0",B5235:B6462,"5 1 2 9 6 12 31111 6 M59 96100 000211 0000U*")</f>
        <v>0</v>
      </c>
      <c r="E5234" s="54"/>
      <c r="F5234" s="83">
        <f>SUMIFS(F5235:F6462,K5235:K6462,"0",B5235:B6462,"5 1 2 9 6 12 31111 6 M59 96100 000211 0000U*")</f>
        <v>2550.12</v>
      </c>
      <c r="G5234" s="83">
        <f>SUMIFS(G5235:G6462,K5235:K6462,"0",B5235:B6462,"5 1 2 9 6 12 31111 6 M59 96100 000211 0000U*")</f>
        <v>0</v>
      </c>
      <c r="H5234" s="83">
        <f t="shared" si="82"/>
        <v>2550.12</v>
      </c>
      <c r="I5234" s="83"/>
      <c r="K5234" s="54" t="s">
        <v>15</v>
      </c>
    </row>
    <row r="5235" spans="2:11" ht="24.75" x14ac:dyDescent="0.2">
      <c r="B5235" s="82" t="s">
        <v>8198</v>
      </c>
      <c r="C5235" s="82" t="s">
        <v>282</v>
      </c>
      <c r="D5235" s="83">
        <f>SUMIFS(D5236:D6462,K5236:K6462,"0",B5236:B6462,"5 1 2 9 6 12 31111 6 M59 96100 000211 0000U 00001*")-SUMIFS(E5236:E6462,K5236:K6462,"0",B5236:B6462,"5 1 2 9 6 12 31111 6 M59 96100 000211 0000U 00001*")</f>
        <v>0</v>
      </c>
      <c r="E5235" s="54"/>
      <c r="F5235" s="83">
        <f>SUMIFS(F5236:F6462,K5236:K6462,"0",B5236:B6462,"5 1 2 9 6 12 31111 6 M59 96100 000211 0000U 00001*")</f>
        <v>2550.12</v>
      </c>
      <c r="G5235" s="83">
        <f>SUMIFS(G5236:G6462,K5236:K6462,"0",B5236:B6462,"5 1 2 9 6 12 31111 6 M59 96100 000211 0000U 00001*")</f>
        <v>0</v>
      </c>
      <c r="H5235" s="83">
        <f t="shared" si="82"/>
        <v>2550.12</v>
      </c>
      <c r="I5235" s="83"/>
      <c r="K5235" s="54" t="s">
        <v>15</v>
      </c>
    </row>
    <row r="5236" spans="2:11" ht="24.75" x14ac:dyDescent="0.2">
      <c r="B5236" s="82" t="s">
        <v>8199</v>
      </c>
      <c r="C5236" s="82" t="s">
        <v>8079</v>
      </c>
      <c r="D5236" s="83">
        <f>SUMIFS(D5237:D6462,K5237:K6462,"0",B5237:B6462,"5 1 2 9 6 12 31111 6 M59 96100 000211 0000U 00001 00296*")-SUMIFS(E5237:E6462,K5237:K6462,"0",B5237:B6462,"5 1 2 9 6 12 31111 6 M59 96100 000211 0000U 00001 00296*")</f>
        <v>0</v>
      </c>
      <c r="E5236" s="54"/>
      <c r="F5236" s="83">
        <f>SUMIFS(F5237:F6462,K5237:K6462,"0",B5237:B6462,"5 1 2 9 6 12 31111 6 M59 96100 000211 0000U 00001 00296*")</f>
        <v>2550.12</v>
      </c>
      <c r="G5236" s="83">
        <f>SUMIFS(G5237:G6462,K5237:K6462,"0",B5237:B6462,"5 1 2 9 6 12 31111 6 M59 96100 000211 0000U 00001 00296*")</f>
        <v>0</v>
      </c>
      <c r="H5236" s="83">
        <f t="shared" si="82"/>
        <v>2550.12</v>
      </c>
      <c r="I5236" s="83"/>
      <c r="K5236" s="54" t="s">
        <v>15</v>
      </c>
    </row>
    <row r="5237" spans="2:11" ht="33" x14ac:dyDescent="0.2">
      <c r="B5237" s="82" t="s">
        <v>8200</v>
      </c>
      <c r="C5237" s="82" t="s">
        <v>1051</v>
      </c>
      <c r="D5237" s="83">
        <f>SUMIFS(D5238:D6462,K5238:K6462,"0",B5238:B6462,"5 1 2 9 6 12 31111 6 M59 96100 000211 0000U 00001 00296 015*")-SUMIFS(E5238:E6462,K5238:K6462,"0",B5238:B6462,"5 1 2 9 6 12 31111 6 M59 96100 000211 0000U 00001 00296 015*")</f>
        <v>0</v>
      </c>
      <c r="E5237" s="54"/>
      <c r="F5237" s="83">
        <f>SUMIFS(F5238:F6462,K5238:K6462,"0",B5238:B6462,"5 1 2 9 6 12 31111 6 M59 96100 000211 0000U 00001 00296 015*")</f>
        <v>2550.12</v>
      </c>
      <c r="G5237" s="83">
        <f>SUMIFS(G5238:G6462,K5238:K6462,"0",B5238:B6462,"5 1 2 9 6 12 31111 6 M59 96100 000211 0000U 00001 00296 015*")</f>
        <v>0</v>
      </c>
      <c r="H5237" s="83">
        <f t="shared" si="82"/>
        <v>2550.12</v>
      </c>
      <c r="I5237" s="83"/>
      <c r="K5237" s="54" t="s">
        <v>15</v>
      </c>
    </row>
    <row r="5238" spans="2:11" ht="33" x14ac:dyDescent="0.2">
      <c r="B5238" s="82" t="s">
        <v>8201</v>
      </c>
      <c r="C5238" s="82" t="s">
        <v>5830</v>
      </c>
      <c r="D5238" s="83">
        <f>SUMIFS(D5239:D6462,K5239:K6462,"0",B5239:B6462,"5 1 2 9 6 12 31111 6 M59 96100 000211 0000U 00001 00296 015 2112000*")-SUMIFS(E5239:E6462,K5239:K6462,"0",B5239:B6462,"5 1 2 9 6 12 31111 6 M59 96100 000211 0000U 00001 00296 015 2112000*")</f>
        <v>0</v>
      </c>
      <c r="E5238" s="54"/>
      <c r="F5238" s="83">
        <f>SUMIFS(F5239:F6462,K5239:K6462,"0",B5239:B6462,"5 1 2 9 6 12 31111 6 M59 96100 000211 0000U 00001 00296 015 2112000*")</f>
        <v>2550.12</v>
      </c>
      <c r="G5238" s="83">
        <f>SUMIFS(G5239:G6462,K5239:K6462,"0",B5239:B6462,"5 1 2 9 6 12 31111 6 M59 96100 000211 0000U 00001 00296 015 2112000*")</f>
        <v>0</v>
      </c>
      <c r="H5238" s="83">
        <f t="shared" si="82"/>
        <v>2550.12</v>
      </c>
      <c r="I5238" s="83"/>
      <c r="K5238" s="54" t="s">
        <v>15</v>
      </c>
    </row>
    <row r="5239" spans="2:11" ht="33" x14ac:dyDescent="0.2">
      <c r="B5239" s="82" t="s">
        <v>8202</v>
      </c>
      <c r="C5239" s="82" t="s">
        <v>660</v>
      </c>
      <c r="D5239" s="83">
        <f>SUMIFS(D5240:D6462,K5240:K6462,"0",B5240:B6462,"5 1 2 9 6 12 31111 6 M59 96100 000211 0000U 00001 00296 015 2112000 2024*")-SUMIFS(E5240:E6462,K5240:K6462,"0",B5240:B6462,"5 1 2 9 6 12 31111 6 M59 96100 000211 0000U 00001 00296 015 2112000 2024*")</f>
        <v>0</v>
      </c>
      <c r="E5239" s="54"/>
      <c r="F5239" s="83">
        <f>SUMIFS(F5240:F6462,K5240:K6462,"0",B5240:B6462,"5 1 2 9 6 12 31111 6 M59 96100 000211 0000U 00001 00296 015 2112000 2024*")</f>
        <v>2550.12</v>
      </c>
      <c r="G5239" s="83">
        <f>SUMIFS(G5240:G6462,K5240:K6462,"0",B5240:B6462,"5 1 2 9 6 12 31111 6 M59 96100 000211 0000U 00001 00296 015 2112000 2024*")</f>
        <v>0</v>
      </c>
      <c r="H5239" s="83">
        <f t="shared" si="82"/>
        <v>2550.12</v>
      </c>
      <c r="I5239" s="83"/>
      <c r="K5239" s="54" t="s">
        <v>15</v>
      </c>
    </row>
    <row r="5240" spans="2:11" ht="41.25" x14ac:dyDescent="0.2">
      <c r="B5240" s="82" t="s">
        <v>8203</v>
      </c>
      <c r="C5240" s="82" t="s">
        <v>1056</v>
      </c>
      <c r="D5240" s="83">
        <f>SUMIFS(D5241:D6462,K5241:K6462,"0",B5241:B6462,"5 1 2 9 6 12 31111 6 M59 96100 000211 0000U 00001 00296 015 2112000 2024 CP1IU412*")-SUMIFS(E5241:E6462,K5241:K6462,"0",B5241:B6462,"5 1 2 9 6 12 31111 6 M59 96100 000211 0000U 00001 00296 015 2112000 2024 CP1IU412*")</f>
        <v>0</v>
      </c>
      <c r="E5240" s="54"/>
      <c r="F5240" s="83">
        <f>SUMIFS(F5241:F6462,K5241:K6462,"0",B5241:B6462,"5 1 2 9 6 12 31111 6 M59 96100 000211 0000U 00001 00296 015 2112000 2024 CP1IU412*")</f>
        <v>2550.12</v>
      </c>
      <c r="G5240" s="83">
        <f>SUMIFS(G5241:G6462,K5241:K6462,"0",B5241:B6462,"5 1 2 9 6 12 31111 6 M59 96100 000211 0000U 00001 00296 015 2112000 2024 CP1IU412*")</f>
        <v>0</v>
      </c>
      <c r="H5240" s="83">
        <f t="shared" si="82"/>
        <v>2550.12</v>
      </c>
      <c r="I5240" s="83"/>
      <c r="K5240" s="54" t="s">
        <v>15</v>
      </c>
    </row>
    <row r="5241" spans="2:11" ht="41.25" x14ac:dyDescent="0.2">
      <c r="B5241" s="82" t="s">
        <v>8204</v>
      </c>
      <c r="C5241" s="82" t="s">
        <v>282</v>
      </c>
      <c r="D5241" s="83">
        <f>SUMIFS(D5242:D6462,K5242:K6462,"0",B5242:B6462,"5 1 2 9 6 12 31111 6 M59 96100 000211 0000U 00001 00296 015 2112000 2024 CP1IU412 001*")-SUMIFS(E5242:E6462,K5242:K6462,"0",B5242:B6462,"5 1 2 9 6 12 31111 6 M59 96100 000211 0000U 00001 00296 015 2112000 2024 CP1IU412 001*")</f>
        <v>0</v>
      </c>
      <c r="E5241" s="54"/>
      <c r="F5241" s="83">
        <f>SUMIFS(F5242:F6462,K5242:K6462,"0",B5242:B6462,"5 1 2 9 6 12 31111 6 M59 96100 000211 0000U 00001 00296 015 2112000 2024 CP1IU412 001*")</f>
        <v>2550.12</v>
      </c>
      <c r="G5241" s="83">
        <f>SUMIFS(G5242:G6462,K5242:K6462,"0",B5242:B6462,"5 1 2 9 6 12 31111 6 M59 96100 000211 0000U 00001 00296 015 2112000 2024 CP1IU412 001*")</f>
        <v>0</v>
      </c>
      <c r="H5241" s="83">
        <f t="shared" si="82"/>
        <v>2550.12</v>
      </c>
      <c r="I5241" s="83"/>
      <c r="K5241" s="54" t="s">
        <v>15</v>
      </c>
    </row>
    <row r="5242" spans="2:11" ht="33" x14ac:dyDescent="0.2">
      <c r="B5242" s="84" t="s">
        <v>8205</v>
      </c>
      <c r="C5242" s="84" t="s">
        <v>8079</v>
      </c>
      <c r="D5242" s="85">
        <v>0</v>
      </c>
      <c r="E5242" s="85"/>
      <c r="F5242" s="85">
        <v>2550.12</v>
      </c>
      <c r="G5242" s="85">
        <v>0</v>
      </c>
      <c r="H5242" s="85">
        <f t="shared" si="82"/>
        <v>2550.12</v>
      </c>
      <c r="I5242" s="85"/>
      <c r="K5242" s="54" t="s">
        <v>38</v>
      </c>
    </row>
    <row r="5243" spans="2:11" ht="16.5" x14ac:dyDescent="0.2">
      <c r="B5243" s="82" t="s">
        <v>8206</v>
      </c>
      <c r="C5243" s="82" t="s">
        <v>3706</v>
      </c>
      <c r="D5243" s="83">
        <f>SUMIFS(D5244:D6462,K5244:K6462,"0",B5244:B6462,"5 1 2 9 6 12 31111 6 M59 96200*")-SUMIFS(E5244:E6462,K5244:K6462,"0",B5244:B6462,"5 1 2 9 6 12 31111 6 M59 96200*")</f>
        <v>0</v>
      </c>
      <c r="E5243" s="54"/>
      <c r="F5243" s="83">
        <f>SUMIFS(F5244:F6462,K5244:K6462,"0",B5244:B6462,"5 1 2 9 6 12 31111 6 M59 96200*")</f>
        <v>3099.98</v>
      </c>
      <c r="G5243" s="83">
        <f>SUMIFS(G5244:G6462,K5244:K6462,"0",B5244:B6462,"5 1 2 9 6 12 31111 6 M59 96200*")</f>
        <v>0</v>
      </c>
      <c r="H5243" s="83">
        <f t="shared" si="82"/>
        <v>3099.98</v>
      </c>
      <c r="I5243" s="83"/>
      <c r="K5243" s="54" t="s">
        <v>15</v>
      </c>
    </row>
    <row r="5244" spans="2:11" ht="16.5" x14ac:dyDescent="0.2">
      <c r="B5244" s="82" t="s">
        <v>8207</v>
      </c>
      <c r="C5244" s="82" t="s">
        <v>648</v>
      </c>
      <c r="D5244" s="83">
        <f>SUMIFS(D5245:D6462,K5245:K6462,"0",B5245:B6462,"5 1 2 9 6 12 31111 6 M59 96200 000132*")-SUMIFS(E5245:E6462,K5245:K6462,"0",B5245:B6462,"5 1 2 9 6 12 31111 6 M59 96200 000132*")</f>
        <v>0</v>
      </c>
      <c r="E5244" s="54"/>
      <c r="F5244" s="83">
        <f>SUMIFS(F5245:F6462,K5245:K6462,"0",B5245:B6462,"5 1 2 9 6 12 31111 6 M59 96200 000132*")</f>
        <v>3099.98</v>
      </c>
      <c r="G5244" s="83">
        <f>SUMIFS(G5245:G6462,K5245:K6462,"0",B5245:B6462,"5 1 2 9 6 12 31111 6 M59 96200 000132*")</f>
        <v>0</v>
      </c>
      <c r="H5244" s="83">
        <f t="shared" si="82"/>
        <v>3099.98</v>
      </c>
      <c r="I5244" s="83"/>
      <c r="K5244" s="54" t="s">
        <v>15</v>
      </c>
    </row>
    <row r="5245" spans="2:11" ht="24.75" x14ac:dyDescent="0.2">
      <c r="B5245" s="82" t="s">
        <v>8208</v>
      </c>
      <c r="C5245" s="82" t="s">
        <v>650</v>
      </c>
      <c r="D5245" s="83">
        <f>SUMIFS(D5246:D6462,K5246:K6462,"0",B5246:B6462,"5 1 2 9 6 12 31111 6 M59 96200 000132 0000R*")-SUMIFS(E5246:E6462,K5246:K6462,"0",B5246:B6462,"5 1 2 9 6 12 31111 6 M59 96200 000132 0000R*")</f>
        <v>0</v>
      </c>
      <c r="E5245" s="54"/>
      <c r="F5245" s="83">
        <f>SUMIFS(F5246:F6462,K5246:K6462,"0",B5246:B6462,"5 1 2 9 6 12 31111 6 M59 96200 000132 0000R*")</f>
        <v>3099.98</v>
      </c>
      <c r="G5245" s="83">
        <f>SUMIFS(G5246:G6462,K5246:K6462,"0",B5246:B6462,"5 1 2 9 6 12 31111 6 M59 96200 000132 0000R*")</f>
        <v>0</v>
      </c>
      <c r="H5245" s="83">
        <f t="shared" si="82"/>
        <v>3099.98</v>
      </c>
      <c r="I5245" s="83"/>
      <c r="K5245" s="54" t="s">
        <v>15</v>
      </c>
    </row>
    <row r="5246" spans="2:11" ht="24.75" x14ac:dyDescent="0.2">
      <c r="B5246" s="82" t="s">
        <v>8209</v>
      </c>
      <c r="C5246" s="82" t="s">
        <v>282</v>
      </c>
      <c r="D5246" s="83">
        <f>SUMIFS(D5247:D6462,K5247:K6462,"0",B5247:B6462,"5 1 2 9 6 12 31111 6 M59 96200 000132 0000R 00001*")-SUMIFS(E5247:E6462,K5247:K6462,"0",B5247:B6462,"5 1 2 9 6 12 31111 6 M59 96200 000132 0000R 00001*")</f>
        <v>0</v>
      </c>
      <c r="E5246" s="54"/>
      <c r="F5246" s="83">
        <f>SUMIFS(F5247:F6462,K5247:K6462,"0",B5247:B6462,"5 1 2 9 6 12 31111 6 M59 96200 000132 0000R 00001*")</f>
        <v>3099.98</v>
      </c>
      <c r="G5246" s="83">
        <f>SUMIFS(G5247:G6462,K5247:K6462,"0",B5247:B6462,"5 1 2 9 6 12 31111 6 M59 96200 000132 0000R 00001*")</f>
        <v>0</v>
      </c>
      <c r="H5246" s="83">
        <f t="shared" si="82"/>
        <v>3099.98</v>
      </c>
      <c r="I5246" s="83"/>
      <c r="K5246" s="54" t="s">
        <v>15</v>
      </c>
    </row>
    <row r="5247" spans="2:11" ht="24.75" x14ac:dyDescent="0.2">
      <c r="B5247" s="82" t="s">
        <v>8210</v>
      </c>
      <c r="C5247" s="82" t="s">
        <v>8079</v>
      </c>
      <c r="D5247" s="83">
        <f>SUMIFS(D5248:D6462,K5248:K6462,"0",B5248:B6462,"5 1 2 9 6 12 31111 6 M59 96200 000132 0000R 00001 00296*")-SUMIFS(E5248:E6462,K5248:K6462,"0",B5248:B6462,"5 1 2 9 6 12 31111 6 M59 96200 000132 0000R 00001 00296*")</f>
        <v>0</v>
      </c>
      <c r="E5247" s="54"/>
      <c r="F5247" s="83">
        <f>SUMIFS(F5248:F6462,K5248:K6462,"0",B5248:B6462,"5 1 2 9 6 12 31111 6 M59 96200 000132 0000R 00001 00296*")</f>
        <v>3099.98</v>
      </c>
      <c r="G5247" s="83">
        <f>SUMIFS(G5248:G6462,K5248:K6462,"0",B5248:B6462,"5 1 2 9 6 12 31111 6 M59 96200 000132 0000R 00001 00296*")</f>
        <v>0</v>
      </c>
      <c r="H5247" s="83">
        <f t="shared" si="82"/>
        <v>3099.98</v>
      </c>
      <c r="I5247" s="83"/>
      <c r="K5247" s="54" t="s">
        <v>15</v>
      </c>
    </row>
    <row r="5248" spans="2:11" ht="33" x14ac:dyDescent="0.2">
      <c r="B5248" s="82" t="s">
        <v>8211</v>
      </c>
      <c r="C5248" s="82" t="s">
        <v>1051</v>
      </c>
      <c r="D5248" s="83">
        <f>SUMIFS(D5249:D6462,K5249:K6462,"0",B5249:B6462,"5 1 2 9 6 12 31111 6 M59 96200 000132 0000R 00001 00296 015*")-SUMIFS(E5249:E6462,K5249:K6462,"0",B5249:B6462,"5 1 2 9 6 12 31111 6 M59 96200 000132 0000R 00001 00296 015*")</f>
        <v>0</v>
      </c>
      <c r="E5248" s="54"/>
      <c r="F5248" s="83">
        <f>SUMIFS(F5249:F6462,K5249:K6462,"0",B5249:B6462,"5 1 2 9 6 12 31111 6 M59 96200 000132 0000R 00001 00296 015*")</f>
        <v>3099.98</v>
      </c>
      <c r="G5248" s="83">
        <f>SUMIFS(G5249:G6462,K5249:K6462,"0",B5249:B6462,"5 1 2 9 6 12 31111 6 M59 96200 000132 0000R 00001 00296 015*")</f>
        <v>0</v>
      </c>
      <c r="H5248" s="83">
        <f t="shared" si="82"/>
        <v>3099.98</v>
      </c>
      <c r="I5248" s="83"/>
      <c r="K5248" s="54" t="s">
        <v>15</v>
      </c>
    </row>
    <row r="5249" spans="2:11" ht="33" x14ac:dyDescent="0.2">
      <c r="B5249" s="82" t="s">
        <v>8212</v>
      </c>
      <c r="C5249" s="82" t="s">
        <v>5830</v>
      </c>
      <c r="D5249" s="83">
        <f>SUMIFS(D5250:D6462,K5250:K6462,"0",B5250:B6462,"5 1 2 9 6 12 31111 6 M59 96200 000132 0000R 00001 00296 015 2112000*")-SUMIFS(E5250:E6462,K5250:K6462,"0",B5250:B6462,"5 1 2 9 6 12 31111 6 M59 96200 000132 0000R 00001 00296 015 2112000*")</f>
        <v>0</v>
      </c>
      <c r="E5249" s="54"/>
      <c r="F5249" s="83">
        <f>SUMIFS(F5250:F6462,K5250:K6462,"0",B5250:B6462,"5 1 2 9 6 12 31111 6 M59 96200 000132 0000R 00001 00296 015 2112000*")</f>
        <v>3099.98</v>
      </c>
      <c r="G5249" s="83">
        <f>SUMIFS(G5250:G6462,K5250:K6462,"0",B5250:B6462,"5 1 2 9 6 12 31111 6 M59 96200 000132 0000R 00001 00296 015 2112000*")</f>
        <v>0</v>
      </c>
      <c r="H5249" s="83">
        <f t="shared" si="82"/>
        <v>3099.98</v>
      </c>
      <c r="I5249" s="83"/>
      <c r="K5249" s="54" t="s">
        <v>15</v>
      </c>
    </row>
    <row r="5250" spans="2:11" ht="33" x14ac:dyDescent="0.2">
      <c r="B5250" s="82" t="s">
        <v>8213</v>
      </c>
      <c r="C5250" s="82" t="s">
        <v>660</v>
      </c>
      <c r="D5250" s="83">
        <f>SUMIFS(D5251:D6462,K5251:K6462,"0",B5251:B6462,"5 1 2 9 6 12 31111 6 M59 96200 000132 0000R 00001 00296 015 2112000 2024*")-SUMIFS(E5251:E6462,K5251:K6462,"0",B5251:B6462,"5 1 2 9 6 12 31111 6 M59 96200 000132 0000R 00001 00296 015 2112000 2024*")</f>
        <v>0</v>
      </c>
      <c r="E5250" s="54"/>
      <c r="F5250" s="83">
        <f>SUMIFS(F5251:F6462,K5251:K6462,"0",B5251:B6462,"5 1 2 9 6 12 31111 6 M59 96200 000132 0000R 00001 00296 015 2112000 2024*")</f>
        <v>3099.98</v>
      </c>
      <c r="G5250" s="83">
        <f>SUMIFS(G5251:G6462,K5251:K6462,"0",B5251:B6462,"5 1 2 9 6 12 31111 6 M59 96200 000132 0000R 00001 00296 015 2112000 2024*")</f>
        <v>0</v>
      </c>
      <c r="H5250" s="83">
        <f t="shared" si="82"/>
        <v>3099.98</v>
      </c>
      <c r="I5250" s="83"/>
      <c r="K5250" s="54" t="s">
        <v>15</v>
      </c>
    </row>
    <row r="5251" spans="2:11" ht="41.25" x14ac:dyDescent="0.2">
      <c r="B5251" s="82" t="s">
        <v>8214</v>
      </c>
      <c r="C5251" s="82" t="s">
        <v>662</v>
      </c>
      <c r="D5251" s="83">
        <f>SUMIFS(D5252:D6462,K5252:K6462,"0",B5252:B6462,"5 1 2 9 6 12 31111 6 M59 96200 000132 0000R 00001 00296 015 2112000 2024 CP1AL423*")-SUMIFS(E5252:E6462,K5252:K6462,"0",B5252:B6462,"5 1 2 9 6 12 31111 6 M59 96200 000132 0000R 00001 00296 015 2112000 2024 CP1AL423*")</f>
        <v>0</v>
      </c>
      <c r="E5251" s="54"/>
      <c r="F5251" s="83">
        <f>SUMIFS(F5252:F6462,K5252:K6462,"0",B5252:B6462,"5 1 2 9 6 12 31111 6 M59 96200 000132 0000R 00001 00296 015 2112000 2024 CP1AL423*")</f>
        <v>3099.98</v>
      </c>
      <c r="G5251" s="83">
        <f>SUMIFS(G5252:G6462,K5252:K6462,"0",B5252:B6462,"5 1 2 9 6 12 31111 6 M59 96200 000132 0000R 00001 00296 015 2112000 2024 CP1AL423*")</f>
        <v>0</v>
      </c>
      <c r="H5251" s="83">
        <f t="shared" si="82"/>
        <v>3099.98</v>
      </c>
      <c r="I5251" s="83"/>
      <c r="K5251" s="54" t="s">
        <v>15</v>
      </c>
    </row>
    <row r="5252" spans="2:11" ht="41.25" x14ac:dyDescent="0.2">
      <c r="B5252" s="82" t="s">
        <v>8215</v>
      </c>
      <c r="C5252" s="82" t="s">
        <v>282</v>
      </c>
      <c r="D5252" s="83">
        <f>SUMIFS(D5253:D6462,K5253:K6462,"0",B5253:B6462,"5 1 2 9 6 12 31111 6 M59 96200 000132 0000R 00001 00296 015 2112000 2024 CP1AL423 001*")-SUMIFS(E5253:E6462,K5253:K6462,"0",B5253:B6462,"5 1 2 9 6 12 31111 6 M59 96200 000132 0000R 00001 00296 015 2112000 2024 CP1AL423 001*")</f>
        <v>0</v>
      </c>
      <c r="E5252" s="54"/>
      <c r="F5252" s="83">
        <f>SUMIFS(F5253:F6462,K5253:K6462,"0",B5253:B6462,"5 1 2 9 6 12 31111 6 M59 96200 000132 0000R 00001 00296 015 2112000 2024 CP1AL423 001*")</f>
        <v>3099.98</v>
      </c>
      <c r="G5252" s="83">
        <f>SUMIFS(G5253:G6462,K5253:K6462,"0",B5253:B6462,"5 1 2 9 6 12 31111 6 M59 96200 000132 0000R 00001 00296 015 2112000 2024 CP1AL423 001*")</f>
        <v>0</v>
      </c>
      <c r="H5252" s="83">
        <f t="shared" si="82"/>
        <v>3099.98</v>
      </c>
      <c r="I5252" s="83"/>
      <c r="K5252" s="54" t="s">
        <v>15</v>
      </c>
    </row>
    <row r="5253" spans="2:11" ht="41.25" x14ac:dyDescent="0.2">
      <c r="B5253" s="84" t="s">
        <v>8216</v>
      </c>
      <c r="C5253" s="84" t="s">
        <v>8079</v>
      </c>
      <c r="D5253" s="85">
        <v>0</v>
      </c>
      <c r="E5253" s="85"/>
      <c r="F5253" s="85">
        <v>3099.98</v>
      </c>
      <c r="G5253" s="85">
        <v>0</v>
      </c>
      <c r="H5253" s="85">
        <f t="shared" si="82"/>
        <v>3099.98</v>
      </c>
      <c r="I5253" s="85"/>
      <c r="K5253" s="54" t="s">
        <v>38</v>
      </c>
    </row>
    <row r="5254" spans="2:11" ht="16.5" x14ac:dyDescent="0.2">
      <c r="B5254" s="82" t="s">
        <v>8217</v>
      </c>
      <c r="C5254" s="82" t="s">
        <v>1308</v>
      </c>
      <c r="D5254" s="83">
        <f>SUMIFS(D5255:D6462,K5255:K6462,"0",B5255:B6462,"5 1 2 9 6 12 31111 6 M59 96300*")-SUMIFS(E5255:E6462,K5255:K6462,"0",B5255:B6462,"5 1 2 9 6 12 31111 6 M59 96300*")</f>
        <v>0</v>
      </c>
      <c r="E5254" s="54"/>
      <c r="F5254" s="83">
        <f>SUMIFS(F5255:F6462,K5255:K6462,"0",B5255:B6462,"5 1 2 9 6 12 31111 6 M59 96300*")</f>
        <v>37904.980000000003</v>
      </c>
      <c r="G5254" s="83">
        <f>SUMIFS(G5255:G6462,K5255:K6462,"0",B5255:B6462,"5 1 2 9 6 12 31111 6 M59 96300*")</f>
        <v>0</v>
      </c>
      <c r="H5254" s="83">
        <f t="shared" si="82"/>
        <v>37904.980000000003</v>
      </c>
      <c r="I5254" s="83"/>
      <c r="K5254" s="54" t="s">
        <v>15</v>
      </c>
    </row>
    <row r="5255" spans="2:11" ht="16.5" x14ac:dyDescent="0.2">
      <c r="B5255" s="82" t="s">
        <v>8218</v>
      </c>
      <c r="C5255" s="82" t="s">
        <v>1310</v>
      </c>
      <c r="D5255" s="83">
        <f>SUMIFS(D5256:D6462,K5256:K6462,"0",B5256:B6462,"5 1 2 9 6 12 31111 6 M59 96300 000211*")-SUMIFS(E5256:E6462,K5256:K6462,"0",B5256:B6462,"5 1 2 9 6 12 31111 6 M59 96300 000211*")</f>
        <v>0</v>
      </c>
      <c r="E5255" s="54"/>
      <c r="F5255" s="83">
        <f>SUMIFS(F5256:F6462,K5256:K6462,"0",B5256:B6462,"5 1 2 9 6 12 31111 6 M59 96300 000211*")</f>
        <v>37904.980000000003</v>
      </c>
      <c r="G5255" s="83">
        <f>SUMIFS(G5256:G6462,K5256:K6462,"0",B5256:B6462,"5 1 2 9 6 12 31111 6 M59 96300 000211*")</f>
        <v>0</v>
      </c>
      <c r="H5255" s="83">
        <f t="shared" si="82"/>
        <v>37904.980000000003</v>
      </c>
      <c r="I5255" s="83"/>
      <c r="K5255" s="54" t="s">
        <v>15</v>
      </c>
    </row>
    <row r="5256" spans="2:11" ht="24.75" x14ac:dyDescent="0.2">
      <c r="B5256" s="82" t="s">
        <v>8219</v>
      </c>
      <c r="C5256" s="82" t="s">
        <v>1065</v>
      </c>
      <c r="D5256" s="83">
        <f>SUMIFS(D5257:D6462,K5257:K6462,"0",B5257:B6462,"5 1 2 9 6 12 31111 6 M59 96300 000211 0000E*")-SUMIFS(E5257:E6462,K5257:K6462,"0",B5257:B6462,"5 1 2 9 6 12 31111 6 M59 96300 000211 0000E*")</f>
        <v>0</v>
      </c>
      <c r="E5256" s="54"/>
      <c r="F5256" s="83">
        <f>SUMIFS(F5257:F6462,K5257:K6462,"0",B5257:B6462,"5 1 2 9 6 12 31111 6 M59 96300 000211 0000E*")</f>
        <v>37904.980000000003</v>
      </c>
      <c r="G5256" s="83">
        <f>SUMIFS(G5257:G6462,K5257:K6462,"0",B5257:B6462,"5 1 2 9 6 12 31111 6 M59 96300 000211 0000E*")</f>
        <v>0</v>
      </c>
      <c r="H5256" s="83">
        <f t="shared" si="82"/>
        <v>37904.980000000003</v>
      </c>
      <c r="I5256" s="83"/>
      <c r="K5256" s="54" t="s">
        <v>15</v>
      </c>
    </row>
    <row r="5257" spans="2:11" ht="24.75" x14ac:dyDescent="0.2">
      <c r="B5257" s="82" t="s">
        <v>8220</v>
      </c>
      <c r="C5257" s="82" t="s">
        <v>282</v>
      </c>
      <c r="D5257" s="83">
        <f>SUMIFS(D5258:D6462,K5258:K6462,"0",B5258:B6462,"5 1 2 9 6 12 31111 6 M59 96300 000211 0000E 00001*")-SUMIFS(E5258:E6462,K5258:K6462,"0",B5258:B6462,"5 1 2 9 6 12 31111 6 M59 96300 000211 0000E 00001*")</f>
        <v>0</v>
      </c>
      <c r="E5257" s="54"/>
      <c r="F5257" s="83">
        <f>SUMIFS(F5258:F6462,K5258:K6462,"0",B5258:B6462,"5 1 2 9 6 12 31111 6 M59 96300 000211 0000E 00001*")</f>
        <v>37904.980000000003</v>
      </c>
      <c r="G5257" s="83">
        <f>SUMIFS(G5258:G6462,K5258:K6462,"0",B5258:B6462,"5 1 2 9 6 12 31111 6 M59 96300 000211 0000E 00001*")</f>
        <v>0</v>
      </c>
      <c r="H5257" s="83">
        <f t="shared" si="82"/>
        <v>37904.980000000003</v>
      </c>
      <c r="I5257" s="83"/>
      <c r="K5257" s="54" t="s">
        <v>15</v>
      </c>
    </row>
    <row r="5258" spans="2:11" ht="24.75" x14ac:dyDescent="0.2">
      <c r="B5258" s="82" t="s">
        <v>8221</v>
      </c>
      <c r="C5258" s="82" t="s">
        <v>8079</v>
      </c>
      <c r="D5258" s="83">
        <f>SUMIFS(D5259:D6462,K5259:K6462,"0",B5259:B6462,"5 1 2 9 6 12 31111 6 M59 96300 000211 0000E 00001 00296*")-SUMIFS(E5259:E6462,K5259:K6462,"0",B5259:B6462,"5 1 2 9 6 12 31111 6 M59 96300 000211 0000E 00001 00296*")</f>
        <v>0</v>
      </c>
      <c r="E5258" s="54"/>
      <c r="F5258" s="83">
        <f>SUMIFS(F5259:F6462,K5259:K6462,"0",B5259:B6462,"5 1 2 9 6 12 31111 6 M59 96300 000211 0000E 00001 00296*")</f>
        <v>37904.980000000003</v>
      </c>
      <c r="G5258" s="83">
        <f>SUMIFS(G5259:G6462,K5259:K6462,"0",B5259:B6462,"5 1 2 9 6 12 31111 6 M59 96300 000211 0000E 00001 00296*")</f>
        <v>0</v>
      </c>
      <c r="H5258" s="83">
        <f t="shared" si="82"/>
        <v>37904.980000000003</v>
      </c>
      <c r="I5258" s="83"/>
      <c r="K5258" s="54" t="s">
        <v>15</v>
      </c>
    </row>
    <row r="5259" spans="2:11" ht="33" x14ac:dyDescent="0.2">
      <c r="B5259" s="82" t="s">
        <v>8228</v>
      </c>
      <c r="C5259" s="82" t="s">
        <v>1051</v>
      </c>
      <c r="D5259" s="83">
        <f>SUMIFS(D5260:D6462,K5260:K6462,"0",B5260:B6462,"5 1 2 9 6 12 31111 6 M59 96300 000211 0000E 00001 00296 015*")-SUMIFS(E5260:E6462,K5260:K6462,"0",B5260:B6462,"5 1 2 9 6 12 31111 6 M59 96300 000211 0000E 00001 00296 015*")</f>
        <v>0</v>
      </c>
      <c r="E5259" s="54"/>
      <c r="F5259" s="83">
        <f>SUMIFS(F5260:F6462,K5260:K6462,"0",B5260:B6462,"5 1 2 9 6 12 31111 6 M59 96300 000211 0000E 00001 00296 015*")</f>
        <v>37904.980000000003</v>
      </c>
      <c r="G5259" s="83">
        <f>SUMIFS(G5260:G6462,K5260:K6462,"0",B5260:B6462,"5 1 2 9 6 12 31111 6 M59 96300 000211 0000E 00001 00296 015*")</f>
        <v>0</v>
      </c>
      <c r="H5259" s="83">
        <f t="shared" si="82"/>
        <v>37904.980000000003</v>
      </c>
      <c r="I5259" s="83"/>
      <c r="K5259" s="54" t="s">
        <v>15</v>
      </c>
    </row>
    <row r="5260" spans="2:11" ht="33" x14ac:dyDescent="0.2">
      <c r="B5260" s="82" t="s">
        <v>8229</v>
      </c>
      <c r="C5260" s="82" t="s">
        <v>5830</v>
      </c>
      <c r="D5260" s="83">
        <f>SUMIFS(D5261:D6462,K5261:K6462,"0",B5261:B6462,"5 1 2 9 6 12 31111 6 M59 96300 000211 0000E 00001 00296 015 2112000*")-SUMIFS(E5261:E6462,K5261:K6462,"0",B5261:B6462,"5 1 2 9 6 12 31111 6 M59 96300 000211 0000E 00001 00296 015 2112000*")</f>
        <v>0</v>
      </c>
      <c r="E5260" s="54"/>
      <c r="F5260" s="83">
        <f>SUMIFS(F5261:F6462,K5261:K6462,"0",B5261:B6462,"5 1 2 9 6 12 31111 6 M59 96300 000211 0000E 00001 00296 015 2112000*")</f>
        <v>37904.980000000003</v>
      </c>
      <c r="G5260" s="83">
        <f>SUMIFS(G5261:G6462,K5261:K6462,"0",B5261:B6462,"5 1 2 9 6 12 31111 6 M59 96300 000211 0000E 00001 00296 015 2112000*")</f>
        <v>0</v>
      </c>
      <c r="H5260" s="83">
        <f t="shared" si="82"/>
        <v>37904.980000000003</v>
      </c>
      <c r="I5260" s="83"/>
      <c r="K5260" s="54" t="s">
        <v>15</v>
      </c>
    </row>
    <row r="5261" spans="2:11" ht="33" x14ac:dyDescent="0.2">
      <c r="B5261" s="82" t="s">
        <v>8230</v>
      </c>
      <c r="C5261" s="82" t="s">
        <v>660</v>
      </c>
      <c r="D5261" s="83">
        <f>SUMIFS(D5262:D6462,K5262:K6462,"0",B5262:B6462,"5 1 2 9 6 12 31111 6 M59 96300 000211 0000E 00001 00296 015 2112000 2024*")-SUMIFS(E5262:E6462,K5262:K6462,"0",B5262:B6462,"5 1 2 9 6 12 31111 6 M59 96300 000211 0000E 00001 00296 015 2112000 2024*")</f>
        <v>0</v>
      </c>
      <c r="E5261" s="54"/>
      <c r="F5261" s="83">
        <f>SUMIFS(F5262:F6462,K5262:K6462,"0",B5262:B6462,"5 1 2 9 6 12 31111 6 M59 96300 000211 0000E 00001 00296 015 2112000 2024*")</f>
        <v>37904.980000000003</v>
      </c>
      <c r="G5261" s="83">
        <f>SUMIFS(G5262:G6462,K5262:K6462,"0",B5262:B6462,"5 1 2 9 6 12 31111 6 M59 96300 000211 0000E 00001 00296 015 2112000 2024*")</f>
        <v>0</v>
      </c>
      <c r="H5261" s="83">
        <f t="shared" si="82"/>
        <v>37904.980000000003</v>
      </c>
      <c r="I5261" s="83"/>
      <c r="K5261" s="54" t="s">
        <v>15</v>
      </c>
    </row>
    <row r="5262" spans="2:11" ht="41.25" x14ac:dyDescent="0.2">
      <c r="B5262" s="82" t="s">
        <v>8231</v>
      </c>
      <c r="C5262" s="82" t="s">
        <v>1056</v>
      </c>
      <c r="D5262" s="83">
        <f>SUMIFS(D5263:D6462,K5263:K6462,"0",B5263:B6462,"5 1 2 9 6 12 31111 6 M59 96300 000211 0000E 00001 00296 015 2112000 2024 CP1SB396*")-SUMIFS(E5263:E6462,K5263:K6462,"0",B5263:B6462,"5 1 2 9 6 12 31111 6 M59 96300 000211 0000E 00001 00296 015 2112000 2024 CP1SB396*")</f>
        <v>0</v>
      </c>
      <c r="E5262" s="54"/>
      <c r="F5262" s="83">
        <f>SUMIFS(F5263:F6462,K5263:K6462,"0",B5263:B6462,"5 1 2 9 6 12 31111 6 M59 96300 000211 0000E 00001 00296 015 2112000 2024 CP1SB396*")</f>
        <v>37904.980000000003</v>
      </c>
      <c r="G5262" s="83">
        <f>SUMIFS(G5263:G6462,K5263:K6462,"0",B5263:B6462,"5 1 2 9 6 12 31111 6 M59 96300 000211 0000E 00001 00296 015 2112000 2024 CP1SB396*")</f>
        <v>0</v>
      </c>
      <c r="H5262" s="83">
        <f t="shared" si="82"/>
        <v>37904.980000000003</v>
      </c>
      <c r="I5262" s="83"/>
      <c r="K5262" s="54" t="s">
        <v>15</v>
      </c>
    </row>
    <row r="5263" spans="2:11" ht="41.25" x14ac:dyDescent="0.2">
      <c r="B5263" s="82" t="s">
        <v>8232</v>
      </c>
      <c r="C5263" s="82" t="s">
        <v>282</v>
      </c>
      <c r="D5263" s="83">
        <f>SUMIFS(D5264:D6462,K5264:K6462,"0",B5264:B6462,"5 1 2 9 6 12 31111 6 M59 96300 000211 0000E 00001 00296 015 2112000 2024 CP1SB396 001*")-SUMIFS(E5264:E6462,K5264:K6462,"0",B5264:B6462,"5 1 2 9 6 12 31111 6 M59 96300 000211 0000E 00001 00296 015 2112000 2024 CP1SB396 001*")</f>
        <v>0</v>
      </c>
      <c r="E5263" s="54"/>
      <c r="F5263" s="83">
        <f>SUMIFS(F5264:F6462,K5264:K6462,"0",B5264:B6462,"5 1 2 9 6 12 31111 6 M59 96300 000211 0000E 00001 00296 015 2112000 2024 CP1SB396 001*")</f>
        <v>37904.980000000003</v>
      </c>
      <c r="G5263" s="83">
        <f>SUMIFS(G5264:G6462,K5264:K6462,"0",B5264:B6462,"5 1 2 9 6 12 31111 6 M59 96300 000211 0000E 00001 00296 015 2112000 2024 CP1SB396 001*")</f>
        <v>0</v>
      </c>
      <c r="H5263" s="83">
        <f t="shared" si="82"/>
        <v>37904.980000000003</v>
      </c>
      <c r="I5263" s="83"/>
      <c r="K5263" s="54" t="s">
        <v>15</v>
      </c>
    </row>
    <row r="5264" spans="2:11" ht="33" x14ac:dyDescent="0.2">
      <c r="B5264" s="84" t="s">
        <v>8233</v>
      </c>
      <c r="C5264" s="84" t="s">
        <v>8079</v>
      </c>
      <c r="D5264" s="85">
        <v>0</v>
      </c>
      <c r="E5264" s="85"/>
      <c r="F5264" s="85">
        <v>37904.980000000003</v>
      </c>
      <c r="G5264" s="85">
        <v>0</v>
      </c>
      <c r="H5264" s="85">
        <f t="shared" si="82"/>
        <v>37904.980000000003</v>
      </c>
      <c r="I5264" s="85"/>
      <c r="K5264" s="54" t="s">
        <v>38</v>
      </c>
    </row>
    <row r="5265" spans="2:11" ht="24.75" x14ac:dyDescent="0.2">
      <c r="B5265" s="82" t="s">
        <v>8234</v>
      </c>
      <c r="C5265" s="82" t="s">
        <v>8235</v>
      </c>
      <c r="D5265" s="83">
        <f>SUMIFS(D5266:D6462,K5266:K6462,"0",B5266:B6462,"5 1 2 9 8*")-SUMIFS(E5266:E6462,K5266:K6462,"0",B5266:B6462,"5 1 2 9 8*")</f>
        <v>0</v>
      </c>
      <c r="E5265" s="54"/>
      <c r="F5265" s="83">
        <f>SUMIFS(F5266:F6462,K5266:K6462,"0",B5266:B6462,"5 1 2 9 8*")</f>
        <v>180389.95</v>
      </c>
      <c r="G5265" s="83">
        <f>SUMIFS(G5266:G6462,K5266:K6462,"0",B5266:B6462,"5 1 2 9 8*")</f>
        <v>0</v>
      </c>
      <c r="H5265" s="83">
        <f t="shared" si="82"/>
        <v>180389.95</v>
      </c>
      <c r="I5265" s="83"/>
      <c r="K5265" s="54" t="s">
        <v>15</v>
      </c>
    </row>
    <row r="5266" spans="2:11" ht="12.75" x14ac:dyDescent="0.2">
      <c r="B5266" s="82" t="s">
        <v>8236</v>
      </c>
      <c r="C5266" s="82" t="s">
        <v>26</v>
      </c>
      <c r="D5266" s="83">
        <f>SUMIFS(D5267:D6462,K5267:K6462,"0",B5267:B6462,"5 1 2 9 8 12*")-SUMIFS(E5267:E6462,K5267:K6462,"0",B5267:B6462,"5 1 2 9 8 12*")</f>
        <v>0</v>
      </c>
      <c r="E5266" s="54"/>
      <c r="F5266" s="83">
        <f>SUMIFS(F5267:F6462,K5267:K6462,"0",B5267:B6462,"5 1 2 9 8 12*")</f>
        <v>180389.95</v>
      </c>
      <c r="G5266" s="83">
        <f>SUMIFS(G5267:G6462,K5267:K6462,"0",B5267:B6462,"5 1 2 9 8 12*")</f>
        <v>0</v>
      </c>
      <c r="H5266" s="83">
        <f t="shared" si="82"/>
        <v>180389.95</v>
      </c>
      <c r="I5266" s="83"/>
      <c r="K5266" s="54" t="s">
        <v>15</v>
      </c>
    </row>
    <row r="5267" spans="2:11" ht="16.5" x14ac:dyDescent="0.2">
      <c r="B5267" s="82" t="s">
        <v>8237</v>
      </c>
      <c r="C5267" s="82" t="s">
        <v>28</v>
      </c>
      <c r="D5267" s="83">
        <f>SUMIFS(D5268:D6462,K5268:K6462,"0",B5268:B6462,"5 1 2 9 8 12 31111*")-SUMIFS(E5268:E6462,K5268:K6462,"0",B5268:B6462,"5 1 2 9 8 12 31111*")</f>
        <v>0</v>
      </c>
      <c r="E5267" s="54"/>
      <c r="F5267" s="83">
        <f>SUMIFS(F5268:F6462,K5268:K6462,"0",B5268:B6462,"5 1 2 9 8 12 31111*")</f>
        <v>180389.95</v>
      </c>
      <c r="G5267" s="83">
        <f>SUMIFS(G5268:G6462,K5268:K6462,"0",B5268:B6462,"5 1 2 9 8 12 31111*")</f>
        <v>0</v>
      </c>
      <c r="H5267" s="83">
        <f t="shared" si="82"/>
        <v>180389.95</v>
      </c>
      <c r="I5267" s="83"/>
      <c r="K5267" s="54" t="s">
        <v>15</v>
      </c>
    </row>
    <row r="5268" spans="2:11" ht="12.75" x14ac:dyDescent="0.2">
      <c r="B5268" s="82" t="s">
        <v>8238</v>
      </c>
      <c r="C5268" s="82" t="s">
        <v>30</v>
      </c>
      <c r="D5268" s="83">
        <f>SUMIFS(D5269:D6462,K5269:K6462,"0",B5269:B6462,"5 1 2 9 8 12 31111 6*")-SUMIFS(E5269:E6462,K5269:K6462,"0",B5269:B6462,"5 1 2 9 8 12 31111 6*")</f>
        <v>0</v>
      </c>
      <c r="E5268" s="54"/>
      <c r="F5268" s="83">
        <f>SUMIFS(F5269:F6462,K5269:K6462,"0",B5269:B6462,"5 1 2 9 8 12 31111 6*")</f>
        <v>180389.95</v>
      </c>
      <c r="G5268" s="83">
        <f>SUMIFS(G5269:G6462,K5269:K6462,"0",B5269:B6462,"5 1 2 9 8 12 31111 6*")</f>
        <v>0</v>
      </c>
      <c r="H5268" s="83">
        <f t="shared" si="82"/>
        <v>180389.95</v>
      </c>
      <c r="I5268" s="83"/>
      <c r="K5268" s="54" t="s">
        <v>15</v>
      </c>
    </row>
    <row r="5269" spans="2:11" ht="16.5" x14ac:dyDescent="0.2">
      <c r="B5269" s="82" t="s">
        <v>8239</v>
      </c>
      <c r="C5269" s="82" t="s">
        <v>2284</v>
      </c>
      <c r="D5269" s="83">
        <f>SUMIFS(D5270:D6462,K5270:K6462,"0",B5270:B6462,"5 1 2 9 8 12 31111 6 M59*")-SUMIFS(E5270:E6462,K5270:K6462,"0",B5270:B6462,"5 1 2 9 8 12 31111 6 M59*")</f>
        <v>0</v>
      </c>
      <c r="E5269" s="54"/>
      <c r="F5269" s="83">
        <f>SUMIFS(F5270:F6462,K5270:K6462,"0",B5270:B6462,"5 1 2 9 8 12 31111 6 M59*")</f>
        <v>180389.95</v>
      </c>
      <c r="G5269" s="83">
        <f>SUMIFS(G5270:G6462,K5270:K6462,"0",B5270:B6462,"5 1 2 9 8 12 31111 6 M59*")</f>
        <v>0</v>
      </c>
      <c r="H5269" s="83">
        <f t="shared" si="82"/>
        <v>180389.95</v>
      </c>
      <c r="I5269" s="83"/>
      <c r="K5269" s="54" t="s">
        <v>15</v>
      </c>
    </row>
    <row r="5270" spans="2:11" ht="16.5" x14ac:dyDescent="0.2">
      <c r="B5270" s="82" t="s">
        <v>8274</v>
      </c>
      <c r="C5270" s="82" t="s">
        <v>3681</v>
      </c>
      <c r="D5270" s="83">
        <f>SUMIFS(D5271:D6462,K5271:K6462,"0",B5271:B6462,"5 1 2 9 8 12 31111 6 M59 96000*")-SUMIFS(E5271:E6462,K5271:K6462,"0",B5271:B6462,"5 1 2 9 8 12 31111 6 M59 96000*")</f>
        <v>0</v>
      </c>
      <c r="E5270" s="54"/>
      <c r="F5270" s="83">
        <f>SUMIFS(F5271:F6462,K5271:K6462,"0",B5271:B6462,"5 1 2 9 8 12 31111 6 M59 96000*")</f>
        <v>2249.98</v>
      </c>
      <c r="G5270" s="83">
        <f>SUMIFS(G5271:G6462,K5271:K6462,"0",B5271:B6462,"5 1 2 9 8 12 31111 6 M59 96000*")</f>
        <v>0</v>
      </c>
      <c r="H5270" s="83">
        <f t="shared" si="82"/>
        <v>2249.98</v>
      </c>
      <c r="I5270" s="83"/>
      <c r="K5270" s="54" t="s">
        <v>15</v>
      </c>
    </row>
    <row r="5271" spans="2:11" ht="16.5" x14ac:dyDescent="0.2">
      <c r="B5271" s="82" t="s">
        <v>8275</v>
      </c>
      <c r="C5271" s="82" t="s">
        <v>648</v>
      </c>
      <c r="D5271" s="83">
        <f>SUMIFS(D5272:D6462,K5272:K6462,"0",B5272:B6462,"5 1 2 9 8 12 31111 6 M59 96000 000132*")-SUMIFS(E5272:E6462,K5272:K6462,"0",B5272:B6462,"5 1 2 9 8 12 31111 6 M59 96000 000132*")</f>
        <v>0</v>
      </c>
      <c r="E5271" s="54"/>
      <c r="F5271" s="83">
        <f>SUMIFS(F5272:F6462,K5272:K6462,"0",B5272:B6462,"5 1 2 9 8 12 31111 6 M59 96000 000132*")</f>
        <v>2249.98</v>
      </c>
      <c r="G5271" s="83">
        <f>SUMIFS(G5272:G6462,K5272:K6462,"0",B5272:B6462,"5 1 2 9 8 12 31111 6 M59 96000 000132*")</f>
        <v>0</v>
      </c>
      <c r="H5271" s="83">
        <f t="shared" si="82"/>
        <v>2249.98</v>
      </c>
      <c r="I5271" s="83"/>
      <c r="K5271" s="54" t="s">
        <v>15</v>
      </c>
    </row>
    <row r="5272" spans="2:11" ht="24.75" x14ac:dyDescent="0.2">
      <c r="B5272" s="82" t="s">
        <v>8276</v>
      </c>
      <c r="C5272" s="82" t="s">
        <v>650</v>
      </c>
      <c r="D5272" s="83">
        <f>SUMIFS(D5273:D6462,K5273:K6462,"0",B5273:B6462,"5 1 2 9 8 12 31111 6 M59 96000 000132 0000R*")-SUMIFS(E5273:E6462,K5273:K6462,"0",B5273:B6462,"5 1 2 9 8 12 31111 6 M59 96000 000132 0000R*")</f>
        <v>0</v>
      </c>
      <c r="E5272" s="54"/>
      <c r="F5272" s="83">
        <f>SUMIFS(F5273:F6462,K5273:K6462,"0",B5273:B6462,"5 1 2 9 8 12 31111 6 M59 96000 000132 0000R*")</f>
        <v>2249.98</v>
      </c>
      <c r="G5272" s="83">
        <f>SUMIFS(G5273:G6462,K5273:K6462,"0",B5273:B6462,"5 1 2 9 8 12 31111 6 M59 96000 000132 0000R*")</f>
        <v>0</v>
      </c>
      <c r="H5272" s="83">
        <f t="shared" si="82"/>
        <v>2249.98</v>
      </c>
      <c r="I5272" s="83"/>
      <c r="K5272" s="54" t="s">
        <v>15</v>
      </c>
    </row>
    <row r="5273" spans="2:11" ht="24.75" x14ac:dyDescent="0.2">
      <c r="B5273" s="82" t="s">
        <v>8277</v>
      </c>
      <c r="C5273" s="82" t="s">
        <v>282</v>
      </c>
      <c r="D5273" s="83">
        <f>SUMIFS(D5274:D6462,K5274:K6462,"0",B5274:B6462,"5 1 2 9 8 12 31111 6 M59 96000 000132 0000R 00001*")-SUMIFS(E5274:E6462,K5274:K6462,"0",B5274:B6462,"5 1 2 9 8 12 31111 6 M59 96000 000132 0000R 00001*")</f>
        <v>0</v>
      </c>
      <c r="E5273" s="54"/>
      <c r="F5273" s="83">
        <f>SUMIFS(F5274:F6462,K5274:K6462,"0",B5274:B6462,"5 1 2 9 8 12 31111 6 M59 96000 000132 0000R 00001*")</f>
        <v>2249.98</v>
      </c>
      <c r="G5273" s="83">
        <f>SUMIFS(G5274:G6462,K5274:K6462,"0",B5274:B6462,"5 1 2 9 8 12 31111 6 M59 96000 000132 0000R 00001*")</f>
        <v>0</v>
      </c>
      <c r="H5273" s="83">
        <f t="shared" si="82"/>
        <v>2249.98</v>
      </c>
      <c r="I5273" s="83"/>
      <c r="K5273" s="54" t="s">
        <v>15</v>
      </c>
    </row>
    <row r="5274" spans="2:11" ht="24.75" x14ac:dyDescent="0.2">
      <c r="B5274" s="82" t="s">
        <v>8278</v>
      </c>
      <c r="C5274" s="82" t="s">
        <v>8245</v>
      </c>
      <c r="D5274" s="83">
        <f>SUMIFS(D5275:D6462,K5275:K6462,"0",B5275:B6462,"5 1 2 9 8 12 31111 6 M59 96000 000132 0000R 00001 00298*")-SUMIFS(E5275:E6462,K5275:K6462,"0",B5275:B6462,"5 1 2 9 8 12 31111 6 M59 96000 000132 0000R 00001 00298*")</f>
        <v>0</v>
      </c>
      <c r="E5274" s="54"/>
      <c r="F5274" s="83">
        <f>SUMIFS(F5275:F6462,K5275:K6462,"0",B5275:B6462,"5 1 2 9 8 12 31111 6 M59 96000 000132 0000R 00001 00298*")</f>
        <v>2249.98</v>
      </c>
      <c r="G5274" s="83">
        <f>SUMIFS(G5275:G6462,K5275:K6462,"0",B5275:B6462,"5 1 2 9 8 12 31111 6 M59 96000 000132 0000R 00001 00298*")</f>
        <v>0</v>
      </c>
      <c r="H5274" s="83">
        <f t="shared" si="82"/>
        <v>2249.98</v>
      </c>
      <c r="I5274" s="83"/>
      <c r="K5274" s="54" t="s">
        <v>15</v>
      </c>
    </row>
    <row r="5275" spans="2:11" ht="33" x14ac:dyDescent="0.2">
      <c r="B5275" s="82" t="s">
        <v>8279</v>
      </c>
      <c r="C5275" s="82" t="s">
        <v>1051</v>
      </c>
      <c r="D5275" s="83">
        <f>SUMIFS(D5276:D6462,K5276:K6462,"0",B5276:B6462,"5 1 2 9 8 12 31111 6 M59 96000 000132 0000R 00001 00298 015*")-SUMIFS(E5276:E6462,K5276:K6462,"0",B5276:B6462,"5 1 2 9 8 12 31111 6 M59 96000 000132 0000R 00001 00298 015*")</f>
        <v>0</v>
      </c>
      <c r="E5275" s="54"/>
      <c r="F5275" s="83">
        <f>SUMIFS(F5276:F6462,K5276:K6462,"0",B5276:B6462,"5 1 2 9 8 12 31111 6 M59 96000 000132 0000R 00001 00298 015*")</f>
        <v>2249.98</v>
      </c>
      <c r="G5275" s="83">
        <f>SUMIFS(G5276:G6462,K5276:K6462,"0",B5276:B6462,"5 1 2 9 8 12 31111 6 M59 96000 000132 0000R 00001 00298 015*")</f>
        <v>0</v>
      </c>
      <c r="H5275" s="83">
        <f t="shared" si="82"/>
        <v>2249.98</v>
      </c>
      <c r="I5275" s="83"/>
      <c r="K5275" s="54" t="s">
        <v>15</v>
      </c>
    </row>
    <row r="5276" spans="2:11" ht="33" x14ac:dyDescent="0.2">
      <c r="B5276" s="82" t="s">
        <v>8280</v>
      </c>
      <c r="C5276" s="82" t="s">
        <v>5830</v>
      </c>
      <c r="D5276" s="83">
        <f>SUMIFS(D5277:D6462,K5277:K6462,"0",B5277:B6462,"5 1 2 9 8 12 31111 6 M59 96000 000132 0000R 00001 00298 015 2112000*")-SUMIFS(E5277:E6462,K5277:K6462,"0",B5277:B6462,"5 1 2 9 8 12 31111 6 M59 96000 000132 0000R 00001 00298 015 2112000*")</f>
        <v>0</v>
      </c>
      <c r="E5276" s="54"/>
      <c r="F5276" s="83">
        <f>SUMIFS(F5277:F6462,K5277:K6462,"0",B5277:B6462,"5 1 2 9 8 12 31111 6 M59 96000 000132 0000R 00001 00298 015 2112000*")</f>
        <v>2249.98</v>
      </c>
      <c r="G5276" s="83">
        <f>SUMIFS(G5277:G6462,K5277:K6462,"0",B5277:B6462,"5 1 2 9 8 12 31111 6 M59 96000 000132 0000R 00001 00298 015 2112000*")</f>
        <v>0</v>
      </c>
      <c r="H5276" s="83">
        <f t="shared" si="82"/>
        <v>2249.98</v>
      </c>
      <c r="I5276" s="83"/>
      <c r="K5276" s="54" t="s">
        <v>15</v>
      </c>
    </row>
    <row r="5277" spans="2:11" ht="33" x14ac:dyDescent="0.2">
      <c r="B5277" s="82" t="s">
        <v>8281</v>
      </c>
      <c r="C5277" s="82" t="s">
        <v>660</v>
      </c>
      <c r="D5277" s="83">
        <f>SUMIFS(D5278:D6462,K5278:K6462,"0",B5278:B6462,"5 1 2 9 8 12 31111 6 M59 96000 000132 0000R 00001 00298 015 2112000 2024*")-SUMIFS(E5278:E6462,K5278:K6462,"0",B5278:B6462,"5 1 2 9 8 12 31111 6 M59 96000 000132 0000R 00001 00298 015 2112000 2024*")</f>
        <v>0</v>
      </c>
      <c r="E5277" s="54"/>
      <c r="F5277" s="83">
        <f>SUMIFS(F5278:F6462,K5278:K6462,"0",B5278:B6462,"5 1 2 9 8 12 31111 6 M59 96000 000132 0000R 00001 00298 015 2112000 2024*")</f>
        <v>2249.98</v>
      </c>
      <c r="G5277" s="83">
        <f>SUMIFS(G5278:G6462,K5278:K6462,"0",B5278:B6462,"5 1 2 9 8 12 31111 6 M59 96000 000132 0000R 00001 00298 015 2112000 2024*")</f>
        <v>0</v>
      </c>
      <c r="H5277" s="83">
        <f t="shared" si="82"/>
        <v>2249.98</v>
      </c>
      <c r="I5277" s="83"/>
      <c r="K5277" s="54" t="s">
        <v>15</v>
      </c>
    </row>
    <row r="5278" spans="2:11" ht="41.25" x14ac:dyDescent="0.2">
      <c r="B5278" s="82" t="s">
        <v>8282</v>
      </c>
      <c r="C5278" s="82" t="s">
        <v>662</v>
      </c>
      <c r="D5278" s="83">
        <f>SUMIFS(D5279:D6462,K5279:K6462,"0",B5279:B6462,"5 1 2 9 8 12 31111 6 M59 96000 000132 0000R 00001 00298 015 2112000 2024 CP1PA379*")-SUMIFS(E5279:E6462,K5279:K6462,"0",B5279:B6462,"5 1 2 9 8 12 31111 6 M59 96000 000132 0000R 00001 00298 015 2112000 2024 CP1PA379*")</f>
        <v>0</v>
      </c>
      <c r="E5278" s="54"/>
      <c r="F5278" s="83">
        <f>SUMIFS(F5279:F6462,K5279:K6462,"0",B5279:B6462,"5 1 2 9 8 12 31111 6 M59 96000 000132 0000R 00001 00298 015 2112000 2024 CP1PA379*")</f>
        <v>2249.98</v>
      </c>
      <c r="G5278" s="83">
        <f>SUMIFS(G5279:G6462,K5279:K6462,"0",B5279:B6462,"5 1 2 9 8 12 31111 6 M59 96000 000132 0000R 00001 00298 015 2112000 2024 CP1PA379*")</f>
        <v>0</v>
      </c>
      <c r="H5278" s="83">
        <f t="shared" si="82"/>
        <v>2249.98</v>
      </c>
      <c r="I5278" s="83"/>
      <c r="K5278" s="54" t="s">
        <v>15</v>
      </c>
    </row>
    <row r="5279" spans="2:11" ht="41.25" x14ac:dyDescent="0.2">
      <c r="B5279" s="82" t="s">
        <v>8283</v>
      </c>
      <c r="C5279" s="82" t="s">
        <v>282</v>
      </c>
      <c r="D5279" s="83">
        <f>SUMIFS(D5280:D6462,K5280:K6462,"0",B5280:B6462,"5 1 2 9 8 12 31111 6 M59 96000 000132 0000R 00001 00298 015 2112000 2024 CP1PA379 001*")-SUMIFS(E5280:E6462,K5280:K6462,"0",B5280:B6462,"5 1 2 9 8 12 31111 6 M59 96000 000132 0000R 00001 00298 015 2112000 2024 CP1PA379 001*")</f>
        <v>0</v>
      </c>
      <c r="E5279" s="54"/>
      <c r="F5279" s="83">
        <f>SUMIFS(F5280:F6462,K5280:K6462,"0",B5280:B6462,"5 1 2 9 8 12 31111 6 M59 96000 000132 0000R 00001 00298 015 2112000 2024 CP1PA379 001*")</f>
        <v>2249.98</v>
      </c>
      <c r="G5279" s="83">
        <f>SUMIFS(G5280:G6462,K5280:K6462,"0",B5280:B6462,"5 1 2 9 8 12 31111 6 M59 96000 000132 0000R 00001 00298 015 2112000 2024 CP1PA379 001*")</f>
        <v>0</v>
      </c>
      <c r="H5279" s="83">
        <f t="shared" si="82"/>
        <v>2249.98</v>
      </c>
      <c r="I5279" s="83"/>
      <c r="K5279" s="54" t="s">
        <v>15</v>
      </c>
    </row>
    <row r="5280" spans="2:11" ht="41.25" x14ac:dyDescent="0.2">
      <c r="B5280" s="84" t="s">
        <v>8284</v>
      </c>
      <c r="C5280" s="84" t="s">
        <v>8245</v>
      </c>
      <c r="D5280" s="85">
        <v>0</v>
      </c>
      <c r="E5280" s="85"/>
      <c r="F5280" s="85">
        <v>2249.98</v>
      </c>
      <c r="G5280" s="85">
        <v>0</v>
      </c>
      <c r="H5280" s="85">
        <f t="shared" si="82"/>
        <v>2249.98</v>
      </c>
      <c r="I5280" s="85"/>
      <c r="K5280" s="54" t="s">
        <v>38</v>
      </c>
    </row>
    <row r="5281" spans="2:11" ht="16.5" x14ac:dyDescent="0.2">
      <c r="B5281" s="82" t="s">
        <v>8285</v>
      </c>
      <c r="C5281" s="82" t="s">
        <v>1308</v>
      </c>
      <c r="D5281" s="83">
        <f>SUMIFS(D5282:D6462,K5282:K6462,"0",B5282:B6462,"5 1 2 9 8 12 31111 6 M59 96300*")-SUMIFS(E5282:E6462,K5282:K6462,"0",B5282:B6462,"5 1 2 9 8 12 31111 6 M59 96300*")</f>
        <v>0</v>
      </c>
      <c r="E5281" s="54"/>
      <c r="F5281" s="83">
        <f>SUMIFS(F5282:F6462,K5282:K6462,"0",B5282:B6462,"5 1 2 9 8 12 31111 6 M59 96300*")</f>
        <v>178139.97</v>
      </c>
      <c r="G5281" s="83">
        <f>SUMIFS(G5282:G6462,K5282:K6462,"0",B5282:B6462,"5 1 2 9 8 12 31111 6 M59 96300*")</f>
        <v>0</v>
      </c>
      <c r="H5281" s="83">
        <f t="shared" si="82"/>
        <v>178139.97</v>
      </c>
      <c r="I5281" s="83"/>
      <c r="K5281" s="54" t="s">
        <v>15</v>
      </c>
    </row>
    <row r="5282" spans="2:11" ht="16.5" x14ac:dyDescent="0.2">
      <c r="B5282" s="82" t="s">
        <v>8286</v>
      </c>
      <c r="C5282" s="82" t="s">
        <v>1310</v>
      </c>
      <c r="D5282" s="83">
        <f>SUMIFS(D5283:D6462,K5283:K6462,"0",B5283:B6462,"5 1 2 9 8 12 31111 6 M59 96300 000211*")-SUMIFS(E5283:E6462,K5283:K6462,"0",B5283:B6462,"5 1 2 9 8 12 31111 6 M59 96300 000211*")</f>
        <v>0</v>
      </c>
      <c r="E5282" s="54"/>
      <c r="F5282" s="83">
        <f>SUMIFS(F5283:F6462,K5283:K6462,"0",B5283:B6462,"5 1 2 9 8 12 31111 6 M59 96300 000211*")</f>
        <v>178139.97</v>
      </c>
      <c r="G5282" s="83">
        <f>SUMIFS(G5283:G6462,K5283:K6462,"0",B5283:B6462,"5 1 2 9 8 12 31111 6 M59 96300 000211*")</f>
        <v>0</v>
      </c>
      <c r="H5282" s="83">
        <f t="shared" si="82"/>
        <v>178139.97</v>
      </c>
      <c r="I5282" s="83"/>
      <c r="K5282" s="54" t="s">
        <v>15</v>
      </c>
    </row>
    <row r="5283" spans="2:11" ht="24.75" x14ac:dyDescent="0.2">
      <c r="B5283" s="82" t="s">
        <v>8287</v>
      </c>
      <c r="C5283" s="82" t="s">
        <v>1065</v>
      </c>
      <c r="D5283" s="83">
        <f>SUMIFS(D5284:D6462,K5284:K6462,"0",B5284:B6462,"5 1 2 9 8 12 31111 6 M59 96300 000211 0000E*")-SUMIFS(E5284:E6462,K5284:K6462,"0",B5284:B6462,"5 1 2 9 8 12 31111 6 M59 96300 000211 0000E*")</f>
        <v>0</v>
      </c>
      <c r="E5283" s="54"/>
      <c r="F5283" s="83">
        <f>SUMIFS(F5284:F6462,K5284:K6462,"0",B5284:B6462,"5 1 2 9 8 12 31111 6 M59 96300 000211 0000E*")</f>
        <v>178139.97</v>
      </c>
      <c r="G5283" s="83">
        <f>SUMIFS(G5284:G6462,K5284:K6462,"0",B5284:B6462,"5 1 2 9 8 12 31111 6 M59 96300 000211 0000E*")</f>
        <v>0</v>
      </c>
      <c r="H5283" s="83">
        <f t="shared" si="82"/>
        <v>178139.97</v>
      </c>
      <c r="I5283" s="83"/>
      <c r="K5283" s="54" t="s">
        <v>15</v>
      </c>
    </row>
    <row r="5284" spans="2:11" ht="24.75" x14ac:dyDescent="0.2">
      <c r="B5284" s="82" t="s">
        <v>8288</v>
      </c>
      <c r="C5284" s="82" t="s">
        <v>282</v>
      </c>
      <c r="D5284" s="83">
        <f>SUMIFS(D5285:D6462,K5285:K6462,"0",B5285:B6462,"5 1 2 9 8 12 31111 6 M59 96300 000211 0000E 00001*")-SUMIFS(E5285:E6462,K5285:K6462,"0",B5285:B6462,"5 1 2 9 8 12 31111 6 M59 96300 000211 0000E 00001*")</f>
        <v>0</v>
      </c>
      <c r="E5284" s="54"/>
      <c r="F5284" s="83">
        <f>SUMIFS(F5285:F6462,K5285:K6462,"0",B5285:B6462,"5 1 2 9 8 12 31111 6 M59 96300 000211 0000E 00001*")</f>
        <v>178139.97</v>
      </c>
      <c r="G5284" s="83">
        <f>SUMIFS(G5285:G6462,K5285:K6462,"0",B5285:B6462,"5 1 2 9 8 12 31111 6 M59 96300 000211 0000E 00001*")</f>
        <v>0</v>
      </c>
      <c r="H5284" s="83">
        <f t="shared" si="82"/>
        <v>178139.97</v>
      </c>
      <c r="I5284" s="83"/>
      <c r="K5284" s="54" t="s">
        <v>15</v>
      </c>
    </row>
    <row r="5285" spans="2:11" ht="24.75" x14ac:dyDescent="0.2">
      <c r="B5285" s="82" t="s">
        <v>8289</v>
      </c>
      <c r="C5285" s="82" t="s">
        <v>8245</v>
      </c>
      <c r="D5285" s="83">
        <f>SUMIFS(D5286:D6462,K5286:K6462,"0",B5286:B6462,"5 1 2 9 8 12 31111 6 M59 96300 000211 0000E 00001 00298*")-SUMIFS(E5286:E6462,K5286:K6462,"0",B5286:B6462,"5 1 2 9 8 12 31111 6 M59 96300 000211 0000E 00001 00298*")</f>
        <v>0</v>
      </c>
      <c r="E5285" s="54"/>
      <c r="F5285" s="83">
        <f>SUMIFS(F5286:F6462,K5286:K6462,"0",B5286:B6462,"5 1 2 9 8 12 31111 6 M59 96300 000211 0000E 00001 00298*")</f>
        <v>178139.97</v>
      </c>
      <c r="G5285" s="83">
        <f>SUMIFS(G5286:G6462,K5286:K6462,"0",B5286:B6462,"5 1 2 9 8 12 31111 6 M59 96300 000211 0000E 00001 00298*")</f>
        <v>0</v>
      </c>
      <c r="H5285" s="83">
        <f t="shared" si="82"/>
        <v>178139.97</v>
      </c>
      <c r="I5285" s="83"/>
      <c r="K5285" s="54" t="s">
        <v>15</v>
      </c>
    </row>
    <row r="5286" spans="2:11" ht="33" x14ac:dyDescent="0.2">
      <c r="B5286" s="82" t="s">
        <v>8290</v>
      </c>
      <c r="C5286" s="82" t="s">
        <v>1051</v>
      </c>
      <c r="D5286" s="83">
        <f>SUMIFS(D5287:D6462,K5287:K6462,"0",B5287:B6462,"5 1 2 9 8 12 31111 6 M59 96300 000211 0000E 00001 00298 015*")-SUMIFS(E5287:E6462,K5287:K6462,"0",B5287:B6462,"5 1 2 9 8 12 31111 6 M59 96300 000211 0000E 00001 00298 015*")</f>
        <v>0</v>
      </c>
      <c r="E5286" s="54"/>
      <c r="F5286" s="83">
        <f>SUMIFS(F5287:F6462,K5287:K6462,"0",B5287:B6462,"5 1 2 9 8 12 31111 6 M59 96300 000211 0000E 00001 00298 015*")</f>
        <v>178139.97</v>
      </c>
      <c r="G5286" s="83">
        <f>SUMIFS(G5287:G6462,K5287:K6462,"0",B5287:B6462,"5 1 2 9 8 12 31111 6 M59 96300 000211 0000E 00001 00298 015*")</f>
        <v>0</v>
      </c>
      <c r="H5286" s="83">
        <f t="shared" si="82"/>
        <v>178139.97</v>
      </c>
      <c r="I5286" s="83"/>
      <c r="K5286" s="54" t="s">
        <v>15</v>
      </c>
    </row>
    <row r="5287" spans="2:11" ht="33" x14ac:dyDescent="0.2">
      <c r="B5287" s="82" t="s">
        <v>8291</v>
      </c>
      <c r="C5287" s="82" t="s">
        <v>5830</v>
      </c>
      <c r="D5287" s="83">
        <f>SUMIFS(D5288:D6462,K5288:K6462,"0",B5288:B6462,"5 1 2 9 8 12 31111 6 M59 96300 000211 0000E 00001 00298 015 2112000*")-SUMIFS(E5288:E6462,K5288:K6462,"0",B5288:B6462,"5 1 2 9 8 12 31111 6 M59 96300 000211 0000E 00001 00298 015 2112000*")</f>
        <v>0</v>
      </c>
      <c r="E5287" s="54"/>
      <c r="F5287" s="83">
        <f>SUMIFS(F5288:F6462,K5288:K6462,"0",B5288:B6462,"5 1 2 9 8 12 31111 6 M59 96300 000211 0000E 00001 00298 015 2112000*")</f>
        <v>178139.97</v>
      </c>
      <c r="G5287" s="83">
        <f>SUMIFS(G5288:G6462,K5288:K6462,"0",B5288:B6462,"5 1 2 9 8 12 31111 6 M59 96300 000211 0000E 00001 00298 015 2112000*")</f>
        <v>0</v>
      </c>
      <c r="H5287" s="83">
        <f t="shared" si="82"/>
        <v>178139.97</v>
      </c>
      <c r="I5287" s="83"/>
      <c r="K5287" s="54" t="s">
        <v>15</v>
      </c>
    </row>
    <row r="5288" spans="2:11" ht="33" x14ac:dyDescent="0.2">
      <c r="B5288" s="82" t="s">
        <v>8292</v>
      </c>
      <c r="C5288" s="82" t="s">
        <v>660</v>
      </c>
      <c r="D5288" s="83">
        <f>SUMIFS(D5289:D6462,K5289:K6462,"0",B5289:B6462,"5 1 2 9 8 12 31111 6 M59 96300 000211 0000E 00001 00298 015 2112000 2024*")-SUMIFS(E5289:E6462,K5289:K6462,"0",B5289:B6462,"5 1 2 9 8 12 31111 6 M59 96300 000211 0000E 00001 00298 015 2112000 2024*")</f>
        <v>0</v>
      </c>
      <c r="E5288" s="54"/>
      <c r="F5288" s="83">
        <f>SUMIFS(F5289:F6462,K5289:K6462,"0",B5289:B6462,"5 1 2 9 8 12 31111 6 M59 96300 000211 0000E 00001 00298 015 2112000 2024*")</f>
        <v>178139.97</v>
      </c>
      <c r="G5288" s="83">
        <f>SUMIFS(G5289:G6462,K5289:K6462,"0",B5289:B6462,"5 1 2 9 8 12 31111 6 M59 96300 000211 0000E 00001 00298 015 2112000 2024*")</f>
        <v>0</v>
      </c>
      <c r="H5288" s="83">
        <f t="shared" si="82"/>
        <v>178139.97</v>
      </c>
      <c r="I5288" s="83"/>
      <c r="K5288" s="54" t="s">
        <v>15</v>
      </c>
    </row>
    <row r="5289" spans="2:11" ht="41.25" x14ac:dyDescent="0.2">
      <c r="B5289" s="82" t="s">
        <v>8293</v>
      </c>
      <c r="C5289" s="82" t="s">
        <v>1056</v>
      </c>
      <c r="D5289" s="83">
        <f>SUMIFS(D5290:D6462,K5290:K6462,"0",B5290:B6462,"5 1 2 9 8 12 31111 6 M59 96300 000211 0000E 00001 00298 015 2112000 2024 CP1SB396*")-SUMIFS(E5290:E6462,K5290:K6462,"0",B5290:B6462,"5 1 2 9 8 12 31111 6 M59 96300 000211 0000E 00001 00298 015 2112000 2024 CP1SB396*")</f>
        <v>0</v>
      </c>
      <c r="E5289" s="54"/>
      <c r="F5289" s="83">
        <f>SUMIFS(F5290:F6462,K5290:K6462,"0",B5290:B6462,"5 1 2 9 8 12 31111 6 M59 96300 000211 0000E 00001 00298 015 2112000 2024 CP1SB396*")</f>
        <v>178139.97</v>
      </c>
      <c r="G5289" s="83">
        <f>SUMIFS(G5290:G6462,K5290:K6462,"0",B5290:B6462,"5 1 2 9 8 12 31111 6 M59 96300 000211 0000E 00001 00298 015 2112000 2024 CP1SB396*")</f>
        <v>0</v>
      </c>
      <c r="H5289" s="83">
        <f t="shared" si="82"/>
        <v>178139.97</v>
      </c>
      <c r="I5289" s="83"/>
      <c r="K5289" s="54" t="s">
        <v>15</v>
      </c>
    </row>
    <row r="5290" spans="2:11" ht="41.25" x14ac:dyDescent="0.2">
      <c r="B5290" s="82" t="s">
        <v>8294</v>
      </c>
      <c r="C5290" s="82" t="s">
        <v>282</v>
      </c>
      <c r="D5290" s="83">
        <f>SUMIFS(D5291:D6462,K5291:K6462,"0",B5291:B6462,"5 1 2 9 8 12 31111 6 M59 96300 000211 0000E 00001 00298 015 2112000 2024 CP1SB396 001*")-SUMIFS(E5291:E6462,K5291:K6462,"0",B5291:B6462,"5 1 2 9 8 12 31111 6 M59 96300 000211 0000E 00001 00298 015 2112000 2024 CP1SB396 001*")</f>
        <v>0</v>
      </c>
      <c r="E5290" s="54"/>
      <c r="F5290" s="83">
        <f>SUMIFS(F5291:F6462,K5291:K6462,"0",B5291:B6462,"5 1 2 9 8 12 31111 6 M59 96300 000211 0000E 00001 00298 015 2112000 2024 CP1SB396 001*")</f>
        <v>178139.97</v>
      </c>
      <c r="G5290" s="83">
        <f>SUMIFS(G5291:G6462,K5291:K6462,"0",B5291:B6462,"5 1 2 9 8 12 31111 6 M59 96300 000211 0000E 00001 00298 015 2112000 2024 CP1SB396 001*")</f>
        <v>0</v>
      </c>
      <c r="H5290" s="83">
        <f t="shared" si="82"/>
        <v>178139.97</v>
      </c>
      <c r="I5290" s="83"/>
      <c r="K5290" s="54" t="s">
        <v>15</v>
      </c>
    </row>
    <row r="5291" spans="2:11" ht="33" x14ac:dyDescent="0.2">
      <c r="B5291" s="84" t="s">
        <v>8295</v>
      </c>
      <c r="C5291" s="84" t="s">
        <v>8245</v>
      </c>
      <c r="D5291" s="85">
        <v>0</v>
      </c>
      <c r="E5291" s="85"/>
      <c r="F5291" s="85">
        <v>178139.97</v>
      </c>
      <c r="G5291" s="85">
        <v>0</v>
      </c>
      <c r="H5291" s="85">
        <f t="shared" ref="H5291:H5354" si="83">D5291 + F5291 - G5291</f>
        <v>178139.97</v>
      </c>
      <c r="I5291" s="85"/>
      <c r="K5291" s="54" t="s">
        <v>38</v>
      </c>
    </row>
    <row r="5292" spans="2:11" ht="24.75" x14ac:dyDescent="0.2">
      <c r="B5292" s="82" t="s">
        <v>8296</v>
      </c>
      <c r="C5292" s="82" t="s">
        <v>7259</v>
      </c>
      <c r="D5292" s="83">
        <f>SUMIFS(D5293:D6462,K5293:K6462,"0",B5293:B6462,"5 1 2 9 9*")-SUMIFS(E5293:E6462,K5293:K6462,"0",B5293:B6462,"5 1 2 9 9*")</f>
        <v>0</v>
      </c>
      <c r="E5292" s="54"/>
      <c r="F5292" s="83">
        <f>SUMIFS(F5293:F6462,K5293:K6462,"0",B5293:B6462,"5 1 2 9 9*")</f>
        <v>4739.37</v>
      </c>
      <c r="G5292" s="83">
        <f>SUMIFS(G5293:G6462,K5293:K6462,"0",B5293:B6462,"5 1 2 9 9*")</f>
        <v>0</v>
      </c>
      <c r="H5292" s="83">
        <f t="shared" si="83"/>
        <v>4739.37</v>
      </c>
      <c r="I5292" s="83"/>
      <c r="K5292" s="54" t="s">
        <v>15</v>
      </c>
    </row>
    <row r="5293" spans="2:11" ht="12.75" x14ac:dyDescent="0.2">
      <c r="B5293" s="82" t="s">
        <v>8297</v>
      </c>
      <c r="C5293" s="82" t="s">
        <v>26</v>
      </c>
      <c r="D5293" s="83">
        <f>SUMIFS(D5294:D6462,K5294:K6462,"0",B5294:B6462,"5 1 2 9 9 12*")-SUMIFS(E5294:E6462,K5294:K6462,"0",B5294:B6462,"5 1 2 9 9 12*")</f>
        <v>0</v>
      </c>
      <c r="E5293" s="54"/>
      <c r="F5293" s="83">
        <f>SUMIFS(F5294:F6462,K5294:K6462,"0",B5294:B6462,"5 1 2 9 9 12*")</f>
        <v>4739.37</v>
      </c>
      <c r="G5293" s="83">
        <f>SUMIFS(G5294:G6462,K5294:K6462,"0",B5294:B6462,"5 1 2 9 9 12*")</f>
        <v>0</v>
      </c>
      <c r="H5293" s="83">
        <f t="shared" si="83"/>
        <v>4739.37</v>
      </c>
      <c r="I5293" s="83"/>
      <c r="K5293" s="54" t="s">
        <v>15</v>
      </c>
    </row>
    <row r="5294" spans="2:11" ht="16.5" x14ac:dyDescent="0.2">
      <c r="B5294" s="82" t="s">
        <v>8298</v>
      </c>
      <c r="C5294" s="82" t="s">
        <v>28</v>
      </c>
      <c r="D5294" s="83">
        <f>SUMIFS(D5295:D6462,K5295:K6462,"0",B5295:B6462,"5 1 2 9 9 12 31111*")-SUMIFS(E5295:E6462,K5295:K6462,"0",B5295:B6462,"5 1 2 9 9 12 31111*")</f>
        <v>0</v>
      </c>
      <c r="E5294" s="54"/>
      <c r="F5294" s="83">
        <f>SUMIFS(F5295:F6462,K5295:K6462,"0",B5295:B6462,"5 1 2 9 9 12 31111*")</f>
        <v>4739.37</v>
      </c>
      <c r="G5294" s="83">
        <f>SUMIFS(G5295:G6462,K5295:K6462,"0",B5295:B6462,"5 1 2 9 9 12 31111*")</f>
        <v>0</v>
      </c>
      <c r="H5294" s="83">
        <f t="shared" si="83"/>
        <v>4739.37</v>
      </c>
      <c r="I5294" s="83"/>
      <c r="K5294" s="54" t="s">
        <v>15</v>
      </c>
    </row>
    <row r="5295" spans="2:11" ht="12.75" x14ac:dyDescent="0.2">
      <c r="B5295" s="82" t="s">
        <v>8299</v>
      </c>
      <c r="C5295" s="82" t="s">
        <v>30</v>
      </c>
      <c r="D5295" s="83">
        <f>SUMIFS(D5296:D6462,K5296:K6462,"0",B5296:B6462,"5 1 2 9 9 12 31111 6*")-SUMIFS(E5296:E6462,K5296:K6462,"0",B5296:B6462,"5 1 2 9 9 12 31111 6*")</f>
        <v>0</v>
      </c>
      <c r="E5295" s="54"/>
      <c r="F5295" s="83">
        <f>SUMIFS(F5296:F6462,K5296:K6462,"0",B5296:B6462,"5 1 2 9 9 12 31111 6*")</f>
        <v>4739.37</v>
      </c>
      <c r="G5295" s="83">
        <f>SUMIFS(G5296:G6462,K5296:K6462,"0",B5296:B6462,"5 1 2 9 9 12 31111 6*")</f>
        <v>0</v>
      </c>
      <c r="H5295" s="83">
        <f t="shared" si="83"/>
        <v>4739.37</v>
      </c>
      <c r="I5295" s="83"/>
      <c r="K5295" s="54" t="s">
        <v>15</v>
      </c>
    </row>
    <row r="5296" spans="2:11" ht="16.5" x14ac:dyDescent="0.2">
      <c r="B5296" s="82" t="s">
        <v>8300</v>
      </c>
      <c r="C5296" s="82" t="s">
        <v>2284</v>
      </c>
      <c r="D5296" s="83">
        <f>SUMIFS(D5297:D6462,K5297:K6462,"0",B5297:B6462,"5 1 2 9 9 12 31111 6 M59*")-SUMIFS(E5297:E6462,K5297:K6462,"0",B5297:B6462,"5 1 2 9 9 12 31111 6 M59*")</f>
        <v>0</v>
      </c>
      <c r="E5296" s="54"/>
      <c r="F5296" s="83">
        <f>SUMIFS(F5297:F6462,K5297:K6462,"0",B5297:B6462,"5 1 2 9 9 12 31111 6 M59*")</f>
        <v>4739.37</v>
      </c>
      <c r="G5296" s="83">
        <f>SUMIFS(G5297:G6462,K5297:K6462,"0",B5297:B6462,"5 1 2 9 9 12 31111 6 M59*")</f>
        <v>0</v>
      </c>
      <c r="H5296" s="83">
        <f t="shared" si="83"/>
        <v>4739.37</v>
      </c>
      <c r="I5296" s="83"/>
      <c r="K5296" s="54" t="s">
        <v>15</v>
      </c>
    </row>
    <row r="5297" spans="2:11" ht="16.5" x14ac:dyDescent="0.2">
      <c r="B5297" s="82" t="s">
        <v>8301</v>
      </c>
      <c r="C5297" s="82" t="s">
        <v>1308</v>
      </c>
      <c r="D5297" s="83">
        <f>SUMIFS(D5298:D6462,K5298:K6462,"0",B5298:B6462,"5 1 2 9 9 12 31111 6 M59 96300*")-SUMIFS(E5298:E6462,K5298:K6462,"0",B5298:B6462,"5 1 2 9 9 12 31111 6 M59 96300*")</f>
        <v>0</v>
      </c>
      <c r="E5297" s="54"/>
      <c r="F5297" s="83">
        <f>SUMIFS(F5298:F6462,K5298:K6462,"0",B5298:B6462,"5 1 2 9 9 12 31111 6 M59 96300*")</f>
        <v>4231.87</v>
      </c>
      <c r="G5297" s="83">
        <f>SUMIFS(G5298:G6462,K5298:K6462,"0",B5298:B6462,"5 1 2 9 9 12 31111 6 M59 96300*")</f>
        <v>0</v>
      </c>
      <c r="H5297" s="83">
        <f t="shared" si="83"/>
        <v>4231.87</v>
      </c>
      <c r="I5297" s="83"/>
      <c r="K5297" s="54" t="s">
        <v>15</v>
      </c>
    </row>
    <row r="5298" spans="2:11" ht="16.5" x14ac:dyDescent="0.2">
      <c r="B5298" s="82" t="s">
        <v>8302</v>
      </c>
      <c r="C5298" s="82" t="s">
        <v>1310</v>
      </c>
      <c r="D5298" s="83">
        <f>SUMIFS(D5299:D6462,K5299:K6462,"0",B5299:B6462,"5 1 2 9 9 12 31111 6 M59 96300 000211*")-SUMIFS(E5299:E6462,K5299:K6462,"0",B5299:B6462,"5 1 2 9 9 12 31111 6 M59 96300 000211*")</f>
        <v>0</v>
      </c>
      <c r="E5298" s="54"/>
      <c r="F5298" s="83">
        <f>SUMIFS(F5299:F6462,K5299:K6462,"0",B5299:B6462,"5 1 2 9 9 12 31111 6 M59 96300 000211*")</f>
        <v>4231.87</v>
      </c>
      <c r="G5298" s="83">
        <f>SUMIFS(G5299:G6462,K5299:K6462,"0",B5299:B6462,"5 1 2 9 9 12 31111 6 M59 96300 000211*")</f>
        <v>0</v>
      </c>
      <c r="H5298" s="83">
        <f t="shared" si="83"/>
        <v>4231.87</v>
      </c>
      <c r="I5298" s="83"/>
      <c r="K5298" s="54" t="s">
        <v>15</v>
      </c>
    </row>
    <row r="5299" spans="2:11" ht="24.75" x14ac:dyDescent="0.2">
      <c r="B5299" s="82" t="s">
        <v>8303</v>
      </c>
      <c r="C5299" s="82" t="s">
        <v>1065</v>
      </c>
      <c r="D5299" s="83">
        <f>SUMIFS(D5300:D6462,K5300:K6462,"0",B5300:B6462,"5 1 2 9 9 12 31111 6 M59 96300 000211 0000E*")-SUMIFS(E5300:E6462,K5300:K6462,"0",B5300:B6462,"5 1 2 9 9 12 31111 6 M59 96300 000211 0000E*")</f>
        <v>0</v>
      </c>
      <c r="E5299" s="54"/>
      <c r="F5299" s="83">
        <f>SUMIFS(F5300:F6462,K5300:K6462,"0",B5300:B6462,"5 1 2 9 9 12 31111 6 M59 96300 000211 0000E*")</f>
        <v>4231.87</v>
      </c>
      <c r="G5299" s="83">
        <f>SUMIFS(G5300:G6462,K5300:K6462,"0",B5300:B6462,"5 1 2 9 9 12 31111 6 M59 96300 000211 0000E*")</f>
        <v>0</v>
      </c>
      <c r="H5299" s="83">
        <f t="shared" si="83"/>
        <v>4231.87</v>
      </c>
      <c r="I5299" s="83"/>
      <c r="K5299" s="54" t="s">
        <v>15</v>
      </c>
    </row>
    <row r="5300" spans="2:11" ht="24.75" x14ac:dyDescent="0.2">
      <c r="B5300" s="82" t="s">
        <v>8304</v>
      </c>
      <c r="C5300" s="82" t="s">
        <v>282</v>
      </c>
      <c r="D5300" s="83">
        <f>SUMIFS(D5301:D6462,K5301:K6462,"0",B5301:B6462,"5 1 2 9 9 12 31111 6 M59 96300 000211 0000E 00001*")-SUMIFS(E5301:E6462,K5301:K6462,"0",B5301:B6462,"5 1 2 9 9 12 31111 6 M59 96300 000211 0000E 00001*")</f>
        <v>0</v>
      </c>
      <c r="E5300" s="54"/>
      <c r="F5300" s="83">
        <f>SUMIFS(F5301:F6462,K5301:K6462,"0",B5301:B6462,"5 1 2 9 9 12 31111 6 M59 96300 000211 0000E 00001*")</f>
        <v>4231.87</v>
      </c>
      <c r="G5300" s="83">
        <f>SUMIFS(G5301:G6462,K5301:K6462,"0",B5301:B6462,"5 1 2 9 9 12 31111 6 M59 96300 000211 0000E 00001*")</f>
        <v>0</v>
      </c>
      <c r="H5300" s="83">
        <f t="shared" si="83"/>
        <v>4231.87</v>
      </c>
      <c r="I5300" s="83"/>
      <c r="K5300" s="54" t="s">
        <v>15</v>
      </c>
    </row>
    <row r="5301" spans="2:11" ht="24.75" x14ac:dyDescent="0.2">
      <c r="B5301" s="82" t="s">
        <v>8305</v>
      </c>
      <c r="C5301" s="82" t="s">
        <v>8306</v>
      </c>
      <c r="D5301" s="83">
        <f>SUMIFS(D5302:D6462,K5302:K6462,"0",B5302:B6462,"5 1 2 9 9 12 31111 6 M59 96300 000211 0000E 00001 00299*")-SUMIFS(E5302:E6462,K5302:K6462,"0",B5302:B6462,"5 1 2 9 9 12 31111 6 M59 96300 000211 0000E 00001 00299*")</f>
        <v>0</v>
      </c>
      <c r="E5301" s="54"/>
      <c r="F5301" s="83">
        <f>SUMIFS(F5302:F6462,K5302:K6462,"0",B5302:B6462,"5 1 2 9 9 12 31111 6 M59 96300 000211 0000E 00001 00299*")</f>
        <v>4231.87</v>
      </c>
      <c r="G5301" s="83">
        <f>SUMIFS(G5302:G6462,K5302:K6462,"0",B5302:B6462,"5 1 2 9 9 12 31111 6 M59 96300 000211 0000E 00001 00299*")</f>
        <v>0</v>
      </c>
      <c r="H5301" s="83">
        <f t="shared" si="83"/>
        <v>4231.87</v>
      </c>
      <c r="I5301" s="83"/>
      <c r="K5301" s="54" t="s">
        <v>15</v>
      </c>
    </row>
    <row r="5302" spans="2:11" ht="33" x14ac:dyDescent="0.2">
      <c r="B5302" s="82" t="s">
        <v>8307</v>
      </c>
      <c r="C5302" s="82" t="s">
        <v>1051</v>
      </c>
      <c r="D5302" s="83">
        <f>SUMIFS(D5303:D6462,K5303:K6462,"0",B5303:B6462,"5 1 2 9 9 12 31111 6 M59 96300 000211 0000E 00001 00299 015*")-SUMIFS(E5303:E6462,K5303:K6462,"0",B5303:B6462,"5 1 2 9 9 12 31111 6 M59 96300 000211 0000E 00001 00299 015*")</f>
        <v>0</v>
      </c>
      <c r="E5302" s="54"/>
      <c r="F5302" s="83">
        <f>SUMIFS(F5303:F6462,K5303:K6462,"0",B5303:B6462,"5 1 2 9 9 12 31111 6 M59 96300 000211 0000E 00001 00299 015*")</f>
        <v>4231.87</v>
      </c>
      <c r="G5302" s="83">
        <f>SUMIFS(G5303:G6462,K5303:K6462,"0",B5303:B6462,"5 1 2 9 9 12 31111 6 M59 96300 000211 0000E 00001 00299 015*")</f>
        <v>0</v>
      </c>
      <c r="H5302" s="83">
        <f t="shared" si="83"/>
        <v>4231.87</v>
      </c>
      <c r="I5302" s="83"/>
      <c r="K5302" s="54" t="s">
        <v>15</v>
      </c>
    </row>
    <row r="5303" spans="2:11" ht="33" x14ac:dyDescent="0.2">
      <c r="B5303" s="82" t="s">
        <v>8308</v>
      </c>
      <c r="C5303" s="82" t="s">
        <v>5830</v>
      </c>
      <c r="D5303" s="83">
        <f>SUMIFS(D5304:D6462,K5304:K6462,"0",B5304:B6462,"5 1 2 9 9 12 31111 6 M59 96300 000211 0000E 00001 00299 015 2112000*")-SUMIFS(E5304:E6462,K5304:K6462,"0",B5304:B6462,"5 1 2 9 9 12 31111 6 M59 96300 000211 0000E 00001 00299 015 2112000*")</f>
        <v>0</v>
      </c>
      <c r="E5303" s="54"/>
      <c r="F5303" s="83">
        <f>SUMIFS(F5304:F6462,K5304:K6462,"0",B5304:B6462,"5 1 2 9 9 12 31111 6 M59 96300 000211 0000E 00001 00299 015 2112000*")</f>
        <v>4231.87</v>
      </c>
      <c r="G5303" s="83">
        <f>SUMIFS(G5304:G6462,K5304:K6462,"0",B5304:B6462,"5 1 2 9 9 12 31111 6 M59 96300 000211 0000E 00001 00299 015 2112000*")</f>
        <v>0</v>
      </c>
      <c r="H5303" s="83">
        <f t="shared" si="83"/>
        <v>4231.87</v>
      </c>
      <c r="I5303" s="83"/>
      <c r="K5303" s="54" t="s">
        <v>15</v>
      </c>
    </row>
    <row r="5304" spans="2:11" ht="33" x14ac:dyDescent="0.2">
      <c r="B5304" s="82" t="s">
        <v>8309</v>
      </c>
      <c r="C5304" s="82" t="s">
        <v>660</v>
      </c>
      <c r="D5304" s="83">
        <f>SUMIFS(D5305:D6462,K5305:K6462,"0",B5305:B6462,"5 1 2 9 9 12 31111 6 M59 96300 000211 0000E 00001 00299 015 2112000 2024*")-SUMIFS(E5305:E6462,K5305:K6462,"0",B5305:B6462,"5 1 2 9 9 12 31111 6 M59 96300 000211 0000E 00001 00299 015 2112000 2024*")</f>
        <v>0</v>
      </c>
      <c r="E5304" s="54"/>
      <c r="F5304" s="83">
        <f>SUMIFS(F5305:F6462,K5305:K6462,"0",B5305:B6462,"5 1 2 9 9 12 31111 6 M59 96300 000211 0000E 00001 00299 015 2112000 2024*")</f>
        <v>4231.87</v>
      </c>
      <c r="G5304" s="83">
        <f>SUMIFS(G5305:G6462,K5305:K6462,"0",B5305:B6462,"5 1 2 9 9 12 31111 6 M59 96300 000211 0000E 00001 00299 015 2112000 2024*")</f>
        <v>0</v>
      </c>
      <c r="H5304" s="83">
        <f t="shared" si="83"/>
        <v>4231.87</v>
      </c>
      <c r="I5304" s="83"/>
      <c r="K5304" s="54" t="s">
        <v>15</v>
      </c>
    </row>
    <row r="5305" spans="2:11" ht="41.25" x14ac:dyDescent="0.2">
      <c r="B5305" s="82" t="s">
        <v>8310</v>
      </c>
      <c r="C5305" s="82" t="s">
        <v>1056</v>
      </c>
      <c r="D5305" s="83">
        <f>SUMIFS(D5306:D6462,K5306:K6462,"0",B5306:B6462,"5 1 2 9 9 12 31111 6 M59 96300 000211 0000E 00001 00299 015 2112000 2024 CP1SB396*")-SUMIFS(E5306:E6462,K5306:K6462,"0",B5306:B6462,"5 1 2 9 9 12 31111 6 M59 96300 000211 0000E 00001 00299 015 2112000 2024 CP1SB396*")</f>
        <v>0</v>
      </c>
      <c r="E5305" s="54"/>
      <c r="F5305" s="83">
        <f>SUMIFS(F5306:F6462,K5306:K6462,"0",B5306:B6462,"5 1 2 9 9 12 31111 6 M59 96300 000211 0000E 00001 00299 015 2112000 2024 CP1SB396*")</f>
        <v>4231.87</v>
      </c>
      <c r="G5305" s="83">
        <f>SUMIFS(G5306:G6462,K5306:K6462,"0",B5306:B6462,"5 1 2 9 9 12 31111 6 M59 96300 000211 0000E 00001 00299 015 2112000 2024 CP1SB396*")</f>
        <v>0</v>
      </c>
      <c r="H5305" s="83">
        <f t="shared" si="83"/>
        <v>4231.87</v>
      </c>
      <c r="I5305" s="83"/>
      <c r="K5305" s="54" t="s">
        <v>15</v>
      </c>
    </row>
    <row r="5306" spans="2:11" ht="41.25" x14ac:dyDescent="0.2">
      <c r="B5306" s="82" t="s">
        <v>8311</v>
      </c>
      <c r="C5306" s="82" t="s">
        <v>282</v>
      </c>
      <c r="D5306" s="83">
        <f>SUMIFS(D5307:D6462,K5307:K6462,"0",B5307:B6462,"5 1 2 9 9 12 31111 6 M59 96300 000211 0000E 00001 00299 015 2112000 2024 CP1SB396 001*")-SUMIFS(E5307:E6462,K5307:K6462,"0",B5307:B6462,"5 1 2 9 9 12 31111 6 M59 96300 000211 0000E 00001 00299 015 2112000 2024 CP1SB396 001*")</f>
        <v>0</v>
      </c>
      <c r="E5306" s="54"/>
      <c r="F5306" s="83">
        <f>SUMIFS(F5307:F6462,K5307:K6462,"0",B5307:B6462,"5 1 2 9 9 12 31111 6 M59 96300 000211 0000E 00001 00299 015 2112000 2024 CP1SB396 001*")</f>
        <v>4231.87</v>
      </c>
      <c r="G5306" s="83">
        <f>SUMIFS(G5307:G6462,K5307:K6462,"0",B5307:B6462,"5 1 2 9 9 12 31111 6 M59 96300 000211 0000E 00001 00299 015 2112000 2024 CP1SB396 001*")</f>
        <v>0</v>
      </c>
      <c r="H5306" s="83">
        <f t="shared" si="83"/>
        <v>4231.87</v>
      </c>
      <c r="I5306" s="83"/>
      <c r="K5306" s="54" t="s">
        <v>15</v>
      </c>
    </row>
    <row r="5307" spans="2:11" ht="33" x14ac:dyDescent="0.2">
      <c r="B5307" s="84" t="s">
        <v>8312</v>
      </c>
      <c r="C5307" s="84" t="s">
        <v>8306</v>
      </c>
      <c r="D5307" s="85">
        <v>0</v>
      </c>
      <c r="E5307" s="85"/>
      <c r="F5307" s="85">
        <v>4231.87</v>
      </c>
      <c r="G5307" s="85">
        <v>0</v>
      </c>
      <c r="H5307" s="85">
        <f t="shared" si="83"/>
        <v>4231.87</v>
      </c>
      <c r="I5307" s="85"/>
      <c r="K5307" s="54" t="s">
        <v>38</v>
      </c>
    </row>
    <row r="5308" spans="2:11" ht="16.5" x14ac:dyDescent="0.2">
      <c r="B5308" s="82" t="s">
        <v>8313</v>
      </c>
      <c r="C5308" s="82" t="s">
        <v>3754</v>
      </c>
      <c r="D5308" s="83">
        <f>SUMIFS(D5309:D6462,K5309:K6462,"0",B5309:B6462,"5 1 2 9 9 12 31111 6 M59 99000*")-SUMIFS(E5309:E6462,K5309:K6462,"0",B5309:B6462,"5 1 2 9 9 12 31111 6 M59 99000*")</f>
        <v>0</v>
      </c>
      <c r="E5308" s="54"/>
      <c r="F5308" s="83">
        <f>SUMIFS(F5309:F6462,K5309:K6462,"0",B5309:B6462,"5 1 2 9 9 12 31111 6 M59 99000*")</f>
        <v>507.5</v>
      </c>
      <c r="G5308" s="83">
        <f>SUMIFS(G5309:G6462,K5309:K6462,"0",B5309:B6462,"5 1 2 9 9 12 31111 6 M59 99000*")</f>
        <v>0</v>
      </c>
      <c r="H5308" s="83">
        <f t="shared" si="83"/>
        <v>507.5</v>
      </c>
      <c r="I5308" s="83"/>
      <c r="K5308" s="54" t="s">
        <v>15</v>
      </c>
    </row>
    <row r="5309" spans="2:11" ht="16.5" x14ac:dyDescent="0.2">
      <c r="B5309" s="82" t="s">
        <v>8314</v>
      </c>
      <c r="C5309" s="82" t="s">
        <v>648</v>
      </c>
      <c r="D5309" s="83">
        <f>SUMIFS(D5310:D6462,K5310:K6462,"0",B5310:B6462,"5 1 2 9 9 12 31111 6 M59 99000 000132*")-SUMIFS(E5310:E6462,K5310:K6462,"0",B5310:B6462,"5 1 2 9 9 12 31111 6 M59 99000 000132*")</f>
        <v>0</v>
      </c>
      <c r="E5309" s="54"/>
      <c r="F5309" s="83">
        <f>SUMIFS(F5310:F6462,K5310:K6462,"0",B5310:B6462,"5 1 2 9 9 12 31111 6 M59 99000 000132*")</f>
        <v>507.5</v>
      </c>
      <c r="G5309" s="83">
        <f>SUMIFS(G5310:G6462,K5310:K6462,"0",B5310:B6462,"5 1 2 9 9 12 31111 6 M59 99000 000132*")</f>
        <v>0</v>
      </c>
      <c r="H5309" s="83">
        <f t="shared" si="83"/>
        <v>507.5</v>
      </c>
      <c r="I5309" s="83"/>
      <c r="K5309" s="54" t="s">
        <v>15</v>
      </c>
    </row>
    <row r="5310" spans="2:11" ht="24.75" x14ac:dyDescent="0.2">
      <c r="B5310" s="82" t="s">
        <v>8315</v>
      </c>
      <c r="C5310" s="82" t="s">
        <v>650</v>
      </c>
      <c r="D5310" s="83">
        <f>SUMIFS(D5311:D6462,K5311:K6462,"0",B5311:B6462,"5 1 2 9 9 12 31111 6 M59 99000 000132 0000R*")-SUMIFS(E5311:E6462,K5311:K6462,"0",B5311:B6462,"5 1 2 9 9 12 31111 6 M59 99000 000132 0000R*")</f>
        <v>0</v>
      </c>
      <c r="E5310" s="54"/>
      <c r="F5310" s="83">
        <f>SUMIFS(F5311:F6462,K5311:K6462,"0",B5311:B6462,"5 1 2 9 9 12 31111 6 M59 99000 000132 0000R*")</f>
        <v>507.5</v>
      </c>
      <c r="G5310" s="83">
        <f>SUMIFS(G5311:G6462,K5311:K6462,"0",B5311:B6462,"5 1 2 9 9 12 31111 6 M59 99000 000132 0000R*")</f>
        <v>0</v>
      </c>
      <c r="H5310" s="83">
        <f t="shared" si="83"/>
        <v>507.5</v>
      </c>
      <c r="I5310" s="83"/>
      <c r="K5310" s="54" t="s">
        <v>15</v>
      </c>
    </row>
    <row r="5311" spans="2:11" ht="24.75" x14ac:dyDescent="0.2">
      <c r="B5311" s="82" t="s">
        <v>8316</v>
      </c>
      <c r="C5311" s="82" t="s">
        <v>282</v>
      </c>
      <c r="D5311" s="83">
        <f>SUMIFS(D5312:D6462,K5312:K6462,"0",B5312:B6462,"5 1 2 9 9 12 31111 6 M59 99000 000132 0000R 00001*")-SUMIFS(E5312:E6462,K5312:K6462,"0",B5312:B6462,"5 1 2 9 9 12 31111 6 M59 99000 000132 0000R 00001*")</f>
        <v>0</v>
      </c>
      <c r="E5311" s="54"/>
      <c r="F5311" s="83">
        <f>SUMIFS(F5312:F6462,K5312:K6462,"0",B5312:B6462,"5 1 2 9 9 12 31111 6 M59 99000 000132 0000R 00001*")</f>
        <v>507.5</v>
      </c>
      <c r="G5311" s="83">
        <f>SUMIFS(G5312:G6462,K5312:K6462,"0",B5312:B6462,"5 1 2 9 9 12 31111 6 M59 99000 000132 0000R 00001*")</f>
        <v>0</v>
      </c>
      <c r="H5311" s="83">
        <f t="shared" si="83"/>
        <v>507.5</v>
      </c>
      <c r="I5311" s="83"/>
      <c r="K5311" s="54" t="s">
        <v>15</v>
      </c>
    </row>
    <row r="5312" spans="2:11" ht="24.75" x14ac:dyDescent="0.2">
      <c r="B5312" s="82" t="s">
        <v>8317</v>
      </c>
      <c r="C5312" s="82" t="s">
        <v>8306</v>
      </c>
      <c r="D5312" s="83">
        <f>SUMIFS(D5313:D6462,K5313:K6462,"0",B5313:B6462,"5 1 2 9 9 12 31111 6 M59 99000 000132 0000R 00001 00299*")-SUMIFS(E5313:E6462,K5313:K6462,"0",B5313:B6462,"5 1 2 9 9 12 31111 6 M59 99000 000132 0000R 00001 00299*")</f>
        <v>0</v>
      </c>
      <c r="E5312" s="54"/>
      <c r="F5312" s="83">
        <f>SUMIFS(F5313:F6462,K5313:K6462,"0",B5313:B6462,"5 1 2 9 9 12 31111 6 M59 99000 000132 0000R 00001 00299*")</f>
        <v>507.5</v>
      </c>
      <c r="G5312" s="83">
        <f>SUMIFS(G5313:G6462,K5313:K6462,"0",B5313:B6462,"5 1 2 9 9 12 31111 6 M59 99000 000132 0000R 00001 00299*")</f>
        <v>0</v>
      </c>
      <c r="H5312" s="83">
        <f t="shared" si="83"/>
        <v>507.5</v>
      </c>
      <c r="I5312" s="83"/>
      <c r="K5312" s="54" t="s">
        <v>15</v>
      </c>
    </row>
    <row r="5313" spans="2:11" ht="33" x14ac:dyDescent="0.2">
      <c r="B5313" s="82" t="s">
        <v>8318</v>
      </c>
      <c r="C5313" s="82" t="s">
        <v>1051</v>
      </c>
      <c r="D5313" s="83">
        <f>SUMIFS(D5314:D6462,K5314:K6462,"0",B5314:B6462,"5 1 2 9 9 12 31111 6 M59 99000 000132 0000R 00001 00299 015*")-SUMIFS(E5314:E6462,K5314:K6462,"0",B5314:B6462,"5 1 2 9 9 12 31111 6 M59 99000 000132 0000R 00001 00299 015*")</f>
        <v>0</v>
      </c>
      <c r="E5313" s="54"/>
      <c r="F5313" s="83">
        <f>SUMIFS(F5314:F6462,K5314:K6462,"0",B5314:B6462,"5 1 2 9 9 12 31111 6 M59 99000 000132 0000R 00001 00299 015*")</f>
        <v>507.5</v>
      </c>
      <c r="G5313" s="83">
        <f>SUMIFS(G5314:G6462,K5314:K6462,"0",B5314:B6462,"5 1 2 9 9 12 31111 6 M59 99000 000132 0000R 00001 00299 015*")</f>
        <v>0</v>
      </c>
      <c r="H5313" s="83">
        <f t="shared" si="83"/>
        <v>507.5</v>
      </c>
      <c r="I5313" s="83"/>
      <c r="K5313" s="54" t="s">
        <v>15</v>
      </c>
    </row>
    <row r="5314" spans="2:11" ht="33" x14ac:dyDescent="0.2">
      <c r="B5314" s="82" t="s">
        <v>8319</v>
      </c>
      <c r="C5314" s="82" t="s">
        <v>5830</v>
      </c>
      <c r="D5314" s="83">
        <f>SUMIFS(D5315:D6462,K5315:K6462,"0",B5315:B6462,"5 1 2 9 9 12 31111 6 M59 99000 000132 0000R 00001 00299 015 2112000*")-SUMIFS(E5315:E6462,K5315:K6462,"0",B5315:B6462,"5 1 2 9 9 12 31111 6 M59 99000 000132 0000R 00001 00299 015 2112000*")</f>
        <v>0</v>
      </c>
      <c r="E5314" s="54"/>
      <c r="F5314" s="83">
        <f>SUMIFS(F5315:F6462,K5315:K6462,"0",B5315:B6462,"5 1 2 9 9 12 31111 6 M59 99000 000132 0000R 00001 00299 015 2112000*")</f>
        <v>507.5</v>
      </c>
      <c r="G5314" s="83">
        <f>SUMIFS(G5315:G6462,K5315:K6462,"0",B5315:B6462,"5 1 2 9 9 12 31111 6 M59 99000 000132 0000R 00001 00299 015 2112000*")</f>
        <v>0</v>
      </c>
      <c r="H5314" s="83">
        <f t="shared" si="83"/>
        <v>507.5</v>
      </c>
      <c r="I5314" s="83"/>
      <c r="K5314" s="54" t="s">
        <v>15</v>
      </c>
    </row>
    <row r="5315" spans="2:11" ht="33" x14ac:dyDescent="0.2">
      <c r="B5315" s="82" t="s">
        <v>8320</v>
      </c>
      <c r="C5315" s="82" t="s">
        <v>660</v>
      </c>
      <c r="D5315" s="83">
        <f>SUMIFS(D5316:D6462,K5316:K6462,"0",B5316:B6462,"5 1 2 9 9 12 31111 6 M59 99000 000132 0000R 00001 00299 015 2112000 2024*")-SUMIFS(E5316:E6462,K5316:K6462,"0",B5316:B6462,"5 1 2 9 9 12 31111 6 M59 99000 000132 0000R 00001 00299 015 2112000 2024*")</f>
        <v>0</v>
      </c>
      <c r="E5315" s="54"/>
      <c r="F5315" s="83">
        <f>SUMIFS(F5316:F6462,K5316:K6462,"0",B5316:B6462,"5 1 2 9 9 12 31111 6 M59 99000 000132 0000R 00001 00299 015 2112000 2024*")</f>
        <v>507.5</v>
      </c>
      <c r="G5315" s="83">
        <f>SUMIFS(G5316:G6462,K5316:K6462,"0",B5316:B6462,"5 1 2 9 9 12 31111 6 M59 99000 000132 0000R 00001 00299 015 2112000 2024*")</f>
        <v>0</v>
      </c>
      <c r="H5315" s="83">
        <f t="shared" si="83"/>
        <v>507.5</v>
      </c>
      <c r="I5315" s="83"/>
      <c r="K5315" s="54" t="s">
        <v>15</v>
      </c>
    </row>
    <row r="5316" spans="2:11" ht="41.25" x14ac:dyDescent="0.2">
      <c r="B5316" s="82" t="s">
        <v>8321</v>
      </c>
      <c r="C5316" s="82" t="s">
        <v>1056</v>
      </c>
      <c r="D5316" s="83">
        <f>SUMIFS(D5317:D6462,K5317:K6462,"0",B5317:B6462,"5 1 2 9 9 12 31111 6 M59 99000 000132 0000R 00001 00299 015 2112000 2024 CP1MG408*")-SUMIFS(E5317:E6462,K5317:K6462,"0",B5317:B6462,"5 1 2 9 9 12 31111 6 M59 99000 000132 0000R 00001 00299 015 2112000 2024 CP1MG408*")</f>
        <v>0</v>
      </c>
      <c r="E5316" s="54"/>
      <c r="F5316" s="83">
        <f>SUMIFS(F5317:F6462,K5317:K6462,"0",B5317:B6462,"5 1 2 9 9 12 31111 6 M59 99000 000132 0000R 00001 00299 015 2112000 2024 CP1MG408*")</f>
        <v>507.5</v>
      </c>
      <c r="G5316" s="83">
        <f>SUMIFS(G5317:G6462,K5317:K6462,"0",B5317:B6462,"5 1 2 9 9 12 31111 6 M59 99000 000132 0000R 00001 00299 015 2112000 2024 CP1MG408*")</f>
        <v>0</v>
      </c>
      <c r="H5316" s="83">
        <f t="shared" si="83"/>
        <v>507.5</v>
      </c>
      <c r="I5316" s="83"/>
      <c r="K5316" s="54" t="s">
        <v>15</v>
      </c>
    </row>
    <row r="5317" spans="2:11" ht="41.25" x14ac:dyDescent="0.2">
      <c r="B5317" s="82" t="s">
        <v>8322</v>
      </c>
      <c r="C5317" s="82" t="s">
        <v>282</v>
      </c>
      <c r="D5317" s="83">
        <f>SUMIFS(D5318:D6462,K5318:K6462,"0",B5318:B6462,"5 1 2 9 9 12 31111 6 M59 99000 000132 0000R 00001 00299 015 2112000 2024 CP1MG408 001*")-SUMIFS(E5318:E6462,K5318:K6462,"0",B5318:B6462,"5 1 2 9 9 12 31111 6 M59 99000 000132 0000R 00001 00299 015 2112000 2024 CP1MG408 001*")</f>
        <v>0</v>
      </c>
      <c r="E5317" s="54"/>
      <c r="F5317" s="83">
        <f>SUMIFS(F5318:F6462,K5318:K6462,"0",B5318:B6462,"5 1 2 9 9 12 31111 6 M59 99000 000132 0000R 00001 00299 015 2112000 2024 CP1MG408 001*")</f>
        <v>507.5</v>
      </c>
      <c r="G5317" s="83">
        <f>SUMIFS(G5318:G6462,K5318:K6462,"0",B5318:B6462,"5 1 2 9 9 12 31111 6 M59 99000 000132 0000R 00001 00299 015 2112000 2024 CP1MG408 001*")</f>
        <v>0</v>
      </c>
      <c r="H5317" s="83">
        <f t="shared" si="83"/>
        <v>507.5</v>
      </c>
      <c r="I5317" s="83"/>
      <c r="K5317" s="54" t="s">
        <v>15</v>
      </c>
    </row>
    <row r="5318" spans="2:11" ht="41.25" x14ac:dyDescent="0.2">
      <c r="B5318" s="84" t="s">
        <v>8323</v>
      </c>
      <c r="C5318" s="84" t="s">
        <v>7259</v>
      </c>
      <c r="D5318" s="85">
        <v>0</v>
      </c>
      <c r="E5318" s="85"/>
      <c r="F5318" s="85">
        <v>507.5</v>
      </c>
      <c r="G5318" s="85">
        <v>0</v>
      </c>
      <c r="H5318" s="85">
        <f t="shared" si="83"/>
        <v>507.5</v>
      </c>
      <c r="I5318" s="85"/>
      <c r="K5318" s="54" t="s">
        <v>38</v>
      </c>
    </row>
    <row r="5319" spans="2:11" ht="12.75" x14ac:dyDescent="0.2">
      <c r="B5319" s="82" t="s">
        <v>8324</v>
      </c>
      <c r="C5319" s="82" t="s">
        <v>8325</v>
      </c>
      <c r="D5319" s="83">
        <f>SUMIFS(D5320:D6462,K5320:K6462,"0",B5320:B6462,"5 1 3*")-SUMIFS(E5320:E6462,K5320:K6462,"0",B5320:B6462,"5 1 3*")</f>
        <v>0</v>
      </c>
      <c r="E5319" s="54"/>
      <c r="F5319" s="83">
        <f>SUMIFS(F5320:F6462,K5320:K6462,"0",B5320:B6462,"5 1 3*")</f>
        <v>11596773.220000003</v>
      </c>
      <c r="G5319" s="83">
        <f>SUMIFS(G5320:G6462,K5320:K6462,"0",B5320:B6462,"5 1 3*")</f>
        <v>0</v>
      </c>
      <c r="H5319" s="83">
        <f t="shared" si="83"/>
        <v>11596773.220000003</v>
      </c>
      <c r="I5319" s="83"/>
      <c r="K5319" s="54" t="s">
        <v>15</v>
      </c>
    </row>
    <row r="5320" spans="2:11" ht="12.75" x14ac:dyDescent="0.2">
      <c r="B5320" s="82" t="s">
        <v>8326</v>
      </c>
      <c r="C5320" s="82" t="s">
        <v>8327</v>
      </c>
      <c r="D5320" s="83">
        <f>SUMIFS(D5321:D6462,K5321:K6462,"0",B5321:B6462,"5 1 3 1*")-SUMIFS(E5321:E6462,K5321:K6462,"0",B5321:B6462,"5 1 3 1*")</f>
        <v>0</v>
      </c>
      <c r="E5320" s="54"/>
      <c r="F5320" s="83">
        <f>SUMIFS(F5321:F6462,K5321:K6462,"0",B5321:B6462,"5 1 3 1*")</f>
        <v>2590372.7600000002</v>
      </c>
      <c r="G5320" s="83">
        <f>SUMIFS(G5321:G6462,K5321:K6462,"0",B5321:B6462,"5 1 3 1*")</f>
        <v>0</v>
      </c>
      <c r="H5320" s="83">
        <f t="shared" si="83"/>
        <v>2590372.7600000002</v>
      </c>
      <c r="I5320" s="83"/>
      <c r="K5320" s="54" t="s">
        <v>15</v>
      </c>
    </row>
    <row r="5321" spans="2:11" ht="12.75" x14ac:dyDescent="0.2">
      <c r="B5321" s="82" t="s">
        <v>8328</v>
      </c>
      <c r="C5321" s="82" t="s">
        <v>8329</v>
      </c>
      <c r="D5321" s="83">
        <f>SUMIFS(D5322:D6462,K5322:K6462,"0",B5322:B6462,"5 1 3 1 1*")-SUMIFS(E5322:E6462,K5322:K6462,"0",B5322:B6462,"5 1 3 1 1*")</f>
        <v>0</v>
      </c>
      <c r="E5321" s="54"/>
      <c r="F5321" s="83">
        <f>SUMIFS(F5322:F6462,K5322:K6462,"0",B5322:B6462,"5 1 3 1 1*")</f>
        <v>2337533.12</v>
      </c>
      <c r="G5321" s="83">
        <f>SUMIFS(G5322:G6462,K5322:K6462,"0",B5322:B6462,"5 1 3 1 1*")</f>
        <v>0</v>
      </c>
      <c r="H5321" s="83">
        <f t="shared" si="83"/>
        <v>2337533.12</v>
      </c>
      <c r="I5321" s="83"/>
      <c r="K5321" s="54" t="s">
        <v>15</v>
      </c>
    </row>
    <row r="5322" spans="2:11" ht="12.75" x14ac:dyDescent="0.2">
      <c r="B5322" s="82" t="s">
        <v>8330</v>
      </c>
      <c r="C5322" s="82" t="s">
        <v>26</v>
      </c>
      <c r="D5322" s="83">
        <f>SUMIFS(D5323:D6462,K5323:K6462,"0",B5323:B6462,"5 1 3 1 1 12*")-SUMIFS(E5323:E6462,K5323:K6462,"0",B5323:B6462,"5 1 3 1 1 12*")</f>
        <v>0</v>
      </c>
      <c r="E5322" s="54"/>
      <c r="F5322" s="83">
        <f>SUMIFS(F5323:F6462,K5323:K6462,"0",B5323:B6462,"5 1 3 1 1 12*")</f>
        <v>2337533.12</v>
      </c>
      <c r="G5322" s="83">
        <f>SUMIFS(G5323:G6462,K5323:K6462,"0",B5323:B6462,"5 1 3 1 1 12*")</f>
        <v>0</v>
      </c>
      <c r="H5322" s="83">
        <f t="shared" si="83"/>
        <v>2337533.12</v>
      </c>
      <c r="I5322" s="83"/>
      <c r="K5322" s="54" t="s">
        <v>15</v>
      </c>
    </row>
    <row r="5323" spans="2:11" ht="16.5" x14ac:dyDescent="0.2">
      <c r="B5323" s="82" t="s">
        <v>8331</v>
      </c>
      <c r="C5323" s="82" t="s">
        <v>28</v>
      </c>
      <c r="D5323" s="83">
        <f>SUMIFS(D5324:D6462,K5324:K6462,"0",B5324:B6462,"5 1 3 1 1 12 31111*")-SUMIFS(E5324:E6462,K5324:K6462,"0",B5324:B6462,"5 1 3 1 1 12 31111*")</f>
        <v>0</v>
      </c>
      <c r="E5323" s="54"/>
      <c r="F5323" s="83">
        <f>SUMIFS(F5324:F6462,K5324:K6462,"0",B5324:B6462,"5 1 3 1 1 12 31111*")</f>
        <v>2337533.12</v>
      </c>
      <c r="G5323" s="83">
        <f>SUMIFS(G5324:G6462,K5324:K6462,"0",B5324:B6462,"5 1 3 1 1 12 31111*")</f>
        <v>0</v>
      </c>
      <c r="H5323" s="83">
        <f t="shared" si="83"/>
        <v>2337533.12</v>
      </c>
      <c r="I5323" s="83"/>
      <c r="K5323" s="54" t="s">
        <v>15</v>
      </c>
    </row>
    <row r="5324" spans="2:11" ht="12.75" x14ac:dyDescent="0.2">
      <c r="B5324" s="82" t="s">
        <v>8332</v>
      </c>
      <c r="C5324" s="82" t="s">
        <v>30</v>
      </c>
      <c r="D5324" s="83">
        <f>SUMIFS(D5325:D6462,K5325:K6462,"0",B5325:B6462,"5 1 3 1 1 12 31111 6*")-SUMIFS(E5325:E6462,K5325:K6462,"0",B5325:B6462,"5 1 3 1 1 12 31111 6*")</f>
        <v>0</v>
      </c>
      <c r="E5324" s="54"/>
      <c r="F5324" s="83">
        <f>SUMIFS(F5325:F6462,K5325:K6462,"0",B5325:B6462,"5 1 3 1 1 12 31111 6*")</f>
        <v>2337533.12</v>
      </c>
      <c r="G5324" s="83">
        <f>SUMIFS(G5325:G6462,K5325:K6462,"0",B5325:B6462,"5 1 3 1 1 12 31111 6*")</f>
        <v>0</v>
      </c>
      <c r="H5324" s="83">
        <f t="shared" si="83"/>
        <v>2337533.12</v>
      </c>
      <c r="I5324" s="83"/>
      <c r="K5324" s="54" t="s">
        <v>15</v>
      </c>
    </row>
    <row r="5325" spans="2:11" ht="16.5" x14ac:dyDescent="0.2">
      <c r="B5325" s="82" t="s">
        <v>8333</v>
      </c>
      <c r="C5325" s="82" t="s">
        <v>2284</v>
      </c>
      <c r="D5325" s="83">
        <f>SUMIFS(D5326:D6462,K5326:K6462,"0",B5326:B6462,"5 1 3 1 1 12 31111 6 M59*")-SUMIFS(E5326:E6462,K5326:K6462,"0",B5326:B6462,"5 1 3 1 1 12 31111 6 M59*")</f>
        <v>0</v>
      </c>
      <c r="E5325" s="54"/>
      <c r="F5325" s="83">
        <f>SUMIFS(F5326:F6462,K5326:K6462,"0",B5326:B6462,"5 1 3 1 1 12 31111 6 M59*")</f>
        <v>2337533.12</v>
      </c>
      <c r="G5325" s="83">
        <f>SUMIFS(G5326:G6462,K5326:K6462,"0",B5326:B6462,"5 1 3 1 1 12 31111 6 M59*")</f>
        <v>0</v>
      </c>
      <c r="H5325" s="83">
        <f t="shared" si="83"/>
        <v>2337533.12</v>
      </c>
      <c r="I5325" s="83"/>
      <c r="K5325" s="54" t="s">
        <v>15</v>
      </c>
    </row>
    <row r="5326" spans="2:11" ht="16.5" x14ac:dyDescent="0.2">
      <c r="B5326" s="82" t="s">
        <v>8371</v>
      </c>
      <c r="C5326" s="82" t="s">
        <v>3644</v>
      </c>
      <c r="D5326" s="83">
        <f>SUMIFS(D5327:D6462,K5327:K6462,"0",B5327:B6462,"5 1 3 1 1 12 31111 6 M59 94000*")-SUMIFS(E5327:E6462,K5327:K6462,"0",B5327:B6462,"5 1 3 1 1 12 31111 6 M59 94000*")</f>
        <v>0</v>
      </c>
      <c r="E5326" s="54"/>
      <c r="F5326" s="83">
        <f>SUMIFS(F5327:F6462,K5327:K6462,"0",B5327:B6462,"5 1 3 1 1 12 31111 6 M59 94000*")</f>
        <v>1916335.18</v>
      </c>
      <c r="G5326" s="83">
        <f>SUMIFS(G5327:G6462,K5327:K6462,"0",B5327:B6462,"5 1 3 1 1 12 31111 6 M59 94000*")</f>
        <v>0</v>
      </c>
      <c r="H5326" s="83">
        <f t="shared" si="83"/>
        <v>1916335.18</v>
      </c>
      <c r="I5326" s="83"/>
      <c r="K5326" s="54" t="s">
        <v>15</v>
      </c>
    </row>
    <row r="5327" spans="2:11" ht="24.75" x14ac:dyDescent="0.2">
      <c r="B5327" s="82" t="s">
        <v>8372</v>
      </c>
      <c r="C5327" s="82" t="s">
        <v>3152</v>
      </c>
      <c r="D5327" s="83">
        <f>SUMIFS(D5328:D6462,K5328:K6462,"0",B5328:B6462,"5 1 3 1 1 12 31111 6 M59 94000 000181*")-SUMIFS(E5328:E6462,K5328:K6462,"0",B5328:B6462,"5 1 3 1 1 12 31111 6 M59 94000 000181*")</f>
        <v>0</v>
      </c>
      <c r="E5327" s="54"/>
      <c r="F5327" s="83">
        <f>SUMIFS(F5328:F6462,K5328:K6462,"0",B5328:B6462,"5 1 3 1 1 12 31111 6 M59 94000 000181*")</f>
        <v>1916335.18</v>
      </c>
      <c r="G5327" s="83">
        <f>SUMIFS(G5328:G6462,K5328:K6462,"0",B5328:B6462,"5 1 3 1 1 12 31111 6 M59 94000 000181*")</f>
        <v>0</v>
      </c>
      <c r="H5327" s="83">
        <f t="shared" si="83"/>
        <v>1916335.18</v>
      </c>
      <c r="I5327" s="83"/>
      <c r="K5327" s="54" t="s">
        <v>15</v>
      </c>
    </row>
    <row r="5328" spans="2:11" ht="16.5" x14ac:dyDescent="0.2">
      <c r="B5328" s="82" t="s">
        <v>8373</v>
      </c>
      <c r="C5328" s="82" t="s">
        <v>650</v>
      </c>
      <c r="D5328" s="83">
        <f>SUMIFS(D5329:D6462,K5329:K6462,"0",B5329:B6462,"5 1 3 1 1 12 31111 6 M59 94000 000181 0000R*")-SUMIFS(E5329:E6462,K5329:K6462,"0",B5329:B6462,"5 1 3 1 1 12 31111 6 M59 94000 000181 0000R*")</f>
        <v>0</v>
      </c>
      <c r="E5328" s="54"/>
      <c r="F5328" s="83">
        <f>SUMIFS(F5329:F6462,K5329:K6462,"0",B5329:B6462,"5 1 3 1 1 12 31111 6 M59 94000 000181 0000R*")</f>
        <v>1916335.18</v>
      </c>
      <c r="G5328" s="83">
        <f>SUMIFS(G5329:G6462,K5329:K6462,"0",B5329:B6462,"5 1 3 1 1 12 31111 6 M59 94000 000181 0000R*")</f>
        <v>0</v>
      </c>
      <c r="H5328" s="83">
        <f t="shared" si="83"/>
        <v>1916335.18</v>
      </c>
      <c r="I5328" s="83"/>
      <c r="K5328" s="54" t="s">
        <v>15</v>
      </c>
    </row>
    <row r="5329" spans="2:11" ht="24.75" x14ac:dyDescent="0.2">
      <c r="B5329" s="82" t="s">
        <v>8374</v>
      </c>
      <c r="C5329" s="82" t="s">
        <v>282</v>
      </c>
      <c r="D5329" s="83">
        <f>SUMIFS(D5330:D6462,K5330:K6462,"0",B5330:B6462,"5 1 3 1 1 12 31111 6 M59 94000 000181 0000R 00001*")-SUMIFS(E5330:E6462,K5330:K6462,"0",B5330:B6462,"5 1 3 1 1 12 31111 6 M59 94000 000181 0000R 00001*")</f>
        <v>0</v>
      </c>
      <c r="E5329" s="54"/>
      <c r="F5329" s="83">
        <f>SUMIFS(F5330:F6462,K5330:K6462,"0",B5330:B6462,"5 1 3 1 1 12 31111 6 M59 94000 000181 0000R 00001*")</f>
        <v>1916335.18</v>
      </c>
      <c r="G5329" s="83">
        <f>SUMIFS(G5330:G6462,K5330:K6462,"0",B5330:B6462,"5 1 3 1 1 12 31111 6 M59 94000 000181 0000R 00001*")</f>
        <v>0</v>
      </c>
      <c r="H5329" s="83">
        <f t="shared" si="83"/>
        <v>1916335.18</v>
      </c>
      <c r="I5329" s="83"/>
      <c r="K5329" s="54" t="s">
        <v>15</v>
      </c>
    </row>
    <row r="5330" spans="2:11" ht="24.75" x14ac:dyDescent="0.2">
      <c r="B5330" s="82" t="s">
        <v>8375</v>
      </c>
      <c r="C5330" s="82" t="s">
        <v>8339</v>
      </c>
      <c r="D5330" s="83">
        <f>SUMIFS(D5331:D6462,K5331:K6462,"0",B5331:B6462,"5 1 3 1 1 12 31111 6 M59 94000 000181 0000R 00001 00311*")-SUMIFS(E5331:E6462,K5331:K6462,"0",B5331:B6462,"5 1 3 1 1 12 31111 6 M59 94000 000181 0000R 00001 00311*")</f>
        <v>0</v>
      </c>
      <c r="E5330" s="54"/>
      <c r="F5330" s="83">
        <f>SUMIFS(F5331:F6462,K5331:K6462,"0",B5331:B6462,"5 1 3 1 1 12 31111 6 M59 94000 000181 0000R 00001 00311*")</f>
        <v>1916335.18</v>
      </c>
      <c r="G5330" s="83">
        <f>SUMIFS(G5331:G6462,K5331:K6462,"0",B5331:B6462,"5 1 3 1 1 12 31111 6 M59 94000 000181 0000R 00001 00311*")</f>
        <v>0</v>
      </c>
      <c r="H5330" s="83">
        <f t="shared" si="83"/>
        <v>1916335.18</v>
      </c>
      <c r="I5330" s="83"/>
      <c r="K5330" s="54" t="s">
        <v>15</v>
      </c>
    </row>
    <row r="5331" spans="2:11" ht="24.75" x14ac:dyDescent="0.2">
      <c r="B5331" s="82" t="s">
        <v>8376</v>
      </c>
      <c r="C5331" s="82" t="s">
        <v>1051</v>
      </c>
      <c r="D5331" s="83">
        <f>SUMIFS(D5332:D6462,K5332:K6462,"0",B5332:B6462,"5 1 3 1 1 12 31111 6 M59 94000 000181 0000R 00001 00311 015*")-SUMIFS(E5332:E6462,K5332:K6462,"0",B5332:B6462,"5 1 3 1 1 12 31111 6 M59 94000 000181 0000R 00001 00311 015*")</f>
        <v>0</v>
      </c>
      <c r="E5331" s="54"/>
      <c r="F5331" s="83">
        <f>SUMIFS(F5332:F6462,K5332:K6462,"0",B5332:B6462,"5 1 3 1 1 12 31111 6 M59 94000 000181 0000R 00001 00311 015*")</f>
        <v>1916335.18</v>
      </c>
      <c r="G5331" s="83">
        <f>SUMIFS(G5332:G6462,K5332:K6462,"0",B5332:B6462,"5 1 3 1 1 12 31111 6 M59 94000 000181 0000R 00001 00311 015*")</f>
        <v>0</v>
      </c>
      <c r="H5331" s="83">
        <f t="shared" si="83"/>
        <v>1916335.18</v>
      </c>
      <c r="I5331" s="83"/>
      <c r="K5331" s="54" t="s">
        <v>15</v>
      </c>
    </row>
    <row r="5332" spans="2:11" ht="33" x14ac:dyDescent="0.2">
      <c r="B5332" s="82" t="s">
        <v>8377</v>
      </c>
      <c r="C5332" s="82" t="s">
        <v>5830</v>
      </c>
      <c r="D5332" s="83">
        <f>SUMIFS(D5333:D6462,K5333:K6462,"0",B5333:B6462,"5 1 3 1 1 12 31111 6 M59 94000 000181 0000R 00001 00311 015 2112000*")-SUMIFS(E5333:E6462,K5333:K6462,"0",B5333:B6462,"5 1 3 1 1 12 31111 6 M59 94000 000181 0000R 00001 00311 015 2112000*")</f>
        <v>0</v>
      </c>
      <c r="E5332" s="54"/>
      <c r="F5332" s="83">
        <f>SUMIFS(F5333:F6462,K5333:K6462,"0",B5333:B6462,"5 1 3 1 1 12 31111 6 M59 94000 000181 0000R 00001 00311 015 2112000*")</f>
        <v>1916335.18</v>
      </c>
      <c r="G5332" s="83">
        <f>SUMIFS(G5333:G6462,K5333:K6462,"0",B5333:B6462,"5 1 3 1 1 12 31111 6 M59 94000 000181 0000R 00001 00311 015 2112000*")</f>
        <v>0</v>
      </c>
      <c r="H5332" s="83">
        <f t="shared" si="83"/>
        <v>1916335.18</v>
      </c>
      <c r="I5332" s="83"/>
      <c r="K5332" s="54" t="s">
        <v>15</v>
      </c>
    </row>
    <row r="5333" spans="2:11" ht="33" x14ac:dyDescent="0.2">
      <c r="B5333" s="82" t="s">
        <v>8378</v>
      </c>
      <c r="C5333" s="82" t="s">
        <v>660</v>
      </c>
      <c r="D5333" s="83">
        <f>SUMIFS(D5334:D6462,K5334:K6462,"0",B5334:B6462,"5 1 3 1 1 12 31111 6 M59 94000 000181 0000R 00001 00311 015 2112000 2024*")-SUMIFS(E5334:E6462,K5334:K6462,"0",B5334:B6462,"5 1 3 1 1 12 31111 6 M59 94000 000181 0000R 00001 00311 015 2112000 2024*")</f>
        <v>0</v>
      </c>
      <c r="E5333" s="54"/>
      <c r="F5333" s="83">
        <f>SUMIFS(F5334:F6462,K5334:K6462,"0",B5334:B6462,"5 1 3 1 1 12 31111 6 M59 94000 000181 0000R 00001 00311 015 2112000 2024*")</f>
        <v>1916335.18</v>
      </c>
      <c r="G5333" s="83">
        <f>SUMIFS(G5334:G6462,K5334:K6462,"0",B5334:B6462,"5 1 3 1 1 12 31111 6 M59 94000 000181 0000R 00001 00311 015 2112000 2024*")</f>
        <v>0</v>
      </c>
      <c r="H5333" s="83">
        <f t="shared" si="83"/>
        <v>1916335.18</v>
      </c>
      <c r="I5333" s="83"/>
      <c r="K5333" s="54" t="s">
        <v>15</v>
      </c>
    </row>
    <row r="5334" spans="2:11" ht="41.25" x14ac:dyDescent="0.2">
      <c r="B5334" s="82" t="s">
        <v>8379</v>
      </c>
      <c r="C5334" s="82" t="s">
        <v>1056</v>
      </c>
      <c r="D5334" s="83">
        <f>SUMIFS(D5335:D6462,K5335:K6462,"0",B5335:B6462,"5 1 3 1 1 12 31111 6 M59 94000 000181 0000R 00001 00311 015 2112000 2024 CP1OM392*")-SUMIFS(E5335:E6462,K5335:K6462,"0",B5335:B6462,"5 1 3 1 1 12 31111 6 M59 94000 000181 0000R 00001 00311 015 2112000 2024 CP1OM392*")</f>
        <v>0</v>
      </c>
      <c r="E5334" s="54"/>
      <c r="F5334" s="83">
        <f>SUMIFS(F5335:F6462,K5335:K6462,"0",B5335:B6462,"5 1 3 1 1 12 31111 6 M59 94000 000181 0000R 00001 00311 015 2112000 2024 CP1OM392*")</f>
        <v>1916335.18</v>
      </c>
      <c r="G5334" s="83">
        <f>SUMIFS(G5335:G6462,K5335:K6462,"0",B5335:B6462,"5 1 3 1 1 12 31111 6 M59 94000 000181 0000R 00001 00311 015 2112000 2024 CP1OM392*")</f>
        <v>0</v>
      </c>
      <c r="H5334" s="83">
        <f t="shared" si="83"/>
        <v>1916335.18</v>
      </c>
      <c r="I5334" s="83"/>
      <c r="K5334" s="54" t="s">
        <v>15</v>
      </c>
    </row>
    <row r="5335" spans="2:11" ht="41.25" x14ac:dyDescent="0.2">
      <c r="B5335" s="82" t="s">
        <v>8380</v>
      </c>
      <c r="C5335" s="82" t="s">
        <v>282</v>
      </c>
      <c r="D5335" s="83">
        <f>SUMIFS(D5336:D6462,K5336:K6462,"0",B5336:B6462,"5 1 3 1 1 12 31111 6 M59 94000 000181 0000R 00001 00311 015 2112000 2024 CP1OM392 001*")-SUMIFS(E5336:E6462,K5336:K6462,"0",B5336:B6462,"5 1 3 1 1 12 31111 6 M59 94000 000181 0000R 00001 00311 015 2112000 2024 CP1OM392 001*")</f>
        <v>0</v>
      </c>
      <c r="E5335" s="54"/>
      <c r="F5335" s="83">
        <f>SUMIFS(F5336:F6462,K5336:K6462,"0",B5336:B6462,"5 1 3 1 1 12 31111 6 M59 94000 000181 0000R 00001 00311 015 2112000 2024 CP1OM392 001*")</f>
        <v>1916335.18</v>
      </c>
      <c r="G5335" s="83">
        <f>SUMIFS(G5336:G6462,K5336:K6462,"0",B5336:B6462,"5 1 3 1 1 12 31111 6 M59 94000 000181 0000R 00001 00311 015 2112000 2024 CP1OM392 001*")</f>
        <v>0</v>
      </c>
      <c r="H5335" s="83">
        <f t="shared" si="83"/>
        <v>1916335.18</v>
      </c>
      <c r="I5335" s="83"/>
      <c r="K5335" s="54" t="s">
        <v>15</v>
      </c>
    </row>
    <row r="5336" spans="2:11" ht="33" x14ac:dyDescent="0.2">
      <c r="B5336" s="84" t="s">
        <v>8381</v>
      </c>
      <c r="C5336" s="84" t="s">
        <v>8370</v>
      </c>
      <c r="D5336" s="85">
        <v>0</v>
      </c>
      <c r="E5336" s="85"/>
      <c r="F5336" s="85">
        <v>1916335.18</v>
      </c>
      <c r="G5336" s="85">
        <v>0</v>
      </c>
      <c r="H5336" s="85">
        <f t="shared" si="83"/>
        <v>1916335.18</v>
      </c>
      <c r="I5336" s="85"/>
      <c r="K5336" s="54" t="s">
        <v>38</v>
      </c>
    </row>
    <row r="5337" spans="2:11" ht="16.5" x14ac:dyDescent="0.2">
      <c r="B5337" s="82" t="s">
        <v>8382</v>
      </c>
      <c r="C5337" s="82" t="s">
        <v>3706</v>
      </c>
      <c r="D5337" s="83">
        <f>SUMIFS(D5338:D6462,K5338:K6462,"0",B5338:B6462,"5 1 3 1 1 12 31111 6 M59 96200*")-SUMIFS(E5338:E6462,K5338:K6462,"0",B5338:B6462,"5 1 3 1 1 12 31111 6 M59 96200*")</f>
        <v>0</v>
      </c>
      <c r="E5337" s="54"/>
      <c r="F5337" s="83">
        <f>SUMIFS(F5338:F6462,K5338:K6462,"0",B5338:B6462,"5 1 3 1 1 12 31111 6 M59 96200*")</f>
        <v>421197.94</v>
      </c>
      <c r="G5337" s="83">
        <f>SUMIFS(G5338:G6462,K5338:K6462,"0",B5338:B6462,"5 1 3 1 1 12 31111 6 M59 96200*")</f>
        <v>0</v>
      </c>
      <c r="H5337" s="83">
        <f t="shared" si="83"/>
        <v>421197.94</v>
      </c>
      <c r="I5337" s="83"/>
      <c r="K5337" s="54" t="s">
        <v>15</v>
      </c>
    </row>
    <row r="5338" spans="2:11" ht="16.5" x14ac:dyDescent="0.2">
      <c r="B5338" s="82" t="s">
        <v>8383</v>
      </c>
      <c r="C5338" s="82" t="s">
        <v>648</v>
      </c>
      <c r="D5338" s="83">
        <f>SUMIFS(D5339:D6462,K5339:K6462,"0",B5339:B6462,"5 1 3 1 1 12 31111 6 M59 96200 000132*")-SUMIFS(E5339:E6462,K5339:K6462,"0",B5339:B6462,"5 1 3 1 1 12 31111 6 M59 96200 000132*")</f>
        <v>0</v>
      </c>
      <c r="E5338" s="54"/>
      <c r="F5338" s="83">
        <f>SUMIFS(F5339:F6462,K5339:K6462,"0",B5339:B6462,"5 1 3 1 1 12 31111 6 M59 96200 000132*")</f>
        <v>421197.94</v>
      </c>
      <c r="G5338" s="83">
        <f>SUMIFS(G5339:G6462,K5339:K6462,"0",B5339:B6462,"5 1 3 1 1 12 31111 6 M59 96200 000132*")</f>
        <v>0</v>
      </c>
      <c r="H5338" s="83">
        <f t="shared" si="83"/>
        <v>421197.94</v>
      </c>
      <c r="I5338" s="83"/>
      <c r="K5338" s="54" t="s">
        <v>15</v>
      </c>
    </row>
    <row r="5339" spans="2:11" ht="16.5" x14ac:dyDescent="0.2">
      <c r="B5339" s="82" t="s">
        <v>8384</v>
      </c>
      <c r="C5339" s="82" t="s">
        <v>650</v>
      </c>
      <c r="D5339" s="83">
        <f>SUMIFS(D5340:D6462,K5340:K6462,"0",B5340:B6462,"5 1 3 1 1 12 31111 6 M59 96200 000132 0000R*")-SUMIFS(E5340:E6462,K5340:K6462,"0",B5340:B6462,"5 1 3 1 1 12 31111 6 M59 96200 000132 0000R*")</f>
        <v>0</v>
      </c>
      <c r="E5339" s="54"/>
      <c r="F5339" s="83">
        <f>SUMIFS(F5340:F6462,K5340:K6462,"0",B5340:B6462,"5 1 3 1 1 12 31111 6 M59 96200 000132 0000R*")</f>
        <v>421197.94</v>
      </c>
      <c r="G5339" s="83">
        <f>SUMIFS(G5340:G6462,K5340:K6462,"0",B5340:B6462,"5 1 3 1 1 12 31111 6 M59 96200 000132 0000R*")</f>
        <v>0</v>
      </c>
      <c r="H5339" s="83">
        <f t="shared" si="83"/>
        <v>421197.94</v>
      </c>
      <c r="I5339" s="83"/>
      <c r="K5339" s="54" t="s">
        <v>15</v>
      </c>
    </row>
    <row r="5340" spans="2:11" ht="24.75" x14ac:dyDescent="0.2">
      <c r="B5340" s="82" t="s">
        <v>8385</v>
      </c>
      <c r="C5340" s="82" t="s">
        <v>282</v>
      </c>
      <c r="D5340" s="83">
        <f>SUMIFS(D5341:D6462,K5341:K6462,"0",B5341:B6462,"5 1 3 1 1 12 31111 6 M59 96200 000132 0000R 00001*")-SUMIFS(E5341:E6462,K5341:K6462,"0",B5341:B6462,"5 1 3 1 1 12 31111 6 M59 96200 000132 0000R 00001*")</f>
        <v>0</v>
      </c>
      <c r="E5340" s="54"/>
      <c r="F5340" s="83">
        <f>SUMIFS(F5341:F6462,K5341:K6462,"0",B5341:B6462,"5 1 3 1 1 12 31111 6 M59 96200 000132 0000R 00001*")</f>
        <v>421197.94</v>
      </c>
      <c r="G5340" s="83">
        <f>SUMIFS(G5341:G6462,K5341:K6462,"0",B5341:B6462,"5 1 3 1 1 12 31111 6 M59 96200 000132 0000R 00001*")</f>
        <v>0</v>
      </c>
      <c r="H5340" s="83">
        <f t="shared" si="83"/>
        <v>421197.94</v>
      </c>
      <c r="I5340" s="83"/>
      <c r="K5340" s="54" t="s">
        <v>15</v>
      </c>
    </row>
    <row r="5341" spans="2:11" ht="24.75" x14ac:dyDescent="0.2">
      <c r="B5341" s="82" t="s">
        <v>8386</v>
      </c>
      <c r="C5341" s="82" t="s">
        <v>8339</v>
      </c>
      <c r="D5341" s="83">
        <f>SUMIFS(D5342:D6462,K5342:K6462,"0",B5342:B6462,"5 1 3 1 1 12 31111 6 M59 96200 000132 0000R 00001 00311*")-SUMIFS(E5342:E6462,K5342:K6462,"0",B5342:B6462,"5 1 3 1 1 12 31111 6 M59 96200 000132 0000R 00001 00311*")</f>
        <v>0</v>
      </c>
      <c r="E5341" s="54"/>
      <c r="F5341" s="83">
        <f>SUMIFS(F5342:F6462,K5342:K6462,"0",B5342:B6462,"5 1 3 1 1 12 31111 6 M59 96200 000132 0000R 00001 00311*")</f>
        <v>421197.94</v>
      </c>
      <c r="G5341" s="83">
        <f>SUMIFS(G5342:G6462,K5342:K6462,"0",B5342:B6462,"5 1 3 1 1 12 31111 6 M59 96200 000132 0000R 00001 00311*")</f>
        <v>0</v>
      </c>
      <c r="H5341" s="83">
        <f t="shared" si="83"/>
        <v>421197.94</v>
      </c>
      <c r="I5341" s="83"/>
      <c r="K5341" s="54" t="s">
        <v>15</v>
      </c>
    </row>
    <row r="5342" spans="2:11" ht="24.75" x14ac:dyDescent="0.2">
      <c r="B5342" s="82" t="s">
        <v>8387</v>
      </c>
      <c r="C5342" s="82" t="s">
        <v>1051</v>
      </c>
      <c r="D5342" s="83">
        <f>SUMIFS(D5343:D6462,K5343:K6462,"0",B5343:B6462,"5 1 3 1 1 12 31111 6 M59 96200 000132 0000R 00001 00311 015*")-SUMIFS(E5343:E6462,K5343:K6462,"0",B5343:B6462,"5 1 3 1 1 12 31111 6 M59 96200 000132 0000R 00001 00311 015*")</f>
        <v>0</v>
      </c>
      <c r="E5342" s="54"/>
      <c r="F5342" s="83">
        <f>SUMIFS(F5343:F6462,K5343:K6462,"0",B5343:B6462,"5 1 3 1 1 12 31111 6 M59 96200 000132 0000R 00001 00311 015*")</f>
        <v>421197.94</v>
      </c>
      <c r="G5342" s="83">
        <f>SUMIFS(G5343:G6462,K5343:K6462,"0",B5343:B6462,"5 1 3 1 1 12 31111 6 M59 96200 000132 0000R 00001 00311 015*")</f>
        <v>0</v>
      </c>
      <c r="H5342" s="83">
        <f t="shared" si="83"/>
        <v>421197.94</v>
      </c>
      <c r="I5342" s="83"/>
      <c r="K5342" s="54" t="s">
        <v>15</v>
      </c>
    </row>
    <row r="5343" spans="2:11" ht="33" x14ac:dyDescent="0.2">
      <c r="B5343" s="82" t="s">
        <v>8388</v>
      </c>
      <c r="C5343" s="82" t="s">
        <v>2927</v>
      </c>
      <c r="D5343" s="83">
        <f>SUMIFS(D5344:D6462,K5344:K6462,"0",B5344:B6462,"5 1 3 1 1 12 31111 6 M59 96200 000132 0000R 00001 00311 015 2111100*")-SUMIFS(E5344:E6462,K5344:K6462,"0",B5344:B6462,"5 1 3 1 1 12 31111 6 M59 96200 000132 0000R 00001 00311 015 2111100*")</f>
        <v>0</v>
      </c>
      <c r="E5343" s="54"/>
      <c r="F5343" s="83">
        <f>SUMIFS(F5344:F6462,K5344:K6462,"0",B5344:B6462,"5 1 3 1 1 12 31111 6 M59 96200 000132 0000R 00001 00311 015 2111100*")</f>
        <v>421197.94</v>
      </c>
      <c r="G5343" s="83">
        <f>SUMIFS(G5344:G6462,K5344:K6462,"0",B5344:B6462,"5 1 3 1 1 12 31111 6 M59 96200 000132 0000R 00001 00311 015 2111100*")</f>
        <v>0</v>
      </c>
      <c r="H5343" s="83">
        <f t="shared" si="83"/>
        <v>421197.94</v>
      </c>
      <c r="I5343" s="83"/>
      <c r="K5343" s="54" t="s">
        <v>15</v>
      </c>
    </row>
    <row r="5344" spans="2:11" ht="33" x14ac:dyDescent="0.2">
      <c r="B5344" s="82" t="s">
        <v>8389</v>
      </c>
      <c r="C5344" s="82" t="s">
        <v>660</v>
      </c>
      <c r="D5344" s="83">
        <f>SUMIFS(D5345:D6462,K5345:K6462,"0",B5345:B6462,"5 1 3 1 1 12 31111 6 M59 96200 000132 0000R 00001 00311 015 2111100 2024*")-SUMIFS(E5345:E6462,K5345:K6462,"0",B5345:B6462,"5 1 3 1 1 12 31111 6 M59 96200 000132 0000R 00001 00311 015 2111100 2024*")</f>
        <v>0</v>
      </c>
      <c r="E5344" s="54"/>
      <c r="F5344" s="83">
        <f>SUMIFS(F5345:F6462,K5345:K6462,"0",B5345:B6462,"5 1 3 1 1 12 31111 6 M59 96200 000132 0000R 00001 00311 015 2111100 2024*")</f>
        <v>421197.94</v>
      </c>
      <c r="G5344" s="83">
        <f>SUMIFS(G5345:G6462,K5345:K6462,"0",B5345:B6462,"5 1 3 1 1 12 31111 6 M59 96200 000132 0000R 00001 00311 015 2111100 2024*")</f>
        <v>0</v>
      </c>
      <c r="H5344" s="83">
        <f t="shared" si="83"/>
        <v>421197.94</v>
      </c>
      <c r="I5344" s="83"/>
      <c r="K5344" s="54" t="s">
        <v>15</v>
      </c>
    </row>
    <row r="5345" spans="2:11" ht="41.25" x14ac:dyDescent="0.2">
      <c r="B5345" s="82" t="s">
        <v>8390</v>
      </c>
      <c r="C5345" s="82" t="s">
        <v>662</v>
      </c>
      <c r="D5345" s="83">
        <f>SUMIFS(D5346:D6462,K5346:K6462,"0",B5346:B6462,"5 1 3 1 1 12 31111 6 M59 96200 000132 0000R 00001 00311 015 2111100 2024 CP1AL423*")-SUMIFS(E5346:E6462,K5346:K6462,"0",B5346:B6462,"5 1 3 1 1 12 31111 6 M59 96200 000132 0000R 00001 00311 015 2111100 2024 CP1AL423*")</f>
        <v>0</v>
      </c>
      <c r="E5345" s="54"/>
      <c r="F5345" s="83">
        <f>SUMIFS(F5346:F6462,K5346:K6462,"0",B5346:B6462,"5 1 3 1 1 12 31111 6 M59 96200 000132 0000R 00001 00311 015 2111100 2024 CP1AL423*")</f>
        <v>421197.94</v>
      </c>
      <c r="G5345" s="83">
        <f>SUMIFS(G5346:G6462,K5346:K6462,"0",B5346:B6462,"5 1 3 1 1 12 31111 6 M59 96200 000132 0000R 00001 00311 015 2111100 2024 CP1AL423*")</f>
        <v>0</v>
      </c>
      <c r="H5345" s="83">
        <f t="shared" si="83"/>
        <v>421197.94</v>
      </c>
      <c r="I5345" s="83"/>
      <c r="K5345" s="54" t="s">
        <v>15</v>
      </c>
    </row>
    <row r="5346" spans="2:11" ht="41.25" x14ac:dyDescent="0.2">
      <c r="B5346" s="82" t="s">
        <v>8391</v>
      </c>
      <c r="C5346" s="82" t="s">
        <v>282</v>
      </c>
      <c r="D5346" s="83">
        <f>SUMIFS(D5347:D6462,K5347:K6462,"0",B5347:B6462,"5 1 3 1 1 12 31111 6 M59 96200 000132 0000R 00001 00311 015 2111100 2024 CP1AL423 001*")-SUMIFS(E5347:E6462,K5347:K6462,"0",B5347:B6462,"5 1 3 1 1 12 31111 6 M59 96200 000132 0000R 00001 00311 015 2111100 2024 CP1AL423 001*")</f>
        <v>0</v>
      </c>
      <c r="E5346" s="54"/>
      <c r="F5346" s="83">
        <f>SUMIFS(F5347:F6462,K5347:K6462,"0",B5347:B6462,"5 1 3 1 1 12 31111 6 M59 96200 000132 0000R 00001 00311 015 2111100 2024 CP1AL423 001*")</f>
        <v>421197.94</v>
      </c>
      <c r="G5346" s="83">
        <f>SUMIFS(G5347:G6462,K5347:K6462,"0",B5347:B6462,"5 1 3 1 1 12 31111 6 M59 96200 000132 0000R 00001 00311 015 2111100 2024 CP1AL423 001*")</f>
        <v>0</v>
      </c>
      <c r="H5346" s="83">
        <f t="shared" si="83"/>
        <v>421197.94</v>
      </c>
      <c r="I5346" s="83"/>
      <c r="K5346" s="54" t="s">
        <v>15</v>
      </c>
    </row>
    <row r="5347" spans="2:11" ht="41.25" x14ac:dyDescent="0.2">
      <c r="B5347" s="84" t="s">
        <v>8392</v>
      </c>
      <c r="C5347" s="84" t="s">
        <v>8339</v>
      </c>
      <c r="D5347" s="85">
        <v>0</v>
      </c>
      <c r="E5347" s="85"/>
      <c r="F5347" s="85">
        <v>421197.94</v>
      </c>
      <c r="G5347" s="85">
        <v>0</v>
      </c>
      <c r="H5347" s="85">
        <f t="shared" si="83"/>
        <v>421197.94</v>
      </c>
      <c r="I5347" s="85"/>
      <c r="K5347" s="54" t="s">
        <v>38</v>
      </c>
    </row>
    <row r="5348" spans="2:11" ht="12.75" x14ac:dyDescent="0.2">
      <c r="B5348" s="82" t="s">
        <v>8393</v>
      </c>
      <c r="C5348" s="82" t="s">
        <v>8394</v>
      </c>
      <c r="D5348" s="83">
        <f>SUMIFS(D5349:D6462,K5349:K6462,"0",B5349:B6462,"5 1 3 1 4*")-SUMIFS(E5349:E6462,K5349:K6462,"0",B5349:B6462,"5 1 3 1 4*")</f>
        <v>0</v>
      </c>
      <c r="E5348" s="54"/>
      <c r="F5348" s="83">
        <f>SUMIFS(F5349:F6462,K5349:K6462,"0",B5349:B6462,"5 1 3 1 4*")</f>
        <v>252839.64</v>
      </c>
      <c r="G5348" s="83">
        <f>SUMIFS(G5349:G6462,K5349:K6462,"0",B5349:B6462,"5 1 3 1 4*")</f>
        <v>0</v>
      </c>
      <c r="H5348" s="83">
        <f t="shared" si="83"/>
        <v>252839.64</v>
      </c>
      <c r="I5348" s="83"/>
      <c r="K5348" s="54" t="s">
        <v>15</v>
      </c>
    </row>
    <row r="5349" spans="2:11" ht="12.75" x14ac:dyDescent="0.2">
      <c r="B5349" s="82" t="s">
        <v>8395</v>
      </c>
      <c r="C5349" s="82" t="s">
        <v>26</v>
      </c>
      <c r="D5349" s="83">
        <f>SUMIFS(D5350:D6462,K5350:K6462,"0",B5350:B6462,"5 1 3 1 4 12*")-SUMIFS(E5350:E6462,K5350:K6462,"0",B5350:B6462,"5 1 3 1 4 12*")</f>
        <v>0</v>
      </c>
      <c r="E5349" s="54"/>
      <c r="F5349" s="83">
        <f>SUMIFS(F5350:F6462,K5350:K6462,"0",B5350:B6462,"5 1 3 1 4 12*")</f>
        <v>252839.64</v>
      </c>
      <c r="G5349" s="83">
        <f>SUMIFS(G5350:G6462,K5350:K6462,"0",B5350:B6462,"5 1 3 1 4 12*")</f>
        <v>0</v>
      </c>
      <c r="H5349" s="83">
        <f t="shared" si="83"/>
        <v>252839.64</v>
      </c>
      <c r="I5349" s="83"/>
      <c r="K5349" s="54" t="s">
        <v>15</v>
      </c>
    </row>
    <row r="5350" spans="2:11" ht="16.5" x14ac:dyDescent="0.2">
      <c r="B5350" s="82" t="s">
        <v>8396</v>
      </c>
      <c r="C5350" s="82" t="s">
        <v>28</v>
      </c>
      <c r="D5350" s="83">
        <f>SUMIFS(D5351:D6462,K5351:K6462,"0",B5351:B6462,"5 1 3 1 4 12 31111*")-SUMIFS(E5351:E6462,K5351:K6462,"0",B5351:B6462,"5 1 3 1 4 12 31111*")</f>
        <v>0</v>
      </c>
      <c r="E5350" s="54"/>
      <c r="F5350" s="83">
        <f>SUMIFS(F5351:F6462,K5351:K6462,"0",B5351:B6462,"5 1 3 1 4 12 31111*")</f>
        <v>252839.64</v>
      </c>
      <c r="G5350" s="83">
        <f>SUMIFS(G5351:G6462,K5351:K6462,"0",B5351:B6462,"5 1 3 1 4 12 31111*")</f>
        <v>0</v>
      </c>
      <c r="H5350" s="83">
        <f t="shared" si="83"/>
        <v>252839.64</v>
      </c>
      <c r="I5350" s="83"/>
      <c r="K5350" s="54" t="s">
        <v>15</v>
      </c>
    </row>
    <row r="5351" spans="2:11" ht="12.75" x14ac:dyDescent="0.2">
      <c r="B5351" s="82" t="s">
        <v>8397</v>
      </c>
      <c r="C5351" s="82" t="s">
        <v>30</v>
      </c>
      <c r="D5351" s="83">
        <f>SUMIFS(D5352:D6462,K5352:K6462,"0",B5352:B6462,"5 1 3 1 4 12 31111 6*")-SUMIFS(E5352:E6462,K5352:K6462,"0",B5352:B6462,"5 1 3 1 4 12 31111 6*")</f>
        <v>0</v>
      </c>
      <c r="E5351" s="54"/>
      <c r="F5351" s="83">
        <f>SUMIFS(F5352:F6462,K5352:K6462,"0",B5352:B6462,"5 1 3 1 4 12 31111 6*")</f>
        <v>252839.64</v>
      </c>
      <c r="G5351" s="83">
        <f>SUMIFS(G5352:G6462,K5352:K6462,"0",B5352:B6462,"5 1 3 1 4 12 31111 6*")</f>
        <v>0</v>
      </c>
      <c r="H5351" s="83">
        <f t="shared" si="83"/>
        <v>252839.64</v>
      </c>
      <c r="I5351" s="83"/>
      <c r="K5351" s="54" t="s">
        <v>15</v>
      </c>
    </row>
    <row r="5352" spans="2:11" ht="16.5" x14ac:dyDescent="0.2">
      <c r="B5352" s="82" t="s">
        <v>8398</v>
      </c>
      <c r="C5352" s="82" t="s">
        <v>2284</v>
      </c>
      <c r="D5352" s="83">
        <f>SUMIFS(D5353:D6462,K5353:K6462,"0",B5353:B6462,"5 1 3 1 4 12 31111 6 M59*")-SUMIFS(E5353:E6462,K5353:K6462,"0",B5353:B6462,"5 1 3 1 4 12 31111 6 M59*")</f>
        <v>0</v>
      </c>
      <c r="E5352" s="54"/>
      <c r="F5352" s="83">
        <f>SUMIFS(F5353:F6462,K5353:K6462,"0",B5353:B6462,"5 1 3 1 4 12 31111 6 M59*")</f>
        <v>252839.64</v>
      </c>
      <c r="G5352" s="83">
        <f>SUMIFS(G5353:G6462,K5353:K6462,"0",B5353:B6462,"5 1 3 1 4 12 31111 6 M59*")</f>
        <v>0</v>
      </c>
      <c r="H5352" s="83">
        <f t="shared" si="83"/>
        <v>252839.64</v>
      </c>
      <c r="I5352" s="83"/>
      <c r="K5352" s="54" t="s">
        <v>15</v>
      </c>
    </row>
    <row r="5353" spans="2:11" ht="16.5" x14ac:dyDescent="0.2">
      <c r="B5353" s="82" t="s">
        <v>8411</v>
      </c>
      <c r="C5353" s="82" t="s">
        <v>3644</v>
      </c>
      <c r="D5353" s="83">
        <f>SUMIFS(D5354:D6462,K5354:K6462,"0",B5354:B6462,"5 1 3 1 4 12 31111 6 M59 94000*")-SUMIFS(E5354:E6462,K5354:K6462,"0",B5354:B6462,"5 1 3 1 4 12 31111 6 M59 94000*")</f>
        <v>0</v>
      </c>
      <c r="E5353" s="54"/>
      <c r="F5353" s="83">
        <f>SUMIFS(F5354:F6462,K5354:K6462,"0",B5354:B6462,"5 1 3 1 4 12 31111 6 M59 94000*")</f>
        <v>252839.64</v>
      </c>
      <c r="G5353" s="83">
        <f>SUMIFS(G5354:G6462,K5354:K6462,"0",B5354:B6462,"5 1 3 1 4 12 31111 6 M59 94000*")</f>
        <v>0</v>
      </c>
      <c r="H5353" s="83">
        <f t="shared" si="83"/>
        <v>252839.64</v>
      </c>
      <c r="I5353" s="83"/>
      <c r="K5353" s="54" t="s">
        <v>15</v>
      </c>
    </row>
    <row r="5354" spans="2:11" ht="24.75" x14ac:dyDescent="0.2">
      <c r="B5354" s="82" t="s">
        <v>8412</v>
      </c>
      <c r="C5354" s="82" t="s">
        <v>3152</v>
      </c>
      <c r="D5354" s="83">
        <f>SUMIFS(D5355:D6462,K5355:K6462,"0",B5355:B6462,"5 1 3 1 4 12 31111 6 M59 94000 000181*")-SUMIFS(E5355:E6462,K5355:K6462,"0",B5355:B6462,"5 1 3 1 4 12 31111 6 M59 94000 000181*")</f>
        <v>0</v>
      </c>
      <c r="E5354" s="54"/>
      <c r="F5354" s="83">
        <f>SUMIFS(F5355:F6462,K5355:K6462,"0",B5355:B6462,"5 1 3 1 4 12 31111 6 M59 94000 000181*")</f>
        <v>252839.64</v>
      </c>
      <c r="G5354" s="83">
        <f>SUMIFS(G5355:G6462,K5355:K6462,"0",B5355:B6462,"5 1 3 1 4 12 31111 6 M59 94000 000181*")</f>
        <v>0</v>
      </c>
      <c r="H5354" s="83">
        <f t="shared" si="83"/>
        <v>252839.64</v>
      </c>
      <c r="I5354" s="83"/>
      <c r="K5354" s="54" t="s">
        <v>15</v>
      </c>
    </row>
    <row r="5355" spans="2:11" ht="24.75" x14ac:dyDescent="0.2">
      <c r="B5355" s="82" t="s">
        <v>8413</v>
      </c>
      <c r="C5355" s="82" t="s">
        <v>650</v>
      </c>
      <c r="D5355" s="83">
        <f>SUMIFS(D5356:D6462,K5356:K6462,"0",B5356:B6462,"5 1 3 1 4 12 31111 6 M59 94000 000181 0000R*")-SUMIFS(E5356:E6462,K5356:K6462,"0",B5356:B6462,"5 1 3 1 4 12 31111 6 M59 94000 000181 0000R*")</f>
        <v>0</v>
      </c>
      <c r="E5355" s="54"/>
      <c r="F5355" s="83">
        <f>SUMIFS(F5356:F6462,K5356:K6462,"0",B5356:B6462,"5 1 3 1 4 12 31111 6 M59 94000 000181 0000R*")</f>
        <v>252839.64</v>
      </c>
      <c r="G5355" s="83">
        <f>SUMIFS(G5356:G6462,K5356:K6462,"0",B5356:B6462,"5 1 3 1 4 12 31111 6 M59 94000 000181 0000R*")</f>
        <v>0</v>
      </c>
      <c r="H5355" s="83">
        <f t="shared" ref="H5355:H5418" si="84">D5355 + F5355 - G5355</f>
        <v>252839.64</v>
      </c>
      <c r="I5355" s="83"/>
      <c r="K5355" s="54" t="s">
        <v>15</v>
      </c>
    </row>
    <row r="5356" spans="2:11" ht="24.75" x14ac:dyDescent="0.2">
      <c r="B5356" s="82" t="s">
        <v>8414</v>
      </c>
      <c r="C5356" s="82" t="s">
        <v>282</v>
      </c>
      <c r="D5356" s="83">
        <f>SUMIFS(D5357:D6462,K5357:K6462,"0",B5357:B6462,"5 1 3 1 4 12 31111 6 M59 94000 000181 0000R 00001*")-SUMIFS(E5357:E6462,K5357:K6462,"0",B5357:B6462,"5 1 3 1 4 12 31111 6 M59 94000 000181 0000R 00001*")</f>
        <v>0</v>
      </c>
      <c r="E5356" s="54"/>
      <c r="F5356" s="83">
        <f>SUMIFS(F5357:F6462,K5357:K6462,"0",B5357:B6462,"5 1 3 1 4 12 31111 6 M59 94000 000181 0000R 00001*")</f>
        <v>252839.64</v>
      </c>
      <c r="G5356" s="83">
        <f>SUMIFS(G5357:G6462,K5357:K6462,"0",B5357:B6462,"5 1 3 1 4 12 31111 6 M59 94000 000181 0000R 00001*")</f>
        <v>0</v>
      </c>
      <c r="H5356" s="83">
        <f t="shared" si="84"/>
        <v>252839.64</v>
      </c>
      <c r="I5356" s="83"/>
      <c r="K5356" s="54" t="s">
        <v>15</v>
      </c>
    </row>
    <row r="5357" spans="2:11" ht="24.75" x14ac:dyDescent="0.2">
      <c r="B5357" s="82" t="s">
        <v>8415</v>
      </c>
      <c r="C5357" s="82" t="s">
        <v>8404</v>
      </c>
      <c r="D5357" s="83">
        <f>SUMIFS(D5358:D6462,K5358:K6462,"0",B5358:B6462,"5 1 3 1 4 12 31111 6 M59 94000 000181 0000R 00001 00314*")-SUMIFS(E5358:E6462,K5358:K6462,"0",B5358:B6462,"5 1 3 1 4 12 31111 6 M59 94000 000181 0000R 00001 00314*")</f>
        <v>0</v>
      </c>
      <c r="E5357" s="54"/>
      <c r="F5357" s="83">
        <f>SUMIFS(F5358:F6462,K5358:K6462,"0",B5358:B6462,"5 1 3 1 4 12 31111 6 M59 94000 000181 0000R 00001 00314*")</f>
        <v>252839.64</v>
      </c>
      <c r="G5357" s="83">
        <f>SUMIFS(G5358:G6462,K5358:K6462,"0",B5358:B6462,"5 1 3 1 4 12 31111 6 M59 94000 000181 0000R 00001 00314*")</f>
        <v>0</v>
      </c>
      <c r="H5357" s="83">
        <f t="shared" si="84"/>
        <v>252839.64</v>
      </c>
      <c r="I5357" s="83"/>
      <c r="K5357" s="54" t="s">
        <v>15</v>
      </c>
    </row>
    <row r="5358" spans="2:11" ht="33" x14ac:dyDescent="0.2">
      <c r="B5358" s="82" t="s">
        <v>8416</v>
      </c>
      <c r="C5358" s="82" t="s">
        <v>1051</v>
      </c>
      <c r="D5358" s="83">
        <f>SUMIFS(D5359:D6462,K5359:K6462,"0",B5359:B6462,"5 1 3 1 4 12 31111 6 M59 94000 000181 0000R 00001 00314 015*")-SUMIFS(E5359:E6462,K5359:K6462,"0",B5359:B6462,"5 1 3 1 4 12 31111 6 M59 94000 000181 0000R 00001 00314 015*")</f>
        <v>0</v>
      </c>
      <c r="E5358" s="54"/>
      <c r="F5358" s="83">
        <f>SUMIFS(F5359:F6462,K5359:K6462,"0",B5359:B6462,"5 1 3 1 4 12 31111 6 M59 94000 000181 0000R 00001 00314 015*")</f>
        <v>252839.64</v>
      </c>
      <c r="G5358" s="83">
        <f>SUMIFS(G5359:G6462,K5359:K6462,"0",B5359:B6462,"5 1 3 1 4 12 31111 6 M59 94000 000181 0000R 00001 00314 015*")</f>
        <v>0</v>
      </c>
      <c r="H5358" s="83">
        <f t="shared" si="84"/>
        <v>252839.64</v>
      </c>
      <c r="I5358" s="83"/>
      <c r="K5358" s="54" t="s">
        <v>15</v>
      </c>
    </row>
    <row r="5359" spans="2:11" ht="33" x14ac:dyDescent="0.2">
      <c r="B5359" s="82" t="s">
        <v>8417</v>
      </c>
      <c r="C5359" s="82" t="s">
        <v>5830</v>
      </c>
      <c r="D5359" s="83">
        <f>SUMIFS(D5360:D6462,K5360:K6462,"0",B5360:B6462,"5 1 3 1 4 12 31111 6 M59 94000 000181 0000R 00001 00314 015 2112000*")-SUMIFS(E5360:E6462,K5360:K6462,"0",B5360:B6462,"5 1 3 1 4 12 31111 6 M59 94000 000181 0000R 00001 00314 015 2112000*")</f>
        <v>0</v>
      </c>
      <c r="E5359" s="54"/>
      <c r="F5359" s="83">
        <f>SUMIFS(F5360:F6462,K5360:K6462,"0",B5360:B6462,"5 1 3 1 4 12 31111 6 M59 94000 000181 0000R 00001 00314 015 2112000*")</f>
        <v>252839.64</v>
      </c>
      <c r="G5359" s="83">
        <f>SUMIFS(G5360:G6462,K5360:K6462,"0",B5360:B6462,"5 1 3 1 4 12 31111 6 M59 94000 000181 0000R 00001 00314 015 2112000*")</f>
        <v>0</v>
      </c>
      <c r="H5359" s="83">
        <f t="shared" si="84"/>
        <v>252839.64</v>
      </c>
      <c r="I5359" s="83"/>
      <c r="K5359" s="54" t="s">
        <v>15</v>
      </c>
    </row>
    <row r="5360" spans="2:11" ht="33" x14ac:dyDescent="0.2">
      <c r="B5360" s="82" t="s">
        <v>8418</v>
      </c>
      <c r="C5360" s="82" t="s">
        <v>660</v>
      </c>
      <c r="D5360" s="83">
        <f>SUMIFS(D5361:D6462,K5361:K6462,"0",B5361:B6462,"5 1 3 1 4 12 31111 6 M59 94000 000181 0000R 00001 00314 015 2112000 2024*")-SUMIFS(E5361:E6462,K5361:K6462,"0",B5361:B6462,"5 1 3 1 4 12 31111 6 M59 94000 000181 0000R 00001 00314 015 2112000 2024*")</f>
        <v>0</v>
      </c>
      <c r="E5360" s="54"/>
      <c r="F5360" s="83">
        <f>SUMIFS(F5361:F6462,K5361:K6462,"0",B5361:B6462,"5 1 3 1 4 12 31111 6 M59 94000 000181 0000R 00001 00314 015 2112000 2024*")</f>
        <v>252839.64</v>
      </c>
      <c r="G5360" s="83">
        <f>SUMIFS(G5361:G6462,K5361:K6462,"0",B5361:B6462,"5 1 3 1 4 12 31111 6 M59 94000 000181 0000R 00001 00314 015 2112000 2024*")</f>
        <v>0</v>
      </c>
      <c r="H5360" s="83">
        <f t="shared" si="84"/>
        <v>252839.64</v>
      </c>
      <c r="I5360" s="83"/>
      <c r="K5360" s="54" t="s">
        <v>15</v>
      </c>
    </row>
    <row r="5361" spans="2:11" ht="41.25" x14ac:dyDescent="0.2">
      <c r="B5361" s="82" t="s">
        <v>8419</v>
      </c>
      <c r="C5361" s="82" t="s">
        <v>1056</v>
      </c>
      <c r="D5361" s="83">
        <f>SUMIFS(D5362:D6462,K5362:K6462,"0",B5362:B6462,"5 1 3 1 4 12 31111 6 M59 94000 000181 0000R 00001 00314 015 2112000 2024 CP1OM392*")-SUMIFS(E5362:E6462,K5362:K6462,"0",B5362:B6462,"5 1 3 1 4 12 31111 6 M59 94000 000181 0000R 00001 00314 015 2112000 2024 CP1OM392*")</f>
        <v>0</v>
      </c>
      <c r="E5361" s="54"/>
      <c r="F5361" s="83">
        <f>SUMIFS(F5362:F6462,K5362:K6462,"0",B5362:B6462,"5 1 3 1 4 12 31111 6 M59 94000 000181 0000R 00001 00314 015 2112000 2024 CP1OM392*")</f>
        <v>252839.64</v>
      </c>
      <c r="G5361" s="83">
        <f>SUMIFS(G5362:G6462,K5362:K6462,"0",B5362:B6462,"5 1 3 1 4 12 31111 6 M59 94000 000181 0000R 00001 00314 015 2112000 2024 CP1OM392*")</f>
        <v>0</v>
      </c>
      <c r="H5361" s="83">
        <f t="shared" si="84"/>
        <v>252839.64</v>
      </c>
      <c r="I5361" s="83"/>
      <c r="K5361" s="54" t="s">
        <v>15</v>
      </c>
    </row>
    <row r="5362" spans="2:11" ht="41.25" x14ac:dyDescent="0.2">
      <c r="B5362" s="82" t="s">
        <v>8420</v>
      </c>
      <c r="C5362" s="82" t="s">
        <v>282</v>
      </c>
      <c r="D5362" s="83">
        <f>SUMIFS(D5363:D6462,K5363:K6462,"0",B5363:B6462,"5 1 3 1 4 12 31111 6 M59 94000 000181 0000R 00001 00314 015 2112000 2024 CP1OM392 001*")-SUMIFS(E5363:E6462,K5363:K6462,"0",B5363:B6462,"5 1 3 1 4 12 31111 6 M59 94000 000181 0000R 00001 00314 015 2112000 2024 CP1OM392 001*")</f>
        <v>0</v>
      </c>
      <c r="E5362" s="54"/>
      <c r="F5362" s="83">
        <f>SUMIFS(F5363:F6462,K5363:K6462,"0",B5363:B6462,"5 1 3 1 4 12 31111 6 M59 94000 000181 0000R 00001 00314 015 2112000 2024 CP1OM392 001*")</f>
        <v>252839.64</v>
      </c>
      <c r="G5362" s="83">
        <f>SUMIFS(G5363:G6462,K5363:K6462,"0",B5363:B6462,"5 1 3 1 4 12 31111 6 M59 94000 000181 0000R 00001 00314 015 2112000 2024 CP1OM392 001*")</f>
        <v>0</v>
      </c>
      <c r="H5362" s="83">
        <f t="shared" si="84"/>
        <v>252839.64</v>
      </c>
      <c r="I5362" s="83"/>
      <c r="K5362" s="54" t="s">
        <v>15</v>
      </c>
    </row>
    <row r="5363" spans="2:11" ht="33" x14ac:dyDescent="0.2">
      <c r="B5363" s="84" t="s">
        <v>8421</v>
      </c>
      <c r="C5363" s="84" t="s">
        <v>8394</v>
      </c>
      <c r="D5363" s="85">
        <v>0</v>
      </c>
      <c r="E5363" s="85"/>
      <c r="F5363" s="85">
        <v>252839.64</v>
      </c>
      <c r="G5363" s="85">
        <v>0</v>
      </c>
      <c r="H5363" s="85">
        <f t="shared" si="84"/>
        <v>252839.64</v>
      </c>
      <c r="I5363" s="85"/>
      <c r="K5363" s="54" t="s">
        <v>38</v>
      </c>
    </row>
    <row r="5364" spans="2:11" ht="16.5" x14ac:dyDescent="0.2">
      <c r="B5364" s="82" t="s">
        <v>8440</v>
      </c>
      <c r="C5364" s="82" t="s">
        <v>8441</v>
      </c>
      <c r="D5364" s="83">
        <f>SUMIFS(D5365:D6462,K5365:K6462,"0",B5365:B6462,"5 1 3 2*")-SUMIFS(E5365:E6462,K5365:K6462,"0",B5365:B6462,"5 1 3 2*")</f>
        <v>0</v>
      </c>
      <c r="E5364" s="54"/>
      <c r="F5364" s="83">
        <f>SUMIFS(F5365:F6462,K5365:K6462,"0",B5365:B6462,"5 1 3 2*")</f>
        <v>5836173.4099999992</v>
      </c>
      <c r="G5364" s="83">
        <f>SUMIFS(G5365:G6462,K5365:K6462,"0",B5365:B6462,"5 1 3 2*")</f>
        <v>0</v>
      </c>
      <c r="H5364" s="83">
        <f t="shared" si="84"/>
        <v>5836173.4099999992</v>
      </c>
      <c r="I5364" s="83"/>
      <c r="K5364" s="54" t="s">
        <v>15</v>
      </c>
    </row>
    <row r="5365" spans="2:11" ht="16.5" x14ac:dyDescent="0.2">
      <c r="B5365" s="82" t="s">
        <v>8442</v>
      </c>
      <c r="C5365" s="82" t="s">
        <v>8443</v>
      </c>
      <c r="D5365" s="83">
        <f>SUMIFS(D5366:D6462,K5366:K6462,"0",B5366:B6462,"5 1 3 2 2*")-SUMIFS(E5366:E6462,K5366:K6462,"0",B5366:B6462,"5 1 3 2 2*")</f>
        <v>0</v>
      </c>
      <c r="E5365" s="54"/>
      <c r="F5365" s="83">
        <f>SUMIFS(F5366:F6462,K5366:K6462,"0",B5366:B6462,"5 1 3 2 2*")</f>
        <v>52816.61</v>
      </c>
      <c r="G5365" s="83">
        <f>SUMIFS(G5366:G6462,K5366:K6462,"0",B5366:B6462,"5 1 3 2 2*")</f>
        <v>0</v>
      </c>
      <c r="H5365" s="83">
        <f t="shared" si="84"/>
        <v>52816.61</v>
      </c>
      <c r="I5365" s="83"/>
      <c r="K5365" s="54" t="s">
        <v>15</v>
      </c>
    </row>
    <row r="5366" spans="2:11" ht="12.75" x14ac:dyDescent="0.2">
      <c r="B5366" s="82" t="s">
        <v>8444</v>
      </c>
      <c r="C5366" s="82" t="s">
        <v>26</v>
      </c>
      <c r="D5366" s="83">
        <f>SUMIFS(D5367:D6462,K5367:K6462,"0",B5367:B6462,"5 1 3 2 2 12*")-SUMIFS(E5367:E6462,K5367:K6462,"0",B5367:B6462,"5 1 3 2 2 12*")</f>
        <v>0</v>
      </c>
      <c r="E5366" s="54"/>
      <c r="F5366" s="83">
        <f>SUMIFS(F5367:F6462,K5367:K6462,"0",B5367:B6462,"5 1 3 2 2 12*")</f>
        <v>52816.61</v>
      </c>
      <c r="G5366" s="83">
        <f>SUMIFS(G5367:G6462,K5367:K6462,"0",B5367:B6462,"5 1 3 2 2 12*")</f>
        <v>0</v>
      </c>
      <c r="H5366" s="83">
        <f t="shared" si="84"/>
        <v>52816.61</v>
      </c>
      <c r="I5366" s="83"/>
      <c r="K5366" s="54" t="s">
        <v>15</v>
      </c>
    </row>
    <row r="5367" spans="2:11" ht="16.5" x14ac:dyDescent="0.2">
      <c r="B5367" s="82" t="s">
        <v>8445</v>
      </c>
      <c r="C5367" s="82" t="s">
        <v>28</v>
      </c>
      <c r="D5367" s="83">
        <f>SUMIFS(D5368:D6462,K5368:K6462,"0",B5368:B6462,"5 1 3 2 2 12 31111*")-SUMIFS(E5368:E6462,K5368:K6462,"0",B5368:B6462,"5 1 3 2 2 12 31111*")</f>
        <v>0</v>
      </c>
      <c r="E5367" s="54"/>
      <c r="F5367" s="83">
        <f>SUMIFS(F5368:F6462,K5368:K6462,"0",B5368:B6462,"5 1 3 2 2 12 31111*")</f>
        <v>52816.61</v>
      </c>
      <c r="G5367" s="83">
        <f>SUMIFS(G5368:G6462,K5368:K6462,"0",B5368:B6462,"5 1 3 2 2 12 31111*")</f>
        <v>0</v>
      </c>
      <c r="H5367" s="83">
        <f t="shared" si="84"/>
        <v>52816.61</v>
      </c>
      <c r="I5367" s="83"/>
      <c r="K5367" s="54" t="s">
        <v>15</v>
      </c>
    </row>
    <row r="5368" spans="2:11" ht="12.75" x14ac:dyDescent="0.2">
      <c r="B5368" s="82" t="s">
        <v>8446</v>
      </c>
      <c r="C5368" s="82" t="s">
        <v>30</v>
      </c>
      <c r="D5368" s="83">
        <f>SUMIFS(D5369:D6462,K5369:K6462,"0",B5369:B6462,"5 1 3 2 2 12 31111 6*")-SUMIFS(E5369:E6462,K5369:K6462,"0",B5369:B6462,"5 1 3 2 2 12 31111 6*")</f>
        <v>0</v>
      </c>
      <c r="E5368" s="54"/>
      <c r="F5368" s="83">
        <f>SUMIFS(F5369:F6462,K5369:K6462,"0",B5369:B6462,"5 1 3 2 2 12 31111 6*")</f>
        <v>52816.61</v>
      </c>
      <c r="G5368" s="83">
        <f>SUMIFS(G5369:G6462,K5369:K6462,"0",B5369:B6462,"5 1 3 2 2 12 31111 6*")</f>
        <v>0</v>
      </c>
      <c r="H5368" s="83">
        <f t="shared" si="84"/>
        <v>52816.61</v>
      </c>
      <c r="I5368" s="83"/>
      <c r="K5368" s="54" t="s">
        <v>15</v>
      </c>
    </row>
    <row r="5369" spans="2:11" ht="16.5" x14ac:dyDescent="0.2">
      <c r="B5369" s="82" t="s">
        <v>8447</v>
      </c>
      <c r="C5369" s="82" t="s">
        <v>2284</v>
      </c>
      <c r="D5369" s="83">
        <f>SUMIFS(D5370:D6462,K5370:K6462,"0",B5370:B6462,"5 1 3 2 2 12 31111 6 M59*")-SUMIFS(E5370:E6462,K5370:K6462,"0",B5370:B6462,"5 1 3 2 2 12 31111 6 M59*")</f>
        <v>0</v>
      </c>
      <c r="E5369" s="54"/>
      <c r="F5369" s="83">
        <f>SUMIFS(F5370:F6462,K5370:K6462,"0",B5370:B6462,"5 1 3 2 2 12 31111 6 M59*")</f>
        <v>52816.61</v>
      </c>
      <c r="G5369" s="83">
        <f>SUMIFS(G5370:G6462,K5370:K6462,"0",B5370:B6462,"5 1 3 2 2 12 31111 6 M59*")</f>
        <v>0</v>
      </c>
      <c r="H5369" s="83">
        <f t="shared" si="84"/>
        <v>52816.61</v>
      </c>
      <c r="I5369" s="83"/>
      <c r="K5369" s="54" t="s">
        <v>15</v>
      </c>
    </row>
    <row r="5370" spans="2:11" ht="16.5" x14ac:dyDescent="0.2">
      <c r="B5370" s="82" t="s">
        <v>8471</v>
      </c>
      <c r="C5370" s="82" t="s">
        <v>1269</v>
      </c>
      <c r="D5370" s="83">
        <f>SUMIFS(D5371:D6462,K5371:K6462,"0",B5371:B6462,"5 1 3 2 2 12 31111 6 M59 60100*")-SUMIFS(E5371:E6462,K5371:K6462,"0",B5371:B6462,"5 1 3 2 2 12 31111 6 M59 60100*")</f>
        <v>0</v>
      </c>
      <c r="E5370" s="54"/>
      <c r="F5370" s="83">
        <f>SUMIFS(F5371:F6462,K5371:K6462,"0",B5371:B6462,"5 1 3 2 2 12 31111 6 M59 60100*")</f>
        <v>22000</v>
      </c>
      <c r="G5370" s="83">
        <f>SUMIFS(G5371:G6462,K5371:K6462,"0",B5371:B6462,"5 1 3 2 2 12 31111 6 M59 60100*")</f>
        <v>0</v>
      </c>
      <c r="H5370" s="83">
        <f t="shared" si="84"/>
        <v>22000</v>
      </c>
      <c r="I5370" s="83"/>
      <c r="K5370" s="54" t="s">
        <v>15</v>
      </c>
    </row>
    <row r="5371" spans="2:11" ht="16.5" x14ac:dyDescent="0.2">
      <c r="B5371" s="82" t="s">
        <v>8472</v>
      </c>
      <c r="C5371" s="82" t="s">
        <v>648</v>
      </c>
      <c r="D5371" s="83">
        <f>SUMIFS(D5372:D6462,K5372:K6462,"0",B5372:B6462,"5 1 3 2 2 12 31111 6 M59 60100 000132*")-SUMIFS(E5372:E6462,K5372:K6462,"0",B5372:B6462,"5 1 3 2 2 12 31111 6 M59 60100 000132*")</f>
        <v>0</v>
      </c>
      <c r="E5371" s="54"/>
      <c r="F5371" s="83">
        <f>SUMIFS(F5372:F6462,K5372:K6462,"0",B5372:B6462,"5 1 3 2 2 12 31111 6 M59 60100 000132*")</f>
        <v>22000</v>
      </c>
      <c r="G5371" s="83">
        <f>SUMIFS(G5372:G6462,K5372:K6462,"0",B5372:B6462,"5 1 3 2 2 12 31111 6 M59 60100 000132*")</f>
        <v>0</v>
      </c>
      <c r="H5371" s="83">
        <f t="shared" si="84"/>
        <v>22000</v>
      </c>
      <c r="I5371" s="83"/>
      <c r="K5371" s="54" t="s">
        <v>15</v>
      </c>
    </row>
    <row r="5372" spans="2:11" ht="24.75" x14ac:dyDescent="0.2">
      <c r="B5372" s="82" t="s">
        <v>8473</v>
      </c>
      <c r="C5372" s="82" t="s">
        <v>650</v>
      </c>
      <c r="D5372" s="83">
        <f>SUMIFS(D5373:D6462,K5373:K6462,"0",B5373:B6462,"5 1 3 2 2 12 31111 6 M59 60100 000132 0000R*")-SUMIFS(E5373:E6462,K5373:K6462,"0",B5373:B6462,"5 1 3 2 2 12 31111 6 M59 60100 000132 0000R*")</f>
        <v>0</v>
      </c>
      <c r="E5372" s="54"/>
      <c r="F5372" s="83">
        <f>SUMIFS(F5373:F6462,K5373:K6462,"0",B5373:B6462,"5 1 3 2 2 12 31111 6 M59 60100 000132 0000R*")</f>
        <v>22000</v>
      </c>
      <c r="G5372" s="83">
        <f>SUMIFS(G5373:G6462,K5373:K6462,"0",B5373:B6462,"5 1 3 2 2 12 31111 6 M59 60100 000132 0000R*")</f>
        <v>0</v>
      </c>
      <c r="H5372" s="83">
        <f t="shared" si="84"/>
        <v>22000</v>
      </c>
      <c r="I5372" s="83"/>
      <c r="K5372" s="54" t="s">
        <v>15</v>
      </c>
    </row>
    <row r="5373" spans="2:11" ht="24.75" x14ac:dyDescent="0.2">
      <c r="B5373" s="82" t="s">
        <v>8474</v>
      </c>
      <c r="C5373" s="82" t="s">
        <v>282</v>
      </c>
      <c r="D5373" s="83">
        <f>SUMIFS(D5374:D6462,K5374:K6462,"0",B5374:B6462,"5 1 3 2 2 12 31111 6 M59 60100 000132 0000R 00001*")-SUMIFS(E5374:E6462,K5374:K6462,"0",B5374:B6462,"5 1 3 2 2 12 31111 6 M59 60100 000132 0000R 00001*")</f>
        <v>0</v>
      </c>
      <c r="E5373" s="54"/>
      <c r="F5373" s="83">
        <f>SUMIFS(F5374:F6462,K5374:K6462,"0",B5374:B6462,"5 1 3 2 2 12 31111 6 M59 60100 000132 0000R 00001*")</f>
        <v>22000</v>
      </c>
      <c r="G5373" s="83">
        <f>SUMIFS(G5374:G6462,K5374:K6462,"0",B5374:B6462,"5 1 3 2 2 12 31111 6 M59 60100 000132 0000R 00001*")</f>
        <v>0</v>
      </c>
      <c r="H5373" s="83">
        <f t="shared" si="84"/>
        <v>22000</v>
      </c>
      <c r="I5373" s="83"/>
      <c r="K5373" s="54" t="s">
        <v>15</v>
      </c>
    </row>
    <row r="5374" spans="2:11" ht="24.75" x14ac:dyDescent="0.2">
      <c r="B5374" s="82" t="s">
        <v>8475</v>
      </c>
      <c r="C5374" s="82" t="s">
        <v>8453</v>
      </c>
      <c r="D5374" s="83">
        <f>SUMIFS(D5375:D6462,K5375:K6462,"0",B5375:B6462,"5 1 3 2 2 12 31111 6 M59 60100 000132 0000R 00001 00322*")-SUMIFS(E5375:E6462,K5375:K6462,"0",B5375:B6462,"5 1 3 2 2 12 31111 6 M59 60100 000132 0000R 00001 00322*")</f>
        <v>0</v>
      </c>
      <c r="E5374" s="54"/>
      <c r="F5374" s="83">
        <f>SUMIFS(F5375:F6462,K5375:K6462,"0",B5375:B6462,"5 1 3 2 2 12 31111 6 M59 60100 000132 0000R 00001 00322*")</f>
        <v>22000</v>
      </c>
      <c r="G5374" s="83">
        <f>SUMIFS(G5375:G6462,K5375:K6462,"0",B5375:B6462,"5 1 3 2 2 12 31111 6 M59 60100 000132 0000R 00001 00322*")</f>
        <v>0</v>
      </c>
      <c r="H5374" s="83">
        <f t="shared" si="84"/>
        <v>22000</v>
      </c>
      <c r="I5374" s="83"/>
      <c r="K5374" s="54" t="s">
        <v>15</v>
      </c>
    </row>
    <row r="5375" spans="2:11" ht="33" x14ac:dyDescent="0.2">
      <c r="B5375" s="82" t="s">
        <v>8476</v>
      </c>
      <c r="C5375" s="82" t="s">
        <v>1051</v>
      </c>
      <c r="D5375" s="83">
        <f>SUMIFS(D5376:D6462,K5376:K6462,"0",B5376:B6462,"5 1 3 2 2 12 31111 6 M59 60100 000132 0000R 00001 00322 015*")-SUMIFS(E5376:E6462,K5376:K6462,"0",B5376:B6462,"5 1 3 2 2 12 31111 6 M59 60100 000132 0000R 00001 00322 015*")</f>
        <v>0</v>
      </c>
      <c r="E5375" s="54"/>
      <c r="F5375" s="83">
        <f>SUMIFS(F5376:F6462,K5376:K6462,"0",B5376:B6462,"5 1 3 2 2 12 31111 6 M59 60100 000132 0000R 00001 00322 015*")</f>
        <v>22000</v>
      </c>
      <c r="G5375" s="83">
        <f>SUMIFS(G5376:G6462,K5376:K6462,"0",B5376:B6462,"5 1 3 2 2 12 31111 6 M59 60100 000132 0000R 00001 00322 015*")</f>
        <v>0</v>
      </c>
      <c r="H5375" s="83">
        <f t="shared" si="84"/>
        <v>22000</v>
      </c>
      <c r="I5375" s="83"/>
      <c r="K5375" s="54" t="s">
        <v>15</v>
      </c>
    </row>
    <row r="5376" spans="2:11" ht="33" x14ac:dyDescent="0.2">
      <c r="B5376" s="82" t="s">
        <v>8477</v>
      </c>
      <c r="C5376" s="82" t="s">
        <v>5830</v>
      </c>
      <c r="D5376" s="83">
        <f>SUMIFS(D5377:D6462,K5377:K6462,"0",B5377:B6462,"5 1 3 2 2 12 31111 6 M59 60100 000132 0000R 00001 00322 015 2112000*")-SUMIFS(E5377:E6462,K5377:K6462,"0",B5377:B6462,"5 1 3 2 2 12 31111 6 M59 60100 000132 0000R 00001 00322 015 2112000*")</f>
        <v>0</v>
      </c>
      <c r="E5376" s="54"/>
      <c r="F5376" s="83">
        <f>SUMIFS(F5377:F6462,K5377:K6462,"0",B5377:B6462,"5 1 3 2 2 12 31111 6 M59 60100 000132 0000R 00001 00322 015 2112000*")</f>
        <v>22000</v>
      </c>
      <c r="G5376" s="83">
        <f>SUMIFS(G5377:G6462,K5377:K6462,"0",B5377:B6462,"5 1 3 2 2 12 31111 6 M59 60100 000132 0000R 00001 00322 015 2112000*")</f>
        <v>0</v>
      </c>
      <c r="H5376" s="83">
        <f t="shared" si="84"/>
        <v>22000</v>
      </c>
      <c r="I5376" s="83"/>
      <c r="K5376" s="54" t="s">
        <v>15</v>
      </c>
    </row>
    <row r="5377" spans="2:11" ht="33" x14ac:dyDescent="0.2">
      <c r="B5377" s="82" t="s">
        <v>8478</v>
      </c>
      <c r="C5377" s="82" t="s">
        <v>660</v>
      </c>
      <c r="D5377" s="83">
        <f>SUMIFS(D5378:D6462,K5378:K6462,"0",B5378:B6462,"5 1 3 2 2 12 31111 6 M59 60100 000132 0000R 00001 00322 015 2112000 2024*")-SUMIFS(E5378:E6462,K5378:K6462,"0",B5378:B6462,"5 1 3 2 2 12 31111 6 M59 60100 000132 0000R 00001 00322 015 2112000 2024*")</f>
        <v>0</v>
      </c>
      <c r="E5377" s="54"/>
      <c r="F5377" s="83">
        <f>SUMIFS(F5378:F6462,K5378:K6462,"0",B5378:B6462,"5 1 3 2 2 12 31111 6 M59 60100 000132 0000R 00001 00322 015 2112000 2024*")</f>
        <v>22000</v>
      </c>
      <c r="G5377" s="83">
        <f>SUMIFS(G5378:G6462,K5378:K6462,"0",B5378:B6462,"5 1 3 2 2 12 31111 6 M59 60100 000132 0000R 00001 00322 015 2112000 2024*")</f>
        <v>0</v>
      </c>
      <c r="H5377" s="83">
        <f t="shared" si="84"/>
        <v>22000</v>
      </c>
      <c r="I5377" s="83"/>
      <c r="K5377" s="54" t="s">
        <v>15</v>
      </c>
    </row>
    <row r="5378" spans="2:11" ht="41.25" x14ac:dyDescent="0.2">
      <c r="B5378" s="82" t="s">
        <v>8479</v>
      </c>
      <c r="C5378" s="82" t="s">
        <v>1056</v>
      </c>
      <c r="D5378" s="83">
        <f>SUMIFS(D5379:D6462,K5379:K6462,"0",B5379:B6462,"5 1 3 2 2 12 31111 6 M59 60100 000132 0000R 00001 00322 015 2112000 2024 CP1DM394*")-SUMIFS(E5379:E6462,K5379:K6462,"0",B5379:B6462,"5 1 3 2 2 12 31111 6 M59 60100 000132 0000R 00001 00322 015 2112000 2024 CP1DM394*")</f>
        <v>0</v>
      </c>
      <c r="E5378" s="54"/>
      <c r="F5378" s="83">
        <f>SUMIFS(F5379:F6462,K5379:K6462,"0",B5379:B6462,"5 1 3 2 2 12 31111 6 M59 60100 000132 0000R 00001 00322 015 2112000 2024 CP1DM394*")</f>
        <v>22000</v>
      </c>
      <c r="G5378" s="83">
        <f>SUMIFS(G5379:G6462,K5379:K6462,"0",B5379:B6462,"5 1 3 2 2 12 31111 6 M59 60100 000132 0000R 00001 00322 015 2112000 2024 CP1DM394*")</f>
        <v>0</v>
      </c>
      <c r="H5378" s="83">
        <f t="shared" si="84"/>
        <v>22000</v>
      </c>
      <c r="I5378" s="83"/>
      <c r="K5378" s="54" t="s">
        <v>15</v>
      </c>
    </row>
    <row r="5379" spans="2:11" ht="41.25" x14ac:dyDescent="0.2">
      <c r="B5379" s="82" t="s">
        <v>8480</v>
      </c>
      <c r="C5379" s="82" t="s">
        <v>282</v>
      </c>
      <c r="D5379" s="83">
        <f>SUMIFS(D5380:D6462,K5380:K6462,"0",B5380:B6462,"5 1 3 2 2 12 31111 6 M59 60100 000132 0000R 00001 00322 015 2112000 2024 CP1DM394 001*")-SUMIFS(E5380:E6462,K5380:K6462,"0",B5380:B6462,"5 1 3 2 2 12 31111 6 M59 60100 000132 0000R 00001 00322 015 2112000 2024 CP1DM394 001*")</f>
        <v>0</v>
      </c>
      <c r="E5379" s="54"/>
      <c r="F5379" s="83">
        <f>SUMIFS(F5380:F6462,K5380:K6462,"0",B5380:B6462,"5 1 3 2 2 12 31111 6 M59 60100 000132 0000R 00001 00322 015 2112000 2024 CP1DM394 001*")</f>
        <v>22000</v>
      </c>
      <c r="G5379" s="83">
        <f>SUMIFS(G5380:G6462,K5380:K6462,"0",B5380:B6462,"5 1 3 2 2 12 31111 6 M59 60100 000132 0000R 00001 00322 015 2112000 2024 CP1DM394 001*")</f>
        <v>0</v>
      </c>
      <c r="H5379" s="83">
        <f t="shared" si="84"/>
        <v>22000</v>
      </c>
      <c r="I5379" s="83"/>
      <c r="K5379" s="54" t="s">
        <v>15</v>
      </c>
    </row>
    <row r="5380" spans="2:11" ht="33" x14ac:dyDescent="0.2">
      <c r="B5380" s="84" t="s">
        <v>8481</v>
      </c>
      <c r="C5380" s="84" t="s">
        <v>8482</v>
      </c>
      <c r="D5380" s="85">
        <v>0</v>
      </c>
      <c r="E5380" s="85"/>
      <c r="F5380" s="85">
        <v>22000</v>
      </c>
      <c r="G5380" s="85">
        <v>0</v>
      </c>
      <c r="H5380" s="85">
        <f t="shared" si="84"/>
        <v>22000</v>
      </c>
      <c r="I5380" s="85"/>
      <c r="K5380" s="54" t="s">
        <v>38</v>
      </c>
    </row>
    <row r="5381" spans="2:11" ht="16.5" x14ac:dyDescent="0.2">
      <c r="B5381" s="82" t="s">
        <v>8483</v>
      </c>
      <c r="C5381" s="82" t="s">
        <v>3413</v>
      </c>
      <c r="D5381" s="83">
        <f>SUMIFS(D5382:D6462,K5382:K6462,"0",B5382:B6462,"5 1 3 2 2 12 31111 6 M59 70300*")-SUMIFS(E5382:E6462,K5382:K6462,"0",B5382:B6462,"5 1 3 2 2 12 31111 6 M59 70300*")</f>
        <v>0</v>
      </c>
      <c r="E5381" s="54"/>
      <c r="F5381" s="83">
        <f>SUMIFS(F5382:F6462,K5382:K6462,"0",B5382:B6462,"5 1 3 2 2 12 31111 6 M59 70300*")</f>
        <v>30816.61</v>
      </c>
      <c r="G5381" s="83">
        <f>SUMIFS(G5382:G6462,K5382:K6462,"0",B5382:B6462,"5 1 3 2 2 12 31111 6 M59 70300*")</f>
        <v>0</v>
      </c>
      <c r="H5381" s="83">
        <f t="shared" si="84"/>
        <v>30816.61</v>
      </c>
      <c r="I5381" s="83"/>
      <c r="K5381" s="54" t="s">
        <v>15</v>
      </c>
    </row>
    <row r="5382" spans="2:11" ht="16.5" x14ac:dyDescent="0.2">
      <c r="B5382" s="82" t="s">
        <v>8484</v>
      </c>
      <c r="C5382" s="82" t="s">
        <v>648</v>
      </c>
      <c r="D5382" s="83">
        <f>SUMIFS(D5383:D6462,K5383:K6462,"0",B5383:B6462,"5 1 3 2 2 12 31111 6 M59 70300 000132*")-SUMIFS(E5383:E6462,K5383:K6462,"0",B5383:B6462,"5 1 3 2 2 12 31111 6 M59 70300 000132*")</f>
        <v>0</v>
      </c>
      <c r="E5382" s="54"/>
      <c r="F5382" s="83">
        <f>SUMIFS(F5383:F6462,K5383:K6462,"0",B5383:B6462,"5 1 3 2 2 12 31111 6 M59 70300 000132*")</f>
        <v>30816.61</v>
      </c>
      <c r="G5382" s="83">
        <f>SUMIFS(G5383:G6462,K5383:K6462,"0",B5383:B6462,"5 1 3 2 2 12 31111 6 M59 70300 000132*")</f>
        <v>0</v>
      </c>
      <c r="H5382" s="83">
        <f t="shared" si="84"/>
        <v>30816.61</v>
      </c>
      <c r="I5382" s="83"/>
      <c r="K5382" s="54" t="s">
        <v>15</v>
      </c>
    </row>
    <row r="5383" spans="2:11" ht="24.75" x14ac:dyDescent="0.2">
      <c r="B5383" s="82" t="s">
        <v>8485</v>
      </c>
      <c r="C5383" s="82" t="s">
        <v>650</v>
      </c>
      <c r="D5383" s="83">
        <f>SUMIFS(D5384:D6462,K5384:K6462,"0",B5384:B6462,"5 1 3 2 2 12 31111 6 M59 70300 000132 0000R*")-SUMIFS(E5384:E6462,K5384:K6462,"0",B5384:B6462,"5 1 3 2 2 12 31111 6 M59 70300 000132 0000R*")</f>
        <v>0</v>
      </c>
      <c r="E5383" s="54"/>
      <c r="F5383" s="83">
        <f>SUMIFS(F5384:F6462,K5384:K6462,"0",B5384:B6462,"5 1 3 2 2 12 31111 6 M59 70300 000132 0000R*")</f>
        <v>30816.61</v>
      </c>
      <c r="G5383" s="83">
        <f>SUMIFS(G5384:G6462,K5384:K6462,"0",B5384:B6462,"5 1 3 2 2 12 31111 6 M59 70300 000132 0000R*")</f>
        <v>0</v>
      </c>
      <c r="H5383" s="83">
        <f t="shared" si="84"/>
        <v>30816.61</v>
      </c>
      <c r="I5383" s="83"/>
      <c r="K5383" s="54" t="s">
        <v>15</v>
      </c>
    </row>
    <row r="5384" spans="2:11" ht="24.75" x14ac:dyDescent="0.2">
      <c r="B5384" s="82" t="s">
        <v>8486</v>
      </c>
      <c r="C5384" s="82" t="s">
        <v>282</v>
      </c>
      <c r="D5384" s="83">
        <f>SUMIFS(D5385:D6462,K5385:K6462,"0",B5385:B6462,"5 1 3 2 2 12 31111 6 M59 70300 000132 0000R 00001*")-SUMIFS(E5385:E6462,K5385:K6462,"0",B5385:B6462,"5 1 3 2 2 12 31111 6 M59 70300 000132 0000R 00001*")</f>
        <v>0</v>
      </c>
      <c r="E5384" s="54"/>
      <c r="F5384" s="83">
        <f>SUMIFS(F5385:F6462,K5385:K6462,"0",B5385:B6462,"5 1 3 2 2 12 31111 6 M59 70300 000132 0000R 00001*")</f>
        <v>30816.61</v>
      </c>
      <c r="G5384" s="83">
        <f>SUMIFS(G5385:G6462,K5385:K6462,"0",B5385:B6462,"5 1 3 2 2 12 31111 6 M59 70300 000132 0000R 00001*")</f>
        <v>0</v>
      </c>
      <c r="H5384" s="83">
        <f t="shared" si="84"/>
        <v>30816.61</v>
      </c>
      <c r="I5384" s="83"/>
      <c r="K5384" s="54" t="s">
        <v>15</v>
      </c>
    </row>
    <row r="5385" spans="2:11" ht="24.75" x14ac:dyDescent="0.2">
      <c r="B5385" s="82" t="s">
        <v>8487</v>
      </c>
      <c r="C5385" s="82" t="s">
        <v>8453</v>
      </c>
      <c r="D5385" s="83">
        <f>SUMIFS(D5386:D6462,K5386:K6462,"0",B5386:B6462,"5 1 3 2 2 12 31111 6 M59 70300 000132 0000R 00001 00322*")-SUMIFS(E5386:E6462,K5386:K6462,"0",B5386:B6462,"5 1 3 2 2 12 31111 6 M59 70300 000132 0000R 00001 00322*")</f>
        <v>0</v>
      </c>
      <c r="E5385" s="54"/>
      <c r="F5385" s="83">
        <f>SUMIFS(F5386:F6462,K5386:K6462,"0",B5386:B6462,"5 1 3 2 2 12 31111 6 M59 70300 000132 0000R 00001 00322*")</f>
        <v>30816.61</v>
      </c>
      <c r="G5385" s="83">
        <f>SUMIFS(G5386:G6462,K5386:K6462,"0",B5386:B6462,"5 1 3 2 2 12 31111 6 M59 70300 000132 0000R 00001 00322*")</f>
        <v>0</v>
      </c>
      <c r="H5385" s="83">
        <f t="shared" si="84"/>
        <v>30816.61</v>
      </c>
      <c r="I5385" s="83"/>
      <c r="K5385" s="54" t="s">
        <v>15</v>
      </c>
    </row>
    <row r="5386" spans="2:11" ht="33" x14ac:dyDescent="0.2">
      <c r="B5386" s="82" t="s">
        <v>8488</v>
      </c>
      <c r="C5386" s="82" t="s">
        <v>1051</v>
      </c>
      <c r="D5386" s="83">
        <f>SUMIFS(D5387:D6462,K5387:K6462,"0",B5387:B6462,"5 1 3 2 2 12 31111 6 M59 70300 000132 0000R 00001 00322 015*")-SUMIFS(E5387:E6462,K5387:K6462,"0",B5387:B6462,"5 1 3 2 2 12 31111 6 M59 70300 000132 0000R 00001 00322 015*")</f>
        <v>0</v>
      </c>
      <c r="E5386" s="54"/>
      <c r="F5386" s="83">
        <f>SUMIFS(F5387:F6462,K5387:K6462,"0",B5387:B6462,"5 1 3 2 2 12 31111 6 M59 70300 000132 0000R 00001 00322 015*")</f>
        <v>30816.61</v>
      </c>
      <c r="G5386" s="83">
        <f>SUMIFS(G5387:G6462,K5387:K6462,"0",B5387:B6462,"5 1 3 2 2 12 31111 6 M59 70300 000132 0000R 00001 00322 015*")</f>
        <v>0</v>
      </c>
      <c r="H5386" s="83">
        <f t="shared" si="84"/>
        <v>30816.61</v>
      </c>
      <c r="I5386" s="83"/>
      <c r="K5386" s="54" t="s">
        <v>15</v>
      </c>
    </row>
    <row r="5387" spans="2:11" ht="33" x14ac:dyDescent="0.2">
      <c r="B5387" s="82" t="s">
        <v>8489</v>
      </c>
      <c r="C5387" s="82" t="s">
        <v>5830</v>
      </c>
      <c r="D5387" s="83">
        <f>SUMIFS(D5388:D6462,K5388:K6462,"0",B5388:B6462,"5 1 3 2 2 12 31111 6 M59 70300 000132 0000R 00001 00322 015 2112000*")-SUMIFS(E5388:E6462,K5388:K6462,"0",B5388:B6462,"5 1 3 2 2 12 31111 6 M59 70300 000132 0000R 00001 00322 015 2112000*")</f>
        <v>0</v>
      </c>
      <c r="E5387" s="54"/>
      <c r="F5387" s="83">
        <f>SUMIFS(F5388:F6462,K5388:K6462,"0",B5388:B6462,"5 1 3 2 2 12 31111 6 M59 70300 000132 0000R 00001 00322 015 2112000*")</f>
        <v>30816.61</v>
      </c>
      <c r="G5387" s="83">
        <f>SUMIFS(G5388:G6462,K5388:K6462,"0",B5388:B6462,"5 1 3 2 2 12 31111 6 M59 70300 000132 0000R 00001 00322 015 2112000*")</f>
        <v>0</v>
      </c>
      <c r="H5387" s="83">
        <f t="shared" si="84"/>
        <v>30816.61</v>
      </c>
      <c r="I5387" s="83"/>
      <c r="K5387" s="54" t="s">
        <v>15</v>
      </c>
    </row>
    <row r="5388" spans="2:11" ht="33" x14ac:dyDescent="0.2">
      <c r="B5388" s="82" t="s">
        <v>8490</v>
      </c>
      <c r="C5388" s="82" t="s">
        <v>660</v>
      </c>
      <c r="D5388" s="83">
        <f>SUMIFS(D5389:D6462,K5389:K6462,"0",B5389:B6462,"5 1 3 2 2 12 31111 6 M59 70300 000132 0000R 00001 00322 015 2112000 2024*")-SUMIFS(E5389:E6462,K5389:K6462,"0",B5389:B6462,"5 1 3 2 2 12 31111 6 M59 70300 000132 0000R 00001 00322 015 2112000 2024*")</f>
        <v>0</v>
      </c>
      <c r="E5388" s="54"/>
      <c r="F5388" s="83">
        <f>SUMIFS(F5389:F6462,K5389:K6462,"0",B5389:B6462,"5 1 3 2 2 12 31111 6 M59 70300 000132 0000R 00001 00322 015 2112000 2024*")</f>
        <v>30816.61</v>
      </c>
      <c r="G5388" s="83">
        <f>SUMIFS(G5389:G6462,K5389:K6462,"0",B5389:B6462,"5 1 3 2 2 12 31111 6 M59 70300 000132 0000R 00001 00322 015 2112000 2024*")</f>
        <v>0</v>
      </c>
      <c r="H5388" s="83">
        <f t="shared" si="84"/>
        <v>30816.61</v>
      </c>
      <c r="I5388" s="83"/>
      <c r="K5388" s="54" t="s">
        <v>15</v>
      </c>
    </row>
    <row r="5389" spans="2:11" ht="41.25" x14ac:dyDescent="0.2">
      <c r="B5389" s="82" t="s">
        <v>8491</v>
      </c>
      <c r="C5389" s="82" t="s">
        <v>1056</v>
      </c>
      <c r="D5389" s="83">
        <f>SUMIFS(D5390:D6462,K5390:K6462,"0",B5390:B6462,"5 1 3 2 2 12 31111 6 M59 70300 000132 0000R 00001 00322 015 2112000 2024 CP1CU419*")-SUMIFS(E5390:E6462,K5390:K6462,"0",B5390:B6462,"5 1 3 2 2 12 31111 6 M59 70300 000132 0000R 00001 00322 015 2112000 2024 CP1CU419*")</f>
        <v>0</v>
      </c>
      <c r="E5389" s="54"/>
      <c r="F5389" s="83">
        <f>SUMIFS(F5390:F6462,K5390:K6462,"0",B5390:B6462,"5 1 3 2 2 12 31111 6 M59 70300 000132 0000R 00001 00322 015 2112000 2024 CP1CU419*")</f>
        <v>30816.61</v>
      </c>
      <c r="G5389" s="83">
        <f>SUMIFS(G5390:G6462,K5390:K6462,"0",B5390:B6462,"5 1 3 2 2 12 31111 6 M59 70300 000132 0000R 00001 00322 015 2112000 2024 CP1CU419*")</f>
        <v>0</v>
      </c>
      <c r="H5389" s="83">
        <f t="shared" si="84"/>
        <v>30816.61</v>
      </c>
      <c r="I5389" s="83"/>
      <c r="K5389" s="54" t="s">
        <v>15</v>
      </c>
    </row>
    <row r="5390" spans="2:11" ht="41.25" x14ac:dyDescent="0.2">
      <c r="B5390" s="82" t="s">
        <v>8492</v>
      </c>
      <c r="C5390" s="82" t="s">
        <v>282</v>
      </c>
      <c r="D5390" s="83">
        <f>SUMIFS(D5391:D6462,K5391:K6462,"0",B5391:B6462,"5 1 3 2 2 12 31111 6 M59 70300 000132 0000R 00001 00322 015 2112000 2024 CP1CU419 001*")-SUMIFS(E5391:E6462,K5391:K6462,"0",B5391:B6462,"5 1 3 2 2 12 31111 6 M59 70300 000132 0000R 00001 00322 015 2112000 2024 CP1CU419 001*")</f>
        <v>0</v>
      </c>
      <c r="E5390" s="54"/>
      <c r="F5390" s="83">
        <f>SUMIFS(F5391:F6462,K5391:K6462,"0",B5391:B6462,"5 1 3 2 2 12 31111 6 M59 70300 000132 0000R 00001 00322 015 2112000 2024 CP1CU419 001*")</f>
        <v>30816.61</v>
      </c>
      <c r="G5390" s="83">
        <f>SUMIFS(G5391:G6462,K5391:K6462,"0",B5391:B6462,"5 1 3 2 2 12 31111 6 M59 70300 000132 0000R 00001 00322 015 2112000 2024 CP1CU419 001*")</f>
        <v>0</v>
      </c>
      <c r="H5390" s="83">
        <f t="shared" si="84"/>
        <v>30816.61</v>
      </c>
      <c r="I5390" s="83"/>
      <c r="K5390" s="54" t="s">
        <v>15</v>
      </c>
    </row>
    <row r="5391" spans="2:11" ht="33" x14ac:dyDescent="0.2">
      <c r="B5391" s="84" t="s">
        <v>8493</v>
      </c>
      <c r="C5391" s="84" t="s">
        <v>8482</v>
      </c>
      <c r="D5391" s="85">
        <v>0</v>
      </c>
      <c r="E5391" s="85"/>
      <c r="F5391" s="85">
        <v>30816.61</v>
      </c>
      <c r="G5391" s="85">
        <v>0</v>
      </c>
      <c r="H5391" s="85">
        <f t="shared" si="84"/>
        <v>30816.61</v>
      </c>
      <c r="I5391" s="85"/>
      <c r="K5391" s="54" t="s">
        <v>38</v>
      </c>
    </row>
    <row r="5392" spans="2:11" ht="24.75" x14ac:dyDescent="0.2">
      <c r="B5392" s="82" t="s">
        <v>8536</v>
      </c>
      <c r="C5392" s="82" t="s">
        <v>8537</v>
      </c>
      <c r="D5392" s="83">
        <f>SUMIFS(D5393:D6462,K5393:K6462,"0",B5393:B6462,"5 1 3 2 6*")-SUMIFS(E5393:E6462,K5393:K6462,"0",B5393:B6462,"5 1 3 2 6*")</f>
        <v>0</v>
      </c>
      <c r="E5392" s="54"/>
      <c r="F5392" s="83">
        <f>SUMIFS(F5393:F6462,K5393:K6462,"0",B5393:B6462,"5 1 3 2 6*")</f>
        <v>5779900</v>
      </c>
      <c r="G5392" s="83">
        <f>SUMIFS(G5393:G6462,K5393:K6462,"0",B5393:B6462,"5 1 3 2 6*")</f>
        <v>0</v>
      </c>
      <c r="H5392" s="83">
        <f t="shared" si="84"/>
        <v>5779900</v>
      </c>
      <c r="I5392" s="83"/>
      <c r="K5392" s="54" t="s">
        <v>15</v>
      </c>
    </row>
    <row r="5393" spans="2:11" ht="12.75" x14ac:dyDescent="0.2">
      <c r="B5393" s="82" t="s">
        <v>8538</v>
      </c>
      <c r="C5393" s="82" t="s">
        <v>26</v>
      </c>
      <c r="D5393" s="83">
        <f>SUMIFS(D5394:D6462,K5394:K6462,"0",B5394:B6462,"5 1 3 2 6 12*")-SUMIFS(E5394:E6462,K5394:K6462,"0",B5394:B6462,"5 1 3 2 6 12*")</f>
        <v>0</v>
      </c>
      <c r="E5393" s="54"/>
      <c r="F5393" s="83">
        <f>SUMIFS(F5394:F6462,K5394:K6462,"0",B5394:B6462,"5 1 3 2 6 12*")</f>
        <v>5779900</v>
      </c>
      <c r="G5393" s="83">
        <f>SUMIFS(G5394:G6462,K5394:K6462,"0",B5394:B6462,"5 1 3 2 6 12*")</f>
        <v>0</v>
      </c>
      <c r="H5393" s="83">
        <f t="shared" si="84"/>
        <v>5779900</v>
      </c>
      <c r="I5393" s="83"/>
      <c r="K5393" s="54" t="s">
        <v>15</v>
      </c>
    </row>
    <row r="5394" spans="2:11" ht="16.5" x14ac:dyDescent="0.2">
      <c r="B5394" s="82" t="s">
        <v>8539</v>
      </c>
      <c r="C5394" s="82" t="s">
        <v>28</v>
      </c>
      <c r="D5394" s="83">
        <f>SUMIFS(D5395:D6462,K5395:K6462,"0",B5395:B6462,"5 1 3 2 6 12 31111*")-SUMIFS(E5395:E6462,K5395:K6462,"0",B5395:B6462,"5 1 3 2 6 12 31111*")</f>
        <v>0</v>
      </c>
      <c r="E5394" s="54"/>
      <c r="F5394" s="83">
        <f>SUMIFS(F5395:F6462,K5395:K6462,"0",B5395:B6462,"5 1 3 2 6 12 31111*")</f>
        <v>5779900</v>
      </c>
      <c r="G5394" s="83">
        <f>SUMIFS(G5395:G6462,K5395:K6462,"0",B5395:B6462,"5 1 3 2 6 12 31111*")</f>
        <v>0</v>
      </c>
      <c r="H5394" s="83">
        <f t="shared" si="84"/>
        <v>5779900</v>
      </c>
      <c r="I5394" s="83"/>
      <c r="K5394" s="54" t="s">
        <v>15</v>
      </c>
    </row>
    <row r="5395" spans="2:11" ht="12.75" x14ac:dyDescent="0.2">
      <c r="B5395" s="82" t="s">
        <v>8540</v>
      </c>
      <c r="C5395" s="82" t="s">
        <v>30</v>
      </c>
      <c r="D5395" s="83">
        <f>SUMIFS(D5396:D6462,K5396:K6462,"0",B5396:B6462,"5 1 3 2 6 12 31111 6*")-SUMIFS(E5396:E6462,K5396:K6462,"0",B5396:B6462,"5 1 3 2 6 12 31111 6*")</f>
        <v>0</v>
      </c>
      <c r="E5395" s="54"/>
      <c r="F5395" s="83">
        <f>SUMIFS(F5396:F6462,K5396:K6462,"0",B5396:B6462,"5 1 3 2 6 12 31111 6*")</f>
        <v>5779900</v>
      </c>
      <c r="G5395" s="83">
        <f>SUMIFS(G5396:G6462,K5396:K6462,"0",B5396:B6462,"5 1 3 2 6 12 31111 6*")</f>
        <v>0</v>
      </c>
      <c r="H5395" s="83">
        <f t="shared" si="84"/>
        <v>5779900</v>
      </c>
      <c r="I5395" s="83"/>
      <c r="K5395" s="54" t="s">
        <v>15</v>
      </c>
    </row>
    <row r="5396" spans="2:11" ht="16.5" x14ac:dyDescent="0.2">
      <c r="B5396" s="82" t="s">
        <v>8541</v>
      </c>
      <c r="C5396" s="82" t="s">
        <v>2284</v>
      </c>
      <c r="D5396" s="83">
        <f>SUMIFS(D5397:D6462,K5397:K6462,"0",B5397:B6462,"5 1 3 2 6 12 31111 6 M59*")-SUMIFS(E5397:E6462,K5397:K6462,"0",B5397:B6462,"5 1 3 2 6 12 31111 6 M59*")</f>
        <v>0</v>
      </c>
      <c r="E5396" s="54"/>
      <c r="F5396" s="83">
        <f>SUMIFS(F5397:F6462,K5397:K6462,"0",B5397:B6462,"5 1 3 2 6 12 31111 6 M59*")</f>
        <v>5779900</v>
      </c>
      <c r="G5396" s="83">
        <f>SUMIFS(G5397:G6462,K5397:K6462,"0",B5397:B6462,"5 1 3 2 6 12 31111 6 M59*")</f>
        <v>0</v>
      </c>
      <c r="H5396" s="83">
        <f t="shared" si="84"/>
        <v>5779900</v>
      </c>
      <c r="I5396" s="83"/>
      <c r="K5396" s="54" t="s">
        <v>15</v>
      </c>
    </row>
    <row r="5397" spans="2:11" ht="16.5" x14ac:dyDescent="0.2">
      <c r="B5397" s="82" t="s">
        <v>8542</v>
      </c>
      <c r="C5397" s="82" t="s">
        <v>1308</v>
      </c>
      <c r="D5397" s="83">
        <f>SUMIFS(D5398:D6462,K5398:K6462,"0",B5398:B6462,"5 1 3 2 6 12 31111 6 M59 96300*")-SUMIFS(E5398:E6462,K5398:K6462,"0",B5398:B6462,"5 1 3 2 6 12 31111 6 M59 96300*")</f>
        <v>0</v>
      </c>
      <c r="E5397" s="54"/>
      <c r="F5397" s="83">
        <f>SUMIFS(F5398:F6462,K5398:K6462,"0",B5398:B6462,"5 1 3 2 6 12 31111 6 M59 96300*")</f>
        <v>5779900</v>
      </c>
      <c r="G5397" s="83">
        <f>SUMIFS(G5398:G6462,K5398:K6462,"0",B5398:B6462,"5 1 3 2 6 12 31111 6 M59 96300*")</f>
        <v>0</v>
      </c>
      <c r="H5397" s="83">
        <f t="shared" si="84"/>
        <v>5779900</v>
      </c>
      <c r="I5397" s="83"/>
      <c r="K5397" s="54" t="s">
        <v>15</v>
      </c>
    </row>
    <row r="5398" spans="2:11" ht="16.5" x14ac:dyDescent="0.2">
      <c r="B5398" s="82" t="s">
        <v>8543</v>
      </c>
      <c r="C5398" s="82" t="s">
        <v>1310</v>
      </c>
      <c r="D5398" s="83">
        <f>SUMIFS(D5399:D6462,K5399:K6462,"0",B5399:B6462,"5 1 3 2 6 12 31111 6 M59 96300 000211*")-SUMIFS(E5399:E6462,K5399:K6462,"0",B5399:B6462,"5 1 3 2 6 12 31111 6 M59 96300 000211*")</f>
        <v>0</v>
      </c>
      <c r="E5398" s="54"/>
      <c r="F5398" s="83">
        <f>SUMIFS(F5399:F6462,K5399:K6462,"0",B5399:B6462,"5 1 3 2 6 12 31111 6 M59 96300 000211*")</f>
        <v>5779900</v>
      </c>
      <c r="G5398" s="83">
        <f>SUMIFS(G5399:G6462,K5399:K6462,"0",B5399:B6462,"5 1 3 2 6 12 31111 6 M59 96300 000211*")</f>
        <v>0</v>
      </c>
      <c r="H5398" s="83">
        <f t="shared" si="84"/>
        <v>5779900</v>
      </c>
      <c r="I5398" s="83"/>
      <c r="K5398" s="54" t="s">
        <v>15</v>
      </c>
    </row>
    <row r="5399" spans="2:11" ht="24.75" x14ac:dyDescent="0.2">
      <c r="B5399" s="82" t="s">
        <v>8544</v>
      </c>
      <c r="C5399" s="82" t="s">
        <v>1065</v>
      </c>
      <c r="D5399" s="83">
        <f>SUMIFS(D5400:D6462,K5400:K6462,"0",B5400:B6462,"5 1 3 2 6 12 31111 6 M59 96300 000211 0000E*")-SUMIFS(E5400:E6462,K5400:K6462,"0",B5400:B6462,"5 1 3 2 6 12 31111 6 M59 96300 000211 0000E*")</f>
        <v>0</v>
      </c>
      <c r="E5399" s="54"/>
      <c r="F5399" s="83">
        <f>SUMIFS(F5400:F6462,K5400:K6462,"0",B5400:B6462,"5 1 3 2 6 12 31111 6 M59 96300 000211 0000E*")</f>
        <v>5779900</v>
      </c>
      <c r="G5399" s="83">
        <f>SUMIFS(G5400:G6462,K5400:K6462,"0",B5400:B6462,"5 1 3 2 6 12 31111 6 M59 96300 000211 0000E*")</f>
        <v>0</v>
      </c>
      <c r="H5399" s="83">
        <f t="shared" si="84"/>
        <v>5779900</v>
      </c>
      <c r="I5399" s="83"/>
      <c r="K5399" s="54" t="s">
        <v>15</v>
      </c>
    </row>
    <row r="5400" spans="2:11" ht="24.75" x14ac:dyDescent="0.2">
      <c r="B5400" s="82" t="s">
        <v>8545</v>
      </c>
      <c r="C5400" s="82" t="s">
        <v>282</v>
      </c>
      <c r="D5400" s="83">
        <f>SUMIFS(D5401:D6462,K5401:K6462,"0",B5401:B6462,"5 1 3 2 6 12 31111 6 M59 96300 000211 0000E 00001*")-SUMIFS(E5401:E6462,K5401:K6462,"0",B5401:B6462,"5 1 3 2 6 12 31111 6 M59 96300 000211 0000E 00001*")</f>
        <v>0</v>
      </c>
      <c r="E5400" s="54"/>
      <c r="F5400" s="83">
        <f>SUMIFS(F5401:F6462,K5401:K6462,"0",B5401:B6462,"5 1 3 2 6 12 31111 6 M59 96300 000211 0000E 00001*")</f>
        <v>5779900</v>
      </c>
      <c r="G5400" s="83">
        <f>SUMIFS(G5401:G6462,K5401:K6462,"0",B5401:B6462,"5 1 3 2 6 12 31111 6 M59 96300 000211 0000E 00001*")</f>
        <v>0</v>
      </c>
      <c r="H5400" s="83">
        <f t="shared" si="84"/>
        <v>5779900</v>
      </c>
      <c r="I5400" s="83"/>
      <c r="K5400" s="54" t="s">
        <v>15</v>
      </c>
    </row>
    <row r="5401" spans="2:11" ht="24.75" x14ac:dyDescent="0.2">
      <c r="B5401" s="82" t="s">
        <v>8546</v>
      </c>
      <c r="C5401" s="82" t="s">
        <v>8547</v>
      </c>
      <c r="D5401" s="83">
        <f>SUMIFS(D5402:D6462,K5402:K6462,"0",B5402:B6462,"5 1 3 2 6 12 31111 6 M59 96300 000211 0000E 00001 00326*")-SUMIFS(E5402:E6462,K5402:K6462,"0",B5402:B6462,"5 1 3 2 6 12 31111 6 M59 96300 000211 0000E 00001 00326*")</f>
        <v>0</v>
      </c>
      <c r="E5401" s="54"/>
      <c r="F5401" s="83">
        <f>SUMIFS(F5402:F6462,K5402:K6462,"0",B5402:B6462,"5 1 3 2 6 12 31111 6 M59 96300 000211 0000E 00001 00326*")</f>
        <v>5779900</v>
      </c>
      <c r="G5401" s="83">
        <f>SUMIFS(G5402:G6462,K5402:K6462,"0",B5402:B6462,"5 1 3 2 6 12 31111 6 M59 96300 000211 0000E 00001 00326*")</f>
        <v>0</v>
      </c>
      <c r="H5401" s="83">
        <f t="shared" si="84"/>
        <v>5779900</v>
      </c>
      <c r="I5401" s="83"/>
      <c r="K5401" s="54" t="s">
        <v>15</v>
      </c>
    </row>
    <row r="5402" spans="2:11" ht="33" x14ac:dyDescent="0.2">
      <c r="B5402" s="82" t="s">
        <v>8548</v>
      </c>
      <c r="C5402" s="82" t="s">
        <v>1051</v>
      </c>
      <c r="D5402" s="83">
        <f>SUMIFS(D5403:D6462,K5403:K6462,"0",B5403:B6462,"5 1 3 2 6 12 31111 6 M59 96300 000211 0000E 00001 00326 015*")-SUMIFS(E5403:E6462,K5403:K6462,"0",B5403:B6462,"5 1 3 2 6 12 31111 6 M59 96300 000211 0000E 00001 00326 015*")</f>
        <v>0</v>
      </c>
      <c r="E5402" s="54"/>
      <c r="F5402" s="83">
        <f>SUMIFS(F5403:F6462,K5403:K6462,"0",B5403:B6462,"5 1 3 2 6 12 31111 6 M59 96300 000211 0000E 00001 00326 015*")</f>
        <v>5779900</v>
      </c>
      <c r="G5402" s="83">
        <f>SUMIFS(G5403:G6462,K5403:K6462,"0",B5403:B6462,"5 1 3 2 6 12 31111 6 M59 96300 000211 0000E 00001 00326 015*")</f>
        <v>0</v>
      </c>
      <c r="H5402" s="83">
        <f t="shared" si="84"/>
        <v>5779900</v>
      </c>
      <c r="I5402" s="83"/>
      <c r="K5402" s="54" t="s">
        <v>15</v>
      </c>
    </row>
    <row r="5403" spans="2:11" ht="33" x14ac:dyDescent="0.2">
      <c r="B5403" s="82" t="s">
        <v>8549</v>
      </c>
      <c r="C5403" s="82" t="s">
        <v>8550</v>
      </c>
      <c r="D5403" s="83">
        <f>SUMIFS(D5404:D6462,K5404:K6462,"0",B5404:B6462,"5 1 3 2 6 12 31111 6 M59 96300 000211 0000E 00001 00326 015 2111300*")-SUMIFS(E5404:E6462,K5404:K6462,"0",B5404:B6462,"5 1 3 2 6 12 31111 6 M59 96300 000211 0000E 00001 00326 015 2111300*")</f>
        <v>0</v>
      </c>
      <c r="E5403" s="54"/>
      <c r="F5403" s="83">
        <f>SUMIFS(F5404:F6462,K5404:K6462,"0",B5404:B6462,"5 1 3 2 6 12 31111 6 M59 96300 000211 0000E 00001 00326 015 2111300*")</f>
        <v>3484900</v>
      </c>
      <c r="G5403" s="83">
        <f>SUMIFS(G5404:G6462,K5404:K6462,"0",B5404:B6462,"5 1 3 2 6 12 31111 6 M59 96300 000211 0000E 00001 00326 015 2111300*")</f>
        <v>0</v>
      </c>
      <c r="H5403" s="83">
        <f t="shared" si="84"/>
        <v>3484900</v>
      </c>
      <c r="I5403" s="83"/>
      <c r="K5403" s="54" t="s">
        <v>15</v>
      </c>
    </row>
    <row r="5404" spans="2:11" ht="33" x14ac:dyDescent="0.2">
      <c r="B5404" s="82" t="s">
        <v>8551</v>
      </c>
      <c r="C5404" s="82" t="s">
        <v>660</v>
      </c>
      <c r="D5404" s="83">
        <f>SUMIFS(D5405:D6462,K5405:K6462,"0",B5405:B6462,"5 1 3 2 6 12 31111 6 M59 96300 000211 0000E 00001 00326 015 2111300 2024*")-SUMIFS(E5405:E6462,K5405:K6462,"0",B5405:B6462,"5 1 3 2 6 12 31111 6 M59 96300 000211 0000E 00001 00326 015 2111300 2024*")</f>
        <v>0</v>
      </c>
      <c r="E5404" s="54"/>
      <c r="F5404" s="83">
        <f>SUMIFS(F5405:F6462,K5405:K6462,"0",B5405:B6462,"5 1 3 2 6 12 31111 6 M59 96300 000211 0000E 00001 00326 015 2111300 2024*")</f>
        <v>3484900</v>
      </c>
      <c r="G5404" s="83">
        <f>SUMIFS(G5405:G6462,K5405:K6462,"0",B5405:B6462,"5 1 3 2 6 12 31111 6 M59 96300 000211 0000E 00001 00326 015 2111300 2024*")</f>
        <v>0</v>
      </c>
      <c r="H5404" s="83">
        <f t="shared" si="84"/>
        <v>3484900</v>
      </c>
      <c r="I5404" s="83"/>
      <c r="K5404" s="54" t="s">
        <v>15</v>
      </c>
    </row>
    <row r="5405" spans="2:11" ht="41.25" x14ac:dyDescent="0.2">
      <c r="B5405" s="82" t="s">
        <v>8552</v>
      </c>
      <c r="C5405" s="82" t="s">
        <v>1056</v>
      </c>
      <c r="D5405" s="83">
        <f>SUMIFS(D5406:D6462,K5406:K6462,"0",B5406:B6462,"5 1 3 2 6 12 31111 6 M59 96300 000211 0000E 00001 00326 015 2111300 2024 CP1SB396*")-SUMIFS(E5406:E6462,K5406:K6462,"0",B5406:B6462,"5 1 3 2 6 12 31111 6 M59 96300 000211 0000E 00001 00326 015 2111300 2024 CP1SB396*")</f>
        <v>0</v>
      </c>
      <c r="E5405" s="54"/>
      <c r="F5405" s="83">
        <f>SUMIFS(F5406:F6462,K5406:K6462,"0",B5406:B6462,"5 1 3 2 6 12 31111 6 M59 96300 000211 0000E 00001 00326 015 2111300 2024 CP1SB396*")</f>
        <v>3484900</v>
      </c>
      <c r="G5405" s="83">
        <f>SUMIFS(G5406:G6462,K5406:K6462,"0",B5406:B6462,"5 1 3 2 6 12 31111 6 M59 96300 000211 0000E 00001 00326 015 2111300 2024 CP1SB396*")</f>
        <v>0</v>
      </c>
      <c r="H5405" s="83">
        <f t="shared" si="84"/>
        <v>3484900</v>
      </c>
      <c r="I5405" s="83"/>
      <c r="K5405" s="54" t="s">
        <v>15</v>
      </c>
    </row>
    <row r="5406" spans="2:11" ht="41.25" x14ac:dyDescent="0.2">
      <c r="B5406" s="82" t="s">
        <v>8553</v>
      </c>
      <c r="C5406" s="82" t="s">
        <v>282</v>
      </c>
      <c r="D5406" s="83">
        <f>SUMIFS(D5407:D6462,K5407:K6462,"0",B5407:B6462,"5 1 3 2 6 12 31111 6 M59 96300 000211 0000E 00001 00326 015 2111300 2024 CP1SB396 001*")-SUMIFS(E5407:E6462,K5407:K6462,"0",B5407:B6462,"5 1 3 2 6 12 31111 6 M59 96300 000211 0000E 00001 00326 015 2111300 2024 CP1SB396 001*")</f>
        <v>0</v>
      </c>
      <c r="E5406" s="54"/>
      <c r="F5406" s="83">
        <f>SUMIFS(F5407:F6462,K5407:K6462,"0",B5407:B6462,"5 1 3 2 6 12 31111 6 M59 96300 000211 0000E 00001 00326 015 2111300 2024 CP1SB396 001*")</f>
        <v>3484900</v>
      </c>
      <c r="G5406" s="83">
        <f>SUMIFS(G5407:G6462,K5407:K6462,"0",B5407:B6462,"5 1 3 2 6 12 31111 6 M59 96300 000211 0000E 00001 00326 015 2111300 2024 CP1SB396 001*")</f>
        <v>0</v>
      </c>
      <c r="H5406" s="83">
        <f t="shared" si="84"/>
        <v>3484900</v>
      </c>
      <c r="I5406" s="83"/>
      <c r="K5406" s="54" t="s">
        <v>15</v>
      </c>
    </row>
    <row r="5407" spans="2:11" ht="33" x14ac:dyDescent="0.2">
      <c r="B5407" s="84" t="s">
        <v>8554</v>
      </c>
      <c r="C5407" s="84" t="s">
        <v>8537</v>
      </c>
      <c r="D5407" s="85">
        <v>0</v>
      </c>
      <c r="E5407" s="85"/>
      <c r="F5407" s="85">
        <v>3484900</v>
      </c>
      <c r="G5407" s="85">
        <v>0</v>
      </c>
      <c r="H5407" s="85">
        <f t="shared" si="84"/>
        <v>3484900</v>
      </c>
      <c r="I5407" s="85"/>
      <c r="K5407" s="54" t="s">
        <v>38</v>
      </c>
    </row>
    <row r="5408" spans="2:11" ht="33" x14ac:dyDescent="0.2">
      <c r="B5408" s="82" t="s">
        <v>8555</v>
      </c>
      <c r="C5408" s="82" t="s">
        <v>5830</v>
      </c>
      <c r="D5408" s="83">
        <f>SUMIFS(D5409:D6462,K5409:K6462,"0",B5409:B6462,"5 1 3 2 6 12 31111 6 M59 96300 000211 0000E 00001 00326 015 2112000*")-SUMIFS(E5409:E6462,K5409:K6462,"0",B5409:B6462,"5 1 3 2 6 12 31111 6 M59 96300 000211 0000E 00001 00326 015 2112000*")</f>
        <v>0</v>
      </c>
      <c r="E5408" s="54"/>
      <c r="F5408" s="83">
        <f>SUMIFS(F5409:F6462,K5409:K6462,"0",B5409:B6462,"5 1 3 2 6 12 31111 6 M59 96300 000211 0000E 00001 00326 015 2112000*")</f>
        <v>2295000</v>
      </c>
      <c r="G5408" s="83">
        <f>SUMIFS(G5409:G6462,K5409:K6462,"0",B5409:B6462,"5 1 3 2 6 12 31111 6 M59 96300 000211 0000E 00001 00326 015 2112000*")</f>
        <v>0</v>
      </c>
      <c r="H5408" s="83">
        <f t="shared" si="84"/>
        <v>2295000</v>
      </c>
      <c r="I5408" s="83"/>
      <c r="K5408" s="54" t="s">
        <v>15</v>
      </c>
    </row>
    <row r="5409" spans="2:11" ht="33" x14ac:dyDescent="0.2">
      <c r="B5409" s="82" t="s">
        <v>8556</v>
      </c>
      <c r="C5409" s="82" t="s">
        <v>660</v>
      </c>
      <c r="D5409" s="83">
        <f>SUMIFS(D5410:D6462,K5410:K6462,"0",B5410:B6462,"5 1 3 2 6 12 31111 6 M59 96300 000211 0000E 00001 00326 015 2112000 2024*")-SUMIFS(E5410:E6462,K5410:K6462,"0",B5410:B6462,"5 1 3 2 6 12 31111 6 M59 96300 000211 0000E 00001 00326 015 2112000 2024*")</f>
        <v>0</v>
      </c>
      <c r="E5409" s="54"/>
      <c r="F5409" s="83">
        <f>SUMIFS(F5410:F6462,K5410:K6462,"0",B5410:B6462,"5 1 3 2 6 12 31111 6 M59 96300 000211 0000E 00001 00326 015 2112000 2024*")</f>
        <v>2295000</v>
      </c>
      <c r="G5409" s="83">
        <f>SUMIFS(G5410:G6462,K5410:K6462,"0",B5410:B6462,"5 1 3 2 6 12 31111 6 M59 96300 000211 0000E 00001 00326 015 2112000 2024*")</f>
        <v>0</v>
      </c>
      <c r="H5409" s="83">
        <f t="shared" si="84"/>
        <v>2295000</v>
      </c>
      <c r="I5409" s="83"/>
      <c r="K5409" s="54" t="s">
        <v>15</v>
      </c>
    </row>
    <row r="5410" spans="2:11" ht="41.25" x14ac:dyDescent="0.2">
      <c r="B5410" s="82" t="s">
        <v>8557</v>
      </c>
      <c r="C5410" s="82" t="s">
        <v>1056</v>
      </c>
      <c r="D5410" s="83">
        <f>SUMIFS(D5411:D6462,K5411:K6462,"0",B5411:B6462,"5 1 3 2 6 12 31111 6 M59 96300 000211 0000E 00001 00326 015 2112000 2024 CP1SB396*")-SUMIFS(E5411:E6462,K5411:K6462,"0",B5411:B6462,"5 1 3 2 6 12 31111 6 M59 96300 000211 0000E 00001 00326 015 2112000 2024 CP1SB396*")</f>
        <v>0</v>
      </c>
      <c r="E5410" s="54"/>
      <c r="F5410" s="83">
        <f>SUMIFS(F5411:F6462,K5411:K6462,"0",B5411:B6462,"5 1 3 2 6 12 31111 6 M59 96300 000211 0000E 00001 00326 015 2112000 2024 CP1SB396*")</f>
        <v>2295000</v>
      </c>
      <c r="G5410" s="83">
        <f>SUMIFS(G5411:G6462,K5411:K6462,"0",B5411:B6462,"5 1 3 2 6 12 31111 6 M59 96300 000211 0000E 00001 00326 015 2112000 2024 CP1SB396*")</f>
        <v>0</v>
      </c>
      <c r="H5410" s="83">
        <f t="shared" si="84"/>
        <v>2295000</v>
      </c>
      <c r="I5410" s="83"/>
      <c r="K5410" s="54" t="s">
        <v>15</v>
      </c>
    </row>
    <row r="5411" spans="2:11" ht="41.25" x14ac:dyDescent="0.2">
      <c r="B5411" s="82" t="s">
        <v>8558</v>
      </c>
      <c r="C5411" s="82" t="s">
        <v>282</v>
      </c>
      <c r="D5411" s="83">
        <f>SUMIFS(D5412:D6462,K5412:K6462,"0",B5412:B6462,"5 1 3 2 6 12 31111 6 M59 96300 000211 0000E 00001 00326 015 2112000 2024 CP1SB396 001*")-SUMIFS(E5412:E6462,K5412:K6462,"0",B5412:B6462,"5 1 3 2 6 12 31111 6 M59 96300 000211 0000E 00001 00326 015 2112000 2024 CP1SB396 001*")</f>
        <v>0</v>
      </c>
      <c r="E5411" s="54"/>
      <c r="F5411" s="83">
        <f>SUMIFS(F5412:F6462,K5412:K6462,"0",B5412:B6462,"5 1 3 2 6 12 31111 6 M59 96300 000211 0000E 00001 00326 015 2112000 2024 CP1SB396 001*")</f>
        <v>2295000</v>
      </c>
      <c r="G5411" s="83">
        <f>SUMIFS(G5412:G6462,K5412:K6462,"0",B5412:B6462,"5 1 3 2 6 12 31111 6 M59 96300 000211 0000E 00001 00326 015 2112000 2024 CP1SB396 001*")</f>
        <v>0</v>
      </c>
      <c r="H5411" s="83">
        <f t="shared" si="84"/>
        <v>2295000</v>
      </c>
      <c r="I5411" s="83"/>
      <c r="K5411" s="54" t="s">
        <v>15</v>
      </c>
    </row>
    <row r="5412" spans="2:11" ht="33" x14ac:dyDescent="0.2">
      <c r="B5412" s="84" t="s">
        <v>8559</v>
      </c>
      <c r="C5412" s="84" t="s">
        <v>8547</v>
      </c>
      <c r="D5412" s="85">
        <v>0</v>
      </c>
      <c r="E5412" s="85"/>
      <c r="F5412" s="85">
        <v>2295000</v>
      </c>
      <c r="G5412" s="85">
        <v>0</v>
      </c>
      <c r="H5412" s="85">
        <f t="shared" si="84"/>
        <v>2295000</v>
      </c>
      <c r="I5412" s="85"/>
      <c r="K5412" s="54" t="s">
        <v>38</v>
      </c>
    </row>
    <row r="5413" spans="2:11" ht="16.5" x14ac:dyDescent="0.2">
      <c r="B5413" s="82" t="s">
        <v>8560</v>
      </c>
      <c r="C5413" s="82" t="s">
        <v>8561</v>
      </c>
      <c r="D5413" s="83">
        <f>SUMIFS(D5414:D6462,K5414:K6462,"0",B5414:B6462,"5 1 3 2 7*")-SUMIFS(E5414:E6462,K5414:K6462,"0",B5414:B6462,"5 1 3 2 7*")</f>
        <v>0</v>
      </c>
      <c r="E5413" s="54"/>
      <c r="F5413" s="83">
        <f>SUMIFS(F5414:F6462,K5414:K6462,"0",B5414:B6462,"5 1 3 2 7*")</f>
        <v>3456.8</v>
      </c>
      <c r="G5413" s="83">
        <f>SUMIFS(G5414:G6462,K5414:K6462,"0",B5414:B6462,"5 1 3 2 7*")</f>
        <v>0</v>
      </c>
      <c r="H5413" s="83">
        <f t="shared" si="84"/>
        <v>3456.8</v>
      </c>
      <c r="I5413" s="83"/>
      <c r="K5413" s="54" t="s">
        <v>15</v>
      </c>
    </row>
    <row r="5414" spans="2:11" ht="12.75" x14ac:dyDescent="0.2">
      <c r="B5414" s="82" t="s">
        <v>8562</v>
      </c>
      <c r="C5414" s="82" t="s">
        <v>26</v>
      </c>
      <c r="D5414" s="83">
        <f>SUMIFS(D5415:D6462,K5415:K6462,"0",B5415:B6462,"5 1 3 2 7 12*")-SUMIFS(E5415:E6462,K5415:K6462,"0",B5415:B6462,"5 1 3 2 7 12*")</f>
        <v>0</v>
      </c>
      <c r="E5414" s="54"/>
      <c r="F5414" s="83">
        <f>SUMIFS(F5415:F6462,K5415:K6462,"0",B5415:B6462,"5 1 3 2 7 12*")</f>
        <v>3456.8</v>
      </c>
      <c r="G5414" s="83">
        <f>SUMIFS(G5415:G6462,K5415:K6462,"0",B5415:B6462,"5 1 3 2 7 12*")</f>
        <v>0</v>
      </c>
      <c r="H5414" s="83">
        <f t="shared" si="84"/>
        <v>3456.8</v>
      </c>
      <c r="I5414" s="83"/>
      <c r="K5414" s="54" t="s">
        <v>15</v>
      </c>
    </row>
    <row r="5415" spans="2:11" ht="16.5" x14ac:dyDescent="0.2">
      <c r="B5415" s="82" t="s">
        <v>8563</v>
      </c>
      <c r="C5415" s="82" t="s">
        <v>28</v>
      </c>
      <c r="D5415" s="83">
        <f>SUMIFS(D5416:D6462,K5416:K6462,"0",B5416:B6462,"5 1 3 2 7 12 31111*")-SUMIFS(E5416:E6462,K5416:K6462,"0",B5416:B6462,"5 1 3 2 7 12 31111*")</f>
        <v>0</v>
      </c>
      <c r="E5415" s="54"/>
      <c r="F5415" s="83">
        <f>SUMIFS(F5416:F6462,K5416:K6462,"0",B5416:B6462,"5 1 3 2 7 12 31111*")</f>
        <v>3456.8</v>
      </c>
      <c r="G5415" s="83">
        <f>SUMIFS(G5416:G6462,K5416:K6462,"0",B5416:B6462,"5 1 3 2 7 12 31111*")</f>
        <v>0</v>
      </c>
      <c r="H5415" s="83">
        <f t="shared" si="84"/>
        <v>3456.8</v>
      </c>
      <c r="I5415" s="83"/>
      <c r="K5415" s="54" t="s">
        <v>15</v>
      </c>
    </row>
    <row r="5416" spans="2:11" ht="12.75" x14ac:dyDescent="0.2">
      <c r="B5416" s="82" t="s">
        <v>8564</v>
      </c>
      <c r="C5416" s="82" t="s">
        <v>30</v>
      </c>
      <c r="D5416" s="83">
        <f>SUMIFS(D5417:D6462,K5417:K6462,"0",B5417:B6462,"5 1 3 2 7 12 31111 6*")-SUMIFS(E5417:E6462,K5417:K6462,"0",B5417:B6462,"5 1 3 2 7 12 31111 6*")</f>
        <v>0</v>
      </c>
      <c r="E5416" s="54"/>
      <c r="F5416" s="83">
        <f>SUMIFS(F5417:F6462,K5417:K6462,"0",B5417:B6462,"5 1 3 2 7 12 31111 6*")</f>
        <v>3456.8</v>
      </c>
      <c r="G5416" s="83">
        <f>SUMIFS(G5417:G6462,K5417:K6462,"0",B5417:B6462,"5 1 3 2 7 12 31111 6*")</f>
        <v>0</v>
      </c>
      <c r="H5416" s="83">
        <f t="shared" si="84"/>
        <v>3456.8</v>
      </c>
      <c r="I5416" s="83"/>
      <c r="K5416" s="54" t="s">
        <v>15</v>
      </c>
    </row>
    <row r="5417" spans="2:11" ht="16.5" x14ac:dyDescent="0.2">
      <c r="B5417" s="82" t="s">
        <v>8565</v>
      </c>
      <c r="C5417" s="82" t="s">
        <v>2284</v>
      </c>
      <c r="D5417" s="83">
        <f>SUMIFS(D5418:D6462,K5418:K6462,"0",B5418:B6462,"5 1 3 2 7 12 31111 6 M59*")-SUMIFS(E5418:E6462,K5418:K6462,"0",B5418:B6462,"5 1 3 2 7 12 31111 6 M59*")</f>
        <v>0</v>
      </c>
      <c r="E5417" s="54"/>
      <c r="F5417" s="83">
        <f>SUMIFS(F5418:F6462,K5418:K6462,"0",B5418:B6462,"5 1 3 2 7 12 31111 6 M59*")</f>
        <v>3456.8</v>
      </c>
      <c r="G5417" s="83">
        <f>SUMIFS(G5418:G6462,K5418:K6462,"0",B5418:B6462,"5 1 3 2 7 12 31111 6 M59*")</f>
        <v>0</v>
      </c>
      <c r="H5417" s="83">
        <f t="shared" si="84"/>
        <v>3456.8</v>
      </c>
      <c r="I5417" s="83"/>
      <c r="K5417" s="54" t="s">
        <v>15</v>
      </c>
    </row>
    <row r="5418" spans="2:11" ht="16.5" x14ac:dyDescent="0.2">
      <c r="B5418" s="82" t="s">
        <v>8566</v>
      </c>
      <c r="C5418" s="82" t="s">
        <v>1044</v>
      </c>
      <c r="D5418" s="83">
        <f>SUMIFS(D5419:D6462,K5419:K6462,"0",B5419:B6462,"5 1 3 2 7 12 31111 6 M59 19000*")-SUMIFS(E5419:E6462,K5419:K6462,"0",B5419:B6462,"5 1 3 2 7 12 31111 6 M59 19000*")</f>
        <v>0</v>
      </c>
      <c r="E5418" s="54"/>
      <c r="F5418" s="83">
        <f>SUMIFS(F5419:F6462,K5419:K6462,"0",B5419:B6462,"5 1 3 2 7 12 31111 6 M59 19000*")</f>
        <v>3456.8</v>
      </c>
      <c r="G5418" s="83">
        <f>SUMIFS(G5419:G6462,K5419:K6462,"0",B5419:B6462,"5 1 3 2 7 12 31111 6 M59 19000*")</f>
        <v>0</v>
      </c>
      <c r="H5418" s="83">
        <f t="shared" si="84"/>
        <v>3456.8</v>
      </c>
      <c r="I5418" s="83"/>
      <c r="K5418" s="54" t="s">
        <v>15</v>
      </c>
    </row>
    <row r="5419" spans="2:11" ht="16.5" x14ac:dyDescent="0.2">
      <c r="B5419" s="82" t="s">
        <v>8567</v>
      </c>
      <c r="C5419" s="82" t="s">
        <v>648</v>
      </c>
      <c r="D5419" s="83">
        <f>SUMIFS(D5420:D6462,K5420:K6462,"0",B5420:B6462,"5 1 3 2 7 12 31111 6 M59 19000 000132*")-SUMIFS(E5420:E6462,K5420:K6462,"0",B5420:B6462,"5 1 3 2 7 12 31111 6 M59 19000 000132*")</f>
        <v>0</v>
      </c>
      <c r="E5419" s="54"/>
      <c r="F5419" s="83">
        <f>SUMIFS(F5420:F6462,K5420:K6462,"0",B5420:B6462,"5 1 3 2 7 12 31111 6 M59 19000 000132*")</f>
        <v>3456.8</v>
      </c>
      <c r="G5419" s="83">
        <f>SUMIFS(G5420:G6462,K5420:K6462,"0",B5420:B6462,"5 1 3 2 7 12 31111 6 M59 19000 000132*")</f>
        <v>0</v>
      </c>
      <c r="H5419" s="83">
        <f t="shared" ref="H5419:H5482" si="85">D5419 + F5419 - G5419</f>
        <v>3456.8</v>
      </c>
      <c r="I5419" s="83"/>
      <c r="K5419" s="54" t="s">
        <v>15</v>
      </c>
    </row>
    <row r="5420" spans="2:11" ht="24.75" x14ac:dyDescent="0.2">
      <c r="B5420" s="82" t="s">
        <v>8568</v>
      </c>
      <c r="C5420" s="82" t="s">
        <v>650</v>
      </c>
      <c r="D5420" s="83">
        <f>SUMIFS(D5421:D6462,K5421:K6462,"0",B5421:B6462,"5 1 3 2 7 12 31111 6 M59 19000 000132 0000R*")-SUMIFS(E5421:E6462,K5421:K6462,"0",B5421:B6462,"5 1 3 2 7 12 31111 6 M59 19000 000132 0000R*")</f>
        <v>0</v>
      </c>
      <c r="E5420" s="54"/>
      <c r="F5420" s="83">
        <f>SUMIFS(F5421:F6462,K5421:K6462,"0",B5421:B6462,"5 1 3 2 7 12 31111 6 M59 19000 000132 0000R*")</f>
        <v>3456.8</v>
      </c>
      <c r="G5420" s="83">
        <f>SUMIFS(G5421:G6462,K5421:K6462,"0",B5421:B6462,"5 1 3 2 7 12 31111 6 M59 19000 000132 0000R*")</f>
        <v>0</v>
      </c>
      <c r="H5420" s="83">
        <f t="shared" si="85"/>
        <v>3456.8</v>
      </c>
      <c r="I5420" s="83"/>
      <c r="K5420" s="54" t="s">
        <v>15</v>
      </c>
    </row>
    <row r="5421" spans="2:11" ht="24.75" x14ac:dyDescent="0.2">
      <c r="B5421" s="82" t="s">
        <v>8569</v>
      </c>
      <c r="C5421" s="82" t="s">
        <v>282</v>
      </c>
      <c r="D5421" s="83">
        <f>SUMIFS(D5422:D6462,K5422:K6462,"0",B5422:B6462,"5 1 3 2 7 12 31111 6 M59 19000 000132 0000R 00001*")-SUMIFS(E5422:E6462,K5422:K6462,"0",B5422:B6462,"5 1 3 2 7 12 31111 6 M59 19000 000132 0000R 00001*")</f>
        <v>0</v>
      </c>
      <c r="E5421" s="54"/>
      <c r="F5421" s="83">
        <f>SUMIFS(F5422:F6462,K5422:K6462,"0",B5422:B6462,"5 1 3 2 7 12 31111 6 M59 19000 000132 0000R 00001*")</f>
        <v>3456.8</v>
      </c>
      <c r="G5421" s="83">
        <f>SUMIFS(G5422:G6462,K5422:K6462,"0",B5422:B6462,"5 1 3 2 7 12 31111 6 M59 19000 000132 0000R 00001*")</f>
        <v>0</v>
      </c>
      <c r="H5421" s="83">
        <f t="shared" si="85"/>
        <v>3456.8</v>
      </c>
      <c r="I5421" s="83"/>
      <c r="K5421" s="54" t="s">
        <v>15</v>
      </c>
    </row>
    <row r="5422" spans="2:11" ht="24.75" x14ac:dyDescent="0.2">
      <c r="B5422" s="82" t="s">
        <v>8570</v>
      </c>
      <c r="C5422" s="82" t="s">
        <v>8571</v>
      </c>
      <c r="D5422" s="83">
        <f>SUMIFS(D5423:D6462,K5423:K6462,"0",B5423:B6462,"5 1 3 2 7 12 31111 6 M59 19000 000132 0000R 00001 00327*")-SUMIFS(E5423:E6462,K5423:K6462,"0",B5423:B6462,"5 1 3 2 7 12 31111 6 M59 19000 000132 0000R 00001 00327*")</f>
        <v>0</v>
      </c>
      <c r="E5422" s="54"/>
      <c r="F5422" s="83">
        <f>SUMIFS(F5423:F6462,K5423:K6462,"0",B5423:B6462,"5 1 3 2 7 12 31111 6 M59 19000 000132 0000R 00001 00327*")</f>
        <v>3456.8</v>
      </c>
      <c r="G5422" s="83">
        <f>SUMIFS(G5423:G6462,K5423:K6462,"0",B5423:B6462,"5 1 3 2 7 12 31111 6 M59 19000 000132 0000R 00001 00327*")</f>
        <v>0</v>
      </c>
      <c r="H5422" s="83">
        <f t="shared" si="85"/>
        <v>3456.8</v>
      </c>
      <c r="I5422" s="83"/>
      <c r="K5422" s="54" t="s">
        <v>15</v>
      </c>
    </row>
    <row r="5423" spans="2:11" ht="33" x14ac:dyDescent="0.2">
      <c r="B5423" s="82" t="s">
        <v>8572</v>
      </c>
      <c r="C5423" s="82" t="s">
        <v>1051</v>
      </c>
      <c r="D5423" s="83">
        <f>SUMIFS(D5424:D6462,K5424:K6462,"0",B5424:B6462,"5 1 3 2 7 12 31111 6 M59 19000 000132 0000R 00001 00327 015*")-SUMIFS(E5424:E6462,K5424:K6462,"0",B5424:B6462,"5 1 3 2 7 12 31111 6 M59 19000 000132 0000R 00001 00327 015*")</f>
        <v>0</v>
      </c>
      <c r="E5423" s="54"/>
      <c r="F5423" s="83">
        <f>SUMIFS(F5424:F6462,K5424:K6462,"0",B5424:B6462,"5 1 3 2 7 12 31111 6 M59 19000 000132 0000R 00001 00327 015*")</f>
        <v>3456.8</v>
      </c>
      <c r="G5423" s="83">
        <f>SUMIFS(G5424:G6462,K5424:K6462,"0",B5424:B6462,"5 1 3 2 7 12 31111 6 M59 19000 000132 0000R 00001 00327 015*")</f>
        <v>0</v>
      </c>
      <c r="H5423" s="83">
        <f t="shared" si="85"/>
        <v>3456.8</v>
      </c>
      <c r="I5423" s="83"/>
      <c r="K5423" s="54" t="s">
        <v>15</v>
      </c>
    </row>
    <row r="5424" spans="2:11" ht="33" x14ac:dyDescent="0.2">
      <c r="B5424" s="82" t="s">
        <v>8573</v>
      </c>
      <c r="C5424" s="82" t="s">
        <v>5830</v>
      </c>
      <c r="D5424" s="83">
        <f>SUMIFS(D5425:D6462,K5425:K6462,"0",B5425:B6462,"5 1 3 2 7 12 31111 6 M59 19000 000132 0000R 00001 00327 015 2112000*")-SUMIFS(E5425:E6462,K5425:K6462,"0",B5425:B6462,"5 1 3 2 7 12 31111 6 M59 19000 000132 0000R 00001 00327 015 2112000*")</f>
        <v>0</v>
      </c>
      <c r="E5424" s="54"/>
      <c r="F5424" s="83">
        <f>SUMIFS(F5425:F6462,K5425:K6462,"0",B5425:B6462,"5 1 3 2 7 12 31111 6 M59 19000 000132 0000R 00001 00327 015 2112000*")</f>
        <v>3456.8</v>
      </c>
      <c r="G5424" s="83">
        <f>SUMIFS(G5425:G6462,K5425:K6462,"0",B5425:B6462,"5 1 3 2 7 12 31111 6 M59 19000 000132 0000R 00001 00327 015 2112000*")</f>
        <v>0</v>
      </c>
      <c r="H5424" s="83">
        <f t="shared" si="85"/>
        <v>3456.8</v>
      </c>
      <c r="I5424" s="83"/>
      <c r="K5424" s="54" t="s">
        <v>15</v>
      </c>
    </row>
    <row r="5425" spans="2:11" ht="33" x14ac:dyDescent="0.2">
      <c r="B5425" s="82" t="s">
        <v>8574</v>
      </c>
      <c r="C5425" s="82" t="s">
        <v>660</v>
      </c>
      <c r="D5425" s="83">
        <f>SUMIFS(D5426:D6462,K5426:K6462,"0",B5426:B6462,"5 1 3 2 7 12 31111 6 M59 19000 000132 0000R 00001 00327 015 2112000 2024*")-SUMIFS(E5426:E6462,K5426:K6462,"0",B5426:B6462,"5 1 3 2 7 12 31111 6 M59 19000 000132 0000R 00001 00327 015 2112000 2024*")</f>
        <v>0</v>
      </c>
      <c r="E5425" s="54"/>
      <c r="F5425" s="83">
        <f>SUMIFS(F5426:F6462,K5426:K6462,"0",B5426:B6462,"5 1 3 2 7 12 31111 6 M59 19000 000132 0000R 00001 00327 015 2112000 2024*")</f>
        <v>3456.8</v>
      </c>
      <c r="G5425" s="83">
        <f>SUMIFS(G5426:G6462,K5426:K6462,"0",B5426:B6462,"5 1 3 2 7 12 31111 6 M59 19000 000132 0000R 00001 00327 015 2112000 2024*")</f>
        <v>0</v>
      </c>
      <c r="H5425" s="83">
        <f t="shared" si="85"/>
        <v>3456.8</v>
      </c>
      <c r="I5425" s="83"/>
      <c r="K5425" s="54" t="s">
        <v>15</v>
      </c>
    </row>
    <row r="5426" spans="2:11" ht="41.25" x14ac:dyDescent="0.2">
      <c r="B5426" s="82" t="s">
        <v>8575</v>
      </c>
      <c r="C5426" s="82" t="s">
        <v>662</v>
      </c>
      <c r="D5426" s="83">
        <f>SUMIFS(D5427:D6462,K5427:K6462,"0",B5427:B6462,"5 1 3 2 7 12 31111 6 M59 19000 000132 0000R 00001 00327 015 2112000 2024 CP1TM440*")-SUMIFS(E5427:E6462,K5427:K6462,"0",B5427:B6462,"5 1 3 2 7 12 31111 6 M59 19000 000132 0000R 00001 00327 015 2112000 2024 CP1TM440*")</f>
        <v>0</v>
      </c>
      <c r="E5426" s="54"/>
      <c r="F5426" s="83">
        <f>SUMIFS(F5427:F6462,K5427:K6462,"0",B5427:B6462,"5 1 3 2 7 12 31111 6 M59 19000 000132 0000R 00001 00327 015 2112000 2024 CP1TM440*")</f>
        <v>3456.8</v>
      </c>
      <c r="G5426" s="83">
        <f>SUMIFS(G5427:G6462,K5427:K6462,"0",B5427:B6462,"5 1 3 2 7 12 31111 6 M59 19000 000132 0000R 00001 00327 015 2112000 2024 CP1TM440*")</f>
        <v>0</v>
      </c>
      <c r="H5426" s="83">
        <f t="shared" si="85"/>
        <v>3456.8</v>
      </c>
      <c r="I5426" s="83"/>
      <c r="K5426" s="54" t="s">
        <v>15</v>
      </c>
    </row>
    <row r="5427" spans="2:11" ht="41.25" x14ac:dyDescent="0.2">
      <c r="B5427" s="82" t="s">
        <v>8576</v>
      </c>
      <c r="C5427" s="82" t="s">
        <v>282</v>
      </c>
      <c r="D5427" s="83">
        <f>SUMIFS(D5428:D6462,K5428:K6462,"0",B5428:B6462,"5 1 3 2 7 12 31111 6 M59 19000 000132 0000R 00001 00327 015 2112000 2024 CP1TM440 001*")-SUMIFS(E5428:E6462,K5428:K6462,"0",B5428:B6462,"5 1 3 2 7 12 31111 6 M59 19000 000132 0000R 00001 00327 015 2112000 2024 CP1TM440 001*")</f>
        <v>0</v>
      </c>
      <c r="E5427" s="54"/>
      <c r="F5427" s="83">
        <f>SUMIFS(F5428:F6462,K5428:K6462,"0",B5428:B6462,"5 1 3 2 7 12 31111 6 M59 19000 000132 0000R 00001 00327 015 2112000 2024 CP1TM440 001*")</f>
        <v>3456.8</v>
      </c>
      <c r="G5427" s="83">
        <f>SUMIFS(G5428:G6462,K5428:K6462,"0",B5428:B6462,"5 1 3 2 7 12 31111 6 M59 19000 000132 0000R 00001 00327 015 2112000 2024 CP1TM440 001*")</f>
        <v>0</v>
      </c>
      <c r="H5427" s="83">
        <f t="shared" si="85"/>
        <v>3456.8</v>
      </c>
      <c r="I5427" s="83"/>
      <c r="K5427" s="54" t="s">
        <v>15</v>
      </c>
    </row>
    <row r="5428" spans="2:11" ht="33" x14ac:dyDescent="0.2">
      <c r="B5428" s="84" t="s">
        <v>8577</v>
      </c>
      <c r="C5428" s="84" t="s">
        <v>8561</v>
      </c>
      <c r="D5428" s="85">
        <v>0</v>
      </c>
      <c r="E5428" s="85"/>
      <c r="F5428" s="85">
        <v>3456.8</v>
      </c>
      <c r="G5428" s="85">
        <v>0</v>
      </c>
      <c r="H5428" s="85">
        <f t="shared" si="85"/>
        <v>3456.8</v>
      </c>
      <c r="I5428" s="85"/>
      <c r="K5428" s="54" t="s">
        <v>38</v>
      </c>
    </row>
    <row r="5429" spans="2:11" ht="24.75" x14ac:dyDescent="0.2">
      <c r="B5429" s="82" t="s">
        <v>8578</v>
      </c>
      <c r="C5429" s="82" t="s">
        <v>8579</v>
      </c>
      <c r="D5429" s="83">
        <f>SUMIFS(D5430:D6462,K5430:K6462,"0",B5430:B6462,"5 1 3 3*")-SUMIFS(E5430:E6462,K5430:K6462,"0",B5430:B6462,"5 1 3 3*")</f>
        <v>0</v>
      </c>
      <c r="E5429" s="54"/>
      <c r="F5429" s="83">
        <f>SUMIFS(F5430:F6462,K5430:K6462,"0",B5430:B6462,"5 1 3 3*")</f>
        <v>94341.64</v>
      </c>
      <c r="G5429" s="83">
        <f>SUMIFS(G5430:G6462,K5430:K6462,"0",B5430:B6462,"5 1 3 3*")</f>
        <v>0</v>
      </c>
      <c r="H5429" s="83">
        <f t="shared" si="85"/>
        <v>94341.64</v>
      </c>
      <c r="I5429" s="83"/>
      <c r="K5429" s="54" t="s">
        <v>15</v>
      </c>
    </row>
    <row r="5430" spans="2:11" ht="33" x14ac:dyDescent="0.2">
      <c r="B5430" s="82" t="s">
        <v>8580</v>
      </c>
      <c r="C5430" s="82" t="s">
        <v>8581</v>
      </c>
      <c r="D5430" s="83">
        <f>SUMIFS(D5431:D6462,K5431:K6462,"0",B5431:B6462,"5 1 3 3 3*")-SUMIFS(E5431:E6462,K5431:K6462,"0",B5431:B6462,"5 1 3 3 3*")</f>
        <v>0</v>
      </c>
      <c r="E5430" s="54"/>
      <c r="F5430" s="83">
        <f>SUMIFS(F5431:F6462,K5431:K6462,"0",B5431:B6462,"5 1 3 3 3*")</f>
        <v>70948</v>
      </c>
      <c r="G5430" s="83">
        <f>SUMIFS(G5431:G6462,K5431:K6462,"0",B5431:B6462,"5 1 3 3 3*")</f>
        <v>0</v>
      </c>
      <c r="H5430" s="83">
        <f t="shared" si="85"/>
        <v>70948</v>
      </c>
      <c r="I5430" s="83"/>
      <c r="K5430" s="54" t="s">
        <v>15</v>
      </c>
    </row>
    <row r="5431" spans="2:11" ht="12.75" x14ac:dyDescent="0.2">
      <c r="B5431" s="82" t="s">
        <v>8582</v>
      </c>
      <c r="C5431" s="82" t="s">
        <v>26</v>
      </c>
      <c r="D5431" s="83">
        <f>SUMIFS(D5432:D6462,K5432:K6462,"0",B5432:B6462,"5 1 3 3 3 12*")-SUMIFS(E5432:E6462,K5432:K6462,"0",B5432:B6462,"5 1 3 3 3 12*")</f>
        <v>0</v>
      </c>
      <c r="E5431" s="54"/>
      <c r="F5431" s="83">
        <f>SUMIFS(F5432:F6462,K5432:K6462,"0",B5432:B6462,"5 1 3 3 3 12*")</f>
        <v>70948</v>
      </c>
      <c r="G5431" s="83">
        <f>SUMIFS(G5432:G6462,K5432:K6462,"0",B5432:B6462,"5 1 3 3 3 12*")</f>
        <v>0</v>
      </c>
      <c r="H5431" s="83">
        <f t="shared" si="85"/>
        <v>70948</v>
      </c>
      <c r="I5431" s="83"/>
      <c r="K5431" s="54" t="s">
        <v>15</v>
      </c>
    </row>
    <row r="5432" spans="2:11" ht="16.5" x14ac:dyDescent="0.2">
      <c r="B5432" s="82" t="s">
        <v>8583</v>
      </c>
      <c r="C5432" s="82" t="s">
        <v>28</v>
      </c>
      <c r="D5432" s="83">
        <f>SUMIFS(D5433:D6462,K5433:K6462,"0",B5433:B6462,"5 1 3 3 3 12 31111*")-SUMIFS(E5433:E6462,K5433:K6462,"0",B5433:B6462,"5 1 3 3 3 12 31111*")</f>
        <v>0</v>
      </c>
      <c r="E5432" s="54"/>
      <c r="F5432" s="83">
        <f>SUMIFS(F5433:F6462,K5433:K6462,"0",B5433:B6462,"5 1 3 3 3 12 31111*")</f>
        <v>70948</v>
      </c>
      <c r="G5432" s="83">
        <f>SUMIFS(G5433:G6462,K5433:K6462,"0",B5433:B6462,"5 1 3 3 3 12 31111*")</f>
        <v>0</v>
      </c>
      <c r="H5432" s="83">
        <f t="shared" si="85"/>
        <v>70948</v>
      </c>
      <c r="I5432" s="83"/>
      <c r="K5432" s="54" t="s">
        <v>15</v>
      </c>
    </row>
    <row r="5433" spans="2:11" ht="12.75" x14ac:dyDescent="0.2">
      <c r="B5433" s="82" t="s">
        <v>8584</v>
      </c>
      <c r="C5433" s="82" t="s">
        <v>30</v>
      </c>
      <c r="D5433" s="83">
        <f>SUMIFS(D5434:D6462,K5434:K6462,"0",B5434:B6462,"5 1 3 3 3 12 31111 6*")-SUMIFS(E5434:E6462,K5434:K6462,"0",B5434:B6462,"5 1 3 3 3 12 31111 6*")</f>
        <v>0</v>
      </c>
      <c r="E5433" s="54"/>
      <c r="F5433" s="83">
        <f>SUMIFS(F5434:F6462,K5434:K6462,"0",B5434:B6462,"5 1 3 3 3 12 31111 6*")</f>
        <v>70948</v>
      </c>
      <c r="G5433" s="83">
        <f>SUMIFS(G5434:G6462,K5434:K6462,"0",B5434:B6462,"5 1 3 3 3 12 31111 6*")</f>
        <v>0</v>
      </c>
      <c r="H5433" s="83">
        <f t="shared" si="85"/>
        <v>70948</v>
      </c>
      <c r="I5433" s="83"/>
      <c r="K5433" s="54" t="s">
        <v>15</v>
      </c>
    </row>
    <row r="5434" spans="2:11" ht="16.5" x14ac:dyDescent="0.2">
      <c r="B5434" s="82" t="s">
        <v>8585</v>
      </c>
      <c r="C5434" s="82" t="s">
        <v>2284</v>
      </c>
      <c r="D5434" s="83">
        <f>SUMIFS(D5435:D6462,K5435:K6462,"0",B5435:B6462,"5 1 3 3 3 12 31111 6 M59*")-SUMIFS(E5435:E6462,K5435:K6462,"0",B5435:B6462,"5 1 3 3 3 12 31111 6 M59*")</f>
        <v>0</v>
      </c>
      <c r="E5434" s="54"/>
      <c r="F5434" s="83">
        <f>SUMIFS(F5435:F6462,K5435:K6462,"0",B5435:B6462,"5 1 3 3 3 12 31111 6 M59*")</f>
        <v>70948</v>
      </c>
      <c r="G5434" s="83">
        <f>SUMIFS(G5435:G6462,K5435:K6462,"0",B5435:B6462,"5 1 3 3 3 12 31111 6 M59*")</f>
        <v>0</v>
      </c>
      <c r="H5434" s="83">
        <f t="shared" si="85"/>
        <v>70948</v>
      </c>
      <c r="I5434" s="83"/>
      <c r="K5434" s="54" t="s">
        <v>15</v>
      </c>
    </row>
    <row r="5435" spans="2:11" ht="16.5" x14ac:dyDescent="0.2">
      <c r="B5435" s="82" t="s">
        <v>8586</v>
      </c>
      <c r="C5435" s="82" t="s">
        <v>1044</v>
      </c>
      <c r="D5435" s="83">
        <f>SUMIFS(D5436:D6462,K5436:K6462,"0",B5436:B6462,"5 1 3 3 3 12 31111 6 M59 19000*")-SUMIFS(E5436:E6462,K5436:K6462,"0",B5436:B6462,"5 1 3 3 3 12 31111 6 M59 19000*")</f>
        <v>0</v>
      </c>
      <c r="E5435" s="54"/>
      <c r="F5435" s="83">
        <f>SUMIFS(F5436:F6462,K5436:K6462,"0",B5436:B6462,"5 1 3 3 3 12 31111 6 M59 19000*")</f>
        <v>70948</v>
      </c>
      <c r="G5435" s="83">
        <f>SUMIFS(G5436:G6462,K5436:K6462,"0",B5436:B6462,"5 1 3 3 3 12 31111 6 M59 19000*")</f>
        <v>0</v>
      </c>
      <c r="H5435" s="83">
        <f t="shared" si="85"/>
        <v>70948</v>
      </c>
      <c r="I5435" s="83"/>
      <c r="K5435" s="54" t="s">
        <v>15</v>
      </c>
    </row>
    <row r="5436" spans="2:11" ht="16.5" x14ac:dyDescent="0.2">
      <c r="B5436" s="82" t="s">
        <v>8587</v>
      </c>
      <c r="C5436" s="82" t="s">
        <v>648</v>
      </c>
      <c r="D5436" s="83">
        <f>SUMIFS(D5437:D6462,K5437:K6462,"0",B5437:B6462,"5 1 3 3 3 12 31111 6 M59 19000 000132*")-SUMIFS(E5437:E6462,K5437:K6462,"0",B5437:B6462,"5 1 3 3 3 12 31111 6 M59 19000 000132*")</f>
        <v>0</v>
      </c>
      <c r="E5436" s="54"/>
      <c r="F5436" s="83">
        <f>SUMIFS(F5437:F6462,K5437:K6462,"0",B5437:B6462,"5 1 3 3 3 12 31111 6 M59 19000 000132*")</f>
        <v>70948</v>
      </c>
      <c r="G5436" s="83">
        <f>SUMIFS(G5437:G6462,K5437:K6462,"0",B5437:B6462,"5 1 3 3 3 12 31111 6 M59 19000 000132*")</f>
        <v>0</v>
      </c>
      <c r="H5436" s="83">
        <f t="shared" si="85"/>
        <v>70948</v>
      </c>
      <c r="I5436" s="83"/>
      <c r="K5436" s="54" t="s">
        <v>15</v>
      </c>
    </row>
    <row r="5437" spans="2:11" ht="24.75" x14ac:dyDescent="0.2">
      <c r="B5437" s="82" t="s">
        <v>8588</v>
      </c>
      <c r="C5437" s="82" t="s">
        <v>650</v>
      </c>
      <c r="D5437" s="83">
        <f>SUMIFS(D5438:D6462,K5438:K6462,"0",B5438:B6462,"5 1 3 3 3 12 31111 6 M59 19000 000132 0000R*")-SUMIFS(E5438:E6462,K5438:K6462,"0",B5438:B6462,"5 1 3 3 3 12 31111 6 M59 19000 000132 0000R*")</f>
        <v>0</v>
      </c>
      <c r="E5437" s="54"/>
      <c r="F5437" s="83">
        <f>SUMIFS(F5438:F6462,K5438:K6462,"0",B5438:B6462,"5 1 3 3 3 12 31111 6 M59 19000 000132 0000R*")</f>
        <v>70948</v>
      </c>
      <c r="G5437" s="83">
        <f>SUMIFS(G5438:G6462,K5438:K6462,"0",B5438:B6462,"5 1 3 3 3 12 31111 6 M59 19000 000132 0000R*")</f>
        <v>0</v>
      </c>
      <c r="H5437" s="83">
        <f t="shared" si="85"/>
        <v>70948</v>
      </c>
      <c r="I5437" s="83"/>
      <c r="K5437" s="54" t="s">
        <v>15</v>
      </c>
    </row>
    <row r="5438" spans="2:11" ht="24.75" x14ac:dyDescent="0.2">
      <c r="B5438" s="82" t="s">
        <v>8589</v>
      </c>
      <c r="C5438" s="82" t="s">
        <v>282</v>
      </c>
      <c r="D5438" s="83">
        <f>SUMIFS(D5439:D6462,K5439:K6462,"0",B5439:B6462,"5 1 3 3 3 12 31111 6 M59 19000 000132 0000R 00001*")-SUMIFS(E5439:E6462,K5439:K6462,"0",B5439:B6462,"5 1 3 3 3 12 31111 6 M59 19000 000132 0000R 00001*")</f>
        <v>0</v>
      </c>
      <c r="E5438" s="54"/>
      <c r="F5438" s="83">
        <f>SUMIFS(F5439:F6462,K5439:K6462,"0",B5439:B6462,"5 1 3 3 3 12 31111 6 M59 19000 000132 0000R 00001*")</f>
        <v>70948</v>
      </c>
      <c r="G5438" s="83">
        <f>SUMIFS(G5439:G6462,K5439:K6462,"0",B5439:B6462,"5 1 3 3 3 12 31111 6 M59 19000 000132 0000R 00001*")</f>
        <v>0</v>
      </c>
      <c r="H5438" s="83">
        <f t="shared" si="85"/>
        <v>70948</v>
      </c>
      <c r="I5438" s="83"/>
      <c r="K5438" s="54" t="s">
        <v>15</v>
      </c>
    </row>
    <row r="5439" spans="2:11" ht="33" x14ac:dyDescent="0.2">
      <c r="B5439" s="82" t="s">
        <v>8590</v>
      </c>
      <c r="C5439" s="82" t="s">
        <v>8591</v>
      </c>
      <c r="D5439" s="83">
        <f>SUMIFS(D5440:D6462,K5440:K6462,"0",B5440:B6462,"5 1 3 3 3 12 31111 6 M59 19000 000132 0000R 00001 00333*")-SUMIFS(E5440:E6462,K5440:K6462,"0",B5440:B6462,"5 1 3 3 3 12 31111 6 M59 19000 000132 0000R 00001 00333*")</f>
        <v>0</v>
      </c>
      <c r="E5439" s="54"/>
      <c r="F5439" s="83">
        <f>SUMIFS(F5440:F6462,K5440:K6462,"0",B5440:B6462,"5 1 3 3 3 12 31111 6 M59 19000 000132 0000R 00001 00333*")</f>
        <v>70948</v>
      </c>
      <c r="G5439" s="83">
        <f>SUMIFS(G5440:G6462,K5440:K6462,"0",B5440:B6462,"5 1 3 3 3 12 31111 6 M59 19000 000132 0000R 00001 00333*")</f>
        <v>0</v>
      </c>
      <c r="H5439" s="83">
        <f t="shared" si="85"/>
        <v>70948</v>
      </c>
      <c r="I5439" s="83"/>
      <c r="K5439" s="54" t="s">
        <v>15</v>
      </c>
    </row>
    <row r="5440" spans="2:11" ht="33" x14ac:dyDescent="0.2">
      <c r="B5440" s="82" t="s">
        <v>8592</v>
      </c>
      <c r="C5440" s="82" t="s">
        <v>1051</v>
      </c>
      <c r="D5440" s="83">
        <f>SUMIFS(D5441:D6462,K5441:K6462,"0",B5441:B6462,"5 1 3 3 3 12 31111 6 M59 19000 000132 0000R 00001 00333 015*")-SUMIFS(E5441:E6462,K5441:K6462,"0",B5441:B6462,"5 1 3 3 3 12 31111 6 M59 19000 000132 0000R 00001 00333 015*")</f>
        <v>0</v>
      </c>
      <c r="E5440" s="54"/>
      <c r="F5440" s="83">
        <f>SUMIFS(F5441:F6462,K5441:K6462,"0",B5441:B6462,"5 1 3 3 3 12 31111 6 M59 19000 000132 0000R 00001 00333 015*")</f>
        <v>70948</v>
      </c>
      <c r="G5440" s="83">
        <f>SUMIFS(G5441:G6462,K5441:K6462,"0",B5441:B6462,"5 1 3 3 3 12 31111 6 M59 19000 000132 0000R 00001 00333 015*")</f>
        <v>0</v>
      </c>
      <c r="H5440" s="83">
        <f t="shared" si="85"/>
        <v>70948</v>
      </c>
      <c r="I5440" s="83"/>
      <c r="K5440" s="54" t="s">
        <v>15</v>
      </c>
    </row>
    <row r="5441" spans="2:11" ht="33" x14ac:dyDescent="0.2">
      <c r="B5441" s="82" t="s">
        <v>8593</v>
      </c>
      <c r="C5441" s="82" t="s">
        <v>5830</v>
      </c>
      <c r="D5441" s="83">
        <f>SUMIFS(D5442:D6462,K5442:K6462,"0",B5442:B6462,"5 1 3 3 3 12 31111 6 M59 19000 000132 0000R 00001 00333 015 2112000*")-SUMIFS(E5442:E6462,K5442:K6462,"0",B5442:B6462,"5 1 3 3 3 12 31111 6 M59 19000 000132 0000R 00001 00333 015 2112000*")</f>
        <v>0</v>
      </c>
      <c r="E5441" s="54"/>
      <c r="F5441" s="83">
        <f>SUMIFS(F5442:F6462,K5442:K6462,"0",B5442:B6462,"5 1 3 3 3 12 31111 6 M59 19000 000132 0000R 00001 00333 015 2112000*")</f>
        <v>70948</v>
      </c>
      <c r="G5441" s="83">
        <f>SUMIFS(G5442:G6462,K5442:K6462,"0",B5442:B6462,"5 1 3 3 3 12 31111 6 M59 19000 000132 0000R 00001 00333 015 2112000*")</f>
        <v>0</v>
      </c>
      <c r="H5441" s="83">
        <f t="shared" si="85"/>
        <v>70948</v>
      </c>
      <c r="I5441" s="83"/>
      <c r="K5441" s="54" t="s">
        <v>15</v>
      </c>
    </row>
    <row r="5442" spans="2:11" ht="33" x14ac:dyDescent="0.2">
      <c r="B5442" s="82" t="s">
        <v>8594</v>
      </c>
      <c r="C5442" s="82" t="s">
        <v>660</v>
      </c>
      <c r="D5442" s="83">
        <f>SUMIFS(D5443:D6462,K5443:K6462,"0",B5443:B6462,"5 1 3 3 3 12 31111 6 M59 19000 000132 0000R 00001 00333 015 2112000 2024*")-SUMIFS(E5443:E6462,K5443:K6462,"0",B5443:B6462,"5 1 3 3 3 12 31111 6 M59 19000 000132 0000R 00001 00333 015 2112000 2024*")</f>
        <v>0</v>
      </c>
      <c r="E5442" s="54"/>
      <c r="F5442" s="83">
        <f>SUMIFS(F5443:F6462,K5443:K6462,"0",B5443:B6462,"5 1 3 3 3 12 31111 6 M59 19000 000132 0000R 00001 00333 015 2112000 2024*")</f>
        <v>70948</v>
      </c>
      <c r="G5442" s="83">
        <f>SUMIFS(G5443:G6462,K5443:K6462,"0",B5443:B6462,"5 1 3 3 3 12 31111 6 M59 19000 000132 0000R 00001 00333 015 2112000 2024*")</f>
        <v>0</v>
      </c>
      <c r="H5442" s="83">
        <f t="shared" si="85"/>
        <v>70948</v>
      </c>
      <c r="I5442" s="83"/>
      <c r="K5442" s="54" t="s">
        <v>15</v>
      </c>
    </row>
    <row r="5443" spans="2:11" ht="41.25" x14ac:dyDescent="0.2">
      <c r="B5443" s="82" t="s">
        <v>8595</v>
      </c>
      <c r="C5443" s="82" t="s">
        <v>662</v>
      </c>
      <c r="D5443" s="83">
        <f>SUMIFS(D5444:D6462,K5444:K6462,"0",B5444:B6462,"5 1 3 3 3 12 31111 6 M59 19000 000132 0000R 00001 00333 015 2112000 2024 CP1TM440*")-SUMIFS(E5444:E6462,K5444:K6462,"0",B5444:B6462,"5 1 3 3 3 12 31111 6 M59 19000 000132 0000R 00001 00333 015 2112000 2024 CP1TM440*")</f>
        <v>0</v>
      </c>
      <c r="E5443" s="54"/>
      <c r="F5443" s="83">
        <f>SUMIFS(F5444:F6462,K5444:K6462,"0",B5444:B6462,"5 1 3 3 3 12 31111 6 M59 19000 000132 0000R 00001 00333 015 2112000 2024 CP1TM440*")</f>
        <v>70948</v>
      </c>
      <c r="G5443" s="83">
        <f>SUMIFS(G5444:G6462,K5444:K6462,"0",B5444:B6462,"5 1 3 3 3 12 31111 6 M59 19000 000132 0000R 00001 00333 015 2112000 2024 CP1TM440*")</f>
        <v>0</v>
      </c>
      <c r="H5443" s="83">
        <f t="shared" si="85"/>
        <v>70948</v>
      </c>
      <c r="I5443" s="83"/>
      <c r="K5443" s="54" t="s">
        <v>15</v>
      </c>
    </row>
    <row r="5444" spans="2:11" ht="41.25" x14ac:dyDescent="0.2">
      <c r="B5444" s="82" t="s">
        <v>8596</v>
      </c>
      <c r="C5444" s="82" t="s">
        <v>282</v>
      </c>
      <c r="D5444" s="83">
        <f>SUMIFS(D5445:D6462,K5445:K6462,"0",B5445:B6462,"5 1 3 3 3 12 31111 6 M59 19000 000132 0000R 00001 00333 015 2112000 2024 CP1TM440 001*")-SUMIFS(E5445:E6462,K5445:K6462,"0",B5445:B6462,"5 1 3 3 3 12 31111 6 M59 19000 000132 0000R 00001 00333 015 2112000 2024 CP1TM440 001*")</f>
        <v>0</v>
      </c>
      <c r="E5444" s="54"/>
      <c r="F5444" s="83">
        <f>SUMIFS(F5445:F6462,K5445:K6462,"0",B5445:B6462,"5 1 3 3 3 12 31111 6 M59 19000 000132 0000R 00001 00333 015 2112000 2024 CP1TM440 001*")</f>
        <v>70948</v>
      </c>
      <c r="G5444" s="83">
        <f>SUMIFS(G5445:G6462,K5445:K6462,"0",B5445:B6462,"5 1 3 3 3 12 31111 6 M59 19000 000132 0000R 00001 00333 015 2112000 2024 CP1TM440 001*")</f>
        <v>0</v>
      </c>
      <c r="H5444" s="83">
        <f t="shared" si="85"/>
        <v>70948</v>
      </c>
      <c r="I5444" s="83"/>
      <c r="K5444" s="54" t="s">
        <v>15</v>
      </c>
    </row>
    <row r="5445" spans="2:11" ht="33" x14ac:dyDescent="0.2">
      <c r="B5445" s="84" t="s">
        <v>8597</v>
      </c>
      <c r="C5445" s="84" t="s">
        <v>8581</v>
      </c>
      <c r="D5445" s="85">
        <v>0</v>
      </c>
      <c r="E5445" s="85"/>
      <c r="F5445" s="85">
        <v>70948</v>
      </c>
      <c r="G5445" s="85">
        <v>0</v>
      </c>
      <c r="H5445" s="85">
        <f t="shared" si="85"/>
        <v>70948</v>
      </c>
      <c r="I5445" s="85"/>
      <c r="K5445" s="54" t="s">
        <v>38</v>
      </c>
    </row>
    <row r="5446" spans="2:11" ht="33" x14ac:dyDescent="0.2">
      <c r="B5446" s="82" t="s">
        <v>8611</v>
      </c>
      <c r="C5446" s="82" t="s">
        <v>8612</v>
      </c>
      <c r="D5446" s="83">
        <f>SUMIFS(D5447:D6462,K5447:K6462,"0",B5447:B6462,"5 1 3 3 6*")-SUMIFS(E5447:E6462,K5447:K6462,"0",B5447:B6462,"5 1 3 3 6*")</f>
        <v>0</v>
      </c>
      <c r="E5446" s="54"/>
      <c r="F5446" s="83">
        <f>SUMIFS(F5447:F6462,K5447:K6462,"0",B5447:B6462,"5 1 3 3 6*")</f>
        <v>23393.64</v>
      </c>
      <c r="G5446" s="83">
        <f>SUMIFS(G5447:G6462,K5447:K6462,"0",B5447:B6462,"5 1 3 3 6*")</f>
        <v>0</v>
      </c>
      <c r="H5446" s="83">
        <f t="shared" si="85"/>
        <v>23393.64</v>
      </c>
      <c r="I5446" s="83"/>
      <c r="K5446" s="54" t="s">
        <v>15</v>
      </c>
    </row>
    <row r="5447" spans="2:11" ht="12.75" x14ac:dyDescent="0.2">
      <c r="B5447" s="82" t="s">
        <v>8613</v>
      </c>
      <c r="C5447" s="82" t="s">
        <v>26</v>
      </c>
      <c r="D5447" s="83">
        <f>SUMIFS(D5448:D6462,K5448:K6462,"0",B5448:B6462,"5 1 3 3 6 12*")-SUMIFS(E5448:E6462,K5448:K6462,"0",B5448:B6462,"5 1 3 3 6 12*")</f>
        <v>0</v>
      </c>
      <c r="E5447" s="54"/>
      <c r="F5447" s="83">
        <f>SUMIFS(F5448:F6462,K5448:K6462,"0",B5448:B6462,"5 1 3 3 6 12*")</f>
        <v>23393.64</v>
      </c>
      <c r="G5447" s="83">
        <f>SUMIFS(G5448:G6462,K5448:K6462,"0",B5448:B6462,"5 1 3 3 6 12*")</f>
        <v>0</v>
      </c>
      <c r="H5447" s="83">
        <f t="shared" si="85"/>
        <v>23393.64</v>
      </c>
      <c r="I5447" s="83"/>
      <c r="K5447" s="54" t="s">
        <v>15</v>
      </c>
    </row>
    <row r="5448" spans="2:11" ht="16.5" x14ac:dyDescent="0.2">
      <c r="B5448" s="82" t="s">
        <v>8614</v>
      </c>
      <c r="C5448" s="82" t="s">
        <v>28</v>
      </c>
      <c r="D5448" s="83">
        <f>SUMIFS(D5449:D6462,K5449:K6462,"0",B5449:B6462,"5 1 3 3 6 12 31111*")-SUMIFS(E5449:E6462,K5449:K6462,"0",B5449:B6462,"5 1 3 3 6 12 31111*")</f>
        <v>0</v>
      </c>
      <c r="E5448" s="54"/>
      <c r="F5448" s="83">
        <f>SUMIFS(F5449:F6462,K5449:K6462,"0",B5449:B6462,"5 1 3 3 6 12 31111*")</f>
        <v>23393.64</v>
      </c>
      <c r="G5448" s="83">
        <f>SUMIFS(G5449:G6462,K5449:K6462,"0",B5449:B6462,"5 1 3 3 6 12 31111*")</f>
        <v>0</v>
      </c>
      <c r="H5448" s="83">
        <f t="shared" si="85"/>
        <v>23393.64</v>
      </c>
      <c r="I5448" s="83"/>
      <c r="K5448" s="54" t="s">
        <v>15</v>
      </c>
    </row>
    <row r="5449" spans="2:11" ht="12.75" x14ac:dyDescent="0.2">
      <c r="B5449" s="82" t="s">
        <v>8615</v>
      </c>
      <c r="C5449" s="82" t="s">
        <v>30</v>
      </c>
      <c r="D5449" s="83">
        <f>SUMIFS(D5450:D6462,K5450:K6462,"0",B5450:B6462,"5 1 3 3 6 12 31111 6*")-SUMIFS(E5450:E6462,K5450:K6462,"0",B5450:B6462,"5 1 3 3 6 12 31111 6*")</f>
        <v>0</v>
      </c>
      <c r="E5449" s="54"/>
      <c r="F5449" s="83">
        <f>SUMIFS(F5450:F6462,K5450:K6462,"0",B5450:B6462,"5 1 3 3 6 12 31111 6*")</f>
        <v>23393.64</v>
      </c>
      <c r="G5449" s="83">
        <f>SUMIFS(G5450:G6462,K5450:K6462,"0",B5450:B6462,"5 1 3 3 6 12 31111 6*")</f>
        <v>0</v>
      </c>
      <c r="H5449" s="83">
        <f t="shared" si="85"/>
        <v>23393.64</v>
      </c>
      <c r="I5449" s="83"/>
      <c r="K5449" s="54" t="s">
        <v>15</v>
      </c>
    </row>
    <row r="5450" spans="2:11" ht="16.5" x14ac:dyDescent="0.2">
      <c r="B5450" s="82" t="s">
        <v>8616</v>
      </c>
      <c r="C5450" s="82" t="s">
        <v>2284</v>
      </c>
      <c r="D5450" s="83">
        <f>SUMIFS(D5451:D6462,K5451:K6462,"0",B5451:B6462,"5 1 3 3 6 12 31111 6 M59*")-SUMIFS(E5451:E6462,K5451:K6462,"0",B5451:B6462,"5 1 3 3 6 12 31111 6 M59*")</f>
        <v>0</v>
      </c>
      <c r="E5450" s="54"/>
      <c r="F5450" s="83">
        <f>SUMIFS(F5451:F6462,K5451:K6462,"0",B5451:B6462,"5 1 3 3 6 12 31111 6 M59*")</f>
        <v>23393.64</v>
      </c>
      <c r="G5450" s="83">
        <f>SUMIFS(G5451:G6462,K5451:K6462,"0",B5451:B6462,"5 1 3 3 6 12 31111 6 M59*")</f>
        <v>0</v>
      </c>
      <c r="H5450" s="83">
        <f t="shared" si="85"/>
        <v>23393.64</v>
      </c>
      <c r="I5450" s="83"/>
      <c r="K5450" s="54" t="s">
        <v>15</v>
      </c>
    </row>
    <row r="5451" spans="2:11" ht="16.5" x14ac:dyDescent="0.2">
      <c r="B5451" s="82" t="s">
        <v>8617</v>
      </c>
      <c r="C5451" s="82" t="s">
        <v>1061</v>
      </c>
      <c r="D5451" s="83">
        <f>SUMIFS(D5452:D6462,K5452:K6462,"0",B5452:B6462,"5 1 3 3 6 12 31111 6 M59 20300*")-SUMIFS(E5452:E6462,K5452:K6462,"0",B5452:B6462,"5 1 3 3 6 12 31111 6 M59 20300*")</f>
        <v>0</v>
      </c>
      <c r="E5451" s="54"/>
      <c r="F5451" s="83">
        <f>SUMIFS(F5452:F6462,K5452:K6462,"0",B5452:B6462,"5 1 3 3 6 12 31111 6 M59 20300*")</f>
        <v>1995.2</v>
      </c>
      <c r="G5451" s="83">
        <f>SUMIFS(G5452:G6462,K5452:K6462,"0",B5452:B6462,"5 1 3 3 6 12 31111 6 M59 20300*")</f>
        <v>0</v>
      </c>
      <c r="H5451" s="83">
        <f t="shared" si="85"/>
        <v>1995.2</v>
      </c>
      <c r="I5451" s="83"/>
      <c r="K5451" s="54" t="s">
        <v>15</v>
      </c>
    </row>
    <row r="5452" spans="2:11" ht="16.5" x14ac:dyDescent="0.2">
      <c r="B5452" s="82" t="s">
        <v>8618</v>
      </c>
      <c r="C5452" s="82" t="s">
        <v>648</v>
      </c>
      <c r="D5452" s="83">
        <f>SUMIFS(D5453:D6462,K5453:K6462,"0",B5453:B6462,"5 1 3 3 6 12 31111 6 M59 20300 000132*")-SUMIFS(E5453:E6462,K5453:K6462,"0",B5453:B6462,"5 1 3 3 6 12 31111 6 M59 20300 000132*")</f>
        <v>0</v>
      </c>
      <c r="E5452" s="54"/>
      <c r="F5452" s="83">
        <f>SUMIFS(F5453:F6462,K5453:K6462,"0",B5453:B6462,"5 1 3 3 6 12 31111 6 M59 20300 000132*")</f>
        <v>1995.2</v>
      </c>
      <c r="G5452" s="83">
        <f>SUMIFS(G5453:G6462,K5453:K6462,"0",B5453:B6462,"5 1 3 3 6 12 31111 6 M59 20300 000132*")</f>
        <v>0</v>
      </c>
      <c r="H5452" s="83">
        <f t="shared" si="85"/>
        <v>1995.2</v>
      </c>
      <c r="I5452" s="83"/>
      <c r="K5452" s="54" t="s">
        <v>15</v>
      </c>
    </row>
    <row r="5453" spans="2:11" ht="24.75" x14ac:dyDescent="0.2">
      <c r="B5453" s="82" t="s">
        <v>8619</v>
      </c>
      <c r="C5453" s="82" t="s">
        <v>650</v>
      </c>
      <c r="D5453" s="83">
        <f>SUMIFS(D5454:D6462,K5454:K6462,"0",B5454:B6462,"5 1 3 3 6 12 31111 6 M59 20300 000132 0000R*")-SUMIFS(E5454:E6462,K5454:K6462,"0",B5454:B6462,"5 1 3 3 6 12 31111 6 M59 20300 000132 0000R*")</f>
        <v>0</v>
      </c>
      <c r="E5453" s="54"/>
      <c r="F5453" s="83">
        <f>SUMIFS(F5454:F6462,K5454:K6462,"0",B5454:B6462,"5 1 3 3 6 12 31111 6 M59 20300 000132 0000R*")</f>
        <v>1995.2</v>
      </c>
      <c r="G5453" s="83">
        <f>SUMIFS(G5454:G6462,K5454:K6462,"0",B5454:B6462,"5 1 3 3 6 12 31111 6 M59 20300 000132 0000R*")</f>
        <v>0</v>
      </c>
      <c r="H5453" s="83">
        <f t="shared" si="85"/>
        <v>1995.2</v>
      </c>
      <c r="I5453" s="83"/>
      <c r="K5453" s="54" t="s">
        <v>15</v>
      </c>
    </row>
    <row r="5454" spans="2:11" ht="24.75" x14ac:dyDescent="0.2">
      <c r="B5454" s="82" t="s">
        <v>8620</v>
      </c>
      <c r="C5454" s="82" t="s">
        <v>282</v>
      </c>
      <c r="D5454" s="83">
        <f>SUMIFS(D5455:D6462,K5455:K6462,"0",B5455:B6462,"5 1 3 3 6 12 31111 6 M59 20300 000132 0000R 00001*")-SUMIFS(E5455:E6462,K5455:K6462,"0",B5455:B6462,"5 1 3 3 6 12 31111 6 M59 20300 000132 0000R 00001*")</f>
        <v>0</v>
      </c>
      <c r="E5454" s="54"/>
      <c r="F5454" s="83">
        <f>SUMIFS(F5455:F6462,K5455:K6462,"0",B5455:B6462,"5 1 3 3 6 12 31111 6 M59 20300 000132 0000R 00001*")</f>
        <v>1995.2</v>
      </c>
      <c r="G5454" s="83">
        <f>SUMIFS(G5455:G6462,K5455:K6462,"0",B5455:B6462,"5 1 3 3 6 12 31111 6 M59 20300 000132 0000R 00001*")</f>
        <v>0</v>
      </c>
      <c r="H5454" s="83">
        <f t="shared" si="85"/>
        <v>1995.2</v>
      </c>
      <c r="I5454" s="83"/>
      <c r="K5454" s="54" t="s">
        <v>15</v>
      </c>
    </row>
    <row r="5455" spans="2:11" ht="33" x14ac:dyDescent="0.2">
      <c r="B5455" s="82" t="s">
        <v>8621</v>
      </c>
      <c r="C5455" s="82" t="s">
        <v>8622</v>
      </c>
      <c r="D5455" s="83">
        <f>SUMIFS(D5456:D6462,K5456:K6462,"0",B5456:B6462,"5 1 3 3 6 12 31111 6 M59 20300 000132 0000R 00001 00336*")-SUMIFS(E5456:E6462,K5456:K6462,"0",B5456:B6462,"5 1 3 3 6 12 31111 6 M59 20300 000132 0000R 00001 00336*")</f>
        <v>0</v>
      </c>
      <c r="E5455" s="54"/>
      <c r="F5455" s="83">
        <f>SUMIFS(F5456:F6462,K5456:K6462,"0",B5456:B6462,"5 1 3 3 6 12 31111 6 M59 20300 000132 0000R 00001 00336*")</f>
        <v>1995.2</v>
      </c>
      <c r="G5455" s="83">
        <f>SUMIFS(G5456:G6462,K5456:K6462,"0",B5456:B6462,"5 1 3 3 6 12 31111 6 M59 20300 000132 0000R 00001 00336*")</f>
        <v>0</v>
      </c>
      <c r="H5455" s="83">
        <f t="shared" si="85"/>
        <v>1995.2</v>
      </c>
      <c r="I5455" s="83"/>
      <c r="K5455" s="54" t="s">
        <v>15</v>
      </c>
    </row>
    <row r="5456" spans="2:11" ht="33" x14ac:dyDescent="0.2">
      <c r="B5456" s="82" t="s">
        <v>8623</v>
      </c>
      <c r="C5456" s="82" t="s">
        <v>1051</v>
      </c>
      <c r="D5456" s="83">
        <f>SUMIFS(D5457:D6462,K5457:K6462,"0",B5457:B6462,"5 1 3 3 6 12 31111 6 M59 20300 000132 0000R 00001 00336 015*")-SUMIFS(E5457:E6462,K5457:K6462,"0",B5457:B6462,"5 1 3 3 6 12 31111 6 M59 20300 000132 0000R 00001 00336 015*")</f>
        <v>0</v>
      </c>
      <c r="E5456" s="54"/>
      <c r="F5456" s="83">
        <f>SUMIFS(F5457:F6462,K5457:K6462,"0",B5457:B6462,"5 1 3 3 6 12 31111 6 M59 20300 000132 0000R 00001 00336 015*")</f>
        <v>1995.2</v>
      </c>
      <c r="G5456" s="83">
        <f>SUMIFS(G5457:G6462,K5457:K6462,"0",B5457:B6462,"5 1 3 3 6 12 31111 6 M59 20300 000132 0000R 00001 00336 015*")</f>
        <v>0</v>
      </c>
      <c r="H5456" s="83">
        <f t="shared" si="85"/>
        <v>1995.2</v>
      </c>
      <c r="I5456" s="83"/>
      <c r="K5456" s="54" t="s">
        <v>15</v>
      </c>
    </row>
    <row r="5457" spans="2:11" ht="33" x14ac:dyDescent="0.2">
      <c r="B5457" s="82" t="s">
        <v>8624</v>
      </c>
      <c r="C5457" s="82" t="s">
        <v>5830</v>
      </c>
      <c r="D5457" s="83">
        <f>SUMIFS(D5458:D6462,K5458:K6462,"0",B5458:B6462,"5 1 3 3 6 12 31111 6 M59 20300 000132 0000R 00001 00336 015 2112000*")-SUMIFS(E5458:E6462,K5458:K6462,"0",B5458:B6462,"5 1 3 3 6 12 31111 6 M59 20300 000132 0000R 00001 00336 015 2112000*")</f>
        <v>0</v>
      </c>
      <c r="E5457" s="54"/>
      <c r="F5457" s="83">
        <f>SUMIFS(F5458:F6462,K5458:K6462,"0",B5458:B6462,"5 1 3 3 6 12 31111 6 M59 20300 000132 0000R 00001 00336 015 2112000*")</f>
        <v>1995.2</v>
      </c>
      <c r="G5457" s="83">
        <f>SUMIFS(G5458:G6462,K5458:K6462,"0",B5458:B6462,"5 1 3 3 6 12 31111 6 M59 20300 000132 0000R 00001 00336 015 2112000*")</f>
        <v>0</v>
      </c>
      <c r="H5457" s="83">
        <f t="shared" si="85"/>
        <v>1995.2</v>
      </c>
      <c r="I5457" s="83"/>
      <c r="K5457" s="54" t="s">
        <v>15</v>
      </c>
    </row>
    <row r="5458" spans="2:11" ht="33" x14ac:dyDescent="0.2">
      <c r="B5458" s="82" t="s">
        <v>8625</v>
      </c>
      <c r="C5458" s="82" t="s">
        <v>660</v>
      </c>
      <c r="D5458" s="83">
        <f>SUMIFS(D5459:D6462,K5459:K6462,"0",B5459:B6462,"5 1 3 3 6 12 31111 6 M59 20300 000132 0000R 00001 00336 015 2112000 2024*")-SUMIFS(E5459:E6462,K5459:K6462,"0",B5459:B6462,"5 1 3 3 6 12 31111 6 M59 20300 000132 0000R 00001 00336 015 2112000 2024*")</f>
        <v>0</v>
      </c>
      <c r="E5458" s="54"/>
      <c r="F5458" s="83">
        <f>SUMIFS(F5459:F6462,K5459:K6462,"0",B5459:B6462,"5 1 3 3 6 12 31111 6 M59 20300 000132 0000R 00001 00336 015 2112000 2024*")</f>
        <v>1995.2</v>
      </c>
      <c r="G5458" s="83">
        <f>SUMIFS(G5459:G6462,K5459:K6462,"0",B5459:B6462,"5 1 3 3 6 12 31111 6 M59 20300 000132 0000R 00001 00336 015 2112000 2024*")</f>
        <v>0</v>
      </c>
      <c r="H5458" s="83">
        <f t="shared" si="85"/>
        <v>1995.2</v>
      </c>
      <c r="I5458" s="83"/>
      <c r="K5458" s="54" t="s">
        <v>15</v>
      </c>
    </row>
    <row r="5459" spans="2:11" ht="41.25" x14ac:dyDescent="0.2">
      <c r="B5459" s="82" t="s">
        <v>8626</v>
      </c>
      <c r="C5459" s="82" t="s">
        <v>662</v>
      </c>
      <c r="D5459" s="83">
        <f>SUMIFS(D5460:D6462,K5460:K6462,"0",B5460:B6462,"5 1 3 3 6 12 31111 6 M59 20300 000132 0000R 00001 00336 015 2112000 2024 CP1DE415*")-SUMIFS(E5460:E6462,K5460:K6462,"0",B5460:B6462,"5 1 3 3 6 12 31111 6 M59 20300 000132 0000R 00001 00336 015 2112000 2024 CP1DE415*")</f>
        <v>0</v>
      </c>
      <c r="E5459" s="54"/>
      <c r="F5459" s="83">
        <f>SUMIFS(F5460:F6462,K5460:K6462,"0",B5460:B6462,"5 1 3 3 6 12 31111 6 M59 20300 000132 0000R 00001 00336 015 2112000 2024 CP1DE415*")</f>
        <v>1995.2</v>
      </c>
      <c r="G5459" s="83">
        <f>SUMIFS(G5460:G6462,K5460:K6462,"0",B5460:B6462,"5 1 3 3 6 12 31111 6 M59 20300 000132 0000R 00001 00336 015 2112000 2024 CP1DE415*")</f>
        <v>0</v>
      </c>
      <c r="H5459" s="83">
        <f t="shared" si="85"/>
        <v>1995.2</v>
      </c>
      <c r="I5459" s="83"/>
      <c r="K5459" s="54" t="s">
        <v>15</v>
      </c>
    </row>
    <row r="5460" spans="2:11" ht="41.25" x14ac:dyDescent="0.2">
      <c r="B5460" s="82" t="s">
        <v>8627</v>
      </c>
      <c r="C5460" s="82" t="s">
        <v>282</v>
      </c>
      <c r="D5460" s="83">
        <f>SUMIFS(D5461:D6462,K5461:K6462,"0",B5461:B6462,"5 1 3 3 6 12 31111 6 M59 20300 000132 0000R 00001 00336 015 2112000 2024 CP1DE415 001*")-SUMIFS(E5461:E6462,K5461:K6462,"0",B5461:B6462,"5 1 3 3 6 12 31111 6 M59 20300 000132 0000R 00001 00336 015 2112000 2024 CP1DE415 001*")</f>
        <v>0</v>
      </c>
      <c r="E5460" s="54"/>
      <c r="F5460" s="83">
        <f>SUMIFS(F5461:F6462,K5461:K6462,"0",B5461:B6462,"5 1 3 3 6 12 31111 6 M59 20300 000132 0000R 00001 00336 015 2112000 2024 CP1DE415 001*")</f>
        <v>1995.2</v>
      </c>
      <c r="G5460" s="83">
        <f>SUMIFS(G5461:G6462,K5461:K6462,"0",B5461:B6462,"5 1 3 3 6 12 31111 6 M59 20300 000132 0000R 00001 00336 015 2112000 2024 CP1DE415 001*")</f>
        <v>0</v>
      </c>
      <c r="H5460" s="83">
        <f t="shared" si="85"/>
        <v>1995.2</v>
      </c>
      <c r="I5460" s="83"/>
      <c r="K5460" s="54" t="s">
        <v>15</v>
      </c>
    </row>
    <row r="5461" spans="2:11" ht="41.25" x14ac:dyDescent="0.2">
      <c r="B5461" s="84" t="s">
        <v>8628</v>
      </c>
      <c r="C5461" s="84" t="s">
        <v>8622</v>
      </c>
      <c r="D5461" s="85">
        <v>0</v>
      </c>
      <c r="E5461" s="85"/>
      <c r="F5461" s="85">
        <v>1995.2</v>
      </c>
      <c r="G5461" s="85">
        <v>0</v>
      </c>
      <c r="H5461" s="85">
        <f t="shared" si="85"/>
        <v>1995.2</v>
      </c>
      <c r="I5461" s="85"/>
      <c r="K5461" s="54" t="s">
        <v>38</v>
      </c>
    </row>
    <row r="5462" spans="2:11" ht="16.5" x14ac:dyDescent="0.2">
      <c r="B5462" s="82" t="s">
        <v>8640</v>
      </c>
      <c r="C5462" s="82" t="s">
        <v>3126</v>
      </c>
      <c r="D5462" s="83">
        <f>SUMIFS(D5463:D6462,K5463:K6462,"0",B5463:B6462,"5 1 3 3 6 12 31111 6 M59 20600*")-SUMIFS(E5463:E6462,K5463:K6462,"0",B5463:B6462,"5 1 3 3 6 12 31111 6 M59 20600*")</f>
        <v>0</v>
      </c>
      <c r="E5462" s="54"/>
      <c r="F5462" s="83">
        <f>SUMIFS(F5463:F6462,K5463:K6462,"0",B5463:B6462,"5 1 3 3 6 12 31111 6 M59 20600*")</f>
        <v>8797.44</v>
      </c>
      <c r="G5462" s="83">
        <f>SUMIFS(G5463:G6462,K5463:K6462,"0",B5463:B6462,"5 1 3 3 6 12 31111 6 M59 20600*")</f>
        <v>0</v>
      </c>
      <c r="H5462" s="83">
        <f t="shared" si="85"/>
        <v>8797.44</v>
      </c>
      <c r="I5462" s="83"/>
      <c r="K5462" s="54" t="s">
        <v>15</v>
      </c>
    </row>
    <row r="5463" spans="2:11" ht="16.5" x14ac:dyDescent="0.2">
      <c r="B5463" s="82" t="s">
        <v>8641</v>
      </c>
      <c r="C5463" s="82" t="s">
        <v>648</v>
      </c>
      <c r="D5463" s="83">
        <f>SUMIFS(D5464:D6462,K5464:K6462,"0",B5464:B6462,"5 1 3 3 6 12 31111 6 M59 20600 000132*")-SUMIFS(E5464:E6462,K5464:K6462,"0",B5464:B6462,"5 1 3 3 6 12 31111 6 M59 20600 000132*")</f>
        <v>0</v>
      </c>
      <c r="E5463" s="54"/>
      <c r="F5463" s="83">
        <f>SUMIFS(F5464:F6462,K5464:K6462,"0",B5464:B6462,"5 1 3 3 6 12 31111 6 M59 20600 000132*")</f>
        <v>8797.44</v>
      </c>
      <c r="G5463" s="83">
        <f>SUMIFS(G5464:G6462,K5464:K6462,"0",B5464:B6462,"5 1 3 3 6 12 31111 6 M59 20600 000132*")</f>
        <v>0</v>
      </c>
      <c r="H5463" s="83">
        <f t="shared" si="85"/>
        <v>8797.44</v>
      </c>
      <c r="I5463" s="83"/>
      <c r="K5463" s="54" t="s">
        <v>15</v>
      </c>
    </row>
    <row r="5464" spans="2:11" ht="24.75" x14ac:dyDescent="0.2">
      <c r="B5464" s="82" t="s">
        <v>8642</v>
      </c>
      <c r="C5464" s="82" t="s">
        <v>650</v>
      </c>
      <c r="D5464" s="83">
        <f>SUMIFS(D5465:D6462,K5465:K6462,"0",B5465:B6462,"5 1 3 3 6 12 31111 6 M59 20600 000132 0000R*")-SUMIFS(E5465:E6462,K5465:K6462,"0",B5465:B6462,"5 1 3 3 6 12 31111 6 M59 20600 000132 0000R*")</f>
        <v>0</v>
      </c>
      <c r="E5464" s="54"/>
      <c r="F5464" s="83">
        <f>SUMIFS(F5465:F6462,K5465:K6462,"0",B5465:B6462,"5 1 3 3 6 12 31111 6 M59 20600 000132 0000R*")</f>
        <v>8797.44</v>
      </c>
      <c r="G5464" s="83">
        <f>SUMIFS(G5465:G6462,K5465:K6462,"0",B5465:B6462,"5 1 3 3 6 12 31111 6 M59 20600 000132 0000R*")</f>
        <v>0</v>
      </c>
      <c r="H5464" s="83">
        <f t="shared" si="85"/>
        <v>8797.44</v>
      </c>
      <c r="I5464" s="83"/>
      <c r="K5464" s="54" t="s">
        <v>15</v>
      </c>
    </row>
    <row r="5465" spans="2:11" ht="24.75" x14ac:dyDescent="0.2">
      <c r="B5465" s="82" t="s">
        <v>8643</v>
      </c>
      <c r="C5465" s="82" t="s">
        <v>282</v>
      </c>
      <c r="D5465" s="83">
        <f>SUMIFS(D5466:D6462,K5466:K6462,"0",B5466:B6462,"5 1 3 3 6 12 31111 6 M59 20600 000132 0000R 00001*")-SUMIFS(E5466:E6462,K5466:K6462,"0",B5466:B6462,"5 1 3 3 6 12 31111 6 M59 20600 000132 0000R 00001*")</f>
        <v>0</v>
      </c>
      <c r="E5465" s="54"/>
      <c r="F5465" s="83">
        <f>SUMIFS(F5466:F6462,K5466:K6462,"0",B5466:B6462,"5 1 3 3 6 12 31111 6 M59 20600 000132 0000R 00001*")</f>
        <v>8797.44</v>
      </c>
      <c r="G5465" s="83">
        <f>SUMIFS(G5466:G6462,K5466:K6462,"0",B5466:B6462,"5 1 3 3 6 12 31111 6 M59 20600 000132 0000R 00001*")</f>
        <v>0</v>
      </c>
      <c r="H5465" s="83">
        <f t="shared" si="85"/>
        <v>8797.44</v>
      </c>
      <c r="I5465" s="83"/>
      <c r="K5465" s="54" t="s">
        <v>15</v>
      </c>
    </row>
    <row r="5466" spans="2:11" ht="33" x14ac:dyDescent="0.2">
      <c r="B5466" s="82" t="s">
        <v>8644</v>
      </c>
      <c r="C5466" s="82" t="s">
        <v>8622</v>
      </c>
      <c r="D5466" s="83">
        <f>SUMIFS(D5467:D6462,K5467:K6462,"0",B5467:B6462,"5 1 3 3 6 12 31111 6 M59 20600 000132 0000R 00001 00336*")-SUMIFS(E5467:E6462,K5467:K6462,"0",B5467:B6462,"5 1 3 3 6 12 31111 6 M59 20600 000132 0000R 00001 00336*")</f>
        <v>0</v>
      </c>
      <c r="E5466" s="54"/>
      <c r="F5466" s="83">
        <f>SUMIFS(F5467:F6462,K5467:K6462,"0",B5467:B6462,"5 1 3 3 6 12 31111 6 M59 20600 000132 0000R 00001 00336*")</f>
        <v>8797.44</v>
      </c>
      <c r="G5466" s="83">
        <f>SUMIFS(G5467:G6462,K5467:K6462,"0",B5467:B6462,"5 1 3 3 6 12 31111 6 M59 20600 000132 0000R 00001 00336*")</f>
        <v>0</v>
      </c>
      <c r="H5466" s="83">
        <f t="shared" si="85"/>
        <v>8797.44</v>
      </c>
      <c r="I5466" s="83"/>
      <c r="K5466" s="54" t="s">
        <v>15</v>
      </c>
    </row>
    <row r="5467" spans="2:11" ht="33" x14ac:dyDescent="0.2">
      <c r="B5467" s="82" t="s">
        <v>8645</v>
      </c>
      <c r="C5467" s="82" t="s">
        <v>1051</v>
      </c>
      <c r="D5467" s="83">
        <f>SUMIFS(D5468:D6462,K5468:K6462,"0",B5468:B6462,"5 1 3 3 6 12 31111 6 M59 20600 000132 0000R 00001 00336 015*")-SUMIFS(E5468:E6462,K5468:K6462,"0",B5468:B6462,"5 1 3 3 6 12 31111 6 M59 20600 000132 0000R 00001 00336 015*")</f>
        <v>0</v>
      </c>
      <c r="E5467" s="54"/>
      <c r="F5467" s="83">
        <f>SUMIFS(F5468:F6462,K5468:K6462,"0",B5468:B6462,"5 1 3 3 6 12 31111 6 M59 20600 000132 0000R 00001 00336 015*")</f>
        <v>8797.44</v>
      </c>
      <c r="G5467" s="83">
        <f>SUMIFS(G5468:G6462,K5468:K6462,"0",B5468:B6462,"5 1 3 3 6 12 31111 6 M59 20600 000132 0000R 00001 00336 015*")</f>
        <v>0</v>
      </c>
      <c r="H5467" s="83">
        <f t="shared" si="85"/>
        <v>8797.44</v>
      </c>
      <c r="I5467" s="83"/>
      <c r="K5467" s="54" t="s">
        <v>15</v>
      </c>
    </row>
    <row r="5468" spans="2:11" ht="33" x14ac:dyDescent="0.2">
      <c r="B5468" s="82" t="s">
        <v>8646</v>
      </c>
      <c r="C5468" s="82" t="s">
        <v>5830</v>
      </c>
      <c r="D5468" s="83">
        <f>SUMIFS(D5469:D6462,K5469:K6462,"0",B5469:B6462,"5 1 3 3 6 12 31111 6 M59 20600 000132 0000R 00001 00336 015 2112000*")-SUMIFS(E5469:E6462,K5469:K6462,"0",B5469:B6462,"5 1 3 3 6 12 31111 6 M59 20600 000132 0000R 00001 00336 015 2112000*")</f>
        <v>0</v>
      </c>
      <c r="E5468" s="54"/>
      <c r="F5468" s="83">
        <f>SUMIFS(F5469:F6462,K5469:K6462,"0",B5469:B6462,"5 1 3 3 6 12 31111 6 M59 20600 000132 0000R 00001 00336 015 2112000*")</f>
        <v>8797.44</v>
      </c>
      <c r="G5468" s="83">
        <f>SUMIFS(G5469:G6462,K5469:K6462,"0",B5469:B6462,"5 1 3 3 6 12 31111 6 M59 20600 000132 0000R 00001 00336 015 2112000*")</f>
        <v>0</v>
      </c>
      <c r="H5468" s="83">
        <f t="shared" si="85"/>
        <v>8797.44</v>
      </c>
      <c r="I5468" s="83"/>
      <c r="K5468" s="54" t="s">
        <v>15</v>
      </c>
    </row>
    <row r="5469" spans="2:11" ht="33" x14ac:dyDescent="0.2">
      <c r="B5469" s="82" t="s">
        <v>8647</v>
      </c>
      <c r="C5469" s="82" t="s">
        <v>660</v>
      </c>
      <c r="D5469" s="83">
        <f>SUMIFS(D5470:D6462,K5470:K6462,"0",B5470:B6462,"5 1 3 3 6 12 31111 6 M59 20600 000132 0000R 00001 00336 015 2112000 2024*")-SUMIFS(E5470:E6462,K5470:K6462,"0",B5470:B6462,"5 1 3 3 6 12 31111 6 M59 20600 000132 0000R 00001 00336 015 2112000 2024*")</f>
        <v>0</v>
      </c>
      <c r="E5469" s="54"/>
      <c r="F5469" s="83">
        <f>SUMIFS(F5470:F6462,K5470:K6462,"0",B5470:B6462,"5 1 3 3 6 12 31111 6 M59 20600 000132 0000R 00001 00336 015 2112000 2024*")</f>
        <v>8797.44</v>
      </c>
      <c r="G5469" s="83">
        <f>SUMIFS(G5470:G6462,K5470:K6462,"0",B5470:B6462,"5 1 3 3 6 12 31111 6 M59 20600 000132 0000R 00001 00336 015 2112000 2024*")</f>
        <v>0</v>
      </c>
      <c r="H5469" s="83">
        <f t="shared" si="85"/>
        <v>8797.44</v>
      </c>
      <c r="I5469" s="83"/>
      <c r="K5469" s="54" t="s">
        <v>15</v>
      </c>
    </row>
    <row r="5470" spans="2:11" ht="41.25" x14ac:dyDescent="0.2">
      <c r="B5470" s="82" t="s">
        <v>8648</v>
      </c>
      <c r="C5470" s="82" t="s">
        <v>1056</v>
      </c>
      <c r="D5470" s="83">
        <f>SUMIFS(D5471:D6462,K5471:K6462,"0",B5471:B6462,"5 1 3 3 6 12 31111 6 M59 20600 000132 0000R 00001 00336 015 2112000 2024 CP1CA380*")-SUMIFS(E5471:E6462,K5471:K6462,"0",B5471:B6462,"5 1 3 3 6 12 31111 6 M59 20600 000132 0000R 00001 00336 015 2112000 2024 CP1CA380*")</f>
        <v>0</v>
      </c>
      <c r="E5470" s="54"/>
      <c r="F5470" s="83">
        <f>SUMIFS(F5471:F6462,K5471:K6462,"0",B5471:B6462,"5 1 3 3 6 12 31111 6 M59 20600 000132 0000R 00001 00336 015 2112000 2024 CP1CA380*")</f>
        <v>8797.44</v>
      </c>
      <c r="G5470" s="83">
        <f>SUMIFS(G5471:G6462,K5471:K6462,"0",B5471:B6462,"5 1 3 3 6 12 31111 6 M59 20600 000132 0000R 00001 00336 015 2112000 2024 CP1CA380*")</f>
        <v>0</v>
      </c>
      <c r="H5470" s="83">
        <f t="shared" si="85"/>
        <v>8797.44</v>
      </c>
      <c r="I5470" s="83"/>
      <c r="K5470" s="54" t="s">
        <v>15</v>
      </c>
    </row>
    <row r="5471" spans="2:11" ht="41.25" x14ac:dyDescent="0.2">
      <c r="B5471" s="82" t="s">
        <v>8649</v>
      </c>
      <c r="C5471" s="82" t="s">
        <v>282</v>
      </c>
      <c r="D5471" s="83">
        <f>SUMIFS(D5472:D6462,K5472:K6462,"0",B5472:B6462,"5 1 3 3 6 12 31111 6 M59 20600 000132 0000R 00001 00336 015 2112000 2024 CP1CA380 001*")-SUMIFS(E5472:E6462,K5472:K6462,"0",B5472:B6462,"5 1 3 3 6 12 31111 6 M59 20600 000132 0000R 00001 00336 015 2112000 2024 CP1CA380 001*")</f>
        <v>0</v>
      </c>
      <c r="E5471" s="54"/>
      <c r="F5471" s="83">
        <f>SUMIFS(F5472:F6462,K5472:K6462,"0",B5472:B6462,"5 1 3 3 6 12 31111 6 M59 20600 000132 0000R 00001 00336 015 2112000 2024 CP1CA380 001*")</f>
        <v>8797.44</v>
      </c>
      <c r="G5471" s="83">
        <f>SUMIFS(G5472:G6462,K5472:K6462,"0",B5472:B6462,"5 1 3 3 6 12 31111 6 M59 20600 000132 0000R 00001 00336 015 2112000 2024 CP1CA380 001*")</f>
        <v>0</v>
      </c>
      <c r="H5471" s="83">
        <f t="shared" si="85"/>
        <v>8797.44</v>
      </c>
      <c r="I5471" s="83"/>
      <c r="K5471" s="54" t="s">
        <v>15</v>
      </c>
    </row>
    <row r="5472" spans="2:11" ht="41.25" x14ac:dyDescent="0.2">
      <c r="B5472" s="84" t="s">
        <v>8650</v>
      </c>
      <c r="C5472" s="84" t="s">
        <v>8622</v>
      </c>
      <c r="D5472" s="85">
        <v>0</v>
      </c>
      <c r="E5472" s="85"/>
      <c r="F5472" s="85">
        <v>8797.44</v>
      </c>
      <c r="G5472" s="85">
        <v>0</v>
      </c>
      <c r="H5472" s="85">
        <f t="shared" si="85"/>
        <v>8797.44</v>
      </c>
      <c r="I5472" s="85"/>
      <c r="K5472" s="54" t="s">
        <v>38</v>
      </c>
    </row>
    <row r="5473" spans="2:11" ht="16.5" x14ac:dyDescent="0.2">
      <c r="B5473" s="82" t="s">
        <v>8651</v>
      </c>
      <c r="C5473" s="82" t="s">
        <v>1269</v>
      </c>
      <c r="D5473" s="83">
        <f>SUMIFS(D5474:D6462,K5474:K6462,"0",B5474:B6462,"5 1 3 3 6 12 31111 6 M59 60100*")-SUMIFS(E5474:E6462,K5474:K6462,"0",B5474:B6462,"5 1 3 3 6 12 31111 6 M59 60100*")</f>
        <v>0</v>
      </c>
      <c r="E5473" s="54"/>
      <c r="F5473" s="83">
        <f>SUMIFS(F5474:F6462,K5474:K6462,"0",B5474:B6462,"5 1 3 3 6 12 31111 6 M59 60100*")</f>
        <v>400.2</v>
      </c>
      <c r="G5473" s="83">
        <f>SUMIFS(G5474:G6462,K5474:K6462,"0",B5474:B6462,"5 1 3 3 6 12 31111 6 M59 60100*")</f>
        <v>0</v>
      </c>
      <c r="H5473" s="83">
        <f t="shared" si="85"/>
        <v>400.2</v>
      </c>
      <c r="I5473" s="83"/>
      <c r="K5473" s="54" t="s">
        <v>15</v>
      </c>
    </row>
    <row r="5474" spans="2:11" ht="16.5" x14ac:dyDescent="0.2">
      <c r="B5474" s="82" t="s">
        <v>8652</v>
      </c>
      <c r="C5474" s="82" t="s">
        <v>648</v>
      </c>
      <c r="D5474" s="83">
        <f>SUMIFS(D5475:D6462,K5475:K6462,"0",B5475:B6462,"5 1 3 3 6 12 31111 6 M59 60100 000132*")-SUMIFS(E5475:E6462,K5475:K6462,"0",B5475:B6462,"5 1 3 3 6 12 31111 6 M59 60100 000132*")</f>
        <v>0</v>
      </c>
      <c r="E5474" s="54"/>
      <c r="F5474" s="83">
        <f>SUMIFS(F5475:F6462,K5475:K6462,"0",B5475:B6462,"5 1 3 3 6 12 31111 6 M59 60100 000132*")</f>
        <v>400.2</v>
      </c>
      <c r="G5474" s="83">
        <f>SUMIFS(G5475:G6462,K5475:K6462,"0",B5475:B6462,"5 1 3 3 6 12 31111 6 M59 60100 000132*")</f>
        <v>0</v>
      </c>
      <c r="H5474" s="83">
        <f t="shared" si="85"/>
        <v>400.2</v>
      </c>
      <c r="I5474" s="83"/>
      <c r="K5474" s="54" t="s">
        <v>15</v>
      </c>
    </row>
    <row r="5475" spans="2:11" ht="24.75" x14ac:dyDescent="0.2">
      <c r="B5475" s="82" t="s">
        <v>8653</v>
      </c>
      <c r="C5475" s="82" t="s">
        <v>650</v>
      </c>
      <c r="D5475" s="83">
        <f>SUMIFS(D5476:D6462,K5476:K6462,"0",B5476:B6462,"5 1 3 3 6 12 31111 6 M59 60100 000132 0000R*")-SUMIFS(E5476:E6462,K5476:K6462,"0",B5476:B6462,"5 1 3 3 6 12 31111 6 M59 60100 000132 0000R*")</f>
        <v>0</v>
      </c>
      <c r="E5475" s="54"/>
      <c r="F5475" s="83">
        <f>SUMIFS(F5476:F6462,K5476:K6462,"0",B5476:B6462,"5 1 3 3 6 12 31111 6 M59 60100 000132 0000R*")</f>
        <v>400.2</v>
      </c>
      <c r="G5475" s="83">
        <f>SUMIFS(G5476:G6462,K5476:K6462,"0",B5476:B6462,"5 1 3 3 6 12 31111 6 M59 60100 000132 0000R*")</f>
        <v>0</v>
      </c>
      <c r="H5475" s="83">
        <f t="shared" si="85"/>
        <v>400.2</v>
      </c>
      <c r="I5475" s="83"/>
      <c r="K5475" s="54" t="s">
        <v>15</v>
      </c>
    </row>
    <row r="5476" spans="2:11" ht="24.75" x14ac:dyDescent="0.2">
      <c r="B5476" s="82" t="s">
        <v>8654</v>
      </c>
      <c r="C5476" s="82" t="s">
        <v>282</v>
      </c>
      <c r="D5476" s="83">
        <f>SUMIFS(D5477:D6462,K5477:K6462,"0",B5477:B6462,"5 1 3 3 6 12 31111 6 M59 60100 000132 0000R 00001*")-SUMIFS(E5477:E6462,K5477:K6462,"0",B5477:B6462,"5 1 3 3 6 12 31111 6 M59 60100 000132 0000R 00001*")</f>
        <v>0</v>
      </c>
      <c r="E5476" s="54"/>
      <c r="F5476" s="83">
        <f>SUMIFS(F5477:F6462,K5477:K6462,"0",B5477:B6462,"5 1 3 3 6 12 31111 6 M59 60100 000132 0000R 00001*")</f>
        <v>400.2</v>
      </c>
      <c r="G5476" s="83">
        <f>SUMIFS(G5477:G6462,K5477:K6462,"0",B5477:B6462,"5 1 3 3 6 12 31111 6 M59 60100 000132 0000R 00001*")</f>
        <v>0</v>
      </c>
      <c r="H5476" s="83">
        <f t="shared" si="85"/>
        <v>400.2</v>
      </c>
      <c r="I5476" s="83"/>
      <c r="K5476" s="54" t="s">
        <v>15</v>
      </c>
    </row>
    <row r="5477" spans="2:11" ht="33" x14ac:dyDescent="0.2">
      <c r="B5477" s="82" t="s">
        <v>8655</v>
      </c>
      <c r="C5477" s="82" t="s">
        <v>8622</v>
      </c>
      <c r="D5477" s="83">
        <f>SUMIFS(D5478:D6462,K5478:K6462,"0",B5478:B6462,"5 1 3 3 6 12 31111 6 M59 60100 000132 0000R 00001 00336*")-SUMIFS(E5478:E6462,K5478:K6462,"0",B5478:B6462,"5 1 3 3 6 12 31111 6 M59 60100 000132 0000R 00001 00336*")</f>
        <v>0</v>
      </c>
      <c r="E5477" s="54"/>
      <c r="F5477" s="83">
        <f>SUMIFS(F5478:F6462,K5478:K6462,"0",B5478:B6462,"5 1 3 3 6 12 31111 6 M59 60100 000132 0000R 00001 00336*")</f>
        <v>400.2</v>
      </c>
      <c r="G5477" s="83">
        <f>SUMIFS(G5478:G6462,K5478:K6462,"0",B5478:B6462,"5 1 3 3 6 12 31111 6 M59 60100 000132 0000R 00001 00336*")</f>
        <v>0</v>
      </c>
      <c r="H5477" s="83">
        <f t="shared" si="85"/>
        <v>400.2</v>
      </c>
      <c r="I5477" s="83"/>
      <c r="K5477" s="54" t="s">
        <v>15</v>
      </c>
    </row>
    <row r="5478" spans="2:11" ht="33" x14ac:dyDescent="0.2">
      <c r="B5478" s="82" t="s">
        <v>8656</v>
      </c>
      <c r="C5478" s="82" t="s">
        <v>1051</v>
      </c>
      <c r="D5478" s="83">
        <f>SUMIFS(D5479:D6462,K5479:K6462,"0",B5479:B6462,"5 1 3 3 6 12 31111 6 M59 60100 000132 0000R 00001 00336 015*")-SUMIFS(E5479:E6462,K5479:K6462,"0",B5479:B6462,"5 1 3 3 6 12 31111 6 M59 60100 000132 0000R 00001 00336 015*")</f>
        <v>0</v>
      </c>
      <c r="E5478" s="54"/>
      <c r="F5478" s="83">
        <f>SUMIFS(F5479:F6462,K5479:K6462,"0",B5479:B6462,"5 1 3 3 6 12 31111 6 M59 60100 000132 0000R 00001 00336 015*")</f>
        <v>400.2</v>
      </c>
      <c r="G5478" s="83">
        <f>SUMIFS(G5479:G6462,K5479:K6462,"0",B5479:B6462,"5 1 3 3 6 12 31111 6 M59 60100 000132 0000R 00001 00336 015*")</f>
        <v>0</v>
      </c>
      <c r="H5478" s="83">
        <f t="shared" si="85"/>
        <v>400.2</v>
      </c>
      <c r="I5478" s="83"/>
      <c r="K5478" s="54" t="s">
        <v>15</v>
      </c>
    </row>
    <row r="5479" spans="2:11" ht="33" x14ac:dyDescent="0.2">
      <c r="B5479" s="82" t="s">
        <v>8657</v>
      </c>
      <c r="C5479" s="82" t="s">
        <v>5830</v>
      </c>
      <c r="D5479" s="83">
        <f>SUMIFS(D5480:D6462,K5480:K6462,"0",B5480:B6462,"5 1 3 3 6 12 31111 6 M59 60100 000132 0000R 00001 00336 015 2112000*")-SUMIFS(E5480:E6462,K5480:K6462,"0",B5480:B6462,"5 1 3 3 6 12 31111 6 M59 60100 000132 0000R 00001 00336 015 2112000*")</f>
        <v>0</v>
      </c>
      <c r="E5479" s="54"/>
      <c r="F5479" s="83">
        <f>SUMIFS(F5480:F6462,K5480:K6462,"0",B5480:B6462,"5 1 3 3 6 12 31111 6 M59 60100 000132 0000R 00001 00336 015 2112000*")</f>
        <v>400.2</v>
      </c>
      <c r="G5479" s="83">
        <f>SUMIFS(G5480:G6462,K5480:K6462,"0",B5480:B6462,"5 1 3 3 6 12 31111 6 M59 60100 000132 0000R 00001 00336 015 2112000*")</f>
        <v>0</v>
      </c>
      <c r="H5479" s="83">
        <f t="shared" si="85"/>
        <v>400.2</v>
      </c>
      <c r="I5479" s="83"/>
      <c r="K5479" s="54" t="s">
        <v>15</v>
      </c>
    </row>
    <row r="5480" spans="2:11" ht="33" x14ac:dyDescent="0.2">
      <c r="B5480" s="82" t="s">
        <v>8658</v>
      </c>
      <c r="C5480" s="82" t="s">
        <v>660</v>
      </c>
      <c r="D5480" s="83">
        <f>SUMIFS(D5481:D6462,K5481:K6462,"0",B5481:B6462,"5 1 3 3 6 12 31111 6 M59 60100 000132 0000R 00001 00336 015 2112000 2024*")-SUMIFS(E5481:E6462,K5481:K6462,"0",B5481:B6462,"5 1 3 3 6 12 31111 6 M59 60100 000132 0000R 00001 00336 015 2112000 2024*")</f>
        <v>0</v>
      </c>
      <c r="E5480" s="54"/>
      <c r="F5480" s="83">
        <f>SUMIFS(F5481:F6462,K5481:K6462,"0",B5481:B6462,"5 1 3 3 6 12 31111 6 M59 60100 000132 0000R 00001 00336 015 2112000 2024*")</f>
        <v>400.2</v>
      </c>
      <c r="G5480" s="83">
        <f>SUMIFS(G5481:G6462,K5481:K6462,"0",B5481:B6462,"5 1 3 3 6 12 31111 6 M59 60100 000132 0000R 00001 00336 015 2112000 2024*")</f>
        <v>0</v>
      </c>
      <c r="H5480" s="83">
        <f t="shared" si="85"/>
        <v>400.2</v>
      </c>
      <c r="I5480" s="83"/>
      <c r="K5480" s="54" t="s">
        <v>15</v>
      </c>
    </row>
    <row r="5481" spans="2:11" ht="41.25" x14ac:dyDescent="0.2">
      <c r="B5481" s="82" t="s">
        <v>8659</v>
      </c>
      <c r="C5481" s="82" t="s">
        <v>1056</v>
      </c>
      <c r="D5481" s="83">
        <f>SUMIFS(D5482:D6462,K5482:K6462,"0",B5482:B6462,"5 1 3 3 6 12 31111 6 M59 60100 000132 0000R 00001 00336 015 2112000 2024 CP1DM394*")-SUMIFS(E5482:E6462,K5482:K6462,"0",B5482:B6462,"5 1 3 3 6 12 31111 6 M59 60100 000132 0000R 00001 00336 015 2112000 2024 CP1DM394*")</f>
        <v>0</v>
      </c>
      <c r="E5481" s="54"/>
      <c r="F5481" s="83">
        <f>SUMIFS(F5482:F6462,K5482:K6462,"0",B5482:B6462,"5 1 3 3 6 12 31111 6 M59 60100 000132 0000R 00001 00336 015 2112000 2024 CP1DM394*")</f>
        <v>400.2</v>
      </c>
      <c r="G5481" s="83">
        <f>SUMIFS(G5482:G6462,K5482:K6462,"0",B5482:B6462,"5 1 3 3 6 12 31111 6 M59 60100 000132 0000R 00001 00336 015 2112000 2024 CP1DM394*")</f>
        <v>0</v>
      </c>
      <c r="H5481" s="83">
        <f t="shared" si="85"/>
        <v>400.2</v>
      </c>
      <c r="I5481" s="83"/>
      <c r="K5481" s="54" t="s">
        <v>15</v>
      </c>
    </row>
    <row r="5482" spans="2:11" ht="41.25" x14ac:dyDescent="0.2">
      <c r="B5482" s="82" t="s">
        <v>8660</v>
      </c>
      <c r="C5482" s="82" t="s">
        <v>282</v>
      </c>
      <c r="D5482" s="83">
        <f>SUMIFS(D5483:D6462,K5483:K6462,"0",B5483:B6462,"5 1 3 3 6 12 31111 6 M59 60100 000132 0000R 00001 00336 015 2112000 2024 CP1DM394 001*")-SUMIFS(E5483:E6462,K5483:K6462,"0",B5483:B6462,"5 1 3 3 6 12 31111 6 M59 60100 000132 0000R 00001 00336 015 2112000 2024 CP1DM394 001*")</f>
        <v>0</v>
      </c>
      <c r="E5482" s="54"/>
      <c r="F5482" s="83">
        <f>SUMIFS(F5483:F6462,K5483:K6462,"0",B5483:B6462,"5 1 3 3 6 12 31111 6 M59 60100 000132 0000R 00001 00336 015 2112000 2024 CP1DM394 001*")</f>
        <v>400.2</v>
      </c>
      <c r="G5482" s="83">
        <f>SUMIFS(G5483:G6462,K5483:K6462,"0",B5483:B6462,"5 1 3 3 6 12 31111 6 M59 60100 000132 0000R 00001 00336 015 2112000 2024 CP1DM394 001*")</f>
        <v>0</v>
      </c>
      <c r="H5482" s="83">
        <f t="shared" si="85"/>
        <v>400.2</v>
      </c>
      <c r="I5482" s="83"/>
      <c r="K5482" s="54" t="s">
        <v>15</v>
      </c>
    </row>
    <row r="5483" spans="2:11" ht="33" x14ac:dyDescent="0.2">
      <c r="B5483" s="84" t="s">
        <v>8661</v>
      </c>
      <c r="C5483" s="84" t="s">
        <v>8622</v>
      </c>
      <c r="D5483" s="85">
        <v>0</v>
      </c>
      <c r="E5483" s="85"/>
      <c r="F5483" s="85">
        <v>400.2</v>
      </c>
      <c r="G5483" s="85">
        <v>0</v>
      </c>
      <c r="H5483" s="85">
        <f t="shared" ref="H5483:H5546" si="86">D5483 + F5483 - G5483</f>
        <v>400.2</v>
      </c>
      <c r="I5483" s="85"/>
      <c r="K5483" s="54" t="s">
        <v>38</v>
      </c>
    </row>
    <row r="5484" spans="2:11" ht="16.5" x14ac:dyDescent="0.2">
      <c r="B5484" s="82" t="s">
        <v>8662</v>
      </c>
      <c r="C5484" s="82" t="s">
        <v>3620</v>
      </c>
      <c r="D5484" s="83">
        <f>SUMIFS(D5485:D6462,K5485:K6462,"0",B5485:B6462,"5 1 3 3 6 12 31111 6 M59 92000*")-SUMIFS(E5485:E6462,K5485:K6462,"0",B5485:B6462,"5 1 3 3 6 12 31111 6 M59 92000*")</f>
        <v>0</v>
      </c>
      <c r="E5484" s="54"/>
      <c r="F5484" s="83">
        <f>SUMIFS(F5485:F6462,K5485:K6462,"0",B5485:B6462,"5 1 3 3 6 12 31111 6 M59 92000*")</f>
        <v>12200.8</v>
      </c>
      <c r="G5484" s="83">
        <f>SUMIFS(G5485:G6462,K5485:K6462,"0",B5485:B6462,"5 1 3 3 6 12 31111 6 M59 92000*")</f>
        <v>0</v>
      </c>
      <c r="H5484" s="83">
        <f t="shared" si="86"/>
        <v>12200.8</v>
      </c>
      <c r="I5484" s="83"/>
      <c r="K5484" s="54" t="s">
        <v>15</v>
      </c>
    </row>
    <row r="5485" spans="2:11" ht="24.75" x14ac:dyDescent="0.2">
      <c r="B5485" s="82" t="s">
        <v>8663</v>
      </c>
      <c r="C5485" s="82" t="s">
        <v>3152</v>
      </c>
      <c r="D5485" s="83">
        <f>SUMIFS(D5486:D6462,K5486:K6462,"0",B5486:B6462,"5 1 3 3 6 12 31111 6 M59 92000 000181*")-SUMIFS(E5486:E6462,K5486:K6462,"0",B5486:B6462,"5 1 3 3 6 12 31111 6 M59 92000 000181*")</f>
        <v>0</v>
      </c>
      <c r="E5485" s="54"/>
      <c r="F5485" s="83">
        <f>SUMIFS(F5486:F6462,K5486:K6462,"0",B5486:B6462,"5 1 3 3 6 12 31111 6 M59 92000 000181*")</f>
        <v>12200.8</v>
      </c>
      <c r="G5485" s="83">
        <f>SUMIFS(G5486:G6462,K5486:K6462,"0",B5486:B6462,"5 1 3 3 6 12 31111 6 M59 92000 000181*")</f>
        <v>0</v>
      </c>
      <c r="H5485" s="83">
        <f t="shared" si="86"/>
        <v>12200.8</v>
      </c>
      <c r="I5485" s="83"/>
      <c r="K5485" s="54" t="s">
        <v>15</v>
      </c>
    </row>
    <row r="5486" spans="2:11" ht="24.75" x14ac:dyDescent="0.2">
      <c r="B5486" s="82" t="s">
        <v>8664</v>
      </c>
      <c r="C5486" s="82" t="s">
        <v>1065</v>
      </c>
      <c r="D5486" s="83">
        <f>SUMIFS(D5487:D6462,K5487:K6462,"0",B5487:B6462,"5 1 3 3 6 12 31111 6 M59 92000 000181 0000E*")-SUMIFS(E5487:E6462,K5487:K6462,"0",B5487:B6462,"5 1 3 3 6 12 31111 6 M59 92000 000181 0000E*")</f>
        <v>0</v>
      </c>
      <c r="E5486" s="54"/>
      <c r="F5486" s="83">
        <f>SUMIFS(F5487:F6462,K5487:K6462,"0",B5487:B6462,"5 1 3 3 6 12 31111 6 M59 92000 000181 0000E*")</f>
        <v>12200.8</v>
      </c>
      <c r="G5486" s="83">
        <f>SUMIFS(G5487:G6462,K5487:K6462,"0",B5487:B6462,"5 1 3 3 6 12 31111 6 M59 92000 000181 0000E*")</f>
        <v>0</v>
      </c>
      <c r="H5486" s="83">
        <f t="shared" si="86"/>
        <v>12200.8</v>
      </c>
      <c r="I5486" s="83"/>
      <c r="K5486" s="54" t="s">
        <v>15</v>
      </c>
    </row>
    <row r="5487" spans="2:11" ht="24.75" x14ac:dyDescent="0.2">
      <c r="B5487" s="82" t="s">
        <v>8665</v>
      </c>
      <c r="C5487" s="82" t="s">
        <v>282</v>
      </c>
      <c r="D5487" s="83">
        <f>SUMIFS(D5488:D6462,K5488:K6462,"0",B5488:B6462,"5 1 3 3 6 12 31111 6 M59 92000 000181 0000E 00001*")-SUMIFS(E5488:E6462,K5488:K6462,"0",B5488:B6462,"5 1 3 3 6 12 31111 6 M59 92000 000181 0000E 00001*")</f>
        <v>0</v>
      </c>
      <c r="E5487" s="54"/>
      <c r="F5487" s="83">
        <f>SUMIFS(F5488:F6462,K5488:K6462,"0",B5488:B6462,"5 1 3 3 6 12 31111 6 M59 92000 000181 0000E 00001*")</f>
        <v>12200.8</v>
      </c>
      <c r="G5487" s="83">
        <f>SUMIFS(G5488:G6462,K5488:K6462,"0",B5488:B6462,"5 1 3 3 6 12 31111 6 M59 92000 000181 0000E 00001*")</f>
        <v>0</v>
      </c>
      <c r="H5487" s="83">
        <f t="shared" si="86"/>
        <v>12200.8</v>
      </c>
      <c r="I5487" s="83"/>
      <c r="K5487" s="54" t="s">
        <v>15</v>
      </c>
    </row>
    <row r="5488" spans="2:11" ht="33" x14ac:dyDescent="0.2">
      <c r="B5488" s="82" t="s">
        <v>8666</v>
      </c>
      <c r="C5488" s="82" t="s">
        <v>8622</v>
      </c>
      <c r="D5488" s="83">
        <f>SUMIFS(D5489:D6462,K5489:K6462,"0",B5489:B6462,"5 1 3 3 6 12 31111 6 M59 92000 000181 0000E 00001 00336*")-SUMIFS(E5489:E6462,K5489:K6462,"0",B5489:B6462,"5 1 3 3 6 12 31111 6 M59 92000 000181 0000E 00001 00336*")</f>
        <v>0</v>
      </c>
      <c r="E5488" s="54"/>
      <c r="F5488" s="83">
        <f>SUMIFS(F5489:F6462,K5489:K6462,"0",B5489:B6462,"5 1 3 3 6 12 31111 6 M59 92000 000181 0000E 00001 00336*")</f>
        <v>12200.8</v>
      </c>
      <c r="G5488" s="83">
        <f>SUMIFS(G5489:G6462,K5489:K6462,"0",B5489:B6462,"5 1 3 3 6 12 31111 6 M59 92000 000181 0000E 00001 00336*")</f>
        <v>0</v>
      </c>
      <c r="H5488" s="83">
        <f t="shared" si="86"/>
        <v>12200.8</v>
      </c>
      <c r="I5488" s="83"/>
      <c r="K5488" s="54" t="s">
        <v>15</v>
      </c>
    </row>
    <row r="5489" spans="2:11" ht="33" x14ac:dyDescent="0.2">
      <c r="B5489" s="82" t="s">
        <v>8667</v>
      </c>
      <c r="C5489" s="82" t="s">
        <v>1051</v>
      </c>
      <c r="D5489" s="83">
        <f>SUMIFS(D5490:D6462,K5490:K6462,"0",B5490:B6462,"5 1 3 3 6 12 31111 6 M59 92000 000181 0000E 00001 00336 015*")-SUMIFS(E5490:E6462,K5490:K6462,"0",B5490:B6462,"5 1 3 3 6 12 31111 6 M59 92000 000181 0000E 00001 00336 015*")</f>
        <v>0</v>
      </c>
      <c r="E5489" s="54"/>
      <c r="F5489" s="83">
        <f>SUMIFS(F5490:F6462,K5490:K6462,"0",B5490:B6462,"5 1 3 3 6 12 31111 6 M59 92000 000181 0000E 00001 00336 015*")</f>
        <v>12200.8</v>
      </c>
      <c r="G5489" s="83">
        <f>SUMIFS(G5490:G6462,K5490:K6462,"0",B5490:B6462,"5 1 3 3 6 12 31111 6 M59 92000 000181 0000E 00001 00336 015*")</f>
        <v>0</v>
      </c>
      <c r="H5489" s="83">
        <f t="shared" si="86"/>
        <v>12200.8</v>
      </c>
      <c r="I5489" s="83"/>
      <c r="K5489" s="54" t="s">
        <v>15</v>
      </c>
    </row>
    <row r="5490" spans="2:11" ht="33" x14ac:dyDescent="0.2">
      <c r="B5490" s="82" t="s">
        <v>8668</v>
      </c>
      <c r="C5490" s="82" t="s">
        <v>5830</v>
      </c>
      <c r="D5490" s="83">
        <f>SUMIFS(D5491:D6462,K5491:K6462,"0",B5491:B6462,"5 1 3 3 6 12 31111 6 M59 92000 000181 0000E 00001 00336 015 2112000*")-SUMIFS(E5491:E6462,K5491:K6462,"0",B5491:B6462,"5 1 3 3 6 12 31111 6 M59 92000 000181 0000E 00001 00336 015 2112000*")</f>
        <v>0</v>
      </c>
      <c r="E5490" s="54"/>
      <c r="F5490" s="83">
        <f>SUMIFS(F5491:F6462,K5491:K6462,"0",B5491:B6462,"5 1 3 3 6 12 31111 6 M59 92000 000181 0000E 00001 00336 015 2112000*")</f>
        <v>12200.8</v>
      </c>
      <c r="G5490" s="83">
        <f>SUMIFS(G5491:G6462,K5491:K6462,"0",B5491:B6462,"5 1 3 3 6 12 31111 6 M59 92000 000181 0000E 00001 00336 015 2112000*")</f>
        <v>0</v>
      </c>
      <c r="H5490" s="83">
        <f t="shared" si="86"/>
        <v>12200.8</v>
      </c>
      <c r="I5490" s="83"/>
      <c r="K5490" s="54" t="s">
        <v>15</v>
      </c>
    </row>
    <row r="5491" spans="2:11" ht="33" x14ac:dyDescent="0.2">
      <c r="B5491" s="82" t="s">
        <v>8669</v>
      </c>
      <c r="C5491" s="82" t="s">
        <v>660</v>
      </c>
      <c r="D5491" s="83">
        <f>SUMIFS(D5492:D6462,K5492:K6462,"0",B5492:B6462,"5 1 3 3 6 12 31111 6 M59 92000 000181 0000E 00001 00336 015 2112000 2024*")-SUMIFS(E5492:E6462,K5492:K6462,"0",B5492:B6462,"5 1 3 3 6 12 31111 6 M59 92000 000181 0000E 00001 00336 015 2112000 2024*")</f>
        <v>0</v>
      </c>
      <c r="E5491" s="54"/>
      <c r="F5491" s="83">
        <f>SUMIFS(F5492:F6462,K5492:K6462,"0",B5492:B6462,"5 1 3 3 6 12 31111 6 M59 92000 000181 0000E 00001 00336 015 2112000 2024*")</f>
        <v>12200.8</v>
      </c>
      <c r="G5491" s="83">
        <f>SUMIFS(G5492:G6462,K5492:K6462,"0",B5492:B6462,"5 1 3 3 6 12 31111 6 M59 92000 000181 0000E 00001 00336 015 2112000 2024*")</f>
        <v>0</v>
      </c>
      <c r="H5491" s="83">
        <f t="shared" si="86"/>
        <v>12200.8</v>
      </c>
      <c r="I5491" s="83"/>
      <c r="K5491" s="54" t="s">
        <v>15</v>
      </c>
    </row>
    <row r="5492" spans="2:11" ht="41.25" x14ac:dyDescent="0.2">
      <c r="B5492" s="82" t="s">
        <v>8670</v>
      </c>
      <c r="C5492" s="82" t="s">
        <v>1056</v>
      </c>
      <c r="D5492" s="83">
        <f>SUMIFS(D5493:D6462,K5493:K6462,"0",B5493:B6462,"5 1 3 3 6 12 31111 6 M59 92000 000181 0000E 00001 00336 015 2112000 2024 CP1RC399*")-SUMIFS(E5493:E6462,K5493:K6462,"0",B5493:B6462,"5 1 3 3 6 12 31111 6 M59 92000 000181 0000E 00001 00336 015 2112000 2024 CP1RC399*")</f>
        <v>0</v>
      </c>
      <c r="E5492" s="54"/>
      <c r="F5492" s="83">
        <f>SUMIFS(F5493:F6462,K5493:K6462,"0",B5493:B6462,"5 1 3 3 6 12 31111 6 M59 92000 000181 0000E 00001 00336 015 2112000 2024 CP1RC399*")</f>
        <v>12200.8</v>
      </c>
      <c r="G5492" s="83">
        <f>SUMIFS(G5493:G6462,K5493:K6462,"0",B5493:B6462,"5 1 3 3 6 12 31111 6 M59 92000 000181 0000E 00001 00336 015 2112000 2024 CP1RC399*")</f>
        <v>0</v>
      </c>
      <c r="H5492" s="83">
        <f t="shared" si="86"/>
        <v>12200.8</v>
      </c>
      <c r="I5492" s="83"/>
      <c r="K5492" s="54" t="s">
        <v>15</v>
      </c>
    </row>
    <row r="5493" spans="2:11" ht="41.25" x14ac:dyDescent="0.2">
      <c r="B5493" s="82" t="s">
        <v>8671</v>
      </c>
      <c r="C5493" s="82" t="s">
        <v>282</v>
      </c>
      <c r="D5493" s="83">
        <f>SUMIFS(D5494:D6462,K5494:K6462,"0",B5494:B6462,"5 1 3 3 6 12 31111 6 M59 92000 000181 0000E 00001 00336 015 2112000 2024 CP1RC399 001*")-SUMIFS(E5494:E6462,K5494:K6462,"0",B5494:B6462,"5 1 3 3 6 12 31111 6 M59 92000 000181 0000E 00001 00336 015 2112000 2024 CP1RC399 001*")</f>
        <v>0</v>
      </c>
      <c r="E5493" s="54"/>
      <c r="F5493" s="83">
        <f>SUMIFS(F5494:F6462,K5494:K6462,"0",B5494:B6462,"5 1 3 3 6 12 31111 6 M59 92000 000181 0000E 00001 00336 015 2112000 2024 CP1RC399 001*")</f>
        <v>12200.8</v>
      </c>
      <c r="G5493" s="83">
        <f>SUMIFS(G5494:G6462,K5494:K6462,"0",B5494:B6462,"5 1 3 3 6 12 31111 6 M59 92000 000181 0000E 00001 00336 015 2112000 2024 CP1RC399 001*")</f>
        <v>0</v>
      </c>
      <c r="H5493" s="83">
        <f t="shared" si="86"/>
        <v>12200.8</v>
      </c>
      <c r="I5493" s="83"/>
      <c r="K5493" s="54" t="s">
        <v>15</v>
      </c>
    </row>
    <row r="5494" spans="2:11" ht="33" x14ac:dyDescent="0.2">
      <c r="B5494" s="84" t="s">
        <v>8672</v>
      </c>
      <c r="C5494" s="84" t="s">
        <v>8561</v>
      </c>
      <c r="D5494" s="85">
        <v>0</v>
      </c>
      <c r="E5494" s="85"/>
      <c r="F5494" s="85">
        <v>12200.8</v>
      </c>
      <c r="G5494" s="85">
        <v>0</v>
      </c>
      <c r="H5494" s="85">
        <f t="shared" si="86"/>
        <v>12200.8</v>
      </c>
      <c r="I5494" s="85"/>
      <c r="K5494" s="54" t="s">
        <v>38</v>
      </c>
    </row>
    <row r="5495" spans="2:11" ht="16.5" x14ac:dyDescent="0.2">
      <c r="B5495" s="82" t="s">
        <v>8692</v>
      </c>
      <c r="C5495" s="82" t="s">
        <v>8693</v>
      </c>
      <c r="D5495" s="83">
        <f>SUMIFS(D5496:D6462,K5496:K6462,"0",B5496:B6462,"5 1 3 4*")-SUMIFS(E5496:E6462,K5496:K6462,"0",B5496:B6462,"5 1 3 4*")</f>
        <v>0</v>
      </c>
      <c r="E5495" s="54"/>
      <c r="F5495" s="83">
        <f>SUMIFS(F5496:F6462,K5496:K6462,"0",B5496:B6462,"5 1 3 4*")</f>
        <v>31288.399999999998</v>
      </c>
      <c r="G5495" s="83">
        <f>SUMIFS(G5496:G6462,K5496:K6462,"0",B5496:B6462,"5 1 3 4*")</f>
        <v>0</v>
      </c>
      <c r="H5495" s="83">
        <f t="shared" si="86"/>
        <v>31288.399999999998</v>
      </c>
      <c r="I5495" s="83"/>
      <c r="K5495" s="54" t="s">
        <v>15</v>
      </c>
    </row>
    <row r="5496" spans="2:11" ht="16.5" x14ac:dyDescent="0.2">
      <c r="B5496" s="82" t="s">
        <v>8694</v>
      </c>
      <c r="C5496" s="82" t="s">
        <v>8695</v>
      </c>
      <c r="D5496" s="83">
        <f>SUMIFS(D5497:D6462,K5497:K6462,"0",B5497:B6462,"5 1 3 4 1*")-SUMIFS(E5497:E6462,K5497:K6462,"0",B5497:B6462,"5 1 3 4 1*")</f>
        <v>0</v>
      </c>
      <c r="E5496" s="54"/>
      <c r="F5496" s="83">
        <f>SUMIFS(F5497:F6462,K5497:K6462,"0",B5497:B6462,"5 1 3 4 1*")</f>
        <v>30476.399999999998</v>
      </c>
      <c r="G5496" s="83">
        <f>SUMIFS(G5497:G6462,K5497:K6462,"0",B5497:B6462,"5 1 3 4 1*")</f>
        <v>0</v>
      </c>
      <c r="H5496" s="83">
        <f t="shared" si="86"/>
        <v>30476.399999999998</v>
      </c>
      <c r="I5496" s="83"/>
      <c r="K5496" s="54" t="s">
        <v>15</v>
      </c>
    </row>
    <row r="5497" spans="2:11" ht="12.75" x14ac:dyDescent="0.2">
      <c r="B5497" s="82" t="s">
        <v>8696</v>
      </c>
      <c r="C5497" s="82" t="s">
        <v>26</v>
      </c>
      <c r="D5497" s="83">
        <f>SUMIFS(D5498:D6462,K5498:K6462,"0",B5498:B6462,"5 1 3 4 1 12*")-SUMIFS(E5498:E6462,K5498:K6462,"0",B5498:B6462,"5 1 3 4 1 12*")</f>
        <v>0</v>
      </c>
      <c r="E5497" s="54"/>
      <c r="F5497" s="83">
        <f>SUMIFS(F5498:F6462,K5498:K6462,"0",B5498:B6462,"5 1 3 4 1 12*")</f>
        <v>30476.399999999998</v>
      </c>
      <c r="G5497" s="83">
        <f>SUMIFS(G5498:G6462,K5498:K6462,"0",B5498:B6462,"5 1 3 4 1 12*")</f>
        <v>0</v>
      </c>
      <c r="H5497" s="83">
        <f t="shared" si="86"/>
        <v>30476.399999999998</v>
      </c>
      <c r="I5497" s="83"/>
      <c r="K5497" s="54" t="s">
        <v>15</v>
      </c>
    </row>
    <row r="5498" spans="2:11" ht="16.5" x14ac:dyDescent="0.2">
      <c r="B5498" s="82" t="s">
        <v>8697</v>
      </c>
      <c r="C5498" s="82" t="s">
        <v>28</v>
      </c>
      <c r="D5498" s="83">
        <f>SUMIFS(D5499:D6462,K5499:K6462,"0",B5499:B6462,"5 1 3 4 1 12 31111*")-SUMIFS(E5499:E6462,K5499:K6462,"0",B5499:B6462,"5 1 3 4 1 12 31111*")</f>
        <v>0</v>
      </c>
      <c r="E5498" s="54"/>
      <c r="F5498" s="83">
        <f>SUMIFS(F5499:F6462,K5499:K6462,"0",B5499:B6462,"5 1 3 4 1 12 31111*")</f>
        <v>30476.399999999998</v>
      </c>
      <c r="G5498" s="83">
        <f>SUMIFS(G5499:G6462,K5499:K6462,"0",B5499:B6462,"5 1 3 4 1 12 31111*")</f>
        <v>0</v>
      </c>
      <c r="H5498" s="83">
        <f t="shared" si="86"/>
        <v>30476.399999999998</v>
      </c>
      <c r="I5498" s="83"/>
      <c r="K5498" s="54" t="s">
        <v>15</v>
      </c>
    </row>
    <row r="5499" spans="2:11" ht="12.75" x14ac:dyDescent="0.2">
      <c r="B5499" s="82" t="s">
        <v>8698</v>
      </c>
      <c r="C5499" s="82" t="s">
        <v>30</v>
      </c>
      <c r="D5499" s="83">
        <f>SUMIFS(D5500:D6462,K5500:K6462,"0",B5500:B6462,"5 1 3 4 1 12 31111 6*")-SUMIFS(E5500:E6462,K5500:K6462,"0",B5500:B6462,"5 1 3 4 1 12 31111 6*")</f>
        <v>0</v>
      </c>
      <c r="E5499" s="54"/>
      <c r="F5499" s="83">
        <f>SUMIFS(F5500:F6462,K5500:K6462,"0",B5500:B6462,"5 1 3 4 1 12 31111 6*")</f>
        <v>30476.399999999998</v>
      </c>
      <c r="G5499" s="83">
        <f>SUMIFS(G5500:G6462,K5500:K6462,"0",B5500:B6462,"5 1 3 4 1 12 31111 6*")</f>
        <v>0</v>
      </c>
      <c r="H5499" s="83">
        <f t="shared" si="86"/>
        <v>30476.399999999998</v>
      </c>
      <c r="I5499" s="83"/>
      <c r="K5499" s="54" t="s">
        <v>15</v>
      </c>
    </row>
    <row r="5500" spans="2:11" ht="16.5" x14ac:dyDescent="0.2">
      <c r="B5500" s="82" t="s">
        <v>8699</v>
      </c>
      <c r="C5500" s="82" t="s">
        <v>2284</v>
      </c>
      <c r="D5500" s="83">
        <f>SUMIFS(D5501:D6462,K5501:K6462,"0",B5501:B6462,"5 1 3 4 1 12 31111 6 M59*")-SUMIFS(E5501:E6462,K5501:K6462,"0",B5501:B6462,"5 1 3 4 1 12 31111 6 M59*")</f>
        <v>0</v>
      </c>
      <c r="E5500" s="54"/>
      <c r="F5500" s="83">
        <f>SUMIFS(F5501:F6462,K5501:K6462,"0",B5501:B6462,"5 1 3 4 1 12 31111 6 M59*")</f>
        <v>30476.399999999998</v>
      </c>
      <c r="G5500" s="83">
        <f>SUMIFS(G5501:G6462,K5501:K6462,"0",B5501:B6462,"5 1 3 4 1 12 31111 6 M59*")</f>
        <v>0</v>
      </c>
      <c r="H5500" s="83">
        <f t="shared" si="86"/>
        <v>30476.399999999998</v>
      </c>
      <c r="I5500" s="83"/>
      <c r="K5500" s="54" t="s">
        <v>15</v>
      </c>
    </row>
    <row r="5501" spans="2:11" ht="16.5" x14ac:dyDescent="0.2">
      <c r="B5501" s="82" t="s">
        <v>8700</v>
      </c>
      <c r="C5501" s="82" t="s">
        <v>1044</v>
      </c>
      <c r="D5501" s="83">
        <f>SUMIFS(D5502:D6462,K5502:K6462,"0",B5502:B6462,"5 1 3 4 1 12 31111 6 M59 19000*")-SUMIFS(E5502:E6462,K5502:K6462,"0",B5502:B6462,"5 1 3 4 1 12 31111 6 M59 19000*")</f>
        <v>0</v>
      </c>
      <c r="E5501" s="54"/>
      <c r="F5501" s="83">
        <f>SUMIFS(F5502:F6462,K5502:K6462,"0",B5502:B6462,"5 1 3 4 1 12 31111 6 M59 19000*")</f>
        <v>1900.37</v>
      </c>
      <c r="G5501" s="83">
        <f>SUMIFS(G5502:G6462,K5502:K6462,"0",B5502:B6462,"5 1 3 4 1 12 31111 6 M59 19000*")</f>
        <v>0</v>
      </c>
      <c r="H5501" s="83">
        <f t="shared" si="86"/>
        <v>1900.37</v>
      </c>
      <c r="I5501" s="83"/>
      <c r="K5501" s="54" t="s">
        <v>15</v>
      </c>
    </row>
    <row r="5502" spans="2:11" ht="16.5" x14ac:dyDescent="0.2">
      <c r="B5502" s="82" t="s">
        <v>8701</v>
      </c>
      <c r="C5502" s="82" t="s">
        <v>648</v>
      </c>
      <c r="D5502" s="83">
        <f>SUMIFS(D5503:D6462,K5503:K6462,"0",B5503:B6462,"5 1 3 4 1 12 31111 6 M59 19000 000132*")-SUMIFS(E5503:E6462,K5503:K6462,"0",B5503:B6462,"5 1 3 4 1 12 31111 6 M59 19000 000132*")</f>
        <v>0</v>
      </c>
      <c r="E5502" s="54"/>
      <c r="F5502" s="83">
        <f>SUMIFS(F5503:F6462,K5503:K6462,"0",B5503:B6462,"5 1 3 4 1 12 31111 6 M59 19000 000132*")</f>
        <v>1900.37</v>
      </c>
      <c r="G5502" s="83">
        <f>SUMIFS(G5503:G6462,K5503:K6462,"0",B5503:B6462,"5 1 3 4 1 12 31111 6 M59 19000 000132*")</f>
        <v>0</v>
      </c>
      <c r="H5502" s="83">
        <f t="shared" si="86"/>
        <v>1900.37</v>
      </c>
      <c r="I5502" s="83"/>
      <c r="K5502" s="54" t="s">
        <v>15</v>
      </c>
    </row>
    <row r="5503" spans="2:11" ht="24.75" x14ac:dyDescent="0.2">
      <c r="B5503" s="82" t="s">
        <v>8702</v>
      </c>
      <c r="C5503" s="82" t="s">
        <v>650</v>
      </c>
      <c r="D5503" s="83">
        <f>SUMIFS(D5504:D6462,K5504:K6462,"0",B5504:B6462,"5 1 3 4 1 12 31111 6 M59 19000 000132 0000R*")-SUMIFS(E5504:E6462,K5504:K6462,"0",B5504:B6462,"5 1 3 4 1 12 31111 6 M59 19000 000132 0000R*")</f>
        <v>0</v>
      </c>
      <c r="E5503" s="54"/>
      <c r="F5503" s="83">
        <f>SUMIFS(F5504:F6462,K5504:K6462,"0",B5504:B6462,"5 1 3 4 1 12 31111 6 M59 19000 000132 0000R*")</f>
        <v>1900.37</v>
      </c>
      <c r="G5503" s="83">
        <f>SUMIFS(G5504:G6462,K5504:K6462,"0",B5504:B6462,"5 1 3 4 1 12 31111 6 M59 19000 000132 0000R*")</f>
        <v>0</v>
      </c>
      <c r="H5503" s="83">
        <f t="shared" si="86"/>
        <v>1900.37</v>
      </c>
      <c r="I5503" s="83"/>
      <c r="K5503" s="54" t="s">
        <v>15</v>
      </c>
    </row>
    <row r="5504" spans="2:11" ht="24.75" x14ac:dyDescent="0.2">
      <c r="B5504" s="82" t="s">
        <v>8703</v>
      </c>
      <c r="C5504" s="82" t="s">
        <v>282</v>
      </c>
      <c r="D5504" s="83">
        <f>SUMIFS(D5505:D6462,K5505:K6462,"0",B5505:B6462,"5 1 3 4 1 12 31111 6 M59 19000 000132 0000R 00001*")-SUMIFS(E5505:E6462,K5505:K6462,"0",B5505:B6462,"5 1 3 4 1 12 31111 6 M59 19000 000132 0000R 00001*")</f>
        <v>0</v>
      </c>
      <c r="E5504" s="54"/>
      <c r="F5504" s="83">
        <f>SUMIFS(F5505:F6462,K5505:K6462,"0",B5505:B6462,"5 1 3 4 1 12 31111 6 M59 19000 000132 0000R 00001*")</f>
        <v>1900.37</v>
      </c>
      <c r="G5504" s="83">
        <f>SUMIFS(G5505:G6462,K5505:K6462,"0",B5505:B6462,"5 1 3 4 1 12 31111 6 M59 19000 000132 0000R 00001*")</f>
        <v>0</v>
      </c>
      <c r="H5504" s="83">
        <f t="shared" si="86"/>
        <v>1900.37</v>
      </c>
      <c r="I5504" s="83"/>
      <c r="K5504" s="54" t="s">
        <v>15</v>
      </c>
    </row>
    <row r="5505" spans="2:11" ht="24.75" x14ac:dyDescent="0.2">
      <c r="B5505" s="82" t="s">
        <v>8704</v>
      </c>
      <c r="C5505" s="82" t="s">
        <v>8705</v>
      </c>
      <c r="D5505" s="83">
        <f>SUMIFS(D5506:D6462,K5506:K6462,"0",B5506:B6462,"5 1 3 4 1 12 31111 6 M59 19000 000132 0000R 00001 00341*")-SUMIFS(E5506:E6462,K5506:K6462,"0",B5506:B6462,"5 1 3 4 1 12 31111 6 M59 19000 000132 0000R 00001 00341*")</f>
        <v>0</v>
      </c>
      <c r="E5505" s="54"/>
      <c r="F5505" s="83">
        <f>SUMIFS(F5506:F6462,K5506:K6462,"0",B5506:B6462,"5 1 3 4 1 12 31111 6 M59 19000 000132 0000R 00001 00341*")</f>
        <v>1900.37</v>
      </c>
      <c r="G5505" s="83">
        <f>SUMIFS(G5506:G6462,K5506:K6462,"0",B5506:B6462,"5 1 3 4 1 12 31111 6 M59 19000 000132 0000R 00001 00341*")</f>
        <v>0</v>
      </c>
      <c r="H5505" s="83">
        <f t="shared" si="86"/>
        <v>1900.37</v>
      </c>
      <c r="I5505" s="83"/>
      <c r="K5505" s="54" t="s">
        <v>15</v>
      </c>
    </row>
    <row r="5506" spans="2:11" ht="33" x14ac:dyDescent="0.2">
      <c r="B5506" s="82" t="s">
        <v>8712</v>
      </c>
      <c r="C5506" s="82" t="s">
        <v>1051</v>
      </c>
      <c r="D5506" s="83">
        <f>SUMIFS(D5507:D6462,K5507:K6462,"0",B5507:B6462,"5 1 3 4 1 12 31111 6 M59 19000 000132 0000R 00001 00341 015*")-SUMIFS(E5507:E6462,K5507:K6462,"0",B5507:B6462,"5 1 3 4 1 12 31111 6 M59 19000 000132 0000R 00001 00341 015*")</f>
        <v>0</v>
      </c>
      <c r="E5506" s="54"/>
      <c r="F5506" s="83">
        <f>SUMIFS(F5507:F6462,K5507:K6462,"0",B5507:B6462,"5 1 3 4 1 12 31111 6 M59 19000 000132 0000R 00001 00341 015*")</f>
        <v>1900.37</v>
      </c>
      <c r="G5506" s="83">
        <f>SUMIFS(G5507:G6462,K5507:K6462,"0",B5507:B6462,"5 1 3 4 1 12 31111 6 M59 19000 000132 0000R 00001 00341 015*")</f>
        <v>0</v>
      </c>
      <c r="H5506" s="83">
        <f t="shared" si="86"/>
        <v>1900.37</v>
      </c>
      <c r="I5506" s="83"/>
      <c r="K5506" s="54" t="s">
        <v>15</v>
      </c>
    </row>
    <row r="5507" spans="2:11" ht="33" x14ac:dyDescent="0.2">
      <c r="B5507" s="82" t="s">
        <v>8713</v>
      </c>
      <c r="C5507" s="82" t="s">
        <v>5830</v>
      </c>
      <c r="D5507" s="83">
        <f>SUMIFS(D5508:D6462,K5508:K6462,"0",B5508:B6462,"5 1 3 4 1 12 31111 6 M59 19000 000132 0000R 00001 00341 015 2112000*")-SUMIFS(E5508:E6462,K5508:K6462,"0",B5508:B6462,"5 1 3 4 1 12 31111 6 M59 19000 000132 0000R 00001 00341 015 2112000*")</f>
        <v>0</v>
      </c>
      <c r="E5507" s="54"/>
      <c r="F5507" s="83">
        <f>SUMIFS(F5508:F6462,K5508:K6462,"0",B5508:B6462,"5 1 3 4 1 12 31111 6 M59 19000 000132 0000R 00001 00341 015 2112000*")</f>
        <v>1900.37</v>
      </c>
      <c r="G5507" s="83">
        <f>SUMIFS(G5508:G6462,K5508:K6462,"0",B5508:B6462,"5 1 3 4 1 12 31111 6 M59 19000 000132 0000R 00001 00341 015 2112000*")</f>
        <v>0</v>
      </c>
      <c r="H5507" s="83">
        <f t="shared" si="86"/>
        <v>1900.37</v>
      </c>
      <c r="I5507" s="83"/>
      <c r="K5507" s="54" t="s">
        <v>15</v>
      </c>
    </row>
    <row r="5508" spans="2:11" ht="33" x14ac:dyDescent="0.2">
      <c r="B5508" s="82" t="s">
        <v>8714</v>
      </c>
      <c r="C5508" s="82" t="s">
        <v>660</v>
      </c>
      <c r="D5508" s="83">
        <f>SUMIFS(D5509:D6462,K5509:K6462,"0",B5509:B6462,"5 1 3 4 1 12 31111 6 M59 19000 000132 0000R 00001 00341 015 2112000 2024*")-SUMIFS(E5509:E6462,K5509:K6462,"0",B5509:B6462,"5 1 3 4 1 12 31111 6 M59 19000 000132 0000R 00001 00341 015 2112000 2024*")</f>
        <v>0</v>
      </c>
      <c r="E5508" s="54"/>
      <c r="F5508" s="83">
        <f>SUMIFS(F5509:F6462,K5509:K6462,"0",B5509:B6462,"5 1 3 4 1 12 31111 6 M59 19000 000132 0000R 00001 00341 015 2112000 2024*")</f>
        <v>1900.37</v>
      </c>
      <c r="G5508" s="83">
        <f>SUMIFS(G5509:G6462,K5509:K6462,"0",B5509:B6462,"5 1 3 4 1 12 31111 6 M59 19000 000132 0000R 00001 00341 015 2112000 2024*")</f>
        <v>0</v>
      </c>
      <c r="H5508" s="83">
        <f t="shared" si="86"/>
        <v>1900.37</v>
      </c>
      <c r="I5508" s="83"/>
      <c r="K5508" s="54" t="s">
        <v>15</v>
      </c>
    </row>
    <row r="5509" spans="2:11" ht="41.25" x14ac:dyDescent="0.2">
      <c r="B5509" s="82" t="s">
        <v>8715</v>
      </c>
      <c r="C5509" s="82" t="s">
        <v>662</v>
      </c>
      <c r="D5509" s="83">
        <f>SUMIFS(D5510:D6462,K5510:K6462,"0",B5510:B6462,"5 1 3 4 1 12 31111 6 M59 19000 000132 0000R 00001 00341 015 2112000 2024 CP1TM440*")-SUMIFS(E5510:E6462,K5510:K6462,"0",B5510:B6462,"5 1 3 4 1 12 31111 6 M59 19000 000132 0000R 00001 00341 015 2112000 2024 CP1TM440*")</f>
        <v>0</v>
      </c>
      <c r="E5509" s="54"/>
      <c r="F5509" s="83">
        <f>SUMIFS(F5510:F6462,K5510:K6462,"0",B5510:B6462,"5 1 3 4 1 12 31111 6 M59 19000 000132 0000R 00001 00341 015 2112000 2024 CP1TM440*")</f>
        <v>1900.37</v>
      </c>
      <c r="G5509" s="83">
        <f>SUMIFS(G5510:G6462,K5510:K6462,"0",B5510:B6462,"5 1 3 4 1 12 31111 6 M59 19000 000132 0000R 00001 00341 015 2112000 2024 CP1TM440*")</f>
        <v>0</v>
      </c>
      <c r="H5509" s="83">
        <f t="shared" si="86"/>
        <v>1900.37</v>
      </c>
      <c r="I5509" s="83"/>
      <c r="K5509" s="54" t="s">
        <v>15</v>
      </c>
    </row>
    <row r="5510" spans="2:11" ht="41.25" x14ac:dyDescent="0.2">
      <c r="B5510" s="82" t="s">
        <v>8716</v>
      </c>
      <c r="C5510" s="82" t="s">
        <v>282</v>
      </c>
      <c r="D5510" s="83">
        <f>SUMIFS(D5511:D6462,K5511:K6462,"0",B5511:B6462,"5 1 3 4 1 12 31111 6 M59 19000 000132 0000R 00001 00341 015 2112000 2024 CP1TM440 001*")-SUMIFS(E5511:E6462,K5511:K6462,"0",B5511:B6462,"5 1 3 4 1 12 31111 6 M59 19000 000132 0000R 00001 00341 015 2112000 2024 CP1TM440 001*")</f>
        <v>0</v>
      </c>
      <c r="E5510" s="54"/>
      <c r="F5510" s="83">
        <f>SUMIFS(F5511:F6462,K5511:K6462,"0",B5511:B6462,"5 1 3 4 1 12 31111 6 M59 19000 000132 0000R 00001 00341 015 2112000 2024 CP1TM440 001*")</f>
        <v>1900.37</v>
      </c>
      <c r="G5510" s="83">
        <f>SUMIFS(G5511:G6462,K5511:K6462,"0",B5511:B6462,"5 1 3 4 1 12 31111 6 M59 19000 000132 0000R 00001 00341 015 2112000 2024 CP1TM440 001*")</f>
        <v>0</v>
      </c>
      <c r="H5510" s="83">
        <f t="shared" si="86"/>
        <v>1900.37</v>
      </c>
      <c r="I5510" s="83"/>
      <c r="K5510" s="54" t="s">
        <v>15</v>
      </c>
    </row>
    <row r="5511" spans="2:11" ht="33" x14ac:dyDescent="0.2">
      <c r="B5511" s="84" t="s">
        <v>8717</v>
      </c>
      <c r="C5511" s="84" t="s">
        <v>8705</v>
      </c>
      <c r="D5511" s="85">
        <v>0</v>
      </c>
      <c r="E5511" s="85"/>
      <c r="F5511" s="85">
        <v>1900.37</v>
      </c>
      <c r="G5511" s="85">
        <v>0</v>
      </c>
      <c r="H5511" s="85">
        <f t="shared" si="86"/>
        <v>1900.37</v>
      </c>
      <c r="I5511" s="85"/>
      <c r="K5511" s="54" t="s">
        <v>38</v>
      </c>
    </row>
    <row r="5512" spans="2:11" ht="16.5" x14ac:dyDescent="0.2">
      <c r="B5512" s="82" t="s">
        <v>8731</v>
      </c>
      <c r="C5512" s="82" t="s">
        <v>1061</v>
      </c>
      <c r="D5512" s="83">
        <f>SUMIFS(D5513:D6462,K5513:K6462,"0",B5513:B6462,"5 1 3 4 1 12 31111 6 M59 20300*")-SUMIFS(E5513:E6462,K5513:K6462,"0",B5513:B6462,"5 1 3 4 1 12 31111 6 M59 20300*")</f>
        <v>0</v>
      </c>
      <c r="E5512" s="54"/>
      <c r="F5512" s="83">
        <f>SUMIFS(F5513:F6462,K5513:K6462,"0",B5513:B6462,"5 1 3 4 1 12 31111 6 M59 20300*")</f>
        <v>28576.03</v>
      </c>
      <c r="G5512" s="83">
        <f>SUMIFS(G5513:G6462,K5513:K6462,"0",B5513:B6462,"5 1 3 4 1 12 31111 6 M59 20300*")</f>
        <v>0</v>
      </c>
      <c r="H5512" s="83">
        <f t="shared" si="86"/>
        <v>28576.03</v>
      </c>
      <c r="I5512" s="83"/>
      <c r="K5512" s="54" t="s">
        <v>15</v>
      </c>
    </row>
    <row r="5513" spans="2:11" ht="16.5" x14ac:dyDescent="0.2">
      <c r="B5513" s="82" t="s">
        <v>8732</v>
      </c>
      <c r="C5513" s="82" t="s">
        <v>648</v>
      </c>
      <c r="D5513" s="83">
        <f>SUMIFS(D5514:D6462,K5514:K6462,"0",B5514:B6462,"5 1 3 4 1 12 31111 6 M59 20300 000132*")-SUMIFS(E5514:E6462,K5514:K6462,"0",B5514:B6462,"5 1 3 4 1 12 31111 6 M59 20300 000132*")</f>
        <v>0</v>
      </c>
      <c r="E5513" s="54"/>
      <c r="F5513" s="83">
        <f>SUMIFS(F5514:F6462,K5514:K6462,"0",B5514:B6462,"5 1 3 4 1 12 31111 6 M59 20300 000132*")</f>
        <v>28576.03</v>
      </c>
      <c r="G5513" s="83">
        <f>SUMIFS(G5514:G6462,K5514:K6462,"0",B5514:B6462,"5 1 3 4 1 12 31111 6 M59 20300 000132*")</f>
        <v>0</v>
      </c>
      <c r="H5513" s="83">
        <f t="shared" si="86"/>
        <v>28576.03</v>
      </c>
      <c r="I5513" s="83"/>
      <c r="K5513" s="54" t="s">
        <v>15</v>
      </c>
    </row>
    <row r="5514" spans="2:11" ht="24.75" x14ac:dyDescent="0.2">
      <c r="B5514" s="82" t="s">
        <v>8733</v>
      </c>
      <c r="C5514" s="82" t="s">
        <v>650</v>
      </c>
      <c r="D5514" s="83">
        <f>SUMIFS(D5515:D6462,K5515:K6462,"0",B5515:B6462,"5 1 3 4 1 12 31111 6 M59 20300 000132 0000R*")-SUMIFS(E5515:E6462,K5515:K6462,"0",B5515:B6462,"5 1 3 4 1 12 31111 6 M59 20300 000132 0000R*")</f>
        <v>0</v>
      </c>
      <c r="E5514" s="54"/>
      <c r="F5514" s="83">
        <f>SUMIFS(F5515:F6462,K5515:K6462,"0",B5515:B6462,"5 1 3 4 1 12 31111 6 M59 20300 000132 0000R*")</f>
        <v>28576.03</v>
      </c>
      <c r="G5514" s="83">
        <f>SUMIFS(G5515:G6462,K5515:K6462,"0",B5515:B6462,"5 1 3 4 1 12 31111 6 M59 20300 000132 0000R*")</f>
        <v>0</v>
      </c>
      <c r="H5514" s="83">
        <f t="shared" si="86"/>
        <v>28576.03</v>
      </c>
      <c r="I5514" s="83"/>
      <c r="K5514" s="54" t="s">
        <v>15</v>
      </c>
    </row>
    <row r="5515" spans="2:11" ht="24.75" x14ac:dyDescent="0.2">
      <c r="B5515" s="82" t="s">
        <v>8734</v>
      </c>
      <c r="C5515" s="82" t="s">
        <v>282</v>
      </c>
      <c r="D5515" s="83">
        <f>SUMIFS(D5516:D6462,K5516:K6462,"0",B5516:B6462,"5 1 3 4 1 12 31111 6 M59 20300 000132 0000R 00001*")-SUMIFS(E5516:E6462,K5516:K6462,"0",B5516:B6462,"5 1 3 4 1 12 31111 6 M59 20300 000132 0000R 00001*")</f>
        <v>0</v>
      </c>
      <c r="E5515" s="54"/>
      <c r="F5515" s="83">
        <f>SUMIFS(F5516:F6462,K5516:K6462,"0",B5516:B6462,"5 1 3 4 1 12 31111 6 M59 20300 000132 0000R 00001*")</f>
        <v>28576.03</v>
      </c>
      <c r="G5515" s="83">
        <f>SUMIFS(G5516:G6462,K5516:K6462,"0",B5516:B6462,"5 1 3 4 1 12 31111 6 M59 20300 000132 0000R 00001*")</f>
        <v>0</v>
      </c>
      <c r="H5515" s="83">
        <f t="shared" si="86"/>
        <v>28576.03</v>
      </c>
      <c r="I5515" s="83"/>
      <c r="K5515" s="54" t="s">
        <v>15</v>
      </c>
    </row>
    <row r="5516" spans="2:11" ht="24.75" x14ac:dyDescent="0.2">
      <c r="B5516" s="82" t="s">
        <v>8735</v>
      </c>
      <c r="C5516" s="82" t="s">
        <v>8705</v>
      </c>
      <c r="D5516" s="83">
        <f>SUMIFS(D5517:D6462,K5517:K6462,"0",B5517:B6462,"5 1 3 4 1 12 31111 6 M59 20300 000132 0000R 00001 00341*")-SUMIFS(E5517:E6462,K5517:K6462,"0",B5517:B6462,"5 1 3 4 1 12 31111 6 M59 20300 000132 0000R 00001 00341*")</f>
        <v>0</v>
      </c>
      <c r="E5516" s="54"/>
      <c r="F5516" s="83">
        <f>SUMIFS(F5517:F6462,K5517:K6462,"0",B5517:B6462,"5 1 3 4 1 12 31111 6 M59 20300 000132 0000R 00001 00341*")</f>
        <v>28576.03</v>
      </c>
      <c r="G5516" s="83">
        <f>SUMIFS(G5517:G6462,K5517:K6462,"0",B5517:B6462,"5 1 3 4 1 12 31111 6 M59 20300 000132 0000R 00001 00341*")</f>
        <v>0</v>
      </c>
      <c r="H5516" s="83">
        <f t="shared" si="86"/>
        <v>28576.03</v>
      </c>
      <c r="I5516" s="83"/>
      <c r="K5516" s="54" t="s">
        <v>15</v>
      </c>
    </row>
    <row r="5517" spans="2:11" ht="33" x14ac:dyDescent="0.2">
      <c r="B5517" s="82" t="s">
        <v>8736</v>
      </c>
      <c r="C5517" s="82" t="s">
        <v>1051</v>
      </c>
      <c r="D5517" s="83">
        <f>SUMIFS(D5518:D6462,K5518:K6462,"0",B5518:B6462,"5 1 3 4 1 12 31111 6 M59 20300 000132 0000R 00001 00341 015*")-SUMIFS(E5518:E6462,K5518:K6462,"0",B5518:B6462,"5 1 3 4 1 12 31111 6 M59 20300 000132 0000R 00001 00341 015*")</f>
        <v>0</v>
      </c>
      <c r="E5517" s="54"/>
      <c r="F5517" s="83">
        <f>SUMIFS(F5518:F6462,K5518:K6462,"0",B5518:B6462,"5 1 3 4 1 12 31111 6 M59 20300 000132 0000R 00001 00341 015*")</f>
        <v>28576.03</v>
      </c>
      <c r="G5517" s="83">
        <f>SUMIFS(G5518:G6462,K5518:K6462,"0",B5518:B6462,"5 1 3 4 1 12 31111 6 M59 20300 000132 0000R 00001 00341 015*")</f>
        <v>0</v>
      </c>
      <c r="H5517" s="83">
        <f t="shared" si="86"/>
        <v>28576.03</v>
      </c>
      <c r="I5517" s="83"/>
      <c r="K5517" s="54" t="s">
        <v>15</v>
      </c>
    </row>
    <row r="5518" spans="2:11" ht="33" x14ac:dyDescent="0.2">
      <c r="B5518" s="82" t="s">
        <v>8737</v>
      </c>
      <c r="C5518" s="82" t="s">
        <v>5830</v>
      </c>
      <c r="D5518" s="83">
        <f>SUMIFS(D5519:D6462,K5519:K6462,"0",B5519:B6462,"5 1 3 4 1 12 31111 6 M59 20300 000132 0000R 00001 00341 015 2112000*")-SUMIFS(E5519:E6462,K5519:K6462,"0",B5519:B6462,"5 1 3 4 1 12 31111 6 M59 20300 000132 0000R 00001 00341 015 2112000*")</f>
        <v>0</v>
      </c>
      <c r="E5518" s="54"/>
      <c r="F5518" s="83">
        <f>SUMIFS(F5519:F6462,K5519:K6462,"0",B5519:B6462,"5 1 3 4 1 12 31111 6 M59 20300 000132 0000R 00001 00341 015 2112000*")</f>
        <v>28576.03</v>
      </c>
      <c r="G5518" s="83">
        <f>SUMIFS(G5519:G6462,K5519:K6462,"0",B5519:B6462,"5 1 3 4 1 12 31111 6 M59 20300 000132 0000R 00001 00341 015 2112000*")</f>
        <v>0</v>
      </c>
      <c r="H5518" s="83">
        <f t="shared" si="86"/>
        <v>28576.03</v>
      </c>
      <c r="I5518" s="83"/>
      <c r="K5518" s="54" t="s">
        <v>15</v>
      </c>
    </row>
    <row r="5519" spans="2:11" ht="33" x14ac:dyDescent="0.2">
      <c r="B5519" s="82" t="s">
        <v>8738</v>
      </c>
      <c r="C5519" s="82" t="s">
        <v>660</v>
      </c>
      <c r="D5519" s="83">
        <f>SUMIFS(D5520:D6462,K5520:K6462,"0",B5520:B6462,"5 1 3 4 1 12 31111 6 M59 20300 000132 0000R 00001 00341 015 2112000 2024*")-SUMIFS(E5520:E6462,K5520:K6462,"0",B5520:B6462,"5 1 3 4 1 12 31111 6 M59 20300 000132 0000R 00001 00341 015 2112000 2024*")</f>
        <v>0</v>
      </c>
      <c r="E5519" s="54"/>
      <c r="F5519" s="83">
        <f>SUMIFS(F5520:F6462,K5520:K6462,"0",B5520:B6462,"5 1 3 4 1 12 31111 6 M59 20300 000132 0000R 00001 00341 015 2112000 2024*")</f>
        <v>28576.03</v>
      </c>
      <c r="G5519" s="83">
        <f>SUMIFS(G5520:G6462,K5520:K6462,"0",B5520:B6462,"5 1 3 4 1 12 31111 6 M59 20300 000132 0000R 00001 00341 015 2112000 2024*")</f>
        <v>0</v>
      </c>
      <c r="H5519" s="83">
        <f t="shared" si="86"/>
        <v>28576.03</v>
      </c>
      <c r="I5519" s="83"/>
      <c r="K5519" s="54" t="s">
        <v>15</v>
      </c>
    </row>
    <row r="5520" spans="2:11" ht="41.25" x14ac:dyDescent="0.2">
      <c r="B5520" s="82" t="s">
        <v>8739</v>
      </c>
      <c r="C5520" s="82" t="s">
        <v>662</v>
      </c>
      <c r="D5520" s="83">
        <f>SUMIFS(D5521:D6462,K5521:K6462,"0",B5521:B6462,"5 1 3 4 1 12 31111 6 M59 20300 000132 0000R 00001 00341 015 2112000 2024 CP1DE415*")-SUMIFS(E5521:E6462,K5521:K6462,"0",B5521:B6462,"5 1 3 4 1 12 31111 6 M59 20300 000132 0000R 00001 00341 015 2112000 2024 CP1DE415*")</f>
        <v>0</v>
      </c>
      <c r="E5520" s="54"/>
      <c r="F5520" s="83">
        <f>SUMIFS(F5521:F6462,K5521:K6462,"0",B5521:B6462,"5 1 3 4 1 12 31111 6 M59 20300 000132 0000R 00001 00341 015 2112000 2024 CP1DE415*")</f>
        <v>28576.03</v>
      </c>
      <c r="G5520" s="83">
        <f>SUMIFS(G5521:G6462,K5521:K6462,"0",B5521:B6462,"5 1 3 4 1 12 31111 6 M59 20300 000132 0000R 00001 00341 015 2112000 2024 CP1DE415*")</f>
        <v>0</v>
      </c>
      <c r="H5520" s="83">
        <f t="shared" si="86"/>
        <v>28576.03</v>
      </c>
      <c r="I5520" s="83"/>
      <c r="K5520" s="54" t="s">
        <v>15</v>
      </c>
    </row>
    <row r="5521" spans="2:11" ht="41.25" x14ac:dyDescent="0.2">
      <c r="B5521" s="82" t="s">
        <v>8740</v>
      </c>
      <c r="C5521" s="82" t="s">
        <v>282</v>
      </c>
      <c r="D5521" s="83">
        <f>SUMIFS(D5522:D6462,K5522:K6462,"0",B5522:B6462,"5 1 3 4 1 12 31111 6 M59 20300 000132 0000R 00001 00341 015 2112000 2024 CP1DE415 001*")-SUMIFS(E5522:E6462,K5522:K6462,"0",B5522:B6462,"5 1 3 4 1 12 31111 6 M59 20300 000132 0000R 00001 00341 015 2112000 2024 CP1DE415 001*")</f>
        <v>0</v>
      </c>
      <c r="E5521" s="54"/>
      <c r="F5521" s="83">
        <f>SUMIFS(F5522:F6462,K5522:K6462,"0",B5522:B6462,"5 1 3 4 1 12 31111 6 M59 20300 000132 0000R 00001 00341 015 2112000 2024 CP1DE415 001*")</f>
        <v>28576.03</v>
      </c>
      <c r="G5521" s="83">
        <f>SUMIFS(G5522:G6462,K5522:K6462,"0",B5522:B6462,"5 1 3 4 1 12 31111 6 M59 20300 000132 0000R 00001 00341 015 2112000 2024 CP1DE415 001*")</f>
        <v>0</v>
      </c>
      <c r="H5521" s="83">
        <f t="shared" si="86"/>
        <v>28576.03</v>
      </c>
      <c r="I5521" s="83"/>
      <c r="K5521" s="54" t="s">
        <v>15</v>
      </c>
    </row>
    <row r="5522" spans="2:11" ht="41.25" x14ac:dyDescent="0.2">
      <c r="B5522" s="84" t="s">
        <v>8741</v>
      </c>
      <c r="C5522" s="84" t="s">
        <v>8695</v>
      </c>
      <c r="D5522" s="85">
        <v>0</v>
      </c>
      <c r="E5522" s="85"/>
      <c r="F5522" s="85">
        <v>28576.03</v>
      </c>
      <c r="G5522" s="85">
        <v>0</v>
      </c>
      <c r="H5522" s="85">
        <f t="shared" si="86"/>
        <v>28576.03</v>
      </c>
      <c r="I5522" s="85"/>
      <c r="K5522" s="54" t="s">
        <v>38</v>
      </c>
    </row>
    <row r="5523" spans="2:11" ht="12.75" x14ac:dyDescent="0.2">
      <c r="B5523" s="82" t="s">
        <v>8795</v>
      </c>
      <c r="C5523" s="82" t="s">
        <v>8796</v>
      </c>
      <c r="D5523" s="83">
        <f>SUMIFS(D5524:D6462,K5524:K6462,"0",B5524:B6462,"5 1 3 4 7*")-SUMIFS(E5524:E6462,K5524:K6462,"0",B5524:B6462,"5 1 3 4 7*")</f>
        <v>0</v>
      </c>
      <c r="E5523" s="54"/>
      <c r="F5523" s="83">
        <f>SUMIFS(F5524:F6462,K5524:K6462,"0",B5524:B6462,"5 1 3 4 7*")</f>
        <v>812</v>
      </c>
      <c r="G5523" s="83">
        <f>SUMIFS(G5524:G6462,K5524:K6462,"0",B5524:B6462,"5 1 3 4 7*")</f>
        <v>0</v>
      </c>
      <c r="H5523" s="83">
        <f t="shared" si="86"/>
        <v>812</v>
      </c>
      <c r="I5523" s="83"/>
      <c r="K5523" s="54" t="s">
        <v>15</v>
      </c>
    </row>
    <row r="5524" spans="2:11" ht="12.75" x14ac:dyDescent="0.2">
      <c r="B5524" s="82" t="s">
        <v>8797</v>
      </c>
      <c r="C5524" s="82" t="s">
        <v>26</v>
      </c>
      <c r="D5524" s="83">
        <f>SUMIFS(D5525:D6462,K5525:K6462,"0",B5525:B6462,"5 1 3 4 7 12*")-SUMIFS(E5525:E6462,K5525:K6462,"0",B5525:B6462,"5 1 3 4 7 12*")</f>
        <v>0</v>
      </c>
      <c r="E5524" s="54"/>
      <c r="F5524" s="83">
        <f>SUMIFS(F5525:F6462,K5525:K6462,"0",B5525:B6462,"5 1 3 4 7 12*")</f>
        <v>812</v>
      </c>
      <c r="G5524" s="83">
        <f>SUMIFS(G5525:G6462,K5525:K6462,"0",B5525:B6462,"5 1 3 4 7 12*")</f>
        <v>0</v>
      </c>
      <c r="H5524" s="83">
        <f t="shared" si="86"/>
        <v>812</v>
      </c>
      <c r="I5524" s="83"/>
      <c r="K5524" s="54" t="s">
        <v>15</v>
      </c>
    </row>
    <row r="5525" spans="2:11" ht="16.5" x14ac:dyDescent="0.2">
      <c r="B5525" s="82" t="s">
        <v>8798</v>
      </c>
      <c r="C5525" s="82" t="s">
        <v>28</v>
      </c>
      <c r="D5525" s="83">
        <f>SUMIFS(D5526:D6462,K5526:K6462,"0",B5526:B6462,"5 1 3 4 7 12 31111*")-SUMIFS(E5526:E6462,K5526:K6462,"0",B5526:B6462,"5 1 3 4 7 12 31111*")</f>
        <v>0</v>
      </c>
      <c r="E5525" s="54"/>
      <c r="F5525" s="83">
        <f>SUMIFS(F5526:F6462,K5526:K6462,"0",B5526:B6462,"5 1 3 4 7 12 31111*")</f>
        <v>812</v>
      </c>
      <c r="G5525" s="83">
        <f>SUMIFS(G5526:G6462,K5526:K6462,"0",B5526:B6462,"5 1 3 4 7 12 31111*")</f>
        <v>0</v>
      </c>
      <c r="H5525" s="83">
        <f t="shared" si="86"/>
        <v>812</v>
      </c>
      <c r="I5525" s="83"/>
      <c r="K5525" s="54" t="s">
        <v>15</v>
      </c>
    </row>
    <row r="5526" spans="2:11" ht="12.75" x14ac:dyDescent="0.2">
      <c r="B5526" s="82" t="s">
        <v>8799</v>
      </c>
      <c r="C5526" s="82" t="s">
        <v>30</v>
      </c>
      <c r="D5526" s="83">
        <f>SUMIFS(D5527:D6462,K5527:K6462,"0",B5527:B6462,"5 1 3 4 7 12 31111 6*")-SUMIFS(E5527:E6462,K5527:K6462,"0",B5527:B6462,"5 1 3 4 7 12 31111 6*")</f>
        <v>0</v>
      </c>
      <c r="E5526" s="54"/>
      <c r="F5526" s="83">
        <f>SUMIFS(F5527:F6462,K5527:K6462,"0",B5527:B6462,"5 1 3 4 7 12 31111 6*")</f>
        <v>812</v>
      </c>
      <c r="G5526" s="83">
        <f>SUMIFS(G5527:G6462,K5527:K6462,"0",B5527:B6462,"5 1 3 4 7 12 31111 6*")</f>
        <v>0</v>
      </c>
      <c r="H5526" s="83">
        <f t="shared" si="86"/>
        <v>812</v>
      </c>
      <c r="I5526" s="83"/>
      <c r="K5526" s="54" t="s">
        <v>15</v>
      </c>
    </row>
    <row r="5527" spans="2:11" ht="16.5" x14ac:dyDescent="0.2">
      <c r="B5527" s="82" t="s">
        <v>8800</v>
      </c>
      <c r="C5527" s="82" t="s">
        <v>2284</v>
      </c>
      <c r="D5527" s="83">
        <f>SUMIFS(D5528:D6462,K5528:K6462,"0",B5528:B6462,"5 1 3 4 7 12 31111 6 M59*")-SUMIFS(E5528:E6462,K5528:K6462,"0",B5528:B6462,"5 1 3 4 7 12 31111 6 M59*")</f>
        <v>0</v>
      </c>
      <c r="E5527" s="54"/>
      <c r="F5527" s="83">
        <f>SUMIFS(F5528:F6462,K5528:K6462,"0",B5528:B6462,"5 1 3 4 7 12 31111 6 M59*")</f>
        <v>812</v>
      </c>
      <c r="G5527" s="83">
        <f>SUMIFS(G5528:G6462,K5528:K6462,"0",B5528:B6462,"5 1 3 4 7 12 31111 6 M59*")</f>
        <v>0</v>
      </c>
      <c r="H5527" s="83">
        <f t="shared" si="86"/>
        <v>812</v>
      </c>
      <c r="I5527" s="83"/>
      <c r="K5527" s="54" t="s">
        <v>15</v>
      </c>
    </row>
    <row r="5528" spans="2:11" ht="16.5" x14ac:dyDescent="0.2">
      <c r="B5528" s="82" t="s">
        <v>8801</v>
      </c>
      <c r="C5528" s="82" t="s">
        <v>3138</v>
      </c>
      <c r="D5528" s="83">
        <f>SUMIFS(D5529:D6462,K5529:K6462,"0",B5529:B6462,"5 1 3 4 7 12 31111 6 M59 20700*")-SUMIFS(E5529:E6462,K5529:K6462,"0",B5529:B6462,"5 1 3 4 7 12 31111 6 M59 20700*")</f>
        <v>0</v>
      </c>
      <c r="E5528" s="54"/>
      <c r="F5528" s="83">
        <f>SUMIFS(F5529:F6462,K5529:K6462,"0",B5529:B6462,"5 1 3 4 7 12 31111 6 M59 20700*")</f>
        <v>812</v>
      </c>
      <c r="G5528" s="83">
        <f>SUMIFS(G5529:G6462,K5529:K6462,"0",B5529:B6462,"5 1 3 4 7 12 31111 6 M59 20700*")</f>
        <v>0</v>
      </c>
      <c r="H5528" s="83">
        <f t="shared" si="86"/>
        <v>812</v>
      </c>
      <c r="I5528" s="83"/>
      <c r="K5528" s="54" t="s">
        <v>15</v>
      </c>
    </row>
    <row r="5529" spans="2:11" ht="16.5" x14ac:dyDescent="0.2">
      <c r="B5529" s="82" t="s">
        <v>8802</v>
      </c>
      <c r="C5529" s="82" t="s">
        <v>648</v>
      </c>
      <c r="D5529" s="83">
        <f>SUMIFS(D5530:D6462,K5530:K6462,"0",B5530:B6462,"5 1 3 4 7 12 31111 6 M59 20700 000132*")-SUMIFS(E5530:E6462,K5530:K6462,"0",B5530:B6462,"5 1 3 4 7 12 31111 6 M59 20700 000132*")</f>
        <v>0</v>
      </c>
      <c r="E5529" s="54"/>
      <c r="F5529" s="83">
        <f>SUMIFS(F5530:F6462,K5530:K6462,"0",B5530:B6462,"5 1 3 4 7 12 31111 6 M59 20700 000132*")</f>
        <v>812</v>
      </c>
      <c r="G5529" s="83">
        <f>SUMIFS(G5530:G6462,K5530:K6462,"0",B5530:B6462,"5 1 3 4 7 12 31111 6 M59 20700 000132*")</f>
        <v>0</v>
      </c>
      <c r="H5529" s="83">
        <f t="shared" si="86"/>
        <v>812</v>
      </c>
      <c r="I5529" s="83"/>
      <c r="K5529" s="54" t="s">
        <v>15</v>
      </c>
    </row>
    <row r="5530" spans="2:11" ht="24.75" x14ac:dyDescent="0.2">
      <c r="B5530" s="82" t="s">
        <v>8803</v>
      </c>
      <c r="C5530" s="82" t="s">
        <v>650</v>
      </c>
      <c r="D5530" s="83">
        <f>SUMIFS(D5531:D6462,K5531:K6462,"0",B5531:B6462,"5 1 3 4 7 12 31111 6 M59 20700 000132 0000R*")-SUMIFS(E5531:E6462,K5531:K6462,"0",B5531:B6462,"5 1 3 4 7 12 31111 6 M59 20700 000132 0000R*")</f>
        <v>0</v>
      </c>
      <c r="E5530" s="54"/>
      <c r="F5530" s="83">
        <f>SUMIFS(F5531:F6462,K5531:K6462,"0",B5531:B6462,"5 1 3 4 7 12 31111 6 M59 20700 000132 0000R*")</f>
        <v>812</v>
      </c>
      <c r="G5530" s="83">
        <f>SUMIFS(G5531:G6462,K5531:K6462,"0",B5531:B6462,"5 1 3 4 7 12 31111 6 M59 20700 000132 0000R*")</f>
        <v>0</v>
      </c>
      <c r="H5530" s="83">
        <f t="shared" si="86"/>
        <v>812</v>
      </c>
      <c r="I5530" s="83"/>
      <c r="K5530" s="54" t="s">
        <v>15</v>
      </c>
    </row>
    <row r="5531" spans="2:11" ht="24.75" x14ac:dyDescent="0.2">
      <c r="B5531" s="82" t="s">
        <v>8804</v>
      </c>
      <c r="C5531" s="82" t="s">
        <v>282</v>
      </c>
      <c r="D5531" s="83">
        <f>SUMIFS(D5532:D6462,K5532:K6462,"0",B5532:B6462,"5 1 3 4 7 12 31111 6 M59 20700 000132 0000R 00001*")-SUMIFS(E5532:E6462,K5532:K6462,"0",B5532:B6462,"5 1 3 4 7 12 31111 6 M59 20700 000132 0000R 00001*")</f>
        <v>0</v>
      </c>
      <c r="E5531" s="54"/>
      <c r="F5531" s="83">
        <f>SUMIFS(F5532:F6462,K5532:K6462,"0",B5532:B6462,"5 1 3 4 7 12 31111 6 M59 20700 000132 0000R 00001*")</f>
        <v>812</v>
      </c>
      <c r="G5531" s="83">
        <f>SUMIFS(G5532:G6462,K5532:K6462,"0",B5532:B6462,"5 1 3 4 7 12 31111 6 M59 20700 000132 0000R 00001*")</f>
        <v>0</v>
      </c>
      <c r="H5531" s="83">
        <f t="shared" si="86"/>
        <v>812</v>
      </c>
      <c r="I5531" s="83"/>
      <c r="K5531" s="54" t="s">
        <v>15</v>
      </c>
    </row>
    <row r="5532" spans="2:11" ht="24.75" x14ac:dyDescent="0.2">
      <c r="B5532" s="82" t="s">
        <v>8805</v>
      </c>
      <c r="C5532" s="82" t="s">
        <v>8806</v>
      </c>
      <c r="D5532" s="83">
        <f>SUMIFS(D5533:D6462,K5533:K6462,"0",B5533:B6462,"5 1 3 4 7 12 31111 6 M59 20700 000132 0000R 00001 00347*")-SUMIFS(E5533:E6462,K5533:K6462,"0",B5533:B6462,"5 1 3 4 7 12 31111 6 M59 20700 000132 0000R 00001 00347*")</f>
        <v>0</v>
      </c>
      <c r="E5532" s="54"/>
      <c r="F5532" s="83">
        <f>SUMIFS(F5533:F6462,K5533:K6462,"0",B5533:B6462,"5 1 3 4 7 12 31111 6 M59 20700 000132 0000R 00001 00347*")</f>
        <v>812</v>
      </c>
      <c r="G5532" s="83">
        <f>SUMIFS(G5533:G6462,K5533:K6462,"0",B5533:B6462,"5 1 3 4 7 12 31111 6 M59 20700 000132 0000R 00001 00347*")</f>
        <v>0</v>
      </c>
      <c r="H5532" s="83">
        <f t="shared" si="86"/>
        <v>812</v>
      </c>
      <c r="I5532" s="83"/>
      <c r="K5532" s="54" t="s">
        <v>15</v>
      </c>
    </row>
    <row r="5533" spans="2:11" ht="33" x14ac:dyDescent="0.2">
      <c r="B5533" s="82" t="s">
        <v>8807</v>
      </c>
      <c r="C5533" s="82" t="s">
        <v>1051</v>
      </c>
      <c r="D5533" s="83">
        <f>SUMIFS(D5534:D6462,K5534:K6462,"0",B5534:B6462,"5 1 3 4 7 12 31111 6 M59 20700 000132 0000R 00001 00347 015*")-SUMIFS(E5534:E6462,K5534:K6462,"0",B5534:B6462,"5 1 3 4 7 12 31111 6 M59 20700 000132 0000R 00001 00347 015*")</f>
        <v>0</v>
      </c>
      <c r="E5533" s="54"/>
      <c r="F5533" s="83">
        <f>SUMIFS(F5534:F6462,K5534:K6462,"0",B5534:B6462,"5 1 3 4 7 12 31111 6 M59 20700 000132 0000R 00001 00347 015*")</f>
        <v>812</v>
      </c>
      <c r="G5533" s="83">
        <f>SUMIFS(G5534:G6462,K5534:K6462,"0",B5534:B6462,"5 1 3 4 7 12 31111 6 M59 20700 000132 0000R 00001 00347 015*")</f>
        <v>0</v>
      </c>
      <c r="H5533" s="83">
        <f t="shared" si="86"/>
        <v>812</v>
      </c>
      <c r="I5533" s="83"/>
      <c r="K5533" s="54" t="s">
        <v>15</v>
      </c>
    </row>
    <row r="5534" spans="2:11" ht="33" x14ac:dyDescent="0.2">
      <c r="B5534" s="82" t="s">
        <v>8808</v>
      </c>
      <c r="C5534" s="82" t="s">
        <v>5830</v>
      </c>
      <c r="D5534" s="83">
        <f>SUMIFS(D5535:D6462,K5535:K6462,"0",B5535:B6462,"5 1 3 4 7 12 31111 6 M59 20700 000132 0000R 00001 00347 015 2112000*")-SUMIFS(E5535:E6462,K5535:K6462,"0",B5535:B6462,"5 1 3 4 7 12 31111 6 M59 20700 000132 0000R 00001 00347 015 2112000*")</f>
        <v>0</v>
      </c>
      <c r="E5534" s="54"/>
      <c r="F5534" s="83">
        <f>SUMIFS(F5535:F6462,K5535:K6462,"0",B5535:B6462,"5 1 3 4 7 12 31111 6 M59 20700 000132 0000R 00001 00347 015 2112000*")</f>
        <v>812</v>
      </c>
      <c r="G5534" s="83">
        <f>SUMIFS(G5535:G6462,K5535:K6462,"0",B5535:B6462,"5 1 3 4 7 12 31111 6 M59 20700 000132 0000R 00001 00347 015 2112000*")</f>
        <v>0</v>
      </c>
      <c r="H5534" s="83">
        <f t="shared" si="86"/>
        <v>812</v>
      </c>
      <c r="I5534" s="83"/>
      <c r="K5534" s="54" t="s">
        <v>15</v>
      </c>
    </row>
    <row r="5535" spans="2:11" ht="33" x14ac:dyDescent="0.2">
      <c r="B5535" s="82" t="s">
        <v>8809</v>
      </c>
      <c r="C5535" s="82" t="s">
        <v>660</v>
      </c>
      <c r="D5535" s="83">
        <f>SUMIFS(D5536:D6462,K5536:K6462,"0",B5536:B6462,"5 1 3 4 7 12 31111 6 M59 20700 000132 0000R 00001 00347 015 2112000 2024*")-SUMIFS(E5536:E6462,K5536:K6462,"0",B5536:B6462,"5 1 3 4 7 12 31111 6 M59 20700 000132 0000R 00001 00347 015 2112000 2024*")</f>
        <v>0</v>
      </c>
      <c r="E5535" s="54"/>
      <c r="F5535" s="83">
        <f>SUMIFS(F5536:F6462,K5536:K6462,"0",B5536:B6462,"5 1 3 4 7 12 31111 6 M59 20700 000132 0000R 00001 00347 015 2112000 2024*")</f>
        <v>812</v>
      </c>
      <c r="G5535" s="83">
        <f>SUMIFS(G5536:G6462,K5536:K6462,"0",B5536:B6462,"5 1 3 4 7 12 31111 6 M59 20700 000132 0000R 00001 00347 015 2112000 2024*")</f>
        <v>0</v>
      </c>
      <c r="H5535" s="83">
        <f t="shared" si="86"/>
        <v>812</v>
      </c>
      <c r="I5535" s="83"/>
      <c r="K5535" s="54" t="s">
        <v>15</v>
      </c>
    </row>
    <row r="5536" spans="2:11" ht="41.25" x14ac:dyDescent="0.2">
      <c r="B5536" s="82" t="s">
        <v>8810</v>
      </c>
      <c r="C5536" s="82" t="s">
        <v>662</v>
      </c>
      <c r="D5536" s="83">
        <f>SUMIFS(D5537:D6462,K5537:K6462,"0",B5537:B6462,"5 1 3 4 7 12 31111 6 M59 20700 000132 0000R 00001 00347 015 2112000 2024 CP1RM401*")-SUMIFS(E5537:E6462,K5537:K6462,"0",B5537:B6462,"5 1 3 4 7 12 31111 6 M59 20700 000132 0000R 00001 00347 015 2112000 2024 CP1RM401*")</f>
        <v>0</v>
      </c>
      <c r="E5536" s="54"/>
      <c r="F5536" s="83">
        <f>SUMIFS(F5537:F6462,K5537:K6462,"0",B5537:B6462,"5 1 3 4 7 12 31111 6 M59 20700 000132 0000R 00001 00347 015 2112000 2024 CP1RM401*")</f>
        <v>812</v>
      </c>
      <c r="G5536" s="83">
        <f>SUMIFS(G5537:G6462,K5537:K6462,"0",B5537:B6462,"5 1 3 4 7 12 31111 6 M59 20700 000132 0000R 00001 00347 015 2112000 2024 CP1RM401*")</f>
        <v>0</v>
      </c>
      <c r="H5536" s="83">
        <f t="shared" si="86"/>
        <v>812</v>
      </c>
      <c r="I5536" s="83"/>
      <c r="K5536" s="54" t="s">
        <v>15</v>
      </c>
    </row>
    <row r="5537" spans="2:11" ht="41.25" x14ac:dyDescent="0.2">
      <c r="B5537" s="82" t="s">
        <v>8811</v>
      </c>
      <c r="C5537" s="82" t="s">
        <v>282</v>
      </c>
      <c r="D5537" s="83">
        <f>SUMIFS(D5538:D6462,K5538:K6462,"0",B5538:B6462,"5 1 3 4 7 12 31111 6 M59 20700 000132 0000R 00001 00347 015 2112000 2024 CP1RM401 001*")-SUMIFS(E5538:E6462,K5538:K6462,"0",B5538:B6462,"5 1 3 4 7 12 31111 6 M59 20700 000132 0000R 00001 00347 015 2112000 2024 CP1RM401 001*")</f>
        <v>0</v>
      </c>
      <c r="E5537" s="54"/>
      <c r="F5537" s="83">
        <f>SUMIFS(F5538:F6462,K5538:K6462,"0",B5538:B6462,"5 1 3 4 7 12 31111 6 M59 20700 000132 0000R 00001 00347 015 2112000 2024 CP1RM401 001*")</f>
        <v>812</v>
      </c>
      <c r="G5537" s="83">
        <f>SUMIFS(G5538:G6462,K5538:K6462,"0",B5538:B6462,"5 1 3 4 7 12 31111 6 M59 20700 000132 0000R 00001 00347 015 2112000 2024 CP1RM401 001*")</f>
        <v>0</v>
      </c>
      <c r="H5537" s="83">
        <f t="shared" si="86"/>
        <v>812</v>
      </c>
      <c r="I5537" s="83"/>
      <c r="K5537" s="54" t="s">
        <v>15</v>
      </c>
    </row>
    <row r="5538" spans="2:11" ht="33" x14ac:dyDescent="0.2">
      <c r="B5538" s="84" t="s">
        <v>8812</v>
      </c>
      <c r="C5538" s="84" t="s">
        <v>8796</v>
      </c>
      <c r="D5538" s="85">
        <v>0</v>
      </c>
      <c r="E5538" s="85"/>
      <c r="F5538" s="85">
        <v>812</v>
      </c>
      <c r="G5538" s="85">
        <v>0</v>
      </c>
      <c r="H5538" s="85">
        <f t="shared" si="86"/>
        <v>812</v>
      </c>
      <c r="I5538" s="85"/>
      <c r="K5538" s="54" t="s">
        <v>38</v>
      </c>
    </row>
    <row r="5539" spans="2:11" ht="33" x14ac:dyDescent="0.2">
      <c r="B5539" s="82" t="s">
        <v>8841</v>
      </c>
      <c r="C5539" s="82" t="s">
        <v>8842</v>
      </c>
      <c r="D5539" s="83">
        <f>SUMIFS(D5540:D6462,K5540:K6462,"0",B5540:B6462,"5 1 3 5*")-SUMIFS(E5540:E6462,K5540:K6462,"0",B5540:B6462,"5 1 3 5*")</f>
        <v>0</v>
      </c>
      <c r="E5539" s="54"/>
      <c r="F5539" s="83">
        <f>SUMIFS(F5540:F6462,K5540:K6462,"0",B5540:B6462,"5 1 3 5*")</f>
        <v>135538</v>
      </c>
      <c r="G5539" s="83">
        <f>SUMIFS(G5540:G6462,K5540:K6462,"0",B5540:B6462,"5 1 3 5*")</f>
        <v>0</v>
      </c>
      <c r="H5539" s="83">
        <f t="shared" si="86"/>
        <v>135538</v>
      </c>
      <c r="I5539" s="83"/>
      <c r="K5539" s="54" t="s">
        <v>15</v>
      </c>
    </row>
    <row r="5540" spans="2:11" ht="24.75" x14ac:dyDescent="0.2">
      <c r="B5540" s="82" t="s">
        <v>8881</v>
      </c>
      <c r="C5540" s="82" t="s">
        <v>8882</v>
      </c>
      <c r="D5540" s="83">
        <f>SUMIFS(D5541:D6462,K5541:K6462,"0",B5541:B6462,"5 1 3 5 5*")-SUMIFS(E5541:E6462,K5541:K6462,"0",B5541:B6462,"5 1 3 5 5*")</f>
        <v>0</v>
      </c>
      <c r="E5540" s="54"/>
      <c r="F5540" s="83">
        <f>SUMIFS(F5541:F6462,K5541:K6462,"0",B5541:B6462,"5 1 3 5 5*")</f>
        <v>96280</v>
      </c>
      <c r="G5540" s="83">
        <f>SUMIFS(G5541:G6462,K5541:K6462,"0",B5541:B6462,"5 1 3 5 5*")</f>
        <v>0</v>
      </c>
      <c r="H5540" s="83">
        <f t="shared" si="86"/>
        <v>96280</v>
      </c>
      <c r="I5540" s="83"/>
      <c r="K5540" s="54" t="s">
        <v>15</v>
      </c>
    </row>
    <row r="5541" spans="2:11" ht="12.75" x14ac:dyDescent="0.2">
      <c r="B5541" s="82" t="s">
        <v>8883</v>
      </c>
      <c r="C5541" s="82" t="s">
        <v>26</v>
      </c>
      <c r="D5541" s="83">
        <f>SUMIFS(D5542:D6462,K5542:K6462,"0",B5542:B6462,"5 1 3 5 5 12*")-SUMIFS(E5542:E6462,K5542:K6462,"0",B5542:B6462,"5 1 3 5 5 12*")</f>
        <v>0</v>
      </c>
      <c r="E5541" s="54"/>
      <c r="F5541" s="83">
        <f>SUMIFS(F5542:F6462,K5542:K6462,"0",B5542:B6462,"5 1 3 5 5 12*")</f>
        <v>96280</v>
      </c>
      <c r="G5541" s="83">
        <f>SUMIFS(G5542:G6462,K5542:K6462,"0",B5542:B6462,"5 1 3 5 5 12*")</f>
        <v>0</v>
      </c>
      <c r="H5541" s="83">
        <f t="shared" si="86"/>
        <v>96280</v>
      </c>
      <c r="I5541" s="83"/>
      <c r="K5541" s="54" t="s">
        <v>15</v>
      </c>
    </row>
    <row r="5542" spans="2:11" ht="16.5" x14ac:dyDescent="0.2">
      <c r="B5542" s="82" t="s">
        <v>8884</v>
      </c>
      <c r="C5542" s="82" t="s">
        <v>28</v>
      </c>
      <c r="D5542" s="83">
        <f>SUMIFS(D5543:D6462,K5543:K6462,"0",B5543:B6462,"5 1 3 5 5 12 31111*")-SUMIFS(E5543:E6462,K5543:K6462,"0",B5543:B6462,"5 1 3 5 5 12 31111*")</f>
        <v>0</v>
      </c>
      <c r="E5542" s="54"/>
      <c r="F5542" s="83">
        <f>SUMIFS(F5543:F6462,K5543:K6462,"0",B5543:B6462,"5 1 3 5 5 12 31111*")</f>
        <v>96280</v>
      </c>
      <c r="G5542" s="83">
        <f>SUMIFS(G5543:G6462,K5543:K6462,"0",B5543:B6462,"5 1 3 5 5 12 31111*")</f>
        <v>0</v>
      </c>
      <c r="H5542" s="83">
        <f t="shared" si="86"/>
        <v>96280</v>
      </c>
      <c r="I5542" s="83"/>
      <c r="K5542" s="54" t="s">
        <v>15</v>
      </c>
    </row>
    <row r="5543" spans="2:11" ht="12.75" x14ac:dyDescent="0.2">
      <c r="B5543" s="82" t="s">
        <v>8885</v>
      </c>
      <c r="C5543" s="82" t="s">
        <v>30</v>
      </c>
      <c r="D5543" s="83">
        <f>SUMIFS(D5544:D6462,K5544:K6462,"0",B5544:B6462,"5 1 3 5 5 12 31111 6*")-SUMIFS(E5544:E6462,K5544:K6462,"0",B5544:B6462,"5 1 3 5 5 12 31111 6*")</f>
        <v>0</v>
      </c>
      <c r="E5543" s="54"/>
      <c r="F5543" s="83">
        <f>SUMIFS(F5544:F6462,K5544:K6462,"0",B5544:B6462,"5 1 3 5 5 12 31111 6*")</f>
        <v>96280</v>
      </c>
      <c r="G5543" s="83">
        <f>SUMIFS(G5544:G6462,K5544:K6462,"0",B5544:B6462,"5 1 3 5 5 12 31111 6*")</f>
        <v>0</v>
      </c>
      <c r="H5543" s="83">
        <f t="shared" si="86"/>
        <v>96280</v>
      </c>
      <c r="I5543" s="83"/>
      <c r="K5543" s="54" t="s">
        <v>15</v>
      </c>
    </row>
    <row r="5544" spans="2:11" ht="16.5" x14ac:dyDescent="0.2">
      <c r="B5544" s="82" t="s">
        <v>8886</v>
      </c>
      <c r="C5544" s="82" t="s">
        <v>2284</v>
      </c>
      <c r="D5544" s="83">
        <f>SUMIFS(D5545:D6462,K5545:K6462,"0",B5545:B6462,"5 1 3 5 5 12 31111 6 M59*")-SUMIFS(E5545:E6462,K5545:K6462,"0",B5545:B6462,"5 1 3 5 5 12 31111 6 M59*")</f>
        <v>0</v>
      </c>
      <c r="E5544" s="54"/>
      <c r="F5544" s="83">
        <f>SUMIFS(F5545:F6462,K5545:K6462,"0",B5545:B6462,"5 1 3 5 5 12 31111 6 M59*")</f>
        <v>96280</v>
      </c>
      <c r="G5544" s="83">
        <f>SUMIFS(G5545:G6462,K5545:K6462,"0",B5545:B6462,"5 1 3 5 5 12 31111 6 M59*")</f>
        <v>0</v>
      </c>
      <c r="H5544" s="83">
        <f t="shared" si="86"/>
        <v>96280</v>
      </c>
      <c r="I5544" s="83"/>
      <c r="K5544" s="54" t="s">
        <v>15</v>
      </c>
    </row>
    <row r="5545" spans="2:11" ht="16.5" x14ac:dyDescent="0.2">
      <c r="B5545" s="82" t="s">
        <v>8932</v>
      </c>
      <c r="C5545" s="82" t="s">
        <v>1308</v>
      </c>
      <c r="D5545" s="83">
        <f>SUMIFS(D5546:D6462,K5546:K6462,"0",B5546:B6462,"5 1 3 5 5 12 31111 6 M59 96300*")-SUMIFS(E5546:E6462,K5546:K6462,"0",B5546:B6462,"5 1 3 5 5 12 31111 6 M59 96300*")</f>
        <v>0</v>
      </c>
      <c r="E5545" s="54"/>
      <c r="F5545" s="83">
        <f>SUMIFS(F5546:F6462,K5546:K6462,"0",B5546:B6462,"5 1 3 5 5 12 31111 6 M59 96300*")</f>
        <v>96280</v>
      </c>
      <c r="G5545" s="83">
        <f>SUMIFS(G5546:G6462,K5546:K6462,"0",B5546:B6462,"5 1 3 5 5 12 31111 6 M59 96300*")</f>
        <v>0</v>
      </c>
      <c r="H5545" s="83">
        <f t="shared" si="86"/>
        <v>96280</v>
      </c>
      <c r="I5545" s="83"/>
      <c r="K5545" s="54" t="s">
        <v>15</v>
      </c>
    </row>
    <row r="5546" spans="2:11" ht="16.5" x14ac:dyDescent="0.2">
      <c r="B5546" s="82" t="s">
        <v>8933</v>
      </c>
      <c r="C5546" s="82" t="s">
        <v>1310</v>
      </c>
      <c r="D5546" s="83">
        <f>SUMIFS(D5547:D6462,K5547:K6462,"0",B5547:B6462,"5 1 3 5 5 12 31111 6 M59 96300 000211*")-SUMIFS(E5547:E6462,K5547:K6462,"0",B5547:B6462,"5 1 3 5 5 12 31111 6 M59 96300 000211*")</f>
        <v>0</v>
      </c>
      <c r="E5546" s="54"/>
      <c r="F5546" s="83">
        <f>SUMIFS(F5547:F6462,K5547:K6462,"0",B5547:B6462,"5 1 3 5 5 12 31111 6 M59 96300 000211*")</f>
        <v>96280</v>
      </c>
      <c r="G5546" s="83">
        <f>SUMIFS(G5547:G6462,K5547:K6462,"0",B5547:B6462,"5 1 3 5 5 12 31111 6 M59 96300 000211*")</f>
        <v>0</v>
      </c>
      <c r="H5546" s="83">
        <f t="shared" si="86"/>
        <v>96280</v>
      </c>
      <c r="I5546" s="83"/>
      <c r="K5546" s="54" t="s">
        <v>15</v>
      </c>
    </row>
    <row r="5547" spans="2:11" ht="24.75" x14ac:dyDescent="0.2">
      <c r="B5547" s="82" t="s">
        <v>8934</v>
      </c>
      <c r="C5547" s="82" t="s">
        <v>1065</v>
      </c>
      <c r="D5547" s="83">
        <f>SUMIFS(D5548:D6462,K5548:K6462,"0",B5548:B6462,"5 1 3 5 5 12 31111 6 M59 96300 000211 0000E*")-SUMIFS(E5548:E6462,K5548:K6462,"0",B5548:B6462,"5 1 3 5 5 12 31111 6 M59 96300 000211 0000E*")</f>
        <v>0</v>
      </c>
      <c r="E5547" s="54"/>
      <c r="F5547" s="83">
        <f>SUMIFS(F5548:F6462,K5548:K6462,"0",B5548:B6462,"5 1 3 5 5 12 31111 6 M59 96300 000211 0000E*")</f>
        <v>96280</v>
      </c>
      <c r="G5547" s="83">
        <f>SUMIFS(G5548:G6462,K5548:K6462,"0",B5548:B6462,"5 1 3 5 5 12 31111 6 M59 96300 000211 0000E*")</f>
        <v>0</v>
      </c>
      <c r="H5547" s="83">
        <f t="shared" ref="H5547:H5610" si="87">D5547 + F5547 - G5547</f>
        <v>96280</v>
      </c>
      <c r="I5547" s="83"/>
      <c r="K5547" s="54" t="s">
        <v>15</v>
      </c>
    </row>
    <row r="5548" spans="2:11" ht="24.75" x14ac:dyDescent="0.2">
      <c r="B5548" s="82" t="s">
        <v>8935</v>
      </c>
      <c r="C5548" s="82" t="s">
        <v>282</v>
      </c>
      <c r="D5548" s="83">
        <f>SUMIFS(D5549:D6462,K5549:K6462,"0",B5549:B6462,"5 1 3 5 5 12 31111 6 M59 96300 000211 0000E 00001*")-SUMIFS(E5549:E6462,K5549:K6462,"0",B5549:B6462,"5 1 3 5 5 12 31111 6 M59 96300 000211 0000E 00001*")</f>
        <v>0</v>
      </c>
      <c r="E5548" s="54"/>
      <c r="F5548" s="83">
        <f>SUMIFS(F5549:F6462,K5549:K6462,"0",B5549:B6462,"5 1 3 5 5 12 31111 6 M59 96300 000211 0000E 00001*")</f>
        <v>96280</v>
      </c>
      <c r="G5548" s="83">
        <f>SUMIFS(G5549:G6462,K5549:K6462,"0",B5549:B6462,"5 1 3 5 5 12 31111 6 M59 96300 000211 0000E 00001*")</f>
        <v>0</v>
      </c>
      <c r="H5548" s="83">
        <f t="shared" si="87"/>
        <v>96280</v>
      </c>
      <c r="I5548" s="83"/>
      <c r="K5548" s="54" t="s">
        <v>15</v>
      </c>
    </row>
    <row r="5549" spans="2:11" ht="24.75" x14ac:dyDescent="0.2">
      <c r="B5549" s="82" t="s">
        <v>8936</v>
      </c>
      <c r="C5549" s="82" t="s">
        <v>8892</v>
      </c>
      <c r="D5549" s="83">
        <f>SUMIFS(D5550:D6462,K5550:K6462,"0",B5550:B6462,"5 1 3 5 5 12 31111 6 M59 96300 000211 0000E 00001 00355*")-SUMIFS(E5550:E6462,K5550:K6462,"0",B5550:B6462,"5 1 3 5 5 12 31111 6 M59 96300 000211 0000E 00001 00355*")</f>
        <v>0</v>
      </c>
      <c r="E5549" s="54"/>
      <c r="F5549" s="83">
        <f>SUMIFS(F5550:F6462,K5550:K6462,"0",B5550:B6462,"5 1 3 5 5 12 31111 6 M59 96300 000211 0000E 00001 00355*")</f>
        <v>96280</v>
      </c>
      <c r="G5549" s="83">
        <f>SUMIFS(G5550:G6462,K5550:K6462,"0",B5550:B6462,"5 1 3 5 5 12 31111 6 M59 96300 000211 0000E 00001 00355*")</f>
        <v>0</v>
      </c>
      <c r="H5549" s="83">
        <f t="shared" si="87"/>
        <v>96280</v>
      </c>
      <c r="I5549" s="83"/>
      <c r="K5549" s="54" t="s">
        <v>15</v>
      </c>
    </row>
    <row r="5550" spans="2:11" ht="33" x14ac:dyDescent="0.2">
      <c r="B5550" s="82" t="s">
        <v>8943</v>
      </c>
      <c r="C5550" s="82" t="s">
        <v>1051</v>
      </c>
      <c r="D5550" s="83">
        <f>SUMIFS(D5551:D6462,K5551:K6462,"0",B5551:B6462,"5 1 3 5 5 12 31111 6 M59 96300 000211 0000E 00001 00355 015*")-SUMIFS(E5551:E6462,K5551:K6462,"0",B5551:B6462,"5 1 3 5 5 12 31111 6 M59 96300 000211 0000E 00001 00355 015*")</f>
        <v>0</v>
      </c>
      <c r="E5550" s="54"/>
      <c r="F5550" s="83">
        <f>SUMIFS(F5551:F6462,K5551:K6462,"0",B5551:B6462,"5 1 3 5 5 12 31111 6 M59 96300 000211 0000E 00001 00355 015*")</f>
        <v>96280</v>
      </c>
      <c r="G5550" s="83">
        <f>SUMIFS(G5551:G6462,K5551:K6462,"0",B5551:B6462,"5 1 3 5 5 12 31111 6 M59 96300 000211 0000E 00001 00355 015*")</f>
        <v>0</v>
      </c>
      <c r="H5550" s="83">
        <f t="shared" si="87"/>
        <v>96280</v>
      </c>
      <c r="I5550" s="83"/>
      <c r="K5550" s="54" t="s">
        <v>15</v>
      </c>
    </row>
    <row r="5551" spans="2:11" ht="33" x14ac:dyDescent="0.2">
      <c r="B5551" s="82" t="s">
        <v>8944</v>
      </c>
      <c r="C5551" s="82" t="s">
        <v>5830</v>
      </c>
      <c r="D5551" s="83">
        <f>SUMIFS(D5552:D6462,K5552:K6462,"0",B5552:B6462,"5 1 3 5 5 12 31111 6 M59 96300 000211 0000E 00001 00355 015 2112000*")-SUMIFS(E5552:E6462,K5552:K6462,"0",B5552:B6462,"5 1 3 5 5 12 31111 6 M59 96300 000211 0000E 00001 00355 015 2112000*")</f>
        <v>0</v>
      </c>
      <c r="E5551" s="54"/>
      <c r="F5551" s="83">
        <f>SUMIFS(F5552:F6462,K5552:K6462,"0",B5552:B6462,"5 1 3 5 5 12 31111 6 M59 96300 000211 0000E 00001 00355 015 2112000*")</f>
        <v>96280</v>
      </c>
      <c r="G5551" s="83">
        <f>SUMIFS(G5552:G6462,K5552:K6462,"0",B5552:B6462,"5 1 3 5 5 12 31111 6 M59 96300 000211 0000E 00001 00355 015 2112000*")</f>
        <v>0</v>
      </c>
      <c r="H5551" s="83">
        <f t="shared" si="87"/>
        <v>96280</v>
      </c>
      <c r="I5551" s="83"/>
      <c r="K5551" s="54" t="s">
        <v>15</v>
      </c>
    </row>
    <row r="5552" spans="2:11" ht="33" x14ac:dyDescent="0.2">
      <c r="B5552" s="82" t="s">
        <v>8945</v>
      </c>
      <c r="C5552" s="82" t="s">
        <v>660</v>
      </c>
      <c r="D5552" s="83">
        <f>SUMIFS(D5553:D6462,K5553:K6462,"0",B5553:B6462,"5 1 3 5 5 12 31111 6 M59 96300 000211 0000E 00001 00355 015 2112000 2024*")-SUMIFS(E5553:E6462,K5553:K6462,"0",B5553:B6462,"5 1 3 5 5 12 31111 6 M59 96300 000211 0000E 00001 00355 015 2112000 2024*")</f>
        <v>0</v>
      </c>
      <c r="E5552" s="54"/>
      <c r="F5552" s="83">
        <f>SUMIFS(F5553:F6462,K5553:K6462,"0",B5553:B6462,"5 1 3 5 5 12 31111 6 M59 96300 000211 0000E 00001 00355 015 2112000 2024*")</f>
        <v>96280</v>
      </c>
      <c r="G5552" s="83">
        <f>SUMIFS(G5553:G6462,K5553:K6462,"0",B5553:B6462,"5 1 3 5 5 12 31111 6 M59 96300 000211 0000E 00001 00355 015 2112000 2024*")</f>
        <v>0</v>
      </c>
      <c r="H5552" s="83">
        <f t="shared" si="87"/>
        <v>96280</v>
      </c>
      <c r="I5552" s="83"/>
      <c r="K5552" s="54" t="s">
        <v>15</v>
      </c>
    </row>
    <row r="5553" spans="2:11" ht="41.25" x14ac:dyDescent="0.2">
      <c r="B5553" s="82" t="s">
        <v>8946</v>
      </c>
      <c r="C5553" s="82" t="s">
        <v>1056</v>
      </c>
      <c r="D5553" s="83">
        <f>SUMIFS(D5554:D6462,K5554:K6462,"0",B5554:B6462,"5 1 3 5 5 12 31111 6 M59 96300 000211 0000E 00001 00355 015 2112000 2024 CP1SB396*")-SUMIFS(E5554:E6462,K5554:K6462,"0",B5554:B6462,"5 1 3 5 5 12 31111 6 M59 96300 000211 0000E 00001 00355 015 2112000 2024 CP1SB396*")</f>
        <v>0</v>
      </c>
      <c r="E5553" s="54"/>
      <c r="F5553" s="83">
        <f>SUMIFS(F5554:F6462,K5554:K6462,"0",B5554:B6462,"5 1 3 5 5 12 31111 6 M59 96300 000211 0000E 00001 00355 015 2112000 2024 CP1SB396*")</f>
        <v>96280</v>
      </c>
      <c r="G5553" s="83">
        <f>SUMIFS(G5554:G6462,K5554:K6462,"0",B5554:B6462,"5 1 3 5 5 12 31111 6 M59 96300 000211 0000E 00001 00355 015 2112000 2024 CP1SB396*")</f>
        <v>0</v>
      </c>
      <c r="H5553" s="83">
        <f t="shared" si="87"/>
        <v>96280</v>
      </c>
      <c r="I5553" s="83"/>
      <c r="K5553" s="54" t="s">
        <v>15</v>
      </c>
    </row>
    <row r="5554" spans="2:11" ht="41.25" x14ac:dyDescent="0.2">
      <c r="B5554" s="82" t="s">
        <v>8947</v>
      </c>
      <c r="C5554" s="82" t="s">
        <v>282</v>
      </c>
      <c r="D5554" s="83">
        <f>SUMIFS(D5555:D6462,K5555:K6462,"0",B5555:B6462,"5 1 3 5 5 12 31111 6 M59 96300 000211 0000E 00001 00355 015 2112000 2024 CP1SB396 001*")-SUMIFS(E5555:E6462,K5555:K6462,"0",B5555:B6462,"5 1 3 5 5 12 31111 6 M59 96300 000211 0000E 00001 00355 015 2112000 2024 CP1SB396 001*")</f>
        <v>0</v>
      </c>
      <c r="E5554" s="54"/>
      <c r="F5554" s="83">
        <f>SUMIFS(F5555:F6462,K5555:K6462,"0",B5555:B6462,"5 1 3 5 5 12 31111 6 M59 96300 000211 0000E 00001 00355 015 2112000 2024 CP1SB396 001*")</f>
        <v>96280</v>
      </c>
      <c r="G5554" s="83">
        <f>SUMIFS(G5555:G6462,K5555:K6462,"0",B5555:B6462,"5 1 3 5 5 12 31111 6 M59 96300 000211 0000E 00001 00355 015 2112000 2024 CP1SB396 001*")</f>
        <v>0</v>
      </c>
      <c r="H5554" s="83">
        <f t="shared" si="87"/>
        <v>96280</v>
      </c>
      <c r="I5554" s="83"/>
      <c r="K5554" s="54" t="s">
        <v>15</v>
      </c>
    </row>
    <row r="5555" spans="2:11" ht="33" x14ac:dyDescent="0.2">
      <c r="B5555" s="84" t="s">
        <v>8948</v>
      </c>
      <c r="C5555" s="84" t="s">
        <v>8892</v>
      </c>
      <c r="D5555" s="85">
        <v>0</v>
      </c>
      <c r="E5555" s="85"/>
      <c r="F5555" s="85">
        <v>96280</v>
      </c>
      <c r="G5555" s="85">
        <v>0</v>
      </c>
      <c r="H5555" s="85">
        <f t="shared" si="87"/>
        <v>96280</v>
      </c>
      <c r="I5555" s="85"/>
      <c r="K5555" s="54" t="s">
        <v>38</v>
      </c>
    </row>
    <row r="5556" spans="2:11" ht="33" x14ac:dyDescent="0.2">
      <c r="B5556" s="82" t="s">
        <v>8949</v>
      </c>
      <c r="C5556" s="82" t="s">
        <v>8950</v>
      </c>
      <c r="D5556" s="83">
        <f>SUMIFS(D5557:D6462,K5557:K6462,"0",B5557:B6462,"5 1 3 5 7*")-SUMIFS(E5557:E6462,K5557:K6462,"0",B5557:B6462,"5 1 3 5 7*")</f>
        <v>0</v>
      </c>
      <c r="E5556" s="54"/>
      <c r="F5556" s="83">
        <f>SUMIFS(F5557:F6462,K5557:K6462,"0",B5557:B6462,"5 1 3 5 7*")</f>
        <v>39258</v>
      </c>
      <c r="G5556" s="83">
        <f>SUMIFS(G5557:G6462,K5557:K6462,"0",B5557:B6462,"5 1 3 5 7*")</f>
        <v>0</v>
      </c>
      <c r="H5556" s="83">
        <f t="shared" si="87"/>
        <v>39258</v>
      </c>
      <c r="I5556" s="83"/>
      <c r="K5556" s="54" t="s">
        <v>15</v>
      </c>
    </row>
    <row r="5557" spans="2:11" ht="12.75" x14ac:dyDescent="0.2">
      <c r="B5557" s="82" t="s">
        <v>8951</v>
      </c>
      <c r="C5557" s="82" t="s">
        <v>26</v>
      </c>
      <c r="D5557" s="83">
        <f>SUMIFS(D5558:D6462,K5558:K6462,"0",B5558:B6462,"5 1 3 5 7 12*")-SUMIFS(E5558:E6462,K5558:K6462,"0",B5558:B6462,"5 1 3 5 7 12*")</f>
        <v>0</v>
      </c>
      <c r="E5557" s="54"/>
      <c r="F5557" s="83">
        <f>SUMIFS(F5558:F6462,K5558:K6462,"0",B5558:B6462,"5 1 3 5 7 12*")</f>
        <v>39258</v>
      </c>
      <c r="G5557" s="83">
        <f>SUMIFS(G5558:G6462,K5558:K6462,"0",B5558:B6462,"5 1 3 5 7 12*")</f>
        <v>0</v>
      </c>
      <c r="H5557" s="83">
        <f t="shared" si="87"/>
        <v>39258</v>
      </c>
      <c r="I5557" s="83"/>
      <c r="K5557" s="54" t="s">
        <v>15</v>
      </c>
    </row>
    <row r="5558" spans="2:11" ht="16.5" x14ac:dyDescent="0.2">
      <c r="B5558" s="82" t="s">
        <v>8952</v>
      </c>
      <c r="C5558" s="82" t="s">
        <v>28</v>
      </c>
      <c r="D5558" s="83">
        <f>SUMIFS(D5559:D6462,K5559:K6462,"0",B5559:B6462,"5 1 3 5 7 12 31111*")-SUMIFS(E5559:E6462,K5559:K6462,"0",B5559:B6462,"5 1 3 5 7 12 31111*")</f>
        <v>0</v>
      </c>
      <c r="E5558" s="54"/>
      <c r="F5558" s="83">
        <f>SUMIFS(F5559:F6462,K5559:K6462,"0",B5559:B6462,"5 1 3 5 7 12 31111*")</f>
        <v>39258</v>
      </c>
      <c r="G5558" s="83">
        <f>SUMIFS(G5559:G6462,K5559:K6462,"0",B5559:B6462,"5 1 3 5 7 12 31111*")</f>
        <v>0</v>
      </c>
      <c r="H5558" s="83">
        <f t="shared" si="87"/>
        <v>39258</v>
      </c>
      <c r="I5558" s="83"/>
      <c r="K5558" s="54" t="s">
        <v>15</v>
      </c>
    </row>
    <row r="5559" spans="2:11" ht="12.75" x14ac:dyDescent="0.2">
      <c r="B5559" s="82" t="s">
        <v>8953</v>
      </c>
      <c r="C5559" s="82" t="s">
        <v>30</v>
      </c>
      <c r="D5559" s="83">
        <f>SUMIFS(D5560:D6462,K5560:K6462,"0",B5560:B6462,"5 1 3 5 7 12 31111 6*")-SUMIFS(E5560:E6462,K5560:K6462,"0",B5560:B6462,"5 1 3 5 7 12 31111 6*")</f>
        <v>0</v>
      </c>
      <c r="E5559" s="54"/>
      <c r="F5559" s="83">
        <f>SUMIFS(F5560:F6462,K5560:K6462,"0",B5560:B6462,"5 1 3 5 7 12 31111 6*")</f>
        <v>39258</v>
      </c>
      <c r="G5559" s="83">
        <f>SUMIFS(G5560:G6462,K5560:K6462,"0",B5560:B6462,"5 1 3 5 7 12 31111 6*")</f>
        <v>0</v>
      </c>
      <c r="H5559" s="83">
        <f t="shared" si="87"/>
        <v>39258</v>
      </c>
      <c r="I5559" s="83"/>
      <c r="K5559" s="54" t="s">
        <v>15</v>
      </c>
    </row>
    <row r="5560" spans="2:11" ht="16.5" x14ac:dyDescent="0.2">
      <c r="B5560" s="82" t="s">
        <v>8954</v>
      </c>
      <c r="C5560" s="82" t="s">
        <v>2284</v>
      </c>
      <c r="D5560" s="83">
        <f>SUMIFS(D5561:D6462,K5561:K6462,"0",B5561:B6462,"5 1 3 5 7 12 31111 6 M59*")-SUMIFS(E5561:E6462,K5561:K6462,"0",B5561:B6462,"5 1 3 5 7 12 31111 6 M59*")</f>
        <v>0</v>
      </c>
      <c r="E5560" s="54"/>
      <c r="F5560" s="83">
        <f>SUMIFS(F5561:F6462,K5561:K6462,"0",B5561:B6462,"5 1 3 5 7 12 31111 6 M59*")</f>
        <v>39258</v>
      </c>
      <c r="G5560" s="83">
        <f>SUMIFS(G5561:G6462,K5561:K6462,"0",B5561:B6462,"5 1 3 5 7 12 31111 6 M59*")</f>
        <v>0</v>
      </c>
      <c r="H5560" s="83">
        <f t="shared" si="87"/>
        <v>39258</v>
      </c>
      <c r="I5560" s="83"/>
      <c r="K5560" s="54" t="s">
        <v>15</v>
      </c>
    </row>
    <row r="5561" spans="2:11" ht="16.5" x14ac:dyDescent="0.2">
      <c r="B5561" s="82" t="s">
        <v>8955</v>
      </c>
      <c r="C5561" s="82" t="s">
        <v>3138</v>
      </c>
      <c r="D5561" s="83">
        <f>SUMIFS(D5562:D6462,K5562:K6462,"0",B5562:B6462,"5 1 3 5 7 12 31111 6 M59 20700*")-SUMIFS(E5562:E6462,K5562:K6462,"0",B5562:B6462,"5 1 3 5 7 12 31111 6 M59 20700*")</f>
        <v>0</v>
      </c>
      <c r="E5561" s="54"/>
      <c r="F5561" s="83">
        <f>SUMIFS(F5562:F6462,K5562:K6462,"0",B5562:B6462,"5 1 3 5 7 12 31111 6 M59 20700*")</f>
        <v>20138</v>
      </c>
      <c r="G5561" s="83">
        <f>SUMIFS(G5562:G6462,K5562:K6462,"0",B5562:B6462,"5 1 3 5 7 12 31111 6 M59 20700*")</f>
        <v>0</v>
      </c>
      <c r="H5561" s="83">
        <f t="shared" si="87"/>
        <v>20138</v>
      </c>
      <c r="I5561" s="83"/>
      <c r="K5561" s="54" t="s">
        <v>15</v>
      </c>
    </row>
    <row r="5562" spans="2:11" ht="16.5" x14ac:dyDescent="0.2">
      <c r="B5562" s="82" t="s">
        <v>8956</v>
      </c>
      <c r="C5562" s="82" t="s">
        <v>648</v>
      </c>
      <c r="D5562" s="83">
        <f>SUMIFS(D5563:D6462,K5563:K6462,"0",B5563:B6462,"5 1 3 5 7 12 31111 6 M59 20700 000132*")-SUMIFS(E5563:E6462,K5563:K6462,"0",B5563:B6462,"5 1 3 5 7 12 31111 6 M59 20700 000132*")</f>
        <v>0</v>
      </c>
      <c r="E5562" s="54"/>
      <c r="F5562" s="83">
        <f>SUMIFS(F5563:F6462,K5563:K6462,"0",B5563:B6462,"5 1 3 5 7 12 31111 6 M59 20700 000132*")</f>
        <v>20138</v>
      </c>
      <c r="G5562" s="83">
        <f>SUMIFS(G5563:G6462,K5563:K6462,"0",B5563:B6462,"5 1 3 5 7 12 31111 6 M59 20700 000132*")</f>
        <v>0</v>
      </c>
      <c r="H5562" s="83">
        <f t="shared" si="87"/>
        <v>20138</v>
      </c>
      <c r="I5562" s="83"/>
      <c r="K5562" s="54" t="s">
        <v>15</v>
      </c>
    </row>
    <row r="5563" spans="2:11" ht="24.75" x14ac:dyDescent="0.2">
      <c r="B5563" s="82" t="s">
        <v>8957</v>
      </c>
      <c r="C5563" s="82" t="s">
        <v>650</v>
      </c>
      <c r="D5563" s="83">
        <f>SUMIFS(D5564:D6462,K5564:K6462,"0",B5564:B6462,"5 1 3 5 7 12 31111 6 M59 20700 000132 0000R*")-SUMIFS(E5564:E6462,K5564:K6462,"0",B5564:B6462,"5 1 3 5 7 12 31111 6 M59 20700 000132 0000R*")</f>
        <v>0</v>
      </c>
      <c r="E5563" s="54"/>
      <c r="F5563" s="83">
        <f>SUMIFS(F5564:F6462,K5564:K6462,"0",B5564:B6462,"5 1 3 5 7 12 31111 6 M59 20700 000132 0000R*")</f>
        <v>20138</v>
      </c>
      <c r="G5563" s="83">
        <f>SUMIFS(G5564:G6462,K5564:K6462,"0",B5564:B6462,"5 1 3 5 7 12 31111 6 M59 20700 000132 0000R*")</f>
        <v>0</v>
      </c>
      <c r="H5563" s="83">
        <f t="shared" si="87"/>
        <v>20138</v>
      </c>
      <c r="I5563" s="83"/>
      <c r="K5563" s="54" t="s">
        <v>15</v>
      </c>
    </row>
    <row r="5564" spans="2:11" ht="24.75" x14ac:dyDescent="0.2">
      <c r="B5564" s="82" t="s">
        <v>8958</v>
      </c>
      <c r="C5564" s="82" t="s">
        <v>282</v>
      </c>
      <c r="D5564" s="83">
        <f>SUMIFS(D5565:D6462,K5565:K6462,"0",B5565:B6462,"5 1 3 5 7 12 31111 6 M59 20700 000132 0000R 00001*")-SUMIFS(E5565:E6462,K5565:K6462,"0",B5565:B6462,"5 1 3 5 7 12 31111 6 M59 20700 000132 0000R 00001*")</f>
        <v>0</v>
      </c>
      <c r="E5564" s="54"/>
      <c r="F5564" s="83">
        <f>SUMIFS(F5565:F6462,K5565:K6462,"0",B5565:B6462,"5 1 3 5 7 12 31111 6 M59 20700 000132 0000R 00001*")</f>
        <v>20138</v>
      </c>
      <c r="G5564" s="83">
        <f>SUMIFS(G5565:G6462,K5565:K6462,"0",B5565:B6462,"5 1 3 5 7 12 31111 6 M59 20700 000132 0000R 00001*")</f>
        <v>0</v>
      </c>
      <c r="H5564" s="83">
        <f t="shared" si="87"/>
        <v>20138</v>
      </c>
      <c r="I5564" s="83"/>
      <c r="K5564" s="54" t="s">
        <v>15</v>
      </c>
    </row>
    <row r="5565" spans="2:11" ht="33" x14ac:dyDescent="0.2">
      <c r="B5565" s="82" t="s">
        <v>8959</v>
      </c>
      <c r="C5565" s="82" t="s">
        <v>8960</v>
      </c>
      <c r="D5565" s="83">
        <f>SUMIFS(D5566:D6462,K5566:K6462,"0",B5566:B6462,"5 1 3 5 7 12 31111 6 M59 20700 000132 0000R 00001 00357*")-SUMIFS(E5566:E6462,K5566:K6462,"0",B5566:B6462,"5 1 3 5 7 12 31111 6 M59 20700 000132 0000R 00001 00357*")</f>
        <v>0</v>
      </c>
      <c r="E5565" s="54"/>
      <c r="F5565" s="83">
        <f>SUMIFS(F5566:F6462,K5566:K6462,"0",B5566:B6462,"5 1 3 5 7 12 31111 6 M59 20700 000132 0000R 00001 00357*")</f>
        <v>20138</v>
      </c>
      <c r="G5565" s="83">
        <f>SUMIFS(G5566:G6462,K5566:K6462,"0",B5566:B6462,"5 1 3 5 7 12 31111 6 M59 20700 000132 0000R 00001 00357*")</f>
        <v>0</v>
      </c>
      <c r="H5565" s="83">
        <f t="shared" si="87"/>
        <v>20138</v>
      </c>
      <c r="I5565" s="83"/>
      <c r="K5565" s="54" t="s">
        <v>15</v>
      </c>
    </row>
    <row r="5566" spans="2:11" ht="33" x14ac:dyDescent="0.2">
      <c r="B5566" s="82" t="s">
        <v>8961</v>
      </c>
      <c r="C5566" s="82" t="s">
        <v>1051</v>
      </c>
      <c r="D5566" s="83">
        <f>SUMIFS(D5567:D6462,K5567:K6462,"0",B5567:B6462,"5 1 3 5 7 12 31111 6 M59 20700 000132 0000R 00001 00357 015*")-SUMIFS(E5567:E6462,K5567:K6462,"0",B5567:B6462,"5 1 3 5 7 12 31111 6 M59 20700 000132 0000R 00001 00357 015*")</f>
        <v>0</v>
      </c>
      <c r="E5566" s="54"/>
      <c r="F5566" s="83">
        <f>SUMIFS(F5567:F6462,K5567:K6462,"0",B5567:B6462,"5 1 3 5 7 12 31111 6 M59 20700 000132 0000R 00001 00357 015*")</f>
        <v>20138</v>
      </c>
      <c r="G5566" s="83">
        <f>SUMIFS(G5567:G6462,K5567:K6462,"0",B5567:B6462,"5 1 3 5 7 12 31111 6 M59 20700 000132 0000R 00001 00357 015*")</f>
        <v>0</v>
      </c>
      <c r="H5566" s="83">
        <f t="shared" si="87"/>
        <v>20138</v>
      </c>
      <c r="I5566" s="83"/>
      <c r="K5566" s="54" t="s">
        <v>15</v>
      </c>
    </row>
    <row r="5567" spans="2:11" ht="33" x14ac:dyDescent="0.2">
      <c r="B5567" s="82" t="s">
        <v>8962</v>
      </c>
      <c r="C5567" s="82" t="s">
        <v>5830</v>
      </c>
      <c r="D5567" s="83">
        <f>SUMIFS(D5568:D6462,K5568:K6462,"0",B5568:B6462,"5 1 3 5 7 12 31111 6 M59 20700 000132 0000R 00001 00357 015 2112000*")-SUMIFS(E5568:E6462,K5568:K6462,"0",B5568:B6462,"5 1 3 5 7 12 31111 6 M59 20700 000132 0000R 00001 00357 015 2112000*")</f>
        <v>0</v>
      </c>
      <c r="E5567" s="54"/>
      <c r="F5567" s="83">
        <f>SUMIFS(F5568:F6462,K5568:K6462,"0",B5568:B6462,"5 1 3 5 7 12 31111 6 M59 20700 000132 0000R 00001 00357 015 2112000*")</f>
        <v>20138</v>
      </c>
      <c r="G5567" s="83">
        <f>SUMIFS(G5568:G6462,K5568:K6462,"0",B5568:B6462,"5 1 3 5 7 12 31111 6 M59 20700 000132 0000R 00001 00357 015 2112000*")</f>
        <v>0</v>
      </c>
      <c r="H5567" s="83">
        <f t="shared" si="87"/>
        <v>20138</v>
      </c>
      <c r="I5567" s="83"/>
      <c r="K5567" s="54" t="s">
        <v>15</v>
      </c>
    </row>
    <row r="5568" spans="2:11" ht="33" x14ac:dyDescent="0.2">
      <c r="B5568" s="82" t="s">
        <v>8963</v>
      </c>
      <c r="C5568" s="82" t="s">
        <v>660</v>
      </c>
      <c r="D5568" s="83">
        <f>SUMIFS(D5569:D6462,K5569:K6462,"0",B5569:B6462,"5 1 3 5 7 12 31111 6 M59 20700 000132 0000R 00001 00357 015 2112000 2024*")-SUMIFS(E5569:E6462,K5569:K6462,"0",B5569:B6462,"5 1 3 5 7 12 31111 6 M59 20700 000132 0000R 00001 00357 015 2112000 2024*")</f>
        <v>0</v>
      </c>
      <c r="E5568" s="54"/>
      <c r="F5568" s="83">
        <f>SUMIFS(F5569:F6462,K5569:K6462,"0",B5569:B6462,"5 1 3 5 7 12 31111 6 M59 20700 000132 0000R 00001 00357 015 2112000 2024*")</f>
        <v>20138</v>
      </c>
      <c r="G5568" s="83">
        <f>SUMIFS(G5569:G6462,K5569:K6462,"0",B5569:B6462,"5 1 3 5 7 12 31111 6 M59 20700 000132 0000R 00001 00357 015 2112000 2024*")</f>
        <v>0</v>
      </c>
      <c r="H5568" s="83">
        <f t="shared" si="87"/>
        <v>20138</v>
      </c>
      <c r="I5568" s="83"/>
      <c r="K5568" s="54" t="s">
        <v>15</v>
      </c>
    </row>
    <row r="5569" spans="2:11" ht="41.25" x14ac:dyDescent="0.2">
      <c r="B5569" s="82" t="s">
        <v>8964</v>
      </c>
      <c r="C5569" s="82" t="s">
        <v>662</v>
      </c>
      <c r="D5569" s="83">
        <f>SUMIFS(D5570:D6462,K5570:K6462,"0",B5570:B6462,"5 1 3 5 7 12 31111 6 M59 20700 000132 0000R 00001 00357 015 2112000 2024 CP1RM401*")-SUMIFS(E5570:E6462,K5570:K6462,"0",B5570:B6462,"5 1 3 5 7 12 31111 6 M59 20700 000132 0000R 00001 00357 015 2112000 2024 CP1RM401*")</f>
        <v>0</v>
      </c>
      <c r="E5569" s="54"/>
      <c r="F5569" s="83">
        <f>SUMIFS(F5570:F6462,K5570:K6462,"0",B5570:B6462,"5 1 3 5 7 12 31111 6 M59 20700 000132 0000R 00001 00357 015 2112000 2024 CP1RM401*")</f>
        <v>20138</v>
      </c>
      <c r="G5569" s="83">
        <f>SUMIFS(G5570:G6462,K5570:K6462,"0",B5570:B6462,"5 1 3 5 7 12 31111 6 M59 20700 000132 0000R 00001 00357 015 2112000 2024 CP1RM401*")</f>
        <v>0</v>
      </c>
      <c r="H5569" s="83">
        <f t="shared" si="87"/>
        <v>20138</v>
      </c>
      <c r="I5569" s="83"/>
      <c r="K5569" s="54" t="s">
        <v>15</v>
      </c>
    </row>
    <row r="5570" spans="2:11" ht="41.25" x14ac:dyDescent="0.2">
      <c r="B5570" s="82" t="s">
        <v>8965</v>
      </c>
      <c r="C5570" s="82" t="s">
        <v>282</v>
      </c>
      <c r="D5570" s="83">
        <f>SUMIFS(D5571:D6462,K5571:K6462,"0",B5571:B6462,"5 1 3 5 7 12 31111 6 M59 20700 000132 0000R 00001 00357 015 2112000 2024 CP1RM401 001*")-SUMIFS(E5571:E6462,K5571:K6462,"0",B5571:B6462,"5 1 3 5 7 12 31111 6 M59 20700 000132 0000R 00001 00357 015 2112000 2024 CP1RM401 001*")</f>
        <v>0</v>
      </c>
      <c r="E5570" s="54"/>
      <c r="F5570" s="83">
        <f>SUMIFS(F5571:F6462,K5571:K6462,"0",B5571:B6462,"5 1 3 5 7 12 31111 6 M59 20700 000132 0000R 00001 00357 015 2112000 2024 CP1RM401 001*")</f>
        <v>20138</v>
      </c>
      <c r="G5570" s="83">
        <f>SUMIFS(G5571:G6462,K5571:K6462,"0",B5571:B6462,"5 1 3 5 7 12 31111 6 M59 20700 000132 0000R 00001 00357 015 2112000 2024 CP1RM401 001*")</f>
        <v>0</v>
      </c>
      <c r="H5570" s="83">
        <f t="shared" si="87"/>
        <v>20138</v>
      </c>
      <c r="I5570" s="83"/>
      <c r="K5570" s="54" t="s">
        <v>15</v>
      </c>
    </row>
    <row r="5571" spans="2:11" ht="33" x14ac:dyDescent="0.2">
      <c r="B5571" s="84" t="s">
        <v>8966</v>
      </c>
      <c r="C5571" s="84" t="s">
        <v>8967</v>
      </c>
      <c r="D5571" s="85">
        <v>0</v>
      </c>
      <c r="E5571" s="85"/>
      <c r="F5571" s="85">
        <v>20138</v>
      </c>
      <c r="G5571" s="85">
        <v>0</v>
      </c>
      <c r="H5571" s="85">
        <f t="shared" si="87"/>
        <v>20138</v>
      </c>
      <c r="I5571" s="85"/>
      <c r="K5571" s="54" t="s">
        <v>38</v>
      </c>
    </row>
    <row r="5572" spans="2:11" ht="16.5" x14ac:dyDescent="0.2">
      <c r="B5572" s="82" t="s">
        <v>8968</v>
      </c>
      <c r="C5572" s="82" t="s">
        <v>3281</v>
      </c>
      <c r="D5572" s="83">
        <f>SUMIFS(D5573:D6462,K5573:K6462,"0",B5573:B6462,"5 1 3 5 7 12 31111 6 M59 50000*")-SUMIFS(E5573:E6462,K5573:K6462,"0",B5573:B6462,"5 1 3 5 7 12 31111 6 M59 50000*")</f>
        <v>0</v>
      </c>
      <c r="E5572" s="54"/>
      <c r="F5572" s="83">
        <f>SUMIFS(F5573:F6462,K5573:K6462,"0",B5573:B6462,"5 1 3 5 7 12 31111 6 M59 50000*")</f>
        <v>19120</v>
      </c>
      <c r="G5572" s="83">
        <f>SUMIFS(G5573:G6462,K5573:K6462,"0",B5573:B6462,"5 1 3 5 7 12 31111 6 M59 50000*")</f>
        <v>0</v>
      </c>
      <c r="H5572" s="83">
        <f t="shared" si="87"/>
        <v>19120</v>
      </c>
      <c r="I5572" s="83"/>
      <c r="K5572" s="54" t="s">
        <v>15</v>
      </c>
    </row>
    <row r="5573" spans="2:11" ht="16.5" x14ac:dyDescent="0.2">
      <c r="B5573" s="82" t="s">
        <v>8969</v>
      </c>
      <c r="C5573" s="82" t="s">
        <v>3283</v>
      </c>
      <c r="D5573" s="83">
        <f>SUMIFS(D5574:D6462,K5574:K6462,"0",B5574:B6462,"5 1 3 5 7 12 31111 6 M59 50000 000223*")-SUMIFS(E5574:E6462,K5574:K6462,"0",B5574:B6462,"5 1 3 5 7 12 31111 6 M59 50000 000223*")</f>
        <v>0</v>
      </c>
      <c r="E5573" s="54"/>
      <c r="F5573" s="83">
        <f>SUMIFS(F5574:F6462,K5574:K6462,"0",B5574:B6462,"5 1 3 5 7 12 31111 6 M59 50000 000223*")</f>
        <v>19120</v>
      </c>
      <c r="G5573" s="83">
        <f>SUMIFS(G5574:G6462,K5574:K6462,"0",B5574:B6462,"5 1 3 5 7 12 31111 6 M59 50000 000223*")</f>
        <v>0</v>
      </c>
      <c r="H5573" s="83">
        <f t="shared" si="87"/>
        <v>19120</v>
      </c>
      <c r="I5573" s="83"/>
      <c r="K5573" s="54" t="s">
        <v>15</v>
      </c>
    </row>
    <row r="5574" spans="2:11" ht="24.75" x14ac:dyDescent="0.2">
      <c r="B5574" s="82" t="s">
        <v>8970</v>
      </c>
      <c r="C5574" s="82" t="s">
        <v>1065</v>
      </c>
      <c r="D5574" s="83">
        <f>SUMIFS(D5575:D6462,K5575:K6462,"0",B5575:B6462,"5 1 3 5 7 12 31111 6 M59 50000 000223 0000E*")-SUMIFS(E5575:E6462,K5575:K6462,"0",B5575:B6462,"5 1 3 5 7 12 31111 6 M59 50000 000223 0000E*")</f>
        <v>0</v>
      </c>
      <c r="E5574" s="54"/>
      <c r="F5574" s="83">
        <f>SUMIFS(F5575:F6462,K5575:K6462,"0",B5575:B6462,"5 1 3 5 7 12 31111 6 M59 50000 000223 0000E*")</f>
        <v>19120</v>
      </c>
      <c r="G5574" s="83">
        <f>SUMIFS(G5575:G6462,K5575:K6462,"0",B5575:B6462,"5 1 3 5 7 12 31111 6 M59 50000 000223 0000E*")</f>
        <v>0</v>
      </c>
      <c r="H5574" s="83">
        <f t="shared" si="87"/>
        <v>19120</v>
      </c>
      <c r="I5574" s="83"/>
      <c r="K5574" s="54" t="s">
        <v>15</v>
      </c>
    </row>
    <row r="5575" spans="2:11" ht="24.75" x14ac:dyDescent="0.2">
      <c r="B5575" s="82" t="s">
        <v>8971</v>
      </c>
      <c r="C5575" s="82" t="s">
        <v>282</v>
      </c>
      <c r="D5575" s="83">
        <f>SUMIFS(D5576:D6462,K5576:K6462,"0",B5576:B6462,"5 1 3 5 7 12 31111 6 M59 50000 000223 0000E 00001*")-SUMIFS(E5576:E6462,K5576:K6462,"0",B5576:B6462,"5 1 3 5 7 12 31111 6 M59 50000 000223 0000E 00001*")</f>
        <v>0</v>
      </c>
      <c r="E5575" s="54"/>
      <c r="F5575" s="83">
        <f>SUMIFS(F5576:F6462,K5576:K6462,"0",B5576:B6462,"5 1 3 5 7 12 31111 6 M59 50000 000223 0000E 00001*")</f>
        <v>19120</v>
      </c>
      <c r="G5575" s="83">
        <f>SUMIFS(G5576:G6462,K5576:K6462,"0",B5576:B6462,"5 1 3 5 7 12 31111 6 M59 50000 000223 0000E 00001*")</f>
        <v>0</v>
      </c>
      <c r="H5575" s="83">
        <f t="shared" si="87"/>
        <v>19120</v>
      </c>
      <c r="I5575" s="83"/>
      <c r="K5575" s="54" t="s">
        <v>15</v>
      </c>
    </row>
    <row r="5576" spans="2:11" ht="33" x14ac:dyDescent="0.2">
      <c r="B5576" s="82" t="s">
        <v>8972</v>
      </c>
      <c r="C5576" s="82" t="s">
        <v>8960</v>
      </c>
      <c r="D5576" s="83">
        <f>SUMIFS(D5577:D6462,K5577:K6462,"0",B5577:B6462,"5 1 3 5 7 12 31111 6 M59 50000 000223 0000E 00001 00357*")-SUMIFS(E5577:E6462,K5577:K6462,"0",B5577:B6462,"5 1 3 5 7 12 31111 6 M59 50000 000223 0000E 00001 00357*")</f>
        <v>0</v>
      </c>
      <c r="E5576" s="54"/>
      <c r="F5576" s="83">
        <f>SUMIFS(F5577:F6462,K5577:K6462,"0",B5577:B6462,"5 1 3 5 7 12 31111 6 M59 50000 000223 0000E 00001 00357*")</f>
        <v>19120</v>
      </c>
      <c r="G5576" s="83">
        <f>SUMIFS(G5577:G6462,K5577:K6462,"0",B5577:B6462,"5 1 3 5 7 12 31111 6 M59 50000 000223 0000E 00001 00357*")</f>
        <v>0</v>
      </c>
      <c r="H5576" s="83">
        <f t="shared" si="87"/>
        <v>19120</v>
      </c>
      <c r="I5576" s="83"/>
      <c r="K5576" s="54" t="s">
        <v>15</v>
      </c>
    </row>
    <row r="5577" spans="2:11" ht="33" x14ac:dyDescent="0.2">
      <c r="B5577" s="82" t="s">
        <v>8973</v>
      </c>
      <c r="C5577" s="82" t="s">
        <v>1051</v>
      </c>
      <c r="D5577" s="83">
        <f>SUMIFS(D5578:D6462,K5578:K6462,"0",B5578:B6462,"5 1 3 5 7 12 31111 6 M59 50000 000223 0000E 00001 00357 015*")-SUMIFS(E5578:E6462,K5578:K6462,"0",B5578:B6462,"5 1 3 5 7 12 31111 6 M59 50000 000223 0000E 00001 00357 015*")</f>
        <v>0</v>
      </c>
      <c r="E5577" s="54"/>
      <c r="F5577" s="83">
        <f>SUMIFS(F5578:F6462,K5578:K6462,"0",B5578:B6462,"5 1 3 5 7 12 31111 6 M59 50000 000223 0000E 00001 00357 015*")</f>
        <v>19120</v>
      </c>
      <c r="G5577" s="83">
        <f>SUMIFS(G5578:G6462,K5578:K6462,"0",B5578:B6462,"5 1 3 5 7 12 31111 6 M59 50000 000223 0000E 00001 00357 015*")</f>
        <v>0</v>
      </c>
      <c r="H5577" s="83">
        <f t="shared" si="87"/>
        <v>19120</v>
      </c>
      <c r="I5577" s="83"/>
      <c r="K5577" s="54" t="s">
        <v>15</v>
      </c>
    </row>
    <row r="5578" spans="2:11" ht="33" x14ac:dyDescent="0.2">
      <c r="B5578" s="82" t="s">
        <v>8974</v>
      </c>
      <c r="C5578" s="82" t="s">
        <v>5830</v>
      </c>
      <c r="D5578" s="83">
        <f>SUMIFS(D5579:D6462,K5579:K6462,"0",B5579:B6462,"5 1 3 5 7 12 31111 6 M59 50000 000223 0000E 00001 00357 015 2112000*")-SUMIFS(E5579:E6462,K5579:K6462,"0",B5579:B6462,"5 1 3 5 7 12 31111 6 M59 50000 000223 0000E 00001 00357 015 2112000*")</f>
        <v>0</v>
      </c>
      <c r="E5578" s="54"/>
      <c r="F5578" s="83">
        <f>SUMIFS(F5579:F6462,K5579:K6462,"0",B5579:B6462,"5 1 3 5 7 12 31111 6 M59 50000 000223 0000E 00001 00357 015 2112000*")</f>
        <v>19120</v>
      </c>
      <c r="G5578" s="83">
        <f>SUMIFS(G5579:G6462,K5579:K6462,"0",B5579:B6462,"5 1 3 5 7 12 31111 6 M59 50000 000223 0000E 00001 00357 015 2112000*")</f>
        <v>0</v>
      </c>
      <c r="H5578" s="83">
        <f t="shared" si="87"/>
        <v>19120</v>
      </c>
      <c r="I5578" s="83"/>
      <c r="K5578" s="54" t="s">
        <v>15</v>
      </c>
    </row>
    <row r="5579" spans="2:11" ht="33" x14ac:dyDescent="0.2">
      <c r="B5579" s="82" t="s">
        <v>8975</v>
      </c>
      <c r="C5579" s="82" t="s">
        <v>660</v>
      </c>
      <c r="D5579" s="83">
        <f>SUMIFS(D5580:D6462,K5580:K6462,"0",B5580:B6462,"5 1 3 5 7 12 31111 6 M59 50000 000223 0000E 00001 00357 015 2112000 2024*")-SUMIFS(E5580:E6462,K5580:K6462,"0",B5580:B6462,"5 1 3 5 7 12 31111 6 M59 50000 000223 0000E 00001 00357 015 2112000 2024*")</f>
        <v>0</v>
      </c>
      <c r="E5579" s="54"/>
      <c r="F5579" s="83">
        <f>SUMIFS(F5580:F6462,K5580:K6462,"0",B5580:B6462,"5 1 3 5 7 12 31111 6 M59 50000 000223 0000E 00001 00357 015 2112000 2024*")</f>
        <v>19120</v>
      </c>
      <c r="G5579" s="83">
        <f>SUMIFS(G5580:G6462,K5580:K6462,"0",B5580:B6462,"5 1 3 5 7 12 31111 6 M59 50000 000223 0000E 00001 00357 015 2112000 2024*")</f>
        <v>0</v>
      </c>
      <c r="H5579" s="83">
        <f t="shared" si="87"/>
        <v>19120</v>
      </c>
      <c r="I5579" s="83"/>
      <c r="K5579" s="54" t="s">
        <v>15</v>
      </c>
    </row>
    <row r="5580" spans="2:11" ht="41.25" x14ac:dyDescent="0.2">
      <c r="B5580" s="82" t="s">
        <v>8976</v>
      </c>
      <c r="C5580" s="82" t="s">
        <v>662</v>
      </c>
      <c r="D5580" s="83">
        <f>SUMIFS(D5581:D6462,K5581:K6462,"0",B5581:B6462,"5 1 3 5 7 12 31111 6 M59 50000 000223 0000E 00001 00357 015 2112000 2024 CP1DA424*")-SUMIFS(E5581:E6462,K5581:K6462,"0",B5581:B6462,"5 1 3 5 7 12 31111 6 M59 50000 000223 0000E 00001 00357 015 2112000 2024 CP1DA424*")</f>
        <v>0</v>
      </c>
      <c r="E5580" s="54"/>
      <c r="F5580" s="83">
        <f>SUMIFS(F5581:F6462,K5581:K6462,"0",B5581:B6462,"5 1 3 5 7 12 31111 6 M59 50000 000223 0000E 00001 00357 015 2112000 2024 CP1DA424*")</f>
        <v>19120</v>
      </c>
      <c r="G5580" s="83">
        <f>SUMIFS(G5581:G6462,K5581:K6462,"0",B5581:B6462,"5 1 3 5 7 12 31111 6 M59 50000 000223 0000E 00001 00357 015 2112000 2024 CP1DA424*")</f>
        <v>0</v>
      </c>
      <c r="H5580" s="83">
        <f t="shared" si="87"/>
        <v>19120</v>
      </c>
      <c r="I5580" s="83"/>
      <c r="K5580" s="54" t="s">
        <v>15</v>
      </c>
    </row>
    <row r="5581" spans="2:11" ht="41.25" x14ac:dyDescent="0.2">
      <c r="B5581" s="82" t="s">
        <v>8977</v>
      </c>
      <c r="C5581" s="82" t="s">
        <v>282</v>
      </c>
      <c r="D5581" s="83">
        <f>SUMIFS(D5582:D6462,K5582:K6462,"0",B5582:B6462,"5 1 3 5 7 12 31111 6 M59 50000 000223 0000E 00001 00357 015 2112000 2024 CP1DA424 001*")-SUMIFS(E5582:E6462,K5582:K6462,"0",B5582:B6462,"5 1 3 5 7 12 31111 6 M59 50000 000223 0000E 00001 00357 015 2112000 2024 CP1DA424 001*")</f>
        <v>0</v>
      </c>
      <c r="E5581" s="54"/>
      <c r="F5581" s="83">
        <f>SUMIFS(F5582:F6462,K5582:K6462,"0",B5582:B6462,"5 1 3 5 7 12 31111 6 M59 50000 000223 0000E 00001 00357 015 2112000 2024 CP1DA424 001*")</f>
        <v>19120</v>
      </c>
      <c r="G5581" s="83">
        <f>SUMIFS(G5582:G6462,K5582:K6462,"0",B5582:B6462,"5 1 3 5 7 12 31111 6 M59 50000 000223 0000E 00001 00357 015 2112000 2024 CP1DA424 001*")</f>
        <v>0</v>
      </c>
      <c r="H5581" s="83">
        <f t="shared" si="87"/>
        <v>19120</v>
      </c>
      <c r="I5581" s="83"/>
      <c r="K5581" s="54" t="s">
        <v>15</v>
      </c>
    </row>
    <row r="5582" spans="2:11" ht="41.25" x14ac:dyDescent="0.2">
      <c r="B5582" s="84" t="s">
        <v>8978</v>
      </c>
      <c r="C5582" s="84" t="s">
        <v>8967</v>
      </c>
      <c r="D5582" s="85">
        <v>0</v>
      </c>
      <c r="E5582" s="85"/>
      <c r="F5582" s="85">
        <v>19120</v>
      </c>
      <c r="G5582" s="85">
        <v>0</v>
      </c>
      <c r="H5582" s="85">
        <f t="shared" si="87"/>
        <v>19120</v>
      </c>
      <c r="I5582" s="85"/>
      <c r="K5582" s="54" t="s">
        <v>38</v>
      </c>
    </row>
    <row r="5583" spans="2:11" ht="16.5" x14ac:dyDescent="0.2">
      <c r="B5583" s="82" t="s">
        <v>8979</v>
      </c>
      <c r="C5583" s="82" t="s">
        <v>8980</v>
      </c>
      <c r="D5583" s="83">
        <f>SUMIFS(D5584:D6462,K5584:K6462,"0",B5584:B6462,"5 1 3 6*")-SUMIFS(E5584:E6462,K5584:K6462,"0",B5584:B6462,"5 1 3 6*")</f>
        <v>0</v>
      </c>
      <c r="E5583" s="54"/>
      <c r="F5583" s="83">
        <f>SUMIFS(F5584:F6462,K5584:K6462,"0",B5584:B6462,"5 1 3 6*")</f>
        <v>237948</v>
      </c>
      <c r="G5583" s="83">
        <f>SUMIFS(G5584:G6462,K5584:K6462,"0",B5584:B6462,"5 1 3 6*")</f>
        <v>0</v>
      </c>
      <c r="H5583" s="83">
        <f t="shared" si="87"/>
        <v>237948</v>
      </c>
      <c r="I5583" s="83"/>
      <c r="K5583" s="54" t="s">
        <v>15</v>
      </c>
    </row>
    <row r="5584" spans="2:11" ht="41.25" x14ac:dyDescent="0.2">
      <c r="B5584" s="82" t="s">
        <v>8981</v>
      </c>
      <c r="C5584" s="82" t="s">
        <v>8982</v>
      </c>
      <c r="D5584" s="83">
        <f>SUMIFS(D5585:D6462,K5585:K6462,"0",B5585:B6462,"5 1 3 6 1*")-SUMIFS(E5585:E6462,K5585:K6462,"0",B5585:B6462,"5 1 3 6 1*")</f>
        <v>0</v>
      </c>
      <c r="E5584" s="54"/>
      <c r="F5584" s="83">
        <f>SUMIFS(F5585:F6462,K5585:K6462,"0",B5585:B6462,"5 1 3 6 1*")</f>
        <v>237948</v>
      </c>
      <c r="G5584" s="83">
        <f>SUMIFS(G5585:G6462,K5585:K6462,"0",B5585:B6462,"5 1 3 6 1*")</f>
        <v>0</v>
      </c>
      <c r="H5584" s="83">
        <f t="shared" si="87"/>
        <v>237948</v>
      </c>
      <c r="I5584" s="83"/>
      <c r="K5584" s="54" t="s">
        <v>15</v>
      </c>
    </row>
    <row r="5585" spans="2:11" ht="12.75" x14ac:dyDescent="0.2">
      <c r="B5585" s="82" t="s">
        <v>8983</v>
      </c>
      <c r="C5585" s="82" t="s">
        <v>26</v>
      </c>
      <c r="D5585" s="83">
        <f>SUMIFS(D5586:D6462,K5586:K6462,"0",B5586:B6462,"5 1 3 6 1 12*")-SUMIFS(E5586:E6462,K5586:K6462,"0",B5586:B6462,"5 1 3 6 1 12*")</f>
        <v>0</v>
      </c>
      <c r="E5585" s="54"/>
      <c r="F5585" s="83">
        <f>SUMIFS(F5586:F6462,K5586:K6462,"0",B5586:B6462,"5 1 3 6 1 12*")</f>
        <v>237948</v>
      </c>
      <c r="G5585" s="83">
        <f>SUMIFS(G5586:G6462,K5586:K6462,"0",B5586:B6462,"5 1 3 6 1 12*")</f>
        <v>0</v>
      </c>
      <c r="H5585" s="83">
        <f t="shared" si="87"/>
        <v>237948</v>
      </c>
      <c r="I5585" s="83"/>
      <c r="K5585" s="54" t="s">
        <v>15</v>
      </c>
    </row>
    <row r="5586" spans="2:11" ht="16.5" x14ac:dyDescent="0.2">
      <c r="B5586" s="82" t="s">
        <v>8984</v>
      </c>
      <c r="C5586" s="82" t="s">
        <v>28</v>
      </c>
      <c r="D5586" s="83">
        <f>SUMIFS(D5587:D6462,K5587:K6462,"0",B5587:B6462,"5 1 3 6 1 12 31111*")-SUMIFS(E5587:E6462,K5587:K6462,"0",B5587:B6462,"5 1 3 6 1 12 31111*")</f>
        <v>0</v>
      </c>
      <c r="E5586" s="54"/>
      <c r="F5586" s="83">
        <f>SUMIFS(F5587:F6462,K5587:K6462,"0",B5587:B6462,"5 1 3 6 1 12 31111*")</f>
        <v>237948</v>
      </c>
      <c r="G5586" s="83">
        <f>SUMIFS(G5587:G6462,K5587:K6462,"0",B5587:B6462,"5 1 3 6 1 12 31111*")</f>
        <v>0</v>
      </c>
      <c r="H5586" s="83">
        <f t="shared" si="87"/>
        <v>237948</v>
      </c>
      <c r="I5586" s="83"/>
      <c r="K5586" s="54" t="s">
        <v>15</v>
      </c>
    </row>
    <row r="5587" spans="2:11" ht="12.75" x14ac:dyDescent="0.2">
      <c r="B5587" s="82" t="s">
        <v>8985</v>
      </c>
      <c r="C5587" s="82" t="s">
        <v>30</v>
      </c>
      <c r="D5587" s="83">
        <f>SUMIFS(D5588:D6462,K5588:K6462,"0",B5588:B6462,"5 1 3 6 1 12 31111 6*")-SUMIFS(E5588:E6462,K5588:K6462,"0",B5588:B6462,"5 1 3 6 1 12 31111 6*")</f>
        <v>0</v>
      </c>
      <c r="E5587" s="54"/>
      <c r="F5587" s="83">
        <f>SUMIFS(F5588:F6462,K5588:K6462,"0",B5588:B6462,"5 1 3 6 1 12 31111 6*")</f>
        <v>237948</v>
      </c>
      <c r="G5587" s="83">
        <f>SUMIFS(G5588:G6462,K5588:K6462,"0",B5588:B6462,"5 1 3 6 1 12 31111 6*")</f>
        <v>0</v>
      </c>
      <c r="H5587" s="83">
        <f t="shared" si="87"/>
        <v>237948</v>
      </c>
      <c r="I5587" s="83"/>
      <c r="K5587" s="54" t="s">
        <v>15</v>
      </c>
    </row>
    <row r="5588" spans="2:11" ht="16.5" x14ac:dyDescent="0.2">
      <c r="B5588" s="82" t="s">
        <v>8986</v>
      </c>
      <c r="C5588" s="82" t="s">
        <v>2284</v>
      </c>
      <c r="D5588" s="83">
        <f>SUMIFS(D5589:D6462,K5589:K6462,"0",B5589:B6462,"5 1 3 6 1 12 31111 6 M59*")-SUMIFS(E5589:E6462,K5589:K6462,"0",B5589:B6462,"5 1 3 6 1 12 31111 6 M59*")</f>
        <v>0</v>
      </c>
      <c r="E5588" s="54"/>
      <c r="F5588" s="83">
        <f>SUMIFS(F5589:F6462,K5589:K6462,"0",B5589:B6462,"5 1 3 6 1 12 31111 6 M59*")</f>
        <v>237948</v>
      </c>
      <c r="G5588" s="83">
        <f>SUMIFS(G5589:G6462,K5589:K6462,"0",B5589:B6462,"5 1 3 6 1 12 31111 6 M59*")</f>
        <v>0</v>
      </c>
      <c r="H5588" s="83">
        <f t="shared" si="87"/>
        <v>237948</v>
      </c>
      <c r="I5588" s="83"/>
      <c r="K5588" s="54" t="s">
        <v>15</v>
      </c>
    </row>
    <row r="5589" spans="2:11" ht="16.5" x14ac:dyDescent="0.2">
      <c r="B5589" s="82" t="s">
        <v>8987</v>
      </c>
      <c r="C5589" s="82" t="s">
        <v>2946</v>
      </c>
      <c r="D5589" s="83">
        <f>SUMIFS(D5590:D6462,K5590:K6462,"0",B5590:B6462,"5 1 3 6 1 12 31111 6 M59 10300*")-SUMIFS(E5590:E6462,K5590:K6462,"0",B5590:B6462,"5 1 3 6 1 12 31111 6 M59 10300*")</f>
        <v>0</v>
      </c>
      <c r="E5589" s="54"/>
      <c r="F5589" s="83">
        <f>SUMIFS(F5590:F6462,K5590:K6462,"0",B5590:B6462,"5 1 3 6 1 12 31111 6 M59 10300*")</f>
        <v>1948</v>
      </c>
      <c r="G5589" s="83">
        <f>SUMIFS(G5590:G6462,K5590:K6462,"0",B5590:B6462,"5 1 3 6 1 12 31111 6 M59 10300*")</f>
        <v>0</v>
      </c>
      <c r="H5589" s="83">
        <f t="shared" si="87"/>
        <v>1948</v>
      </c>
      <c r="I5589" s="83"/>
      <c r="K5589" s="54" t="s">
        <v>15</v>
      </c>
    </row>
    <row r="5590" spans="2:11" ht="16.5" x14ac:dyDescent="0.2">
      <c r="B5590" s="82" t="s">
        <v>8988</v>
      </c>
      <c r="C5590" s="82" t="s">
        <v>648</v>
      </c>
      <c r="D5590" s="83">
        <f>SUMIFS(D5591:D6462,K5591:K6462,"0",B5591:B6462,"5 1 3 6 1 12 31111 6 M59 10300 000132*")-SUMIFS(E5591:E6462,K5591:K6462,"0",B5591:B6462,"5 1 3 6 1 12 31111 6 M59 10300 000132*")</f>
        <v>0</v>
      </c>
      <c r="E5590" s="54"/>
      <c r="F5590" s="83">
        <f>SUMIFS(F5591:F6462,K5591:K6462,"0",B5591:B6462,"5 1 3 6 1 12 31111 6 M59 10300 000132*")</f>
        <v>1948</v>
      </c>
      <c r="G5590" s="83">
        <f>SUMIFS(G5591:G6462,K5591:K6462,"0",B5591:B6462,"5 1 3 6 1 12 31111 6 M59 10300 000132*")</f>
        <v>0</v>
      </c>
      <c r="H5590" s="83">
        <f t="shared" si="87"/>
        <v>1948</v>
      </c>
      <c r="I5590" s="83"/>
      <c r="K5590" s="54" t="s">
        <v>15</v>
      </c>
    </row>
    <row r="5591" spans="2:11" ht="24.75" x14ac:dyDescent="0.2">
      <c r="B5591" s="82" t="s">
        <v>8989</v>
      </c>
      <c r="C5591" s="82" t="s">
        <v>650</v>
      </c>
      <c r="D5591" s="83">
        <f>SUMIFS(D5592:D6462,K5592:K6462,"0",B5592:B6462,"5 1 3 6 1 12 31111 6 M59 10300 000132 0000R*")-SUMIFS(E5592:E6462,K5592:K6462,"0",B5592:B6462,"5 1 3 6 1 12 31111 6 M59 10300 000132 0000R*")</f>
        <v>0</v>
      </c>
      <c r="E5591" s="54"/>
      <c r="F5591" s="83">
        <f>SUMIFS(F5592:F6462,K5592:K6462,"0",B5592:B6462,"5 1 3 6 1 12 31111 6 M59 10300 000132 0000R*")</f>
        <v>1948</v>
      </c>
      <c r="G5591" s="83">
        <f>SUMIFS(G5592:G6462,K5592:K6462,"0",B5592:B6462,"5 1 3 6 1 12 31111 6 M59 10300 000132 0000R*")</f>
        <v>0</v>
      </c>
      <c r="H5591" s="83">
        <f t="shared" si="87"/>
        <v>1948</v>
      </c>
      <c r="I5591" s="83"/>
      <c r="K5591" s="54" t="s">
        <v>15</v>
      </c>
    </row>
    <row r="5592" spans="2:11" ht="24.75" x14ac:dyDescent="0.2">
      <c r="B5592" s="82" t="s">
        <v>8990</v>
      </c>
      <c r="C5592" s="82" t="s">
        <v>282</v>
      </c>
      <c r="D5592" s="83">
        <f>SUMIFS(D5593:D6462,K5593:K6462,"0",B5593:B6462,"5 1 3 6 1 12 31111 6 M59 10300 000132 0000R 00001*")-SUMIFS(E5593:E6462,K5593:K6462,"0",B5593:B6462,"5 1 3 6 1 12 31111 6 M59 10300 000132 0000R 00001*")</f>
        <v>0</v>
      </c>
      <c r="E5592" s="54"/>
      <c r="F5592" s="83">
        <f>SUMIFS(F5593:F6462,K5593:K6462,"0",B5593:B6462,"5 1 3 6 1 12 31111 6 M59 10300 000132 0000R 00001*")</f>
        <v>1948</v>
      </c>
      <c r="G5592" s="83">
        <f>SUMIFS(G5593:G6462,K5593:K6462,"0",B5593:B6462,"5 1 3 6 1 12 31111 6 M59 10300 000132 0000R 00001*")</f>
        <v>0</v>
      </c>
      <c r="H5592" s="83">
        <f t="shared" si="87"/>
        <v>1948</v>
      </c>
      <c r="I5592" s="83"/>
      <c r="K5592" s="54" t="s">
        <v>15</v>
      </c>
    </row>
    <row r="5593" spans="2:11" ht="41.25" x14ac:dyDescent="0.2">
      <c r="B5593" s="82" t="s">
        <v>8991</v>
      </c>
      <c r="C5593" s="82" t="s">
        <v>8992</v>
      </c>
      <c r="D5593" s="83">
        <f>SUMIFS(D5594:D6462,K5594:K6462,"0",B5594:B6462,"5 1 3 6 1 12 31111 6 M59 10300 000132 0000R 00001 00361*")-SUMIFS(E5594:E6462,K5594:K6462,"0",B5594:B6462,"5 1 3 6 1 12 31111 6 M59 10300 000132 0000R 00001 00361*")</f>
        <v>0</v>
      </c>
      <c r="E5593" s="54"/>
      <c r="F5593" s="83">
        <f>SUMIFS(F5594:F6462,K5594:K6462,"0",B5594:B6462,"5 1 3 6 1 12 31111 6 M59 10300 000132 0000R 00001 00361*")</f>
        <v>1948</v>
      </c>
      <c r="G5593" s="83">
        <f>SUMIFS(G5594:G6462,K5594:K6462,"0",B5594:B6462,"5 1 3 6 1 12 31111 6 M59 10300 000132 0000R 00001 00361*")</f>
        <v>0</v>
      </c>
      <c r="H5593" s="83">
        <f t="shared" si="87"/>
        <v>1948</v>
      </c>
      <c r="I5593" s="83"/>
      <c r="K5593" s="54" t="s">
        <v>15</v>
      </c>
    </row>
    <row r="5594" spans="2:11" ht="33" x14ac:dyDescent="0.2">
      <c r="B5594" s="82" t="s">
        <v>8993</v>
      </c>
      <c r="C5594" s="82" t="s">
        <v>1051</v>
      </c>
      <c r="D5594" s="83">
        <f>SUMIFS(D5595:D6462,K5595:K6462,"0",B5595:B6462,"5 1 3 6 1 12 31111 6 M59 10300 000132 0000R 00001 00361 015*")-SUMIFS(E5595:E6462,K5595:K6462,"0",B5595:B6462,"5 1 3 6 1 12 31111 6 M59 10300 000132 0000R 00001 00361 015*")</f>
        <v>0</v>
      </c>
      <c r="E5594" s="54"/>
      <c r="F5594" s="83">
        <f>SUMIFS(F5595:F6462,K5595:K6462,"0",B5595:B6462,"5 1 3 6 1 12 31111 6 M59 10300 000132 0000R 00001 00361 015*")</f>
        <v>1948</v>
      </c>
      <c r="G5594" s="83">
        <f>SUMIFS(G5595:G6462,K5595:K6462,"0",B5595:B6462,"5 1 3 6 1 12 31111 6 M59 10300 000132 0000R 00001 00361 015*")</f>
        <v>0</v>
      </c>
      <c r="H5594" s="83">
        <f t="shared" si="87"/>
        <v>1948</v>
      </c>
      <c r="I5594" s="83"/>
      <c r="K5594" s="54" t="s">
        <v>15</v>
      </c>
    </row>
    <row r="5595" spans="2:11" ht="33" x14ac:dyDescent="0.2">
      <c r="B5595" s="82" t="s">
        <v>8994</v>
      </c>
      <c r="C5595" s="82" t="s">
        <v>5830</v>
      </c>
      <c r="D5595" s="83">
        <f>SUMIFS(D5596:D6462,K5596:K6462,"0",B5596:B6462,"5 1 3 6 1 12 31111 6 M59 10300 000132 0000R 00001 00361 015 2112000*")-SUMIFS(E5596:E6462,K5596:K6462,"0",B5596:B6462,"5 1 3 6 1 12 31111 6 M59 10300 000132 0000R 00001 00361 015 2112000*")</f>
        <v>0</v>
      </c>
      <c r="E5595" s="54"/>
      <c r="F5595" s="83">
        <f>SUMIFS(F5596:F6462,K5596:K6462,"0",B5596:B6462,"5 1 3 6 1 12 31111 6 M59 10300 000132 0000R 00001 00361 015 2112000*")</f>
        <v>1948</v>
      </c>
      <c r="G5595" s="83">
        <f>SUMIFS(G5596:G6462,K5596:K6462,"0",B5596:B6462,"5 1 3 6 1 12 31111 6 M59 10300 000132 0000R 00001 00361 015 2112000*")</f>
        <v>0</v>
      </c>
      <c r="H5595" s="83">
        <f t="shared" si="87"/>
        <v>1948</v>
      </c>
      <c r="I5595" s="83"/>
      <c r="K5595" s="54" t="s">
        <v>15</v>
      </c>
    </row>
    <row r="5596" spans="2:11" ht="33" x14ac:dyDescent="0.2">
      <c r="B5596" s="82" t="s">
        <v>8995</v>
      </c>
      <c r="C5596" s="82" t="s">
        <v>660</v>
      </c>
      <c r="D5596" s="83">
        <f>SUMIFS(D5597:D6462,K5597:K6462,"0",B5597:B6462,"5 1 3 6 1 12 31111 6 M59 10300 000132 0000R 00001 00361 015 2112000 2024*")-SUMIFS(E5597:E6462,K5597:K6462,"0",B5597:B6462,"5 1 3 6 1 12 31111 6 M59 10300 000132 0000R 00001 00361 015 2112000 2024*")</f>
        <v>0</v>
      </c>
      <c r="E5596" s="54"/>
      <c r="F5596" s="83">
        <f>SUMIFS(F5597:F6462,K5597:K6462,"0",B5597:B6462,"5 1 3 6 1 12 31111 6 M59 10300 000132 0000R 00001 00361 015 2112000 2024*")</f>
        <v>1948</v>
      </c>
      <c r="G5596" s="83">
        <f>SUMIFS(G5597:G6462,K5597:K6462,"0",B5597:B6462,"5 1 3 6 1 12 31111 6 M59 10300 000132 0000R 00001 00361 015 2112000 2024*")</f>
        <v>0</v>
      </c>
      <c r="H5596" s="83">
        <f t="shared" si="87"/>
        <v>1948</v>
      </c>
      <c r="I5596" s="83"/>
      <c r="K5596" s="54" t="s">
        <v>15</v>
      </c>
    </row>
    <row r="5597" spans="2:11" ht="41.25" x14ac:dyDescent="0.2">
      <c r="B5597" s="82" t="s">
        <v>8996</v>
      </c>
      <c r="C5597" s="82" t="s">
        <v>2955</v>
      </c>
      <c r="D5597" s="83">
        <f>SUMIFS(D5598:D6462,K5598:K6462,"0",B5598:B6462,"5 1 3 6 1 12 31111 6 M59 10300 000132 0000R 00001 00361 015 2112000 2024 CP1GE413*")-SUMIFS(E5598:E6462,K5598:K6462,"0",B5598:B6462,"5 1 3 6 1 12 31111 6 M59 10300 000132 0000R 00001 00361 015 2112000 2024 CP1GE413*")</f>
        <v>0</v>
      </c>
      <c r="E5597" s="54"/>
      <c r="F5597" s="83">
        <f>SUMIFS(F5598:F6462,K5598:K6462,"0",B5598:B6462,"5 1 3 6 1 12 31111 6 M59 10300 000132 0000R 00001 00361 015 2112000 2024 CP1GE413*")</f>
        <v>1948</v>
      </c>
      <c r="G5597" s="83">
        <f>SUMIFS(G5598:G6462,K5598:K6462,"0",B5598:B6462,"5 1 3 6 1 12 31111 6 M59 10300 000132 0000R 00001 00361 015 2112000 2024 CP1GE413*")</f>
        <v>0</v>
      </c>
      <c r="H5597" s="83">
        <f t="shared" si="87"/>
        <v>1948</v>
      </c>
      <c r="I5597" s="83"/>
      <c r="K5597" s="54" t="s">
        <v>15</v>
      </c>
    </row>
    <row r="5598" spans="2:11" ht="41.25" x14ac:dyDescent="0.2">
      <c r="B5598" s="82" t="s">
        <v>8997</v>
      </c>
      <c r="C5598" s="82" t="s">
        <v>282</v>
      </c>
      <c r="D5598" s="83">
        <f>SUMIFS(D5599:D6462,K5599:K6462,"0",B5599:B6462,"5 1 3 6 1 12 31111 6 M59 10300 000132 0000R 00001 00361 015 2112000 2024 CP1GE413 001*")-SUMIFS(E5599:E6462,K5599:K6462,"0",B5599:B6462,"5 1 3 6 1 12 31111 6 M59 10300 000132 0000R 00001 00361 015 2112000 2024 CP1GE413 001*")</f>
        <v>0</v>
      </c>
      <c r="E5598" s="54"/>
      <c r="F5598" s="83">
        <f>SUMIFS(F5599:F6462,K5599:K6462,"0",B5599:B6462,"5 1 3 6 1 12 31111 6 M59 10300 000132 0000R 00001 00361 015 2112000 2024 CP1GE413 001*")</f>
        <v>1948</v>
      </c>
      <c r="G5598" s="83">
        <f>SUMIFS(G5599:G6462,K5599:K6462,"0",B5599:B6462,"5 1 3 6 1 12 31111 6 M59 10300 000132 0000R 00001 00361 015 2112000 2024 CP1GE413 001*")</f>
        <v>0</v>
      </c>
      <c r="H5598" s="83">
        <f t="shared" si="87"/>
        <v>1948</v>
      </c>
      <c r="I5598" s="83"/>
      <c r="K5598" s="54" t="s">
        <v>15</v>
      </c>
    </row>
    <row r="5599" spans="2:11" ht="33" x14ac:dyDescent="0.2">
      <c r="B5599" s="84" t="s">
        <v>8998</v>
      </c>
      <c r="C5599" s="84" t="s">
        <v>8992</v>
      </c>
      <c r="D5599" s="85">
        <v>0</v>
      </c>
      <c r="E5599" s="85"/>
      <c r="F5599" s="85">
        <v>1948</v>
      </c>
      <c r="G5599" s="85">
        <v>0</v>
      </c>
      <c r="H5599" s="85">
        <f t="shared" si="87"/>
        <v>1948</v>
      </c>
      <c r="I5599" s="85"/>
      <c r="K5599" s="54" t="s">
        <v>38</v>
      </c>
    </row>
    <row r="5600" spans="2:11" ht="16.5" x14ac:dyDescent="0.2">
      <c r="B5600" s="82" t="s">
        <v>9010</v>
      </c>
      <c r="C5600" s="82" t="s">
        <v>2971</v>
      </c>
      <c r="D5600" s="83">
        <f>SUMIFS(D5601:D6462,K5601:K6462,"0",B5601:B6462,"5 1 3 6 1 12 31111 6 M59 10500*")-SUMIFS(E5601:E6462,K5601:K6462,"0",B5601:B6462,"5 1 3 6 1 12 31111 6 M59 10500*")</f>
        <v>0</v>
      </c>
      <c r="E5600" s="54"/>
      <c r="F5600" s="83">
        <f>SUMIFS(F5601:F6462,K5601:K6462,"0",B5601:B6462,"5 1 3 6 1 12 31111 6 M59 10500*")</f>
        <v>236000</v>
      </c>
      <c r="G5600" s="83">
        <f>SUMIFS(G5601:G6462,K5601:K6462,"0",B5601:B6462,"5 1 3 6 1 12 31111 6 M59 10500*")</f>
        <v>0</v>
      </c>
      <c r="H5600" s="83">
        <f t="shared" si="87"/>
        <v>236000</v>
      </c>
      <c r="I5600" s="83"/>
      <c r="K5600" s="54" t="s">
        <v>15</v>
      </c>
    </row>
    <row r="5601" spans="2:11" ht="16.5" x14ac:dyDescent="0.2">
      <c r="B5601" s="82" t="s">
        <v>9011</v>
      </c>
      <c r="C5601" s="82" t="s">
        <v>648</v>
      </c>
      <c r="D5601" s="83">
        <f>SUMIFS(D5602:D6462,K5602:K6462,"0",B5602:B6462,"5 1 3 6 1 12 31111 6 M59 10500 000132*")-SUMIFS(E5602:E6462,K5602:K6462,"0",B5602:B6462,"5 1 3 6 1 12 31111 6 M59 10500 000132*")</f>
        <v>0</v>
      </c>
      <c r="E5601" s="54"/>
      <c r="F5601" s="83">
        <f>SUMIFS(F5602:F6462,K5602:K6462,"0",B5602:B6462,"5 1 3 6 1 12 31111 6 M59 10500 000132*")</f>
        <v>236000</v>
      </c>
      <c r="G5601" s="83">
        <f>SUMIFS(G5602:G6462,K5602:K6462,"0",B5602:B6462,"5 1 3 6 1 12 31111 6 M59 10500 000132*")</f>
        <v>0</v>
      </c>
      <c r="H5601" s="83">
        <f t="shared" si="87"/>
        <v>236000</v>
      </c>
      <c r="I5601" s="83"/>
      <c r="K5601" s="54" t="s">
        <v>15</v>
      </c>
    </row>
    <row r="5602" spans="2:11" ht="24.75" x14ac:dyDescent="0.2">
      <c r="B5602" s="82" t="s">
        <v>9012</v>
      </c>
      <c r="C5602" s="82" t="s">
        <v>650</v>
      </c>
      <c r="D5602" s="83">
        <f>SUMIFS(D5603:D6462,K5603:K6462,"0",B5603:B6462,"5 1 3 6 1 12 31111 6 M59 10500 000132 0000R*")-SUMIFS(E5603:E6462,K5603:K6462,"0",B5603:B6462,"5 1 3 6 1 12 31111 6 M59 10500 000132 0000R*")</f>
        <v>0</v>
      </c>
      <c r="E5602" s="54"/>
      <c r="F5602" s="83">
        <f>SUMIFS(F5603:F6462,K5603:K6462,"0",B5603:B6462,"5 1 3 6 1 12 31111 6 M59 10500 000132 0000R*")</f>
        <v>236000</v>
      </c>
      <c r="G5602" s="83">
        <f>SUMIFS(G5603:G6462,K5603:K6462,"0",B5603:B6462,"5 1 3 6 1 12 31111 6 M59 10500 000132 0000R*")</f>
        <v>0</v>
      </c>
      <c r="H5602" s="83">
        <f t="shared" si="87"/>
        <v>236000</v>
      </c>
      <c r="I5602" s="83"/>
      <c r="K5602" s="54" t="s">
        <v>15</v>
      </c>
    </row>
    <row r="5603" spans="2:11" ht="24.75" x14ac:dyDescent="0.2">
      <c r="B5603" s="82" t="s">
        <v>9013</v>
      </c>
      <c r="C5603" s="82" t="s">
        <v>282</v>
      </c>
      <c r="D5603" s="83">
        <f>SUMIFS(D5604:D6462,K5604:K6462,"0",B5604:B6462,"5 1 3 6 1 12 31111 6 M59 10500 000132 0000R 00001*")-SUMIFS(E5604:E6462,K5604:K6462,"0",B5604:B6462,"5 1 3 6 1 12 31111 6 M59 10500 000132 0000R 00001*")</f>
        <v>0</v>
      </c>
      <c r="E5603" s="54"/>
      <c r="F5603" s="83">
        <f>SUMIFS(F5604:F6462,K5604:K6462,"0",B5604:B6462,"5 1 3 6 1 12 31111 6 M59 10500 000132 0000R 00001*")</f>
        <v>236000</v>
      </c>
      <c r="G5603" s="83">
        <f>SUMIFS(G5604:G6462,K5604:K6462,"0",B5604:B6462,"5 1 3 6 1 12 31111 6 M59 10500 000132 0000R 00001*")</f>
        <v>0</v>
      </c>
      <c r="H5603" s="83">
        <f t="shared" si="87"/>
        <v>236000</v>
      </c>
      <c r="I5603" s="83"/>
      <c r="K5603" s="54" t="s">
        <v>15</v>
      </c>
    </row>
    <row r="5604" spans="2:11" ht="41.25" x14ac:dyDescent="0.2">
      <c r="B5604" s="82" t="s">
        <v>9014</v>
      </c>
      <c r="C5604" s="82" t="s">
        <v>8992</v>
      </c>
      <c r="D5604" s="83">
        <f>SUMIFS(D5605:D6462,K5605:K6462,"0",B5605:B6462,"5 1 3 6 1 12 31111 6 M59 10500 000132 0000R 00001 00361*")-SUMIFS(E5605:E6462,K5605:K6462,"0",B5605:B6462,"5 1 3 6 1 12 31111 6 M59 10500 000132 0000R 00001 00361*")</f>
        <v>0</v>
      </c>
      <c r="E5604" s="54"/>
      <c r="F5604" s="83">
        <f>SUMIFS(F5605:F6462,K5605:K6462,"0",B5605:B6462,"5 1 3 6 1 12 31111 6 M59 10500 000132 0000R 00001 00361*")</f>
        <v>236000</v>
      </c>
      <c r="G5604" s="83">
        <f>SUMIFS(G5605:G6462,K5605:K6462,"0",B5605:B6462,"5 1 3 6 1 12 31111 6 M59 10500 000132 0000R 00001 00361*")</f>
        <v>0</v>
      </c>
      <c r="H5604" s="83">
        <f t="shared" si="87"/>
        <v>236000</v>
      </c>
      <c r="I5604" s="83"/>
      <c r="K5604" s="54" t="s">
        <v>15</v>
      </c>
    </row>
    <row r="5605" spans="2:11" ht="33" x14ac:dyDescent="0.2">
      <c r="B5605" s="82" t="s">
        <v>9015</v>
      </c>
      <c r="C5605" s="82" t="s">
        <v>1051</v>
      </c>
      <c r="D5605" s="83">
        <f>SUMIFS(D5606:D6462,K5606:K6462,"0",B5606:B6462,"5 1 3 6 1 12 31111 6 M59 10500 000132 0000R 00001 00361 015*")-SUMIFS(E5606:E6462,K5606:K6462,"0",B5606:B6462,"5 1 3 6 1 12 31111 6 M59 10500 000132 0000R 00001 00361 015*")</f>
        <v>0</v>
      </c>
      <c r="E5605" s="54"/>
      <c r="F5605" s="83">
        <f>SUMIFS(F5606:F6462,K5606:K6462,"0",B5606:B6462,"5 1 3 6 1 12 31111 6 M59 10500 000132 0000R 00001 00361 015*")</f>
        <v>236000</v>
      </c>
      <c r="G5605" s="83">
        <f>SUMIFS(G5606:G6462,K5606:K6462,"0",B5606:B6462,"5 1 3 6 1 12 31111 6 M59 10500 000132 0000R 00001 00361 015*")</f>
        <v>0</v>
      </c>
      <c r="H5605" s="83">
        <f t="shared" si="87"/>
        <v>236000</v>
      </c>
      <c r="I5605" s="83"/>
      <c r="K5605" s="54" t="s">
        <v>15</v>
      </c>
    </row>
    <row r="5606" spans="2:11" ht="33" x14ac:dyDescent="0.2">
      <c r="B5606" s="82" t="s">
        <v>9016</v>
      </c>
      <c r="C5606" s="82" t="s">
        <v>5830</v>
      </c>
      <c r="D5606" s="83">
        <f>SUMIFS(D5607:D6462,K5607:K6462,"0",B5607:B6462,"5 1 3 6 1 12 31111 6 M59 10500 000132 0000R 00001 00361 015 2112000*")-SUMIFS(E5607:E6462,K5607:K6462,"0",B5607:B6462,"5 1 3 6 1 12 31111 6 M59 10500 000132 0000R 00001 00361 015 2112000*")</f>
        <v>0</v>
      </c>
      <c r="E5606" s="54"/>
      <c r="F5606" s="83">
        <f>SUMIFS(F5607:F6462,K5607:K6462,"0",B5607:B6462,"5 1 3 6 1 12 31111 6 M59 10500 000132 0000R 00001 00361 015 2112000*")</f>
        <v>236000</v>
      </c>
      <c r="G5606" s="83">
        <f>SUMIFS(G5607:G6462,K5607:K6462,"0",B5607:B6462,"5 1 3 6 1 12 31111 6 M59 10500 000132 0000R 00001 00361 015 2112000*")</f>
        <v>0</v>
      </c>
      <c r="H5606" s="83">
        <f t="shared" si="87"/>
        <v>236000</v>
      </c>
      <c r="I5606" s="83"/>
      <c r="K5606" s="54" t="s">
        <v>15</v>
      </c>
    </row>
    <row r="5607" spans="2:11" ht="33" x14ac:dyDescent="0.2">
      <c r="B5607" s="82" t="s">
        <v>9017</v>
      </c>
      <c r="C5607" s="82" t="s">
        <v>660</v>
      </c>
      <c r="D5607" s="83">
        <f>SUMIFS(D5608:D6462,K5608:K6462,"0",B5608:B6462,"5 1 3 6 1 12 31111 6 M59 10500 000132 0000R 00001 00361 015 2112000 2024*")-SUMIFS(E5608:E6462,K5608:K6462,"0",B5608:B6462,"5 1 3 6 1 12 31111 6 M59 10500 000132 0000R 00001 00361 015 2112000 2024*")</f>
        <v>0</v>
      </c>
      <c r="E5607" s="54"/>
      <c r="F5607" s="83">
        <f>SUMIFS(F5608:F6462,K5608:K6462,"0",B5608:B6462,"5 1 3 6 1 12 31111 6 M59 10500 000132 0000R 00001 00361 015 2112000 2024*")</f>
        <v>236000</v>
      </c>
      <c r="G5607" s="83">
        <f>SUMIFS(G5608:G6462,K5608:K6462,"0",B5608:B6462,"5 1 3 6 1 12 31111 6 M59 10500 000132 0000R 00001 00361 015 2112000 2024*")</f>
        <v>0</v>
      </c>
      <c r="H5607" s="83">
        <f t="shared" si="87"/>
        <v>236000</v>
      </c>
      <c r="I5607" s="83"/>
      <c r="K5607" s="54" t="s">
        <v>15</v>
      </c>
    </row>
    <row r="5608" spans="2:11" ht="41.25" x14ac:dyDescent="0.2">
      <c r="B5608" s="82" t="s">
        <v>9018</v>
      </c>
      <c r="C5608" s="82" t="s">
        <v>1056</v>
      </c>
      <c r="D5608" s="83">
        <f>SUMIFS(D5609:D6462,K5609:K6462,"0",B5609:B6462,"5 1 3 6 1 12 31111 6 M59 10500 000132 0000R 00001 00361 015 2112000 2024 CP1CS421*")-SUMIFS(E5609:E6462,K5609:K6462,"0",B5609:B6462,"5 1 3 6 1 12 31111 6 M59 10500 000132 0000R 00001 00361 015 2112000 2024 CP1CS421*")</f>
        <v>0</v>
      </c>
      <c r="E5608" s="54"/>
      <c r="F5608" s="83">
        <f>SUMIFS(F5609:F6462,K5609:K6462,"0",B5609:B6462,"5 1 3 6 1 12 31111 6 M59 10500 000132 0000R 00001 00361 015 2112000 2024 CP1CS421*")</f>
        <v>236000</v>
      </c>
      <c r="G5608" s="83">
        <f>SUMIFS(G5609:G6462,K5609:K6462,"0",B5609:B6462,"5 1 3 6 1 12 31111 6 M59 10500 000132 0000R 00001 00361 015 2112000 2024 CP1CS421*")</f>
        <v>0</v>
      </c>
      <c r="H5608" s="83">
        <f t="shared" si="87"/>
        <v>236000</v>
      </c>
      <c r="I5608" s="83"/>
      <c r="K5608" s="54" t="s">
        <v>15</v>
      </c>
    </row>
    <row r="5609" spans="2:11" ht="41.25" x14ac:dyDescent="0.2">
      <c r="B5609" s="82" t="s">
        <v>9019</v>
      </c>
      <c r="C5609" s="82" t="s">
        <v>282</v>
      </c>
      <c r="D5609" s="83">
        <f>SUMIFS(D5610:D6462,K5610:K6462,"0",B5610:B6462,"5 1 3 6 1 12 31111 6 M59 10500 000132 0000R 00001 00361 015 2112000 2024 CP1CS421 001*")-SUMIFS(E5610:E6462,K5610:K6462,"0",B5610:B6462,"5 1 3 6 1 12 31111 6 M59 10500 000132 0000R 00001 00361 015 2112000 2024 CP1CS421 001*")</f>
        <v>0</v>
      </c>
      <c r="E5609" s="54"/>
      <c r="F5609" s="83">
        <f>SUMIFS(F5610:F6462,K5610:K6462,"0",B5610:B6462,"5 1 3 6 1 12 31111 6 M59 10500 000132 0000R 00001 00361 015 2112000 2024 CP1CS421 001*")</f>
        <v>236000</v>
      </c>
      <c r="G5609" s="83">
        <f>SUMIFS(G5610:G6462,K5610:K6462,"0",B5610:B6462,"5 1 3 6 1 12 31111 6 M59 10500 000132 0000R 00001 00361 015 2112000 2024 CP1CS421 001*")</f>
        <v>0</v>
      </c>
      <c r="H5609" s="83">
        <f t="shared" si="87"/>
        <v>236000</v>
      </c>
      <c r="I5609" s="83"/>
      <c r="K5609" s="54" t="s">
        <v>15</v>
      </c>
    </row>
    <row r="5610" spans="2:11" ht="33" x14ac:dyDescent="0.2">
      <c r="B5610" s="84" t="s">
        <v>9020</v>
      </c>
      <c r="C5610" s="84" t="s">
        <v>9009</v>
      </c>
      <c r="D5610" s="85">
        <v>0</v>
      </c>
      <c r="E5610" s="85"/>
      <c r="F5610" s="85">
        <v>236000</v>
      </c>
      <c r="G5610" s="85">
        <v>0</v>
      </c>
      <c r="H5610" s="85">
        <f t="shared" si="87"/>
        <v>236000</v>
      </c>
      <c r="I5610" s="85"/>
      <c r="K5610" s="54" t="s">
        <v>38</v>
      </c>
    </row>
    <row r="5611" spans="2:11" ht="16.5" x14ac:dyDescent="0.2">
      <c r="B5611" s="82" t="s">
        <v>9021</v>
      </c>
      <c r="C5611" s="82" t="s">
        <v>9022</v>
      </c>
      <c r="D5611" s="83">
        <f>SUMIFS(D5612:D6462,K5612:K6462,"0",B5612:B6462,"5 1 3 7*")-SUMIFS(E5612:E6462,K5612:K6462,"0",B5612:B6462,"5 1 3 7*")</f>
        <v>0</v>
      </c>
      <c r="E5611" s="54"/>
      <c r="F5611" s="83">
        <f>SUMIFS(F5612:F6462,K5612:K6462,"0",B5612:B6462,"5 1 3 7*")</f>
        <v>22823.81</v>
      </c>
      <c r="G5611" s="83">
        <f>SUMIFS(G5612:G6462,K5612:K6462,"0",B5612:B6462,"5 1 3 7*")</f>
        <v>0</v>
      </c>
      <c r="H5611" s="83">
        <f t="shared" ref="H5611:H5674" si="88">D5611 + F5611 - G5611</f>
        <v>22823.81</v>
      </c>
      <c r="I5611" s="83"/>
      <c r="K5611" s="54" t="s">
        <v>15</v>
      </c>
    </row>
    <row r="5612" spans="2:11" ht="12.75" x14ac:dyDescent="0.2">
      <c r="B5612" s="82" t="s">
        <v>9023</v>
      </c>
      <c r="C5612" s="82" t="s">
        <v>9024</v>
      </c>
      <c r="D5612" s="83">
        <f>SUMIFS(D5613:D6462,K5613:K6462,"0",B5613:B6462,"5 1 3 7 5*")-SUMIFS(E5613:E6462,K5613:K6462,"0",B5613:B6462,"5 1 3 7 5*")</f>
        <v>0</v>
      </c>
      <c r="E5612" s="54"/>
      <c r="F5612" s="83">
        <f>SUMIFS(F5613:F6462,K5613:K6462,"0",B5613:B6462,"5 1 3 7 5*")</f>
        <v>22823.81</v>
      </c>
      <c r="G5612" s="83">
        <f>SUMIFS(G5613:G6462,K5613:K6462,"0",B5613:B6462,"5 1 3 7 5*")</f>
        <v>0</v>
      </c>
      <c r="H5612" s="83">
        <f t="shared" si="88"/>
        <v>22823.81</v>
      </c>
      <c r="I5612" s="83"/>
      <c r="K5612" s="54" t="s">
        <v>15</v>
      </c>
    </row>
    <row r="5613" spans="2:11" ht="12.75" x14ac:dyDescent="0.2">
      <c r="B5613" s="82" t="s">
        <v>9025</v>
      </c>
      <c r="C5613" s="82" t="s">
        <v>26</v>
      </c>
      <c r="D5613" s="83">
        <f>SUMIFS(D5614:D6462,K5614:K6462,"0",B5614:B6462,"5 1 3 7 5 12*")-SUMIFS(E5614:E6462,K5614:K6462,"0",B5614:B6462,"5 1 3 7 5 12*")</f>
        <v>0</v>
      </c>
      <c r="E5613" s="54"/>
      <c r="F5613" s="83">
        <f>SUMIFS(F5614:F6462,K5614:K6462,"0",B5614:B6462,"5 1 3 7 5 12*")</f>
        <v>22823.81</v>
      </c>
      <c r="G5613" s="83">
        <f>SUMIFS(G5614:G6462,K5614:K6462,"0",B5614:B6462,"5 1 3 7 5 12*")</f>
        <v>0</v>
      </c>
      <c r="H5613" s="83">
        <f t="shared" si="88"/>
        <v>22823.81</v>
      </c>
      <c r="I5613" s="83"/>
      <c r="K5613" s="54" t="s">
        <v>15</v>
      </c>
    </row>
    <row r="5614" spans="2:11" ht="16.5" x14ac:dyDescent="0.2">
      <c r="B5614" s="82" t="s">
        <v>9026</v>
      </c>
      <c r="C5614" s="82" t="s">
        <v>28</v>
      </c>
      <c r="D5614" s="83">
        <f>SUMIFS(D5615:D6462,K5615:K6462,"0",B5615:B6462,"5 1 3 7 5 12 31111*")-SUMIFS(E5615:E6462,K5615:K6462,"0",B5615:B6462,"5 1 3 7 5 12 31111*")</f>
        <v>0</v>
      </c>
      <c r="E5614" s="54"/>
      <c r="F5614" s="83">
        <f>SUMIFS(F5615:F6462,K5615:K6462,"0",B5615:B6462,"5 1 3 7 5 12 31111*")</f>
        <v>22823.81</v>
      </c>
      <c r="G5614" s="83">
        <f>SUMIFS(G5615:G6462,K5615:K6462,"0",B5615:B6462,"5 1 3 7 5 12 31111*")</f>
        <v>0</v>
      </c>
      <c r="H5614" s="83">
        <f t="shared" si="88"/>
        <v>22823.81</v>
      </c>
      <c r="I5614" s="83"/>
      <c r="K5614" s="54" t="s">
        <v>15</v>
      </c>
    </row>
    <row r="5615" spans="2:11" ht="12.75" x14ac:dyDescent="0.2">
      <c r="B5615" s="82" t="s">
        <v>9027</v>
      </c>
      <c r="C5615" s="82" t="s">
        <v>30</v>
      </c>
      <c r="D5615" s="83">
        <f>SUMIFS(D5616:D6462,K5616:K6462,"0",B5616:B6462,"5 1 3 7 5 12 31111 6*")-SUMIFS(E5616:E6462,K5616:K6462,"0",B5616:B6462,"5 1 3 7 5 12 31111 6*")</f>
        <v>0</v>
      </c>
      <c r="E5615" s="54"/>
      <c r="F5615" s="83">
        <f>SUMIFS(F5616:F6462,K5616:K6462,"0",B5616:B6462,"5 1 3 7 5 12 31111 6*")</f>
        <v>22823.81</v>
      </c>
      <c r="G5615" s="83">
        <f>SUMIFS(G5616:G6462,K5616:K6462,"0",B5616:B6462,"5 1 3 7 5 12 31111 6*")</f>
        <v>0</v>
      </c>
      <c r="H5615" s="83">
        <f t="shared" si="88"/>
        <v>22823.81</v>
      </c>
      <c r="I5615" s="83"/>
      <c r="K5615" s="54" t="s">
        <v>15</v>
      </c>
    </row>
    <row r="5616" spans="2:11" ht="16.5" x14ac:dyDescent="0.2">
      <c r="B5616" s="82" t="s">
        <v>9028</v>
      </c>
      <c r="C5616" s="82" t="s">
        <v>2284</v>
      </c>
      <c r="D5616" s="83">
        <f>SUMIFS(D5617:D6462,K5617:K6462,"0",B5617:B6462,"5 1 3 7 5 12 31111 6 M59*")-SUMIFS(E5617:E6462,K5617:K6462,"0",B5617:B6462,"5 1 3 7 5 12 31111 6 M59*")</f>
        <v>0</v>
      </c>
      <c r="E5616" s="54"/>
      <c r="F5616" s="83">
        <f>SUMIFS(F5617:F6462,K5617:K6462,"0",B5617:B6462,"5 1 3 7 5 12 31111 6 M59*")</f>
        <v>22823.81</v>
      </c>
      <c r="G5616" s="83">
        <f>SUMIFS(G5617:G6462,K5617:K6462,"0",B5617:B6462,"5 1 3 7 5 12 31111 6 M59*")</f>
        <v>0</v>
      </c>
      <c r="H5616" s="83">
        <f t="shared" si="88"/>
        <v>22823.81</v>
      </c>
      <c r="I5616" s="83"/>
      <c r="K5616" s="54" t="s">
        <v>15</v>
      </c>
    </row>
    <row r="5617" spans="2:11" ht="16.5" x14ac:dyDescent="0.2">
      <c r="B5617" s="82" t="s">
        <v>9029</v>
      </c>
      <c r="C5617" s="82" t="s">
        <v>1243</v>
      </c>
      <c r="D5617" s="83">
        <f>SUMIFS(D5618:D6462,K5618:K6462,"0",B5618:B6462,"5 1 3 7 5 12 31111 6 M59 10000*")-SUMIFS(E5618:E6462,K5618:K6462,"0",B5618:B6462,"5 1 3 7 5 12 31111 6 M59 10000*")</f>
        <v>0</v>
      </c>
      <c r="E5617" s="54"/>
      <c r="F5617" s="83">
        <f>SUMIFS(F5618:F6462,K5618:K6462,"0",B5618:B6462,"5 1 3 7 5 12 31111 6 M59 10000*")</f>
        <v>22823.81</v>
      </c>
      <c r="G5617" s="83">
        <f>SUMIFS(G5618:G6462,K5618:K6462,"0",B5618:B6462,"5 1 3 7 5 12 31111 6 M59 10000*")</f>
        <v>0</v>
      </c>
      <c r="H5617" s="83">
        <f t="shared" si="88"/>
        <v>22823.81</v>
      </c>
      <c r="I5617" s="83"/>
      <c r="K5617" s="54" t="s">
        <v>15</v>
      </c>
    </row>
    <row r="5618" spans="2:11" ht="16.5" x14ac:dyDescent="0.2">
      <c r="B5618" s="82" t="s">
        <v>9030</v>
      </c>
      <c r="C5618" s="82" t="s">
        <v>648</v>
      </c>
      <c r="D5618" s="83">
        <f>SUMIFS(D5619:D6462,K5619:K6462,"0",B5619:B6462,"5 1 3 7 5 12 31111 6 M59 10000 000132*")-SUMIFS(E5619:E6462,K5619:K6462,"0",B5619:B6462,"5 1 3 7 5 12 31111 6 M59 10000 000132*")</f>
        <v>0</v>
      </c>
      <c r="E5618" s="54"/>
      <c r="F5618" s="83">
        <f>SUMIFS(F5619:F6462,K5619:K6462,"0",B5619:B6462,"5 1 3 7 5 12 31111 6 M59 10000 000132*")</f>
        <v>22823.81</v>
      </c>
      <c r="G5618" s="83">
        <f>SUMIFS(G5619:G6462,K5619:K6462,"0",B5619:B6462,"5 1 3 7 5 12 31111 6 M59 10000 000132*")</f>
        <v>0</v>
      </c>
      <c r="H5618" s="83">
        <f t="shared" si="88"/>
        <v>22823.81</v>
      </c>
      <c r="I5618" s="83"/>
      <c r="K5618" s="54" t="s">
        <v>15</v>
      </c>
    </row>
    <row r="5619" spans="2:11" ht="24.75" x14ac:dyDescent="0.2">
      <c r="B5619" s="82" t="s">
        <v>9031</v>
      </c>
      <c r="C5619" s="82" t="s">
        <v>650</v>
      </c>
      <c r="D5619" s="83">
        <f>SUMIFS(D5620:D6462,K5620:K6462,"0",B5620:B6462,"5 1 3 7 5 12 31111 6 M59 10000 000132 0000R*")-SUMIFS(E5620:E6462,K5620:K6462,"0",B5620:B6462,"5 1 3 7 5 12 31111 6 M59 10000 000132 0000R*")</f>
        <v>0</v>
      </c>
      <c r="E5619" s="54"/>
      <c r="F5619" s="83">
        <f>SUMIFS(F5620:F6462,K5620:K6462,"0",B5620:B6462,"5 1 3 7 5 12 31111 6 M59 10000 000132 0000R*")</f>
        <v>22823.81</v>
      </c>
      <c r="G5619" s="83">
        <f>SUMIFS(G5620:G6462,K5620:K6462,"0",B5620:B6462,"5 1 3 7 5 12 31111 6 M59 10000 000132 0000R*")</f>
        <v>0</v>
      </c>
      <c r="H5619" s="83">
        <f t="shared" si="88"/>
        <v>22823.81</v>
      </c>
      <c r="I5619" s="83"/>
      <c r="K5619" s="54" t="s">
        <v>15</v>
      </c>
    </row>
    <row r="5620" spans="2:11" ht="24.75" x14ac:dyDescent="0.2">
      <c r="B5620" s="82" t="s">
        <v>9032</v>
      </c>
      <c r="C5620" s="82" t="s">
        <v>282</v>
      </c>
      <c r="D5620" s="83">
        <f>SUMIFS(D5621:D6462,K5621:K6462,"0",B5621:B6462,"5 1 3 7 5 12 31111 6 M59 10000 000132 0000R 00001*")-SUMIFS(E5621:E6462,K5621:K6462,"0",B5621:B6462,"5 1 3 7 5 12 31111 6 M59 10000 000132 0000R 00001*")</f>
        <v>0</v>
      </c>
      <c r="E5620" s="54"/>
      <c r="F5620" s="83">
        <f>SUMIFS(F5621:F6462,K5621:K6462,"0",B5621:B6462,"5 1 3 7 5 12 31111 6 M59 10000 000132 0000R 00001*")</f>
        <v>22823.81</v>
      </c>
      <c r="G5620" s="83">
        <f>SUMIFS(G5621:G6462,K5621:K6462,"0",B5621:B6462,"5 1 3 7 5 12 31111 6 M59 10000 000132 0000R 00001*")</f>
        <v>0</v>
      </c>
      <c r="H5620" s="83">
        <f t="shared" si="88"/>
        <v>22823.81</v>
      </c>
      <c r="I5620" s="83"/>
      <c r="K5620" s="54" t="s">
        <v>15</v>
      </c>
    </row>
    <row r="5621" spans="2:11" ht="24.75" x14ac:dyDescent="0.2">
      <c r="B5621" s="82" t="s">
        <v>9033</v>
      </c>
      <c r="C5621" s="82" t="s">
        <v>9034</v>
      </c>
      <c r="D5621" s="83">
        <f>SUMIFS(D5622:D6462,K5622:K6462,"0",B5622:B6462,"5 1 3 7 5 12 31111 6 M59 10000 000132 0000R 00001 00375*")-SUMIFS(E5622:E6462,K5622:K6462,"0",B5622:B6462,"5 1 3 7 5 12 31111 6 M59 10000 000132 0000R 00001 00375*")</f>
        <v>0</v>
      </c>
      <c r="E5621" s="54"/>
      <c r="F5621" s="83">
        <f>SUMIFS(F5622:F6462,K5622:K6462,"0",B5622:B6462,"5 1 3 7 5 12 31111 6 M59 10000 000132 0000R 00001 00375*")</f>
        <v>22823.81</v>
      </c>
      <c r="G5621" s="83">
        <f>SUMIFS(G5622:G6462,K5622:K6462,"0",B5622:B6462,"5 1 3 7 5 12 31111 6 M59 10000 000132 0000R 00001 00375*")</f>
        <v>0</v>
      </c>
      <c r="H5621" s="83">
        <f t="shared" si="88"/>
        <v>22823.81</v>
      </c>
      <c r="I5621" s="83"/>
      <c r="K5621" s="54" t="s">
        <v>15</v>
      </c>
    </row>
    <row r="5622" spans="2:11" ht="33" x14ac:dyDescent="0.2">
      <c r="B5622" s="82" t="s">
        <v>9035</v>
      </c>
      <c r="C5622" s="82" t="s">
        <v>1051</v>
      </c>
      <c r="D5622" s="83">
        <f>SUMIFS(D5623:D6462,K5623:K6462,"0",B5623:B6462,"5 1 3 7 5 12 31111 6 M59 10000 000132 0000R 00001 00375 015*")-SUMIFS(E5623:E6462,K5623:K6462,"0",B5623:B6462,"5 1 3 7 5 12 31111 6 M59 10000 000132 0000R 00001 00375 015*")</f>
        <v>0</v>
      </c>
      <c r="E5622" s="54"/>
      <c r="F5622" s="83">
        <f>SUMIFS(F5623:F6462,K5623:K6462,"0",B5623:B6462,"5 1 3 7 5 12 31111 6 M59 10000 000132 0000R 00001 00375 015*")</f>
        <v>22823.81</v>
      </c>
      <c r="G5622" s="83">
        <f>SUMIFS(G5623:G6462,K5623:K6462,"0",B5623:B6462,"5 1 3 7 5 12 31111 6 M59 10000 000132 0000R 00001 00375 015*")</f>
        <v>0</v>
      </c>
      <c r="H5622" s="83">
        <f t="shared" si="88"/>
        <v>22823.81</v>
      </c>
      <c r="I5622" s="83"/>
      <c r="K5622" s="54" t="s">
        <v>15</v>
      </c>
    </row>
    <row r="5623" spans="2:11" ht="33" x14ac:dyDescent="0.2">
      <c r="B5623" s="82" t="s">
        <v>9036</v>
      </c>
      <c r="C5623" s="82" t="s">
        <v>5830</v>
      </c>
      <c r="D5623" s="83">
        <f>SUMIFS(D5624:D6462,K5624:K6462,"0",B5624:B6462,"5 1 3 7 5 12 31111 6 M59 10000 000132 0000R 00001 00375 015 2112000*")-SUMIFS(E5624:E6462,K5624:K6462,"0",B5624:B6462,"5 1 3 7 5 12 31111 6 M59 10000 000132 0000R 00001 00375 015 2112000*")</f>
        <v>0</v>
      </c>
      <c r="E5623" s="54"/>
      <c r="F5623" s="83">
        <f>SUMIFS(F5624:F6462,K5624:K6462,"0",B5624:B6462,"5 1 3 7 5 12 31111 6 M59 10000 000132 0000R 00001 00375 015 2112000*")</f>
        <v>22823.81</v>
      </c>
      <c r="G5623" s="83">
        <f>SUMIFS(G5624:G6462,K5624:K6462,"0",B5624:B6462,"5 1 3 7 5 12 31111 6 M59 10000 000132 0000R 00001 00375 015 2112000*")</f>
        <v>0</v>
      </c>
      <c r="H5623" s="83">
        <f t="shared" si="88"/>
        <v>22823.81</v>
      </c>
      <c r="I5623" s="83"/>
      <c r="K5623" s="54" t="s">
        <v>15</v>
      </c>
    </row>
    <row r="5624" spans="2:11" ht="33" x14ac:dyDescent="0.2">
      <c r="B5624" s="82" t="s">
        <v>9037</v>
      </c>
      <c r="C5624" s="82" t="s">
        <v>660</v>
      </c>
      <c r="D5624" s="83">
        <f>SUMIFS(D5625:D6462,K5625:K6462,"0",B5625:B6462,"5 1 3 7 5 12 31111 6 M59 10000 000132 0000R 00001 00375 015 2112000 2024*")-SUMIFS(E5625:E6462,K5625:K6462,"0",B5625:B6462,"5 1 3 7 5 12 31111 6 M59 10000 000132 0000R 00001 00375 015 2112000 2024*")</f>
        <v>0</v>
      </c>
      <c r="E5624" s="54"/>
      <c r="F5624" s="83">
        <f>SUMIFS(F5625:F6462,K5625:K6462,"0",B5625:B6462,"5 1 3 7 5 12 31111 6 M59 10000 000132 0000R 00001 00375 015 2112000 2024*")</f>
        <v>22823.81</v>
      </c>
      <c r="G5624" s="83">
        <f>SUMIFS(G5625:G6462,K5625:K6462,"0",B5625:B6462,"5 1 3 7 5 12 31111 6 M59 10000 000132 0000R 00001 00375 015 2112000 2024*")</f>
        <v>0</v>
      </c>
      <c r="H5624" s="83">
        <f t="shared" si="88"/>
        <v>22823.81</v>
      </c>
      <c r="I5624" s="83"/>
      <c r="K5624" s="54" t="s">
        <v>15</v>
      </c>
    </row>
    <row r="5625" spans="2:11" ht="41.25" x14ac:dyDescent="0.2">
      <c r="B5625" s="82" t="s">
        <v>9038</v>
      </c>
      <c r="C5625" s="82" t="s">
        <v>662</v>
      </c>
      <c r="D5625" s="83">
        <f>SUMIFS(D5626:D6462,K5626:K6462,"0",B5626:B6462,"5 1 3 7 5 12 31111 6 M59 10000 000132 0000R 00001 00375 015 2112000 2024 CP1PM439*")-SUMIFS(E5626:E6462,K5626:K6462,"0",B5626:B6462,"5 1 3 7 5 12 31111 6 M59 10000 000132 0000R 00001 00375 015 2112000 2024 CP1PM439*")</f>
        <v>0</v>
      </c>
      <c r="E5625" s="54"/>
      <c r="F5625" s="83">
        <f>SUMIFS(F5626:F6462,K5626:K6462,"0",B5626:B6462,"5 1 3 7 5 12 31111 6 M59 10000 000132 0000R 00001 00375 015 2112000 2024 CP1PM439*")</f>
        <v>22823.81</v>
      </c>
      <c r="G5625" s="83">
        <f>SUMIFS(G5626:G6462,K5626:K6462,"0",B5626:B6462,"5 1 3 7 5 12 31111 6 M59 10000 000132 0000R 00001 00375 015 2112000 2024 CP1PM439*")</f>
        <v>0</v>
      </c>
      <c r="H5625" s="83">
        <f t="shared" si="88"/>
        <v>22823.81</v>
      </c>
      <c r="I5625" s="83"/>
      <c r="K5625" s="54" t="s">
        <v>15</v>
      </c>
    </row>
    <row r="5626" spans="2:11" ht="41.25" x14ac:dyDescent="0.2">
      <c r="B5626" s="82" t="s">
        <v>9039</v>
      </c>
      <c r="C5626" s="82" t="s">
        <v>282</v>
      </c>
      <c r="D5626" s="83">
        <f>SUMIFS(D5627:D6462,K5627:K6462,"0",B5627:B6462,"5 1 3 7 5 12 31111 6 M59 10000 000132 0000R 00001 00375 015 2112000 2024 CP1PM439 001*")-SUMIFS(E5627:E6462,K5627:K6462,"0",B5627:B6462,"5 1 3 7 5 12 31111 6 M59 10000 000132 0000R 00001 00375 015 2112000 2024 CP1PM439 001*")</f>
        <v>0</v>
      </c>
      <c r="E5626" s="54"/>
      <c r="F5626" s="83">
        <f>SUMIFS(F5627:F6462,K5627:K6462,"0",B5627:B6462,"5 1 3 7 5 12 31111 6 M59 10000 000132 0000R 00001 00375 015 2112000 2024 CP1PM439 001*")</f>
        <v>22823.81</v>
      </c>
      <c r="G5626" s="83">
        <f>SUMIFS(G5627:G6462,K5627:K6462,"0",B5627:B6462,"5 1 3 7 5 12 31111 6 M59 10000 000132 0000R 00001 00375 015 2112000 2024 CP1PM439 001*")</f>
        <v>0</v>
      </c>
      <c r="H5626" s="83">
        <f t="shared" si="88"/>
        <v>22823.81</v>
      </c>
      <c r="I5626" s="83"/>
      <c r="K5626" s="54" t="s">
        <v>15</v>
      </c>
    </row>
    <row r="5627" spans="2:11" ht="33" x14ac:dyDescent="0.2">
      <c r="B5627" s="84" t="s">
        <v>9040</v>
      </c>
      <c r="C5627" s="84" t="s">
        <v>9024</v>
      </c>
      <c r="D5627" s="85">
        <v>0</v>
      </c>
      <c r="E5627" s="85"/>
      <c r="F5627" s="85">
        <v>22823.81</v>
      </c>
      <c r="G5627" s="85">
        <v>0</v>
      </c>
      <c r="H5627" s="85">
        <f t="shared" si="88"/>
        <v>22823.81</v>
      </c>
      <c r="I5627" s="85"/>
      <c r="K5627" s="54" t="s">
        <v>38</v>
      </c>
    </row>
    <row r="5628" spans="2:11" ht="12.75" x14ac:dyDescent="0.2">
      <c r="B5628" s="82" t="s">
        <v>9093</v>
      </c>
      <c r="C5628" s="82" t="s">
        <v>9094</v>
      </c>
      <c r="D5628" s="83">
        <f>SUMIFS(D5629:D6462,K5629:K6462,"0",B5629:B6462,"5 1 3 8*")-SUMIFS(E5629:E6462,K5629:K6462,"0",B5629:B6462,"5 1 3 8*")</f>
        <v>0</v>
      </c>
      <c r="E5628" s="54"/>
      <c r="F5628" s="83">
        <f>SUMIFS(F5629:F6462,K5629:K6462,"0",B5629:B6462,"5 1 3 8*")</f>
        <v>48464.17</v>
      </c>
      <c r="G5628" s="83">
        <f>SUMIFS(G5629:G6462,K5629:K6462,"0",B5629:B6462,"5 1 3 8*")</f>
        <v>0</v>
      </c>
      <c r="H5628" s="83">
        <f t="shared" si="88"/>
        <v>48464.17</v>
      </c>
      <c r="I5628" s="83"/>
      <c r="K5628" s="54" t="s">
        <v>15</v>
      </c>
    </row>
    <row r="5629" spans="2:11" ht="12.75" x14ac:dyDescent="0.2">
      <c r="B5629" s="82" t="s">
        <v>9124</v>
      </c>
      <c r="C5629" s="82" t="s">
        <v>2955</v>
      </c>
      <c r="D5629" s="83">
        <f>SUMIFS(D5630:D6462,K5630:K6462,"0",B5630:B6462,"5 1 3 8 5*")-SUMIFS(E5630:E6462,K5630:K6462,"0",B5630:B6462,"5 1 3 8 5*")</f>
        <v>0</v>
      </c>
      <c r="E5629" s="54"/>
      <c r="F5629" s="83">
        <f>SUMIFS(F5630:F6462,K5630:K6462,"0",B5630:B6462,"5 1 3 8 5*")</f>
        <v>48464.17</v>
      </c>
      <c r="G5629" s="83">
        <f>SUMIFS(G5630:G6462,K5630:K6462,"0",B5630:B6462,"5 1 3 8 5*")</f>
        <v>0</v>
      </c>
      <c r="H5629" s="83">
        <f t="shared" si="88"/>
        <v>48464.17</v>
      </c>
      <c r="I5629" s="83"/>
      <c r="K5629" s="54" t="s">
        <v>15</v>
      </c>
    </row>
    <row r="5630" spans="2:11" ht="12.75" x14ac:dyDescent="0.2">
      <c r="B5630" s="82" t="s">
        <v>9125</v>
      </c>
      <c r="C5630" s="82" t="s">
        <v>26</v>
      </c>
      <c r="D5630" s="83">
        <f>SUMIFS(D5631:D6462,K5631:K6462,"0",B5631:B6462,"5 1 3 8 5 12*")-SUMIFS(E5631:E6462,K5631:K6462,"0",B5631:B6462,"5 1 3 8 5 12*")</f>
        <v>0</v>
      </c>
      <c r="E5630" s="54"/>
      <c r="F5630" s="83">
        <f>SUMIFS(F5631:F6462,K5631:K6462,"0",B5631:B6462,"5 1 3 8 5 12*")</f>
        <v>48464.17</v>
      </c>
      <c r="G5630" s="83">
        <f>SUMIFS(G5631:G6462,K5631:K6462,"0",B5631:B6462,"5 1 3 8 5 12*")</f>
        <v>0</v>
      </c>
      <c r="H5630" s="83">
        <f t="shared" si="88"/>
        <v>48464.17</v>
      </c>
      <c r="I5630" s="83"/>
      <c r="K5630" s="54" t="s">
        <v>15</v>
      </c>
    </row>
    <row r="5631" spans="2:11" ht="16.5" x14ac:dyDescent="0.2">
      <c r="B5631" s="82" t="s">
        <v>9126</v>
      </c>
      <c r="C5631" s="82" t="s">
        <v>28</v>
      </c>
      <c r="D5631" s="83">
        <f>SUMIFS(D5632:D6462,K5632:K6462,"0",B5632:B6462,"5 1 3 8 5 12 31111*")-SUMIFS(E5632:E6462,K5632:K6462,"0",B5632:B6462,"5 1 3 8 5 12 31111*")</f>
        <v>0</v>
      </c>
      <c r="E5631" s="54"/>
      <c r="F5631" s="83">
        <f>SUMIFS(F5632:F6462,K5632:K6462,"0",B5632:B6462,"5 1 3 8 5 12 31111*")</f>
        <v>48464.17</v>
      </c>
      <c r="G5631" s="83">
        <f>SUMIFS(G5632:G6462,K5632:K6462,"0",B5632:B6462,"5 1 3 8 5 12 31111*")</f>
        <v>0</v>
      </c>
      <c r="H5631" s="83">
        <f t="shared" si="88"/>
        <v>48464.17</v>
      </c>
      <c r="I5631" s="83"/>
      <c r="K5631" s="54" t="s">
        <v>15</v>
      </c>
    </row>
    <row r="5632" spans="2:11" ht="12.75" x14ac:dyDescent="0.2">
      <c r="B5632" s="82" t="s">
        <v>9127</v>
      </c>
      <c r="C5632" s="82" t="s">
        <v>30</v>
      </c>
      <c r="D5632" s="83">
        <f>SUMIFS(D5633:D6462,K5633:K6462,"0",B5633:B6462,"5 1 3 8 5 12 31111 6*")-SUMIFS(E5633:E6462,K5633:K6462,"0",B5633:B6462,"5 1 3 8 5 12 31111 6*")</f>
        <v>0</v>
      </c>
      <c r="E5632" s="54"/>
      <c r="F5632" s="83">
        <f>SUMIFS(F5633:F6462,K5633:K6462,"0",B5633:B6462,"5 1 3 8 5 12 31111 6*")</f>
        <v>48464.17</v>
      </c>
      <c r="G5632" s="83">
        <f>SUMIFS(G5633:G6462,K5633:K6462,"0",B5633:B6462,"5 1 3 8 5 12 31111 6*")</f>
        <v>0</v>
      </c>
      <c r="H5632" s="83">
        <f t="shared" si="88"/>
        <v>48464.17</v>
      </c>
      <c r="I5632" s="83"/>
      <c r="K5632" s="54" t="s">
        <v>15</v>
      </c>
    </row>
    <row r="5633" spans="2:11" ht="16.5" x14ac:dyDescent="0.2">
      <c r="B5633" s="82" t="s">
        <v>9128</v>
      </c>
      <c r="C5633" s="82" t="s">
        <v>2284</v>
      </c>
      <c r="D5633" s="83">
        <f>SUMIFS(D5634:D6462,K5634:K6462,"0",B5634:B6462,"5 1 3 8 5 12 31111 6 M59*")-SUMIFS(E5634:E6462,K5634:K6462,"0",B5634:B6462,"5 1 3 8 5 12 31111 6 M59*")</f>
        <v>0</v>
      </c>
      <c r="E5633" s="54"/>
      <c r="F5633" s="83">
        <f>SUMIFS(F5634:F6462,K5634:K6462,"0",B5634:B6462,"5 1 3 8 5 12 31111 6 M59*")</f>
        <v>48464.17</v>
      </c>
      <c r="G5633" s="83">
        <f>SUMIFS(G5634:G6462,K5634:K6462,"0",B5634:B6462,"5 1 3 8 5 12 31111 6 M59*")</f>
        <v>0</v>
      </c>
      <c r="H5633" s="83">
        <f t="shared" si="88"/>
        <v>48464.17</v>
      </c>
      <c r="I5633" s="83"/>
      <c r="K5633" s="54" t="s">
        <v>15</v>
      </c>
    </row>
    <row r="5634" spans="2:11" ht="16.5" x14ac:dyDescent="0.2">
      <c r="B5634" s="82" t="s">
        <v>9129</v>
      </c>
      <c r="C5634" s="82" t="s">
        <v>1243</v>
      </c>
      <c r="D5634" s="83">
        <f>SUMIFS(D5635:D6462,K5635:K6462,"0",B5635:B6462,"5 1 3 8 5 12 31111 6 M59 10000*")-SUMIFS(E5635:E6462,K5635:K6462,"0",B5635:B6462,"5 1 3 8 5 12 31111 6 M59 10000*")</f>
        <v>0</v>
      </c>
      <c r="E5634" s="54"/>
      <c r="F5634" s="83">
        <f>SUMIFS(F5635:F6462,K5635:K6462,"0",B5635:B6462,"5 1 3 8 5 12 31111 6 M59 10000*")</f>
        <v>48464.17</v>
      </c>
      <c r="G5634" s="83">
        <f>SUMIFS(G5635:G6462,K5635:K6462,"0",B5635:B6462,"5 1 3 8 5 12 31111 6 M59 10000*")</f>
        <v>0</v>
      </c>
      <c r="H5634" s="83">
        <f t="shared" si="88"/>
        <v>48464.17</v>
      </c>
      <c r="I5634" s="83"/>
      <c r="K5634" s="54" t="s">
        <v>15</v>
      </c>
    </row>
    <row r="5635" spans="2:11" ht="16.5" x14ac:dyDescent="0.2">
      <c r="B5635" s="82" t="s">
        <v>9130</v>
      </c>
      <c r="C5635" s="82" t="s">
        <v>648</v>
      </c>
      <c r="D5635" s="83">
        <f>SUMIFS(D5636:D6462,K5636:K6462,"0",B5636:B6462,"5 1 3 8 5 12 31111 6 M59 10000 000132*")-SUMIFS(E5636:E6462,K5636:K6462,"0",B5636:B6462,"5 1 3 8 5 12 31111 6 M59 10000 000132*")</f>
        <v>0</v>
      </c>
      <c r="E5635" s="54"/>
      <c r="F5635" s="83">
        <f>SUMIFS(F5636:F6462,K5636:K6462,"0",B5636:B6462,"5 1 3 8 5 12 31111 6 M59 10000 000132*")</f>
        <v>48464.17</v>
      </c>
      <c r="G5635" s="83">
        <f>SUMIFS(G5636:G6462,K5636:K6462,"0",B5636:B6462,"5 1 3 8 5 12 31111 6 M59 10000 000132*")</f>
        <v>0</v>
      </c>
      <c r="H5635" s="83">
        <f t="shared" si="88"/>
        <v>48464.17</v>
      </c>
      <c r="I5635" s="83"/>
      <c r="K5635" s="54" t="s">
        <v>15</v>
      </c>
    </row>
    <row r="5636" spans="2:11" ht="24.75" x14ac:dyDescent="0.2">
      <c r="B5636" s="82" t="s">
        <v>9131</v>
      </c>
      <c r="C5636" s="82" t="s">
        <v>650</v>
      </c>
      <c r="D5636" s="83">
        <f>SUMIFS(D5637:D6462,K5637:K6462,"0",B5637:B6462,"5 1 3 8 5 12 31111 6 M59 10000 000132 0000R*")-SUMIFS(E5637:E6462,K5637:K6462,"0",B5637:B6462,"5 1 3 8 5 12 31111 6 M59 10000 000132 0000R*")</f>
        <v>0</v>
      </c>
      <c r="E5636" s="54"/>
      <c r="F5636" s="83">
        <f>SUMIFS(F5637:F6462,K5637:K6462,"0",B5637:B6462,"5 1 3 8 5 12 31111 6 M59 10000 000132 0000R*")</f>
        <v>48464.17</v>
      </c>
      <c r="G5636" s="83">
        <f>SUMIFS(G5637:G6462,K5637:K6462,"0",B5637:B6462,"5 1 3 8 5 12 31111 6 M59 10000 000132 0000R*")</f>
        <v>0</v>
      </c>
      <c r="H5636" s="83">
        <f t="shared" si="88"/>
        <v>48464.17</v>
      </c>
      <c r="I5636" s="83"/>
      <c r="K5636" s="54" t="s">
        <v>15</v>
      </c>
    </row>
    <row r="5637" spans="2:11" ht="24.75" x14ac:dyDescent="0.2">
      <c r="B5637" s="82" t="s">
        <v>9132</v>
      </c>
      <c r="C5637" s="82" t="s">
        <v>282</v>
      </c>
      <c r="D5637" s="83">
        <f>SUMIFS(D5638:D6462,K5638:K6462,"0",B5638:B6462,"5 1 3 8 5 12 31111 6 M59 10000 000132 0000R 00001*")-SUMIFS(E5638:E6462,K5638:K6462,"0",B5638:B6462,"5 1 3 8 5 12 31111 6 M59 10000 000132 0000R 00001*")</f>
        <v>0</v>
      </c>
      <c r="E5637" s="54"/>
      <c r="F5637" s="83">
        <f>SUMIFS(F5638:F6462,K5638:K6462,"0",B5638:B6462,"5 1 3 8 5 12 31111 6 M59 10000 000132 0000R 00001*")</f>
        <v>48464.17</v>
      </c>
      <c r="G5637" s="83">
        <f>SUMIFS(G5638:G6462,K5638:K6462,"0",B5638:B6462,"5 1 3 8 5 12 31111 6 M59 10000 000132 0000R 00001*")</f>
        <v>0</v>
      </c>
      <c r="H5637" s="83">
        <f t="shared" si="88"/>
        <v>48464.17</v>
      </c>
      <c r="I5637" s="83"/>
      <c r="K5637" s="54" t="s">
        <v>15</v>
      </c>
    </row>
    <row r="5638" spans="2:11" ht="24.75" x14ac:dyDescent="0.2">
      <c r="B5638" s="82" t="s">
        <v>9133</v>
      </c>
      <c r="C5638" s="82" t="s">
        <v>9134</v>
      </c>
      <c r="D5638" s="83">
        <f>SUMIFS(D5639:D6462,K5639:K6462,"0",B5639:B6462,"5 1 3 8 5 12 31111 6 M59 10000 000132 0000R 00001 00385*")-SUMIFS(E5639:E6462,K5639:K6462,"0",B5639:B6462,"5 1 3 8 5 12 31111 6 M59 10000 000132 0000R 00001 00385*")</f>
        <v>0</v>
      </c>
      <c r="E5638" s="54"/>
      <c r="F5638" s="83">
        <f>SUMIFS(F5639:F6462,K5639:K6462,"0",B5639:B6462,"5 1 3 8 5 12 31111 6 M59 10000 000132 0000R 00001 00385*")</f>
        <v>48464.17</v>
      </c>
      <c r="G5638" s="83">
        <f>SUMIFS(G5639:G6462,K5639:K6462,"0",B5639:B6462,"5 1 3 8 5 12 31111 6 M59 10000 000132 0000R 00001 00385*")</f>
        <v>0</v>
      </c>
      <c r="H5638" s="83">
        <f t="shared" si="88"/>
        <v>48464.17</v>
      </c>
      <c r="I5638" s="83"/>
      <c r="K5638" s="54" t="s">
        <v>15</v>
      </c>
    </row>
    <row r="5639" spans="2:11" ht="33" x14ac:dyDescent="0.2">
      <c r="B5639" s="82" t="s">
        <v>9135</v>
      </c>
      <c r="C5639" s="82" t="s">
        <v>1051</v>
      </c>
      <c r="D5639" s="83">
        <f>SUMIFS(D5640:D6462,K5640:K6462,"0",B5640:B6462,"5 1 3 8 5 12 31111 6 M59 10000 000132 0000R 00001 00385 015*")-SUMIFS(E5640:E6462,K5640:K6462,"0",B5640:B6462,"5 1 3 8 5 12 31111 6 M59 10000 000132 0000R 00001 00385 015*")</f>
        <v>0</v>
      </c>
      <c r="E5639" s="54"/>
      <c r="F5639" s="83">
        <f>SUMIFS(F5640:F6462,K5640:K6462,"0",B5640:B6462,"5 1 3 8 5 12 31111 6 M59 10000 000132 0000R 00001 00385 015*")</f>
        <v>48464.17</v>
      </c>
      <c r="G5639" s="83">
        <f>SUMIFS(G5640:G6462,K5640:K6462,"0",B5640:B6462,"5 1 3 8 5 12 31111 6 M59 10000 000132 0000R 00001 00385 015*")</f>
        <v>0</v>
      </c>
      <c r="H5639" s="83">
        <f t="shared" si="88"/>
        <v>48464.17</v>
      </c>
      <c r="I5639" s="83"/>
      <c r="K5639" s="54" t="s">
        <v>15</v>
      </c>
    </row>
    <row r="5640" spans="2:11" ht="33" x14ac:dyDescent="0.2">
      <c r="B5640" s="82" t="s">
        <v>9136</v>
      </c>
      <c r="C5640" s="82" t="s">
        <v>5830</v>
      </c>
      <c r="D5640" s="83">
        <f>SUMIFS(D5641:D6462,K5641:K6462,"0",B5641:B6462,"5 1 3 8 5 12 31111 6 M59 10000 000132 0000R 00001 00385 015 2112000*")-SUMIFS(E5641:E6462,K5641:K6462,"0",B5641:B6462,"5 1 3 8 5 12 31111 6 M59 10000 000132 0000R 00001 00385 015 2112000*")</f>
        <v>0</v>
      </c>
      <c r="E5640" s="54"/>
      <c r="F5640" s="83">
        <f>SUMIFS(F5641:F6462,K5641:K6462,"0",B5641:B6462,"5 1 3 8 5 12 31111 6 M59 10000 000132 0000R 00001 00385 015 2112000*")</f>
        <v>48464.17</v>
      </c>
      <c r="G5640" s="83">
        <f>SUMIFS(G5641:G6462,K5641:K6462,"0",B5641:B6462,"5 1 3 8 5 12 31111 6 M59 10000 000132 0000R 00001 00385 015 2112000*")</f>
        <v>0</v>
      </c>
      <c r="H5640" s="83">
        <f t="shared" si="88"/>
        <v>48464.17</v>
      </c>
      <c r="I5640" s="83"/>
      <c r="K5640" s="54" t="s">
        <v>15</v>
      </c>
    </row>
    <row r="5641" spans="2:11" ht="33" x14ac:dyDescent="0.2">
      <c r="B5641" s="82" t="s">
        <v>9137</v>
      </c>
      <c r="C5641" s="82" t="s">
        <v>660</v>
      </c>
      <c r="D5641" s="83">
        <f>SUMIFS(D5642:D6462,K5642:K6462,"0",B5642:B6462,"5 1 3 8 5 12 31111 6 M59 10000 000132 0000R 00001 00385 015 2112000 2024*")-SUMIFS(E5642:E6462,K5642:K6462,"0",B5642:B6462,"5 1 3 8 5 12 31111 6 M59 10000 000132 0000R 00001 00385 015 2112000 2024*")</f>
        <v>0</v>
      </c>
      <c r="E5641" s="54"/>
      <c r="F5641" s="83">
        <f>SUMIFS(F5642:F6462,K5642:K6462,"0",B5642:B6462,"5 1 3 8 5 12 31111 6 M59 10000 000132 0000R 00001 00385 015 2112000 2024*")</f>
        <v>48464.17</v>
      </c>
      <c r="G5641" s="83">
        <f>SUMIFS(G5642:G6462,K5642:K6462,"0",B5642:B6462,"5 1 3 8 5 12 31111 6 M59 10000 000132 0000R 00001 00385 015 2112000 2024*")</f>
        <v>0</v>
      </c>
      <c r="H5641" s="83">
        <f t="shared" si="88"/>
        <v>48464.17</v>
      </c>
      <c r="I5641" s="83"/>
      <c r="K5641" s="54" t="s">
        <v>15</v>
      </c>
    </row>
    <row r="5642" spans="2:11" ht="41.25" x14ac:dyDescent="0.2">
      <c r="B5642" s="82" t="s">
        <v>9138</v>
      </c>
      <c r="C5642" s="82" t="s">
        <v>662</v>
      </c>
      <c r="D5642" s="83">
        <f>SUMIFS(D5643:D6462,K5643:K6462,"0",B5643:B6462,"5 1 3 8 5 12 31111 6 M59 10000 000132 0000R 00001 00385 015 2112000 2024 CP1PM439*")-SUMIFS(E5643:E6462,K5643:K6462,"0",B5643:B6462,"5 1 3 8 5 12 31111 6 M59 10000 000132 0000R 00001 00385 015 2112000 2024 CP1PM439*")</f>
        <v>0</v>
      </c>
      <c r="E5642" s="54"/>
      <c r="F5642" s="83">
        <f>SUMIFS(F5643:F6462,K5643:K6462,"0",B5643:B6462,"5 1 3 8 5 12 31111 6 M59 10000 000132 0000R 00001 00385 015 2112000 2024 CP1PM439*")</f>
        <v>48464.17</v>
      </c>
      <c r="G5642" s="83">
        <f>SUMIFS(G5643:G6462,K5643:K6462,"0",B5643:B6462,"5 1 3 8 5 12 31111 6 M59 10000 000132 0000R 00001 00385 015 2112000 2024 CP1PM439*")</f>
        <v>0</v>
      </c>
      <c r="H5642" s="83">
        <f t="shared" si="88"/>
        <v>48464.17</v>
      </c>
      <c r="I5642" s="83"/>
      <c r="K5642" s="54" t="s">
        <v>15</v>
      </c>
    </row>
    <row r="5643" spans="2:11" ht="41.25" x14ac:dyDescent="0.2">
      <c r="B5643" s="82" t="s">
        <v>9139</v>
      </c>
      <c r="C5643" s="82" t="s">
        <v>282</v>
      </c>
      <c r="D5643" s="83">
        <f>SUMIFS(D5644:D6462,K5644:K6462,"0",B5644:B6462,"5 1 3 8 5 12 31111 6 M59 10000 000132 0000R 00001 00385 015 2112000 2024 CP1PM439 001*")-SUMIFS(E5644:E6462,K5644:K6462,"0",B5644:B6462,"5 1 3 8 5 12 31111 6 M59 10000 000132 0000R 00001 00385 015 2112000 2024 CP1PM439 001*")</f>
        <v>0</v>
      </c>
      <c r="E5643" s="54"/>
      <c r="F5643" s="83">
        <f>SUMIFS(F5644:F6462,K5644:K6462,"0",B5644:B6462,"5 1 3 8 5 12 31111 6 M59 10000 000132 0000R 00001 00385 015 2112000 2024 CP1PM439 001*")</f>
        <v>48464.17</v>
      </c>
      <c r="G5643" s="83">
        <f>SUMIFS(G5644:G6462,K5644:K6462,"0",B5644:B6462,"5 1 3 8 5 12 31111 6 M59 10000 000132 0000R 00001 00385 015 2112000 2024 CP1PM439 001*")</f>
        <v>0</v>
      </c>
      <c r="H5643" s="83">
        <f t="shared" si="88"/>
        <v>48464.17</v>
      </c>
      <c r="I5643" s="83"/>
      <c r="K5643" s="54" t="s">
        <v>15</v>
      </c>
    </row>
    <row r="5644" spans="2:11" ht="33" x14ac:dyDescent="0.2">
      <c r="B5644" s="84" t="s">
        <v>9140</v>
      </c>
      <c r="C5644" s="84" t="s">
        <v>2955</v>
      </c>
      <c r="D5644" s="85">
        <v>0</v>
      </c>
      <c r="E5644" s="85"/>
      <c r="F5644" s="85">
        <v>48464.17</v>
      </c>
      <c r="G5644" s="85">
        <v>0</v>
      </c>
      <c r="H5644" s="85">
        <f t="shared" si="88"/>
        <v>48464.17</v>
      </c>
      <c r="I5644" s="85"/>
      <c r="K5644" s="54" t="s">
        <v>38</v>
      </c>
    </row>
    <row r="5645" spans="2:11" ht="12.75" x14ac:dyDescent="0.2">
      <c r="B5645" s="82" t="s">
        <v>9152</v>
      </c>
      <c r="C5645" s="82" t="s">
        <v>9153</v>
      </c>
      <c r="D5645" s="83">
        <f>SUMIFS(D5646:D6462,K5646:K6462,"0",B5646:B6462,"5 1 3 9*")-SUMIFS(E5646:E6462,K5646:K6462,"0",B5646:B6462,"5 1 3 9*")</f>
        <v>0</v>
      </c>
      <c r="E5645" s="54"/>
      <c r="F5645" s="83">
        <f>SUMIFS(F5646:F6462,K5646:K6462,"0",B5646:B6462,"5 1 3 9*")</f>
        <v>2599823.0300000003</v>
      </c>
      <c r="G5645" s="83">
        <f>SUMIFS(G5646:G6462,K5646:K6462,"0",B5646:B6462,"5 1 3 9*")</f>
        <v>0</v>
      </c>
      <c r="H5645" s="83">
        <f t="shared" si="88"/>
        <v>2599823.0300000003</v>
      </c>
      <c r="I5645" s="83"/>
      <c r="K5645" s="54" t="s">
        <v>15</v>
      </c>
    </row>
    <row r="5646" spans="2:11" ht="12.75" x14ac:dyDescent="0.2">
      <c r="B5646" s="82" t="s">
        <v>9154</v>
      </c>
      <c r="C5646" s="82" t="s">
        <v>9155</v>
      </c>
      <c r="D5646" s="83">
        <f>SUMIFS(D5647:D6462,K5647:K6462,"0",B5647:B6462,"5 1 3 9 2*")-SUMIFS(E5647:E6462,K5647:K6462,"0",B5647:B6462,"5 1 3 9 2*")</f>
        <v>0</v>
      </c>
      <c r="E5646" s="54"/>
      <c r="F5646" s="83">
        <f>SUMIFS(F5647:F6462,K5647:K6462,"0",B5647:B6462,"5 1 3 9 2*")</f>
        <v>144990</v>
      </c>
      <c r="G5646" s="83">
        <f>SUMIFS(G5647:G6462,K5647:K6462,"0",B5647:B6462,"5 1 3 9 2*")</f>
        <v>0</v>
      </c>
      <c r="H5646" s="83">
        <f t="shared" si="88"/>
        <v>144990</v>
      </c>
      <c r="I5646" s="83"/>
      <c r="K5646" s="54" t="s">
        <v>15</v>
      </c>
    </row>
    <row r="5647" spans="2:11" ht="12.75" x14ac:dyDescent="0.2">
      <c r="B5647" s="82" t="s">
        <v>9156</v>
      </c>
      <c r="C5647" s="82" t="s">
        <v>26</v>
      </c>
      <c r="D5647" s="83">
        <f>SUMIFS(D5648:D6462,K5648:K6462,"0",B5648:B6462,"5 1 3 9 2 12*")-SUMIFS(E5648:E6462,K5648:K6462,"0",B5648:B6462,"5 1 3 9 2 12*")</f>
        <v>0</v>
      </c>
      <c r="E5647" s="54"/>
      <c r="F5647" s="83">
        <f>SUMIFS(F5648:F6462,K5648:K6462,"0",B5648:B6462,"5 1 3 9 2 12*")</f>
        <v>144990</v>
      </c>
      <c r="G5647" s="83">
        <f>SUMIFS(G5648:G6462,K5648:K6462,"0",B5648:B6462,"5 1 3 9 2 12*")</f>
        <v>0</v>
      </c>
      <c r="H5647" s="83">
        <f t="shared" si="88"/>
        <v>144990</v>
      </c>
      <c r="I5647" s="83"/>
      <c r="K5647" s="54" t="s">
        <v>15</v>
      </c>
    </row>
    <row r="5648" spans="2:11" ht="16.5" x14ac:dyDescent="0.2">
      <c r="B5648" s="82" t="s">
        <v>9157</v>
      </c>
      <c r="C5648" s="82" t="s">
        <v>28</v>
      </c>
      <c r="D5648" s="83">
        <f>SUMIFS(D5649:D6462,K5649:K6462,"0",B5649:B6462,"5 1 3 9 2 12 31111*")-SUMIFS(E5649:E6462,K5649:K6462,"0",B5649:B6462,"5 1 3 9 2 12 31111*")</f>
        <v>0</v>
      </c>
      <c r="E5648" s="54"/>
      <c r="F5648" s="83">
        <f>SUMIFS(F5649:F6462,K5649:K6462,"0",B5649:B6462,"5 1 3 9 2 12 31111*")</f>
        <v>144990</v>
      </c>
      <c r="G5648" s="83">
        <f>SUMIFS(G5649:G6462,K5649:K6462,"0",B5649:B6462,"5 1 3 9 2 12 31111*")</f>
        <v>0</v>
      </c>
      <c r="H5648" s="83">
        <f t="shared" si="88"/>
        <v>144990</v>
      </c>
      <c r="I5648" s="83"/>
      <c r="K5648" s="54" t="s">
        <v>15</v>
      </c>
    </row>
    <row r="5649" spans="2:11" ht="12.75" x14ac:dyDescent="0.2">
      <c r="B5649" s="82" t="s">
        <v>9158</v>
      </c>
      <c r="C5649" s="82" t="s">
        <v>30</v>
      </c>
      <c r="D5649" s="83">
        <f>SUMIFS(D5650:D6462,K5650:K6462,"0",B5650:B6462,"5 1 3 9 2 12 31111 6*")-SUMIFS(E5650:E6462,K5650:K6462,"0",B5650:B6462,"5 1 3 9 2 12 31111 6*")</f>
        <v>0</v>
      </c>
      <c r="E5649" s="54"/>
      <c r="F5649" s="83">
        <f>SUMIFS(F5650:F6462,K5650:K6462,"0",B5650:B6462,"5 1 3 9 2 12 31111 6*")</f>
        <v>144990</v>
      </c>
      <c r="G5649" s="83">
        <f>SUMIFS(G5650:G6462,K5650:K6462,"0",B5650:B6462,"5 1 3 9 2 12 31111 6*")</f>
        <v>0</v>
      </c>
      <c r="H5649" s="83">
        <f t="shared" si="88"/>
        <v>144990</v>
      </c>
      <c r="I5649" s="83"/>
      <c r="K5649" s="54" t="s">
        <v>15</v>
      </c>
    </row>
    <row r="5650" spans="2:11" ht="16.5" x14ac:dyDescent="0.2">
      <c r="B5650" s="82" t="s">
        <v>9159</v>
      </c>
      <c r="C5650" s="82" t="s">
        <v>2284</v>
      </c>
      <c r="D5650" s="83">
        <f>SUMIFS(D5651:D6462,K5651:K6462,"0",B5651:B6462,"5 1 3 9 2 12 31111 6 M59*")-SUMIFS(E5651:E6462,K5651:K6462,"0",B5651:B6462,"5 1 3 9 2 12 31111 6 M59*")</f>
        <v>0</v>
      </c>
      <c r="E5650" s="54"/>
      <c r="F5650" s="83">
        <f>SUMIFS(F5651:F6462,K5651:K6462,"0",B5651:B6462,"5 1 3 9 2 12 31111 6 M59*")</f>
        <v>144990</v>
      </c>
      <c r="G5650" s="83">
        <f>SUMIFS(G5651:G6462,K5651:K6462,"0",B5651:B6462,"5 1 3 9 2 12 31111 6 M59*")</f>
        <v>0</v>
      </c>
      <c r="H5650" s="83">
        <f t="shared" si="88"/>
        <v>144990</v>
      </c>
      <c r="I5650" s="83"/>
      <c r="K5650" s="54" t="s">
        <v>15</v>
      </c>
    </row>
    <row r="5651" spans="2:11" ht="16.5" x14ac:dyDescent="0.2">
      <c r="B5651" s="82" t="s">
        <v>9160</v>
      </c>
      <c r="C5651" s="82" t="s">
        <v>1044</v>
      </c>
      <c r="D5651" s="83">
        <f>SUMIFS(D5652:D6462,K5652:K6462,"0",B5652:B6462,"5 1 3 9 2 12 31111 6 M59 19000*")-SUMIFS(E5652:E6462,K5652:K6462,"0",B5652:B6462,"5 1 3 9 2 12 31111 6 M59 19000*")</f>
        <v>0</v>
      </c>
      <c r="E5651" s="54"/>
      <c r="F5651" s="83">
        <f>SUMIFS(F5652:F6462,K5652:K6462,"0",B5652:B6462,"5 1 3 9 2 12 31111 6 M59 19000*")</f>
        <v>144990</v>
      </c>
      <c r="G5651" s="83">
        <f>SUMIFS(G5652:G6462,K5652:K6462,"0",B5652:B6462,"5 1 3 9 2 12 31111 6 M59 19000*")</f>
        <v>0</v>
      </c>
      <c r="H5651" s="83">
        <f t="shared" si="88"/>
        <v>144990</v>
      </c>
      <c r="I5651" s="83"/>
      <c r="K5651" s="54" t="s">
        <v>15</v>
      </c>
    </row>
    <row r="5652" spans="2:11" ht="16.5" x14ac:dyDescent="0.2">
      <c r="B5652" s="82" t="s">
        <v>9161</v>
      </c>
      <c r="C5652" s="82" t="s">
        <v>648</v>
      </c>
      <c r="D5652" s="83">
        <f>SUMIFS(D5653:D6462,K5653:K6462,"0",B5653:B6462,"5 1 3 9 2 12 31111 6 M59 19000 000132*")-SUMIFS(E5653:E6462,K5653:K6462,"0",B5653:B6462,"5 1 3 9 2 12 31111 6 M59 19000 000132*")</f>
        <v>0</v>
      </c>
      <c r="E5652" s="54"/>
      <c r="F5652" s="83">
        <f>SUMIFS(F5653:F6462,K5653:K6462,"0",B5653:B6462,"5 1 3 9 2 12 31111 6 M59 19000 000132*")</f>
        <v>144990</v>
      </c>
      <c r="G5652" s="83">
        <f>SUMIFS(G5653:G6462,K5653:K6462,"0",B5653:B6462,"5 1 3 9 2 12 31111 6 M59 19000 000132*")</f>
        <v>0</v>
      </c>
      <c r="H5652" s="83">
        <f t="shared" si="88"/>
        <v>144990</v>
      </c>
      <c r="I5652" s="83"/>
      <c r="K5652" s="54" t="s">
        <v>15</v>
      </c>
    </row>
    <row r="5653" spans="2:11" ht="24.75" x14ac:dyDescent="0.2">
      <c r="B5653" s="82" t="s">
        <v>9162</v>
      </c>
      <c r="C5653" s="82" t="s">
        <v>650</v>
      </c>
      <c r="D5653" s="83">
        <f>SUMIFS(D5654:D6462,K5654:K6462,"0",B5654:B6462,"5 1 3 9 2 12 31111 6 M59 19000 000132 0000R*")-SUMIFS(E5654:E6462,K5654:K6462,"0",B5654:B6462,"5 1 3 9 2 12 31111 6 M59 19000 000132 0000R*")</f>
        <v>0</v>
      </c>
      <c r="E5653" s="54"/>
      <c r="F5653" s="83">
        <f>SUMIFS(F5654:F6462,K5654:K6462,"0",B5654:B6462,"5 1 3 9 2 12 31111 6 M59 19000 000132 0000R*")</f>
        <v>144990</v>
      </c>
      <c r="G5653" s="83">
        <f>SUMIFS(G5654:G6462,K5654:K6462,"0",B5654:B6462,"5 1 3 9 2 12 31111 6 M59 19000 000132 0000R*")</f>
        <v>0</v>
      </c>
      <c r="H5653" s="83">
        <f t="shared" si="88"/>
        <v>144990</v>
      </c>
      <c r="I5653" s="83"/>
      <c r="K5653" s="54" t="s">
        <v>15</v>
      </c>
    </row>
    <row r="5654" spans="2:11" ht="24.75" x14ac:dyDescent="0.2">
      <c r="B5654" s="82" t="s">
        <v>9163</v>
      </c>
      <c r="C5654" s="82" t="s">
        <v>282</v>
      </c>
      <c r="D5654" s="83">
        <f>SUMIFS(D5655:D6462,K5655:K6462,"0",B5655:B6462,"5 1 3 9 2 12 31111 6 M59 19000 000132 0000R 00001*")-SUMIFS(E5655:E6462,K5655:K6462,"0",B5655:B6462,"5 1 3 9 2 12 31111 6 M59 19000 000132 0000R 00001*")</f>
        <v>0</v>
      </c>
      <c r="E5654" s="54"/>
      <c r="F5654" s="83">
        <f>SUMIFS(F5655:F6462,K5655:K6462,"0",B5655:B6462,"5 1 3 9 2 12 31111 6 M59 19000 000132 0000R 00001*")</f>
        <v>144990</v>
      </c>
      <c r="G5654" s="83">
        <f>SUMIFS(G5655:G6462,K5655:K6462,"0",B5655:B6462,"5 1 3 9 2 12 31111 6 M59 19000 000132 0000R 00001*")</f>
        <v>0</v>
      </c>
      <c r="H5654" s="83">
        <f t="shared" si="88"/>
        <v>144990</v>
      </c>
      <c r="I5654" s="83"/>
      <c r="K5654" s="54" t="s">
        <v>15</v>
      </c>
    </row>
    <row r="5655" spans="2:11" ht="24.75" x14ac:dyDescent="0.2">
      <c r="B5655" s="82" t="s">
        <v>9164</v>
      </c>
      <c r="C5655" s="82" t="s">
        <v>9165</v>
      </c>
      <c r="D5655" s="83">
        <f>SUMIFS(D5656:D6462,K5656:K6462,"0",B5656:B6462,"5 1 3 9 2 12 31111 6 M59 19000 000132 0000R 00001 00392*")-SUMIFS(E5656:E6462,K5656:K6462,"0",B5656:B6462,"5 1 3 9 2 12 31111 6 M59 19000 000132 0000R 00001 00392*")</f>
        <v>0</v>
      </c>
      <c r="E5655" s="54"/>
      <c r="F5655" s="83">
        <f>SUMIFS(F5656:F6462,K5656:K6462,"0",B5656:B6462,"5 1 3 9 2 12 31111 6 M59 19000 000132 0000R 00001 00392*")</f>
        <v>144990</v>
      </c>
      <c r="G5655" s="83">
        <f>SUMIFS(G5656:G6462,K5656:K6462,"0",B5656:B6462,"5 1 3 9 2 12 31111 6 M59 19000 000132 0000R 00001 00392*")</f>
        <v>0</v>
      </c>
      <c r="H5655" s="83">
        <f t="shared" si="88"/>
        <v>144990</v>
      </c>
      <c r="I5655" s="83"/>
      <c r="K5655" s="54" t="s">
        <v>15</v>
      </c>
    </row>
    <row r="5656" spans="2:11" ht="33" x14ac:dyDescent="0.2">
      <c r="B5656" s="82" t="s">
        <v>9166</v>
      </c>
      <c r="C5656" s="82" t="s">
        <v>1051</v>
      </c>
      <c r="D5656" s="83">
        <f>SUMIFS(D5657:D6462,K5657:K6462,"0",B5657:B6462,"5 1 3 9 2 12 31111 6 M59 19000 000132 0000R 00001 00392 015*")-SUMIFS(E5657:E6462,K5657:K6462,"0",B5657:B6462,"5 1 3 9 2 12 31111 6 M59 19000 000132 0000R 00001 00392 015*")</f>
        <v>0</v>
      </c>
      <c r="E5656" s="54"/>
      <c r="F5656" s="83">
        <f>SUMIFS(F5657:F6462,K5657:K6462,"0",B5657:B6462,"5 1 3 9 2 12 31111 6 M59 19000 000132 0000R 00001 00392 015*")</f>
        <v>144990</v>
      </c>
      <c r="G5656" s="83">
        <f>SUMIFS(G5657:G6462,K5657:K6462,"0",B5657:B6462,"5 1 3 9 2 12 31111 6 M59 19000 000132 0000R 00001 00392 015*")</f>
        <v>0</v>
      </c>
      <c r="H5656" s="83">
        <f t="shared" si="88"/>
        <v>144990</v>
      </c>
      <c r="I5656" s="83"/>
      <c r="K5656" s="54" t="s">
        <v>15</v>
      </c>
    </row>
    <row r="5657" spans="2:11" ht="33" x14ac:dyDescent="0.2">
      <c r="B5657" s="82" t="s">
        <v>9167</v>
      </c>
      <c r="C5657" s="82" t="s">
        <v>5830</v>
      </c>
      <c r="D5657" s="83">
        <f>SUMIFS(D5658:D6462,K5658:K6462,"0",B5658:B6462,"5 1 3 9 2 12 31111 6 M59 19000 000132 0000R 00001 00392 015 2112000*")-SUMIFS(E5658:E6462,K5658:K6462,"0",B5658:B6462,"5 1 3 9 2 12 31111 6 M59 19000 000132 0000R 00001 00392 015 2112000*")</f>
        <v>0</v>
      </c>
      <c r="E5657" s="54"/>
      <c r="F5657" s="83">
        <f>SUMIFS(F5658:F6462,K5658:K6462,"0",B5658:B6462,"5 1 3 9 2 12 31111 6 M59 19000 000132 0000R 00001 00392 015 2112000*")</f>
        <v>144990</v>
      </c>
      <c r="G5657" s="83">
        <f>SUMIFS(G5658:G6462,K5658:K6462,"0",B5658:B6462,"5 1 3 9 2 12 31111 6 M59 19000 000132 0000R 00001 00392 015 2112000*")</f>
        <v>0</v>
      </c>
      <c r="H5657" s="83">
        <f t="shared" si="88"/>
        <v>144990</v>
      </c>
      <c r="I5657" s="83"/>
      <c r="K5657" s="54" t="s">
        <v>15</v>
      </c>
    </row>
    <row r="5658" spans="2:11" ht="33" x14ac:dyDescent="0.2">
      <c r="B5658" s="82" t="s">
        <v>9168</v>
      </c>
      <c r="C5658" s="82" t="s">
        <v>660</v>
      </c>
      <c r="D5658" s="83">
        <f>SUMIFS(D5659:D6462,K5659:K6462,"0",B5659:B6462,"5 1 3 9 2 12 31111 6 M59 19000 000132 0000R 00001 00392 015 2112000 2024*")-SUMIFS(E5659:E6462,K5659:K6462,"0",B5659:B6462,"5 1 3 9 2 12 31111 6 M59 19000 000132 0000R 00001 00392 015 2112000 2024*")</f>
        <v>0</v>
      </c>
      <c r="E5658" s="54"/>
      <c r="F5658" s="83">
        <f>SUMIFS(F5659:F6462,K5659:K6462,"0",B5659:B6462,"5 1 3 9 2 12 31111 6 M59 19000 000132 0000R 00001 00392 015 2112000 2024*")</f>
        <v>144990</v>
      </c>
      <c r="G5658" s="83">
        <f>SUMIFS(G5659:G6462,K5659:K6462,"0",B5659:B6462,"5 1 3 9 2 12 31111 6 M59 19000 000132 0000R 00001 00392 015 2112000 2024*")</f>
        <v>0</v>
      </c>
      <c r="H5658" s="83">
        <f t="shared" si="88"/>
        <v>144990</v>
      </c>
      <c r="I5658" s="83"/>
      <c r="K5658" s="54" t="s">
        <v>15</v>
      </c>
    </row>
    <row r="5659" spans="2:11" ht="41.25" x14ac:dyDescent="0.2">
      <c r="B5659" s="82" t="s">
        <v>9169</v>
      </c>
      <c r="C5659" s="82" t="s">
        <v>662</v>
      </c>
      <c r="D5659" s="83">
        <f>SUMIFS(D5660:D6462,K5660:K6462,"0",B5660:B6462,"5 1 3 9 2 12 31111 6 M59 19000 000132 0000R 00001 00392 015 2112000 2024 CP1TM440*")-SUMIFS(E5660:E6462,K5660:K6462,"0",B5660:B6462,"5 1 3 9 2 12 31111 6 M59 19000 000132 0000R 00001 00392 015 2112000 2024 CP1TM440*")</f>
        <v>0</v>
      </c>
      <c r="E5659" s="54"/>
      <c r="F5659" s="83">
        <f>SUMIFS(F5660:F6462,K5660:K6462,"0",B5660:B6462,"5 1 3 9 2 12 31111 6 M59 19000 000132 0000R 00001 00392 015 2112000 2024 CP1TM440*")</f>
        <v>144990</v>
      </c>
      <c r="G5659" s="83">
        <f>SUMIFS(G5660:G6462,K5660:K6462,"0",B5660:B6462,"5 1 3 9 2 12 31111 6 M59 19000 000132 0000R 00001 00392 015 2112000 2024 CP1TM440*")</f>
        <v>0</v>
      </c>
      <c r="H5659" s="83">
        <f t="shared" si="88"/>
        <v>144990</v>
      </c>
      <c r="I5659" s="83"/>
      <c r="K5659" s="54" t="s">
        <v>15</v>
      </c>
    </row>
    <row r="5660" spans="2:11" ht="41.25" x14ac:dyDescent="0.2">
      <c r="B5660" s="82" t="s">
        <v>9170</v>
      </c>
      <c r="C5660" s="82" t="s">
        <v>282</v>
      </c>
      <c r="D5660" s="83">
        <f>SUMIFS(D5661:D6462,K5661:K6462,"0",B5661:B6462,"5 1 3 9 2 12 31111 6 M59 19000 000132 0000R 00001 00392 015 2112000 2024 CP1TM440 001*")-SUMIFS(E5661:E6462,K5661:K6462,"0",B5661:B6462,"5 1 3 9 2 12 31111 6 M59 19000 000132 0000R 00001 00392 015 2112000 2024 CP1TM440 001*")</f>
        <v>0</v>
      </c>
      <c r="E5660" s="54"/>
      <c r="F5660" s="83">
        <f>SUMIFS(F5661:F6462,K5661:K6462,"0",B5661:B6462,"5 1 3 9 2 12 31111 6 M59 19000 000132 0000R 00001 00392 015 2112000 2024 CP1TM440 001*")</f>
        <v>144990</v>
      </c>
      <c r="G5660" s="83">
        <f>SUMIFS(G5661:G6462,K5661:K6462,"0",B5661:B6462,"5 1 3 9 2 12 31111 6 M59 19000 000132 0000R 00001 00392 015 2112000 2024 CP1TM440 001*")</f>
        <v>0</v>
      </c>
      <c r="H5660" s="83">
        <f t="shared" si="88"/>
        <v>144990</v>
      </c>
      <c r="I5660" s="83"/>
      <c r="K5660" s="54" t="s">
        <v>15</v>
      </c>
    </row>
    <row r="5661" spans="2:11" ht="33" x14ac:dyDescent="0.2">
      <c r="B5661" s="84" t="s">
        <v>9171</v>
      </c>
      <c r="C5661" s="84" t="s">
        <v>168</v>
      </c>
      <c r="D5661" s="85">
        <v>0</v>
      </c>
      <c r="E5661" s="85"/>
      <c r="F5661" s="85">
        <v>144990</v>
      </c>
      <c r="G5661" s="85">
        <v>0</v>
      </c>
      <c r="H5661" s="85">
        <f t="shared" si="88"/>
        <v>144990</v>
      </c>
      <c r="I5661" s="85"/>
      <c r="K5661" s="54" t="s">
        <v>38</v>
      </c>
    </row>
    <row r="5662" spans="2:11" ht="16.5" x14ac:dyDescent="0.2">
      <c r="B5662" s="82" t="s">
        <v>9197</v>
      </c>
      <c r="C5662" s="82" t="s">
        <v>9198</v>
      </c>
      <c r="D5662" s="83">
        <f>SUMIFS(D5663:D6462,K5663:K6462,"0",B5663:B6462,"5 1 3 9 4*")-SUMIFS(E5663:E6462,K5663:K6462,"0",B5663:B6462,"5 1 3 9 4*")</f>
        <v>0</v>
      </c>
      <c r="E5662" s="54"/>
      <c r="F5662" s="83">
        <f>SUMIFS(F5663:F6462,K5663:K6462,"0",B5663:B6462,"5 1 3 9 4*")</f>
        <v>326137.8</v>
      </c>
      <c r="G5662" s="83">
        <f>SUMIFS(G5663:G6462,K5663:K6462,"0",B5663:B6462,"5 1 3 9 4*")</f>
        <v>0</v>
      </c>
      <c r="H5662" s="83">
        <f t="shared" si="88"/>
        <v>326137.8</v>
      </c>
      <c r="I5662" s="83"/>
      <c r="K5662" s="54" t="s">
        <v>15</v>
      </c>
    </row>
    <row r="5663" spans="2:11" ht="12.75" x14ac:dyDescent="0.2">
      <c r="B5663" s="82" t="s">
        <v>9199</v>
      </c>
      <c r="C5663" s="82" t="s">
        <v>26</v>
      </c>
      <c r="D5663" s="83">
        <f>SUMIFS(D5664:D6462,K5664:K6462,"0",B5664:B6462,"5 1 3 9 4 12*")-SUMIFS(E5664:E6462,K5664:K6462,"0",B5664:B6462,"5 1 3 9 4 12*")</f>
        <v>0</v>
      </c>
      <c r="E5663" s="54"/>
      <c r="F5663" s="83">
        <f>SUMIFS(F5664:F6462,K5664:K6462,"0",B5664:B6462,"5 1 3 9 4 12*")</f>
        <v>326137.8</v>
      </c>
      <c r="G5663" s="83">
        <f>SUMIFS(G5664:G6462,K5664:K6462,"0",B5664:B6462,"5 1 3 9 4 12*")</f>
        <v>0</v>
      </c>
      <c r="H5663" s="83">
        <f t="shared" si="88"/>
        <v>326137.8</v>
      </c>
      <c r="I5663" s="83"/>
      <c r="K5663" s="54" t="s">
        <v>15</v>
      </c>
    </row>
    <row r="5664" spans="2:11" ht="16.5" x14ac:dyDescent="0.2">
      <c r="B5664" s="82" t="s">
        <v>9200</v>
      </c>
      <c r="C5664" s="82" t="s">
        <v>28</v>
      </c>
      <c r="D5664" s="83">
        <f>SUMIFS(D5665:D6462,K5665:K6462,"0",B5665:B6462,"5 1 3 9 4 12 31111*")-SUMIFS(E5665:E6462,K5665:K6462,"0",B5665:B6462,"5 1 3 9 4 12 31111*")</f>
        <v>0</v>
      </c>
      <c r="E5664" s="54"/>
      <c r="F5664" s="83">
        <f>SUMIFS(F5665:F6462,K5665:K6462,"0",B5665:B6462,"5 1 3 9 4 12 31111*")</f>
        <v>326137.8</v>
      </c>
      <c r="G5664" s="83">
        <f>SUMIFS(G5665:G6462,K5665:K6462,"0",B5665:B6462,"5 1 3 9 4 12 31111*")</f>
        <v>0</v>
      </c>
      <c r="H5664" s="83">
        <f t="shared" si="88"/>
        <v>326137.8</v>
      </c>
      <c r="I5664" s="83"/>
      <c r="K5664" s="54" t="s">
        <v>15</v>
      </c>
    </row>
    <row r="5665" spans="2:11" ht="12.75" x14ac:dyDescent="0.2">
      <c r="B5665" s="82" t="s">
        <v>9201</v>
      </c>
      <c r="C5665" s="82" t="s">
        <v>30</v>
      </c>
      <c r="D5665" s="83">
        <f>SUMIFS(D5666:D6462,K5666:K6462,"0",B5666:B6462,"5 1 3 9 4 12 31111 6*")-SUMIFS(E5666:E6462,K5666:K6462,"0",B5666:B6462,"5 1 3 9 4 12 31111 6*")</f>
        <v>0</v>
      </c>
      <c r="E5665" s="54"/>
      <c r="F5665" s="83">
        <f>SUMIFS(F5666:F6462,K5666:K6462,"0",B5666:B6462,"5 1 3 9 4 12 31111 6*")</f>
        <v>326137.8</v>
      </c>
      <c r="G5665" s="83">
        <f>SUMIFS(G5666:G6462,K5666:K6462,"0",B5666:B6462,"5 1 3 9 4 12 31111 6*")</f>
        <v>0</v>
      </c>
      <c r="H5665" s="83">
        <f t="shared" si="88"/>
        <v>326137.8</v>
      </c>
      <c r="I5665" s="83"/>
      <c r="K5665" s="54" t="s">
        <v>15</v>
      </c>
    </row>
    <row r="5666" spans="2:11" ht="16.5" x14ac:dyDescent="0.2">
      <c r="B5666" s="82" t="s">
        <v>9202</v>
      </c>
      <c r="C5666" s="82" t="s">
        <v>2284</v>
      </c>
      <c r="D5666" s="83">
        <f>SUMIFS(D5667:D6462,K5667:K6462,"0",B5667:B6462,"5 1 3 9 4 12 31111 6 M59*")-SUMIFS(E5667:E6462,K5667:K6462,"0",B5667:B6462,"5 1 3 9 4 12 31111 6 M59*")</f>
        <v>0</v>
      </c>
      <c r="E5666" s="54"/>
      <c r="F5666" s="83">
        <f>SUMIFS(F5667:F6462,K5667:K6462,"0",B5667:B6462,"5 1 3 9 4 12 31111 6 M59*")</f>
        <v>326137.8</v>
      </c>
      <c r="G5666" s="83">
        <f>SUMIFS(G5667:G6462,K5667:K6462,"0",B5667:B6462,"5 1 3 9 4 12 31111 6 M59*")</f>
        <v>0</v>
      </c>
      <c r="H5666" s="83">
        <f t="shared" si="88"/>
        <v>326137.8</v>
      </c>
      <c r="I5666" s="83"/>
      <c r="K5666" s="54" t="s">
        <v>15</v>
      </c>
    </row>
    <row r="5667" spans="2:11" ht="16.5" x14ac:dyDescent="0.2">
      <c r="B5667" s="82" t="s">
        <v>9203</v>
      </c>
      <c r="C5667" s="82" t="s">
        <v>3668</v>
      </c>
      <c r="D5667" s="83">
        <f>SUMIFS(D5668:D6462,K5668:K6462,"0",B5668:B6462,"5 1 3 9 4 12 31111 6 M59 95000*")-SUMIFS(E5668:E6462,K5668:K6462,"0",B5668:B6462,"5 1 3 9 4 12 31111 6 M59 95000*")</f>
        <v>0</v>
      </c>
      <c r="E5667" s="54"/>
      <c r="F5667" s="83">
        <f>SUMIFS(F5668:F6462,K5668:K6462,"0",B5668:B6462,"5 1 3 9 4 12 31111 6 M59 95000*")</f>
        <v>326137.8</v>
      </c>
      <c r="G5667" s="83">
        <f>SUMIFS(G5668:G6462,K5668:K6462,"0",B5668:B6462,"5 1 3 9 4 12 31111 6 M59 95000*")</f>
        <v>0</v>
      </c>
      <c r="H5667" s="83">
        <f t="shared" si="88"/>
        <v>326137.8</v>
      </c>
      <c r="I5667" s="83"/>
      <c r="K5667" s="54" t="s">
        <v>15</v>
      </c>
    </row>
    <row r="5668" spans="2:11" ht="16.5" x14ac:dyDescent="0.2">
      <c r="B5668" s="82" t="s">
        <v>9204</v>
      </c>
      <c r="C5668" s="82" t="s">
        <v>1063</v>
      </c>
      <c r="D5668" s="83">
        <f>SUMIFS(D5669:D6462,K5669:K6462,"0",B5669:B6462,"5 1 3 9 4 12 31111 6 M59 95000 000139*")-SUMIFS(E5669:E6462,K5669:K6462,"0",B5669:B6462,"5 1 3 9 4 12 31111 6 M59 95000 000139*")</f>
        <v>0</v>
      </c>
      <c r="E5668" s="54"/>
      <c r="F5668" s="83">
        <f>SUMIFS(F5669:F6462,K5669:K6462,"0",B5669:B6462,"5 1 3 9 4 12 31111 6 M59 95000 000139*")</f>
        <v>326137.8</v>
      </c>
      <c r="G5668" s="83">
        <f>SUMIFS(G5669:G6462,K5669:K6462,"0",B5669:B6462,"5 1 3 9 4 12 31111 6 M59 95000 000139*")</f>
        <v>0</v>
      </c>
      <c r="H5668" s="83">
        <f t="shared" si="88"/>
        <v>326137.8</v>
      </c>
      <c r="I5668" s="83"/>
      <c r="K5668" s="54" t="s">
        <v>15</v>
      </c>
    </row>
    <row r="5669" spans="2:11" ht="24.75" x14ac:dyDescent="0.2">
      <c r="B5669" s="82" t="s">
        <v>9205</v>
      </c>
      <c r="C5669" s="82" t="s">
        <v>3671</v>
      </c>
      <c r="D5669" s="83">
        <f>SUMIFS(D5670:D6462,K5670:K6462,"0",B5670:B6462,"5 1 3 9 4 12 31111 6 M59 95000 000139 0000L*")-SUMIFS(E5670:E6462,K5670:K6462,"0",B5670:B6462,"5 1 3 9 4 12 31111 6 M59 95000 000139 0000L*")</f>
        <v>0</v>
      </c>
      <c r="E5669" s="54"/>
      <c r="F5669" s="83">
        <f>SUMIFS(F5670:F6462,K5670:K6462,"0",B5670:B6462,"5 1 3 9 4 12 31111 6 M59 95000 000139 0000L*")</f>
        <v>326137.8</v>
      </c>
      <c r="G5669" s="83">
        <f>SUMIFS(G5670:G6462,K5670:K6462,"0",B5670:B6462,"5 1 3 9 4 12 31111 6 M59 95000 000139 0000L*")</f>
        <v>0</v>
      </c>
      <c r="H5669" s="83">
        <f t="shared" si="88"/>
        <v>326137.8</v>
      </c>
      <c r="I5669" s="83"/>
      <c r="K5669" s="54" t="s">
        <v>15</v>
      </c>
    </row>
    <row r="5670" spans="2:11" ht="24.75" x14ac:dyDescent="0.2">
      <c r="B5670" s="82" t="s">
        <v>9206</v>
      </c>
      <c r="C5670" s="82" t="s">
        <v>282</v>
      </c>
      <c r="D5670" s="83">
        <f>SUMIFS(D5671:D6462,K5671:K6462,"0",B5671:B6462,"5 1 3 9 4 12 31111 6 M59 95000 000139 0000L 00001*")-SUMIFS(E5671:E6462,K5671:K6462,"0",B5671:B6462,"5 1 3 9 4 12 31111 6 M59 95000 000139 0000L 00001*")</f>
        <v>0</v>
      </c>
      <c r="E5670" s="54"/>
      <c r="F5670" s="83">
        <f>SUMIFS(F5671:F6462,K5671:K6462,"0",B5671:B6462,"5 1 3 9 4 12 31111 6 M59 95000 000139 0000L 00001*")</f>
        <v>326137.8</v>
      </c>
      <c r="G5670" s="83">
        <f>SUMIFS(G5671:G6462,K5671:K6462,"0",B5671:B6462,"5 1 3 9 4 12 31111 6 M59 95000 000139 0000L 00001*")</f>
        <v>0</v>
      </c>
      <c r="H5670" s="83">
        <f t="shared" si="88"/>
        <v>326137.8</v>
      </c>
      <c r="I5670" s="83"/>
      <c r="K5670" s="54" t="s">
        <v>15</v>
      </c>
    </row>
    <row r="5671" spans="2:11" ht="24.75" x14ac:dyDescent="0.2">
      <c r="B5671" s="82" t="s">
        <v>9207</v>
      </c>
      <c r="C5671" s="82" t="s">
        <v>9208</v>
      </c>
      <c r="D5671" s="83">
        <f>SUMIFS(D5672:D6462,K5672:K6462,"0",B5672:B6462,"5 1 3 9 4 12 31111 6 M59 95000 000139 0000L 00001 00394*")-SUMIFS(E5672:E6462,K5672:K6462,"0",B5672:B6462,"5 1 3 9 4 12 31111 6 M59 95000 000139 0000L 00001 00394*")</f>
        <v>0</v>
      </c>
      <c r="E5671" s="54"/>
      <c r="F5671" s="83">
        <f>SUMIFS(F5672:F6462,K5672:K6462,"0",B5672:B6462,"5 1 3 9 4 12 31111 6 M59 95000 000139 0000L 00001 00394*")</f>
        <v>326137.8</v>
      </c>
      <c r="G5671" s="83">
        <f>SUMIFS(G5672:G6462,K5672:K6462,"0",B5672:B6462,"5 1 3 9 4 12 31111 6 M59 95000 000139 0000L 00001 00394*")</f>
        <v>0</v>
      </c>
      <c r="H5671" s="83">
        <f t="shared" si="88"/>
        <v>326137.8</v>
      </c>
      <c r="I5671" s="83"/>
      <c r="K5671" s="54" t="s">
        <v>15</v>
      </c>
    </row>
    <row r="5672" spans="2:11" ht="33" x14ac:dyDescent="0.2">
      <c r="B5672" s="82" t="s">
        <v>9209</v>
      </c>
      <c r="C5672" s="82" t="s">
        <v>1051</v>
      </c>
      <c r="D5672" s="83">
        <f>SUMIFS(D5673:D6462,K5673:K6462,"0",B5673:B6462,"5 1 3 9 4 12 31111 6 M59 95000 000139 0000L 00001 00394 015*")-SUMIFS(E5673:E6462,K5673:K6462,"0",B5673:B6462,"5 1 3 9 4 12 31111 6 M59 95000 000139 0000L 00001 00394 015*")</f>
        <v>0</v>
      </c>
      <c r="E5672" s="54"/>
      <c r="F5672" s="83">
        <f>SUMIFS(F5673:F6462,K5673:K6462,"0",B5673:B6462,"5 1 3 9 4 12 31111 6 M59 95000 000139 0000L 00001 00394 015*")</f>
        <v>326137.8</v>
      </c>
      <c r="G5672" s="83">
        <f>SUMIFS(G5673:G6462,K5673:K6462,"0",B5673:B6462,"5 1 3 9 4 12 31111 6 M59 95000 000139 0000L 00001 00394 015*")</f>
        <v>0</v>
      </c>
      <c r="H5672" s="83">
        <f t="shared" si="88"/>
        <v>326137.8</v>
      </c>
      <c r="I5672" s="83"/>
      <c r="K5672" s="54" t="s">
        <v>15</v>
      </c>
    </row>
    <row r="5673" spans="2:11" ht="33" x14ac:dyDescent="0.2">
      <c r="B5673" s="82" t="s">
        <v>9210</v>
      </c>
      <c r="C5673" s="82" t="s">
        <v>5830</v>
      </c>
      <c r="D5673" s="83">
        <f>SUMIFS(D5674:D6462,K5674:K6462,"0",B5674:B6462,"5 1 3 9 4 12 31111 6 M59 95000 000139 0000L 00001 00394 015 2112000*")-SUMIFS(E5674:E6462,K5674:K6462,"0",B5674:B6462,"5 1 3 9 4 12 31111 6 M59 95000 000139 0000L 00001 00394 015 2112000*")</f>
        <v>0</v>
      </c>
      <c r="E5673" s="54"/>
      <c r="F5673" s="83">
        <f>SUMIFS(F5674:F6462,K5674:K6462,"0",B5674:B6462,"5 1 3 9 4 12 31111 6 M59 95000 000139 0000L 00001 00394 015 2112000*")</f>
        <v>326137.8</v>
      </c>
      <c r="G5673" s="83">
        <f>SUMIFS(G5674:G6462,K5674:K6462,"0",B5674:B6462,"5 1 3 9 4 12 31111 6 M59 95000 000139 0000L 00001 00394 015 2112000*")</f>
        <v>0</v>
      </c>
      <c r="H5673" s="83">
        <f t="shared" si="88"/>
        <v>326137.8</v>
      </c>
      <c r="I5673" s="83"/>
      <c r="K5673" s="54" t="s">
        <v>15</v>
      </c>
    </row>
    <row r="5674" spans="2:11" ht="33" x14ac:dyDescent="0.2">
      <c r="B5674" s="82" t="s">
        <v>9211</v>
      </c>
      <c r="C5674" s="82" t="s">
        <v>660</v>
      </c>
      <c r="D5674" s="83">
        <f>SUMIFS(D5675:D6462,K5675:K6462,"0",B5675:B6462,"5 1 3 9 4 12 31111 6 M59 95000 000139 0000L 00001 00394 015 2112000 2024*")-SUMIFS(E5675:E6462,K5675:K6462,"0",B5675:B6462,"5 1 3 9 4 12 31111 6 M59 95000 000139 0000L 00001 00394 015 2112000 2024*")</f>
        <v>0</v>
      </c>
      <c r="E5674" s="54"/>
      <c r="F5674" s="83">
        <f>SUMIFS(F5675:F6462,K5675:K6462,"0",B5675:B6462,"5 1 3 9 4 12 31111 6 M59 95000 000139 0000L 00001 00394 015 2112000 2024*")</f>
        <v>326137.8</v>
      </c>
      <c r="G5674" s="83">
        <f>SUMIFS(G5675:G6462,K5675:K6462,"0",B5675:B6462,"5 1 3 9 4 12 31111 6 M59 95000 000139 0000L 00001 00394 015 2112000 2024*")</f>
        <v>0</v>
      </c>
      <c r="H5674" s="83">
        <f t="shared" si="88"/>
        <v>326137.8</v>
      </c>
      <c r="I5674" s="83"/>
      <c r="K5674" s="54" t="s">
        <v>15</v>
      </c>
    </row>
    <row r="5675" spans="2:11" ht="41.25" x14ac:dyDescent="0.2">
      <c r="B5675" s="82" t="s">
        <v>9212</v>
      </c>
      <c r="C5675" s="82" t="s">
        <v>1056</v>
      </c>
      <c r="D5675" s="83">
        <f>SUMIFS(D5676:D6462,K5676:K6462,"0",B5676:B6462,"5 1 3 9 4 12 31111 6 M59 95000 000139 0000L 00001 00394 015 2112000 2024 CP1AJ437*")-SUMIFS(E5676:E6462,K5676:K6462,"0",B5676:B6462,"5 1 3 9 4 12 31111 6 M59 95000 000139 0000L 00001 00394 015 2112000 2024 CP1AJ437*")</f>
        <v>0</v>
      </c>
      <c r="E5675" s="54"/>
      <c r="F5675" s="83">
        <f>SUMIFS(F5676:F6462,K5676:K6462,"0",B5676:B6462,"5 1 3 9 4 12 31111 6 M59 95000 000139 0000L 00001 00394 015 2112000 2024 CP1AJ437*")</f>
        <v>326137.8</v>
      </c>
      <c r="G5675" s="83">
        <f>SUMIFS(G5676:G6462,K5676:K6462,"0",B5676:B6462,"5 1 3 9 4 12 31111 6 M59 95000 000139 0000L 00001 00394 015 2112000 2024 CP1AJ437*")</f>
        <v>0</v>
      </c>
      <c r="H5675" s="83">
        <f t="shared" ref="H5675:H5738" si="89">D5675 + F5675 - G5675</f>
        <v>326137.8</v>
      </c>
      <c r="I5675" s="83"/>
      <c r="K5675" s="54" t="s">
        <v>15</v>
      </c>
    </row>
    <row r="5676" spans="2:11" ht="41.25" x14ac:dyDescent="0.2">
      <c r="B5676" s="82" t="s">
        <v>9213</v>
      </c>
      <c r="C5676" s="82" t="s">
        <v>282</v>
      </c>
      <c r="D5676" s="83">
        <f>SUMIFS(D5677:D6462,K5677:K6462,"0",B5677:B6462,"5 1 3 9 4 12 31111 6 M59 95000 000139 0000L 00001 00394 015 2112000 2024 CP1AJ437 001*")-SUMIFS(E5677:E6462,K5677:K6462,"0",B5677:B6462,"5 1 3 9 4 12 31111 6 M59 95000 000139 0000L 00001 00394 015 2112000 2024 CP1AJ437 001*")</f>
        <v>0</v>
      </c>
      <c r="E5676" s="54"/>
      <c r="F5676" s="83">
        <f>SUMIFS(F5677:F6462,K5677:K6462,"0",B5677:B6462,"5 1 3 9 4 12 31111 6 M59 95000 000139 0000L 00001 00394 015 2112000 2024 CP1AJ437 001*")</f>
        <v>326137.8</v>
      </c>
      <c r="G5676" s="83">
        <f>SUMIFS(G5677:G6462,K5677:K6462,"0",B5677:B6462,"5 1 3 9 4 12 31111 6 M59 95000 000139 0000L 00001 00394 015 2112000 2024 CP1AJ437 001*")</f>
        <v>0</v>
      </c>
      <c r="H5676" s="83">
        <f t="shared" si="89"/>
        <v>326137.8</v>
      </c>
      <c r="I5676" s="83"/>
      <c r="K5676" s="54" t="s">
        <v>15</v>
      </c>
    </row>
    <row r="5677" spans="2:11" ht="33" x14ac:dyDescent="0.2">
      <c r="B5677" s="84" t="s">
        <v>9214</v>
      </c>
      <c r="C5677" s="84" t="s">
        <v>9198</v>
      </c>
      <c r="D5677" s="85">
        <v>0</v>
      </c>
      <c r="E5677" s="85"/>
      <c r="F5677" s="85">
        <v>326137.8</v>
      </c>
      <c r="G5677" s="85">
        <v>0</v>
      </c>
      <c r="H5677" s="85">
        <f t="shared" si="89"/>
        <v>326137.8</v>
      </c>
      <c r="I5677" s="85"/>
      <c r="K5677" s="54" t="s">
        <v>38</v>
      </c>
    </row>
    <row r="5678" spans="2:11" ht="16.5" x14ac:dyDescent="0.2">
      <c r="B5678" s="82" t="s">
        <v>9215</v>
      </c>
      <c r="C5678" s="82" t="s">
        <v>9216</v>
      </c>
      <c r="D5678" s="83">
        <f>SUMIFS(D5679:D6462,K5679:K6462,"0",B5679:B6462,"5 1 3 9 5*")-SUMIFS(E5679:E6462,K5679:K6462,"0",B5679:B6462,"5 1 3 9 5*")</f>
        <v>0</v>
      </c>
      <c r="E5678" s="54"/>
      <c r="F5678" s="83">
        <f>SUMIFS(F5679:F6462,K5679:K6462,"0",B5679:B6462,"5 1 3 9 5*")</f>
        <v>93281</v>
      </c>
      <c r="G5678" s="83">
        <f>SUMIFS(G5679:G6462,K5679:K6462,"0",B5679:B6462,"5 1 3 9 5*")</f>
        <v>0</v>
      </c>
      <c r="H5678" s="83">
        <f t="shared" si="89"/>
        <v>93281</v>
      </c>
      <c r="I5678" s="83"/>
      <c r="K5678" s="54" t="s">
        <v>15</v>
      </c>
    </row>
    <row r="5679" spans="2:11" ht="12.75" x14ac:dyDescent="0.2">
      <c r="B5679" s="82" t="s">
        <v>9217</v>
      </c>
      <c r="C5679" s="82" t="s">
        <v>26</v>
      </c>
      <c r="D5679" s="83">
        <f>SUMIFS(D5680:D6462,K5680:K6462,"0",B5680:B6462,"5 1 3 9 5 12*")-SUMIFS(E5680:E6462,K5680:K6462,"0",B5680:B6462,"5 1 3 9 5 12*")</f>
        <v>0</v>
      </c>
      <c r="E5679" s="54"/>
      <c r="F5679" s="83">
        <f>SUMIFS(F5680:F6462,K5680:K6462,"0",B5680:B6462,"5 1 3 9 5 12*")</f>
        <v>93281</v>
      </c>
      <c r="G5679" s="83">
        <f>SUMIFS(G5680:G6462,K5680:K6462,"0",B5680:B6462,"5 1 3 9 5 12*")</f>
        <v>0</v>
      </c>
      <c r="H5679" s="83">
        <f t="shared" si="89"/>
        <v>93281</v>
      </c>
      <c r="I5679" s="83"/>
      <c r="K5679" s="54" t="s">
        <v>15</v>
      </c>
    </row>
    <row r="5680" spans="2:11" ht="16.5" x14ac:dyDescent="0.2">
      <c r="B5680" s="82" t="s">
        <v>9218</v>
      </c>
      <c r="C5680" s="82" t="s">
        <v>28</v>
      </c>
      <c r="D5680" s="83">
        <f>SUMIFS(D5681:D6462,K5681:K6462,"0",B5681:B6462,"5 1 3 9 5 12 31111*")-SUMIFS(E5681:E6462,K5681:K6462,"0",B5681:B6462,"5 1 3 9 5 12 31111*")</f>
        <v>0</v>
      </c>
      <c r="E5680" s="54"/>
      <c r="F5680" s="83">
        <f>SUMIFS(F5681:F6462,K5681:K6462,"0",B5681:B6462,"5 1 3 9 5 12 31111*")</f>
        <v>93281</v>
      </c>
      <c r="G5680" s="83">
        <f>SUMIFS(G5681:G6462,K5681:K6462,"0",B5681:B6462,"5 1 3 9 5 12 31111*")</f>
        <v>0</v>
      </c>
      <c r="H5680" s="83">
        <f t="shared" si="89"/>
        <v>93281</v>
      </c>
      <c r="I5680" s="83"/>
      <c r="K5680" s="54" t="s">
        <v>15</v>
      </c>
    </row>
    <row r="5681" spans="2:11" ht="12.75" x14ac:dyDescent="0.2">
      <c r="B5681" s="82" t="s">
        <v>9219</v>
      </c>
      <c r="C5681" s="82" t="s">
        <v>30</v>
      </c>
      <c r="D5681" s="83">
        <f>SUMIFS(D5682:D6462,K5682:K6462,"0",B5682:B6462,"5 1 3 9 5 12 31111 6*")-SUMIFS(E5682:E6462,K5682:K6462,"0",B5682:B6462,"5 1 3 9 5 12 31111 6*")</f>
        <v>0</v>
      </c>
      <c r="E5681" s="54"/>
      <c r="F5681" s="83">
        <f>SUMIFS(F5682:F6462,K5682:K6462,"0",B5682:B6462,"5 1 3 9 5 12 31111 6*")</f>
        <v>93281</v>
      </c>
      <c r="G5681" s="83">
        <f>SUMIFS(G5682:G6462,K5682:K6462,"0",B5682:B6462,"5 1 3 9 5 12 31111 6*")</f>
        <v>0</v>
      </c>
      <c r="H5681" s="83">
        <f t="shared" si="89"/>
        <v>93281</v>
      </c>
      <c r="I5681" s="83"/>
      <c r="K5681" s="54" t="s">
        <v>15</v>
      </c>
    </row>
    <row r="5682" spans="2:11" ht="16.5" x14ac:dyDescent="0.2">
      <c r="B5682" s="82" t="s">
        <v>9220</v>
      </c>
      <c r="C5682" s="82" t="s">
        <v>2284</v>
      </c>
      <c r="D5682" s="83">
        <f>SUMIFS(D5683:D6462,K5683:K6462,"0",B5683:B6462,"5 1 3 9 5 12 31111 6 M59*")-SUMIFS(E5683:E6462,K5683:K6462,"0",B5683:B6462,"5 1 3 9 5 12 31111 6 M59*")</f>
        <v>0</v>
      </c>
      <c r="E5682" s="54"/>
      <c r="F5682" s="83">
        <f>SUMIFS(F5683:F6462,K5683:K6462,"0",B5683:B6462,"5 1 3 9 5 12 31111 6 M59*")</f>
        <v>93281</v>
      </c>
      <c r="G5682" s="83">
        <f>SUMIFS(G5683:G6462,K5683:K6462,"0",B5683:B6462,"5 1 3 9 5 12 31111 6 M59*")</f>
        <v>0</v>
      </c>
      <c r="H5682" s="83">
        <f t="shared" si="89"/>
        <v>93281</v>
      </c>
      <c r="I5682" s="83"/>
      <c r="K5682" s="54" t="s">
        <v>15</v>
      </c>
    </row>
    <row r="5683" spans="2:11" ht="16.5" x14ac:dyDescent="0.2">
      <c r="B5683" s="82" t="s">
        <v>9221</v>
      </c>
      <c r="C5683" s="82" t="s">
        <v>1061</v>
      </c>
      <c r="D5683" s="83">
        <f>SUMIFS(D5684:D6462,K5684:K6462,"0",B5684:B6462,"5 1 3 9 5 12 31111 6 M59 20300*")-SUMIFS(E5684:E6462,K5684:K6462,"0",B5684:B6462,"5 1 3 9 5 12 31111 6 M59 20300*")</f>
        <v>0</v>
      </c>
      <c r="E5683" s="54"/>
      <c r="F5683" s="83">
        <f>SUMIFS(F5684:F6462,K5684:K6462,"0",B5684:B6462,"5 1 3 9 5 12 31111 6 M59 20300*")</f>
        <v>93281</v>
      </c>
      <c r="G5683" s="83">
        <f>SUMIFS(G5684:G6462,K5684:K6462,"0",B5684:B6462,"5 1 3 9 5 12 31111 6 M59 20300*")</f>
        <v>0</v>
      </c>
      <c r="H5683" s="83">
        <f t="shared" si="89"/>
        <v>93281</v>
      </c>
      <c r="I5683" s="83"/>
      <c r="K5683" s="54" t="s">
        <v>15</v>
      </c>
    </row>
    <row r="5684" spans="2:11" ht="16.5" x14ac:dyDescent="0.2">
      <c r="B5684" s="82" t="s">
        <v>9222</v>
      </c>
      <c r="C5684" s="82" t="s">
        <v>648</v>
      </c>
      <c r="D5684" s="83">
        <f>SUMIFS(D5685:D6462,K5685:K6462,"0",B5685:B6462,"5 1 3 9 5 12 31111 6 M59 20300 000132*")-SUMIFS(E5685:E6462,K5685:K6462,"0",B5685:B6462,"5 1 3 9 5 12 31111 6 M59 20300 000132*")</f>
        <v>0</v>
      </c>
      <c r="E5684" s="54"/>
      <c r="F5684" s="83">
        <f>SUMIFS(F5685:F6462,K5685:K6462,"0",B5685:B6462,"5 1 3 9 5 12 31111 6 M59 20300 000132*")</f>
        <v>93281</v>
      </c>
      <c r="G5684" s="83">
        <f>SUMIFS(G5685:G6462,K5685:K6462,"0",B5685:B6462,"5 1 3 9 5 12 31111 6 M59 20300 000132*")</f>
        <v>0</v>
      </c>
      <c r="H5684" s="83">
        <f t="shared" si="89"/>
        <v>93281</v>
      </c>
      <c r="I5684" s="83"/>
      <c r="K5684" s="54" t="s">
        <v>15</v>
      </c>
    </row>
    <row r="5685" spans="2:11" ht="24.75" x14ac:dyDescent="0.2">
      <c r="B5685" s="82" t="s">
        <v>9223</v>
      </c>
      <c r="C5685" s="82" t="s">
        <v>650</v>
      </c>
      <c r="D5685" s="83">
        <f>SUMIFS(D5686:D6462,K5686:K6462,"0",B5686:B6462,"5 1 3 9 5 12 31111 6 M59 20300 000132 0000R*")-SUMIFS(E5686:E6462,K5686:K6462,"0",B5686:B6462,"5 1 3 9 5 12 31111 6 M59 20300 000132 0000R*")</f>
        <v>0</v>
      </c>
      <c r="E5685" s="54"/>
      <c r="F5685" s="83">
        <f>SUMIFS(F5686:F6462,K5686:K6462,"0",B5686:B6462,"5 1 3 9 5 12 31111 6 M59 20300 000132 0000R*")</f>
        <v>93281</v>
      </c>
      <c r="G5685" s="83">
        <f>SUMIFS(G5686:G6462,K5686:K6462,"0",B5686:B6462,"5 1 3 9 5 12 31111 6 M59 20300 000132 0000R*")</f>
        <v>0</v>
      </c>
      <c r="H5685" s="83">
        <f t="shared" si="89"/>
        <v>93281</v>
      </c>
      <c r="I5685" s="83"/>
      <c r="K5685" s="54" t="s">
        <v>15</v>
      </c>
    </row>
    <row r="5686" spans="2:11" ht="24.75" x14ac:dyDescent="0.2">
      <c r="B5686" s="82" t="s">
        <v>9224</v>
      </c>
      <c r="C5686" s="82" t="s">
        <v>282</v>
      </c>
      <c r="D5686" s="83">
        <f>SUMIFS(D5687:D6462,K5687:K6462,"0",B5687:B6462,"5 1 3 9 5 12 31111 6 M59 20300 000132 0000R 00001*")-SUMIFS(E5687:E6462,K5687:K6462,"0",B5687:B6462,"5 1 3 9 5 12 31111 6 M59 20300 000132 0000R 00001*")</f>
        <v>0</v>
      </c>
      <c r="E5686" s="54"/>
      <c r="F5686" s="83">
        <f>SUMIFS(F5687:F6462,K5687:K6462,"0",B5687:B6462,"5 1 3 9 5 12 31111 6 M59 20300 000132 0000R 00001*")</f>
        <v>93281</v>
      </c>
      <c r="G5686" s="83">
        <f>SUMIFS(G5687:G6462,K5687:K6462,"0",B5687:B6462,"5 1 3 9 5 12 31111 6 M59 20300 000132 0000R 00001*")</f>
        <v>0</v>
      </c>
      <c r="H5686" s="83">
        <f t="shared" si="89"/>
        <v>93281</v>
      </c>
      <c r="I5686" s="83"/>
      <c r="K5686" s="54" t="s">
        <v>15</v>
      </c>
    </row>
    <row r="5687" spans="2:11" ht="24.75" x14ac:dyDescent="0.2">
      <c r="B5687" s="82" t="s">
        <v>9225</v>
      </c>
      <c r="C5687" s="82" t="s">
        <v>9226</v>
      </c>
      <c r="D5687" s="83">
        <f>SUMIFS(D5688:D6462,K5688:K6462,"0",B5688:B6462,"5 1 3 9 5 12 31111 6 M59 20300 000132 0000R 00001 00395*")-SUMIFS(E5688:E6462,K5688:K6462,"0",B5688:B6462,"5 1 3 9 5 12 31111 6 M59 20300 000132 0000R 00001 00395*")</f>
        <v>0</v>
      </c>
      <c r="E5687" s="54"/>
      <c r="F5687" s="83">
        <f>SUMIFS(F5688:F6462,K5688:K6462,"0",B5688:B6462,"5 1 3 9 5 12 31111 6 M59 20300 000132 0000R 00001 00395*")</f>
        <v>93281</v>
      </c>
      <c r="G5687" s="83">
        <f>SUMIFS(G5688:G6462,K5688:K6462,"0",B5688:B6462,"5 1 3 9 5 12 31111 6 M59 20300 000132 0000R 00001 00395*")</f>
        <v>0</v>
      </c>
      <c r="H5687" s="83">
        <f t="shared" si="89"/>
        <v>93281</v>
      </c>
      <c r="I5687" s="83"/>
      <c r="K5687" s="54" t="s">
        <v>15</v>
      </c>
    </row>
    <row r="5688" spans="2:11" ht="33" x14ac:dyDescent="0.2">
      <c r="B5688" s="82" t="s">
        <v>9227</v>
      </c>
      <c r="C5688" s="82" t="s">
        <v>1051</v>
      </c>
      <c r="D5688" s="83">
        <f>SUMIFS(D5689:D6462,K5689:K6462,"0",B5689:B6462,"5 1 3 9 5 12 31111 6 M59 20300 000132 0000R 00001 00395 015*")-SUMIFS(E5689:E6462,K5689:K6462,"0",B5689:B6462,"5 1 3 9 5 12 31111 6 M59 20300 000132 0000R 00001 00395 015*")</f>
        <v>0</v>
      </c>
      <c r="E5688" s="54"/>
      <c r="F5688" s="83">
        <f>SUMIFS(F5689:F6462,K5689:K6462,"0",B5689:B6462,"5 1 3 9 5 12 31111 6 M59 20300 000132 0000R 00001 00395 015*")</f>
        <v>93281</v>
      </c>
      <c r="G5688" s="83">
        <f>SUMIFS(G5689:G6462,K5689:K6462,"0",B5689:B6462,"5 1 3 9 5 12 31111 6 M59 20300 000132 0000R 00001 00395 015*")</f>
        <v>0</v>
      </c>
      <c r="H5688" s="83">
        <f t="shared" si="89"/>
        <v>93281</v>
      </c>
      <c r="I5688" s="83"/>
      <c r="K5688" s="54" t="s">
        <v>15</v>
      </c>
    </row>
    <row r="5689" spans="2:11" ht="33" x14ac:dyDescent="0.2">
      <c r="B5689" s="82" t="s">
        <v>9228</v>
      </c>
      <c r="C5689" s="82" t="s">
        <v>5830</v>
      </c>
      <c r="D5689" s="83">
        <f>SUMIFS(D5690:D6462,K5690:K6462,"0",B5690:B6462,"5 1 3 9 5 12 31111 6 M59 20300 000132 0000R 00001 00395 015 2112000*")-SUMIFS(E5690:E6462,K5690:K6462,"0",B5690:B6462,"5 1 3 9 5 12 31111 6 M59 20300 000132 0000R 00001 00395 015 2112000*")</f>
        <v>0</v>
      </c>
      <c r="E5689" s="54"/>
      <c r="F5689" s="83">
        <f>SUMIFS(F5690:F6462,K5690:K6462,"0",B5690:B6462,"5 1 3 9 5 12 31111 6 M59 20300 000132 0000R 00001 00395 015 2112000*")</f>
        <v>93281</v>
      </c>
      <c r="G5689" s="83">
        <f>SUMIFS(G5690:G6462,K5690:K6462,"0",B5690:B6462,"5 1 3 9 5 12 31111 6 M59 20300 000132 0000R 00001 00395 015 2112000*")</f>
        <v>0</v>
      </c>
      <c r="H5689" s="83">
        <f t="shared" si="89"/>
        <v>93281</v>
      </c>
      <c r="I5689" s="83"/>
      <c r="K5689" s="54" t="s">
        <v>15</v>
      </c>
    </row>
    <row r="5690" spans="2:11" ht="33" x14ac:dyDescent="0.2">
      <c r="B5690" s="82" t="s">
        <v>9229</v>
      </c>
      <c r="C5690" s="82" t="s">
        <v>660</v>
      </c>
      <c r="D5690" s="83">
        <f>SUMIFS(D5691:D6462,K5691:K6462,"0",B5691:B6462,"5 1 3 9 5 12 31111 6 M59 20300 000132 0000R 00001 00395 015 2112000 2024*")-SUMIFS(E5691:E6462,K5691:K6462,"0",B5691:B6462,"5 1 3 9 5 12 31111 6 M59 20300 000132 0000R 00001 00395 015 2112000 2024*")</f>
        <v>0</v>
      </c>
      <c r="E5690" s="54"/>
      <c r="F5690" s="83">
        <f>SUMIFS(F5691:F6462,K5691:K6462,"0",B5691:B6462,"5 1 3 9 5 12 31111 6 M59 20300 000132 0000R 00001 00395 015 2112000 2024*")</f>
        <v>93281</v>
      </c>
      <c r="G5690" s="83">
        <f>SUMIFS(G5691:G6462,K5691:K6462,"0",B5691:B6462,"5 1 3 9 5 12 31111 6 M59 20300 000132 0000R 00001 00395 015 2112000 2024*")</f>
        <v>0</v>
      </c>
      <c r="H5690" s="83">
        <f t="shared" si="89"/>
        <v>93281</v>
      </c>
      <c r="I5690" s="83"/>
      <c r="K5690" s="54" t="s">
        <v>15</v>
      </c>
    </row>
    <row r="5691" spans="2:11" ht="41.25" x14ac:dyDescent="0.2">
      <c r="B5691" s="82" t="s">
        <v>9230</v>
      </c>
      <c r="C5691" s="82" t="s">
        <v>662</v>
      </c>
      <c r="D5691" s="83">
        <f>SUMIFS(D5692:D6462,K5692:K6462,"0",B5692:B6462,"5 1 3 9 5 12 31111 6 M59 20300 000132 0000R 00001 00395 015 2112000 2024 CP1DE415*")-SUMIFS(E5692:E6462,K5692:K6462,"0",B5692:B6462,"5 1 3 9 5 12 31111 6 M59 20300 000132 0000R 00001 00395 015 2112000 2024 CP1DE415*")</f>
        <v>0</v>
      </c>
      <c r="E5691" s="54"/>
      <c r="F5691" s="83">
        <f>SUMIFS(F5692:F6462,K5692:K6462,"0",B5692:B6462,"5 1 3 9 5 12 31111 6 M59 20300 000132 0000R 00001 00395 015 2112000 2024 CP1DE415*")</f>
        <v>93281</v>
      </c>
      <c r="G5691" s="83">
        <f>SUMIFS(G5692:G6462,K5692:K6462,"0",B5692:B6462,"5 1 3 9 5 12 31111 6 M59 20300 000132 0000R 00001 00395 015 2112000 2024 CP1DE415*")</f>
        <v>0</v>
      </c>
      <c r="H5691" s="83">
        <f t="shared" si="89"/>
        <v>93281</v>
      </c>
      <c r="I5691" s="83"/>
      <c r="K5691" s="54" t="s">
        <v>15</v>
      </c>
    </row>
    <row r="5692" spans="2:11" ht="41.25" x14ac:dyDescent="0.2">
      <c r="B5692" s="82" t="s">
        <v>9231</v>
      </c>
      <c r="C5692" s="82" t="s">
        <v>282</v>
      </c>
      <c r="D5692" s="83">
        <f>SUMIFS(D5693:D6462,K5693:K6462,"0",B5693:B6462,"5 1 3 9 5 12 31111 6 M59 20300 000132 0000R 00001 00395 015 2112000 2024 CP1DE415 001*")-SUMIFS(E5693:E6462,K5693:K6462,"0",B5693:B6462,"5 1 3 9 5 12 31111 6 M59 20300 000132 0000R 00001 00395 015 2112000 2024 CP1DE415 001*")</f>
        <v>0</v>
      </c>
      <c r="E5692" s="54"/>
      <c r="F5692" s="83">
        <f>SUMIFS(F5693:F6462,K5693:K6462,"0",B5693:B6462,"5 1 3 9 5 12 31111 6 M59 20300 000132 0000R 00001 00395 015 2112000 2024 CP1DE415 001*")</f>
        <v>93281</v>
      </c>
      <c r="G5692" s="83">
        <f>SUMIFS(G5693:G6462,K5693:K6462,"0",B5693:B6462,"5 1 3 9 5 12 31111 6 M59 20300 000132 0000R 00001 00395 015 2112000 2024 CP1DE415 001*")</f>
        <v>0</v>
      </c>
      <c r="H5692" s="83">
        <f t="shared" si="89"/>
        <v>93281</v>
      </c>
      <c r="I5692" s="83"/>
      <c r="K5692" s="54" t="s">
        <v>15</v>
      </c>
    </row>
    <row r="5693" spans="2:11" ht="41.25" x14ac:dyDescent="0.2">
      <c r="B5693" s="84" t="s">
        <v>9232</v>
      </c>
      <c r="C5693" s="84" t="s">
        <v>9233</v>
      </c>
      <c r="D5693" s="85">
        <v>0</v>
      </c>
      <c r="E5693" s="85"/>
      <c r="F5693" s="85">
        <v>77604</v>
      </c>
      <c r="G5693" s="85">
        <v>0</v>
      </c>
      <c r="H5693" s="85">
        <f t="shared" si="89"/>
        <v>77604</v>
      </c>
      <c r="I5693" s="85"/>
      <c r="K5693" s="54" t="s">
        <v>38</v>
      </c>
    </row>
    <row r="5694" spans="2:11" ht="41.25" x14ac:dyDescent="0.2">
      <c r="B5694" s="84" t="s">
        <v>9234</v>
      </c>
      <c r="C5694" s="84" t="s">
        <v>9235</v>
      </c>
      <c r="D5694" s="85">
        <v>0</v>
      </c>
      <c r="E5694" s="85"/>
      <c r="F5694" s="85">
        <v>15677</v>
      </c>
      <c r="G5694" s="85">
        <v>0</v>
      </c>
      <c r="H5694" s="85">
        <f t="shared" si="89"/>
        <v>15677</v>
      </c>
      <c r="I5694" s="85"/>
      <c r="K5694" s="54" t="s">
        <v>38</v>
      </c>
    </row>
    <row r="5695" spans="2:11" ht="24.75" x14ac:dyDescent="0.2">
      <c r="B5695" s="82" t="s">
        <v>9236</v>
      </c>
      <c r="C5695" s="82" t="s">
        <v>9237</v>
      </c>
      <c r="D5695" s="83">
        <f>SUMIFS(D5696:D6462,K5696:K6462,"0",B5696:B6462,"5 1 3 9 8*")-SUMIFS(E5696:E6462,K5696:K6462,"0",B5696:B6462,"5 1 3 9 8*")</f>
        <v>0</v>
      </c>
      <c r="E5695" s="54"/>
      <c r="F5695" s="83">
        <f>SUMIFS(F5696:F6462,K5696:K6462,"0",B5696:B6462,"5 1 3 9 8*")</f>
        <v>1178084.5599999998</v>
      </c>
      <c r="G5695" s="83">
        <f>SUMIFS(G5696:G6462,K5696:K6462,"0",B5696:B6462,"5 1 3 9 8*")</f>
        <v>0</v>
      </c>
      <c r="H5695" s="83">
        <f t="shared" si="89"/>
        <v>1178084.5599999998</v>
      </c>
      <c r="I5695" s="83"/>
      <c r="K5695" s="54" t="s">
        <v>15</v>
      </c>
    </row>
    <row r="5696" spans="2:11" ht="12.75" x14ac:dyDescent="0.2">
      <c r="B5696" s="82" t="s">
        <v>9238</v>
      </c>
      <c r="C5696" s="82" t="s">
        <v>26</v>
      </c>
      <c r="D5696" s="83">
        <f>SUMIFS(D5697:D6462,K5697:K6462,"0",B5697:B6462,"5 1 3 9 8 12*")-SUMIFS(E5697:E6462,K5697:K6462,"0",B5697:B6462,"5 1 3 9 8 12*")</f>
        <v>0</v>
      </c>
      <c r="E5696" s="54"/>
      <c r="F5696" s="83">
        <f>SUMIFS(F5697:F6462,K5697:K6462,"0",B5697:B6462,"5 1 3 9 8 12*")</f>
        <v>1178084.5599999998</v>
      </c>
      <c r="G5696" s="83">
        <f>SUMIFS(G5697:G6462,K5697:K6462,"0",B5697:B6462,"5 1 3 9 8 12*")</f>
        <v>0</v>
      </c>
      <c r="H5696" s="83">
        <f t="shared" si="89"/>
        <v>1178084.5599999998</v>
      </c>
      <c r="I5696" s="83"/>
      <c r="K5696" s="54" t="s">
        <v>15</v>
      </c>
    </row>
    <row r="5697" spans="2:11" ht="16.5" x14ac:dyDescent="0.2">
      <c r="B5697" s="82" t="s">
        <v>9239</v>
      </c>
      <c r="C5697" s="82" t="s">
        <v>28</v>
      </c>
      <c r="D5697" s="83">
        <f>SUMIFS(D5698:D6462,K5698:K6462,"0",B5698:B6462,"5 1 3 9 8 12 31111*")-SUMIFS(E5698:E6462,K5698:K6462,"0",B5698:B6462,"5 1 3 9 8 12 31111*")</f>
        <v>0</v>
      </c>
      <c r="E5697" s="54"/>
      <c r="F5697" s="83">
        <f>SUMIFS(F5698:F6462,K5698:K6462,"0",B5698:B6462,"5 1 3 9 8 12 31111*")</f>
        <v>1178084.5599999998</v>
      </c>
      <c r="G5697" s="83">
        <f>SUMIFS(G5698:G6462,K5698:K6462,"0",B5698:B6462,"5 1 3 9 8 12 31111*")</f>
        <v>0</v>
      </c>
      <c r="H5697" s="83">
        <f t="shared" si="89"/>
        <v>1178084.5599999998</v>
      </c>
      <c r="I5697" s="83"/>
      <c r="K5697" s="54" t="s">
        <v>15</v>
      </c>
    </row>
    <row r="5698" spans="2:11" ht="12.75" x14ac:dyDescent="0.2">
      <c r="B5698" s="82" t="s">
        <v>9240</v>
      </c>
      <c r="C5698" s="82" t="s">
        <v>30</v>
      </c>
      <c r="D5698" s="83">
        <f>SUMIFS(D5699:D6462,K5699:K6462,"0",B5699:B6462,"5 1 3 9 8 12 31111 6*")-SUMIFS(E5699:E6462,K5699:K6462,"0",B5699:B6462,"5 1 3 9 8 12 31111 6*")</f>
        <v>0</v>
      </c>
      <c r="E5698" s="54"/>
      <c r="F5698" s="83">
        <f>SUMIFS(F5699:F6462,K5699:K6462,"0",B5699:B6462,"5 1 3 9 8 12 31111 6*")</f>
        <v>1178084.5599999998</v>
      </c>
      <c r="G5698" s="83">
        <f>SUMIFS(G5699:G6462,K5699:K6462,"0",B5699:B6462,"5 1 3 9 8 12 31111 6*")</f>
        <v>0</v>
      </c>
      <c r="H5698" s="83">
        <f t="shared" si="89"/>
        <v>1178084.5599999998</v>
      </c>
      <c r="I5698" s="83"/>
      <c r="K5698" s="54" t="s">
        <v>15</v>
      </c>
    </row>
    <row r="5699" spans="2:11" ht="16.5" x14ac:dyDescent="0.2">
      <c r="B5699" s="82" t="s">
        <v>9241</v>
      </c>
      <c r="C5699" s="82" t="s">
        <v>2284</v>
      </c>
      <c r="D5699" s="83">
        <f>SUMIFS(D5700:D6462,K5700:K6462,"0",B5700:B6462,"5 1 3 9 8 12 31111 6 M59*")-SUMIFS(E5700:E6462,K5700:K6462,"0",B5700:B6462,"5 1 3 9 8 12 31111 6 M59*")</f>
        <v>0</v>
      </c>
      <c r="E5699" s="54"/>
      <c r="F5699" s="83">
        <f>SUMIFS(F5700:F6462,K5700:K6462,"0",B5700:B6462,"5 1 3 9 8 12 31111 6 M59*")</f>
        <v>1178084.5599999998</v>
      </c>
      <c r="G5699" s="83">
        <f>SUMIFS(G5700:G6462,K5700:K6462,"0",B5700:B6462,"5 1 3 9 8 12 31111 6 M59*")</f>
        <v>0</v>
      </c>
      <c r="H5699" s="83">
        <f t="shared" si="89"/>
        <v>1178084.5599999998</v>
      </c>
      <c r="I5699" s="83"/>
      <c r="K5699" s="54" t="s">
        <v>15</v>
      </c>
    </row>
    <row r="5700" spans="2:11" ht="16.5" x14ac:dyDescent="0.2">
      <c r="B5700" s="82" t="s">
        <v>9242</v>
      </c>
      <c r="C5700" s="82" t="s">
        <v>1243</v>
      </c>
      <c r="D5700" s="83">
        <f>SUMIFS(D5701:D6462,K5701:K6462,"0",B5701:B6462,"5 1 3 9 8 12 31111 6 M59 10000*")-SUMIFS(E5701:E6462,K5701:K6462,"0",B5701:B6462,"5 1 3 9 8 12 31111 6 M59 10000*")</f>
        <v>0</v>
      </c>
      <c r="E5700" s="54"/>
      <c r="F5700" s="83">
        <f>SUMIFS(F5701:F6462,K5701:K6462,"0",B5701:B6462,"5 1 3 9 8 12 31111 6 M59 10000*")</f>
        <v>21292.73</v>
      </c>
      <c r="G5700" s="83">
        <f>SUMIFS(G5701:G6462,K5701:K6462,"0",B5701:B6462,"5 1 3 9 8 12 31111 6 M59 10000*")</f>
        <v>0</v>
      </c>
      <c r="H5700" s="83">
        <f t="shared" si="89"/>
        <v>21292.73</v>
      </c>
      <c r="I5700" s="83"/>
      <c r="K5700" s="54" t="s">
        <v>15</v>
      </c>
    </row>
    <row r="5701" spans="2:11" ht="16.5" x14ac:dyDescent="0.2">
      <c r="B5701" s="82" t="s">
        <v>9243</v>
      </c>
      <c r="C5701" s="82" t="s">
        <v>648</v>
      </c>
      <c r="D5701" s="83">
        <f>SUMIFS(D5702:D6462,K5702:K6462,"0",B5702:B6462,"5 1 3 9 8 12 31111 6 M59 10000 000132*")-SUMIFS(E5702:E6462,K5702:K6462,"0",B5702:B6462,"5 1 3 9 8 12 31111 6 M59 10000 000132*")</f>
        <v>0</v>
      </c>
      <c r="E5701" s="54"/>
      <c r="F5701" s="83">
        <f>SUMIFS(F5702:F6462,K5702:K6462,"0",B5702:B6462,"5 1 3 9 8 12 31111 6 M59 10000 000132*")</f>
        <v>21292.73</v>
      </c>
      <c r="G5701" s="83">
        <f>SUMIFS(G5702:G6462,K5702:K6462,"0",B5702:B6462,"5 1 3 9 8 12 31111 6 M59 10000 000132*")</f>
        <v>0</v>
      </c>
      <c r="H5701" s="83">
        <f t="shared" si="89"/>
        <v>21292.73</v>
      </c>
      <c r="I5701" s="83"/>
      <c r="K5701" s="54" t="s">
        <v>15</v>
      </c>
    </row>
    <row r="5702" spans="2:11" ht="24.75" x14ac:dyDescent="0.2">
      <c r="B5702" s="82" t="s">
        <v>9244</v>
      </c>
      <c r="C5702" s="82" t="s">
        <v>650</v>
      </c>
      <c r="D5702" s="83">
        <f>SUMIFS(D5703:D6462,K5703:K6462,"0",B5703:B6462,"5 1 3 9 8 12 31111 6 M59 10000 000132 0000R*")-SUMIFS(E5703:E6462,K5703:K6462,"0",B5703:B6462,"5 1 3 9 8 12 31111 6 M59 10000 000132 0000R*")</f>
        <v>0</v>
      </c>
      <c r="E5702" s="54"/>
      <c r="F5702" s="83">
        <f>SUMIFS(F5703:F6462,K5703:K6462,"0",B5703:B6462,"5 1 3 9 8 12 31111 6 M59 10000 000132 0000R*")</f>
        <v>21292.73</v>
      </c>
      <c r="G5702" s="83">
        <f>SUMIFS(G5703:G6462,K5703:K6462,"0",B5703:B6462,"5 1 3 9 8 12 31111 6 M59 10000 000132 0000R*")</f>
        <v>0</v>
      </c>
      <c r="H5702" s="83">
        <f t="shared" si="89"/>
        <v>21292.73</v>
      </c>
      <c r="I5702" s="83"/>
      <c r="K5702" s="54" t="s">
        <v>15</v>
      </c>
    </row>
    <row r="5703" spans="2:11" ht="24.75" x14ac:dyDescent="0.2">
      <c r="B5703" s="82" t="s">
        <v>9245</v>
      </c>
      <c r="C5703" s="82" t="s">
        <v>282</v>
      </c>
      <c r="D5703" s="83">
        <f>SUMIFS(D5704:D6462,K5704:K6462,"0",B5704:B6462,"5 1 3 9 8 12 31111 6 M59 10000 000132 0000R 00001*")-SUMIFS(E5704:E6462,K5704:K6462,"0",B5704:B6462,"5 1 3 9 8 12 31111 6 M59 10000 000132 0000R 00001*")</f>
        <v>0</v>
      </c>
      <c r="E5703" s="54"/>
      <c r="F5703" s="83">
        <f>SUMIFS(F5704:F6462,K5704:K6462,"0",B5704:B6462,"5 1 3 9 8 12 31111 6 M59 10000 000132 0000R 00001*")</f>
        <v>21292.73</v>
      </c>
      <c r="G5703" s="83">
        <f>SUMIFS(G5704:G6462,K5704:K6462,"0",B5704:B6462,"5 1 3 9 8 12 31111 6 M59 10000 000132 0000R 00001*")</f>
        <v>0</v>
      </c>
      <c r="H5703" s="83">
        <f t="shared" si="89"/>
        <v>21292.73</v>
      </c>
      <c r="I5703" s="83"/>
      <c r="K5703" s="54" t="s">
        <v>15</v>
      </c>
    </row>
    <row r="5704" spans="2:11" ht="24.75" x14ac:dyDescent="0.2">
      <c r="B5704" s="82" t="s">
        <v>9246</v>
      </c>
      <c r="C5704" s="82" t="s">
        <v>9247</v>
      </c>
      <c r="D5704" s="83">
        <f>SUMIFS(D5705:D6462,K5705:K6462,"0",B5705:B6462,"5 1 3 9 8 12 31111 6 M59 10000 000132 0000R 00001 00398*")-SUMIFS(E5705:E6462,K5705:K6462,"0",B5705:B6462,"5 1 3 9 8 12 31111 6 M59 10000 000132 0000R 00001 00398*")</f>
        <v>0</v>
      </c>
      <c r="E5704" s="54"/>
      <c r="F5704" s="83">
        <f>SUMIFS(F5705:F6462,K5705:K6462,"0",B5705:B6462,"5 1 3 9 8 12 31111 6 M59 10000 000132 0000R 00001 00398*")</f>
        <v>21292.73</v>
      </c>
      <c r="G5704" s="83">
        <f>SUMIFS(G5705:G6462,K5705:K6462,"0",B5705:B6462,"5 1 3 9 8 12 31111 6 M59 10000 000132 0000R 00001 00398*")</f>
        <v>0</v>
      </c>
      <c r="H5704" s="83">
        <f t="shared" si="89"/>
        <v>21292.73</v>
      </c>
      <c r="I5704" s="83"/>
      <c r="K5704" s="54" t="s">
        <v>15</v>
      </c>
    </row>
    <row r="5705" spans="2:11" ht="33" x14ac:dyDescent="0.2">
      <c r="B5705" s="82" t="s">
        <v>9248</v>
      </c>
      <c r="C5705" s="82" t="s">
        <v>1051</v>
      </c>
      <c r="D5705" s="83">
        <f>SUMIFS(D5706:D6462,K5706:K6462,"0",B5706:B6462,"5 1 3 9 8 12 31111 6 M59 10000 000132 0000R 00001 00398 015*")-SUMIFS(E5706:E6462,K5706:K6462,"0",B5706:B6462,"5 1 3 9 8 12 31111 6 M59 10000 000132 0000R 00001 00398 015*")</f>
        <v>0</v>
      </c>
      <c r="E5705" s="54"/>
      <c r="F5705" s="83">
        <f>SUMIFS(F5706:F6462,K5706:K6462,"0",B5706:B6462,"5 1 3 9 8 12 31111 6 M59 10000 000132 0000R 00001 00398 015*")</f>
        <v>21292.73</v>
      </c>
      <c r="G5705" s="83">
        <f>SUMIFS(G5706:G6462,K5706:K6462,"0",B5706:B6462,"5 1 3 9 8 12 31111 6 M59 10000 000132 0000R 00001 00398 015*")</f>
        <v>0</v>
      </c>
      <c r="H5705" s="83">
        <f t="shared" si="89"/>
        <v>21292.73</v>
      </c>
      <c r="I5705" s="83"/>
      <c r="K5705" s="54" t="s">
        <v>15</v>
      </c>
    </row>
    <row r="5706" spans="2:11" ht="33" x14ac:dyDescent="0.2">
      <c r="B5706" s="82" t="s">
        <v>9249</v>
      </c>
      <c r="C5706" s="82" t="s">
        <v>2927</v>
      </c>
      <c r="D5706" s="83">
        <f>SUMIFS(D5707:D6462,K5707:K6462,"0",B5707:B6462,"5 1 3 9 8 12 31111 6 M59 10000 000132 0000R 00001 00398 015 2111100*")-SUMIFS(E5707:E6462,K5707:K6462,"0",B5707:B6462,"5 1 3 9 8 12 31111 6 M59 10000 000132 0000R 00001 00398 015 2111100*")</f>
        <v>0</v>
      </c>
      <c r="E5706" s="54"/>
      <c r="F5706" s="83">
        <f>SUMIFS(F5707:F6462,K5707:K6462,"0",B5707:B6462,"5 1 3 9 8 12 31111 6 M59 10000 000132 0000R 00001 00398 015 2111100*")</f>
        <v>21292.73</v>
      </c>
      <c r="G5706" s="83">
        <f>SUMIFS(G5707:G6462,K5707:K6462,"0",B5707:B6462,"5 1 3 9 8 12 31111 6 M59 10000 000132 0000R 00001 00398 015 2111100*")</f>
        <v>0</v>
      </c>
      <c r="H5706" s="83">
        <f t="shared" si="89"/>
        <v>21292.73</v>
      </c>
      <c r="I5706" s="83"/>
      <c r="K5706" s="54" t="s">
        <v>15</v>
      </c>
    </row>
    <row r="5707" spans="2:11" ht="33" x14ac:dyDescent="0.2">
      <c r="B5707" s="82" t="s">
        <v>9250</v>
      </c>
      <c r="C5707" s="82" t="s">
        <v>660</v>
      </c>
      <c r="D5707" s="83">
        <f>SUMIFS(D5708:D6462,K5708:K6462,"0",B5708:B6462,"5 1 3 9 8 12 31111 6 M59 10000 000132 0000R 00001 00398 015 2111100 2024*")-SUMIFS(E5708:E6462,K5708:K6462,"0",B5708:B6462,"5 1 3 9 8 12 31111 6 M59 10000 000132 0000R 00001 00398 015 2111100 2024*")</f>
        <v>0</v>
      </c>
      <c r="E5707" s="54"/>
      <c r="F5707" s="83">
        <f>SUMIFS(F5708:F6462,K5708:K6462,"0",B5708:B6462,"5 1 3 9 8 12 31111 6 M59 10000 000132 0000R 00001 00398 015 2111100 2024*")</f>
        <v>21292.73</v>
      </c>
      <c r="G5707" s="83">
        <f>SUMIFS(G5708:G6462,K5708:K6462,"0",B5708:B6462,"5 1 3 9 8 12 31111 6 M59 10000 000132 0000R 00001 00398 015 2111100 2024*")</f>
        <v>0</v>
      </c>
      <c r="H5707" s="83">
        <f t="shared" si="89"/>
        <v>21292.73</v>
      </c>
      <c r="I5707" s="83"/>
      <c r="K5707" s="54" t="s">
        <v>15</v>
      </c>
    </row>
    <row r="5708" spans="2:11" ht="41.25" x14ac:dyDescent="0.2">
      <c r="B5708" s="82" t="s">
        <v>9251</v>
      </c>
      <c r="C5708" s="82" t="s">
        <v>662</v>
      </c>
      <c r="D5708" s="83">
        <f>SUMIFS(D5709:D6462,K5709:K6462,"0",B5709:B6462,"5 1 3 9 8 12 31111 6 M59 10000 000132 0000R 00001 00398 015 2111100 2024 CP1PM439*")-SUMIFS(E5709:E6462,K5709:K6462,"0",B5709:B6462,"5 1 3 9 8 12 31111 6 M59 10000 000132 0000R 00001 00398 015 2111100 2024 CP1PM439*")</f>
        <v>0</v>
      </c>
      <c r="E5708" s="54"/>
      <c r="F5708" s="83">
        <f>SUMIFS(F5709:F6462,K5709:K6462,"0",B5709:B6462,"5 1 3 9 8 12 31111 6 M59 10000 000132 0000R 00001 00398 015 2111100 2024 CP1PM439*")</f>
        <v>21292.73</v>
      </c>
      <c r="G5708" s="83">
        <f>SUMIFS(G5709:G6462,K5709:K6462,"0",B5709:B6462,"5 1 3 9 8 12 31111 6 M59 10000 000132 0000R 00001 00398 015 2111100 2024 CP1PM439*")</f>
        <v>0</v>
      </c>
      <c r="H5708" s="83">
        <f t="shared" si="89"/>
        <v>21292.73</v>
      </c>
      <c r="I5708" s="83"/>
      <c r="K5708" s="54" t="s">
        <v>15</v>
      </c>
    </row>
    <row r="5709" spans="2:11" ht="41.25" x14ac:dyDescent="0.2">
      <c r="B5709" s="82" t="s">
        <v>9252</v>
      </c>
      <c r="C5709" s="82" t="s">
        <v>282</v>
      </c>
      <c r="D5709" s="83">
        <f>SUMIFS(D5710:D6462,K5710:K6462,"0",B5710:B6462,"5 1 3 9 8 12 31111 6 M59 10000 000132 0000R 00001 00398 015 2111100 2024 CP1PM439 001*")-SUMIFS(E5710:E6462,K5710:K6462,"0",B5710:B6462,"5 1 3 9 8 12 31111 6 M59 10000 000132 0000R 00001 00398 015 2111100 2024 CP1PM439 001*")</f>
        <v>0</v>
      </c>
      <c r="E5709" s="54"/>
      <c r="F5709" s="83">
        <f>SUMIFS(F5710:F6462,K5710:K6462,"0",B5710:B6462,"5 1 3 9 8 12 31111 6 M59 10000 000132 0000R 00001 00398 015 2111100 2024 CP1PM439 001*")</f>
        <v>21292.73</v>
      </c>
      <c r="G5709" s="83">
        <f>SUMIFS(G5710:G6462,K5710:K6462,"0",B5710:B6462,"5 1 3 9 8 12 31111 6 M59 10000 000132 0000R 00001 00398 015 2111100 2024 CP1PM439 001*")</f>
        <v>0</v>
      </c>
      <c r="H5709" s="83">
        <f t="shared" si="89"/>
        <v>21292.73</v>
      </c>
      <c r="I5709" s="83"/>
      <c r="K5709" s="54" t="s">
        <v>15</v>
      </c>
    </row>
    <row r="5710" spans="2:11" ht="33" x14ac:dyDescent="0.2">
      <c r="B5710" s="84" t="s">
        <v>9253</v>
      </c>
      <c r="C5710" s="84" t="s">
        <v>9254</v>
      </c>
      <c r="D5710" s="85">
        <v>0</v>
      </c>
      <c r="E5710" s="85"/>
      <c r="F5710" s="85">
        <v>21292.73</v>
      </c>
      <c r="G5710" s="85">
        <v>0</v>
      </c>
      <c r="H5710" s="85">
        <f t="shared" si="89"/>
        <v>21292.73</v>
      </c>
      <c r="I5710" s="85"/>
      <c r="K5710" s="54" t="s">
        <v>38</v>
      </c>
    </row>
    <row r="5711" spans="2:11" ht="16.5" x14ac:dyDescent="0.2">
      <c r="B5711" s="82" t="s">
        <v>9255</v>
      </c>
      <c r="C5711" s="82" t="s">
        <v>2934</v>
      </c>
      <c r="D5711" s="83">
        <f>SUMIFS(D5712:D6462,K5712:K6462,"0",B5712:B6462,"5 1 3 9 8 12 31111 6 M59 10100*")-SUMIFS(E5712:E6462,K5712:K6462,"0",B5712:B6462,"5 1 3 9 8 12 31111 6 M59 10100*")</f>
        <v>0</v>
      </c>
      <c r="E5711" s="54"/>
      <c r="F5711" s="83">
        <f>SUMIFS(F5712:F6462,K5712:K6462,"0",B5712:B6462,"5 1 3 9 8 12 31111 6 M59 10100*")</f>
        <v>21013.8</v>
      </c>
      <c r="G5711" s="83">
        <f>SUMIFS(G5712:G6462,K5712:K6462,"0",B5712:B6462,"5 1 3 9 8 12 31111 6 M59 10100*")</f>
        <v>0</v>
      </c>
      <c r="H5711" s="83">
        <f t="shared" si="89"/>
        <v>21013.8</v>
      </c>
      <c r="I5711" s="83"/>
      <c r="K5711" s="54" t="s">
        <v>15</v>
      </c>
    </row>
    <row r="5712" spans="2:11" ht="16.5" x14ac:dyDescent="0.2">
      <c r="B5712" s="82" t="s">
        <v>9256</v>
      </c>
      <c r="C5712" s="82" t="s">
        <v>648</v>
      </c>
      <c r="D5712" s="83">
        <f>SUMIFS(D5713:D6462,K5713:K6462,"0",B5713:B6462,"5 1 3 9 8 12 31111 6 M59 10100 000132*")-SUMIFS(E5713:E6462,K5713:K6462,"0",B5713:B6462,"5 1 3 9 8 12 31111 6 M59 10100 000132*")</f>
        <v>0</v>
      </c>
      <c r="E5712" s="54"/>
      <c r="F5712" s="83">
        <f>SUMIFS(F5713:F6462,K5713:K6462,"0",B5713:B6462,"5 1 3 9 8 12 31111 6 M59 10100 000132*")</f>
        <v>21013.8</v>
      </c>
      <c r="G5712" s="83">
        <f>SUMIFS(G5713:G6462,K5713:K6462,"0",B5713:B6462,"5 1 3 9 8 12 31111 6 M59 10100 000132*")</f>
        <v>0</v>
      </c>
      <c r="H5712" s="83">
        <f t="shared" si="89"/>
        <v>21013.8</v>
      </c>
      <c r="I5712" s="83"/>
      <c r="K5712" s="54" t="s">
        <v>15</v>
      </c>
    </row>
    <row r="5713" spans="2:11" ht="24.75" x14ac:dyDescent="0.2">
      <c r="B5713" s="82" t="s">
        <v>9257</v>
      </c>
      <c r="C5713" s="82" t="s">
        <v>650</v>
      </c>
      <c r="D5713" s="83">
        <f>SUMIFS(D5714:D6462,K5714:K6462,"0",B5714:B6462,"5 1 3 9 8 12 31111 6 M59 10100 000132 0000R*")-SUMIFS(E5714:E6462,K5714:K6462,"0",B5714:B6462,"5 1 3 9 8 12 31111 6 M59 10100 000132 0000R*")</f>
        <v>0</v>
      </c>
      <c r="E5713" s="54"/>
      <c r="F5713" s="83">
        <f>SUMIFS(F5714:F6462,K5714:K6462,"0",B5714:B6462,"5 1 3 9 8 12 31111 6 M59 10100 000132 0000R*")</f>
        <v>21013.8</v>
      </c>
      <c r="G5713" s="83">
        <f>SUMIFS(G5714:G6462,K5714:K6462,"0",B5714:B6462,"5 1 3 9 8 12 31111 6 M59 10100 000132 0000R*")</f>
        <v>0</v>
      </c>
      <c r="H5713" s="83">
        <f t="shared" si="89"/>
        <v>21013.8</v>
      </c>
      <c r="I5713" s="83"/>
      <c r="K5713" s="54" t="s">
        <v>15</v>
      </c>
    </row>
    <row r="5714" spans="2:11" ht="24.75" x14ac:dyDescent="0.2">
      <c r="B5714" s="82" t="s">
        <v>9258</v>
      </c>
      <c r="C5714" s="82" t="s">
        <v>282</v>
      </c>
      <c r="D5714" s="83">
        <f>SUMIFS(D5715:D6462,K5715:K6462,"0",B5715:B6462,"5 1 3 9 8 12 31111 6 M59 10100 000132 0000R 00001*")-SUMIFS(E5715:E6462,K5715:K6462,"0",B5715:B6462,"5 1 3 9 8 12 31111 6 M59 10100 000132 0000R 00001*")</f>
        <v>0</v>
      </c>
      <c r="E5714" s="54"/>
      <c r="F5714" s="83">
        <f>SUMIFS(F5715:F6462,K5715:K6462,"0",B5715:B6462,"5 1 3 9 8 12 31111 6 M59 10100 000132 0000R 00001*")</f>
        <v>21013.8</v>
      </c>
      <c r="G5714" s="83">
        <f>SUMIFS(G5715:G6462,K5715:K6462,"0",B5715:B6462,"5 1 3 9 8 12 31111 6 M59 10100 000132 0000R 00001*")</f>
        <v>0</v>
      </c>
      <c r="H5714" s="83">
        <f t="shared" si="89"/>
        <v>21013.8</v>
      </c>
      <c r="I5714" s="83"/>
      <c r="K5714" s="54" t="s">
        <v>15</v>
      </c>
    </row>
    <row r="5715" spans="2:11" ht="24.75" x14ac:dyDescent="0.2">
      <c r="B5715" s="82" t="s">
        <v>9259</v>
      </c>
      <c r="C5715" s="82" t="s">
        <v>9247</v>
      </c>
      <c r="D5715" s="83">
        <f>SUMIFS(D5716:D6462,K5716:K6462,"0",B5716:B6462,"5 1 3 9 8 12 31111 6 M59 10100 000132 0000R 00001 00398*")-SUMIFS(E5716:E6462,K5716:K6462,"0",B5716:B6462,"5 1 3 9 8 12 31111 6 M59 10100 000132 0000R 00001 00398*")</f>
        <v>0</v>
      </c>
      <c r="E5715" s="54"/>
      <c r="F5715" s="83">
        <f>SUMIFS(F5716:F6462,K5716:K6462,"0",B5716:B6462,"5 1 3 9 8 12 31111 6 M59 10100 000132 0000R 00001 00398*")</f>
        <v>21013.8</v>
      </c>
      <c r="G5715" s="83">
        <f>SUMIFS(G5716:G6462,K5716:K6462,"0",B5716:B6462,"5 1 3 9 8 12 31111 6 M59 10100 000132 0000R 00001 00398*")</f>
        <v>0</v>
      </c>
      <c r="H5715" s="83">
        <f t="shared" si="89"/>
        <v>21013.8</v>
      </c>
      <c r="I5715" s="83"/>
      <c r="K5715" s="54" t="s">
        <v>15</v>
      </c>
    </row>
    <row r="5716" spans="2:11" ht="33" x14ac:dyDescent="0.2">
      <c r="B5716" s="82" t="s">
        <v>9260</v>
      </c>
      <c r="C5716" s="82" t="s">
        <v>1051</v>
      </c>
      <c r="D5716" s="83">
        <f>SUMIFS(D5717:D6462,K5717:K6462,"0",B5717:B6462,"5 1 3 9 8 12 31111 6 M59 10100 000132 0000R 00001 00398 015*")-SUMIFS(E5717:E6462,K5717:K6462,"0",B5717:B6462,"5 1 3 9 8 12 31111 6 M59 10100 000132 0000R 00001 00398 015*")</f>
        <v>0</v>
      </c>
      <c r="E5716" s="54"/>
      <c r="F5716" s="83">
        <f>SUMIFS(F5717:F6462,K5717:K6462,"0",B5717:B6462,"5 1 3 9 8 12 31111 6 M59 10100 000132 0000R 00001 00398 015*")</f>
        <v>21013.8</v>
      </c>
      <c r="G5716" s="83">
        <f>SUMIFS(G5717:G6462,K5717:K6462,"0",B5717:B6462,"5 1 3 9 8 12 31111 6 M59 10100 000132 0000R 00001 00398 015*")</f>
        <v>0</v>
      </c>
      <c r="H5716" s="83">
        <f t="shared" si="89"/>
        <v>21013.8</v>
      </c>
      <c r="I5716" s="83"/>
      <c r="K5716" s="54" t="s">
        <v>15</v>
      </c>
    </row>
    <row r="5717" spans="2:11" ht="33" x14ac:dyDescent="0.2">
      <c r="B5717" s="82" t="s">
        <v>9261</v>
      </c>
      <c r="C5717" s="82" t="s">
        <v>8550</v>
      </c>
      <c r="D5717" s="83">
        <f>SUMIFS(D5718:D6462,K5718:K6462,"0",B5718:B6462,"5 1 3 9 8 12 31111 6 M59 10100 000132 0000R 00001 00398 015 2111300*")-SUMIFS(E5718:E6462,K5718:K6462,"0",B5718:B6462,"5 1 3 9 8 12 31111 6 M59 10100 000132 0000R 00001 00398 015 2111300*")</f>
        <v>0</v>
      </c>
      <c r="E5717" s="54"/>
      <c r="F5717" s="83">
        <f>SUMIFS(F5718:F6462,K5718:K6462,"0",B5718:B6462,"5 1 3 9 8 12 31111 6 M59 10100 000132 0000R 00001 00398 015 2111300*")</f>
        <v>21013.8</v>
      </c>
      <c r="G5717" s="83">
        <f>SUMIFS(G5718:G6462,K5718:K6462,"0",B5718:B6462,"5 1 3 9 8 12 31111 6 M59 10100 000132 0000R 00001 00398 015 2111300*")</f>
        <v>0</v>
      </c>
      <c r="H5717" s="83">
        <f t="shared" si="89"/>
        <v>21013.8</v>
      </c>
      <c r="I5717" s="83"/>
      <c r="K5717" s="54" t="s">
        <v>15</v>
      </c>
    </row>
    <row r="5718" spans="2:11" ht="33" x14ac:dyDescent="0.2">
      <c r="B5718" s="82" t="s">
        <v>9262</v>
      </c>
      <c r="C5718" s="82" t="s">
        <v>660</v>
      </c>
      <c r="D5718" s="83">
        <f>SUMIFS(D5719:D6462,K5719:K6462,"0",B5719:B6462,"5 1 3 9 8 12 31111 6 M59 10100 000132 0000R 00001 00398 015 2111300 2024*")-SUMIFS(E5719:E6462,K5719:K6462,"0",B5719:B6462,"5 1 3 9 8 12 31111 6 M59 10100 000132 0000R 00001 00398 015 2111300 2024*")</f>
        <v>0</v>
      </c>
      <c r="E5718" s="54"/>
      <c r="F5718" s="83">
        <f>SUMIFS(F5719:F6462,K5719:K6462,"0",B5719:B6462,"5 1 3 9 8 12 31111 6 M59 10100 000132 0000R 00001 00398 015 2111300 2024*")</f>
        <v>21013.8</v>
      </c>
      <c r="G5718" s="83">
        <f>SUMIFS(G5719:G6462,K5719:K6462,"0",B5719:B6462,"5 1 3 9 8 12 31111 6 M59 10100 000132 0000R 00001 00398 015 2111300 2024*")</f>
        <v>0</v>
      </c>
      <c r="H5718" s="83">
        <f t="shared" si="89"/>
        <v>21013.8</v>
      </c>
      <c r="I5718" s="83"/>
      <c r="K5718" s="54" t="s">
        <v>15</v>
      </c>
    </row>
    <row r="5719" spans="2:11" ht="41.25" x14ac:dyDescent="0.2">
      <c r="B5719" s="82" t="s">
        <v>9263</v>
      </c>
      <c r="C5719" s="82" t="s">
        <v>1056</v>
      </c>
      <c r="D5719" s="83">
        <f>SUMIFS(D5720:D6462,K5720:K6462,"0",B5720:B6462,"5 1 3 9 8 12 31111 6 M59 10100 000132 0000R 00001 00398 015 2111300 2024 CP1CO438*")-SUMIFS(E5720:E6462,K5720:K6462,"0",B5720:B6462,"5 1 3 9 8 12 31111 6 M59 10100 000132 0000R 00001 00398 015 2111300 2024 CP1CO438*")</f>
        <v>0</v>
      </c>
      <c r="E5719" s="54"/>
      <c r="F5719" s="83">
        <f>SUMIFS(F5720:F6462,K5720:K6462,"0",B5720:B6462,"5 1 3 9 8 12 31111 6 M59 10100 000132 0000R 00001 00398 015 2111300 2024 CP1CO438*")</f>
        <v>21013.8</v>
      </c>
      <c r="G5719" s="83">
        <f>SUMIFS(G5720:G6462,K5720:K6462,"0",B5720:B6462,"5 1 3 9 8 12 31111 6 M59 10100 000132 0000R 00001 00398 015 2111300 2024 CP1CO438*")</f>
        <v>0</v>
      </c>
      <c r="H5719" s="83">
        <f t="shared" si="89"/>
        <v>21013.8</v>
      </c>
      <c r="I5719" s="83"/>
      <c r="K5719" s="54" t="s">
        <v>15</v>
      </c>
    </row>
    <row r="5720" spans="2:11" ht="41.25" x14ac:dyDescent="0.2">
      <c r="B5720" s="82" t="s">
        <v>9264</v>
      </c>
      <c r="C5720" s="82" t="s">
        <v>282</v>
      </c>
      <c r="D5720" s="83">
        <f>SUMIFS(D5721:D6462,K5721:K6462,"0",B5721:B6462,"5 1 3 9 8 12 31111 6 M59 10100 000132 0000R 00001 00398 015 2111300 2024 CP1CO438 001*")-SUMIFS(E5721:E6462,K5721:K6462,"0",B5721:B6462,"5 1 3 9 8 12 31111 6 M59 10100 000132 0000R 00001 00398 015 2111300 2024 CP1CO438 001*")</f>
        <v>0</v>
      </c>
      <c r="E5720" s="54"/>
      <c r="F5720" s="83">
        <f>SUMIFS(F5721:F6462,K5721:K6462,"0",B5721:B6462,"5 1 3 9 8 12 31111 6 M59 10100 000132 0000R 00001 00398 015 2111300 2024 CP1CO438 001*")</f>
        <v>21013.8</v>
      </c>
      <c r="G5720" s="83">
        <f>SUMIFS(G5721:G6462,K5721:K6462,"0",B5721:B6462,"5 1 3 9 8 12 31111 6 M59 10100 000132 0000R 00001 00398 015 2111300 2024 CP1CO438 001*")</f>
        <v>0</v>
      </c>
      <c r="H5720" s="83">
        <f t="shared" si="89"/>
        <v>21013.8</v>
      </c>
      <c r="I5720" s="83"/>
      <c r="K5720" s="54" t="s">
        <v>15</v>
      </c>
    </row>
    <row r="5721" spans="2:11" ht="33" x14ac:dyDescent="0.2">
      <c r="B5721" s="84" t="s">
        <v>9265</v>
      </c>
      <c r="C5721" s="84" t="s">
        <v>9254</v>
      </c>
      <c r="D5721" s="85">
        <v>0</v>
      </c>
      <c r="E5721" s="85"/>
      <c r="F5721" s="85">
        <v>21013.8</v>
      </c>
      <c r="G5721" s="85">
        <v>0</v>
      </c>
      <c r="H5721" s="85">
        <f t="shared" si="89"/>
        <v>21013.8</v>
      </c>
      <c r="I5721" s="85"/>
      <c r="K5721" s="54" t="s">
        <v>38</v>
      </c>
    </row>
    <row r="5722" spans="2:11" ht="16.5" x14ac:dyDescent="0.2">
      <c r="B5722" s="82" t="s">
        <v>9266</v>
      </c>
      <c r="C5722" s="82" t="s">
        <v>2946</v>
      </c>
      <c r="D5722" s="83">
        <f>SUMIFS(D5723:D6462,K5723:K6462,"0",B5723:B6462,"5 1 3 9 8 12 31111 6 M59 10300*")-SUMIFS(E5723:E6462,K5723:K6462,"0",B5723:B6462,"5 1 3 9 8 12 31111 6 M59 10300*")</f>
        <v>0</v>
      </c>
      <c r="E5722" s="54"/>
      <c r="F5722" s="83">
        <f>SUMIFS(F5723:F6462,K5723:K6462,"0",B5723:B6462,"5 1 3 9 8 12 31111 6 M59 10300*")</f>
        <v>16447.060000000001</v>
      </c>
      <c r="G5722" s="83">
        <f>SUMIFS(G5723:G6462,K5723:K6462,"0",B5723:B6462,"5 1 3 9 8 12 31111 6 M59 10300*")</f>
        <v>0</v>
      </c>
      <c r="H5722" s="83">
        <f t="shared" si="89"/>
        <v>16447.060000000001</v>
      </c>
      <c r="I5722" s="83"/>
      <c r="K5722" s="54" t="s">
        <v>15</v>
      </c>
    </row>
    <row r="5723" spans="2:11" ht="16.5" x14ac:dyDescent="0.2">
      <c r="B5723" s="82" t="s">
        <v>9267</v>
      </c>
      <c r="C5723" s="82" t="s">
        <v>648</v>
      </c>
      <c r="D5723" s="83">
        <f>SUMIFS(D5724:D6462,K5724:K6462,"0",B5724:B6462,"5 1 3 9 8 12 31111 6 M59 10300 000132*")-SUMIFS(E5724:E6462,K5724:K6462,"0",B5724:B6462,"5 1 3 9 8 12 31111 6 M59 10300 000132*")</f>
        <v>0</v>
      </c>
      <c r="E5723" s="54"/>
      <c r="F5723" s="83">
        <f>SUMIFS(F5724:F6462,K5724:K6462,"0",B5724:B6462,"5 1 3 9 8 12 31111 6 M59 10300 000132*")</f>
        <v>16447.060000000001</v>
      </c>
      <c r="G5723" s="83">
        <f>SUMIFS(G5724:G6462,K5724:K6462,"0",B5724:B6462,"5 1 3 9 8 12 31111 6 M59 10300 000132*")</f>
        <v>0</v>
      </c>
      <c r="H5723" s="83">
        <f t="shared" si="89"/>
        <v>16447.060000000001</v>
      </c>
      <c r="I5723" s="83"/>
      <c r="K5723" s="54" t="s">
        <v>15</v>
      </c>
    </row>
    <row r="5724" spans="2:11" ht="24.75" x14ac:dyDescent="0.2">
      <c r="B5724" s="82" t="s">
        <v>9268</v>
      </c>
      <c r="C5724" s="82" t="s">
        <v>650</v>
      </c>
      <c r="D5724" s="83">
        <f>SUMIFS(D5725:D6462,K5725:K6462,"0",B5725:B6462,"5 1 3 9 8 12 31111 6 M59 10300 000132 0000R*")-SUMIFS(E5725:E6462,K5725:K6462,"0",B5725:B6462,"5 1 3 9 8 12 31111 6 M59 10300 000132 0000R*")</f>
        <v>0</v>
      </c>
      <c r="E5724" s="54"/>
      <c r="F5724" s="83">
        <f>SUMIFS(F5725:F6462,K5725:K6462,"0",B5725:B6462,"5 1 3 9 8 12 31111 6 M59 10300 000132 0000R*")</f>
        <v>16447.060000000001</v>
      </c>
      <c r="G5724" s="83">
        <f>SUMIFS(G5725:G6462,K5725:K6462,"0",B5725:B6462,"5 1 3 9 8 12 31111 6 M59 10300 000132 0000R*")</f>
        <v>0</v>
      </c>
      <c r="H5724" s="83">
        <f t="shared" si="89"/>
        <v>16447.060000000001</v>
      </c>
      <c r="I5724" s="83"/>
      <c r="K5724" s="54" t="s">
        <v>15</v>
      </c>
    </row>
    <row r="5725" spans="2:11" ht="24.75" x14ac:dyDescent="0.2">
      <c r="B5725" s="82" t="s">
        <v>9269</v>
      </c>
      <c r="C5725" s="82" t="s">
        <v>282</v>
      </c>
      <c r="D5725" s="83">
        <f>SUMIFS(D5726:D6462,K5726:K6462,"0",B5726:B6462,"5 1 3 9 8 12 31111 6 M59 10300 000132 0000R 00001*")-SUMIFS(E5726:E6462,K5726:K6462,"0",B5726:B6462,"5 1 3 9 8 12 31111 6 M59 10300 000132 0000R 00001*")</f>
        <v>0</v>
      </c>
      <c r="E5725" s="54"/>
      <c r="F5725" s="83">
        <f>SUMIFS(F5726:F6462,K5726:K6462,"0",B5726:B6462,"5 1 3 9 8 12 31111 6 M59 10300 000132 0000R 00001*")</f>
        <v>16447.060000000001</v>
      </c>
      <c r="G5725" s="83">
        <f>SUMIFS(G5726:G6462,K5726:K6462,"0",B5726:B6462,"5 1 3 9 8 12 31111 6 M59 10300 000132 0000R 00001*")</f>
        <v>0</v>
      </c>
      <c r="H5725" s="83">
        <f t="shared" si="89"/>
        <v>16447.060000000001</v>
      </c>
      <c r="I5725" s="83"/>
      <c r="K5725" s="54" t="s">
        <v>15</v>
      </c>
    </row>
    <row r="5726" spans="2:11" ht="24.75" x14ac:dyDescent="0.2">
      <c r="B5726" s="82" t="s">
        <v>9270</v>
      </c>
      <c r="C5726" s="82" t="s">
        <v>9247</v>
      </c>
      <c r="D5726" s="83">
        <f>SUMIFS(D5727:D6462,K5727:K6462,"0",B5727:B6462,"5 1 3 9 8 12 31111 6 M59 10300 000132 0000R 00001 00398*")-SUMIFS(E5727:E6462,K5727:K6462,"0",B5727:B6462,"5 1 3 9 8 12 31111 6 M59 10300 000132 0000R 00001 00398*")</f>
        <v>0</v>
      </c>
      <c r="E5726" s="54"/>
      <c r="F5726" s="83">
        <f>SUMIFS(F5727:F6462,K5727:K6462,"0",B5727:B6462,"5 1 3 9 8 12 31111 6 M59 10300 000132 0000R 00001 00398*")</f>
        <v>16447.060000000001</v>
      </c>
      <c r="G5726" s="83">
        <f>SUMIFS(G5727:G6462,K5727:K6462,"0",B5727:B6462,"5 1 3 9 8 12 31111 6 M59 10300 000132 0000R 00001 00398*")</f>
        <v>0</v>
      </c>
      <c r="H5726" s="83">
        <f t="shared" si="89"/>
        <v>16447.060000000001</v>
      </c>
      <c r="I5726" s="83"/>
      <c r="K5726" s="54" t="s">
        <v>15</v>
      </c>
    </row>
    <row r="5727" spans="2:11" ht="33" x14ac:dyDescent="0.2">
      <c r="B5727" s="82" t="s">
        <v>9271</v>
      </c>
      <c r="C5727" s="82" t="s">
        <v>1051</v>
      </c>
      <c r="D5727" s="83">
        <f>SUMIFS(D5728:D6462,K5728:K6462,"0",B5728:B6462,"5 1 3 9 8 12 31111 6 M59 10300 000132 0000R 00001 00398 015*")-SUMIFS(E5728:E6462,K5728:K6462,"0",B5728:B6462,"5 1 3 9 8 12 31111 6 M59 10300 000132 0000R 00001 00398 015*")</f>
        <v>0</v>
      </c>
      <c r="E5727" s="54"/>
      <c r="F5727" s="83">
        <f>SUMIFS(F5728:F6462,K5728:K6462,"0",B5728:B6462,"5 1 3 9 8 12 31111 6 M59 10300 000132 0000R 00001 00398 015*")</f>
        <v>16447.060000000001</v>
      </c>
      <c r="G5727" s="83">
        <f>SUMIFS(G5728:G6462,K5728:K6462,"0",B5728:B6462,"5 1 3 9 8 12 31111 6 M59 10300 000132 0000R 00001 00398 015*")</f>
        <v>0</v>
      </c>
      <c r="H5727" s="83">
        <f t="shared" si="89"/>
        <v>16447.060000000001</v>
      </c>
      <c r="I5727" s="83"/>
      <c r="K5727" s="54" t="s">
        <v>15</v>
      </c>
    </row>
    <row r="5728" spans="2:11" ht="33" x14ac:dyDescent="0.2">
      <c r="B5728" s="82" t="s">
        <v>9272</v>
      </c>
      <c r="C5728" s="82" t="s">
        <v>8550</v>
      </c>
      <c r="D5728" s="83">
        <f>SUMIFS(D5729:D6462,K5729:K6462,"0",B5729:B6462,"5 1 3 9 8 12 31111 6 M59 10300 000132 0000R 00001 00398 015 2111300*")-SUMIFS(E5729:E6462,K5729:K6462,"0",B5729:B6462,"5 1 3 9 8 12 31111 6 M59 10300 000132 0000R 00001 00398 015 2111300*")</f>
        <v>0</v>
      </c>
      <c r="E5728" s="54"/>
      <c r="F5728" s="83">
        <f>SUMIFS(F5729:F6462,K5729:K6462,"0",B5729:B6462,"5 1 3 9 8 12 31111 6 M59 10300 000132 0000R 00001 00398 015 2111300*")</f>
        <v>16447.060000000001</v>
      </c>
      <c r="G5728" s="83">
        <f>SUMIFS(G5729:G6462,K5729:K6462,"0",B5729:B6462,"5 1 3 9 8 12 31111 6 M59 10300 000132 0000R 00001 00398 015 2111300*")</f>
        <v>0</v>
      </c>
      <c r="H5728" s="83">
        <f t="shared" si="89"/>
        <v>16447.060000000001</v>
      </c>
      <c r="I5728" s="83"/>
      <c r="K5728" s="54" t="s">
        <v>15</v>
      </c>
    </row>
    <row r="5729" spans="2:11" ht="33" x14ac:dyDescent="0.2">
      <c r="B5729" s="82" t="s">
        <v>9273</v>
      </c>
      <c r="C5729" s="82" t="s">
        <v>660</v>
      </c>
      <c r="D5729" s="83">
        <f>SUMIFS(D5730:D6462,K5730:K6462,"0",B5730:B6462,"5 1 3 9 8 12 31111 6 M59 10300 000132 0000R 00001 00398 015 2111300 2024*")-SUMIFS(E5730:E6462,K5730:K6462,"0",B5730:B6462,"5 1 3 9 8 12 31111 6 M59 10300 000132 0000R 00001 00398 015 2111300 2024*")</f>
        <v>0</v>
      </c>
      <c r="E5729" s="54"/>
      <c r="F5729" s="83">
        <f>SUMIFS(F5730:F6462,K5730:K6462,"0",B5730:B6462,"5 1 3 9 8 12 31111 6 M59 10300 000132 0000R 00001 00398 015 2111300 2024*")</f>
        <v>16447.060000000001</v>
      </c>
      <c r="G5729" s="83">
        <f>SUMIFS(G5730:G6462,K5730:K6462,"0",B5730:B6462,"5 1 3 9 8 12 31111 6 M59 10300 000132 0000R 00001 00398 015 2111300 2024*")</f>
        <v>0</v>
      </c>
      <c r="H5729" s="83">
        <f t="shared" si="89"/>
        <v>16447.060000000001</v>
      </c>
      <c r="I5729" s="83"/>
      <c r="K5729" s="54" t="s">
        <v>15</v>
      </c>
    </row>
    <row r="5730" spans="2:11" ht="41.25" x14ac:dyDescent="0.2">
      <c r="B5730" s="82" t="s">
        <v>9274</v>
      </c>
      <c r="C5730" s="82" t="s">
        <v>2955</v>
      </c>
      <c r="D5730" s="83">
        <f>SUMIFS(D5731:D6462,K5731:K6462,"0",B5731:B6462,"5 1 3 9 8 12 31111 6 M59 10300 000132 0000R 00001 00398 015 2111300 2024 CP1GE413*")-SUMIFS(E5731:E6462,K5731:K6462,"0",B5731:B6462,"5 1 3 9 8 12 31111 6 M59 10300 000132 0000R 00001 00398 015 2111300 2024 CP1GE413*")</f>
        <v>0</v>
      </c>
      <c r="E5730" s="54"/>
      <c r="F5730" s="83">
        <f>SUMIFS(F5731:F6462,K5731:K6462,"0",B5731:B6462,"5 1 3 9 8 12 31111 6 M59 10300 000132 0000R 00001 00398 015 2111300 2024 CP1GE413*")</f>
        <v>16447.060000000001</v>
      </c>
      <c r="G5730" s="83">
        <f>SUMIFS(G5731:G6462,K5731:K6462,"0",B5731:B6462,"5 1 3 9 8 12 31111 6 M59 10300 000132 0000R 00001 00398 015 2111300 2024 CP1GE413*")</f>
        <v>0</v>
      </c>
      <c r="H5730" s="83">
        <f t="shared" si="89"/>
        <v>16447.060000000001</v>
      </c>
      <c r="I5730" s="83"/>
      <c r="K5730" s="54" t="s">
        <v>15</v>
      </c>
    </row>
    <row r="5731" spans="2:11" ht="41.25" x14ac:dyDescent="0.2">
      <c r="B5731" s="82" t="s">
        <v>9275</v>
      </c>
      <c r="C5731" s="82" t="s">
        <v>282</v>
      </c>
      <c r="D5731" s="83">
        <f>SUMIFS(D5732:D6462,K5732:K6462,"0",B5732:B6462,"5 1 3 9 8 12 31111 6 M59 10300 000132 0000R 00001 00398 015 2111300 2024 CP1GE413 001*")-SUMIFS(E5732:E6462,K5732:K6462,"0",B5732:B6462,"5 1 3 9 8 12 31111 6 M59 10300 000132 0000R 00001 00398 015 2111300 2024 CP1GE413 001*")</f>
        <v>0</v>
      </c>
      <c r="E5731" s="54"/>
      <c r="F5731" s="83">
        <f>SUMIFS(F5732:F6462,K5732:K6462,"0",B5732:B6462,"5 1 3 9 8 12 31111 6 M59 10300 000132 0000R 00001 00398 015 2111300 2024 CP1GE413 001*")</f>
        <v>16447.060000000001</v>
      </c>
      <c r="G5731" s="83">
        <f>SUMIFS(G5732:G6462,K5732:K6462,"0",B5732:B6462,"5 1 3 9 8 12 31111 6 M59 10300 000132 0000R 00001 00398 015 2111300 2024 CP1GE413 001*")</f>
        <v>0</v>
      </c>
      <c r="H5731" s="83">
        <f t="shared" si="89"/>
        <v>16447.060000000001</v>
      </c>
      <c r="I5731" s="83"/>
      <c r="K5731" s="54" t="s">
        <v>15</v>
      </c>
    </row>
    <row r="5732" spans="2:11" ht="33" x14ac:dyDescent="0.2">
      <c r="B5732" s="84" t="s">
        <v>9276</v>
      </c>
      <c r="C5732" s="84" t="s">
        <v>9254</v>
      </c>
      <c r="D5732" s="85">
        <v>0</v>
      </c>
      <c r="E5732" s="85"/>
      <c r="F5732" s="85">
        <v>16447.060000000001</v>
      </c>
      <c r="G5732" s="85">
        <v>0</v>
      </c>
      <c r="H5732" s="85">
        <f t="shared" si="89"/>
        <v>16447.060000000001</v>
      </c>
      <c r="I5732" s="85"/>
      <c r="K5732" s="54" t="s">
        <v>38</v>
      </c>
    </row>
    <row r="5733" spans="2:11" ht="24.75" x14ac:dyDescent="0.2">
      <c r="B5733" s="82" t="s">
        <v>9277</v>
      </c>
      <c r="C5733" s="82" t="s">
        <v>2959</v>
      </c>
      <c r="D5733" s="83">
        <f>SUMIFS(D5734:D6462,K5734:K6462,"0",B5734:B6462,"5 1 3 9 8 12 31111 6 M59 10400*")-SUMIFS(E5734:E6462,K5734:K6462,"0",B5734:B6462,"5 1 3 9 8 12 31111 6 M59 10400*")</f>
        <v>0</v>
      </c>
      <c r="E5733" s="54"/>
      <c r="F5733" s="83">
        <f>SUMIFS(F5734:F6462,K5734:K6462,"0",B5734:B6462,"5 1 3 9 8 12 31111 6 M59 10400*")</f>
        <v>7324.83</v>
      </c>
      <c r="G5733" s="83">
        <f>SUMIFS(G5734:G6462,K5734:K6462,"0",B5734:B6462,"5 1 3 9 8 12 31111 6 M59 10400*")</f>
        <v>0</v>
      </c>
      <c r="H5733" s="83">
        <f t="shared" si="89"/>
        <v>7324.83</v>
      </c>
      <c r="I5733" s="83"/>
      <c r="K5733" s="54" t="s">
        <v>15</v>
      </c>
    </row>
    <row r="5734" spans="2:11" ht="16.5" x14ac:dyDescent="0.2">
      <c r="B5734" s="82" t="s">
        <v>9278</v>
      </c>
      <c r="C5734" s="82" t="s">
        <v>648</v>
      </c>
      <c r="D5734" s="83">
        <f>SUMIFS(D5735:D6462,K5735:K6462,"0",B5735:B6462,"5 1 3 9 8 12 31111 6 M59 10400 000132*")-SUMIFS(E5735:E6462,K5735:K6462,"0",B5735:B6462,"5 1 3 9 8 12 31111 6 M59 10400 000132*")</f>
        <v>0</v>
      </c>
      <c r="E5734" s="54"/>
      <c r="F5734" s="83">
        <f>SUMIFS(F5735:F6462,K5735:K6462,"0",B5735:B6462,"5 1 3 9 8 12 31111 6 M59 10400 000132*")</f>
        <v>7324.83</v>
      </c>
      <c r="G5734" s="83">
        <f>SUMIFS(G5735:G6462,K5735:K6462,"0",B5735:B6462,"5 1 3 9 8 12 31111 6 M59 10400 000132*")</f>
        <v>0</v>
      </c>
      <c r="H5734" s="83">
        <f t="shared" si="89"/>
        <v>7324.83</v>
      </c>
      <c r="I5734" s="83"/>
      <c r="K5734" s="54" t="s">
        <v>15</v>
      </c>
    </row>
    <row r="5735" spans="2:11" ht="24.75" x14ac:dyDescent="0.2">
      <c r="B5735" s="82" t="s">
        <v>9279</v>
      </c>
      <c r="C5735" s="82" t="s">
        <v>650</v>
      </c>
      <c r="D5735" s="83">
        <f>SUMIFS(D5736:D6462,K5736:K6462,"0",B5736:B6462,"5 1 3 9 8 12 31111 6 M59 10400 000132 0000R*")-SUMIFS(E5736:E6462,K5736:K6462,"0",B5736:B6462,"5 1 3 9 8 12 31111 6 M59 10400 000132 0000R*")</f>
        <v>0</v>
      </c>
      <c r="E5735" s="54"/>
      <c r="F5735" s="83">
        <f>SUMIFS(F5736:F6462,K5736:K6462,"0",B5736:B6462,"5 1 3 9 8 12 31111 6 M59 10400 000132 0000R*")</f>
        <v>7324.83</v>
      </c>
      <c r="G5735" s="83">
        <f>SUMIFS(G5736:G6462,K5736:K6462,"0",B5736:B6462,"5 1 3 9 8 12 31111 6 M59 10400 000132 0000R*")</f>
        <v>0</v>
      </c>
      <c r="H5735" s="83">
        <f t="shared" si="89"/>
        <v>7324.83</v>
      </c>
      <c r="I5735" s="83"/>
      <c r="K5735" s="54" t="s">
        <v>15</v>
      </c>
    </row>
    <row r="5736" spans="2:11" ht="24.75" x14ac:dyDescent="0.2">
      <c r="B5736" s="82" t="s">
        <v>9280</v>
      </c>
      <c r="C5736" s="82" t="s">
        <v>282</v>
      </c>
      <c r="D5736" s="83">
        <f>SUMIFS(D5737:D6462,K5737:K6462,"0",B5737:B6462,"5 1 3 9 8 12 31111 6 M59 10400 000132 0000R 00001*")-SUMIFS(E5737:E6462,K5737:K6462,"0",B5737:B6462,"5 1 3 9 8 12 31111 6 M59 10400 000132 0000R 00001*")</f>
        <v>0</v>
      </c>
      <c r="E5736" s="54"/>
      <c r="F5736" s="83">
        <f>SUMIFS(F5737:F6462,K5737:K6462,"0",B5737:B6462,"5 1 3 9 8 12 31111 6 M59 10400 000132 0000R 00001*")</f>
        <v>7324.83</v>
      </c>
      <c r="G5736" s="83">
        <f>SUMIFS(G5737:G6462,K5737:K6462,"0",B5737:B6462,"5 1 3 9 8 12 31111 6 M59 10400 000132 0000R 00001*")</f>
        <v>0</v>
      </c>
      <c r="H5736" s="83">
        <f t="shared" si="89"/>
        <v>7324.83</v>
      </c>
      <c r="I5736" s="83"/>
      <c r="K5736" s="54" t="s">
        <v>15</v>
      </c>
    </row>
    <row r="5737" spans="2:11" ht="24.75" x14ac:dyDescent="0.2">
      <c r="B5737" s="82" t="s">
        <v>9281</v>
      </c>
      <c r="C5737" s="82" t="s">
        <v>9247</v>
      </c>
      <c r="D5737" s="83">
        <f>SUMIFS(D5738:D6462,K5738:K6462,"0",B5738:B6462,"5 1 3 9 8 12 31111 6 M59 10400 000132 0000R 00001 00398*")-SUMIFS(E5738:E6462,K5738:K6462,"0",B5738:B6462,"5 1 3 9 8 12 31111 6 M59 10400 000132 0000R 00001 00398*")</f>
        <v>0</v>
      </c>
      <c r="E5737" s="54"/>
      <c r="F5737" s="83">
        <f>SUMIFS(F5738:F6462,K5738:K6462,"0",B5738:B6462,"5 1 3 9 8 12 31111 6 M59 10400 000132 0000R 00001 00398*")</f>
        <v>7324.83</v>
      </c>
      <c r="G5737" s="83">
        <f>SUMIFS(G5738:G6462,K5738:K6462,"0",B5738:B6462,"5 1 3 9 8 12 31111 6 M59 10400 000132 0000R 00001 00398*")</f>
        <v>0</v>
      </c>
      <c r="H5737" s="83">
        <f t="shared" si="89"/>
        <v>7324.83</v>
      </c>
      <c r="I5737" s="83"/>
      <c r="K5737" s="54" t="s">
        <v>15</v>
      </c>
    </row>
    <row r="5738" spans="2:11" ht="33" x14ac:dyDescent="0.2">
      <c r="B5738" s="82" t="s">
        <v>9282</v>
      </c>
      <c r="C5738" s="82" t="s">
        <v>1051</v>
      </c>
      <c r="D5738" s="83">
        <f>SUMIFS(D5739:D6462,K5739:K6462,"0",B5739:B6462,"5 1 3 9 8 12 31111 6 M59 10400 000132 0000R 00001 00398 015*")-SUMIFS(E5739:E6462,K5739:K6462,"0",B5739:B6462,"5 1 3 9 8 12 31111 6 M59 10400 000132 0000R 00001 00398 015*")</f>
        <v>0</v>
      </c>
      <c r="E5738" s="54"/>
      <c r="F5738" s="83">
        <f>SUMIFS(F5739:F6462,K5739:K6462,"0",B5739:B6462,"5 1 3 9 8 12 31111 6 M59 10400 000132 0000R 00001 00398 015*")</f>
        <v>7324.83</v>
      </c>
      <c r="G5738" s="83">
        <f>SUMIFS(G5739:G6462,K5739:K6462,"0",B5739:B6462,"5 1 3 9 8 12 31111 6 M59 10400 000132 0000R 00001 00398 015*")</f>
        <v>0</v>
      </c>
      <c r="H5738" s="83">
        <f t="shared" si="89"/>
        <v>7324.83</v>
      </c>
      <c r="I5738" s="83"/>
      <c r="K5738" s="54" t="s">
        <v>15</v>
      </c>
    </row>
    <row r="5739" spans="2:11" ht="33" x14ac:dyDescent="0.2">
      <c r="B5739" s="82" t="s">
        <v>9283</v>
      </c>
      <c r="C5739" s="82" t="s">
        <v>8550</v>
      </c>
      <c r="D5739" s="83">
        <f>SUMIFS(D5740:D6462,K5740:K6462,"0",B5740:B6462,"5 1 3 9 8 12 31111 6 M59 10400 000132 0000R 00001 00398 015 2111300*")-SUMIFS(E5740:E6462,K5740:K6462,"0",B5740:B6462,"5 1 3 9 8 12 31111 6 M59 10400 000132 0000R 00001 00398 015 2111300*")</f>
        <v>0</v>
      </c>
      <c r="E5739" s="54"/>
      <c r="F5739" s="83">
        <f>SUMIFS(F5740:F6462,K5740:K6462,"0",B5740:B6462,"5 1 3 9 8 12 31111 6 M59 10400 000132 0000R 00001 00398 015 2111300*")</f>
        <v>7324.83</v>
      </c>
      <c r="G5739" s="83">
        <f>SUMIFS(G5740:G6462,K5740:K6462,"0",B5740:B6462,"5 1 3 9 8 12 31111 6 M59 10400 000132 0000R 00001 00398 015 2111300*")</f>
        <v>0</v>
      </c>
      <c r="H5739" s="83">
        <f t="shared" ref="H5739:H5802" si="90">D5739 + F5739 - G5739</f>
        <v>7324.83</v>
      </c>
      <c r="I5739" s="83"/>
      <c r="K5739" s="54" t="s">
        <v>15</v>
      </c>
    </row>
    <row r="5740" spans="2:11" ht="33" x14ac:dyDescent="0.2">
      <c r="B5740" s="82" t="s">
        <v>9284</v>
      </c>
      <c r="C5740" s="82" t="s">
        <v>660</v>
      </c>
      <c r="D5740" s="83">
        <f>SUMIFS(D5741:D6462,K5741:K6462,"0",B5741:B6462,"5 1 3 9 8 12 31111 6 M59 10400 000132 0000R 00001 00398 015 2111300 2024*")-SUMIFS(E5741:E6462,K5741:K6462,"0",B5741:B6462,"5 1 3 9 8 12 31111 6 M59 10400 000132 0000R 00001 00398 015 2111300 2024*")</f>
        <v>0</v>
      </c>
      <c r="E5740" s="54"/>
      <c r="F5740" s="83">
        <f>SUMIFS(F5741:F6462,K5741:K6462,"0",B5741:B6462,"5 1 3 9 8 12 31111 6 M59 10400 000132 0000R 00001 00398 015 2111300 2024*")</f>
        <v>7324.83</v>
      </c>
      <c r="G5740" s="83">
        <f>SUMIFS(G5741:G6462,K5741:K6462,"0",B5741:B6462,"5 1 3 9 8 12 31111 6 M59 10400 000132 0000R 00001 00398 015 2111300 2024*")</f>
        <v>0</v>
      </c>
      <c r="H5740" s="83">
        <f t="shared" si="90"/>
        <v>7324.83</v>
      </c>
      <c r="I5740" s="83"/>
      <c r="K5740" s="54" t="s">
        <v>15</v>
      </c>
    </row>
    <row r="5741" spans="2:11" ht="41.25" x14ac:dyDescent="0.2">
      <c r="B5741" s="82" t="s">
        <v>9285</v>
      </c>
      <c r="C5741" s="82" t="s">
        <v>1056</v>
      </c>
      <c r="D5741" s="83">
        <f>SUMIFS(D5742:D6462,K5742:K6462,"0",B5742:B6462,"5 1 3 9 8 12 31111 6 M59 10400 000132 0000R 00001 00398 015 2111300 2024 CP1CG432*")-SUMIFS(E5742:E6462,K5742:K6462,"0",B5742:B6462,"5 1 3 9 8 12 31111 6 M59 10400 000132 0000R 00001 00398 015 2111300 2024 CP1CG432*")</f>
        <v>0</v>
      </c>
      <c r="E5741" s="54"/>
      <c r="F5741" s="83">
        <f>SUMIFS(F5742:F6462,K5742:K6462,"0",B5742:B6462,"5 1 3 9 8 12 31111 6 M59 10400 000132 0000R 00001 00398 015 2111300 2024 CP1CG432*")</f>
        <v>7324.83</v>
      </c>
      <c r="G5741" s="83">
        <f>SUMIFS(G5742:G6462,K5742:K6462,"0",B5742:B6462,"5 1 3 9 8 12 31111 6 M59 10400 000132 0000R 00001 00398 015 2111300 2024 CP1CG432*")</f>
        <v>0</v>
      </c>
      <c r="H5741" s="83">
        <f t="shared" si="90"/>
        <v>7324.83</v>
      </c>
      <c r="I5741" s="83"/>
      <c r="K5741" s="54" t="s">
        <v>15</v>
      </c>
    </row>
    <row r="5742" spans="2:11" ht="41.25" x14ac:dyDescent="0.2">
      <c r="B5742" s="82" t="s">
        <v>9286</v>
      </c>
      <c r="C5742" s="82" t="s">
        <v>282</v>
      </c>
      <c r="D5742" s="83">
        <f>SUMIFS(D5743:D6462,K5743:K6462,"0",B5743:B6462,"5 1 3 9 8 12 31111 6 M59 10400 000132 0000R 00001 00398 015 2111300 2024 CP1CG432 001*")-SUMIFS(E5743:E6462,K5743:K6462,"0",B5743:B6462,"5 1 3 9 8 12 31111 6 M59 10400 000132 0000R 00001 00398 015 2111300 2024 CP1CG432 001*")</f>
        <v>0</v>
      </c>
      <c r="E5742" s="54"/>
      <c r="F5742" s="83">
        <f>SUMIFS(F5743:F6462,K5743:K6462,"0",B5743:B6462,"5 1 3 9 8 12 31111 6 M59 10400 000132 0000R 00001 00398 015 2111300 2024 CP1CG432 001*")</f>
        <v>7324.83</v>
      </c>
      <c r="G5742" s="83">
        <f>SUMIFS(G5743:G6462,K5743:K6462,"0",B5743:B6462,"5 1 3 9 8 12 31111 6 M59 10400 000132 0000R 00001 00398 015 2111300 2024 CP1CG432 001*")</f>
        <v>0</v>
      </c>
      <c r="H5742" s="83">
        <f t="shared" si="90"/>
        <v>7324.83</v>
      </c>
      <c r="I5742" s="83"/>
      <c r="K5742" s="54" t="s">
        <v>15</v>
      </c>
    </row>
    <row r="5743" spans="2:11" ht="33" x14ac:dyDescent="0.2">
      <c r="B5743" s="84" t="s">
        <v>9287</v>
      </c>
      <c r="C5743" s="84" t="s">
        <v>9254</v>
      </c>
      <c r="D5743" s="85">
        <v>0</v>
      </c>
      <c r="E5743" s="85"/>
      <c r="F5743" s="85">
        <v>7324.83</v>
      </c>
      <c r="G5743" s="85">
        <v>0</v>
      </c>
      <c r="H5743" s="85">
        <f t="shared" si="90"/>
        <v>7324.83</v>
      </c>
      <c r="I5743" s="85"/>
      <c r="K5743" s="54" t="s">
        <v>38</v>
      </c>
    </row>
    <row r="5744" spans="2:11" ht="16.5" x14ac:dyDescent="0.2">
      <c r="B5744" s="82" t="s">
        <v>9288</v>
      </c>
      <c r="C5744" s="82" t="s">
        <v>2971</v>
      </c>
      <c r="D5744" s="83">
        <f>SUMIFS(D5745:D6462,K5745:K6462,"0",B5745:B6462,"5 1 3 9 8 12 31111 6 M59 10500*")-SUMIFS(E5745:E6462,K5745:K6462,"0",B5745:B6462,"5 1 3 9 8 12 31111 6 M59 10500*")</f>
        <v>0</v>
      </c>
      <c r="E5744" s="54"/>
      <c r="F5744" s="83">
        <f>SUMIFS(F5745:F6462,K5745:K6462,"0",B5745:B6462,"5 1 3 9 8 12 31111 6 M59 10500*")</f>
        <v>28573.39</v>
      </c>
      <c r="G5744" s="83">
        <f>SUMIFS(G5745:G6462,K5745:K6462,"0",B5745:B6462,"5 1 3 9 8 12 31111 6 M59 10500*")</f>
        <v>0</v>
      </c>
      <c r="H5744" s="83">
        <f t="shared" si="90"/>
        <v>28573.39</v>
      </c>
      <c r="I5744" s="83"/>
      <c r="K5744" s="54" t="s">
        <v>15</v>
      </c>
    </row>
    <row r="5745" spans="2:11" ht="16.5" x14ac:dyDescent="0.2">
      <c r="B5745" s="82" t="s">
        <v>9289</v>
      </c>
      <c r="C5745" s="82" t="s">
        <v>648</v>
      </c>
      <c r="D5745" s="83">
        <f>SUMIFS(D5746:D6462,K5746:K6462,"0",B5746:B6462,"5 1 3 9 8 12 31111 6 M59 10500 000132*")-SUMIFS(E5746:E6462,K5746:K6462,"0",B5746:B6462,"5 1 3 9 8 12 31111 6 M59 10500 000132*")</f>
        <v>0</v>
      </c>
      <c r="E5745" s="54"/>
      <c r="F5745" s="83">
        <f>SUMIFS(F5746:F6462,K5746:K6462,"0",B5746:B6462,"5 1 3 9 8 12 31111 6 M59 10500 000132*")</f>
        <v>28573.39</v>
      </c>
      <c r="G5745" s="83">
        <f>SUMIFS(G5746:G6462,K5746:K6462,"0",B5746:B6462,"5 1 3 9 8 12 31111 6 M59 10500 000132*")</f>
        <v>0</v>
      </c>
      <c r="H5745" s="83">
        <f t="shared" si="90"/>
        <v>28573.39</v>
      </c>
      <c r="I5745" s="83"/>
      <c r="K5745" s="54" t="s">
        <v>15</v>
      </c>
    </row>
    <row r="5746" spans="2:11" ht="24.75" x14ac:dyDescent="0.2">
      <c r="B5746" s="82" t="s">
        <v>9290</v>
      </c>
      <c r="C5746" s="82" t="s">
        <v>650</v>
      </c>
      <c r="D5746" s="83">
        <f>SUMIFS(D5747:D6462,K5747:K6462,"0",B5747:B6462,"5 1 3 9 8 12 31111 6 M59 10500 000132 0000R*")-SUMIFS(E5747:E6462,K5747:K6462,"0",B5747:B6462,"5 1 3 9 8 12 31111 6 M59 10500 000132 0000R*")</f>
        <v>0</v>
      </c>
      <c r="E5746" s="54"/>
      <c r="F5746" s="83">
        <f>SUMIFS(F5747:F6462,K5747:K6462,"0",B5747:B6462,"5 1 3 9 8 12 31111 6 M59 10500 000132 0000R*")</f>
        <v>28573.39</v>
      </c>
      <c r="G5746" s="83">
        <f>SUMIFS(G5747:G6462,K5747:K6462,"0",B5747:B6462,"5 1 3 9 8 12 31111 6 M59 10500 000132 0000R*")</f>
        <v>0</v>
      </c>
      <c r="H5746" s="83">
        <f t="shared" si="90"/>
        <v>28573.39</v>
      </c>
      <c r="I5746" s="83"/>
      <c r="K5746" s="54" t="s">
        <v>15</v>
      </c>
    </row>
    <row r="5747" spans="2:11" ht="24.75" x14ac:dyDescent="0.2">
      <c r="B5747" s="82" t="s">
        <v>9291</v>
      </c>
      <c r="C5747" s="82" t="s">
        <v>282</v>
      </c>
      <c r="D5747" s="83">
        <f>SUMIFS(D5748:D6462,K5748:K6462,"0",B5748:B6462,"5 1 3 9 8 12 31111 6 M59 10500 000132 0000R 00001*")-SUMIFS(E5748:E6462,K5748:K6462,"0",B5748:B6462,"5 1 3 9 8 12 31111 6 M59 10500 000132 0000R 00001*")</f>
        <v>0</v>
      </c>
      <c r="E5747" s="54"/>
      <c r="F5747" s="83">
        <f>SUMIFS(F5748:F6462,K5748:K6462,"0",B5748:B6462,"5 1 3 9 8 12 31111 6 M59 10500 000132 0000R 00001*")</f>
        <v>28573.39</v>
      </c>
      <c r="G5747" s="83">
        <f>SUMIFS(G5748:G6462,K5748:K6462,"0",B5748:B6462,"5 1 3 9 8 12 31111 6 M59 10500 000132 0000R 00001*")</f>
        <v>0</v>
      </c>
      <c r="H5747" s="83">
        <f t="shared" si="90"/>
        <v>28573.39</v>
      </c>
      <c r="I5747" s="83"/>
      <c r="K5747" s="54" t="s">
        <v>15</v>
      </c>
    </row>
    <row r="5748" spans="2:11" ht="24.75" x14ac:dyDescent="0.2">
      <c r="B5748" s="82" t="s">
        <v>9292</v>
      </c>
      <c r="C5748" s="82" t="s">
        <v>9247</v>
      </c>
      <c r="D5748" s="83">
        <f>SUMIFS(D5749:D6462,K5749:K6462,"0",B5749:B6462,"5 1 3 9 8 12 31111 6 M59 10500 000132 0000R 00001 00398*")-SUMIFS(E5749:E6462,K5749:K6462,"0",B5749:B6462,"5 1 3 9 8 12 31111 6 M59 10500 000132 0000R 00001 00398*")</f>
        <v>0</v>
      </c>
      <c r="E5748" s="54"/>
      <c r="F5748" s="83">
        <f>SUMIFS(F5749:F6462,K5749:K6462,"0",B5749:B6462,"5 1 3 9 8 12 31111 6 M59 10500 000132 0000R 00001 00398*")</f>
        <v>28573.39</v>
      </c>
      <c r="G5748" s="83">
        <f>SUMIFS(G5749:G6462,K5749:K6462,"0",B5749:B6462,"5 1 3 9 8 12 31111 6 M59 10500 000132 0000R 00001 00398*")</f>
        <v>0</v>
      </c>
      <c r="H5748" s="83">
        <f t="shared" si="90"/>
        <v>28573.39</v>
      </c>
      <c r="I5748" s="83"/>
      <c r="K5748" s="54" t="s">
        <v>15</v>
      </c>
    </row>
    <row r="5749" spans="2:11" ht="33" x14ac:dyDescent="0.2">
      <c r="B5749" s="82" t="s">
        <v>9293</v>
      </c>
      <c r="C5749" s="82" t="s">
        <v>1051</v>
      </c>
      <c r="D5749" s="83">
        <f>SUMIFS(D5750:D6462,K5750:K6462,"0",B5750:B6462,"5 1 3 9 8 12 31111 6 M59 10500 000132 0000R 00001 00398 015*")-SUMIFS(E5750:E6462,K5750:K6462,"0",B5750:B6462,"5 1 3 9 8 12 31111 6 M59 10500 000132 0000R 00001 00398 015*")</f>
        <v>0</v>
      </c>
      <c r="E5749" s="54"/>
      <c r="F5749" s="83">
        <f>SUMIFS(F5750:F6462,K5750:K6462,"0",B5750:B6462,"5 1 3 9 8 12 31111 6 M59 10500 000132 0000R 00001 00398 015*")</f>
        <v>28573.39</v>
      </c>
      <c r="G5749" s="83">
        <f>SUMIFS(G5750:G6462,K5750:K6462,"0",B5750:B6462,"5 1 3 9 8 12 31111 6 M59 10500 000132 0000R 00001 00398 015*")</f>
        <v>0</v>
      </c>
      <c r="H5749" s="83">
        <f t="shared" si="90"/>
        <v>28573.39</v>
      </c>
      <c r="I5749" s="83"/>
      <c r="K5749" s="54" t="s">
        <v>15</v>
      </c>
    </row>
    <row r="5750" spans="2:11" ht="33" x14ac:dyDescent="0.2">
      <c r="B5750" s="82" t="s">
        <v>9294</v>
      </c>
      <c r="C5750" s="82" t="s">
        <v>8550</v>
      </c>
      <c r="D5750" s="83">
        <f>SUMIFS(D5751:D6462,K5751:K6462,"0",B5751:B6462,"5 1 3 9 8 12 31111 6 M59 10500 000132 0000R 00001 00398 015 2111300*")-SUMIFS(E5751:E6462,K5751:K6462,"0",B5751:B6462,"5 1 3 9 8 12 31111 6 M59 10500 000132 0000R 00001 00398 015 2111300*")</f>
        <v>0</v>
      </c>
      <c r="E5750" s="54"/>
      <c r="F5750" s="83">
        <f>SUMIFS(F5751:F6462,K5751:K6462,"0",B5751:B6462,"5 1 3 9 8 12 31111 6 M59 10500 000132 0000R 00001 00398 015 2111300*")</f>
        <v>28573.39</v>
      </c>
      <c r="G5750" s="83">
        <f>SUMIFS(G5751:G6462,K5751:K6462,"0",B5751:B6462,"5 1 3 9 8 12 31111 6 M59 10500 000132 0000R 00001 00398 015 2111300*")</f>
        <v>0</v>
      </c>
      <c r="H5750" s="83">
        <f t="shared" si="90"/>
        <v>28573.39</v>
      </c>
      <c r="I5750" s="83"/>
      <c r="K5750" s="54" t="s">
        <v>15</v>
      </c>
    </row>
    <row r="5751" spans="2:11" ht="33" x14ac:dyDescent="0.2">
      <c r="B5751" s="82" t="s">
        <v>9295</v>
      </c>
      <c r="C5751" s="82" t="s">
        <v>660</v>
      </c>
      <c r="D5751" s="83">
        <f>SUMIFS(D5752:D6462,K5752:K6462,"0",B5752:B6462,"5 1 3 9 8 12 31111 6 M59 10500 000132 0000R 00001 00398 015 2111300 2024*")-SUMIFS(E5752:E6462,K5752:K6462,"0",B5752:B6462,"5 1 3 9 8 12 31111 6 M59 10500 000132 0000R 00001 00398 015 2111300 2024*")</f>
        <v>0</v>
      </c>
      <c r="E5751" s="54"/>
      <c r="F5751" s="83">
        <f>SUMIFS(F5752:F6462,K5752:K6462,"0",B5752:B6462,"5 1 3 9 8 12 31111 6 M59 10500 000132 0000R 00001 00398 015 2111300 2024*")</f>
        <v>28573.39</v>
      </c>
      <c r="G5751" s="83">
        <f>SUMIFS(G5752:G6462,K5752:K6462,"0",B5752:B6462,"5 1 3 9 8 12 31111 6 M59 10500 000132 0000R 00001 00398 015 2111300 2024*")</f>
        <v>0</v>
      </c>
      <c r="H5751" s="83">
        <f t="shared" si="90"/>
        <v>28573.39</v>
      </c>
      <c r="I5751" s="83"/>
      <c r="K5751" s="54" t="s">
        <v>15</v>
      </c>
    </row>
    <row r="5752" spans="2:11" ht="41.25" x14ac:dyDescent="0.2">
      <c r="B5752" s="82" t="s">
        <v>9296</v>
      </c>
      <c r="C5752" s="82" t="s">
        <v>1056</v>
      </c>
      <c r="D5752" s="83">
        <f>SUMIFS(D5753:D6462,K5753:K6462,"0",B5753:B6462,"5 1 3 9 8 12 31111 6 M59 10500 000132 0000R 00001 00398 015 2111300 2024 CP1CS421*")-SUMIFS(E5753:E6462,K5753:K6462,"0",B5753:B6462,"5 1 3 9 8 12 31111 6 M59 10500 000132 0000R 00001 00398 015 2111300 2024 CP1CS421*")</f>
        <v>0</v>
      </c>
      <c r="E5752" s="54"/>
      <c r="F5752" s="83">
        <f>SUMIFS(F5753:F6462,K5753:K6462,"0",B5753:B6462,"5 1 3 9 8 12 31111 6 M59 10500 000132 0000R 00001 00398 015 2111300 2024 CP1CS421*")</f>
        <v>28573.39</v>
      </c>
      <c r="G5752" s="83">
        <f>SUMIFS(G5753:G6462,K5753:K6462,"0",B5753:B6462,"5 1 3 9 8 12 31111 6 M59 10500 000132 0000R 00001 00398 015 2111300 2024 CP1CS421*")</f>
        <v>0</v>
      </c>
      <c r="H5752" s="83">
        <f t="shared" si="90"/>
        <v>28573.39</v>
      </c>
      <c r="I5752" s="83"/>
      <c r="K5752" s="54" t="s">
        <v>15</v>
      </c>
    </row>
    <row r="5753" spans="2:11" ht="41.25" x14ac:dyDescent="0.2">
      <c r="B5753" s="82" t="s">
        <v>9297</v>
      </c>
      <c r="C5753" s="82" t="s">
        <v>282</v>
      </c>
      <c r="D5753" s="83">
        <f>SUMIFS(D5754:D6462,K5754:K6462,"0",B5754:B6462,"5 1 3 9 8 12 31111 6 M59 10500 000132 0000R 00001 00398 015 2111300 2024 CP1CS421 001*")-SUMIFS(E5754:E6462,K5754:K6462,"0",B5754:B6462,"5 1 3 9 8 12 31111 6 M59 10500 000132 0000R 00001 00398 015 2111300 2024 CP1CS421 001*")</f>
        <v>0</v>
      </c>
      <c r="E5753" s="54"/>
      <c r="F5753" s="83">
        <f>SUMIFS(F5754:F6462,K5754:K6462,"0",B5754:B6462,"5 1 3 9 8 12 31111 6 M59 10500 000132 0000R 00001 00398 015 2111300 2024 CP1CS421 001*")</f>
        <v>28573.39</v>
      </c>
      <c r="G5753" s="83">
        <f>SUMIFS(G5754:G6462,K5754:K6462,"0",B5754:B6462,"5 1 3 9 8 12 31111 6 M59 10500 000132 0000R 00001 00398 015 2111300 2024 CP1CS421 001*")</f>
        <v>0</v>
      </c>
      <c r="H5753" s="83">
        <f t="shared" si="90"/>
        <v>28573.39</v>
      </c>
      <c r="I5753" s="83"/>
      <c r="K5753" s="54" t="s">
        <v>15</v>
      </c>
    </row>
    <row r="5754" spans="2:11" ht="33" x14ac:dyDescent="0.2">
      <c r="B5754" s="84" t="s">
        <v>9298</v>
      </c>
      <c r="C5754" s="84" t="s">
        <v>9254</v>
      </c>
      <c r="D5754" s="85">
        <v>0</v>
      </c>
      <c r="E5754" s="85"/>
      <c r="F5754" s="85">
        <v>28573.39</v>
      </c>
      <c r="G5754" s="85">
        <v>0</v>
      </c>
      <c r="H5754" s="85">
        <f t="shared" si="90"/>
        <v>28573.39</v>
      </c>
      <c r="I5754" s="85"/>
      <c r="K5754" s="54" t="s">
        <v>38</v>
      </c>
    </row>
    <row r="5755" spans="2:11" ht="16.5" x14ac:dyDescent="0.2">
      <c r="B5755" s="82" t="s">
        <v>9299</v>
      </c>
      <c r="C5755" s="82" t="s">
        <v>2996</v>
      </c>
      <c r="D5755" s="83">
        <f>SUMIFS(D5756:D6462,K5756:K6462,"0",B5756:B6462,"5 1 3 9 8 12 31111 6 M59 10700*")-SUMIFS(E5756:E6462,K5756:K6462,"0",B5756:B6462,"5 1 3 9 8 12 31111 6 M59 10700*")</f>
        <v>0</v>
      </c>
      <c r="E5755" s="54"/>
      <c r="F5755" s="83">
        <f>SUMIFS(F5756:F6462,K5756:K6462,"0",B5756:B6462,"5 1 3 9 8 12 31111 6 M59 10700*")</f>
        <v>2191.11</v>
      </c>
      <c r="G5755" s="83">
        <f>SUMIFS(G5756:G6462,K5756:K6462,"0",B5756:B6462,"5 1 3 9 8 12 31111 6 M59 10700*")</f>
        <v>0</v>
      </c>
      <c r="H5755" s="83">
        <f t="shared" si="90"/>
        <v>2191.11</v>
      </c>
      <c r="I5755" s="83"/>
      <c r="K5755" s="54" t="s">
        <v>15</v>
      </c>
    </row>
    <row r="5756" spans="2:11" ht="16.5" x14ac:dyDescent="0.2">
      <c r="B5756" s="82" t="s">
        <v>9300</v>
      </c>
      <c r="C5756" s="82" t="s">
        <v>648</v>
      </c>
      <c r="D5756" s="83">
        <f>SUMIFS(D5757:D6462,K5757:K6462,"0",B5757:B6462,"5 1 3 9 8 12 31111 6 M59 10700 000132*")-SUMIFS(E5757:E6462,K5757:K6462,"0",B5757:B6462,"5 1 3 9 8 12 31111 6 M59 10700 000132*")</f>
        <v>0</v>
      </c>
      <c r="E5756" s="54"/>
      <c r="F5756" s="83">
        <f>SUMIFS(F5757:F6462,K5757:K6462,"0",B5757:B6462,"5 1 3 9 8 12 31111 6 M59 10700 000132*")</f>
        <v>2191.11</v>
      </c>
      <c r="G5756" s="83">
        <f>SUMIFS(G5757:G6462,K5757:K6462,"0",B5757:B6462,"5 1 3 9 8 12 31111 6 M59 10700 000132*")</f>
        <v>0</v>
      </c>
      <c r="H5756" s="83">
        <f t="shared" si="90"/>
        <v>2191.11</v>
      </c>
      <c r="I5756" s="83"/>
      <c r="K5756" s="54" t="s">
        <v>15</v>
      </c>
    </row>
    <row r="5757" spans="2:11" ht="24.75" x14ac:dyDescent="0.2">
      <c r="B5757" s="82" t="s">
        <v>9301</v>
      </c>
      <c r="C5757" s="82" t="s">
        <v>650</v>
      </c>
      <c r="D5757" s="83">
        <f>SUMIFS(D5758:D6462,K5758:K6462,"0",B5758:B6462,"5 1 3 9 8 12 31111 6 M59 10700 000132 0000R*")-SUMIFS(E5758:E6462,K5758:K6462,"0",B5758:B6462,"5 1 3 9 8 12 31111 6 M59 10700 000132 0000R*")</f>
        <v>0</v>
      </c>
      <c r="E5757" s="54"/>
      <c r="F5757" s="83">
        <f>SUMIFS(F5758:F6462,K5758:K6462,"0",B5758:B6462,"5 1 3 9 8 12 31111 6 M59 10700 000132 0000R*")</f>
        <v>2191.11</v>
      </c>
      <c r="G5757" s="83">
        <f>SUMIFS(G5758:G6462,K5758:K6462,"0",B5758:B6462,"5 1 3 9 8 12 31111 6 M59 10700 000132 0000R*")</f>
        <v>0</v>
      </c>
      <c r="H5757" s="83">
        <f t="shared" si="90"/>
        <v>2191.11</v>
      </c>
      <c r="I5757" s="83"/>
      <c r="K5757" s="54" t="s">
        <v>15</v>
      </c>
    </row>
    <row r="5758" spans="2:11" ht="24.75" x14ac:dyDescent="0.2">
      <c r="B5758" s="82" t="s">
        <v>9302</v>
      </c>
      <c r="C5758" s="82" t="s">
        <v>282</v>
      </c>
      <c r="D5758" s="83">
        <f>SUMIFS(D5759:D6462,K5759:K6462,"0",B5759:B6462,"5 1 3 9 8 12 31111 6 M59 10700 000132 0000R 00001*")-SUMIFS(E5759:E6462,K5759:K6462,"0",B5759:B6462,"5 1 3 9 8 12 31111 6 M59 10700 000132 0000R 00001*")</f>
        <v>0</v>
      </c>
      <c r="E5758" s="54"/>
      <c r="F5758" s="83">
        <f>SUMIFS(F5759:F6462,K5759:K6462,"0",B5759:B6462,"5 1 3 9 8 12 31111 6 M59 10700 000132 0000R 00001*")</f>
        <v>2191.11</v>
      </c>
      <c r="G5758" s="83">
        <f>SUMIFS(G5759:G6462,K5759:K6462,"0",B5759:B6462,"5 1 3 9 8 12 31111 6 M59 10700 000132 0000R 00001*")</f>
        <v>0</v>
      </c>
      <c r="H5758" s="83">
        <f t="shared" si="90"/>
        <v>2191.11</v>
      </c>
      <c r="I5758" s="83"/>
      <c r="K5758" s="54" t="s">
        <v>15</v>
      </c>
    </row>
    <row r="5759" spans="2:11" ht="24.75" x14ac:dyDescent="0.2">
      <c r="B5759" s="82" t="s">
        <v>9303</v>
      </c>
      <c r="C5759" s="82" t="s">
        <v>9247</v>
      </c>
      <c r="D5759" s="83">
        <f>SUMIFS(D5760:D6462,K5760:K6462,"0",B5760:B6462,"5 1 3 9 8 12 31111 6 M59 10700 000132 0000R 00001 00398*")-SUMIFS(E5760:E6462,K5760:K6462,"0",B5760:B6462,"5 1 3 9 8 12 31111 6 M59 10700 000132 0000R 00001 00398*")</f>
        <v>0</v>
      </c>
      <c r="E5759" s="54"/>
      <c r="F5759" s="83">
        <f>SUMIFS(F5760:F6462,K5760:K6462,"0",B5760:B6462,"5 1 3 9 8 12 31111 6 M59 10700 000132 0000R 00001 00398*")</f>
        <v>2191.11</v>
      </c>
      <c r="G5759" s="83">
        <f>SUMIFS(G5760:G6462,K5760:K6462,"0",B5760:B6462,"5 1 3 9 8 12 31111 6 M59 10700 000132 0000R 00001 00398*")</f>
        <v>0</v>
      </c>
      <c r="H5759" s="83">
        <f t="shared" si="90"/>
        <v>2191.11</v>
      </c>
      <c r="I5759" s="83"/>
      <c r="K5759" s="54" t="s">
        <v>15</v>
      </c>
    </row>
    <row r="5760" spans="2:11" ht="33" x14ac:dyDescent="0.2">
      <c r="B5760" s="82" t="s">
        <v>9304</v>
      </c>
      <c r="C5760" s="82" t="s">
        <v>1051</v>
      </c>
      <c r="D5760" s="83">
        <f>SUMIFS(D5761:D6462,K5761:K6462,"0",B5761:B6462,"5 1 3 9 8 12 31111 6 M59 10700 000132 0000R 00001 00398 015*")-SUMIFS(E5761:E6462,K5761:K6462,"0",B5761:B6462,"5 1 3 9 8 12 31111 6 M59 10700 000132 0000R 00001 00398 015*")</f>
        <v>0</v>
      </c>
      <c r="E5760" s="54"/>
      <c r="F5760" s="83">
        <f>SUMIFS(F5761:F6462,K5761:K6462,"0",B5761:B6462,"5 1 3 9 8 12 31111 6 M59 10700 000132 0000R 00001 00398 015*")</f>
        <v>2191.11</v>
      </c>
      <c r="G5760" s="83">
        <f>SUMIFS(G5761:G6462,K5761:K6462,"0",B5761:B6462,"5 1 3 9 8 12 31111 6 M59 10700 000132 0000R 00001 00398 015*")</f>
        <v>0</v>
      </c>
      <c r="H5760" s="83">
        <f t="shared" si="90"/>
        <v>2191.11</v>
      </c>
      <c r="I5760" s="83"/>
      <c r="K5760" s="54" t="s">
        <v>15</v>
      </c>
    </row>
    <row r="5761" spans="2:11" ht="33" x14ac:dyDescent="0.2">
      <c r="B5761" s="82" t="s">
        <v>9305</v>
      </c>
      <c r="C5761" s="82" t="s">
        <v>8550</v>
      </c>
      <c r="D5761" s="83">
        <f>SUMIFS(D5762:D6462,K5762:K6462,"0",B5762:B6462,"5 1 3 9 8 12 31111 6 M59 10700 000132 0000R 00001 00398 015 2111300*")-SUMIFS(E5762:E6462,K5762:K6462,"0",B5762:B6462,"5 1 3 9 8 12 31111 6 M59 10700 000132 0000R 00001 00398 015 2111300*")</f>
        <v>0</v>
      </c>
      <c r="E5761" s="54"/>
      <c r="F5761" s="83">
        <f>SUMIFS(F5762:F6462,K5762:K6462,"0",B5762:B6462,"5 1 3 9 8 12 31111 6 M59 10700 000132 0000R 00001 00398 015 2111300*")</f>
        <v>2191.11</v>
      </c>
      <c r="G5761" s="83">
        <f>SUMIFS(G5762:G6462,K5762:K6462,"0",B5762:B6462,"5 1 3 9 8 12 31111 6 M59 10700 000132 0000R 00001 00398 015 2111300*")</f>
        <v>0</v>
      </c>
      <c r="H5761" s="83">
        <f t="shared" si="90"/>
        <v>2191.11</v>
      </c>
      <c r="I5761" s="83"/>
      <c r="K5761" s="54" t="s">
        <v>15</v>
      </c>
    </row>
    <row r="5762" spans="2:11" ht="33" x14ac:dyDescent="0.2">
      <c r="B5762" s="82" t="s">
        <v>9306</v>
      </c>
      <c r="C5762" s="82" t="s">
        <v>660</v>
      </c>
      <c r="D5762" s="83">
        <f>SUMIFS(D5763:D6462,K5763:K6462,"0",B5763:B6462,"5 1 3 9 8 12 31111 6 M59 10700 000132 0000R 00001 00398 015 2111300 2024*")-SUMIFS(E5763:E6462,K5763:K6462,"0",B5763:B6462,"5 1 3 9 8 12 31111 6 M59 10700 000132 0000R 00001 00398 015 2111300 2024*")</f>
        <v>0</v>
      </c>
      <c r="E5762" s="54"/>
      <c r="F5762" s="83">
        <f>SUMIFS(F5763:F6462,K5763:K6462,"0",B5763:B6462,"5 1 3 9 8 12 31111 6 M59 10700 000132 0000R 00001 00398 015 2111300 2024*")</f>
        <v>2191.11</v>
      </c>
      <c r="G5762" s="83">
        <f>SUMIFS(G5763:G6462,K5763:K6462,"0",B5763:B6462,"5 1 3 9 8 12 31111 6 M59 10700 000132 0000R 00001 00398 015 2111300 2024*")</f>
        <v>0</v>
      </c>
      <c r="H5762" s="83">
        <f t="shared" si="90"/>
        <v>2191.11</v>
      </c>
      <c r="I5762" s="83"/>
      <c r="K5762" s="54" t="s">
        <v>15</v>
      </c>
    </row>
    <row r="5763" spans="2:11" ht="41.25" x14ac:dyDescent="0.2">
      <c r="B5763" s="82" t="s">
        <v>9307</v>
      </c>
      <c r="C5763" s="82" t="s">
        <v>1056</v>
      </c>
      <c r="D5763" s="83">
        <f>SUMIFS(D5764:D6462,K5764:K6462,"0",B5764:B6462,"5 1 3 9 8 12 31111 6 M59 10700 000132 0000R 00001 00398 015 2111300 2024 CP1GB435*")-SUMIFS(E5764:E6462,K5764:K6462,"0",B5764:B6462,"5 1 3 9 8 12 31111 6 M59 10700 000132 0000R 00001 00398 015 2111300 2024 CP1GB435*")</f>
        <v>0</v>
      </c>
      <c r="E5763" s="54"/>
      <c r="F5763" s="83">
        <f>SUMIFS(F5764:F6462,K5764:K6462,"0",B5764:B6462,"5 1 3 9 8 12 31111 6 M59 10700 000132 0000R 00001 00398 015 2111300 2024 CP1GB435*")</f>
        <v>2191.11</v>
      </c>
      <c r="G5763" s="83">
        <f>SUMIFS(G5764:G6462,K5764:K6462,"0",B5764:B6462,"5 1 3 9 8 12 31111 6 M59 10700 000132 0000R 00001 00398 015 2111300 2024 CP1GB435*")</f>
        <v>0</v>
      </c>
      <c r="H5763" s="83">
        <f t="shared" si="90"/>
        <v>2191.11</v>
      </c>
      <c r="I5763" s="83"/>
      <c r="K5763" s="54" t="s">
        <v>15</v>
      </c>
    </row>
    <row r="5764" spans="2:11" ht="41.25" x14ac:dyDescent="0.2">
      <c r="B5764" s="82" t="s">
        <v>9308</v>
      </c>
      <c r="C5764" s="82" t="s">
        <v>282</v>
      </c>
      <c r="D5764" s="83">
        <f>SUMIFS(D5765:D6462,K5765:K6462,"0",B5765:B6462,"5 1 3 9 8 12 31111 6 M59 10700 000132 0000R 00001 00398 015 2111300 2024 CP1GB435 001*")-SUMIFS(E5765:E6462,K5765:K6462,"0",B5765:B6462,"5 1 3 9 8 12 31111 6 M59 10700 000132 0000R 00001 00398 015 2111300 2024 CP1GB435 001*")</f>
        <v>0</v>
      </c>
      <c r="E5764" s="54"/>
      <c r="F5764" s="83">
        <f>SUMIFS(F5765:F6462,K5765:K6462,"0",B5765:B6462,"5 1 3 9 8 12 31111 6 M59 10700 000132 0000R 00001 00398 015 2111300 2024 CP1GB435 001*")</f>
        <v>2191.11</v>
      </c>
      <c r="G5764" s="83">
        <f>SUMIFS(G5765:G6462,K5765:K6462,"0",B5765:B6462,"5 1 3 9 8 12 31111 6 M59 10700 000132 0000R 00001 00398 015 2111300 2024 CP1GB435 001*")</f>
        <v>0</v>
      </c>
      <c r="H5764" s="83">
        <f t="shared" si="90"/>
        <v>2191.11</v>
      </c>
      <c r="I5764" s="83"/>
      <c r="K5764" s="54" t="s">
        <v>15</v>
      </c>
    </row>
    <row r="5765" spans="2:11" ht="33" x14ac:dyDescent="0.2">
      <c r="B5765" s="84" t="s">
        <v>9309</v>
      </c>
      <c r="C5765" s="84" t="s">
        <v>9254</v>
      </c>
      <c r="D5765" s="85">
        <v>0</v>
      </c>
      <c r="E5765" s="85"/>
      <c r="F5765" s="85">
        <v>2191.11</v>
      </c>
      <c r="G5765" s="85">
        <v>0</v>
      </c>
      <c r="H5765" s="85">
        <f t="shared" si="90"/>
        <v>2191.11</v>
      </c>
      <c r="I5765" s="85"/>
      <c r="K5765" s="54" t="s">
        <v>38</v>
      </c>
    </row>
    <row r="5766" spans="2:11" ht="16.5" x14ac:dyDescent="0.2">
      <c r="B5766" s="82" t="s">
        <v>9310</v>
      </c>
      <c r="C5766" s="82" t="s">
        <v>3008</v>
      </c>
      <c r="D5766" s="83">
        <f>SUMIFS(D5767:D6462,K5767:K6462,"0",B5767:B6462,"5 1 3 9 8 12 31111 6 M59 10800*")-SUMIFS(E5767:E6462,K5767:K6462,"0",B5767:B6462,"5 1 3 9 8 12 31111 6 M59 10800*")</f>
        <v>0</v>
      </c>
      <c r="E5766" s="54"/>
      <c r="F5766" s="83">
        <f>SUMIFS(F5767:F6462,K5767:K6462,"0",B5767:B6462,"5 1 3 9 8 12 31111 6 M59 10800*")</f>
        <v>66868.63</v>
      </c>
      <c r="G5766" s="83">
        <f>SUMIFS(G5767:G6462,K5767:K6462,"0",B5767:B6462,"5 1 3 9 8 12 31111 6 M59 10800*")</f>
        <v>0</v>
      </c>
      <c r="H5766" s="83">
        <f t="shared" si="90"/>
        <v>66868.63</v>
      </c>
      <c r="I5766" s="83"/>
      <c r="K5766" s="54" t="s">
        <v>15</v>
      </c>
    </row>
    <row r="5767" spans="2:11" ht="16.5" x14ac:dyDescent="0.2">
      <c r="B5767" s="82" t="s">
        <v>9311</v>
      </c>
      <c r="C5767" s="82" t="s">
        <v>648</v>
      </c>
      <c r="D5767" s="83">
        <f>SUMIFS(D5768:D6462,K5768:K6462,"0",B5768:B6462,"5 1 3 9 8 12 31111 6 M59 10800 000132*")-SUMIFS(E5768:E6462,K5768:K6462,"0",B5768:B6462,"5 1 3 9 8 12 31111 6 M59 10800 000132*")</f>
        <v>0</v>
      </c>
      <c r="E5767" s="54"/>
      <c r="F5767" s="83">
        <f>SUMIFS(F5768:F6462,K5768:K6462,"0",B5768:B6462,"5 1 3 9 8 12 31111 6 M59 10800 000132*")</f>
        <v>66868.63</v>
      </c>
      <c r="G5767" s="83">
        <f>SUMIFS(G5768:G6462,K5768:K6462,"0",B5768:B6462,"5 1 3 9 8 12 31111 6 M59 10800 000132*")</f>
        <v>0</v>
      </c>
      <c r="H5767" s="83">
        <f t="shared" si="90"/>
        <v>66868.63</v>
      </c>
      <c r="I5767" s="83"/>
      <c r="K5767" s="54" t="s">
        <v>15</v>
      </c>
    </row>
    <row r="5768" spans="2:11" ht="24.75" x14ac:dyDescent="0.2">
      <c r="B5768" s="82" t="s">
        <v>9312</v>
      </c>
      <c r="C5768" s="82" t="s">
        <v>650</v>
      </c>
      <c r="D5768" s="83">
        <f>SUMIFS(D5769:D6462,K5769:K6462,"0",B5769:B6462,"5 1 3 9 8 12 31111 6 M59 10800 000132 0000R*")-SUMIFS(E5769:E6462,K5769:K6462,"0",B5769:B6462,"5 1 3 9 8 12 31111 6 M59 10800 000132 0000R*")</f>
        <v>0</v>
      </c>
      <c r="E5768" s="54"/>
      <c r="F5768" s="83">
        <f>SUMIFS(F5769:F6462,K5769:K6462,"0",B5769:B6462,"5 1 3 9 8 12 31111 6 M59 10800 000132 0000R*")</f>
        <v>66868.63</v>
      </c>
      <c r="G5768" s="83">
        <f>SUMIFS(G5769:G6462,K5769:K6462,"0",B5769:B6462,"5 1 3 9 8 12 31111 6 M59 10800 000132 0000R*")</f>
        <v>0</v>
      </c>
      <c r="H5768" s="83">
        <f t="shared" si="90"/>
        <v>66868.63</v>
      </c>
      <c r="I5768" s="83"/>
      <c r="K5768" s="54" t="s">
        <v>15</v>
      </c>
    </row>
    <row r="5769" spans="2:11" ht="24.75" x14ac:dyDescent="0.2">
      <c r="B5769" s="82" t="s">
        <v>9313</v>
      </c>
      <c r="C5769" s="82" t="s">
        <v>282</v>
      </c>
      <c r="D5769" s="83">
        <f>SUMIFS(D5770:D6462,K5770:K6462,"0",B5770:B6462,"5 1 3 9 8 12 31111 6 M59 10800 000132 0000R 00001*")-SUMIFS(E5770:E6462,K5770:K6462,"0",B5770:B6462,"5 1 3 9 8 12 31111 6 M59 10800 000132 0000R 00001*")</f>
        <v>0</v>
      </c>
      <c r="E5769" s="54"/>
      <c r="F5769" s="83">
        <f>SUMIFS(F5770:F6462,K5770:K6462,"0",B5770:B6462,"5 1 3 9 8 12 31111 6 M59 10800 000132 0000R 00001*")</f>
        <v>66868.63</v>
      </c>
      <c r="G5769" s="83">
        <f>SUMIFS(G5770:G6462,K5770:K6462,"0",B5770:B6462,"5 1 3 9 8 12 31111 6 M59 10800 000132 0000R 00001*")</f>
        <v>0</v>
      </c>
      <c r="H5769" s="83">
        <f t="shared" si="90"/>
        <v>66868.63</v>
      </c>
      <c r="I5769" s="83"/>
      <c r="K5769" s="54" t="s">
        <v>15</v>
      </c>
    </row>
    <row r="5770" spans="2:11" ht="24.75" x14ac:dyDescent="0.2">
      <c r="B5770" s="82" t="s">
        <v>9314</v>
      </c>
      <c r="C5770" s="82" t="s">
        <v>9247</v>
      </c>
      <c r="D5770" s="83">
        <f>SUMIFS(D5771:D6462,K5771:K6462,"0",B5771:B6462,"5 1 3 9 8 12 31111 6 M59 10800 000132 0000R 00001 00398*")-SUMIFS(E5771:E6462,K5771:K6462,"0",B5771:B6462,"5 1 3 9 8 12 31111 6 M59 10800 000132 0000R 00001 00398*")</f>
        <v>0</v>
      </c>
      <c r="E5770" s="54"/>
      <c r="F5770" s="83">
        <f>SUMIFS(F5771:F6462,K5771:K6462,"0",B5771:B6462,"5 1 3 9 8 12 31111 6 M59 10800 000132 0000R 00001 00398*")</f>
        <v>66868.63</v>
      </c>
      <c r="G5770" s="83">
        <f>SUMIFS(G5771:G6462,K5771:K6462,"0",B5771:B6462,"5 1 3 9 8 12 31111 6 M59 10800 000132 0000R 00001 00398*")</f>
        <v>0</v>
      </c>
      <c r="H5770" s="83">
        <f t="shared" si="90"/>
        <v>66868.63</v>
      </c>
      <c r="I5770" s="83"/>
      <c r="K5770" s="54" t="s">
        <v>15</v>
      </c>
    </row>
    <row r="5771" spans="2:11" ht="33" x14ac:dyDescent="0.2">
      <c r="B5771" s="82" t="s">
        <v>9315</v>
      </c>
      <c r="C5771" s="82" t="s">
        <v>1051</v>
      </c>
      <c r="D5771" s="83">
        <f>SUMIFS(D5772:D6462,K5772:K6462,"0",B5772:B6462,"5 1 3 9 8 12 31111 6 M59 10800 000132 0000R 00001 00398 015*")-SUMIFS(E5772:E6462,K5772:K6462,"0",B5772:B6462,"5 1 3 9 8 12 31111 6 M59 10800 000132 0000R 00001 00398 015*")</f>
        <v>0</v>
      </c>
      <c r="E5771" s="54"/>
      <c r="F5771" s="83">
        <f>SUMIFS(F5772:F6462,K5772:K6462,"0",B5772:B6462,"5 1 3 9 8 12 31111 6 M59 10800 000132 0000R 00001 00398 015*")</f>
        <v>66868.63</v>
      </c>
      <c r="G5771" s="83">
        <f>SUMIFS(G5772:G6462,K5772:K6462,"0",B5772:B6462,"5 1 3 9 8 12 31111 6 M59 10800 000132 0000R 00001 00398 015*")</f>
        <v>0</v>
      </c>
      <c r="H5771" s="83">
        <f t="shared" si="90"/>
        <v>66868.63</v>
      </c>
      <c r="I5771" s="83"/>
      <c r="K5771" s="54" t="s">
        <v>15</v>
      </c>
    </row>
    <row r="5772" spans="2:11" ht="33" x14ac:dyDescent="0.2">
      <c r="B5772" s="82" t="s">
        <v>9316</v>
      </c>
      <c r="C5772" s="82" t="s">
        <v>8550</v>
      </c>
      <c r="D5772" s="83">
        <f>SUMIFS(D5773:D6462,K5773:K6462,"0",B5773:B6462,"5 1 3 9 8 12 31111 6 M59 10800 000132 0000R 00001 00398 015 2111300*")-SUMIFS(E5773:E6462,K5773:K6462,"0",B5773:B6462,"5 1 3 9 8 12 31111 6 M59 10800 000132 0000R 00001 00398 015 2111300*")</f>
        <v>0</v>
      </c>
      <c r="E5772" s="54"/>
      <c r="F5772" s="83">
        <f>SUMIFS(F5773:F6462,K5773:K6462,"0",B5773:B6462,"5 1 3 9 8 12 31111 6 M59 10800 000132 0000R 00001 00398 015 2111300*")</f>
        <v>66868.63</v>
      </c>
      <c r="G5772" s="83">
        <f>SUMIFS(G5773:G6462,K5773:K6462,"0",B5773:B6462,"5 1 3 9 8 12 31111 6 M59 10800 000132 0000R 00001 00398 015 2111300*")</f>
        <v>0</v>
      </c>
      <c r="H5772" s="83">
        <f t="shared" si="90"/>
        <v>66868.63</v>
      </c>
      <c r="I5772" s="83"/>
      <c r="K5772" s="54" t="s">
        <v>15</v>
      </c>
    </row>
    <row r="5773" spans="2:11" ht="33" x14ac:dyDescent="0.2">
      <c r="B5773" s="82" t="s">
        <v>9317</v>
      </c>
      <c r="C5773" s="82" t="s">
        <v>660</v>
      </c>
      <c r="D5773" s="83">
        <f>SUMIFS(D5774:D6462,K5774:K6462,"0",B5774:B6462,"5 1 3 9 8 12 31111 6 M59 10800 000132 0000R 00001 00398 015 2111300 2024*")-SUMIFS(E5774:E6462,K5774:K6462,"0",B5774:B6462,"5 1 3 9 8 12 31111 6 M59 10800 000132 0000R 00001 00398 015 2111300 2024*")</f>
        <v>0</v>
      </c>
      <c r="E5773" s="54"/>
      <c r="F5773" s="83">
        <f>SUMIFS(F5774:F6462,K5774:K6462,"0",B5774:B6462,"5 1 3 9 8 12 31111 6 M59 10800 000132 0000R 00001 00398 015 2111300 2024*")</f>
        <v>66868.63</v>
      </c>
      <c r="G5773" s="83">
        <f>SUMIFS(G5774:G6462,K5774:K6462,"0",B5774:B6462,"5 1 3 9 8 12 31111 6 M59 10800 000132 0000R 00001 00398 015 2111300 2024*")</f>
        <v>0</v>
      </c>
      <c r="H5773" s="83">
        <f t="shared" si="90"/>
        <v>66868.63</v>
      </c>
      <c r="I5773" s="83"/>
      <c r="K5773" s="54" t="s">
        <v>15</v>
      </c>
    </row>
    <row r="5774" spans="2:11" ht="41.25" x14ac:dyDescent="0.2">
      <c r="B5774" s="82" t="s">
        <v>9318</v>
      </c>
      <c r="C5774" s="82" t="s">
        <v>662</v>
      </c>
      <c r="D5774" s="83">
        <f>SUMIFS(D5775:D6462,K5775:K6462,"0",B5775:B6462,"5 1 3 9 8 12 31111 6 M59 10800 000132 0000R 00001 00398 015 2111300 2024 CP1SR390*")-SUMIFS(E5775:E6462,K5775:K6462,"0",B5775:B6462,"5 1 3 9 8 12 31111 6 M59 10800 000132 0000R 00001 00398 015 2111300 2024 CP1SR390*")</f>
        <v>0</v>
      </c>
      <c r="E5774" s="54"/>
      <c r="F5774" s="83">
        <f>SUMIFS(F5775:F6462,K5775:K6462,"0",B5775:B6462,"5 1 3 9 8 12 31111 6 M59 10800 000132 0000R 00001 00398 015 2111300 2024 CP1SR390*")</f>
        <v>66868.63</v>
      </c>
      <c r="G5774" s="83">
        <f>SUMIFS(G5775:G6462,K5775:K6462,"0",B5775:B6462,"5 1 3 9 8 12 31111 6 M59 10800 000132 0000R 00001 00398 015 2111300 2024 CP1SR390*")</f>
        <v>0</v>
      </c>
      <c r="H5774" s="83">
        <f t="shared" si="90"/>
        <v>66868.63</v>
      </c>
      <c r="I5774" s="83"/>
      <c r="K5774" s="54" t="s">
        <v>15</v>
      </c>
    </row>
    <row r="5775" spans="2:11" ht="41.25" x14ac:dyDescent="0.2">
      <c r="B5775" s="82" t="s">
        <v>9319</v>
      </c>
      <c r="C5775" s="82" t="s">
        <v>282</v>
      </c>
      <c r="D5775" s="83">
        <f>SUMIFS(D5776:D6462,K5776:K6462,"0",B5776:B6462,"5 1 3 9 8 12 31111 6 M59 10800 000132 0000R 00001 00398 015 2111300 2024 CP1SR390 001*")-SUMIFS(E5776:E6462,K5776:K6462,"0",B5776:B6462,"5 1 3 9 8 12 31111 6 M59 10800 000132 0000R 00001 00398 015 2111300 2024 CP1SR390 001*")</f>
        <v>0</v>
      </c>
      <c r="E5775" s="54"/>
      <c r="F5775" s="83">
        <f>SUMIFS(F5776:F6462,K5776:K6462,"0",B5776:B6462,"5 1 3 9 8 12 31111 6 M59 10800 000132 0000R 00001 00398 015 2111300 2024 CP1SR390 001*")</f>
        <v>66868.63</v>
      </c>
      <c r="G5775" s="83">
        <f>SUMIFS(G5776:G6462,K5776:K6462,"0",B5776:B6462,"5 1 3 9 8 12 31111 6 M59 10800 000132 0000R 00001 00398 015 2111300 2024 CP1SR390 001*")</f>
        <v>0</v>
      </c>
      <c r="H5775" s="83">
        <f t="shared" si="90"/>
        <v>66868.63</v>
      </c>
      <c r="I5775" s="83"/>
      <c r="K5775" s="54" t="s">
        <v>15</v>
      </c>
    </row>
    <row r="5776" spans="2:11" ht="33" x14ac:dyDescent="0.2">
      <c r="B5776" s="84" t="s">
        <v>9320</v>
      </c>
      <c r="C5776" s="84" t="s">
        <v>9254</v>
      </c>
      <c r="D5776" s="85">
        <v>0</v>
      </c>
      <c r="E5776" s="85"/>
      <c r="F5776" s="85">
        <v>66868.63</v>
      </c>
      <c r="G5776" s="85">
        <v>0</v>
      </c>
      <c r="H5776" s="85">
        <f t="shared" si="90"/>
        <v>66868.63</v>
      </c>
      <c r="I5776" s="85"/>
      <c r="K5776" s="54" t="s">
        <v>38</v>
      </c>
    </row>
    <row r="5777" spans="2:11" ht="16.5" x14ac:dyDescent="0.2">
      <c r="B5777" s="82" t="s">
        <v>9321</v>
      </c>
      <c r="C5777" s="82" t="s">
        <v>3020</v>
      </c>
      <c r="D5777" s="83">
        <f>SUMIFS(D5778:D6462,K5778:K6462,"0",B5778:B6462,"5 1 3 9 8 12 31111 6 M59 11000*")-SUMIFS(E5778:E6462,K5778:K6462,"0",B5778:B6462,"5 1 3 9 8 12 31111 6 M59 11000*")</f>
        <v>0</v>
      </c>
      <c r="E5777" s="54"/>
      <c r="F5777" s="83">
        <f>SUMIFS(F5778:F6462,K5778:K6462,"0",B5778:B6462,"5 1 3 9 8 12 31111 6 M59 11000*")</f>
        <v>16929.75</v>
      </c>
      <c r="G5777" s="83">
        <f>SUMIFS(G5778:G6462,K5778:K6462,"0",B5778:B6462,"5 1 3 9 8 12 31111 6 M59 11000*")</f>
        <v>0</v>
      </c>
      <c r="H5777" s="83">
        <f t="shared" si="90"/>
        <v>16929.75</v>
      </c>
      <c r="I5777" s="83"/>
      <c r="K5777" s="54" t="s">
        <v>15</v>
      </c>
    </row>
    <row r="5778" spans="2:11" ht="16.5" x14ac:dyDescent="0.2">
      <c r="B5778" s="82" t="s">
        <v>9322</v>
      </c>
      <c r="C5778" s="82" t="s">
        <v>648</v>
      </c>
      <c r="D5778" s="83">
        <f>SUMIFS(D5779:D6462,K5779:K6462,"0",B5779:B6462,"5 1 3 9 8 12 31111 6 M59 11000 000132*")-SUMIFS(E5779:E6462,K5779:K6462,"0",B5779:B6462,"5 1 3 9 8 12 31111 6 M59 11000 000132*")</f>
        <v>0</v>
      </c>
      <c r="E5778" s="54"/>
      <c r="F5778" s="83">
        <f>SUMIFS(F5779:F6462,K5779:K6462,"0",B5779:B6462,"5 1 3 9 8 12 31111 6 M59 11000 000132*")</f>
        <v>16929.75</v>
      </c>
      <c r="G5778" s="83">
        <f>SUMIFS(G5779:G6462,K5779:K6462,"0",B5779:B6462,"5 1 3 9 8 12 31111 6 M59 11000 000132*")</f>
        <v>0</v>
      </c>
      <c r="H5778" s="83">
        <f t="shared" si="90"/>
        <v>16929.75</v>
      </c>
      <c r="I5778" s="83"/>
      <c r="K5778" s="54" t="s">
        <v>15</v>
      </c>
    </row>
    <row r="5779" spans="2:11" ht="24.75" x14ac:dyDescent="0.2">
      <c r="B5779" s="82" t="s">
        <v>9323</v>
      </c>
      <c r="C5779" s="82" t="s">
        <v>650</v>
      </c>
      <c r="D5779" s="83">
        <f>SUMIFS(D5780:D6462,K5780:K6462,"0",B5780:B6462,"5 1 3 9 8 12 31111 6 M59 11000 000132 0000R*")-SUMIFS(E5780:E6462,K5780:K6462,"0",B5780:B6462,"5 1 3 9 8 12 31111 6 M59 11000 000132 0000R*")</f>
        <v>0</v>
      </c>
      <c r="E5779" s="54"/>
      <c r="F5779" s="83">
        <f>SUMIFS(F5780:F6462,K5780:K6462,"0",B5780:B6462,"5 1 3 9 8 12 31111 6 M59 11000 000132 0000R*")</f>
        <v>16929.75</v>
      </c>
      <c r="G5779" s="83">
        <f>SUMIFS(G5780:G6462,K5780:K6462,"0",B5780:B6462,"5 1 3 9 8 12 31111 6 M59 11000 000132 0000R*")</f>
        <v>0</v>
      </c>
      <c r="H5779" s="83">
        <f t="shared" si="90"/>
        <v>16929.75</v>
      </c>
      <c r="I5779" s="83"/>
      <c r="K5779" s="54" t="s">
        <v>15</v>
      </c>
    </row>
    <row r="5780" spans="2:11" ht="24.75" x14ac:dyDescent="0.2">
      <c r="B5780" s="82" t="s">
        <v>9324</v>
      </c>
      <c r="C5780" s="82" t="s">
        <v>282</v>
      </c>
      <c r="D5780" s="83">
        <f>SUMIFS(D5781:D6462,K5781:K6462,"0",B5781:B6462,"5 1 3 9 8 12 31111 6 M59 11000 000132 0000R 00001*")-SUMIFS(E5781:E6462,K5781:K6462,"0",B5781:B6462,"5 1 3 9 8 12 31111 6 M59 11000 000132 0000R 00001*")</f>
        <v>0</v>
      </c>
      <c r="E5780" s="54"/>
      <c r="F5780" s="83">
        <f>SUMIFS(F5781:F6462,K5781:K6462,"0",B5781:B6462,"5 1 3 9 8 12 31111 6 M59 11000 000132 0000R 00001*")</f>
        <v>16929.75</v>
      </c>
      <c r="G5780" s="83">
        <f>SUMIFS(G5781:G6462,K5781:K6462,"0",B5781:B6462,"5 1 3 9 8 12 31111 6 M59 11000 000132 0000R 00001*")</f>
        <v>0</v>
      </c>
      <c r="H5780" s="83">
        <f t="shared" si="90"/>
        <v>16929.75</v>
      </c>
      <c r="I5780" s="83"/>
      <c r="K5780" s="54" t="s">
        <v>15</v>
      </c>
    </row>
    <row r="5781" spans="2:11" ht="24.75" x14ac:dyDescent="0.2">
      <c r="B5781" s="82" t="s">
        <v>9325</v>
      </c>
      <c r="C5781" s="82" t="s">
        <v>9247</v>
      </c>
      <c r="D5781" s="83">
        <f>SUMIFS(D5782:D6462,K5782:K6462,"0",B5782:B6462,"5 1 3 9 8 12 31111 6 M59 11000 000132 0000R 00001 00398*")-SUMIFS(E5782:E6462,K5782:K6462,"0",B5782:B6462,"5 1 3 9 8 12 31111 6 M59 11000 000132 0000R 00001 00398*")</f>
        <v>0</v>
      </c>
      <c r="E5781" s="54"/>
      <c r="F5781" s="83">
        <f>SUMIFS(F5782:F6462,K5782:K6462,"0",B5782:B6462,"5 1 3 9 8 12 31111 6 M59 11000 000132 0000R 00001 00398*")</f>
        <v>16929.75</v>
      </c>
      <c r="G5781" s="83">
        <f>SUMIFS(G5782:G6462,K5782:K6462,"0",B5782:B6462,"5 1 3 9 8 12 31111 6 M59 11000 000132 0000R 00001 00398*")</f>
        <v>0</v>
      </c>
      <c r="H5781" s="83">
        <f t="shared" si="90"/>
        <v>16929.75</v>
      </c>
      <c r="I5781" s="83"/>
      <c r="K5781" s="54" t="s">
        <v>15</v>
      </c>
    </row>
    <row r="5782" spans="2:11" ht="33" x14ac:dyDescent="0.2">
      <c r="B5782" s="82" t="s">
        <v>9326</v>
      </c>
      <c r="C5782" s="82" t="s">
        <v>1051</v>
      </c>
      <c r="D5782" s="83">
        <f>SUMIFS(D5783:D6462,K5783:K6462,"0",B5783:B6462,"5 1 3 9 8 12 31111 6 M59 11000 000132 0000R 00001 00398 015*")-SUMIFS(E5783:E6462,K5783:K6462,"0",B5783:B6462,"5 1 3 9 8 12 31111 6 M59 11000 000132 0000R 00001 00398 015*")</f>
        <v>0</v>
      </c>
      <c r="E5782" s="54"/>
      <c r="F5782" s="83">
        <f>SUMIFS(F5783:F6462,K5783:K6462,"0",B5783:B6462,"5 1 3 9 8 12 31111 6 M59 11000 000132 0000R 00001 00398 015*")</f>
        <v>16929.75</v>
      </c>
      <c r="G5782" s="83">
        <f>SUMIFS(G5783:G6462,K5783:K6462,"0",B5783:B6462,"5 1 3 9 8 12 31111 6 M59 11000 000132 0000R 00001 00398 015*")</f>
        <v>0</v>
      </c>
      <c r="H5782" s="83">
        <f t="shared" si="90"/>
        <v>16929.75</v>
      </c>
      <c r="I5782" s="83"/>
      <c r="K5782" s="54" t="s">
        <v>15</v>
      </c>
    </row>
    <row r="5783" spans="2:11" ht="33" x14ac:dyDescent="0.2">
      <c r="B5783" s="82" t="s">
        <v>9327</v>
      </c>
      <c r="C5783" s="82" t="s">
        <v>8550</v>
      </c>
      <c r="D5783" s="83">
        <f>SUMIFS(D5784:D6462,K5784:K6462,"0",B5784:B6462,"5 1 3 9 8 12 31111 6 M59 11000 000132 0000R 00001 00398 015 2111300*")-SUMIFS(E5784:E6462,K5784:K6462,"0",B5784:B6462,"5 1 3 9 8 12 31111 6 M59 11000 000132 0000R 00001 00398 015 2111300*")</f>
        <v>0</v>
      </c>
      <c r="E5783" s="54"/>
      <c r="F5783" s="83">
        <f>SUMIFS(F5784:F6462,K5784:K6462,"0",B5784:B6462,"5 1 3 9 8 12 31111 6 M59 11000 000132 0000R 00001 00398 015 2111300*")</f>
        <v>16929.75</v>
      </c>
      <c r="G5783" s="83">
        <f>SUMIFS(G5784:G6462,K5784:K6462,"0",B5784:B6462,"5 1 3 9 8 12 31111 6 M59 11000 000132 0000R 00001 00398 015 2111300*")</f>
        <v>0</v>
      </c>
      <c r="H5783" s="83">
        <f t="shared" si="90"/>
        <v>16929.75</v>
      </c>
      <c r="I5783" s="83"/>
      <c r="K5783" s="54" t="s">
        <v>15</v>
      </c>
    </row>
    <row r="5784" spans="2:11" ht="33" x14ac:dyDescent="0.2">
      <c r="B5784" s="82" t="s">
        <v>9328</v>
      </c>
      <c r="C5784" s="82" t="s">
        <v>660</v>
      </c>
      <c r="D5784" s="83">
        <f>SUMIFS(D5785:D6462,K5785:K6462,"0",B5785:B6462,"5 1 3 9 8 12 31111 6 M59 11000 000132 0000R 00001 00398 015 2111300 2024*")-SUMIFS(E5785:E6462,K5785:K6462,"0",B5785:B6462,"5 1 3 9 8 12 31111 6 M59 11000 000132 0000R 00001 00398 015 2111300 2024*")</f>
        <v>0</v>
      </c>
      <c r="E5784" s="54"/>
      <c r="F5784" s="83">
        <f>SUMIFS(F5785:F6462,K5785:K6462,"0",B5785:B6462,"5 1 3 9 8 12 31111 6 M59 11000 000132 0000R 00001 00398 015 2111300 2024*")</f>
        <v>16929.75</v>
      </c>
      <c r="G5784" s="83">
        <f>SUMIFS(G5785:G6462,K5785:K6462,"0",B5785:B6462,"5 1 3 9 8 12 31111 6 M59 11000 000132 0000R 00001 00398 015 2111300 2024*")</f>
        <v>0</v>
      </c>
      <c r="H5784" s="83">
        <f t="shared" si="90"/>
        <v>16929.75</v>
      </c>
      <c r="I5784" s="83"/>
      <c r="K5784" s="54" t="s">
        <v>15</v>
      </c>
    </row>
    <row r="5785" spans="2:11" ht="41.25" x14ac:dyDescent="0.2">
      <c r="B5785" s="82" t="s">
        <v>9329</v>
      </c>
      <c r="C5785" s="82" t="s">
        <v>1056</v>
      </c>
      <c r="D5785" s="83">
        <f>SUMIFS(D5786:D6462,K5786:K6462,"0",B5786:B6462,"5 1 3 9 8 12 31111 6 M59 11000 000132 0000R 00001 00398 015 2111300 2024 CP1SM382*")-SUMIFS(E5786:E6462,K5786:K6462,"0",B5786:B6462,"5 1 3 9 8 12 31111 6 M59 11000 000132 0000R 00001 00398 015 2111300 2024 CP1SM382*")</f>
        <v>0</v>
      </c>
      <c r="E5785" s="54"/>
      <c r="F5785" s="83">
        <f>SUMIFS(F5786:F6462,K5786:K6462,"0",B5786:B6462,"5 1 3 9 8 12 31111 6 M59 11000 000132 0000R 00001 00398 015 2111300 2024 CP1SM382*")</f>
        <v>16929.75</v>
      </c>
      <c r="G5785" s="83">
        <f>SUMIFS(G5786:G6462,K5786:K6462,"0",B5786:B6462,"5 1 3 9 8 12 31111 6 M59 11000 000132 0000R 00001 00398 015 2111300 2024 CP1SM382*")</f>
        <v>0</v>
      </c>
      <c r="H5785" s="83">
        <f t="shared" si="90"/>
        <v>16929.75</v>
      </c>
      <c r="I5785" s="83"/>
      <c r="K5785" s="54" t="s">
        <v>15</v>
      </c>
    </row>
    <row r="5786" spans="2:11" ht="41.25" x14ac:dyDescent="0.2">
      <c r="B5786" s="82" t="s">
        <v>9330</v>
      </c>
      <c r="C5786" s="82" t="s">
        <v>282</v>
      </c>
      <c r="D5786" s="83">
        <f>SUMIFS(D5787:D6462,K5787:K6462,"0",B5787:B6462,"5 1 3 9 8 12 31111 6 M59 11000 000132 0000R 00001 00398 015 2111300 2024 CP1SM382 001*")-SUMIFS(E5787:E6462,K5787:K6462,"0",B5787:B6462,"5 1 3 9 8 12 31111 6 M59 11000 000132 0000R 00001 00398 015 2111300 2024 CP1SM382 001*")</f>
        <v>0</v>
      </c>
      <c r="E5786" s="54"/>
      <c r="F5786" s="83">
        <f>SUMIFS(F5787:F6462,K5787:K6462,"0",B5787:B6462,"5 1 3 9 8 12 31111 6 M59 11000 000132 0000R 00001 00398 015 2111300 2024 CP1SM382 001*")</f>
        <v>16929.75</v>
      </c>
      <c r="G5786" s="83">
        <f>SUMIFS(G5787:G6462,K5787:K6462,"0",B5787:B6462,"5 1 3 9 8 12 31111 6 M59 11000 000132 0000R 00001 00398 015 2111300 2024 CP1SM382 001*")</f>
        <v>0</v>
      </c>
      <c r="H5786" s="83">
        <f t="shared" si="90"/>
        <v>16929.75</v>
      </c>
      <c r="I5786" s="83"/>
      <c r="K5786" s="54" t="s">
        <v>15</v>
      </c>
    </row>
    <row r="5787" spans="2:11" ht="33" x14ac:dyDescent="0.2">
      <c r="B5787" s="84" t="s">
        <v>9331</v>
      </c>
      <c r="C5787" s="84" t="s">
        <v>9254</v>
      </c>
      <c r="D5787" s="85">
        <v>0</v>
      </c>
      <c r="E5787" s="85"/>
      <c r="F5787" s="85">
        <v>16929.75</v>
      </c>
      <c r="G5787" s="85">
        <v>0</v>
      </c>
      <c r="H5787" s="85">
        <f t="shared" si="90"/>
        <v>16929.75</v>
      </c>
      <c r="I5787" s="85"/>
      <c r="K5787" s="54" t="s">
        <v>38</v>
      </c>
    </row>
    <row r="5788" spans="2:11" ht="16.5" x14ac:dyDescent="0.2">
      <c r="B5788" s="82" t="s">
        <v>9332</v>
      </c>
      <c r="C5788" s="82" t="s">
        <v>3032</v>
      </c>
      <c r="D5788" s="83">
        <f>SUMIFS(D5789:D6462,K5789:K6462,"0",B5789:B6462,"5 1 3 9 8 12 31111 6 M59 12000*")-SUMIFS(E5789:E6462,K5789:K6462,"0",B5789:B6462,"5 1 3 9 8 12 31111 6 M59 12000*")</f>
        <v>0</v>
      </c>
      <c r="E5788" s="54"/>
      <c r="F5788" s="83">
        <f>SUMIFS(F5789:F6462,K5789:K6462,"0",B5789:B6462,"5 1 3 9 8 12 31111 6 M59 12000*")</f>
        <v>4516.46</v>
      </c>
      <c r="G5788" s="83">
        <f>SUMIFS(G5789:G6462,K5789:K6462,"0",B5789:B6462,"5 1 3 9 8 12 31111 6 M59 12000*")</f>
        <v>0</v>
      </c>
      <c r="H5788" s="83">
        <f t="shared" si="90"/>
        <v>4516.46</v>
      </c>
      <c r="I5788" s="83"/>
      <c r="K5788" s="54" t="s">
        <v>15</v>
      </c>
    </row>
    <row r="5789" spans="2:11" ht="16.5" x14ac:dyDescent="0.2">
      <c r="B5789" s="82" t="s">
        <v>9333</v>
      </c>
      <c r="C5789" s="82" t="s">
        <v>3034</v>
      </c>
      <c r="D5789" s="83">
        <f>SUMIFS(D5790:D6462,K5790:K6462,"0",B5790:B6462,"5 1 3 9 8 12 31111 6 M59 12000 000121*")-SUMIFS(E5790:E6462,K5790:K6462,"0",B5790:B6462,"5 1 3 9 8 12 31111 6 M59 12000 000121*")</f>
        <v>0</v>
      </c>
      <c r="E5789" s="54"/>
      <c r="F5789" s="83">
        <f>SUMIFS(F5790:F6462,K5790:K6462,"0",B5790:B6462,"5 1 3 9 8 12 31111 6 M59 12000 000121*")</f>
        <v>4516.46</v>
      </c>
      <c r="G5789" s="83">
        <f>SUMIFS(G5790:G6462,K5790:K6462,"0",B5790:B6462,"5 1 3 9 8 12 31111 6 M59 12000 000121*")</f>
        <v>0</v>
      </c>
      <c r="H5789" s="83">
        <f t="shared" si="90"/>
        <v>4516.46</v>
      </c>
      <c r="I5789" s="83"/>
      <c r="K5789" s="54" t="s">
        <v>15</v>
      </c>
    </row>
    <row r="5790" spans="2:11" ht="24.75" x14ac:dyDescent="0.2">
      <c r="B5790" s="82" t="s">
        <v>9334</v>
      </c>
      <c r="C5790" s="82" t="s">
        <v>1065</v>
      </c>
      <c r="D5790" s="83">
        <f>SUMIFS(D5791:D6462,K5791:K6462,"0",B5791:B6462,"5 1 3 9 8 12 31111 6 M59 12000 000121 0000E*")-SUMIFS(E5791:E6462,K5791:K6462,"0",B5791:B6462,"5 1 3 9 8 12 31111 6 M59 12000 000121 0000E*")</f>
        <v>0</v>
      </c>
      <c r="E5790" s="54"/>
      <c r="F5790" s="83">
        <f>SUMIFS(F5791:F6462,K5791:K6462,"0",B5791:B6462,"5 1 3 9 8 12 31111 6 M59 12000 000121 0000E*")</f>
        <v>4516.46</v>
      </c>
      <c r="G5790" s="83">
        <f>SUMIFS(G5791:G6462,K5791:K6462,"0",B5791:B6462,"5 1 3 9 8 12 31111 6 M59 12000 000121 0000E*")</f>
        <v>0</v>
      </c>
      <c r="H5790" s="83">
        <f t="shared" si="90"/>
        <v>4516.46</v>
      </c>
      <c r="I5790" s="83"/>
      <c r="K5790" s="54" t="s">
        <v>15</v>
      </c>
    </row>
    <row r="5791" spans="2:11" ht="24.75" x14ac:dyDescent="0.2">
      <c r="B5791" s="82" t="s">
        <v>9335</v>
      </c>
      <c r="C5791" s="82" t="s">
        <v>282</v>
      </c>
      <c r="D5791" s="83">
        <f>SUMIFS(D5792:D6462,K5792:K6462,"0",B5792:B6462,"5 1 3 9 8 12 31111 6 M59 12000 000121 0000E 00001*")-SUMIFS(E5792:E6462,K5792:K6462,"0",B5792:B6462,"5 1 3 9 8 12 31111 6 M59 12000 000121 0000E 00001*")</f>
        <v>0</v>
      </c>
      <c r="E5791" s="54"/>
      <c r="F5791" s="83">
        <f>SUMIFS(F5792:F6462,K5792:K6462,"0",B5792:B6462,"5 1 3 9 8 12 31111 6 M59 12000 000121 0000E 00001*")</f>
        <v>4516.46</v>
      </c>
      <c r="G5791" s="83">
        <f>SUMIFS(G5792:G6462,K5792:K6462,"0",B5792:B6462,"5 1 3 9 8 12 31111 6 M59 12000 000121 0000E 00001*")</f>
        <v>0</v>
      </c>
      <c r="H5791" s="83">
        <f t="shared" si="90"/>
        <v>4516.46</v>
      </c>
      <c r="I5791" s="83"/>
      <c r="K5791" s="54" t="s">
        <v>15</v>
      </c>
    </row>
    <row r="5792" spans="2:11" ht="24.75" x14ac:dyDescent="0.2">
      <c r="B5792" s="82" t="s">
        <v>9336</v>
      </c>
      <c r="C5792" s="82" t="s">
        <v>9247</v>
      </c>
      <c r="D5792" s="83">
        <f>SUMIFS(D5793:D6462,K5793:K6462,"0",B5793:B6462,"5 1 3 9 8 12 31111 6 M59 12000 000121 0000E 00001 00398*")-SUMIFS(E5793:E6462,K5793:K6462,"0",B5793:B6462,"5 1 3 9 8 12 31111 6 M59 12000 000121 0000E 00001 00398*")</f>
        <v>0</v>
      </c>
      <c r="E5792" s="54"/>
      <c r="F5792" s="83">
        <f>SUMIFS(F5793:F6462,K5793:K6462,"0",B5793:B6462,"5 1 3 9 8 12 31111 6 M59 12000 000121 0000E 00001 00398*")</f>
        <v>4516.46</v>
      </c>
      <c r="G5792" s="83">
        <f>SUMIFS(G5793:G6462,K5793:K6462,"0",B5793:B6462,"5 1 3 9 8 12 31111 6 M59 12000 000121 0000E 00001 00398*")</f>
        <v>0</v>
      </c>
      <c r="H5792" s="83">
        <f t="shared" si="90"/>
        <v>4516.46</v>
      </c>
      <c r="I5792" s="83"/>
      <c r="K5792" s="54" t="s">
        <v>15</v>
      </c>
    </row>
    <row r="5793" spans="2:11" ht="33" x14ac:dyDescent="0.2">
      <c r="B5793" s="82" t="s">
        <v>9337</v>
      </c>
      <c r="C5793" s="82" t="s">
        <v>1051</v>
      </c>
      <c r="D5793" s="83">
        <f>SUMIFS(D5794:D6462,K5794:K6462,"0",B5794:B6462,"5 1 3 9 8 12 31111 6 M59 12000 000121 0000E 00001 00398 015*")-SUMIFS(E5794:E6462,K5794:K6462,"0",B5794:B6462,"5 1 3 9 8 12 31111 6 M59 12000 000121 0000E 00001 00398 015*")</f>
        <v>0</v>
      </c>
      <c r="E5793" s="54"/>
      <c r="F5793" s="83">
        <f>SUMIFS(F5794:F6462,K5794:K6462,"0",B5794:B6462,"5 1 3 9 8 12 31111 6 M59 12000 000121 0000E 00001 00398 015*")</f>
        <v>4516.46</v>
      </c>
      <c r="G5793" s="83">
        <f>SUMIFS(G5794:G6462,K5794:K6462,"0",B5794:B6462,"5 1 3 9 8 12 31111 6 M59 12000 000121 0000E 00001 00398 015*")</f>
        <v>0</v>
      </c>
      <c r="H5793" s="83">
        <f t="shared" si="90"/>
        <v>4516.46</v>
      </c>
      <c r="I5793" s="83"/>
      <c r="K5793" s="54" t="s">
        <v>15</v>
      </c>
    </row>
    <row r="5794" spans="2:11" ht="33" x14ac:dyDescent="0.2">
      <c r="B5794" s="82" t="s">
        <v>9338</v>
      </c>
      <c r="C5794" s="82" t="s">
        <v>8550</v>
      </c>
      <c r="D5794" s="83">
        <f>SUMIFS(D5795:D6462,K5795:K6462,"0",B5795:B6462,"5 1 3 9 8 12 31111 6 M59 12000 000121 0000E 00001 00398 015 2111300*")-SUMIFS(E5795:E6462,K5795:K6462,"0",B5795:B6462,"5 1 3 9 8 12 31111 6 M59 12000 000121 0000E 00001 00398 015 2111300*")</f>
        <v>0</v>
      </c>
      <c r="E5794" s="54"/>
      <c r="F5794" s="83">
        <f>SUMIFS(F5795:F6462,K5795:K6462,"0",B5795:B6462,"5 1 3 9 8 12 31111 6 M59 12000 000121 0000E 00001 00398 015 2111300*")</f>
        <v>4516.46</v>
      </c>
      <c r="G5794" s="83">
        <f>SUMIFS(G5795:G6462,K5795:K6462,"0",B5795:B6462,"5 1 3 9 8 12 31111 6 M59 12000 000121 0000E 00001 00398 015 2111300*")</f>
        <v>0</v>
      </c>
      <c r="H5794" s="83">
        <f t="shared" si="90"/>
        <v>4516.46</v>
      </c>
      <c r="I5794" s="83"/>
      <c r="K5794" s="54" t="s">
        <v>15</v>
      </c>
    </row>
    <row r="5795" spans="2:11" ht="33" x14ac:dyDescent="0.2">
      <c r="B5795" s="82" t="s">
        <v>9339</v>
      </c>
      <c r="C5795" s="82" t="s">
        <v>660</v>
      </c>
      <c r="D5795" s="83">
        <f>SUMIFS(D5796:D6462,K5796:K6462,"0",B5796:B6462,"5 1 3 9 8 12 31111 6 M59 12000 000121 0000E 00001 00398 015 2111300 2024*")-SUMIFS(E5796:E6462,K5796:K6462,"0",B5796:B6462,"5 1 3 9 8 12 31111 6 M59 12000 000121 0000E 00001 00398 015 2111300 2024*")</f>
        <v>0</v>
      </c>
      <c r="E5795" s="54"/>
      <c r="F5795" s="83">
        <f>SUMIFS(F5796:F6462,K5796:K6462,"0",B5796:B6462,"5 1 3 9 8 12 31111 6 M59 12000 000121 0000E 00001 00398 015 2111300 2024*")</f>
        <v>4516.46</v>
      </c>
      <c r="G5795" s="83">
        <f>SUMIFS(G5796:G6462,K5796:K6462,"0",B5796:B6462,"5 1 3 9 8 12 31111 6 M59 12000 000121 0000E 00001 00398 015 2111300 2024*")</f>
        <v>0</v>
      </c>
      <c r="H5795" s="83">
        <f t="shared" si="90"/>
        <v>4516.46</v>
      </c>
      <c r="I5795" s="83"/>
      <c r="K5795" s="54" t="s">
        <v>15</v>
      </c>
    </row>
    <row r="5796" spans="2:11" ht="41.25" x14ac:dyDescent="0.2">
      <c r="B5796" s="82" t="s">
        <v>9340</v>
      </c>
      <c r="C5796" s="82" t="s">
        <v>662</v>
      </c>
      <c r="D5796" s="83">
        <f>SUMIFS(D5797:D6462,K5797:K6462,"0",B5797:B6462,"5 1 3 9 8 12 31111 6 M59 12000 000121 0000E 00001 00398 015 2111300 2024 CP1CI591*")-SUMIFS(E5797:E6462,K5797:K6462,"0",B5797:B6462,"5 1 3 9 8 12 31111 6 M59 12000 000121 0000E 00001 00398 015 2111300 2024 CP1CI591*")</f>
        <v>0</v>
      </c>
      <c r="E5796" s="54"/>
      <c r="F5796" s="83">
        <f>SUMIFS(F5797:F6462,K5797:K6462,"0",B5797:B6462,"5 1 3 9 8 12 31111 6 M59 12000 000121 0000E 00001 00398 015 2111300 2024 CP1CI591*")</f>
        <v>4516.46</v>
      </c>
      <c r="G5796" s="83">
        <f>SUMIFS(G5797:G6462,K5797:K6462,"0",B5797:B6462,"5 1 3 9 8 12 31111 6 M59 12000 000121 0000E 00001 00398 015 2111300 2024 CP1CI591*")</f>
        <v>0</v>
      </c>
      <c r="H5796" s="83">
        <f t="shared" si="90"/>
        <v>4516.46</v>
      </c>
      <c r="I5796" s="83"/>
      <c r="K5796" s="54" t="s">
        <v>15</v>
      </c>
    </row>
    <row r="5797" spans="2:11" ht="41.25" x14ac:dyDescent="0.2">
      <c r="B5797" s="82" t="s">
        <v>9341</v>
      </c>
      <c r="C5797" s="82" t="s">
        <v>282</v>
      </c>
      <c r="D5797" s="83">
        <f>SUMIFS(D5798:D6462,K5798:K6462,"0",B5798:B6462,"5 1 3 9 8 12 31111 6 M59 12000 000121 0000E 00001 00398 015 2111300 2024 CP1CI591 001*")-SUMIFS(E5798:E6462,K5798:K6462,"0",B5798:B6462,"5 1 3 9 8 12 31111 6 M59 12000 000121 0000E 00001 00398 015 2111300 2024 CP1CI591 001*")</f>
        <v>0</v>
      </c>
      <c r="E5797" s="54"/>
      <c r="F5797" s="83">
        <f>SUMIFS(F5798:F6462,K5798:K6462,"0",B5798:B6462,"5 1 3 9 8 12 31111 6 M59 12000 000121 0000E 00001 00398 015 2111300 2024 CP1CI591 001*")</f>
        <v>4516.46</v>
      </c>
      <c r="G5797" s="83">
        <f>SUMIFS(G5798:G6462,K5798:K6462,"0",B5798:B6462,"5 1 3 9 8 12 31111 6 M59 12000 000121 0000E 00001 00398 015 2111300 2024 CP1CI591 001*")</f>
        <v>0</v>
      </c>
      <c r="H5797" s="83">
        <f t="shared" si="90"/>
        <v>4516.46</v>
      </c>
      <c r="I5797" s="83"/>
      <c r="K5797" s="54" t="s">
        <v>15</v>
      </c>
    </row>
    <row r="5798" spans="2:11" ht="33" x14ac:dyDescent="0.2">
      <c r="B5798" s="84" t="s">
        <v>9342</v>
      </c>
      <c r="C5798" s="84" t="s">
        <v>9254</v>
      </c>
      <c r="D5798" s="85">
        <v>0</v>
      </c>
      <c r="E5798" s="85"/>
      <c r="F5798" s="85">
        <v>4516.46</v>
      </c>
      <c r="G5798" s="85">
        <v>0</v>
      </c>
      <c r="H5798" s="85">
        <f t="shared" si="90"/>
        <v>4516.46</v>
      </c>
      <c r="I5798" s="85"/>
      <c r="K5798" s="54" t="s">
        <v>38</v>
      </c>
    </row>
    <row r="5799" spans="2:11" ht="24.75" x14ac:dyDescent="0.2">
      <c r="B5799" s="82" t="s">
        <v>9343</v>
      </c>
      <c r="C5799" s="82" t="s">
        <v>3045</v>
      </c>
      <c r="D5799" s="83">
        <f>SUMIFS(D5800:D6462,K5800:K6462,"0",B5800:B6462,"5 1 3 9 8 12 31111 6 M59 12100*")-SUMIFS(E5800:E6462,K5800:K6462,"0",B5800:B6462,"5 1 3 9 8 12 31111 6 M59 12100*")</f>
        <v>0</v>
      </c>
      <c r="E5799" s="54"/>
      <c r="F5799" s="83">
        <f>SUMIFS(F5800:F6462,K5800:K6462,"0",B5800:B6462,"5 1 3 9 8 12 31111 6 M59 12100*")</f>
        <v>3091.01</v>
      </c>
      <c r="G5799" s="83">
        <f>SUMIFS(G5800:G6462,K5800:K6462,"0",B5800:B6462,"5 1 3 9 8 12 31111 6 M59 12100*")</f>
        <v>0</v>
      </c>
      <c r="H5799" s="83">
        <f t="shared" si="90"/>
        <v>3091.01</v>
      </c>
      <c r="I5799" s="83"/>
      <c r="K5799" s="54" t="s">
        <v>15</v>
      </c>
    </row>
    <row r="5800" spans="2:11" ht="16.5" x14ac:dyDescent="0.2">
      <c r="B5800" s="82" t="s">
        <v>9344</v>
      </c>
      <c r="C5800" s="82" t="s">
        <v>648</v>
      </c>
      <c r="D5800" s="83">
        <f>SUMIFS(D5801:D6462,K5801:K6462,"0",B5801:B6462,"5 1 3 9 8 12 31111 6 M59 12100 000132*")-SUMIFS(E5801:E6462,K5801:K6462,"0",B5801:B6462,"5 1 3 9 8 12 31111 6 M59 12100 000132*")</f>
        <v>0</v>
      </c>
      <c r="E5800" s="54"/>
      <c r="F5800" s="83">
        <f>SUMIFS(F5801:F6462,K5801:K6462,"0",B5801:B6462,"5 1 3 9 8 12 31111 6 M59 12100 000132*")</f>
        <v>3091.01</v>
      </c>
      <c r="G5800" s="83">
        <f>SUMIFS(G5801:G6462,K5801:K6462,"0",B5801:B6462,"5 1 3 9 8 12 31111 6 M59 12100 000132*")</f>
        <v>0</v>
      </c>
      <c r="H5800" s="83">
        <f t="shared" si="90"/>
        <v>3091.01</v>
      </c>
      <c r="I5800" s="83"/>
      <c r="K5800" s="54" t="s">
        <v>15</v>
      </c>
    </row>
    <row r="5801" spans="2:11" ht="24.75" x14ac:dyDescent="0.2">
      <c r="B5801" s="82" t="s">
        <v>9345</v>
      </c>
      <c r="C5801" s="82" t="s">
        <v>650</v>
      </c>
      <c r="D5801" s="83">
        <f>SUMIFS(D5802:D6462,K5802:K6462,"0",B5802:B6462,"5 1 3 9 8 12 31111 6 M59 12100 000132 0000R*")-SUMIFS(E5802:E6462,K5802:K6462,"0",B5802:B6462,"5 1 3 9 8 12 31111 6 M59 12100 000132 0000R*")</f>
        <v>0</v>
      </c>
      <c r="E5801" s="54"/>
      <c r="F5801" s="83">
        <f>SUMIFS(F5802:F6462,K5802:K6462,"0",B5802:B6462,"5 1 3 9 8 12 31111 6 M59 12100 000132 0000R*")</f>
        <v>3091.01</v>
      </c>
      <c r="G5801" s="83">
        <f>SUMIFS(G5802:G6462,K5802:K6462,"0",B5802:B6462,"5 1 3 9 8 12 31111 6 M59 12100 000132 0000R*")</f>
        <v>0</v>
      </c>
      <c r="H5801" s="83">
        <f t="shared" si="90"/>
        <v>3091.01</v>
      </c>
      <c r="I5801" s="83"/>
      <c r="K5801" s="54" t="s">
        <v>15</v>
      </c>
    </row>
    <row r="5802" spans="2:11" ht="24.75" x14ac:dyDescent="0.2">
      <c r="B5802" s="82" t="s">
        <v>9346</v>
      </c>
      <c r="C5802" s="82" t="s">
        <v>282</v>
      </c>
      <c r="D5802" s="83">
        <f>SUMIFS(D5803:D6462,K5803:K6462,"0",B5803:B6462,"5 1 3 9 8 12 31111 6 M59 12100 000132 0000R 00001*")-SUMIFS(E5803:E6462,K5803:K6462,"0",B5803:B6462,"5 1 3 9 8 12 31111 6 M59 12100 000132 0000R 00001*")</f>
        <v>0</v>
      </c>
      <c r="E5802" s="54"/>
      <c r="F5802" s="83">
        <f>SUMIFS(F5803:F6462,K5803:K6462,"0",B5803:B6462,"5 1 3 9 8 12 31111 6 M59 12100 000132 0000R 00001*")</f>
        <v>3091.01</v>
      </c>
      <c r="G5802" s="83">
        <f>SUMIFS(G5803:G6462,K5803:K6462,"0",B5803:B6462,"5 1 3 9 8 12 31111 6 M59 12100 000132 0000R 00001*")</f>
        <v>0</v>
      </c>
      <c r="H5802" s="83">
        <f t="shared" si="90"/>
        <v>3091.01</v>
      </c>
      <c r="I5802" s="83"/>
      <c r="K5802" s="54" t="s">
        <v>15</v>
      </c>
    </row>
    <row r="5803" spans="2:11" ht="24.75" x14ac:dyDescent="0.2">
      <c r="B5803" s="82" t="s">
        <v>9347</v>
      </c>
      <c r="C5803" s="82" t="s">
        <v>9247</v>
      </c>
      <c r="D5803" s="83">
        <f>SUMIFS(D5804:D6462,K5804:K6462,"0",B5804:B6462,"5 1 3 9 8 12 31111 6 M59 12100 000132 0000R 00001 00398*")-SUMIFS(E5804:E6462,K5804:K6462,"0",B5804:B6462,"5 1 3 9 8 12 31111 6 M59 12100 000132 0000R 00001 00398*")</f>
        <v>0</v>
      </c>
      <c r="E5803" s="54"/>
      <c r="F5803" s="83">
        <f>SUMIFS(F5804:F6462,K5804:K6462,"0",B5804:B6462,"5 1 3 9 8 12 31111 6 M59 12100 000132 0000R 00001 00398*")</f>
        <v>3091.01</v>
      </c>
      <c r="G5803" s="83">
        <f>SUMIFS(G5804:G6462,K5804:K6462,"0",B5804:B6462,"5 1 3 9 8 12 31111 6 M59 12100 000132 0000R 00001 00398*")</f>
        <v>0</v>
      </c>
      <c r="H5803" s="83">
        <f t="shared" ref="H5803:H5866" si="91">D5803 + F5803 - G5803</f>
        <v>3091.01</v>
      </c>
      <c r="I5803" s="83"/>
      <c r="K5803" s="54" t="s">
        <v>15</v>
      </c>
    </row>
    <row r="5804" spans="2:11" ht="33" x14ac:dyDescent="0.2">
      <c r="B5804" s="82" t="s">
        <v>9348</v>
      </c>
      <c r="C5804" s="82" t="s">
        <v>1051</v>
      </c>
      <c r="D5804" s="83">
        <f>SUMIFS(D5805:D6462,K5805:K6462,"0",B5805:B6462,"5 1 3 9 8 12 31111 6 M59 12100 000132 0000R 00001 00398 015*")-SUMIFS(E5805:E6462,K5805:K6462,"0",B5805:B6462,"5 1 3 9 8 12 31111 6 M59 12100 000132 0000R 00001 00398 015*")</f>
        <v>0</v>
      </c>
      <c r="E5804" s="54"/>
      <c r="F5804" s="83">
        <f>SUMIFS(F5805:F6462,K5805:K6462,"0",B5805:B6462,"5 1 3 9 8 12 31111 6 M59 12100 000132 0000R 00001 00398 015*")</f>
        <v>3091.01</v>
      </c>
      <c r="G5804" s="83">
        <f>SUMIFS(G5805:G6462,K5805:K6462,"0",B5805:B6462,"5 1 3 9 8 12 31111 6 M59 12100 000132 0000R 00001 00398 015*")</f>
        <v>0</v>
      </c>
      <c r="H5804" s="83">
        <f t="shared" si="91"/>
        <v>3091.01</v>
      </c>
      <c r="I5804" s="83"/>
      <c r="K5804" s="54" t="s">
        <v>15</v>
      </c>
    </row>
    <row r="5805" spans="2:11" ht="33" x14ac:dyDescent="0.2">
      <c r="B5805" s="82" t="s">
        <v>9349</v>
      </c>
      <c r="C5805" s="82" t="s">
        <v>8550</v>
      </c>
      <c r="D5805" s="83">
        <f>SUMIFS(D5806:D6462,K5806:K6462,"0",B5806:B6462,"5 1 3 9 8 12 31111 6 M59 12100 000132 0000R 00001 00398 015 2111300*")-SUMIFS(E5806:E6462,K5806:K6462,"0",B5806:B6462,"5 1 3 9 8 12 31111 6 M59 12100 000132 0000R 00001 00398 015 2111300*")</f>
        <v>0</v>
      </c>
      <c r="E5805" s="54"/>
      <c r="F5805" s="83">
        <f>SUMIFS(F5806:F6462,K5806:K6462,"0",B5806:B6462,"5 1 3 9 8 12 31111 6 M59 12100 000132 0000R 00001 00398 015 2111300*")</f>
        <v>3091.01</v>
      </c>
      <c r="G5805" s="83">
        <f>SUMIFS(G5806:G6462,K5806:K6462,"0",B5806:B6462,"5 1 3 9 8 12 31111 6 M59 12100 000132 0000R 00001 00398 015 2111300*")</f>
        <v>0</v>
      </c>
      <c r="H5805" s="83">
        <f t="shared" si="91"/>
        <v>3091.01</v>
      </c>
      <c r="I5805" s="83"/>
      <c r="K5805" s="54" t="s">
        <v>15</v>
      </c>
    </row>
    <row r="5806" spans="2:11" ht="33" x14ac:dyDescent="0.2">
      <c r="B5806" s="82" t="s">
        <v>9350</v>
      </c>
      <c r="C5806" s="82" t="s">
        <v>660</v>
      </c>
      <c r="D5806" s="83">
        <f>SUMIFS(D5807:D6462,K5807:K6462,"0",B5807:B6462,"5 1 3 9 8 12 31111 6 M59 12100 000132 0000R 00001 00398 015 2111300 2024*")-SUMIFS(E5807:E6462,K5807:K6462,"0",B5807:B6462,"5 1 3 9 8 12 31111 6 M59 12100 000132 0000R 00001 00398 015 2111300 2024*")</f>
        <v>0</v>
      </c>
      <c r="E5806" s="54"/>
      <c r="F5806" s="83">
        <f>SUMIFS(F5807:F6462,K5807:K6462,"0",B5807:B6462,"5 1 3 9 8 12 31111 6 M59 12100 000132 0000R 00001 00398 015 2111300 2024*")</f>
        <v>3091.01</v>
      </c>
      <c r="G5806" s="83">
        <f>SUMIFS(G5807:G6462,K5807:K6462,"0",B5807:B6462,"5 1 3 9 8 12 31111 6 M59 12100 000132 0000R 00001 00398 015 2111300 2024*")</f>
        <v>0</v>
      </c>
      <c r="H5806" s="83">
        <f t="shared" si="91"/>
        <v>3091.01</v>
      </c>
      <c r="I5806" s="83"/>
      <c r="K5806" s="54" t="s">
        <v>15</v>
      </c>
    </row>
    <row r="5807" spans="2:11" ht="41.25" x14ac:dyDescent="0.2">
      <c r="B5807" s="82" t="s">
        <v>9351</v>
      </c>
      <c r="C5807" s="82" t="s">
        <v>1056</v>
      </c>
      <c r="D5807" s="83">
        <f>SUMIFS(D5808:D6462,K5808:K6462,"0",B5808:B6462,"5 1 3 9 8 12 31111 6 M59 12100 000132 0000R 00001 00398 015 2111300 2024 CP1TR430*")-SUMIFS(E5808:E6462,K5808:K6462,"0",B5808:B6462,"5 1 3 9 8 12 31111 6 M59 12100 000132 0000R 00001 00398 015 2111300 2024 CP1TR430*")</f>
        <v>0</v>
      </c>
      <c r="E5807" s="54"/>
      <c r="F5807" s="83">
        <f>SUMIFS(F5808:F6462,K5808:K6462,"0",B5808:B6462,"5 1 3 9 8 12 31111 6 M59 12100 000132 0000R 00001 00398 015 2111300 2024 CP1TR430*")</f>
        <v>3091.01</v>
      </c>
      <c r="G5807" s="83">
        <f>SUMIFS(G5808:G6462,K5808:K6462,"0",B5808:B6462,"5 1 3 9 8 12 31111 6 M59 12100 000132 0000R 00001 00398 015 2111300 2024 CP1TR430*")</f>
        <v>0</v>
      </c>
      <c r="H5807" s="83">
        <f t="shared" si="91"/>
        <v>3091.01</v>
      </c>
      <c r="I5807" s="83"/>
      <c r="K5807" s="54" t="s">
        <v>15</v>
      </c>
    </row>
    <row r="5808" spans="2:11" ht="41.25" x14ac:dyDescent="0.2">
      <c r="B5808" s="82" t="s">
        <v>9352</v>
      </c>
      <c r="C5808" s="82" t="s">
        <v>282</v>
      </c>
      <c r="D5808" s="83">
        <f>SUMIFS(D5809:D6462,K5809:K6462,"0",B5809:B6462,"5 1 3 9 8 12 31111 6 M59 12100 000132 0000R 00001 00398 015 2111300 2024 CP1TR430 001*")-SUMIFS(E5809:E6462,K5809:K6462,"0",B5809:B6462,"5 1 3 9 8 12 31111 6 M59 12100 000132 0000R 00001 00398 015 2111300 2024 CP1TR430 001*")</f>
        <v>0</v>
      </c>
      <c r="E5808" s="54"/>
      <c r="F5808" s="83">
        <f>SUMIFS(F5809:F6462,K5809:K6462,"0",B5809:B6462,"5 1 3 9 8 12 31111 6 M59 12100 000132 0000R 00001 00398 015 2111300 2024 CP1TR430 001*")</f>
        <v>3091.01</v>
      </c>
      <c r="G5808" s="83">
        <f>SUMIFS(G5809:G6462,K5809:K6462,"0",B5809:B6462,"5 1 3 9 8 12 31111 6 M59 12100 000132 0000R 00001 00398 015 2111300 2024 CP1TR430 001*")</f>
        <v>0</v>
      </c>
      <c r="H5808" s="83">
        <f t="shared" si="91"/>
        <v>3091.01</v>
      </c>
      <c r="I5808" s="83"/>
      <c r="K5808" s="54" t="s">
        <v>15</v>
      </c>
    </row>
    <row r="5809" spans="2:11" ht="33" x14ac:dyDescent="0.2">
      <c r="B5809" s="84" t="s">
        <v>9353</v>
      </c>
      <c r="C5809" s="84" t="s">
        <v>9254</v>
      </c>
      <c r="D5809" s="85">
        <v>0</v>
      </c>
      <c r="E5809" s="85"/>
      <c r="F5809" s="85">
        <v>3091.01</v>
      </c>
      <c r="G5809" s="85">
        <v>0</v>
      </c>
      <c r="H5809" s="85">
        <f t="shared" si="91"/>
        <v>3091.01</v>
      </c>
      <c r="I5809" s="85"/>
      <c r="K5809" s="54" t="s">
        <v>38</v>
      </c>
    </row>
    <row r="5810" spans="2:11" ht="16.5" x14ac:dyDescent="0.2">
      <c r="B5810" s="82" t="s">
        <v>9354</v>
      </c>
      <c r="C5810" s="82" t="s">
        <v>1044</v>
      </c>
      <c r="D5810" s="83">
        <f>SUMIFS(D5811:D6462,K5811:K6462,"0",B5811:B6462,"5 1 3 9 8 12 31111 6 M59 19000*")-SUMIFS(E5811:E6462,K5811:K6462,"0",B5811:B6462,"5 1 3 9 8 12 31111 6 M59 19000*")</f>
        <v>0</v>
      </c>
      <c r="E5810" s="54"/>
      <c r="F5810" s="83">
        <f>SUMIFS(F5811:F6462,K5811:K6462,"0",B5811:B6462,"5 1 3 9 8 12 31111 6 M59 19000*")</f>
        <v>13083.8</v>
      </c>
      <c r="G5810" s="83">
        <f>SUMIFS(G5811:G6462,K5811:K6462,"0",B5811:B6462,"5 1 3 9 8 12 31111 6 M59 19000*")</f>
        <v>0</v>
      </c>
      <c r="H5810" s="83">
        <f t="shared" si="91"/>
        <v>13083.8</v>
      </c>
      <c r="I5810" s="83"/>
      <c r="K5810" s="54" t="s">
        <v>15</v>
      </c>
    </row>
    <row r="5811" spans="2:11" ht="16.5" x14ac:dyDescent="0.2">
      <c r="B5811" s="82" t="s">
        <v>9355</v>
      </c>
      <c r="C5811" s="82" t="s">
        <v>648</v>
      </c>
      <c r="D5811" s="83">
        <f>SUMIFS(D5812:D6462,K5812:K6462,"0",B5812:B6462,"5 1 3 9 8 12 31111 6 M59 19000 000132*")-SUMIFS(E5812:E6462,K5812:K6462,"0",B5812:B6462,"5 1 3 9 8 12 31111 6 M59 19000 000132*")</f>
        <v>0</v>
      </c>
      <c r="E5811" s="54"/>
      <c r="F5811" s="83">
        <f>SUMIFS(F5812:F6462,K5812:K6462,"0",B5812:B6462,"5 1 3 9 8 12 31111 6 M59 19000 000132*")</f>
        <v>13083.8</v>
      </c>
      <c r="G5811" s="83">
        <f>SUMIFS(G5812:G6462,K5812:K6462,"0",B5812:B6462,"5 1 3 9 8 12 31111 6 M59 19000 000132*")</f>
        <v>0</v>
      </c>
      <c r="H5811" s="83">
        <f t="shared" si="91"/>
        <v>13083.8</v>
      </c>
      <c r="I5811" s="83"/>
      <c r="K5811" s="54" t="s">
        <v>15</v>
      </c>
    </row>
    <row r="5812" spans="2:11" ht="24.75" x14ac:dyDescent="0.2">
      <c r="B5812" s="82" t="s">
        <v>9356</v>
      </c>
      <c r="C5812" s="82" t="s">
        <v>650</v>
      </c>
      <c r="D5812" s="83">
        <f>SUMIFS(D5813:D6462,K5813:K6462,"0",B5813:B6462,"5 1 3 9 8 12 31111 6 M59 19000 000132 0000R*")-SUMIFS(E5813:E6462,K5813:K6462,"0",B5813:B6462,"5 1 3 9 8 12 31111 6 M59 19000 000132 0000R*")</f>
        <v>0</v>
      </c>
      <c r="E5812" s="54"/>
      <c r="F5812" s="83">
        <f>SUMIFS(F5813:F6462,K5813:K6462,"0",B5813:B6462,"5 1 3 9 8 12 31111 6 M59 19000 000132 0000R*")</f>
        <v>13083.8</v>
      </c>
      <c r="G5812" s="83">
        <f>SUMIFS(G5813:G6462,K5813:K6462,"0",B5813:B6462,"5 1 3 9 8 12 31111 6 M59 19000 000132 0000R*")</f>
        <v>0</v>
      </c>
      <c r="H5812" s="83">
        <f t="shared" si="91"/>
        <v>13083.8</v>
      </c>
      <c r="I5812" s="83"/>
      <c r="K5812" s="54" t="s">
        <v>15</v>
      </c>
    </row>
    <row r="5813" spans="2:11" ht="24.75" x14ac:dyDescent="0.2">
      <c r="B5813" s="82" t="s">
        <v>9357</v>
      </c>
      <c r="C5813" s="82" t="s">
        <v>282</v>
      </c>
      <c r="D5813" s="83">
        <f>SUMIFS(D5814:D6462,K5814:K6462,"0",B5814:B6462,"5 1 3 9 8 12 31111 6 M59 19000 000132 0000R 00001*")-SUMIFS(E5814:E6462,K5814:K6462,"0",B5814:B6462,"5 1 3 9 8 12 31111 6 M59 19000 000132 0000R 00001*")</f>
        <v>0</v>
      </c>
      <c r="E5813" s="54"/>
      <c r="F5813" s="83">
        <f>SUMIFS(F5814:F6462,K5814:K6462,"0",B5814:B6462,"5 1 3 9 8 12 31111 6 M59 19000 000132 0000R 00001*")</f>
        <v>13083.8</v>
      </c>
      <c r="G5813" s="83">
        <f>SUMIFS(G5814:G6462,K5814:K6462,"0",B5814:B6462,"5 1 3 9 8 12 31111 6 M59 19000 000132 0000R 00001*")</f>
        <v>0</v>
      </c>
      <c r="H5813" s="83">
        <f t="shared" si="91"/>
        <v>13083.8</v>
      </c>
      <c r="I5813" s="83"/>
      <c r="K5813" s="54" t="s">
        <v>15</v>
      </c>
    </row>
    <row r="5814" spans="2:11" ht="24.75" x14ac:dyDescent="0.2">
      <c r="B5814" s="82" t="s">
        <v>9358</v>
      </c>
      <c r="C5814" s="82" t="s">
        <v>9247</v>
      </c>
      <c r="D5814" s="83">
        <f>SUMIFS(D5815:D6462,K5815:K6462,"0",B5815:B6462,"5 1 3 9 8 12 31111 6 M59 19000 000132 0000R 00001 00398*")-SUMIFS(E5815:E6462,K5815:K6462,"0",B5815:B6462,"5 1 3 9 8 12 31111 6 M59 19000 000132 0000R 00001 00398*")</f>
        <v>0</v>
      </c>
      <c r="E5814" s="54"/>
      <c r="F5814" s="83">
        <f>SUMIFS(F5815:F6462,K5815:K6462,"0",B5815:B6462,"5 1 3 9 8 12 31111 6 M59 19000 000132 0000R 00001 00398*")</f>
        <v>13083.8</v>
      </c>
      <c r="G5814" s="83">
        <f>SUMIFS(G5815:G6462,K5815:K6462,"0",B5815:B6462,"5 1 3 9 8 12 31111 6 M59 19000 000132 0000R 00001 00398*")</f>
        <v>0</v>
      </c>
      <c r="H5814" s="83">
        <f t="shared" si="91"/>
        <v>13083.8</v>
      </c>
      <c r="I5814" s="83"/>
      <c r="K5814" s="54" t="s">
        <v>15</v>
      </c>
    </row>
    <row r="5815" spans="2:11" ht="33" x14ac:dyDescent="0.2">
      <c r="B5815" s="82" t="s">
        <v>9359</v>
      </c>
      <c r="C5815" s="82" t="s">
        <v>1051</v>
      </c>
      <c r="D5815" s="83">
        <f>SUMIFS(D5816:D6462,K5816:K6462,"0",B5816:B6462,"5 1 3 9 8 12 31111 6 M59 19000 000132 0000R 00001 00398 015*")-SUMIFS(E5816:E6462,K5816:K6462,"0",B5816:B6462,"5 1 3 9 8 12 31111 6 M59 19000 000132 0000R 00001 00398 015*")</f>
        <v>0</v>
      </c>
      <c r="E5815" s="54"/>
      <c r="F5815" s="83">
        <f>SUMIFS(F5816:F6462,K5816:K6462,"0",B5816:B6462,"5 1 3 9 8 12 31111 6 M59 19000 000132 0000R 00001 00398 015*")</f>
        <v>13083.8</v>
      </c>
      <c r="G5815" s="83">
        <f>SUMIFS(G5816:G6462,K5816:K6462,"0",B5816:B6462,"5 1 3 9 8 12 31111 6 M59 19000 000132 0000R 00001 00398 015*")</f>
        <v>0</v>
      </c>
      <c r="H5815" s="83">
        <f t="shared" si="91"/>
        <v>13083.8</v>
      </c>
      <c r="I5815" s="83"/>
      <c r="K5815" s="54" t="s">
        <v>15</v>
      </c>
    </row>
    <row r="5816" spans="2:11" ht="33" x14ac:dyDescent="0.2">
      <c r="B5816" s="82" t="s">
        <v>9360</v>
      </c>
      <c r="C5816" s="82" t="s">
        <v>8550</v>
      </c>
      <c r="D5816" s="83">
        <f>SUMIFS(D5817:D6462,K5817:K6462,"0",B5817:B6462,"5 1 3 9 8 12 31111 6 M59 19000 000132 0000R 00001 00398 015 2111300*")-SUMIFS(E5817:E6462,K5817:K6462,"0",B5817:B6462,"5 1 3 9 8 12 31111 6 M59 19000 000132 0000R 00001 00398 015 2111300*")</f>
        <v>0</v>
      </c>
      <c r="E5816" s="54"/>
      <c r="F5816" s="83">
        <f>SUMIFS(F5817:F6462,K5817:K6462,"0",B5817:B6462,"5 1 3 9 8 12 31111 6 M59 19000 000132 0000R 00001 00398 015 2111300*")</f>
        <v>13083.8</v>
      </c>
      <c r="G5816" s="83">
        <f>SUMIFS(G5817:G6462,K5817:K6462,"0",B5817:B6462,"5 1 3 9 8 12 31111 6 M59 19000 000132 0000R 00001 00398 015 2111300*")</f>
        <v>0</v>
      </c>
      <c r="H5816" s="83">
        <f t="shared" si="91"/>
        <v>13083.8</v>
      </c>
      <c r="I5816" s="83"/>
      <c r="K5816" s="54" t="s">
        <v>15</v>
      </c>
    </row>
    <row r="5817" spans="2:11" ht="33" x14ac:dyDescent="0.2">
      <c r="B5817" s="82" t="s">
        <v>9361</v>
      </c>
      <c r="C5817" s="82" t="s">
        <v>660</v>
      </c>
      <c r="D5817" s="83">
        <f>SUMIFS(D5818:D6462,K5818:K6462,"0",B5818:B6462,"5 1 3 9 8 12 31111 6 M59 19000 000132 0000R 00001 00398 015 2111300 2024*")-SUMIFS(E5818:E6462,K5818:K6462,"0",B5818:B6462,"5 1 3 9 8 12 31111 6 M59 19000 000132 0000R 00001 00398 015 2111300 2024*")</f>
        <v>0</v>
      </c>
      <c r="E5817" s="54"/>
      <c r="F5817" s="83">
        <f>SUMIFS(F5818:F6462,K5818:K6462,"0",B5818:B6462,"5 1 3 9 8 12 31111 6 M59 19000 000132 0000R 00001 00398 015 2111300 2024*")</f>
        <v>13083.8</v>
      </c>
      <c r="G5817" s="83">
        <f>SUMIFS(G5818:G6462,K5818:K6462,"0",B5818:B6462,"5 1 3 9 8 12 31111 6 M59 19000 000132 0000R 00001 00398 015 2111300 2024*")</f>
        <v>0</v>
      </c>
      <c r="H5817" s="83">
        <f t="shared" si="91"/>
        <v>13083.8</v>
      </c>
      <c r="I5817" s="83"/>
      <c r="K5817" s="54" t="s">
        <v>15</v>
      </c>
    </row>
    <row r="5818" spans="2:11" ht="41.25" x14ac:dyDescent="0.2">
      <c r="B5818" s="82" t="s">
        <v>9362</v>
      </c>
      <c r="C5818" s="82" t="s">
        <v>662</v>
      </c>
      <c r="D5818" s="83">
        <f>SUMIFS(D5819:D6462,K5819:K6462,"0",B5819:B6462,"5 1 3 9 8 12 31111 6 M59 19000 000132 0000R 00001 00398 015 2111300 2024 CP1TM440*")-SUMIFS(E5819:E6462,K5819:K6462,"0",B5819:B6462,"5 1 3 9 8 12 31111 6 M59 19000 000132 0000R 00001 00398 015 2111300 2024 CP1TM440*")</f>
        <v>0</v>
      </c>
      <c r="E5818" s="54"/>
      <c r="F5818" s="83">
        <f>SUMIFS(F5819:F6462,K5819:K6462,"0",B5819:B6462,"5 1 3 9 8 12 31111 6 M59 19000 000132 0000R 00001 00398 015 2111300 2024 CP1TM440*")</f>
        <v>13083.8</v>
      </c>
      <c r="G5818" s="83">
        <f>SUMIFS(G5819:G6462,K5819:K6462,"0",B5819:B6462,"5 1 3 9 8 12 31111 6 M59 19000 000132 0000R 00001 00398 015 2111300 2024 CP1TM440*")</f>
        <v>0</v>
      </c>
      <c r="H5818" s="83">
        <f t="shared" si="91"/>
        <v>13083.8</v>
      </c>
      <c r="I5818" s="83"/>
      <c r="K5818" s="54" t="s">
        <v>15</v>
      </c>
    </row>
    <row r="5819" spans="2:11" ht="41.25" x14ac:dyDescent="0.2">
      <c r="B5819" s="82" t="s">
        <v>9363</v>
      </c>
      <c r="C5819" s="82" t="s">
        <v>282</v>
      </c>
      <c r="D5819" s="83">
        <f>SUMIFS(D5820:D6462,K5820:K6462,"0",B5820:B6462,"5 1 3 9 8 12 31111 6 M59 19000 000132 0000R 00001 00398 015 2111300 2024 CP1TM440 001*")-SUMIFS(E5820:E6462,K5820:K6462,"0",B5820:B6462,"5 1 3 9 8 12 31111 6 M59 19000 000132 0000R 00001 00398 015 2111300 2024 CP1TM440 001*")</f>
        <v>0</v>
      </c>
      <c r="E5819" s="54"/>
      <c r="F5819" s="83">
        <f>SUMIFS(F5820:F6462,K5820:K6462,"0",B5820:B6462,"5 1 3 9 8 12 31111 6 M59 19000 000132 0000R 00001 00398 015 2111300 2024 CP1TM440 001*")</f>
        <v>13083.8</v>
      </c>
      <c r="G5819" s="83">
        <f>SUMIFS(G5820:G6462,K5820:K6462,"0",B5820:B6462,"5 1 3 9 8 12 31111 6 M59 19000 000132 0000R 00001 00398 015 2111300 2024 CP1TM440 001*")</f>
        <v>0</v>
      </c>
      <c r="H5819" s="83">
        <f t="shared" si="91"/>
        <v>13083.8</v>
      </c>
      <c r="I5819" s="83"/>
      <c r="K5819" s="54" t="s">
        <v>15</v>
      </c>
    </row>
    <row r="5820" spans="2:11" ht="33" x14ac:dyDescent="0.2">
      <c r="B5820" s="84" t="s">
        <v>9364</v>
      </c>
      <c r="C5820" s="84" t="s">
        <v>9254</v>
      </c>
      <c r="D5820" s="85">
        <v>0</v>
      </c>
      <c r="E5820" s="85"/>
      <c r="F5820" s="85">
        <v>13083.8</v>
      </c>
      <c r="G5820" s="85">
        <v>0</v>
      </c>
      <c r="H5820" s="85">
        <f t="shared" si="91"/>
        <v>13083.8</v>
      </c>
      <c r="I5820" s="85"/>
      <c r="K5820" s="54" t="s">
        <v>38</v>
      </c>
    </row>
    <row r="5821" spans="2:11" ht="16.5" x14ac:dyDescent="0.2">
      <c r="B5821" s="82" t="s">
        <v>9365</v>
      </c>
      <c r="C5821" s="82" t="s">
        <v>1044</v>
      </c>
      <c r="D5821" s="83">
        <f>SUMIFS(D5822:D6462,K5822:K6462,"0",B5822:B6462,"5 1 3 9 8 12 31111 6 M59 20000*")-SUMIFS(E5822:E6462,K5822:K6462,"0",B5822:B6462,"5 1 3 9 8 12 31111 6 M59 20000*")</f>
        <v>0</v>
      </c>
      <c r="E5821" s="54"/>
      <c r="F5821" s="83">
        <f>SUMIFS(F5822:F6462,K5822:K6462,"0",B5822:B6462,"5 1 3 9 8 12 31111 6 M59 20000*")</f>
        <v>9887.43</v>
      </c>
      <c r="G5821" s="83">
        <f>SUMIFS(G5822:G6462,K5822:K6462,"0",B5822:B6462,"5 1 3 9 8 12 31111 6 M59 20000*")</f>
        <v>0</v>
      </c>
      <c r="H5821" s="83">
        <f t="shared" si="91"/>
        <v>9887.43</v>
      </c>
      <c r="I5821" s="83"/>
      <c r="K5821" s="54" t="s">
        <v>15</v>
      </c>
    </row>
    <row r="5822" spans="2:11" ht="16.5" x14ac:dyDescent="0.2">
      <c r="B5822" s="82" t="s">
        <v>9366</v>
      </c>
      <c r="C5822" s="82" t="s">
        <v>648</v>
      </c>
      <c r="D5822" s="83">
        <f>SUMIFS(D5823:D6462,K5823:K6462,"0",B5823:B6462,"5 1 3 9 8 12 31111 6 M59 20000 000132*")-SUMIFS(E5823:E6462,K5823:K6462,"0",B5823:B6462,"5 1 3 9 8 12 31111 6 M59 20000 000132*")</f>
        <v>0</v>
      </c>
      <c r="E5822" s="54"/>
      <c r="F5822" s="83">
        <f>SUMIFS(F5823:F6462,K5823:K6462,"0",B5823:B6462,"5 1 3 9 8 12 31111 6 M59 20000 000132*")</f>
        <v>9887.43</v>
      </c>
      <c r="G5822" s="83">
        <f>SUMIFS(G5823:G6462,K5823:K6462,"0",B5823:B6462,"5 1 3 9 8 12 31111 6 M59 20000 000132*")</f>
        <v>0</v>
      </c>
      <c r="H5822" s="83">
        <f t="shared" si="91"/>
        <v>9887.43</v>
      </c>
      <c r="I5822" s="83"/>
      <c r="K5822" s="54" t="s">
        <v>15</v>
      </c>
    </row>
    <row r="5823" spans="2:11" ht="24.75" x14ac:dyDescent="0.2">
      <c r="B5823" s="82" t="s">
        <v>9367</v>
      </c>
      <c r="C5823" s="82" t="s">
        <v>650</v>
      </c>
      <c r="D5823" s="83">
        <f>SUMIFS(D5824:D6462,K5824:K6462,"0",B5824:B6462,"5 1 3 9 8 12 31111 6 M59 20000 000132 0000R*")-SUMIFS(E5824:E6462,K5824:K6462,"0",B5824:B6462,"5 1 3 9 8 12 31111 6 M59 20000 000132 0000R*")</f>
        <v>0</v>
      </c>
      <c r="E5823" s="54"/>
      <c r="F5823" s="83">
        <f>SUMIFS(F5824:F6462,K5824:K6462,"0",B5824:B6462,"5 1 3 9 8 12 31111 6 M59 20000 000132 0000R*")</f>
        <v>9887.43</v>
      </c>
      <c r="G5823" s="83">
        <f>SUMIFS(G5824:G6462,K5824:K6462,"0",B5824:B6462,"5 1 3 9 8 12 31111 6 M59 20000 000132 0000R*")</f>
        <v>0</v>
      </c>
      <c r="H5823" s="83">
        <f t="shared" si="91"/>
        <v>9887.43</v>
      </c>
      <c r="I5823" s="83"/>
      <c r="K5823" s="54" t="s">
        <v>15</v>
      </c>
    </row>
    <row r="5824" spans="2:11" ht="24.75" x14ac:dyDescent="0.2">
      <c r="B5824" s="82" t="s">
        <v>9368</v>
      </c>
      <c r="C5824" s="82" t="s">
        <v>282</v>
      </c>
      <c r="D5824" s="83">
        <f>SUMIFS(D5825:D6462,K5825:K6462,"0",B5825:B6462,"5 1 3 9 8 12 31111 6 M59 20000 000132 0000R 00001*")-SUMIFS(E5825:E6462,K5825:K6462,"0",B5825:B6462,"5 1 3 9 8 12 31111 6 M59 20000 000132 0000R 00001*")</f>
        <v>0</v>
      </c>
      <c r="E5824" s="54"/>
      <c r="F5824" s="83">
        <f>SUMIFS(F5825:F6462,K5825:K6462,"0",B5825:B6462,"5 1 3 9 8 12 31111 6 M59 20000 000132 0000R 00001*")</f>
        <v>9887.43</v>
      </c>
      <c r="G5824" s="83">
        <f>SUMIFS(G5825:G6462,K5825:K6462,"0",B5825:B6462,"5 1 3 9 8 12 31111 6 M59 20000 000132 0000R 00001*")</f>
        <v>0</v>
      </c>
      <c r="H5824" s="83">
        <f t="shared" si="91"/>
        <v>9887.43</v>
      </c>
      <c r="I5824" s="83"/>
      <c r="K5824" s="54" t="s">
        <v>15</v>
      </c>
    </row>
    <row r="5825" spans="2:11" ht="24.75" x14ac:dyDescent="0.2">
      <c r="B5825" s="82" t="s">
        <v>9369</v>
      </c>
      <c r="C5825" s="82" t="s">
        <v>9247</v>
      </c>
      <c r="D5825" s="83">
        <f>SUMIFS(D5826:D6462,K5826:K6462,"0",B5826:B6462,"5 1 3 9 8 12 31111 6 M59 20000 000132 0000R 00001 00398*")-SUMIFS(E5826:E6462,K5826:K6462,"0",B5826:B6462,"5 1 3 9 8 12 31111 6 M59 20000 000132 0000R 00001 00398*")</f>
        <v>0</v>
      </c>
      <c r="E5825" s="54"/>
      <c r="F5825" s="83">
        <f>SUMIFS(F5826:F6462,K5826:K6462,"0",B5826:B6462,"5 1 3 9 8 12 31111 6 M59 20000 000132 0000R 00001 00398*")</f>
        <v>9887.43</v>
      </c>
      <c r="G5825" s="83">
        <f>SUMIFS(G5826:G6462,K5826:K6462,"0",B5826:B6462,"5 1 3 9 8 12 31111 6 M59 20000 000132 0000R 00001 00398*")</f>
        <v>0</v>
      </c>
      <c r="H5825" s="83">
        <f t="shared" si="91"/>
        <v>9887.43</v>
      </c>
      <c r="I5825" s="83"/>
      <c r="K5825" s="54" t="s">
        <v>15</v>
      </c>
    </row>
    <row r="5826" spans="2:11" ht="33" x14ac:dyDescent="0.2">
      <c r="B5826" s="82" t="s">
        <v>9370</v>
      </c>
      <c r="C5826" s="82" t="s">
        <v>1051</v>
      </c>
      <c r="D5826" s="83">
        <f>SUMIFS(D5827:D6462,K5827:K6462,"0",B5827:B6462,"5 1 3 9 8 12 31111 6 M59 20000 000132 0000R 00001 00398 015*")-SUMIFS(E5827:E6462,K5827:K6462,"0",B5827:B6462,"5 1 3 9 8 12 31111 6 M59 20000 000132 0000R 00001 00398 015*")</f>
        <v>0</v>
      </c>
      <c r="E5826" s="54"/>
      <c r="F5826" s="83">
        <f>SUMIFS(F5827:F6462,K5827:K6462,"0",B5827:B6462,"5 1 3 9 8 12 31111 6 M59 20000 000132 0000R 00001 00398 015*")</f>
        <v>9887.43</v>
      </c>
      <c r="G5826" s="83">
        <f>SUMIFS(G5827:G6462,K5827:K6462,"0",B5827:B6462,"5 1 3 9 8 12 31111 6 M59 20000 000132 0000R 00001 00398 015*")</f>
        <v>0</v>
      </c>
      <c r="H5826" s="83">
        <f t="shared" si="91"/>
        <v>9887.43</v>
      </c>
      <c r="I5826" s="83"/>
      <c r="K5826" s="54" t="s">
        <v>15</v>
      </c>
    </row>
    <row r="5827" spans="2:11" ht="33" x14ac:dyDescent="0.2">
      <c r="B5827" s="82" t="s">
        <v>9371</v>
      </c>
      <c r="C5827" s="82" t="s">
        <v>8550</v>
      </c>
      <c r="D5827" s="83">
        <f>SUMIFS(D5828:D6462,K5828:K6462,"0",B5828:B6462,"5 1 3 9 8 12 31111 6 M59 20000 000132 0000R 00001 00398 015 2111300*")-SUMIFS(E5828:E6462,K5828:K6462,"0",B5828:B6462,"5 1 3 9 8 12 31111 6 M59 20000 000132 0000R 00001 00398 015 2111300*")</f>
        <v>0</v>
      </c>
      <c r="E5827" s="54"/>
      <c r="F5827" s="83">
        <f>SUMIFS(F5828:F6462,K5828:K6462,"0",B5828:B6462,"5 1 3 9 8 12 31111 6 M59 20000 000132 0000R 00001 00398 015 2111300*")</f>
        <v>9887.43</v>
      </c>
      <c r="G5827" s="83">
        <f>SUMIFS(G5828:G6462,K5828:K6462,"0",B5828:B6462,"5 1 3 9 8 12 31111 6 M59 20000 000132 0000R 00001 00398 015 2111300*")</f>
        <v>0</v>
      </c>
      <c r="H5827" s="83">
        <f t="shared" si="91"/>
        <v>9887.43</v>
      </c>
      <c r="I5827" s="83"/>
      <c r="K5827" s="54" t="s">
        <v>15</v>
      </c>
    </row>
    <row r="5828" spans="2:11" ht="33" x14ac:dyDescent="0.2">
      <c r="B5828" s="82" t="s">
        <v>9372</v>
      </c>
      <c r="C5828" s="82" t="s">
        <v>660</v>
      </c>
      <c r="D5828" s="83">
        <f>SUMIFS(D5829:D6462,K5829:K6462,"0",B5829:B6462,"5 1 3 9 8 12 31111 6 M59 20000 000132 0000R 00001 00398 015 2111300 2024*")-SUMIFS(E5829:E6462,K5829:K6462,"0",B5829:B6462,"5 1 3 9 8 12 31111 6 M59 20000 000132 0000R 00001 00398 015 2111300 2024*")</f>
        <v>0</v>
      </c>
      <c r="E5828" s="54"/>
      <c r="F5828" s="83">
        <f>SUMIFS(F5829:F6462,K5829:K6462,"0",B5829:B6462,"5 1 3 9 8 12 31111 6 M59 20000 000132 0000R 00001 00398 015 2111300 2024*")</f>
        <v>9887.43</v>
      </c>
      <c r="G5828" s="83">
        <f>SUMIFS(G5829:G6462,K5829:K6462,"0",B5829:B6462,"5 1 3 9 8 12 31111 6 M59 20000 000132 0000R 00001 00398 015 2111300 2024*")</f>
        <v>0</v>
      </c>
      <c r="H5828" s="83">
        <f t="shared" si="91"/>
        <v>9887.43</v>
      </c>
      <c r="I5828" s="83"/>
      <c r="K5828" s="54" t="s">
        <v>15</v>
      </c>
    </row>
    <row r="5829" spans="2:11" ht="41.25" x14ac:dyDescent="0.2">
      <c r="B5829" s="82" t="s">
        <v>9373</v>
      </c>
      <c r="C5829" s="82" t="s">
        <v>1056</v>
      </c>
      <c r="D5829" s="83">
        <f>SUMIFS(D5830:D6462,K5830:K6462,"0",B5830:B6462,"5 1 3 9 8 12 31111 6 M59 20000 000132 0000R 00001 00398 015 2111300 2024 CP1AF389*")-SUMIFS(E5830:E6462,K5830:K6462,"0",B5830:B6462,"5 1 3 9 8 12 31111 6 M59 20000 000132 0000R 00001 00398 015 2111300 2024 CP1AF389*")</f>
        <v>0</v>
      </c>
      <c r="E5829" s="54"/>
      <c r="F5829" s="83">
        <f>SUMIFS(F5830:F6462,K5830:K6462,"0",B5830:B6462,"5 1 3 9 8 12 31111 6 M59 20000 000132 0000R 00001 00398 015 2111300 2024 CP1AF389*")</f>
        <v>9887.43</v>
      </c>
      <c r="G5829" s="83">
        <f>SUMIFS(G5830:G6462,K5830:K6462,"0",B5830:B6462,"5 1 3 9 8 12 31111 6 M59 20000 000132 0000R 00001 00398 015 2111300 2024 CP1AF389*")</f>
        <v>0</v>
      </c>
      <c r="H5829" s="83">
        <f t="shared" si="91"/>
        <v>9887.43</v>
      </c>
      <c r="I5829" s="83"/>
      <c r="K5829" s="54" t="s">
        <v>15</v>
      </c>
    </row>
    <row r="5830" spans="2:11" ht="41.25" x14ac:dyDescent="0.2">
      <c r="B5830" s="82" t="s">
        <v>9374</v>
      </c>
      <c r="C5830" s="82" t="s">
        <v>282</v>
      </c>
      <c r="D5830" s="83">
        <f>SUMIFS(D5831:D6462,K5831:K6462,"0",B5831:B6462,"5 1 3 9 8 12 31111 6 M59 20000 000132 0000R 00001 00398 015 2111300 2024 CP1AF389 001*")-SUMIFS(E5831:E6462,K5831:K6462,"0",B5831:B6462,"5 1 3 9 8 12 31111 6 M59 20000 000132 0000R 00001 00398 015 2111300 2024 CP1AF389 001*")</f>
        <v>0</v>
      </c>
      <c r="E5830" s="54"/>
      <c r="F5830" s="83">
        <f>SUMIFS(F5831:F6462,K5831:K6462,"0",B5831:B6462,"5 1 3 9 8 12 31111 6 M59 20000 000132 0000R 00001 00398 015 2111300 2024 CP1AF389 001*")</f>
        <v>9887.43</v>
      </c>
      <c r="G5830" s="83">
        <f>SUMIFS(G5831:G6462,K5831:K6462,"0",B5831:B6462,"5 1 3 9 8 12 31111 6 M59 20000 000132 0000R 00001 00398 015 2111300 2024 CP1AF389 001*")</f>
        <v>0</v>
      </c>
      <c r="H5830" s="83">
        <f t="shared" si="91"/>
        <v>9887.43</v>
      </c>
      <c r="I5830" s="83"/>
      <c r="K5830" s="54" t="s">
        <v>15</v>
      </c>
    </row>
    <row r="5831" spans="2:11" ht="41.25" x14ac:dyDescent="0.2">
      <c r="B5831" s="84" t="s">
        <v>9375</v>
      </c>
      <c r="C5831" s="84" t="s">
        <v>9254</v>
      </c>
      <c r="D5831" s="85">
        <v>0</v>
      </c>
      <c r="E5831" s="85"/>
      <c r="F5831" s="85">
        <v>9887.43</v>
      </c>
      <c r="G5831" s="85">
        <v>0</v>
      </c>
      <c r="H5831" s="85">
        <f t="shared" si="91"/>
        <v>9887.43</v>
      </c>
      <c r="I5831" s="85"/>
      <c r="K5831" s="54" t="s">
        <v>38</v>
      </c>
    </row>
    <row r="5832" spans="2:11" ht="16.5" x14ac:dyDescent="0.2">
      <c r="B5832" s="82" t="s">
        <v>9376</v>
      </c>
      <c r="C5832" s="82" t="s">
        <v>3080</v>
      </c>
      <c r="D5832" s="83">
        <f>SUMIFS(D5833:D6462,K5833:K6462,"0",B5833:B6462,"5 1 3 9 8 12 31111 6 M59 20200*")-SUMIFS(E5833:E6462,K5833:K6462,"0",B5833:B6462,"5 1 3 9 8 12 31111 6 M59 20200*")</f>
        <v>0</v>
      </c>
      <c r="E5832" s="54"/>
      <c r="F5832" s="83">
        <f>SUMIFS(F5833:F6462,K5833:K6462,"0",B5833:B6462,"5 1 3 9 8 12 31111 6 M59 20200*")</f>
        <v>35802.879999999997</v>
      </c>
      <c r="G5832" s="83">
        <f>SUMIFS(G5833:G6462,K5833:K6462,"0",B5833:B6462,"5 1 3 9 8 12 31111 6 M59 20200*")</f>
        <v>0</v>
      </c>
      <c r="H5832" s="83">
        <f t="shared" si="91"/>
        <v>35802.879999999997</v>
      </c>
      <c r="I5832" s="83"/>
      <c r="K5832" s="54" t="s">
        <v>15</v>
      </c>
    </row>
    <row r="5833" spans="2:11" ht="16.5" x14ac:dyDescent="0.2">
      <c r="B5833" s="82" t="s">
        <v>9377</v>
      </c>
      <c r="C5833" s="82" t="s">
        <v>648</v>
      </c>
      <c r="D5833" s="83">
        <f>SUMIFS(D5834:D6462,K5834:K6462,"0",B5834:B6462,"5 1 3 9 8 12 31111 6 M59 20200 000132*")-SUMIFS(E5834:E6462,K5834:K6462,"0",B5834:B6462,"5 1 3 9 8 12 31111 6 M59 20200 000132*")</f>
        <v>0</v>
      </c>
      <c r="E5833" s="54"/>
      <c r="F5833" s="83">
        <f>SUMIFS(F5834:F6462,K5834:K6462,"0",B5834:B6462,"5 1 3 9 8 12 31111 6 M59 20200 000132*")</f>
        <v>35802.879999999997</v>
      </c>
      <c r="G5833" s="83">
        <f>SUMIFS(G5834:G6462,K5834:K6462,"0",B5834:B6462,"5 1 3 9 8 12 31111 6 M59 20200 000132*")</f>
        <v>0</v>
      </c>
      <c r="H5833" s="83">
        <f t="shared" si="91"/>
        <v>35802.879999999997</v>
      </c>
      <c r="I5833" s="83"/>
      <c r="K5833" s="54" t="s">
        <v>15</v>
      </c>
    </row>
    <row r="5834" spans="2:11" ht="24.75" x14ac:dyDescent="0.2">
      <c r="B5834" s="82" t="s">
        <v>9378</v>
      </c>
      <c r="C5834" s="82" t="s">
        <v>650</v>
      </c>
      <c r="D5834" s="83">
        <f>SUMIFS(D5835:D6462,K5835:K6462,"0",B5835:B6462,"5 1 3 9 8 12 31111 6 M59 20200 000132 0000R*")-SUMIFS(E5835:E6462,K5835:K6462,"0",B5835:B6462,"5 1 3 9 8 12 31111 6 M59 20200 000132 0000R*")</f>
        <v>0</v>
      </c>
      <c r="E5834" s="54"/>
      <c r="F5834" s="83">
        <f>SUMIFS(F5835:F6462,K5835:K6462,"0",B5835:B6462,"5 1 3 9 8 12 31111 6 M59 20200 000132 0000R*")</f>
        <v>35802.879999999997</v>
      </c>
      <c r="G5834" s="83">
        <f>SUMIFS(G5835:G6462,K5835:K6462,"0",B5835:B6462,"5 1 3 9 8 12 31111 6 M59 20200 000132 0000R*")</f>
        <v>0</v>
      </c>
      <c r="H5834" s="83">
        <f t="shared" si="91"/>
        <v>35802.879999999997</v>
      </c>
      <c r="I5834" s="83"/>
      <c r="K5834" s="54" t="s">
        <v>15</v>
      </c>
    </row>
    <row r="5835" spans="2:11" ht="24.75" x14ac:dyDescent="0.2">
      <c r="B5835" s="82" t="s">
        <v>9379</v>
      </c>
      <c r="C5835" s="82" t="s">
        <v>282</v>
      </c>
      <c r="D5835" s="83">
        <f>SUMIFS(D5836:D6462,K5836:K6462,"0",B5836:B6462,"5 1 3 9 8 12 31111 6 M59 20200 000132 0000R 00001*")-SUMIFS(E5836:E6462,K5836:K6462,"0",B5836:B6462,"5 1 3 9 8 12 31111 6 M59 20200 000132 0000R 00001*")</f>
        <v>0</v>
      </c>
      <c r="E5835" s="54"/>
      <c r="F5835" s="83">
        <f>SUMIFS(F5836:F6462,K5836:K6462,"0",B5836:B6462,"5 1 3 9 8 12 31111 6 M59 20200 000132 0000R 00001*")</f>
        <v>35802.879999999997</v>
      </c>
      <c r="G5835" s="83">
        <f>SUMIFS(G5836:G6462,K5836:K6462,"0",B5836:B6462,"5 1 3 9 8 12 31111 6 M59 20200 000132 0000R 00001*")</f>
        <v>0</v>
      </c>
      <c r="H5835" s="83">
        <f t="shared" si="91"/>
        <v>35802.879999999997</v>
      </c>
      <c r="I5835" s="83"/>
      <c r="K5835" s="54" t="s">
        <v>15</v>
      </c>
    </row>
    <row r="5836" spans="2:11" ht="24.75" x14ac:dyDescent="0.2">
      <c r="B5836" s="82" t="s">
        <v>9380</v>
      </c>
      <c r="C5836" s="82" t="s">
        <v>9247</v>
      </c>
      <c r="D5836" s="83">
        <f>SUMIFS(D5837:D6462,K5837:K6462,"0",B5837:B6462,"5 1 3 9 8 12 31111 6 M59 20200 000132 0000R 00001 00398*")-SUMIFS(E5837:E6462,K5837:K6462,"0",B5837:B6462,"5 1 3 9 8 12 31111 6 M59 20200 000132 0000R 00001 00398*")</f>
        <v>0</v>
      </c>
      <c r="E5836" s="54"/>
      <c r="F5836" s="83">
        <f>SUMIFS(F5837:F6462,K5837:K6462,"0",B5837:B6462,"5 1 3 9 8 12 31111 6 M59 20200 000132 0000R 00001 00398*")</f>
        <v>35802.879999999997</v>
      </c>
      <c r="G5836" s="83">
        <f>SUMIFS(G5837:G6462,K5837:K6462,"0",B5837:B6462,"5 1 3 9 8 12 31111 6 M59 20200 000132 0000R 00001 00398*")</f>
        <v>0</v>
      </c>
      <c r="H5836" s="83">
        <f t="shared" si="91"/>
        <v>35802.879999999997</v>
      </c>
      <c r="I5836" s="83"/>
      <c r="K5836" s="54" t="s">
        <v>15</v>
      </c>
    </row>
    <row r="5837" spans="2:11" ht="33" x14ac:dyDescent="0.2">
      <c r="B5837" s="82" t="s">
        <v>9381</v>
      </c>
      <c r="C5837" s="82" t="s">
        <v>1051</v>
      </c>
      <c r="D5837" s="83">
        <f>SUMIFS(D5838:D6462,K5838:K6462,"0",B5838:B6462,"5 1 3 9 8 12 31111 6 M59 20200 000132 0000R 00001 00398 015*")-SUMIFS(E5838:E6462,K5838:K6462,"0",B5838:B6462,"5 1 3 9 8 12 31111 6 M59 20200 000132 0000R 00001 00398 015*")</f>
        <v>0</v>
      </c>
      <c r="E5837" s="54"/>
      <c r="F5837" s="83">
        <f>SUMIFS(F5838:F6462,K5838:K6462,"0",B5838:B6462,"5 1 3 9 8 12 31111 6 M59 20200 000132 0000R 00001 00398 015*")</f>
        <v>35802.879999999997</v>
      </c>
      <c r="G5837" s="83">
        <f>SUMIFS(G5838:G6462,K5838:K6462,"0",B5838:B6462,"5 1 3 9 8 12 31111 6 M59 20200 000132 0000R 00001 00398 015*")</f>
        <v>0</v>
      </c>
      <c r="H5837" s="83">
        <f t="shared" si="91"/>
        <v>35802.879999999997</v>
      </c>
      <c r="I5837" s="83"/>
      <c r="K5837" s="54" t="s">
        <v>15</v>
      </c>
    </row>
    <row r="5838" spans="2:11" ht="33" x14ac:dyDescent="0.2">
      <c r="B5838" s="82" t="s">
        <v>9382</v>
      </c>
      <c r="C5838" s="82" t="s">
        <v>8550</v>
      </c>
      <c r="D5838" s="83">
        <f>SUMIFS(D5839:D6462,K5839:K6462,"0",B5839:B6462,"5 1 3 9 8 12 31111 6 M59 20200 000132 0000R 00001 00398 015 2111300*")-SUMIFS(E5839:E6462,K5839:K6462,"0",B5839:B6462,"5 1 3 9 8 12 31111 6 M59 20200 000132 0000R 00001 00398 015 2111300*")</f>
        <v>0</v>
      </c>
      <c r="E5838" s="54"/>
      <c r="F5838" s="83">
        <f>SUMIFS(F5839:F6462,K5839:K6462,"0",B5839:B6462,"5 1 3 9 8 12 31111 6 M59 20200 000132 0000R 00001 00398 015 2111300*")</f>
        <v>35802.879999999997</v>
      </c>
      <c r="G5838" s="83">
        <f>SUMIFS(G5839:G6462,K5839:K6462,"0",B5839:B6462,"5 1 3 9 8 12 31111 6 M59 20200 000132 0000R 00001 00398 015 2111300*")</f>
        <v>0</v>
      </c>
      <c r="H5838" s="83">
        <f t="shared" si="91"/>
        <v>35802.879999999997</v>
      </c>
      <c r="I5838" s="83"/>
      <c r="K5838" s="54" t="s">
        <v>15</v>
      </c>
    </row>
    <row r="5839" spans="2:11" ht="33" x14ac:dyDescent="0.2">
      <c r="B5839" s="82" t="s">
        <v>9383</v>
      </c>
      <c r="C5839" s="82" t="s">
        <v>660</v>
      </c>
      <c r="D5839" s="83">
        <f>SUMIFS(D5840:D6462,K5840:K6462,"0",B5840:B6462,"5 1 3 9 8 12 31111 6 M59 20200 000132 0000R 00001 00398 015 2111300 2024*")-SUMIFS(E5840:E6462,K5840:K6462,"0",B5840:B6462,"5 1 3 9 8 12 31111 6 M59 20200 000132 0000R 00001 00398 015 2111300 2024*")</f>
        <v>0</v>
      </c>
      <c r="E5839" s="54"/>
      <c r="F5839" s="83">
        <f>SUMIFS(F5840:F6462,K5840:K6462,"0",B5840:B6462,"5 1 3 9 8 12 31111 6 M59 20200 000132 0000R 00001 00398 015 2111300 2024*")</f>
        <v>35802.879999999997</v>
      </c>
      <c r="G5839" s="83">
        <f>SUMIFS(G5840:G6462,K5840:K6462,"0",B5840:B6462,"5 1 3 9 8 12 31111 6 M59 20200 000132 0000R 00001 00398 015 2111300 2024*")</f>
        <v>0</v>
      </c>
      <c r="H5839" s="83">
        <f t="shared" si="91"/>
        <v>35802.879999999997</v>
      </c>
      <c r="I5839" s="83"/>
      <c r="K5839" s="54" t="s">
        <v>15</v>
      </c>
    </row>
    <row r="5840" spans="2:11" ht="41.25" x14ac:dyDescent="0.2">
      <c r="B5840" s="82" t="s">
        <v>9384</v>
      </c>
      <c r="C5840" s="82" t="s">
        <v>662</v>
      </c>
      <c r="D5840" s="83">
        <f>SUMIFS(D5841:D6462,K5841:K6462,"0",B5841:B6462,"5 1 3 9 8 12 31111 6 M59 20200 000132 0000R 00001 00398 015 2111300 2024 CP1DI411*")-SUMIFS(E5841:E6462,K5841:K6462,"0",B5841:B6462,"5 1 3 9 8 12 31111 6 M59 20200 000132 0000R 00001 00398 015 2111300 2024 CP1DI411*")</f>
        <v>0</v>
      </c>
      <c r="E5840" s="54"/>
      <c r="F5840" s="83">
        <f>SUMIFS(F5841:F6462,K5841:K6462,"0",B5841:B6462,"5 1 3 9 8 12 31111 6 M59 20200 000132 0000R 00001 00398 015 2111300 2024 CP1DI411*")</f>
        <v>35802.879999999997</v>
      </c>
      <c r="G5840" s="83">
        <f>SUMIFS(G5841:G6462,K5841:K6462,"0",B5841:B6462,"5 1 3 9 8 12 31111 6 M59 20200 000132 0000R 00001 00398 015 2111300 2024 CP1DI411*")</f>
        <v>0</v>
      </c>
      <c r="H5840" s="83">
        <f t="shared" si="91"/>
        <v>35802.879999999997</v>
      </c>
      <c r="I5840" s="83"/>
      <c r="K5840" s="54" t="s">
        <v>15</v>
      </c>
    </row>
    <row r="5841" spans="2:11" ht="41.25" x14ac:dyDescent="0.2">
      <c r="B5841" s="82" t="s">
        <v>9385</v>
      </c>
      <c r="C5841" s="82" t="s">
        <v>282</v>
      </c>
      <c r="D5841" s="83">
        <f>SUMIFS(D5842:D6462,K5842:K6462,"0",B5842:B6462,"5 1 3 9 8 12 31111 6 M59 20200 000132 0000R 00001 00398 015 2111300 2024 CP1DI411 001*")-SUMIFS(E5842:E6462,K5842:K6462,"0",B5842:B6462,"5 1 3 9 8 12 31111 6 M59 20200 000132 0000R 00001 00398 015 2111300 2024 CP1DI411 001*")</f>
        <v>0</v>
      </c>
      <c r="E5841" s="54"/>
      <c r="F5841" s="83">
        <f>SUMIFS(F5842:F6462,K5842:K6462,"0",B5842:B6462,"5 1 3 9 8 12 31111 6 M59 20200 000132 0000R 00001 00398 015 2111300 2024 CP1DI411 001*")</f>
        <v>35802.879999999997</v>
      </c>
      <c r="G5841" s="83">
        <f>SUMIFS(G5842:G6462,K5842:K6462,"0",B5842:B6462,"5 1 3 9 8 12 31111 6 M59 20200 000132 0000R 00001 00398 015 2111300 2024 CP1DI411 001*")</f>
        <v>0</v>
      </c>
      <c r="H5841" s="83">
        <f t="shared" si="91"/>
        <v>35802.879999999997</v>
      </c>
      <c r="I5841" s="83"/>
      <c r="K5841" s="54" t="s">
        <v>15</v>
      </c>
    </row>
    <row r="5842" spans="2:11" ht="33" x14ac:dyDescent="0.2">
      <c r="B5842" s="84" t="s">
        <v>9386</v>
      </c>
      <c r="C5842" s="84" t="s">
        <v>9254</v>
      </c>
      <c r="D5842" s="85">
        <v>0</v>
      </c>
      <c r="E5842" s="85"/>
      <c r="F5842" s="85">
        <v>35802.879999999997</v>
      </c>
      <c r="G5842" s="85">
        <v>0</v>
      </c>
      <c r="H5842" s="85">
        <f t="shared" si="91"/>
        <v>35802.879999999997</v>
      </c>
      <c r="I5842" s="85"/>
      <c r="K5842" s="54" t="s">
        <v>38</v>
      </c>
    </row>
    <row r="5843" spans="2:11" ht="16.5" x14ac:dyDescent="0.2">
      <c r="B5843" s="82" t="s">
        <v>9387</v>
      </c>
      <c r="C5843" s="82" t="s">
        <v>1061</v>
      </c>
      <c r="D5843" s="83">
        <f>SUMIFS(D5844:D6462,K5844:K6462,"0",B5844:B6462,"5 1 3 9 8 12 31111 6 M59 20300*")-SUMIFS(E5844:E6462,K5844:K6462,"0",B5844:B6462,"5 1 3 9 8 12 31111 6 M59 20300*")</f>
        <v>0</v>
      </c>
      <c r="E5843" s="54"/>
      <c r="F5843" s="83">
        <f>SUMIFS(F5844:F6462,K5844:K6462,"0",B5844:B6462,"5 1 3 9 8 12 31111 6 M59 20300*")</f>
        <v>37671.1</v>
      </c>
      <c r="G5843" s="83">
        <f>SUMIFS(G5844:G6462,K5844:K6462,"0",B5844:B6462,"5 1 3 9 8 12 31111 6 M59 20300*")</f>
        <v>0</v>
      </c>
      <c r="H5843" s="83">
        <f t="shared" si="91"/>
        <v>37671.1</v>
      </c>
      <c r="I5843" s="83"/>
      <c r="K5843" s="54" t="s">
        <v>15</v>
      </c>
    </row>
    <row r="5844" spans="2:11" ht="16.5" x14ac:dyDescent="0.2">
      <c r="B5844" s="82" t="s">
        <v>9388</v>
      </c>
      <c r="C5844" s="82" t="s">
        <v>648</v>
      </c>
      <c r="D5844" s="83">
        <f>SUMIFS(D5845:D6462,K5845:K6462,"0",B5845:B6462,"5 1 3 9 8 12 31111 6 M59 20300 000132*")-SUMIFS(E5845:E6462,K5845:K6462,"0",B5845:B6462,"5 1 3 9 8 12 31111 6 M59 20300 000132*")</f>
        <v>0</v>
      </c>
      <c r="E5844" s="54"/>
      <c r="F5844" s="83">
        <f>SUMIFS(F5845:F6462,K5845:K6462,"0",B5845:B6462,"5 1 3 9 8 12 31111 6 M59 20300 000132*")</f>
        <v>37671.1</v>
      </c>
      <c r="G5844" s="83">
        <f>SUMIFS(G5845:G6462,K5845:K6462,"0",B5845:B6462,"5 1 3 9 8 12 31111 6 M59 20300 000132*")</f>
        <v>0</v>
      </c>
      <c r="H5844" s="83">
        <f t="shared" si="91"/>
        <v>37671.1</v>
      </c>
      <c r="I5844" s="83"/>
      <c r="K5844" s="54" t="s">
        <v>15</v>
      </c>
    </row>
    <row r="5845" spans="2:11" ht="24.75" x14ac:dyDescent="0.2">
      <c r="B5845" s="82" t="s">
        <v>9389</v>
      </c>
      <c r="C5845" s="82" t="s">
        <v>650</v>
      </c>
      <c r="D5845" s="83">
        <f>SUMIFS(D5846:D6462,K5846:K6462,"0",B5846:B6462,"5 1 3 9 8 12 31111 6 M59 20300 000132 0000R*")-SUMIFS(E5846:E6462,K5846:K6462,"0",B5846:B6462,"5 1 3 9 8 12 31111 6 M59 20300 000132 0000R*")</f>
        <v>0</v>
      </c>
      <c r="E5845" s="54"/>
      <c r="F5845" s="83">
        <f>SUMIFS(F5846:F6462,K5846:K6462,"0",B5846:B6462,"5 1 3 9 8 12 31111 6 M59 20300 000132 0000R*")</f>
        <v>37671.1</v>
      </c>
      <c r="G5845" s="83">
        <f>SUMIFS(G5846:G6462,K5846:K6462,"0",B5846:B6462,"5 1 3 9 8 12 31111 6 M59 20300 000132 0000R*")</f>
        <v>0</v>
      </c>
      <c r="H5845" s="83">
        <f t="shared" si="91"/>
        <v>37671.1</v>
      </c>
      <c r="I5845" s="83"/>
      <c r="K5845" s="54" t="s">
        <v>15</v>
      </c>
    </row>
    <row r="5846" spans="2:11" ht="24.75" x14ac:dyDescent="0.2">
      <c r="B5846" s="82" t="s">
        <v>9390</v>
      </c>
      <c r="C5846" s="82" t="s">
        <v>282</v>
      </c>
      <c r="D5846" s="83">
        <f>SUMIFS(D5847:D6462,K5847:K6462,"0",B5847:B6462,"5 1 3 9 8 12 31111 6 M59 20300 000132 0000R 00001*")-SUMIFS(E5847:E6462,K5847:K6462,"0",B5847:B6462,"5 1 3 9 8 12 31111 6 M59 20300 000132 0000R 00001*")</f>
        <v>0</v>
      </c>
      <c r="E5846" s="54"/>
      <c r="F5846" s="83">
        <f>SUMIFS(F5847:F6462,K5847:K6462,"0",B5847:B6462,"5 1 3 9 8 12 31111 6 M59 20300 000132 0000R 00001*")</f>
        <v>37671.1</v>
      </c>
      <c r="G5846" s="83">
        <f>SUMIFS(G5847:G6462,K5847:K6462,"0",B5847:B6462,"5 1 3 9 8 12 31111 6 M59 20300 000132 0000R 00001*")</f>
        <v>0</v>
      </c>
      <c r="H5846" s="83">
        <f t="shared" si="91"/>
        <v>37671.1</v>
      </c>
      <c r="I5846" s="83"/>
      <c r="K5846" s="54" t="s">
        <v>15</v>
      </c>
    </row>
    <row r="5847" spans="2:11" ht="24.75" x14ac:dyDescent="0.2">
      <c r="B5847" s="82" t="s">
        <v>9391</v>
      </c>
      <c r="C5847" s="82" t="s">
        <v>9247</v>
      </c>
      <c r="D5847" s="83">
        <f>SUMIFS(D5848:D6462,K5848:K6462,"0",B5848:B6462,"5 1 3 9 8 12 31111 6 M59 20300 000132 0000R 00001 00398*")-SUMIFS(E5848:E6462,K5848:K6462,"0",B5848:B6462,"5 1 3 9 8 12 31111 6 M59 20300 000132 0000R 00001 00398*")</f>
        <v>0</v>
      </c>
      <c r="E5847" s="54"/>
      <c r="F5847" s="83">
        <f>SUMIFS(F5848:F6462,K5848:K6462,"0",B5848:B6462,"5 1 3 9 8 12 31111 6 M59 20300 000132 0000R 00001 00398*")</f>
        <v>37671.1</v>
      </c>
      <c r="G5847" s="83">
        <f>SUMIFS(G5848:G6462,K5848:K6462,"0",B5848:B6462,"5 1 3 9 8 12 31111 6 M59 20300 000132 0000R 00001 00398*")</f>
        <v>0</v>
      </c>
      <c r="H5847" s="83">
        <f t="shared" si="91"/>
        <v>37671.1</v>
      </c>
      <c r="I5847" s="83"/>
      <c r="K5847" s="54" t="s">
        <v>15</v>
      </c>
    </row>
    <row r="5848" spans="2:11" ht="33" x14ac:dyDescent="0.2">
      <c r="B5848" s="82" t="s">
        <v>9392</v>
      </c>
      <c r="C5848" s="82" t="s">
        <v>1051</v>
      </c>
      <c r="D5848" s="83">
        <f>SUMIFS(D5849:D6462,K5849:K6462,"0",B5849:B6462,"5 1 3 9 8 12 31111 6 M59 20300 000132 0000R 00001 00398 015*")-SUMIFS(E5849:E6462,K5849:K6462,"0",B5849:B6462,"5 1 3 9 8 12 31111 6 M59 20300 000132 0000R 00001 00398 015*")</f>
        <v>0</v>
      </c>
      <c r="E5848" s="54"/>
      <c r="F5848" s="83">
        <f>SUMIFS(F5849:F6462,K5849:K6462,"0",B5849:B6462,"5 1 3 9 8 12 31111 6 M59 20300 000132 0000R 00001 00398 015*")</f>
        <v>37671.1</v>
      </c>
      <c r="G5848" s="83">
        <f>SUMIFS(G5849:G6462,K5849:K6462,"0",B5849:B6462,"5 1 3 9 8 12 31111 6 M59 20300 000132 0000R 00001 00398 015*")</f>
        <v>0</v>
      </c>
      <c r="H5848" s="83">
        <f t="shared" si="91"/>
        <v>37671.1</v>
      </c>
      <c r="I5848" s="83"/>
      <c r="K5848" s="54" t="s">
        <v>15</v>
      </c>
    </row>
    <row r="5849" spans="2:11" ht="33" x14ac:dyDescent="0.2">
      <c r="B5849" s="82" t="s">
        <v>9393</v>
      </c>
      <c r="C5849" s="82" t="s">
        <v>8550</v>
      </c>
      <c r="D5849" s="83">
        <f>SUMIFS(D5850:D6462,K5850:K6462,"0",B5850:B6462,"5 1 3 9 8 12 31111 6 M59 20300 000132 0000R 00001 00398 015 2111300*")-SUMIFS(E5850:E6462,K5850:K6462,"0",B5850:B6462,"5 1 3 9 8 12 31111 6 M59 20300 000132 0000R 00001 00398 015 2111300*")</f>
        <v>0</v>
      </c>
      <c r="E5849" s="54"/>
      <c r="F5849" s="83">
        <f>SUMIFS(F5850:F6462,K5850:K6462,"0",B5850:B6462,"5 1 3 9 8 12 31111 6 M59 20300 000132 0000R 00001 00398 015 2111300*")</f>
        <v>37671.1</v>
      </c>
      <c r="G5849" s="83">
        <f>SUMIFS(G5850:G6462,K5850:K6462,"0",B5850:B6462,"5 1 3 9 8 12 31111 6 M59 20300 000132 0000R 00001 00398 015 2111300*")</f>
        <v>0</v>
      </c>
      <c r="H5849" s="83">
        <f t="shared" si="91"/>
        <v>37671.1</v>
      </c>
      <c r="I5849" s="83"/>
      <c r="K5849" s="54" t="s">
        <v>15</v>
      </c>
    </row>
    <row r="5850" spans="2:11" ht="33" x14ac:dyDescent="0.2">
      <c r="B5850" s="82" t="s">
        <v>9394</v>
      </c>
      <c r="C5850" s="82" t="s">
        <v>660</v>
      </c>
      <c r="D5850" s="83">
        <f>SUMIFS(D5851:D6462,K5851:K6462,"0",B5851:B6462,"5 1 3 9 8 12 31111 6 M59 20300 000132 0000R 00001 00398 015 2111300 2024*")-SUMIFS(E5851:E6462,K5851:K6462,"0",B5851:B6462,"5 1 3 9 8 12 31111 6 M59 20300 000132 0000R 00001 00398 015 2111300 2024*")</f>
        <v>0</v>
      </c>
      <c r="E5850" s="54"/>
      <c r="F5850" s="83">
        <f>SUMIFS(F5851:F6462,K5851:K6462,"0",B5851:B6462,"5 1 3 9 8 12 31111 6 M59 20300 000132 0000R 00001 00398 015 2111300 2024*")</f>
        <v>37671.1</v>
      </c>
      <c r="G5850" s="83">
        <f>SUMIFS(G5851:G6462,K5851:K6462,"0",B5851:B6462,"5 1 3 9 8 12 31111 6 M59 20300 000132 0000R 00001 00398 015 2111300 2024*")</f>
        <v>0</v>
      </c>
      <c r="H5850" s="83">
        <f t="shared" si="91"/>
        <v>37671.1</v>
      </c>
      <c r="I5850" s="83"/>
      <c r="K5850" s="54" t="s">
        <v>15</v>
      </c>
    </row>
    <row r="5851" spans="2:11" ht="41.25" x14ac:dyDescent="0.2">
      <c r="B5851" s="82" t="s">
        <v>9395</v>
      </c>
      <c r="C5851" s="82" t="s">
        <v>662</v>
      </c>
      <c r="D5851" s="83">
        <f>SUMIFS(D5852:D6462,K5852:K6462,"0",B5852:B6462,"5 1 3 9 8 12 31111 6 M59 20300 000132 0000R 00001 00398 015 2111300 2024 CP1DE415*")-SUMIFS(E5852:E6462,K5852:K6462,"0",B5852:B6462,"5 1 3 9 8 12 31111 6 M59 20300 000132 0000R 00001 00398 015 2111300 2024 CP1DE415*")</f>
        <v>0</v>
      </c>
      <c r="E5851" s="54"/>
      <c r="F5851" s="83">
        <f>SUMIFS(F5852:F6462,K5852:K6462,"0",B5852:B6462,"5 1 3 9 8 12 31111 6 M59 20300 000132 0000R 00001 00398 015 2111300 2024 CP1DE415*")</f>
        <v>37671.1</v>
      </c>
      <c r="G5851" s="83">
        <f>SUMIFS(G5852:G6462,K5852:K6462,"0",B5852:B6462,"5 1 3 9 8 12 31111 6 M59 20300 000132 0000R 00001 00398 015 2111300 2024 CP1DE415*")</f>
        <v>0</v>
      </c>
      <c r="H5851" s="83">
        <f t="shared" si="91"/>
        <v>37671.1</v>
      </c>
      <c r="I5851" s="83"/>
      <c r="K5851" s="54" t="s">
        <v>15</v>
      </c>
    </row>
    <row r="5852" spans="2:11" ht="41.25" x14ac:dyDescent="0.2">
      <c r="B5852" s="82" t="s">
        <v>9396</v>
      </c>
      <c r="C5852" s="82" t="s">
        <v>282</v>
      </c>
      <c r="D5852" s="83">
        <f>SUMIFS(D5853:D6462,K5853:K6462,"0",B5853:B6462,"5 1 3 9 8 12 31111 6 M59 20300 000132 0000R 00001 00398 015 2111300 2024 CP1DE415 001*")-SUMIFS(E5853:E6462,K5853:K6462,"0",B5853:B6462,"5 1 3 9 8 12 31111 6 M59 20300 000132 0000R 00001 00398 015 2111300 2024 CP1DE415 001*")</f>
        <v>0</v>
      </c>
      <c r="E5852" s="54"/>
      <c r="F5852" s="83">
        <f>SUMIFS(F5853:F6462,K5853:K6462,"0",B5853:B6462,"5 1 3 9 8 12 31111 6 M59 20300 000132 0000R 00001 00398 015 2111300 2024 CP1DE415 001*")</f>
        <v>37671.1</v>
      </c>
      <c r="G5852" s="83">
        <f>SUMIFS(G5853:G6462,K5853:K6462,"0",B5853:B6462,"5 1 3 9 8 12 31111 6 M59 20300 000132 0000R 00001 00398 015 2111300 2024 CP1DE415 001*")</f>
        <v>0</v>
      </c>
      <c r="H5852" s="83">
        <f t="shared" si="91"/>
        <v>37671.1</v>
      </c>
      <c r="I5852" s="83"/>
      <c r="K5852" s="54" t="s">
        <v>15</v>
      </c>
    </row>
    <row r="5853" spans="2:11" ht="41.25" x14ac:dyDescent="0.2">
      <c r="B5853" s="84" t="s">
        <v>9397</v>
      </c>
      <c r="C5853" s="84" t="s">
        <v>9254</v>
      </c>
      <c r="D5853" s="85">
        <v>0</v>
      </c>
      <c r="E5853" s="85"/>
      <c r="F5853" s="85">
        <v>37671.1</v>
      </c>
      <c r="G5853" s="85">
        <v>0</v>
      </c>
      <c r="H5853" s="85">
        <f t="shared" si="91"/>
        <v>37671.1</v>
      </c>
      <c r="I5853" s="85"/>
      <c r="K5853" s="54" t="s">
        <v>38</v>
      </c>
    </row>
    <row r="5854" spans="2:11" ht="16.5" x14ac:dyDescent="0.2">
      <c r="B5854" s="82" t="s">
        <v>9398</v>
      </c>
      <c r="C5854" s="82" t="s">
        <v>3103</v>
      </c>
      <c r="D5854" s="83">
        <f>SUMIFS(D5855:D6462,K5855:K6462,"0",B5855:B6462,"5 1 3 9 8 12 31111 6 M59 20400*")-SUMIFS(E5855:E6462,K5855:K6462,"0",B5855:B6462,"5 1 3 9 8 12 31111 6 M59 20400*")</f>
        <v>0</v>
      </c>
      <c r="E5854" s="54"/>
      <c r="F5854" s="83">
        <f>SUMIFS(F5855:F6462,K5855:K6462,"0",B5855:B6462,"5 1 3 9 8 12 31111 6 M59 20400*")</f>
        <v>18124.88</v>
      </c>
      <c r="G5854" s="83">
        <f>SUMIFS(G5855:G6462,K5855:K6462,"0",B5855:B6462,"5 1 3 9 8 12 31111 6 M59 20400*")</f>
        <v>0</v>
      </c>
      <c r="H5854" s="83">
        <f t="shared" si="91"/>
        <v>18124.88</v>
      </c>
      <c r="I5854" s="83"/>
      <c r="K5854" s="54" t="s">
        <v>15</v>
      </c>
    </row>
    <row r="5855" spans="2:11" ht="16.5" x14ac:dyDescent="0.2">
      <c r="B5855" s="82" t="s">
        <v>9399</v>
      </c>
      <c r="C5855" s="82" t="s">
        <v>648</v>
      </c>
      <c r="D5855" s="83">
        <f>SUMIFS(D5856:D6462,K5856:K6462,"0",B5856:B6462,"5 1 3 9 8 12 31111 6 M59 20400 000132*")-SUMIFS(E5856:E6462,K5856:K6462,"0",B5856:B6462,"5 1 3 9 8 12 31111 6 M59 20400 000132*")</f>
        <v>0</v>
      </c>
      <c r="E5855" s="54"/>
      <c r="F5855" s="83">
        <f>SUMIFS(F5856:F6462,K5856:K6462,"0",B5856:B6462,"5 1 3 9 8 12 31111 6 M59 20400 000132*")</f>
        <v>18124.88</v>
      </c>
      <c r="G5855" s="83">
        <f>SUMIFS(G5856:G6462,K5856:K6462,"0",B5856:B6462,"5 1 3 9 8 12 31111 6 M59 20400 000132*")</f>
        <v>0</v>
      </c>
      <c r="H5855" s="83">
        <f t="shared" si="91"/>
        <v>18124.88</v>
      </c>
      <c r="I5855" s="83"/>
      <c r="K5855" s="54" t="s">
        <v>15</v>
      </c>
    </row>
    <row r="5856" spans="2:11" ht="24.75" x14ac:dyDescent="0.2">
      <c r="B5856" s="82" t="s">
        <v>9400</v>
      </c>
      <c r="C5856" s="82" t="s">
        <v>650</v>
      </c>
      <c r="D5856" s="83">
        <f>SUMIFS(D5857:D6462,K5857:K6462,"0",B5857:B6462,"5 1 3 9 8 12 31111 6 M59 20400 000132 0000R*")-SUMIFS(E5857:E6462,K5857:K6462,"0",B5857:B6462,"5 1 3 9 8 12 31111 6 M59 20400 000132 0000R*")</f>
        <v>0</v>
      </c>
      <c r="E5856" s="54"/>
      <c r="F5856" s="83">
        <f>SUMIFS(F5857:F6462,K5857:K6462,"0",B5857:B6462,"5 1 3 9 8 12 31111 6 M59 20400 000132 0000R*")</f>
        <v>18124.88</v>
      </c>
      <c r="G5856" s="83">
        <f>SUMIFS(G5857:G6462,K5857:K6462,"0",B5857:B6462,"5 1 3 9 8 12 31111 6 M59 20400 000132 0000R*")</f>
        <v>0</v>
      </c>
      <c r="H5856" s="83">
        <f t="shared" si="91"/>
        <v>18124.88</v>
      </c>
      <c r="I5856" s="83"/>
      <c r="K5856" s="54" t="s">
        <v>15</v>
      </c>
    </row>
    <row r="5857" spans="2:11" ht="24.75" x14ac:dyDescent="0.2">
      <c r="B5857" s="82" t="s">
        <v>9401</v>
      </c>
      <c r="C5857" s="82" t="s">
        <v>282</v>
      </c>
      <c r="D5857" s="83">
        <f>SUMIFS(D5858:D6462,K5858:K6462,"0",B5858:B6462,"5 1 3 9 8 12 31111 6 M59 20400 000132 0000R 00001*")-SUMIFS(E5858:E6462,K5858:K6462,"0",B5858:B6462,"5 1 3 9 8 12 31111 6 M59 20400 000132 0000R 00001*")</f>
        <v>0</v>
      </c>
      <c r="E5857" s="54"/>
      <c r="F5857" s="83">
        <f>SUMIFS(F5858:F6462,K5858:K6462,"0",B5858:B6462,"5 1 3 9 8 12 31111 6 M59 20400 000132 0000R 00001*")</f>
        <v>18124.88</v>
      </c>
      <c r="G5857" s="83">
        <f>SUMIFS(G5858:G6462,K5858:K6462,"0",B5858:B6462,"5 1 3 9 8 12 31111 6 M59 20400 000132 0000R 00001*")</f>
        <v>0</v>
      </c>
      <c r="H5857" s="83">
        <f t="shared" si="91"/>
        <v>18124.88</v>
      </c>
      <c r="I5857" s="83"/>
      <c r="K5857" s="54" t="s">
        <v>15</v>
      </c>
    </row>
    <row r="5858" spans="2:11" ht="24.75" x14ac:dyDescent="0.2">
      <c r="B5858" s="82" t="s">
        <v>9402</v>
      </c>
      <c r="C5858" s="82" t="s">
        <v>9247</v>
      </c>
      <c r="D5858" s="83">
        <f>SUMIFS(D5859:D6462,K5859:K6462,"0",B5859:B6462,"5 1 3 9 8 12 31111 6 M59 20400 000132 0000R 00001 00398*")-SUMIFS(E5859:E6462,K5859:K6462,"0",B5859:B6462,"5 1 3 9 8 12 31111 6 M59 20400 000132 0000R 00001 00398*")</f>
        <v>0</v>
      </c>
      <c r="E5858" s="54"/>
      <c r="F5858" s="83">
        <f>SUMIFS(F5859:F6462,K5859:K6462,"0",B5859:B6462,"5 1 3 9 8 12 31111 6 M59 20400 000132 0000R 00001 00398*")</f>
        <v>18124.88</v>
      </c>
      <c r="G5858" s="83">
        <f>SUMIFS(G5859:G6462,K5859:K6462,"0",B5859:B6462,"5 1 3 9 8 12 31111 6 M59 20400 000132 0000R 00001 00398*")</f>
        <v>0</v>
      </c>
      <c r="H5858" s="83">
        <f t="shared" si="91"/>
        <v>18124.88</v>
      </c>
      <c r="I5858" s="83"/>
      <c r="K5858" s="54" t="s">
        <v>15</v>
      </c>
    </row>
    <row r="5859" spans="2:11" ht="33" x14ac:dyDescent="0.2">
      <c r="B5859" s="82" t="s">
        <v>9403</v>
      </c>
      <c r="C5859" s="82" t="s">
        <v>1051</v>
      </c>
      <c r="D5859" s="83">
        <f>SUMIFS(D5860:D6462,K5860:K6462,"0",B5860:B6462,"5 1 3 9 8 12 31111 6 M59 20400 000132 0000R 00001 00398 015*")-SUMIFS(E5860:E6462,K5860:K6462,"0",B5860:B6462,"5 1 3 9 8 12 31111 6 M59 20400 000132 0000R 00001 00398 015*")</f>
        <v>0</v>
      </c>
      <c r="E5859" s="54"/>
      <c r="F5859" s="83">
        <f>SUMIFS(F5860:F6462,K5860:K6462,"0",B5860:B6462,"5 1 3 9 8 12 31111 6 M59 20400 000132 0000R 00001 00398 015*")</f>
        <v>18124.88</v>
      </c>
      <c r="G5859" s="83">
        <f>SUMIFS(G5860:G6462,K5860:K6462,"0",B5860:B6462,"5 1 3 9 8 12 31111 6 M59 20400 000132 0000R 00001 00398 015*")</f>
        <v>0</v>
      </c>
      <c r="H5859" s="83">
        <f t="shared" si="91"/>
        <v>18124.88</v>
      </c>
      <c r="I5859" s="83"/>
      <c r="K5859" s="54" t="s">
        <v>15</v>
      </c>
    </row>
    <row r="5860" spans="2:11" ht="33" x14ac:dyDescent="0.2">
      <c r="B5860" s="82" t="s">
        <v>9404</v>
      </c>
      <c r="C5860" s="82" t="s">
        <v>8550</v>
      </c>
      <c r="D5860" s="83">
        <f>SUMIFS(D5861:D6462,K5861:K6462,"0",B5861:B6462,"5 1 3 9 8 12 31111 6 M59 20400 000132 0000R 00001 00398 015 2111300*")-SUMIFS(E5861:E6462,K5861:K6462,"0",B5861:B6462,"5 1 3 9 8 12 31111 6 M59 20400 000132 0000R 00001 00398 015 2111300*")</f>
        <v>0</v>
      </c>
      <c r="E5860" s="54"/>
      <c r="F5860" s="83">
        <f>SUMIFS(F5861:F6462,K5861:K6462,"0",B5861:B6462,"5 1 3 9 8 12 31111 6 M59 20400 000132 0000R 00001 00398 015 2111300*")</f>
        <v>18124.88</v>
      </c>
      <c r="G5860" s="83">
        <f>SUMIFS(G5861:G6462,K5861:K6462,"0",B5861:B6462,"5 1 3 9 8 12 31111 6 M59 20400 000132 0000R 00001 00398 015 2111300*")</f>
        <v>0</v>
      </c>
      <c r="H5860" s="83">
        <f t="shared" si="91"/>
        <v>18124.88</v>
      </c>
      <c r="I5860" s="83"/>
      <c r="K5860" s="54" t="s">
        <v>15</v>
      </c>
    </row>
    <row r="5861" spans="2:11" ht="33" x14ac:dyDescent="0.2">
      <c r="B5861" s="82" t="s">
        <v>9405</v>
      </c>
      <c r="C5861" s="82" t="s">
        <v>660</v>
      </c>
      <c r="D5861" s="83">
        <f>SUMIFS(D5862:D6462,K5862:K6462,"0",B5862:B6462,"5 1 3 9 8 12 31111 6 M59 20400 000132 0000R 00001 00398 015 2111300 2024*")-SUMIFS(E5862:E6462,K5862:K6462,"0",B5862:B6462,"5 1 3 9 8 12 31111 6 M59 20400 000132 0000R 00001 00398 015 2111300 2024*")</f>
        <v>0</v>
      </c>
      <c r="E5861" s="54"/>
      <c r="F5861" s="83">
        <f>SUMIFS(F5862:F6462,K5862:K6462,"0",B5862:B6462,"5 1 3 9 8 12 31111 6 M59 20400 000132 0000R 00001 00398 015 2111300 2024*")</f>
        <v>18124.88</v>
      </c>
      <c r="G5861" s="83">
        <f>SUMIFS(G5862:G6462,K5862:K6462,"0",B5862:B6462,"5 1 3 9 8 12 31111 6 M59 20400 000132 0000R 00001 00398 015 2111300 2024*")</f>
        <v>0</v>
      </c>
      <c r="H5861" s="83">
        <f t="shared" si="91"/>
        <v>18124.88</v>
      </c>
      <c r="I5861" s="83"/>
      <c r="K5861" s="54" t="s">
        <v>15</v>
      </c>
    </row>
    <row r="5862" spans="2:11" ht="41.25" x14ac:dyDescent="0.2">
      <c r="B5862" s="82" t="s">
        <v>9406</v>
      </c>
      <c r="C5862" s="82" t="s">
        <v>1056</v>
      </c>
      <c r="D5862" s="83">
        <f>SUMIFS(D5863:D6462,K5863:K6462,"0",B5863:B6462,"5 1 3 9 8 12 31111 6 M59 20400 000132 0000R 00001 00398 015 2111300 2024 CP1PV404*")-SUMIFS(E5863:E6462,K5863:K6462,"0",B5863:B6462,"5 1 3 9 8 12 31111 6 M59 20400 000132 0000R 00001 00398 015 2111300 2024 CP1PV404*")</f>
        <v>0</v>
      </c>
      <c r="E5862" s="54"/>
      <c r="F5862" s="83">
        <f>SUMIFS(F5863:F6462,K5863:K6462,"0",B5863:B6462,"5 1 3 9 8 12 31111 6 M59 20400 000132 0000R 00001 00398 015 2111300 2024 CP1PV404*")</f>
        <v>18124.88</v>
      </c>
      <c r="G5862" s="83">
        <f>SUMIFS(G5863:G6462,K5863:K6462,"0",B5863:B6462,"5 1 3 9 8 12 31111 6 M59 20400 000132 0000R 00001 00398 015 2111300 2024 CP1PV404*")</f>
        <v>0</v>
      </c>
      <c r="H5862" s="83">
        <f t="shared" si="91"/>
        <v>18124.88</v>
      </c>
      <c r="I5862" s="83"/>
      <c r="K5862" s="54" t="s">
        <v>15</v>
      </c>
    </row>
    <row r="5863" spans="2:11" ht="41.25" x14ac:dyDescent="0.2">
      <c r="B5863" s="82" t="s">
        <v>9407</v>
      </c>
      <c r="C5863" s="82" t="s">
        <v>282</v>
      </c>
      <c r="D5863" s="83">
        <f>SUMIFS(D5864:D6462,K5864:K6462,"0",B5864:B6462,"5 1 3 9 8 12 31111 6 M59 20400 000132 0000R 00001 00398 015 2111300 2024 CP1PV404 001*")-SUMIFS(E5864:E6462,K5864:K6462,"0",B5864:B6462,"5 1 3 9 8 12 31111 6 M59 20400 000132 0000R 00001 00398 015 2111300 2024 CP1PV404 001*")</f>
        <v>0</v>
      </c>
      <c r="E5863" s="54"/>
      <c r="F5863" s="83">
        <f>SUMIFS(F5864:F6462,K5864:K6462,"0",B5864:B6462,"5 1 3 9 8 12 31111 6 M59 20400 000132 0000R 00001 00398 015 2111300 2024 CP1PV404 001*")</f>
        <v>18124.88</v>
      </c>
      <c r="G5863" s="83">
        <f>SUMIFS(G5864:G6462,K5864:K6462,"0",B5864:B6462,"5 1 3 9 8 12 31111 6 M59 20400 000132 0000R 00001 00398 015 2111300 2024 CP1PV404 001*")</f>
        <v>0</v>
      </c>
      <c r="H5863" s="83">
        <f t="shared" si="91"/>
        <v>18124.88</v>
      </c>
      <c r="I5863" s="83"/>
      <c r="K5863" s="54" t="s">
        <v>15</v>
      </c>
    </row>
    <row r="5864" spans="2:11" ht="41.25" x14ac:dyDescent="0.2">
      <c r="B5864" s="84" t="s">
        <v>9408</v>
      </c>
      <c r="C5864" s="84" t="s">
        <v>9254</v>
      </c>
      <c r="D5864" s="85">
        <v>0</v>
      </c>
      <c r="E5864" s="85"/>
      <c r="F5864" s="85">
        <v>18124.88</v>
      </c>
      <c r="G5864" s="85">
        <v>0</v>
      </c>
      <c r="H5864" s="85">
        <f t="shared" si="91"/>
        <v>18124.88</v>
      </c>
      <c r="I5864" s="85"/>
      <c r="K5864" s="54" t="s">
        <v>38</v>
      </c>
    </row>
    <row r="5865" spans="2:11" ht="16.5" x14ac:dyDescent="0.2">
      <c r="B5865" s="82" t="s">
        <v>9409</v>
      </c>
      <c r="C5865" s="82" t="s">
        <v>1079</v>
      </c>
      <c r="D5865" s="83">
        <f>SUMIFS(D5866:D6462,K5866:K6462,"0",B5866:B6462,"5 1 3 9 8 12 31111 6 M59 20500*")-SUMIFS(E5866:E6462,K5866:K6462,"0",B5866:B6462,"5 1 3 9 8 12 31111 6 M59 20500*")</f>
        <v>0</v>
      </c>
      <c r="E5865" s="54"/>
      <c r="F5865" s="83">
        <f>SUMIFS(F5866:F6462,K5866:K6462,"0",B5866:B6462,"5 1 3 9 8 12 31111 6 M59 20500*")</f>
        <v>26878.23</v>
      </c>
      <c r="G5865" s="83">
        <f>SUMIFS(G5866:G6462,K5866:K6462,"0",B5866:B6462,"5 1 3 9 8 12 31111 6 M59 20500*")</f>
        <v>0</v>
      </c>
      <c r="H5865" s="83">
        <f t="shared" si="91"/>
        <v>26878.23</v>
      </c>
      <c r="I5865" s="83"/>
      <c r="K5865" s="54" t="s">
        <v>15</v>
      </c>
    </row>
    <row r="5866" spans="2:11" ht="16.5" x14ac:dyDescent="0.2">
      <c r="B5866" s="82" t="s">
        <v>9410</v>
      </c>
      <c r="C5866" s="82" t="s">
        <v>648</v>
      </c>
      <c r="D5866" s="83">
        <f>SUMIFS(D5867:D6462,K5867:K6462,"0",B5867:B6462,"5 1 3 9 8 12 31111 6 M59 20500 000132*")-SUMIFS(E5867:E6462,K5867:K6462,"0",B5867:B6462,"5 1 3 9 8 12 31111 6 M59 20500 000132*")</f>
        <v>0</v>
      </c>
      <c r="E5866" s="54"/>
      <c r="F5866" s="83">
        <f>SUMIFS(F5867:F6462,K5867:K6462,"0",B5867:B6462,"5 1 3 9 8 12 31111 6 M59 20500 000132*")</f>
        <v>26878.23</v>
      </c>
      <c r="G5866" s="83">
        <f>SUMIFS(G5867:G6462,K5867:K6462,"0",B5867:B6462,"5 1 3 9 8 12 31111 6 M59 20500 000132*")</f>
        <v>0</v>
      </c>
      <c r="H5866" s="83">
        <f t="shared" si="91"/>
        <v>26878.23</v>
      </c>
      <c r="I5866" s="83"/>
      <c r="K5866" s="54" t="s">
        <v>15</v>
      </c>
    </row>
    <row r="5867" spans="2:11" ht="24.75" x14ac:dyDescent="0.2">
      <c r="B5867" s="82" t="s">
        <v>9411</v>
      </c>
      <c r="C5867" s="82" t="s">
        <v>650</v>
      </c>
      <c r="D5867" s="83">
        <f>SUMIFS(D5868:D6462,K5868:K6462,"0",B5868:B6462,"5 1 3 9 8 12 31111 6 M59 20500 000132 0000R*")-SUMIFS(E5868:E6462,K5868:K6462,"0",B5868:B6462,"5 1 3 9 8 12 31111 6 M59 20500 000132 0000R*")</f>
        <v>0</v>
      </c>
      <c r="E5867" s="54"/>
      <c r="F5867" s="83">
        <f>SUMIFS(F5868:F6462,K5868:K6462,"0",B5868:B6462,"5 1 3 9 8 12 31111 6 M59 20500 000132 0000R*")</f>
        <v>26878.23</v>
      </c>
      <c r="G5867" s="83">
        <f>SUMIFS(G5868:G6462,K5868:K6462,"0",B5868:B6462,"5 1 3 9 8 12 31111 6 M59 20500 000132 0000R*")</f>
        <v>0</v>
      </c>
      <c r="H5867" s="83">
        <f t="shared" ref="H5867:H5930" si="92">D5867 + F5867 - G5867</f>
        <v>26878.23</v>
      </c>
      <c r="I5867" s="83"/>
      <c r="K5867" s="54" t="s">
        <v>15</v>
      </c>
    </row>
    <row r="5868" spans="2:11" ht="24.75" x14ac:dyDescent="0.2">
      <c r="B5868" s="82" t="s">
        <v>9412</v>
      </c>
      <c r="C5868" s="82" t="s">
        <v>282</v>
      </c>
      <c r="D5868" s="83">
        <f>SUMIFS(D5869:D6462,K5869:K6462,"0",B5869:B6462,"5 1 3 9 8 12 31111 6 M59 20500 000132 0000R 00001*")-SUMIFS(E5869:E6462,K5869:K6462,"0",B5869:B6462,"5 1 3 9 8 12 31111 6 M59 20500 000132 0000R 00001*")</f>
        <v>0</v>
      </c>
      <c r="E5868" s="54"/>
      <c r="F5868" s="83">
        <f>SUMIFS(F5869:F6462,K5869:K6462,"0",B5869:B6462,"5 1 3 9 8 12 31111 6 M59 20500 000132 0000R 00001*")</f>
        <v>26878.23</v>
      </c>
      <c r="G5868" s="83">
        <f>SUMIFS(G5869:G6462,K5869:K6462,"0",B5869:B6462,"5 1 3 9 8 12 31111 6 M59 20500 000132 0000R 00001*")</f>
        <v>0</v>
      </c>
      <c r="H5868" s="83">
        <f t="shared" si="92"/>
        <v>26878.23</v>
      </c>
      <c r="I5868" s="83"/>
      <c r="K5868" s="54" t="s">
        <v>15</v>
      </c>
    </row>
    <row r="5869" spans="2:11" ht="24.75" x14ac:dyDescent="0.2">
      <c r="B5869" s="82" t="s">
        <v>9413</v>
      </c>
      <c r="C5869" s="82" t="s">
        <v>9247</v>
      </c>
      <c r="D5869" s="83">
        <f>SUMIFS(D5870:D6462,K5870:K6462,"0",B5870:B6462,"5 1 3 9 8 12 31111 6 M59 20500 000132 0000R 00001 00398*")-SUMIFS(E5870:E6462,K5870:K6462,"0",B5870:B6462,"5 1 3 9 8 12 31111 6 M59 20500 000132 0000R 00001 00398*")</f>
        <v>0</v>
      </c>
      <c r="E5869" s="54"/>
      <c r="F5869" s="83">
        <f>SUMIFS(F5870:F6462,K5870:K6462,"0",B5870:B6462,"5 1 3 9 8 12 31111 6 M59 20500 000132 0000R 00001 00398*")</f>
        <v>26878.23</v>
      </c>
      <c r="G5869" s="83">
        <f>SUMIFS(G5870:G6462,K5870:K6462,"0",B5870:B6462,"5 1 3 9 8 12 31111 6 M59 20500 000132 0000R 00001 00398*")</f>
        <v>0</v>
      </c>
      <c r="H5869" s="83">
        <f t="shared" si="92"/>
        <v>26878.23</v>
      </c>
      <c r="I5869" s="83"/>
      <c r="K5869" s="54" t="s">
        <v>15</v>
      </c>
    </row>
    <row r="5870" spans="2:11" ht="33" x14ac:dyDescent="0.2">
      <c r="B5870" s="82" t="s">
        <v>9414</v>
      </c>
      <c r="C5870" s="82" t="s">
        <v>1051</v>
      </c>
      <c r="D5870" s="83">
        <f>SUMIFS(D5871:D6462,K5871:K6462,"0",B5871:B6462,"5 1 3 9 8 12 31111 6 M59 20500 000132 0000R 00001 00398 015*")-SUMIFS(E5871:E6462,K5871:K6462,"0",B5871:B6462,"5 1 3 9 8 12 31111 6 M59 20500 000132 0000R 00001 00398 015*")</f>
        <v>0</v>
      </c>
      <c r="E5870" s="54"/>
      <c r="F5870" s="83">
        <f>SUMIFS(F5871:F6462,K5871:K6462,"0",B5871:B6462,"5 1 3 9 8 12 31111 6 M59 20500 000132 0000R 00001 00398 015*")</f>
        <v>26878.23</v>
      </c>
      <c r="G5870" s="83">
        <f>SUMIFS(G5871:G6462,K5871:K6462,"0",B5871:B6462,"5 1 3 9 8 12 31111 6 M59 20500 000132 0000R 00001 00398 015*")</f>
        <v>0</v>
      </c>
      <c r="H5870" s="83">
        <f t="shared" si="92"/>
        <v>26878.23</v>
      </c>
      <c r="I5870" s="83"/>
      <c r="K5870" s="54" t="s">
        <v>15</v>
      </c>
    </row>
    <row r="5871" spans="2:11" ht="33" x14ac:dyDescent="0.2">
      <c r="B5871" s="82" t="s">
        <v>9415</v>
      </c>
      <c r="C5871" s="82" t="s">
        <v>8550</v>
      </c>
      <c r="D5871" s="83">
        <f>SUMIFS(D5872:D6462,K5872:K6462,"0",B5872:B6462,"5 1 3 9 8 12 31111 6 M59 20500 000132 0000R 00001 00398 015 2111300*")-SUMIFS(E5872:E6462,K5872:K6462,"0",B5872:B6462,"5 1 3 9 8 12 31111 6 M59 20500 000132 0000R 00001 00398 015 2111300*")</f>
        <v>0</v>
      </c>
      <c r="E5871" s="54"/>
      <c r="F5871" s="83">
        <f>SUMIFS(F5872:F6462,K5872:K6462,"0",B5872:B6462,"5 1 3 9 8 12 31111 6 M59 20500 000132 0000R 00001 00398 015 2111300*")</f>
        <v>26878.23</v>
      </c>
      <c r="G5871" s="83">
        <f>SUMIFS(G5872:G6462,K5872:K6462,"0",B5872:B6462,"5 1 3 9 8 12 31111 6 M59 20500 000132 0000R 00001 00398 015 2111300*")</f>
        <v>0</v>
      </c>
      <c r="H5871" s="83">
        <f t="shared" si="92"/>
        <v>26878.23</v>
      </c>
      <c r="I5871" s="83"/>
      <c r="K5871" s="54" t="s">
        <v>15</v>
      </c>
    </row>
    <row r="5872" spans="2:11" ht="33" x14ac:dyDescent="0.2">
      <c r="B5872" s="82" t="s">
        <v>9416</v>
      </c>
      <c r="C5872" s="82" t="s">
        <v>660</v>
      </c>
      <c r="D5872" s="83">
        <f>SUMIFS(D5873:D6462,K5873:K6462,"0",B5873:B6462,"5 1 3 9 8 12 31111 6 M59 20500 000132 0000R 00001 00398 015 2111300 2024*")-SUMIFS(E5873:E6462,K5873:K6462,"0",B5873:B6462,"5 1 3 9 8 12 31111 6 M59 20500 000132 0000R 00001 00398 015 2111300 2024*")</f>
        <v>0</v>
      </c>
      <c r="E5872" s="54"/>
      <c r="F5872" s="83">
        <f>SUMIFS(F5873:F6462,K5873:K6462,"0",B5873:B6462,"5 1 3 9 8 12 31111 6 M59 20500 000132 0000R 00001 00398 015 2111300 2024*")</f>
        <v>26878.23</v>
      </c>
      <c r="G5872" s="83">
        <f>SUMIFS(G5873:G6462,K5873:K6462,"0",B5873:B6462,"5 1 3 9 8 12 31111 6 M59 20500 000132 0000R 00001 00398 015 2111300 2024*")</f>
        <v>0</v>
      </c>
      <c r="H5872" s="83">
        <f t="shared" si="92"/>
        <v>26878.23</v>
      </c>
      <c r="I5872" s="83"/>
      <c r="K5872" s="54" t="s">
        <v>15</v>
      </c>
    </row>
    <row r="5873" spans="2:11" ht="41.25" x14ac:dyDescent="0.2">
      <c r="B5873" s="82" t="s">
        <v>9417</v>
      </c>
      <c r="C5873" s="82" t="s">
        <v>1056</v>
      </c>
      <c r="D5873" s="83">
        <f>SUMIFS(D5874:D6462,K5874:K6462,"0",B5874:B6462,"5 1 3 9 8 12 31111 6 M59 20500 000132 0000R 00001 00398 015 2111300 2024 CP1CP420*")-SUMIFS(E5874:E6462,K5874:K6462,"0",B5874:B6462,"5 1 3 9 8 12 31111 6 M59 20500 000132 0000R 00001 00398 015 2111300 2024 CP1CP420*")</f>
        <v>0</v>
      </c>
      <c r="E5873" s="54"/>
      <c r="F5873" s="83">
        <f>SUMIFS(F5874:F6462,K5874:K6462,"0",B5874:B6462,"5 1 3 9 8 12 31111 6 M59 20500 000132 0000R 00001 00398 015 2111300 2024 CP1CP420*")</f>
        <v>26878.23</v>
      </c>
      <c r="G5873" s="83">
        <f>SUMIFS(G5874:G6462,K5874:K6462,"0",B5874:B6462,"5 1 3 9 8 12 31111 6 M59 20500 000132 0000R 00001 00398 015 2111300 2024 CP1CP420*")</f>
        <v>0</v>
      </c>
      <c r="H5873" s="83">
        <f t="shared" si="92"/>
        <v>26878.23</v>
      </c>
      <c r="I5873" s="83"/>
      <c r="K5873" s="54" t="s">
        <v>15</v>
      </c>
    </row>
    <row r="5874" spans="2:11" ht="41.25" x14ac:dyDescent="0.2">
      <c r="B5874" s="82" t="s">
        <v>9418</v>
      </c>
      <c r="C5874" s="82" t="s">
        <v>282</v>
      </c>
      <c r="D5874" s="83">
        <f>SUMIFS(D5875:D6462,K5875:K6462,"0",B5875:B6462,"5 1 3 9 8 12 31111 6 M59 20500 000132 0000R 00001 00398 015 2111300 2024 CP1CP420 001*")-SUMIFS(E5875:E6462,K5875:K6462,"0",B5875:B6462,"5 1 3 9 8 12 31111 6 M59 20500 000132 0000R 00001 00398 015 2111300 2024 CP1CP420 001*")</f>
        <v>0</v>
      </c>
      <c r="E5874" s="54"/>
      <c r="F5874" s="83">
        <f>SUMIFS(F5875:F6462,K5875:K6462,"0",B5875:B6462,"5 1 3 9 8 12 31111 6 M59 20500 000132 0000R 00001 00398 015 2111300 2024 CP1CP420 001*")</f>
        <v>26878.23</v>
      </c>
      <c r="G5874" s="83">
        <f>SUMIFS(G5875:G6462,K5875:K6462,"0",B5875:B6462,"5 1 3 9 8 12 31111 6 M59 20500 000132 0000R 00001 00398 015 2111300 2024 CP1CP420 001*")</f>
        <v>0</v>
      </c>
      <c r="H5874" s="83">
        <f t="shared" si="92"/>
        <v>26878.23</v>
      </c>
      <c r="I5874" s="83"/>
      <c r="K5874" s="54" t="s">
        <v>15</v>
      </c>
    </row>
    <row r="5875" spans="2:11" ht="33" x14ac:dyDescent="0.2">
      <c r="B5875" s="84" t="s">
        <v>9419</v>
      </c>
      <c r="C5875" s="84" t="s">
        <v>9254</v>
      </c>
      <c r="D5875" s="85">
        <v>0</v>
      </c>
      <c r="E5875" s="85"/>
      <c r="F5875" s="85">
        <v>26878.23</v>
      </c>
      <c r="G5875" s="85">
        <v>0</v>
      </c>
      <c r="H5875" s="85">
        <f t="shared" si="92"/>
        <v>26878.23</v>
      </c>
      <c r="I5875" s="85"/>
      <c r="K5875" s="54" t="s">
        <v>38</v>
      </c>
    </row>
    <row r="5876" spans="2:11" ht="16.5" x14ac:dyDescent="0.2">
      <c r="B5876" s="82" t="s">
        <v>9420</v>
      </c>
      <c r="C5876" s="82" t="s">
        <v>3126</v>
      </c>
      <c r="D5876" s="83">
        <f>SUMIFS(D5877:D6462,K5877:K6462,"0",B5877:B6462,"5 1 3 9 8 12 31111 6 M59 20600*")-SUMIFS(E5877:E6462,K5877:K6462,"0",B5877:B6462,"5 1 3 9 8 12 31111 6 M59 20600*")</f>
        <v>0</v>
      </c>
      <c r="E5876" s="54"/>
      <c r="F5876" s="83">
        <f>SUMIFS(F5877:F6462,K5877:K6462,"0",B5877:B6462,"5 1 3 9 8 12 31111 6 M59 20600*")</f>
        <v>20947.29</v>
      </c>
      <c r="G5876" s="83">
        <f>SUMIFS(G5877:G6462,K5877:K6462,"0",B5877:B6462,"5 1 3 9 8 12 31111 6 M59 20600*")</f>
        <v>0</v>
      </c>
      <c r="H5876" s="83">
        <f t="shared" si="92"/>
        <v>20947.29</v>
      </c>
      <c r="I5876" s="83"/>
      <c r="K5876" s="54" t="s">
        <v>15</v>
      </c>
    </row>
    <row r="5877" spans="2:11" ht="16.5" x14ac:dyDescent="0.2">
      <c r="B5877" s="82" t="s">
        <v>9421</v>
      </c>
      <c r="C5877" s="82" t="s">
        <v>648</v>
      </c>
      <c r="D5877" s="83">
        <f>SUMIFS(D5878:D6462,K5878:K6462,"0",B5878:B6462,"5 1 3 9 8 12 31111 6 M59 20600 000132*")-SUMIFS(E5878:E6462,K5878:K6462,"0",B5878:B6462,"5 1 3 9 8 12 31111 6 M59 20600 000132*")</f>
        <v>0</v>
      </c>
      <c r="E5877" s="54"/>
      <c r="F5877" s="83">
        <f>SUMIFS(F5878:F6462,K5878:K6462,"0",B5878:B6462,"5 1 3 9 8 12 31111 6 M59 20600 000132*")</f>
        <v>20947.29</v>
      </c>
      <c r="G5877" s="83">
        <f>SUMIFS(G5878:G6462,K5878:K6462,"0",B5878:B6462,"5 1 3 9 8 12 31111 6 M59 20600 000132*")</f>
        <v>0</v>
      </c>
      <c r="H5877" s="83">
        <f t="shared" si="92"/>
        <v>20947.29</v>
      </c>
      <c r="I5877" s="83"/>
      <c r="K5877" s="54" t="s">
        <v>15</v>
      </c>
    </row>
    <row r="5878" spans="2:11" ht="24.75" x14ac:dyDescent="0.2">
      <c r="B5878" s="82" t="s">
        <v>9422</v>
      </c>
      <c r="C5878" s="82" t="s">
        <v>650</v>
      </c>
      <c r="D5878" s="83">
        <f>SUMIFS(D5879:D6462,K5879:K6462,"0",B5879:B6462,"5 1 3 9 8 12 31111 6 M59 20600 000132 0000R*")-SUMIFS(E5879:E6462,K5879:K6462,"0",B5879:B6462,"5 1 3 9 8 12 31111 6 M59 20600 000132 0000R*")</f>
        <v>0</v>
      </c>
      <c r="E5878" s="54"/>
      <c r="F5878" s="83">
        <f>SUMIFS(F5879:F6462,K5879:K6462,"0",B5879:B6462,"5 1 3 9 8 12 31111 6 M59 20600 000132 0000R*")</f>
        <v>20947.29</v>
      </c>
      <c r="G5878" s="83">
        <f>SUMIFS(G5879:G6462,K5879:K6462,"0",B5879:B6462,"5 1 3 9 8 12 31111 6 M59 20600 000132 0000R*")</f>
        <v>0</v>
      </c>
      <c r="H5878" s="83">
        <f t="shared" si="92"/>
        <v>20947.29</v>
      </c>
      <c r="I5878" s="83"/>
      <c r="K5878" s="54" t="s">
        <v>15</v>
      </c>
    </row>
    <row r="5879" spans="2:11" ht="24.75" x14ac:dyDescent="0.2">
      <c r="B5879" s="82" t="s">
        <v>9423</v>
      </c>
      <c r="C5879" s="82" t="s">
        <v>282</v>
      </c>
      <c r="D5879" s="83">
        <f>SUMIFS(D5880:D6462,K5880:K6462,"0",B5880:B6462,"5 1 3 9 8 12 31111 6 M59 20600 000132 0000R 00001*")-SUMIFS(E5880:E6462,K5880:K6462,"0",B5880:B6462,"5 1 3 9 8 12 31111 6 M59 20600 000132 0000R 00001*")</f>
        <v>0</v>
      </c>
      <c r="E5879" s="54"/>
      <c r="F5879" s="83">
        <f>SUMIFS(F5880:F6462,K5880:K6462,"0",B5880:B6462,"5 1 3 9 8 12 31111 6 M59 20600 000132 0000R 00001*")</f>
        <v>20947.29</v>
      </c>
      <c r="G5879" s="83">
        <f>SUMIFS(G5880:G6462,K5880:K6462,"0",B5880:B6462,"5 1 3 9 8 12 31111 6 M59 20600 000132 0000R 00001*")</f>
        <v>0</v>
      </c>
      <c r="H5879" s="83">
        <f t="shared" si="92"/>
        <v>20947.29</v>
      </c>
      <c r="I5879" s="83"/>
      <c r="K5879" s="54" t="s">
        <v>15</v>
      </c>
    </row>
    <row r="5880" spans="2:11" ht="24.75" x14ac:dyDescent="0.2">
      <c r="B5880" s="82" t="s">
        <v>9424</v>
      </c>
      <c r="C5880" s="82" t="s">
        <v>9247</v>
      </c>
      <c r="D5880" s="83">
        <f>SUMIFS(D5881:D6462,K5881:K6462,"0",B5881:B6462,"5 1 3 9 8 12 31111 6 M59 20600 000132 0000R 00001 00398*")-SUMIFS(E5881:E6462,K5881:K6462,"0",B5881:B6462,"5 1 3 9 8 12 31111 6 M59 20600 000132 0000R 00001 00398*")</f>
        <v>0</v>
      </c>
      <c r="E5880" s="54"/>
      <c r="F5880" s="83">
        <f>SUMIFS(F5881:F6462,K5881:K6462,"0",B5881:B6462,"5 1 3 9 8 12 31111 6 M59 20600 000132 0000R 00001 00398*")</f>
        <v>20947.29</v>
      </c>
      <c r="G5880" s="83">
        <f>SUMIFS(G5881:G6462,K5881:K6462,"0",B5881:B6462,"5 1 3 9 8 12 31111 6 M59 20600 000132 0000R 00001 00398*")</f>
        <v>0</v>
      </c>
      <c r="H5880" s="83">
        <f t="shared" si="92"/>
        <v>20947.29</v>
      </c>
      <c r="I5880" s="83"/>
      <c r="K5880" s="54" t="s">
        <v>15</v>
      </c>
    </row>
    <row r="5881" spans="2:11" ht="33" x14ac:dyDescent="0.2">
      <c r="B5881" s="82" t="s">
        <v>9425</v>
      </c>
      <c r="C5881" s="82" t="s">
        <v>1051</v>
      </c>
      <c r="D5881" s="83">
        <f>SUMIFS(D5882:D6462,K5882:K6462,"0",B5882:B6462,"5 1 3 9 8 12 31111 6 M59 20600 000132 0000R 00001 00398 015*")-SUMIFS(E5882:E6462,K5882:K6462,"0",B5882:B6462,"5 1 3 9 8 12 31111 6 M59 20600 000132 0000R 00001 00398 015*")</f>
        <v>0</v>
      </c>
      <c r="E5881" s="54"/>
      <c r="F5881" s="83">
        <f>SUMIFS(F5882:F6462,K5882:K6462,"0",B5882:B6462,"5 1 3 9 8 12 31111 6 M59 20600 000132 0000R 00001 00398 015*")</f>
        <v>20947.29</v>
      </c>
      <c r="G5881" s="83">
        <f>SUMIFS(G5882:G6462,K5882:K6462,"0",B5882:B6462,"5 1 3 9 8 12 31111 6 M59 20600 000132 0000R 00001 00398 015*")</f>
        <v>0</v>
      </c>
      <c r="H5881" s="83">
        <f t="shared" si="92"/>
        <v>20947.29</v>
      </c>
      <c r="I5881" s="83"/>
      <c r="K5881" s="54" t="s">
        <v>15</v>
      </c>
    </row>
    <row r="5882" spans="2:11" ht="33" x14ac:dyDescent="0.2">
      <c r="B5882" s="82" t="s">
        <v>9426</v>
      </c>
      <c r="C5882" s="82" t="s">
        <v>8550</v>
      </c>
      <c r="D5882" s="83">
        <f>SUMIFS(D5883:D6462,K5883:K6462,"0",B5883:B6462,"5 1 3 9 8 12 31111 6 M59 20600 000132 0000R 00001 00398 015 2111300*")-SUMIFS(E5883:E6462,K5883:K6462,"0",B5883:B6462,"5 1 3 9 8 12 31111 6 M59 20600 000132 0000R 00001 00398 015 2111300*")</f>
        <v>0</v>
      </c>
      <c r="E5882" s="54"/>
      <c r="F5882" s="83">
        <f>SUMIFS(F5883:F6462,K5883:K6462,"0",B5883:B6462,"5 1 3 9 8 12 31111 6 M59 20600 000132 0000R 00001 00398 015 2111300*")</f>
        <v>20947.29</v>
      </c>
      <c r="G5882" s="83">
        <f>SUMIFS(G5883:G6462,K5883:K6462,"0",B5883:B6462,"5 1 3 9 8 12 31111 6 M59 20600 000132 0000R 00001 00398 015 2111300*")</f>
        <v>0</v>
      </c>
      <c r="H5882" s="83">
        <f t="shared" si="92"/>
        <v>20947.29</v>
      </c>
      <c r="I5882" s="83"/>
      <c r="K5882" s="54" t="s">
        <v>15</v>
      </c>
    </row>
    <row r="5883" spans="2:11" ht="33" x14ac:dyDescent="0.2">
      <c r="B5883" s="82" t="s">
        <v>9427</v>
      </c>
      <c r="C5883" s="82" t="s">
        <v>660</v>
      </c>
      <c r="D5883" s="83">
        <f>SUMIFS(D5884:D6462,K5884:K6462,"0",B5884:B6462,"5 1 3 9 8 12 31111 6 M59 20600 000132 0000R 00001 00398 015 2111300 2024*")-SUMIFS(E5884:E6462,K5884:K6462,"0",B5884:B6462,"5 1 3 9 8 12 31111 6 M59 20600 000132 0000R 00001 00398 015 2111300 2024*")</f>
        <v>0</v>
      </c>
      <c r="E5883" s="54"/>
      <c r="F5883" s="83">
        <f>SUMIFS(F5884:F6462,K5884:K6462,"0",B5884:B6462,"5 1 3 9 8 12 31111 6 M59 20600 000132 0000R 00001 00398 015 2111300 2024*")</f>
        <v>20947.29</v>
      </c>
      <c r="G5883" s="83">
        <f>SUMIFS(G5884:G6462,K5884:K6462,"0",B5884:B6462,"5 1 3 9 8 12 31111 6 M59 20600 000132 0000R 00001 00398 015 2111300 2024*")</f>
        <v>0</v>
      </c>
      <c r="H5883" s="83">
        <f t="shared" si="92"/>
        <v>20947.29</v>
      </c>
      <c r="I5883" s="83"/>
      <c r="K5883" s="54" t="s">
        <v>15</v>
      </c>
    </row>
    <row r="5884" spans="2:11" ht="41.25" x14ac:dyDescent="0.2">
      <c r="B5884" s="82" t="s">
        <v>9428</v>
      </c>
      <c r="C5884" s="82" t="s">
        <v>1056</v>
      </c>
      <c r="D5884" s="83">
        <f>SUMIFS(D5885:D6462,K5885:K6462,"0",B5885:B6462,"5 1 3 9 8 12 31111 6 M59 20600 000132 0000R 00001 00398 015 2111300 2024 CP1CA380*")-SUMIFS(E5885:E6462,K5885:K6462,"0",B5885:B6462,"5 1 3 9 8 12 31111 6 M59 20600 000132 0000R 00001 00398 015 2111300 2024 CP1CA380*")</f>
        <v>0</v>
      </c>
      <c r="E5884" s="54"/>
      <c r="F5884" s="83">
        <f>SUMIFS(F5885:F6462,K5885:K6462,"0",B5885:B6462,"5 1 3 9 8 12 31111 6 M59 20600 000132 0000R 00001 00398 015 2111300 2024 CP1CA380*")</f>
        <v>20947.29</v>
      </c>
      <c r="G5884" s="83">
        <f>SUMIFS(G5885:G6462,K5885:K6462,"0",B5885:B6462,"5 1 3 9 8 12 31111 6 M59 20600 000132 0000R 00001 00398 015 2111300 2024 CP1CA380*")</f>
        <v>0</v>
      </c>
      <c r="H5884" s="83">
        <f t="shared" si="92"/>
        <v>20947.29</v>
      </c>
      <c r="I5884" s="83"/>
      <c r="K5884" s="54" t="s">
        <v>15</v>
      </c>
    </row>
    <row r="5885" spans="2:11" ht="41.25" x14ac:dyDescent="0.2">
      <c r="B5885" s="82" t="s">
        <v>9429</v>
      </c>
      <c r="C5885" s="82" t="s">
        <v>282</v>
      </c>
      <c r="D5885" s="83">
        <f>SUMIFS(D5886:D6462,K5886:K6462,"0",B5886:B6462,"5 1 3 9 8 12 31111 6 M59 20600 000132 0000R 00001 00398 015 2111300 2024 CP1CA380 001*")-SUMIFS(E5886:E6462,K5886:K6462,"0",B5886:B6462,"5 1 3 9 8 12 31111 6 M59 20600 000132 0000R 00001 00398 015 2111300 2024 CP1CA380 001*")</f>
        <v>0</v>
      </c>
      <c r="E5885" s="54"/>
      <c r="F5885" s="83">
        <f>SUMIFS(F5886:F6462,K5886:K6462,"0",B5886:B6462,"5 1 3 9 8 12 31111 6 M59 20600 000132 0000R 00001 00398 015 2111300 2024 CP1CA380 001*")</f>
        <v>20947.29</v>
      </c>
      <c r="G5885" s="83">
        <f>SUMIFS(G5886:G6462,K5886:K6462,"0",B5886:B6462,"5 1 3 9 8 12 31111 6 M59 20600 000132 0000R 00001 00398 015 2111300 2024 CP1CA380 001*")</f>
        <v>0</v>
      </c>
      <c r="H5885" s="83">
        <f t="shared" si="92"/>
        <v>20947.29</v>
      </c>
      <c r="I5885" s="83"/>
      <c r="K5885" s="54" t="s">
        <v>15</v>
      </c>
    </row>
    <row r="5886" spans="2:11" ht="41.25" x14ac:dyDescent="0.2">
      <c r="B5886" s="84" t="s">
        <v>9430</v>
      </c>
      <c r="C5886" s="84" t="s">
        <v>9254</v>
      </c>
      <c r="D5886" s="85">
        <v>0</v>
      </c>
      <c r="E5886" s="85"/>
      <c r="F5886" s="85">
        <v>20947.29</v>
      </c>
      <c r="G5886" s="85">
        <v>0</v>
      </c>
      <c r="H5886" s="85">
        <f t="shared" si="92"/>
        <v>20947.29</v>
      </c>
      <c r="I5886" s="85"/>
      <c r="K5886" s="54" t="s">
        <v>38</v>
      </c>
    </row>
    <row r="5887" spans="2:11" ht="16.5" x14ac:dyDescent="0.2">
      <c r="B5887" s="82" t="s">
        <v>9431</v>
      </c>
      <c r="C5887" s="82" t="s">
        <v>3138</v>
      </c>
      <c r="D5887" s="83">
        <f>SUMIFS(D5888:D6462,K5888:K6462,"0",B5888:B6462,"5 1 3 9 8 12 31111 6 M59 20700*")-SUMIFS(E5888:E6462,K5888:K6462,"0",B5888:B6462,"5 1 3 9 8 12 31111 6 M59 20700*")</f>
        <v>0</v>
      </c>
      <c r="E5887" s="54"/>
      <c r="F5887" s="83">
        <f>SUMIFS(F5888:F6462,K5888:K6462,"0",B5888:B6462,"5 1 3 9 8 12 31111 6 M59 20700*")</f>
        <v>32434.45</v>
      </c>
      <c r="G5887" s="83">
        <f>SUMIFS(G5888:G6462,K5888:K6462,"0",B5888:B6462,"5 1 3 9 8 12 31111 6 M59 20700*")</f>
        <v>0</v>
      </c>
      <c r="H5887" s="83">
        <f t="shared" si="92"/>
        <v>32434.45</v>
      </c>
      <c r="I5887" s="83"/>
      <c r="K5887" s="54" t="s">
        <v>15</v>
      </c>
    </row>
    <row r="5888" spans="2:11" ht="16.5" x14ac:dyDescent="0.2">
      <c r="B5888" s="82" t="s">
        <v>9432</v>
      </c>
      <c r="C5888" s="82" t="s">
        <v>648</v>
      </c>
      <c r="D5888" s="83">
        <f>SUMIFS(D5889:D6462,K5889:K6462,"0",B5889:B6462,"5 1 3 9 8 12 31111 6 M59 20700 000132*")-SUMIFS(E5889:E6462,K5889:K6462,"0",B5889:B6462,"5 1 3 9 8 12 31111 6 M59 20700 000132*")</f>
        <v>0</v>
      </c>
      <c r="E5888" s="54"/>
      <c r="F5888" s="83">
        <f>SUMIFS(F5889:F6462,K5889:K6462,"0",B5889:B6462,"5 1 3 9 8 12 31111 6 M59 20700 000132*")</f>
        <v>32434.45</v>
      </c>
      <c r="G5888" s="83">
        <f>SUMIFS(G5889:G6462,K5889:K6462,"0",B5889:B6462,"5 1 3 9 8 12 31111 6 M59 20700 000132*")</f>
        <v>0</v>
      </c>
      <c r="H5888" s="83">
        <f t="shared" si="92"/>
        <v>32434.45</v>
      </c>
      <c r="I5888" s="83"/>
      <c r="K5888" s="54" t="s">
        <v>15</v>
      </c>
    </row>
    <row r="5889" spans="2:11" ht="24.75" x14ac:dyDescent="0.2">
      <c r="B5889" s="82" t="s">
        <v>9433</v>
      </c>
      <c r="C5889" s="82" t="s">
        <v>650</v>
      </c>
      <c r="D5889" s="83">
        <f>SUMIFS(D5890:D6462,K5890:K6462,"0",B5890:B6462,"5 1 3 9 8 12 31111 6 M59 20700 000132 0000R*")-SUMIFS(E5890:E6462,K5890:K6462,"0",B5890:B6462,"5 1 3 9 8 12 31111 6 M59 20700 000132 0000R*")</f>
        <v>0</v>
      </c>
      <c r="E5889" s="54"/>
      <c r="F5889" s="83">
        <f>SUMIFS(F5890:F6462,K5890:K6462,"0",B5890:B6462,"5 1 3 9 8 12 31111 6 M59 20700 000132 0000R*")</f>
        <v>32434.45</v>
      </c>
      <c r="G5889" s="83">
        <f>SUMIFS(G5890:G6462,K5890:K6462,"0",B5890:B6462,"5 1 3 9 8 12 31111 6 M59 20700 000132 0000R*")</f>
        <v>0</v>
      </c>
      <c r="H5889" s="83">
        <f t="shared" si="92"/>
        <v>32434.45</v>
      </c>
      <c r="I5889" s="83"/>
      <c r="K5889" s="54" t="s">
        <v>15</v>
      </c>
    </row>
    <row r="5890" spans="2:11" ht="24.75" x14ac:dyDescent="0.2">
      <c r="B5890" s="82" t="s">
        <v>9434</v>
      </c>
      <c r="C5890" s="82" t="s">
        <v>282</v>
      </c>
      <c r="D5890" s="83">
        <f>SUMIFS(D5891:D6462,K5891:K6462,"0",B5891:B6462,"5 1 3 9 8 12 31111 6 M59 20700 000132 0000R 00001*")-SUMIFS(E5891:E6462,K5891:K6462,"0",B5891:B6462,"5 1 3 9 8 12 31111 6 M59 20700 000132 0000R 00001*")</f>
        <v>0</v>
      </c>
      <c r="E5890" s="54"/>
      <c r="F5890" s="83">
        <f>SUMIFS(F5891:F6462,K5891:K6462,"0",B5891:B6462,"5 1 3 9 8 12 31111 6 M59 20700 000132 0000R 00001*")</f>
        <v>32434.45</v>
      </c>
      <c r="G5890" s="83">
        <f>SUMIFS(G5891:G6462,K5891:K6462,"0",B5891:B6462,"5 1 3 9 8 12 31111 6 M59 20700 000132 0000R 00001*")</f>
        <v>0</v>
      </c>
      <c r="H5890" s="83">
        <f t="shared" si="92"/>
        <v>32434.45</v>
      </c>
      <c r="I5890" s="83"/>
      <c r="K5890" s="54" t="s">
        <v>15</v>
      </c>
    </row>
    <row r="5891" spans="2:11" ht="24.75" x14ac:dyDescent="0.2">
      <c r="B5891" s="82" t="s">
        <v>9435</v>
      </c>
      <c r="C5891" s="82" t="s">
        <v>9247</v>
      </c>
      <c r="D5891" s="83">
        <f>SUMIFS(D5892:D6462,K5892:K6462,"0",B5892:B6462,"5 1 3 9 8 12 31111 6 M59 20700 000132 0000R 00001 00398*")-SUMIFS(E5892:E6462,K5892:K6462,"0",B5892:B6462,"5 1 3 9 8 12 31111 6 M59 20700 000132 0000R 00001 00398*")</f>
        <v>0</v>
      </c>
      <c r="E5891" s="54"/>
      <c r="F5891" s="83">
        <f>SUMIFS(F5892:F6462,K5892:K6462,"0",B5892:B6462,"5 1 3 9 8 12 31111 6 M59 20700 000132 0000R 00001 00398*")</f>
        <v>32434.45</v>
      </c>
      <c r="G5891" s="83">
        <f>SUMIFS(G5892:G6462,K5892:K6462,"0",B5892:B6462,"5 1 3 9 8 12 31111 6 M59 20700 000132 0000R 00001 00398*")</f>
        <v>0</v>
      </c>
      <c r="H5891" s="83">
        <f t="shared" si="92"/>
        <v>32434.45</v>
      </c>
      <c r="I5891" s="83"/>
      <c r="K5891" s="54" t="s">
        <v>15</v>
      </c>
    </row>
    <row r="5892" spans="2:11" ht="33" x14ac:dyDescent="0.2">
      <c r="B5892" s="82" t="s">
        <v>9436</v>
      </c>
      <c r="C5892" s="82" t="s">
        <v>1051</v>
      </c>
      <c r="D5892" s="83">
        <f>SUMIFS(D5893:D6462,K5893:K6462,"0",B5893:B6462,"5 1 3 9 8 12 31111 6 M59 20700 000132 0000R 00001 00398 015*")-SUMIFS(E5893:E6462,K5893:K6462,"0",B5893:B6462,"5 1 3 9 8 12 31111 6 M59 20700 000132 0000R 00001 00398 015*")</f>
        <v>0</v>
      </c>
      <c r="E5892" s="54"/>
      <c r="F5892" s="83">
        <f>SUMIFS(F5893:F6462,K5893:K6462,"0",B5893:B6462,"5 1 3 9 8 12 31111 6 M59 20700 000132 0000R 00001 00398 015*")</f>
        <v>32434.45</v>
      </c>
      <c r="G5892" s="83">
        <f>SUMIFS(G5893:G6462,K5893:K6462,"0",B5893:B6462,"5 1 3 9 8 12 31111 6 M59 20700 000132 0000R 00001 00398 015*")</f>
        <v>0</v>
      </c>
      <c r="H5892" s="83">
        <f t="shared" si="92"/>
        <v>32434.45</v>
      </c>
      <c r="I5892" s="83"/>
      <c r="K5892" s="54" t="s">
        <v>15</v>
      </c>
    </row>
    <row r="5893" spans="2:11" ht="33" x14ac:dyDescent="0.2">
      <c r="B5893" s="82" t="s">
        <v>9437</v>
      </c>
      <c r="C5893" s="82" t="s">
        <v>8550</v>
      </c>
      <c r="D5893" s="83">
        <f>SUMIFS(D5894:D6462,K5894:K6462,"0",B5894:B6462,"5 1 3 9 8 12 31111 6 M59 20700 000132 0000R 00001 00398 015 2111300*")-SUMIFS(E5894:E6462,K5894:K6462,"0",B5894:B6462,"5 1 3 9 8 12 31111 6 M59 20700 000132 0000R 00001 00398 015 2111300*")</f>
        <v>0</v>
      </c>
      <c r="E5893" s="54"/>
      <c r="F5893" s="83">
        <f>SUMIFS(F5894:F6462,K5894:K6462,"0",B5894:B6462,"5 1 3 9 8 12 31111 6 M59 20700 000132 0000R 00001 00398 015 2111300*")</f>
        <v>32434.45</v>
      </c>
      <c r="G5893" s="83">
        <f>SUMIFS(G5894:G6462,K5894:K6462,"0",B5894:B6462,"5 1 3 9 8 12 31111 6 M59 20700 000132 0000R 00001 00398 015 2111300*")</f>
        <v>0</v>
      </c>
      <c r="H5893" s="83">
        <f t="shared" si="92"/>
        <v>32434.45</v>
      </c>
      <c r="I5893" s="83"/>
      <c r="K5893" s="54" t="s">
        <v>15</v>
      </c>
    </row>
    <row r="5894" spans="2:11" ht="33" x14ac:dyDescent="0.2">
      <c r="B5894" s="82" t="s">
        <v>9438</v>
      </c>
      <c r="C5894" s="82" t="s">
        <v>660</v>
      </c>
      <c r="D5894" s="83">
        <f>SUMIFS(D5895:D6462,K5895:K6462,"0",B5895:B6462,"5 1 3 9 8 12 31111 6 M59 20700 000132 0000R 00001 00398 015 2111300 2024*")-SUMIFS(E5895:E6462,K5895:K6462,"0",B5895:B6462,"5 1 3 9 8 12 31111 6 M59 20700 000132 0000R 00001 00398 015 2111300 2024*")</f>
        <v>0</v>
      </c>
      <c r="E5894" s="54"/>
      <c r="F5894" s="83">
        <f>SUMIFS(F5895:F6462,K5895:K6462,"0",B5895:B6462,"5 1 3 9 8 12 31111 6 M59 20700 000132 0000R 00001 00398 015 2111300 2024*")</f>
        <v>32434.45</v>
      </c>
      <c r="G5894" s="83">
        <f>SUMIFS(G5895:G6462,K5895:K6462,"0",B5895:B6462,"5 1 3 9 8 12 31111 6 M59 20700 000132 0000R 00001 00398 015 2111300 2024*")</f>
        <v>0</v>
      </c>
      <c r="H5894" s="83">
        <f t="shared" si="92"/>
        <v>32434.45</v>
      </c>
      <c r="I5894" s="83"/>
      <c r="K5894" s="54" t="s">
        <v>15</v>
      </c>
    </row>
    <row r="5895" spans="2:11" ht="41.25" x14ac:dyDescent="0.2">
      <c r="B5895" s="82" t="s">
        <v>9439</v>
      </c>
      <c r="C5895" s="82" t="s">
        <v>662</v>
      </c>
      <c r="D5895" s="83">
        <f>SUMIFS(D5896:D6462,K5896:K6462,"0",B5896:B6462,"5 1 3 9 8 12 31111 6 M59 20700 000132 0000R 00001 00398 015 2111300 2024 CP1RM401*")-SUMIFS(E5896:E6462,K5896:K6462,"0",B5896:B6462,"5 1 3 9 8 12 31111 6 M59 20700 000132 0000R 00001 00398 015 2111300 2024 CP1RM401*")</f>
        <v>0</v>
      </c>
      <c r="E5895" s="54"/>
      <c r="F5895" s="83">
        <f>SUMIFS(F5896:F6462,K5896:K6462,"0",B5896:B6462,"5 1 3 9 8 12 31111 6 M59 20700 000132 0000R 00001 00398 015 2111300 2024 CP1RM401*")</f>
        <v>32434.45</v>
      </c>
      <c r="G5895" s="83">
        <f>SUMIFS(G5896:G6462,K5896:K6462,"0",B5896:B6462,"5 1 3 9 8 12 31111 6 M59 20700 000132 0000R 00001 00398 015 2111300 2024 CP1RM401*")</f>
        <v>0</v>
      </c>
      <c r="H5895" s="83">
        <f t="shared" si="92"/>
        <v>32434.45</v>
      </c>
      <c r="I5895" s="83"/>
      <c r="K5895" s="54" t="s">
        <v>15</v>
      </c>
    </row>
    <row r="5896" spans="2:11" ht="41.25" x14ac:dyDescent="0.2">
      <c r="B5896" s="82" t="s">
        <v>9440</v>
      </c>
      <c r="C5896" s="82" t="s">
        <v>282</v>
      </c>
      <c r="D5896" s="83">
        <f>SUMIFS(D5897:D6462,K5897:K6462,"0",B5897:B6462,"5 1 3 9 8 12 31111 6 M59 20700 000132 0000R 00001 00398 015 2111300 2024 CP1RM401 001*")-SUMIFS(E5897:E6462,K5897:K6462,"0",B5897:B6462,"5 1 3 9 8 12 31111 6 M59 20700 000132 0000R 00001 00398 015 2111300 2024 CP1RM401 001*")</f>
        <v>0</v>
      </c>
      <c r="E5896" s="54"/>
      <c r="F5896" s="83">
        <f>SUMIFS(F5897:F6462,K5897:K6462,"0",B5897:B6462,"5 1 3 9 8 12 31111 6 M59 20700 000132 0000R 00001 00398 015 2111300 2024 CP1RM401 001*")</f>
        <v>32434.45</v>
      </c>
      <c r="G5896" s="83">
        <f>SUMIFS(G5897:G6462,K5897:K6462,"0",B5897:B6462,"5 1 3 9 8 12 31111 6 M59 20700 000132 0000R 00001 00398 015 2111300 2024 CP1RM401 001*")</f>
        <v>0</v>
      </c>
      <c r="H5896" s="83">
        <f t="shared" si="92"/>
        <v>32434.45</v>
      </c>
      <c r="I5896" s="83"/>
      <c r="K5896" s="54" t="s">
        <v>15</v>
      </c>
    </row>
    <row r="5897" spans="2:11" ht="33" x14ac:dyDescent="0.2">
      <c r="B5897" s="84" t="s">
        <v>9441</v>
      </c>
      <c r="C5897" s="84" t="s">
        <v>9254</v>
      </c>
      <c r="D5897" s="85">
        <v>0</v>
      </c>
      <c r="E5897" s="85"/>
      <c r="F5897" s="85">
        <v>32434.45</v>
      </c>
      <c r="G5897" s="85">
        <v>0</v>
      </c>
      <c r="H5897" s="85">
        <f t="shared" si="92"/>
        <v>32434.45</v>
      </c>
      <c r="I5897" s="85"/>
      <c r="K5897" s="54" t="s">
        <v>38</v>
      </c>
    </row>
    <row r="5898" spans="2:11" ht="24.75" x14ac:dyDescent="0.2">
      <c r="B5898" s="82" t="s">
        <v>9442</v>
      </c>
      <c r="C5898" s="82" t="s">
        <v>3163</v>
      </c>
      <c r="D5898" s="83">
        <f>SUMIFS(D5899:D6462,K5899:K6462,"0",B5899:B6462,"5 1 3 9 8 12 31111 6 M59 21000*")-SUMIFS(E5899:E6462,K5899:K6462,"0",B5899:B6462,"5 1 3 9 8 12 31111 6 M59 21000*")</f>
        <v>0</v>
      </c>
      <c r="E5898" s="54"/>
      <c r="F5898" s="83">
        <f>SUMIFS(F5899:F6462,K5899:K6462,"0",B5899:B6462,"5 1 3 9 8 12 31111 6 M59 21000*")</f>
        <v>4236.84</v>
      </c>
      <c r="G5898" s="83">
        <f>SUMIFS(G5899:G6462,K5899:K6462,"0",B5899:B6462,"5 1 3 9 8 12 31111 6 M59 21000*")</f>
        <v>0</v>
      </c>
      <c r="H5898" s="83">
        <f t="shared" si="92"/>
        <v>4236.84</v>
      </c>
      <c r="I5898" s="83"/>
      <c r="K5898" s="54" t="s">
        <v>15</v>
      </c>
    </row>
    <row r="5899" spans="2:11" ht="16.5" x14ac:dyDescent="0.2">
      <c r="B5899" s="82" t="s">
        <v>9443</v>
      </c>
      <c r="C5899" s="82" t="s">
        <v>648</v>
      </c>
      <c r="D5899" s="83">
        <f>SUMIFS(D5900:D6462,K5900:K6462,"0",B5900:B6462,"5 1 3 9 8 12 31111 6 M59 21000 000132*")-SUMIFS(E5900:E6462,K5900:K6462,"0",B5900:B6462,"5 1 3 9 8 12 31111 6 M59 21000 000132*")</f>
        <v>0</v>
      </c>
      <c r="E5899" s="54"/>
      <c r="F5899" s="83">
        <f>SUMIFS(F5900:F6462,K5900:K6462,"0",B5900:B6462,"5 1 3 9 8 12 31111 6 M59 21000 000132*")</f>
        <v>4236.84</v>
      </c>
      <c r="G5899" s="83">
        <f>SUMIFS(G5900:G6462,K5900:K6462,"0",B5900:B6462,"5 1 3 9 8 12 31111 6 M59 21000 000132*")</f>
        <v>0</v>
      </c>
      <c r="H5899" s="83">
        <f t="shared" si="92"/>
        <v>4236.84</v>
      </c>
      <c r="I5899" s="83"/>
      <c r="K5899" s="54" t="s">
        <v>15</v>
      </c>
    </row>
    <row r="5900" spans="2:11" ht="24.75" x14ac:dyDescent="0.2">
      <c r="B5900" s="82" t="s">
        <v>9444</v>
      </c>
      <c r="C5900" s="82" t="s">
        <v>650</v>
      </c>
      <c r="D5900" s="83">
        <f>SUMIFS(D5901:D6462,K5901:K6462,"0",B5901:B6462,"5 1 3 9 8 12 31111 6 M59 21000 000132 0000R*")-SUMIFS(E5901:E6462,K5901:K6462,"0",B5901:B6462,"5 1 3 9 8 12 31111 6 M59 21000 000132 0000R*")</f>
        <v>0</v>
      </c>
      <c r="E5900" s="54"/>
      <c r="F5900" s="83">
        <f>SUMIFS(F5901:F6462,K5901:K6462,"0",B5901:B6462,"5 1 3 9 8 12 31111 6 M59 21000 000132 0000R*")</f>
        <v>4236.84</v>
      </c>
      <c r="G5900" s="83">
        <f>SUMIFS(G5901:G6462,K5901:K6462,"0",B5901:B6462,"5 1 3 9 8 12 31111 6 M59 21000 000132 0000R*")</f>
        <v>0</v>
      </c>
      <c r="H5900" s="83">
        <f t="shared" si="92"/>
        <v>4236.84</v>
      </c>
      <c r="I5900" s="83"/>
      <c r="K5900" s="54" t="s">
        <v>15</v>
      </c>
    </row>
    <row r="5901" spans="2:11" ht="24.75" x14ac:dyDescent="0.2">
      <c r="B5901" s="82" t="s">
        <v>9445</v>
      </c>
      <c r="C5901" s="82" t="s">
        <v>282</v>
      </c>
      <c r="D5901" s="83">
        <f>SUMIFS(D5902:D6462,K5902:K6462,"0",B5902:B6462,"5 1 3 9 8 12 31111 6 M59 21000 000132 0000R 00001*")-SUMIFS(E5902:E6462,K5902:K6462,"0",B5902:B6462,"5 1 3 9 8 12 31111 6 M59 21000 000132 0000R 00001*")</f>
        <v>0</v>
      </c>
      <c r="E5901" s="54"/>
      <c r="F5901" s="83">
        <f>SUMIFS(F5902:F6462,K5902:K6462,"0",B5902:B6462,"5 1 3 9 8 12 31111 6 M59 21000 000132 0000R 00001*")</f>
        <v>4236.84</v>
      </c>
      <c r="G5901" s="83">
        <f>SUMIFS(G5902:G6462,K5902:K6462,"0",B5902:B6462,"5 1 3 9 8 12 31111 6 M59 21000 000132 0000R 00001*")</f>
        <v>0</v>
      </c>
      <c r="H5901" s="83">
        <f t="shared" si="92"/>
        <v>4236.84</v>
      </c>
      <c r="I5901" s="83"/>
      <c r="K5901" s="54" t="s">
        <v>15</v>
      </c>
    </row>
    <row r="5902" spans="2:11" ht="24.75" x14ac:dyDescent="0.2">
      <c r="B5902" s="82" t="s">
        <v>9446</v>
      </c>
      <c r="C5902" s="82" t="s">
        <v>9247</v>
      </c>
      <c r="D5902" s="83">
        <f>SUMIFS(D5903:D6462,K5903:K6462,"0",B5903:B6462,"5 1 3 9 8 12 31111 6 M59 21000 000132 0000R 00001 00398*")-SUMIFS(E5903:E6462,K5903:K6462,"0",B5903:B6462,"5 1 3 9 8 12 31111 6 M59 21000 000132 0000R 00001 00398*")</f>
        <v>0</v>
      </c>
      <c r="E5902" s="54"/>
      <c r="F5902" s="83">
        <f>SUMIFS(F5903:F6462,K5903:K6462,"0",B5903:B6462,"5 1 3 9 8 12 31111 6 M59 21000 000132 0000R 00001 00398*")</f>
        <v>4236.84</v>
      </c>
      <c r="G5902" s="83">
        <f>SUMIFS(G5903:G6462,K5903:K6462,"0",B5903:B6462,"5 1 3 9 8 12 31111 6 M59 21000 000132 0000R 00001 00398*")</f>
        <v>0</v>
      </c>
      <c r="H5902" s="83">
        <f t="shared" si="92"/>
        <v>4236.84</v>
      </c>
      <c r="I5902" s="83"/>
      <c r="K5902" s="54" t="s">
        <v>15</v>
      </c>
    </row>
    <row r="5903" spans="2:11" ht="33" x14ac:dyDescent="0.2">
      <c r="B5903" s="82" t="s">
        <v>9447</v>
      </c>
      <c r="C5903" s="82" t="s">
        <v>1051</v>
      </c>
      <c r="D5903" s="83">
        <f>SUMIFS(D5904:D6462,K5904:K6462,"0",B5904:B6462,"5 1 3 9 8 12 31111 6 M59 21000 000132 0000R 00001 00398 015*")-SUMIFS(E5904:E6462,K5904:K6462,"0",B5904:B6462,"5 1 3 9 8 12 31111 6 M59 21000 000132 0000R 00001 00398 015*")</f>
        <v>0</v>
      </c>
      <c r="E5903" s="54"/>
      <c r="F5903" s="83">
        <f>SUMIFS(F5904:F6462,K5904:K6462,"0",B5904:B6462,"5 1 3 9 8 12 31111 6 M59 21000 000132 0000R 00001 00398 015*")</f>
        <v>4236.84</v>
      </c>
      <c r="G5903" s="83">
        <f>SUMIFS(G5904:G6462,K5904:K6462,"0",B5904:B6462,"5 1 3 9 8 12 31111 6 M59 21000 000132 0000R 00001 00398 015*")</f>
        <v>0</v>
      </c>
      <c r="H5903" s="83">
        <f t="shared" si="92"/>
        <v>4236.84</v>
      </c>
      <c r="I5903" s="83"/>
      <c r="K5903" s="54" t="s">
        <v>15</v>
      </c>
    </row>
    <row r="5904" spans="2:11" ht="33" x14ac:dyDescent="0.2">
      <c r="B5904" s="82" t="s">
        <v>9448</v>
      </c>
      <c r="C5904" s="82" t="s">
        <v>2927</v>
      </c>
      <c r="D5904" s="83">
        <f>SUMIFS(D5905:D6462,K5905:K6462,"0",B5905:B6462,"5 1 3 9 8 12 31111 6 M59 21000 000132 0000R 00001 00398 015 2111100*")-SUMIFS(E5905:E6462,K5905:K6462,"0",B5905:B6462,"5 1 3 9 8 12 31111 6 M59 21000 000132 0000R 00001 00398 015 2111100*")</f>
        <v>0</v>
      </c>
      <c r="E5904" s="54"/>
      <c r="F5904" s="83">
        <f>SUMIFS(F5905:F6462,K5905:K6462,"0",B5905:B6462,"5 1 3 9 8 12 31111 6 M59 21000 000132 0000R 00001 00398 015 2111100*")</f>
        <v>4236.84</v>
      </c>
      <c r="G5904" s="83">
        <f>SUMIFS(G5905:G6462,K5905:K6462,"0",B5905:B6462,"5 1 3 9 8 12 31111 6 M59 21000 000132 0000R 00001 00398 015 2111100*")</f>
        <v>0</v>
      </c>
      <c r="H5904" s="83">
        <f t="shared" si="92"/>
        <v>4236.84</v>
      </c>
      <c r="I5904" s="83"/>
      <c r="K5904" s="54" t="s">
        <v>15</v>
      </c>
    </row>
    <row r="5905" spans="2:11" ht="33" x14ac:dyDescent="0.2">
      <c r="B5905" s="82" t="s">
        <v>9449</v>
      </c>
      <c r="C5905" s="82" t="s">
        <v>660</v>
      </c>
      <c r="D5905" s="83">
        <f>SUMIFS(D5906:D6462,K5906:K6462,"0",B5906:B6462,"5 1 3 9 8 12 31111 6 M59 21000 000132 0000R 00001 00398 015 2111100 2024*")-SUMIFS(E5906:E6462,K5906:K6462,"0",B5906:B6462,"5 1 3 9 8 12 31111 6 M59 21000 000132 0000R 00001 00398 015 2111100 2024*")</f>
        <v>0</v>
      </c>
      <c r="E5905" s="54"/>
      <c r="F5905" s="83">
        <f>SUMIFS(F5906:F6462,K5906:K6462,"0",B5906:B6462,"5 1 3 9 8 12 31111 6 M59 21000 000132 0000R 00001 00398 015 2111100 2024*")</f>
        <v>4236.84</v>
      </c>
      <c r="G5905" s="83">
        <f>SUMIFS(G5906:G6462,K5906:K6462,"0",B5906:B6462,"5 1 3 9 8 12 31111 6 M59 21000 000132 0000R 00001 00398 015 2111100 2024*")</f>
        <v>0</v>
      </c>
      <c r="H5905" s="83">
        <f t="shared" si="92"/>
        <v>4236.84</v>
      </c>
      <c r="I5905" s="83"/>
      <c r="K5905" s="54" t="s">
        <v>15</v>
      </c>
    </row>
    <row r="5906" spans="2:11" ht="41.25" x14ac:dyDescent="0.2">
      <c r="B5906" s="82" t="s">
        <v>9450</v>
      </c>
      <c r="C5906" s="82" t="s">
        <v>1056</v>
      </c>
      <c r="D5906" s="83">
        <f>SUMIFS(D5907:D6462,K5907:K6462,"0",B5907:B6462,"5 1 3 9 8 12 31111 6 M59 21000 000132 0000R 00001 00398 015 2111100 2024 CP1PP402*")-SUMIFS(E5907:E6462,K5907:K6462,"0",B5907:B6462,"5 1 3 9 8 12 31111 6 M59 21000 000132 0000R 00001 00398 015 2111100 2024 CP1PP402*")</f>
        <v>0</v>
      </c>
      <c r="E5906" s="54"/>
      <c r="F5906" s="83">
        <f>SUMIFS(F5907:F6462,K5907:K6462,"0",B5907:B6462,"5 1 3 9 8 12 31111 6 M59 21000 000132 0000R 00001 00398 015 2111100 2024 CP1PP402*")</f>
        <v>4236.84</v>
      </c>
      <c r="G5906" s="83">
        <f>SUMIFS(G5907:G6462,K5907:K6462,"0",B5907:B6462,"5 1 3 9 8 12 31111 6 M59 21000 000132 0000R 00001 00398 015 2111100 2024 CP1PP402*")</f>
        <v>0</v>
      </c>
      <c r="H5906" s="83">
        <f t="shared" si="92"/>
        <v>4236.84</v>
      </c>
      <c r="I5906" s="83"/>
      <c r="K5906" s="54" t="s">
        <v>15</v>
      </c>
    </row>
    <row r="5907" spans="2:11" ht="41.25" x14ac:dyDescent="0.2">
      <c r="B5907" s="82" t="s">
        <v>9451</v>
      </c>
      <c r="C5907" s="82" t="s">
        <v>282</v>
      </c>
      <c r="D5907" s="83">
        <f>SUMIFS(D5908:D6462,K5908:K6462,"0",B5908:B6462,"5 1 3 9 8 12 31111 6 M59 21000 000132 0000R 00001 00398 015 2111100 2024 CP1PP402 001*")-SUMIFS(E5908:E6462,K5908:K6462,"0",B5908:B6462,"5 1 3 9 8 12 31111 6 M59 21000 000132 0000R 00001 00398 015 2111100 2024 CP1PP402 001*")</f>
        <v>0</v>
      </c>
      <c r="E5907" s="54"/>
      <c r="F5907" s="83">
        <f>SUMIFS(F5908:F6462,K5908:K6462,"0",B5908:B6462,"5 1 3 9 8 12 31111 6 M59 21000 000132 0000R 00001 00398 015 2111100 2024 CP1PP402 001*")</f>
        <v>4236.84</v>
      </c>
      <c r="G5907" s="83">
        <f>SUMIFS(G5908:G6462,K5908:K6462,"0",B5908:B6462,"5 1 3 9 8 12 31111 6 M59 21000 000132 0000R 00001 00398 015 2111100 2024 CP1PP402 001*")</f>
        <v>0</v>
      </c>
      <c r="H5907" s="83">
        <f t="shared" si="92"/>
        <v>4236.84</v>
      </c>
      <c r="I5907" s="83"/>
      <c r="K5907" s="54" t="s">
        <v>15</v>
      </c>
    </row>
    <row r="5908" spans="2:11" ht="33" x14ac:dyDescent="0.2">
      <c r="B5908" s="84" t="s">
        <v>9452</v>
      </c>
      <c r="C5908" s="84" t="s">
        <v>9254</v>
      </c>
      <c r="D5908" s="85">
        <v>0</v>
      </c>
      <c r="E5908" s="85"/>
      <c r="F5908" s="85">
        <v>4236.84</v>
      </c>
      <c r="G5908" s="85">
        <v>0</v>
      </c>
      <c r="H5908" s="85">
        <f t="shared" si="92"/>
        <v>4236.84</v>
      </c>
      <c r="I5908" s="85"/>
      <c r="K5908" s="54" t="s">
        <v>38</v>
      </c>
    </row>
    <row r="5909" spans="2:11" ht="24.75" x14ac:dyDescent="0.2">
      <c r="B5909" s="82" t="s">
        <v>9453</v>
      </c>
      <c r="C5909" s="82" t="s">
        <v>3175</v>
      </c>
      <c r="D5909" s="83">
        <f>SUMIFS(D5910:D6462,K5910:K6462,"0",B5910:B6462,"5 1 3 9 8 12 31111 6 M59 22000*")-SUMIFS(E5910:E6462,K5910:K6462,"0",B5910:B6462,"5 1 3 9 8 12 31111 6 M59 22000*")</f>
        <v>0</v>
      </c>
      <c r="E5909" s="54"/>
      <c r="F5909" s="83">
        <f>SUMIFS(F5910:F6462,K5910:K6462,"0",B5910:B6462,"5 1 3 9 8 12 31111 6 M59 22000*")</f>
        <v>8120.04</v>
      </c>
      <c r="G5909" s="83">
        <f>SUMIFS(G5910:G6462,K5910:K6462,"0",B5910:B6462,"5 1 3 9 8 12 31111 6 M59 22000*")</f>
        <v>0</v>
      </c>
      <c r="H5909" s="83">
        <f t="shared" si="92"/>
        <v>8120.04</v>
      </c>
      <c r="I5909" s="83"/>
      <c r="K5909" s="54" t="s">
        <v>15</v>
      </c>
    </row>
    <row r="5910" spans="2:11" ht="16.5" x14ac:dyDescent="0.2">
      <c r="B5910" s="82" t="s">
        <v>9454</v>
      </c>
      <c r="C5910" s="82" t="s">
        <v>648</v>
      </c>
      <c r="D5910" s="83">
        <f>SUMIFS(D5911:D6462,K5911:K6462,"0",B5911:B6462,"5 1 3 9 8 12 31111 6 M59 22000 000132*")-SUMIFS(E5911:E6462,K5911:K6462,"0",B5911:B6462,"5 1 3 9 8 12 31111 6 M59 22000 000132*")</f>
        <v>0</v>
      </c>
      <c r="E5910" s="54"/>
      <c r="F5910" s="83">
        <f>SUMIFS(F5911:F6462,K5911:K6462,"0",B5911:B6462,"5 1 3 9 8 12 31111 6 M59 22000 000132*")</f>
        <v>8120.04</v>
      </c>
      <c r="G5910" s="83">
        <f>SUMIFS(G5911:G6462,K5911:K6462,"0",B5911:B6462,"5 1 3 9 8 12 31111 6 M59 22000 000132*")</f>
        <v>0</v>
      </c>
      <c r="H5910" s="83">
        <f t="shared" si="92"/>
        <v>8120.04</v>
      </c>
      <c r="I5910" s="83"/>
      <c r="K5910" s="54" t="s">
        <v>15</v>
      </c>
    </row>
    <row r="5911" spans="2:11" ht="24.75" x14ac:dyDescent="0.2">
      <c r="B5911" s="82" t="s">
        <v>9455</v>
      </c>
      <c r="C5911" s="82" t="s">
        <v>650</v>
      </c>
      <c r="D5911" s="83">
        <f>SUMIFS(D5912:D6462,K5912:K6462,"0",B5912:B6462,"5 1 3 9 8 12 31111 6 M59 22000 000132 0000R*")-SUMIFS(E5912:E6462,K5912:K6462,"0",B5912:B6462,"5 1 3 9 8 12 31111 6 M59 22000 000132 0000R*")</f>
        <v>0</v>
      </c>
      <c r="E5911" s="54"/>
      <c r="F5911" s="83">
        <f>SUMIFS(F5912:F6462,K5912:K6462,"0",B5912:B6462,"5 1 3 9 8 12 31111 6 M59 22000 000132 0000R*")</f>
        <v>8120.04</v>
      </c>
      <c r="G5911" s="83">
        <f>SUMIFS(G5912:G6462,K5912:K6462,"0",B5912:B6462,"5 1 3 9 8 12 31111 6 M59 22000 000132 0000R*")</f>
        <v>0</v>
      </c>
      <c r="H5911" s="83">
        <f t="shared" si="92"/>
        <v>8120.04</v>
      </c>
      <c r="I5911" s="83"/>
      <c r="K5911" s="54" t="s">
        <v>15</v>
      </c>
    </row>
    <row r="5912" spans="2:11" ht="24.75" x14ac:dyDescent="0.2">
      <c r="B5912" s="82" t="s">
        <v>9456</v>
      </c>
      <c r="C5912" s="82" t="s">
        <v>282</v>
      </c>
      <c r="D5912" s="83">
        <f>SUMIFS(D5913:D6462,K5913:K6462,"0",B5913:B6462,"5 1 3 9 8 12 31111 6 M59 22000 000132 0000R 00001*")-SUMIFS(E5913:E6462,K5913:K6462,"0",B5913:B6462,"5 1 3 9 8 12 31111 6 M59 22000 000132 0000R 00001*")</f>
        <v>0</v>
      </c>
      <c r="E5912" s="54"/>
      <c r="F5912" s="83">
        <f>SUMIFS(F5913:F6462,K5913:K6462,"0",B5913:B6462,"5 1 3 9 8 12 31111 6 M59 22000 000132 0000R 00001*")</f>
        <v>8120.04</v>
      </c>
      <c r="G5912" s="83">
        <f>SUMIFS(G5913:G6462,K5913:K6462,"0",B5913:B6462,"5 1 3 9 8 12 31111 6 M59 22000 000132 0000R 00001*")</f>
        <v>0</v>
      </c>
      <c r="H5912" s="83">
        <f t="shared" si="92"/>
        <v>8120.04</v>
      </c>
      <c r="I5912" s="83"/>
      <c r="K5912" s="54" t="s">
        <v>15</v>
      </c>
    </row>
    <row r="5913" spans="2:11" ht="24.75" x14ac:dyDescent="0.2">
      <c r="B5913" s="82" t="s">
        <v>9457</v>
      </c>
      <c r="C5913" s="82" t="s">
        <v>9247</v>
      </c>
      <c r="D5913" s="83">
        <f>SUMIFS(D5914:D6462,K5914:K6462,"0",B5914:B6462,"5 1 3 9 8 12 31111 6 M59 22000 000132 0000R 00001 00398*")-SUMIFS(E5914:E6462,K5914:K6462,"0",B5914:B6462,"5 1 3 9 8 12 31111 6 M59 22000 000132 0000R 00001 00398*")</f>
        <v>0</v>
      </c>
      <c r="E5913" s="54"/>
      <c r="F5913" s="83">
        <f>SUMIFS(F5914:F6462,K5914:K6462,"0",B5914:B6462,"5 1 3 9 8 12 31111 6 M59 22000 000132 0000R 00001 00398*")</f>
        <v>8120.04</v>
      </c>
      <c r="G5913" s="83">
        <f>SUMIFS(G5914:G6462,K5914:K6462,"0",B5914:B6462,"5 1 3 9 8 12 31111 6 M59 22000 000132 0000R 00001 00398*")</f>
        <v>0</v>
      </c>
      <c r="H5913" s="83">
        <f t="shared" si="92"/>
        <v>8120.04</v>
      </c>
      <c r="I5913" s="83"/>
      <c r="K5913" s="54" t="s">
        <v>15</v>
      </c>
    </row>
    <row r="5914" spans="2:11" ht="33" x14ac:dyDescent="0.2">
      <c r="B5914" s="82" t="s">
        <v>9458</v>
      </c>
      <c r="C5914" s="82" t="s">
        <v>1051</v>
      </c>
      <c r="D5914" s="83">
        <f>SUMIFS(D5915:D6462,K5915:K6462,"0",B5915:B6462,"5 1 3 9 8 12 31111 6 M59 22000 000132 0000R 00001 00398 015*")-SUMIFS(E5915:E6462,K5915:K6462,"0",B5915:B6462,"5 1 3 9 8 12 31111 6 M59 22000 000132 0000R 00001 00398 015*")</f>
        <v>0</v>
      </c>
      <c r="E5914" s="54"/>
      <c r="F5914" s="83">
        <f>SUMIFS(F5915:F6462,K5915:K6462,"0",B5915:B6462,"5 1 3 9 8 12 31111 6 M59 22000 000132 0000R 00001 00398 015*")</f>
        <v>8120.04</v>
      </c>
      <c r="G5914" s="83">
        <f>SUMIFS(G5915:G6462,K5915:K6462,"0",B5915:B6462,"5 1 3 9 8 12 31111 6 M59 22000 000132 0000R 00001 00398 015*")</f>
        <v>0</v>
      </c>
      <c r="H5914" s="83">
        <f t="shared" si="92"/>
        <v>8120.04</v>
      </c>
      <c r="I5914" s="83"/>
      <c r="K5914" s="54" t="s">
        <v>15</v>
      </c>
    </row>
    <row r="5915" spans="2:11" ht="33" x14ac:dyDescent="0.2">
      <c r="B5915" s="82" t="s">
        <v>9459</v>
      </c>
      <c r="C5915" s="82" t="s">
        <v>8550</v>
      </c>
      <c r="D5915" s="83">
        <f>SUMIFS(D5916:D6462,K5916:K6462,"0",B5916:B6462,"5 1 3 9 8 12 31111 6 M59 22000 000132 0000R 00001 00398 015 2111300*")-SUMIFS(E5916:E6462,K5916:K6462,"0",B5916:B6462,"5 1 3 9 8 12 31111 6 M59 22000 000132 0000R 00001 00398 015 2111300*")</f>
        <v>0</v>
      </c>
      <c r="E5915" s="54"/>
      <c r="F5915" s="83">
        <f>SUMIFS(F5916:F6462,K5916:K6462,"0",B5916:B6462,"5 1 3 9 8 12 31111 6 M59 22000 000132 0000R 00001 00398 015 2111300*")</f>
        <v>8120.04</v>
      </c>
      <c r="G5915" s="83">
        <f>SUMIFS(G5916:G6462,K5916:K6462,"0",B5916:B6462,"5 1 3 9 8 12 31111 6 M59 22000 000132 0000R 00001 00398 015 2111300*")</f>
        <v>0</v>
      </c>
      <c r="H5915" s="83">
        <f t="shared" si="92"/>
        <v>8120.04</v>
      </c>
      <c r="I5915" s="83"/>
      <c r="K5915" s="54" t="s">
        <v>15</v>
      </c>
    </row>
    <row r="5916" spans="2:11" ht="33" x14ac:dyDescent="0.2">
      <c r="B5916" s="82" t="s">
        <v>9460</v>
      </c>
      <c r="C5916" s="82" t="s">
        <v>660</v>
      </c>
      <c r="D5916" s="83">
        <f>SUMIFS(D5917:D6462,K5917:K6462,"0",B5917:B6462,"5 1 3 9 8 12 31111 6 M59 22000 000132 0000R 00001 00398 015 2111300 2024*")-SUMIFS(E5917:E6462,K5917:K6462,"0",B5917:B6462,"5 1 3 9 8 12 31111 6 M59 22000 000132 0000R 00001 00398 015 2111300 2024*")</f>
        <v>0</v>
      </c>
      <c r="E5916" s="54"/>
      <c r="F5916" s="83">
        <f>SUMIFS(F5917:F6462,K5917:K6462,"0",B5917:B6462,"5 1 3 9 8 12 31111 6 M59 22000 000132 0000R 00001 00398 015 2111300 2024*")</f>
        <v>8120.04</v>
      </c>
      <c r="G5916" s="83">
        <f>SUMIFS(G5917:G6462,K5917:K6462,"0",B5917:B6462,"5 1 3 9 8 12 31111 6 M59 22000 000132 0000R 00001 00398 015 2111300 2024*")</f>
        <v>0</v>
      </c>
      <c r="H5916" s="83">
        <f t="shared" si="92"/>
        <v>8120.04</v>
      </c>
      <c r="I5916" s="83"/>
      <c r="K5916" s="54" t="s">
        <v>15</v>
      </c>
    </row>
    <row r="5917" spans="2:11" ht="41.25" x14ac:dyDescent="0.2">
      <c r="B5917" s="82" t="s">
        <v>9461</v>
      </c>
      <c r="C5917" s="82" t="s">
        <v>1056</v>
      </c>
      <c r="D5917" s="83">
        <f>SUMIFS(D5918:D6462,K5918:K6462,"0",B5918:B6462,"5 1 3 9 8 12 31111 6 M59 22000 000132 0000R 00001 00398 015 2111300 2024 CP1PL384*")-SUMIFS(E5918:E6462,K5918:K6462,"0",B5918:B6462,"5 1 3 9 8 12 31111 6 M59 22000 000132 0000R 00001 00398 015 2111300 2024 CP1PL384*")</f>
        <v>0</v>
      </c>
      <c r="E5917" s="54"/>
      <c r="F5917" s="83">
        <f>SUMIFS(F5918:F6462,K5918:K6462,"0",B5918:B6462,"5 1 3 9 8 12 31111 6 M59 22000 000132 0000R 00001 00398 015 2111300 2024 CP1PL384*")</f>
        <v>8120.04</v>
      </c>
      <c r="G5917" s="83">
        <f>SUMIFS(G5918:G6462,K5918:K6462,"0",B5918:B6462,"5 1 3 9 8 12 31111 6 M59 22000 000132 0000R 00001 00398 015 2111300 2024 CP1PL384*")</f>
        <v>0</v>
      </c>
      <c r="H5917" s="83">
        <f t="shared" si="92"/>
        <v>8120.04</v>
      </c>
      <c r="I5917" s="83"/>
      <c r="K5917" s="54" t="s">
        <v>15</v>
      </c>
    </row>
    <row r="5918" spans="2:11" ht="41.25" x14ac:dyDescent="0.2">
      <c r="B5918" s="82" t="s">
        <v>9462</v>
      </c>
      <c r="C5918" s="82" t="s">
        <v>282</v>
      </c>
      <c r="D5918" s="83">
        <f>SUMIFS(D5919:D6462,K5919:K6462,"0",B5919:B6462,"5 1 3 9 8 12 31111 6 M59 22000 000132 0000R 00001 00398 015 2111300 2024 CP1PL384 001*")-SUMIFS(E5919:E6462,K5919:K6462,"0",B5919:B6462,"5 1 3 9 8 12 31111 6 M59 22000 000132 0000R 00001 00398 015 2111300 2024 CP1PL384 001*")</f>
        <v>0</v>
      </c>
      <c r="E5918" s="54"/>
      <c r="F5918" s="83">
        <f>SUMIFS(F5919:F6462,K5919:K6462,"0",B5919:B6462,"5 1 3 9 8 12 31111 6 M59 22000 000132 0000R 00001 00398 015 2111300 2024 CP1PL384 001*")</f>
        <v>8120.04</v>
      </c>
      <c r="G5918" s="83">
        <f>SUMIFS(G5919:G6462,K5919:K6462,"0",B5919:B6462,"5 1 3 9 8 12 31111 6 M59 22000 000132 0000R 00001 00398 015 2111300 2024 CP1PL384 001*")</f>
        <v>0</v>
      </c>
      <c r="H5918" s="83">
        <f t="shared" si="92"/>
        <v>8120.04</v>
      </c>
      <c r="I5918" s="83"/>
      <c r="K5918" s="54" t="s">
        <v>15</v>
      </c>
    </row>
    <row r="5919" spans="2:11" ht="41.25" x14ac:dyDescent="0.2">
      <c r="B5919" s="84" t="s">
        <v>9463</v>
      </c>
      <c r="C5919" s="84" t="s">
        <v>9254</v>
      </c>
      <c r="D5919" s="85">
        <v>0</v>
      </c>
      <c r="E5919" s="85"/>
      <c r="F5919" s="85">
        <v>8120.04</v>
      </c>
      <c r="G5919" s="85">
        <v>0</v>
      </c>
      <c r="H5919" s="85">
        <f t="shared" si="92"/>
        <v>8120.04</v>
      </c>
      <c r="I5919" s="85"/>
      <c r="K5919" s="54" t="s">
        <v>38</v>
      </c>
    </row>
    <row r="5920" spans="2:11" ht="16.5" x14ac:dyDescent="0.2">
      <c r="B5920" s="82" t="s">
        <v>9464</v>
      </c>
      <c r="C5920" s="82" t="s">
        <v>646</v>
      </c>
      <c r="D5920" s="83">
        <f>SUMIFS(D5921:D6462,K5921:K6462,"0",B5921:B6462,"5 1 3 9 8 12 31111 6 M59 30100*")-SUMIFS(E5921:E6462,K5921:K6462,"0",B5921:B6462,"5 1 3 9 8 12 31111 6 M59 30100*")</f>
        <v>0</v>
      </c>
      <c r="E5920" s="54"/>
      <c r="F5920" s="83">
        <f>SUMIFS(F5921:F6462,K5921:K6462,"0",B5921:B6462,"5 1 3 9 8 12 31111 6 M59 30100*")</f>
        <v>4236.84</v>
      </c>
      <c r="G5920" s="83">
        <f>SUMIFS(G5921:G6462,K5921:K6462,"0",B5921:B6462,"5 1 3 9 8 12 31111 6 M59 30100*")</f>
        <v>0</v>
      </c>
      <c r="H5920" s="83">
        <f t="shared" si="92"/>
        <v>4236.84</v>
      </c>
      <c r="I5920" s="83"/>
      <c r="K5920" s="54" t="s">
        <v>15</v>
      </c>
    </row>
    <row r="5921" spans="2:11" ht="16.5" x14ac:dyDescent="0.2">
      <c r="B5921" s="82" t="s">
        <v>9465</v>
      </c>
      <c r="C5921" s="82" t="s">
        <v>648</v>
      </c>
      <c r="D5921" s="83">
        <f>SUMIFS(D5922:D6462,K5922:K6462,"0",B5922:B6462,"5 1 3 9 8 12 31111 6 M59 30100 000132*")-SUMIFS(E5922:E6462,K5922:K6462,"0",B5922:B6462,"5 1 3 9 8 12 31111 6 M59 30100 000132*")</f>
        <v>0</v>
      </c>
      <c r="E5921" s="54"/>
      <c r="F5921" s="83">
        <f>SUMIFS(F5922:F6462,K5922:K6462,"0",B5922:B6462,"5 1 3 9 8 12 31111 6 M59 30100 000132*")</f>
        <v>4236.84</v>
      </c>
      <c r="G5921" s="83">
        <f>SUMIFS(G5922:G6462,K5922:K6462,"0",B5922:B6462,"5 1 3 9 8 12 31111 6 M59 30100 000132*")</f>
        <v>0</v>
      </c>
      <c r="H5921" s="83">
        <f t="shared" si="92"/>
        <v>4236.84</v>
      </c>
      <c r="I5921" s="83"/>
      <c r="K5921" s="54" t="s">
        <v>15</v>
      </c>
    </row>
    <row r="5922" spans="2:11" ht="24.75" x14ac:dyDescent="0.2">
      <c r="B5922" s="82" t="s">
        <v>9466</v>
      </c>
      <c r="C5922" s="82" t="s">
        <v>650</v>
      </c>
      <c r="D5922" s="83">
        <f>SUMIFS(D5923:D6462,K5923:K6462,"0",B5923:B6462,"5 1 3 9 8 12 31111 6 M59 30100 000132 0000R*")-SUMIFS(E5923:E6462,K5923:K6462,"0",B5923:B6462,"5 1 3 9 8 12 31111 6 M59 30100 000132 0000R*")</f>
        <v>0</v>
      </c>
      <c r="E5922" s="54"/>
      <c r="F5922" s="83">
        <f>SUMIFS(F5923:F6462,K5923:K6462,"0",B5923:B6462,"5 1 3 9 8 12 31111 6 M59 30100 000132 0000R*")</f>
        <v>4236.84</v>
      </c>
      <c r="G5922" s="83">
        <f>SUMIFS(G5923:G6462,K5923:K6462,"0",B5923:B6462,"5 1 3 9 8 12 31111 6 M59 30100 000132 0000R*")</f>
        <v>0</v>
      </c>
      <c r="H5922" s="83">
        <f t="shared" si="92"/>
        <v>4236.84</v>
      </c>
      <c r="I5922" s="83"/>
      <c r="K5922" s="54" t="s">
        <v>15</v>
      </c>
    </row>
    <row r="5923" spans="2:11" ht="24.75" x14ac:dyDescent="0.2">
      <c r="B5923" s="82" t="s">
        <v>9467</v>
      </c>
      <c r="C5923" s="82" t="s">
        <v>282</v>
      </c>
      <c r="D5923" s="83">
        <f>SUMIFS(D5924:D6462,K5924:K6462,"0",B5924:B6462,"5 1 3 9 8 12 31111 6 M59 30100 000132 0000R 00001*")-SUMIFS(E5924:E6462,K5924:K6462,"0",B5924:B6462,"5 1 3 9 8 12 31111 6 M59 30100 000132 0000R 00001*")</f>
        <v>0</v>
      </c>
      <c r="E5923" s="54"/>
      <c r="F5923" s="83">
        <f>SUMIFS(F5924:F6462,K5924:K6462,"0",B5924:B6462,"5 1 3 9 8 12 31111 6 M59 30100 000132 0000R 00001*")</f>
        <v>4236.84</v>
      </c>
      <c r="G5923" s="83">
        <f>SUMIFS(G5924:G6462,K5924:K6462,"0",B5924:B6462,"5 1 3 9 8 12 31111 6 M59 30100 000132 0000R 00001*")</f>
        <v>0</v>
      </c>
      <c r="H5923" s="83">
        <f t="shared" si="92"/>
        <v>4236.84</v>
      </c>
      <c r="I5923" s="83"/>
      <c r="K5923" s="54" t="s">
        <v>15</v>
      </c>
    </row>
    <row r="5924" spans="2:11" ht="24.75" x14ac:dyDescent="0.2">
      <c r="B5924" s="82" t="s">
        <v>9468</v>
      </c>
      <c r="C5924" s="82" t="s">
        <v>9247</v>
      </c>
      <c r="D5924" s="83">
        <f>SUMIFS(D5925:D6462,K5925:K6462,"0",B5925:B6462,"5 1 3 9 8 12 31111 6 M59 30100 000132 0000R 00001 00398*")-SUMIFS(E5925:E6462,K5925:K6462,"0",B5925:B6462,"5 1 3 9 8 12 31111 6 M59 30100 000132 0000R 00001 00398*")</f>
        <v>0</v>
      </c>
      <c r="E5924" s="54"/>
      <c r="F5924" s="83">
        <f>SUMIFS(F5925:F6462,K5925:K6462,"0",B5925:B6462,"5 1 3 9 8 12 31111 6 M59 30100 000132 0000R 00001 00398*")</f>
        <v>4236.84</v>
      </c>
      <c r="G5924" s="83">
        <f>SUMIFS(G5925:G6462,K5925:K6462,"0",B5925:B6462,"5 1 3 9 8 12 31111 6 M59 30100 000132 0000R 00001 00398*")</f>
        <v>0</v>
      </c>
      <c r="H5924" s="83">
        <f t="shared" si="92"/>
        <v>4236.84</v>
      </c>
      <c r="I5924" s="83"/>
      <c r="K5924" s="54" t="s">
        <v>15</v>
      </c>
    </row>
    <row r="5925" spans="2:11" ht="33" x14ac:dyDescent="0.2">
      <c r="B5925" s="82" t="s">
        <v>9469</v>
      </c>
      <c r="C5925" s="82" t="s">
        <v>1051</v>
      </c>
      <c r="D5925" s="83">
        <f>SUMIFS(D5926:D6462,K5926:K6462,"0",B5926:B6462,"5 1 3 9 8 12 31111 6 M59 30100 000132 0000R 00001 00398 015*")-SUMIFS(E5926:E6462,K5926:K6462,"0",B5926:B6462,"5 1 3 9 8 12 31111 6 M59 30100 000132 0000R 00001 00398 015*")</f>
        <v>0</v>
      </c>
      <c r="E5925" s="54"/>
      <c r="F5925" s="83">
        <f>SUMIFS(F5926:F6462,K5926:K6462,"0",B5926:B6462,"5 1 3 9 8 12 31111 6 M59 30100 000132 0000R 00001 00398 015*")</f>
        <v>4236.84</v>
      </c>
      <c r="G5925" s="83">
        <f>SUMIFS(G5926:G6462,K5926:K6462,"0",B5926:B6462,"5 1 3 9 8 12 31111 6 M59 30100 000132 0000R 00001 00398 015*")</f>
        <v>0</v>
      </c>
      <c r="H5925" s="83">
        <f t="shared" si="92"/>
        <v>4236.84</v>
      </c>
      <c r="I5925" s="83"/>
      <c r="K5925" s="54" t="s">
        <v>15</v>
      </c>
    </row>
    <row r="5926" spans="2:11" ht="33" x14ac:dyDescent="0.2">
      <c r="B5926" s="82" t="s">
        <v>9470</v>
      </c>
      <c r="C5926" s="82" t="s">
        <v>8550</v>
      </c>
      <c r="D5926" s="83">
        <f>SUMIFS(D5927:D6462,K5927:K6462,"0",B5927:B6462,"5 1 3 9 8 12 31111 6 M59 30100 000132 0000R 00001 00398 015 2111300*")-SUMIFS(E5927:E6462,K5927:K6462,"0",B5927:B6462,"5 1 3 9 8 12 31111 6 M59 30100 000132 0000R 00001 00398 015 2111300*")</f>
        <v>0</v>
      </c>
      <c r="E5926" s="54"/>
      <c r="F5926" s="83">
        <f>SUMIFS(F5927:F6462,K5927:K6462,"0",B5927:B6462,"5 1 3 9 8 12 31111 6 M59 30100 000132 0000R 00001 00398 015 2111300*")</f>
        <v>4236.84</v>
      </c>
      <c r="G5926" s="83">
        <f>SUMIFS(G5927:G6462,K5927:K6462,"0",B5927:B6462,"5 1 3 9 8 12 31111 6 M59 30100 000132 0000R 00001 00398 015 2111300*")</f>
        <v>0</v>
      </c>
      <c r="H5926" s="83">
        <f t="shared" si="92"/>
        <v>4236.84</v>
      </c>
      <c r="I5926" s="83"/>
      <c r="K5926" s="54" t="s">
        <v>15</v>
      </c>
    </row>
    <row r="5927" spans="2:11" ht="33" x14ac:dyDescent="0.2">
      <c r="B5927" s="82" t="s">
        <v>9471</v>
      </c>
      <c r="C5927" s="82" t="s">
        <v>660</v>
      </c>
      <c r="D5927" s="83">
        <f>SUMIFS(D5928:D6462,K5928:K6462,"0",B5928:B6462,"5 1 3 9 8 12 31111 6 M59 30100 000132 0000R 00001 00398 015 2111300 2024*")-SUMIFS(E5928:E6462,K5928:K6462,"0",B5928:B6462,"5 1 3 9 8 12 31111 6 M59 30100 000132 0000R 00001 00398 015 2111300 2024*")</f>
        <v>0</v>
      </c>
      <c r="E5927" s="54"/>
      <c r="F5927" s="83">
        <f>SUMIFS(F5928:F6462,K5928:K6462,"0",B5928:B6462,"5 1 3 9 8 12 31111 6 M59 30100 000132 0000R 00001 00398 015 2111300 2024*")</f>
        <v>4236.84</v>
      </c>
      <c r="G5927" s="83">
        <f>SUMIFS(G5928:G6462,K5928:K6462,"0",B5928:B6462,"5 1 3 9 8 12 31111 6 M59 30100 000132 0000R 00001 00398 015 2111300 2024*")</f>
        <v>0</v>
      </c>
      <c r="H5927" s="83">
        <f t="shared" si="92"/>
        <v>4236.84</v>
      </c>
      <c r="I5927" s="83"/>
      <c r="K5927" s="54" t="s">
        <v>15</v>
      </c>
    </row>
    <row r="5928" spans="2:11" ht="41.25" x14ac:dyDescent="0.2">
      <c r="B5928" s="82" t="s">
        <v>9472</v>
      </c>
      <c r="C5928" s="82" t="s">
        <v>662</v>
      </c>
      <c r="D5928" s="83">
        <f>SUMIFS(D5929:D6462,K5929:K6462,"0",B5929:B6462,"5 1 3 9 8 12 31111 6 M59 30100 000132 0000R 00001 00398 015 2111300 2024 CP1OP405*")-SUMIFS(E5929:E6462,K5929:K6462,"0",B5929:B6462,"5 1 3 9 8 12 31111 6 M59 30100 000132 0000R 00001 00398 015 2111300 2024 CP1OP405*")</f>
        <v>0</v>
      </c>
      <c r="E5928" s="54"/>
      <c r="F5928" s="83">
        <f>SUMIFS(F5929:F6462,K5929:K6462,"0",B5929:B6462,"5 1 3 9 8 12 31111 6 M59 30100 000132 0000R 00001 00398 015 2111300 2024 CP1OP405*")</f>
        <v>4236.84</v>
      </c>
      <c r="G5928" s="83">
        <f>SUMIFS(G5929:G6462,K5929:K6462,"0",B5929:B6462,"5 1 3 9 8 12 31111 6 M59 30100 000132 0000R 00001 00398 015 2111300 2024 CP1OP405*")</f>
        <v>0</v>
      </c>
      <c r="H5928" s="83">
        <f t="shared" si="92"/>
        <v>4236.84</v>
      </c>
      <c r="I5928" s="83"/>
      <c r="K5928" s="54" t="s">
        <v>15</v>
      </c>
    </row>
    <row r="5929" spans="2:11" ht="41.25" x14ac:dyDescent="0.2">
      <c r="B5929" s="82" t="s">
        <v>9473</v>
      </c>
      <c r="C5929" s="82" t="s">
        <v>282</v>
      </c>
      <c r="D5929" s="83">
        <f>SUMIFS(D5930:D6462,K5930:K6462,"0",B5930:B6462,"5 1 3 9 8 12 31111 6 M59 30100 000132 0000R 00001 00398 015 2111300 2024 CP1OP405 001*")-SUMIFS(E5930:E6462,K5930:K6462,"0",B5930:B6462,"5 1 3 9 8 12 31111 6 M59 30100 000132 0000R 00001 00398 015 2111300 2024 CP1OP405 001*")</f>
        <v>0</v>
      </c>
      <c r="E5929" s="54"/>
      <c r="F5929" s="83">
        <f>SUMIFS(F5930:F6462,K5930:K6462,"0",B5930:B6462,"5 1 3 9 8 12 31111 6 M59 30100 000132 0000R 00001 00398 015 2111300 2024 CP1OP405 001*")</f>
        <v>4236.84</v>
      </c>
      <c r="G5929" s="83">
        <f>SUMIFS(G5930:G6462,K5930:K6462,"0",B5930:B6462,"5 1 3 9 8 12 31111 6 M59 30100 000132 0000R 00001 00398 015 2111300 2024 CP1OP405 001*")</f>
        <v>0</v>
      </c>
      <c r="H5929" s="83">
        <f t="shared" si="92"/>
        <v>4236.84</v>
      </c>
      <c r="I5929" s="83"/>
      <c r="K5929" s="54" t="s">
        <v>15</v>
      </c>
    </row>
    <row r="5930" spans="2:11" ht="33" x14ac:dyDescent="0.2">
      <c r="B5930" s="84" t="s">
        <v>9474</v>
      </c>
      <c r="C5930" s="84" t="s">
        <v>9254</v>
      </c>
      <c r="D5930" s="85">
        <v>0</v>
      </c>
      <c r="E5930" s="85"/>
      <c r="F5930" s="85">
        <v>4236.84</v>
      </c>
      <c r="G5930" s="85">
        <v>0</v>
      </c>
      <c r="H5930" s="85">
        <f t="shared" si="92"/>
        <v>4236.84</v>
      </c>
      <c r="I5930" s="85"/>
      <c r="K5930" s="54" t="s">
        <v>38</v>
      </c>
    </row>
    <row r="5931" spans="2:11" ht="24.75" x14ac:dyDescent="0.2">
      <c r="B5931" s="82" t="s">
        <v>9475</v>
      </c>
      <c r="C5931" s="82" t="s">
        <v>3222</v>
      </c>
      <c r="D5931" s="83">
        <f>SUMIFS(D5932:D6462,K5932:K6462,"0",B5932:B6462,"5 1 3 9 8 12 31111 6 M59 30200*")-SUMIFS(E5932:E6462,K5932:K6462,"0",B5932:B6462,"5 1 3 9 8 12 31111 6 M59 30200*")</f>
        <v>0</v>
      </c>
      <c r="E5931" s="54"/>
      <c r="F5931" s="83">
        <f>SUMIFS(F5932:F6462,K5932:K6462,"0",B5932:B6462,"5 1 3 9 8 12 31111 6 M59 30200*")</f>
        <v>3270.02</v>
      </c>
      <c r="G5931" s="83">
        <f>SUMIFS(G5932:G6462,K5932:K6462,"0",B5932:B6462,"5 1 3 9 8 12 31111 6 M59 30200*")</f>
        <v>0</v>
      </c>
      <c r="H5931" s="83">
        <f t="shared" ref="H5931:H5994" si="93">D5931 + F5931 - G5931</f>
        <v>3270.02</v>
      </c>
      <c r="I5931" s="83"/>
      <c r="K5931" s="54" t="s">
        <v>15</v>
      </c>
    </row>
    <row r="5932" spans="2:11" ht="16.5" x14ac:dyDescent="0.2">
      <c r="B5932" s="82" t="s">
        <v>9476</v>
      </c>
      <c r="C5932" s="82" t="s">
        <v>648</v>
      </c>
      <c r="D5932" s="83">
        <f>SUMIFS(D5933:D6462,K5933:K6462,"0",B5933:B6462,"5 1 3 9 8 12 31111 6 M59 30200 000132*")-SUMIFS(E5933:E6462,K5933:K6462,"0",B5933:B6462,"5 1 3 9 8 12 31111 6 M59 30200 000132*")</f>
        <v>0</v>
      </c>
      <c r="E5932" s="54"/>
      <c r="F5932" s="83">
        <f>SUMIFS(F5933:F6462,K5933:K6462,"0",B5933:B6462,"5 1 3 9 8 12 31111 6 M59 30200 000132*")</f>
        <v>3270.02</v>
      </c>
      <c r="G5932" s="83">
        <f>SUMIFS(G5933:G6462,K5933:K6462,"0",B5933:B6462,"5 1 3 9 8 12 31111 6 M59 30200 000132*")</f>
        <v>0</v>
      </c>
      <c r="H5932" s="83">
        <f t="shared" si="93"/>
        <v>3270.02</v>
      </c>
      <c r="I5932" s="83"/>
      <c r="K5932" s="54" t="s">
        <v>15</v>
      </c>
    </row>
    <row r="5933" spans="2:11" ht="24.75" x14ac:dyDescent="0.2">
      <c r="B5933" s="82" t="s">
        <v>9477</v>
      </c>
      <c r="C5933" s="82" t="s">
        <v>650</v>
      </c>
      <c r="D5933" s="83">
        <f>SUMIFS(D5934:D6462,K5934:K6462,"0",B5934:B6462,"5 1 3 9 8 12 31111 6 M59 30200 000132 0000R*")-SUMIFS(E5934:E6462,K5934:K6462,"0",B5934:B6462,"5 1 3 9 8 12 31111 6 M59 30200 000132 0000R*")</f>
        <v>0</v>
      </c>
      <c r="E5933" s="54"/>
      <c r="F5933" s="83">
        <f>SUMIFS(F5934:F6462,K5934:K6462,"0",B5934:B6462,"5 1 3 9 8 12 31111 6 M59 30200 000132 0000R*")</f>
        <v>3270.02</v>
      </c>
      <c r="G5933" s="83">
        <f>SUMIFS(G5934:G6462,K5934:K6462,"0",B5934:B6462,"5 1 3 9 8 12 31111 6 M59 30200 000132 0000R*")</f>
        <v>0</v>
      </c>
      <c r="H5933" s="83">
        <f t="shared" si="93"/>
        <v>3270.02</v>
      </c>
      <c r="I5933" s="83"/>
      <c r="K5933" s="54" t="s">
        <v>15</v>
      </c>
    </row>
    <row r="5934" spans="2:11" ht="24.75" x14ac:dyDescent="0.2">
      <c r="B5934" s="82" t="s">
        <v>9478</v>
      </c>
      <c r="C5934" s="82" t="s">
        <v>282</v>
      </c>
      <c r="D5934" s="83">
        <f>SUMIFS(D5935:D6462,K5935:K6462,"0",B5935:B6462,"5 1 3 9 8 12 31111 6 M59 30200 000132 0000R 00001*")-SUMIFS(E5935:E6462,K5935:K6462,"0",B5935:B6462,"5 1 3 9 8 12 31111 6 M59 30200 000132 0000R 00001*")</f>
        <v>0</v>
      </c>
      <c r="E5934" s="54"/>
      <c r="F5934" s="83">
        <f>SUMIFS(F5935:F6462,K5935:K6462,"0",B5935:B6462,"5 1 3 9 8 12 31111 6 M59 30200 000132 0000R 00001*")</f>
        <v>3270.02</v>
      </c>
      <c r="G5934" s="83">
        <f>SUMIFS(G5935:G6462,K5935:K6462,"0",B5935:B6462,"5 1 3 9 8 12 31111 6 M59 30200 000132 0000R 00001*")</f>
        <v>0</v>
      </c>
      <c r="H5934" s="83">
        <f t="shared" si="93"/>
        <v>3270.02</v>
      </c>
      <c r="I5934" s="83"/>
      <c r="K5934" s="54" t="s">
        <v>15</v>
      </c>
    </row>
    <row r="5935" spans="2:11" ht="24.75" x14ac:dyDescent="0.2">
      <c r="B5935" s="82" t="s">
        <v>9479</v>
      </c>
      <c r="C5935" s="82" t="s">
        <v>9247</v>
      </c>
      <c r="D5935" s="83">
        <f>SUMIFS(D5936:D6462,K5936:K6462,"0",B5936:B6462,"5 1 3 9 8 12 31111 6 M59 30200 000132 0000R 00001 00398*")-SUMIFS(E5936:E6462,K5936:K6462,"0",B5936:B6462,"5 1 3 9 8 12 31111 6 M59 30200 000132 0000R 00001 00398*")</f>
        <v>0</v>
      </c>
      <c r="E5935" s="54"/>
      <c r="F5935" s="83">
        <f>SUMIFS(F5936:F6462,K5936:K6462,"0",B5936:B6462,"5 1 3 9 8 12 31111 6 M59 30200 000132 0000R 00001 00398*")</f>
        <v>3270.02</v>
      </c>
      <c r="G5935" s="83">
        <f>SUMIFS(G5936:G6462,K5936:K6462,"0",B5936:B6462,"5 1 3 9 8 12 31111 6 M59 30200 000132 0000R 00001 00398*")</f>
        <v>0</v>
      </c>
      <c r="H5935" s="83">
        <f t="shared" si="93"/>
        <v>3270.02</v>
      </c>
      <c r="I5935" s="83"/>
      <c r="K5935" s="54" t="s">
        <v>15</v>
      </c>
    </row>
    <row r="5936" spans="2:11" ht="33" x14ac:dyDescent="0.2">
      <c r="B5936" s="82" t="s">
        <v>9480</v>
      </c>
      <c r="C5936" s="82" t="s">
        <v>1051</v>
      </c>
      <c r="D5936" s="83">
        <f>SUMIFS(D5937:D6462,K5937:K6462,"0",B5937:B6462,"5 1 3 9 8 12 31111 6 M59 30200 000132 0000R 00001 00398 015*")-SUMIFS(E5937:E6462,K5937:K6462,"0",B5937:B6462,"5 1 3 9 8 12 31111 6 M59 30200 000132 0000R 00001 00398 015*")</f>
        <v>0</v>
      </c>
      <c r="E5936" s="54"/>
      <c r="F5936" s="83">
        <f>SUMIFS(F5937:F6462,K5937:K6462,"0",B5937:B6462,"5 1 3 9 8 12 31111 6 M59 30200 000132 0000R 00001 00398 015*")</f>
        <v>3270.02</v>
      </c>
      <c r="G5936" s="83">
        <f>SUMIFS(G5937:G6462,K5937:K6462,"0",B5937:B6462,"5 1 3 9 8 12 31111 6 M59 30200 000132 0000R 00001 00398 015*")</f>
        <v>0</v>
      </c>
      <c r="H5936" s="83">
        <f t="shared" si="93"/>
        <v>3270.02</v>
      </c>
      <c r="I5936" s="83"/>
      <c r="K5936" s="54" t="s">
        <v>15</v>
      </c>
    </row>
    <row r="5937" spans="2:11" ht="33" x14ac:dyDescent="0.2">
      <c r="B5937" s="82" t="s">
        <v>9481</v>
      </c>
      <c r="C5937" s="82" t="s">
        <v>8550</v>
      </c>
      <c r="D5937" s="83">
        <f>SUMIFS(D5938:D6462,K5938:K6462,"0",B5938:B6462,"5 1 3 9 8 12 31111 6 M59 30200 000132 0000R 00001 00398 015 2111300*")-SUMIFS(E5938:E6462,K5938:K6462,"0",B5938:B6462,"5 1 3 9 8 12 31111 6 M59 30200 000132 0000R 00001 00398 015 2111300*")</f>
        <v>0</v>
      </c>
      <c r="E5937" s="54"/>
      <c r="F5937" s="83">
        <f>SUMIFS(F5938:F6462,K5938:K6462,"0",B5938:B6462,"5 1 3 9 8 12 31111 6 M59 30200 000132 0000R 00001 00398 015 2111300*")</f>
        <v>3270.02</v>
      </c>
      <c r="G5937" s="83">
        <f>SUMIFS(G5938:G6462,K5938:K6462,"0",B5938:B6462,"5 1 3 9 8 12 31111 6 M59 30200 000132 0000R 00001 00398 015 2111300*")</f>
        <v>0</v>
      </c>
      <c r="H5937" s="83">
        <f t="shared" si="93"/>
        <v>3270.02</v>
      </c>
      <c r="I5937" s="83"/>
      <c r="K5937" s="54" t="s">
        <v>15</v>
      </c>
    </row>
    <row r="5938" spans="2:11" ht="33" x14ac:dyDescent="0.2">
      <c r="B5938" s="82" t="s">
        <v>9482</v>
      </c>
      <c r="C5938" s="82" t="s">
        <v>660</v>
      </c>
      <c r="D5938" s="83">
        <f>SUMIFS(D5939:D6462,K5939:K6462,"0",B5939:B6462,"5 1 3 9 8 12 31111 6 M59 30200 000132 0000R 00001 00398 015 2111300 2024*")-SUMIFS(E5939:E6462,K5939:K6462,"0",B5939:B6462,"5 1 3 9 8 12 31111 6 M59 30200 000132 0000R 00001 00398 015 2111300 2024*")</f>
        <v>0</v>
      </c>
      <c r="E5938" s="54"/>
      <c r="F5938" s="83">
        <f>SUMIFS(F5939:F6462,K5939:K6462,"0",B5939:B6462,"5 1 3 9 8 12 31111 6 M59 30200 000132 0000R 00001 00398 015 2111300 2024*")</f>
        <v>3270.02</v>
      </c>
      <c r="G5938" s="83">
        <f>SUMIFS(G5939:G6462,K5939:K6462,"0",B5939:B6462,"5 1 3 9 8 12 31111 6 M59 30200 000132 0000R 00001 00398 015 2111300 2024*")</f>
        <v>0</v>
      </c>
      <c r="H5938" s="83">
        <f t="shared" si="93"/>
        <v>3270.02</v>
      </c>
      <c r="I5938" s="83"/>
      <c r="K5938" s="54" t="s">
        <v>15</v>
      </c>
    </row>
    <row r="5939" spans="2:11" ht="41.25" x14ac:dyDescent="0.2">
      <c r="B5939" s="82" t="s">
        <v>9483</v>
      </c>
      <c r="C5939" s="82" t="s">
        <v>1056</v>
      </c>
      <c r="D5939" s="83">
        <f>SUMIFS(D5940:D6462,K5940:K6462,"0",B5940:B6462,"5 1 3 9 8 12 31111 6 M59 30200 000132 0000R 00001 00398 015 2111300 2024 CP1OT378*")-SUMIFS(E5940:E6462,K5940:K6462,"0",B5940:B6462,"5 1 3 9 8 12 31111 6 M59 30200 000132 0000R 00001 00398 015 2111300 2024 CP1OT378*")</f>
        <v>0</v>
      </c>
      <c r="E5939" s="54"/>
      <c r="F5939" s="83">
        <f>SUMIFS(F5940:F6462,K5940:K6462,"0",B5940:B6462,"5 1 3 9 8 12 31111 6 M59 30200 000132 0000R 00001 00398 015 2111300 2024 CP1OT378*")</f>
        <v>3270.02</v>
      </c>
      <c r="G5939" s="83">
        <f>SUMIFS(G5940:G6462,K5940:K6462,"0",B5940:B6462,"5 1 3 9 8 12 31111 6 M59 30200 000132 0000R 00001 00398 015 2111300 2024 CP1OT378*")</f>
        <v>0</v>
      </c>
      <c r="H5939" s="83">
        <f t="shared" si="93"/>
        <v>3270.02</v>
      </c>
      <c r="I5939" s="83"/>
      <c r="K5939" s="54" t="s">
        <v>15</v>
      </c>
    </row>
    <row r="5940" spans="2:11" ht="41.25" x14ac:dyDescent="0.2">
      <c r="B5940" s="82" t="s">
        <v>9484</v>
      </c>
      <c r="C5940" s="82" t="s">
        <v>282</v>
      </c>
      <c r="D5940" s="83">
        <f>SUMIFS(D5941:D6462,K5941:K6462,"0",B5941:B6462,"5 1 3 9 8 12 31111 6 M59 30200 000132 0000R 00001 00398 015 2111300 2024 CP1OT378 001*")-SUMIFS(E5941:E6462,K5941:K6462,"0",B5941:B6462,"5 1 3 9 8 12 31111 6 M59 30200 000132 0000R 00001 00398 015 2111300 2024 CP1OT378 001*")</f>
        <v>0</v>
      </c>
      <c r="E5940" s="54"/>
      <c r="F5940" s="83">
        <f>SUMIFS(F5941:F6462,K5941:K6462,"0",B5941:B6462,"5 1 3 9 8 12 31111 6 M59 30200 000132 0000R 00001 00398 015 2111300 2024 CP1OT378 001*")</f>
        <v>3270.02</v>
      </c>
      <c r="G5940" s="83">
        <f>SUMIFS(G5941:G6462,K5941:K6462,"0",B5941:B6462,"5 1 3 9 8 12 31111 6 M59 30200 000132 0000R 00001 00398 015 2111300 2024 CP1OT378 001*")</f>
        <v>0</v>
      </c>
      <c r="H5940" s="83">
        <f t="shared" si="93"/>
        <v>3270.02</v>
      </c>
      <c r="I5940" s="83"/>
      <c r="K5940" s="54" t="s">
        <v>15</v>
      </c>
    </row>
    <row r="5941" spans="2:11" ht="41.25" x14ac:dyDescent="0.2">
      <c r="B5941" s="84" t="s">
        <v>9485</v>
      </c>
      <c r="C5941" s="84" t="s">
        <v>9254</v>
      </c>
      <c r="D5941" s="85">
        <v>0</v>
      </c>
      <c r="E5941" s="85"/>
      <c r="F5941" s="85">
        <v>3270.02</v>
      </c>
      <c r="G5941" s="85">
        <v>0</v>
      </c>
      <c r="H5941" s="85">
        <f t="shared" si="93"/>
        <v>3270.02</v>
      </c>
      <c r="I5941" s="85"/>
      <c r="K5941" s="54" t="s">
        <v>38</v>
      </c>
    </row>
    <row r="5942" spans="2:11" ht="16.5" x14ac:dyDescent="0.2">
      <c r="B5942" s="82" t="s">
        <v>9497</v>
      </c>
      <c r="C5942" s="82" t="s">
        <v>3281</v>
      </c>
      <c r="D5942" s="83">
        <f>SUMIFS(D5943:D6462,K5943:K6462,"0",B5943:B6462,"5 1 3 9 8 12 31111 6 M59 50000*")-SUMIFS(E5943:E6462,K5943:K6462,"0",B5943:B6462,"5 1 3 9 8 12 31111 6 M59 50000*")</f>
        <v>0</v>
      </c>
      <c r="E5942" s="54"/>
      <c r="F5942" s="83">
        <f>SUMIFS(F5943:F6462,K5943:K6462,"0",B5943:B6462,"5 1 3 9 8 12 31111 6 M59 50000*")</f>
        <v>75271.45</v>
      </c>
      <c r="G5942" s="83">
        <f>SUMIFS(G5943:G6462,K5943:K6462,"0",B5943:B6462,"5 1 3 9 8 12 31111 6 M59 50000*")</f>
        <v>0</v>
      </c>
      <c r="H5942" s="83">
        <f t="shared" si="93"/>
        <v>75271.45</v>
      </c>
      <c r="I5942" s="83"/>
      <c r="K5942" s="54" t="s">
        <v>15</v>
      </c>
    </row>
    <row r="5943" spans="2:11" ht="16.5" x14ac:dyDescent="0.2">
      <c r="B5943" s="82" t="s">
        <v>9498</v>
      </c>
      <c r="C5943" s="82" t="s">
        <v>3283</v>
      </c>
      <c r="D5943" s="83">
        <f>SUMIFS(D5944:D6462,K5944:K6462,"0",B5944:B6462,"5 1 3 9 8 12 31111 6 M59 50000 000223*")-SUMIFS(E5944:E6462,K5944:K6462,"0",B5944:B6462,"5 1 3 9 8 12 31111 6 M59 50000 000223*")</f>
        <v>0</v>
      </c>
      <c r="E5943" s="54"/>
      <c r="F5943" s="83">
        <f>SUMIFS(F5944:F6462,K5944:K6462,"0",B5944:B6462,"5 1 3 9 8 12 31111 6 M59 50000 000223*")</f>
        <v>75271.45</v>
      </c>
      <c r="G5943" s="83">
        <f>SUMIFS(G5944:G6462,K5944:K6462,"0",B5944:B6462,"5 1 3 9 8 12 31111 6 M59 50000 000223*")</f>
        <v>0</v>
      </c>
      <c r="H5943" s="83">
        <f t="shared" si="93"/>
        <v>75271.45</v>
      </c>
      <c r="I5943" s="83"/>
      <c r="K5943" s="54" t="s">
        <v>15</v>
      </c>
    </row>
    <row r="5944" spans="2:11" ht="24.75" x14ac:dyDescent="0.2">
      <c r="B5944" s="82" t="s">
        <v>9499</v>
      </c>
      <c r="C5944" s="82" t="s">
        <v>1065</v>
      </c>
      <c r="D5944" s="83">
        <f>SUMIFS(D5945:D6462,K5945:K6462,"0",B5945:B6462,"5 1 3 9 8 12 31111 6 M59 50000 000223 0000E*")-SUMIFS(E5945:E6462,K5945:K6462,"0",B5945:B6462,"5 1 3 9 8 12 31111 6 M59 50000 000223 0000E*")</f>
        <v>0</v>
      </c>
      <c r="E5944" s="54"/>
      <c r="F5944" s="83">
        <f>SUMIFS(F5945:F6462,K5945:K6462,"0",B5945:B6462,"5 1 3 9 8 12 31111 6 M59 50000 000223 0000E*")</f>
        <v>75271.45</v>
      </c>
      <c r="G5944" s="83">
        <f>SUMIFS(G5945:G6462,K5945:K6462,"0",B5945:B6462,"5 1 3 9 8 12 31111 6 M59 50000 000223 0000E*")</f>
        <v>0</v>
      </c>
      <c r="H5944" s="83">
        <f t="shared" si="93"/>
        <v>75271.45</v>
      </c>
      <c r="I5944" s="83"/>
      <c r="K5944" s="54" t="s">
        <v>15</v>
      </c>
    </row>
    <row r="5945" spans="2:11" ht="24.75" x14ac:dyDescent="0.2">
      <c r="B5945" s="82" t="s">
        <v>9500</v>
      </c>
      <c r="C5945" s="82" t="s">
        <v>282</v>
      </c>
      <c r="D5945" s="83">
        <f>SUMIFS(D5946:D6462,K5946:K6462,"0",B5946:B6462,"5 1 3 9 8 12 31111 6 M59 50000 000223 0000E 00001*")-SUMIFS(E5946:E6462,K5946:K6462,"0",B5946:B6462,"5 1 3 9 8 12 31111 6 M59 50000 000223 0000E 00001*")</f>
        <v>0</v>
      </c>
      <c r="E5945" s="54"/>
      <c r="F5945" s="83">
        <f>SUMIFS(F5946:F6462,K5946:K6462,"0",B5946:B6462,"5 1 3 9 8 12 31111 6 M59 50000 000223 0000E 00001*")</f>
        <v>75271.45</v>
      </c>
      <c r="G5945" s="83">
        <f>SUMIFS(G5946:G6462,K5946:K6462,"0",B5946:B6462,"5 1 3 9 8 12 31111 6 M59 50000 000223 0000E 00001*")</f>
        <v>0</v>
      </c>
      <c r="H5945" s="83">
        <f t="shared" si="93"/>
        <v>75271.45</v>
      </c>
      <c r="I5945" s="83"/>
      <c r="K5945" s="54" t="s">
        <v>15</v>
      </c>
    </row>
    <row r="5946" spans="2:11" ht="24.75" x14ac:dyDescent="0.2">
      <c r="B5946" s="82" t="s">
        <v>9501</v>
      </c>
      <c r="C5946" s="82" t="s">
        <v>9247</v>
      </c>
      <c r="D5946" s="83">
        <f>SUMIFS(D5947:D6462,K5947:K6462,"0",B5947:B6462,"5 1 3 9 8 12 31111 6 M59 50000 000223 0000E 00001 00398*")-SUMIFS(E5947:E6462,K5947:K6462,"0",B5947:B6462,"5 1 3 9 8 12 31111 6 M59 50000 000223 0000E 00001 00398*")</f>
        <v>0</v>
      </c>
      <c r="E5946" s="54"/>
      <c r="F5946" s="83">
        <f>SUMIFS(F5947:F6462,K5947:K6462,"0",B5947:B6462,"5 1 3 9 8 12 31111 6 M59 50000 000223 0000E 00001 00398*")</f>
        <v>75271.45</v>
      </c>
      <c r="G5946" s="83">
        <f>SUMIFS(G5947:G6462,K5947:K6462,"0",B5947:B6462,"5 1 3 9 8 12 31111 6 M59 50000 000223 0000E 00001 00398*")</f>
        <v>0</v>
      </c>
      <c r="H5946" s="83">
        <f t="shared" si="93"/>
        <v>75271.45</v>
      </c>
      <c r="I5946" s="83"/>
      <c r="K5946" s="54" t="s">
        <v>15</v>
      </c>
    </row>
    <row r="5947" spans="2:11" ht="33" x14ac:dyDescent="0.2">
      <c r="B5947" s="82" t="s">
        <v>9502</v>
      </c>
      <c r="C5947" s="82" t="s">
        <v>1051</v>
      </c>
      <c r="D5947" s="83">
        <f>SUMIFS(D5948:D6462,K5948:K6462,"0",B5948:B6462,"5 1 3 9 8 12 31111 6 M59 50000 000223 0000E 00001 00398 015*")-SUMIFS(E5948:E6462,K5948:K6462,"0",B5948:B6462,"5 1 3 9 8 12 31111 6 M59 50000 000223 0000E 00001 00398 015*")</f>
        <v>0</v>
      </c>
      <c r="E5947" s="54"/>
      <c r="F5947" s="83">
        <f>SUMIFS(F5948:F6462,K5948:K6462,"0",B5948:B6462,"5 1 3 9 8 12 31111 6 M59 50000 000223 0000E 00001 00398 015*")</f>
        <v>75271.45</v>
      </c>
      <c r="G5947" s="83">
        <f>SUMIFS(G5948:G6462,K5948:K6462,"0",B5948:B6462,"5 1 3 9 8 12 31111 6 M59 50000 000223 0000E 00001 00398 015*")</f>
        <v>0</v>
      </c>
      <c r="H5947" s="83">
        <f t="shared" si="93"/>
        <v>75271.45</v>
      </c>
      <c r="I5947" s="83"/>
      <c r="K5947" s="54" t="s">
        <v>15</v>
      </c>
    </row>
    <row r="5948" spans="2:11" ht="33" x14ac:dyDescent="0.2">
      <c r="B5948" s="82" t="s">
        <v>9503</v>
      </c>
      <c r="C5948" s="82" t="s">
        <v>8550</v>
      </c>
      <c r="D5948" s="83">
        <f>SUMIFS(D5949:D6462,K5949:K6462,"0",B5949:B6462,"5 1 3 9 8 12 31111 6 M59 50000 000223 0000E 00001 00398 015 2111300*")-SUMIFS(E5949:E6462,K5949:K6462,"0",B5949:B6462,"5 1 3 9 8 12 31111 6 M59 50000 000223 0000E 00001 00398 015 2111300*")</f>
        <v>0</v>
      </c>
      <c r="E5948" s="54"/>
      <c r="F5948" s="83">
        <f>SUMIFS(F5949:F6462,K5949:K6462,"0",B5949:B6462,"5 1 3 9 8 12 31111 6 M59 50000 000223 0000E 00001 00398 015 2111300*")</f>
        <v>75271.45</v>
      </c>
      <c r="G5948" s="83">
        <f>SUMIFS(G5949:G6462,K5949:K6462,"0",B5949:B6462,"5 1 3 9 8 12 31111 6 M59 50000 000223 0000E 00001 00398 015 2111300*")</f>
        <v>0</v>
      </c>
      <c r="H5948" s="83">
        <f t="shared" si="93"/>
        <v>75271.45</v>
      </c>
      <c r="I5948" s="83"/>
      <c r="K5948" s="54" t="s">
        <v>15</v>
      </c>
    </row>
    <row r="5949" spans="2:11" ht="33" x14ac:dyDescent="0.2">
      <c r="B5949" s="82" t="s">
        <v>9504</v>
      </c>
      <c r="C5949" s="82" t="s">
        <v>660</v>
      </c>
      <c r="D5949" s="83">
        <f>SUMIFS(D5950:D6462,K5950:K6462,"0",B5950:B6462,"5 1 3 9 8 12 31111 6 M59 50000 000223 0000E 00001 00398 015 2111300 2024*")-SUMIFS(E5950:E6462,K5950:K6462,"0",B5950:B6462,"5 1 3 9 8 12 31111 6 M59 50000 000223 0000E 00001 00398 015 2111300 2024*")</f>
        <v>0</v>
      </c>
      <c r="E5949" s="54"/>
      <c r="F5949" s="83">
        <f>SUMIFS(F5950:F6462,K5950:K6462,"0",B5950:B6462,"5 1 3 9 8 12 31111 6 M59 50000 000223 0000E 00001 00398 015 2111300 2024*")</f>
        <v>75271.45</v>
      </c>
      <c r="G5949" s="83">
        <f>SUMIFS(G5950:G6462,K5950:K6462,"0",B5950:B6462,"5 1 3 9 8 12 31111 6 M59 50000 000223 0000E 00001 00398 015 2111300 2024*")</f>
        <v>0</v>
      </c>
      <c r="H5949" s="83">
        <f t="shared" si="93"/>
        <v>75271.45</v>
      </c>
      <c r="I5949" s="83"/>
      <c r="K5949" s="54" t="s">
        <v>15</v>
      </c>
    </row>
    <row r="5950" spans="2:11" ht="41.25" x14ac:dyDescent="0.2">
      <c r="B5950" s="82" t="s">
        <v>9505</v>
      </c>
      <c r="C5950" s="82" t="s">
        <v>662</v>
      </c>
      <c r="D5950" s="83">
        <f>SUMIFS(D5951:D6462,K5951:K6462,"0",B5951:B6462,"5 1 3 9 8 12 31111 6 M59 50000 000223 0000E 00001 00398 015 2111300 2024 CP1DA424*")-SUMIFS(E5951:E6462,K5951:K6462,"0",B5951:B6462,"5 1 3 9 8 12 31111 6 M59 50000 000223 0000E 00001 00398 015 2111300 2024 CP1DA424*")</f>
        <v>0</v>
      </c>
      <c r="E5950" s="54"/>
      <c r="F5950" s="83">
        <f>SUMIFS(F5951:F6462,K5951:K6462,"0",B5951:B6462,"5 1 3 9 8 12 31111 6 M59 50000 000223 0000E 00001 00398 015 2111300 2024 CP1DA424*")</f>
        <v>75271.45</v>
      </c>
      <c r="G5950" s="83">
        <f>SUMIFS(G5951:G6462,K5951:K6462,"0",B5951:B6462,"5 1 3 9 8 12 31111 6 M59 50000 000223 0000E 00001 00398 015 2111300 2024 CP1DA424*")</f>
        <v>0</v>
      </c>
      <c r="H5950" s="83">
        <f t="shared" si="93"/>
        <v>75271.45</v>
      </c>
      <c r="I5950" s="83"/>
      <c r="K5950" s="54" t="s">
        <v>15</v>
      </c>
    </row>
    <row r="5951" spans="2:11" ht="41.25" x14ac:dyDescent="0.2">
      <c r="B5951" s="82" t="s">
        <v>9506</v>
      </c>
      <c r="C5951" s="82" t="s">
        <v>282</v>
      </c>
      <c r="D5951" s="83">
        <f>SUMIFS(D5952:D6462,K5952:K6462,"0",B5952:B6462,"5 1 3 9 8 12 31111 6 M59 50000 000223 0000E 00001 00398 015 2111300 2024 CP1DA424 001*")-SUMIFS(E5952:E6462,K5952:K6462,"0",B5952:B6462,"5 1 3 9 8 12 31111 6 M59 50000 000223 0000E 00001 00398 015 2111300 2024 CP1DA424 001*")</f>
        <v>0</v>
      </c>
      <c r="E5951" s="54"/>
      <c r="F5951" s="83">
        <f>SUMIFS(F5952:F6462,K5952:K6462,"0",B5952:B6462,"5 1 3 9 8 12 31111 6 M59 50000 000223 0000E 00001 00398 015 2111300 2024 CP1DA424 001*")</f>
        <v>75271.45</v>
      </c>
      <c r="G5951" s="83">
        <f>SUMIFS(G5952:G6462,K5952:K6462,"0",B5952:B6462,"5 1 3 9 8 12 31111 6 M59 50000 000223 0000E 00001 00398 015 2111300 2024 CP1DA424 001*")</f>
        <v>0</v>
      </c>
      <c r="H5951" s="83">
        <f t="shared" si="93"/>
        <v>75271.45</v>
      </c>
      <c r="I5951" s="83"/>
      <c r="K5951" s="54" t="s">
        <v>15</v>
      </c>
    </row>
    <row r="5952" spans="2:11" ht="41.25" x14ac:dyDescent="0.2">
      <c r="B5952" s="84" t="s">
        <v>9507</v>
      </c>
      <c r="C5952" s="84" t="s">
        <v>9254</v>
      </c>
      <c r="D5952" s="85">
        <v>0</v>
      </c>
      <c r="E5952" s="85"/>
      <c r="F5952" s="85">
        <v>75271.45</v>
      </c>
      <c r="G5952" s="85">
        <v>0</v>
      </c>
      <c r="H5952" s="85">
        <f t="shared" si="93"/>
        <v>75271.45</v>
      </c>
      <c r="I5952" s="85"/>
      <c r="K5952" s="54" t="s">
        <v>38</v>
      </c>
    </row>
    <row r="5953" spans="2:11" ht="16.5" x14ac:dyDescent="0.2">
      <c r="B5953" s="82" t="s">
        <v>9508</v>
      </c>
      <c r="C5953" s="82" t="s">
        <v>3294</v>
      </c>
      <c r="D5953" s="83">
        <f>SUMIFS(D5954:D6462,K5954:K6462,"0",B5954:B6462,"5 1 3 9 8 12 31111 6 M59 50100*")-SUMIFS(E5954:E6462,K5954:K6462,"0",B5954:B6462,"5 1 3 9 8 12 31111 6 M59 50100*")</f>
        <v>0</v>
      </c>
      <c r="E5953" s="54"/>
      <c r="F5953" s="83">
        <f>SUMIFS(F5954:F6462,K5954:K6462,"0",B5954:B6462,"5 1 3 9 8 12 31111 6 M59 50100*")</f>
        <v>2512.34</v>
      </c>
      <c r="G5953" s="83">
        <f>SUMIFS(G5954:G6462,K5954:K6462,"0",B5954:B6462,"5 1 3 9 8 12 31111 6 M59 50100*")</f>
        <v>0</v>
      </c>
      <c r="H5953" s="83">
        <f t="shared" si="93"/>
        <v>2512.34</v>
      </c>
      <c r="I5953" s="83"/>
      <c r="K5953" s="54" t="s">
        <v>15</v>
      </c>
    </row>
    <row r="5954" spans="2:11" ht="16.5" x14ac:dyDescent="0.2">
      <c r="B5954" s="82" t="s">
        <v>9509</v>
      </c>
      <c r="C5954" s="82" t="s">
        <v>648</v>
      </c>
      <c r="D5954" s="83">
        <f>SUMIFS(D5955:D6462,K5955:K6462,"0",B5955:B6462,"5 1 3 9 8 12 31111 6 M59 50100 000132*")-SUMIFS(E5955:E6462,K5955:K6462,"0",B5955:B6462,"5 1 3 9 8 12 31111 6 M59 50100 000132*")</f>
        <v>0</v>
      </c>
      <c r="E5954" s="54"/>
      <c r="F5954" s="83">
        <f>SUMIFS(F5955:F6462,K5955:K6462,"0",B5955:B6462,"5 1 3 9 8 12 31111 6 M59 50100 000132*")</f>
        <v>2512.34</v>
      </c>
      <c r="G5954" s="83">
        <f>SUMIFS(G5955:G6462,K5955:K6462,"0",B5955:B6462,"5 1 3 9 8 12 31111 6 M59 50100 000132*")</f>
        <v>0</v>
      </c>
      <c r="H5954" s="83">
        <f t="shared" si="93"/>
        <v>2512.34</v>
      </c>
      <c r="I5954" s="83"/>
      <c r="K5954" s="54" t="s">
        <v>15</v>
      </c>
    </row>
    <row r="5955" spans="2:11" ht="24.75" x14ac:dyDescent="0.2">
      <c r="B5955" s="82" t="s">
        <v>9510</v>
      </c>
      <c r="C5955" s="82" t="s">
        <v>650</v>
      </c>
      <c r="D5955" s="83">
        <f>SUMIFS(D5956:D6462,K5956:K6462,"0",B5956:B6462,"5 1 3 9 8 12 31111 6 M59 50100 000132 0000R*")-SUMIFS(E5956:E6462,K5956:K6462,"0",B5956:B6462,"5 1 3 9 8 12 31111 6 M59 50100 000132 0000R*")</f>
        <v>0</v>
      </c>
      <c r="E5955" s="54"/>
      <c r="F5955" s="83">
        <f>SUMIFS(F5956:F6462,K5956:K6462,"0",B5956:B6462,"5 1 3 9 8 12 31111 6 M59 50100 000132 0000R*")</f>
        <v>2512.34</v>
      </c>
      <c r="G5955" s="83">
        <f>SUMIFS(G5956:G6462,K5956:K6462,"0",B5956:B6462,"5 1 3 9 8 12 31111 6 M59 50100 000132 0000R*")</f>
        <v>0</v>
      </c>
      <c r="H5955" s="83">
        <f t="shared" si="93"/>
        <v>2512.34</v>
      </c>
      <c r="I5955" s="83"/>
      <c r="K5955" s="54" t="s">
        <v>15</v>
      </c>
    </row>
    <row r="5956" spans="2:11" ht="24.75" x14ac:dyDescent="0.2">
      <c r="B5956" s="82" t="s">
        <v>9511</v>
      </c>
      <c r="C5956" s="82" t="s">
        <v>282</v>
      </c>
      <c r="D5956" s="83">
        <f>SUMIFS(D5957:D6462,K5957:K6462,"0",B5957:B6462,"5 1 3 9 8 12 31111 6 M59 50100 000132 0000R 00001*")-SUMIFS(E5957:E6462,K5957:K6462,"0",B5957:B6462,"5 1 3 9 8 12 31111 6 M59 50100 000132 0000R 00001*")</f>
        <v>0</v>
      </c>
      <c r="E5956" s="54"/>
      <c r="F5956" s="83">
        <f>SUMIFS(F5957:F6462,K5957:K6462,"0",B5957:B6462,"5 1 3 9 8 12 31111 6 M59 50100 000132 0000R 00001*")</f>
        <v>2512.34</v>
      </c>
      <c r="G5956" s="83">
        <f>SUMIFS(G5957:G6462,K5957:K6462,"0",B5957:B6462,"5 1 3 9 8 12 31111 6 M59 50100 000132 0000R 00001*")</f>
        <v>0</v>
      </c>
      <c r="H5956" s="83">
        <f t="shared" si="93"/>
        <v>2512.34</v>
      </c>
      <c r="I5956" s="83"/>
      <c r="K5956" s="54" t="s">
        <v>15</v>
      </c>
    </row>
    <row r="5957" spans="2:11" ht="24.75" x14ac:dyDescent="0.2">
      <c r="B5957" s="82" t="s">
        <v>9512</v>
      </c>
      <c r="C5957" s="82" t="s">
        <v>9247</v>
      </c>
      <c r="D5957" s="83">
        <f>SUMIFS(D5958:D6462,K5958:K6462,"0",B5958:B6462,"5 1 3 9 8 12 31111 6 M59 50100 000132 0000R 00001 00398*")-SUMIFS(E5958:E6462,K5958:K6462,"0",B5958:B6462,"5 1 3 9 8 12 31111 6 M59 50100 000132 0000R 00001 00398*")</f>
        <v>0</v>
      </c>
      <c r="E5957" s="54"/>
      <c r="F5957" s="83">
        <f>SUMIFS(F5958:F6462,K5958:K6462,"0",B5958:B6462,"5 1 3 9 8 12 31111 6 M59 50100 000132 0000R 00001 00398*")</f>
        <v>2512.34</v>
      </c>
      <c r="G5957" s="83">
        <f>SUMIFS(G5958:G6462,K5958:K6462,"0",B5958:B6462,"5 1 3 9 8 12 31111 6 M59 50100 000132 0000R 00001 00398*")</f>
        <v>0</v>
      </c>
      <c r="H5957" s="83">
        <f t="shared" si="93"/>
        <v>2512.34</v>
      </c>
      <c r="I5957" s="83"/>
      <c r="K5957" s="54" t="s">
        <v>15</v>
      </c>
    </row>
    <row r="5958" spans="2:11" ht="33" x14ac:dyDescent="0.2">
      <c r="B5958" s="82" t="s">
        <v>9513</v>
      </c>
      <c r="C5958" s="82" t="s">
        <v>1051</v>
      </c>
      <c r="D5958" s="83">
        <f>SUMIFS(D5959:D6462,K5959:K6462,"0",B5959:B6462,"5 1 3 9 8 12 31111 6 M59 50100 000132 0000R 00001 00398 015*")-SUMIFS(E5959:E6462,K5959:K6462,"0",B5959:B6462,"5 1 3 9 8 12 31111 6 M59 50100 000132 0000R 00001 00398 015*")</f>
        <v>0</v>
      </c>
      <c r="E5958" s="54"/>
      <c r="F5958" s="83">
        <f>SUMIFS(F5959:F6462,K5959:K6462,"0",B5959:B6462,"5 1 3 9 8 12 31111 6 M59 50100 000132 0000R 00001 00398 015*")</f>
        <v>2512.34</v>
      </c>
      <c r="G5958" s="83">
        <f>SUMIFS(G5959:G6462,K5959:K6462,"0",B5959:B6462,"5 1 3 9 8 12 31111 6 M59 50100 000132 0000R 00001 00398 015*")</f>
        <v>0</v>
      </c>
      <c r="H5958" s="83">
        <f t="shared" si="93"/>
        <v>2512.34</v>
      </c>
      <c r="I5958" s="83"/>
      <c r="K5958" s="54" t="s">
        <v>15</v>
      </c>
    </row>
    <row r="5959" spans="2:11" ht="33" x14ac:dyDescent="0.2">
      <c r="B5959" s="82" t="s">
        <v>9514</v>
      </c>
      <c r="C5959" s="82" t="s">
        <v>8550</v>
      </c>
      <c r="D5959" s="83">
        <f>SUMIFS(D5960:D6462,K5960:K6462,"0",B5960:B6462,"5 1 3 9 8 12 31111 6 M59 50100 000132 0000R 00001 00398 015 2111300*")-SUMIFS(E5960:E6462,K5960:K6462,"0",B5960:B6462,"5 1 3 9 8 12 31111 6 M59 50100 000132 0000R 00001 00398 015 2111300*")</f>
        <v>0</v>
      </c>
      <c r="E5959" s="54"/>
      <c r="F5959" s="83">
        <f>SUMIFS(F5960:F6462,K5960:K6462,"0",B5960:B6462,"5 1 3 9 8 12 31111 6 M59 50100 000132 0000R 00001 00398 015 2111300*")</f>
        <v>2512.34</v>
      </c>
      <c r="G5959" s="83">
        <f>SUMIFS(G5960:G6462,K5960:K6462,"0",B5960:B6462,"5 1 3 9 8 12 31111 6 M59 50100 000132 0000R 00001 00398 015 2111300*")</f>
        <v>0</v>
      </c>
      <c r="H5959" s="83">
        <f t="shared" si="93"/>
        <v>2512.34</v>
      </c>
      <c r="I5959" s="83"/>
      <c r="K5959" s="54" t="s">
        <v>15</v>
      </c>
    </row>
    <row r="5960" spans="2:11" ht="33" x14ac:dyDescent="0.2">
      <c r="B5960" s="82" t="s">
        <v>9515</v>
      </c>
      <c r="C5960" s="82" t="s">
        <v>660</v>
      </c>
      <c r="D5960" s="83">
        <f>SUMIFS(D5961:D6462,K5961:K6462,"0",B5961:B6462,"5 1 3 9 8 12 31111 6 M59 50100 000132 0000R 00001 00398 015 2111300 2024*")-SUMIFS(E5961:E6462,K5961:K6462,"0",B5961:B6462,"5 1 3 9 8 12 31111 6 M59 50100 000132 0000R 00001 00398 015 2111300 2024*")</f>
        <v>0</v>
      </c>
      <c r="E5960" s="54"/>
      <c r="F5960" s="83">
        <f>SUMIFS(F5961:F6462,K5961:K6462,"0",B5961:B6462,"5 1 3 9 8 12 31111 6 M59 50100 000132 0000R 00001 00398 015 2111300 2024*")</f>
        <v>2512.34</v>
      </c>
      <c r="G5960" s="83">
        <f>SUMIFS(G5961:G6462,K5961:K6462,"0",B5961:B6462,"5 1 3 9 8 12 31111 6 M59 50100 000132 0000R 00001 00398 015 2111300 2024*")</f>
        <v>0</v>
      </c>
      <c r="H5960" s="83">
        <f t="shared" si="93"/>
        <v>2512.34</v>
      </c>
      <c r="I5960" s="83"/>
      <c r="K5960" s="54" t="s">
        <v>15</v>
      </c>
    </row>
    <row r="5961" spans="2:11" ht="41.25" x14ac:dyDescent="0.2">
      <c r="B5961" s="82" t="s">
        <v>9516</v>
      </c>
      <c r="C5961" s="82" t="s">
        <v>1056</v>
      </c>
      <c r="D5961" s="83">
        <f>SUMIFS(D5962:D6462,K5962:K6462,"0",B5962:B6462,"5 1 3 9 8 12 31111 6 M59 50100 000132 0000R 00001 00398 015 2111300 2024 CP1AG431*")-SUMIFS(E5962:E6462,K5962:K6462,"0",B5962:B6462,"5 1 3 9 8 12 31111 6 M59 50100 000132 0000R 00001 00398 015 2111300 2024 CP1AG431*")</f>
        <v>0</v>
      </c>
      <c r="E5961" s="54"/>
      <c r="F5961" s="83">
        <f>SUMIFS(F5962:F6462,K5962:K6462,"0",B5962:B6462,"5 1 3 9 8 12 31111 6 M59 50100 000132 0000R 00001 00398 015 2111300 2024 CP1AG431*")</f>
        <v>2512.34</v>
      </c>
      <c r="G5961" s="83">
        <f>SUMIFS(G5962:G6462,K5962:K6462,"0",B5962:B6462,"5 1 3 9 8 12 31111 6 M59 50100 000132 0000R 00001 00398 015 2111300 2024 CP1AG431*")</f>
        <v>0</v>
      </c>
      <c r="H5961" s="83">
        <f t="shared" si="93"/>
        <v>2512.34</v>
      </c>
      <c r="I5961" s="83"/>
      <c r="K5961" s="54" t="s">
        <v>15</v>
      </c>
    </row>
    <row r="5962" spans="2:11" ht="41.25" x14ac:dyDescent="0.2">
      <c r="B5962" s="82" t="s">
        <v>9517</v>
      </c>
      <c r="C5962" s="82" t="s">
        <v>282</v>
      </c>
      <c r="D5962" s="83">
        <f>SUMIFS(D5963:D6462,K5963:K6462,"0",B5963:B6462,"5 1 3 9 8 12 31111 6 M59 50100 000132 0000R 00001 00398 015 2111300 2024 CP1AG431 001*")-SUMIFS(E5963:E6462,K5963:K6462,"0",B5963:B6462,"5 1 3 9 8 12 31111 6 M59 50100 000132 0000R 00001 00398 015 2111300 2024 CP1AG431 001*")</f>
        <v>0</v>
      </c>
      <c r="E5962" s="54"/>
      <c r="F5962" s="83">
        <f>SUMIFS(F5963:F6462,K5963:K6462,"0",B5963:B6462,"5 1 3 9 8 12 31111 6 M59 50100 000132 0000R 00001 00398 015 2111300 2024 CP1AG431 001*")</f>
        <v>2512.34</v>
      </c>
      <c r="G5962" s="83">
        <f>SUMIFS(G5963:G6462,K5963:K6462,"0",B5963:B6462,"5 1 3 9 8 12 31111 6 M59 50100 000132 0000R 00001 00398 015 2111300 2024 CP1AG431 001*")</f>
        <v>0</v>
      </c>
      <c r="H5962" s="83">
        <f t="shared" si="93"/>
        <v>2512.34</v>
      </c>
      <c r="I5962" s="83"/>
      <c r="K5962" s="54" t="s">
        <v>15</v>
      </c>
    </row>
    <row r="5963" spans="2:11" ht="33" x14ac:dyDescent="0.2">
      <c r="B5963" s="84" t="s">
        <v>9518</v>
      </c>
      <c r="C5963" s="84" t="s">
        <v>9254</v>
      </c>
      <c r="D5963" s="85">
        <v>0</v>
      </c>
      <c r="E5963" s="85"/>
      <c r="F5963" s="85">
        <v>2512.34</v>
      </c>
      <c r="G5963" s="85">
        <v>0</v>
      </c>
      <c r="H5963" s="85">
        <f t="shared" si="93"/>
        <v>2512.34</v>
      </c>
      <c r="I5963" s="85"/>
      <c r="K5963" s="54" t="s">
        <v>38</v>
      </c>
    </row>
    <row r="5964" spans="2:11" ht="16.5" x14ac:dyDescent="0.2">
      <c r="B5964" s="82" t="s">
        <v>9519</v>
      </c>
      <c r="C5964" s="82" t="s">
        <v>1269</v>
      </c>
      <c r="D5964" s="83">
        <f>SUMIFS(D5965:D6462,K5965:K6462,"0",B5965:B6462,"5 1 3 9 8 12 31111 6 M59 60100*")-SUMIFS(E5965:E6462,K5965:K6462,"0",B5965:B6462,"5 1 3 9 8 12 31111 6 M59 60100*")</f>
        <v>0</v>
      </c>
      <c r="E5964" s="54"/>
      <c r="F5964" s="83">
        <f>SUMIFS(F5965:F6462,K5965:K6462,"0",B5965:B6462,"5 1 3 9 8 12 31111 6 M59 60100*")</f>
        <v>103932.46</v>
      </c>
      <c r="G5964" s="83">
        <f>SUMIFS(G5965:G6462,K5965:K6462,"0",B5965:B6462,"5 1 3 9 8 12 31111 6 M59 60100*")</f>
        <v>0</v>
      </c>
      <c r="H5964" s="83">
        <f t="shared" si="93"/>
        <v>103932.46</v>
      </c>
      <c r="I5964" s="83"/>
      <c r="K5964" s="54" t="s">
        <v>15</v>
      </c>
    </row>
    <row r="5965" spans="2:11" ht="16.5" x14ac:dyDescent="0.2">
      <c r="B5965" s="82" t="s">
        <v>9520</v>
      </c>
      <c r="C5965" s="82" t="s">
        <v>648</v>
      </c>
      <c r="D5965" s="83">
        <f>SUMIFS(D5966:D6462,K5966:K6462,"0",B5966:B6462,"5 1 3 9 8 12 31111 6 M59 60100 000132*")-SUMIFS(E5966:E6462,K5966:K6462,"0",B5966:B6462,"5 1 3 9 8 12 31111 6 M59 60100 000132*")</f>
        <v>0</v>
      </c>
      <c r="E5965" s="54"/>
      <c r="F5965" s="83">
        <f>SUMIFS(F5966:F6462,K5966:K6462,"0",B5966:B6462,"5 1 3 9 8 12 31111 6 M59 60100 000132*")</f>
        <v>103932.46</v>
      </c>
      <c r="G5965" s="83">
        <f>SUMIFS(G5966:G6462,K5966:K6462,"0",B5966:B6462,"5 1 3 9 8 12 31111 6 M59 60100 000132*")</f>
        <v>0</v>
      </c>
      <c r="H5965" s="83">
        <f t="shared" si="93"/>
        <v>103932.46</v>
      </c>
      <c r="I5965" s="83"/>
      <c r="K5965" s="54" t="s">
        <v>15</v>
      </c>
    </row>
    <row r="5966" spans="2:11" ht="24.75" x14ac:dyDescent="0.2">
      <c r="B5966" s="82" t="s">
        <v>9521</v>
      </c>
      <c r="C5966" s="82" t="s">
        <v>650</v>
      </c>
      <c r="D5966" s="83">
        <f>SUMIFS(D5967:D6462,K5967:K6462,"0",B5967:B6462,"5 1 3 9 8 12 31111 6 M59 60100 000132 0000R*")-SUMIFS(E5967:E6462,K5967:K6462,"0",B5967:B6462,"5 1 3 9 8 12 31111 6 M59 60100 000132 0000R*")</f>
        <v>0</v>
      </c>
      <c r="E5966" s="54"/>
      <c r="F5966" s="83">
        <f>SUMIFS(F5967:F6462,K5967:K6462,"0",B5967:B6462,"5 1 3 9 8 12 31111 6 M59 60100 000132 0000R*")</f>
        <v>103932.46</v>
      </c>
      <c r="G5966" s="83">
        <f>SUMIFS(G5967:G6462,K5967:K6462,"0",B5967:B6462,"5 1 3 9 8 12 31111 6 M59 60100 000132 0000R*")</f>
        <v>0</v>
      </c>
      <c r="H5966" s="83">
        <f t="shared" si="93"/>
        <v>103932.46</v>
      </c>
      <c r="I5966" s="83"/>
      <c r="K5966" s="54" t="s">
        <v>15</v>
      </c>
    </row>
    <row r="5967" spans="2:11" ht="24.75" x14ac:dyDescent="0.2">
      <c r="B5967" s="82" t="s">
        <v>9522</v>
      </c>
      <c r="C5967" s="82" t="s">
        <v>282</v>
      </c>
      <c r="D5967" s="83">
        <f>SUMIFS(D5968:D6462,K5968:K6462,"0",B5968:B6462,"5 1 3 9 8 12 31111 6 M59 60100 000132 0000R 00001*")-SUMIFS(E5968:E6462,K5968:K6462,"0",B5968:B6462,"5 1 3 9 8 12 31111 6 M59 60100 000132 0000R 00001*")</f>
        <v>0</v>
      </c>
      <c r="E5967" s="54"/>
      <c r="F5967" s="83">
        <f>SUMIFS(F5968:F6462,K5968:K6462,"0",B5968:B6462,"5 1 3 9 8 12 31111 6 M59 60100 000132 0000R 00001*")</f>
        <v>103932.46</v>
      </c>
      <c r="G5967" s="83">
        <f>SUMIFS(G5968:G6462,K5968:K6462,"0",B5968:B6462,"5 1 3 9 8 12 31111 6 M59 60100 000132 0000R 00001*")</f>
        <v>0</v>
      </c>
      <c r="H5967" s="83">
        <f t="shared" si="93"/>
        <v>103932.46</v>
      </c>
      <c r="I5967" s="83"/>
      <c r="K5967" s="54" t="s">
        <v>15</v>
      </c>
    </row>
    <row r="5968" spans="2:11" ht="24.75" x14ac:dyDescent="0.2">
      <c r="B5968" s="82" t="s">
        <v>9523</v>
      </c>
      <c r="C5968" s="82" t="s">
        <v>9247</v>
      </c>
      <c r="D5968" s="83">
        <f>SUMIFS(D5969:D6462,K5969:K6462,"0",B5969:B6462,"5 1 3 9 8 12 31111 6 M59 60100 000132 0000R 00001 00398*")-SUMIFS(E5969:E6462,K5969:K6462,"0",B5969:B6462,"5 1 3 9 8 12 31111 6 M59 60100 000132 0000R 00001 00398*")</f>
        <v>0</v>
      </c>
      <c r="E5968" s="54"/>
      <c r="F5968" s="83">
        <f>SUMIFS(F5969:F6462,K5969:K6462,"0",B5969:B6462,"5 1 3 9 8 12 31111 6 M59 60100 000132 0000R 00001 00398*")</f>
        <v>103932.46</v>
      </c>
      <c r="G5968" s="83">
        <f>SUMIFS(G5969:G6462,K5969:K6462,"0",B5969:B6462,"5 1 3 9 8 12 31111 6 M59 60100 000132 0000R 00001 00398*")</f>
        <v>0</v>
      </c>
      <c r="H5968" s="83">
        <f t="shared" si="93"/>
        <v>103932.46</v>
      </c>
      <c r="I5968" s="83"/>
      <c r="K5968" s="54" t="s">
        <v>15</v>
      </c>
    </row>
    <row r="5969" spans="2:11" ht="33" x14ac:dyDescent="0.2">
      <c r="B5969" s="82" t="s">
        <v>9524</v>
      </c>
      <c r="C5969" s="82" t="s">
        <v>1051</v>
      </c>
      <c r="D5969" s="83">
        <f>SUMIFS(D5970:D6462,K5970:K6462,"0",B5970:B6462,"5 1 3 9 8 12 31111 6 M59 60100 000132 0000R 00001 00398 015*")-SUMIFS(E5970:E6462,K5970:K6462,"0",B5970:B6462,"5 1 3 9 8 12 31111 6 M59 60100 000132 0000R 00001 00398 015*")</f>
        <v>0</v>
      </c>
      <c r="E5969" s="54"/>
      <c r="F5969" s="83">
        <f>SUMIFS(F5970:F6462,K5970:K6462,"0",B5970:B6462,"5 1 3 9 8 12 31111 6 M59 60100 000132 0000R 00001 00398 015*")</f>
        <v>103932.46</v>
      </c>
      <c r="G5969" s="83">
        <f>SUMIFS(G5970:G6462,K5970:K6462,"0",B5970:B6462,"5 1 3 9 8 12 31111 6 M59 60100 000132 0000R 00001 00398 015*")</f>
        <v>0</v>
      </c>
      <c r="H5969" s="83">
        <f t="shared" si="93"/>
        <v>103932.46</v>
      </c>
      <c r="I5969" s="83"/>
      <c r="K5969" s="54" t="s">
        <v>15</v>
      </c>
    </row>
    <row r="5970" spans="2:11" ht="33" x14ac:dyDescent="0.2">
      <c r="B5970" s="82" t="s">
        <v>9525</v>
      </c>
      <c r="C5970" s="82" t="s">
        <v>8550</v>
      </c>
      <c r="D5970" s="83">
        <f>SUMIFS(D5971:D6462,K5971:K6462,"0",B5971:B6462,"5 1 3 9 8 12 31111 6 M59 60100 000132 0000R 00001 00398 015 2111300*")-SUMIFS(E5971:E6462,K5971:K6462,"0",B5971:B6462,"5 1 3 9 8 12 31111 6 M59 60100 000132 0000R 00001 00398 015 2111300*")</f>
        <v>0</v>
      </c>
      <c r="E5970" s="54"/>
      <c r="F5970" s="83">
        <f>SUMIFS(F5971:F6462,K5971:K6462,"0",B5971:B6462,"5 1 3 9 8 12 31111 6 M59 60100 000132 0000R 00001 00398 015 2111300*")</f>
        <v>103932.46</v>
      </c>
      <c r="G5970" s="83">
        <f>SUMIFS(G5971:G6462,K5971:K6462,"0",B5971:B6462,"5 1 3 9 8 12 31111 6 M59 60100 000132 0000R 00001 00398 015 2111300*")</f>
        <v>0</v>
      </c>
      <c r="H5970" s="83">
        <f t="shared" si="93"/>
        <v>103932.46</v>
      </c>
      <c r="I5970" s="83"/>
      <c r="K5970" s="54" t="s">
        <v>15</v>
      </c>
    </row>
    <row r="5971" spans="2:11" ht="33" x14ac:dyDescent="0.2">
      <c r="B5971" s="82" t="s">
        <v>9526</v>
      </c>
      <c r="C5971" s="82" t="s">
        <v>660</v>
      </c>
      <c r="D5971" s="83">
        <f>SUMIFS(D5972:D6462,K5972:K6462,"0",B5972:B6462,"5 1 3 9 8 12 31111 6 M59 60100 000132 0000R 00001 00398 015 2111300 2024*")-SUMIFS(E5972:E6462,K5972:K6462,"0",B5972:B6462,"5 1 3 9 8 12 31111 6 M59 60100 000132 0000R 00001 00398 015 2111300 2024*")</f>
        <v>0</v>
      </c>
      <c r="E5971" s="54"/>
      <c r="F5971" s="83">
        <f>SUMIFS(F5972:F6462,K5972:K6462,"0",B5972:B6462,"5 1 3 9 8 12 31111 6 M59 60100 000132 0000R 00001 00398 015 2111300 2024*")</f>
        <v>103932.46</v>
      </c>
      <c r="G5971" s="83">
        <f>SUMIFS(G5972:G6462,K5972:K6462,"0",B5972:B6462,"5 1 3 9 8 12 31111 6 M59 60100 000132 0000R 00001 00398 015 2111300 2024*")</f>
        <v>0</v>
      </c>
      <c r="H5971" s="83">
        <f t="shared" si="93"/>
        <v>103932.46</v>
      </c>
      <c r="I5971" s="83"/>
      <c r="K5971" s="54" t="s">
        <v>15</v>
      </c>
    </row>
    <row r="5972" spans="2:11" ht="41.25" x14ac:dyDescent="0.2">
      <c r="B5972" s="82" t="s">
        <v>9527</v>
      </c>
      <c r="C5972" s="82" t="s">
        <v>1056</v>
      </c>
      <c r="D5972" s="83">
        <f>SUMIFS(D5973:D6462,K5973:K6462,"0",B5973:B6462,"5 1 3 9 8 12 31111 6 M59 60100 000132 0000R 00001 00398 015 2111300 2024 CP1DM394*")-SUMIFS(E5973:E6462,K5973:K6462,"0",B5973:B6462,"5 1 3 9 8 12 31111 6 M59 60100 000132 0000R 00001 00398 015 2111300 2024 CP1DM394*")</f>
        <v>0</v>
      </c>
      <c r="E5972" s="54"/>
      <c r="F5972" s="83">
        <f>SUMIFS(F5973:F6462,K5973:K6462,"0",B5973:B6462,"5 1 3 9 8 12 31111 6 M59 60100 000132 0000R 00001 00398 015 2111300 2024 CP1DM394*")</f>
        <v>103932.46</v>
      </c>
      <c r="G5972" s="83">
        <f>SUMIFS(G5973:G6462,K5973:K6462,"0",B5973:B6462,"5 1 3 9 8 12 31111 6 M59 60100 000132 0000R 00001 00398 015 2111300 2024 CP1DM394*")</f>
        <v>0</v>
      </c>
      <c r="H5972" s="83">
        <f t="shared" si="93"/>
        <v>103932.46</v>
      </c>
      <c r="I5972" s="83"/>
      <c r="K5972" s="54" t="s">
        <v>15</v>
      </c>
    </row>
    <row r="5973" spans="2:11" ht="41.25" x14ac:dyDescent="0.2">
      <c r="B5973" s="82" t="s">
        <v>9528</v>
      </c>
      <c r="C5973" s="82" t="s">
        <v>282</v>
      </c>
      <c r="D5973" s="83">
        <f>SUMIFS(D5974:D6462,K5974:K6462,"0",B5974:B6462,"5 1 3 9 8 12 31111 6 M59 60100 000132 0000R 00001 00398 015 2111300 2024 CP1DM394 001*")-SUMIFS(E5974:E6462,K5974:K6462,"0",B5974:B6462,"5 1 3 9 8 12 31111 6 M59 60100 000132 0000R 00001 00398 015 2111300 2024 CP1DM394 001*")</f>
        <v>0</v>
      </c>
      <c r="E5973" s="54"/>
      <c r="F5973" s="83">
        <f>SUMIFS(F5974:F6462,K5974:K6462,"0",B5974:B6462,"5 1 3 9 8 12 31111 6 M59 60100 000132 0000R 00001 00398 015 2111300 2024 CP1DM394 001*")</f>
        <v>103932.46</v>
      </c>
      <c r="G5973" s="83">
        <f>SUMIFS(G5974:G6462,K5974:K6462,"0",B5974:B6462,"5 1 3 9 8 12 31111 6 M59 60100 000132 0000R 00001 00398 015 2111300 2024 CP1DM394 001*")</f>
        <v>0</v>
      </c>
      <c r="H5973" s="83">
        <f t="shared" si="93"/>
        <v>103932.46</v>
      </c>
      <c r="I5973" s="83"/>
      <c r="K5973" s="54" t="s">
        <v>15</v>
      </c>
    </row>
    <row r="5974" spans="2:11" ht="33" x14ac:dyDescent="0.2">
      <c r="B5974" s="84" t="s">
        <v>9529</v>
      </c>
      <c r="C5974" s="84" t="s">
        <v>9254</v>
      </c>
      <c r="D5974" s="85">
        <v>0</v>
      </c>
      <c r="E5974" s="85"/>
      <c r="F5974" s="85">
        <v>103932.46</v>
      </c>
      <c r="G5974" s="85">
        <v>0</v>
      </c>
      <c r="H5974" s="85">
        <f t="shared" si="93"/>
        <v>103932.46</v>
      </c>
      <c r="I5974" s="85"/>
      <c r="K5974" s="54" t="s">
        <v>38</v>
      </c>
    </row>
    <row r="5975" spans="2:11" ht="24.75" x14ac:dyDescent="0.2">
      <c r="B5975" s="82" t="s">
        <v>9530</v>
      </c>
      <c r="C5975" s="82" t="s">
        <v>3317</v>
      </c>
      <c r="D5975" s="83">
        <f>SUMIFS(D5976:D6462,K5976:K6462,"0",B5976:B6462,"5 1 3 9 8 12 31111 6 M59 61000*")-SUMIFS(E5976:E6462,K5976:K6462,"0",B5976:B6462,"5 1 3 9 8 12 31111 6 M59 61000*")</f>
        <v>0</v>
      </c>
      <c r="E5975" s="54"/>
      <c r="F5975" s="83">
        <f>SUMIFS(F5976:F6462,K5976:K6462,"0",B5976:B6462,"5 1 3 9 8 12 31111 6 M59 61000*")</f>
        <v>3036.86</v>
      </c>
      <c r="G5975" s="83">
        <f>SUMIFS(G5976:G6462,K5976:K6462,"0",B5976:B6462,"5 1 3 9 8 12 31111 6 M59 61000*")</f>
        <v>0</v>
      </c>
      <c r="H5975" s="83">
        <f t="shared" si="93"/>
        <v>3036.86</v>
      </c>
      <c r="I5975" s="83"/>
      <c r="K5975" s="54" t="s">
        <v>15</v>
      </c>
    </row>
    <row r="5976" spans="2:11" ht="16.5" x14ac:dyDescent="0.2">
      <c r="B5976" s="82" t="s">
        <v>9531</v>
      </c>
      <c r="C5976" s="82" t="s">
        <v>648</v>
      </c>
      <c r="D5976" s="83">
        <f>SUMIFS(D5977:D6462,K5977:K6462,"0",B5977:B6462,"5 1 3 9 8 12 31111 6 M59 61000 000132*")-SUMIFS(E5977:E6462,K5977:K6462,"0",B5977:B6462,"5 1 3 9 8 12 31111 6 M59 61000 000132*")</f>
        <v>0</v>
      </c>
      <c r="E5976" s="54"/>
      <c r="F5976" s="83">
        <f>SUMIFS(F5977:F6462,K5977:K6462,"0",B5977:B6462,"5 1 3 9 8 12 31111 6 M59 61000 000132*")</f>
        <v>3036.86</v>
      </c>
      <c r="G5976" s="83">
        <f>SUMIFS(G5977:G6462,K5977:K6462,"0",B5977:B6462,"5 1 3 9 8 12 31111 6 M59 61000 000132*")</f>
        <v>0</v>
      </c>
      <c r="H5976" s="83">
        <f t="shared" si="93"/>
        <v>3036.86</v>
      </c>
      <c r="I5976" s="83"/>
      <c r="K5976" s="54" t="s">
        <v>15</v>
      </c>
    </row>
    <row r="5977" spans="2:11" ht="24.75" x14ac:dyDescent="0.2">
      <c r="B5977" s="82" t="s">
        <v>9532</v>
      </c>
      <c r="C5977" s="82" t="s">
        <v>650</v>
      </c>
      <c r="D5977" s="83">
        <f>SUMIFS(D5978:D6462,K5978:K6462,"0",B5978:B6462,"5 1 3 9 8 12 31111 6 M59 61000 000132 0000R*")-SUMIFS(E5978:E6462,K5978:K6462,"0",B5978:B6462,"5 1 3 9 8 12 31111 6 M59 61000 000132 0000R*")</f>
        <v>0</v>
      </c>
      <c r="E5977" s="54"/>
      <c r="F5977" s="83">
        <f>SUMIFS(F5978:F6462,K5978:K6462,"0",B5978:B6462,"5 1 3 9 8 12 31111 6 M59 61000 000132 0000R*")</f>
        <v>3036.86</v>
      </c>
      <c r="G5977" s="83">
        <f>SUMIFS(G5978:G6462,K5978:K6462,"0",B5978:B6462,"5 1 3 9 8 12 31111 6 M59 61000 000132 0000R*")</f>
        <v>0</v>
      </c>
      <c r="H5977" s="83">
        <f t="shared" si="93"/>
        <v>3036.86</v>
      </c>
      <c r="I5977" s="83"/>
      <c r="K5977" s="54" t="s">
        <v>15</v>
      </c>
    </row>
    <row r="5978" spans="2:11" ht="24.75" x14ac:dyDescent="0.2">
      <c r="B5978" s="82" t="s">
        <v>9533</v>
      </c>
      <c r="C5978" s="82" t="s">
        <v>282</v>
      </c>
      <c r="D5978" s="83">
        <f>SUMIFS(D5979:D6462,K5979:K6462,"0",B5979:B6462,"5 1 3 9 8 12 31111 6 M59 61000 000132 0000R 00001*")-SUMIFS(E5979:E6462,K5979:K6462,"0",B5979:B6462,"5 1 3 9 8 12 31111 6 M59 61000 000132 0000R 00001*")</f>
        <v>0</v>
      </c>
      <c r="E5978" s="54"/>
      <c r="F5978" s="83">
        <f>SUMIFS(F5979:F6462,K5979:K6462,"0",B5979:B6462,"5 1 3 9 8 12 31111 6 M59 61000 000132 0000R 00001*")</f>
        <v>3036.86</v>
      </c>
      <c r="G5978" s="83">
        <f>SUMIFS(G5979:G6462,K5979:K6462,"0",B5979:B6462,"5 1 3 9 8 12 31111 6 M59 61000 000132 0000R 00001*")</f>
        <v>0</v>
      </c>
      <c r="H5978" s="83">
        <f t="shared" si="93"/>
        <v>3036.86</v>
      </c>
      <c r="I5978" s="83"/>
      <c r="K5978" s="54" t="s">
        <v>15</v>
      </c>
    </row>
    <row r="5979" spans="2:11" ht="24.75" x14ac:dyDescent="0.2">
      <c r="B5979" s="82" t="s">
        <v>9534</v>
      </c>
      <c r="C5979" s="82" t="s">
        <v>9247</v>
      </c>
      <c r="D5979" s="83">
        <f>SUMIFS(D5980:D6462,K5980:K6462,"0",B5980:B6462,"5 1 3 9 8 12 31111 6 M59 61000 000132 0000R 00001 00398*")-SUMIFS(E5980:E6462,K5980:K6462,"0",B5980:B6462,"5 1 3 9 8 12 31111 6 M59 61000 000132 0000R 00001 00398*")</f>
        <v>0</v>
      </c>
      <c r="E5979" s="54"/>
      <c r="F5979" s="83">
        <f>SUMIFS(F5980:F6462,K5980:K6462,"0",B5980:B6462,"5 1 3 9 8 12 31111 6 M59 61000 000132 0000R 00001 00398*")</f>
        <v>3036.86</v>
      </c>
      <c r="G5979" s="83">
        <f>SUMIFS(G5980:G6462,K5980:K6462,"0",B5980:B6462,"5 1 3 9 8 12 31111 6 M59 61000 000132 0000R 00001 00398*")</f>
        <v>0</v>
      </c>
      <c r="H5979" s="83">
        <f t="shared" si="93"/>
        <v>3036.86</v>
      </c>
      <c r="I5979" s="83"/>
      <c r="K5979" s="54" t="s">
        <v>15</v>
      </c>
    </row>
    <row r="5980" spans="2:11" ht="33" x14ac:dyDescent="0.2">
      <c r="B5980" s="82" t="s">
        <v>9535</v>
      </c>
      <c r="C5980" s="82" t="s">
        <v>1051</v>
      </c>
      <c r="D5980" s="83">
        <f>SUMIFS(D5981:D6462,K5981:K6462,"0",B5981:B6462,"5 1 3 9 8 12 31111 6 M59 61000 000132 0000R 00001 00398 015*")-SUMIFS(E5981:E6462,K5981:K6462,"0",B5981:B6462,"5 1 3 9 8 12 31111 6 M59 61000 000132 0000R 00001 00398 015*")</f>
        <v>0</v>
      </c>
      <c r="E5980" s="54"/>
      <c r="F5980" s="83">
        <f>SUMIFS(F5981:F6462,K5981:K6462,"0",B5981:B6462,"5 1 3 9 8 12 31111 6 M59 61000 000132 0000R 00001 00398 015*")</f>
        <v>3036.86</v>
      </c>
      <c r="G5980" s="83">
        <f>SUMIFS(G5981:G6462,K5981:K6462,"0",B5981:B6462,"5 1 3 9 8 12 31111 6 M59 61000 000132 0000R 00001 00398 015*")</f>
        <v>0</v>
      </c>
      <c r="H5980" s="83">
        <f t="shared" si="93"/>
        <v>3036.86</v>
      </c>
      <c r="I5980" s="83"/>
      <c r="K5980" s="54" t="s">
        <v>15</v>
      </c>
    </row>
    <row r="5981" spans="2:11" ht="33" x14ac:dyDescent="0.2">
      <c r="B5981" s="82" t="s">
        <v>9536</v>
      </c>
      <c r="C5981" s="82" t="s">
        <v>8550</v>
      </c>
      <c r="D5981" s="83">
        <f>SUMIFS(D5982:D6462,K5982:K6462,"0",B5982:B6462,"5 1 3 9 8 12 31111 6 M59 61000 000132 0000R 00001 00398 015 2111300*")-SUMIFS(E5982:E6462,K5982:K6462,"0",B5982:B6462,"5 1 3 9 8 12 31111 6 M59 61000 000132 0000R 00001 00398 015 2111300*")</f>
        <v>0</v>
      </c>
      <c r="E5981" s="54"/>
      <c r="F5981" s="83">
        <f>SUMIFS(F5982:F6462,K5982:K6462,"0",B5982:B6462,"5 1 3 9 8 12 31111 6 M59 61000 000132 0000R 00001 00398 015 2111300*")</f>
        <v>3036.86</v>
      </c>
      <c r="G5981" s="83">
        <f>SUMIFS(G5982:G6462,K5982:K6462,"0",B5982:B6462,"5 1 3 9 8 12 31111 6 M59 61000 000132 0000R 00001 00398 015 2111300*")</f>
        <v>0</v>
      </c>
      <c r="H5981" s="83">
        <f t="shared" si="93"/>
        <v>3036.86</v>
      </c>
      <c r="I5981" s="83"/>
      <c r="K5981" s="54" t="s">
        <v>15</v>
      </c>
    </row>
    <row r="5982" spans="2:11" ht="33" x14ac:dyDescent="0.2">
      <c r="B5982" s="82" t="s">
        <v>9537</v>
      </c>
      <c r="C5982" s="82" t="s">
        <v>660</v>
      </c>
      <c r="D5982" s="83">
        <f>SUMIFS(D5983:D6462,K5983:K6462,"0",B5983:B6462,"5 1 3 9 8 12 31111 6 M59 61000 000132 0000R 00001 00398 015 2111300 2024*")-SUMIFS(E5983:E6462,K5983:K6462,"0",B5983:B6462,"5 1 3 9 8 12 31111 6 M59 61000 000132 0000R 00001 00398 015 2111300 2024*")</f>
        <v>0</v>
      </c>
      <c r="E5982" s="54"/>
      <c r="F5982" s="83">
        <f>SUMIFS(F5983:F6462,K5983:K6462,"0",B5983:B6462,"5 1 3 9 8 12 31111 6 M59 61000 000132 0000R 00001 00398 015 2111300 2024*")</f>
        <v>3036.86</v>
      </c>
      <c r="G5982" s="83">
        <f>SUMIFS(G5983:G6462,K5983:K6462,"0",B5983:B6462,"5 1 3 9 8 12 31111 6 M59 61000 000132 0000R 00001 00398 015 2111300 2024*")</f>
        <v>0</v>
      </c>
      <c r="H5982" s="83">
        <f t="shared" si="93"/>
        <v>3036.86</v>
      </c>
      <c r="I5982" s="83"/>
      <c r="K5982" s="54" t="s">
        <v>15</v>
      </c>
    </row>
    <row r="5983" spans="2:11" ht="41.25" x14ac:dyDescent="0.2">
      <c r="B5983" s="82" t="s">
        <v>9538</v>
      </c>
      <c r="C5983" s="82" t="s">
        <v>1056</v>
      </c>
      <c r="D5983" s="83">
        <f>SUMIFS(D5984:D6462,K5984:K6462,"0",B5984:B6462,"5 1 3 9 8 12 31111 6 M59 61000 000132 0000R 00001 00398 015 2111300 2024 CP1MI406*")-SUMIFS(E5984:E6462,K5984:K6462,"0",B5984:B6462,"5 1 3 9 8 12 31111 6 M59 61000 000132 0000R 00001 00398 015 2111300 2024 CP1MI406*")</f>
        <v>0</v>
      </c>
      <c r="E5983" s="54"/>
      <c r="F5983" s="83">
        <f>SUMIFS(F5984:F6462,K5984:K6462,"0",B5984:B6462,"5 1 3 9 8 12 31111 6 M59 61000 000132 0000R 00001 00398 015 2111300 2024 CP1MI406*")</f>
        <v>3036.86</v>
      </c>
      <c r="G5983" s="83">
        <f>SUMIFS(G5984:G6462,K5984:K6462,"0",B5984:B6462,"5 1 3 9 8 12 31111 6 M59 61000 000132 0000R 00001 00398 015 2111300 2024 CP1MI406*")</f>
        <v>0</v>
      </c>
      <c r="H5983" s="83">
        <f t="shared" si="93"/>
        <v>3036.86</v>
      </c>
      <c r="I5983" s="83"/>
      <c r="K5983" s="54" t="s">
        <v>15</v>
      </c>
    </row>
    <row r="5984" spans="2:11" ht="41.25" x14ac:dyDescent="0.2">
      <c r="B5984" s="82" t="s">
        <v>9539</v>
      </c>
      <c r="C5984" s="82" t="s">
        <v>282</v>
      </c>
      <c r="D5984" s="83">
        <f>SUMIFS(D5985:D6462,K5985:K6462,"0",B5985:B6462,"5 1 3 9 8 12 31111 6 M59 61000 000132 0000R 00001 00398 015 2111300 2024 CP1MI406 001*")-SUMIFS(E5985:E6462,K5985:K6462,"0",B5985:B6462,"5 1 3 9 8 12 31111 6 M59 61000 000132 0000R 00001 00398 015 2111300 2024 CP1MI406 001*")</f>
        <v>0</v>
      </c>
      <c r="E5984" s="54"/>
      <c r="F5984" s="83">
        <f>SUMIFS(F5985:F6462,K5985:K6462,"0",B5985:B6462,"5 1 3 9 8 12 31111 6 M59 61000 000132 0000R 00001 00398 015 2111300 2024 CP1MI406 001*")</f>
        <v>3036.86</v>
      </c>
      <c r="G5984" s="83">
        <f>SUMIFS(G5985:G6462,K5985:K6462,"0",B5985:B6462,"5 1 3 9 8 12 31111 6 M59 61000 000132 0000R 00001 00398 015 2111300 2024 CP1MI406 001*")</f>
        <v>0</v>
      </c>
      <c r="H5984" s="83">
        <f t="shared" si="93"/>
        <v>3036.86</v>
      </c>
      <c r="I5984" s="83"/>
      <c r="K5984" s="54" t="s">
        <v>15</v>
      </c>
    </row>
    <row r="5985" spans="2:11" ht="33" x14ac:dyDescent="0.2">
      <c r="B5985" s="84" t="s">
        <v>9540</v>
      </c>
      <c r="C5985" s="84" t="s">
        <v>9254</v>
      </c>
      <c r="D5985" s="85">
        <v>0</v>
      </c>
      <c r="E5985" s="85"/>
      <c r="F5985" s="85">
        <v>3036.86</v>
      </c>
      <c r="G5985" s="85">
        <v>0</v>
      </c>
      <c r="H5985" s="85">
        <f t="shared" si="93"/>
        <v>3036.86</v>
      </c>
      <c r="I5985" s="85"/>
      <c r="K5985" s="54" t="s">
        <v>38</v>
      </c>
    </row>
    <row r="5986" spans="2:11" ht="16.5" x14ac:dyDescent="0.2">
      <c r="B5986" s="82" t="s">
        <v>9541</v>
      </c>
      <c r="C5986" s="82" t="s">
        <v>3329</v>
      </c>
      <c r="D5986" s="83">
        <f>SUMIFS(D5987:D6462,K5987:K6462,"0",B5987:B6462,"5 1 3 9 8 12 31111 6 M59 62000*")-SUMIFS(E5987:E6462,K5987:K6462,"0",B5987:B6462,"5 1 3 9 8 12 31111 6 M59 62000*")</f>
        <v>0</v>
      </c>
      <c r="E5986" s="54"/>
      <c r="F5986" s="83">
        <f>SUMIFS(F5987:F6462,K5987:K6462,"0",B5987:B6462,"5 1 3 9 8 12 31111 6 M59 62000*")</f>
        <v>11766.94</v>
      </c>
      <c r="G5986" s="83">
        <f>SUMIFS(G5987:G6462,K5987:K6462,"0",B5987:B6462,"5 1 3 9 8 12 31111 6 M59 62000*")</f>
        <v>0</v>
      </c>
      <c r="H5986" s="83">
        <f t="shared" si="93"/>
        <v>11766.94</v>
      </c>
      <c r="I5986" s="83"/>
      <c r="K5986" s="54" t="s">
        <v>15</v>
      </c>
    </row>
    <row r="5987" spans="2:11" ht="16.5" x14ac:dyDescent="0.2">
      <c r="B5987" s="82" t="s">
        <v>9542</v>
      </c>
      <c r="C5987" s="82" t="s">
        <v>648</v>
      </c>
      <c r="D5987" s="83">
        <f>SUMIFS(D5988:D6462,K5988:K6462,"0",B5988:B6462,"5 1 3 9 8 12 31111 6 M59 62000 000132*")-SUMIFS(E5988:E6462,K5988:K6462,"0",B5988:B6462,"5 1 3 9 8 12 31111 6 M59 62000 000132*")</f>
        <v>0</v>
      </c>
      <c r="E5987" s="54"/>
      <c r="F5987" s="83">
        <f>SUMIFS(F5988:F6462,K5988:K6462,"0",B5988:B6462,"5 1 3 9 8 12 31111 6 M59 62000 000132*")</f>
        <v>11766.94</v>
      </c>
      <c r="G5987" s="83">
        <f>SUMIFS(G5988:G6462,K5988:K6462,"0",B5988:B6462,"5 1 3 9 8 12 31111 6 M59 62000 000132*")</f>
        <v>0</v>
      </c>
      <c r="H5987" s="83">
        <f t="shared" si="93"/>
        <v>11766.94</v>
      </c>
      <c r="I5987" s="83"/>
      <c r="K5987" s="54" t="s">
        <v>15</v>
      </c>
    </row>
    <row r="5988" spans="2:11" ht="24.75" x14ac:dyDescent="0.2">
      <c r="B5988" s="82" t="s">
        <v>9543</v>
      </c>
      <c r="C5988" s="82" t="s">
        <v>650</v>
      </c>
      <c r="D5988" s="83">
        <f>SUMIFS(D5989:D6462,K5989:K6462,"0",B5989:B6462,"5 1 3 9 8 12 31111 6 M59 62000 000132 0000R*")-SUMIFS(E5989:E6462,K5989:K6462,"0",B5989:B6462,"5 1 3 9 8 12 31111 6 M59 62000 000132 0000R*")</f>
        <v>0</v>
      </c>
      <c r="E5988" s="54"/>
      <c r="F5988" s="83">
        <f>SUMIFS(F5989:F6462,K5989:K6462,"0",B5989:B6462,"5 1 3 9 8 12 31111 6 M59 62000 000132 0000R*")</f>
        <v>11766.94</v>
      </c>
      <c r="G5988" s="83">
        <f>SUMIFS(G5989:G6462,K5989:K6462,"0",B5989:B6462,"5 1 3 9 8 12 31111 6 M59 62000 000132 0000R*")</f>
        <v>0</v>
      </c>
      <c r="H5988" s="83">
        <f t="shared" si="93"/>
        <v>11766.94</v>
      </c>
      <c r="I5988" s="83"/>
      <c r="K5988" s="54" t="s">
        <v>15</v>
      </c>
    </row>
    <row r="5989" spans="2:11" ht="24.75" x14ac:dyDescent="0.2">
      <c r="B5989" s="82" t="s">
        <v>9544</v>
      </c>
      <c r="C5989" s="82" t="s">
        <v>282</v>
      </c>
      <c r="D5989" s="83">
        <f>SUMIFS(D5990:D6462,K5990:K6462,"0",B5990:B6462,"5 1 3 9 8 12 31111 6 M59 62000 000132 0000R 00001*")-SUMIFS(E5990:E6462,K5990:K6462,"0",B5990:B6462,"5 1 3 9 8 12 31111 6 M59 62000 000132 0000R 00001*")</f>
        <v>0</v>
      </c>
      <c r="E5989" s="54"/>
      <c r="F5989" s="83">
        <f>SUMIFS(F5990:F6462,K5990:K6462,"0",B5990:B6462,"5 1 3 9 8 12 31111 6 M59 62000 000132 0000R 00001*")</f>
        <v>11766.94</v>
      </c>
      <c r="G5989" s="83">
        <f>SUMIFS(G5990:G6462,K5990:K6462,"0",B5990:B6462,"5 1 3 9 8 12 31111 6 M59 62000 000132 0000R 00001*")</f>
        <v>0</v>
      </c>
      <c r="H5989" s="83">
        <f t="shared" si="93"/>
        <v>11766.94</v>
      </c>
      <c r="I5989" s="83"/>
      <c r="K5989" s="54" t="s">
        <v>15</v>
      </c>
    </row>
    <row r="5990" spans="2:11" ht="24.75" x14ac:dyDescent="0.2">
      <c r="B5990" s="82" t="s">
        <v>9545</v>
      </c>
      <c r="C5990" s="82" t="s">
        <v>9247</v>
      </c>
      <c r="D5990" s="83">
        <f>SUMIFS(D5991:D6462,K5991:K6462,"0",B5991:B6462,"5 1 3 9 8 12 31111 6 M59 62000 000132 0000R 00001 00398*")-SUMIFS(E5991:E6462,K5991:K6462,"0",B5991:B6462,"5 1 3 9 8 12 31111 6 M59 62000 000132 0000R 00001 00398*")</f>
        <v>0</v>
      </c>
      <c r="E5990" s="54"/>
      <c r="F5990" s="83">
        <f>SUMIFS(F5991:F6462,K5991:K6462,"0",B5991:B6462,"5 1 3 9 8 12 31111 6 M59 62000 000132 0000R 00001 00398*")</f>
        <v>11766.94</v>
      </c>
      <c r="G5990" s="83">
        <f>SUMIFS(G5991:G6462,K5991:K6462,"0",B5991:B6462,"5 1 3 9 8 12 31111 6 M59 62000 000132 0000R 00001 00398*")</f>
        <v>0</v>
      </c>
      <c r="H5990" s="83">
        <f t="shared" si="93"/>
        <v>11766.94</v>
      </c>
      <c r="I5990" s="83"/>
      <c r="K5990" s="54" t="s">
        <v>15</v>
      </c>
    </row>
    <row r="5991" spans="2:11" ht="33" x14ac:dyDescent="0.2">
      <c r="B5991" s="82" t="s">
        <v>9546</v>
      </c>
      <c r="C5991" s="82" t="s">
        <v>1051</v>
      </c>
      <c r="D5991" s="83">
        <f>SUMIFS(D5992:D6462,K5992:K6462,"0",B5992:B6462,"5 1 3 9 8 12 31111 6 M59 62000 000132 0000R 00001 00398 015*")-SUMIFS(E5992:E6462,K5992:K6462,"0",B5992:B6462,"5 1 3 9 8 12 31111 6 M59 62000 000132 0000R 00001 00398 015*")</f>
        <v>0</v>
      </c>
      <c r="E5991" s="54"/>
      <c r="F5991" s="83">
        <f>SUMIFS(F5992:F6462,K5992:K6462,"0",B5992:B6462,"5 1 3 9 8 12 31111 6 M59 62000 000132 0000R 00001 00398 015*")</f>
        <v>11766.94</v>
      </c>
      <c r="G5991" s="83">
        <f>SUMIFS(G5992:G6462,K5992:K6462,"0",B5992:B6462,"5 1 3 9 8 12 31111 6 M59 62000 000132 0000R 00001 00398 015*")</f>
        <v>0</v>
      </c>
      <c r="H5991" s="83">
        <f t="shared" si="93"/>
        <v>11766.94</v>
      </c>
      <c r="I5991" s="83"/>
      <c r="K5991" s="54" t="s">
        <v>15</v>
      </c>
    </row>
    <row r="5992" spans="2:11" ht="33" x14ac:dyDescent="0.2">
      <c r="B5992" s="82" t="s">
        <v>9547</v>
      </c>
      <c r="C5992" s="82" t="s">
        <v>8550</v>
      </c>
      <c r="D5992" s="83">
        <f>SUMIFS(D5993:D6462,K5993:K6462,"0",B5993:B6462,"5 1 3 9 8 12 31111 6 M59 62000 000132 0000R 00001 00398 015 2111300*")-SUMIFS(E5993:E6462,K5993:K6462,"0",B5993:B6462,"5 1 3 9 8 12 31111 6 M59 62000 000132 0000R 00001 00398 015 2111300*")</f>
        <v>0</v>
      </c>
      <c r="E5992" s="54"/>
      <c r="F5992" s="83">
        <f>SUMIFS(F5993:F6462,K5993:K6462,"0",B5993:B6462,"5 1 3 9 8 12 31111 6 M59 62000 000132 0000R 00001 00398 015 2111300*")</f>
        <v>11766.94</v>
      </c>
      <c r="G5992" s="83">
        <f>SUMIFS(G5993:G6462,K5993:K6462,"0",B5993:B6462,"5 1 3 9 8 12 31111 6 M59 62000 000132 0000R 00001 00398 015 2111300*")</f>
        <v>0</v>
      </c>
      <c r="H5992" s="83">
        <f t="shared" si="93"/>
        <v>11766.94</v>
      </c>
      <c r="I5992" s="83"/>
      <c r="K5992" s="54" t="s">
        <v>15</v>
      </c>
    </row>
    <row r="5993" spans="2:11" ht="33" x14ac:dyDescent="0.2">
      <c r="B5993" s="82" t="s">
        <v>9548</v>
      </c>
      <c r="C5993" s="82" t="s">
        <v>660</v>
      </c>
      <c r="D5993" s="83">
        <f>SUMIFS(D5994:D6462,K5994:K6462,"0",B5994:B6462,"5 1 3 9 8 12 31111 6 M59 62000 000132 0000R 00001 00398 015 2111300 2024*")-SUMIFS(E5994:E6462,K5994:K6462,"0",B5994:B6462,"5 1 3 9 8 12 31111 6 M59 62000 000132 0000R 00001 00398 015 2111300 2024*")</f>
        <v>0</v>
      </c>
      <c r="E5993" s="54"/>
      <c r="F5993" s="83">
        <f>SUMIFS(F5994:F6462,K5994:K6462,"0",B5994:B6462,"5 1 3 9 8 12 31111 6 M59 62000 000132 0000R 00001 00398 015 2111300 2024*")</f>
        <v>11766.94</v>
      </c>
      <c r="G5993" s="83">
        <f>SUMIFS(G5994:G6462,K5994:K6462,"0",B5994:B6462,"5 1 3 9 8 12 31111 6 M59 62000 000132 0000R 00001 00398 015 2111300 2024*")</f>
        <v>0</v>
      </c>
      <c r="H5993" s="83">
        <f t="shared" si="93"/>
        <v>11766.94</v>
      </c>
      <c r="I5993" s="83"/>
      <c r="K5993" s="54" t="s">
        <v>15</v>
      </c>
    </row>
    <row r="5994" spans="2:11" ht="41.25" x14ac:dyDescent="0.2">
      <c r="B5994" s="82" t="s">
        <v>9549</v>
      </c>
      <c r="C5994" s="82" t="s">
        <v>1056</v>
      </c>
      <c r="D5994" s="83">
        <f>SUMIFS(D5995:D6462,K5995:K6462,"0",B5995:B6462,"5 1 3 9 8 12 31111 6 M59 62000 000132 0000R 00001 00398 015 2111300 2024 CP1AM426*")-SUMIFS(E5995:E6462,K5995:K6462,"0",B5995:B6462,"5 1 3 9 8 12 31111 6 M59 62000 000132 0000R 00001 00398 015 2111300 2024 CP1AM426*")</f>
        <v>0</v>
      </c>
      <c r="E5994" s="54"/>
      <c r="F5994" s="83">
        <f>SUMIFS(F5995:F6462,K5995:K6462,"0",B5995:B6462,"5 1 3 9 8 12 31111 6 M59 62000 000132 0000R 00001 00398 015 2111300 2024 CP1AM426*")</f>
        <v>11766.94</v>
      </c>
      <c r="G5994" s="83">
        <f>SUMIFS(G5995:G6462,K5995:K6462,"0",B5995:B6462,"5 1 3 9 8 12 31111 6 M59 62000 000132 0000R 00001 00398 015 2111300 2024 CP1AM426*")</f>
        <v>0</v>
      </c>
      <c r="H5994" s="83">
        <f t="shared" si="93"/>
        <v>11766.94</v>
      </c>
      <c r="I5994" s="83"/>
      <c r="K5994" s="54" t="s">
        <v>15</v>
      </c>
    </row>
    <row r="5995" spans="2:11" ht="41.25" x14ac:dyDescent="0.2">
      <c r="B5995" s="82" t="s">
        <v>9550</v>
      </c>
      <c r="C5995" s="82" t="s">
        <v>282</v>
      </c>
      <c r="D5995" s="83">
        <f>SUMIFS(D5996:D6462,K5996:K6462,"0",B5996:B6462,"5 1 3 9 8 12 31111 6 M59 62000 000132 0000R 00001 00398 015 2111300 2024 CP1AM426 001*")-SUMIFS(E5996:E6462,K5996:K6462,"0",B5996:B6462,"5 1 3 9 8 12 31111 6 M59 62000 000132 0000R 00001 00398 015 2111300 2024 CP1AM426 001*")</f>
        <v>0</v>
      </c>
      <c r="E5995" s="54"/>
      <c r="F5995" s="83">
        <f>SUMIFS(F5996:F6462,K5996:K6462,"0",B5996:B6462,"5 1 3 9 8 12 31111 6 M59 62000 000132 0000R 00001 00398 015 2111300 2024 CP1AM426 001*")</f>
        <v>11766.94</v>
      </c>
      <c r="G5995" s="83">
        <f>SUMIFS(G5996:G6462,K5996:K6462,"0",B5996:B6462,"5 1 3 9 8 12 31111 6 M59 62000 000132 0000R 00001 00398 015 2111300 2024 CP1AM426 001*")</f>
        <v>0</v>
      </c>
      <c r="H5995" s="83">
        <f t="shared" ref="H5995:H6058" si="94">D5995 + F5995 - G5995</f>
        <v>11766.94</v>
      </c>
      <c r="I5995" s="83"/>
      <c r="K5995" s="54" t="s">
        <v>15</v>
      </c>
    </row>
    <row r="5996" spans="2:11" ht="41.25" x14ac:dyDescent="0.2">
      <c r="B5996" s="84" t="s">
        <v>9551</v>
      </c>
      <c r="C5996" s="84" t="s">
        <v>9254</v>
      </c>
      <c r="D5996" s="85">
        <v>0</v>
      </c>
      <c r="E5996" s="85"/>
      <c r="F5996" s="85">
        <v>11766.94</v>
      </c>
      <c r="G5996" s="85">
        <v>0</v>
      </c>
      <c r="H5996" s="85">
        <f t="shared" si="94"/>
        <v>11766.94</v>
      </c>
      <c r="I5996" s="85"/>
      <c r="K5996" s="54" t="s">
        <v>38</v>
      </c>
    </row>
    <row r="5997" spans="2:11" ht="16.5" x14ac:dyDescent="0.2">
      <c r="B5997" s="82" t="s">
        <v>9552</v>
      </c>
      <c r="C5997" s="82" t="s">
        <v>3341</v>
      </c>
      <c r="D5997" s="83">
        <f>SUMIFS(D5998:D6462,K5998:K6462,"0",B5998:B6462,"5 1 3 9 8 12 31111 6 M59 63000*")-SUMIFS(E5998:E6462,K5998:K6462,"0",B5998:B6462,"5 1 3 9 8 12 31111 6 M59 63000*")</f>
        <v>0</v>
      </c>
      <c r="E5997" s="54"/>
      <c r="F5997" s="83">
        <f>SUMIFS(F5998:F6462,K5998:K6462,"0",B5998:B6462,"5 1 3 9 8 12 31111 6 M59 63000*")</f>
        <v>5500</v>
      </c>
      <c r="G5997" s="83">
        <f>SUMIFS(G5998:G6462,K5998:K6462,"0",B5998:B6462,"5 1 3 9 8 12 31111 6 M59 63000*")</f>
        <v>0</v>
      </c>
      <c r="H5997" s="83">
        <f t="shared" si="94"/>
        <v>5500</v>
      </c>
      <c r="I5997" s="83"/>
      <c r="K5997" s="54" t="s">
        <v>15</v>
      </c>
    </row>
    <row r="5998" spans="2:11" ht="16.5" x14ac:dyDescent="0.2">
      <c r="B5998" s="82" t="s">
        <v>9553</v>
      </c>
      <c r="C5998" s="82" t="s">
        <v>648</v>
      </c>
      <c r="D5998" s="83">
        <f>SUMIFS(D5999:D6462,K5999:K6462,"0",B5999:B6462,"5 1 3 9 8 12 31111 6 M59 63000 000132*")-SUMIFS(E5999:E6462,K5999:K6462,"0",B5999:B6462,"5 1 3 9 8 12 31111 6 M59 63000 000132*")</f>
        <v>0</v>
      </c>
      <c r="E5998" s="54"/>
      <c r="F5998" s="83">
        <f>SUMIFS(F5999:F6462,K5999:K6462,"0",B5999:B6462,"5 1 3 9 8 12 31111 6 M59 63000 000132*")</f>
        <v>5500</v>
      </c>
      <c r="G5998" s="83">
        <f>SUMIFS(G5999:G6462,K5999:K6462,"0",B5999:B6462,"5 1 3 9 8 12 31111 6 M59 63000 000132*")</f>
        <v>0</v>
      </c>
      <c r="H5998" s="83">
        <f t="shared" si="94"/>
        <v>5500</v>
      </c>
      <c r="I5998" s="83"/>
      <c r="K5998" s="54" t="s">
        <v>15</v>
      </c>
    </row>
    <row r="5999" spans="2:11" ht="24.75" x14ac:dyDescent="0.2">
      <c r="B5999" s="82" t="s">
        <v>9554</v>
      </c>
      <c r="C5999" s="82" t="s">
        <v>650</v>
      </c>
      <c r="D5999" s="83">
        <f>SUMIFS(D6000:D6462,K6000:K6462,"0",B6000:B6462,"5 1 3 9 8 12 31111 6 M59 63000 000132 0000R*")-SUMIFS(E6000:E6462,K6000:K6462,"0",B6000:B6462,"5 1 3 9 8 12 31111 6 M59 63000 000132 0000R*")</f>
        <v>0</v>
      </c>
      <c r="E5999" s="54"/>
      <c r="F5999" s="83">
        <f>SUMIFS(F6000:F6462,K6000:K6462,"0",B6000:B6462,"5 1 3 9 8 12 31111 6 M59 63000 000132 0000R*")</f>
        <v>5500</v>
      </c>
      <c r="G5999" s="83">
        <f>SUMIFS(G6000:G6462,K6000:K6462,"0",B6000:B6462,"5 1 3 9 8 12 31111 6 M59 63000 000132 0000R*")</f>
        <v>0</v>
      </c>
      <c r="H5999" s="83">
        <f t="shared" si="94"/>
        <v>5500</v>
      </c>
      <c r="I5999" s="83"/>
      <c r="K5999" s="54" t="s">
        <v>15</v>
      </c>
    </row>
    <row r="6000" spans="2:11" ht="24.75" x14ac:dyDescent="0.2">
      <c r="B6000" s="82" t="s">
        <v>9555</v>
      </c>
      <c r="C6000" s="82" t="s">
        <v>282</v>
      </c>
      <c r="D6000" s="83">
        <f>SUMIFS(D6001:D6462,K6001:K6462,"0",B6001:B6462,"5 1 3 9 8 12 31111 6 M59 63000 000132 0000R 00001*")-SUMIFS(E6001:E6462,K6001:K6462,"0",B6001:B6462,"5 1 3 9 8 12 31111 6 M59 63000 000132 0000R 00001*")</f>
        <v>0</v>
      </c>
      <c r="E6000" s="54"/>
      <c r="F6000" s="83">
        <f>SUMIFS(F6001:F6462,K6001:K6462,"0",B6001:B6462,"5 1 3 9 8 12 31111 6 M59 63000 000132 0000R 00001*")</f>
        <v>5500</v>
      </c>
      <c r="G6000" s="83">
        <f>SUMIFS(G6001:G6462,K6001:K6462,"0",B6001:B6462,"5 1 3 9 8 12 31111 6 M59 63000 000132 0000R 00001*")</f>
        <v>0</v>
      </c>
      <c r="H6000" s="83">
        <f t="shared" si="94"/>
        <v>5500</v>
      </c>
      <c r="I6000" s="83"/>
      <c r="K6000" s="54" t="s">
        <v>15</v>
      </c>
    </row>
    <row r="6001" spans="2:11" ht="24.75" x14ac:dyDescent="0.2">
      <c r="B6001" s="82" t="s">
        <v>9556</v>
      </c>
      <c r="C6001" s="82" t="s">
        <v>9247</v>
      </c>
      <c r="D6001" s="83">
        <f>SUMIFS(D6002:D6462,K6002:K6462,"0",B6002:B6462,"5 1 3 9 8 12 31111 6 M59 63000 000132 0000R 00001 00398*")-SUMIFS(E6002:E6462,K6002:K6462,"0",B6002:B6462,"5 1 3 9 8 12 31111 6 M59 63000 000132 0000R 00001 00398*")</f>
        <v>0</v>
      </c>
      <c r="E6001" s="54"/>
      <c r="F6001" s="83">
        <f>SUMIFS(F6002:F6462,K6002:K6462,"0",B6002:B6462,"5 1 3 9 8 12 31111 6 M59 63000 000132 0000R 00001 00398*")</f>
        <v>5500</v>
      </c>
      <c r="G6001" s="83">
        <f>SUMIFS(G6002:G6462,K6002:K6462,"0",B6002:B6462,"5 1 3 9 8 12 31111 6 M59 63000 000132 0000R 00001 00398*")</f>
        <v>0</v>
      </c>
      <c r="H6001" s="83">
        <f t="shared" si="94"/>
        <v>5500</v>
      </c>
      <c r="I6001" s="83"/>
      <c r="K6001" s="54" t="s">
        <v>15</v>
      </c>
    </row>
    <row r="6002" spans="2:11" ht="33" x14ac:dyDescent="0.2">
      <c r="B6002" s="82" t="s">
        <v>9557</v>
      </c>
      <c r="C6002" s="82" t="s">
        <v>1051</v>
      </c>
      <c r="D6002" s="83">
        <f>SUMIFS(D6003:D6462,K6003:K6462,"0",B6003:B6462,"5 1 3 9 8 12 31111 6 M59 63000 000132 0000R 00001 00398 015*")-SUMIFS(E6003:E6462,K6003:K6462,"0",B6003:B6462,"5 1 3 9 8 12 31111 6 M59 63000 000132 0000R 00001 00398 015*")</f>
        <v>0</v>
      </c>
      <c r="E6002" s="54"/>
      <c r="F6002" s="83">
        <f>SUMIFS(F6003:F6462,K6003:K6462,"0",B6003:B6462,"5 1 3 9 8 12 31111 6 M59 63000 000132 0000R 00001 00398 015*")</f>
        <v>5500</v>
      </c>
      <c r="G6002" s="83">
        <f>SUMIFS(G6003:G6462,K6003:K6462,"0",B6003:B6462,"5 1 3 9 8 12 31111 6 M59 63000 000132 0000R 00001 00398 015*")</f>
        <v>0</v>
      </c>
      <c r="H6002" s="83">
        <f t="shared" si="94"/>
        <v>5500</v>
      </c>
      <c r="I6002" s="83"/>
      <c r="K6002" s="54" t="s">
        <v>15</v>
      </c>
    </row>
    <row r="6003" spans="2:11" ht="33" x14ac:dyDescent="0.2">
      <c r="B6003" s="82" t="s">
        <v>9558</v>
      </c>
      <c r="C6003" s="82" t="s">
        <v>8550</v>
      </c>
      <c r="D6003" s="83">
        <f>SUMIFS(D6004:D6462,K6004:K6462,"0",B6004:B6462,"5 1 3 9 8 12 31111 6 M59 63000 000132 0000R 00001 00398 015 2111300*")-SUMIFS(E6004:E6462,K6004:K6462,"0",B6004:B6462,"5 1 3 9 8 12 31111 6 M59 63000 000132 0000R 00001 00398 015 2111300*")</f>
        <v>0</v>
      </c>
      <c r="E6003" s="54"/>
      <c r="F6003" s="83">
        <f>SUMIFS(F6004:F6462,K6004:K6462,"0",B6004:B6462,"5 1 3 9 8 12 31111 6 M59 63000 000132 0000R 00001 00398 015 2111300*")</f>
        <v>5500</v>
      </c>
      <c r="G6003" s="83">
        <f>SUMIFS(G6004:G6462,K6004:K6462,"0",B6004:B6462,"5 1 3 9 8 12 31111 6 M59 63000 000132 0000R 00001 00398 015 2111300*")</f>
        <v>0</v>
      </c>
      <c r="H6003" s="83">
        <f t="shared" si="94"/>
        <v>5500</v>
      </c>
      <c r="I6003" s="83"/>
      <c r="K6003" s="54" t="s">
        <v>15</v>
      </c>
    </row>
    <row r="6004" spans="2:11" ht="33" x14ac:dyDescent="0.2">
      <c r="B6004" s="82" t="s">
        <v>9559</v>
      </c>
      <c r="C6004" s="82" t="s">
        <v>660</v>
      </c>
      <c r="D6004" s="83">
        <f>SUMIFS(D6005:D6462,K6005:K6462,"0",B6005:B6462,"5 1 3 9 8 12 31111 6 M59 63000 000132 0000R 00001 00398 015 2111300 2024*")-SUMIFS(E6005:E6462,K6005:K6462,"0",B6005:B6462,"5 1 3 9 8 12 31111 6 M59 63000 000132 0000R 00001 00398 015 2111300 2024*")</f>
        <v>0</v>
      </c>
      <c r="E6004" s="54"/>
      <c r="F6004" s="83">
        <f>SUMIFS(F6005:F6462,K6005:K6462,"0",B6005:B6462,"5 1 3 9 8 12 31111 6 M59 63000 000132 0000R 00001 00398 015 2111300 2024*")</f>
        <v>5500</v>
      </c>
      <c r="G6004" s="83">
        <f>SUMIFS(G6005:G6462,K6005:K6462,"0",B6005:B6462,"5 1 3 9 8 12 31111 6 M59 63000 000132 0000R 00001 00398 015 2111300 2024*")</f>
        <v>0</v>
      </c>
      <c r="H6004" s="83">
        <f t="shared" si="94"/>
        <v>5500</v>
      </c>
      <c r="I6004" s="83"/>
      <c r="K6004" s="54" t="s">
        <v>15</v>
      </c>
    </row>
    <row r="6005" spans="2:11" ht="41.25" x14ac:dyDescent="0.2">
      <c r="B6005" s="82" t="s">
        <v>9560</v>
      </c>
      <c r="C6005" s="82" t="s">
        <v>1056</v>
      </c>
      <c r="D6005" s="83">
        <f>SUMIFS(D6006:D6462,K6006:K6462,"0",B6006:B6462,"5 1 3 9 8 12 31111 6 M59 63000 000132 0000R 00001 00398 015 2111300 2024 CP1PR434*")-SUMIFS(E6006:E6462,K6006:K6462,"0",B6006:B6462,"5 1 3 9 8 12 31111 6 M59 63000 000132 0000R 00001 00398 015 2111300 2024 CP1PR434*")</f>
        <v>0</v>
      </c>
      <c r="E6005" s="54"/>
      <c r="F6005" s="83">
        <f>SUMIFS(F6006:F6462,K6006:K6462,"0",B6006:B6462,"5 1 3 9 8 12 31111 6 M59 63000 000132 0000R 00001 00398 015 2111300 2024 CP1PR434*")</f>
        <v>5500</v>
      </c>
      <c r="G6005" s="83">
        <f>SUMIFS(G6006:G6462,K6006:K6462,"0",B6006:B6462,"5 1 3 9 8 12 31111 6 M59 63000 000132 0000R 00001 00398 015 2111300 2024 CP1PR434*")</f>
        <v>0</v>
      </c>
      <c r="H6005" s="83">
        <f t="shared" si="94"/>
        <v>5500</v>
      </c>
      <c r="I6005" s="83"/>
      <c r="K6005" s="54" t="s">
        <v>15</v>
      </c>
    </row>
    <row r="6006" spans="2:11" ht="41.25" x14ac:dyDescent="0.2">
      <c r="B6006" s="82" t="s">
        <v>9561</v>
      </c>
      <c r="C6006" s="82" t="s">
        <v>282</v>
      </c>
      <c r="D6006" s="83">
        <f>SUMIFS(D6007:D6462,K6007:K6462,"0",B6007:B6462,"5 1 3 9 8 12 31111 6 M59 63000 000132 0000R 00001 00398 015 2111300 2024 CP1PR434 001*")-SUMIFS(E6007:E6462,K6007:K6462,"0",B6007:B6462,"5 1 3 9 8 12 31111 6 M59 63000 000132 0000R 00001 00398 015 2111300 2024 CP1PR434 001*")</f>
        <v>0</v>
      </c>
      <c r="E6006" s="54"/>
      <c r="F6006" s="83">
        <f>SUMIFS(F6007:F6462,K6007:K6462,"0",B6007:B6462,"5 1 3 9 8 12 31111 6 M59 63000 000132 0000R 00001 00398 015 2111300 2024 CP1PR434 001*")</f>
        <v>5500</v>
      </c>
      <c r="G6006" s="83">
        <f>SUMIFS(G6007:G6462,K6007:K6462,"0",B6007:B6462,"5 1 3 9 8 12 31111 6 M59 63000 000132 0000R 00001 00398 015 2111300 2024 CP1PR434 001*")</f>
        <v>0</v>
      </c>
      <c r="H6006" s="83">
        <f t="shared" si="94"/>
        <v>5500</v>
      </c>
      <c r="I6006" s="83"/>
      <c r="K6006" s="54" t="s">
        <v>15</v>
      </c>
    </row>
    <row r="6007" spans="2:11" ht="41.25" x14ac:dyDescent="0.2">
      <c r="B6007" s="84" t="s">
        <v>9562</v>
      </c>
      <c r="C6007" s="84" t="s">
        <v>9254</v>
      </c>
      <c r="D6007" s="85">
        <v>0</v>
      </c>
      <c r="E6007" s="85"/>
      <c r="F6007" s="85">
        <v>5500</v>
      </c>
      <c r="G6007" s="85">
        <v>0</v>
      </c>
      <c r="H6007" s="85">
        <f t="shared" si="94"/>
        <v>5500</v>
      </c>
      <c r="I6007" s="85"/>
      <c r="K6007" s="54" t="s">
        <v>38</v>
      </c>
    </row>
    <row r="6008" spans="2:11" ht="24.75" x14ac:dyDescent="0.2">
      <c r="B6008" s="82" t="s">
        <v>9563</v>
      </c>
      <c r="C6008" s="82" t="s">
        <v>3353</v>
      </c>
      <c r="D6008" s="83">
        <f>SUMIFS(D6009:D6462,K6009:K6462,"0",B6009:B6462,"5 1 3 9 8 12 31111 6 M59 64000*")-SUMIFS(E6009:E6462,K6009:K6462,"0",B6009:B6462,"5 1 3 9 8 12 31111 6 M59 64000*")</f>
        <v>0</v>
      </c>
      <c r="E6008" s="54"/>
      <c r="F6008" s="83">
        <f>SUMIFS(F6009:F6462,K6009:K6462,"0",B6009:B6462,"5 1 3 9 8 12 31111 6 M59 64000*")</f>
        <v>5833.56</v>
      </c>
      <c r="G6008" s="83">
        <f>SUMIFS(G6009:G6462,K6009:K6462,"0",B6009:B6462,"5 1 3 9 8 12 31111 6 M59 64000*")</f>
        <v>0</v>
      </c>
      <c r="H6008" s="83">
        <f t="shared" si="94"/>
        <v>5833.56</v>
      </c>
      <c r="I6008" s="83"/>
      <c r="K6008" s="54" t="s">
        <v>15</v>
      </c>
    </row>
    <row r="6009" spans="2:11" ht="16.5" x14ac:dyDescent="0.2">
      <c r="B6009" s="82" t="s">
        <v>9564</v>
      </c>
      <c r="C6009" s="82" t="s">
        <v>648</v>
      </c>
      <c r="D6009" s="83">
        <f>SUMIFS(D6010:D6462,K6010:K6462,"0",B6010:B6462,"5 1 3 9 8 12 31111 6 M59 64000 000132*")-SUMIFS(E6010:E6462,K6010:K6462,"0",B6010:B6462,"5 1 3 9 8 12 31111 6 M59 64000 000132*")</f>
        <v>0</v>
      </c>
      <c r="E6009" s="54"/>
      <c r="F6009" s="83">
        <f>SUMIFS(F6010:F6462,K6010:K6462,"0",B6010:B6462,"5 1 3 9 8 12 31111 6 M59 64000 000132*")</f>
        <v>5833.56</v>
      </c>
      <c r="G6009" s="83">
        <f>SUMIFS(G6010:G6462,K6010:K6462,"0",B6010:B6462,"5 1 3 9 8 12 31111 6 M59 64000 000132*")</f>
        <v>0</v>
      </c>
      <c r="H6009" s="83">
        <f t="shared" si="94"/>
        <v>5833.56</v>
      </c>
      <c r="I6009" s="83"/>
      <c r="K6009" s="54" t="s">
        <v>15</v>
      </c>
    </row>
    <row r="6010" spans="2:11" ht="24.75" x14ac:dyDescent="0.2">
      <c r="B6010" s="82" t="s">
        <v>9565</v>
      </c>
      <c r="C6010" s="82" t="s">
        <v>650</v>
      </c>
      <c r="D6010" s="83">
        <f>SUMIFS(D6011:D6462,K6011:K6462,"0",B6011:B6462,"5 1 3 9 8 12 31111 6 M59 64000 000132 0000R*")-SUMIFS(E6011:E6462,K6011:K6462,"0",B6011:B6462,"5 1 3 9 8 12 31111 6 M59 64000 000132 0000R*")</f>
        <v>0</v>
      </c>
      <c r="E6010" s="54"/>
      <c r="F6010" s="83">
        <f>SUMIFS(F6011:F6462,K6011:K6462,"0",B6011:B6462,"5 1 3 9 8 12 31111 6 M59 64000 000132 0000R*")</f>
        <v>5833.56</v>
      </c>
      <c r="G6010" s="83">
        <f>SUMIFS(G6011:G6462,K6011:K6462,"0",B6011:B6462,"5 1 3 9 8 12 31111 6 M59 64000 000132 0000R*")</f>
        <v>0</v>
      </c>
      <c r="H6010" s="83">
        <f t="shared" si="94"/>
        <v>5833.56</v>
      </c>
      <c r="I6010" s="83"/>
      <c r="K6010" s="54" t="s">
        <v>15</v>
      </c>
    </row>
    <row r="6011" spans="2:11" ht="24.75" x14ac:dyDescent="0.2">
      <c r="B6011" s="82" t="s">
        <v>9566</v>
      </c>
      <c r="C6011" s="82" t="s">
        <v>282</v>
      </c>
      <c r="D6011" s="83">
        <f>SUMIFS(D6012:D6462,K6012:K6462,"0",B6012:B6462,"5 1 3 9 8 12 31111 6 M59 64000 000132 0000R 00001*")-SUMIFS(E6012:E6462,K6012:K6462,"0",B6012:B6462,"5 1 3 9 8 12 31111 6 M59 64000 000132 0000R 00001*")</f>
        <v>0</v>
      </c>
      <c r="E6011" s="54"/>
      <c r="F6011" s="83">
        <f>SUMIFS(F6012:F6462,K6012:K6462,"0",B6012:B6462,"5 1 3 9 8 12 31111 6 M59 64000 000132 0000R 00001*")</f>
        <v>5833.56</v>
      </c>
      <c r="G6011" s="83">
        <f>SUMIFS(G6012:G6462,K6012:K6462,"0",B6012:B6462,"5 1 3 9 8 12 31111 6 M59 64000 000132 0000R 00001*")</f>
        <v>0</v>
      </c>
      <c r="H6011" s="83">
        <f t="shared" si="94"/>
        <v>5833.56</v>
      </c>
      <c r="I6011" s="83"/>
      <c r="K6011" s="54" t="s">
        <v>15</v>
      </c>
    </row>
    <row r="6012" spans="2:11" ht="24.75" x14ac:dyDescent="0.2">
      <c r="B6012" s="82" t="s">
        <v>9567</v>
      </c>
      <c r="C6012" s="82" t="s">
        <v>9247</v>
      </c>
      <c r="D6012" s="83">
        <f>SUMIFS(D6013:D6462,K6013:K6462,"0",B6013:B6462,"5 1 3 9 8 12 31111 6 M59 64000 000132 0000R 00001 00398*")-SUMIFS(E6013:E6462,K6013:K6462,"0",B6013:B6462,"5 1 3 9 8 12 31111 6 M59 64000 000132 0000R 00001 00398*")</f>
        <v>0</v>
      </c>
      <c r="E6012" s="54"/>
      <c r="F6012" s="83">
        <f>SUMIFS(F6013:F6462,K6013:K6462,"0",B6013:B6462,"5 1 3 9 8 12 31111 6 M59 64000 000132 0000R 00001 00398*")</f>
        <v>5833.56</v>
      </c>
      <c r="G6012" s="83">
        <f>SUMIFS(G6013:G6462,K6013:K6462,"0",B6013:B6462,"5 1 3 9 8 12 31111 6 M59 64000 000132 0000R 00001 00398*")</f>
        <v>0</v>
      </c>
      <c r="H6012" s="83">
        <f t="shared" si="94"/>
        <v>5833.56</v>
      </c>
      <c r="I6012" s="83"/>
      <c r="K6012" s="54" t="s">
        <v>15</v>
      </c>
    </row>
    <row r="6013" spans="2:11" ht="33" x14ac:dyDescent="0.2">
      <c r="B6013" s="82" t="s">
        <v>9568</v>
      </c>
      <c r="C6013" s="82" t="s">
        <v>1051</v>
      </c>
      <c r="D6013" s="83">
        <f>SUMIFS(D6014:D6462,K6014:K6462,"0",B6014:B6462,"5 1 3 9 8 12 31111 6 M59 64000 000132 0000R 00001 00398 015*")-SUMIFS(E6014:E6462,K6014:K6462,"0",B6014:B6462,"5 1 3 9 8 12 31111 6 M59 64000 000132 0000R 00001 00398 015*")</f>
        <v>0</v>
      </c>
      <c r="E6013" s="54"/>
      <c r="F6013" s="83">
        <f>SUMIFS(F6014:F6462,K6014:K6462,"0",B6014:B6462,"5 1 3 9 8 12 31111 6 M59 64000 000132 0000R 00001 00398 015*")</f>
        <v>5833.56</v>
      </c>
      <c r="G6013" s="83">
        <f>SUMIFS(G6014:G6462,K6014:K6462,"0",B6014:B6462,"5 1 3 9 8 12 31111 6 M59 64000 000132 0000R 00001 00398 015*")</f>
        <v>0</v>
      </c>
      <c r="H6013" s="83">
        <f t="shared" si="94"/>
        <v>5833.56</v>
      </c>
      <c r="I6013" s="83"/>
      <c r="K6013" s="54" t="s">
        <v>15</v>
      </c>
    </row>
    <row r="6014" spans="2:11" ht="33" x14ac:dyDescent="0.2">
      <c r="B6014" s="82" t="s">
        <v>9569</v>
      </c>
      <c r="C6014" s="82" t="s">
        <v>8550</v>
      </c>
      <c r="D6014" s="83">
        <f>SUMIFS(D6015:D6462,K6015:K6462,"0",B6015:B6462,"5 1 3 9 8 12 31111 6 M59 64000 000132 0000R 00001 00398 015 2111300*")-SUMIFS(E6015:E6462,K6015:K6462,"0",B6015:B6462,"5 1 3 9 8 12 31111 6 M59 64000 000132 0000R 00001 00398 015 2111300*")</f>
        <v>0</v>
      </c>
      <c r="E6014" s="54"/>
      <c r="F6014" s="83">
        <f>SUMIFS(F6015:F6462,K6015:K6462,"0",B6015:B6462,"5 1 3 9 8 12 31111 6 M59 64000 000132 0000R 00001 00398 015 2111300*")</f>
        <v>5833.56</v>
      </c>
      <c r="G6014" s="83">
        <f>SUMIFS(G6015:G6462,K6015:K6462,"0",B6015:B6462,"5 1 3 9 8 12 31111 6 M59 64000 000132 0000R 00001 00398 015 2111300*")</f>
        <v>0</v>
      </c>
      <c r="H6014" s="83">
        <f t="shared" si="94"/>
        <v>5833.56</v>
      </c>
      <c r="I6014" s="83"/>
      <c r="K6014" s="54" t="s">
        <v>15</v>
      </c>
    </row>
    <row r="6015" spans="2:11" ht="33" x14ac:dyDescent="0.2">
      <c r="B6015" s="82" t="s">
        <v>9570</v>
      </c>
      <c r="C6015" s="82" t="s">
        <v>660</v>
      </c>
      <c r="D6015" s="83">
        <f>SUMIFS(D6016:D6462,K6016:K6462,"0",B6016:B6462,"5 1 3 9 8 12 31111 6 M59 64000 000132 0000R 00001 00398 015 2111300 2024*")-SUMIFS(E6016:E6462,K6016:K6462,"0",B6016:B6462,"5 1 3 9 8 12 31111 6 M59 64000 000132 0000R 00001 00398 015 2111300 2024*")</f>
        <v>0</v>
      </c>
      <c r="E6015" s="54"/>
      <c r="F6015" s="83">
        <f>SUMIFS(F6016:F6462,K6016:K6462,"0",B6016:B6462,"5 1 3 9 8 12 31111 6 M59 64000 000132 0000R 00001 00398 015 2111300 2024*")</f>
        <v>5833.56</v>
      </c>
      <c r="G6015" s="83">
        <f>SUMIFS(G6016:G6462,K6016:K6462,"0",B6016:B6462,"5 1 3 9 8 12 31111 6 M59 64000 000132 0000R 00001 00398 015 2111300 2024*")</f>
        <v>0</v>
      </c>
      <c r="H6015" s="83">
        <f t="shared" si="94"/>
        <v>5833.56</v>
      </c>
      <c r="I6015" s="83"/>
      <c r="K6015" s="54" t="s">
        <v>15</v>
      </c>
    </row>
    <row r="6016" spans="2:11" ht="41.25" x14ac:dyDescent="0.2">
      <c r="B6016" s="82" t="s">
        <v>9571</v>
      </c>
      <c r="C6016" s="82" t="s">
        <v>1056</v>
      </c>
      <c r="D6016" s="83">
        <f>SUMIFS(D6017:D6462,K6017:K6462,"0",B6017:B6462,"5 1 3 9 8 12 31111 6 M59 64000 000132 0000R 00001 00398 015 2111300 2024 CP1IG433*")-SUMIFS(E6017:E6462,K6017:K6462,"0",B6017:B6462,"5 1 3 9 8 12 31111 6 M59 64000 000132 0000R 00001 00398 015 2111300 2024 CP1IG433*")</f>
        <v>0</v>
      </c>
      <c r="E6016" s="54"/>
      <c r="F6016" s="83">
        <f>SUMIFS(F6017:F6462,K6017:K6462,"0",B6017:B6462,"5 1 3 9 8 12 31111 6 M59 64000 000132 0000R 00001 00398 015 2111300 2024 CP1IG433*")</f>
        <v>5833.56</v>
      </c>
      <c r="G6016" s="83">
        <f>SUMIFS(G6017:G6462,K6017:K6462,"0",B6017:B6462,"5 1 3 9 8 12 31111 6 M59 64000 000132 0000R 00001 00398 015 2111300 2024 CP1IG433*")</f>
        <v>0</v>
      </c>
      <c r="H6016" s="83">
        <f t="shared" si="94"/>
        <v>5833.56</v>
      </c>
      <c r="I6016" s="83"/>
      <c r="K6016" s="54" t="s">
        <v>15</v>
      </c>
    </row>
    <row r="6017" spans="2:11" ht="41.25" x14ac:dyDescent="0.2">
      <c r="B6017" s="82" t="s">
        <v>9572</v>
      </c>
      <c r="C6017" s="82" t="s">
        <v>282</v>
      </c>
      <c r="D6017" s="83">
        <f>SUMIFS(D6018:D6462,K6018:K6462,"0",B6018:B6462,"5 1 3 9 8 12 31111 6 M59 64000 000132 0000R 00001 00398 015 2111300 2024 CP1IG433 001*")-SUMIFS(E6018:E6462,K6018:K6462,"0",B6018:B6462,"5 1 3 9 8 12 31111 6 M59 64000 000132 0000R 00001 00398 015 2111300 2024 CP1IG433 001*")</f>
        <v>0</v>
      </c>
      <c r="E6017" s="54"/>
      <c r="F6017" s="83">
        <f>SUMIFS(F6018:F6462,K6018:K6462,"0",B6018:B6462,"5 1 3 9 8 12 31111 6 M59 64000 000132 0000R 00001 00398 015 2111300 2024 CP1IG433 001*")</f>
        <v>5833.56</v>
      </c>
      <c r="G6017" s="83">
        <f>SUMIFS(G6018:G6462,K6018:K6462,"0",B6018:B6462,"5 1 3 9 8 12 31111 6 M59 64000 000132 0000R 00001 00398 015 2111300 2024 CP1IG433 001*")</f>
        <v>0</v>
      </c>
      <c r="H6017" s="83">
        <f t="shared" si="94"/>
        <v>5833.56</v>
      </c>
      <c r="I6017" s="83"/>
      <c r="K6017" s="54" t="s">
        <v>15</v>
      </c>
    </row>
    <row r="6018" spans="2:11" ht="41.25" x14ac:dyDescent="0.2">
      <c r="B6018" s="84" t="s">
        <v>9573</v>
      </c>
      <c r="C6018" s="84" t="s">
        <v>9254</v>
      </c>
      <c r="D6018" s="85">
        <v>0</v>
      </c>
      <c r="E6018" s="85"/>
      <c r="F6018" s="85">
        <v>5833.56</v>
      </c>
      <c r="G6018" s="85">
        <v>0</v>
      </c>
      <c r="H6018" s="85">
        <f t="shared" si="94"/>
        <v>5833.56</v>
      </c>
      <c r="I6018" s="85"/>
      <c r="K6018" s="54" t="s">
        <v>38</v>
      </c>
    </row>
    <row r="6019" spans="2:11" ht="24.75" x14ac:dyDescent="0.2">
      <c r="B6019" s="82" t="s">
        <v>9574</v>
      </c>
      <c r="C6019" s="82" t="s">
        <v>3365</v>
      </c>
      <c r="D6019" s="83">
        <f>SUMIFS(D6020:D6462,K6020:K6462,"0",B6020:B6462,"5 1 3 9 8 12 31111 6 M59 65000*")-SUMIFS(E6020:E6462,K6020:K6462,"0",B6020:B6462,"5 1 3 9 8 12 31111 6 M59 65000*")</f>
        <v>0</v>
      </c>
      <c r="E6019" s="54"/>
      <c r="F6019" s="83">
        <f>SUMIFS(F6020:F6462,K6020:K6462,"0",B6020:B6462,"5 1 3 9 8 12 31111 6 M59 65000*")</f>
        <v>5693.74</v>
      </c>
      <c r="G6019" s="83">
        <f>SUMIFS(G6020:G6462,K6020:K6462,"0",B6020:B6462,"5 1 3 9 8 12 31111 6 M59 65000*")</f>
        <v>0</v>
      </c>
      <c r="H6019" s="83">
        <f t="shared" si="94"/>
        <v>5693.74</v>
      </c>
      <c r="I6019" s="83"/>
      <c r="K6019" s="54" t="s">
        <v>15</v>
      </c>
    </row>
    <row r="6020" spans="2:11" ht="16.5" x14ac:dyDescent="0.2">
      <c r="B6020" s="82" t="s">
        <v>9575</v>
      </c>
      <c r="C6020" s="82" t="s">
        <v>648</v>
      </c>
      <c r="D6020" s="83">
        <f>SUMIFS(D6021:D6462,K6021:K6462,"0",B6021:B6462,"5 1 3 9 8 12 31111 6 M59 65000 000132*")-SUMIFS(E6021:E6462,K6021:K6462,"0",B6021:B6462,"5 1 3 9 8 12 31111 6 M59 65000 000132*")</f>
        <v>0</v>
      </c>
      <c r="E6020" s="54"/>
      <c r="F6020" s="83">
        <f>SUMIFS(F6021:F6462,K6021:K6462,"0",B6021:B6462,"5 1 3 9 8 12 31111 6 M59 65000 000132*")</f>
        <v>5693.74</v>
      </c>
      <c r="G6020" s="83">
        <f>SUMIFS(G6021:G6462,K6021:K6462,"0",B6021:B6462,"5 1 3 9 8 12 31111 6 M59 65000 000132*")</f>
        <v>0</v>
      </c>
      <c r="H6020" s="83">
        <f t="shared" si="94"/>
        <v>5693.74</v>
      </c>
      <c r="I6020" s="83"/>
      <c r="K6020" s="54" t="s">
        <v>15</v>
      </c>
    </row>
    <row r="6021" spans="2:11" ht="24.75" x14ac:dyDescent="0.2">
      <c r="B6021" s="82" t="s">
        <v>9576</v>
      </c>
      <c r="C6021" s="82" t="s">
        <v>650</v>
      </c>
      <c r="D6021" s="83">
        <f>SUMIFS(D6022:D6462,K6022:K6462,"0",B6022:B6462,"5 1 3 9 8 12 31111 6 M59 65000 000132 0000R*")-SUMIFS(E6022:E6462,K6022:K6462,"0",B6022:B6462,"5 1 3 9 8 12 31111 6 M59 65000 000132 0000R*")</f>
        <v>0</v>
      </c>
      <c r="E6021" s="54"/>
      <c r="F6021" s="83">
        <f>SUMIFS(F6022:F6462,K6022:K6462,"0",B6022:B6462,"5 1 3 9 8 12 31111 6 M59 65000 000132 0000R*")</f>
        <v>5693.74</v>
      </c>
      <c r="G6021" s="83">
        <f>SUMIFS(G6022:G6462,K6022:K6462,"0",B6022:B6462,"5 1 3 9 8 12 31111 6 M59 65000 000132 0000R*")</f>
        <v>0</v>
      </c>
      <c r="H6021" s="83">
        <f t="shared" si="94"/>
        <v>5693.74</v>
      </c>
      <c r="I6021" s="83"/>
      <c r="K6021" s="54" t="s">
        <v>15</v>
      </c>
    </row>
    <row r="6022" spans="2:11" ht="24.75" x14ac:dyDescent="0.2">
      <c r="B6022" s="82" t="s">
        <v>9577</v>
      </c>
      <c r="C6022" s="82" t="s">
        <v>282</v>
      </c>
      <c r="D6022" s="83">
        <f>SUMIFS(D6023:D6462,K6023:K6462,"0",B6023:B6462,"5 1 3 9 8 12 31111 6 M59 65000 000132 0000R 00001*")-SUMIFS(E6023:E6462,K6023:K6462,"0",B6023:B6462,"5 1 3 9 8 12 31111 6 M59 65000 000132 0000R 00001*")</f>
        <v>0</v>
      </c>
      <c r="E6022" s="54"/>
      <c r="F6022" s="83">
        <f>SUMIFS(F6023:F6462,K6023:K6462,"0",B6023:B6462,"5 1 3 9 8 12 31111 6 M59 65000 000132 0000R 00001*")</f>
        <v>5693.74</v>
      </c>
      <c r="G6022" s="83">
        <f>SUMIFS(G6023:G6462,K6023:K6462,"0",B6023:B6462,"5 1 3 9 8 12 31111 6 M59 65000 000132 0000R 00001*")</f>
        <v>0</v>
      </c>
      <c r="H6022" s="83">
        <f t="shared" si="94"/>
        <v>5693.74</v>
      </c>
      <c r="I6022" s="83"/>
      <c r="K6022" s="54" t="s">
        <v>15</v>
      </c>
    </row>
    <row r="6023" spans="2:11" ht="24.75" x14ac:dyDescent="0.2">
      <c r="B6023" s="82" t="s">
        <v>9578</v>
      </c>
      <c r="C6023" s="82" t="s">
        <v>9247</v>
      </c>
      <c r="D6023" s="83">
        <f>SUMIFS(D6024:D6462,K6024:K6462,"0",B6024:B6462,"5 1 3 9 8 12 31111 6 M59 65000 000132 0000R 00001 00398*")-SUMIFS(E6024:E6462,K6024:K6462,"0",B6024:B6462,"5 1 3 9 8 12 31111 6 M59 65000 000132 0000R 00001 00398*")</f>
        <v>0</v>
      </c>
      <c r="E6023" s="54"/>
      <c r="F6023" s="83">
        <f>SUMIFS(F6024:F6462,K6024:K6462,"0",B6024:B6462,"5 1 3 9 8 12 31111 6 M59 65000 000132 0000R 00001 00398*")</f>
        <v>5693.74</v>
      </c>
      <c r="G6023" s="83">
        <f>SUMIFS(G6024:G6462,K6024:K6462,"0",B6024:B6462,"5 1 3 9 8 12 31111 6 M59 65000 000132 0000R 00001 00398*")</f>
        <v>0</v>
      </c>
      <c r="H6023" s="83">
        <f t="shared" si="94"/>
        <v>5693.74</v>
      </c>
      <c r="I6023" s="83"/>
      <c r="K6023" s="54" t="s">
        <v>15</v>
      </c>
    </row>
    <row r="6024" spans="2:11" ht="33" x14ac:dyDescent="0.2">
      <c r="B6024" s="82" t="s">
        <v>9579</v>
      </c>
      <c r="C6024" s="82" t="s">
        <v>1051</v>
      </c>
      <c r="D6024" s="83">
        <f>SUMIFS(D6025:D6462,K6025:K6462,"0",B6025:B6462,"5 1 3 9 8 12 31111 6 M59 65000 000132 0000R 00001 00398 015*")-SUMIFS(E6025:E6462,K6025:K6462,"0",B6025:B6462,"5 1 3 9 8 12 31111 6 M59 65000 000132 0000R 00001 00398 015*")</f>
        <v>0</v>
      </c>
      <c r="E6024" s="54"/>
      <c r="F6024" s="83">
        <f>SUMIFS(F6025:F6462,K6025:K6462,"0",B6025:B6462,"5 1 3 9 8 12 31111 6 M59 65000 000132 0000R 00001 00398 015*")</f>
        <v>5693.74</v>
      </c>
      <c r="G6024" s="83">
        <f>SUMIFS(G6025:G6462,K6025:K6462,"0",B6025:B6462,"5 1 3 9 8 12 31111 6 M59 65000 000132 0000R 00001 00398 015*")</f>
        <v>0</v>
      </c>
      <c r="H6024" s="83">
        <f t="shared" si="94"/>
        <v>5693.74</v>
      </c>
      <c r="I6024" s="83"/>
      <c r="K6024" s="54" t="s">
        <v>15</v>
      </c>
    </row>
    <row r="6025" spans="2:11" ht="33" x14ac:dyDescent="0.2">
      <c r="B6025" s="82" t="s">
        <v>9580</v>
      </c>
      <c r="C6025" s="82" t="s">
        <v>8550</v>
      </c>
      <c r="D6025" s="83">
        <f>SUMIFS(D6026:D6462,K6026:K6462,"0",B6026:B6462,"5 1 3 9 8 12 31111 6 M59 65000 000132 0000R 00001 00398 015 2111300*")-SUMIFS(E6026:E6462,K6026:K6462,"0",B6026:B6462,"5 1 3 9 8 12 31111 6 M59 65000 000132 0000R 00001 00398 015 2111300*")</f>
        <v>0</v>
      </c>
      <c r="E6025" s="54"/>
      <c r="F6025" s="83">
        <f>SUMIFS(F6026:F6462,K6026:K6462,"0",B6026:B6462,"5 1 3 9 8 12 31111 6 M59 65000 000132 0000R 00001 00398 015 2111300*")</f>
        <v>5693.74</v>
      </c>
      <c r="G6025" s="83">
        <f>SUMIFS(G6026:G6462,K6026:K6462,"0",B6026:B6462,"5 1 3 9 8 12 31111 6 M59 65000 000132 0000R 00001 00398 015 2111300*")</f>
        <v>0</v>
      </c>
      <c r="H6025" s="83">
        <f t="shared" si="94"/>
        <v>5693.74</v>
      </c>
      <c r="I6025" s="83"/>
      <c r="K6025" s="54" t="s">
        <v>15</v>
      </c>
    </row>
    <row r="6026" spans="2:11" ht="33" x14ac:dyDescent="0.2">
      <c r="B6026" s="82" t="s">
        <v>9581</v>
      </c>
      <c r="C6026" s="82" t="s">
        <v>660</v>
      </c>
      <c r="D6026" s="83">
        <f>SUMIFS(D6027:D6462,K6027:K6462,"0",B6027:B6462,"5 1 3 9 8 12 31111 6 M59 65000 000132 0000R 00001 00398 015 2111300 2024*")-SUMIFS(E6027:E6462,K6027:K6462,"0",B6027:B6462,"5 1 3 9 8 12 31111 6 M59 65000 000132 0000R 00001 00398 015 2111300 2024*")</f>
        <v>0</v>
      </c>
      <c r="E6026" s="54"/>
      <c r="F6026" s="83">
        <f>SUMIFS(F6027:F6462,K6027:K6462,"0",B6027:B6462,"5 1 3 9 8 12 31111 6 M59 65000 000132 0000R 00001 00398 015 2111300 2024*")</f>
        <v>5693.74</v>
      </c>
      <c r="G6026" s="83">
        <f>SUMIFS(G6027:G6462,K6027:K6462,"0",B6027:B6462,"5 1 3 9 8 12 31111 6 M59 65000 000132 0000R 00001 00398 015 2111300 2024*")</f>
        <v>0</v>
      </c>
      <c r="H6026" s="83">
        <f t="shared" si="94"/>
        <v>5693.74</v>
      </c>
      <c r="I6026" s="83"/>
      <c r="K6026" s="54" t="s">
        <v>15</v>
      </c>
    </row>
    <row r="6027" spans="2:11" ht="41.25" x14ac:dyDescent="0.2">
      <c r="B6027" s="82" t="s">
        <v>9582</v>
      </c>
      <c r="C6027" s="82" t="s">
        <v>1056</v>
      </c>
      <c r="D6027" s="83">
        <f>SUMIFS(D6028:D6462,K6028:K6462,"0",B6028:B6462,"5 1 3 9 8 12 31111 6 M59 65000 000132 0000R 00001 00398 015 2111300 2024 CP1EV381*")-SUMIFS(E6028:E6462,K6028:K6462,"0",B6028:B6462,"5 1 3 9 8 12 31111 6 M59 65000 000132 0000R 00001 00398 015 2111300 2024 CP1EV381*")</f>
        <v>0</v>
      </c>
      <c r="E6027" s="54"/>
      <c r="F6027" s="83">
        <f>SUMIFS(F6028:F6462,K6028:K6462,"0",B6028:B6462,"5 1 3 9 8 12 31111 6 M59 65000 000132 0000R 00001 00398 015 2111300 2024 CP1EV381*")</f>
        <v>5693.74</v>
      </c>
      <c r="G6027" s="83">
        <f>SUMIFS(G6028:G6462,K6028:K6462,"0",B6028:B6462,"5 1 3 9 8 12 31111 6 M59 65000 000132 0000R 00001 00398 015 2111300 2024 CP1EV381*")</f>
        <v>0</v>
      </c>
      <c r="H6027" s="83">
        <f t="shared" si="94"/>
        <v>5693.74</v>
      </c>
      <c r="I6027" s="83"/>
      <c r="K6027" s="54" t="s">
        <v>15</v>
      </c>
    </row>
    <row r="6028" spans="2:11" ht="41.25" x14ac:dyDescent="0.2">
      <c r="B6028" s="82" t="s">
        <v>9583</v>
      </c>
      <c r="C6028" s="82" t="s">
        <v>282</v>
      </c>
      <c r="D6028" s="83">
        <f>SUMIFS(D6029:D6462,K6029:K6462,"0",B6029:B6462,"5 1 3 9 8 12 31111 6 M59 65000 000132 0000R 00001 00398 015 2111300 2024 CP1EV381 001*")-SUMIFS(E6029:E6462,K6029:K6462,"0",B6029:B6462,"5 1 3 9 8 12 31111 6 M59 65000 000132 0000R 00001 00398 015 2111300 2024 CP1EV381 001*")</f>
        <v>0</v>
      </c>
      <c r="E6028" s="54"/>
      <c r="F6028" s="83">
        <f>SUMIFS(F6029:F6462,K6029:K6462,"0",B6029:B6462,"5 1 3 9 8 12 31111 6 M59 65000 000132 0000R 00001 00398 015 2111300 2024 CP1EV381 001*")</f>
        <v>5693.74</v>
      </c>
      <c r="G6028" s="83">
        <f>SUMIFS(G6029:G6462,K6029:K6462,"0",B6029:B6462,"5 1 3 9 8 12 31111 6 M59 65000 000132 0000R 00001 00398 015 2111300 2024 CP1EV381 001*")</f>
        <v>0</v>
      </c>
      <c r="H6028" s="83">
        <f t="shared" si="94"/>
        <v>5693.74</v>
      </c>
      <c r="I6028" s="83"/>
      <c r="K6028" s="54" t="s">
        <v>15</v>
      </c>
    </row>
    <row r="6029" spans="2:11" ht="33" x14ac:dyDescent="0.2">
      <c r="B6029" s="84" t="s">
        <v>9584</v>
      </c>
      <c r="C6029" s="84" t="s">
        <v>9254</v>
      </c>
      <c r="D6029" s="85">
        <v>0</v>
      </c>
      <c r="E6029" s="85"/>
      <c r="F6029" s="85">
        <v>5693.74</v>
      </c>
      <c r="G6029" s="85">
        <v>0</v>
      </c>
      <c r="H6029" s="85">
        <f t="shared" si="94"/>
        <v>5693.74</v>
      </c>
      <c r="I6029" s="85"/>
      <c r="K6029" s="54" t="s">
        <v>38</v>
      </c>
    </row>
    <row r="6030" spans="2:11" ht="16.5" x14ac:dyDescent="0.2">
      <c r="B6030" s="82" t="s">
        <v>9585</v>
      </c>
      <c r="C6030" s="82" t="s">
        <v>3377</v>
      </c>
      <c r="D6030" s="83">
        <f>SUMIFS(D6031:D6462,K6031:K6462,"0",B6031:B6462,"5 1 3 9 8 12 31111 6 M59 70000*")-SUMIFS(E6031:E6462,K6031:K6462,"0",B6031:B6462,"5 1 3 9 8 12 31111 6 M59 70000*")</f>
        <v>0</v>
      </c>
      <c r="E6030" s="54"/>
      <c r="F6030" s="83">
        <f>SUMIFS(F6031:F6462,K6031:K6462,"0",B6031:B6462,"5 1 3 9 8 12 31111 6 M59 70000*")</f>
        <v>7724.23</v>
      </c>
      <c r="G6030" s="83">
        <f>SUMIFS(G6031:G6462,K6031:K6462,"0",B6031:B6462,"5 1 3 9 8 12 31111 6 M59 70000*")</f>
        <v>0</v>
      </c>
      <c r="H6030" s="83">
        <f t="shared" si="94"/>
        <v>7724.23</v>
      </c>
      <c r="I6030" s="83"/>
      <c r="K6030" s="54" t="s">
        <v>15</v>
      </c>
    </row>
    <row r="6031" spans="2:11" ht="16.5" x14ac:dyDescent="0.2">
      <c r="B6031" s="82" t="s">
        <v>9586</v>
      </c>
      <c r="C6031" s="82" t="s">
        <v>648</v>
      </c>
      <c r="D6031" s="83">
        <f>SUMIFS(D6032:D6462,K6032:K6462,"0",B6032:B6462,"5 1 3 9 8 12 31111 6 M59 70000 000132*")-SUMIFS(E6032:E6462,K6032:K6462,"0",B6032:B6462,"5 1 3 9 8 12 31111 6 M59 70000 000132*")</f>
        <v>0</v>
      </c>
      <c r="E6031" s="54"/>
      <c r="F6031" s="83">
        <f>SUMIFS(F6032:F6462,K6032:K6462,"0",B6032:B6462,"5 1 3 9 8 12 31111 6 M59 70000 000132*")</f>
        <v>7724.23</v>
      </c>
      <c r="G6031" s="83">
        <f>SUMIFS(G6032:G6462,K6032:K6462,"0",B6032:B6462,"5 1 3 9 8 12 31111 6 M59 70000 000132*")</f>
        <v>0</v>
      </c>
      <c r="H6031" s="83">
        <f t="shared" si="94"/>
        <v>7724.23</v>
      </c>
      <c r="I6031" s="83"/>
      <c r="K6031" s="54" t="s">
        <v>15</v>
      </c>
    </row>
    <row r="6032" spans="2:11" ht="24.75" x14ac:dyDescent="0.2">
      <c r="B6032" s="82" t="s">
        <v>9587</v>
      </c>
      <c r="C6032" s="82" t="s">
        <v>650</v>
      </c>
      <c r="D6032" s="83">
        <f>SUMIFS(D6033:D6462,K6033:K6462,"0",B6033:B6462,"5 1 3 9 8 12 31111 6 M59 70000 000132 0000R*")-SUMIFS(E6033:E6462,K6033:K6462,"0",B6033:B6462,"5 1 3 9 8 12 31111 6 M59 70000 000132 0000R*")</f>
        <v>0</v>
      </c>
      <c r="E6032" s="54"/>
      <c r="F6032" s="83">
        <f>SUMIFS(F6033:F6462,K6033:K6462,"0",B6033:B6462,"5 1 3 9 8 12 31111 6 M59 70000 000132 0000R*")</f>
        <v>7724.23</v>
      </c>
      <c r="G6032" s="83">
        <f>SUMIFS(G6033:G6462,K6033:K6462,"0",B6033:B6462,"5 1 3 9 8 12 31111 6 M59 70000 000132 0000R*")</f>
        <v>0</v>
      </c>
      <c r="H6032" s="83">
        <f t="shared" si="94"/>
        <v>7724.23</v>
      </c>
      <c r="I6032" s="83"/>
      <c r="K6032" s="54" t="s">
        <v>15</v>
      </c>
    </row>
    <row r="6033" spans="2:11" ht="24.75" x14ac:dyDescent="0.2">
      <c r="B6033" s="82" t="s">
        <v>9588</v>
      </c>
      <c r="C6033" s="82" t="s">
        <v>282</v>
      </c>
      <c r="D6033" s="83">
        <f>SUMIFS(D6034:D6462,K6034:K6462,"0",B6034:B6462,"5 1 3 9 8 12 31111 6 M59 70000 000132 0000R 00001*")-SUMIFS(E6034:E6462,K6034:K6462,"0",B6034:B6462,"5 1 3 9 8 12 31111 6 M59 70000 000132 0000R 00001*")</f>
        <v>0</v>
      </c>
      <c r="E6033" s="54"/>
      <c r="F6033" s="83">
        <f>SUMIFS(F6034:F6462,K6034:K6462,"0",B6034:B6462,"5 1 3 9 8 12 31111 6 M59 70000 000132 0000R 00001*")</f>
        <v>7724.23</v>
      </c>
      <c r="G6033" s="83">
        <f>SUMIFS(G6034:G6462,K6034:K6462,"0",B6034:B6462,"5 1 3 9 8 12 31111 6 M59 70000 000132 0000R 00001*")</f>
        <v>0</v>
      </c>
      <c r="H6033" s="83">
        <f t="shared" si="94"/>
        <v>7724.23</v>
      </c>
      <c r="I6033" s="83"/>
      <c r="K6033" s="54" t="s">
        <v>15</v>
      </c>
    </row>
    <row r="6034" spans="2:11" ht="24.75" x14ac:dyDescent="0.2">
      <c r="B6034" s="82" t="s">
        <v>9589</v>
      </c>
      <c r="C6034" s="82" t="s">
        <v>9247</v>
      </c>
      <c r="D6034" s="83">
        <f>SUMIFS(D6035:D6462,K6035:K6462,"0",B6035:B6462,"5 1 3 9 8 12 31111 6 M59 70000 000132 0000R 00001 00398*")-SUMIFS(E6035:E6462,K6035:K6462,"0",B6035:B6462,"5 1 3 9 8 12 31111 6 M59 70000 000132 0000R 00001 00398*")</f>
        <v>0</v>
      </c>
      <c r="E6034" s="54"/>
      <c r="F6034" s="83">
        <f>SUMIFS(F6035:F6462,K6035:K6462,"0",B6035:B6462,"5 1 3 9 8 12 31111 6 M59 70000 000132 0000R 00001 00398*")</f>
        <v>7724.23</v>
      </c>
      <c r="G6034" s="83">
        <f>SUMIFS(G6035:G6462,K6035:K6462,"0",B6035:B6462,"5 1 3 9 8 12 31111 6 M59 70000 000132 0000R 00001 00398*")</f>
        <v>0</v>
      </c>
      <c r="H6034" s="83">
        <f t="shared" si="94"/>
        <v>7724.23</v>
      </c>
      <c r="I6034" s="83"/>
      <c r="K6034" s="54" t="s">
        <v>15</v>
      </c>
    </row>
    <row r="6035" spans="2:11" ht="33" x14ac:dyDescent="0.2">
      <c r="B6035" s="82" t="s">
        <v>9590</v>
      </c>
      <c r="C6035" s="82" t="s">
        <v>1051</v>
      </c>
      <c r="D6035" s="83">
        <f>SUMIFS(D6036:D6462,K6036:K6462,"0",B6036:B6462,"5 1 3 9 8 12 31111 6 M59 70000 000132 0000R 00001 00398 015*")-SUMIFS(E6036:E6462,K6036:K6462,"0",B6036:B6462,"5 1 3 9 8 12 31111 6 M59 70000 000132 0000R 00001 00398 015*")</f>
        <v>0</v>
      </c>
      <c r="E6035" s="54"/>
      <c r="F6035" s="83">
        <f>SUMIFS(F6036:F6462,K6036:K6462,"0",B6036:B6462,"5 1 3 9 8 12 31111 6 M59 70000 000132 0000R 00001 00398 015*")</f>
        <v>7724.23</v>
      </c>
      <c r="G6035" s="83">
        <f>SUMIFS(G6036:G6462,K6036:K6462,"0",B6036:B6462,"5 1 3 9 8 12 31111 6 M59 70000 000132 0000R 00001 00398 015*")</f>
        <v>0</v>
      </c>
      <c r="H6035" s="83">
        <f t="shared" si="94"/>
        <v>7724.23</v>
      </c>
      <c r="I6035" s="83"/>
      <c r="K6035" s="54" t="s">
        <v>15</v>
      </c>
    </row>
    <row r="6036" spans="2:11" ht="33" x14ac:dyDescent="0.2">
      <c r="B6036" s="82" t="s">
        <v>9591</v>
      </c>
      <c r="C6036" s="82" t="s">
        <v>8550</v>
      </c>
      <c r="D6036" s="83">
        <f>SUMIFS(D6037:D6462,K6037:K6462,"0",B6037:B6462,"5 1 3 9 8 12 31111 6 M59 70000 000132 0000R 00001 00398 015 2111300*")-SUMIFS(E6037:E6462,K6037:K6462,"0",B6037:B6462,"5 1 3 9 8 12 31111 6 M59 70000 000132 0000R 00001 00398 015 2111300*")</f>
        <v>0</v>
      </c>
      <c r="E6036" s="54"/>
      <c r="F6036" s="83">
        <f>SUMIFS(F6037:F6462,K6037:K6462,"0",B6037:B6462,"5 1 3 9 8 12 31111 6 M59 70000 000132 0000R 00001 00398 015 2111300*")</f>
        <v>7724.23</v>
      </c>
      <c r="G6036" s="83">
        <f>SUMIFS(G6037:G6462,K6037:K6462,"0",B6037:B6462,"5 1 3 9 8 12 31111 6 M59 70000 000132 0000R 00001 00398 015 2111300*")</f>
        <v>0</v>
      </c>
      <c r="H6036" s="83">
        <f t="shared" si="94"/>
        <v>7724.23</v>
      </c>
      <c r="I6036" s="83"/>
      <c r="K6036" s="54" t="s">
        <v>15</v>
      </c>
    </row>
    <row r="6037" spans="2:11" ht="33" x14ac:dyDescent="0.2">
      <c r="B6037" s="82" t="s">
        <v>9592</v>
      </c>
      <c r="C6037" s="82" t="s">
        <v>660</v>
      </c>
      <c r="D6037" s="83">
        <f>SUMIFS(D6038:D6462,K6038:K6462,"0",B6038:B6462,"5 1 3 9 8 12 31111 6 M59 70000 000132 0000R 00001 00398 015 2111300 2024*")-SUMIFS(E6038:E6462,K6038:K6462,"0",B6038:B6462,"5 1 3 9 8 12 31111 6 M59 70000 000132 0000R 00001 00398 015 2111300 2024*")</f>
        <v>0</v>
      </c>
      <c r="E6037" s="54"/>
      <c r="F6037" s="83">
        <f>SUMIFS(F6038:F6462,K6038:K6462,"0",B6038:B6462,"5 1 3 9 8 12 31111 6 M59 70000 000132 0000R 00001 00398 015 2111300 2024*")</f>
        <v>7724.23</v>
      </c>
      <c r="G6037" s="83">
        <f>SUMIFS(G6038:G6462,K6038:K6462,"0",B6038:B6462,"5 1 3 9 8 12 31111 6 M59 70000 000132 0000R 00001 00398 015 2111300 2024*")</f>
        <v>0</v>
      </c>
      <c r="H6037" s="83">
        <f t="shared" si="94"/>
        <v>7724.23</v>
      </c>
      <c r="I6037" s="83"/>
      <c r="K6037" s="54" t="s">
        <v>15</v>
      </c>
    </row>
    <row r="6038" spans="2:11" ht="41.25" x14ac:dyDescent="0.2">
      <c r="B6038" s="82" t="s">
        <v>9593</v>
      </c>
      <c r="C6038" s="82" t="s">
        <v>1056</v>
      </c>
      <c r="D6038" s="83">
        <f>SUMIFS(D6039:D6462,K6039:K6462,"0",B6039:B6462,"5 1 3 9 8 12 31111 6 M59 70000 000132 0000R 00001 00398 015 2111300 2024 CP1DS387*")-SUMIFS(E6039:E6462,K6039:K6462,"0",B6039:B6462,"5 1 3 9 8 12 31111 6 M59 70000 000132 0000R 00001 00398 015 2111300 2024 CP1DS387*")</f>
        <v>0</v>
      </c>
      <c r="E6038" s="54"/>
      <c r="F6038" s="83">
        <f>SUMIFS(F6039:F6462,K6039:K6462,"0",B6039:B6462,"5 1 3 9 8 12 31111 6 M59 70000 000132 0000R 00001 00398 015 2111300 2024 CP1DS387*")</f>
        <v>7724.23</v>
      </c>
      <c r="G6038" s="83">
        <f>SUMIFS(G6039:G6462,K6039:K6462,"0",B6039:B6462,"5 1 3 9 8 12 31111 6 M59 70000 000132 0000R 00001 00398 015 2111300 2024 CP1DS387*")</f>
        <v>0</v>
      </c>
      <c r="H6038" s="83">
        <f t="shared" si="94"/>
        <v>7724.23</v>
      </c>
      <c r="I6038" s="83"/>
      <c r="K6038" s="54" t="s">
        <v>15</v>
      </c>
    </row>
    <row r="6039" spans="2:11" ht="41.25" x14ac:dyDescent="0.2">
      <c r="B6039" s="82" t="s">
        <v>9594</v>
      </c>
      <c r="C6039" s="82" t="s">
        <v>282</v>
      </c>
      <c r="D6039" s="83">
        <f>SUMIFS(D6040:D6462,K6040:K6462,"0",B6040:B6462,"5 1 3 9 8 12 31111 6 M59 70000 000132 0000R 00001 00398 015 2111300 2024 CP1DS387 001*")-SUMIFS(E6040:E6462,K6040:K6462,"0",B6040:B6462,"5 1 3 9 8 12 31111 6 M59 70000 000132 0000R 00001 00398 015 2111300 2024 CP1DS387 001*")</f>
        <v>0</v>
      </c>
      <c r="E6039" s="54"/>
      <c r="F6039" s="83">
        <f>SUMIFS(F6040:F6462,K6040:K6462,"0",B6040:B6462,"5 1 3 9 8 12 31111 6 M59 70000 000132 0000R 00001 00398 015 2111300 2024 CP1DS387 001*")</f>
        <v>7724.23</v>
      </c>
      <c r="G6039" s="83">
        <f>SUMIFS(G6040:G6462,K6040:K6462,"0",B6040:B6462,"5 1 3 9 8 12 31111 6 M59 70000 000132 0000R 00001 00398 015 2111300 2024 CP1DS387 001*")</f>
        <v>0</v>
      </c>
      <c r="H6039" s="83">
        <f t="shared" si="94"/>
        <v>7724.23</v>
      </c>
      <c r="I6039" s="83"/>
      <c r="K6039" s="54" t="s">
        <v>15</v>
      </c>
    </row>
    <row r="6040" spans="2:11" ht="33" x14ac:dyDescent="0.2">
      <c r="B6040" s="84" t="s">
        <v>9595</v>
      </c>
      <c r="C6040" s="84" t="s">
        <v>9254</v>
      </c>
      <c r="D6040" s="85">
        <v>0</v>
      </c>
      <c r="E6040" s="85"/>
      <c r="F6040" s="85">
        <v>7724.23</v>
      </c>
      <c r="G6040" s="85">
        <v>0</v>
      </c>
      <c r="H6040" s="85">
        <f t="shared" si="94"/>
        <v>7724.23</v>
      </c>
      <c r="I6040" s="85"/>
      <c r="K6040" s="54" t="s">
        <v>38</v>
      </c>
    </row>
    <row r="6041" spans="2:11" ht="16.5" x14ac:dyDescent="0.2">
      <c r="B6041" s="82" t="s">
        <v>9596</v>
      </c>
      <c r="C6041" s="82" t="s">
        <v>3389</v>
      </c>
      <c r="D6041" s="83">
        <f>SUMIFS(D6042:D6462,K6042:K6462,"0",B6042:B6462,"5 1 3 9 8 12 31111 6 M59 70100*")-SUMIFS(E6042:E6462,K6042:K6462,"0",B6042:B6462,"5 1 3 9 8 12 31111 6 M59 70100*")</f>
        <v>0</v>
      </c>
      <c r="E6041" s="54"/>
      <c r="F6041" s="83">
        <f>SUMIFS(F6042:F6462,K6042:K6462,"0",B6042:B6462,"5 1 3 9 8 12 31111 6 M59 70100*")</f>
        <v>11830.87</v>
      </c>
      <c r="G6041" s="83">
        <f>SUMIFS(G6042:G6462,K6042:K6462,"0",B6042:B6462,"5 1 3 9 8 12 31111 6 M59 70100*")</f>
        <v>0</v>
      </c>
      <c r="H6041" s="83">
        <f t="shared" si="94"/>
        <v>11830.87</v>
      </c>
      <c r="I6041" s="83"/>
      <c r="K6041" s="54" t="s">
        <v>15</v>
      </c>
    </row>
    <row r="6042" spans="2:11" ht="16.5" x14ac:dyDescent="0.2">
      <c r="B6042" s="82" t="s">
        <v>9597</v>
      </c>
      <c r="C6042" s="82" t="s">
        <v>648</v>
      </c>
      <c r="D6042" s="83">
        <f>SUMIFS(D6043:D6462,K6043:K6462,"0",B6043:B6462,"5 1 3 9 8 12 31111 6 M59 70100 000132*")-SUMIFS(E6043:E6462,K6043:K6462,"0",B6043:B6462,"5 1 3 9 8 12 31111 6 M59 70100 000132*")</f>
        <v>0</v>
      </c>
      <c r="E6042" s="54"/>
      <c r="F6042" s="83">
        <f>SUMIFS(F6043:F6462,K6043:K6462,"0",B6043:B6462,"5 1 3 9 8 12 31111 6 M59 70100 000132*")</f>
        <v>11830.87</v>
      </c>
      <c r="G6042" s="83">
        <f>SUMIFS(G6043:G6462,K6043:K6462,"0",B6043:B6462,"5 1 3 9 8 12 31111 6 M59 70100 000132*")</f>
        <v>0</v>
      </c>
      <c r="H6042" s="83">
        <f t="shared" si="94"/>
        <v>11830.87</v>
      </c>
      <c r="I6042" s="83"/>
      <c r="K6042" s="54" t="s">
        <v>15</v>
      </c>
    </row>
    <row r="6043" spans="2:11" ht="24.75" x14ac:dyDescent="0.2">
      <c r="B6043" s="82" t="s">
        <v>9598</v>
      </c>
      <c r="C6043" s="82" t="s">
        <v>650</v>
      </c>
      <c r="D6043" s="83">
        <f>SUMIFS(D6044:D6462,K6044:K6462,"0",B6044:B6462,"5 1 3 9 8 12 31111 6 M59 70100 000132 0000R*")-SUMIFS(E6044:E6462,K6044:K6462,"0",B6044:B6462,"5 1 3 9 8 12 31111 6 M59 70100 000132 0000R*")</f>
        <v>0</v>
      </c>
      <c r="E6043" s="54"/>
      <c r="F6043" s="83">
        <f>SUMIFS(F6044:F6462,K6044:K6462,"0",B6044:B6462,"5 1 3 9 8 12 31111 6 M59 70100 000132 0000R*")</f>
        <v>11830.87</v>
      </c>
      <c r="G6043" s="83">
        <f>SUMIFS(G6044:G6462,K6044:K6462,"0",B6044:B6462,"5 1 3 9 8 12 31111 6 M59 70100 000132 0000R*")</f>
        <v>0</v>
      </c>
      <c r="H6043" s="83">
        <f t="shared" si="94"/>
        <v>11830.87</v>
      </c>
      <c r="I6043" s="83"/>
      <c r="K6043" s="54" t="s">
        <v>15</v>
      </c>
    </row>
    <row r="6044" spans="2:11" ht="24.75" x14ac:dyDescent="0.2">
      <c r="B6044" s="82" t="s">
        <v>9599</v>
      </c>
      <c r="C6044" s="82" t="s">
        <v>282</v>
      </c>
      <c r="D6044" s="83">
        <f>SUMIFS(D6045:D6462,K6045:K6462,"0",B6045:B6462,"5 1 3 9 8 12 31111 6 M59 70100 000132 0000R 00001*")-SUMIFS(E6045:E6462,K6045:K6462,"0",B6045:B6462,"5 1 3 9 8 12 31111 6 M59 70100 000132 0000R 00001*")</f>
        <v>0</v>
      </c>
      <c r="E6044" s="54"/>
      <c r="F6044" s="83">
        <f>SUMIFS(F6045:F6462,K6045:K6462,"0",B6045:B6462,"5 1 3 9 8 12 31111 6 M59 70100 000132 0000R 00001*")</f>
        <v>11830.87</v>
      </c>
      <c r="G6044" s="83">
        <f>SUMIFS(G6045:G6462,K6045:K6462,"0",B6045:B6462,"5 1 3 9 8 12 31111 6 M59 70100 000132 0000R 00001*")</f>
        <v>0</v>
      </c>
      <c r="H6044" s="83">
        <f t="shared" si="94"/>
        <v>11830.87</v>
      </c>
      <c r="I6044" s="83"/>
      <c r="K6044" s="54" t="s">
        <v>15</v>
      </c>
    </row>
    <row r="6045" spans="2:11" ht="24.75" x14ac:dyDescent="0.2">
      <c r="B6045" s="82" t="s">
        <v>9600</v>
      </c>
      <c r="C6045" s="82" t="s">
        <v>9247</v>
      </c>
      <c r="D6045" s="83">
        <f>SUMIFS(D6046:D6462,K6046:K6462,"0",B6046:B6462,"5 1 3 9 8 12 31111 6 M59 70100 000132 0000R 00001 00398*")-SUMIFS(E6046:E6462,K6046:K6462,"0",B6046:B6462,"5 1 3 9 8 12 31111 6 M59 70100 000132 0000R 00001 00398*")</f>
        <v>0</v>
      </c>
      <c r="E6045" s="54"/>
      <c r="F6045" s="83">
        <f>SUMIFS(F6046:F6462,K6046:K6462,"0",B6046:B6462,"5 1 3 9 8 12 31111 6 M59 70100 000132 0000R 00001 00398*")</f>
        <v>11830.87</v>
      </c>
      <c r="G6045" s="83">
        <f>SUMIFS(G6046:G6462,K6046:K6462,"0",B6046:B6462,"5 1 3 9 8 12 31111 6 M59 70100 000132 0000R 00001 00398*")</f>
        <v>0</v>
      </c>
      <c r="H6045" s="83">
        <f t="shared" si="94"/>
        <v>11830.87</v>
      </c>
      <c r="I6045" s="83"/>
      <c r="K6045" s="54" t="s">
        <v>15</v>
      </c>
    </row>
    <row r="6046" spans="2:11" ht="33" x14ac:dyDescent="0.2">
      <c r="B6046" s="82" t="s">
        <v>9601</v>
      </c>
      <c r="C6046" s="82" t="s">
        <v>1051</v>
      </c>
      <c r="D6046" s="83">
        <f>SUMIFS(D6047:D6462,K6047:K6462,"0",B6047:B6462,"5 1 3 9 8 12 31111 6 M59 70100 000132 0000R 00001 00398 015*")-SUMIFS(E6047:E6462,K6047:K6462,"0",B6047:B6462,"5 1 3 9 8 12 31111 6 M59 70100 000132 0000R 00001 00398 015*")</f>
        <v>0</v>
      </c>
      <c r="E6046" s="54"/>
      <c r="F6046" s="83">
        <f>SUMIFS(F6047:F6462,K6047:K6462,"0",B6047:B6462,"5 1 3 9 8 12 31111 6 M59 70100 000132 0000R 00001 00398 015*")</f>
        <v>11830.87</v>
      </c>
      <c r="G6046" s="83">
        <f>SUMIFS(G6047:G6462,K6047:K6462,"0",B6047:B6462,"5 1 3 9 8 12 31111 6 M59 70100 000132 0000R 00001 00398 015*")</f>
        <v>0</v>
      </c>
      <c r="H6046" s="83">
        <f t="shared" si="94"/>
        <v>11830.87</v>
      </c>
      <c r="I6046" s="83"/>
      <c r="K6046" s="54" t="s">
        <v>15</v>
      </c>
    </row>
    <row r="6047" spans="2:11" ht="33" x14ac:dyDescent="0.2">
      <c r="B6047" s="82" t="s">
        <v>9602</v>
      </c>
      <c r="C6047" s="82" t="s">
        <v>8550</v>
      </c>
      <c r="D6047" s="83">
        <f>SUMIFS(D6048:D6462,K6048:K6462,"0",B6048:B6462,"5 1 3 9 8 12 31111 6 M59 70100 000132 0000R 00001 00398 015 2111300*")-SUMIFS(E6048:E6462,K6048:K6462,"0",B6048:B6462,"5 1 3 9 8 12 31111 6 M59 70100 000132 0000R 00001 00398 015 2111300*")</f>
        <v>0</v>
      </c>
      <c r="E6047" s="54"/>
      <c r="F6047" s="83">
        <f>SUMIFS(F6048:F6462,K6048:K6462,"0",B6048:B6462,"5 1 3 9 8 12 31111 6 M59 70100 000132 0000R 00001 00398 015 2111300*")</f>
        <v>11830.87</v>
      </c>
      <c r="G6047" s="83">
        <f>SUMIFS(G6048:G6462,K6048:K6462,"0",B6048:B6462,"5 1 3 9 8 12 31111 6 M59 70100 000132 0000R 00001 00398 015 2111300*")</f>
        <v>0</v>
      </c>
      <c r="H6047" s="83">
        <f t="shared" si="94"/>
        <v>11830.87</v>
      </c>
      <c r="I6047" s="83"/>
      <c r="K6047" s="54" t="s">
        <v>15</v>
      </c>
    </row>
    <row r="6048" spans="2:11" ht="33" x14ac:dyDescent="0.2">
      <c r="B6048" s="82" t="s">
        <v>9603</v>
      </c>
      <c r="C6048" s="82" t="s">
        <v>660</v>
      </c>
      <c r="D6048" s="83">
        <f>SUMIFS(D6049:D6462,K6049:K6462,"0",B6049:B6462,"5 1 3 9 8 12 31111 6 M59 70100 000132 0000R 00001 00398 015 2111300 2024*")-SUMIFS(E6049:E6462,K6049:K6462,"0",B6049:B6462,"5 1 3 9 8 12 31111 6 M59 70100 000132 0000R 00001 00398 015 2111300 2024*")</f>
        <v>0</v>
      </c>
      <c r="E6048" s="54"/>
      <c r="F6048" s="83">
        <f>SUMIFS(F6049:F6462,K6049:K6462,"0",B6049:B6462,"5 1 3 9 8 12 31111 6 M59 70100 000132 0000R 00001 00398 015 2111300 2024*")</f>
        <v>11830.87</v>
      </c>
      <c r="G6048" s="83">
        <f>SUMIFS(G6049:G6462,K6049:K6462,"0",B6049:B6462,"5 1 3 9 8 12 31111 6 M59 70100 000132 0000R 00001 00398 015 2111300 2024*")</f>
        <v>0</v>
      </c>
      <c r="H6048" s="83">
        <f t="shared" si="94"/>
        <v>11830.87</v>
      </c>
      <c r="I6048" s="83"/>
      <c r="K6048" s="54" t="s">
        <v>15</v>
      </c>
    </row>
    <row r="6049" spans="2:11" ht="41.25" x14ac:dyDescent="0.2">
      <c r="B6049" s="82" t="s">
        <v>9604</v>
      </c>
      <c r="C6049" s="82" t="s">
        <v>1056</v>
      </c>
      <c r="D6049" s="83">
        <f>SUMIFS(D6050:D6462,K6050:K6462,"0",B6050:B6462,"5 1 3 9 8 12 31111 6 M59 70100 000132 0000R 00001 00398 015 2111300 2024 CP1MM393*")-SUMIFS(E6050:E6462,K6050:K6462,"0",B6050:B6462,"5 1 3 9 8 12 31111 6 M59 70100 000132 0000R 00001 00398 015 2111300 2024 CP1MM393*")</f>
        <v>0</v>
      </c>
      <c r="E6049" s="54"/>
      <c r="F6049" s="83">
        <f>SUMIFS(F6050:F6462,K6050:K6462,"0",B6050:B6462,"5 1 3 9 8 12 31111 6 M59 70100 000132 0000R 00001 00398 015 2111300 2024 CP1MM393*")</f>
        <v>11830.87</v>
      </c>
      <c r="G6049" s="83">
        <f>SUMIFS(G6050:G6462,K6050:K6462,"0",B6050:B6462,"5 1 3 9 8 12 31111 6 M59 70100 000132 0000R 00001 00398 015 2111300 2024 CP1MM393*")</f>
        <v>0</v>
      </c>
      <c r="H6049" s="83">
        <f t="shared" si="94"/>
        <v>11830.87</v>
      </c>
      <c r="I6049" s="83"/>
      <c r="K6049" s="54" t="s">
        <v>15</v>
      </c>
    </row>
    <row r="6050" spans="2:11" ht="41.25" x14ac:dyDescent="0.2">
      <c r="B6050" s="82" t="s">
        <v>9605</v>
      </c>
      <c r="C6050" s="82" t="s">
        <v>282</v>
      </c>
      <c r="D6050" s="83">
        <f>SUMIFS(D6051:D6462,K6051:K6462,"0",B6051:B6462,"5 1 3 9 8 12 31111 6 M59 70100 000132 0000R 00001 00398 015 2111300 2024 CP1MM393 001*")-SUMIFS(E6051:E6462,K6051:K6462,"0",B6051:B6462,"5 1 3 9 8 12 31111 6 M59 70100 000132 0000R 00001 00398 015 2111300 2024 CP1MM393 001*")</f>
        <v>0</v>
      </c>
      <c r="E6050" s="54"/>
      <c r="F6050" s="83">
        <f>SUMIFS(F6051:F6462,K6051:K6462,"0",B6051:B6462,"5 1 3 9 8 12 31111 6 M59 70100 000132 0000R 00001 00398 015 2111300 2024 CP1MM393 001*")</f>
        <v>11830.87</v>
      </c>
      <c r="G6050" s="83">
        <f>SUMIFS(G6051:G6462,K6051:K6462,"0",B6051:B6462,"5 1 3 9 8 12 31111 6 M59 70100 000132 0000R 00001 00398 015 2111300 2024 CP1MM393 001*")</f>
        <v>0</v>
      </c>
      <c r="H6050" s="83">
        <f t="shared" si="94"/>
        <v>11830.87</v>
      </c>
      <c r="I6050" s="83"/>
      <c r="K6050" s="54" t="s">
        <v>15</v>
      </c>
    </row>
    <row r="6051" spans="2:11" ht="33" x14ac:dyDescent="0.2">
      <c r="B6051" s="84" t="s">
        <v>9606</v>
      </c>
      <c r="C6051" s="84" t="s">
        <v>9254</v>
      </c>
      <c r="D6051" s="85">
        <v>0</v>
      </c>
      <c r="E6051" s="85"/>
      <c r="F6051" s="85">
        <v>11830.87</v>
      </c>
      <c r="G6051" s="85">
        <v>0</v>
      </c>
      <c r="H6051" s="85">
        <f t="shared" si="94"/>
        <v>11830.87</v>
      </c>
      <c r="I6051" s="85"/>
      <c r="K6051" s="54" t="s">
        <v>38</v>
      </c>
    </row>
    <row r="6052" spans="2:11" ht="16.5" x14ac:dyDescent="0.2">
      <c r="B6052" s="82" t="s">
        <v>9607</v>
      </c>
      <c r="C6052" s="82" t="s">
        <v>3401</v>
      </c>
      <c r="D6052" s="83">
        <f>SUMIFS(D6053:D6462,K6053:K6462,"0",B6053:B6462,"5 1 3 9 8 12 31111 6 M59 70200*")-SUMIFS(E6053:E6462,K6053:K6462,"0",B6053:B6462,"5 1 3 9 8 12 31111 6 M59 70200*")</f>
        <v>0</v>
      </c>
      <c r="E6052" s="54"/>
      <c r="F6052" s="83">
        <f>SUMIFS(F6053:F6462,K6053:K6462,"0",B6053:B6462,"5 1 3 9 8 12 31111 6 M59 70200*")</f>
        <v>4437.83</v>
      </c>
      <c r="G6052" s="83">
        <f>SUMIFS(G6053:G6462,K6053:K6462,"0",B6053:B6462,"5 1 3 9 8 12 31111 6 M59 70200*")</f>
        <v>0</v>
      </c>
      <c r="H6052" s="83">
        <f t="shared" si="94"/>
        <v>4437.83</v>
      </c>
      <c r="I6052" s="83"/>
      <c r="K6052" s="54" t="s">
        <v>15</v>
      </c>
    </row>
    <row r="6053" spans="2:11" ht="16.5" x14ac:dyDescent="0.2">
      <c r="B6053" s="82" t="s">
        <v>9608</v>
      </c>
      <c r="C6053" s="82" t="s">
        <v>648</v>
      </c>
      <c r="D6053" s="83">
        <f>SUMIFS(D6054:D6462,K6054:K6462,"0",B6054:B6462,"5 1 3 9 8 12 31111 6 M59 70200 000132*")-SUMIFS(E6054:E6462,K6054:K6462,"0",B6054:B6462,"5 1 3 9 8 12 31111 6 M59 70200 000132*")</f>
        <v>0</v>
      </c>
      <c r="E6053" s="54"/>
      <c r="F6053" s="83">
        <f>SUMIFS(F6054:F6462,K6054:K6462,"0",B6054:B6462,"5 1 3 9 8 12 31111 6 M59 70200 000132*")</f>
        <v>4437.83</v>
      </c>
      <c r="G6053" s="83">
        <f>SUMIFS(G6054:G6462,K6054:K6462,"0",B6054:B6462,"5 1 3 9 8 12 31111 6 M59 70200 000132*")</f>
        <v>0</v>
      </c>
      <c r="H6053" s="83">
        <f t="shared" si="94"/>
        <v>4437.83</v>
      </c>
      <c r="I6053" s="83"/>
      <c r="K6053" s="54" t="s">
        <v>15</v>
      </c>
    </row>
    <row r="6054" spans="2:11" ht="24.75" x14ac:dyDescent="0.2">
      <c r="B6054" s="82" t="s">
        <v>9609</v>
      </c>
      <c r="C6054" s="82" t="s">
        <v>650</v>
      </c>
      <c r="D6054" s="83">
        <f>SUMIFS(D6055:D6462,K6055:K6462,"0",B6055:B6462,"5 1 3 9 8 12 31111 6 M59 70200 000132 0000R*")-SUMIFS(E6055:E6462,K6055:K6462,"0",B6055:B6462,"5 1 3 9 8 12 31111 6 M59 70200 000132 0000R*")</f>
        <v>0</v>
      </c>
      <c r="E6054" s="54"/>
      <c r="F6054" s="83">
        <f>SUMIFS(F6055:F6462,K6055:K6462,"0",B6055:B6462,"5 1 3 9 8 12 31111 6 M59 70200 000132 0000R*")</f>
        <v>4437.83</v>
      </c>
      <c r="G6054" s="83">
        <f>SUMIFS(G6055:G6462,K6055:K6462,"0",B6055:B6462,"5 1 3 9 8 12 31111 6 M59 70200 000132 0000R*")</f>
        <v>0</v>
      </c>
      <c r="H6054" s="83">
        <f t="shared" si="94"/>
        <v>4437.83</v>
      </c>
      <c r="I6054" s="83"/>
      <c r="K6054" s="54" t="s">
        <v>15</v>
      </c>
    </row>
    <row r="6055" spans="2:11" ht="24.75" x14ac:dyDescent="0.2">
      <c r="B6055" s="82" t="s">
        <v>9610</v>
      </c>
      <c r="C6055" s="82" t="s">
        <v>282</v>
      </c>
      <c r="D6055" s="83">
        <f>SUMIFS(D6056:D6462,K6056:K6462,"0",B6056:B6462,"5 1 3 9 8 12 31111 6 M59 70200 000132 0000R 00001*")-SUMIFS(E6056:E6462,K6056:K6462,"0",B6056:B6462,"5 1 3 9 8 12 31111 6 M59 70200 000132 0000R 00001*")</f>
        <v>0</v>
      </c>
      <c r="E6055" s="54"/>
      <c r="F6055" s="83">
        <f>SUMIFS(F6056:F6462,K6056:K6462,"0",B6056:B6462,"5 1 3 9 8 12 31111 6 M59 70200 000132 0000R 00001*")</f>
        <v>4437.83</v>
      </c>
      <c r="G6055" s="83">
        <f>SUMIFS(G6056:G6462,K6056:K6462,"0",B6056:B6462,"5 1 3 9 8 12 31111 6 M59 70200 000132 0000R 00001*")</f>
        <v>0</v>
      </c>
      <c r="H6055" s="83">
        <f t="shared" si="94"/>
        <v>4437.83</v>
      </c>
      <c r="I6055" s="83"/>
      <c r="K6055" s="54" t="s">
        <v>15</v>
      </c>
    </row>
    <row r="6056" spans="2:11" ht="24.75" x14ac:dyDescent="0.2">
      <c r="B6056" s="82" t="s">
        <v>9611</v>
      </c>
      <c r="C6056" s="82" t="s">
        <v>9247</v>
      </c>
      <c r="D6056" s="83">
        <f>SUMIFS(D6057:D6462,K6057:K6462,"0",B6057:B6462,"5 1 3 9 8 12 31111 6 M59 70200 000132 0000R 00001 00398*")-SUMIFS(E6057:E6462,K6057:K6462,"0",B6057:B6462,"5 1 3 9 8 12 31111 6 M59 70200 000132 0000R 00001 00398*")</f>
        <v>0</v>
      </c>
      <c r="E6056" s="54"/>
      <c r="F6056" s="83">
        <f>SUMIFS(F6057:F6462,K6057:K6462,"0",B6057:B6462,"5 1 3 9 8 12 31111 6 M59 70200 000132 0000R 00001 00398*")</f>
        <v>4437.83</v>
      </c>
      <c r="G6056" s="83">
        <f>SUMIFS(G6057:G6462,K6057:K6462,"0",B6057:B6462,"5 1 3 9 8 12 31111 6 M59 70200 000132 0000R 00001 00398*")</f>
        <v>0</v>
      </c>
      <c r="H6056" s="83">
        <f t="shared" si="94"/>
        <v>4437.83</v>
      </c>
      <c r="I6056" s="83"/>
      <c r="K6056" s="54" t="s">
        <v>15</v>
      </c>
    </row>
    <row r="6057" spans="2:11" ht="33" x14ac:dyDescent="0.2">
      <c r="B6057" s="82" t="s">
        <v>9612</v>
      </c>
      <c r="C6057" s="82" t="s">
        <v>1051</v>
      </c>
      <c r="D6057" s="83">
        <f>SUMIFS(D6058:D6462,K6058:K6462,"0",B6058:B6462,"5 1 3 9 8 12 31111 6 M59 70200 000132 0000R 00001 00398 015*")-SUMIFS(E6058:E6462,K6058:K6462,"0",B6058:B6462,"5 1 3 9 8 12 31111 6 M59 70200 000132 0000R 00001 00398 015*")</f>
        <v>0</v>
      </c>
      <c r="E6057" s="54"/>
      <c r="F6057" s="83">
        <f>SUMIFS(F6058:F6462,K6058:K6462,"0",B6058:B6462,"5 1 3 9 8 12 31111 6 M59 70200 000132 0000R 00001 00398 015*")</f>
        <v>4437.83</v>
      </c>
      <c r="G6057" s="83">
        <f>SUMIFS(G6058:G6462,K6058:K6462,"0",B6058:B6462,"5 1 3 9 8 12 31111 6 M59 70200 000132 0000R 00001 00398 015*")</f>
        <v>0</v>
      </c>
      <c r="H6057" s="83">
        <f t="shared" si="94"/>
        <v>4437.83</v>
      </c>
      <c r="I6057" s="83"/>
      <c r="K6057" s="54" t="s">
        <v>15</v>
      </c>
    </row>
    <row r="6058" spans="2:11" ht="33" x14ac:dyDescent="0.2">
      <c r="B6058" s="82" t="s">
        <v>9613</v>
      </c>
      <c r="C6058" s="82" t="s">
        <v>8550</v>
      </c>
      <c r="D6058" s="83">
        <f>SUMIFS(D6059:D6462,K6059:K6462,"0",B6059:B6462,"5 1 3 9 8 12 31111 6 M59 70200 000132 0000R 00001 00398 015 2111300*")-SUMIFS(E6059:E6462,K6059:K6462,"0",B6059:B6462,"5 1 3 9 8 12 31111 6 M59 70200 000132 0000R 00001 00398 015 2111300*")</f>
        <v>0</v>
      </c>
      <c r="E6058" s="54"/>
      <c r="F6058" s="83">
        <f>SUMIFS(F6059:F6462,K6059:K6462,"0",B6059:B6462,"5 1 3 9 8 12 31111 6 M59 70200 000132 0000R 00001 00398 015 2111300*")</f>
        <v>4437.83</v>
      </c>
      <c r="G6058" s="83">
        <f>SUMIFS(G6059:G6462,K6059:K6462,"0",B6059:B6462,"5 1 3 9 8 12 31111 6 M59 70200 000132 0000R 00001 00398 015 2111300*")</f>
        <v>0</v>
      </c>
      <c r="H6058" s="83">
        <f t="shared" si="94"/>
        <v>4437.83</v>
      </c>
      <c r="I6058" s="83"/>
      <c r="K6058" s="54" t="s">
        <v>15</v>
      </c>
    </row>
    <row r="6059" spans="2:11" ht="33" x14ac:dyDescent="0.2">
      <c r="B6059" s="82" t="s">
        <v>9614</v>
      </c>
      <c r="C6059" s="82" t="s">
        <v>660</v>
      </c>
      <c r="D6059" s="83">
        <f>SUMIFS(D6060:D6462,K6060:K6462,"0",B6060:B6462,"5 1 3 9 8 12 31111 6 M59 70200 000132 0000R 00001 00398 015 2111300 2024*")-SUMIFS(E6060:E6462,K6060:K6462,"0",B6060:B6462,"5 1 3 9 8 12 31111 6 M59 70200 000132 0000R 00001 00398 015 2111300 2024*")</f>
        <v>0</v>
      </c>
      <c r="E6059" s="54"/>
      <c r="F6059" s="83">
        <f>SUMIFS(F6060:F6462,K6060:K6462,"0",B6060:B6462,"5 1 3 9 8 12 31111 6 M59 70200 000132 0000R 00001 00398 015 2111300 2024*")</f>
        <v>4437.83</v>
      </c>
      <c r="G6059" s="83">
        <f>SUMIFS(G6060:G6462,K6060:K6462,"0",B6060:B6462,"5 1 3 9 8 12 31111 6 M59 70200 000132 0000R 00001 00398 015 2111300 2024*")</f>
        <v>0</v>
      </c>
      <c r="H6059" s="83">
        <f t="shared" ref="H6059:H6122" si="95">D6059 + F6059 - G6059</f>
        <v>4437.83</v>
      </c>
      <c r="I6059" s="83"/>
      <c r="K6059" s="54" t="s">
        <v>15</v>
      </c>
    </row>
    <row r="6060" spans="2:11" ht="41.25" x14ac:dyDescent="0.2">
      <c r="B6060" s="82" t="s">
        <v>9615</v>
      </c>
      <c r="C6060" s="82" t="s">
        <v>1056</v>
      </c>
      <c r="D6060" s="83">
        <f>SUMIFS(D6061:D6462,K6061:K6462,"0",B6061:B6462,"5 1 3 9 8 12 31111 6 M59 70200 000132 0000R 00001 00398 015 2111300 2024 CP1SE410*")-SUMIFS(E6061:E6462,K6061:K6462,"0",B6061:B6462,"5 1 3 9 8 12 31111 6 M59 70200 000132 0000R 00001 00398 015 2111300 2024 CP1SE410*")</f>
        <v>0</v>
      </c>
      <c r="E6060" s="54"/>
      <c r="F6060" s="83">
        <f>SUMIFS(F6061:F6462,K6061:K6462,"0",B6061:B6462,"5 1 3 9 8 12 31111 6 M59 70200 000132 0000R 00001 00398 015 2111300 2024 CP1SE410*")</f>
        <v>4437.83</v>
      </c>
      <c r="G6060" s="83">
        <f>SUMIFS(G6061:G6462,K6061:K6462,"0",B6061:B6462,"5 1 3 9 8 12 31111 6 M59 70200 000132 0000R 00001 00398 015 2111300 2024 CP1SE410*")</f>
        <v>0</v>
      </c>
      <c r="H6060" s="83">
        <f t="shared" si="95"/>
        <v>4437.83</v>
      </c>
      <c r="I6060" s="83"/>
      <c r="K6060" s="54" t="s">
        <v>15</v>
      </c>
    </row>
    <row r="6061" spans="2:11" ht="41.25" x14ac:dyDescent="0.2">
      <c r="B6061" s="82" t="s">
        <v>9616</v>
      </c>
      <c r="C6061" s="82" t="s">
        <v>282</v>
      </c>
      <c r="D6061" s="83">
        <f>SUMIFS(D6062:D6462,K6062:K6462,"0",B6062:B6462,"5 1 3 9 8 12 31111 6 M59 70200 000132 0000R 00001 00398 015 2111300 2024 CP1SE410 001*")-SUMIFS(E6062:E6462,K6062:K6462,"0",B6062:B6462,"5 1 3 9 8 12 31111 6 M59 70200 000132 0000R 00001 00398 015 2111300 2024 CP1SE410 001*")</f>
        <v>0</v>
      </c>
      <c r="E6061" s="54"/>
      <c r="F6061" s="83">
        <f>SUMIFS(F6062:F6462,K6062:K6462,"0",B6062:B6462,"5 1 3 9 8 12 31111 6 M59 70200 000132 0000R 00001 00398 015 2111300 2024 CP1SE410 001*")</f>
        <v>4437.83</v>
      </c>
      <c r="G6061" s="83">
        <f>SUMIFS(G6062:G6462,K6062:K6462,"0",B6062:B6462,"5 1 3 9 8 12 31111 6 M59 70200 000132 0000R 00001 00398 015 2111300 2024 CP1SE410 001*")</f>
        <v>0</v>
      </c>
      <c r="H6061" s="83">
        <f t="shared" si="95"/>
        <v>4437.83</v>
      </c>
      <c r="I6061" s="83"/>
      <c r="K6061" s="54" t="s">
        <v>15</v>
      </c>
    </row>
    <row r="6062" spans="2:11" ht="33" x14ac:dyDescent="0.2">
      <c r="B6062" s="84" t="s">
        <v>9617</v>
      </c>
      <c r="C6062" s="84" t="s">
        <v>9254</v>
      </c>
      <c r="D6062" s="85">
        <v>0</v>
      </c>
      <c r="E6062" s="85"/>
      <c r="F6062" s="85">
        <v>4437.83</v>
      </c>
      <c r="G6062" s="85">
        <v>0</v>
      </c>
      <c r="H6062" s="85">
        <f t="shared" si="95"/>
        <v>4437.83</v>
      </c>
      <c r="I6062" s="85"/>
      <c r="K6062" s="54" t="s">
        <v>38</v>
      </c>
    </row>
    <row r="6063" spans="2:11" ht="16.5" x14ac:dyDescent="0.2">
      <c r="B6063" s="82" t="s">
        <v>9618</v>
      </c>
      <c r="C6063" s="82" t="s">
        <v>3413</v>
      </c>
      <c r="D6063" s="83">
        <f>SUMIFS(D6064:D6462,K6064:K6462,"0",B6064:B6462,"5 1 3 9 8 12 31111 6 M59 70300*")-SUMIFS(E6064:E6462,K6064:K6462,"0",B6064:B6462,"5 1 3 9 8 12 31111 6 M59 70300*")</f>
        <v>0</v>
      </c>
      <c r="E6063" s="54"/>
      <c r="F6063" s="83">
        <f>SUMIFS(F6064:F6462,K6064:K6462,"0",B6064:B6462,"5 1 3 9 8 12 31111 6 M59 70300*")</f>
        <v>26562.46</v>
      </c>
      <c r="G6063" s="83">
        <f>SUMIFS(G6064:G6462,K6064:K6462,"0",B6064:B6462,"5 1 3 9 8 12 31111 6 M59 70300*")</f>
        <v>0</v>
      </c>
      <c r="H6063" s="83">
        <f t="shared" si="95"/>
        <v>26562.46</v>
      </c>
      <c r="I6063" s="83"/>
      <c r="K6063" s="54" t="s">
        <v>15</v>
      </c>
    </row>
    <row r="6064" spans="2:11" ht="16.5" x14ac:dyDescent="0.2">
      <c r="B6064" s="82" t="s">
        <v>9619</v>
      </c>
      <c r="C6064" s="82" t="s">
        <v>648</v>
      </c>
      <c r="D6064" s="83">
        <f>SUMIFS(D6065:D6462,K6065:K6462,"0",B6065:B6462,"5 1 3 9 8 12 31111 6 M59 70300 000132*")-SUMIFS(E6065:E6462,K6065:K6462,"0",B6065:B6462,"5 1 3 9 8 12 31111 6 M59 70300 000132*")</f>
        <v>0</v>
      </c>
      <c r="E6064" s="54"/>
      <c r="F6064" s="83">
        <f>SUMIFS(F6065:F6462,K6065:K6462,"0",B6065:B6462,"5 1 3 9 8 12 31111 6 M59 70300 000132*")</f>
        <v>26562.46</v>
      </c>
      <c r="G6064" s="83">
        <f>SUMIFS(G6065:G6462,K6065:K6462,"0",B6065:B6462,"5 1 3 9 8 12 31111 6 M59 70300 000132*")</f>
        <v>0</v>
      </c>
      <c r="H6064" s="83">
        <f t="shared" si="95"/>
        <v>26562.46</v>
      </c>
      <c r="I6064" s="83"/>
      <c r="K6064" s="54" t="s">
        <v>15</v>
      </c>
    </row>
    <row r="6065" spans="2:11" ht="24.75" x14ac:dyDescent="0.2">
      <c r="B6065" s="82" t="s">
        <v>9620</v>
      </c>
      <c r="C6065" s="82" t="s">
        <v>650</v>
      </c>
      <c r="D6065" s="83">
        <f>SUMIFS(D6066:D6462,K6066:K6462,"0",B6066:B6462,"5 1 3 9 8 12 31111 6 M59 70300 000132 0000R*")-SUMIFS(E6066:E6462,K6066:K6462,"0",B6066:B6462,"5 1 3 9 8 12 31111 6 M59 70300 000132 0000R*")</f>
        <v>0</v>
      </c>
      <c r="E6065" s="54"/>
      <c r="F6065" s="83">
        <f>SUMIFS(F6066:F6462,K6066:K6462,"0",B6066:B6462,"5 1 3 9 8 12 31111 6 M59 70300 000132 0000R*")</f>
        <v>26562.46</v>
      </c>
      <c r="G6065" s="83">
        <f>SUMIFS(G6066:G6462,K6066:K6462,"0",B6066:B6462,"5 1 3 9 8 12 31111 6 M59 70300 000132 0000R*")</f>
        <v>0</v>
      </c>
      <c r="H6065" s="83">
        <f t="shared" si="95"/>
        <v>26562.46</v>
      </c>
      <c r="I6065" s="83"/>
      <c r="K6065" s="54" t="s">
        <v>15</v>
      </c>
    </row>
    <row r="6066" spans="2:11" ht="24.75" x14ac:dyDescent="0.2">
      <c r="B6066" s="82" t="s">
        <v>9621</v>
      </c>
      <c r="C6066" s="82" t="s">
        <v>282</v>
      </c>
      <c r="D6066" s="83">
        <f>SUMIFS(D6067:D6462,K6067:K6462,"0",B6067:B6462,"5 1 3 9 8 12 31111 6 M59 70300 000132 0000R 00001*")-SUMIFS(E6067:E6462,K6067:K6462,"0",B6067:B6462,"5 1 3 9 8 12 31111 6 M59 70300 000132 0000R 00001*")</f>
        <v>0</v>
      </c>
      <c r="E6066" s="54"/>
      <c r="F6066" s="83">
        <f>SUMIFS(F6067:F6462,K6067:K6462,"0",B6067:B6462,"5 1 3 9 8 12 31111 6 M59 70300 000132 0000R 00001*")</f>
        <v>26562.46</v>
      </c>
      <c r="G6066" s="83">
        <f>SUMIFS(G6067:G6462,K6067:K6462,"0",B6067:B6462,"5 1 3 9 8 12 31111 6 M59 70300 000132 0000R 00001*")</f>
        <v>0</v>
      </c>
      <c r="H6066" s="83">
        <f t="shared" si="95"/>
        <v>26562.46</v>
      </c>
      <c r="I6066" s="83"/>
      <c r="K6066" s="54" t="s">
        <v>15</v>
      </c>
    </row>
    <row r="6067" spans="2:11" ht="24.75" x14ac:dyDescent="0.2">
      <c r="B6067" s="82" t="s">
        <v>9622</v>
      </c>
      <c r="C6067" s="82" t="s">
        <v>9247</v>
      </c>
      <c r="D6067" s="83">
        <f>SUMIFS(D6068:D6462,K6068:K6462,"0",B6068:B6462,"5 1 3 9 8 12 31111 6 M59 70300 000132 0000R 00001 00398*")-SUMIFS(E6068:E6462,K6068:K6462,"0",B6068:B6462,"5 1 3 9 8 12 31111 6 M59 70300 000132 0000R 00001 00398*")</f>
        <v>0</v>
      </c>
      <c r="E6067" s="54"/>
      <c r="F6067" s="83">
        <f>SUMIFS(F6068:F6462,K6068:K6462,"0",B6068:B6462,"5 1 3 9 8 12 31111 6 M59 70300 000132 0000R 00001 00398*")</f>
        <v>26562.46</v>
      </c>
      <c r="G6067" s="83">
        <f>SUMIFS(G6068:G6462,K6068:K6462,"0",B6068:B6462,"5 1 3 9 8 12 31111 6 M59 70300 000132 0000R 00001 00398*")</f>
        <v>0</v>
      </c>
      <c r="H6067" s="83">
        <f t="shared" si="95"/>
        <v>26562.46</v>
      </c>
      <c r="I6067" s="83"/>
      <c r="K6067" s="54" t="s">
        <v>15</v>
      </c>
    </row>
    <row r="6068" spans="2:11" ht="33" x14ac:dyDescent="0.2">
      <c r="B6068" s="82" t="s">
        <v>9623</v>
      </c>
      <c r="C6068" s="82" t="s">
        <v>1051</v>
      </c>
      <c r="D6068" s="83">
        <f>SUMIFS(D6069:D6462,K6069:K6462,"0",B6069:B6462,"5 1 3 9 8 12 31111 6 M59 70300 000132 0000R 00001 00398 015*")-SUMIFS(E6069:E6462,K6069:K6462,"0",B6069:B6462,"5 1 3 9 8 12 31111 6 M59 70300 000132 0000R 00001 00398 015*")</f>
        <v>0</v>
      </c>
      <c r="E6068" s="54"/>
      <c r="F6068" s="83">
        <f>SUMIFS(F6069:F6462,K6069:K6462,"0",B6069:B6462,"5 1 3 9 8 12 31111 6 M59 70300 000132 0000R 00001 00398 015*")</f>
        <v>26562.46</v>
      </c>
      <c r="G6068" s="83">
        <f>SUMIFS(G6069:G6462,K6069:K6462,"0",B6069:B6462,"5 1 3 9 8 12 31111 6 M59 70300 000132 0000R 00001 00398 015*")</f>
        <v>0</v>
      </c>
      <c r="H6068" s="83">
        <f t="shared" si="95"/>
        <v>26562.46</v>
      </c>
      <c r="I6068" s="83"/>
      <c r="K6068" s="54" t="s">
        <v>15</v>
      </c>
    </row>
    <row r="6069" spans="2:11" ht="33" x14ac:dyDescent="0.2">
      <c r="B6069" s="82" t="s">
        <v>9624</v>
      </c>
      <c r="C6069" s="82" t="s">
        <v>8550</v>
      </c>
      <c r="D6069" s="83">
        <f>SUMIFS(D6070:D6462,K6070:K6462,"0",B6070:B6462,"5 1 3 9 8 12 31111 6 M59 70300 000132 0000R 00001 00398 015 2111300*")-SUMIFS(E6070:E6462,K6070:K6462,"0",B6070:B6462,"5 1 3 9 8 12 31111 6 M59 70300 000132 0000R 00001 00398 015 2111300*")</f>
        <v>0</v>
      </c>
      <c r="E6069" s="54"/>
      <c r="F6069" s="83">
        <f>SUMIFS(F6070:F6462,K6070:K6462,"0",B6070:B6462,"5 1 3 9 8 12 31111 6 M59 70300 000132 0000R 00001 00398 015 2111300*")</f>
        <v>26562.46</v>
      </c>
      <c r="G6069" s="83">
        <f>SUMIFS(G6070:G6462,K6070:K6462,"0",B6070:B6462,"5 1 3 9 8 12 31111 6 M59 70300 000132 0000R 00001 00398 015 2111300*")</f>
        <v>0</v>
      </c>
      <c r="H6069" s="83">
        <f t="shared" si="95"/>
        <v>26562.46</v>
      </c>
      <c r="I6069" s="83"/>
      <c r="K6069" s="54" t="s">
        <v>15</v>
      </c>
    </row>
    <row r="6070" spans="2:11" ht="33" x14ac:dyDescent="0.2">
      <c r="B6070" s="82" t="s">
        <v>9625</v>
      </c>
      <c r="C6070" s="82" t="s">
        <v>660</v>
      </c>
      <c r="D6070" s="83">
        <f>SUMIFS(D6071:D6462,K6071:K6462,"0",B6071:B6462,"5 1 3 9 8 12 31111 6 M59 70300 000132 0000R 00001 00398 015 2111300 2024*")-SUMIFS(E6071:E6462,K6071:K6462,"0",B6071:B6462,"5 1 3 9 8 12 31111 6 M59 70300 000132 0000R 00001 00398 015 2111300 2024*")</f>
        <v>0</v>
      </c>
      <c r="E6070" s="54"/>
      <c r="F6070" s="83">
        <f>SUMIFS(F6071:F6462,K6071:K6462,"0",B6071:B6462,"5 1 3 9 8 12 31111 6 M59 70300 000132 0000R 00001 00398 015 2111300 2024*")</f>
        <v>26562.46</v>
      </c>
      <c r="G6070" s="83">
        <f>SUMIFS(G6071:G6462,K6071:K6462,"0",B6071:B6462,"5 1 3 9 8 12 31111 6 M59 70300 000132 0000R 00001 00398 015 2111300 2024*")</f>
        <v>0</v>
      </c>
      <c r="H6070" s="83">
        <f t="shared" si="95"/>
        <v>26562.46</v>
      </c>
      <c r="I6070" s="83"/>
      <c r="K6070" s="54" t="s">
        <v>15</v>
      </c>
    </row>
    <row r="6071" spans="2:11" ht="41.25" x14ac:dyDescent="0.2">
      <c r="B6071" s="82" t="s">
        <v>9626</v>
      </c>
      <c r="C6071" s="82" t="s">
        <v>1056</v>
      </c>
      <c r="D6071" s="83">
        <f>SUMIFS(D6072:D6462,K6072:K6462,"0",B6072:B6462,"5 1 3 9 8 12 31111 6 M59 70300 000132 0000R 00001 00398 015 2111300 2024 CP1CU419*")-SUMIFS(E6072:E6462,K6072:K6462,"0",B6072:B6462,"5 1 3 9 8 12 31111 6 M59 70300 000132 0000R 00001 00398 015 2111300 2024 CP1CU419*")</f>
        <v>0</v>
      </c>
      <c r="E6071" s="54"/>
      <c r="F6071" s="83">
        <f>SUMIFS(F6072:F6462,K6072:K6462,"0",B6072:B6462,"5 1 3 9 8 12 31111 6 M59 70300 000132 0000R 00001 00398 015 2111300 2024 CP1CU419*")</f>
        <v>26562.46</v>
      </c>
      <c r="G6071" s="83">
        <f>SUMIFS(G6072:G6462,K6072:K6462,"0",B6072:B6462,"5 1 3 9 8 12 31111 6 M59 70300 000132 0000R 00001 00398 015 2111300 2024 CP1CU419*")</f>
        <v>0</v>
      </c>
      <c r="H6071" s="83">
        <f t="shared" si="95"/>
        <v>26562.46</v>
      </c>
      <c r="I6071" s="83"/>
      <c r="K6071" s="54" t="s">
        <v>15</v>
      </c>
    </row>
    <row r="6072" spans="2:11" ht="41.25" x14ac:dyDescent="0.2">
      <c r="B6072" s="82" t="s">
        <v>9627</v>
      </c>
      <c r="C6072" s="82" t="s">
        <v>282</v>
      </c>
      <c r="D6072" s="83">
        <f>SUMIFS(D6073:D6462,K6073:K6462,"0",B6073:B6462,"5 1 3 9 8 12 31111 6 M59 70300 000132 0000R 00001 00398 015 2111300 2024 CP1CU419 001*")-SUMIFS(E6073:E6462,K6073:K6462,"0",B6073:B6462,"5 1 3 9 8 12 31111 6 M59 70300 000132 0000R 00001 00398 015 2111300 2024 CP1CU419 001*")</f>
        <v>0</v>
      </c>
      <c r="E6072" s="54"/>
      <c r="F6072" s="83">
        <f>SUMIFS(F6073:F6462,K6073:K6462,"0",B6073:B6462,"5 1 3 9 8 12 31111 6 M59 70300 000132 0000R 00001 00398 015 2111300 2024 CP1CU419 001*")</f>
        <v>26562.46</v>
      </c>
      <c r="G6072" s="83">
        <f>SUMIFS(G6073:G6462,K6073:K6462,"0",B6073:B6462,"5 1 3 9 8 12 31111 6 M59 70300 000132 0000R 00001 00398 015 2111300 2024 CP1CU419 001*")</f>
        <v>0</v>
      </c>
      <c r="H6072" s="83">
        <f t="shared" si="95"/>
        <v>26562.46</v>
      </c>
      <c r="I6072" s="83"/>
      <c r="K6072" s="54" t="s">
        <v>15</v>
      </c>
    </row>
    <row r="6073" spans="2:11" ht="33" x14ac:dyDescent="0.2">
      <c r="B6073" s="84" t="s">
        <v>9628</v>
      </c>
      <c r="C6073" s="84" t="s">
        <v>9254</v>
      </c>
      <c r="D6073" s="85">
        <v>0</v>
      </c>
      <c r="E6073" s="85"/>
      <c r="F6073" s="85">
        <v>26562.46</v>
      </c>
      <c r="G6073" s="85">
        <v>0</v>
      </c>
      <c r="H6073" s="85">
        <f t="shared" si="95"/>
        <v>26562.46</v>
      </c>
      <c r="I6073" s="85"/>
      <c r="K6073" s="54" t="s">
        <v>38</v>
      </c>
    </row>
    <row r="6074" spans="2:11" ht="16.5" x14ac:dyDescent="0.2">
      <c r="B6074" s="82" t="s">
        <v>9629</v>
      </c>
      <c r="C6074" s="82" t="s">
        <v>3425</v>
      </c>
      <c r="D6074" s="83">
        <f>SUMIFS(D6075:D6462,K6075:K6462,"0",B6075:B6462,"5 1 3 9 8 12 31111 6 M59 70400*")-SUMIFS(E6075:E6462,K6075:K6462,"0",B6075:B6462,"5 1 3 9 8 12 31111 6 M59 70400*")</f>
        <v>0</v>
      </c>
      <c r="E6074" s="54"/>
      <c r="F6074" s="83">
        <f>SUMIFS(F6075:F6462,K6075:K6462,"0",B6075:B6462,"5 1 3 9 8 12 31111 6 M59 70400*")</f>
        <v>4617.28</v>
      </c>
      <c r="G6074" s="83">
        <f>SUMIFS(G6075:G6462,K6075:K6462,"0",B6075:B6462,"5 1 3 9 8 12 31111 6 M59 70400*")</f>
        <v>0</v>
      </c>
      <c r="H6074" s="83">
        <f t="shared" si="95"/>
        <v>4617.28</v>
      </c>
      <c r="I6074" s="83"/>
      <c r="K6074" s="54" t="s">
        <v>15</v>
      </c>
    </row>
    <row r="6075" spans="2:11" ht="16.5" x14ac:dyDescent="0.2">
      <c r="B6075" s="82" t="s">
        <v>9630</v>
      </c>
      <c r="C6075" s="82" t="s">
        <v>3427</v>
      </c>
      <c r="D6075" s="83">
        <f>SUMIFS(D6076:D6462,K6076:K6462,"0",B6076:B6462,"5 1 3 9 8 12 31111 6 M59 70400 000241*")-SUMIFS(E6076:E6462,K6076:K6462,"0",B6076:B6462,"5 1 3 9 8 12 31111 6 M59 70400 000241*")</f>
        <v>0</v>
      </c>
      <c r="E6075" s="54"/>
      <c r="F6075" s="83">
        <f>SUMIFS(F6076:F6462,K6076:K6462,"0",B6076:B6462,"5 1 3 9 8 12 31111 6 M59 70400 000241*")</f>
        <v>4617.28</v>
      </c>
      <c r="G6075" s="83">
        <f>SUMIFS(G6076:G6462,K6076:K6462,"0",B6076:B6462,"5 1 3 9 8 12 31111 6 M59 70400 000241*")</f>
        <v>0</v>
      </c>
      <c r="H6075" s="83">
        <f t="shared" si="95"/>
        <v>4617.28</v>
      </c>
      <c r="I6075" s="83"/>
      <c r="K6075" s="54" t="s">
        <v>15</v>
      </c>
    </row>
    <row r="6076" spans="2:11" ht="24.75" x14ac:dyDescent="0.2">
      <c r="B6076" s="82" t="s">
        <v>9631</v>
      </c>
      <c r="C6076" s="82" t="s">
        <v>650</v>
      </c>
      <c r="D6076" s="83">
        <f>SUMIFS(D6077:D6462,K6077:K6462,"0",B6077:B6462,"5 1 3 9 8 12 31111 6 M59 70400 000241 0000R*")-SUMIFS(E6077:E6462,K6077:K6462,"0",B6077:B6462,"5 1 3 9 8 12 31111 6 M59 70400 000241 0000R*")</f>
        <v>0</v>
      </c>
      <c r="E6076" s="54"/>
      <c r="F6076" s="83">
        <f>SUMIFS(F6077:F6462,K6077:K6462,"0",B6077:B6462,"5 1 3 9 8 12 31111 6 M59 70400 000241 0000R*")</f>
        <v>4617.28</v>
      </c>
      <c r="G6076" s="83">
        <f>SUMIFS(G6077:G6462,K6077:K6462,"0",B6077:B6462,"5 1 3 9 8 12 31111 6 M59 70400 000241 0000R*")</f>
        <v>0</v>
      </c>
      <c r="H6076" s="83">
        <f t="shared" si="95"/>
        <v>4617.28</v>
      </c>
      <c r="I6076" s="83"/>
      <c r="K6076" s="54" t="s">
        <v>15</v>
      </c>
    </row>
    <row r="6077" spans="2:11" ht="24.75" x14ac:dyDescent="0.2">
      <c r="B6077" s="82" t="s">
        <v>9632</v>
      </c>
      <c r="C6077" s="82" t="s">
        <v>282</v>
      </c>
      <c r="D6077" s="83">
        <f>SUMIFS(D6078:D6462,K6078:K6462,"0",B6078:B6462,"5 1 3 9 8 12 31111 6 M59 70400 000241 0000R 00001*")-SUMIFS(E6078:E6462,K6078:K6462,"0",B6078:B6462,"5 1 3 9 8 12 31111 6 M59 70400 000241 0000R 00001*")</f>
        <v>0</v>
      </c>
      <c r="E6077" s="54"/>
      <c r="F6077" s="83">
        <f>SUMIFS(F6078:F6462,K6078:K6462,"0",B6078:B6462,"5 1 3 9 8 12 31111 6 M59 70400 000241 0000R 00001*")</f>
        <v>4617.28</v>
      </c>
      <c r="G6077" s="83">
        <f>SUMIFS(G6078:G6462,K6078:K6462,"0",B6078:B6462,"5 1 3 9 8 12 31111 6 M59 70400 000241 0000R 00001*")</f>
        <v>0</v>
      </c>
      <c r="H6077" s="83">
        <f t="shared" si="95"/>
        <v>4617.28</v>
      </c>
      <c r="I6077" s="83"/>
      <c r="K6077" s="54" t="s">
        <v>15</v>
      </c>
    </row>
    <row r="6078" spans="2:11" ht="24.75" x14ac:dyDescent="0.2">
      <c r="B6078" s="82" t="s">
        <v>9633</v>
      </c>
      <c r="C6078" s="82" t="s">
        <v>9247</v>
      </c>
      <c r="D6078" s="83">
        <f>SUMIFS(D6079:D6462,K6079:K6462,"0",B6079:B6462,"5 1 3 9 8 12 31111 6 M59 70400 000241 0000R 00001 00398*")-SUMIFS(E6079:E6462,K6079:K6462,"0",B6079:B6462,"5 1 3 9 8 12 31111 6 M59 70400 000241 0000R 00001 00398*")</f>
        <v>0</v>
      </c>
      <c r="E6078" s="54"/>
      <c r="F6078" s="83">
        <f>SUMIFS(F6079:F6462,K6079:K6462,"0",B6079:B6462,"5 1 3 9 8 12 31111 6 M59 70400 000241 0000R 00001 00398*")</f>
        <v>4617.28</v>
      </c>
      <c r="G6078" s="83">
        <f>SUMIFS(G6079:G6462,K6079:K6462,"0",B6079:B6462,"5 1 3 9 8 12 31111 6 M59 70400 000241 0000R 00001 00398*")</f>
        <v>0</v>
      </c>
      <c r="H6078" s="83">
        <f t="shared" si="95"/>
        <v>4617.28</v>
      </c>
      <c r="I6078" s="83"/>
      <c r="K6078" s="54" t="s">
        <v>15</v>
      </c>
    </row>
    <row r="6079" spans="2:11" ht="33" x14ac:dyDescent="0.2">
      <c r="B6079" s="82" t="s">
        <v>9634</v>
      </c>
      <c r="C6079" s="82" t="s">
        <v>1051</v>
      </c>
      <c r="D6079" s="83">
        <f>SUMIFS(D6080:D6462,K6080:K6462,"0",B6080:B6462,"5 1 3 9 8 12 31111 6 M59 70400 000241 0000R 00001 00398 015*")-SUMIFS(E6080:E6462,K6080:K6462,"0",B6080:B6462,"5 1 3 9 8 12 31111 6 M59 70400 000241 0000R 00001 00398 015*")</f>
        <v>0</v>
      </c>
      <c r="E6079" s="54"/>
      <c r="F6079" s="83">
        <f>SUMIFS(F6080:F6462,K6080:K6462,"0",B6080:B6462,"5 1 3 9 8 12 31111 6 M59 70400 000241 0000R 00001 00398 015*")</f>
        <v>4617.28</v>
      </c>
      <c r="G6079" s="83">
        <f>SUMIFS(G6080:G6462,K6080:K6462,"0",B6080:B6462,"5 1 3 9 8 12 31111 6 M59 70400 000241 0000R 00001 00398 015*")</f>
        <v>0</v>
      </c>
      <c r="H6079" s="83">
        <f t="shared" si="95"/>
        <v>4617.28</v>
      </c>
      <c r="I6079" s="83"/>
      <c r="K6079" s="54" t="s">
        <v>15</v>
      </c>
    </row>
    <row r="6080" spans="2:11" ht="33" x14ac:dyDescent="0.2">
      <c r="B6080" s="82" t="s">
        <v>9635</v>
      </c>
      <c r="C6080" s="82" t="s">
        <v>2927</v>
      </c>
      <c r="D6080" s="83">
        <f>SUMIFS(D6081:D6462,K6081:K6462,"0",B6081:B6462,"5 1 3 9 8 12 31111 6 M59 70400 000241 0000R 00001 00398 015 2111100*")-SUMIFS(E6081:E6462,K6081:K6462,"0",B6081:B6462,"5 1 3 9 8 12 31111 6 M59 70400 000241 0000R 00001 00398 015 2111100*")</f>
        <v>0</v>
      </c>
      <c r="E6080" s="54"/>
      <c r="F6080" s="83">
        <f>SUMIFS(F6081:F6462,K6081:K6462,"0",B6081:B6462,"5 1 3 9 8 12 31111 6 M59 70400 000241 0000R 00001 00398 015 2111100*")</f>
        <v>4617.28</v>
      </c>
      <c r="G6080" s="83">
        <f>SUMIFS(G6081:G6462,K6081:K6462,"0",B6081:B6462,"5 1 3 9 8 12 31111 6 M59 70400 000241 0000R 00001 00398 015 2111100*")</f>
        <v>0</v>
      </c>
      <c r="H6080" s="83">
        <f t="shared" si="95"/>
        <v>4617.28</v>
      </c>
      <c r="I6080" s="83"/>
      <c r="K6080" s="54" t="s">
        <v>15</v>
      </c>
    </row>
    <row r="6081" spans="2:11" ht="33" x14ac:dyDescent="0.2">
      <c r="B6081" s="82" t="s">
        <v>9636</v>
      </c>
      <c r="C6081" s="82" t="s">
        <v>660</v>
      </c>
      <c r="D6081" s="83">
        <f>SUMIFS(D6082:D6462,K6082:K6462,"0",B6082:B6462,"5 1 3 9 8 12 31111 6 M59 70400 000241 0000R 00001 00398 015 2111100 2024*")-SUMIFS(E6082:E6462,K6082:K6462,"0",B6082:B6462,"5 1 3 9 8 12 31111 6 M59 70400 000241 0000R 00001 00398 015 2111100 2024*")</f>
        <v>0</v>
      </c>
      <c r="E6081" s="54"/>
      <c r="F6081" s="83">
        <f>SUMIFS(F6082:F6462,K6082:K6462,"0",B6082:B6462,"5 1 3 9 8 12 31111 6 M59 70400 000241 0000R 00001 00398 015 2111100 2024*")</f>
        <v>4617.28</v>
      </c>
      <c r="G6081" s="83">
        <f>SUMIFS(G6082:G6462,K6082:K6462,"0",B6082:B6462,"5 1 3 9 8 12 31111 6 M59 70400 000241 0000R 00001 00398 015 2111100 2024*")</f>
        <v>0</v>
      </c>
      <c r="H6081" s="83">
        <f t="shared" si="95"/>
        <v>4617.28</v>
      </c>
      <c r="I6081" s="83"/>
      <c r="K6081" s="54" t="s">
        <v>15</v>
      </c>
    </row>
    <row r="6082" spans="2:11" ht="41.25" x14ac:dyDescent="0.2">
      <c r="B6082" s="82" t="s">
        <v>9637</v>
      </c>
      <c r="C6082" s="82" t="s">
        <v>662</v>
      </c>
      <c r="D6082" s="83">
        <f>SUMIFS(D6083:D6462,K6083:K6462,"0",B6083:B6462,"5 1 3 9 8 12 31111 6 M59 70400 000241 0000R 00001 00398 015 2111100 2024 CP1DD418*")-SUMIFS(E6083:E6462,K6083:K6462,"0",B6083:B6462,"5 1 3 9 8 12 31111 6 M59 70400 000241 0000R 00001 00398 015 2111100 2024 CP1DD418*")</f>
        <v>0</v>
      </c>
      <c r="E6082" s="54"/>
      <c r="F6082" s="83">
        <f>SUMIFS(F6083:F6462,K6083:K6462,"0",B6083:B6462,"5 1 3 9 8 12 31111 6 M59 70400 000241 0000R 00001 00398 015 2111100 2024 CP1DD418*")</f>
        <v>4617.28</v>
      </c>
      <c r="G6082" s="83">
        <f>SUMIFS(G6083:G6462,K6083:K6462,"0",B6083:B6462,"5 1 3 9 8 12 31111 6 M59 70400 000241 0000R 00001 00398 015 2111100 2024 CP1DD418*")</f>
        <v>0</v>
      </c>
      <c r="H6082" s="83">
        <f t="shared" si="95"/>
        <v>4617.28</v>
      </c>
      <c r="I6082" s="83"/>
      <c r="K6082" s="54" t="s">
        <v>15</v>
      </c>
    </row>
    <row r="6083" spans="2:11" ht="41.25" x14ac:dyDescent="0.2">
      <c r="B6083" s="82" t="s">
        <v>9638</v>
      </c>
      <c r="C6083" s="82" t="s">
        <v>282</v>
      </c>
      <c r="D6083" s="83">
        <f>SUMIFS(D6084:D6462,K6084:K6462,"0",B6084:B6462,"5 1 3 9 8 12 31111 6 M59 70400 000241 0000R 00001 00398 015 2111100 2024 CP1DD418 001*")-SUMIFS(E6084:E6462,K6084:K6462,"0",B6084:B6462,"5 1 3 9 8 12 31111 6 M59 70400 000241 0000R 00001 00398 015 2111100 2024 CP1DD418 001*")</f>
        <v>0</v>
      </c>
      <c r="E6083" s="54"/>
      <c r="F6083" s="83">
        <f>SUMIFS(F6084:F6462,K6084:K6462,"0",B6084:B6462,"5 1 3 9 8 12 31111 6 M59 70400 000241 0000R 00001 00398 015 2111100 2024 CP1DD418 001*")</f>
        <v>4617.28</v>
      </c>
      <c r="G6083" s="83">
        <f>SUMIFS(G6084:G6462,K6084:K6462,"0",B6084:B6462,"5 1 3 9 8 12 31111 6 M59 70400 000241 0000R 00001 00398 015 2111100 2024 CP1DD418 001*")</f>
        <v>0</v>
      </c>
      <c r="H6083" s="83">
        <f t="shared" si="95"/>
        <v>4617.28</v>
      </c>
      <c r="I6083" s="83"/>
      <c r="K6083" s="54" t="s">
        <v>15</v>
      </c>
    </row>
    <row r="6084" spans="2:11" ht="33" x14ac:dyDescent="0.2">
      <c r="B6084" s="84" t="s">
        <v>9639</v>
      </c>
      <c r="C6084" s="84" t="s">
        <v>9254</v>
      </c>
      <c r="D6084" s="85">
        <v>0</v>
      </c>
      <c r="E6084" s="85"/>
      <c r="F6084" s="85">
        <v>4617.28</v>
      </c>
      <c r="G6084" s="85">
        <v>0</v>
      </c>
      <c r="H6084" s="85">
        <f t="shared" si="95"/>
        <v>4617.28</v>
      </c>
      <c r="I6084" s="85"/>
      <c r="K6084" s="54" t="s">
        <v>38</v>
      </c>
    </row>
    <row r="6085" spans="2:11" ht="16.5" x14ac:dyDescent="0.2">
      <c r="B6085" s="82" t="s">
        <v>9640</v>
      </c>
      <c r="C6085" s="82" t="s">
        <v>3438</v>
      </c>
      <c r="D6085" s="83">
        <f>SUMIFS(D6086:D6462,K6086:K6462,"0",B6086:B6462,"5 1 3 9 8 12 31111 6 M59 70500*")-SUMIFS(E6086:E6462,K6086:K6462,"0",B6086:B6462,"5 1 3 9 8 12 31111 6 M59 70500*")</f>
        <v>0</v>
      </c>
      <c r="E6085" s="54"/>
      <c r="F6085" s="83">
        <f>SUMIFS(F6086:F6462,K6086:K6462,"0",B6086:B6462,"5 1 3 9 8 12 31111 6 M59 70500*")</f>
        <v>3809.26</v>
      </c>
      <c r="G6085" s="83">
        <f>SUMIFS(G6086:G6462,K6086:K6462,"0",B6086:B6462,"5 1 3 9 8 12 31111 6 M59 70500*")</f>
        <v>0</v>
      </c>
      <c r="H6085" s="83">
        <f t="shared" si="95"/>
        <v>3809.26</v>
      </c>
      <c r="I6085" s="83"/>
      <c r="K6085" s="54" t="s">
        <v>15</v>
      </c>
    </row>
    <row r="6086" spans="2:11" ht="16.5" x14ac:dyDescent="0.2">
      <c r="B6086" s="82" t="s">
        <v>9641</v>
      </c>
      <c r="C6086" s="82" t="s">
        <v>648</v>
      </c>
      <c r="D6086" s="83">
        <f>SUMIFS(D6087:D6462,K6087:K6462,"0",B6087:B6462,"5 1 3 9 8 12 31111 6 M59 70500 000132*")-SUMIFS(E6087:E6462,K6087:K6462,"0",B6087:B6462,"5 1 3 9 8 12 31111 6 M59 70500 000132*")</f>
        <v>0</v>
      </c>
      <c r="E6086" s="54"/>
      <c r="F6086" s="83">
        <f>SUMIFS(F6087:F6462,K6087:K6462,"0",B6087:B6462,"5 1 3 9 8 12 31111 6 M59 70500 000132*")</f>
        <v>3809.26</v>
      </c>
      <c r="G6086" s="83">
        <f>SUMIFS(G6087:G6462,K6087:K6462,"0",B6087:B6462,"5 1 3 9 8 12 31111 6 M59 70500 000132*")</f>
        <v>0</v>
      </c>
      <c r="H6086" s="83">
        <f t="shared" si="95"/>
        <v>3809.26</v>
      </c>
      <c r="I6086" s="83"/>
      <c r="K6086" s="54" t="s">
        <v>15</v>
      </c>
    </row>
    <row r="6087" spans="2:11" ht="24.75" x14ac:dyDescent="0.2">
      <c r="B6087" s="82" t="s">
        <v>9642</v>
      </c>
      <c r="C6087" s="82" t="s">
        <v>650</v>
      </c>
      <c r="D6087" s="83">
        <f>SUMIFS(D6088:D6462,K6088:K6462,"0",B6088:B6462,"5 1 3 9 8 12 31111 6 M59 70500 000132 0000R*")-SUMIFS(E6088:E6462,K6088:K6462,"0",B6088:B6462,"5 1 3 9 8 12 31111 6 M59 70500 000132 0000R*")</f>
        <v>0</v>
      </c>
      <c r="E6087" s="54"/>
      <c r="F6087" s="83">
        <f>SUMIFS(F6088:F6462,K6088:K6462,"0",B6088:B6462,"5 1 3 9 8 12 31111 6 M59 70500 000132 0000R*")</f>
        <v>3809.26</v>
      </c>
      <c r="G6087" s="83">
        <f>SUMIFS(G6088:G6462,K6088:K6462,"0",B6088:B6462,"5 1 3 9 8 12 31111 6 M59 70500 000132 0000R*")</f>
        <v>0</v>
      </c>
      <c r="H6087" s="83">
        <f t="shared" si="95"/>
        <v>3809.26</v>
      </c>
      <c r="I6087" s="83"/>
      <c r="K6087" s="54" t="s">
        <v>15</v>
      </c>
    </row>
    <row r="6088" spans="2:11" ht="24.75" x14ac:dyDescent="0.2">
      <c r="B6088" s="82" t="s">
        <v>9643</v>
      </c>
      <c r="C6088" s="82" t="s">
        <v>282</v>
      </c>
      <c r="D6088" s="83">
        <f>SUMIFS(D6089:D6462,K6089:K6462,"0",B6089:B6462,"5 1 3 9 8 12 31111 6 M59 70500 000132 0000R 00001*")-SUMIFS(E6089:E6462,K6089:K6462,"0",B6089:B6462,"5 1 3 9 8 12 31111 6 M59 70500 000132 0000R 00001*")</f>
        <v>0</v>
      </c>
      <c r="E6088" s="54"/>
      <c r="F6088" s="83">
        <f>SUMIFS(F6089:F6462,K6089:K6462,"0",B6089:B6462,"5 1 3 9 8 12 31111 6 M59 70500 000132 0000R 00001*")</f>
        <v>3809.26</v>
      </c>
      <c r="G6088" s="83">
        <f>SUMIFS(G6089:G6462,K6089:K6462,"0",B6089:B6462,"5 1 3 9 8 12 31111 6 M59 70500 000132 0000R 00001*")</f>
        <v>0</v>
      </c>
      <c r="H6088" s="83">
        <f t="shared" si="95"/>
        <v>3809.26</v>
      </c>
      <c r="I6088" s="83"/>
      <c r="K6088" s="54" t="s">
        <v>15</v>
      </c>
    </row>
    <row r="6089" spans="2:11" ht="24.75" x14ac:dyDescent="0.2">
      <c r="B6089" s="82" t="s">
        <v>9644</v>
      </c>
      <c r="C6089" s="82" t="s">
        <v>9247</v>
      </c>
      <c r="D6089" s="83">
        <f>SUMIFS(D6090:D6462,K6090:K6462,"0",B6090:B6462,"5 1 3 9 8 12 31111 6 M59 70500 000132 0000R 00001 00398*")-SUMIFS(E6090:E6462,K6090:K6462,"0",B6090:B6462,"5 1 3 9 8 12 31111 6 M59 70500 000132 0000R 00001 00398*")</f>
        <v>0</v>
      </c>
      <c r="E6089" s="54"/>
      <c r="F6089" s="83">
        <f>SUMIFS(F6090:F6462,K6090:K6462,"0",B6090:B6462,"5 1 3 9 8 12 31111 6 M59 70500 000132 0000R 00001 00398*")</f>
        <v>3809.26</v>
      </c>
      <c r="G6089" s="83">
        <f>SUMIFS(G6090:G6462,K6090:K6462,"0",B6090:B6462,"5 1 3 9 8 12 31111 6 M59 70500 000132 0000R 00001 00398*")</f>
        <v>0</v>
      </c>
      <c r="H6089" s="83">
        <f t="shared" si="95"/>
        <v>3809.26</v>
      </c>
      <c r="I6089" s="83"/>
      <c r="K6089" s="54" t="s">
        <v>15</v>
      </c>
    </row>
    <row r="6090" spans="2:11" ht="33" x14ac:dyDescent="0.2">
      <c r="B6090" s="82" t="s">
        <v>9645</v>
      </c>
      <c r="C6090" s="82" t="s">
        <v>1051</v>
      </c>
      <c r="D6090" s="83">
        <f>SUMIFS(D6091:D6462,K6091:K6462,"0",B6091:B6462,"5 1 3 9 8 12 31111 6 M59 70500 000132 0000R 00001 00398 015*")-SUMIFS(E6091:E6462,K6091:K6462,"0",B6091:B6462,"5 1 3 9 8 12 31111 6 M59 70500 000132 0000R 00001 00398 015*")</f>
        <v>0</v>
      </c>
      <c r="E6090" s="54"/>
      <c r="F6090" s="83">
        <f>SUMIFS(F6091:F6462,K6091:K6462,"0",B6091:B6462,"5 1 3 9 8 12 31111 6 M59 70500 000132 0000R 00001 00398 015*")</f>
        <v>3809.26</v>
      </c>
      <c r="G6090" s="83">
        <f>SUMIFS(G6091:G6462,K6091:K6462,"0",B6091:B6462,"5 1 3 9 8 12 31111 6 M59 70500 000132 0000R 00001 00398 015*")</f>
        <v>0</v>
      </c>
      <c r="H6090" s="83">
        <f t="shared" si="95"/>
        <v>3809.26</v>
      </c>
      <c r="I6090" s="83"/>
      <c r="K6090" s="54" t="s">
        <v>15</v>
      </c>
    </row>
    <row r="6091" spans="2:11" ht="33" x14ac:dyDescent="0.2">
      <c r="B6091" s="82" t="s">
        <v>9646</v>
      </c>
      <c r="C6091" s="82" t="s">
        <v>8550</v>
      </c>
      <c r="D6091" s="83">
        <f>SUMIFS(D6092:D6462,K6092:K6462,"0",B6092:B6462,"5 1 3 9 8 12 31111 6 M59 70500 000132 0000R 00001 00398 015 2111300*")-SUMIFS(E6092:E6462,K6092:K6462,"0",B6092:B6462,"5 1 3 9 8 12 31111 6 M59 70500 000132 0000R 00001 00398 015 2111300*")</f>
        <v>0</v>
      </c>
      <c r="E6091" s="54"/>
      <c r="F6091" s="83">
        <f>SUMIFS(F6092:F6462,K6092:K6462,"0",B6092:B6462,"5 1 3 9 8 12 31111 6 M59 70500 000132 0000R 00001 00398 015 2111300*")</f>
        <v>3809.26</v>
      </c>
      <c r="G6091" s="83">
        <f>SUMIFS(G6092:G6462,K6092:K6462,"0",B6092:B6462,"5 1 3 9 8 12 31111 6 M59 70500 000132 0000R 00001 00398 015 2111300*")</f>
        <v>0</v>
      </c>
      <c r="H6091" s="83">
        <f t="shared" si="95"/>
        <v>3809.26</v>
      </c>
      <c r="I6091" s="83"/>
      <c r="K6091" s="54" t="s">
        <v>15</v>
      </c>
    </row>
    <row r="6092" spans="2:11" ht="33" x14ac:dyDescent="0.2">
      <c r="B6092" s="82" t="s">
        <v>9647</v>
      </c>
      <c r="C6092" s="82" t="s">
        <v>660</v>
      </c>
      <c r="D6092" s="83">
        <f>SUMIFS(D6093:D6462,K6093:K6462,"0",B6093:B6462,"5 1 3 9 8 12 31111 6 M59 70500 000132 0000R 00001 00398 015 2111300 2024*")-SUMIFS(E6093:E6462,K6093:K6462,"0",B6093:B6462,"5 1 3 9 8 12 31111 6 M59 70500 000132 0000R 00001 00398 015 2111300 2024*")</f>
        <v>0</v>
      </c>
      <c r="E6092" s="54"/>
      <c r="F6092" s="83">
        <f>SUMIFS(F6093:F6462,K6093:K6462,"0",B6093:B6462,"5 1 3 9 8 12 31111 6 M59 70500 000132 0000R 00001 00398 015 2111300 2024*")</f>
        <v>3809.26</v>
      </c>
      <c r="G6092" s="83">
        <f>SUMIFS(G6093:G6462,K6093:K6462,"0",B6093:B6462,"5 1 3 9 8 12 31111 6 M59 70500 000132 0000R 00001 00398 015 2111300 2024*")</f>
        <v>0</v>
      </c>
      <c r="H6092" s="83">
        <f t="shared" si="95"/>
        <v>3809.26</v>
      </c>
      <c r="I6092" s="83"/>
      <c r="K6092" s="54" t="s">
        <v>15</v>
      </c>
    </row>
    <row r="6093" spans="2:11" ht="41.25" x14ac:dyDescent="0.2">
      <c r="B6093" s="82" t="s">
        <v>9648</v>
      </c>
      <c r="C6093" s="82" t="s">
        <v>1056</v>
      </c>
      <c r="D6093" s="83">
        <f>SUMIFS(D6094:D6462,K6094:K6462,"0",B6094:B6462,"5 1 3 9 8 12 31111 6 M59 70500 000132 0000R 00001 00398 015 2111300 2024 CP1DT395*")-SUMIFS(E6094:E6462,K6094:K6462,"0",B6094:B6462,"5 1 3 9 8 12 31111 6 M59 70500 000132 0000R 00001 00398 015 2111300 2024 CP1DT395*")</f>
        <v>0</v>
      </c>
      <c r="E6093" s="54"/>
      <c r="F6093" s="83">
        <f>SUMIFS(F6094:F6462,K6094:K6462,"0",B6094:B6462,"5 1 3 9 8 12 31111 6 M59 70500 000132 0000R 00001 00398 015 2111300 2024 CP1DT395*")</f>
        <v>3809.26</v>
      </c>
      <c r="G6093" s="83">
        <f>SUMIFS(G6094:G6462,K6094:K6462,"0",B6094:B6462,"5 1 3 9 8 12 31111 6 M59 70500 000132 0000R 00001 00398 015 2111300 2024 CP1DT395*")</f>
        <v>0</v>
      </c>
      <c r="H6093" s="83">
        <f t="shared" si="95"/>
        <v>3809.26</v>
      </c>
      <c r="I6093" s="83"/>
      <c r="K6093" s="54" t="s">
        <v>15</v>
      </c>
    </row>
    <row r="6094" spans="2:11" ht="41.25" x14ac:dyDescent="0.2">
      <c r="B6094" s="82" t="s">
        <v>9649</v>
      </c>
      <c r="C6094" s="82" t="s">
        <v>282</v>
      </c>
      <c r="D6094" s="83">
        <f>SUMIFS(D6095:D6462,K6095:K6462,"0",B6095:B6462,"5 1 3 9 8 12 31111 6 M59 70500 000132 0000R 00001 00398 015 2111300 2024 CP1DT395 001*")-SUMIFS(E6095:E6462,K6095:K6462,"0",B6095:B6462,"5 1 3 9 8 12 31111 6 M59 70500 000132 0000R 00001 00398 015 2111300 2024 CP1DT395 001*")</f>
        <v>0</v>
      </c>
      <c r="E6094" s="54"/>
      <c r="F6094" s="83">
        <f>SUMIFS(F6095:F6462,K6095:K6462,"0",B6095:B6462,"5 1 3 9 8 12 31111 6 M59 70500 000132 0000R 00001 00398 015 2111300 2024 CP1DT395 001*")</f>
        <v>3809.26</v>
      </c>
      <c r="G6094" s="83">
        <f>SUMIFS(G6095:G6462,K6095:K6462,"0",B6095:B6462,"5 1 3 9 8 12 31111 6 M59 70500 000132 0000R 00001 00398 015 2111300 2024 CP1DT395 001*")</f>
        <v>0</v>
      </c>
      <c r="H6094" s="83">
        <f t="shared" si="95"/>
        <v>3809.26</v>
      </c>
      <c r="I6094" s="83"/>
      <c r="K6094" s="54" t="s">
        <v>15</v>
      </c>
    </row>
    <row r="6095" spans="2:11" ht="33" x14ac:dyDescent="0.2">
      <c r="B6095" s="84" t="s">
        <v>9650</v>
      </c>
      <c r="C6095" s="84" t="s">
        <v>9254</v>
      </c>
      <c r="D6095" s="85">
        <v>0</v>
      </c>
      <c r="E6095" s="85"/>
      <c r="F6095" s="85">
        <v>3809.26</v>
      </c>
      <c r="G6095" s="85">
        <v>0</v>
      </c>
      <c r="H6095" s="85">
        <f t="shared" si="95"/>
        <v>3809.26</v>
      </c>
      <c r="I6095" s="85"/>
      <c r="K6095" s="54" t="s">
        <v>38</v>
      </c>
    </row>
    <row r="6096" spans="2:11" ht="16.5" x14ac:dyDescent="0.2">
      <c r="B6096" s="82" t="s">
        <v>9651</v>
      </c>
      <c r="C6096" s="82" t="s">
        <v>3450</v>
      </c>
      <c r="D6096" s="83">
        <f>SUMIFS(D6097:D6462,K6097:K6462,"0",B6097:B6462,"5 1 3 9 8 12 31111 6 M59 70600*")-SUMIFS(E6097:E6462,K6097:K6462,"0",B6097:B6462,"5 1 3 9 8 12 31111 6 M59 70600*")</f>
        <v>0</v>
      </c>
      <c r="E6096" s="54"/>
      <c r="F6096" s="83">
        <f>SUMIFS(F6097:F6462,K6097:K6462,"0",B6097:B6462,"5 1 3 9 8 12 31111 6 M59 70600*")</f>
        <v>3554.98</v>
      </c>
      <c r="G6096" s="83">
        <f>SUMIFS(G6097:G6462,K6097:K6462,"0",B6097:B6462,"5 1 3 9 8 12 31111 6 M59 70600*")</f>
        <v>0</v>
      </c>
      <c r="H6096" s="83">
        <f t="shared" si="95"/>
        <v>3554.98</v>
      </c>
      <c r="I6096" s="83"/>
      <c r="K6096" s="54" t="s">
        <v>15</v>
      </c>
    </row>
    <row r="6097" spans="2:11" ht="16.5" x14ac:dyDescent="0.2">
      <c r="B6097" s="82" t="s">
        <v>9652</v>
      </c>
      <c r="C6097" s="82" t="s">
        <v>648</v>
      </c>
      <c r="D6097" s="83">
        <f>SUMIFS(D6098:D6462,K6098:K6462,"0",B6098:B6462,"5 1 3 9 8 12 31111 6 M59 70600 000132*")-SUMIFS(E6098:E6462,K6098:K6462,"0",B6098:B6462,"5 1 3 9 8 12 31111 6 M59 70600 000132*")</f>
        <v>0</v>
      </c>
      <c r="E6097" s="54"/>
      <c r="F6097" s="83">
        <f>SUMIFS(F6098:F6462,K6098:K6462,"0",B6098:B6462,"5 1 3 9 8 12 31111 6 M59 70600 000132*")</f>
        <v>3554.98</v>
      </c>
      <c r="G6097" s="83">
        <f>SUMIFS(G6098:G6462,K6098:K6462,"0",B6098:B6462,"5 1 3 9 8 12 31111 6 M59 70600 000132*")</f>
        <v>0</v>
      </c>
      <c r="H6097" s="83">
        <f t="shared" si="95"/>
        <v>3554.98</v>
      </c>
      <c r="I6097" s="83"/>
      <c r="K6097" s="54" t="s">
        <v>15</v>
      </c>
    </row>
    <row r="6098" spans="2:11" ht="24.75" x14ac:dyDescent="0.2">
      <c r="B6098" s="82" t="s">
        <v>9653</v>
      </c>
      <c r="C6098" s="82" t="s">
        <v>650</v>
      </c>
      <c r="D6098" s="83">
        <f>SUMIFS(D6099:D6462,K6099:K6462,"0",B6099:B6462,"5 1 3 9 8 12 31111 6 M59 70600 000132 0000R*")-SUMIFS(E6099:E6462,K6099:K6462,"0",B6099:B6462,"5 1 3 9 8 12 31111 6 M59 70600 000132 0000R*")</f>
        <v>0</v>
      </c>
      <c r="E6098" s="54"/>
      <c r="F6098" s="83">
        <f>SUMIFS(F6099:F6462,K6099:K6462,"0",B6099:B6462,"5 1 3 9 8 12 31111 6 M59 70600 000132 0000R*")</f>
        <v>3554.98</v>
      </c>
      <c r="G6098" s="83">
        <f>SUMIFS(G6099:G6462,K6099:K6462,"0",B6099:B6462,"5 1 3 9 8 12 31111 6 M59 70600 000132 0000R*")</f>
        <v>0</v>
      </c>
      <c r="H6098" s="83">
        <f t="shared" si="95"/>
        <v>3554.98</v>
      </c>
      <c r="I6098" s="83"/>
      <c r="K6098" s="54" t="s">
        <v>15</v>
      </c>
    </row>
    <row r="6099" spans="2:11" ht="24.75" x14ac:dyDescent="0.2">
      <c r="B6099" s="82" t="s">
        <v>9654</v>
      </c>
      <c r="C6099" s="82" t="s">
        <v>282</v>
      </c>
      <c r="D6099" s="83">
        <f>SUMIFS(D6100:D6462,K6100:K6462,"0",B6100:B6462,"5 1 3 9 8 12 31111 6 M59 70600 000132 0000R 00001*")-SUMIFS(E6100:E6462,K6100:K6462,"0",B6100:B6462,"5 1 3 9 8 12 31111 6 M59 70600 000132 0000R 00001*")</f>
        <v>0</v>
      </c>
      <c r="E6099" s="54"/>
      <c r="F6099" s="83">
        <f>SUMIFS(F6100:F6462,K6100:K6462,"0",B6100:B6462,"5 1 3 9 8 12 31111 6 M59 70600 000132 0000R 00001*")</f>
        <v>3554.98</v>
      </c>
      <c r="G6099" s="83">
        <f>SUMIFS(G6100:G6462,K6100:K6462,"0",B6100:B6462,"5 1 3 9 8 12 31111 6 M59 70600 000132 0000R 00001*")</f>
        <v>0</v>
      </c>
      <c r="H6099" s="83">
        <f t="shared" si="95"/>
        <v>3554.98</v>
      </c>
      <c r="I6099" s="83"/>
      <c r="K6099" s="54" t="s">
        <v>15</v>
      </c>
    </row>
    <row r="6100" spans="2:11" ht="24.75" x14ac:dyDescent="0.2">
      <c r="B6100" s="82" t="s">
        <v>9655</v>
      </c>
      <c r="C6100" s="82" t="s">
        <v>9247</v>
      </c>
      <c r="D6100" s="83">
        <f>SUMIFS(D6101:D6462,K6101:K6462,"0",B6101:B6462,"5 1 3 9 8 12 31111 6 M59 70600 000132 0000R 00001 00398*")-SUMIFS(E6101:E6462,K6101:K6462,"0",B6101:B6462,"5 1 3 9 8 12 31111 6 M59 70600 000132 0000R 00001 00398*")</f>
        <v>0</v>
      </c>
      <c r="E6100" s="54"/>
      <c r="F6100" s="83">
        <f>SUMIFS(F6101:F6462,K6101:K6462,"0",B6101:B6462,"5 1 3 9 8 12 31111 6 M59 70600 000132 0000R 00001 00398*")</f>
        <v>3554.98</v>
      </c>
      <c r="G6100" s="83">
        <f>SUMIFS(G6101:G6462,K6101:K6462,"0",B6101:B6462,"5 1 3 9 8 12 31111 6 M59 70600 000132 0000R 00001 00398*")</f>
        <v>0</v>
      </c>
      <c r="H6100" s="83">
        <f t="shared" si="95"/>
        <v>3554.98</v>
      </c>
      <c r="I6100" s="83"/>
      <c r="K6100" s="54" t="s">
        <v>15</v>
      </c>
    </row>
    <row r="6101" spans="2:11" ht="33" x14ac:dyDescent="0.2">
      <c r="B6101" s="82" t="s">
        <v>9656</v>
      </c>
      <c r="C6101" s="82" t="s">
        <v>1051</v>
      </c>
      <c r="D6101" s="83">
        <f>SUMIFS(D6102:D6462,K6102:K6462,"0",B6102:B6462,"5 1 3 9 8 12 31111 6 M59 70600 000132 0000R 00001 00398 015*")-SUMIFS(E6102:E6462,K6102:K6462,"0",B6102:B6462,"5 1 3 9 8 12 31111 6 M59 70600 000132 0000R 00001 00398 015*")</f>
        <v>0</v>
      </c>
      <c r="E6101" s="54"/>
      <c r="F6101" s="83">
        <f>SUMIFS(F6102:F6462,K6102:K6462,"0",B6102:B6462,"5 1 3 9 8 12 31111 6 M59 70600 000132 0000R 00001 00398 015*")</f>
        <v>3554.98</v>
      </c>
      <c r="G6101" s="83">
        <f>SUMIFS(G6102:G6462,K6102:K6462,"0",B6102:B6462,"5 1 3 9 8 12 31111 6 M59 70600 000132 0000R 00001 00398 015*")</f>
        <v>0</v>
      </c>
      <c r="H6101" s="83">
        <f t="shared" si="95"/>
        <v>3554.98</v>
      </c>
      <c r="I6101" s="83"/>
      <c r="K6101" s="54" t="s">
        <v>15</v>
      </c>
    </row>
    <row r="6102" spans="2:11" ht="33" x14ac:dyDescent="0.2">
      <c r="B6102" s="82" t="s">
        <v>9657</v>
      </c>
      <c r="C6102" s="82" t="s">
        <v>8550</v>
      </c>
      <c r="D6102" s="83">
        <f>SUMIFS(D6103:D6462,K6103:K6462,"0",B6103:B6462,"5 1 3 9 8 12 31111 6 M59 70600 000132 0000R 00001 00398 015 2111300*")-SUMIFS(E6103:E6462,K6103:K6462,"0",B6103:B6462,"5 1 3 9 8 12 31111 6 M59 70600 000132 0000R 00001 00398 015 2111300*")</f>
        <v>0</v>
      </c>
      <c r="E6102" s="54"/>
      <c r="F6102" s="83">
        <f>SUMIFS(F6103:F6462,K6103:K6462,"0",B6103:B6462,"5 1 3 9 8 12 31111 6 M59 70600 000132 0000R 00001 00398 015 2111300*")</f>
        <v>3554.98</v>
      </c>
      <c r="G6102" s="83">
        <f>SUMIFS(G6103:G6462,K6103:K6462,"0",B6103:B6462,"5 1 3 9 8 12 31111 6 M59 70600 000132 0000R 00001 00398 015 2111300*")</f>
        <v>0</v>
      </c>
      <c r="H6102" s="83">
        <f t="shared" si="95"/>
        <v>3554.98</v>
      </c>
      <c r="I6102" s="83"/>
      <c r="K6102" s="54" t="s">
        <v>15</v>
      </c>
    </row>
    <row r="6103" spans="2:11" ht="33" x14ac:dyDescent="0.2">
      <c r="B6103" s="82" t="s">
        <v>9658</v>
      </c>
      <c r="C6103" s="82" t="s">
        <v>660</v>
      </c>
      <c r="D6103" s="83">
        <f>SUMIFS(D6104:D6462,K6104:K6462,"0",B6104:B6462,"5 1 3 9 8 12 31111 6 M59 70600 000132 0000R 00001 00398 015 2111300 2024*")-SUMIFS(E6104:E6462,K6104:K6462,"0",B6104:B6462,"5 1 3 9 8 12 31111 6 M59 70600 000132 0000R 00001 00398 015 2111300 2024*")</f>
        <v>0</v>
      </c>
      <c r="E6103" s="54"/>
      <c r="F6103" s="83">
        <f>SUMIFS(F6104:F6462,K6104:K6462,"0",B6104:B6462,"5 1 3 9 8 12 31111 6 M59 70600 000132 0000R 00001 00398 015 2111300 2024*")</f>
        <v>3554.98</v>
      </c>
      <c r="G6103" s="83">
        <f>SUMIFS(G6104:G6462,K6104:K6462,"0",B6104:B6462,"5 1 3 9 8 12 31111 6 M59 70600 000132 0000R 00001 00398 015 2111300 2024*")</f>
        <v>0</v>
      </c>
      <c r="H6103" s="83">
        <f t="shared" si="95"/>
        <v>3554.98</v>
      </c>
      <c r="I6103" s="83"/>
      <c r="K6103" s="54" t="s">
        <v>15</v>
      </c>
    </row>
    <row r="6104" spans="2:11" ht="41.25" x14ac:dyDescent="0.2">
      <c r="B6104" s="82" t="s">
        <v>9659</v>
      </c>
      <c r="C6104" s="82" t="s">
        <v>1056</v>
      </c>
      <c r="D6104" s="83">
        <f>SUMIFS(D6105:D6462,K6105:K6462,"0",B6105:B6462,"5 1 3 9 8 12 31111 6 M59 70600 000132 0000R 00001 00398 015 2111300 2024 CP1DJ409*")-SUMIFS(E6105:E6462,K6105:K6462,"0",B6105:B6462,"5 1 3 9 8 12 31111 6 M59 70600 000132 0000R 00001 00398 015 2111300 2024 CP1DJ409*")</f>
        <v>0</v>
      </c>
      <c r="E6104" s="54"/>
      <c r="F6104" s="83">
        <f>SUMIFS(F6105:F6462,K6105:K6462,"0",B6105:B6462,"5 1 3 9 8 12 31111 6 M59 70600 000132 0000R 00001 00398 015 2111300 2024 CP1DJ409*")</f>
        <v>3554.98</v>
      </c>
      <c r="G6104" s="83">
        <f>SUMIFS(G6105:G6462,K6105:K6462,"0",B6105:B6462,"5 1 3 9 8 12 31111 6 M59 70600 000132 0000R 00001 00398 015 2111300 2024 CP1DJ409*")</f>
        <v>0</v>
      </c>
      <c r="H6104" s="83">
        <f t="shared" si="95"/>
        <v>3554.98</v>
      </c>
      <c r="I6104" s="83"/>
      <c r="K6104" s="54" t="s">
        <v>15</v>
      </c>
    </row>
    <row r="6105" spans="2:11" ht="41.25" x14ac:dyDescent="0.2">
      <c r="B6105" s="82" t="s">
        <v>9660</v>
      </c>
      <c r="C6105" s="82" t="s">
        <v>282</v>
      </c>
      <c r="D6105" s="83">
        <f>SUMIFS(D6106:D6462,K6106:K6462,"0",B6106:B6462,"5 1 3 9 8 12 31111 6 M59 70600 000132 0000R 00001 00398 015 2111300 2024 CP1DJ409 001*")-SUMIFS(E6106:E6462,K6106:K6462,"0",B6106:B6462,"5 1 3 9 8 12 31111 6 M59 70600 000132 0000R 00001 00398 015 2111300 2024 CP1DJ409 001*")</f>
        <v>0</v>
      </c>
      <c r="E6105" s="54"/>
      <c r="F6105" s="83">
        <f>SUMIFS(F6106:F6462,K6106:K6462,"0",B6106:B6462,"5 1 3 9 8 12 31111 6 M59 70600 000132 0000R 00001 00398 015 2111300 2024 CP1DJ409 001*")</f>
        <v>3554.98</v>
      </c>
      <c r="G6105" s="83">
        <f>SUMIFS(G6106:G6462,K6106:K6462,"0",B6106:B6462,"5 1 3 9 8 12 31111 6 M59 70600 000132 0000R 00001 00398 015 2111300 2024 CP1DJ409 001*")</f>
        <v>0</v>
      </c>
      <c r="H6105" s="83">
        <f t="shared" si="95"/>
        <v>3554.98</v>
      </c>
      <c r="I6105" s="83"/>
      <c r="K6105" s="54" t="s">
        <v>15</v>
      </c>
    </row>
    <row r="6106" spans="2:11" ht="33" x14ac:dyDescent="0.2">
      <c r="B6106" s="84" t="s">
        <v>9661</v>
      </c>
      <c r="C6106" s="84" t="s">
        <v>9254</v>
      </c>
      <c r="D6106" s="85">
        <v>0</v>
      </c>
      <c r="E6106" s="85"/>
      <c r="F6106" s="85">
        <v>3554.98</v>
      </c>
      <c r="G6106" s="85">
        <v>0</v>
      </c>
      <c r="H6106" s="85">
        <f t="shared" si="95"/>
        <v>3554.98</v>
      </c>
      <c r="I6106" s="85"/>
      <c r="K6106" s="54" t="s">
        <v>38</v>
      </c>
    </row>
    <row r="6107" spans="2:11" ht="16.5" x14ac:dyDescent="0.2">
      <c r="B6107" s="82" t="s">
        <v>9662</v>
      </c>
      <c r="C6107" s="82" t="s">
        <v>3462</v>
      </c>
      <c r="D6107" s="83">
        <f>SUMIFS(D6108:D6462,K6108:K6462,"0",B6108:B6462,"5 1 3 9 8 12 31111 6 M59 70700*")-SUMIFS(E6108:E6462,K6108:K6462,"0",B6108:B6462,"5 1 3 9 8 12 31111 6 M59 70700*")</f>
        <v>0</v>
      </c>
      <c r="E6107" s="54"/>
      <c r="F6107" s="83">
        <f>SUMIFS(F6108:F6462,K6108:K6462,"0",B6108:B6462,"5 1 3 9 8 12 31111 6 M59 70700*")</f>
        <v>15778.55</v>
      </c>
      <c r="G6107" s="83">
        <f>SUMIFS(G6108:G6462,K6108:K6462,"0",B6108:B6462,"5 1 3 9 8 12 31111 6 M59 70700*")</f>
        <v>0</v>
      </c>
      <c r="H6107" s="83">
        <f t="shared" si="95"/>
        <v>15778.55</v>
      </c>
      <c r="I6107" s="83"/>
      <c r="K6107" s="54" t="s">
        <v>15</v>
      </c>
    </row>
    <row r="6108" spans="2:11" ht="16.5" x14ac:dyDescent="0.2">
      <c r="B6108" s="82" t="s">
        <v>9663</v>
      </c>
      <c r="C6108" s="82" t="s">
        <v>648</v>
      </c>
      <c r="D6108" s="83">
        <f>SUMIFS(D6109:D6462,K6109:K6462,"0",B6109:B6462,"5 1 3 9 8 12 31111 6 M59 70700 000132*")-SUMIFS(E6109:E6462,K6109:K6462,"0",B6109:B6462,"5 1 3 9 8 12 31111 6 M59 70700 000132*")</f>
        <v>0</v>
      </c>
      <c r="E6108" s="54"/>
      <c r="F6108" s="83">
        <f>SUMIFS(F6109:F6462,K6109:K6462,"0",B6109:B6462,"5 1 3 9 8 12 31111 6 M59 70700 000132*")</f>
        <v>15778.55</v>
      </c>
      <c r="G6108" s="83">
        <f>SUMIFS(G6109:G6462,K6109:K6462,"0",B6109:B6462,"5 1 3 9 8 12 31111 6 M59 70700 000132*")</f>
        <v>0</v>
      </c>
      <c r="H6108" s="83">
        <f t="shared" si="95"/>
        <v>15778.55</v>
      </c>
      <c r="I6108" s="83"/>
      <c r="K6108" s="54" t="s">
        <v>15</v>
      </c>
    </row>
    <row r="6109" spans="2:11" ht="24.75" x14ac:dyDescent="0.2">
      <c r="B6109" s="82" t="s">
        <v>9664</v>
      </c>
      <c r="C6109" s="82" t="s">
        <v>650</v>
      </c>
      <c r="D6109" s="83">
        <f>SUMIFS(D6110:D6462,K6110:K6462,"0",B6110:B6462,"5 1 3 9 8 12 31111 6 M59 70700 000132 0000R*")-SUMIFS(E6110:E6462,K6110:K6462,"0",B6110:B6462,"5 1 3 9 8 12 31111 6 M59 70700 000132 0000R*")</f>
        <v>0</v>
      </c>
      <c r="E6109" s="54"/>
      <c r="F6109" s="83">
        <f>SUMIFS(F6110:F6462,K6110:K6462,"0",B6110:B6462,"5 1 3 9 8 12 31111 6 M59 70700 000132 0000R*")</f>
        <v>15778.55</v>
      </c>
      <c r="G6109" s="83">
        <f>SUMIFS(G6110:G6462,K6110:K6462,"0",B6110:B6462,"5 1 3 9 8 12 31111 6 M59 70700 000132 0000R*")</f>
        <v>0</v>
      </c>
      <c r="H6109" s="83">
        <f t="shared" si="95"/>
        <v>15778.55</v>
      </c>
      <c r="I6109" s="83"/>
      <c r="K6109" s="54" t="s">
        <v>15</v>
      </c>
    </row>
    <row r="6110" spans="2:11" ht="24.75" x14ac:dyDescent="0.2">
      <c r="B6110" s="82" t="s">
        <v>9665</v>
      </c>
      <c r="C6110" s="82" t="s">
        <v>282</v>
      </c>
      <c r="D6110" s="83">
        <f>SUMIFS(D6111:D6462,K6111:K6462,"0",B6111:B6462,"5 1 3 9 8 12 31111 6 M59 70700 000132 0000R 00001*")-SUMIFS(E6111:E6462,K6111:K6462,"0",B6111:B6462,"5 1 3 9 8 12 31111 6 M59 70700 000132 0000R 00001*")</f>
        <v>0</v>
      </c>
      <c r="E6110" s="54"/>
      <c r="F6110" s="83">
        <f>SUMIFS(F6111:F6462,K6111:K6462,"0",B6111:B6462,"5 1 3 9 8 12 31111 6 M59 70700 000132 0000R 00001*")</f>
        <v>15778.55</v>
      </c>
      <c r="G6110" s="83">
        <f>SUMIFS(G6111:G6462,K6111:K6462,"0",B6111:B6462,"5 1 3 9 8 12 31111 6 M59 70700 000132 0000R 00001*")</f>
        <v>0</v>
      </c>
      <c r="H6110" s="83">
        <f t="shared" si="95"/>
        <v>15778.55</v>
      </c>
      <c r="I6110" s="83"/>
      <c r="K6110" s="54" t="s">
        <v>15</v>
      </c>
    </row>
    <row r="6111" spans="2:11" ht="24.75" x14ac:dyDescent="0.2">
      <c r="B6111" s="82" t="s">
        <v>9666</v>
      </c>
      <c r="C6111" s="82" t="s">
        <v>9247</v>
      </c>
      <c r="D6111" s="83">
        <f>SUMIFS(D6112:D6462,K6112:K6462,"0",B6112:B6462,"5 1 3 9 8 12 31111 6 M59 70700 000132 0000R 00001 00398*")-SUMIFS(E6112:E6462,K6112:K6462,"0",B6112:B6462,"5 1 3 9 8 12 31111 6 M59 70700 000132 0000R 00001 00398*")</f>
        <v>0</v>
      </c>
      <c r="E6111" s="54"/>
      <c r="F6111" s="83">
        <f>SUMIFS(F6112:F6462,K6112:K6462,"0",B6112:B6462,"5 1 3 9 8 12 31111 6 M59 70700 000132 0000R 00001 00398*")</f>
        <v>15778.55</v>
      </c>
      <c r="G6111" s="83">
        <f>SUMIFS(G6112:G6462,K6112:K6462,"0",B6112:B6462,"5 1 3 9 8 12 31111 6 M59 70700 000132 0000R 00001 00398*")</f>
        <v>0</v>
      </c>
      <c r="H6111" s="83">
        <f t="shared" si="95"/>
        <v>15778.55</v>
      </c>
      <c r="I6111" s="83"/>
      <c r="K6111" s="54" t="s">
        <v>15</v>
      </c>
    </row>
    <row r="6112" spans="2:11" ht="33" x14ac:dyDescent="0.2">
      <c r="B6112" s="82" t="s">
        <v>9667</v>
      </c>
      <c r="C6112" s="82" t="s">
        <v>1051</v>
      </c>
      <c r="D6112" s="83">
        <f>SUMIFS(D6113:D6462,K6113:K6462,"0",B6113:B6462,"5 1 3 9 8 12 31111 6 M59 70700 000132 0000R 00001 00398 015*")-SUMIFS(E6113:E6462,K6113:K6462,"0",B6113:B6462,"5 1 3 9 8 12 31111 6 M59 70700 000132 0000R 00001 00398 015*")</f>
        <v>0</v>
      </c>
      <c r="E6112" s="54"/>
      <c r="F6112" s="83">
        <f>SUMIFS(F6113:F6462,K6113:K6462,"0",B6113:B6462,"5 1 3 9 8 12 31111 6 M59 70700 000132 0000R 00001 00398 015*")</f>
        <v>15778.55</v>
      </c>
      <c r="G6112" s="83">
        <f>SUMIFS(G6113:G6462,K6113:K6462,"0",B6113:B6462,"5 1 3 9 8 12 31111 6 M59 70700 000132 0000R 00001 00398 015*")</f>
        <v>0</v>
      </c>
      <c r="H6112" s="83">
        <f t="shared" si="95"/>
        <v>15778.55</v>
      </c>
      <c r="I6112" s="83"/>
      <c r="K6112" s="54" t="s">
        <v>15</v>
      </c>
    </row>
    <row r="6113" spans="2:11" ht="33" x14ac:dyDescent="0.2">
      <c r="B6113" s="82" t="s">
        <v>9668</v>
      </c>
      <c r="C6113" s="82" t="s">
        <v>8550</v>
      </c>
      <c r="D6113" s="83">
        <f>SUMIFS(D6114:D6462,K6114:K6462,"0",B6114:B6462,"5 1 3 9 8 12 31111 6 M59 70700 000132 0000R 00001 00398 015 2111300*")-SUMIFS(E6114:E6462,K6114:K6462,"0",B6114:B6462,"5 1 3 9 8 12 31111 6 M59 70700 000132 0000R 00001 00398 015 2111300*")</f>
        <v>0</v>
      </c>
      <c r="E6113" s="54"/>
      <c r="F6113" s="83">
        <f>SUMIFS(F6114:F6462,K6114:K6462,"0",B6114:B6462,"5 1 3 9 8 12 31111 6 M59 70700 000132 0000R 00001 00398 015 2111300*")</f>
        <v>15778.55</v>
      </c>
      <c r="G6113" s="83">
        <f>SUMIFS(G6114:G6462,K6114:K6462,"0",B6114:B6462,"5 1 3 9 8 12 31111 6 M59 70700 000132 0000R 00001 00398 015 2111300*")</f>
        <v>0</v>
      </c>
      <c r="H6113" s="83">
        <f t="shared" si="95"/>
        <v>15778.55</v>
      </c>
      <c r="I6113" s="83"/>
      <c r="K6113" s="54" t="s">
        <v>15</v>
      </c>
    </row>
    <row r="6114" spans="2:11" ht="33" x14ac:dyDescent="0.2">
      <c r="B6114" s="82" t="s">
        <v>9669</v>
      </c>
      <c r="C6114" s="82" t="s">
        <v>660</v>
      </c>
      <c r="D6114" s="83">
        <f>SUMIFS(D6115:D6462,K6115:K6462,"0",B6115:B6462,"5 1 3 9 8 12 31111 6 M59 70700 000132 0000R 00001 00398 015 2111300 2024*")-SUMIFS(E6115:E6462,K6115:K6462,"0",B6115:B6462,"5 1 3 9 8 12 31111 6 M59 70700 000132 0000R 00001 00398 015 2111300 2024*")</f>
        <v>0</v>
      </c>
      <c r="E6114" s="54"/>
      <c r="F6114" s="83">
        <f>SUMIFS(F6115:F6462,K6115:K6462,"0",B6115:B6462,"5 1 3 9 8 12 31111 6 M59 70700 000132 0000R 00001 00398 015 2111300 2024*")</f>
        <v>15778.55</v>
      </c>
      <c r="G6114" s="83">
        <f>SUMIFS(G6115:G6462,K6115:K6462,"0",B6115:B6462,"5 1 3 9 8 12 31111 6 M59 70700 000132 0000R 00001 00398 015 2111300 2024*")</f>
        <v>0</v>
      </c>
      <c r="H6114" s="83">
        <f t="shared" si="95"/>
        <v>15778.55</v>
      </c>
      <c r="I6114" s="83"/>
      <c r="K6114" s="54" t="s">
        <v>15</v>
      </c>
    </row>
    <row r="6115" spans="2:11" ht="41.25" x14ac:dyDescent="0.2">
      <c r="B6115" s="82" t="s">
        <v>9670</v>
      </c>
      <c r="C6115" s="82" t="s">
        <v>1056</v>
      </c>
      <c r="D6115" s="83">
        <f>SUMIFS(D6116:D6462,K6116:K6462,"0",B6116:B6462,"5 1 3 9 8 12 31111 6 M59 70700 000132 0000R 00001 00398 015 2111300 2024 CP1SA397*")-SUMIFS(E6116:E6462,K6116:K6462,"0",B6116:B6462,"5 1 3 9 8 12 31111 6 M59 70700 000132 0000R 00001 00398 015 2111300 2024 CP1SA397*")</f>
        <v>0</v>
      </c>
      <c r="E6115" s="54"/>
      <c r="F6115" s="83">
        <f>SUMIFS(F6116:F6462,K6116:K6462,"0",B6116:B6462,"5 1 3 9 8 12 31111 6 M59 70700 000132 0000R 00001 00398 015 2111300 2024 CP1SA397*")</f>
        <v>15778.55</v>
      </c>
      <c r="G6115" s="83">
        <f>SUMIFS(G6116:G6462,K6116:K6462,"0",B6116:B6462,"5 1 3 9 8 12 31111 6 M59 70700 000132 0000R 00001 00398 015 2111300 2024 CP1SA397*")</f>
        <v>0</v>
      </c>
      <c r="H6115" s="83">
        <f t="shared" si="95"/>
        <v>15778.55</v>
      </c>
      <c r="I6115" s="83"/>
      <c r="K6115" s="54" t="s">
        <v>15</v>
      </c>
    </row>
    <row r="6116" spans="2:11" ht="41.25" x14ac:dyDescent="0.2">
      <c r="B6116" s="82" t="s">
        <v>9671</v>
      </c>
      <c r="C6116" s="82" t="s">
        <v>282</v>
      </c>
      <c r="D6116" s="83">
        <f>SUMIFS(D6117:D6462,K6117:K6462,"0",B6117:B6462,"5 1 3 9 8 12 31111 6 M59 70700 000132 0000R 00001 00398 015 2111300 2024 CP1SA397 001*")-SUMIFS(E6117:E6462,K6117:K6462,"0",B6117:B6462,"5 1 3 9 8 12 31111 6 M59 70700 000132 0000R 00001 00398 015 2111300 2024 CP1SA397 001*")</f>
        <v>0</v>
      </c>
      <c r="E6116" s="54"/>
      <c r="F6116" s="83">
        <f>SUMIFS(F6117:F6462,K6117:K6462,"0",B6117:B6462,"5 1 3 9 8 12 31111 6 M59 70700 000132 0000R 00001 00398 015 2111300 2024 CP1SA397 001*")</f>
        <v>15778.55</v>
      </c>
      <c r="G6116" s="83">
        <f>SUMIFS(G6117:G6462,K6117:K6462,"0",B6117:B6462,"5 1 3 9 8 12 31111 6 M59 70700 000132 0000R 00001 00398 015 2111300 2024 CP1SA397 001*")</f>
        <v>0</v>
      </c>
      <c r="H6116" s="83">
        <f t="shared" si="95"/>
        <v>15778.55</v>
      </c>
      <c r="I6116" s="83"/>
      <c r="K6116" s="54" t="s">
        <v>15</v>
      </c>
    </row>
    <row r="6117" spans="2:11" ht="33" x14ac:dyDescent="0.2">
      <c r="B6117" s="84" t="s">
        <v>9672</v>
      </c>
      <c r="C6117" s="84" t="s">
        <v>9254</v>
      </c>
      <c r="D6117" s="85">
        <v>0</v>
      </c>
      <c r="E6117" s="85"/>
      <c r="F6117" s="85">
        <v>15778.55</v>
      </c>
      <c r="G6117" s="85">
        <v>0</v>
      </c>
      <c r="H6117" s="85">
        <f t="shared" si="95"/>
        <v>15778.55</v>
      </c>
      <c r="I6117" s="85"/>
      <c r="K6117" s="54" t="s">
        <v>38</v>
      </c>
    </row>
    <row r="6118" spans="2:11" ht="16.5" x14ac:dyDescent="0.2">
      <c r="B6118" s="82" t="s">
        <v>9673</v>
      </c>
      <c r="C6118" s="82" t="s">
        <v>3474</v>
      </c>
      <c r="D6118" s="83">
        <f>SUMIFS(D6119:D6462,K6119:K6462,"0",B6119:B6462,"5 1 3 9 8 12 31111 6 M59 70800*")-SUMIFS(E6119:E6462,K6119:K6462,"0",B6119:B6462,"5 1 3 9 8 12 31111 6 M59 70800*")</f>
        <v>0</v>
      </c>
      <c r="E6118" s="54"/>
      <c r="F6118" s="83">
        <f>SUMIFS(F6119:F6462,K6119:K6462,"0",B6119:B6462,"5 1 3 9 8 12 31111 6 M59 70800*")</f>
        <v>56898.77</v>
      </c>
      <c r="G6118" s="83">
        <f>SUMIFS(G6119:G6462,K6119:K6462,"0",B6119:B6462,"5 1 3 9 8 12 31111 6 M59 70800*")</f>
        <v>0</v>
      </c>
      <c r="H6118" s="83">
        <f t="shared" si="95"/>
        <v>56898.77</v>
      </c>
      <c r="I6118" s="83"/>
      <c r="K6118" s="54" t="s">
        <v>15</v>
      </c>
    </row>
    <row r="6119" spans="2:11" ht="16.5" x14ac:dyDescent="0.2">
      <c r="B6119" s="82" t="s">
        <v>9674</v>
      </c>
      <c r="C6119" s="82" t="s">
        <v>648</v>
      </c>
      <c r="D6119" s="83">
        <f>SUMIFS(D6120:D6462,K6120:K6462,"0",B6120:B6462,"5 1 3 9 8 12 31111 6 M59 70800 000132*")-SUMIFS(E6120:E6462,K6120:K6462,"0",B6120:B6462,"5 1 3 9 8 12 31111 6 M59 70800 000132*")</f>
        <v>0</v>
      </c>
      <c r="E6119" s="54"/>
      <c r="F6119" s="83">
        <f>SUMIFS(F6120:F6462,K6120:K6462,"0",B6120:B6462,"5 1 3 9 8 12 31111 6 M59 70800 000132*")</f>
        <v>56898.77</v>
      </c>
      <c r="G6119" s="83">
        <f>SUMIFS(G6120:G6462,K6120:K6462,"0",B6120:B6462,"5 1 3 9 8 12 31111 6 M59 70800 000132*")</f>
        <v>0</v>
      </c>
      <c r="H6119" s="83">
        <f t="shared" si="95"/>
        <v>56898.77</v>
      </c>
      <c r="I6119" s="83"/>
      <c r="K6119" s="54" t="s">
        <v>15</v>
      </c>
    </row>
    <row r="6120" spans="2:11" ht="24.75" x14ac:dyDescent="0.2">
      <c r="B6120" s="82" t="s">
        <v>9675</v>
      </c>
      <c r="C6120" s="82" t="s">
        <v>650</v>
      </c>
      <c r="D6120" s="83">
        <f>SUMIFS(D6121:D6462,K6121:K6462,"0",B6121:B6462,"5 1 3 9 8 12 31111 6 M59 70800 000132 0000R*")-SUMIFS(E6121:E6462,K6121:K6462,"0",B6121:B6462,"5 1 3 9 8 12 31111 6 M59 70800 000132 0000R*")</f>
        <v>0</v>
      </c>
      <c r="E6120" s="54"/>
      <c r="F6120" s="83">
        <f>SUMIFS(F6121:F6462,K6121:K6462,"0",B6121:B6462,"5 1 3 9 8 12 31111 6 M59 70800 000132 0000R*")</f>
        <v>56898.77</v>
      </c>
      <c r="G6120" s="83">
        <f>SUMIFS(G6121:G6462,K6121:K6462,"0",B6121:B6462,"5 1 3 9 8 12 31111 6 M59 70800 000132 0000R*")</f>
        <v>0</v>
      </c>
      <c r="H6120" s="83">
        <f t="shared" si="95"/>
        <v>56898.77</v>
      </c>
      <c r="I6120" s="83"/>
      <c r="K6120" s="54" t="s">
        <v>15</v>
      </c>
    </row>
    <row r="6121" spans="2:11" ht="24.75" x14ac:dyDescent="0.2">
      <c r="B6121" s="82" t="s">
        <v>9676</v>
      </c>
      <c r="C6121" s="82" t="s">
        <v>282</v>
      </c>
      <c r="D6121" s="83">
        <f>SUMIFS(D6122:D6462,K6122:K6462,"0",B6122:B6462,"5 1 3 9 8 12 31111 6 M59 70800 000132 0000R 00001*")-SUMIFS(E6122:E6462,K6122:K6462,"0",B6122:B6462,"5 1 3 9 8 12 31111 6 M59 70800 000132 0000R 00001*")</f>
        <v>0</v>
      </c>
      <c r="E6121" s="54"/>
      <c r="F6121" s="83">
        <f>SUMIFS(F6122:F6462,K6122:K6462,"0",B6122:B6462,"5 1 3 9 8 12 31111 6 M59 70800 000132 0000R 00001*")</f>
        <v>56898.77</v>
      </c>
      <c r="G6121" s="83">
        <f>SUMIFS(G6122:G6462,K6122:K6462,"0",B6122:B6462,"5 1 3 9 8 12 31111 6 M59 70800 000132 0000R 00001*")</f>
        <v>0</v>
      </c>
      <c r="H6121" s="83">
        <f t="shared" si="95"/>
        <v>56898.77</v>
      </c>
      <c r="I6121" s="83"/>
      <c r="K6121" s="54" t="s">
        <v>15</v>
      </c>
    </row>
    <row r="6122" spans="2:11" ht="24.75" x14ac:dyDescent="0.2">
      <c r="B6122" s="82" t="s">
        <v>9677</v>
      </c>
      <c r="C6122" s="82" t="s">
        <v>9247</v>
      </c>
      <c r="D6122" s="83">
        <f>SUMIFS(D6123:D6462,K6123:K6462,"0",B6123:B6462,"5 1 3 9 8 12 31111 6 M59 70800 000132 0000R 00001 00398*")-SUMIFS(E6123:E6462,K6123:K6462,"0",B6123:B6462,"5 1 3 9 8 12 31111 6 M59 70800 000132 0000R 00001 00398*")</f>
        <v>0</v>
      </c>
      <c r="E6122" s="54"/>
      <c r="F6122" s="83">
        <f>SUMIFS(F6123:F6462,K6123:K6462,"0",B6123:B6462,"5 1 3 9 8 12 31111 6 M59 70800 000132 0000R 00001 00398*")</f>
        <v>56898.77</v>
      </c>
      <c r="G6122" s="83">
        <f>SUMIFS(G6123:G6462,K6123:K6462,"0",B6123:B6462,"5 1 3 9 8 12 31111 6 M59 70800 000132 0000R 00001 00398*")</f>
        <v>0</v>
      </c>
      <c r="H6122" s="83">
        <f t="shared" si="95"/>
        <v>56898.77</v>
      </c>
      <c r="I6122" s="83"/>
      <c r="K6122" s="54" t="s">
        <v>15</v>
      </c>
    </row>
    <row r="6123" spans="2:11" ht="33" x14ac:dyDescent="0.2">
      <c r="B6123" s="82" t="s">
        <v>9678</v>
      </c>
      <c r="C6123" s="82" t="s">
        <v>1051</v>
      </c>
      <c r="D6123" s="83">
        <f>SUMIFS(D6124:D6462,K6124:K6462,"0",B6124:B6462,"5 1 3 9 8 12 31111 6 M59 70800 000132 0000R 00001 00398 015*")-SUMIFS(E6124:E6462,K6124:K6462,"0",B6124:B6462,"5 1 3 9 8 12 31111 6 M59 70800 000132 0000R 00001 00398 015*")</f>
        <v>0</v>
      </c>
      <c r="E6123" s="54"/>
      <c r="F6123" s="83">
        <f>SUMIFS(F6124:F6462,K6124:K6462,"0",B6124:B6462,"5 1 3 9 8 12 31111 6 M59 70800 000132 0000R 00001 00398 015*")</f>
        <v>56898.77</v>
      </c>
      <c r="G6123" s="83">
        <f>SUMIFS(G6124:G6462,K6124:K6462,"0",B6124:B6462,"5 1 3 9 8 12 31111 6 M59 70800 000132 0000R 00001 00398 015*")</f>
        <v>0</v>
      </c>
      <c r="H6123" s="83">
        <f t="shared" ref="H6123:H6186" si="96">D6123 + F6123 - G6123</f>
        <v>56898.77</v>
      </c>
      <c r="I6123" s="83"/>
      <c r="K6123" s="54" t="s">
        <v>15</v>
      </c>
    </row>
    <row r="6124" spans="2:11" ht="33" x14ac:dyDescent="0.2">
      <c r="B6124" s="82" t="s">
        <v>9679</v>
      </c>
      <c r="C6124" s="82" t="s">
        <v>8550</v>
      </c>
      <c r="D6124" s="83">
        <f>SUMIFS(D6125:D6462,K6125:K6462,"0",B6125:B6462,"5 1 3 9 8 12 31111 6 M59 70800 000132 0000R 00001 00398 015 2111300*")-SUMIFS(E6125:E6462,K6125:K6462,"0",B6125:B6462,"5 1 3 9 8 12 31111 6 M59 70800 000132 0000R 00001 00398 015 2111300*")</f>
        <v>0</v>
      </c>
      <c r="E6124" s="54"/>
      <c r="F6124" s="83">
        <f>SUMIFS(F6125:F6462,K6125:K6462,"0",B6125:B6462,"5 1 3 9 8 12 31111 6 M59 70800 000132 0000R 00001 00398 015 2111300*")</f>
        <v>56898.77</v>
      </c>
      <c r="G6124" s="83">
        <f>SUMIFS(G6125:G6462,K6125:K6462,"0",B6125:B6462,"5 1 3 9 8 12 31111 6 M59 70800 000132 0000R 00001 00398 015 2111300*")</f>
        <v>0</v>
      </c>
      <c r="H6124" s="83">
        <f t="shared" si="96"/>
        <v>56898.77</v>
      </c>
      <c r="I6124" s="83"/>
      <c r="K6124" s="54" t="s">
        <v>15</v>
      </c>
    </row>
    <row r="6125" spans="2:11" ht="33" x14ac:dyDescent="0.2">
      <c r="B6125" s="82" t="s">
        <v>9680</v>
      </c>
      <c r="C6125" s="82" t="s">
        <v>660</v>
      </c>
      <c r="D6125" s="83">
        <f>SUMIFS(D6126:D6462,K6126:K6462,"0",B6126:B6462,"5 1 3 9 8 12 31111 6 M59 70800 000132 0000R 00001 00398 015 2111300 2024*")-SUMIFS(E6126:E6462,K6126:K6462,"0",B6126:B6462,"5 1 3 9 8 12 31111 6 M59 70800 000132 0000R 00001 00398 015 2111300 2024*")</f>
        <v>0</v>
      </c>
      <c r="E6125" s="54"/>
      <c r="F6125" s="83">
        <f>SUMIFS(F6126:F6462,K6126:K6462,"0",B6126:B6462,"5 1 3 9 8 12 31111 6 M59 70800 000132 0000R 00001 00398 015 2111300 2024*")</f>
        <v>56898.77</v>
      </c>
      <c r="G6125" s="83">
        <f>SUMIFS(G6126:G6462,K6126:K6462,"0",B6126:B6462,"5 1 3 9 8 12 31111 6 M59 70800 000132 0000R 00001 00398 015 2111300 2024*")</f>
        <v>0</v>
      </c>
      <c r="H6125" s="83">
        <f t="shared" si="96"/>
        <v>56898.77</v>
      </c>
      <c r="I6125" s="83"/>
      <c r="K6125" s="54" t="s">
        <v>15</v>
      </c>
    </row>
    <row r="6126" spans="2:11" ht="41.25" x14ac:dyDescent="0.2">
      <c r="B6126" s="82" t="s">
        <v>9681</v>
      </c>
      <c r="C6126" s="82" t="s">
        <v>662</v>
      </c>
      <c r="D6126" s="83">
        <f>SUMIFS(D6127:D6462,K6127:K6462,"0",B6127:B6462,"5 1 3 9 8 12 31111 6 M59 70800 000132 0000R 00001 00398 015 2111300 2024 CP1ED416*")-SUMIFS(E6127:E6462,K6127:K6462,"0",B6127:B6462,"5 1 3 9 8 12 31111 6 M59 70800 000132 0000R 00001 00398 015 2111300 2024 CP1ED416*")</f>
        <v>0</v>
      </c>
      <c r="E6126" s="54"/>
      <c r="F6126" s="83">
        <f>SUMIFS(F6127:F6462,K6127:K6462,"0",B6127:B6462,"5 1 3 9 8 12 31111 6 M59 70800 000132 0000R 00001 00398 015 2111300 2024 CP1ED416*")</f>
        <v>56898.77</v>
      </c>
      <c r="G6126" s="83">
        <f>SUMIFS(G6127:G6462,K6127:K6462,"0",B6127:B6462,"5 1 3 9 8 12 31111 6 M59 70800 000132 0000R 00001 00398 015 2111300 2024 CP1ED416*")</f>
        <v>0</v>
      </c>
      <c r="H6126" s="83">
        <f t="shared" si="96"/>
        <v>56898.77</v>
      </c>
      <c r="I6126" s="83"/>
      <c r="K6126" s="54" t="s">
        <v>15</v>
      </c>
    </row>
    <row r="6127" spans="2:11" ht="41.25" x14ac:dyDescent="0.2">
      <c r="B6127" s="82" t="s">
        <v>9682</v>
      </c>
      <c r="C6127" s="82" t="s">
        <v>282</v>
      </c>
      <c r="D6127" s="83">
        <f>SUMIFS(D6128:D6462,K6128:K6462,"0",B6128:B6462,"5 1 3 9 8 12 31111 6 M59 70800 000132 0000R 00001 00398 015 2111300 2024 CP1ED416 001*")-SUMIFS(E6128:E6462,K6128:K6462,"0",B6128:B6462,"5 1 3 9 8 12 31111 6 M59 70800 000132 0000R 00001 00398 015 2111300 2024 CP1ED416 001*")</f>
        <v>0</v>
      </c>
      <c r="E6127" s="54"/>
      <c r="F6127" s="83">
        <f>SUMIFS(F6128:F6462,K6128:K6462,"0",B6128:B6462,"5 1 3 9 8 12 31111 6 M59 70800 000132 0000R 00001 00398 015 2111300 2024 CP1ED416 001*")</f>
        <v>56898.77</v>
      </c>
      <c r="G6127" s="83">
        <f>SUMIFS(G6128:G6462,K6128:K6462,"0",B6128:B6462,"5 1 3 9 8 12 31111 6 M59 70800 000132 0000R 00001 00398 015 2111300 2024 CP1ED416 001*")</f>
        <v>0</v>
      </c>
      <c r="H6127" s="83">
        <f t="shared" si="96"/>
        <v>56898.77</v>
      </c>
      <c r="I6127" s="83"/>
      <c r="K6127" s="54" t="s">
        <v>15</v>
      </c>
    </row>
    <row r="6128" spans="2:11" ht="33" x14ac:dyDescent="0.2">
      <c r="B6128" s="84" t="s">
        <v>9683</v>
      </c>
      <c r="C6128" s="84" t="s">
        <v>9254</v>
      </c>
      <c r="D6128" s="85">
        <v>0</v>
      </c>
      <c r="E6128" s="85"/>
      <c r="F6128" s="85">
        <v>56898.77</v>
      </c>
      <c r="G6128" s="85">
        <v>0</v>
      </c>
      <c r="H6128" s="85">
        <f t="shared" si="96"/>
        <v>56898.77</v>
      </c>
      <c r="I6128" s="85"/>
      <c r="K6128" s="54" t="s">
        <v>38</v>
      </c>
    </row>
    <row r="6129" spans="2:11" ht="16.5" x14ac:dyDescent="0.2">
      <c r="B6129" s="82" t="s">
        <v>9684</v>
      </c>
      <c r="C6129" s="82" t="s">
        <v>3499</v>
      </c>
      <c r="D6129" s="83">
        <f>SUMIFS(D6130:D6462,K6130:K6462,"0",B6130:B6462,"5 1 3 9 8 12 31111 6 M59 71000*")-SUMIFS(E6130:E6462,K6130:K6462,"0",B6130:B6462,"5 1 3 9 8 12 31111 6 M59 71000*")</f>
        <v>0</v>
      </c>
      <c r="E6129" s="54"/>
      <c r="F6129" s="83">
        <f>SUMIFS(F6130:F6462,K6130:K6462,"0",B6130:B6462,"5 1 3 9 8 12 31111 6 M59 71000*")</f>
        <v>1885</v>
      </c>
      <c r="G6129" s="83">
        <f>SUMIFS(G6130:G6462,K6130:K6462,"0",B6130:B6462,"5 1 3 9 8 12 31111 6 M59 71000*")</f>
        <v>0</v>
      </c>
      <c r="H6129" s="83">
        <f t="shared" si="96"/>
        <v>1885</v>
      </c>
      <c r="I6129" s="83"/>
      <c r="K6129" s="54" t="s">
        <v>15</v>
      </c>
    </row>
    <row r="6130" spans="2:11" ht="16.5" x14ac:dyDescent="0.2">
      <c r="B6130" s="82" t="s">
        <v>9685</v>
      </c>
      <c r="C6130" s="82" t="s">
        <v>648</v>
      </c>
      <c r="D6130" s="83">
        <f>SUMIFS(D6131:D6462,K6131:K6462,"0",B6131:B6462,"5 1 3 9 8 12 31111 6 M59 71000 000132*")-SUMIFS(E6131:E6462,K6131:K6462,"0",B6131:B6462,"5 1 3 9 8 12 31111 6 M59 71000 000132*")</f>
        <v>0</v>
      </c>
      <c r="E6130" s="54"/>
      <c r="F6130" s="83">
        <f>SUMIFS(F6131:F6462,K6131:K6462,"0",B6131:B6462,"5 1 3 9 8 12 31111 6 M59 71000 000132*")</f>
        <v>1885</v>
      </c>
      <c r="G6130" s="83">
        <f>SUMIFS(G6131:G6462,K6131:K6462,"0",B6131:B6462,"5 1 3 9 8 12 31111 6 M59 71000 000132*")</f>
        <v>0</v>
      </c>
      <c r="H6130" s="83">
        <f t="shared" si="96"/>
        <v>1885</v>
      </c>
      <c r="I6130" s="83"/>
      <c r="K6130" s="54" t="s">
        <v>15</v>
      </c>
    </row>
    <row r="6131" spans="2:11" ht="24.75" x14ac:dyDescent="0.2">
      <c r="B6131" s="82" t="s">
        <v>9686</v>
      </c>
      <c r="C6131" s="82" t="s">
        <v>650</v>
      </c>
      <c r="D6131" s="83">
        <f>SUMIFS(D6132:D6462,K6132:K6462,"0",B6132:B6462,"5 1 3 9 8 12 31111 6 M59 71000 000132 0000R*")-SUMIFS(E6132:E6462,K6132:K6462,"0",B6132:B6462,"5 1 3 9 8 12 31111 6 M59 71000 000132 0000R*")</f>
        <v>0</v>
      </c>
      <c r="E6131" s="54"/>
      <c r="F6131" s="83">
        <f>SUMIFS(F6132:F6462,K6132:K6462,"0",B6132:B6462,"5 1 3 9 8 12 31111 6 M59 71000 000132 0000R*")</f>
        <v>1885</v>
      </c>
      <c r="G6131" s="83">
        <f>SUMIFS(G6132:G6462,K6132:K6462,"0",B6132:B6462,"5 1 3 9 8 12 31111 6 M59 71000 000132 0000R*")</f>
        <v>0</v>
      </c>
      <c r="H6131" s="83">
        <f t="shared" si="96"/>
        <v>1885</v>
      </c>
      <c r="I6131" s="83"/>
      <c r="K6131" s="54" t="s">
        <v>15</v>
      </c>
    </row>
    <row r="6132" spans="2:11" ht="24.75" x14ac:dyDescent="0.2">
      <c r="B6132" s="82" t="s">
        <v>9687</v>
      </c>
      <c r="C6132" s="82" t="s">
        <v>282</v>
      </c>
      <c r="D6132" s="83">
        <f>SUMIFS(D6133:D6462,K6133:K6462,"0",B6133:B6462,"5 1 3 9 8 12 31111 6 M59 71000 000132 0000R 00001*")-SUMIFS(E6133:E6462,K6133:K6462,"0",B6133:B6462,"5 1 3 9 8 12 31111 6 M59 71000 000132 0000R 00001*")</f>
        <v>0</v>
      </c>
      <c r="E6132" s="54"/>
      <c r="F6132" s="83">
        <f>SUMIFS(F6133:F6462,K6133:K6462,"0",B6133:B6462,"5 1 3 9 8 12 31111 6 M59 71000 000132 0000R 00001*")</f>
        <v>1885</v>
      </c>
      <c r="G6132" s="83">
        <f>SUMIFS(G6133:G6462,K6133:K6462,"0",B6133:B6462,"5 1 3 9 8 12 31111 6 M59 71000 000132 0000R 00001*")</f>
        <v>0</v>
      </c>
      <c r="H6132" s="83">
        <f t="shared" si="96"/>
        <v>1885</v>
      </c>
      <c r="I6132" s="83"/>
      <c r="K6132" s="54" t="s">
        <v>15</v>
      </c>
    </row>
    <row r="6133" spans="2:11" ht="24.75" x14ac:dyDescent="0.2">
      <c r="B6133" s="82" t="s">
        <v>9688</v>
      </c>
      <c r="C6133" s="82" t="s">
        <v>9247</v>
      </c>
      <c r="D6133" s="83">
        <f>SUMIFS(D6134:D6462,K6134:K6462,"0",B6134:B6462,"5 1 3 9 8 12 31111 6 M59 71000 000132 0000R 00001 00398*")-SUMIFS(E6134:E6462,K6134:K6462,"0",B6134:B6462,"5 1 3 9 8 12 31111 6 M59 71000 000132 0000R 00001 00398*")</f>
        <v>0</v>
      </c>
      <c r="E6133" s="54"/>
      <c r="F6133" s="83">
        <f>SUMIFS(F6134:F6462,K6134:K6462,"0",B6134:B6462,"5 1 3 9 8 12 31111 6 M59 71000 000132 0000R 00001 00398*")</f>
        <v>1885</v>
      </c>
      <c r="G6133" s="83">
        <f>SUMIFS(G6134:G6462,K6134:K6462,"0",B6134:B6462,"5 1 3 9 8 12 31111 6 M59 71000 000132 0000R 00001 00398*")</f>
        <v>0</v>
      </c>
      <c r="H6133" s="83">
        <f t="shared" si="96"/>
        <v>1885</v>
      </c>
      <c r="I6133" s="83"/>
      <c r="K6133" s="54" t="s">
        <v>15</v>
      </c>
    </row>
    <row r="6134" spans="2:11" ht="33" x14ac:dyDescent="0.2">
      <c r="B6134" s="82" t="s">
        <v>9689</v>
      </c>
      <c r="C6134" s="82" t="s">
        <v>1051</v>
      </c>
      <c r="D6134" s="83">
        <f>SUMIFS(D6135:D6462,K6135:K6462,"0",B6135:B6462,"5 1 3 9 8 12 31111 6 M59 71000 000132 0000R 00001 00398 015*")-SUMIFS(E6135:E6462,K6135:K6462,"0",B6135:B6462,"5 1 3 9 8 12 31111 6 M59 71000 000132 0000R 00001 00398 015*")</f>
        <v>0</v>
      </c>
      <c r="E6134" s="54"/>
      <c r="F6134" s="83">
        <f>SUMIFS(F6135:F6462,K6135:K6462,"0",B6135:B6462,"5 1 3 9 8 12 31111 6 M59 71000 000132 0000R 00001 00398 015*")</f>
        <v>1885</v>
      </c>
      <c r="G6134" s="83">
        <f>SUMIFS(G6135:G6462,K6135:K6462,"0",B6135:B6462,"5 1 3 9 8 12 31111 6 M59 71000 000132 0000R 00001 00398 015*")</f>
        <v>0</v>
      </c>
      <c r="H6134" s="83">
        <f t="shared" si="96"/>
        <v>1885</v>
      </c>
      <c r="I6134" s="83"/>
      <c r="K6134" s="54" t="s">
        <v>15</v>
      </c>
    </row>
    <row r="6135" spans="2:11" ht="33" x14ac:dyDescent="0.2">
      <c r="B6135" s="82" t="s">
        <v>9690</v>
      </c>
      <c r="C6135" s="82" t="s">
        <v>8550</v>
      </c>
      <c r="D6135" s="83">
        <f>SUMIFS(D6136:D6462,K6136:K6462,"0",B6136:B6462,"5 1 3 9 8 12 31111 6 M59 71000 000132 0000R 00001 00398 015 2111300*")-SUMIFS(E6136:E6462,K6136:K6462,"0",B6136:B6462,"5 1 3 9 8 12 31111 6 M59 71000 000132 0000R 00001 00398 015 2111300*")</f>
        <v>0</v>
      </c>
      <c r="E6135" s="54"/>
      <c r="F6135" s="83">
        <f>SUMIFS(F6136:F6462,K6136:K6462,"0",B6136:B6462,"5 1 3 9 8 12 31111 6 M59 71000 000132 0000R 00001 00398 015 2111300*")</f>
        <v>1885</v>
      </c>
      <c r="G6135" s="83">
        <f>SUMIFS(G6136:G6462,K6136:K6462,"0",B6136:B6462,"5 1 3 9 8 12 31111 6 M59 71000 000132 0000R 00001 00398 015 2111300*")</f>
        <v>0</v>
      </c>
      <c r="H6135" s="83">
        <f t="shared" si="96"/>
        <v>1885</v>
      </c>
      <c r="I6135" s="83"/>
      <c r="K6135" s="54" t="s">
        <v>15</v>
      </c>
    </row>
    <row r="6136" spans="2:11" ht="33" x14ac:dyDescent="0.2">
      <c r="B6136" s="82" t="s">
        <v>9691</v>
      </c>
      <c r="C6136" s="82" t="s">
        <v>660</v>
      </c>
      <c r="D6136" s="83">
        <f>SUMIFS(D6137:D6462,K6137:K6462,"0",B6137:B6462,"5 1 3 9 8 12 31111 6 M59 71000 000132 0000R 00001 00398 015 2111300 2024*")-SUMIFS(E6137:E6462,K6137:K6462,"0",B6137:B6462,"5 1 3 9 8 12 31111 6 M59 71000 000132 0000R 00001 00398 015 2111300 2024*")</f>
        <v>0</v>
      </c>
      <c r="E6136" s="54"/>
      <c r="F6136" s="83">
        <f>SUMIFS(F6137:F6462,K6137:K6462,"0",B6137:B6462,"5 1 3 9 8 12 31111 6 M59 71000 000132 0000R 00001 00398 015 2111300 2024*")</f>
        <v>1885</v>
      </c>
      <c r="G6136" s="83">
        <f>SUMIFS(G6137:G6462,K6137:K6462,"0",B6137:B6462,"5 1 3 9 8 12 31111 6 M59 71000 000132 0000R 00001 00398 015 2111300 2024*")</f>
        <v>0</v>
      </c>
      <c r="H6136" s="83">
        <f t="shared" si="96"/>
        <v>1885</v>
      </c>
      <c r="I6136" s="83"/>
      <c r="K6136" s="54" t="s">
        <v>15</v>
      </c>
    </row>
    <row r="6137" spans="2:11" ht="41.25" x14ac:dyDescent="0.2">
      <c r="B6137" s="82" t="s">
        <v>9692</v>
      </c>
      <c r="C6137" s="82" t="s">
        <v>662</v>
      </c>
      <c r="D6137" s="83">
        <f>SUMIFS(D6138:D6462,K6138:K6462,"0",B6138:B6462,"5 1 3 9 8 12 31111 6 M59 71000 000132 0000R 00001 00398 015 2111300 2024 CP1AP422*")-SUMIFS(E6138:E6462,K6138:K6462,"0",B6138:B6462,"5 1 3 9 8 12 31111 6 M59 71000 000132 0000R 00001 00398 015 2111300 2024 CP1AP422*")</f>
        <v>0</v>
      </c>
      <c r="E6137" s="54"/>
      <c r="F6137" s="83">
        <f>SUMIFS(F6138:F6462,K6138:K6462,"0",B6138:B6462,"5 1 3 9 8 12 31111 6 M59 71000 000132 0000R 00001 00398 015 2111300 2024 CP1AP422*")</f>
        <v>1885</v>
      </c>
      <c r="G6137" s="83">
        <f>SUMIFS(G6138:G6462,K6138:K6462,"0",B6138:B6462,"5 1 3 9 8 12 31111 6 M59 71000 000132 0000R 00001 00398 015 2111300 2024 CP1AP422*")</f>
        <v>0</v>
      </c>
      <c r="H6137" s="83">
        <f t="shared" si="96"/>
        <v>1885</v>
      </c>
      <c r="I6137" s="83"/>
      <c r="K6137" s="54" t="s">
        <v>15</v>
      </c>
    </row>
    <row r="6138" spans="2:11" ht="41.25" x14ac:dyDescent="0.2">
      <c r="B6138" s="82" t="s">
        <v>9693</v>
      </c>
      <c r="C6138" s="82" t="s">
        <v>282</v>
      </c>
      <c r="D6138" s="83">
        <f>SUMIFS(D6139:D6462,K6139:K6462,"0",B6139:B6462,"5 1 3 9 8 12 31111 6 M59 71000 000132 0000R 00001 00398 015 2111300 2024 CP1AP422 001*")-SUMIFS(E6139:E6462,K6139:K6462,"0",B6139:B6462,"5 1 3 9 8 12 31111 6 M59 71000 000132 0000R 00001 00398 015 2111300 2024 CP1AP422 001*")</f>
        <v>0</v>
      </c>
      <c r="E6138" s="54"/>
      <c r="F6138" s="83">
        <f>SUMIFS(F6139:F6462,K6139:K6462,"0",B6139:B6462,"5 1 3 9 8 12 31111 6 M59 71000 000132 0000R 00001 00398 015 2111300 2024 CP1AP422 001*")</f>
        <v>1885</v>
      </c>
      <c r="G6138" s="83">
        <f>SUMIFS(G6139:G6462,K6139:K6462,"0",B6139:B6462,"5 1 3 9 8 12 31111 6 M59 71000 000132 0000R 00001 00398 015 2111300 2024 CP1AP422 001*")</f>
        <v>0</v>
      </c>
      <c r="H6138" s="83">
        <f t="shared" si="96"/>
        <v>1885</v>
      </c>
      <c r="I6138" s="83"/>
      <c r="K6138" s="54" t="s">
        <v>15</v>
      </c>
    </row>
    <row r="6139" spans="2:11" ht="33" x14ac:dyDescent="0.2">
      <c r="B6139" s="84" t="s">
        <v>9694</v>
      </c>
      <c r="C6139" s="84" t="s">
        <v>9254</v>
      </c>
      <c r="D6139" s="85">
        <v>0</v>
      </c>
      <c r="E6139" s="85"/>
      <c r="F6139" s="85">
        <v>1885</v>
      </c>
      <c r="G6139" s="85">
        <v>0</v>
      </c>
      <c r="H6139" s="85">
        <f t="shared" si="96"/>
        <v>1885</v>
      </c>
      <c r="I6139" s="85"/>
      <c r="K6139" s="54" t="s">
        <v>38</v>
      </c>
    </row>
    <row r="6140" spans="2:11" ht="16.5" x14ac:dyDescent="0.2">
      <c r="B6140" s="82" t="s">
        <v>9695</v>
      </c>
      <c r="C6140" s="82" t="s">
        <v>3511</v>
      </c>
      <c r="D6140" s="83">
        <f>SUMIFS(D6141:D6462,K6141:K6462,"0",B6141:B6462,"5 1 3 9 8 12 31111 6 M59 72000*")-SUMIFS(E6141:E6462,K6141:K6462,"0",B6141:B6462,"5 1 3 9 8 12 31111 6 M59 72000*")</f>
        <v>0</v>
      </c>
      <c r="E6140" s="54"/>
      <c r="F6140" s="83">
        <f>SUMIFS(F6141:F6462,K6141:K6462,"0",B6141:B6462,"5 1 3 9 8 12 31111 6 M59 72000*")</f>
        <v>3106.97</v>
      </c>
      <c r="G6140" s="83">
        <f>SUMIFS(G6141:G6462,K6141:K6462,"0",B6141:B6462,"5 1 3 9 8 12 31111 6 M59 72000*")</f>
        <v>0</v>
      </c>
      <c r="H6140" s="83">
        <f t="shared" si="96"/>
        <v>3106.97</v>
      </c>
      <c r="I6140" s="83"/>
      <c r="K6140" s="54" t="s">
        <v>15</v>
      </c>
    </row>
    <row r="6141" spans="2:11" ht="16.5" x14ac:dyDescent="0.2">
      <c r="B6141" s="82" t="s">
        <v>9696</v>
      </c>
      <c r="C6141" s="82" t="s">
        <v>648</v>
      </c>
      <c r="D6141" s="83">
        <f>SUMIFS(D6142:D6462,K6142:K6462,"0",B6142:B6462,"5 1 3 9 8 12 31111 6 M59 72000 000132*")-SUMIFS(E6142:E6462,K6142:K6462,"0",B6142:B6462,"5 1 3 9 8 12 31111 6 M59 72000 000132*")</f>
        <v>0</v>
      </c>
      <c r="E6141" s="54"/>
      <c r="F6141" s="83">
        <f>SUMIFS(F6142:F6462,K6142:K6462,"0",B6142:B6462,"5 1 3 9 8 12 31111 6 M59 72000 000132*")</f>
        <v>3106.97</v>
      </c>
      <c r="G6141" s="83">
        <f>SUMIFS(G6142:G6462,K6142:K6462,"0",B6142:B6462,"5 1 3 9 8 12 31111 6 M59 72000 000132*")</f>
        <v>0</v>
      </c>
      <c r="H6141" s="83">
        <f t="shared" si="96"/>
        <v>3106.97</v>
      </c>
      <c r="I6141" s="83"/>
      <c r="K6141" s="54" t="s">
        <v>15</v>
      </c>
    </row>
    <row r="6142" spans="2:11" ht="24.75" x14ac:dyDescent="0.2">
      <c r="B6142" s="82" t="s">
        <v>9697</v>
      </c>
      <c r="C6142" s="82" t="s">
        <v>650</v>
      </c>
      <c r="D6142" s="83">
        <f>SUMIFS(D6143:D6462,K6143:K6462,"0",B6143:B6462,"5 1 3 9 8 12 31111 6 M59 72000 000132 0000R*")-SUMIFS(E6143:E6462,K6143:K6462,"0",B6143:B6462,"5 1 3 9 8 12 31111 6 M59 72000 000132 0000R*")</f>
        <v>0</v>
      </c>
      <c r="E6142" s="54"/>
      <c r="F6142" s="83">
        <f>SUMIFS(F6143:F6462,K6143:K6462,"0",B6143:B6462,"5 1 3 9 8 12 31111 6 M59 72000 000132 0000R*")</f>
        <v>3106.97</v>
      </c>
      <c r="G6142" s="83">
        <f>SUMIFS(G6143:G6462,K6143:K6462,"0",B6143:B6462,"5 1 3 9 8 12 31111 6 M59 72000 000132 0000R*")</f>
        <v>0</v>
      </c>
      <c r="H6142" s="83">
        <f t="shared" si="96"/>
        <v>3106.97</v>
      </c>
      <c r="I6142" s="83"/>
      <c r="K6142" s="54" t="s">
        <v>15</v>
      </c>
    </row>
    <row r="6143" spans="2:11" ht="24.75" x14ac:dyDescent="0.2">
      <c r="B6143" s="82" t="s">
        <v>9698</v>
      </c>
      <c r="C6143" s="82" t="s">
        <v>282</v>
      </c>
      <c r="D6143" s="83">
        <f>SUMIFS(D6144:D6462,K6144:K6462,"0",B6144:B6462,"5 1 3 9 8 12 31111 6 M59 72000 000132 0000R 00001*")-SUMIFS(E6144:E6462,K6144:K6462,"0",B6144:B6462,"5 1 3 9 8 12 31111 6 M59 72000 000132 0000R 00001*")</f>
        <v>0</v>
      </c>
      <c r="E6143" s="54"/>
      <c r="F6143" s="83">
        <f>SUMIFS(F6144:F6462,K6144:K6462,"0",B6144:B6462,"5 1 3 9 8 12 31111 6 M59 72000 000132 0000R 00001*")</f>
        <v>3106.97</v>
      </c>
      <c r="G6143" s="83">
        <f>SUMIFS(G6144:G6462,K6144:K6462,"0",B6144:B6462,"5 1 3 9 8 12 31111 6 M59 72000 000132 0000R 00001*")</f>
        <v>0</v>
      </c>
      <c r="H6143" s="83">
        <f t="shared" si="96"/>
        <v>3106.97</v>
      </c>
      <c r="I6143" s="83"/>
      <c r="K6143" s="54" t="s">
        <v>15</v>
      </c>
    </row>
    <row r="6144" spans="2:11" ht="24.75" x14ac:dyDescent="0.2">
      <c r="B6144" s="82" t="s">
        <v>9699</v>
      </c>
      <c r="C6144" s="82" t="s">
        <v>9247</v>
      </c>
      <c r="D6144" s="83">
        <f>SUMIFS(D6145:D6462,K6145:K6462,"0",B6145:B6462,"5 1 3 9 8 12 31111 6 M59 72000 000132 0000R 00001 00398*")-SUMIFS(E6145:E6462,K6145:K6462,"0",B6145:B6462,"5 1 3 9 8 12 31111 6 M59 72000 000132 0000R 00001 00398*")</f>
        <v>0</v>
      </c>
      <c r="E6144" s="54"/>
      <c r="F6144" s="83">
        <f>SUMIFS(F6145:F6462,K6145:K6462,"0",B6145:B6462,"5 1 3 9 8 12 31111 6 M59 72000 000132 0000R 00001 00398*")</f>
        <v>3106.97</v>
      </c>
      <c r="G6144" s="83">
        <f>SUMIFS(G6145:G6462,K6145:K6462,"0",B6145:B6462,"5 1 3 9 8 12 31111 6 M59 72000 000132 0000R 00001 00398*")</f>
        <v>0</v>
      </c>
      <c r="H6144" s="83">
        <f t="shared" si="96"/>
        <v>3106.97</v>
      </c>
      <c r="I6144" s="83"/>
      <c r="K6144" s="54" t="s">
        <v>15</v>
      </c>
    </row>
    <row r="6145" spans="2:11" ht="33" x14ac:dyDescent="0.2">
      <c r="B6145" s="82" t="s">
        <v>9700</v>
      </c>
      <c r="C6145" s="82" t="s">
        <v>1051</v>
      </c>
      <c r="D6145" s="83">
        <f>SUMIFS(D6146:D6462,K6146:K6462,"0",B6146:B6462,"5 1 3 9 8 12 31111 6 M59 72000 000132 0000R 00001 00398 015*")-SUMIFS(E6146:E6462,K6146:K6462,"0",B6146:B6462,"5 1 3 9 8 12 31111 6 M59 72000 000132 0000R 00001 00398 015*")</f>
        <v>0</v>
      </c>
      <c r="E6145" s="54"/>
      <c r="F6145" s="83">
        <f>SUMIFS(F6146:F6462,K6146:K6462,"0",B6146:B6462,"5 1 3 9 8 12 31111 6 M59 72000 000132 0000R 00001 00398 015*")</f>
        <v>3106.97</v>
      </c>
      <c r="G6145" s="83">
        <f>SUMIFS(G6146:G6462,K6146:K6462,"0",B6146:B6462,"5 1 3 9 8 12 31111 6 M59 72000 000132 0000R 00001 00398 015*")</f>
        <v>0</v>
      </c>
      <c r="H6145" s="83">
        <f t="shared" si="96"/>
        <v>3106.97</v>
      </c>
      <c r="I6145" s="83"/>
      <c r="K6145" s="54" t="s">
        <v>15</v>
      </c>
    </row>
    <row r="6146" spans="2:11" ht="33" x14ac:dyDescent="0.2">
      <c r="B6146" s="82" t="s">
        <v>9701</v>
      </c>
      <c r="C6146" s="82" t="s">
        <v>8550</v>
      </c>
      <c r="D6146" s="83">
        <f>SUMIFS(D6147:D6462,K6147:K6462,"0",B6147:B6462,"5 1 3 9 8 12 31111 6 M59 72000 000132 0000R 00001 00398 015 2111300*")-SUMIFS(E6147:E6462,K6147:K6462,"0",B6147:B6462,"5 1 3 9 8 12 31111 6 M59 72000 000132 0000R 00001 00398 015 2111300*")</f>
        <v>0</v>
      </c>
      <c r="E6146" s="54"/>
      <c r="F6146" s="83">
        <f>SUMIFS(F6147:F6462,K6147:K6462,"0",B6147:B6462,"5 1 3 9 8 12 31111 6 M59 72000 000132 0000R 00001 00398 015 2111300*")</f>
        <v>3106.97</v>
      </c>
      <c r="G6146" s="83">
        <f>SUMIFS(G6147:G6462,K6147:K6462,"0",B6147:B6462,"5 1 3 9 8 12 31111 6 M59 72000 000132 0000R 00001 00398 015 2111300*")</f>
        <v>0</v>
      </c>
      <c r="H6146" s="83">
        <f t="shared" si="96"/>
        <v>3106.97</v>
      </c>
      <c r="I6146" s="83"/>
      <c r="K6146" s="54" t="s">
        <v>15</v>
      </c>
    </row>
    <row r="6147" spans="2:11" ht="33" x14ac:dyDescent="0.2">
      <c r="B6147" s="82" t="s">
        <v>9702</v>
      </c>
      <c r="C6147" s="82" t="s">
        <v>660</v>
      </c>
      <c r="D6147" s="83">
        <f>SUMIFS(D6148:D6462,K6148:K6462,"0",B6148:B6462,"5 1 3 9 8 12 31111 6 M59 72000 000132 0000R 00001 00398 015 2111300 2024*")-SUMIFS(E6148:E6462,K6148:K6462,"0",B6148:B6462,"5 1 3 9 8 12 31111 6 M59 72000 000132 0000R 00001 00398 015 2111300 2024*")</f>
        <v>0</v>
      </c>
      <c r="E6147" s="54"/>
      <c r="F6147" s="83">
        <f>SUMIFS(F6148:F6462,K6148:K6462,"0",B6148:B6462,"5 1 3 9 8 12 31111 6 M59 72000 000132 0000R 00001 00398 015 2111300 2024*")</f>
        <v>3106.97</v>
      </c>
      <c r="G6147" s="83">
        <f>SUMIFS(G6148:G6462,K6148:K6462,"0",B6148:B6462,"5 1 3 9 8 12 31111 6 M59 72000 000132 0000R 00001 00398 015 2111300 2024*")</f>
        <v>0</v>
      </c>
      <c r="H6147" s="83">
        <f t="shared" si="96"/>
        <v>3106.97</v>
      </c>
      <c r="I6147" s="83"/>
      <c r="K6147" s="54" t="s">
        <v>15</v>
      </c>
    </row>
    <row r="6148" spans="2:11" ht="41.25" x14ac:dyDescent="0.2">
      <c r="B6148" s="82" t="s">
        <v>9703</v>
      </c>
      <c r="C6148" s="82" t="s">
        <v>1056</v>
      </c>
      <c r="D6148" s="83">
        <f>SUMIFS(D6149:D6462,K6149:K6462,"0",B6149:B6462,"5 1 3 9 8 12 31111 6 M59 72000 000132 0000R 00001 00398 015 2111300 2024 CP1SC386*")-SUMIFS(E6149:E6462,K6149:K6462,"0",B6149:B6462,"5 1 3 9 8 12 31111 6 M59 72000 000132 0000R 00001 00398 015 2111300 2024 CP1SC386*")</f>
        <v>0</v>
      </c>
      <c r="E6148" s="54"/>
      <c r="F6148" s="83">
        <f>SUMIFS(F6149:F6462,K6149:K6462,"0",B6149:B6462,"5 1 3 9 8 12 31111 6 M59 72000 000132 0000R 00001 00398 015 2111300 2024 CP1SC386*")</f>
        <v>3106.97</v>
      </c>
      <c r="G6148" s="83">
        <f>SUMIFS(G6149:G6462,K6149:K6462,"0",B6149:B6462,"5 1 3 9 8 12 31111 6 M59 72000 000132 0000R 00001 00398 015 2111300 2024 CP1SC386*")</f>
        <v>0</v>
      </c>
      <c r="H6148" s="83">
        <f t="shared" si="96"/>
        <v>3106.97</v>
      </c>
      <c r="I6148" s="83"/>
      <c r="K6148" s="54" t="s">
        <v>15</v>
      </c>
    </row>
    <row r="6149" spans="2:11" ht="41.25" x14ac:dyDescent="0.2">
      <c r="B6149" s="82" t="s">
        <v>9704</v>
      </c>
      <c r="C6149" s="82" t="s">
        <v>282</v>
      </c>
      <c r="D6149" s="83">
        <f>SUMIFS(D6150:D6462,K6150:K6462,"0",B6150:B6462,"5 1 3 9 8 12 31111 6 M59 72000 000132 0000R 00001 00398 015 2111300 2024 CP1SC386 001*")-SUMIFS(E6150:E6462,K6150:K6462,"0",B6150:B6462,"5 1 3 9 8 12 31111 6 M59 72000 000132 0000R 00001 00398 015 2111300 2024 CP1SC386 001*")</f>
        <v>0</v>
      </c>
      <c r="E6149" s="54"/>
      <c r="F6149" s="83">
        <f>SUMIFS(F6150:F6462,K6150:K6462,"0",B6150:B6462,"5 1 3 9 8 12 31111 6 M59 72000 000132 0000R 00001 00398 015 2111300 2024 CP1SC386 001*")</f>
        <v>3106.97</v>
      </c>
      <c r="G6149" s="83">
        <f>SUMIFS(G6150:G6462,K6150:K6462,"0",B6150:B6462,"5 1 3 9 8 12 31111 6 M59 72000 000132 0000R 00001 00398 015 2111300 2024 CP1SC386 001*")</f>
        <v>0</v>
      </c>
      <c r="H6149" s="83">
        <f t="shared" si="96"/>
        <v>3106.97</v>
      </c>
      <c r="I6149" s="83"/>
      <c r="K6149" s="54" t="s">
        <v>15</v>
      </c>
    </row>
    <row r="6150" spans="2:11" ht="33" x14ac:dyDescent="0.2">
      <c r="B6150" s="84" t="s">
        <v>9705</v>
      </c>
      <c r="C6150" s="84" t="s">
        <v>9254</v>
      </c>
      <c r="D6150" s="85">
        <v>0</v>
      </c>
      <c r="E6150" s="85"/>
      <c r="F6150" s="85">
        <v>3106.97</v>
      </c>
      <c r="G6150" s="85">
        <v>0</v>
      </c>
      <c r="H6150" s="85">
        <f t="shared" si="96"/>
        <v>3106.97</v>
      </c>
      <c r="I6150" s="85"/>
      <c r="K6150" s="54" t="s">
        <v>38</v>
      </c>
    </row>
    <row r="6151" spans="2:11" ht="16.5" x14ac:dyDescent="0.2">
      <c r="B6151" s="82" t="s">
        <v>9706</v>
      </c>
      <c r="C6151" s="82" t="s">
        <v>3523</v>
      </c>
      <c r="D6151" s="83">
        <f>SUMIFS(D6152:D6462,K6152:K6462,"0",B6152:B6462,"5 1 3 9 8 12 31111 6 M59 80000*")-SUMIFS(E6152:E6462,K6152:K6462,"0",B6152:B6462,"5 1 3 9 8 12 31111 6 M59 80000*")</f>
        <v>0</v>
      </c>
      <c r="E6151" s="54"/>
      <c r="F6151" s="83">
        <f>SUMIFS(F6152:F6462,K6152:K6462,"0",B6152:B6462,"5 1 3 9 8 12 31111 6 M59 80000*")</f>
        <v>11601.2</v>
      </c>
      <c r="G6151" s="83">
        <f>SUMIFS(G6152:G6462,K6152:K6462,"0",B6152:B6462,"5 1 3 9 8 12 31111 6 M59 80000*")</f>
        <v>0</v>
      </c>
      <c r="H6151" s="83">
        <f t="shared" si="96"/>
        <v>11601.2</v>
      </c>
      <c r="I6151" s="83"/>
      <c r="K6151" s="54" t="s">
        <v>15</v>
      </c>
    </row>
    <row r="6152" spans="2:11" ht="16.5" x14ac:dyDescent="0.2">
      <c r="B6152" s="82" t="s">
        <v>9707</v>
      </c>
      <c r="C6152" s="82" t="s">
        <v>648</v>
      </c>
      <c r="D6152" s="83">
        <f>SUMIFS(D6153:D6462,K6153:K6462,"0",B6153:B6462,"5 1 3 9 8 12 31111 6 M59 80000 000132*")-SUMIFS(E6153:E6462,K6153:K6462,"0",B6153:B6462,"5 1 3 9 8 12 31111 6 M59 80000 000132*")</f>
        <v>0</v>
      </c>
      <c r="E6152" s="54"/>
      <c r="F6152" s="83">
        <f>SUMIFS(F6153:F6462,K6153:K6462,"0",B6153:B6462,"5 1 3 9 8 12 31111 6 M59 80000 000132*")</f>
        <v>11601.2</v>
      </c>
      <c r="G6152" s="83">
        <f>SUMIFS(G6153:G6462,K6153:K6462,"0",B6153:B6462,"5 1 3 9 8 12 31111 6 M59 80000 000132*")</f>
        <v>0</v>
      </c>
      <c r="H6152" s="83">
        <f t="shared" si="96"/>
        <v>11601.2</v>
      </c>
      <c r="I6152" s="83"/>
      <c r="K6152" s="54" t="s">
        <v>15</v>
      </c>
    </row>
    <row r="6153" spans="2:11" ht="24.75" x14ac:dyDescent="0.2">
      <c r="B6153" s="82" t="s">
        <v>9708</v>
      </c>
      <c r="C6153" s="82" t="s">
        <v>650</v>
      </c>
      <c r="D6153" s="83">
        <f>SUMIFS(D6154:D6462,K6154:K6462,"0",B6154:B6462,"5 1 3 9 8 12 31111 6 M59 80000 000132 0000R*")-SUMIFS(E6154:E6462,K6154:K6462,"0",B6154:B6462,"5 1 3 9 8 12 31111 6 M59 80000 000132 0000R*")</f>
        <v>0</v>
      </c>
      <c r="E6153" s="54"/>
      <c r="F6153" s="83">
        <f>SUMIFS(F6154:F6462,K6154:K6462,"0",B6154:B6462,"5 1 3 9 8 12 31111 6 M59 80000 000132 0000R*")</f>
        <v>11601.2</v>
      </c>
      <c r="G6153" s="83">
        <f>SUMIFS(G6154:G6462,K6154:K6462,"0",B6154:B6462,"5 1 3 9 8 12 31111 6 M59 80000 000132 0000R*")</f>
        <v>0</v>
      </c>
      <c r="H6153" s="83">
        <f t="shared" si="96"/>
        <v>11601.2</v>
      </c>
      <c r="I6153" s="83"/>
      <c r="K6153" s="54" t="s">
        <v>15</v>
      </c>
    </row>
    <row r="6154" spans="2:11" ht="24.75" x14ac:dyDescent="0.2">
      <c r="B6154" s="82" t="s">
        <v>9709</v>
      </c>
      <c r="C6154" s="82" t="s">
        <v>282</v>
      </c>
      <c r="D6154" s="83">
        <f>SUMIFS(D6155:D6462,K6155:K6462,"0",B6155:B6462,"5 1 3 9 8 12 31111 6 M59 80000 000132 0000R 00001*")-SUMIFS(E6155:E6462,K6155:K6462,"0",B6155:B6462,"5 1 3 9 8 12 31111 6 M59 80000 000132 0000R 00001*")</f>
        <v>0</v>
      </c>
      <c r="E6154" s="54"/>
      <c r="F6154" s="83">
        <f>SUMIFS(F6155:F6462,K6155:K6462,"0",B6155:B6462,"5 1 3 9 8 12 31111 6 M59 80000 000132 0000R 00001*")</f>
        <v>11601.2</v>
      </c>
      <c r="G6154" s="83">
        <f>SUMIFS(G6155:G6462,K6155:K6462,"0",B6155:B6462,"5 1 3 9 8 12 31111 6 M59 80000 000132 0000R 00001*")</f>
        <v>0</v>
      </c>
      <c r="H6154" s="83">
        <f t="shared" si="96"/>
        <v>11601.2</v>
      </c>
      <c r="I6154" s="83"/>
      <c r="K6154" s="54" t="s">
        <v>15</v>
      </c>
    </row>
    <row r="6155" spans="2:11" ht="24.75" x14ac:dyDescent="0.2">
      <c r="B6155" s="82" t="s">
        <v>9710</v>
      </c>
      <c r="C6155" s="82" t="s">
        <v>9247</v>
      </c>
      <c r="D6155" s="83">
        <f>SUMIFS(D6156:D6462,K6156:K6462,"0",B6156:B6462,"5 1 3 9 8 12 31111 6 M59 80000 000132 0000R 00001 00398*")-SUMIFS(E6156:E6462,K6156:K6462,"0",B6156:B6462,"5 1 3 9 8 12 31111 6 M59 80000 000132 0000R 00001 00398*")</f>
        <v>0</v>
      </c>
      <c r="E6155" s="54"/>
      <c r="F6155" s="83">
        <f>SUMIFS(F6156:F6462,K6156:K6462,"0",B6156:B6462,"5 1 3 9 8 12 31111 6 M59 80000 000132 0000R 00001 00398*")</f>
        <v>11601.2</v>
      </c>
      <c r="G6155" s="83">
        <f>SUMIFS(G6156:G6462,K6156:K6462,"0",B6156:B6462,"5 1 3 9 8 12 31111 6 M59 80000 000132 0000R 00001 00398*")</f>
        <v>0</v>
      </c>
      <c r="H6155" s="83">
        <f t="shared" si="96"/>
        <v>11601.2</v>
      </c>
      <c r="I6155" s="83"/>
      <c r="K6155" s="54" t="s">
        <v>15</v>
      </c>
    </row>
    <row r="6156" spans="2:11" ht="33" x14ac:dyDescent="0.2">
      <c r="B6156" s="82" t="s">
        <v>9711</v>
      </c>
      <c r="C6156" s="82" t="s">
        <v>1051</v>
      </c>
      <c r="D6156" s="83">
        <f>SUMIFS(D6157:D6462,K6157:K6462,"0",B6157:B6462,"5 1 3 9 8 12 31111 6 M59 80000 000132 0000R 00001 00398 015*")-SUMIFS(E6157:E6462,K6157:K6462,"0",B6157:B6462,"5 1 3 9 8 12 31111 6 M59 80000 000132 0000R 00001 00398 015*")</f>
        <v>0</v>
      </c>
      <c r="E6156" s="54"/>
      <c r="F6156" s="83">
        <f>SUMIFS(F6157:F6462,K6157:K6462,"0",B6157:B6462,"5 1 3 9 8 12 31111 6 M59 80000 000132 0000R 00001 00398 015*")</f>
        <v>11601.2</v>
      </c>
      <c r="G6156" s="83">
        <f>SUMIFS(G6157:G6462,K6157:K6462,"0",B6157:B6462,"5 1 3 9 8 12 31111 6 M59 80000 000132 0000R 00001 00398 015*")</f>
        <v>0</v>
      </c>
      <c r="H6156" s="83">
        <f t="shared" si="96"/>
        <v>11601.2</v>
      </c>
      <c r="I6156" s="83"/>
      <c r="K6156" s="54" t="s">
        <v>15</v>
      </c>
    </row>
    <row r="6157" spans="2:11" ht="33" x14ac:dyDescent="0.2">
      <c r="B6157" s="82" t="s">
        <v>9712</v>
      </c>
      <c r="C6157" s="82" t="s">
        <v>8550</v>
      </c>
      <c r="D6157" s="83">
        <f>SUMIFS(D6158:D6462,K6158:K6462,"0",B6158:B6462,"5 1 3 9 8 12 31111 6 M59 80000 000132 0000R 00001 00398 015 2111300*")-SUMIFS(E6158:E6462,K6158:K6462,"0",B6158:B6462,"5 1 3 9 8 12 31111 6 M59 80000 000132 0000R 00001 00398 015 2111300*")</f>
        <v>0</v>
      </c>
      <c r="E6157" s="54"/>
      <c r="F6157" s="83">
        <f>SUMIFS(F6158:F6462,K6158:K6462,"0",B6158:B6462,"5 1 3 9 8 12 31111 6 M59 80000 000132 0000R 00001 00398 015 2111300*")</f>
        <v>11601.2</v>
      </c>
      <c r="G6157" s="83">
        <f>SUMIFS(G6158:G6462,K6158:K6462,"0",B6158:B6462,"5 1 3 9 8 12 31111 6 M59 80000 000132 0000R 00001 00398 015 2111300*")</f>
        <v>0</v>
      </c>
      <c r="H6157" s="83">
        <f t="shared" si="96"/>
        <v>11601.2</v>
      </c>
      <c r="I6157" s="83"/>
      <c r="K6157" s="54" t="s">
        <v>15</v>
      </c>
    </row>
    <row r="6158" spans="2:11" ht="33" x14ac:dyDescent="0.2">
      <c r="B6158" s="82" t="s">
        <v>9713</v>
      </c>
      <c r="C6158" s="82" t="s">
        <v>660</v>
      </c>
      <c r="D6158" s="83">
        <f>SUMIFS(D6159:D6462,K6159:K6462,"0",B6159:B6462,"5 1 3 9 8 12 31111 6 M59 80000 000132 0000R 00001 00398 015 2111300 2024*")-SUMIFS(E6159:E6462,K6159:K6462,"0",B6159:B6462,"5 1 3 9 8 12 31111 6 M59 80000 000132 0000R 00001 00398 015 2111300 2024*")</f>
        <v>0</v>
      </c>
      <c r="E6158" s="54"/>
      <c r="F6158" s="83">
        <f>SUMIFS(F6159:F6462,K6159:K6462,"0",B6159:B6462,"5 1 3 9 8 12 31111 6 M59 80000 000132 0000R 00001 00398 015 2111300 2024*")</f>
        <v>11601.2</v>
      </c>
      <c r="G6158" s="83">
        <f>SUMIFS(G6159:G6462,K6159:K6462,"0",B6159:B6462,"5 1 3 9 8 12 31111 6 M59 80000 000132 0000R 00001 00398 015 2111300 2024*")</f>
        <v>0</v>
      </c>
      <c r="H6158" s="83">
        <f t="shared" si="96"/>
        <v>11601.2</v>
      </c>
      <c r="I6158" s="83"/>
      <c r="K6158" s="54" t="s">
        <v>15</v>
      </c>
    </row>
    <row r="6159" spans="2:11" ht="41.25" x14ac:dyDescent="0.2">
      <c r="B6159" s="82" t="s">
        <v>9714</v>
      </c>
      <c r="C6159" s="82" t="s">
        <v>1056</v>
      </c>
      <c r="D6159" s="83">
        <f>SUMIFS(D6160:D6462,K6160:K6462,"0",B6160:B6462,"5 1 3 9 8 12 31111 6 M59 80000 000132 0000R 00001 00398 015 2111300 2024 CP1DR388*")-SUMIFS(E6160:E6462,K6160:K6462,"0",B6160:B6462,"5 1 3 9 8 12 31111 6 M59 80000 000132 0000R 00001 00398 015 2111300 2024 CP1DR388*")</f>
        <v>0</v>
      </c>
      <c r="E6159" s="54"/>
      <c r="F6159" s="83">
        <f>SUMIFS(F6160:F6462,K6160:K6462,"0",B6160:B6462,"5 1 3 9 8 12 31111 6 M59 80000 000132 0000R 00001 00398 015 2111300 2024 CP1DR388*")</f>
        <v>11601.2</v>
      </c>
      <c r="G6159" s="83">
        <f>SUMIFS(G6160:G6462,K6160:K6462,"0",B6160:B6462,"5 1 3 9 8 12 31111 6 M59 80000 000132 0000R 00001 00398 015 2111300 2024 CP1DR388*")</f>
        <v>0</v>
      </c>
      <c r="H6159" s="83">
        <f t="shared" si="96"/>
        <v>11601.2</v>
      </c>
      <c r="I6159" s="83"/>
      <c r="K6159" s="54" t="s">
        <v>15</v>
      </c>
    </row>
    <row r="6160" spans="2:11" ht="41.25" x14ac:dyDescent="0.2">
      <c r="B6160" s="82" t="s">
        <v>9715</v>
      </c>
      <c r="C6160" s="82" t="s">
        <v>282</v>
      </c>
      <c r="D6160" s="83">
        <f>SUMIFS(D6161:D6462,K6161:K6462,"0",B6161:B6462,"5 1 3 9 8 12 31111 6 M59 80000 000132 0000R 00001 00398 015 2111300 2024 CP1DR388 001*")-SUMIFS(E6161:E6462,K6161:K6462,"0",B6161:B6462,"5 1 3 9 8 12 31111 6 M59 80000 000132 0000R 00001 00398 015 2111300 2024 CP1DR388 001*")</f>
        <v>0</v>
      </c>
      <c r="E6160" s="54"/>
      <c r="F6160" s="83">
        <f>SUMIFS(F6161:F6462,K6161:K6462,"0",B6161:B6462,"5 1 3 9 8 12 31111 6 M59 80000 000132 0000R 00001 00398 015 2111300 2024 CP1DR388 001*")</f>
        <v>11601.2</v>
      </c>
      <c r="G6160" s="83">
        <f>SUMIFS(G6161:G6462,K6161:K6462,"0",B6161:B6462,"5 1 3 9 8 12 31111 6 M59 80000 000132 0000R 00001 00398 015 2111300 2024 CP1DR388 001*")</f>
        <v>0</v>
      </c>
      <c r="H6160" s="83">
        <f t="shared" si="96"/>
        <v>11601.2</v>
      </c>
      <c r="I6160" s="83"/>
      <c r="K6160" s="54" t="s">
        <v>15</v>
      </c>
    </row>
    <row r="6161" spans="2:11" ht="41.25" x14ac:dyDescent="0.2">
      <c r="B6161" s="84" t="s">
        <v>9716</v>
      </c>
      <c r="C6161" s="84" t="s">
        <v>9254</v>
      </c>
      <c r="D6161" s="85">
        <v>0</v>
      </c>
      <c r="E6161" s="85"/>
      <c r="F6161" s="85">
        <v>11601.2</v>
      </c>
      <c r="G6161" s="85">
        <v>0</v>
      </c>
      <c r="H6161" s="85">
        <f t="shared" si="96"/>
        <v>11601.2</v>
      </c>
      <c r="I6161" s="85"/>
      <c r="K6161" s="54" t="s">
        <v>38</v>
      </c>
    </row>
    <row r="6162" spans="2:11" ht="16.5" x14ac:dyDescent="0.2">
      <c r="B6162" s="82" t="s">
        <v>9717</v>
      </c>
      <c r="C6162" s="82" t="s">
        <v>3535</v>
      </c>
      <c r="D6162" s="83">
        <f>SUMIFS(D6163:D6462,K6163:K6462,"0",B6163:B6462,"5 1 3 9 8 12 31111 6 M59 80100*")-SUMIFS(E6163:E6462,K6163:K6462,"0",B6163:B6462,"5 1 3 9 8 12 31111 6 M59 80100*")</f>
        <v>0</v>
      </c>
      <c r="E6162" s="54"/>
      <c r="F6162" s="83">
        <f>SUMIFS(F6163:F6462,K6163:K6462,"0",B6163:B6462,"5 1 3 9 8 12 31111 6 M59 80100*")</f>
        <v>2301.2600000000002</v>
      </c>
      <c r="G6162" s="83">
        <f>SUMIFS(G6163:G6462,K6163:K6462,"0",B6163:B6462,"5 1 3 9 8 12 31111 6 M59 80100*")</f>
        <v>0</v>
      </c>
      <c r="H6162" s="83">
        <f t="shared" si="96"/>
        <v>2301.2600000000002</v>
      </c>
      <c r="I6162" s="83"/>
      <c r="K6162" s="54" t="s">
        <v>15</v>
      </c>
    </row>
    <row r="6163" spans="2:11" ht="16.5" x14ac:dyDescent="0.2">
      <c r="B6163" s="82" t="s">
        <v>9718</v>
      </c>
      <c r="C6163" s="82" t="s">
        <v>648</v>
      </c>
      <c r="D6163" s="83">
        <f>SUMIFS(D6164:D6462,K6164:K6462,"0",B6164:B6462,"5 1 3 9 8 12 31111 6 M59 80100 000132*")-SUMIFS(E6164:E6462,K6164:K6462,"0",B6164:B6462,"5 1 3 9 8 12 31111 6 M59 80100 000132*")</f>
        <v>0</v>
      </c>
      <c r="E6163" s="54"/>
      <c r="F6163" s="83">
        <f>SUMIFS(F6164:F6462,K6164:K6462,"0",B6164:B6462,"5 1 3 9 8 12 31111 6 M59 80100 000132*")</f>
        <v>2301.2600000000002</v>
      </c>
      <c r="G6163" s="83">
        <f>SUMIFS(G6164:G6462,K6164:K6462,"0",B6164:B6462,"5 1 3 9 8 12 31111 6 M59 80100 000132*")</f>
        <v>0</v>
      </c>
      <c r="H6163" s="83">
        <f t="shared" si="96"/>
        <v>2301.2600000000002</v>
      </c>
      <c r="I6163" s="83"/>
      <c r="K6163" s="54" t="s">
        <v>15</v>
      </c>
    </row>
    <row r="6164" spans="2:11" ht="24.75" x14ac:dyDescent="0.2">
      <c r="B6164" s="82" t="s">
        <v>9719</v>
      </c>
      <c r="C6164" s="82" t="s">
        <v>650</v>
      </c>
      <c r="D6164" s="83">
        <f>SUMIFS(D6165:D6462,K6165:K6462,"0",B6165:B6462,"5 1 3 9 8 12 31111 6 M59 80100 000132 0000R*")-SUMIFS(E6165:E6462,K6165:K6462,"0",B6165:B6462,"5 1 3 9 8 12 31111 6 M59 80100 000132 0000R*")</f>
        <v>0</v>
      </c>
      <c r="E6164" s="54"/>
      <c r="F6164" s="83">
        <f>SUMIFS(F6165:F6462,K6165:K6462,"0",B6165:B6462,"5 1 3 9 8 12 31111 6 M59 80100 000132 0000R*")</f>
        <v>2301.2600000000002</v>
      </c>
      <c r="G6164" s="83">
        <f>SUMIFS(G6165:G6462,K6165:K6462,"0",B6165:B6462,"5 1 3 9 8 12 31111 6 M59 80100 000132 0000R*")</f>
        <v>0</v>
      </c>
      <c r="H6164" s="83">
        <f t="shared" si="96"/>
        <v>2301.2600000000002</v>
      </c>
      <c r="I6164" s="83"/>
      <c r="K6164" s="54" t="s">
        <v>15</v>
      </c>
    </row>
    <row r="6165" spans="2:11" ht="24.75" x14ac:dyDescent="0.2">
      <c r="B6165" s="82" t="s">
        <v>9720</v>
      </c>
      <c r="C6165" s="82" t="s">
        <v>282</v>
      </c>
      <c r="D6165" s="83">
        <f>SUMIFS(D6166:D6462,K6166:K6462,"0",B6166:B6462,"5 1 3 9 8 12 31111 6 M59 80100 000132 0000R 00001*")-SUMIFS(E6166:E6462,K6166:K6462,"0",B6166:B6462,"5 1 3 9 8 12 31111 6 M59 80100 000132 0000R 00001*")</f>
        <v>0</v>
      </c>
      <c r="E6165" s="54"/>
      <c r="F6165" s="83">
        <f>SUMIFS(F6166:F6462,K6166:K6462,"0",B6166:B6462,"5 1 3 9 8 12 31111 6 M59 80100 000132 0000R 00001*")</f>
        <v>2301.2600000000002</v>
      </c>
      <c r="G6165" s="83">
        <f>SUMIFS(G6166:G6462,K6166:K6462,"0",B6166:B6462,"5 1 3 9 8 12 31111 6 M59 80100 000132 0000R 00001*")</f>
        <v>0</v>
      </c>
      <c r="H6165" s="83">
        <f t="shared" si="96"/>
        <v>2301.2600000000002</v>
      </c>
      <c r="I6165" s="83"/>
      <c r="K6165" s="54" t="s">
        <v>15</v>
      </c>
    </row>
    <row r="6166" spans="2:11" ht="24.75" x14ac:dyDescent="0.2">
      <c r="B6166" s="82" t="s">
        <v>9721</v>
      </c>
      <c r="C6166" s="82" t="s">
        <v>9247</v>
      </c>
      <c r="D6166" s="83">
        <f>SUMIFS(D6167:D6462,K6167:K6462,"0",B6167:B6462,"5 1 3 9 8 12 31111 6 M59 80100 000132 0000R 00001 00398*")-SUMIFS(E6167:E6462,K6167:K6462,"0",B6167:B6462,"5 1 3 9 8 12 31111 6 M59 80100 000132 0000R 00001 00398*")</f>
        <v>0</v>
      </c>
      <c r="E6166" s="54"/>
      <c r="F6166" s="83">
        <f>SUMIFS(F6167:F6462,K6167:K6462,"0",B6167:B6462,"5 1 3 9 8 12 31111 6 M59 80100 000132 0000R 00001 00398*")</f>
        <v>2301.2600000000002</v>
      </c>
      <c r="G6166" s="83">
        <f>SUMIFS(G6167:G6462,K6167:K6462,"0",B6167:B6462,"5 1 3 9 8 12 31111 6 M59 80100 000132 0000R 00001 00398*")</f>
        <v>0</v>
      </c>
      <c r="H6166" s="83">
        <f t="shared" si="96"/>
        <v>2301.2600000000002</v>
      </c>
      <c r="I6166" s="83"/>
      <c r="K6166" s="54" t="s">
        <v>15</v>
      </c>
    </row>
    <row r="6167" spans="2:11" ht="33" x14ac:dyDescent="0.2">
      <c r="B6167" s="82" t="s">
        <v>9722</v>
      </c>
      <c r="C6167" s="82" t="s">
        <v>1051</v>
      </c>
      <c r="D6167" s="83">
        <f>SUMIFS(D6168:D6462,K6168:K6462,"0",B6168:B6462,"5 1 3 9 8 12 31111 6 M59 80100 000132 0000R 00001 00398 015*")-SUMIFS(E6168:E6462,K6168:K6462,"0",B6168:B6462,"5 1 3 9 8 12 31111 6 M59 80100 000132 0000R 00001 00398 015*")</f>
        <v>0</v>
      </c>
      <c r="E6167" s="54"/>
      <c r="F6167" s="83">
        <f>SUMIFS(F6168:F6462,K6168:K6462,"0",B6168:B6462,"5 1 3 9 8 12 31111 6 M59 80100 000132 0000R 00001 00398 015*")</f>
        <v>2301.2600000000002</v>
      </c>
      <c r="G6167" s="83">
        <f>SUMIFS(G6168:G6462,K6168:K6462,"0",B6168:B6462,"5 1 3 9 8 12 31111 6 M59 80100 000132 0000R 00001 00398 015*")</f>
        <v>0</v>
      </c>
      <c r="H6167" s="83">
        <f t="shared" si="96"/>
        <v>2301.2600000000002</v>
      </c>
      <c r="I6167" s="83"/>
      <c r="K6167" s="54" t="s">
        <v>15</v>
      </c>
    </row>
    <row r="6168" spans="2:11" ht="33" x14ac:dyDescent="0.2">
      <c r="B6168" s="82" t="s">
        <v>9723</v>
      </c>
      <c r="C6168" s="82" t="s">
        <v>8550</v>
      </c>
      <c r="D6168" s="83">
        <f>SUMIFS(D6169:D6462,K6169:K6462,"0",B6169:B6462,"5 1 3 9 8 12 31111 6 M59 80100 000132 0000R 00001 00398 015 2111300*")-SUMIFS(E6169:E6462,K6169:K6462,"0",B6169:B6462,"5 1 3 9 8 12 31111 6 M59 80100 000132 0000R 00001 00398 015 2111300*")</f>
        <v>0</v>
      </c>
      <c r="E6168" s="54"/>
      <c r="F6168" s="83">
        <f>SUMIFS(F6169:F6462,K6169:K6462,"0",B6169:B6462,"5 1 3 9 8 12 31111 6 M59 80100 000132 0000R 00001 00398 015 2111300*")</f>
        <v>2301.2600000000002</v>
      </c>
      <c r="G6168" s="83">
        <f>SUMIFS(G6169:G6462,K6169:K6462,"0",B6169:B6462,"5 1 3 9 8 12 31111 6 M59 80100 000132 0000R 00001 00398 015 2111300*")</f>
        <v>0</v>
      </c>
      <c r="H6168" s="83">
        <f t="shared" si="96"/>
        <v>2301.2600000000002</v>
      </c>
      <c r="I6168" s="83"/>
      <c r="K6168" s="54" t="s">
        <v>15</v>
      </c>
    </row>
    <row r="6169" spans="2:11" ht="33" x14ac:dyDescent="0.2">
      <c r="B6169" s="82" t="s">
        <v>9724</v>
      </c>
      <c r="C6169" s="82" t="s">
        <v>660</v>
      </c>
      <c r="D6169" s="83">
        <f>SUMIFS(D6170:D6462,K6170:K6462,"0",B6170:B6462,"5 1 3 9 8 12 31111 6 M59 80100 000132 0000R 00001 00398 015 2111300 2024*")-SUMIFS(E6170:E6462,K6170:K6462,"0",B6170:B6462,"5 1 3 9 8 12 31111 6 M59 80100 000132 0000R 00001 00398 015 2111300 2024*")</f>
        <v>0</v>
      </c>
      <c r="E6169" s="54"/>
      <c r="F6169" s="83">
        <f>SUMIFS(F6170:F6462,K6170:K6462,"0",B6170:B6462,"5 1 3 9 8 12 31111 6 M59 80100 000132 0000R 00001 00398 015 2111300 2024*")</f>
        <v>2301.2600000000002</v>
      </c>
      <c r="G6169" s="83">
        <f>SUMIFS(G6170:G6462,K6170:K6462,"0",B6170:B6462,"5 1 3 9 8 12 31111 6 M59 80100 000132 0000R 00001 00398 015 2111300 2024*")</f>
        <v>0</v>
      </c>
      <c r="H6169" s="83">
        <f t="shared" si="96"/>
        <v>2301.2600000000002</v>
      </c>
      <c r="I6169" s="83"/>
      <c r="K6169" s="54" t="s">
        <v>15</v>
      </c>
    </row>
    <row r="6170" spans="2:11" ht="41.25" x14ac:dyDescent="0.2">
      <c r="B6170" s="82" t="s">
        <v>9725</v>
      </c>
      <c r="C6170" s="82" t="s">
        <v>1056</v>
      </c>
      <c r="D6170" s="83">
        <f>SUMIFS(D6171:D6462,K6171:K6462,"0",B6171:B6462,"5 1 3 9 8 12 31111 6 M59 80100 000132 0000R 00001 00398 015 2111300 2024 CP1AC425*")-SUMIFS(E6171:E6462,K6171:K6462,"0",B6171:B6462,"5 1 3 9 8 12 31111 6 M59 80100 000132 0000R 00001 00398 015 2111300 2024 CP1AC425*")</f>
        <v>0</v>
      </c>
      <c r="E6170" s="54"/>
      <c r="F6170" s="83">
        <f>SUMIFS(F6171:F6462,K6171:K6462,"0",B6171:B6462,"5 1 3 9 8 12 31111 6 M59 80100 000132 0000R 00001 00398 015 2111300 2024 CP1AC425*")</f>
        <v>2301.2600000000002</v>
      </c>
      <c r="G6170" s="83">
        <f>SUMIFS(G6171:G6462,K6171:K6462,"0",B6171:B6462,"5 1 3 9 8 12 31111 6 M59 80100 000132 0000R 00001 00398 015 2111300 2024 CP1AC425*")</f>
        <v>0</v>
      </c>
      <c r="H6170" s="83">
        <f t="shared" si="96"/>
        <v>2301.2600000000002</v>
      </c>
      <c r="I6170" s="83"/>
      <c r="K6170" s="54" t="s">
        <v>15</v>
      </c>
    </row>
    <row r="6171" spans="2:11" ht="41.25" x14ac:dyDescent="0.2">
      <c r="B6171" s="82" t="s">
        <v>9726</v>
      </c>
      <c r="C6171" s="82" t="s">
        <v>282</v>
      </c>
      <c r="D6171" s="83">
        <f>SUMIFS(D6172:D6462,K6172:K6462,"0",B6172:B6462,"5 1 3 9 8 12 31111 6 M59 80100 000132 0000R 00001 00398 015 2111300 2024 CP1AC425 001*")-SUMIFS(E6172:E6462,K6172:K6462,"0",B6172:B6462,"5 1 3 9 8 12 31111 6 M59 80100 000132 0000R 00001 00398 015 2111300 2024 CP1AC425 001*")</f>
        <v>0</v>
      </c>
      <c r="E6171" s="54"/>
      <c r="F6171" s="83">
        <f>SUMIFS(F6172:F6462,K6172:K6462,"0",B6172:B6462,"5 1 3 9 8 12 31111 6 M59 80100 000132 0000R 00001 00398 015 2111300 2024 CP1AC425 001*")</f>
        <v>2301.2600000000002</v>
      </c>
      <c r="G6171" s="83">
        <f>SUMIFS(G6172:G6462,K6172:K6462,"0",B6172:B6462,"5 1 3 9 8 12 31111 6 M59 80100 000132 0000R 00001 00398 015 2111300 2024 CP1AC425 001*")</f>
        <v>0</v>
      </c>
      <c r="H6171" s="83">
        <f t="shared" si="96"/>
        <v>2301.2600000000002</v>
      </c>
      <c r="I6171" s="83"/>
      <c r="K6171" s="54" t="s">
        <v>15</v>
      </c>
    </row>
    <row r="6172" spans="2:11" ht="33" x14ac:dyDescent="0.2">
      <c r="B6172" s="84" t="s">
        <v>9727</v>
      </c>
      <c r="C6172" s="84" t="s">
        <v>9254</v>
      </c>
      <c r="D6172" s="85">
        <v>0</v>
      </c>
      <c r="E6172" s="85"/>
      <c r="F6172" s="85">
        <v>2301.2600000000002</v>
      </c>
      <c r="G6172" s="85">
        <v>0</v>
      </c>
      <c r="H6172" s="85">
        <f t="shared" si="96"/>
        <v>2301.2600000000002</v>
      </c>
      <c r="I6172" s="85"/>
      <c r="K6172" s="54" t="s">
        <v>38</v>
      </c>
    </row>
    <row r="6173" spans="2:11" ht="16.5" x14ac:dyDescent="0.2">
      <c r="B6173" s="82" t="s">
        <v>9728</v>
      </c>
      <c r="C6173" s="82" t="s">
        <v>6290</v>
      </c>
      <c r="D6173" s="83">
        <f>SUMIFS(D6174:D6462,K6174:K6462,"0",B6174:B6462,"5 1 3 9 8 12 31111 6 M59 80200*")-SUMIFS(E6174:E6462,K6174:K6462,"0",B6174:B6462,"5 1 3 9 8 12 31111 6 M59 80200*")</f>
        <v>0</v>
      </c>
      <c r="E6173" s="54"/>
      <c r="F6173" s="83">
        <f>SUMIFS(F6174:F6462,K6174:K6462,"0",B6174:B6462,"5 1 3 9 8 12 31111 6 M59 80200*")</f>
        <v>2301.2600000000002</v>
      </c>
      <c r="G6173" s="83">
        <f>SUMIFS(G6174:G6462,K6174:K6462,"0",B6174:B6462,"5 1 3 9 8 12 31111 6 M59 80200*")</f>
        <v>0</v>
      </c>
      <c r="H6173" s="83">
        <f t="shared" si="96"/>
        <v>2301.2600000000002</v>
      </c>
      <c r="I6173" s="83"/>
      <c r="K6173" s="54" t="s">
        <v>15</v>
      </c>
    </row>
    <row r="6174" spans="2:11" ht="16.5" x14ac:dyDescent="0.2">
      <c r="B6174" s="82" t="s">
        <v>9729</v>
      </c>
      <c r="C6174" s="82" t="s">
        <v>648</v>
      </c>
      <c r="D6174" s="83">
        <f>SUMIFS(D6175:D6462,K6175:K6462,"0",B6175:B6462,"5 1 3 9 8 12 31111 6 M59 80200 000132*")-SUMIFS(E6175:E6462,K6175:K6462,"0",B6175:B6462,"5 1 3 9 8 12 31111 6 M59 80200 000132*")</f>
        <v>0</v>
      </c>
      <c r="E6174" s="54"/>
      <c r="F6174" s="83">
        <f>SUMIFS(F6175:F6462,K6175:K6462,"0",B6175:B6462,"5 1 3 9 8 12 31111 6 M59 80200 000132*")</f>
        <v>2301.2600000000002</v>
      </c>
      <c r="G6174" s="83">
        <f>SUMIFS(G6175:G6462,K6175:K6462,"0",B6175:B6462,"5 1 3 9 8 12 31111 6 M59 80200 000132*")</f>
        <v>0</v>
      </c>
      <c r="H6174" s="83">
        <f t="shared" si="96"/>
        <v>2301.2600000000002</v>
      </c>
      <c r="I6174" s="83"/>
      <c r="K6174" s="54" t="s">
        <v>15</v>
      </c>
    </row>
    <row r="6175" spans="2:11" ht="24.75" x14ac:dyDescent="0.2">
      <c r="B6175" s="82" t="s">
        <v>9730</v>
      </c>
      <c r="C6175" s="82" t="s">
        <v>650</v>
      </c>
      <c r="D6175" s="83">
        <f>SUMIFS(D6176:D6462,K6176:K6462,"0",B6176:B6462,"5 1 3 9 8 12 31111 6 M59 80200 000132 0000R*")-SUMIFS(E6176:E6462,K6176:K6462,"0",B6176:B6462,"5 1 3 9 8 12 31111 6 M59 80200 000132 0000R*")</f>
        <v>0</v>
      </c>
      <c r="E6175" s="54"/>
      <c r="F6175" s="83">
        <f>SUMIFS(F6176:F6462,K6176:K6462,"0",B6176:B6462,"5 1 3 9 8 12 31111 6 M59 80200 000132 0000R*")</f>
        <v>2301.2600000000002</v>
      </c>
      <c r="G6175" s="83">
        <f>SUMIFS(G6176:G6462,K6176:K6462,"0",B6176:B6462,"5 1 3 9 8 12 31111 6 M59 80200 000132 0000R*")</f>
        <v>0</v>
      </c>
      <c r="H6175" s="83">
        <f t="shared" si="96"/>
        <v>2301.2600000000002</v>
      </c>
      <c r="I6175" s="83"/>
      <c r="K6175" s="54" t="s">
        <v>15</v>
      </c>
    </row>
    <row r="6176" spans="2:11" ht="24.75" x14ac:dyDescent="0.2">
      <c r="B6176" s="82" t="s">
        <v>9731</v>
      </c>
      <c r="C6176" s="82" t="s">
        <v>282</v>
      </c>
      <c r="D6176" s="83">
        <f>SUMIFS(D6177:D6462,K6177:K6462,"0",B6177:B6462,"5 1 3 9 8 12 31111 6 M59 80200 000132 0000R 00001*")-SUMIFS(E6177:E6462,K6177:K6462,"0",B6177:B6462,"5 1 3 9 8 12 31111 6 M59 80200 000132 0000R 00001*")</f>
        <v>0</v>
      </c>
      <c r="E6176" s="54"/>
      <c r="F6176" s="83">
        <f>SUMIFS(F6177:F6462,K6177:K6462,"0",B6177:B6462,"5 1 3 9 8 12 31111 6 M59 80200 000132 0000R 00001*")</f>
        <v>2301.2600000000002</v>
      </c>
      <c r="G6176" s="83">
        <f>SUMIFS(G6177:G6462,K6177:K6462,"0",B6177:B6462,"5 1 3 9 8 12 31111 6 M59 80200 000132 0000R 00001*")</f>
        <v>0</v>
      </c>
      <c r="H6176" s="83">
        <f t="shared" si="96"/>
        <v>2301.2600000000002</v>
      </c>
      <c r="I6176" s="83"/>
      <c r="K6176" s="54" t="s">
        <v>15</v>
      </c>
    </row>
    <row r="6177" spans="2:11" ht="24.75" x14ac:dyDescent="0.2">
      <c r="B6177" s="82" t="s">
        <v>9732</v>
      </c>
      <c r="C6177" s="82" t="s">
        <v>9247</v>
      </c>
      <c r="D6177" s="83">
        <f>SUMIFS(D6178:D6462,K6178:K6462,"0",B6178:B6462,"5 1 3 9 8 12 31111 6 M59 80200 000132 0000R 00001 00398*")-SUMIFS(E6178:E6462,K6178:K6462,"0",B6178:B6462,"5 1 3 9 8 12 31111 6 M59 80200 000132 0000R 00001 00398*")</f>
        <v>0</v>
      </c>
      <c r="E6177" s="54"/>
      <c r="F6177" s="83">
        <f>SUMIFS(F6178:F6462,K6178:K6462,"0",B6178:B6462,"5 1 3 9 8 12 31111 6 M59 80200 000132 0000R 00001 00398*")</f>
        <v>2301.2600000000002</v>
      </c>
      <c r="G6177" s="83">
        <f>SUMIFS(G6178:G6462,K6178:K6462,"0",B6178:B6462,"5 1 3 9 8 12 31111 6 M59 80200 000132 0000R 00001 00398*")</f>
        <v>0</v>
      </c>
      <c r="H6177" s="83">
        <f t="shared" si="96"/>
        <v>2301.2600000000002</v>
      </c>
      <c r="I6177" s="83"/>
      <c r="K6177" s="54" t="s">
        <v>15</v>
      </c>
    </row>
    <row r="6178" spans="2:11" ht="33" x14ac:dyDescent="0.2">
      <c r="B6178" s="82" t="s">
        <v>9733</v>
      </c>
      <c r="C6178" s="82" t="s">
        <v>1051</v>
      </c>
      <c r="D6178" s="83">
        <f>SUMIFS(D6179:D6462,K6179:K6462,"0",B6179:B6462,"5 1 3 9 8 12 31111 6 M59 80200 000132 0000R 00001 00398 015*")-SUMIFS(E6179:E6462,K6179:K6462,"0",B6179:B6462,"5 1 3 9 8 12 31111 6 M59 80200 000132 0000R 00001 00398 015*")</f>
        <v>0</v>
      </c>
      <c r="E6178" s="54"/>
      <c r="F6178" s="83">
        <f>SUMIFS(F6179:F6462,K6179:K6462,"0",B6179:B6462,"5 1 3 9 8 12 31111 6 M59 80200 000132 0000R 00001 00398 015*")</f>
        <v>2301.2600000000002</v>
      </c>
      <c r="G6178" s="83">
        <f>SUMIFS(G6179:G6462,K6179:K6462,"0",B6179:B6462,"5 1 3 9 8 12 31111 6 M59 80200 000132 0000R 00001 00398 015*")</f>
        <v>0</v>
      </c>
      <c r="H6178" s="83">
        <f t="shared" si="96"/>
        <v>2301.2600000000002</v>
      </c>
      <c r="I6178" s="83"/>
      <c r="K6178" s="54" t="s">
        <v>15</v>
      </c>
    </row>
    <row r="6179" spans="2:11" ht="33" x14ac:dyDescent="0.2">
      <c r="B6179" s="82" t="s">
        <v>9734</v>
      </c>
      <c r="C6179" s="82" t="s">
        <v>8550</v>
      </c>
      <c r="D6179" s="83">
        <f>SUMIFS(D6180:D6462,K6180:K6462,"0",B6180:B6462,"5 1 3 9 8 12 31111 6 M59 80200 000132 0000R 00001 00398 015 2111300*")-SUMIFS(E6180:E6462,K6180:K6462,"0",B6180:B6462,"5 1 3 9 8 12 31111 6 M59 80200 000132 0000R 00001 00398 015 2111300*")</f>
        <v>0</v>
      </c>
      <c r="E6179" s="54"/>
      <c r="F6179" s="83">
        <f>SUMIFS(F6180:F6462,K6180:K6462,"0",B6180:B6462,"5 1 3 9 8 12 31111 6 M59 80200 000132 0000R 00001 00398 015 2111300*")</f>
        <v>2301.2600000000002</v>
      </c>
      <c r="G6179" s="83">
        <f>SUMIFS(G6180:G6462,K6180:K6462,"0",B6180:B6462,"5 1 3 9 8 12 31111 6 M59 80200 000132 0000R 00001 00398 015 2111300*")</f>
        <v>0</v>
      </c>
      <c r="H6179" s="83">
        <f t="shared" si="96"/>
        <v>2301.2600000000002</v>
      </c>
      <c r="I6179" s="83"/>
      <c r="K6179" s="54" t="s">
        <v>15</v>
      </c>
    </row>
    <row r="6180" spans="2:11" ht="33" x14ac:dyDescent="0.2">
      <c r="B6180" s="82" t="s">
        <v>9735</v>
      </c>
      <c r="C6180" s="82" t="s">
        <v>660</v>
      </c>
      <c r="D6180" s="83">
        <f>SUMIFS(D6181:D6462,K6181:K6462,"0",B6181:B6462,"5 1 3 9 8 12 31111 6 M59 80200 000132 0000R 00001 00398 015 2111300 2024*")-SUMIFS(E6181:E6462,K6181:K6462,"0",B6181:B6462,"5 1 3 9 8 12 31111 6 M59 80200 000132 0000R 00001 00398 015 2111300 2024*")</f>
        <v>0</v>
      </c>
      <c r="E6180" s="54"/>
      <c r="F6180" s="83">
        <f>SUMIFS(F6181:F6462,K6181:K6462,"0",B6181:B6462,"5 1 3 9 8 12 31111 6 M59 80200 000132 0000R 00001 00398 015 2111300 2024*")</f>
        <v>2301.2600000000002</v>
      </c>
      <c r="G6180" s="83">
        <f>SUMIFS(G6181:G6462,K6181:K6462,"0",B6181:B6462,"5 1 3 9 8 12 31111 6 M59 80200 000132 0000R 00001 00398 015 2111300 2024*")</f>
        <v>0</v>
      </c>
      <c r="H6180" s="83">
        <f t="shared" si="96"/>
        <v>2301.2600000000002</v>
      </c>
      <c r="I6180" s="83"/>
      <c r="K6180" s="54" t="s">
        <v>15</v>
      </c>
    </row>
    <row r="6181" spans="2:11" ht="41.25" x14ac:dyDescent="0.2">
      <c r="B6181" s="82" t="s">
        <v>9736</v>
      </c>
      <c r="C6181" s="82" t="s">
        <v>1056</v>
      </c>
      <c r="D6181" s="83">
        <f>SUMIFS(D6182:D6462,K6182:K6462,"0",B6182:B6462,"5 1 3 9 8 12 31111 6 M59 80200 000132 0000R 00001 00398 015 2111300 2024 CP1RF400*")-SUMIFS(E6182:E6462,K6182:K6462,"0",B6182:B6462,"5 1 3 9 8 12 31111 6 M59 80200 000132 0000R 00001 00398 015 2111300 2024 CP1RF400*")</f>
        <v>0</v>
      </c>
      <c r="E6181" s="54"/>
      <c r="F6181" s="83">
        <f>SUMIFS(F6182:F6462,K6182:K6462,"0",B6182:B6462,"5 1 3 9 8 12 31111 6 M59 80200 000132 0000R 00001 00398 015 2111300 2024 CP1RF400*")</f>
        <v>2301.2600000000002</v>
      </c>
      <c r="G6181" s="83">
        <f>SUMIFS(G6182:G6462,K6182:K6462,"0",B6182:B6462,"5 1 3 9 8 12 31111 6 M59 80200 000132 0000R 00001 00398 015 2111300 2024 CP1RF400*")</f>
        <v>0</v>
      </c>
      <c r="H6181" s="83">
        <f t="shared" si="96"/>
        <v>2301.2600000000002</v>
      </c>
      <c r="I6181" s="83"/>
      <c r="K6181" s="54" t="s">
        <v>15</v>
      </c>
    </row>
    <row r="6182" spans="2:11" ht="41.25" x14ac:dyDescent="0.2">
      <c r="B6182" s="82" t="s">
        <v>9737</v>
      </c>
      <c r="C6182" s="82" t="s">
        <v>282</v>
      </c>
      <c r="D6182" s="83">
        <f>SUMIFS(D6183:D6462,K6183:K6462,"0",B6183:B6462,"5 1 3 9 8 12 31111 6 M59 80200 000132 0000R 00001 00398 015 2111300 2024 CP1RF400 001*")-SUMIFS(E6183:E6462,K6183:K6462,"0",B6183:B6462,"5 1 3 9 8 12 31111 6 M59 80200 000132 0000R 00001 00398 015 2111300 2024 CP1RF400 001*")</f>
        <v>0</v>
      </c>
      <c r="E6182" s="54"/>
      <c r="F6182" s="83">
        <f>SUMIFS(F6183:F6462,K6183:K6462,"0",B6183:B6462,"5 1 3 9 8 12 31111 6 M59 80200 000132 0000R 00001 00398 015 2111300 2024 CP1RF400 001*")</f>
        <v>2301.2600000000002</v>
      </c>
      <c r="G6182" s="83">
        <f>SUMIFS(G6183:G6462,K6183:K6462,"0",B6183:B6462,"5 1 3 9 8 12 31111 6 M59 80200 000132 0000R 00001 00398 015 2111300 2024 CP1RF400 001*")</f>
        <v>0</v>
      </c>
      <c r="H6182" s="83">
        <f t="shared" si="96"/>
        <v>2301.2600000000002</v>
      </c>
      <c r="I6182" s="83"/>
      <c r="K6182" s="54" t="s">
        <v>15</v>
      </c>
    </row>
    <row r="6183" spans="2:11" ht="41.25" x14ac:dyDescent="0.2">
      <c r="B6183" s="84" t="s">
        <v>9738</v>
      </c>
      <c r="C6183" s="84" t="s">
        <v>9254</v>
      </c>
      <c r="D6183" s="85">
        <v>0</v>
      </c>
      <c r="E6183" s="85"/>
      <c r="F6183" s="85">
        <v>2301.2600000000002</v>
      </c>
      <c r="G6183" s="85">
        <v>0</v>
      </c>
      <c r="H6183" s="85">
        <f t="shared" si="96"/>
        <v>2301.2600000000002</v>
      </c>
      <c r="I6183" s="85"/>
      <c r="K6183" s="54" t="s">
        <v>38</v>
      </c>
    </row>
    <row r="6184" spans="2:11" ht="16.5" x14ac:dyDescent="0.2">
      <c r="B6184" s="82" t="s">
        <v>9739</v>
      </c>
      <c r="C6184" s="82" t="s">
        <v>3547</v>
      </c>
      <c r="D6184" s="83">
        <f>SUMIFS(D6185:D6462,K6185:K6462,"0",B6185:B6462,"5 1 3 9 8 12 31111 6 M59 80300*")-SUMIFS(E6185:E6462,K6185:K6462,"0",B6185:B6462,"5 1 3 9 8 12 31111 6 M59 80300*")</f>
        <v>0</v>
      </c>
      <c r="E6184" s="54"/>
      <c r="F6184" s="83">
        <f>SUMIFS(F6185:F6462,K6185:K6462,"0",B6185:B6462,"5 1 3 9 8 12 31111 6 M59 80300*")</f>
        <v>2301.2600000000002</v>
      </c>
      <c r="G6184" s="83">
        <f>SUMIFS(G6185:G6462,K6185:K6462,"0",B6185:B6462,"5 1 3 9 8 12 31111 6 M59 80300*")</f>
        <v>0</v>
      </c>
      <c r="H6184" s="83">
        <f t="shared" si="96"/>
        <v>2301.2600000000002</v>
      </c>
      <c r="I6184" s="83"/>
      <c r="K6184" s="54" t="s">
        <v>15</v>
      </c>
    </row>
    <row r="6185" spans="2:11" ht="16.5" x14ac:dyDescent="0.2">
      <c r="B6185" s="82" t="s">
        <v>9740</v>
      </c>
      <c r="C6185" s="82" t="s">
        <v>648</v>
      </c>
      <c r="D6185" s="83">
        <f>SUMIFS(D6186:D6462,K6186:K6462,"0",B6186:B6462,"5 1 3 9 8 12 31111 6 M59 80300 000132*")-SUMIFS(E6186:E6462,K6186:K6462,"0",B6186:B6462,"5 1 3 9 8 12 31111 6 M59 80300 000132*")</f>
        <v>0</v>
      </c>
      <c r="E6185" s="54"/>
      <c r="F6185" s="83">
        <f>SUMIFS(F6186:F6462,K6186:K6462,"0",B6186:B6462,"5 1 3 9 8 12 31111 6 M59 80300 000132*")</f>
        <v>2301.2600000000002</v>
      </c>
      <c r="G6185" s="83">
        <f>SUMIFS(G6186:G6462,K6186:K6462,"0",B6186:B6462,"5 1 3 9 8 12 31111 6 M59 80300 000132*")</f>
        <v>0</v>
      </c>
      <c r="H6185" s="83">
        <f t="shared" si="96"/>
        <v>2301.2600000000002</v>
      </c>
      <c r="I6185" s="83"/>
      <c r="K6185" s="54" t="s">
        <v>15</v>
      </c>
    </row>
    <row r="6186" spans="2:11" ht="24.75" x14ac:dyDescent="0.2">
      <c r="B6186" s="82" t="s">
        <v>9741</v>
      </c>
      <c r="C6186" s="82" t="s">
        <v>650</v>
      </c>
      <c r="D6186" s="83">
        <f>SUMIFS(D6187:D6462,K6187:K6462,"0",B6187:B6462,"5 1 3 9 8 12 31111 6 M59 80300 000132 0000R*")-SUMIFS(E6187:E6462,K6187:K6462,"0",B6187:B6462,"5 1 3 9 8 12 31111 6 M59 80300 000132 0000R*")</f>
        <v>0</v>
      </c>
      <c r="E6186" s="54"/>
      <c r="F6186" s="83">
        <f>SUMIFS(F6187:F6462,K6187:K6462,"0",B6187:B6462,"5 1 3 9 8 12 31111 6 M59 80300 000132 0000R*")</f>
        <v>2301.2600000000002</v>
      </c>
      <c r="G6186" s="83">
        <f>SUMIFS(G6187:G6462,K6187:K6462,"0",B6187:B6462,"5 1 3 9 8 12 31111 6 M59 80300 000132 0000R*")</f>
        <v>0</v>
      </c>
      <c r="H6186" s="83">
        <f t="shared" si="96"/>
        <v>2301.2600000000002</v>
      </c>
      <c r="I6186" s="83"/>
      <c r="K6186" s="54" t="s">
        <v>15</v>
      </c>
    </row>
    <row r="6187" spans="2:11" ht="24.75" x14ac:dyDescent="0.2">
      <c r="B6187" s="82" t="s">
        <v>9742</v>
      </c>
      <c r="C6187" s="82" t="s">
        <v>282</v>
      </c>
      <c r="D6187" s="83">
        <f>SUMIFS(D6188:D6462,K6188:K6462,"0",B6188:B6462,"5 1 3 9 8 12 31111 6 M59 80300 000132 0000R 00001*")-SUMIFS(E6188:E6462,K6188:K6462,"0",B6188:B6462,"5 1 3 9 8 12 31111 6 M59 80300 000132 0000R 00001*")</f>
        <v>0</v>
      </c>
      <c r="E6187" s="54"/>
      <c r="F6187" s="83">
        <f>SUMIFS(F6188:F6462,K6188:K6462,"0",B6188:B6462,"5 1 3 9 8 12 31111 6 M59 80300 000132 0000R 00001*")</f>
        <v>2301.2600000000002</v>
      </c>
      <c r="G6187" s="83">
        <f>SUMIFS(G6188:G6462,K6188:K6462,"0",B6188:B6462,"5 1 3 9 8 12 31111 6 M59 80300 000132 0000R 00001*")</f>
        <v>0</v>
      </c>
      <c r="H6187" s="83">
        <f t="shared" ref="H6187:H6250" si="97">D6187 + F6187 - G6187</f>
        <v>2301.2600000000002</v>
      </c>
      <c r="I6187" s="83"/>
      <c r="K6187" s="54" t="s">
        <v>15</v>
      </c>
    </row>
    <row r="6188" spans="2:11" ht="24.75" x14ac:dyDescent="0.2">
      <c r="B6188" s="82" t="s">
        <v>9743</v>
      </c>
      <c r="C6188" s="82" t="s">
        <v>9247</v>
      </c>
      <c r="D6188" s="83">
        <f>SUMIFS(D6189:D6462,K6189:K6462,"0",B6189:B6462,"5 1 3 9 8 12 31111 6 M59 80300 000132 0000R 00001 00398*")-SUMIFS(E6189:E6462,K6189:K6462,"0",B6189:B6462,"5 1 3 9 8 12 31111 6 M59 80300 000132 0000R 00001 00398*")</f>
        <v>0</v>
      </c>
      <c r="E6188" s="54"/>
      <c r="F6188" s="83">
        <f>SUMIFS(F6189:F6462,K6189:K6462,"0",B6189:B6462,"5 1 3 9 8 12 31111 6 M59 80300 000132 0000R 00001 00398*")</f>
        <v>2301.2600000000002</v>
      </c>
      <c r="G6188" s="83">
        <f>SUMIFS(G6189:G6462,K6189:K6462,"0",B6189:B6462,"5 1 3 9 8 12 31111 6 M59 80300 000132 0000R 00001 00398*")</f>
        <v>0</v>
      </c>
      <c r="H6188" s="83">
        <f t="shared" si="97"/>
        <v>2301.2600000000002</v>
      </c>
      <c r="I6188" s="83"/>
      <c r="K6188" s="54" t="s">
        <v>15</v>
      </c>
    </row>
    <row r="6189" spans="2:11" ht="33" x14ac:dyDescent="0.2">
      <c r="B6189" s="82" t="s">
        <v>9744</v>
      </c>
      <c r="C6189" s="82" t="s">
        <v>1051</v>
      </c>
      <c r="D6189" s="83">
        <f>SUMIFS(D6190:D6462,K6190:K6462,"0",B6190:B6462,"5 1 3 9 8 12 31111 6 M59 80300 000132 0000R 00001 00398 015*")-SUMIFS(E6190:E6462,K6190:K6462,"0",B6190:B6462,"5 1 3 9 8 12 31111 6 M59 80300 000132 0000R 00001 00398 015*")</f>
        <v>0</v>
      </c>
      <c r="E6189" s="54"/>
      <c r="F6189" s="83">
        <f>SUMIFS(F6190:F6462,K6190:K6462,"0",B6190:B6462,"5 1 3 9 8 12 31111 6 M59 80300 000132 0000R 00001 00398 015*")</f>
        <v>2301.2600000000002</v>
      </c>
      <c r="G6189" s="83">
        <f>SUMIFS(G6190:G6462,K6190:K6462,"0",B6190:B6462,"5 1 3 9 8 12 31111 6 M59 80300 000132 0000R 00001 00398 015*")</f>
        <v>0</v>
      </c>
      <c r="H6189" s="83">
        <f t="shared" si="97"/>
        <v>2301.2600000000002</v>
      </c>
      <c r="I6189" s="83"/>
      <c r="K6189" s="54" t="s">
        <v>15</v>
      </c>
    </row>
    <row r="6190" spans="2:11" ht="33" x14ac:dyDescent="0.2">
      <c r="B6190" s="82" t="s">
        <v>9745</v>
      </c>
      <c r="C6190" s="82" t="s">
        <v>8550</v>
      </c>
      <c r="D6190" s="83">
        <f>SUMIFS(D6191:D6462,K6191:K6462,"0",B6191:B6462,"5 1 3 9 8 12 31111 6 M59 80300 000132 0000R 00001 00398 015 2111300*")-SUMIFS(E6191:E6462,K6191:K6462,"0",B6191:B6462,"5 1 3 9 8 12 31111 6 M59 80300 000132 0000R 00001 00398 015 2111300*")</f>
        <v>0</v>
      </c>
      <c r="E6190" s="54"/>
      <c r="F6190" s="83">
        <f>SUMIFS(F6191:F6462,K6191:K6462,"0",B6191:B6462,"5 1 3 9 8 12 31111 6 M59 80300 000132 0000R 00001 00398 015 2111300*")</f>
        <v>2301.2600000000002</v>
      </c>
      <c r="G6190" s="83">
        <f>SUMIFS(G6191:G6462,K6191:K6462,"0",B6191:B6462,"5 1 3 9 8 12 31111 6 M59 80300 000132 0000R 00001 00398 015 2111300*")</f>
        <v>0</v>
      </c>
      <c r="H6190" s="83">
        <f t="shared" si="97"/>
        <v>2301.2600000000002</v>
      </c>
      <c r="I6190" s="83"/>
      <c r="K6190" s="54" t="s">
        <v>15</v>
      </c>
    </row>
    <row r="6191" spans="2:11" ht="33" x14ac:dyDescent="0.2">
      <c r="B6191" s="82" t="s">
        <v>9746</v>
      </c>
      <c r="C6191" s="82" t="s">
        <v>660</v>
      </c>
      <c r="D6191" s="83">
        <f>SUMIFS(D6192:D6462,K6192:K6462,"0",B6192:B6462,"5 1 3 9 8 12 31111 6 M59 80300 000132 0000R 00001 00398 015 2111300 2024*")-SUMIFS(E6192:E6462,K6192:K6462,"0",B6192:B6462,"5 1 3 9 8 12 31111 6 M59 80300 000132 0000R 00001 00398 015 2111300 2024*")</f>
        <v>0</v>
      </c>
      <c r="E6191" s="54"/>
      <c r="F6191" s="83">
        <f>SUMIFS(F6192:F6462,K6192:K6462,"0",B6192:B6462,"5 1 3 9 8 12 31111 6 M59 80300 000132 0000R 00001 00398 015 2111300 2024*")</f>
        <v>2301.2600000000002</v>
      </c>
      <c r="G6191" s="83">
        <f>SUMIFS(G6192:G6462,K6192:K6462,"0",B6192:B6462,"5 1 3 9 8 12 31111 6 M59 80300 000132 0000R 00001 00398 015 2111300 2024*")</f>
        <v>0</v>
      </c>
      <c r="H6191" s="83">
        <f t="shared" si="97"/>
        <v>2301.2600000000002</v>
      </c>
      <c r="I6191" s="83"/>
      <c r="K6191" s="54" t="s">
        <v>15</v>
      </c>
    </row>
    <row r="6192" spans="2:11" ht="41.25" x14ac:dyDescent="0.2">
      <c r="B6192" s="82" t="s">
        <v>9747</v>
      </c>
      <c r="C6192" s="82" t="s">
        <v>1056</v>
      </c>
      <c r="D6192" s="83">
        <f>SUMIFS(D6193:D6462,K6193:K6462,"0",B6193:B6462,"5 1 3 9 8 12 31111 6 M59 80300 000132 0000R 00001 00398 015 2111300 2024 CP1GA414*")-SUMIFS(E6193:E6462,K6193:K6462,"0",B6193:B6462,"5 1 3 9 8 12 31111 6 M59 80300 000132 0000R 00001 00398 015 2111300 2024 CP1GA414*")</f>
        <v>0</v>
      </c>
      <c r="E6192" s="54"/>
      <c r="F6192" s="83">
        <f>SUMIFS(F6193:F6462,K6193:K6462,"0",B6193:B6462,"5 1 3 9 8 12 31111 6 M59 80300 000132 0000R 00001 00398 015 2111300 2024 CP1GA414*")</f>
        <v>2301.2600000000002</v>
      </c>
      <c r="G6192" s="83">
        <f>SUMIFS(G6193:G6462,K6193:K6462,"0",B6193:B6462,"5 1 3 9 8 12 31111 6 M59 80300 000132 0000R 00001 00398 015 2111300 2024 CP1GA414*")</f>
        <v>0</v>
      </c>
      <c r="H6192" s="83">
        <f t="shared" si="97"/>
        <v>2301.2600000000002</v>
      </c>
      <c r="I6192" s="83"/>
      <c r="K6192" s="54" t="s">
        <v>15</v>
      </c>
    </row>
    <row r="6193" spans="2:11" ht="41.25" x14ac:dyDescent="0.2">
      <c r="B6193" s="82" t="s">
        <v>9748</v>
      </c>
      <c r="C6193" s="82" t="s">
        <v>282</v>
      </c>
      <c r="D6193" s="83">
        <f>SUMIFS(D6194:D6462,K6194:K6462,"0",B6194:B6462,"5 1 3 9 8 12 31111 6 M59 80300 000132 0000R 00001 00398 015 2111300 2024 CP1GA414 001*")-SUMIFS(E6194:E6462,K6194:K6462,"0",B6194:B6462,"5 1 3 9 8 12 31111 6 M59 80300 000132 0000R 00001 00398 015 2111300 2024 CP1GA414 001*")</f>
        <v>0</v>
      </c>
      <c r="E6193" s="54"/>
      <c r="F6193" s="83">
        <f>SUMIFS(F6194:F6462,K6194:K6462,"0",B6194:B6462,"5 1 3 9 8 12 31111 6 M59 80300 000132 0000R 00001 00398 015 2111300 2024 CP1GA414 001*")</f>
        <v>2301.2600000000002</v>
      </c>
      <c r="G6193" s="83">
        <f>SUMIFS(G6194:G6462,K6194:K6462,"0",B6194:B6462,"5 1 3 9 8 12 31111 6 M59 80300 000132 0000R 00001 00398 015 2111300 2024 CP1GA414 001*")</f>
        <v>0</v>
      </c>
      <c r="H6193" s="83">
        <f t="shared" si="97"/>
        <v>2301.2600000000002</v>
      </c>
      <c r="I6193" s="83"/>
      <c r="K6193" s="54" t="s">
        <v>15</v>
      </c>
    </row>
    <row r="6194" spans="2:11" ht="41.25" x14ac:dyDescent="0.2">
      <c r="B6194" s="84" t="s">
        <v>9749</v>
      </c>
      <c r="C6194" s="84" t="s">
        <v>9254</v>
      </c>
      <c r="D6194" s="85">
        <v>0</v>
      </c>
      <c r="E6194" s="85"/>
      <c r="F6194" s="85">
        <v>2301.2600000000002</v>
      </c>
      <c r="G6194" s="85">
        <v>0</v>
      </c>
      <c r="H6194" s="85">
        <f t="shared" si="97"/>
        <v>2301.2600000000002</v>
      </c>
      <c r="I6194" s="85"/>
      <c r="K6194" s="54" t="s">
        <v>38</v>
      </c>
    </row>
    <row r="6195" spans="2:11" ht="16.5" x14ac:dyDescent="0.2">
      <c r="B6195" s="82" t="s">
        <v>9750</v>
      </c>
      <c r="C6195" s="82" t="s">
        <v>3559</v>
      </c>
      <c r="D6195" s="83">
        <f>SUMIFS(D6196:D6462,K6196:K6462,"0",B6196:B6462,"5 1 3 9 8 12 31111 6 M59 80400*")-SUMIFS(E6196:E6462,K6196:K6462,"0",B6196:B6462,"5 1 3 9 8 12 31111 6 M59 80400*")</f>
        <v>0</v>
      </c>
      <c r="E6195" s="54"/>
      <c r="F6195" s="83">
        <f>SUMIFS(F6196:F6462,K6196:K6462,"0",B6196:B6462,"5 1 3 9 8 12 31111 6 M59 80400*")</f>
        <v>2301.2600000000002</v>
      </c>
      <c r="G6195" s="83">
        <f>SUMIFS(G6196:G6462,K6196:K6462,"0",B6196:B6462,"5 1 3 9 8 12 31111 6 M59 80400*")</f>
        <v>0</v>
      </c>
      <c r="H6195" s="83">
        <f t="shared" si="97"/>
        <v>2301.2600000000002</v>
      </c>
      <c r="I6195" s="83"/>
      <c r="K6195" s="54" t="s">
        <v>15</v>
      </c>
    </row>
    <row r="6196" spans="2:11" ht="16.5" x14ac:dyDescent="0.2">
      <c r="B6196" s="82" t="s">
        <v>9751</v>
      </c>
      <c r="C6196" s="82" t="s">
        <v>648</v>
      </c>
      <c r="D6196" s="83">
        <f>SUMIFS(D6197:D6462,K6197:K6462,"0",B6197:B6462,"5 1 3 9 8 12 31111 6 M59 80400 000132*")-SUMIFS(E6197:E6462,K6197:K6462,"0",B6197:B6462,"5 1 3 9 8 12 31111 6 M59 80400 000132*")</f>
        <v>0</v>
      </c>
      <c r="E6196" s="54"/>
      <c r="F6196" s="83">
        <f>SUMIFS(F6197:F6462,K6197:K6462,"0",B6197:B6462,"5 1 3 9 8 12 31111 6 M59 80400 000132*")</f>
        <v>2301.2600000000002</v>
      </c>
      <c r="G6196" s="83">
        <f>SUMIFS(G6197:G6462,K6197:K6462,"0",B6197:B6462,"5 1 3 9 8 12 31111 6 M59 80400 000132*")</f>
        <v>0</v>
      </c>
      <c r="H6196" s="83">
        <f t="shared" si="97"/>
        <v>2301.2600000000002</v>
      </c>
      <c r="I6196" s="83"/>
      <c r="K6196" s="54" t="s">
        <v>15</v>
      </c>
    </row>
    <row r="6197" spans="2:11" ht="24.75" x14ac:dyDescent="0.2">
      <c r="B6197" s="82" t="s">
        <v>9752</v>
      </c>
      <c r="C6197" s="82" t="s">
        <v>650</v>
      </c>
      <c r="D6197" s="83">
        <f>SUMIFS(D6198:D6462,K6198:K6462,"0",B6198:B6462,"5 1 3 9 8 12 31111 6 M59 80400 000132 0000R*")-SUMIFS(E6198:E6462,K6198:K6462,"0",B6198:B6462,"5 1 3 9 8 12 31111 6 M59 80400 000132 0000R*")</f>
        <v>0</v>
      </c>
      <c r="E6197" s="54"/>
      <c r="F6197" s="83">
        <f>SUMIFS(F6198:F6462,K6198:K6462,"0",B6198:B6462,"5 1 3 9 8 12 31111 6 M59 80400 000132 0000R*")</f>
        <v>2301.2600000000002</v>
      </c>
      <c r="G6197" s="83">
        <f>SUMIFS(G6198:G6462,K6198:K6462,"0",B6198:B6462,"5 1 3 9 8 12 31111 6 M59 80400 000132 0000R*")</f>
        <v>0</v>
      </c>
      <c r="H6197" s="83">
        <f t="shared" si="97"/>
        <v>2301.2600000000002</v>
      </c>
      <c r="I6197" s="83"/>
      <c r="K6197" s="54" t="s">
        <v>15</v>
      </c>
    </row>
    <row r="6198" spans="2:11" ht="24.75" x14ac:dyDescent="0.2">
      <c r="B6198" s="82" t="s">
        <v>9753</v>
      </c>
      <c r="C6198" s="82" t="s">
        <v>282</v>
      </c>
      <c r="D6198" s="83">
        <f>SUMIFS(D6199:D6462,K6199:K6462,"0",B6199:B6462,"5 1 3 9 8 12 31111 6 M59 80400 000132 0000R 00001*")-SUMIFS(E6199:E6462,K6199:K6462,"0",B6199:B6462,"5 1 3 9 8 12 31111 6 M59 80400 000132 0000R 00001*")</f>
        <v>0</v>
      </c>
      <c r="E6198" s="54"/>
      <c r="F6198" s="83">
        <f>SUMIFS(F6199:F6462,K6199:K6462,"0",B6199:B6462,"5 1 3 9 8 12 31111 6 M59 80400 000132 0000R 00001*")</f>
        <v>2301.2600000000002</v>
      </c>
      <c r="G6198" s="83">
        <f>SUMIFS(G6199:G6462,K6199:K6462,"0",B6199:B6462,"5 1 3 9 8 12 31111 6 M59 80400 000132 0000R 00001*")</f>
        <v>0</v>
      </c>
      <c r="H6198" s="83">
        <f t="shared" si="97"/>
        <v>2301.2600000000002</v>
      </c>
      <c r="I6198" s="83"/>
      <c r="K6198" s="54" t="s">
        <v>15</v>
      </c>
    </row>
    <row r="6199" spans="2:11" ht="24.75" x14ac:dyDescent="0.2">
      <c r="B6199" s="82" t="s">
        <v>9754</v>
      </c>
      <c r="C6199" s="82" t="s">
        <v>9247</v>
      </c>
      <c r="D6199" s="83">
        <f>SUMIFS(D6200:D6462,K6200:K6462,"0",B6200:B6462,"5 1 3 9 8 12 31111 6 M59 80400 000132 0000R 00001 00398*")-SUMIFS(E6200:E6462,K6200:K6462,"0",B6200:B6462,"5 1 3 9 8 12 31111 6 M59 80400 000132 0000R 00001 00398*")</f>
        <v>0</v>
      </c>
      <c r="E6199" s="54"/>
      <c r="F6199" s="83">
        <f>SUMIFS(F6200:F6462,K6200:K6462,"0",B6200:B6462,"5 1 3 9 8 12 31111 6 M59 80400 000132 0000R 00001 00398*")</f>
        <v>2301.2600000000002</v>
      </c>
      <c r="G6199" s="83">
        <f>SUMIFS(G6200:G6462,K6200:K6462,"0",B6200:B6462,"5 1 3 9 8 12 31111 6 M59 80400 000132 0000R 00001 00398*")</f>
        <v>0</v>
      </c>
      <c r="H6199" s="83">
        <f t="shared" si="97"/>
        <v>2301.2600000000002</v>
      </c>
      <c r="I6199" s="83"/>
      <c r="K6199" s="54" t="s">
        <v>15</v>
      </c>
    </row>
    <row r="6200" spans="2:11" ht="33" x14ac:dyDescent="0.2">
      <c r="B6200" s="82" t="s">
        <v>9755</v>
      </c>
      <c r="C6200" s="82" t="s">
        <v>1051</v>
      </c>
      <c r="D6200" s="83">
        <f>SUMIFS(D6201:D6462,K6201:K6462,"0",B6201:B6462,"5 1 3 9 8 12 31111 6 M59 80400 000132 0000R 00001 00398 015*")-SUMIFS(E6201:E6462,K6201:K6462,"0",B6201:B6462,"5 1 3 9 8 12 31111 6 M59 80400 000132 0000R 00001 00398 015*")</f>
        <v>0</v>
      </c>
      <c r="E6200" s="54"/>
      <c r="F6200" s="83">
        <f>SUMIFS(F6201:F6462,K6201:K6462,"0",B6201:B6462,"5 1 3 9 8 12 31111 6 M59 80400 000132 0000R 00001 00398 015*")</f>
        <v>2301.2600000000002</v>
      </c>
      <c r="G6200" s="83">
        <f>SUMIFS(G6201:G6462,K6201:K6462,"0",B6201:B6462,"5 1 3 9 8 12 31111 6 M59 80400 000132 0000R 00001 00398 015*")</f>
        <v>0</v>
      </c>
      <c r="H6200" s="83">
        <f t="shared" si="97"/>
        <v>2301.2600000000002</v>
      </c>
      <c r="I6200" s="83"/>
      <c r="K6200" s="54" t="s">
        <v>15</v>
      </c>
    </row>
    <row r="6201" spans="2:11" ht="33" x14ac:dyDescent="0.2">
      <c r="B6201" s="82" t="s">
        <v>9756</v>
      </c>
      <c r="C6201" s="82" t="s">
        <v>8550</v>
      </c>
      <c r="D6201" s="83">
        <f>SUMIFS(D6202:D6462,K6202:K6462,"0",B6202:B6462,"5 1 3 9 8 12 31111 6 M59 80400 000132 0000R 00001 00398 015 2111300*")-SUMIFS(E6202:E6462,K6202:K6462,"0",B6202:B6462,"5 1 3 9 8 12 31111 6 M59 80400 000132 0000R 00001 00398 015 2111300*")</f>
        <v>0</v>
      </c>
      <c r="E6201" s="54"/>
      <c r="F6201" s="83">
        <f>SUMIFS(F6202:F6462,K6202:K6462,"0",B6202:B6462,"5 1 3 9 8 12 31111 6 M59 80400 000132 0000R 00001 00398 015 2111300*")</f>
        <v>2301.2600000000002</v>
      </c>
      <c r="G6201" s="83">
        <f>SUMIFS(G6202:G6462,K6202:K6462,"0",B6202:B6462,"5 1 3 9 8 12 31111 6 M59 80400 000132 0000R 00001 00398 015 2111300*")</f>
        <v>0</v>
      </c>
      <c r="H6201" s="83">
        <f t="shared" si="97"/>
        <v>2301.2600000000002</v>
      </c>
      <c r="I6201" s="83"/>
      <c r="K6201" s="54" t="s">
        <v>15</v>
      </c>
    </row>
    <row r="6202" spans="2:11" ht="33" x14ac:dyDescent="0.2">
      <c r="B6202" s="82" t="s">
        <v>9757</v>
      </c>
      <c r="C6202" s="82" t="s">
        <v>660</v>
      </c>
      <c r="D6202" s="83">
        <f>SUMIFS(D6203:D6462,K6203:K6462,"0",B6203:B6462,"5 1 3 9 8 12 31111 6 M59 80400 000132 0000R 00001 00398 015 2111300 2024*")-SUMIFS(E6203:E6462,K6203:K6462,"0",B6203:B6462,"5 1 3 9 8 12 31111 6 M59 80400 000132 0000R 00001 00398 015 2111300 2024*")</f>
        <v>0</v>
      </c>
      <c r="E6202" s="54"/>
      <c r="F6202" s="83">
        <f>SUMIFS(F6203:F6462,K6203:K6462,"0",B6203:B6462,"5 1 3 9 8 12 31111 6 M59 80400 000132 0000R 00001 00398 015 2111300 2024*")</f>
        <v>2301.2600000000002</v>
      </c>
      <c r="G6202" s="83">
        <f>SUMIFS(G6203:G6462,K6203:K6462,"0",B6203:B6462,"5 1 3 9 8 12 31111 6 M59 80400 000132 0000R 00001 00398 015 2111300 2024*")</f>
        <v>0</v>
      </c>
      <c r="H6202" s="83">
        <f t="shared" si="97"/>
        <v>2301.2600000000002</v>
      </c>
      <c r="I6202" s="83"/>
      <c r="K6202" s="54" t="s">
        <v>15</v>
      </c>
    </row>
    <row r="6203" spans="2:11" ht="41.25" x14ac:dyDescent="0.2">
      <c r="B6203" s="82" t="s">
        <v>9758</v>
      </c>
      <c r="C6203" s="82" t="s">
        <v>1056</v>
      </c>
      <c r="D6203" s="83">
        <f>SUMIFS(D6204:D6462,K6204:K6462,"0",B6204:B6462,"5 1 3 9 8 12 31111 6 M59 80400 000132 0000R 00001 00398 015 2111300 2024 CP1DP403*")-SUMIFS(E6204:E6462,K6204:K6462,"0",B6204:B6462,"5 1 3 9 8 12 31111 6 M59 80400 000132 0000R 00001 00398 015 2111300 2024 CP1DP403*")</f>
        <v>0</v>
      </c>
      <c r="E6203" s="54"/>
      <c r="F6203" s="83">
        <f>SUMIFS(F6204:F6462,K6204:K6462,"0",B6204:B6462,"5 1 3 9 8 12 31111 6 M59 80400 000132 0000R 00001 00398 015 2111300 2024 CP1DP403*")</f>
        <v>2301.2600000000002</v>
      </c>
      <c r="G6203" s="83">
        <f>SUMIFS(G6204:G6462,K6204:K6462,"0",B6204:B6462,"5 1 3 9 8 12 31111 6 M59 80400 000132 0000R 00001 00398 015 2111300 2024 CP1DP403*")</f>
        <v>0</v>
      </c>
      <c r="H6203" s="83">
        <f t="shared" si="97"/>
        <v>2301.2600000000002</v>
      </c>
      <c r="I6203" s="83"/>
      <c r="K6203" s="54" t="s">
        <v>15</v>
      </c>
    </row>
    <row r="6204" spans="2:11" ht="41.25" x14ac:dyDescent="0.2">
      <c r="B6204" s="82" t="s">
        <v>9759</v>
      </c>
      <c r="C6204" s="82" t="s">
        <v>282</v>
      </c>
      <c r="D6204" s="83">
        <f>SUMIFS(D6205:D6462,K6205:K6462,"0",B6205:B6462,"5 1 3 9 8 12 31111 6 M59 80400 000132 0000R 00001 00398 015 2111300 2024 CP1DP403 001*")-SUMIFS(E6205:E6462,K6205:K6462,"0",B6205:B6462,"5 1 3 9 8 12 31111 6 M59 80400 000132 0000R 00001 00398 015 2111300 2024 CP1DP403 001*")</f>
        <v>0</v>
      </c>
      <c r="E6204" s="54"/>
      <c r="F6204" s="83">
        <f>SUMIFS(F6205:F6462,K6205:K6462,"0",B6205:B6462,"5 1 3 9 8 12 31111 6 M59 80400 000132 0000R 00001 00398 015 2111300 2024 CP1DP403 001*")</f>
        <v>2301.2600000000002</v>
      </c>
      <c r="G6204" s="83">
        <f>SUMIFS(G6205:G6462,K6205:K6462,"0",B6205:B6462,"5 1 3 9 8 12 31111 6 M59 80400 000132 0000R 00001 00398 015 2111300 2024 CP1DP403 001*")</f>
        <v>0</v>
      </c>
      <c r="H6204" s="83">
        <f t="shared" si="97"/>
        <v>2301.2600000000002</v>
      </c>
      <c r="I6204" s="83"/>
      <c r="K6204" s="54" t="s">
        <v>15</v>
      </c>
    </row>
    <row r="6205" spans="2:11" ht="41.25" x14ac:dyDescent="0.2">
      <c r="B6205" s="84" t="s">
        <v>9760</v>
      </c>
      <c r="C6205" s="84" t="s">
        <v>9254</v>
      </c>
      <c r="D6205" s="85">
        <v>0</v>
      </c>
      <c r="E6205" s="85"/>
      <c r="F6205" s="85">
        <v>2301.2600000000002</v>
      </c>
      <c r="G6205" s="85">
        <v>0</v>
      </c>
      <c r="H6205" s="85">
        <f t="shared" si="97"/>
        <v>2301.2600000000002</v>
      </c>
      <c r="I6205" s="85"/>
      <c r="K6205" s="54" t="s">
        <v>38</v>
      </c>
    </row>
    <row r="6206" spans="2:11" ht="24.75" x14ac:dyDescent="0.2">
      <c r="B6206" s="82" t="s">
        <v>9761</v>
      </c>
      <c r="C6206" s="82" t="s">
        <v>3571</v>
      </c>
      <c r="D6206" s="83">
        <f>SUMIFS(D6207:D6462,K6207:K6462,"0",B6207:B6462,"5 1 3 9 8 12 31111 6 M59 80500*")-SUMIFS(E6207:E6462,K6207:K6462,"0",B6207:B6462,"5 1 3 9 8 12 31111 6 M59 80500*")</f>
        <v>0</v>
      </c>
      <c r="E6206" s="54"/>
      <c r="F6206" s="83">
        <f>SUMIFS(F6207:F6462,K6207:K6462,"0",B6207:B6462,"5 1 3 9 8 12 31111 6 M59 80500*")</f>
        <v>6013.54</v>
      </c>
      <c r="G6206" s="83">
        <f>SUMIFS(G6207:G6462,K6207:K6462,"0",B6207:B6462,"5 1 3 9 8 12 31111 6 M59 80500*")</f>
        <v>0</v>
      </c>
      <c r="H6206" s="83">
        <f t="shared" si="97"/>
        <v>6013.54</v>
      </c>
      <c r="I6206" s="83"/>
      <c r="K6206" s="54" t="s">
        <v>15</v>
      </c>
    </row>
    <row r="6207" spans="2:11" ht="16.5" x14ac:dyDescent="0.2">
      <c r="B6207" s="82" t="s">
        <v>9762</v>
      </c>
      <c r="C6207" s="82" t="s">
        <v>3573</v>
      </c>
      <c r="D6207" s="83">
        <f>SUMIFS(D6208:D6462,K6208:K6462,"0",B6208:B6462,"5 1 3 9 8 12 31111 6 M59 80500 000216*")-SUMIFS(E6208:E6462,K6208:K6462,"0",B6208:B6462,"5 1 3 9 8 12 31111 6 M59 80500 000216*")</f>
        <v>0</v>
      </c>
      <c r="E6207" s="54"/>
      <c r="F6207" s="83">
        <f>SUMIFS(F6208:F6462,K6208:K6462,"0",B6208:B6462,"5 1 3 9 8 12 31111 6 M59 80500 000216*")</f>
        <v>6013.54</v>
      </c>
      <c r="G6207" s="83">
        <f>SUMIFS(G6208:G6462,K6208:K6462,"0",B6208:B6462,"5 1 3 9 8 12 31111 6 M59 80500 000216*")</f>
        <v>0</v>
      </c>
      <c r="H6207" s="83">
        <f t="shared" si="97"/>
        <v>6013.54</v>
      </c>
      <c r="I6207" s="83"/>
      <c r="K6207" s="54" t="s">
        <v>15</v>
      </c>
    </row>
    <row r="6208" spans="2:11" ht="24.75" x14ac:dyDescent="0.2">
      <c r="B6208" s="82" t="s">
        <v>9763</v>
      </c>
      <c r="C6208" s="82" t="s">
        <v>650</v>
      </c>
      <c r="D6208" s="83">
        <f>SUMIFS(D6209:D6462,K6209:K6462,"0",B6209:B6462,"5 1 3 9 8 12 31111 6 M59 80500 000216 0000R*")-SUMIFS(E6209:E6462,K6209:K6462,"0",B6209:B6462,"5 1 3 9 8 12 31111 6 M59 80500 000216 0000R*")</f>
        <v>0</v>
      </c>
      <c r="E6208" s="54"/>
      <c r="F6208" s="83">
        <f>SUMIFS(F6209:F6462,K6209:K6462,"0",B6209:B6462,"5 1 3 9 8 12 31111 6 M59 80500 000216 0000R*")</f>
        <v>6013.54</v>
      </c>
      <c r="G6208" s="83">
        <f>SUMIFS(G6209:G6462,K6209:K6462,"0",B6209:B6462,"5 1 3 9 8 12 31111 6 M59 80500 000216 0000R*")</f>
        <v>0</v>
      </c>
      <c r="H6208" s="83">
        <f t="shared" si="97"/>
        <v>6013.54</v>
      </c>
      <c r="I6208" s="83"/>
      <c r="K6208" s="54" t="s">
        <v>15</v>
      </c>
    </row>
    <row r="6209" spans="2:11" ht="24.75" x14ac:dyDescent="0.2">
      <c r="B6209" s="82" t="s">
        <v>9764</v>
      </c>
      <c r="C6209" s="82" t="s">
        <v>282</v>
      </c>
      <c r="D6209" s="83">
        <f>SUMIFS(D6210:D6462,K6210:K6462,"0",B6210:B6462,"5 1 3 9 8 12 31111 6 M59 80500 000216 0000R 00001*")-SUMIFS(E6210:E6462,K6210:K6462,"0",B6210:B6462,"5 1 3 9 8 12 31111 6 M59 80500 000216 0000R 00001*")</f>
        <v>0</v>
      </c>
      <c r="E6209" s="54"/>
      <c r="F6209" s="83">
        <f>SUMIFS(F6210:F6462,K6210:K6462,"0",B6210:B6462,"5 1 3 9 8 12 31111 6 M59 80500 000216 0000R 00001*")</f>
        <v>6013.54</v>
      </c>
      <c r="G6209" s="83">
        <f>SUMIFS(G6210:G6462,K6210:K6462,"0",B6210:B6462,"5 1 3 9 8 12 31111 6 M59 80500 000216 0000R 00001*")</f>
        <v>0</v>
      </c>
      <c r="H6209" s="83">
        <f t="shared" si="97"/>
        <v>6013.54</v>
      </c>
      <c r="I6209" s="83"/>
      <c r="K6209" s="54" t="s">
        <v>15</v>
      </c>
    </row>
    <row r="6210" spans="2:11" ht="24.75" x14ac:dyDescent="0.2">
      <c r="B6210" s="82" t="s">
        <v>9765</v>
      </c>
      <c r="C6210" s="82" t="s">
        <v>9247</v>
      </c>
      <c r="D6210" s="83">
        <f>SUMIFS(D6211:D6462,K6211:K6462,"0",B6211:B6462,"5 1 3 9 8 12 31111 6 M59 80500 000216 0000R 00001 00398*")-SUMIFS(E6211:E6462,K6211:K6462,"0",B6211:B6462,"5 1 3 9 8 12 31111 6 M59 80500 000216 0000R 00001 00398*")</f>
        <v>0</v>
      </c>
      <c r="E6210" s="54"/>
      <c r="F6210" s="83">
        <f>SUMIFS(F6211:F6462,K6211:K6462,"0",B6211:B6462,"5 1 3 9 8 12 31111 6 M59 80500 000216 0000R 00001 00398*")</f>
        <v>6013.54</v>
      </c>
      <c r="G6210" s="83">
        <f>SUMIFS(G6211:G6462,K6211:K6462,"0",B6211:B6462,"5 1 3 9 8 12 31111 6 M59 80500 000216 0000R 00001 00398*")</f>
        <v>0</v>
      </c>
      <c r="H6210" s="83">
        <f t="shared" si="97"/>
        <v>6013.54</v>
      </c>
      <c r="I6210" s="83"/>
      <c r="K6210" s="54" t="s">
        <v>15</v>
      </c>
    </row>
    <row r="6211" spans="2:11" ht="33" x14ac:dyDescent="0.2">
      <c r="B6211" s="82" t="s">
        <v>9766</v>
      </c>
      <c r="C6211" s="82" t="s">
        <v>1051</v>
      </c>
      <c r="D6211" s="83">
        <f>SUMIFS(D6212:D6462,K6212:K6462,"0",B6212:B6462,"5 1 3 9 8 12 31111 6 M59 80500 000216 0000R 00001 00398 015*")-SUMIFS(E6212:E6462,K6212:K6462,"0",B6212:B6462,"5 1 3 9 8 12 31111 6 M59 80500 000216 0000R 00001 00398 015*")</f>
        <v>0</v>
      </c>
      <c r="E6211" s="54"/>
      <c r="F6211" s="83">
        <f>SUMIFS(F6212:F6462,K6212:K6462,"0",B6212:B6462,"5 1 3 9 8 12 31111 6 M59 80500 000216 0000R 00001 00398 015*")</f>
        <v>6013.54</v>
      </c>
      <c r="G6211" s="83">
        <f>SUMIFS(G6212:G6462,K6212:K6462,"0",B6212:B6462,"5 1 3 9 8 12 31111 6 M59 80500 000216 0000R 00001 00398 015*")</f>
        <v>0</v>
      </c>
      <c r="H6211" s="83">
        <f t="shared" si="97"/>
        <v>6013.54</v>
      </c>
      <c r="I6211" s="83"/>
      <c r="K6211" s="54" t="s">
        <v>15</v>
      </c>
    </row>
    <row r="6212" spans="2:11" ht="33" x14ac:dyDescent="0.2">
      <c r="B6212" s="82" t="s">
        <v>9767</v>
      </c>
      <c r="C6212" s="82" t="s">
        <v>8550</v>
      </c>
      <c r="D6212" s="83">
        <f>SUMIFS(D6213:D6462,K6213:K6462,"0",B6213:B6462,"5 1 3 9 8 12 31111 6 M59 80500 000216 0000R 00001 00398 015 2111300*")-SUMIFS(E6213:E6462,K6213:K6462,"0",B6213:B6462,"5 1 3 9 8 12 31111 6 M59 80500 000216 0000R 00001 00398 015 2111300*")</f>
        <v>0</v>
      </c>
      <c r="E6212" s="54"/>
      <c r="F6212" s="83">
        <f>SUMIFS(F6213:F6462,K6213:K6462,"0",B6213:B6462,"5 1 3 9 8 12 31111 6 M59 80500 000216 0000R 00001 00398 015 2111300*")</f>
        <v>6013.54</v>
      </c>
      <c r="G6212" s="83">
        <f>SUMIFS(G6213:G6462,K6213:K6462,"0",B6213:B6462,"5 1 3 9 8 12 31111 6 M59 80500 000216 0000R 00001 00398 015 2111300*")</f>
        <v>0</v>
      </c>
      <c r="H6212" s="83">
        <f t="shared" si="97"/>
        <v>6013.54</v>
      </c>
      <c r="I6212" s="83"/>
      <c r="K6212" s="54" t="s">
        <v>15</v>
      </c>
    </row>
    <row r="6213" spans="2:11" ht="33" x14ac:dyDescent="0.2">
      <c r="B6213" s="82" t="s">
        <v>9768</v>
      </c>
      <c r="C6213" s="82" t="s">
        <v>660</v>
      </c>
      <c r="D6213" s="83">
        <f>SUMIFS(D6214:D6462,K6214:K6462,"0",B6214:B6462,"5 1 3 9 8 12 31111 6 M59 80500 000216 0000R 00001 00398 015 2111300 2024*")-SUMIFS(E6214:E6462,K6214:K6462,"0",B6214:B6462,"5 1 3 9 8 12 31111 6 M59 80500 000216 0000R 00001 00398 015 2111300 2024*")</f>
        <v>0</v>
      </c>
      <c r="E6213" s="54"/>
      <c r="F6213" s="83">
        <f>SUMIFS(F6214:F6462,K6214:K6462,"0",B6214:B6462,"5 1 3 9 8 12 31111 6 M59 80500 000216 0000R 00001 00398 015 2111300 2024*")</f>
        <v>6013.54</v>
      </c>
      <c r="G6213" s="83">
        <f>SUMIFS(G6214:G6462,K6214:K6462,"0",B6214:B6462,"5 1 3 9 8 12 31111 6 M59 80500 000216 0000R 00001 00398 015 2111300 2024*")</f>
        <v>0</v>
      </c>
      <c r="H6213" s="83">
        <f t="shared" si="97"/>
        <v>6013.54</v>
      </c>
      <c r="I6213" s="83"/>
      <c r="K6213" s="54" t="s">
        <v>15</v>
      </c>
    </row>
    <row r="6214" spans="2:11" ht="41.25" x14ac:dyDescent="0.2">
      <c r="B6214" s="82" t="s">
        <v>9769</v>
      </c>
      <c r="C6214" s="82" t="s">
        <v>1056</v>
      </c>
      <c r="D6214" s="83">
        <f>SUMIFS(D6215:D6462,K6215:K6462,"0",B6215:B6462,"5 1 3 9 8 12 31111 6 M59 80500 000216 0000R 00001 00398 015 2111300 2024 CP1MA417*")-SUMIFS(E6215:E6462,K6215:K6462,"0",B6215:B6462,"5 1 3 9 8 12 31111 6 M59 80500 000216 0000R 00001 00398 015 2111300 2024 CP1MA417*")</f>
        <v>0</v>
      </c>
      <c r="E6214" s="54"/>
      <c r="F6214" s="83">
        <f>SUMIFS(F6215:F6462,K6215:K6462,"0",B6215:B6462,"5 1 3 9 8 12 31111 6 M59 80500 000216 0000R 00001 00398 015 2111300 2024 CP1MA417*")</f>
        <v>6013.54</v>
      </c>
      <c r="G6214" s="83">
        <f>SUMIFS(G6215:G6462,K6215:K6462,"0",B6215:B6462,"5 1 3 9 8 12 31111 6 M59 80500 000216 0000R 00001 00398 015 2111300 2024 CP1MA417*")</f>
        <v>0</v>
      </c>
      <c r="H6214" s="83">
        <f t="shared" si="97"/>
        <v>6013.54</v>
      </c>
      <c r="I6214" s="83"/>
      <c r="K6214" s="54" t="s">
        <v>15</v>
      </c>
    </row>
    <row r="6215" spans="2:11" ht="41.25" x14ac:dyDescent="0.2">
      <c r="B6215" s="82" t="s">
        <v>9770</v>
      </c>
      <c r="C6215" s="82" t="s">
        <v>282</v>
      </c>
      <c r="D6215" s="83">
        <f>SUMIFS(D6216:D6462,K6216:K6462,"0",B6216:B6462,"5 1 3 9 8 12 31111 6 M59 80500 000216 0000R 00001 00398 015 2111300 2024 CP1MA417 001*")-SUMIFS(E6216:E6462,K6216:K6462,"0",B6216:B6462,"5 1 3 9 8 12 31111 6 M59 80500 000216 0000R 00001 00398 015 2111300 2024 CP1MA417 001*")</f>
        <v>0</v>
      </c>
      <c r="E6215" s="54"/>
      <c r="F6215" s="83">
        <f>SUMIFS(F6216:F6462,K6216:K6462,"0",B6216:B6462,"5 1 3 9 8 12 31111 6 M59 80500 000216 0000R 00001 00398 015 2111300 2024 CP1MA417 001*")</f>
        <v>6013.54</v>
      </c>
      <c r="G6215" s="83">
        <f>SUMIFS(G6216:G6462,K6216:K6462,"0",B6216:B6462,"5 1 3 9 8 12 31111 6 M59 80500 000216 0000R 00001 00398 015 2111300 2024 CP1MA417 001*")</f>
        <v>0</v>
      </c>
      <c r="H6215" s="83">
        <f t="shared" si="97"/>
        <v>6013.54</v>
      </c>
      <c r="I6215" s="83"/>
      <c r="K6215" s="54" t="s">
        <v>15</v>
      </c>
    </row>
    <row r="6216" spans="2:11" ht="33" x14ac:dyDescent="0.2">
      <c r="B6216" s="84" t="s">
        <v>9771</v>
      </c>
      <c r="C6216" s="84" t="s">
        <v>9254</v>
      </c>
      <c r="D6216" s="85">
        <v>0</v>
      </c>
      <c r="E6216" s="85"/>
      <c r="F6216" s="85">
        <v>6013.54</v>
      </c>
      <c r="G6216" s="85">
        <v>0</v>
      </c>
      <c r="H6216" s="85">
        <f t="shared" si="97"/>
        <v>6013.54</v>
      </c>
      <c r="I6216" s="85"/>
      <c r="K6216" s="54" t="s">
        <v>38</v>
      </c>
    </row>
    <row r="6217" spans="2:11" ht="16.5" x14ac:dyDescent="0.2">
      <c r="B6217" s="82" t="s">
        <v>9772</v>
      </c>
      <c r="C6217" s="82" t="s">
        <v>3584</v>
      </c>
      <c r="D6217" s="83">
        <f>SUMIFS(D6218:D6462,K6218:K6462,"0",B6218:B6462,"5 1 3 9 8 12 31111 6 M59 80700*")-SUMIFS(E6218:E6462,K6218:K6462,"0",B6218:B6462,"5 1 3 9 8 12 31111 6 M59 80700*")</f>
        <v>0</v>
      </c>
      <c r="E6217" s="54"/>
      <c r="F6217" s="83">
        <f>SUMIFS(F6218:F6462,K6218:K6462,"0",B6218:B6462,"5 1 3 9 8 12 31111 6 M59 80700*")</f>
        <v>2046.98</v>
      </c>
      <c r="G6217" s="83">
        <f>SUMIFS(G6218:G6462,K6218:K6462,"0",B6218:B6462,"5 1 3 9 8 12 31111 6 M59 80700*")</f>
        <v>0</v>
      </c>
      <c r="H6217" s="83">
        <f t="shared" si="97"/>
        <v>2046.98</v>
      </c>
      <c r="I6217" s="83"/>
      <c r="K6217" s="54" t="s">
        <v>15</v>
      </c>
    </row>
    <row r="6218" spans="2:11" ht="16.5" x14ac:dyDescent="0.2">
      <c r="B6218" s="82" t="s">
        <v>9773</v>
      </c>
      <c r="C6218" s="82" t="s">
        <v>648</v>
      </c>
      <c r="D6218" s="83">
        <f>SUMIFS(D6219:D6462,K6219:K6462,"0",B6219:B6462,"5 1 3 9 8 12 31111 6 M59 80700 000132*")-SUMIFS(E6219:E6462,K6219:K6462,"0",B6219:B6462,"5 1 3 9 8 12 31111 6 M59 80700 000132*")</f>
        <v>0</v>
      </c>
      <c r="E6218" s="54"/>
      <c r="F6218" s="83">
        <f>SUMIFS(F6219:F6462,K6219:K6462,"0",B6219:B6462,"5 1 3 9 8 12 31111 6 M59 80700 000132*")</f>
        <v>2046.98</v>
      </c>
      <c r="G6218" s="83">
        <f>SUMIFS(G6219:G6462,K6219:K6462,"0",B6219:B6462,"5 1 3 9 8 12 31111 6 M59 80700 000132*")</f>
        <v>0</v>
      </c>
      <c r="H6218" s="83">
        <f t="shared" si="97"/>
        <v>2046.98</v>
      </c>
      <c r="I6218" s="83"/>
      <c r="K6218" s="54" t="s">
        <v>15</v>
      </c>
    </row>
    <row r="6219" spans="2:11" ht="24.75" x14ac:dyDescent="0.2">
      <c r="B6219" s="82" t="s">
        <v>9774</v>
      </c>
      <c r="C6219" s="82" t="s">
        <v>650</v>
      </c>
      <c r="D6219" s="83">
        <f>SUMIFS(D6220:D6462,K6220:K6462,"0",B6220:B6462,"5 1 3 9 8 12 31111 6 M59 80700 000132 0000R*")-SUMIFS(E6220:E6462,K6220:K6462,"0",B6220:B6462,"5 1 3 9 8 12 31111 6 M59 80700 000132 0000R*")</f>
        <v>0</v>
      </c>
      <c r="E6219" s="54"/>
      <c r="F6219" s="83">
        <f>SUMIFS(F6220:F6462,K6220:K6462,"0",B6220:B6462,"5 1 3 9 8 12 31111 6 M59 80700 000132 0000R*")</f>
        <v>2046.98</v>
      </c>
      <c r="G6219" s="83">
        <f>SUMIFS(G6220:G6462,K6220:K6462,"0",B6220:B6462,"5 1 3 9 8 12 31111 6 M59 80700 000132 0000R*")</f>
        <v>0</v>
      </c>
      <c r="H6219" s="83">
        <f t="shared" si="97"/>
        <v>2046.98</v>
      </c>
      <c r="I6219" s="83"/>
      <c r="K6219" s="54" t="s">
        <v>15</v>
      </c>
    </row>
    <row r="6220" spans="2:11" ht="24.75" x14ac:dyDescent="0.2">
      <c r="B6220" s="82" t="s">
        <v>9775</v>
      </c>
      <c r="C6220" s="82" t="s">
        <v>282</v>
      </c>
      <c r="D6220" s="83">
        <f>SUMIFS(D6221:D6462,K6221:K6462,"0",B6221:B6462,"5 1 3 9 8 12 31111 6 M59 80700 000132 0000R 00001*")-SUMIFS(E6221:E6462,K6221:K6462,"0",B6221:B6462,"5 1 3 9 8 12 31111 6 M59 80700 000132 0000R 00001*")</f>
        <v>0</v>
      </c>
      <c r="E6220" s="54"/>
      <c r="F6220" s="83">
        <f>SUMIFS(F6221:F6462,K6221:K6462,"0",B6221:B6462,"5 1 3 9 8 12 31111 6 M59 80700 000132 0000R 00001*")</f>
        <v>2046.98</v>
      </c>
      <c r="G6220" s="83">
        <f>SUMIFS(G6221:G6462,K6221:K6462,"0",B6221:B6462,"5 1 3 9 8 12 31111 6 M59 80700 000132 0000R 00001*")</f>
        <v>0</v>
      </c>
      <c r="H6220" s="83">
        <f t="shared" si="97"/>
        <v>2046.98</v>
      </c>
      <c r="I6220" s="83"/>
      <c r="K6220" s="54" t="s">
        <v>15</v>
      </c>
    </row>
    <row r="6221" spans="2:11" ht="24.75" x14ac:dyDescent="0.2">
      <c r="B6221" s="82" t="s">
        <v>9776</v>
      </c>
      <c r="C6221" s="82" t="s">
        <v>9247</v>
      </c>
      <c r="D6221" s="83">
        <f>SUMIFS(D6222:D6462,K6222:K6462,"0",B6222:B6462,"5 1 3 9 8 12 31111 6 M59 80700 000132 0000R 00001 00398*")-SUMIFS(E6222:E6462,K6222:K6462,"0",B6222:B6462,"5 1 3 9 8 12 31111 6 M59 80700 000132 0000R 00001 00398*")</f>
        <v>0</v>
      </c>
      <c r="E6221" s="54"/>
      <c r="F6221" s="83">
        <f>SUMIFS(F6222:F6462,K6222:K6462,"0",B6222:B6462,"5 1 3 9 8 12 31111 6 M59 80700 000132 0000R 00001 00398*")</f>
        <v>2046.98</v>
      </c>
      <c r="G6221" s="83">
        <f>SUMIFS(G6222:G6462,K6222:K6462,"0",B6222:B6462,"5 1 3 9 8 12 31111 6 M59 80700 000132 0000R 00001 00398*")</f>
        <v>0</v>
      </c>
      <c r="H6221" s="83">
        <f t="shared" si="97"/>
        <v>2046.98</v>
      </c>
      <c r="I6221" s="83"/>
      <c r="K6221" s="54" t="s">
        <v>15</v>
      </c>
    </row>
    <row r="6222" spans="2:11" ht="33" x14ac:dyDescent="0.2">
      <c r="B6222" s="82" t="s">
        <v>9777</v>
      </c>
      <c r="C6222" s="82" t="s">
        <v>1051</v>
      </c>
      <c r="D6222" s="83">
        <f>SUMIFS(D6223:D6462,K6223:K6462,"0",B6223:B6462,"5 1 3 9 8 12 31111 6 M59 80700 000132 0000R 00001 00398 015*")-SUMIFS(E6223:E6462,K6223:K6462,"0",B6223:B6462,"5 1 3 9 8 12 31111 6 M59 80700 000132 0000R 00001 00398 015*")</f>
        <v>0</v>
      </c>
      <c r="E6222" s="54"/>
      <c r="F6222" s="83">
        <f>SUMIFS(F6223:F6462,K6223:K6462,"0",B6223:B6462,"5 1 3 9 8 12 31111 6 M59 80700 000132 0000R 00001 00398 015*")</f>
        <v>2046.98</v>
      </c>
      <c r="G6222" s="83">
        <f>SUMIFS(G6223:G6462,K6223:K6462,"0",B6223:B6462,"5 1 3 9 8 12 31111 6 M59 80700 000132 0000R 00001 00398 015*")</f>
        <v>0</v>
      </c>
      <c r="H6222" s="83">
        <f t="shared" si="97"/>
        <v>2046.98</v>
      </c>
      <c r="I6222" s="83"/>
      <c r="K6222" s="54" t="s">
        <v>15</v>
      </c>
    </row>
    <row r="6223" spans="2:11" ht="33" x14ac:dyDescent="0.2">
      <c r="B6223" s="82" t="s">
        <v>9778</v>
      </c>
      <c r="C6223" s="82" t="s">
        <v>8550</v>
      </c>
      <c r="D6223" s="83">
        <f>SUMIFS(D6224:D6462,K6224:K6462,"0",B6224:B6462,"5 1 3 9 8 12 31111 6 M59 80700 000132 0000R 00001 00398 015 2111300*")-SUMIFS(E6224:E6462,K6224:K6462,"0",B6224:B6462,"5 1 3 9 8 12 31111 6 M59 80700 000132 0000R 00001 00398 015 2111300*")</f>
        <v>0</v>
      </c>
      <c r="E6223" s="54"/>
      <c r="F6223" s="83">
        <f>SUMIFS(F6224:F6462,K6224:K6462,"0",B6224:B6462,"5 1 3 9 8 12 31111 6 M59 80700 000132 0000R 00001 00398 015 2111300*")</f>
        <v>2046.98</v>
      </c>
      <c r="G6223" s="83">
        <f>SUMIFS(G6224:G6462,K6224:K6462,"0",B6224:B6462,"5 1 3 9 8 12 31111 6 M59 80700 000132 0000R 00001 00398 015 2111300*")</f>
        <v>0</v>
      </c>
      <c r="H6223" s="83">
        <f t="shared" si="97"/>
        <v>2046.98</v>
      </c>
      <c r="I6223" s="83"/>
      <c r="K6223" s="54" t="s">
        <v>15</v>
      </c>
    </row>
    <row r="6224" spans="2:11" ht="33" x14ac:dyDescent="0.2">
      <c r="B6224" s="82" t="s">
        <v>9779</v>
      </c>
      <c r="C6224" s="82" t="s">
        <v>660</v>
      </c>
      <c r="D6224" s="83">
        <f>SUMIFS(D6225:D6462,K6225:K6462,"0",B6225:B6462,"5 1 3 9 8 12 31111 6 M59 80700 000132 0000R 00001 00398 015 2111300 2024*")-SUMIFS(E6225:E6462,K6225:K6462,"0",B6225:B6462,"5 1 3 9 8 12 31111 6 M59 80700 000132 0000R 00001 00398 015 2111300 2024*")</f>
        <v>0</v>
      </c>
      <c r="E6224" s="54"/>
      <c r="F6224" s="83">
        <f>SUMIFS(F6225:F6462,K6225:K6462,"0",B6225:B6462,"5 1 3 9 8 12 31111 6 M59 80700 000132 0000R 00001 00398 015 2111300 2024*")</f>
        <v>2046.98</v>
      </c>
      <c r="G6224" s="83">
        <f>SUMIFS(G6225:G6462,K6225:K6462,"0",B6225:B6462,"5 1 3 9 8 12 31111 6 M59 80700 000132 0000R 00001 00398 015 2111300 2024*")</f>
        <v>0</v>
      </c>
      <c r="H6224" s="83">
        <f t="shared" si="97"/>
        <v>2046.98</v>
      </c>
      <c r="I6224" s="83"/>
      <c r="K6224" s="54" t="s">
        <v>15</v>
      </c>
    </row>
    <row r="6225" spans="2:11" ht="41.25" x14ac:dyDescent="0.2">
      <c r="B6225" s="82" t="s">
        <v>9780</v>
      </c>
      <c r="C6225" s="82" t="s">
        <v>1056</v>
      </c>
      <c r="D6225" s="83">
        <f>SUMIFS(D6226:D6462,K6226:K6462,"0",B6226:B6462,"5 1 3 9 8 12 31111 6 M59 80700 000132 0000R 00001 00398 015 2111300 2024 CP1ME407*")-SUMIFS(E6226:E6462,K6226:K6462,"0",B6226:B6462,"5 1 3 9 8 12 31111 6 M59 80700 000132 0000R 00001 00398 015 2111300 2024 CP1ME407*")</f>
        <v>0</v>
      </c>
      <c r="E6225" s="54"/>
      <c r="F6225" s="83">
        <f>SUMIFS(F6226:F6462,K6226:K6462,"0",B6226:B6462,"5 1 3 9 8 12 31111 6 M59 80700 000132 0000R 00001 00398 015 2111300 2024 CP1ME407*")</f>
        <v>2046.98</v>
      </c>
      <c r="G6225" s="83">
        <f>SUMIFS(G6226:G6462,K6226:K6462,"0",B6226:B6462,"5 1 3 9 8 12 31111 6 M59 80700 000132 0000R 00001 00398 015 2111300 2024 CP1ME407*")</f>
        <v>0</v>
      </c>
      <c r="H6225" s="83">
        <f t="shared" si="97"/>
        <v>2046.98</v>
      </c>
      <c r="I6225" s="83"/>
      <c r="K6225" s="54" t="s">
        <v>15</v>
      </c>
    </row>
    <row r="6226" spans="2:11" ht="41.25" x14ac:dyDescent="0.2">
      <c r="B6226" s="82" t="s">
        <v>9781</v>
      </c>
      <c r="C6226" s="82" t="s">
        <v>282</v>
      </c>
      <c r="D6226" s="83">
        <f>SUMIFS(D6227:D6462,K6227:K6462,"0",B6227:B6462,"5 1 3 9 8 12 31111 6 M59 80700 000132 0000R 00001 00398 015 2111300 2024 CP1ME407 001*")-SUMIFS(E6227:E6462,K6227:K6462,"0",B6227:B6462,"5 1 3 9 8 12 31111 6 M59 80700 000132 0000R 00001 00398 015 2111300 2024 CP1ME407 001*")</f>
        <v>0</v>
      </c>
      <c r="E6226" s="54"/>
      <c r="F6226" s="83">
        <f>SUMIFS(F6227:F6462,K6227:K6462,"0",B6227:B6462,"5 1 3 9 8 12 31111 6 M59 80700 000132 0000R 00001 00398 015 2111300 2024 CP1ME407 001*")</f>
        <v>2046.98</v>
      </c>
      <c r="G6226" s="83">
        <f>SUMIFS(G6227:G6462,K6227:K6462,"0",B6227:B6462,"5 1 3 9 8 12 31111 6 M59 80700 000132 0000R 00001 00398 015 2111300 2024 CP1ME407 001*")</f>
        <v>0</v>
      </c>
      <c r="H6226" s="83">
        <f t="shared" si="97"/>
        <v>2046.98</v>
      </c>
      <c r="I6226" s="83"/>
      <c r="K6226" s="54" t="s">
        <v>15</v>
      </c>
    </row>
    <row r="6227" spans="2:11" ht="33" x14ac:dyDescent="0.2">
      <c r="B6227" s="84" t="s">
        <v>9782</v>
      </c>
      <c r="C6227" s="84" t="s">
        <v>9254</v>
      </c>
      <c r="D6227" s="85">
        <v>0</v>
      </c>
      <c r="E6227" s="85"/>
      <c r="F6227" s="85">
        <v>2046.98</v>
      </c>
      <c r="G6227" s="85">
        <v>0</v>
      </c>
      <c r="H6227" s="85">
        <f t="shared" si="97"/>
        <v>2046.98</v>
      </c>
      <c r="I6227" s="85"/>
      <c r="K6227" s="54" t="s">
        <v>38</v>
      </c>
    </row>
    <row r="6228" spans="2:11" ht="16.5" x14ac:dyDescent="0.2">
      <c r="B6228" s="82" t="s">
        <v>9783</v>
      </c>
      <c r="C6228" s="82" t="s">
        <v>3596</v>
      </c>
      <c r="D6228" s="83">
        <f>SUMIFS(D6229:D6462,K6229:K6462,"0",B6229:B6462,"5 1 3 9 8 12 31111 6 M59 90000*")-SUMIFS(E6229:E6462,K6229:K6462,"0",B6229:B6462,"5 1 3 9 8 12 31111 6 M59 90000*")</f>
        <v>0</v>
      </c>
      <c r="E6228" s="54"/>
      <c r="F6228" s="83">
        <f>SUMIFS(F6229:F6462,K6229:K6462,"0",B6229:B6462,"5 1 3 9 8 12 31111 6 M59 90000*")</f>
        <v>18275.25</v>
      </c>
      <c r="G6228" s="83">
        <f>SUMIFS(G6229:G6462,K6229:K6462,"0",B6229:B6462,"5 1 3 9 8 12 31111 6 M59 90000*")</f>
        <v>0</v>
      </c>
      <c r="H6228" s="83">
        <f t="shared" si="97"/>
        <v>18275.25</v>
      </c>
      <c r="I6228" s="83"/>
      <c r="K6228" s="54" t="s">
        <v>15</v>
      </c>
    </row>
    <row r="6229" spans="2:11" ht="16.5" x14ac:dyDescent="0.2">
      <c r="B6229" s="82" t="s">
        <v>9784</v>
      </c>
      <c r="C6229" s="82" t="s">
        <v>648</v>
      </c>
      <c r="D6229" s="83">
        <f>SUMIFS(D6230:D6462,K6230:K6462,"0",B6230:B6462,"5 1 3 9 8 12 31111 6 M59 90000 000132*")-SUMIFS(E6230:E6462,K6230:K6462,"0",B6230:B6462,"5 1 3 9 8 12 31111 6 M59 90000 000132*")</f>
        <v>0</v>
      </c>
      <c r="E6229" s="54"/>
      <c r="F6229" s="83">
        <f>SUMIFS(F6230:F6462,K6230:K6462,"0",B6230:B6462,"5 1 3 9 8 12 31111 6 M59 90000 000132*")</f>
        <v>18275.25</v>
      </c>
      <c r="G6229" s="83">
        <f>SUMIFS(G6230:G6462,K6230:K6462,"0",B6230:B6462,"5 1 3 9 8 12 31111 6 M59 90000 000132*")</f>
        <v>0</v>
      </c>
      <c r="H6229" s="83">
        <f t="shared" si="97"/>
        <v>18275.25</v>
      </c>
      <c r="I6229" s="83"/>
      <c r="K6229" s="54" t="s">
        <v>15</v>
      </c>
    </row>
    <row r="6230" spans="2:11" ht="24.75" x14ac:dyDescent="0.2">
      <c r="B6230" s="82" t="s">
        <v>9785</v>
      </c>
      <c r="C6230" s="82" t="s">
        <v>650</v>
      </c>
      <c r="D6230" s="83">
        <f>SUMIFS(D6231:D6462,K6231:K6462,"0",B6231:B6462,"5 1 3 9 8 12 31111 6 M59 90000 000132 0000R*")-SUMIFS(E6231:E6462,K6231:K6462,"0",B6231:B6462,"5 1 3 9 8 12 31111 6 M59 90000 000132 0000R*")</f>
        <v>0</v>
      </c>
      <c r="E6230" s="54"/>
      <c r="F6230" s="83">
        <f>SUMIFS(F6231:F6462,K6231:K6462,"0",B6231:B6462,"5 1 3 9 8 12 31111 6 M59 90000 000132 0000R*")</f>
        <v>18275.25</v>
      </c>
      <c r="G6230" s="83">
        <f>SUMIFS(G6231:G6462,K6231:K6462,"0",B6231:B6462,"5 1 3 9 8 12 31111 6 M59 90000 000132 0000R*")</f>
        <v>0</v>
      </c>
      <c r="H6230" s="83">
        <f t="shared" si="97"/>
        <v>18275.25</v>
      </c>
      <c r="I6230" s="83"/>
      <c r="K6230" s="54" t="s">
        <v>15</v>
      </c>
    </row>
    <row r="6231" spans="2:11" ht="24.75" x14ac:dyDescent="0.2">
      <c r="B6231" s="82" t="s">
        <v>9786</v>
      </c>
      <c r="C6231" s="82" t="s">
        <v>282</v>
      </c>
      <c r="D6231" s="83">
        <f>SUMIFS(D6232:D6462,K6232:K6462,"0",B6232:B6462,"5 1 3 9 8 12 31111 6 M59 90000 000132 0000R 00001*")-SUMIFS(E6232:E6462,K6232:K6462,"0",B6232:B6462,"5 1 3 9 8 12 31111 6 M59 90000 000132 0000R 00001*")</f>
        <v>0</v>
      </c>
      <c r="E6231" s="54"/>
      <c r="F6231" s="83">
        <f>SUMIFS(F6232:F6462,K6232:K6462,"0",B6232:B6462,"5 1 3 9 8 12 31111 6 M59 90000 000132 0000R 00001*")</f>
        <v>18275.25</v>
      </c>
      <c r="G6231" s="83">
        <f>SUMIFS(G6232:G6462,K6232:K6462,"0",B6232:B6462,"5 1 3 9 8 12 31111 6 M59 90000 000132 0000R 00001*")</f>
        <v>0</v>
      </c>
      <c r="H6231" s="83">
        <f t="shared" si="97"/>
        <v>18275.25</v>
      </c>
      <c r="I6231" s="83"/>
      <c r="K6231" s="54" t="s">
        <v>15</v>
      </c>
    </row>
    <row r="6232" spans="2:11" ht="24.75" x14ac:dyDescent="0.2">
      <c r="B6232" s="82" t="s">
        <v>9787</v>
      </c>
      <c r="C6232" s="82" t="s">
        <v>9247</v>
      </c>
      <c r="D6232" s="83">
        <f>SUMIFS(D6233:D6462,K6233:K6462,"0",B6233:B6462,"5 1 3 9 8 12 31111 6 M59 90000 000132 0000R 00001 00398*")-SUMIFS(E6233:E6462,K6233:K6462,"0",B6233:B6462,"5 1 3 9 8 12 31111 6 M59 90000 000132 0000R 00001 00398*")</f>
        <v>0</v>
      </c>
      <c r="E6232" s="54"/>
      <c r="F6232" s="83">
        <f>SUMIFS(F6233:F6462,K6233:K6462,"0",B6233:B6462,"5 1 3 9 8 12 31111 6 M59 90000 000132 0000R 00001 00398*")</f>
        <v>18275.25</v>
      </c>
      <c r="G6232" s="83">
        <f>SUMIFS(G6233:G6462,K6233:K6462,"0",B6233:B6462,"5 1 3 9 8 12 31111 6 M59 90000 000132 0000R 00001 00398*")</f>
        <v>0</v>
      </c>
      <c r="H6232" s="83">
        <f t="shared" si="97"/>
        <v>18275.25</v>
      </c>
      <c r="I6232" s="83"/>
      <c r="K6232" s="54" t="s">
        <v>15</v>
      </c>
    </row>
    <row r="6233" spans="2:11" ht="33" x14ac:dyDescent="0.2">
      <c r="B6233" s="82" t="s">
        <v>9788</v>
      </c>
      <c r="C6233" s="82" t="s">
        <v>1051</v>
      </c>
      <c r="D6233" s="83">
        <f>SUMIFS(D6234:D6462,K6234:K6462,"0",B6234:B6462,"5 1 3 9 8 12 31111 6 M59 90000 000132 0000R 00001 00398 015*")-SUMIFS(E6234:E6462,K6234:K6462,"0",B6234:B6462,"5 1 3 9 8 12 31111 6 M59 90000 000132 0000R 00001 00398 015*")</f>
        <v>0</v>
      </c>
      <c r="E6233" s="54"/>
      <c r="F6233" s="83">
        <f>SUMIFS(F6234:F6462,K6234:K6462,"0",B6234:B6462,"5 1 3 9 8 12 31111 6 M59 90000 000132 0000R 00001 00398 015*")</f>
        <v>18275.25</v>
      </c>
      <c r="G6233" s="83">
        <f>SUMIFS(G6234:G6462,K6234:K6462,"0",B6234:B6462,"5 1 3 9 8 12 31111 6 M59 90000 000132 0000R 00001 00398 015*")</f>
        <v>0</v>
      </c>
      <c r="H6233" s="83">
        <f t="shared" si="97"/>
        <v>18275.25</v>
      </c>
      <c r="I6233" s="83"/>
      <c r="K6233" s="54" t="s">
        <v>15</v>
      </c>
    </row>
    <row r="6234" spans="2:11" ht="33" x14ac:dyDescent="0.2">
      <c r="B6234" s="82" t="s">
        <v>9789</v>
      </c>
      <c r="C6234" s="82" t="s">
        <v>8550</v>
      </c>
      <c r="D6234" s="83">
        <f>SUMIFS(D6235:D6462,K6235:K6462,"0",B6235:B6462,"5 1 3 9 8 12 31111 6 M59 90000 000132 0000R 00001 00398 015 2111300*")-SUMIFS(E6235:E6462,K6235:K6462,"0",B6235:B6462,"5 1 3 9 8 12 31111 6 M59 90000 000132 0000R 00001 00398 015 2111300*")</f>
        <v>0</v>
      </c>
      <c r="E6234" s="54"/>
      <c r="F6234" s="83">
        <f>SUMIFS(F6235:F6462,K6235:K6462,"0",B6235:B6462,"5 1 3 9 8 12 31111 6 M59 90000 000132 0000R 00001 00398 015 2111300*")</f>
        <v>18275.25</v>
      </c>
      <c r="G6234" s="83">
        <f>SUMIFS(G6235:G6462,K6235:K6462,"0",B6235:B6462,"5 1 3 9 8 12 31111 6 M59 90000 000132 0000R 00001 00398 015 2111300*")</f>
        <v>0</v>
      </c>
      <c r="H6234" s="83">
        <f t="shared" si="97"/>
        <v>18275.25</v>
      </c>
      <c r="I6234" s="83"/>
      <c r="K6234" s="54" t="s">
        <v>15</v>
      </c>
    </row>
    <row r="6235" spans="2:11" ht="33" x14ac:dyDescent="0.2">
      <c r="B6235" s="82" t="s">
        <v>9790</v>
      </c>
      <c r="C6235" s="82" t="s">
        <v>660</v>
      </c>
      <c r="D6235" s="83">
        <f>SUMIFS(D6236:D6462,K6236:K6462,"0",B6236:B6462,"5 1 3 9 8 12 31111 6 M59 90000 000132 0000R 00001 00398 015 2111300 2024*")-SUMIFS(E6236:E6462,K6236:K6462,"0",B6236:B6462,"5 1 3 9 8 12 31111 6 M59 90000 000132 0000R 00001 00398 015 2111300 2024*")</f>
        <v>0</v>
      </c>
      <c r="E6235" s="54"/>
      <c r="F6235" s="83">
        <f>SUMIFS(F6236:F6462,K6236:K6462,"0",B6236:B6462,"5 1 3 9 8 12 31111 6 M59 90000 000132 0000R 00001 00398 015 2111300 2024*")</f>
        <v>18275.25</v>
      </c>
      <c r="G6235" s="83">
        <f>SUMIFS(G6236:G6462,K6236:K6462,"0",B6236:B6462,"5 1 3 9 8 12 31111 6 M59 90000 000132 0000R 00001 00398 015 2111300 2024*")</f>
        <v>0</v>
      </c>
      <c r="H6235" s="83">
        <f t="shared" si="97"/>
        <v>18275.25</v>
      </c>
      <c r="I6235" s="83"/>
      <c r="K6235" s="54" t="s">
        <v>15</v>
      </c>
    </row>
    <row r="6236" spans="2:11" ht="41.25" x14ac:dyDescent="0.2">
      <c r="B6236" s="82" t="s">
        <v>9791</v>
      </c>
      <c r="C6236" s="82" t="s">
        <v>1056</v>
      </c>
      <c r="D6236" s="83">
        <f>SUMIFS(D6237:D6462,K6237:K6462,"0",B6237:B6462,"5 1 3 9 8 12 31111 6 M59 90000 000132 0000R 00001 00398 015 2111300 2024 CP1SG383*")-SUMIFS(E6237:E6462,K6237:K6462,"0",B6237:B6462,"5 1 3 9 8 12 31111 6 M59 90000 000132 0000R 00001 00398 015 2111300 2024 CP1SG383*")</f>
        <v>0</v>
      </c>
      <c r="E6236" s="54"/>
      <c r="F6236" s="83">
        <f>SUMIFS(F6237:F6462,K6237:K6462,"0",B6237:B6462,"5 1 3 9 8 12 31111 6 M59 90000 000132 0000R 00001 00398 015 2111300 2024 CP1SG383*")</f>
        <v>18275.25</v>
      </c>
      <c r="G6236" s="83">
        <f>SUMIFS(G6237:G6462,K6237:K6462,"0",B6237:B6462,"5 1 3 9 8 12 31111 6 M59 90000 000132 0000R 00001 00398 015 2111300 2024 CP1SG383*")</f>
        <v>0</v>
      </c>
      <c r="H6236" s="83">
        <f t="shared" si="97"/>
        <v>18275.25</v>
      </c>
      <c r="I6236" s="83"/>
      <c r="K6236" s="54" t="s">
        <v>15</v>
      </c>
    </row>
    <row r="6237" spans="2:11" ht="41.25" x14ac:dyDescent="0.2">
      <c r="B6237" s="82" t="s">
        <v>9792</v>
      </c>
      <c r="C6237" s="82" t="s">
        <v>282</v>
      </c>
      <c r="D6237" s="83">
        <f>SUMIFS(D6238:D6462,K6238:K6462,"0",B6238:B6462,"5 1 3 9 8 12 31111 6 M59 90000 000132 0000R 00001 00398 015 2111300 2024 CP1SG383 001*")-SUMIFS(E6238:E6462,K6238:K6462,"0",B6238:B6462,"5 1 3 9 8 12 31111 6 M59 90000 000132 0000R 00001 00398 015 2111300 2024 CP1SG383 001*")</f>
        <v>0</v>
      </c>
      <c r="E6237" s="54"/>
      <c r="F6237" s="83">
        <f>SUMIFS(F6238:F6462,K6238:K6462,"0",B6238:B6462,"5 1 3 9 8 12 31111 6 M59 90000 000132 0000R 00001 00398 015 2111300 2024 CP1SG383 001*")</f>
        <v>18275.25</v>
      </c>
      <c r="G6237" s="83">
        <f>SUMIFS(G6238:G6462,K6238:K6462,"0",B6238:B6462,"5 1 3 9 8 12 31111 6 M59 90000 000132 0000R 00001 00398 015 2111300 2024 CP1SG383 001*")</f>
        <v>0</v>
      </c>
      <c r="H6237" s="83">
        <f t="shared" si="97"/>
        <v>18275.25</v>
      </c>
      <c r="I6237" s="83"/>
      <c r="K6237" s="54" t="s">
        <v>15</v>
      </c>
    </row>
    <row r="6238" spans="2:11" ht="41.25" x14ac:dyDescent="0.2">
      <c r="B6238" s="84" t="s">
        <v>9793</v>
      </c>
      <c r="C6238" s="84" t="s">
        <v>9254</v>
      </c>
      <c r="D6238" s="85">
        <v>0</v>
      </c>
      <c r="E6238" s="85"/>
      <c r="F6238" s="85">
        <v>18275.25</v>
      </c>
      <c r="G6238" s="85">
        <v>0</v>
      </c>
      <c r="H6238" s="85">
        <f t="shared" si="97"/>
        <v>18275.25</v>
      </c>
      <c r="I6238" s="85"/>
      <c r="K6238" s="54" t="s">
        <v>38</v>
      </c>
    </row>
    <row r="6239" spans="2:11" ht="16.5" x14ac:dyDescent="0.2">
      <c r="B6239" s="82" t="s">
        <v>9794</v>
      </c>
      <c r="C6239" s="82" t="s">
        <v>3608</v>
      </c>
      <c r="D6239" s="83">
        <f>SUMIFS(D6240:D6462,K6240:K6462,"0",B6240:B6462,"5 1 3 9 8 12 31111 6 M59 91000*")-SUMIFS(E6240:E6462,K6240:K6462,"0",B6240:B6462,"5 1 3 9 8 12 31111 6 M59 91000*")</f>
        <v>0</v>
      </c>
      <c r="E6239" s="54"/>
      <c r="F6239" s="83">
        <f>SUMIFS(F6240:F6462,K6240:K6462,"0",B6240:B6462,"5 1 3 9 8 12 31111 6 M59 91000*")</f>
        <v>19180.39</v>
      </c>
      <c r="G6239" s="83">
        <f>SUMIFS(G6240:G6462,K6240:K6462,"0",B6240:B6462,"5 1 3 9 8 12 31111 6 M59 91000*")</f>
        <v>0</v>
      </c>
      <c r="H6239" s="83">
        <f t="shared" si="97"/>
        <v>19180.39</v>
      </c>
      <c r="I6239" s="83"/>
      <c r="K6239" s="54" t="s">
        <v>15</v>
      </c>
    </row>
    <row r="6240" spans="2:11" ht="16.5" x14ac:dyDescent="0.2">
      <c r="B6240" s="82" t="s">
        <v>9795</v>
      </c>
      <c r="C6240" s="82" t="s">
        <v>648</v>
      </c>
      <c r="D6240" s="83">
        <f>SUMIFS(D6241:D6462,K6241:K6462,"0",B6241:B6462,"5 1 3 9 8 12 31111 6 M59 91000 000132*")-SUMIFS(E6241:E6462,K6241:K6462,"0",B6241:B6462,"5 1 3 9 8 12 31111 6 M59 91000 000132*")</f>
        <v>0</v>
      </c>
      <c r="E6240" s="54"/>
      <c r="F6240" s="83">
        <f>SUMIFS(F6241:F6462,K6241:K6462,"0",B6241:B6462,"5 1 3 9 8 12 31111 6 M59 91000 000132*")</f>
        <v>19180.39</v>
      </c>
      <c r="G6240" s="83">
        <f>SUMIFS(G6241:G6462,K6241:K6462,"0",B6241:B6462,"5 1 3 9 8 12 31111 6 M59 91000 000132*")</f>
        <v>0</v>
      </c>
      <c r="H6240" s="83">
        <f t="shared" si="97"/>
        <v>19180.39</v>
      </c>
      <c r="I6240" s="83"/>
      <c r="K6240" s="54" t="s">
        <v>15</v>
      </c>
    </row>
    <row r="6241" spans="2:11" ht="24.75" x14ac:dyDescent="0.2">
      <c r="B6241" s="82" t="s">
        <v>9796</v>
      </c>
      <c r="C6241" s="82" t="s">
        <v>650</v>
      </c>
      <c r="D6241" s="83">
        <f>SUMIFS(D6242:D6462,K6242:K6462,"0",B6242:B6462,"5 1 3 9 8 12 31111 6 M59 91000 000132 0000R*")-SUMIFS(E6242:E6462,K6242:K6462,"0",B6242:B6462,"5 1 3 9 8 12 31111 6 M59 91000 000132 0000R*")</f>
        <v>0</v>
      </c>
      <c r="E6241" s="54"/>
      <c r="F6241" s="83">
        <f>SUMIFS(F6242:F6462,K6242:K6462,"0",B6242:B6462,"5 1 3 9 8 12 31111 6 M59 91000 000132 0000R*")</f>
        <v>19180.39</v>
      </c>
      <c r="G6241" s="83">
        <f>SUMIFS(G6242:G6462,K6242:K6462,"0",B6242:B6462,"5 1 3 9 8 12 31111 6 M59 91000 000132 0000R*")</f>
        <v>0</v>
      </c>
      <c r="H6241" s="83">
        <f t="shared" si="97"/>
        <v>19180.39</v>
      </c>
      <c r="I6241" s="83"/>
      <c r="K6241" s="54" t="s">
        <v>15</v>
      </c>
    </row>
    <row r="6242" spans="2:11" ht="24.75" x14ac:dyDescent="0.2">
      <c r="B6242" s="82" t="s">
        <v>9797</v>
      </c>
      <c r="C6242" s="82" t="s">
        <v>282</v>
      </c>
      <c r="D6242" s="83">
        <f>SUMIFS(D6243:D6462,K6243:K6462,"0",B6243:B6462,"5 1 3 9 8 12 31111 6 M59 91000 000132 0000R 00001*")-SUMIFS(E6243:E6462,K6243:K6462,"0",B6243:B6462,"5 1 3 9 8 12 31111 6 M59 91000 000132 0000R 00001*")</f>
        <v>0</v>
      </c>
      <c r="E6242" s="54"/>
      <c r="F6242" s="83">
        <f>SUMIFS(F6243:F6462,K6243:K6462,"0",B6243:B6462,"5 1 3 9 8 12 31111 6 M59 91000 000132 0000R 00001*")</f>
        <v>19180.39</v>
      </c>
      <c r="G6242" s="83">
        <f>SUMIFS(G6243:G6462,K6243:K6462,"0",B6243:B6462,"5 1 3 9 8 12 31111 6 M59 91000 000132 0000R 00001*")</f>
        <v>0</v>
      </c>
      <c r="H6242" s="83">
        <f t="shared" si="97"/>
        <v>19180.39</v>
      </c>
      <c r="I6242" s="83"/>
      <c r="K6242" s="54" t="s">
        <v>15</v>
      </c>
    </row>
    <row r="6243" spans="2:11" ht="24.75" x14ac:dyDescent="0.2">
      <c r="B6243" s="82" t="s">
        <v>9798</v>
      </c>
      <c r="C6243" s="82" t="s">
        <v>9247</v>
      </c>
      <c r="D6243" s="83">
        <f>SUMIFS(D6244:D6462,K6244:K6462,"0",B6244:B6462,"5 1 3 9 8 12 31111 6 M59 91000 000132 0000R 00001 00398*")-SUMIFS(E6244:E6462,K6244:K6462,"0",B6244:B6462,"5 1 3 9 8 12 31111 6 M59 91000 000132 0000R 00001 00398*")</f>
        <v>0</v>
      </c>
      <c r="E6243" s="54"/>
      <c r="F6243" s="83">
        <f>SUMIFS(F6244:F6462,K6244:K6462,"0",B6244:B6462,"5 1 3 9 8 12 31111 6 M59 91000 000132 0000R 00001 00398*")</f>
        <v>19180.39</v>
      </c>
      <c r="G6243" s="83">
        <f>SUMIFS(G6244:G6462,K6244:K6462,"0",B6244:B6462,"5 1 3 9 8 12 31111 6 M59 91000 000132 0000R 00001 00398*")</f>
        <v>0</v>
      </c>
      <c r="H6243" s="83">
        <f t="shared" si="97"/>
        <v>19180.39</v>
      </c>
      <c r="I6243" s="83"/>
      <c r="K6243" s="54" t="s">
        <v>15</v>
      </c>
    </row>
    <row r="6244" spans="2:11" ht="33" x14ac:dyDescent="0.2">
      <c r="B6244" s="82" t="s">
        <v>9799</v>
      </c>
      <c r="C6244" s="82" t="s">
        <v>1051</v>
      </c>
      <c r="D6244" s="83">
        <f>SUMIFS(D6245:D6462,K6245:K6462,"0",B6245:B6462,"5 1 3 9 8 12 31111 6 M59 91000 000132 0000R 00001 00398 015*")-SUMIFS(E6245:E6462,K6245:K6462,"0",B6245:B6462,"5 1 3 9 8 12 31111 6 M59 91000 000132 0000R 00001 00398 015*")</f>
        <v>0</v>
      </c>
      <c r="E6244" s="54"/>
      <c r="F6244" s="83">
        <f>SUMIFS(F6245:F6462,K6245:K6462,"0",B6245:B6462,"5 1 3 9 8 12 31111 6 M59 91000 000132 0000R 00001 00398 015*")</f>
        <v>19180.39</v>
      </c>
      <c r="G6244" s="83">
        <f>SUMIFS(G6245:G6462,K6245:K6462,"0",B6245:B6462,"5 1 3 9 8 12 31111 6 M59 91000 000132 0000R 00001 00398 015*")</f>
        <v>0</v>
      </c>
      <c r="H6244" s="83">
        <f t="shared" si="97"/>
        <v>19180.39</v>
      </c>
      <c r="I6244" s="83"/>
      <c r="K6244" s="54" t="s">
        <v>15</v>
      </c>
    </row>
    <row r="6245" spans="2:11" ht="33" x14ac:dyDescent="0.2">
      <c r="B6245" s="82" t="s">
        <v>9800</v>
      </c>
      <c r="C6245" s="82" t="s">
        <v>8550</v>
      </c>
      <c r="D6245" s="83">
        <f>SUMIFS(D6246:D6462,K6246:K6462,"0",B6246:B6462,"5 1 3 9 8 12 31111 6 M59 91000 000132 0000R 00001 00398 015 2111300*")-SUMIFS(E6246:E6462,K6246:K6462,"0",B6246:B6462,"5 1 3 9 8 12 31111 6 M59 91000 000132 0000R 00001 00398 015 2111300*")</f>
        <v>0</v>
      </c>
      <c r="E6245" s="54"/>
      <c r="F6245" s="83">
        <f>SUMIFS(F6246:F6462,K6246:K6462,"0",B6246:B6462,"5 1 3 9 8 12 31111 6 M59 91000 000132 0000R 00001 00398 015 2111300*")</f>
        <v>19180.39</v>
      </c>
      <c r="G6245" s="83">
        <f>SUMIFS(G6246:G6462,K6246:K6462,"0",B6246:B6462,"5 1 3 9 8 12 31111 6 M59 91000 000132 0000R 00001 00398 015 2111300*")</f>
        <v>0</v>
      </c>
      <c r="H6245" s="83">
        <f t="shared" si="97"/>
        <v>19180.39</v>
      </c>
      <c r="I6245" s="83"/>
      <c r="K6245" s="54" t="s">
        <v>15</v>
      </c>
    </row>
    <row r="6246" spans="2:11" ht="33" x14ac:dyDescent="0.2">
      <c r="B6246" s="82" t="s">
        <v>9801</v>
      </c>
      <c r="C6246" s="82" t="s">
        <v>660</v>
      </c>
      <c r="D6246" s="83">
        <f>SUMIFS(D6247:D6462,K6247:K6462,"0",B6247:B6462,"5 1 3 9 8 12 31111 6 M59 91000 000132 0000R 00001 00398 015 2111300 2024*")-SUMIFS(E6247:E6462,K6247:K6462,"0",B6247:B6462,"5 1 3 9 8 12 31111 6 M59 91000 000132 0000R 00001 00398 015 2111300 2024*")</f>
        <v>0</v>
      </c>
      <c r="E6246" s="54"/>
      <c r="F6246" s="83">
        <f>SUMIFS(F6247:F6462,K6247:K6462,"0",B6247:B6462,"5 1 3 9 8 12 31111 6 M59 91000 000132 0000R 00001 00398 015 2111300 2024*")</f>
        <v>19180.39</v>
      </c>
      <c r="G6246" s="83">
        <f>SUMIFS(G6247:G6462,K6247:K6462,"0",B6247:B6462,"5 1 3 9 8 12 31111 6 M59 91000 000132 0000R 00001 00398 015 2111300 2024*")</f>
        <v>0</v>
      </c>
      <c r="H6246" s="83">
        <f t="shared" si="97"/>
        <v>19180.39</v>
      </c>
      <c r="I6246" s="83"/>
      <c r="K6246" s="54" t="s">
        <v>15</v>
      </c>
    </row>
    <row r="6247" spans="2:11" ht="41.25" x14ac:dyDescent="0.2">
      <c r="B6247" s="82" t="s">
        <v>9802</v>
      </c>
      <c r="C6247" s="82" t="s">
        <v>1056</v>
      </c>
      <c r="D6247" s="83">
        <f>SUMIFS(D6248:D6462,K6248:K6462,"0",B6248:B6462,"5 1 3 9 8 12 31111 6 M59 91000 000132 0000R 00001 00398 015 2111300 2024 CP1RE398*")-SUMIFS(E6248:E6462,K6248:K6462,"0",B6248:B6462,"5 1 3 9 8 12 31111 6 M59 91000 000132 0000R 00001 00398 015 2111300 2024 CP1RE398*")</f>
        <v>0</v>
      </c>
      <c r="E6247" s="54"/>
      <c r="F6247" s="83">
        <f>SUMIFS(F6248:F6462,K6248:K6462,"0",B6248:B6462,"5 1 3 9 8 12 31111 6 M59 91000 000132 0000R 00001 00398 015 2111300 2024 CP1RE398*")</f>
        <v>19180.39</v>
      </c>
      <c r="G6247" s="83">
        <f>SUMIFS(G6248:G6462,K6248:K6462,"0",B6248:B6462,"5 1 3 9 8 12 31111 6 M59 91000 000132 0000R 00001 00398 015 2111300 2024 CP1RE398*")</f>
        <v>0</v>
      </c>
      <c r="H6247" s="83">
        <f t="shared" si="97"/>
        <v>19180.39</v>
      </c>
      <c r="I6247" s="83"/>
      <c r="K6247" s="54" t="s">
        <v>15</v>
      </c>
    </row>
    <row r="6248" spans="2:11" ht="41.25" x14ac:dyDescent="0.2">
      <c r="B6248" s="82" t="s">
        <v>9803</v>
      </c>
      <c r="C6248" s="82" t="s">
        <v>282</v>
      </c>
      <c r="D6248" s="83">
        <f>SUMIFS(D6249:D6462,K6249:K6462,"0",B6249:B6462,"5 1 3 9 8 12 31111 6 M59 91000 000132 0000R 00001 00398 015 2111300 2024 CP1RE398 001*")-SUMIFS(E6249:E6462,K6249:K6462,"0",B6249:B6462,"5 1 3 9 8 12 31111 6 M59 91000 000132 0000R 00001 00398 015 2111300 2024 CP1RE398 001*")</f>
        <v>0</v>
      </c>
      <c r="E6248" s="54"/>
      <c r="F6248" s="83">
        <f>SUMIFS(F6249:F6462,K6249:K6462,"0",B6249:B6462,"5 1 3 9 8 12 31111 6 M59 91000 000132 0000R 00001 00398 015 2111300 2024 CP1RE398 001*")</f>
        <v>19180.39</v>
      </c>
      <c r="G6248" s="83">
        <f>SUMIFS(G6249:G6462,K6249:K6462,"0",B6249:B6462,"5 1 3 9 8 12 31111 6 M59 91000 000132 0000R 00001 00398 015 2111300 2024 CP1RE398 001*")</f>
        <v>0</v>
      </c>
      <c r="H6248" s="83">
        <f t="shared" si="97"/>
        <v>19180.39</v>
      </c>
      <c r="I6248" s="83"/>
      <c r="K6248" s="54" t="s">
        <v>15</v>
      </c>
    </row>
    <row r="6249" spans="2:11" ht="33" x14ac:dyDescent="0.2">
      <c r="B6249" s="84" t="s">
        <v>9804</v>
      </c>
      <c r="C6249" s="84" t="s">
        <v>9254</v>
      </c>
      <c r="D6249" s="85">
        <v>0</v>
      </c>
      <c r="E6249" s="85"/>
      <c r="F6249" s="85">
        <v>19180.39</v>
      </c>
      <c r="G6249" s="85">
        <v>0</v>
      </c>
      <c r="H6249" s="85">
        <f t="shared" si="97"/>
        <v>19180.39</v>
      </c>
      <c r="I6249" s="85"/>
      <c r="K6249" s="54" t="s">
        <v>38</v>
      </c>
    </row>
    <row r="6250" spans="2:11" ht="16.5" x14ac:dyDescent="0.2">
      <c r="B6250" s="82" t="s">
        <v>9805</v>
      </c>
      <c r="C6250" s="82" t="s">
        <v>3620</v>
      </c>
      <c r="D6250" s="83">
        <f>SUMIFS(D6251:D6462,K6251:K6462,"0",B6251:B6462,"5 1 3 9 8 12 31111 6 M59 92000*")-SUMIFS(E6251:E6462,K6251:K6462,"0",B6251:B6462,"5 1 3 9 8 12 31111 6 M59 92000*")</f>
        <v>0</v>
      </c>
      <c r="E6250" s="54"/>
      <c r="F6250" s="83">
        <f>SUMIFS(F6251:F6462,K6251:K6462,"0",B6251:B6462,"5 1 3 9 8 12 31111 6 M59 92000*")</f>
        <v>24444.1</v>
      </c>
      <c r="G6250" s="83">
        <f>SUMIFS(G6251:G6462,K6251:K6462,"0",B6251:B6462,"5 1 3 9 8 12 31111 6 M59 92000*")</f>
        <v>0</v>
      </c>
      <c r="H6250" s="83">
        <f t="shared" si="97"/>
        <v>24444.1</v>
      </c>
      <c r="I6250" s="83"/>
      <c r="K6250" s="54" t="s">
        <v>15</v>
      </c>
    </row>
    <row r="6251" spans="2:11" ht="24.75" x14ac:dyDescent="0.2">
      <c r="B6251" s="82" t="s">
        <v>9806</v>
      </c>
      <c r="C6251" s="82" t="s">
        <v>3152</v>
      </c>
      <c r="D6251" s="83">
        <f>SUMIFS(D6252:D6462,K6252:K6462,"0",B6252:B6462,"5 1 3 9 8 12 31111 6 M59 92000 000181*")-SUMIFS(E6252:E6462,K6252:K6462,"0",B6252:B6462,"5 1 3 9 8 12 31111 6 M59 92000 000181*")</f>
        <v>0</v>
      </c>
      <c r="E6251" s="54"/>
      <c r="F6251" s="83">
        <f>SUMIFS(F6252:F6462,K6252:K6462,"0",B6252:B6462,"5 1 3 9 8 12 31111 6 M59 92000 000181*")</f>
        <v>24444.1</v>
      </c>
      <c r="G6251" s="83">
        <f>SUMIFS(G6252:G6462,K6252:K6462,"0",B6252:B6462,"5 1 3 9 8 12 31111 6 M59 92000 000181*")</f>
        <v>0</v>
      </c>
      <c r="H6251" s="83">
        <f t="shared" ref="H6251:H6314" si="98">D6251 + F6251 - G6251</f>
        <v>24444.1</v>
      </c>
      <c r="I6251" s="83"/>
      <c r="K6251" s="54" t="s">
        <v>15</v>
      </c>
    </row>
    <row r="6252" spans="2:11" ht="24.75" x14ac:dyDescent="0.2">
      <c r="B6252" s="82" t="s">
        <v>9807</v>
      </c>
      <c r="C6252" s="82" t="s">
        <v>1065</v>
      </c>
      <c r="D6252" s="83">
        <f>SUMIFS(D6253:D6462,K6253:K6462,"0",B6253:B6462,"5 1 3 9 8 12 31111 6 M59 92000 000181 0000E*")-SUMIFS(E6253:E6462,K6253:K6462,"0",B6253:B6462,"5 1 3 9 8 12 31111 6 M59 92000 000181 0000E*")</f>
        <v>0</v>
      </c>
      <c r="E6252" s="54"/>
      <c r="F6252" s="83">
        <f>SUMIFS(F6253:F6462,K6253:K6462,"0",B6253:B6462,"5 1 3 9 8 12 31111 6 M59 92000 000181 0000E*")</f>
        <v>24444.1</v>
      </c>
      <c r="G6252" s="83">
        <f>SUMIFS(G6253:G6462,K6253:K6462,"0",B6253:B6462,"5 1 3 9 8 12 31111 6 M59 92000 000181 0000E*")</f>
        <v>0</v>
      </c>
      <c r="H6252" s="83">
        <f t="shared" si="98"/>
        <v>24444.1</v>
      </c>
      <c r="I6252" s="83"/>
      <c r="K6252" s="54" t="s">
        <v>15</v>
      </c>
    </row>
    <row r="6253" spans="2:11" ht="24.75" x14ac:dyDescent="0.2">
      <c r="B6253" s="82" t="s">
        <v>9808</v>
      </c>
      <c r="C6253" s="82" t="s">
        <v>282</v>
      </c>
      <c r="D6253" s="83">
        <f>SUMIFS(D6254:D6462,K6254:K6462,"0",B6254:B6462,"5 1 3 9 8 12 31111 6 M59 92000 000181 0000E 00001*")-SUMIFS(E6254:E6462,K6254:K6462,"0",B6254:B6462,"5 1 3 9 8 12 31111 6 M59 92000 000181 0000E 00001*")</f>
        <v>0</v>
      </c>
      <c r="E6253" s="54"/>
      <c r="F6253" s="83">
        <f>SUMIFS(F6254:F6462,K6254:K6462,"0",B6254:B6462,"5 1 3 9 8 12 31111 6 M59 92000 000181 0000E 00001*")</f>
        <v>24444.1</v>
      </c>
      <c r="G6253" s="83">
        <f>SUMIFS(G6254:G6462,K6254:K6462,"0",B6254:B6462,"5 1 3 9 8 12 31111 6 M59 92000 000181 0000E 00001*")</f>
        <v>0</v>
      </c>
      <c r="H6253" s="83">
        <f t="shared" si="98"/>
        <v>24444.1</v>
      </c>
      <c r="I6253" s="83"/>
      <c r="K6253" s="54" t="s">
        <v>15</v>
      </c>
    </row>
    <row r="6254" spans="2:11" ht="24.75" x14ac:dyDescent="0.2">
      <c r="B6254" s="82" t="s">
        <v>9809</v>
      </c>
      <c r="C6254" s="82" t="s">
        <v>9247</v>
      </c>
      <c r="D6254" s="83">
        <f>SUMIFS(D6255:D6462,K6255:K6462,"0",B6255:B6462,"5 1 3 9 8 12 31111 6 M59 92000 000181 0000E 00001 00398*")-SUMIFS(E6255:E6462,K6255:K6462,"0",B6255:B6462,"5 1 3 9 8 12 31111 6 M59 92000 000181 0000E 00001 00398*")</f>
        <v>0</v>
      </c>
      <c r="E6254" s="54"/>
      <c r="F6254" s="83">
        <f>SUMIFS(F6255:F6462,K6255:K6462,"0",B6255:B6462,"5 1 3 9 8 12 31111 6 M59 92000 000181 0000E 00001 00398*")</f>
        <v>24444.1</v>
      </c>
      <c r="G6254" s="83">
        <f>SUMIFS(G6255:G6462,K6255:K6462,"0",B6255:B6462,"5 1 3 9 8 12 31111 6 M59 92000 000181 0000E 00001 00398*")</f>
        <v>0</v>
      </c>
      <c r="H6254" s="83">
        <f t="shared" si="98"/>
        <v>24444.1</v>
      </c>
      <c r="I6254" s="83"/>
      <c r="K6254" s="54" t="s">
        <v>15</v>
      </c>
    </row>
    <row r="6255" spans="2:11" ht="33" x14ac:dyDescent="0.2">
      <c r="B6255" s="82" t="s">
        <v>9810</v>
      </c>
      <c r="C6255" s="82" t="s">
        <v>1051</v>
      </c>
      <c r="D6255" s="83">
        <f>SUMIFS(D6256:D6462,K6256:K6462,"0",B6256:B6462,"5 1 3 9 8 12 31111 6 M59 92000 000181 0000E 00001 00398 015*")-SUMIFS(E6256:E6462,K6256:K6462,"0",B6256:B6462,"5 1 3 9 8 12 31111 6 M59 92000 000181 0000E 00001 00398 015*")</f>
        <v>0</v>
      </c>
      <c r="E6255" s="54"/>
      <c r="F6255" s="83">
        <f>SUMIFS(F6256:F6462,K6256:K6462,"0",B6256:B6462,"5 1 3 9 8 12 31111 6 M59 92000 000181 0000E 00001 00398 015*")</f>
        <v>24444.1</v>
      </c>
      <c r="G6255" s="83">
        <f>SUMIFS(G6256:G6462,K6256:K6462,"0",B6256:B6462,"5 1 3 9 8 12 31111 6 M59 92000 000181 0000E 00001 00398 015*")</f>
        <v>0</v>
      </c>
      <c r="H6255" s="83">
        <f t="shared" si="98"/>
        <v>24444.1</v>
      </c>
      <c r="I6255" s="83"/>
      <c r="K6255" s="54" t="s">
        <v>15</v>
      </c>
    </row>
    <row r="6256" spans="2:11" ht="33" x14ac:dyDescent="0.2">
      <c r="B6256" s="82" t="s">
        <v>9811</v>
      </c>
      <c r="C6256" s="82" t="s">
        <v>8550</v>
      </c>
      <c r="D6256" s="83">
        <f>SUMIFS(D6257:D6462,K6257:K6462,"0",B6257:B6462,"5 1 3 9 8 12 31111 6 M59 92000 000181 0000E 00001 00398 015 2111300*")-SUMIFS(E6257:E6462,K6257:K6462,"0",B6257:B6462,"5 1 3 9 8 12 31111 6 M59 92000 000181 0000E 00001 00398 015 2111300*")</f>
        <v>0</v>
      </c>
      <c r="E6256" s="54"/>
      <c r="F6256" s="83">
        <f>SUMIFS(F6257:F6462,K6257:K6462,"0",B6257:B6462,"5 1 3 9 8 12 31111 6 M59 92000 000181 0000E 00001 00398 015 2111300*")</f>
        <v>24444.1</v>
      </c>
      <c r="G6256" s="83">
        <f>SUMIFS(G6257:G6462,K6257:K6462,"0",B6257:B6462,"5 1 3 9 8 12 31111 6 M59 92000 000181 0000E 00001 00398 015 2111300*")</f>
        <v>0</v>
      </c>
      <c r="H6256" s="83">
        <f t="shared" si="98"/>
        <v>24444.1</v>
      </c>
      <c r="I6256" s="83"/>
      <c r="K6256" s="54" t="s">
        <v>15</v>
      </c>
    </row>
    <row r="6257" spans="2:11" ht="33" x14ac:dyDescent="0.2">
      <c r="B6257" s="82" t="s">
        <v>9812</v>
      </c>
      <c r="C6257" s="82" t="s">
        <v>660</v>
      </c>
      <c r="D6257" s="83">
        <f>SUMIFS(D6258:D6462,K6258:K6462,"0",B6258:B6462,"5 1 3 9 8 12 31111 6 M59 92000 000181 0000E 00001 00398 015 2111300 2024*")-SUMIFS(E6258:E6462,K6258:K6462,"0",B6258:B6462,"5 1 3 9 8 12 31111 6 M59 92000 000181 0000E 00001 00398 015 2111300 2024*")</f>
        <v>0</v>
      </c>
      <c r="E6257" s="54"/>
      <c r="F6257" s="83">
        <f>SUMIFS(F6258:F6462,K6258:K6462,"0",B6258:B6462,"5 1 3 9 8 12 31111 6 M59 92000 000181 0000E 00001 00398 015 2111300 2024*")</f>
        <v>24444.1</v>
      </c>
      <c r="G6257" s="83">
        <f>SUMIFS(G6258:G6462,K6258:K6462,"0",B6258:B6462,"5 1 3 9 8 12 31111 6 M59 92000 000181 0000E 00001 00398 015 2111300 2024*")</f>
        <v>0</v>
      </c>
      <c r="H6257" s="83">
        <f t="shared" si="98"/>
        <v>24444.1</v>
      </c>
      <c r="I6257" s="83"/>
      <c r="K6257" s="54" t="s">
        <v>15</v>
      </c>
    </row>
    <row r="6258" spans="2:11" ht="41.25" x14ac:dyDescent="0.2">
      <c r="B6258" s="82" t="s">
        <v>9813</v>
      </c>
      <c r="C6258" s="82" t="s">
        <v>1056</v>
      </c>
      <c r="D6258" s="83">
        <f>SUMIFS(D6259:D6462,K6259:K6462,"0",B6259:B6462,"5 1 3 9 8 12 31111 6 M59 92000 000181 0000E 00001 00398 015 2111300 2024 CP1RC399*")-SUMIFS(E6259:E6462,K6259:K6462,"0",B6259:B6462,"5 1 3 9 8 12 31111 6 M59 92000 000181 0000E 00001 00398 015 2111300 2024 CP1RC399*")</f>
        <v>0</v>
      </c>
      <c r="E6258" s="54"/>
      <c r="F6258" s="83">
        <f>SUMIFS(F6259:F6462,K6259:K6462,"0",B6259:B6462,"5 1 3 9 8 12 31111 6 M59 92000 000181 0000E 00001 00398 015 2111300 2024 CP1RC399*")</f>
        <v>24444.1</v>
      </c>
      <c r="G6258" s="83">
        <f>SUMIFS(G6259:G6462,K6259:K6462,"0",B6259:B6462,"5 1 3 9 8 12 31111 6 M59 92000 000181 0000E 00001 00398 015 2111300 2024 CP1RC399*")</f>
        <v>0</v>
      </c>
      <c r="H6258" s="83">
        <f t="shared" si="98"/>
        <v>24444.1</v>
      </c>
      <c r="I6258" s="83"/>
      <c r="K6258" s="54" t="s">
        <v>15</v>
      </c>
    </row>
    <row r="6259" spans="2:11" ht="41.25" x14ac:dyDescent="0.2">
      <c r="B6259" s="82" t="s">
        <v>9814</v>
      </c>
      <c r="C6259" s="82" t="s">
        <v>282</v>
      </c>
      <c r="D6259" s="83">
        <f>SUMIFS(D6260:D6462,K6260:K6462,"0",B6260:B6462,"5 1 3 9 8 12 31111 6 M59 92000 000181 0000E 00001 00398 015 2111300 2024 CP1RC399 001*")-SUMIFS(E6260:E6462,K6260:K6462,"0",B6260:B6462,"5 1 3 9 8 12 31111 6 M59 92000 000181 0000E 00001 00398 015 2111300 2024 CP1RC399 001*")</f>
        <v>0</v>
      </c>
      <c r="E6259" s="54"/>
      <c r="F6259" s="83">
        <f>SUMIFS(F6260:F6462,K6260:K6462,"0",B6260:B6462,"5 1 3 9 8 12 31111 6 M59 92000 000181 0000E 00001 00398 015 2111300 2024 CP1RC399 001*")</f>
        <v>24444.1</v>
      </c>
      <c r="G6259" s="83">
        <f>SUMIFS(G6260:G6462,K6260:K6462,"0",B6260:B6462,"5 1 3 9 8 12 31111 6 M59 92000 000181 0000E 00001 00398 015 2111300 2024 CP1RC399 001*")</f>
        <v>0</v>
      </c>
      <c r="H6259" s="83">
        <f t="shared" si="98"/>
        <v>24444.1</v>
      </c>
      <c r="I6259" s="83"/>
      <c r="K6259" s="54" t="s">
        <v>15</v>
      </c>
    </row>
    <row r="6260" spans="2:11" ht="33" x14ac:dyDescent="0.2">
      <c r="B6260" s="84" t="s">
        <v>9815</v>
      </c>
      <c r="C6260" s="84" t="s">
        <v>9254</v>
      </c>
      <c r="D6260" s="85">
        <v>0</v>
      </c>
      <c r="E6260" s="85"/>
      <c r="F6260" s="85">
        <v>24444.1</v>
      </c>
      <c r="G6260" s="85">
        <v>0</v>
      </c>
      <c r="H6260" s="85">
        <f t="shared" si="98"/>
        <v>24444.1</v>
      </c>
      <c r="I6260" s="85"/>
      <c r="K6260" s="54" t="s">
        <v>38</v>
      </c>
    </row>
    <row r="6261" spans="2:11" ht="24.75" x14ac:dyDescent="0.2">
      <c r="B6261" s="82" t="s">
        <v>9816</v>
      </c>
      <c r="C6261" s="82" t="s">
        <v>3632</v>
      </c>
      <c r="D6261" s="83">
        <f>SUMIFS(D6262:D6462,K6262:K6462,"0",B6262:B6462,"5 1 3 9 8 12 31111 6 M59 93000*")-SUMIFS(E6262:E6462,K6262:K6462,"0",B6262:B6462,"5 1 3 9 8 12 31111 6 M59 93000*")</f>
        <v>0</v>
      </c>
      <c r="E6261" s="54"/>
      <c r="F6261" s="83">
        <f>SUMIFS(F6262:F6462,K6262:K6462,"0",B6262:B6462,"5 1 3 9 8 12 31111 6 M59 93000*")</f>
        <v>5498.13</v>
      </c>
      <c r="G6261" s="83">
        <f>SUMIFS(G6262:G6462,K6262:K6462,"0",B6262:B6462,"5 1 3 9 8 12 31111 6 M59 93000*")</f>
        <v>0</v>
      </c>
      <c r="H6261" s="83">
        <f t="shared" si="98"/>
        <v>5498.13</v>
      </c>
      <c r="I6261" s="83"/>
      <c r="K6261" s="54" t="s">
        <v>15</v>
      </c>
    </row>
    <row r="6262" spans="2:11" ht="16.5" x14ac:dyDescent="0.2">
      <c r="B6262" s="82" t="s">
        <v>9817</v>
      </c>
      <c r="C6262" s="82" t="s">
        <v>648</v>
      </c>
      <c r="D6262" s="83">
        <f>SUMIFS(D6263:D6462,K6263:K6462,"0",B6263:B6462,"5 1 3 9 8 12 31111 6 M59 93000 000132*")-SUMIFS(E6263:E6462,K6263:K6462,"0",B6263:B6462,"5 1 3 9 8 12 31111 6 M59 93000 000132*")</f>
        <v>0</v>
      </c>
      <c r="E6262" s="54"/>
      <c r="F6262" s="83">
        <f>SUMIFS(F6263:F6462,K6263:K6462,"0",B6263:B6462,"5 1 3 9 8 12 31111 6 M59 93000 000132*")</f>
        <v>5498.13</v>
      </c>
      <c r="G6262" s="83">
        <f>SUMIFS(G6263:G6462,K6263:K6462,"0",B6263:B6462,"5 1 3 9 8 12 31111 6 M59 93000 000132*")</f>
        <v>0</v>
      </c>
      <c r="H6262" s="83">
        <f t="shared" si="98"/>
        <v>5498.13</v>
      </c>
      <c r="I6262" s="83"/>
      <c r="K6262" s="54" t="s">
        <v>15</v>
      </c>
    </row>
    <row r="6263" spans="2:11" ht="24.75" x14ac:dyDescent="0.2">
      <c r="B6263" s="82" t="s">
        <v>9818</v>
      </c>
      <c r="C6263" s="82" t="s">
        <v>650</v>
      </c>
      <c r="D6263" s="83">
        <f>SUMIFS(D6264:D6462,K6264:K6462,"0",B6264:B6462,"5 1 3 9 8 12 31111 6 M59 93000 000132 0000R*")-SUMIFS(E6264:E6462,K6264:K6462,"0",B6264:B6462,"5 1 3 9 8 12 31111 6 M59 93000 000132 0000R*")</f>
        <v>0</v>
      </c>
      <c r="E6263" s="54"/>
      <c r="F6263" s="83">
        <f>SUMIFS(F6264:F6462,K6264:K6462,"0",B6264:B6462,"5 1 3 9 8 12 31111 6 M59 93000 000132 0000R*")</f>
        <v>5498.13</v>
      </c>
      <c r="G6263" s="83">
        <f>SUMIFS(G6264:G6462,K6264:K6462,"0",B6264:B6462,"5 1 3 9 8 12 31111 6 M59 93000 000132 0000R*")</f>
        <v>0</v>
      </c>
      <c r="H6263" s="83">
        <f t="shared" si="98"/>
        <v>5498.13</v>
      </c>
      <c r="I6263" s="83"/>
      <c r="K6263" s="54" t="s">
        <v>15</v>
      </c>
    </row>
    <row r="6264" spans="2:11" ht="24.75" x14ac:dyDescent="0.2">
      <c r="B6264" s="82" t="s">
        <v>9819</v>
      </c>
      <c r="C6264" s="82" t="s">
        <v>282</v>
      </c>
      <c r="D6264" s="83">
        <f>SUMIFS(D6265:D6462,K6265:K6462,"0",B6265:B6462,"5 1 3 9 8 12 31111 6 M59 93000 000132 0000R 00001*")-SUMIFS(E6265:E6462,K6265:K6462,"0",B6265:B6462,"5 1 3 9 8 12 31111 6 M59 93000 000132 0000R 00001*")</f>
        <v>0</v>
      </c>
      <c r="E6264" s="54"/>
      <c r="F6264" s="83">
        <f>SUMIFS(F6265:F6462,K6265:K6462,"0",B6265:B6462,"5 1 3 9 8 12 31111 6 M59 93000 000132 0000R 00001*")</f>
        <v>5498.13</v>
      </c>
      <c r="G6264" s="83">
        <f>SUMIFS(G6265:G6462,K6265:K6462,"0",B6265:B6462,"5 1 3 9 8 12 31111 6 M59 93000 000132 0000R 00001*")</f>
        <v>0</v>
      </c>
      <c r="H6264" s="83">
        <f t="shared" si="98"/>
        <v>5498.13</v>
      </c>
      <c r="I6264" s="83"/>
      <c r="K6264" s="54" t="s">
        <v>15</v>
      </c>
    </row>
    <row r="6265" spans="2:11" ht="24.75" x14ac:dyDescent="0.2">
      <c r="B6265" s="82" t="s">
        <v>9820</v>
      </c>
      <c r="C6265" s="82" t="s">
        <v>9247</v>
      </c>
      <c r="D6265" s="83">
        <f>SUMIFS(D6266:D6462,K6266:K6462,"0",B6266:B6462,"5 1 3 9 8 12 31111 6 M59 93000 000132 0000R 00001 00398*")-SUMIFS(E6266:E6462,K6266:K6462,"0",B6266:B6462,"5 1 3 9 8 12 31111 6 M59 93000 000132 0000R 00001 00398*")</f>
        <v>0</v>
      </c>
      <c r="E6265" s="54"/>
      <c r="F6265" s="83">
        <f>SUMIFS(F6266:F6462,K6266:K6462,"0",B6266:B6462,"5 1 3 9 8 12 31111 6 M59 93000 000132 0000R 00001 00398*")</f>
        <v>5498.13</v>
      </c>
      <c r="G6265" s="83">
        <f>SUMIFS(G6266:G6462,K6266:K6462,"0",B6266:B6462,"5 1 3 9 8 12 31111 6 M59 93000 000132 0000R 00001 00398*")</f>
        <v>0</v>
      </c>
      <c r="H6265" s="83">
        <f t="shared" si="98"/>
        <v>5498.13</v>
      </c>
      <c r="I6265" s="83"/>
      <c r="K6265" s="54" t="s">
        <v>15</v>
      </c>
    </row>
    <row r="6266" spans="2:11" ht="33" x14ac:dyDescent="0.2">
      <c r="B6266" s="82" t="s">
        <v>9821</v>
      </c>
      <c r="C6266" s="82" t="s">
        <v>1051</v>
      </c>
      <c r="D6266" s="83">
        <f>SUMIFS(D6267:D6462,K6267:K6462,"0",B6267:B6462,"5 1 3 9 8 12 31111 6 M59 93000 000132 0000R 00001 00398 015*")-SUMIFS(E6267:E6462,K6267:K6462,"0",B6267:B6462,"5 1 3 9 8 12 31111 6 M59 93000 000132 0000R 00001 00398 015*")</f>
        <v>0</v>
      </c>
      <c r="E6266" s="54"/>
      <c r="F6266" s="83">
        <f>SUMIFS(F6267:F6462,K6267:K6462,"0",B6267:B6462,"5 1 3 9 8 12 31111 6 M59 93000 000132 0000R 00001 00398 015*")</f>
        <v>5498.13</v>
      </c>
      <c r="G6266" s="83">
        <f>SUMIFS(G6267:G6462,K6267:K6462,"0",B6267:B6462,"5 1 3 9 8 12 31111 6 M59 93000 000132 0000R 00001 00398 015*")</f>
        <v>0</v>
      </c>
      <c r="H6266" s="83">
        <f t="shared" si="98"/>
        <v>5498.13</v>
      </c>
      <c r="I6266" s="83"/>
      <c r="K6266" s="54" t="s">
        <v>15</v>
      </c>
    </row>
    <row r="6267" spans="2:11" ht="33" x14ac:dyDescent="0.2">
      <c r="B6267" s="82" t="s">
        <v>9822</v>
      </c>
      <c r="C6267" s="82" t="s">
        <v>8550</v>
      </c>
      <c r="D6267" s="83">
        <f>SUMIFS(D6268:D6462,K6268:K6462,"0",B6268:B6462,"5 1 3 9 8 12 31111 6 M59 93000 000132 0000R 00001 00398 015 2111300*")-SUMIFS(E6268:E6462,K6268:K6462,"0",B6268:B6462,"5 1 3 9 8 12 31111 6 M59 93000 000132 0000R 00001 00398 015 2111300*")</f>
        <v>0</v>
      </c>
      <c r="E6267" s="54"/>
      <c r="F6267" s="83">
        <f>SUMIFS(F6268:F6462,K6268:K6462,"0",B6268:B6462,"5 1 3 9 8 12 31111 6 M59 93000 000132 0000R 00001 00398 015 2111300*")</f>
        <v>5498.13</v>
      </c>
      <c r="G6267" s="83">
        <f>SUMIFS(G6268:G6462,K6268:K6462,"0",B6268:B6462,"5 1 3 9 8 12 31111 6 M59 93000 000132 0000R 00001 00398 015 2111300*")</f>
        <v>0</v>
      </c>
      <c r="H6267" s="83">
        <f t="shared" si="98"/>
        <v>5498.13</v>
      </c>
      <c r="I6267" s="83"/>
      <c r="K6267" s="54" t="s">
        <v>15</v>
      </c>
    </row>
    <row r="6268" spans="2:11" ht="33" x14ac:dyDescent="0.2">
      <c r="B6268" s="82" t="s">
        <v>9823</v>
      </c>
      <c r="C6268" s="82" t="s">
        <v>660</v>
      </c>
      <c r="D6268" s="83">
        <f>SUMIFS(D6269:D6462,K6269:K6462,"0",B6269:B6462,"5 1 3 9 8 12 31111 6 M59 93000 000132 0000R 00001 00398 015 2111300 2024*")-SUMIFS(E6269:E6462,K6269:K6462,"0",B6269:B6462,"5 1 3 9 8 12 31111 6 M59 93000 000132 0000R 00001 00398 015 2111300 2024*")</f>
        <v>0</v>
      </c>
      <c r="E6268" s="54"/>
      <c r="F6268" s="83">
        <f>SUMIFS(F6269:F6462,K6269:K6462,"0",B6269:B6462,"5 1 3 9 8 12 31111 6 M59 93000 000132 0000R 00001 00398 015 2111300 2024*")</f>
        <v>5498.13</v>
      </c>
      <c r="G6268" s="83">
        <f>SUMIFS(G6269:G6462,K6269:K6462,"0",B6269:B6462,"5 1 3 9 8 12 31111 6 M59 93000 000132 0000R 00001 00398 015 2111300 2024*")</f>
        <v>0</v>
      </c>
      <c r="H6268" s="83">
        <f t="shared" si="98"/>
        <v>5498.13</v>
      </c>
      <c r="I6268" s="83"/>
      <c r="K6268" s="54" t="s">
        <v>15</v>
      </c>
    </row>
    <row r="6269" spans="2:11" ht="41.25" x14ac:dyDescent="0.2">
      <c r="B6269" s="82" t="s">
        <v>9824</v>
      </c>
      <c r="C6269" s="82" t="s">
        <v>1056</v>
      </c>
      <c r="D6269" s="83">
        <f>SUMIFS(D6270:D6462,K6270:K6462,"0",B6270:B6462,"5 1 3 9 8 12 31111 6 M59 93000 000132 0000R 00001 00398 015 2111300 2024 CP1RS429*")-SUMIFS(E6270:E6462,K6270:K6462,"0",B6270:B6462,"5 1 3 9 8 12 31111 6 M59 93000 000132 0000R 00001 00398 015 2111300 2024 CP1RS429*")</f>
        <v>0</v>
      </c>
      <c r="E6269" s="54"/>
      <c r="F6269" s="83">
        <f>SUMIFS(F6270:F6462,K6270:K6462,"0",B6270:B6462,"5 1 3 9 8 12 31111 6 M59 93000 000132 0000R 00001 00398 015 2111300 2024 CP1RS429*")</f>
        <v>5498.13</v>
      </c>
      <c r="G6269" s="83">
        <f>SUMIFS(G6270:G6462,K6270:K6462,"0",B6270:B6462,"5 1 3 9 8 12 31111 6 M59 93000 000132 0000R 00001 00398 015 2111300 2024 CP1RS429*")</f>
        <v>0</v>
      </c>
      <c r="H6269" s="83">
        <f t="shared" si="98"/>
        <v>5498.13</v>
      </c>
      <c r="I6269" s="83"/>
      <c r="K6269" s="54" t="s">
        <v>15</v>
      </c>
    </row>
    <row r="6270" spans="2:11" ht="41.25" x14ac:dyDescent="0.2">
      <c r="B6270" s="82" t="s">
        <v>9825</v>
      </c>
      <c r="C6270" s="82" t="s">
        <v>282</v>
      </c>
      <c r="D6270" s="83">
        <f>SUMIFS(D6271:D6462,K6271:K6462,"0",B6271:B6462,"5 1 3 9 8 12 31111 6 M59 93000 000132 0000R 00001 00398 015 2111300 2024 CP1RS429 001*")-SUMIFS(E6271:E6462,K6271:K6462,"0",B6271:B6462,"5 1 3 9 8 12 31111 6 M59 93000 000132 0000R 00001 00398 015 2111300 2024 CP1RS429 001*")</f>
        <v>0</v>
      </c>
      <c r="E6270" s="54"/>
      <c r="F6270" s="83">
        <f>SUMIFS(F6271:F6462,K6271:K6462,"0",B6271:B6462,"5 1 3 9 8 12 31111 6 M59 93000 000132 0000R 00001 00398 015 2111300 2024 CP1RS429 001*")</f>
        <v>5498.13</v>
      </c>
      <c r="G6270" s="83">
        <f>SUMIFS(G6271:G6462,K6271:K6462,"0",B6271:B6462,"5 1 3 9 8 12 31111 6 M59 93000 000132 0000R 00001 00398 015 2111300 2024 CP1RS429 001*")</f>
        <v>0</v>
      </c>
      <c r="H6270" s="83">
        <f t="shared" si="98"/>
        <v>5498.13</v>
      </c>
      <c r="I6270" s="83"/>
      <c r="K6270" s="54" t="s">
        <v>15</v>
      </c>
    </row>
    <row r="6271" spans="2:11" ht="41.25" x14ac:dyDescent="0.2">
      <c r="B6271" s="84" t="s">
        <v>9826</v>
      </c>
      <c r="C6271" s="84" t="s">
        <v>9254</v>
      </c>
      <c r="D6271" s="85">
        <v>0</v>
      </c>
      <c r="E6271" s="85"/>
      <c r="F6271" s="85">
        <v>5498.13</v>
      </c>
      <c r="G6271" s="85">
        <v>0</v>
      </c>
      <c r="H6271" s="85">
        <f t="shared" si="98"/>
        <v>5498.13</v>
      </c>
      <c r="I6271" s="85"/>
      <c r="K6271" s="54" t="s">
        <v>38</v>
      </c>
    </row>
    <row r="6272" spans="2:11" ht="16.5" x14ac:dyDescent="0.2">
      <c r="B6272" s="82" t="s">
        <v>9827</v>
      </c>
      <c r="C6272" s="82" t="s">
        <v>3644</v>
      </c>
      <c r="D6272" s="83">
        <f>SUMIFS(D6273:D6462,K6273:K6462,"0",B6273:B6462,"5 1 3 9 8 12 31111 6 M59 94000*")-SUMIFS(E6273:E6462,K6273:K6462,"0",B6273:B6462,"5 1 3 9 8 12 31111 6 M59 94000*")</f>
        <v>0</v>
      </c>
      <c r="E6272" s="54"/>
      <c r="F6272" s="83">
        <f>SUMIFS(F6273:F6462,K6273:K6462,"0",B6273:B6462,"5 1 3 9 8 12 31111 6 M59 94000*")</f>
        <v>19614.78</v>
      </c>
      <c r="G6272" s="83">
        <f>SUMIFS(G6273:G6462,K6273:K6462,"0",B6273:B6462,"5 1 3 9 8 12 31111 6 M59 94000*")</f>
        <v>0</v>
      </c>
      <c r="H6272" s="83">
        <f t="shared" si="98"/>
        <v>19614.78</v>
      </c>
      <c r="I6272" s="83"/>
      <c r="K6272" s="54" t="s">
        <v>15</v>
      </c>
    </row>
    <row r="6273" spans="2:11" ht="24.75" x14ac:dyDescent="0.2">
      <c r="B6273" s="82" t="s">
        <v>9828</v>
      </c>
      <c r="C6273" s="82" t="s">
        <v>3152</v>
      </c>
      <c r="D6273" s="83">
        <f>SUMIFS(D6274:D6462,K6274:K6462,"0",B6274:B6462,"5 1 3 9 8 12 31111 6 M59 94000 000181*")-SUMIFS(E6274:E6462,K6274:K6462,"0",B6274:B6462,"5 1 3 9 8 12 31111 6 M59 94000 000181*")</f>
        <v>0</v>
      </c>
      <c r="E6273" s="54"/>
      <c r="F6273" s="83">
        <f>SUMIFS(F6274:F6462,K6274:K6462,"0",B6274:B6462,"5 1 3 9 8 12 31111 6 M59 94000 000181*")</f>
        <v>19614.78</v>
      </c>
      <c r="G6273" s="83">
        <f>SUMIFS(G6274:G6462,K6274:K6462,"0",B6274:B6462,"5 1 3 9 8 12 31111 6 M59 94000 000181*")</f>
        <v>0</v>
      </c>
      <c r="H6273" s="83">
        <f t="shared" si="98"/>
        <v>19614.78</v>
      </c>
      <c r="I6273" s="83"/>
      <c r="K6273" s="54" t="s">
        <v>15</v>
      </c>
    </row>
    <row r="6274" spans="2:11" ht="24.75" x14ac:dyDescent="0.2">
      <c r="B6274" s="82" t="s">
        <v>9829</v>
      </c>
      <c r="C6274" s="82" t="s">
        <v>650</v>
      </c>
      <c r="D6274" s="83">
        <f>SUMIFS(D6275:D6462,K6275:K6462,"0",B6275:B6462,"5 1 3 9 8 12 31111 6 M59 94000 000181 0000R*")-SUMIFS(E6275:E6462,K6275:K6462,"0",B6275:B6462,"5 1 3 9 8 12 31111 6 M59 94000 000181 0000R*")</f>
        <v>0</v>
      </c>
      <c r="E6274" s="54"/>
      <c r="F6274" s="83">
        <f>SUMIFS(F6275:F6462,K6275:K6462,"0",B6275:B6462,"5 1 3 9 8 12 31111 6 M59 94000 000181 0000R*")</f>
        <v>19614.78</v>
      </c>
      <c r="G6274" s="83">
        <f>SUMIFS(G6275:G6462,K6275:K6462,"0",B6275:B6462,"5 1 3 9 8 12 31111 6 M59 94000 000181 0000R*")</f>
        <v>0</v>
      </c>
      <c r="H6274" s="83">
        <f t="shared" si="98"/>
        <v>19614.78</v>
      </c>
      <c r="I6274" s="83"/>
      <c r="K6274" s="54" t="s">
        <v>15</v>
      </c>
    </row>
    <row r="6275" spans="2:11" ht="24.75" x14ac:dyDescent="0.2">
      <c r="B6275" s="82" t="s">
        <v>9830</v>
      </c>
      <c r="C6275" s="82" t="s">
        <v>282</v>
      </c>
      <c r="D6275" s="83">
        <f>SUMIFS(D6276:D6462,K6276:K6462,"0",B6276:B6462,"5 1 3 9 8 12 31111 6 M59 94000 000181 0000R 00001*")-SUMIFS(E6276:E6462,K6276:K6462,"0",B6276:B6462,"5 1 3 9 8 12 31111 6 M59 94000 000181 0000R 00001*")</f>
        <v>0</v>
      </c>
      <c r="E6275" s="54"/>
      <c r="F6275" s="83">
        <f>SUMIFS(F6276:F6462,K6276:K6462,"0",B6276:B6462,"5 1 3 9 8 12 31111 6 M59 94000 000181 0000R 00001*")</f>
        <v>19614.78</v>
      </c>
      <c r="G6275" s="83">
        <f>SUMIFS(G6276:G6462,K6276:K6462,"0",B6276:B6462,"5 1 3 9 8 12 31111 6 M59 94000 000181 0000R 00001*")</f>
        <v>0</v>
      </c>
      <c r="H6275" s="83">
        <f t="shared" si="98"/>
        <v>19614.78</v>
      </c>
      <c r="I6275" s="83"/>
      <c r="K6275" s="54" t="s">
        <v>15</v>
      </c>
    </row>
    <row r="6276" spans="2:11" ht="24.75" x14ac:dyDescent="0.2">
      <c r="B6276" s="82" t="s">
        <v>9831</v>
      </c>
      <c r="C6276" s="82" t="s">
        <v>9247</v>
      </c>
      <c r="D6276" s="83">
        <f>SUMIFS(D6277:D6462,K6277:K6462,"0",B6277:B6462,"5 1 3 9 8 12 31111 6 M59 94000 000181 0000R 00001 00398*")-SUMIFS(E6277:E6462,K6277:K6462,"0",B6277:B6462,"5 1 3 9 8 12 31111 6 M59 94000 000181 0000R 00001 00398*")</f>
        <v>0</v>
      </c>
      <c r="E6276" s="54"/>
      <c r="F6276" s="83">
        <f>SUMIFS(F6277:F6462,K6277:K6462,"0",B6277:B6462,"5 1 3 9 8 12 31111 6 M59 94000 000181 0000R 00001 00398*")</f>
        <v>19614.78</v>
      </c>
      <c r="G6276" s="83">
        <f>SUMIFS(G6277:G6462,K6277:K6462,"0",B6277:B6462,"5 1 3 9 8 12 31111 6 M59 94000 000181 0000R 00001 00398*")</f>
        <v>0</v>
      </c>
      <c r="H6276" s="83">
        <f t="shared" si="98"/>
        <v>19614.78</v>
      </c>
      <c r="I6276" s="83"/>
      <c r="K6276" s="54" t="s">
        <v>15</v>
      </c>
    </row>
    <row r="6277" spans="2:11" ht="33" x14ac:dyDescent="0.2">
      <c r="B6277" s="82" t="s">
        <v>9832</v>
      </c>
      <c r="C6277" s="82" t="s">
        <v>1051</v>
      </c>
      <c r="D6277" s="83">
        <f>SUMIFS(D6278:D6462,K6278:K6462,"0",B6278:B6462,"5 1 3 9 8 12 31111 6 M59 94000 000181 0000R 00001 00398 015*")-SUMIFS(E6278:E6462,K6278:K6462,"0",B6278:B6462,"5 1 3 9 8 12 31111 6 M59 94000 000181 0000R 00001 00398 015*")</f>
        <v>0</v>
      </c>
      <c r="E6277" s="54"/>
      <c r="F6277" s="83">
        <f>SUMIFS(F6278:F6462,K6278:K6462,"0",B6278:B6462,"5 1 3 9 8 12 31111 6 M59 94000 000181 0000R 00001 00398 015*")</f>
        <v>19614.78</v>
      </c>
      <c r="G6277" s="83">
        <f>SUMIFS(G6278:G6462,K6278:K6462,"0",B6278:B6462,"5 1 3 9 8 12 31111 6 M59 94000 000181 0000R 00001 00398 015*")</f>
        <v>0</v>
      </c>
      <c r="H6277" s="83">
        <f t="shared" si="98"/>
        <v>19614.78</v>
      </c>
      <c r="I6277" s="83"/>
      <c r="K6277" s="54" t="s">
        <v>15</v>
      </c>
    </row>
    <row r="6278" spans="2:11" ht="33" x14ac:dyDescent="0.2">
      <c r="B6278" s="82" t="s">
        <v>9833</v>
      </c>
      <c r="C6278" s="82" t="s">
        <v>8550</v>
      </c>
      <c r="D6278" s="83">
        <f>SUMIFS(D6279:D6462,K6279:K6462,"0",B6279:B6462,"5 1 3 9 8 12 31111 6 M59 94000 000181 0000R 00001 00398 015 2111300*")-SUMIFS(E6279:E6462,K6279:K6462,"0",B6279:B6462,"5 1 3 9 8 12 31111 6 M59 94000 000181 0000R 00001 00398 015 2111300*")</f>
        <v>0</v>
      </c>
      <c r="E6278" s="54"/>
      <c r="F6278" s="83">
        <f>SUMIFS(F6279:F6462,K6279:K6462,"0",B6279:B6462,"5 1 3 9 8 12 31111 6 M59 94000 000181 0000R 00001 00398 015 2111300*")</f>
        <v>19614.78</v>
      </c>
      <c r="G6278" s="83">
        <f>SUMIFS(G6279:G6462,K6279:K6462,"0",B6279:B6462,"5 1 3 9 8 12 31111 6 M59 94000 000181 0000R 00001 00398 015 2111300*")</f>
        <v>0</v>
      </c>
      <c r="H6278" s="83">
        <f t="shared" si="98"/>
        <v>19614.78</v>
      </c>
      <c r="I6278" s="83"/>
      <c r="K6278" s="54" t="s">
        <v>15</v>
      </c>
    </row>
    <row r="6279" spans="2:11" ht="33" x14ac:dyDescent="0.2">
      <c r="B6279" s="82" t="s">
        <v>9834</v>
      </c>
      <c r="C6279" s="82" t="s">
        <v>660</v>
      </c>
      <c r="D6279" s="83">
        <f>SUMIFS(D6280:D6462,K6280:K6462,"0",B6280:B6462,"5 1 3 9 8 12 31111 6 M59 94000 000181 0000R 00001 00398 015 2111300 2024*")-SUMIFS(E6280:E6462,K6280:K6462,"0",B6280:B6462,"5 1 3 9 8 12 31111 6 M59 94000 000181 0000R 00001 00398 015 2111300 2024*")</f>
        <v>0</v>
      </c>
      <c r="E6279" s="54"/>
      <c r="F6279" s="83">
        <f>SUMIFS(F6280:F6462,K6280:K6462,"0",B6280:B6462,"5 1 3 9 8 12 31111 6 M59 94000 000181 0000R 00001 00398 015 2111300 2024*")</f>
        <v>19614.78</v>
      </c>
      <c r="G6279" s="83">
        <f>SUMIFS(G6280:G6462,K6280:K6462,"0",B6280:B6462,"5 1 3 9 8 12 31111 6 M59 94000 000181 0000R 00001 00398 015 2111300 2024*")</f>
        <v>0</v>
      </c>
      <c r="H6279" s="83">
        <f t="shared" si="98"/>
        <v>19614.78</v>
      </c>
      <c r="I6279" s="83"/>
      <c r="K6279" s="54" t="s">
        <v>15</v>
      </c>
    </row>
    <row r="6280" spans="2:11" ht="41.25" x14ac:dyDescent="0.2">
      <c r="B6280" s="82" t="s">
        <v>9835</v>
      </c>
      <c r="C6280" s="82" t="s">
        <v>1056</v>
      </c>
      <c r="D6280" s="83">
        <f>SUMIFS(D6281:D6462,K6281:K6462,"0",B6281:B6462,"5 1 3 9 8 12 31111 6 M59 94000 000181 0000R 00001 00398 015 2111300 2024 CP1OM392*")-SUMIFS(E6281:E6462,K6281:K6462,"0",B6281:B6462,"5 1 3 9 8 12 31111 6 M59 94000 000181 0000R 00001 00398 015 2111300 2024 CP1OM392*")</f>
        <v>0</v>
      </c>
      <c r="E6280" s="54"/>
      <c r="F6280" s="83">
        <f>SUMIFS(F6281:F6462,K6281:K6462,"0",B6281:B6462,"5 1 3 9 8 12 31111 6 M59 94000 000181 0000R 00001 00398 015 2111300 2024 CP1OM392*")</f>
        <v>19614.78</v>
      </c>
      <c r="G6280" s="83">
        <f>SUMIFS(G6281:G6462,K6281:K6462,"0",B6281:B6462,"5 1 3 9 8 12 31111 6 M59 94000 000181 0000R 00001 00398 015 2111300 2024 CP1OM392*")</f>
        <v>0</v>
      </c>
      <c r="H6280" s="83">
        <f t="shared" si="98"/>
        <v>19614.78</v>
      </c>
      <c r="I6280" s="83"/>
      <c r="K6280" s="54" t="s">
        <v>15</v>
      </c>
    </row>
    <row r="6281" spans="2:11" ht="41.25" x14ac:dyDescent="0.2">
      <c r="B6281" s="82" t="s">
        <v>9836</v>
      </c>
      <c r="C6281" s="82" t="s">
        <v>282</v>
      </c>
      <c r="D6281" s="83">
        <f>SUMIFS(D6282:D6462,K6282:K6462,"0",B6282:B6462,"5 1 3 9 8 12 31111 6 M59 94000 000181 0000R 00001 00398 015 2111300 2024 CP1OM392 001*")-SUMIFS(E6282:E6462,K6282:K6462,"0",B6282:B6462,"5 1 3 9 8 12 31111 6 M59 94000 000181 0000R 00001 00398 015 2111300 2024 CP1OM392 001*")</f>
        <v>0</v>
      </c>
      <c r="E6281" s="54"/>
      <c r="F6281" s="83">
        <f>SUMIFS(F6282:F6462,K6282:K6462,"0",B6282:B6462,"5 1 3 9 8 12 31111 6 M59 94000 000181 0000R 00001 00398 015 2111300 2024 CP1OM392 001*")</f>
        <v>19614.78</v>
      </c>
      <c r="G6281" s="83">
        <f>SUMIFS(G6282:G6462,K6282:K6462,"0",B6282:B6462,"5 1 3 9 8 12 31111 6 M59 94000 000181 0000R 00001 00398 015 2111300 2024 CP1OM392 001*")</f>
        <v>0</v>
      </c>
      <c r="H6281" s="83">
        <f t="shared" si="98"/>
        <v>19614.78</v>
      </c>
      <c r="I6281" s="83"/>
      <c r="K6281" s="54" t="s">
        <v>15</v>
      </c>
    </row>
    <row r="6282" spans="2:11" ht="33" x14ac:dyDescent="0.2">
      <c r="B6282" s="84" t="s">
        <v>9837</v>
      </c>
      <c r="C6282" s="84" t="s">
        <v>9254</v>
      </c>
      <c r="D6282" s="85">
        <v>0</v>
      </c>
      <c r="E6282" s="85"/>
      <c r="F6282" s="85">
        <v>19614.78</v>
      </c>
      <c r="G6282" s="85">
        <v>0</v>
      </c>
      <c r="H6282" s="85">
        <f t="shared" si="98"/>
        <v>19614.78</v>
      </c>
      <c r="I6282" s="85"/>
      <c r="K6282" s="54" t="s">
        <v>38</v>
      </c>
    </row>
    <row r="6283" spans="2:11" ht="16.5" x14ac:dyDescent="0.2">
      <c r="B6283" s="82" t="s">
        <v>9838</v>
      </c>
      <c r="C6283" s="82" t="s">
        <v>3656</v>
      </c>
      <c r="D6283" s="83">
        <f>SUMIFS(D6284:D6462,K6284:K6462,"0",B6284:B6462,"5 1 3 9 8 12 31111 6 M59 94100*")-SUMIFS(E6284:E6462,K6284:K6462,"0",B6284:B6462,"5 1 3 9 8 12 31111 6 M59 94100*")</f>
        <v>0</v>
      </c>
      <c r="E6283" s="54"/>
      <c r="F6283" s="83">
        <f>SUMIFS(F6284:F6462,K6284:K6462,"0",B6284:B6462,"5 1 3 9 8 12 31111 6 M59 94100*")</f>
        <v>6905.07</v>
      </c>
      <c r="G6283" s="83">
        <f>SUMIFS(G6284:G6462,K6284:K6462,"0",B6284:B6462,"5 1 3 9 8 12 31111 6 M59 94100*")</f>
        <v>0</v>
      </c>
      <c r="H6283" s="83">
        <f t="shared" si="98"/>
        <v>6905.07</v>
      </c>
      <c r="I6283" s="83"/>
      <c r="K6283" s="54" t="s">
        <v>15</v>
      </c>
    </row>
    <row r="6284" spans="2:11" ht="16.5" x14ac:dyDescent="0.2">
      <c r="B6284" s="82" t="s">
        <v>9839</v>
      </c>
      <c r="C6284" s="82" t="s">
        <v>648</v>
      </c>
      <c r="D6284" s="83">
        <f>SUMIFS(D6285:D6462,K6285:K6462,"0",B6285:B6462,"5 1 3 9 8 12 31111 6 M59 94100 000132*")-SUMIFS(E6285:E6462,K6285:K6462,"0",B6285:B6462,"5 1 3 9 8 12 31111 6 M59 94100 000132*")</f>
        <v>0</v>
      </c>
      <c r="E6284" s="54"/>
      <c r="F6284" s="83">
        <f>SUMIFS(F6285:F6462,K6285:K6462,"0",B6285:B6462,"5 1 3 9 8 12 31111 6 M59 94100 000132*")</f>
        <v>6905.07</v>
      </c>
      <c r="G6284" s="83">
        <f>SUMIFS(G6285:G6462,K6285:K6462,"0",B6285:B6462,"5 1 3 9 8 12 31111 6 M59 94100 000132*")</f>
        <v>0</v>
      </c>
      <c r="H6284" s="83">
        <f t="shared" si="98"/>
        <v>6905.07</v>
      </c>
      <c r="I6284" s="83"/>
      <c r="K6284" s="54" t="s">
        <v>15</v>
      </c>
    </row>
    <row r="6285" spans="2:11" ht="24.75" x14ac:dyDescent="0.2">
      <c r="B6285" s="82" t="s">
        <v>9840</v>
      </c>
      <c r="C6285" s="82" t="s">
        <v>650</v>
      </c>
      <c r="D6285" s="83">
        <f>SUMIFS(D6286:D6462,K6286:K6462,"0",B6286:B6462,"5 1 3 9 8 12 31111 6 M59 94100 000132 0000R*")-SUMIFS(E6286:E6462,K6286:K6462,"0",B6286:B6462,"5 1 3 9 8 12 31111 6 M59 94100 000132 0000R*")</f>
        <v>0</v>
      </c>
      <c r="E6285" s="54"/>
      <c r="F6285" s="83">
        <f>SUMIFS(F6286:F6462,K6286:K6462,"0",B6286:B6462,"5 1 3 9 8 12 31111 6 M59 94100 000132 0000R*")</f>
        <v>6905.07</v>
      </c>
      <c r="G6285" s="83">
        <f>SUMIFS(G6286:G6462,K6286:K6462,"0",B6286:B6462,"5 1 3 9 8 12 31111 6 M59 94100 000132 0000R*")</f>
        <v>0</v>
      </c>
      <c r="H6285" s="83">
        <f t="shared" si="98"/>
        <v>6905.07</v>
      </c>
      <c r="I6285" s="83"/>
      <c r="K6285" s="54" t="s">
        <v>15</v>
      </c>
    </row>
    <row r="6286" spans="2:11" ht="24.75" x14ac:dyDescent="0.2">
      <c r="B6286" s="82" t="s">
        <v>9841</v>
      </c>
      <c r="C6286" s="82" t="s">
        <v>282</v>
      </c>
      <c r="D6286" s="83">
        <f>SUMIFS(D6287:D6462,K6287:K6462,"0",B6287:B6462,"5 1 3 9 8 12 31111 6 M59 94100 000132 0000R 00001*")-SUMIFS(E6287:E6462,K6287:K6462,"0",B6287:B6462,"5 1 3 9 8 12 31111 6 M59 94100 000132 0000R 00001*")</f>
        <v>0</v>
      </c>
      <c r="E6286" s="54"/>
      <c r="F6286" s="83">
        <f>SUMIFS(F6287:F6462,K6287:K6462,"0",B6287:B6462,"5 1 3 9 8 12 31111 6 M59 94100 000132 0000R 00001*")</f>
        <v>6905.07</v>
      </c>
      <c r="G6286" s="83">
        <f>SUMIFS(G6287:G6462,K6287:K6462,"0",B6287:B6462,"5 1 3 9 8 12 31111 6 M59 94100 000132 0000R 00001*")</f>
        <v>0</v>
      </c>
      <c r="H6286" s="83">
        <f t="shared" si="98"/>
        <v>6905.07</v>
      </c>
      <c r="I6286" s="83"/>
      <c r="K6286" s="54" t="s">
        <v>15</v>
      </c>
    </row>
    <row r="6287" spans="2:11" ht="24.75" x14ac:dyDescent="0.2">
      <c r="B6287" s="82" t="s">
        <v>9842</v>
      </c>
      <c r="C6287" s="82" t="s">
        <v>9247</v>
      </c>
      <c r="D6287" s="83">
        <f>SUMIFS(D6288:D6462,K6288:K6462,"0",B6288:B6462,"5 1 3 9 8 12 31111 6 M59 94100 000132 0000R 00001 00398*")-SUMIFS(E6288:E6462,K6288:K6462,"0",B6288:B6462,"5 1 3 9 8 12 31111 6 M59 94100 000132 0000R 00001 00398*")</f>
        <v>0</v>
      </c>
      <c r="E6287" s="54"/>
      <c r="F6287" s="83">
        <f>SUMIFS(F6288:F6462,K6288:K6462,"0",B6288:B6462,"5 1 3 9 8 12 31111 6 M59 94100 000132 0000R 00001 00398*")</f>
        <v>6905.07</v>
      </c>
      <c r="G6287" s="83">
        <f>SUMIFS(G6288:G6462,K6288:K6462,"0",B6288:B6462,"5 1 3 9 8 12 31111 6 M59 94100 000132 0000R 00001 00398*")</f>
        <v>0</v>
      </c>
      <c r="H6287" s="83">
        <f t="shared" si="98"/>
        <v>6905.07</v>
      </c>
      <c r="I6287" s="83"/>
      <c r="K6287" s="54" t="s">
        <v>15</v>
      </c>
    </row>
    <row r="6288" spans="2:11" ht="33" x14ac:dyDescent="0.2">
      <c r="B6288" s="82" t="s">
        <v>9843</v>
      </c>
      <c r="C6288" s="82" t="s">
        <v>1051</v>
      </c>
      <c r="D6288" s="83">
        <f>SUMIFS(D6289:D6462,K6289:K6462,"0",B6289:B6462,"5 1 3 9 8 12 31111 6 M59 94100 000132 0000R 00001 00398 015*")-SUMIFS(E6289:E6462,K6289:K6462,"0",B6289:B6462,"5 1 3 9 8 12 31111 6 M59 94100 000132 0000R 00001 00398 015*")</f>
        <v>0</v>
      </c>
      <c r="E6288" s="54"/>
      <c r="F6288" s="83">
        <f>SUMIFS(F6289:F6462,K6289:K6462,"0",B6289:B6462,"5 1 3 9 8 12 31111 6 M59 94100 000132 0000R 00001 00398 015*")</f>
        <v>6905.07</v>
      </c>
      <c r="G6288" s="83">
        <f>SUMIFS(G6289:G6462,K6289:K6462,"0",B6289:B6462,"5 1 3 9 8 12 31111 6 M59 94100 000132 0000R 00001 00398 015*")</f>
        <v>0</v>
      </c>
      <c r="H6288" s="83">
        <f t="shared" si="98"/>
        <v>6905.07</v>
      </c>
      <c r="I6288" s="83"/>
      <c r="K6288" s="54" t="s">
        <v>15</v>
      </c>
    </row>
    <row r="6289" spans="2:11" ht="33" x14ac:dyDescent="0.2">
      <c r="B6289" s="82" t="s">
        <v>9844</v>
      </c>
      <c r="C6289" s="82" t="s">
        <v>8550</v>
      </c>
      <c r="D6289" s="83">
        <f>SUMIFS(D6290:D6462,K6290:K6462,"0",B6290:B6462,"5 1 3 9 8 12 31111 6 M59 94100 000132 0000R 00001 00398 015 2111300*")-SUMIFS(E6290:E6462,K6290:K6462,"0",B6290:B6462,"5 1 3 9 8 12 31111 6 M59 94100 000132 0000R 00001 00398 015 2111300*")</f>
        <v>0</v>
      </c>
      <c r="E6289" s="54"/>
      <c r="F6289" s="83">
        <f>SUMIFS(F6290:F6462,K6290:K6462,"0",B6290:B6462,"5 1 3 9 8 12 31111 6 M59 94100 000132 0000R 00001 00398 015 2111300*")</f>
        <v>6905.07</v>
      </c>
      <c r="G6289" s="83">
        <f>SUMIFS(G6290:G6462,K6290:K6462,"0",B6290:B6462,"5 1 3 9 8 12 31111 6 M59 94100 000132 0000R 00001 00398 015 2111300*")</f>
        <v>0</v>
      </c>
      <c r="H6289" s="83">
        <f t="shared" si="98"/>
        <v>6905.07</v>
      </c>
      <c r="I6289" s="83"/>
      <c r="K6289" s="54" t="s">
        <v>15</v>
      </c>
    </row>
    <row r="6290" spans="2:11" ht="33" x14ac:dyDescent="0.2">
      <c r="B6290" s="82" t="s">
        <v>9845</v>
      </c>
      <c r="C6290" s="82" t="s">
        <v>660</v>
      </c>
      <c r="D6290" s="83">
        <f>SUMIFS(D6291:D6462,K6291:K6462,"0",B6291:B6462,"5 1 3 9 8 12 31111 6 M59 94100 000132 0000R 00001 00398 015 2111300 2024*")-SUMIFS(E6291:E6462,K6291:K6462,"0",B6291:B6462,"5 1 3 9 8 12 31111 6 M59 94100 000132 0000R 00001 00398 015 2111300 2024*")</f>
        <v>0</v>
      </c>
      <c r="E6290" s="54"/>
      <c r="F6290" s="83">
        <f>SUMIFS(F6291:F6462,K6291:K6462,"0",B6291:B6462,"5 1 3 9 8 12 31111 6 M59 94100 000132 0000R 00001 00398 015 2111300 2024*")</f>
        <v>6905.07</v>
      </c>
      <c r="G6290" s="83">
        <f>SUMIFS(G6291:G6462,K6291:K6462,"0",B6291:B6462,"5 1 3 9 8 12 31111 6 M59 94100 000132 0000R 00001 00398 015 2111300 2024*")</f>
        <v>0</v>
      </c>
      <c r="H6290" s="83">
        <f t="shared" si="98"/>
        <v>6905.07</v>
      </c>
      <c r="I6290" s="83"/>
      <c r="K6290" s="54" t="s">
        <v>15</v>
      </c>
    </row>
    <row r="6291" spans="2:11" ht="41.25" x14ac:dyDescent="0.2">
      <c r="B6291" s="82" t="s">
        <v>9846</v>
      </c>
      <c r="C6291" s="82" t="s">
        <v>1056</v>
      </c>
      <c r="D6291" s="83">
        <f>SUMIFS(D6292:D6462,K6292:K6462,"0",B6292:B6462,"5 1 3 9 8 12 31111 6 M59 94100 000132 0000R 00001 00398 015 2111300 2024 CP1AT427*")-SUMIFS(E6292:E6462,K6292:K6462,"0",B6292:B6462,"5 1 3 9 8 12 31111 6 M59 94100 000132 0000R 00001 00398 015 2111300 2024 CP1AT427*")</f>
        <v>0</v>
      </c>
      <c r="E6291" s="54"/>
      <c r="F6291" s="83">
        <f>SUMIFS(F6292:F6462,K6292:K6462,"0",B6292:B6462,"5 1 3 9 8 12 31111 6 M59 94100 000132 0000R 00001 00398 015 2111300 2024 CP1AT427*")</f>
        <v>6905.07</v>
      </c>
      <c r="G6291" s="83">
        <f>SUMIFS(G6292:G6462,K6292:K6462,"0",B6292:B6462,"5 1 3 9 8 12 31111 6 M59 94100 000132 0000R 00001 00398 015 2111300 2024 CP1AT427*")</f>
        <v>0</v>
      </c>
      <c r="H6291" s="83">
        <f t="shared" si="98"/>
        <v>6905.07</v>
      </c>
      <c r="I6291" s="83"/>
      <c r="K6291" s="54" t="s">
        <v>15</v>
      </c>
    </row>
    <row r="6292" spans="2:11" ht="41.25" x14ac:dyDescent="0.2">
      <c r="B6292" s="82" t="s">
        <v>9847</v>
      </c>
      <c r="C6292" s="82" t="s">
        <v>282</v>
      </c>
      <c r="D6292" s="83">
        <f>SUMIFS(D6293:D6462,K6293:K6462,"0",B6293:B6462,"5 1 3 9 8 12 31111 6 M59 94100 000132 0000R 00001 00398 015 2111300 2024 CP1AT427 001*")-SUMIFS(E6293:E6462,K6293:K6462,"0",B6293:B6462,"5 1 3 9 8 12 31111 6 M59 94100 000132 0000R 00001 00398 015 2111300 2024 CP1AT427 001*")</f>
        <v>0</v>
      </c>
      <c r="E6292" s="54"/>
      <c r="F6292" s="83">
        <f>SUMIFS(F6293:F6462,K6293:K6462,"0",B6293:B6462,"5 1 3 9 8 12 31111 6 M59 94100 000132 0000R 00001 00398 015 2111300 2024 CP1AT427 001*")</f>
        <v>6905.07</v>
      </c>
      <c r="G6292" s="83">
        <f>SUMIFS(G6293:G6462,K6293:K6462,"0",B6293:B6462,"5 1 3 9 8 12 31111 6 M59 94100 000132 0000R 00001 00398 015 2111300 2024 CP1AT427 001*")</f>
        <v>0</v>
      </c>
      <c r="H6292" s="83">
        <f t="shared" si="98"/>
        <v>6905.07</v>
      </c>
      <c r="I6292" s="83"/>
      <c r="K6292" s="54" t="s">
        <v>15</v>
      </c>
    </row>
    <row r="6293" spans="2:11" ht="33" x14ac:dyDescent="0.2">
      <c r="B6293" s="84" t="s">
        <v>9848</v>
      </c>
      <c r="C6293" s="84" t="s">
        <v>9849</v>
      </c>
      <c r="D6293" s="85">
        <v>0</v>
      </c>
      <c r="E6293" s="85"/>
      <c r="F6293" s="85">
        <v>6905.07</v>
      </c>
      <c r="G6293" s="85">
        <v>0</v>
      </c>
      <c r="H6293" s="85">
        <f t="shared" si="98"/>
        <v>6905.07</v>
      </c>
      <c r="I6293" s="85"/>
      <c r="K6293" s="54" t="s">
        <v>38</v>
      </c>
    </row>
    <row r="6294" spans="2:11" ht="16.5" x14ac:dyDescent="0.2">
      <c r="B6294" s="82" t="s">
        <v>9850</v>
      </c>
      <c r="C6294" s="82" t="s">
        <v>3668</v>
      </c>
      <c r="D6294" s="83">
        <f>SUMIFS(D6295:D6462,K6295:K6462,"0",B6295:B6462,"5 1 3 9 8 12 31111 6 M59 95000*")-SUMIFS(E6295:E6462,K6295:K6462,"0",B6295:B6462,"5 1 3 9 8 12 31111 6 M59 95000*")</f>
        <v>0</v>
      </c>
      <c r="E6294" s="54"/>
      <c r="F6294" s="83">
        <f>SUMIFS(F6295:F6462,K6295:K6462,"0",B6295:B6462,"5 1 3 9 8 12 31111 6 M59 95000*")</f>
        <v>11500</v>
      </c>
      <c r="G6294" s="83">
        <f>SUMIFS(G6295:G6462,K6295:K6462,"0",B6295:B6462,"5 1 3 9 8 12 31111 6 M59 95000*")</f>
        <v>0</v>
      </c>
      <c r="H6294" s="83">
        <f t="shared" si="98"/>
        <v>11500</v>
      </c>
      <c r="I6294" s="83"/>
      <c r="K6294" s="54" t="s">
        <v>15</v>
      </c>
    </row>
    <row r="6295" spans="2:11" ht="16.5" x14ac:dyDescent="0.2">
      <c r="B6295" s="82" t="s">
        <v>9851</v>
      </c>
      <c r="C6295" s="82" t="s">
        <v>1063</v>
      </c>
      <c r="D6295" s="83">
        <f>SUMIFS(D6296:D6462,K6296:K6462,"0",B6296:B6462,"5 1 3 9 8 12 31111 6 M59 95000 000139*")-SUMIFS(E6296:E6462,K6296:K6462,"0",B6296:B6462,"5 1 3 9 8 12 31111 6 M59 95000 000139*")</f>
        <v>0</v>
      </c>
      <c r="E6295" s="54"/>
      <c r="F6295" s="83">
        <f>SUMIFS(F6296:F6462,K6296:K6462,"0",B6296:B6462,"5 1 3 9 8 12 31111 6 M59 95000 000139*")</f>
        <v>11500</v>
      </c>
      <c r="G6295" s="83">
        <f>SUMIFS(G6296:G6462,K6296:K6462,"0",B6296:B6462,"5 1 3 9 8 12 31111 6 M59 95000 000139*")</f>
        <v>0</v>
      </c>
      <c r="H6295" s="83">
        <f t="shared" si="98"/>
        <v>11500</v>
      </c>
      <c r="I6295" s="83"/>
      <c r="K6295" s="54" t="s">
        <v>15</v>
      </c>
    </row>
    <row r="6296" spans="2:11" ht="24.75" x14ac:dyDescent="0.2">
      <c r="B6296" s="82" t="s">
        <v>9852</v>
      </c>
      <c r="C6296" s="82" t="s">
        <v>3671</v>
      </c>
      <c r="D6296" s="83">
        <f>SUMIFS(D6297:D6462,K6297:K6462,"0",B6297:B6462,"5 1 3 9 8 12 31111 6 M59 95000 000139 0000L*")-SUMIFS(E6297:E6462,K6297:K6462,"0",B6297:B6462,"5 1 3 9 8 12 31111 6 M59 95000 000139 0000L*")</f>
        <v>0</v>
      </c>
      <c r="E6296" s="54"/>
      <c r="F6296" s="83">
        <f>SUMIFS(F6297:F6462,K6297:K6462,"0",B6297:B6462,"5 1 3 9 8 12 31111 6 M59 95000 000139 0000L*")</f>
        <v>11500</v>
      </c>
      <c r="G6296" s="83">
        <f>SUMIFS(G6297:G6462,K6297:K6462,"0",B6297:B6462,"5 1 3 9 8 12 31111 6 M59 95000 000139 0000L*")</f>
        <v>0</v>
      </c>
      <c r="H6296" s="83">
        <f t="shared" si="98"/>
        <v>11500</v>
      </c>
      <c r="I6296" s="83"/>
      <c r="K6296" s="54" t="s">
        <v>15</v>
      </c>
    </row>
    <row r="6297" spans="2:11" ht="24.75" x14ac:dyDescent="0.2">
      <c r="B6297" s="82" t="s">
        <v>9853</v>
      </c>
      <c r="C6297" s="82" t="s">
        <v>282</v>
      </c>
      <c r="D6297" s="83">
        <f>SUMIFS(D6298:D6462,K6298:K6462,"0",B6298:B6462,"5 1 3 9 8 12 31111 6 M59 95000 000139 0000L 00001*")-SUMIFS(E6298:E6462,K6298:K6462,"0",B6298:B6462,"5 1 3 9 8 12 31111 6 M59 95000 000139 0000L 00001*")</f>
        <v>0</v>
      </c>
      <c r="E6297" s="54"/>
      <c r="F6297" s="83">
        <f>SUMIFS(F6298:F6462,K6298:K6462,"0",B6298:B6462,"5 1 3 9 8 12 31111 6 M59 95000 000139 0000L 00001*")</f>
        <v>11500</v>
      </c>
      <c r="G6297" s="83">
        <f>SUMIFS(G6298:G6462,K6298:K6462,"0",B6298:B6462,"5 1 3 9 8 12 31111 6 M59 95000 000139 0000L 00001*")</f>
        <v>0</v>
      </c>
      <c r="H6297" s="83">
        <f t="shared" si="98"/>
        <v>11500</v>
      </c>
      <c r="I6297" s="83"/>
      <c r="K6297" s="54" t="s">
        <v>15</v>
      </c>
    </row>
    <row r="6298" spans="2:11" ht="24.75" x14ac:dyDescent="0.2">
      <c r="B6298" s="82" t="s">
        <v>9854</v>
      </c>
      <c r="C6298" s="82" t="s">
        <v>9247</v>
      </c>
      <c r="D6298" s="83">
        <f>SUMIFS(D6299:D6462,K6299:K6462,"0",B6299:B6462,"5 1 3 9 8 12 31111 6 M59 95000 000139 0000L 00001 00398*")-SUMIFS(E6299:E6462,K6299:K6462,"0",B6299:B6462,"5 1 3 9 8 12 31111 6 M59 95000 000139 0000L 00001 00398*")</f>
        <v>0</v>
      </c>
      <c r="E6298" s="54"/>
      <c r="F6298" s="83">
        <f>SUMIFS(F6299:F6462,K6299:K6462,"0",B6299:B6462,"5 1 3 9 8 12 31111 6 M59 95000 000139 0000L 00001 00398*")</f>
        <v>11500</v>
      </c>
      <c r="G6298" s="83">
        <f>SUMIFS(G6299:G6462,K6299:K6462,"0",B6299:B6462,"5 1 3 9 8 12 31111 6 M59 95000 000139 0000L 00001 00398*")</f>
        <v>0</v>
      </c>
      <c r="H6298" s="83">
        <f t="shared" si="98"/>
        <v>11500</v>
      </c>
      <c r="I6298" s="83"/>
      <c r="K6298" s="54" t="s">
        <v>15</v>
      </c>
    </row>
    <row r="6299" spans="2:11" ht="33" x14ac:dyDescent="0.2">
      <c r="B6299" s="82" t="s">
        <v>9855</v>
      </c>
      <c r="C6299" s="82" t="s">
        <v>1051</v>
      </c>
      <c r="D6299" s="83">
        <f>SUMIFS(D6300:D6462,K6300:K6462,"0",B6300:B6462,"5 1 3 9 8 12 31111 6 M59 95000 000139 0000L 00001 00398 015*")-SUMIFS(E6300:E6462,K6300:K6462,"0",B6300:B6462,"5 1 3 9 8 12 31111 6 M59 95000 000139 0000L 00001 00398 015*")</f>
        <v>0</v>
      </c>
      <c r="E6299" s="54"/>
      <c r="F6299" s="83">
        <f>SUMIFS(F6300:F6462,K6300:K6462,"0",B6300:B6462,"5 1 3 9 8 12 31111 6 M59 95000 000139 0000L 00001 00398 015*")</f>
        <v>11500</v>
      </c>
      <c r="G6299" s="83">
        <f>SUMIFS(G6300:G6462,K6300:K6462,"0",B6300:B6462,"5 1 3 9 8 12 31111 6 M59 95000 000139 0000L 00001 00398 015*")</f>
        <v>0</v>
      </c>
      <c r="H6299" s="83">
        <f t="shared" si="98"/>
        <v>11500</v>
      </c>
      <c r="I6299" s="83"/>
      <c r="K6299" s="54" t="s">
        <v>15</v>
      </c>
    </row>
    <row r="6300" spans="2:11" ht="33" x14ac:dyDescent="0.2">
      <c r="B6300" s="82" t="s">
        <v>9856</v>
      </c>
      <c r="C6300" s="82" t="s">
        <v>2927</v>
      </c>
      <c r="D6300" s="83">
        <f>SUMIFS(D6301:D6462,K6301:K6462,"0",B6301:B6462,"5 1 3 9 8 12 31111 6 M59 95000 000139 0000L 00001 00398 015 2111100*")-SUMIFS(E6301:E6462,K6301:K6462,"0",B6301:B6462,"5 1 3 9 8 12 31111 6 M59 95000 000139 0000L 00001 00398 015 2111100*")</f>
        <v>0</v>
      </c>
      <c r="E6300" s="54"/>
      <c r="F6300" s="83">
        <f>SUMIFS(F6301:F6462,K6301:K6462,"0",B6301:B6462,"5 1 3 9 8 12 31111 6 M59 95000 000139 0000L 00001 00398 015 2111100*")</f>
        <v>11500</v>
      </c>
      <c r="G6300" s="83">
        <f>SUMIFS(G6301:G6462,K6301:K6462,"0",B6301:B6462,"5 1 3 9 8 12 31111 6 M59 95000 000139 0000L 00001 00398 015 2111100*")</f>
        <v>0</v>
      </c>
      <c r="H6300" s="83">
        <f t="shared" si="98"/>
        <v>11500</v>
      </c>
      <c r="I6300" s="83"/>
      <c r="K6300" s="54" t="s">
        <v>15</v>
      </c>
    </row>
    <row r="6301" spans="2:11" ht="33" x14ac:dyDescent="0.2">
      <c r="B6301" s="82" t="s">
        <v>9857</v>
      </c>
      <c r="C6301" s="82" t="s">
        <v>660</v>
      </c>
      <c r="D6301" s="83">
        <f>SUMIFS(D6302:D6462,K6302:K6462,"0",B6302:B6462,"5 1 3 9 8 12 31111 6 M59 95000 000139 0000L 00001 00398 015 2111100 2024*")-SUMIFS(E6302:E6462,K6302:K6462,"0",B6302:B6462,"5 1 3 9 8 12 31111 6 M59 95000 000139 0000L 00001 00398 015 2111100 2024*")</f>
        <v>0</v>
      </c>
      <c r="E6301" s="54"/>
      <c r="F6301" s="83">
        <f>SUMIFS(F6302:F6462,K6302:K6462,"0",B6302:B6462,"5 1 3 9 8 12 31111 6 M59 95000 000139 0000L 00001 00398 015 2111100 2024*")</f>
        <v>11500</v>
      </c>
      <c r="G6301" s="83">
        <f>SUMIFS(G6302:G6462,K6302:K6462,"0",B6302:B6462,"5 1 3 9 8 12 31111 6 M59 95000 000139 0000L 00001 00398 015 2111100 2024*")</f>
        <v>0</v>
      </c>
      <c r="H6301" s="83">
        <f t="shared" si="98"/>
        <v>11500</v>
      </c>
      <c r="I6301" s="83"/>
      <c r="K6301" s="54" t="s">
        <v>15</v>
      </c>
    </row>
    <row r="6302" spans="2:11" ht="41.25" x14ac:dyDescent="0.2">
      <c r="B6302" s="82" t="s">
        <v>9858</v>
      </c>
      <c r="C6302" s="82" t="s">
        <v>1056</v>
      </c>
      <c r="D6302" s="83">
        <f>SUMIFS(D6303:D6462,K6303:K6462,"0",B6303:B6462,"5 1 3 9 8 12 31111 6 M59 95000 000139 0000L 00001 00398 015 2111100 2024 CP1AJ437*")-SUMIFS(E6303:E6462,K6303:K6462,"0",B6303:B6462,"5 1 3 9 8 12 31111 6 M59 95000 000139 0000L 00001 00398 015 2111100 2024 CP1AJ437*")</f>
        <v>0</v>
      </c>
      <c r="E6302" s="54"/>
      <c r="F6302" s="83">
        <f>SUMIFS(F6303:F6462,K6303:K6462,"0",B6303:B6462,"5 1 3 9 8 12 31111 6 M59 95000 000139 0000L 00001 00398 015 2111100 2024 CP1AJ437*")</f>
        <v>11500</v>
      </c>
      <c r="G6302" s="83">
        <f>SUMIFS(G6303:G6462,K6303:K6462,"0",B6303:B6462,"5 1 3 9 8 12 31111 6 M59 95000 000139 0000L 00001 00398 015 2111100 2024 CP1AJ437*")</f>
        <v>0</v>
      </c>
      <c r="H6302" s="83">
        <f t="shared" si="98"/>
        <v>11500</v>
      </c>
      <c r="I6302" s="83"/>
      <c r="K6302" s="54" t="s">
        <v>15</v>
      </c>
    </row>
    <row r="6303" spans="2:11" ht="41.25" x14ac:dyDescent="0.2">
      <c r="B6303" s="82" t="s">
        <v>9859</v>
      </c>
      <c r="C6303" s="82" t="s">
        <v>282</v>
      </c>
      <c r="D6303" s="83">
        <f>SUMIFS(D6304:D6462,K6304:K6462,"0",B6304:B6462,"5 1 3 9 8 12 31111 6 M59 95000 000139 0000L 00001 00398 015 2111100 2024 CP1AJ437 001*")-SUMIFS(E6304:E6462,K6304:K6462,"0",B6304:B6462,"5 1 3 9 8 12 31111 6 M59 95000 000139 0000L 00001 00398 015 2111100 2024 CP1AJ437 001*")</f>
        <v>0</v>
      </c>
      <c r="E6303" s="54"/>
      <c r="F6303" s="83">
        <f>SUMIFS(F6304:F6462,K6304:K6462,"0",B6304:B6462,"5 1 3 9 8 12 31111 6 M59 95000 000139 0000L 00001 00398 015 2111100 2024 CP1AJ437 001*")</f>
        <v>11500</v>
      </c>
      <c r="G6303" s="83">
        <f>SUMIFS(G6304:G6462,K6304:K6462,"0",B6304:B6462,"5 1 3 9 8 12 31111 6 M59 95000 000139 0000L 00001 00398 015 2111100 2024 CP1AJ437 001*")</f>
        <v>0</v>
      </c>
      <c r="H6303" s="83">
        <f t="shared" si="98"/>
        <v>11500</v>
      </c>
      <c r="I6303" s="83"/>
      <c r="K6303" s="54" t="s">
        <v>15</v>
      </c>
    </row>
    <row r="6304" spans="2:11" ht="33" x14ac:dyDescent="0.2">
      <c r="B6304" s="84" t="s">
        <v>9860</v>
      </c>
      <c r="C6304" s="84" t="s">
        <v>9254</v>
      </c>
      <c r="D6304" s="85">
        <v>0</v>
      </c>
      <c r="E6304" s="85"/>
      <c r="F6304" s="85">
        <v>11500</v>
      </c>
      <c r="G6304" s="85">
        <v>0</v>
      </c>
      <c r="H6304" s="85">
        <f t="shared" si="98"/>
        <v>11500</v>
      </c>
      <c r="I6304" s="85"/>
      <c r="K6304" s="54" t="s">
        <v>38</v>
      </c>
    </row>
    <row r="6305" spans="2:11" ht="16.5" x14ac:dyDescent="0.2">
      <c r="B6305" s="82" t="s">
        <v>9861</v>
      </c>
      <c r="C6305" s="82" t="s">
        <v>3681</v>
      </c>
      <c r="D6305" s="83">
        <f>SUMIFS(D6306:D6462,K6306:K6462,"0",B6306:B6462,"5 1 3 9 8 12 31111 6 M59 96000*")-SUMIFS(E6306:E6462,K6306:K6462,"0",B6306:B6462,"5 1 3 9 8 12 31111 6 M59 96000*")</f>
        <v>0</v>
      </c>
      <c r="E6305" s="54"/>
      <c r="F6305" s="83">
        <f>SUMIFS(F6306:F6462,K6306:K6462,"0",B6306:B6462,"5 1 3 9 8 12 31111 6 M59 96000*")</f>
        <v>5794.19</v>
      </c>
      <c r="G6305" s="83">
        <f>SUMIFS(G6306:G6462,K6306:K6462,"0",B6306:B6462,"5 1 3 9 8 12 31111 6 M59 96000*")</f>
        <v>0</v>
      </c>
      <c r="H6305" s="83">
        <f t="shared" si="98"/>
        <v>5794.19</v>
      </c>
      <c r="I6305" s="83"/>
      <c r="K6305" s="54" t="s">
        <v>15</v>
      </c>
    </row>
    <row r="6306" spans="2:11" ht="16.5" x14ac:dyDescent="0.2">
      <c r="B6306" s="82" t="s">
        <v>9862</v>
      </c>
      <c r="C6306" s="82" t="s">
        <v>648</v>
      </c>
      <c r="D6306" s="83">
        <f>SUMIFS(D6307:D6462,K6307:K6462,"0",B6307:B6462,"5 1 3 9 8 12 31111 6 M59 96000 000132*")-SUMIFS(E6307:E6462,K6307:K6462,"0",B6307:B6462,"5 1 3 9 8 12 31111 6 M59 96000 000132*")</f>
        <v>0</v>
      </c>
      <c r="E6306" s="54"/>
      <c r="F6306" s="83">
        <f>SUMIFS(F6307:F6462,K6307:K6462,"0",B6307:B6462,"5 1 3 9 8 12 31111 6 M59 96000 000132*")</f>
        <v>5794.19</v>
      </c>
      <c r="G6306" s="83">
        <f>SUMIFS(G6307:G6462,K6307:K6462,"0",B6307:B6462,"5 1 3 9 8 12 31111 6 M59 96000 000132*")</f>
        <v>0</v>
      </c>
      <c r="H6306" s="83">
        <f t="shared" si="98"/>
        <v>5794.19</v>
      </c>
      <c r="I6306" s="83"/>
      <c r="K6306" s="54" t="s">
        <v>15</v>
      </c>
    </row>
    <row r="6307" spans="2:11" ht="24.75" x14ac:dyDescent="0.2">
      <c r="B6307" s="82" t="s">
        <v>9863</v>
      </c>
      <c r="C6307" s="82" t="s">
        <v>650</v>
      </c>
      <c r="D6307" s="83">
        <f>SUMIFS(D6308:D6462,K6308:K6462,"0",B6308:B6462,"5 1 3 9 8 12 31111 6 M59 96000 000132 0000R*")-SUMIFS(E6308:E6462,K6308:K6462,"0",B6308:B6462,"5 1 3 9 8 12 31111 6 M59 96000 000132 0000R*")</f>
        <v>0</v>
      </c>
      <c r="E6307" s="54"/>
      <c r="F6307" s="83">
        <f>SUMIFS(F6308:F6462,K6308:K6462,"0",B6308:B6462,"5 1 3 9 8 12 31111 6 M59 96000 000132 0000R*")</f>
        <v>5794.19</v>
      </c>
      <c r="G6307" s="83">
        <f>SUMIFS(G6308:G6462,K6308:K6462,"0",B6308:B6462,"5 1 3 9 8 12 31111 6 M59 96000 000132 0000R*")</f>
        <v>0</v>
      </c>
      <c r="H6307" s="83">
        <f t="shared" si="98"/>
        <v>5794.19</v>
      </c>
      <c r="I6307" s="83"/>
      <c r="K6307" s="54" t="s">
        <v>15</v>
      </c>
    </row>
    <row r="6308" spans="2:11" ht="24.75" x14ac:dyDescent="0.2">
      <c r="B6308" s="82" t="s">
        <v>9864</v>
      </c>
      <c r="C6308" s="82" t="s">
        <v>282</v>
      </c>
      <c r="D6308" s="83">
        <f>SUMIFS(D6309:D6462,K6309:K6462,"0",B6309:B6462,"5 1 3 9 8 12 31111 6 M59 96000 000132 0000R 00001*")-SUMIFS(E6309:E6462,K6309:K6462,"0",B6309:B6462,"5 1 3 9 8 12 31111 6 M59 96000 000132 0000R 00001*")</f>
        <v>0</v>
      </c>
      <c r="E6308" s="54"/>
      <c r="F6308" s="83">
        <f>SUMIFS(F6309:F6462,K6309:K6462,"0",B6309:B6462,"5 1 3 9 8 12 31111 6 M59 96000 000132 0000R 00001*")</f>
        <v>5794.19</v>
      </c>
      <c r="G6308" s="83">
        <f>SUMIFS(G6309:G6462,K6309:K6462,"0",B6309:B6462,"5 1 3 9 8 12 31111 6 M59 96000 000132 0000R 00001*")</f>
        <v>0</v>
      </c>
      <c r="H6308" s="83">
        <f t="shared" si="98"/>
        <v>5794.19</v>
      </c>
      <c r="I6308" s="83"/>
      <c r="K6308" s="54" t="s">
        <v>15</v>
      </c>
    </row>
    <row r="6309" spans="2:11" ht="24.75" x14ac:dyDescent="0.2">
      <c r="B6309" s="82" t="s">
        <v>9865</v>
      </c>
      <c r="C6309" s="82" t="s">
        <v>9247</v>
      </c>
      <c r="D6309" s="83">
        <f>SUMIFS(D6310:D6462,K6310:K6462,"0",B6310:B6462,"5 1 3 9 8 12 31111 6 M59 96000 000132 0000R 00001 00398*")-SUMIFS(E6310:E6462,K6310:K6462,"0",B6310:B6462,"5 1 3 9 8 12 31111 6 M59 96000 000132 0000R 00001 00398*")</f>
        <v>0</v>
      </c>
      <c r="E6309" s="54"/>
      <c r="F6309" s="83">
        <f>SUMIFS(F6310:F6462,K6310:K6462,"0",B6310:B6462,"5 1 3 9 8 12 31111 6 M59 96000 000132 0000R 00001 00398*")</f>
        <v>5794.19</v>
      </c>
      <c r="G6309" s="83">
        <f>SUMIFS(G6310:G6462,K6310:K6462,"0",B6310:B6462,"5 1 3 9 8 12 31111 6 M59 96000 000132 0000R 00001 00398*")</f>
        <v>0</v>
      </c>
      <c r="H6309" s="83">
        <f t="shared" si="98"/>
        <v>5794.19</v>
      </c>
      <c r="I6309" s="83"/>
      <c r="K6309" s="54" t="s">
        <v>15</v>
      </c>
    </row>
    <row r="6310" spans="2:11" ht="33" x14ac:dyDescent="0.2">
      <c r="B6310" s="82" t="s">
        <v>9866</v>
      </c>
      <c r="C6310" s="82" t="s">
        <v>1051</v>
      </c>
      <c r="D6310" s="83">
        <f>SUMIFS(D6311:D6462,K6311:K6462,"0",B6311:B6462,"5 1 3 9 8 12 31111 6 M59 96000 000132 0000R 00001 00398 015*")-SUMIFS(E6311:E6462,K6311:K6462,"0",B6311:B6462,"5 1 3 9 8 12 31111 6 M59 96000 000132 0000R 00001 00398 015*")</f>
        <v>0</v>
      </c>
      <c r="E6310" s="54"/>
      <c r="F6310" s="83">
        <f>SUMIFS(F6311:F6462,K6311:K6462,"0",B6311:B6462,"5 1 3 9 8 12 31111 6 M59 96000 000132 0000R 00001 00398 015*")</f>
        <v>5794.19</v>
      </c>
      <c r="G6310" s="83">
        <f>SUMIFS(G6311:G6462,K6311:K6462,"0",B6311:B6462,"5 1 3 9 8 12 31111 6 M59 96000 000132 0000R 00001 00398 015*")</f>
        <v>0</v>
      </c>
      <c r="H6310" s="83">
        <f t="shared" si="98"/>
        <v>5794.19</v>
      </c>
      <c r="I6310" s="83"/>
      <c r="K6310" s="54" t="s">
        <v>15</v>
      </c>
    </row>
    <row r="6311" spans="2:11" ht="33" x14ac:dyDescent="0.2">
      <c r="B6311" s="82" t="s">
        <v>9867</v>
      </c>
      <c r="C6311" s="82" t="s">
        <v>8550</v>
      </c>
      <c r="D6311" s="83">
        <f>SUMIFS(D6312:D6462,K6312:K6462,"0",B6312:B6462,"5 1 3 9 8 12 31111 6 M59 96000 000132 0000R 00001 00398 015 2111300*")-SUMIFS(E6312:E6462,K6312:K6462,"0",B6312:B6462,"5 1 3 9 8 12 31111 6 M59 96000 000132 0000R 00001 00398 015 2111300*")</f>
        <v>0</v>
      </c>
      <c r="E6311" s="54"/>
      <c r="F6311" s="83">
        <f>SUMIFS(F6312:F6462,K6312:K6462,"0",B6312:B6462,"5 1 3 9 8 12 31111 6 M59 96000 000132 0000R 00001 00398 015 2111300*")</f>
        <v>5794.19</v>
      </c>
      <c r="G6311" s="83">
        <f>SUMIFS(G6312:G6462,K6312:K6462,"0",B6312:B6462,"5 1 3 9 8 12 31111 6 M59 96000 000132 0000R 00001 00398 015 2111300*")</f>
        <v>0</v>
      </c>
      <c r="H6311" s="83">
        <f t="shared" si="98"/>
        <v>5794.19</v>
      </c>
      <c r="I6311" s="83"/>
      <c r="K6311" s="54" t="s">
        <v>15</v>
      </c>
    </row>
    <row r="6312" spans="2:11" ht="33" x14ac:dyDescent="0.2">
      <c r="B6312" s="82" t="s">
        <v>9868</v>
      </c>
      <c r="C6312" s="82" t="s">
        <v>660</v>
      </c>
      <c r="D6312" s="83">
        <f>SUMIFS(D6313:D6462,K6313:K6462,"0",B6313:B6462,"5 1 3 9 8 12 31111 6 M59 96000 000132 0000R 00001 00398 015 2111300 2024*")-SUMIFS(E6313:E6462,K6313:K6462,"0",B6313:B6462,"5 1 3 9 8 12 31111 6 M59 96000 000132 0000R 00001 00398 015 2111300 2024*")</f>
        <v>0</v>
      </c>
      <c r="E6312" s="54"/>
      <c r="F6312" s="83">
        <f>SUMIFS(F6313:F6462,K6313:K6462,"0",B6313:B6462,"5 1 3 9 8 12 31111 6 M59 96000 000132 0000R 00001 00398 015 2111300 2024*")</f>
        <v>5794.19</v>
      </c>
      <c r="G6312" s="83">
        <f>SUMIFS(G6313:G6462,K6313:K6462,"0",B6313:B6462,"5 1 3 9 8 12 31111 6 M59 96000 000132 0000R 00001 00398 015 2111300 2024*")</f>
        <v>0</v>
      </c>
      <c r="H6312" s="83">
        <f t="shared" si="98"/>
        <v>5794.19</v>
      </c>
      <c r="I6312" s="83"/>
      <c r="K6312" s="54" t="s">
        <v>15</v>
      </c>
    </row>
    <row r="6313" spans="2:11" ht="41.25" x14ac:dyDescent="0.2">
      <c r="B6313" s="82" t="s">
        <v>9869</v>
      </c>
      <c r="C6313" s="82" t="s">
        <v>662</v>
      </c>
      <c r="D6313" s="83">
        <f>SUMIFS(D6314:D6462,K6314:K6462,"0",B6314:B6462,"5 1 3 9 8 12 31111 6 M59 96000 000132 0000R 00001 00398 015 2111300 2024 CP1PA379*")-SUMIFS(E6314:E6462,K6314:K6462,"0",B6314:B6462,"5 1 3 9 8 12 31111 6 M59 96000 000132 0000R 00001 00398 015 2111300 2024 CP1PA379*")</f>
        <v>0</v>
      </c>
      <c r="E6313" s="54"/>
      <c r="F6313" s="83">
        <f>SUMIFS(F6314:F6462,K6314:K6462,"0",B6314:B6462,"5 1 3 9 8 12 31111 6 M59 96000 000132 0000R 00001 00398 015 2111300 2024 CP1PA379*")</f>
        <v>5794.19</v>
      </c>
      <c r="G6313" s="83">
        <f>SUMIFS(G6314:G6462,K6314:K6462,"0",B6314:B6462,"5 1 3 9 8 12 31111 6 M59 96000 000132 0000R 00001 00398 015 2111300 2024 CP1PA379*")</f>
        <v>0</v>
      </c>
      <c r="H6313" s="83">
        <f t="shared" si="98"/>
        <v>5794.19</v>
      </c>
      <c r="I6313" s="83"/>
      <c r="K6313" s="54" t="s">
        <v>15</v>
      </c>
    </row>
    <row r="6314" spans="2:11" ht="41.25" x14ac:dyDescent="0.2">
      <c r="B6314" s="82" t="s">
        <v>9870</v>
      </c>
      <c r="C6314" s="82" t="s">
        <v>282</v>
      </c>
      <c r="D6314" s="83">
        <f>SUMIFS(D6315:D6462,K6315:K6462,"0",B6315:B6462,"5 1 3 9 8 12 31111 6 M59 96000 000132 0000R 00001 00398 015 2111300 2024 CP1PA379 001*")-SUMIFS(E6315:E6462,K6315:K6462,"0",B6315:B6462,"5 1 3 9 8 12 31111 6 M59 96000 000132 0000R 00001 00398 015 2111300 2024 CP1PA379 001*")</f>
        <v>0</v>
      </c>
      <c r="E6314" s="54"/>
      <c r="F6314" s="83">
        <f>SUMIFS(F6315:F6462,K6315:K6462,"0",B6315:B6462,"5 1 3 9 8 12 31111 6 M59 96000 000132 0000R 00001 00398 015 2111300 2024 CP1PA379 001*")</f>
        <v>5794.19</v>
      </c>
      <c r="G6314" s="83">
        <f>SUMIFS(G6315:G6462,K6315:K6462,"0",B6315:B6462,"5 1 3 9 8 12 31111 6 M59 96000 000132 0000R 00001 00398 015 2111300 2024 CP1PA379 001*")</f>
        <v>0</v>
      </c>
      <c r="H6314" s="83">
        <f t="shared" si="98"/>
        <v>5794.19</v>
      </c>
      <c r="I6314" s="83"/>
      <c r="K6314" s="54" t="s">
        <v>15</v>
      </c>
    </row>
    <row r="6315" spans="2:11" ht="41.25" x14ac:dyDescent="0.2">
      <c r="B6315" s="84" t="s">
        <v>9871</v>
      </c>
      <c r="C6315" s="84" t="s">
        <v>9254</v>
      </c>
      <c r="D6315" s="85">
        <v>0</v>
      </c>
      <c r="E6315" s="85"/>
      <c r="F6315" s="85">
        <v>5794.19</v>
      </c>
      <c r="G6315" s="85">
        <v>0</v>
      </c>
      <c r="H6315" s="85">
        <f t="shared" ref="H6315:H6378" si="99">D6315 + F6315 - G6315</f>
        <v>5794.19</v>
      </c>
      <c r="I6315" s="85"/>
      <c r="K6315" s="54" t="s">
        <v>38</v>
      </c>
    </row>
    <row r="6316" spans="2:11" ht="16.5" x14ac:dyDescent="0.2">
      <c r="B6316" s="82" t="s">
        <v>9872</v>
      </c>
      <c r="C6316" s="82" t="s">
        <v>3693</v>
      </c>
      <c r="D6316" s="83">
        <f>SUMIFS(D6317:D6462,K6317:K6462,"0",B6317:B6462,"5 1 3 9 8 12 31111 6 M59 96100*")-SUMIFS(E6317:E6462,K6317:K6462,"0",B6317:B6462,"5 1 3 9 8 12 31111 6 M59 96100*")</f>
        <v>0</v>
      </c>
      <c r="E6316" s="54"/>
      <c r="F6316" s="83">
        <f>SUMIFS(F6317:F6462,K6317:K6462,"0",B6317:B6462,"5 1 3 9 8 12 31111 6 M59 96100*")</f>
        <v>38984.129999999997</v>
      </c>
      <c r="G6316" s="83">
        <f>SUMIFS(G6317:G6462,K6317:K6462,"0",B6317:B6462,"5 1 3 9 8 12 31111 6 M59 96100*")</f>
        <v>0</v>
      </c>
      <c r="H6316" s="83">
        <f t="shared" si="99"/>
        <v>38984.129999999997</v>
      </c>
      <c r="I6316" s="83"/>
      <c r="K6316" s="54" t="s">
        <v>15</v>
      </c>
    </row>
    <row r="6317" spans="2:11" ht="16.5" x14ac:dyDescent="0.2">
      <c r="B6317" s="82" t="s">
        <v>9873</v>
      </c>
      <c r="C6317" s="82" t="s">
        <v>1310</v>
      </c>
      <c r="D6317" s="83">
        <f>SUMIFS(D6318:D6462,K6318:K6462,"0",B6318:B6462,"5 1 3 9 8 12 31111 6 M59 96100 000211*")-SUMIFS(E6318:E6462,K6318:K6462,"0",B6318:B6462,"5 1 3 9 8 12 31111 6 M59 96100 000211*")</f>
        <v>0</v>
      </c>
      <c r="E6317" s="54"/>
      <c r="F6317" s="83">
        <f>SUMIFS(F6318:F6462,K6318:K6462,"0",B6318:B6462,"5 1 3 9 8 12 31111 6 M59 96100 000211*")</f>
        <v>38984.129999999997</v>
      </c>
      <c r="G6317" s="83">
        <f>SUMIFS(G6318:G6462,K6318:K6462,"0",B6318:B6462,"5 1 3 9 8 12 31111 6 M59 96100 000211*")</f>
        <v>0</v>
      </c>
      <c r="H6317" s="83">
        <f t="shared" si="99"/>
        <v>38984.129999999997</v>
      </c>
      <c r="I6317" s="83"/>
      <c r="K6317" s="54" t="s">
        <v>15</v>
      </c>
    </row>
    <row r="6318" spans="2:11" ht="24.75" x14ac:dyDescent="0.2">
      <c r="B6318" s="82" t="s">
        <v>9874</v>
      </c>
      <c r="C6318" s="82" t="s">
        <v>3696</v>
      </c>
      <c r="D6318" s="83">
        <f>SUMIFS(D6319:D6462,K6319:K6462,"0",B6319:B6462,"5 1 3 9 8 12 31111 6 M59 96100 000211 0000U*")-SUMIFS(E6319:E6462,K6319:K6462,"0",B6319:B6462,"5 1 3 9 8 12 31111 6 M59 96100 000211 0000U*")</f>
        <v>0</v>
      </c>
      <c r="E6318" s="54"/>
      <c r="F6318" s="83">
        <f>SUMIFS(F6319:F6462,K6319:K6462,"0",B6319:B6462,"5 1 3 9 8 12 31111 6 M59 96100 000211 0000U*")</f>
        <v>38984.129999999997</v>
      </c>
      <c r="G6318" s="83">
        <f>SUMIFS(G6319:G6462,K6319:K6462,"0",B6319:B6462,"5 1 3 9 8 12 31111 6 M59 96100 000211 0000U*")</f>
        <v>0</v>
      </c>
      <c r="H6318" s="83">
        <f t="shared" si="99"/>
        <v>38984.129999999997</v>
      </c>
      <c r="I6318" s="83"/>
      <c r="K6318" s="54" t="s">
        <v>15</v>
      </c>
    </row>
    <row r="6319" spans="2:11" ht="24.75" x14ac:dyDescent="0.2">
      <c r="B6319" s="82" t="s">
        <v>9875</v>
      </c>
      <c r="C6319" s="82" t="s">
        <v>282</v>
      </c>
      <c r="D6319" s="83">
        <f>SUMIFS(D6320:D6462,K6320:K6462,"0",B6320:B6462,"5 1 3 9 8 12 31111 6 M59 96100 000211 0000U 00001*")-SUMIFS(E6320:E6462,K6320:K6462,"0",B6320:B6462,"5 1 3 9 8 12 31111 6 M59 96100 000211 0000U 00001*")</f>
        <v>0</v>
      </c>
      <c r="E6319" s="54"/>
      <c r="F6319" s="83">
        <f>SUMIFS(F6320:F6462,K6320:K6462,"0",B6320:B6462,"5 1 3 9 8 12 31111 6 M59 96100 000211 0000U 00001*")</f>
        <v>38984.129999999997</v>
      </c>
      <c r="G6319" s="83">
        <f>SUMIFS(G6320:G6462,K6320:K6462,"0",B6320:B6462,"5 1 3 9 8 12 31111 6 M59 96100 000211 0000U 00001*")</f>
        <v>0</v>
      </c>
      <c r="H6319" s="83">
        <f t="shared" si="99"/>
        <v>38984.129999999997</v>
      </c>
      <c r="I6319" s="83"/>
      <c r="K6319" s="54" t="s">
        <v>15</v>
      </c>
    </row>
    <row r="6320" spans="2:11" ht="24.75" x14ac:dyDescent="0.2">
      <c r="B6320" s="82" t="s">
        <v>9876</v>
      </c>
      <c r="C6320" s="82" t="s">
        <v>9247</v>
      </c>
      <c r="D6320" s="83">
        <f>SUMIFS(D6321:D6462,K6321:K6462,"0",B6321:B6462,"5 1 3 9 8 12 31111 6 M59 96100 000211 0000U 00001 00398*")-SUMIFS(E6321:E6462,K6321:K6462,"0",B6321:B6462,"5 1 3 9 8 12 31111 6 M59 96100 000211 0000U 00001 00398*")</f>
        <v>0</v>
      </c>
      <c r="E6320" s="54"/>
      <c r="F6320" s="83">
        <f>SUMIFS(F6321:F6462,K6321:K6462,"0",B6321:B6462,"5 1 3 9 8 12 31111 6 M59 96100 000211 0000U 00001 00398*")</f>
        <v>38984.129999999997</v>
      </c>
      <c r="G6320" s="83">
        <f>SUMIFS(G6321:G6462,K6321:K6462,"0",B6321:B6462,"5 1 3 9 8 12 31111 6 M59 96100 000211 0000U 00001 00398*")</f>
        <v>0</v>
      </c>
      <c r="H6320" s="83">
        <f t="shared" si="99"/>
        <v>38984.129999999997</v>
      </c>
      <c r="I6320" s="83"/>
      <c r="K6320" s="54" t="s">
        <v>15</v>
      </c>
    </row>
    <row r="6321" spans="2:11" ht="33" x14ac:dyDescent="0.2">
      <c r="B6321" s="82" t="s">
        <v>9877</v>
      </c>
      <c r="C6321" s="82" t="s">
        <v>1051</v>
      </c>
      <c r="D6321" s="83">
        <f>SUMIFS(D6322:D6462,K6322:K6462,"0",B6322:B6462,"5 1 3 9 8 12 31111 6 M59 96100 000211 0000U 00001 00398 015*")-SUMIFS(E6322:E6462,K6322:K6462,"0",B6322:B6462,"5 1 3 9 8 12 31111 6 M59 96100 000211 0000U 00001 00398 015*")</f>
        <v>0</v>
      </c>
      <c r="E6321" s="54"/>
      <c r="F6321" s="83">
        <f>SUMIFS(F6322:F6462,K6322:K6462,"0",B6322:B6462,"5 1 3 9 8 12 31111 6 M59 96100 000211 0000U 00001 00398 015*")</f>
        <v>38984.129999999997</v>
      </c>
      <c r="G6321" s="83">
        <f>SUMIFS(G6322:G6462,K6322:K6462,"0",B6322:B6462,"5 1 3 9 8 12 31111 6 M59 96100 000211 0000U 00001 00398 015*")</f>
        <v>0</v>
      </c>
      <c r="H6321" s="83">
        <f t="shared" si="99"/>
        <v>38984.129999999997</v>
      </c>
      <c r="I6321" s="83"/>
      <c r="K6321" s="54" t="s">
        <v>15</v>
      </c>
    </row>
    <row r="6322" spans="2:11" ht="33" x14ac:dyDescent="0.2">
      <c r="B6322" s="82" t="s">
        <v>9878</v>
      </c>
      <c r="C6322" s="82" t="s">
        <v>8550</v>
      </c>
      <c r="D6322" s="83">
        <f>SUMIFS(D6323:D6462,K6323:K6462,"0",B6323:B6462,"5 1 3 9 8 12 31111 6 M59 96100 000211 0000U 00001 00398 015 2111300*")-SUMIFS(E6323:E6462,K6323:K6462,"0",B6323:B6462,"5 1 3 9 8 12 31111 6 M59 96100 000211 0000U 00001 00398 015 2111300*")</f>
        <v>0</v>
      </c>
      <c r="E6322" s="54"/>
      <c r="F6322" s="83">
        <f>SUMIFS(F6323:F6462,K6323:K6462,"0",B6323:B6462,"5 1 3 9 8 12 31111 6 M59 96100 000211 0000U 00001 00398 015 2111300*")</f>
        <v>38984.129999999997</v>
      </c>
      <c r="G6322" s="83">
        <f>SUMIFS(G6323:G6462,K6323:K6462,"0",B6323:B6462,"5 1 3 9 8 12 31111 6 M59 96100 000211 0000U 00001 00398 015 2111300*")</f>
        <v>0</v>
      </c>
      <c r="H6322" s="83">
        <f t="shared" si="99"/>
        <v>38984.129999999997</v>
      </c>
      <c r="I6322" s="83"/>
      <c r="K6322" s="54" t="s">
        <v>15</v>
      </c>
    </row>
    <row r="6323" spans="2:11" ht="33" x14ac:dyDescent="0.2">
      <c r="B6323" s="82" t="s">
        <v>9879</v>
      </c>
      <c r="C6323" s="82" t="s">
        <v>660</v>
      </c>
      <c r="D6323" s="83">
        <f>SUMIFS(D6324:D6462,K6324:K6462,"0",B6324:B6462,"5 1 3 9 8 12 31111 6 M59 96100 000211 0000U 00001 00398 015 2111300 2024*")-SUMIFS(E6324:E6462,K6324:K6462,"0",B6324:B6462,"5 1 3 9 8 12 31111 6 M59 96100 000211 0000U 00001 00398 015 2111300 2024*")</f>
        <v>0</v>
      </c>
      <c r="E6323" s="54"/>
      <c r="F6323" s="83">
        <f>SUMIFS(F6324:F6462,K6324:K6462,"0",B6324:B6462,"5 1 3 9 8 12 31111 6 M59 96100 000211 0000U 00001 00398 015 2111300 2024*")</f>
        <v>38984.129999999997</v>
      </c>
      <c r="G6323" s="83">
        <f>SUMIFS(G6324:G6462,K6324:K6462,"0",B6324:B6462,"5 1 3 9 8 12 31111 6 M59 96100 000211 0000U 00001 00398 015 2111300 2024*")</f>
        <v>0</v>
      </c>
      <c r="H6323" s="83">
        <f t="shared" si="99"/>
        <v>38984.129999999997</v>
      </c>
      <c r="I6323" s="83"/>
      <c r="K6323" s="54" t="s">
        <v>15</v>
      </c>
    </row>
    <row r="6324" spans="2:11" ht="41.25" x14ac:dyDescent="0.2">
      <c r="B6324" s="82" t="s">
        <v>9880</v>
      </c>
      <c r="C6324" s="82" t="s">
        <v>1056</v>
      </c>
      <c r="D6324" s="83">
        <f>SUMIFS(D6325:D6462,K6325:K6462,"0",B6325:B6462,"5 1 3 9 8 12 31111 6 M59 96100 000211 0000U 00001 00398 015 2111300 2024 CP1IU412*")-SUMIFS(E6325:E6462,K6325:K6462,"0",B6325:B6462,"5 1 3 9 8 12 31111 6 M59 96100 000211 0000U 00001 00398 015 2111300 2024 CP1IU412*")</f>
        <v>0</v>
      </c>
      <c r="E6324" s="54"/>
      <c r="F6324" s="83">
        <f>SUMIFS(F6325:F6462,K6325:K6462,"0",B6325:B6462,"5 1 3 9 8 12 31111 6 M59 96100 000211 0000U 00001 00398 015 2111300 2024 CP1IU412*")</f>
        <v>38984.129999999997</v>
      </c>
      <c r="G6324" s="83">
        <f>SUMIFS(G6325:G6462,K6325:K6462,"0",B6325:B6462,"5 1 3 9 8 12 31111 6 M59 96100 000211 0000U 00001 00398 015 2111300 2024 CP1IU412*")</f>
        <v>0</v>
      </c>
      <c r="H6324" s="83">
        <f t="shared" si="99"/>
        <v>38984.129999999997</v>
      </c>
      <c r="I6324" s="83"/>
      <c r="K6324" s="54" t="s">
        <v>15</v>
      </c>
    </row>
    <row r="6325" spans="2:11" ht="41.25" x14ac:dyDescent="0.2">
      <c r="B6325" s="82" t="s">
        <v>9881</v>
      </c>
      <c r="C6325" s="82" t="s">
        <v>282</v>
      </c>
      <c r="D6325" s="83">
        <f>SUMIFS(D6326:D6462,K6326:K6462,"0",B6326:B6462,"5 1 3 9 8 12 31111 6 M59 96100 000211 0000U 00001 00398 015 2111300 2024 CP1IU412 001*")-SUMIFS(E6326:E6462,K6326:K6462,"0",B6326:B6462,"5 1 3 9 8 12 31111 6 M59 96100 000211 0000U 00001 00398 015 2111300 2024 CP1IU412 001*")</f>
        <v>0</v>
      </c>
      <c r="E6325" s="54"/>
      <c r="F6325" s="83">
        <f>SUMIFS(F6326:F6462,K6326:K6462,"0",B6326:B6462,"5 1 3 9 8 12 31111 6 M59 96100 000211 0000U 00001 00398 015 2111300 2024 CP1IU412 001*")</f>
        <v>38984.129999999997</v>
      </c>
      <c r="G6325" s="83">
        <f>SUMIFS(G6326:G6462,K6326:K6462,"0",B6326:B6462,"5 1 3 9 8 12 31111 6 M59 96100 000211 0000U 00001 00398 015 2111300 2024 CP1IU412 001*")</f>
        <v>0</v>
      </c>
      <c r="H6325" s="83">
        <f t="shared" si="99"/>
        <v>38984.129999999997</v>
      </c>
      <c r="I6325" s="83"/>
      <c r="K6325" s="54" t="s">
        <v>15</v>
      </c>
    </row>
    <row r="6326" spans="2:11" ht="33" x14ac:dyDescent="0.2">
      <c r="B6326" s="84" t="s">
        <v>9882</v>
      </c>
      <c r="C6326" s="84" t="s">
        <v>9254</v>
      </c>
      <c r="D6326" s="85">
        <v>0</v>
      </c>
      <c r="E6326" s="85"/>
      <c r="F6326" s="85">
        <v>38984.129999999997</v>
      </c>
      <c r="G6326" s="85">
        <v>0</v>
      </c>
      <c r="H6326" s="85">
        <f t="shared" si="99"/>
        <v>38984.129999999997</v>
      </c>
      <c r="I6326" s="85"/>
      <c r="K6326" s="54" t="s">
        <v>38</v>
      </c>
    </row>
    <row r="6327" spans="2:11" ht="16.5" x14ac:dyDescent="0.2">
      <c r="B6327" s="82" t="s">
        <v>9883</v>
      </c>
      <c r="C6327" s="82" t="s">
        <v>3706</v>
      </c>
      <c r="D6327" s="83">
        <f>SUMIFS(D6328:D6462,K6328:K6462,"0",B6328:B6462,"5 1 3 9 8 12 31111 6 M59 96200*")-SUMIFS(E6328:E6462,K6328:K6462,"0",B6328:B6462,"5 1 3 9 8 12 31111 6 M59 96200*")</f>
        <v>0</v>
      </c>
      <c r="E6327" s="54"/>
      <c r="F6327" s="83">
        <f>SUMIFS(F6328:F6462,K6328:K6462,"0",B6328:B6462,"5 1 3 9 8 12 31111 6 M59 96200*")</f>
        <v>19784.62</v>
      </c>
      <c r="G6327" s="83">
        <f>SUMIFS(G6328:G6462,K6328:K6462,"0",B6328:B6462,"5 1 3 9 8 12 31111 6 M59 96200*")</f>
        <v>0</v>
      </c>
      <c r="H6327" s="83">
        <f t="shared" si="99"/>
        <v>19784.62</v>
      </c>
      <c r="I6327" s="83"/>
      <c r="K6327" s="54" t="s">
        <v>15</v>
      </c>
    </row>
    <row r="6328" spans="2:11" ht="16.5" x14ac:dyDescent="0.2">
      <c r="B6328" s="82" t="s">
        <v>9884</v>
      </c>
      <c r="C6328" s="82" t="s">
        <v>648</v>
      </c>
      <c r="D6328" s="83">
        <f>SUMIFS(D6329:D6462,K6329:K6462,"0",B6329:B6462,"5 1 3 9 8 12 31111 6 M59 96200 000132*")-SUMIFS(E6329:E6462,K6329:K6462,"0",B6329:B6462,"5 1 3 9 8 12 31111 6 M59 96200 000132*")</f>
        <v>0</v>
      </c>
      <c r="E6328" s="54"/>
      <c r="F6328" s="83">
        <f>SUMIFS(F6329:F6462,K6329:K6462,"0",B6329:B6462,"5 1 3 9 8 12 31111 6 M59 96200 000132*")</f>
        <v>19784.62</v>
      </c>
      <c r="G6328" s="83">
        <f>SUMIFS(G6329:G6462,K6329:K6462,"0",B6329:B6462,"5 1 3 9 8 12 31111 6 M59 96200 000132*")</f>
        <v>0</v>
      </c>
      <c r="H6328" s="83">
        <f t="shared" si="99"/>
        <v>19784.62</v>
      </c>
      <c r="I6328" s="83"/>
      <c r="K6328" s="54" t="s">
        <v>15</v>
      </c>
    </row>
    <row r="6329" spans="2:11" ht="24.75" x14ac:dyDescent="0.2">
      <c r="B6329" s="82" t="s">
        <v>9885</v>
      </c>
      <c r="C6329" s="82" t="s">
        <v>650</v>
      </c>
      <c r="D6329" s="83">
        <f>SUMIFS(D6330:D6462,K6330:K6462,"0",B6330:B6462,"5 1 3 9 8 12 31111 6 M59 96200 000132 0000R*")-SUMIFS(E6330:E6462,K6330:K6462,"0",B6330:B6462,"5 1 3 9 8 12 31111 6 M59 96200 000132 0000R*")</f>
        <v>0</v>
      </c>
      <c r="E6329" s="54"/>
      <c r="F6329" s="83">
        <f>SUMIFS(F6330:F6462,K6330:K6462,"0",B6330:B6462,"5 1 3 9 8 12 31111 6 M59 96200 000132 0000R*")</f>
        <v>19784.62</v>
      </c>
      <c r="G6329" s="83">
        <f>SUMIFS(G6330:G6462,K6330:K6462,"0",B6330:B6462,"5 1 3 9 8 12 31111 6 M59 96200 000132 0000R*")</f>
        <v>0</v>
      </c>
      <c r="H6329" s="83">
        <f t="shared" si="99"/>
        <v>19784.62</v>
      </c>
      <c r="I6329" s="83"/>
      <c r="K6329" s="54" t="s">
        <v>15</v>
      </c>
    </row>
    <row r="6330" spans="2:11" ht="24.75" x14ac:dyDescent="0.2">
      <c r="B6330" s="82" t="s">
        <v>9886</v>
      </c>
      <c r="C6330" s="82" t="s">
        <v>282</v>
      </c>
      <c r="D6330" s="83">
        <f>SUMIFS(D6331:D6462,K6331:K6462,"0",B6331:B6462,"5 1 3 9 8 12 31111 6 M59 96200 000132 0000R 00001*")-SUMIFS(E6331:E6462,K6331:K6462,"0",B6331:B6462,"5 1 3 9 8 12 31111 6 M59 96200 000132 0000R 00001*")</f>
        <v>0</v>
      </c>
      <c r="E6330" s="54"/>
      <c r="F6330" s="83">
        <f>SUMIFS(F6331:F6462,K6331:K6462,"0",B6331:B6462,"5 1 3 9 8 12 31111 6 M59 96200 000132 0000R 00001*")</f>
        <v>19784.62</v>
      </c>
      <c r="G6330" s="83">
        <f>SUMIFS(G6331:G6462,K6331:K6462,"0",B6331:B6462,"5 1 3 9 8 12 31111 6 M59 96200 000132 0000R 00001*")</f>
        <v>0</v>
      </c>
      <c r="H6330" s="83">
        <f t="shared" si="99"/>
        <v>19784.62</v>
      </c>
      <c r="I6330" s="83"/>
      <c r="K6330" s="54" t="s">
        <v>15</v>
      </c>
    </row>
    <row r="6331" spans="2:11" ht="24.75" x14ac:dyDescent="0.2">
      <c r="B6331" s="82" t="s">
        <v>9887</v>
      </c>
      <c r="C6331" s="82" t="s">
        <v>9247</v>
      </c>
      <c r="D6331" s="83">
        <f>SUMIFS(D6332:D6462,K6332:K6462,"0",B6332:B6462,"5 1 3 9 8 12 31111 6 M59 96200 000132 0000R 00001 00398*")-SUMIFS(E6332:E6462,K6332:K6462,"0",B6332:B6462,"5 1 3 9 8 12 31111 6 M59 96200 000132 0000R 00001 00398*")</f>
        <v>0</v>
      </c>
      <c r="E6331" s="54"/>
      <c r="F6331" s="83">
        <f>SUMIFS(F6332:F6462,K6332:K6462,"0",B6332:B6462,"5 1 3 9 8 12 31111 6 M59 96200 000132 0000R 00001 00398*")</f>
        <v>19784.62</v>
      </c>
      <c r="G6331" s="83">
        <f>SUMIFS(G6332:G6462,K6332:K6462,"0",B6332:B6462,"5 1 3 9 8 12 31111 6 M59 96200 000132 0000R 00001 00398*")</f>
        <v>0</v>
      </c>
      <c r="H6331" s="83">
        <f t="shared" si="99"/>
        <v>19784.62</v>
      </c>
      <c r="I6331" s="83"/>
      <c r="K6331" s="54" t="s">
        <v>15</v>
      </c>
    </row>
    <row r="6332" spans="2:11" ht="33" x14ac:dyDescent="0.2">
      <c r="B6332" s="82" t="s">
        <v>9888</v>
      </c>
      <c r="C6332" s="82" t="s">
        <v>1051</v>
      </c>
      <c r="D6332" s="83">
        <f>SUMIFS(D6333:D6462,K6333:K6462,"0",B6333:B6462,"5 1 3 9 8 12 31111 6 M59 96200 000132 0000R 00001 00398 015*")-SUMIFS(E6333:E6462,K6333:K6462,"0",B6333:B6462,"5 1 3 9 8 12 31111 6 M59 96200 000132 0000R 00001 00398 015*")</f>
        <v>0</v>
      </c>
      <c r="E6332" s="54"/>
      <c r="F6332" s="83">
        <f>SUMIFS(F6333:F6462,K6333:K6462,"0",B6333:B6462,"5 1 3 9 8 12 31111 6 M59 96200 000132 0000R 00001 00398 015*")</f>
        <v>19784.62</v>
      </c>
      <c r="G6332" s="83">
        <f>SUMIFS(G6333:G6462,K6333:K6462,"0",B6333:B6462,"5 1 3 9 8 12 31111 6 M59 96200 000132 0000R 00001 00398 015*")</f>
        <v>0</v>
      </c>
      <c r="H6332" s="83">
        <f t="shared" si="99"/>
        <v>19784.62</v>
      </c>
      <c r="I6332" s="83"/>
      <c r="K6332" s="54" t="s">
        <v>15</v>
      </c>
    </row>
    <row r="6333" spans="2:11" ht="33" x14ac:dyDescent="0.2">
      <c r="B6333" s="82" t="s">
        <v>9889</v>
      </c>
      <c r="C6333" s="82" t="s">
        <v>8550</v>
      </c>
      <c r="D6333" s="83">
        <f>SUMIFS(D6334:D6462,K6334:K6462,"0",B6334:B6462,"5 1 3 9 8 12 31111 6 M59 96200 000132 0000R 00001 00398 015 2111300*")-SUMIFS(E6334:E6462,K6334:K6462,"0",B6334:B6462,"5 1 3 9 8 12 31111 6 M59 96200 000132 0000R 00001 00398 015 2111300*")</f>
        <v>0</v>
      </c>
      <c r="E6333" s="54"/>
      <c r="F6333" s="83">
        <f>SUMIFS(F6334:F6462,K6334:K6462,"0",B6334:B6462,"5 1 3 9 8 12 31111 6 M59 96200 000132 0000R 00001 00398 015 2111300*")</f>
        <v>19784.62</v>
      </c>
      <c r="G6333" s="83">
        <f>SUMIFS(G6334:G6462,K6334:K6462,"0",B6334:B6462,"5 1 3 9 8 12 31111 6 M59 96200 000132 0000R 00001 00398 015 2111300*")</f>
        <v>0</v>
      </c>
      <c r="H6333" s="83">
        <f t="shared" si="99"/>
        <v>19784.62</v>
      </c>
      <c r="I6333" s="83"/>
      <c r="K6333" s="54" t="s">
        <v>15</v>
      </c>
    </row>
    <row r="6334" spans="2:11" ht="33" x14ac:dyDescent="0.2">
      <c r="B6334" s="82" t="s">
        <v>9890</v>
      </c>
      <c r="C6334" s="82" t="s">
        <v>660</v>
      </c>
      <c r="D6334" s="83">
        <f>SUMIFS(D6335:D6462,K6335:K6462,"0",B6335:B6462,"5 1 3 9 8 12 31111 6 M59 96200 000132 0000R 00001 00398 015 2111300 2024*")-SUMIFS(E6335:E6462,K6335:K6462,"0",B6335:B6462,"5 1 3 9 8 12 31111 6 M59 96200 000132 0000R 00001 00398 015 2111300 2024*")</f>
        <v>0</v>
      </c>
      <c r="E6334" s="54"/>
      <c r="F6334" s="83">
        <f>SUMIFS(F6335:F6462,K6335:K6462,"0",B6335:B6462,"5 1 3 9 8 12 31111 6 M59 96200 000132 0000R 00001 00398 015 2111300 2024*")</f>
        <v>19784.62</v>
      </c>
      <c r="G6334" s="83">
        <f>SUMIFS(G6335:G6462,K6335:K6462,"0",B6335:B6462,"5 1 3 9 8 12 31111 6 M59 96200 000132 0000R 00001 00398 015 2111300 2024*")</f>
        <v>0</v>
      </c>
      <c r="H6334" s="83">
        <f t="shared" si="99"/>
        <v>19784.62</v>
      </c>
      <c r="I6334" s="83"/>
      <c r="K6334" s="54" t="s">
        <v>15</v>
      </c>
    </row>
    <row r="6335" spans="2:11" ht="41.25" x14ac:dyDescent="0.2">
      <c r="B6335" s="82" t="s">
        <v>9891</v>
      </c>
      <c r="C6335" s="82" t="s">
        <v>662</v>
      </c>
      <c r="D6335" s="83">
        <f>SUMIFS(D6336:D6462,K6336:K6462,"0",B6336:B6462,"5 1 3 9 8 12 31111 6 M59 96200 000132 0000R 00001 00398 015 2111300 2024 CP1AL423*")-SUMIFS(E6336:E6462,K6336:K6462,"0",B6336:B6462,"5 1 3 9 8 12 31111 6 M59 96200 000132 0000R 00001 00398 015 2111300 2024 CP1AL423*")</f>
        <v>0</v>
      </c>
      <c r="E6335" s="54"/>
      <c r="F6335" s="83">
        <f>SUMIFS(F6336:F6462,K6336:K6462,"0",B6336:B6462,"5 1 3 9 8 12 31111 6 M59 96200 000132 0000R 00001 00398 015 2111300 2024 CP1AL423*")</f>
        <v>19784.62</v>
      </c>
      <c r="G6335" s="83">
        <f>SUMIFS(G6336:G6462,K6336:K6462,"0",B6336:B6462,"5 1 3 9 8 12 31111 6 M59 96200 000132 0000R 00001 00398 015 2111300 2024 CP1AL423*")</f>
        <v>0</v>
      </c>
      <c r="H6335" s="83">
        <f t="shared" si="99"/>
        <v>19784.62</v>
      </c>
      <c r="I6335" s="83"/>
      <c r="K6335" s="54" t="s">
        <v>15</v>
      </c>
    </row>
    <row r="6336" spans="2:11" ht="41.25" x14ac:dyDescent="0.2">
      <c r="B6336" s="82" t="s">
        <v>9892</v>
      </c>
      <c r="C6336" s="82" t="s">
        <v>282</v>
      </c>
      <c r="D6336" s="83">
        <f>SUMIFS(D6337:D6462,K6337:K6462,"0",B6337:B6462,"5 1 3 9 8 12 31111 6 M59 96200 000132 0000R 00001 00398 015 2111300 2024 CP1AL423 001*")-SUMIFS(E6337:E6462,K6337:K6462,"0",B6337:B6462,"5 1 3 9 8 12 31111 6 M59 96200 000132 0000R 00001 00398 015 2111300 2024 CP1AL423 001*")</f>
        <v>0</v>
      </c>
      <c r="E6336" s="54"/>
      <c r="F6336" s="83">
        <f>SUMIFS(F6337:F6462,K6337:K6462,"0",B6337:B6462,"5 1 3 9 8 12 31111 6 M59 96200 000132 0000R 00001 00398 015 2111300 2024 CP1AL423 001*")</f>
        <v>19784.62</v>
      </c>
      <c r="G6336" s="83">
        <f>SUMIFS(G6337:G6462,K6337:K6462,"0",B6337:B6462,"5 1 3 9 8 12 31111 6 M59 96200 000132 0000R 00001 00398 015 2111300 2024 CP1AL423 001*")</f>
        <v>0</v>
      </c>
      <c r="H6336" s="83">
        <f t="shared" si="99"/>
        <v>19784.62</v>
      </c>
      <c r="I6336" s="83"/>
      <c r="K6336" s="54" t="s">
        <v>15</v>
      </c>
    </row>
    <row r="6337" spans="2:11" ht="41.25" x14ac:dyDescent="0.2">
      <c r="B6337" s="84" t="s">
        <v>9893</v>
      </c>
      <c r="C6337" s="84" t="s">
        <v>9254</v>
      </c>
      <c r="D6337" s="85">
        <v>0</v>
      </c>
      <c r="E6337" s="85"/>
      <c r="F6337" s="85">
        <v>19784.62</v>
      </c>
      <c r="G6337" s="85">
        <v>0</v>
      </c>
      <c r="H6337" s="85">
        <f t="shared" si="99"/>
        <v>19784.62</v>
      </c>
      <c r="I6337" s="85"/>
      <c r="K6337" s="54" t="s">
        <v>38</v>
      </c>
    </row>
    <row r="6338" spans="2:11" ht="16.5" x14ac:dyDescent="0.2">
      <c r="B6338" s="82" t="s">
        <v>9894</v>
      </c>
      <c r="C6338" s="82" t="s">
        <v>1308</v>
      </c>
      <c r="D6338" s="83">
        <f>SUMIFS(D6339:D6462,K6339:K6462,"0",B6339:B6462,"5 1 3 9 8 12 31111 6 M59 96300*")-SUMIFS(E6339:E6462,K6339:K6462,"0",B6339:B6462,"5 1 3 9 8 12 31111 6 M59 96300*")</f>
        <v>0</v>
      </c>
      <c r="E6338" s="54"/>
      <c r="F6338" s="83">
        <f>SUMIFS(F6339:F6462,K6339:K6462,"0",B6339:B6462,"5 1 3 9 8 12 31111 6 M59 96300*")</f>
        <v>213320.14</v>
      </c>
      <c r="G6338" s="83">
        <f>SUMIFS(G6339:G6462,K6339:K6462,"0",B6339:B6462,"5 1 3 9 8 12 31111 6 M59 96300*")</f>
        <v>0</v>
      </c>
      <c r="H6338" s="83">
        <f t="shared" si="99"/>
        <v>213320.14</v>
      </c>
      <c r="I6338" s="83"/>
      <c r="K6338" s="54" t="s">
        <v>15</v>
      </c>
    </row>
    <row r="6339" spans="2:11" ht="16.5" x14ac:dyDescent="0.2">
      <c r="B6339" s="82" t="s">
        <v>9895</v>
      </c>
      <c r="C6339" s="82" t="s">
        <v>1310</v>
      </c>
      <c r="D6339" s="83">
        <f>SUMIFS(D6340:D6462,K6340:K6462,"0",B6340:B6462,"5 1 3 9 8 12 31111 6 M59 96300 000211*")-SUMIFS(E6340:E6462,K6340:K6462,"0",B6340:B6462,"5 1 3 9 8 12 31111 6 M59 96300 000211*")</f>
        <v>0</v>
      </c>
      <c r="E6339" s="54"/>
      <c r="F6339" s="83">
        <f>SUMIFS(F6340:F6462,K6340:K6462,"0",B6340:B6462,"5 1 3 9 8 12 31111 6 M59 96300 000211*")</f>
        <v>213320.14</v>
      </c>
      <c r="G6339" s="83">
        <f>SUMIFS(G6340:G6462,K6340:K6462,"0",B6340:B6462,"5 1 3 9 8 12 31111 6 M59 96300 000211*")</f>
        <v>0</v>
      </c>
      <c r="H6339" s="83">
        <f t="shared" si="99"/>
        <v>213320.14</v>
      </c>
      <c r="I6339" s="83"/>
      <c r="K6339" s="54" t="s">
        <v>15</v>
      </c>
    </row>
    <row r="6340" spans="2:11" ht="24.75" x14ac:dyDescent="0.2">
      <c r="B6340" s="82" t="s">
        <v>9896</v>
      </c>
      <c r="C6340" s="82" t="s">
        <v>1065</v>
      </c>
      <c r="D6340" s="83">
        <f>SUMIFS(D6341:D6462,K6341:K6462,"0",B6341:B6462,"5 1 3 9 8 12 31111 6 M59 96300 000211 0000E*")-SUMIFS(E6341:E6462,K6341:K6462,"0",B6341:B6462,"5 1 3 9 8 12 31111 6 M59 96300 000211 0000E*")</f>
        <v>0</v>
      </c>
      <c r="E6340" s="54"/>
      <c r="F6340" s="83">
        <f>SUMIFS(F6341:F6462,K6341:K6462,"0",B6341:B6462,"5 1 3 9 8 12 31111 6 M59 96300 000211 0000E*")</f>
        <v>213320.14</v>
      </c>
      <c r="G6340" s="83">
        <f>SUMIFS(G6341:G6462,K6341:K6462,"0",B6341:B6462,"5 1 3 9 8 12 31111 6 M59 96300 000211 0000E*")</f>
        <v>0</v>
      </c>
      <c r="H6340" s="83">
        <f t="shared" si="99"/>
        <v>213320.14</v>
      </c>
      <c r="I6340" s="83"/>
      <c r="K6340" s="54" t="s">
        <v>15</v>
      </c>
    </row>
    <row r="6341" spans="2:11" ht="24.75" x14ac:dyDescent="0.2">
      <c r="B6341" s="82" t="s">
        <v>9897</v>
      </c>
      <c r="C6341" s="82" t="s">
        <v>282</v>
      </c>
      <c r="D6341" s="83">
        <f>SUMIFS(D6342:D6462,K6342:K6462,"0",B6342:B6462,"5 1 3 9 8 12 31111 6 M59 96300 000211 0000E 00001*")-SUMIFS(E6342:E6462,K6342:K6462,"0",B6342:B6462,"5 1 3 9 8 12 31111 6 M59 96300 000211 0000E 00001*")</f>
        <v>0</v>
      </c>
      <c r="E6341" s="54"/>
      <c r="F6341" s="83">
        <f>SUMIFS(F6342:F6462,K6342:K6462,"0",B6342:B6462,"5 1 3 9 8 12 31111 6 M59 96300 000211 0000E 00001*")</f>
        <v>213320.14</v>
      </c>
      <c r="G6341" s="83">
        <f>SUMIFS(G6342:G6462,K6342:K6462,"0",B6342:B6462,"5 1 3 9 8 12 31111 6 M59 96300 000211 0000E 00001*")</f>
        <v>0</v>
      </c>
      <c r="H6341" s="83">
        <f t="shared" si="99"/>
        <v>213320.14</v>
      </c>
      <c r="I6341" s="83"/>
      <c r="K6341" s="54" t="s">
        <v>15</v>
      </c>
    </row>
    <row r="6342" spans="2:11" ht="24.75" x14ac:dyDescent="0.2">
      <c r="B6342" s="82" t="s">
        <v>9898</v>
      </c>
      <c r="C6342" s="82" t="s">
        <v>9247</v>
      </c>
      <c r="D6342" s="83">
        <f>SUMIFS(D6343:D6462,K6343:K6462,"0",B6343:B6462,"5 1 3 9 8 12 31111 6 M59 96300 000211 0000E 00001 00398*")-SUMIFS(E6343:E6462,K6343:K6462,"0",B6343:B6462,"5 1 3 9 8 12 31111 6 M59 96300 000211 0000E 00001 00398*")</f>
        <v>0</v>
      </c>
      <c r="E6342" s="54"/>
      <c r="F6342" s="83">
        <f>SUMIFS(F6343:F6462,K6343:K6462,"0",B6343:B6462,"5 1 3 9 8 12 31111 6 M59 96300 000211 0000E 00001 00398*")</f>
        <v>213320.14</v>
      </c>
      <c r="G6342" s="83">
        <f>SUMIFS(G6343:G6462,K6343:K6462,"0",B6343:B6462,"5 1 3 9 8 12 31111 6 M59 96300 000211 0000E 00001 00398*")</f>
        <v>0</v>
      </c>
      <c r="H6342" s="83">
        <f t="shared" si="99"/>
        <v>213320.14</v>
      </c>
      <c r="I6342" s="83"/>
      <c r="K6342" s="54" t="s">
        <v>15</v>
      </c>
    </row>
    <row r="6343" spans="2:11" ht="33" x14ac:dyDescent="0.2">
      <c r="B6343" s="82" t="s">
        <v>9899</v>
      </c>
      <c r="C6343" s="82" t="s">
        <v>1051</v>
      </c>
      <c r="D6343" s="83">
        <f>SUMIFS(D6344:D6462,K6344:K6462,"0",B6344:B6462,"5 1 3 9 8 12 31111 6 M59 96300 000211 0000E 00001 00398 015*")-SUMIFS(E6344:E6462,K6344:K6462,"0",B6344:B6462,"5 1 3 9 8 12 31111 6 M59 96300 000211 0000E 00001 00398 015*")</f>
        <v>0</v>
      </c>
      <c r="E6343" s="54"/>
      <c r="F6343" s="83">
        <f>SUMIFS(F6344:F6462,K6344:K6462,"0",B6344:B6462,"5 1 3 9 8 12 31111 6 M59 96300 000211 0000E 00001 00398 015*")</f>
        <v>213320.14</v>
      </c>
      <c r="G6343" s="83">
        <f>SUMIFS(G6344:G6462,K6344:K6462,"0",B6344:B6462,"5 1 3 9 8 12 31111 6 M59 96300 000211 0000E 00001 00398 015*")</f>
        <v>0</v>
      </c>
      <c r="H6343" s="83">
        <f t="shared" si="99"/>
        <v>213320.14</v>
      </c>
      <c r="I6343" s="83"/>
      <c r="K6343" s="54" t="s">
        <v>15</v>
      </c>
    </row>
    <row r="6344" spans="2:11" ht="33" x14ac:dyDescent="0.2">
      <c r="B6344" s="82" t="s">
        <v>9900</v>
      </c>
      <c r="C6344" s="82" t="s">
        <v>8550</v>
      </c>
      <c r="D6344" s="83">
        <f>SUMIFS(D6345:D6462,K6345:K6462,"0",B6345:B6462,"5 1 3 9 8 12 31111 6 M59 96300 000211 0000E 00001 00398 015 2111300*")-SUMIFS(E6345:E6462,K6345:K6462,"0",B6345:B6462,"5 1 3 9 8 12 31111 6 M59 96300 000211 0000E 00001 00398 015 2111300*")</f>
        <v>0</v>
      </c>
      <c r="E6344" s="54"/>
      <c r="F6344" s="83">
        <f>SUMIFS(F6345:F6462,K6345:K6462,"0",B6345:B6462,"5 1 3 9 8 12 31111 6 M59 96300 000211 0000E 00001 00398 015 2111300*")</f>
        <v>213320.14</v>
      </c>
      <c r="G6344" s="83">
        <f>SUMIFS(G6345:G6462,K6345:K6462,"0",B6345:B6462,"5 1 3 9 8 12 31111 6 M59 96300 000211 0000E 00001 00398 015 2111300*")</f>
        <v>0</v>
      </c>
      <c r="H6344" s="83">
        <f t="shared" si="99"/>
        <v>213320.14</v>
      </c>
      <c r="I6344" s="83"/>
      <c r="K6344" s="54" t="s">
        <v>15</v>
      </c>
    </row>
    <row r="6345" spans="2:11" ht="33" x14ac:dyDescent="0.2">
      <c r="B6345" s="82" t="s">
        <v>9901</v>
      </c>
      <c r="C6345" s="82" t="s">
        <v>660</v>
      </c>
      <c r="D6345" s="83">
        <f>SUMIFS(D6346:D6462,K6346:K6462,"0",B6346:B6462,"5 1 3 9 8 12 31111 6 M59 96300 000211 0000E 00001 00398 015 2111300 2024*")-SUMIFS(E6346:E6462,K6346:K6462,"0",B6346:B6462,"5 1 3 9 8 12 31111 6 M59 96300 000211 0000E 00001 00398 015 2111300 2024*")</f>
        <v>0</v>
      </c>
      <c r="E6345" s="54"/>
      <c r="F6345" s="83">
        <f>SUMIFS(F6346:F6462,K6346:K6462,"0",B6346:B6462,"5 1 3 9 8 12 31111 6 M59 96300 000211 0000E 00001 00398 015 2111300 2024*")</f>
        <v>213320.14</v>
      </c>
      <c r="G6345" s="83">
        <f>SUMIFS(G6346:G6462,K6346:K6462,"0",B6346:B6462,"5 1 3 9 8 12 31111 6 M59 96300 000211 0000E 00001 00398 015 2111300 2024*")</f>
        <v>0</v>
      </c>
      <c r="H6345" s="83">
        <f t="shared" si="99"/>
        <v>213320.14</v>
      </c>
      <c r="I6345" s="83"/>
      <c r="K6345" s="54" t="s">
        <v>15</v>
      </c>
    </row>
    <row r="6346" spans="2:11" ht="41.25" x14ac:dyDescent="0.2">
      <c r="B6346" s="82" t="s">
        <v>9902</v>
      </c>
      <c r="C6346" s="82" t="s">
        <v>1056</v>
      </c>
      <c r="D6346" s="83">
        <f>SUMIFS(D6347:D6462,K6347:K6462,"0",B6347:B6462,"5 1 3 9 8 12 31111 6 M59 96300 000211 0000E 00001 00398 015 2111300 2024 CP1SB396*")-SUMIFS(E6347:E6462,K6347:K6462,"0",B6347:B6462,"5 1 3 9 8 12 31111 6 M59 96300 000211 0000E 00001 00398 015 2111300 2024 CP1SB396*")</f>
        <v>0</v>
      </c>
      <c r="E6346" s="54"/>
      <c r="F6346" s="83">
        <f>SUMIFS(F6347:F6462,K6347:K6462,"0",B6347:B6462,"5 1 3 9 8 12 31111 6 M59 96300 000211 0000E 00001 00398 015 2111300 2024 CP1SB396*")</f>
        <v>213320.14</v>
      </c>
      <c r="G6346" s="83">
        <f>SUMIFS(G6347:G6462,K6347:K6462,"0",B6347:B6462,"5 1 3 9 8 12 31111 6 M59 96300 000211 0000E 00001 00398 015 2111300 2024 CP1SB396*")</f>
        <v>0</v>
      </c>
      <c r="H6346" s="83">
        <f t="shared" si="99"/>
        <v>213320.14</v>
      </c>
      <c r="I6346" s="83"/>
      <c r="K6346" s="54" t="s">
        <v>15</v>
      </c>
    </row>
    <row r="6347" spans="2:11" ht="41.25" x14ac:dyDescent="0.2">
      <c r="B6347" s="82" t="s">
        <v>9903</v>
      </c>
      <c r="C6347" s="82" t="s">
        <v>282</v>
      </c>
      <c r="D6347" s="83">
        <f>SUMIFS(D6348:D6462,K6348:K6462,"0",B6348:B6462,"5 1 3 9 8 12 31111 6 M59 96300 000211 0000E 00001 00398 015 2111300 2024 CP1SB396 001*")-SUMIFS(E6348:E6462,K6348:K6462,"0",B6348:B6462,"5 1 3 9 8 12 31111 6 M59 96300 000211 0000E 00001 00398 015 2111300 2024 CP1SB396 001*")</f>
        <v>0</v>
      </c>
      <c r="E6347" s="54"/>
      <c r="F6347" s="83">
        <f>SUMIFS(F6348:F6462,K6348:K6462,"0",B6348:B6462,"5 1 3 9 8 12 31111 6 M59 96300 000211 0000E 00001 00398 015 2111300 2024 CP1SB396 001*")</f>
        <v>213320.14</v>
      </c>
      <c r="G6347" s="83">
        <f>SUMIFS(G6348:G6462,K6348:K6462,"0",B6348:B6462,"5 1 3 9 8 12 31111 6 M59 96300 000211 0000E 00001 00398 015 2111300 2024 CP1SB396 001*")</f>
        <v>0</v>
      </c>
      <c r="H6347" s="83">
        <f t="shared" si="99"/>
        <v>213320.14</v>
      </c>
      <c r="I6347" s="83"/>
      <c r="K6347" s="54" t="s">
        <v>15</v>
      </c>
    </row>
    <row r="6348" spans="2:11" ht="33" x14ac:dyDescent="0.2">
      <c r="B6348" s="84" t="s">
        <v>9904</v>
      </c>
      <c r="C6348" s="84" t="s">
        <v>9254</v>
      </c>
      <c r="D6348" s="85">
        <v>0</v>
      </c>
      <c r="E6348" s="85"/>
      <c r="F6348" s="85">
        <v>213320.14</v>
      </c>
      <c r="G6348" s="85">
        <v>0</v>
      </c>
      <c r="H6348" s="85">
        <f t="shared" si="99"/>
        <v>213320.14</v>
      </c>
      <c r="I6348" s="85"/>
      <c r="K6348" s="54" t="s">
        <v>38</v>
      </c>
    </row>
    <row r="6349" spans="2:11" ht="16.5" x14ac:dyDescent="0.2">
      <c r="B6349" s="82" t="s">
        <v>9905</v>
      </c>
      <c r="C6349" s="82" t="s">
        <v>3729</v>
      </c>
      <c r="D6349" s="83">
        <f>SUMIFS(D6350:D6462,K6350:K6462,"0",B6350:B6462,"5 1 3 9 8 12 31111 6 M59 97000*")-SUMIFS(E6350:E6462,K6350:K6462,"0",B6350:B6462,"5 1 3 9 8 12 31111 6 M59 97000*")</f>
        <v>0</v>
      </c>
      <c r="E6349" s="54"/>
      <c r="F6349" s="83">
        <f>SUMIFS(F6350:F6462,K6350:K6462,"0",B6350:B6462,"5 1 3 9 8 12 31111 6 M59 97000*")</f>
        <v>4460</v>
      </c>
      <c r="G6349" s="83">
        <f>SUMIFS(G6350:G6462,K6350:K6462,"0",B6350:B6462,"5 1 3 9 8 12 31111 6 M59 97000*")</f>
        <v>0</v>
      </c>
      <c r="H6349" s="83">
        <f t="shared" si="99"/>
        <v>4460</v>
      </c>
      <c r="I6349" s="83"/>
      <c r="K6349" s="54" t="s">
        <v>15</v>
      </c>
    </row>
    <row r="6350" spans="2:11" ht="16.5" x14ac:dyDescent="0.2">
      <c r="B6350" s="82" t="s">
        <v>9906</v>
      </c>
      <c r="C6350" s="82" t="s">
        <v>648</v>
      </c>
      <c r="D6350" s="83">
        <f>SUMIFS(D6351:D6462,K6351:K6462,"0",B6351:B6462,"5 1 3 9 8 12 31111 6 M59 97000 000132*")-SUMIFS(E6351:E6462,K6351:K6462,"0",B6351:B6462,"5 1 3 9 8 12 31111 6 M59 97000 000132*")</f>
        <v>0</v>
      </c>
      <c r="E6350" s="54"/>
      <c r="F6350" s="83">
        <f>SUMIFS(F6351:F6462,K6351:K6462,"0",B6351:B6462,"5 1 3 9 8 12 31111 6 M59 97000 000132*")</f>
        <v>4460</v>
      </c>
      <c r="G6350" s="83">
        <f>SUMIFS(G6351:G6462,K6351:K6462,"0",B6351:B6462,"5 1 3 9 8 12 31111 6 M59 97000 000132*")</f>
        <v>0</v>
      </c>
      <c r="H6350" s="83">
        <f t="shared" si="99"/>
        <v>4460</v>
      </c>
      <c r="I6350" s="83"/>
      <c r="K6350" s="54" t="s">
        <v>15</v>
      </c>
    </row>
    <row r="6351" spans="2:11" ht="24.75" x14ac:dyDescent="0.2">
      <c r="B6351" s="82" t="s">
        <v>9907</v>
      </c>
      <c r="C6351" s="82" t="s">
        <v>650</v>
      </c>
      <c r="D6351" s="83">
        <f>SUMIFS(D6352:D6462,K6352:K6462,"0",B6352:B6462,"5 1 3 9 8 12 31111 6 M59 97000 000132 0000R*")-SUMIFS(E6352:E6462,K6352:K6462,"0",B6352:B6462,"5 1 3 9 8 12 31111 6 M59 97000 000132 0000R*")</f>
        <v>0</v>
      </c>
      <c r="E6351" s="54"/>
      <c r="F6351" s="83">
        <f>SUMIFS(F6352:F6462,K6352:K6462,"0",B6352:B6462,"5 1 3 9 8 12 31111 6 M59 97000 000132 0000R*")</f>
        <v>4460</v>
      </c>
      <c r="G6351" s="83">
        <f>SUMIFS(G6352:G6462,K6352:K6462,"0",B6352:B6462,"5 1 3 9 8 12 31111 6 M59 97000 000132 0000R*")</f>
        <v>0</v>
      </c>
      <c r="H6351" s="83">
        <f t="shared" si="99"/>
        <v>4460</v>
      </c>
      <c r="I6351" s="83"/>
      <c r="K6351" s="54" t="s">
        <v>15</v>
      </c>
    </row>
    <row r="6352" spans="2:11" ht="24.75" x14ac:dyDescent="0.2">
      <c r="B6352" s="82" t="s">
        <v>9908</v>
      </c>
      <c r="C6352" s="82" t="s">
        <v>282</v>
      </c>
      <c r="D6352" s="83">
        <f>SUMIFS(D6353:D6462,K6353:K6462,"0",B6353:B6462,"5 1 3 9 8 12 31111 6 M59 97000 000132 0000R 00001*")-SUMIFS(E6353:E6462,K6353:K6462,"0",B6353:B6462,"5 1 3 9 8 12 31111 6 M59 97000 000132 0000R 00001*")</f>
        <v>0</v>
      </c>
      <c r="E6352" s="54"/>
      <c r="F6352" s="83">
        <f>SUMIFS(F6353:F6462,K6353:K6462,"0",B6353:B6462,"5 1 3 9 8 12 31111 6 M59 97000 000132 0000R 00001*")</f>
        <v>4460</v>
      </c>
      <c r="G6352" s="83">
        <f>SUMIFS(G6353:G6462,K6353:K6462,"0",B6353:B6462,"5 1 3 9 8 12 31111 6 M59 97000 000132 0000R 00001*")</f>
        <v>0</v>
      </c>
      <c r="H6352" s="83">
        <f t="shared" si="99"/>
        <v>4460</v>
      </c>
      <c r="I6352" s="83"/>
      <c r="K6352" s="54" t="s">
        <v>15</v>
      </c>
    </row>
    <row r="6353" spans="2:11" ht="24.75" x14ac:dyDescent="0.2">
      <c r="B6353" s="82" t="s">
        <v>9909</v>
      </c>
      <c r="C6353" s="82" t="s">
        <v>9247</v>
      </c>
      <c r="D6353" s="83">
        <f>SUMIFS(D6354:D6462,K6354:K6462,"0",B6354:B6462,"5 1 3 9 8 12 31111 6 M59 97000 000132 0000R 00001 00398*")-SUMIFS(E6354:E6462,K6354:K6462,"0",B6354:B6462,"5 1 3 9 8 12 31111 6 M59 97000 000132 0000R 00001 00398*")</f>
        <v>0</v>
      </c>
      <c r="E6353" s="54"/>
      <c r="F6353" s="83">
        <f>SUMIFS(F6354:F6462,K6354:K6462,"0",B6354:B6462,"5 1 3 9 8 12 31111 6 M59 97000 000132 0000R 00001 00398*")</f>
        <v>4460</v>
      </c>
      <c r="G6353" s="83">
        <f>SUMIFS(G6354:G6462,K6354:K6462,"0",B6354:B6462,"5 1 3 9 8 12 31111 6 M59 97000 000132 0000R 00001 00398*")</f>
        <v>0</v>
      </c>
      <c r="H6353" s="83">
        <f t="shared" si="99"/>
        <v>4460</v>
      </c>
      <c r="I6353" s="83"/>
      <c r="K6353" s="54" t="s">
        <v>15</v>
      </c>
    </row>
    <row r="6354" spans="2:11" ht="33" x14ac:dyDescent="0.2">
      <c r="B6354" s="82" t="s">
        <v>9910</v>
      </c>
      <c r="C6354" s="82" t="s">
        <v>1051</v>
      </c>
      <c r="D6354" s="83">
        <f>SUMIFS(D6355:D6462,K6355:K6462,"0",B6355:B6462,"5 1 3 9 8 12 31111 6 M59 97000 000132 0000R 00001 00398 015*")-SUMIFS(E6355:E6462,K6355:K6462,"0",B6355:B6462,"5 1 3 9 8 12 31111 6 M59 97000 000132 0000R 00001 00398 015*")</f>
        <v>0</v>
      </c>
      <c r="E6354" s="54"/>
      <c r="F6354" s="83">
        <f>SUMIFS(F6355:F6462,K6355:K6462,"0",B6355:B6462,"5 1 3 9 8 12 31111 6 M59 97000 000132 0000R 00001 00398 015*")</f>
        <v>4460</v>
      </c>
      <c r="G6354" s="83">
        <f>SUMIFS(G6355:G6462,K6355:K6462,"0",B6355:B6462,"5 1 3 9 8 12 31111 6 M59 97000 000132 0000R 00001 00398 015*")</f>
        <v>0</v>
      </c>
      <c r="H6354" s="83">
        <f t="shared" si="99"/>
        <v>4460</v>
      </c>
      <c r="I6354" s="83"/>
      <c r="K6354" s="54" t="s">
        <v>15</v>
      </c>
    </row>
    <row r="6355" spans="2:11" ht="33" x14ac:dyDescent="0.2">
      <c r="B6355" s="82" t="s">
        <v>9911</v>
      </c>
      <c r="C6355" s="82" t="s">
        <v>8550</v>
      </c>
      <c r="D6355" s="83">
        <f>SUMIFS(D6356:D6462,K6356:K6462,"0",B6356:B6462,"5 1 3 9 8 12 31111 6 M59 97000 000132 0000R 00001 00398 015 2111300*")-SUMIFS(E6356:E6462,K6356:K6462,"0",B6356:B6462,"5 1 3 9 8 12 31111 6 M59 97000 000132 0000R 00001 00398 015 2111300*")</f>
        <v>0</v>
      </c>
      <c r="E6355" s="54"/>
      <c r="F6355" s="83">
        <f>SUMIFS(F6356:F6462,K6356:K6462,"0",B6356:B6462,"5 1 3 9 8 12 31111 6 M59 97000 000132 0000R 00001 00398 015 2111300*")</f>
        <v>4460</v>
      </c>
      <c r="G6355" s="83">
        <f>SUMIFS(G6356:G6462,K6356:K6462,"0",B6356:B6462,"5 1 3 9 8 12 31111 6 M59 97000 000132 0000R 00001 00398 015 2111300*")</f>
        <v>0</v>
      </c>
      <c r="H6355" s="83">
        <f t="shared" si="99"/>
        <v>4460</v>
      </c>
      <c r="I6355" s="83"/>
      <c r="K6355" s="54" t="s">
        <v>15</v>
      </c>
    </row>
    <row r="6356" spans="2:11" ht="33" x14ac:dyDescent="0.2">
      <c r="B6356" s="82" t="s">
        <v>9912</v>
      </c>
      <c r="C6356" s="82" t="s">
        <v>660</v>
      </c>
      <c r="D6356" s="83">
        <f>SUMIFS(D6357:D6462,K6357:K6462,"0",B6357:B6462,"5 1 3 9 8 12 31111 6 M59 97000 000132 0000R 00001 00398 015 2111300 2024*")-SUMIFS(E6357:E6462,K6357:K6462,"0",B6357:B6462,"5 1 3 9 8 12 31111 6 M59 97000 000132 0000R 00001 00398 015 2111300 2024*")</f>
        <v>0</v>
      </c>
      <c r="E6356" s="54"/>
      <c r="F6356" s="83">
        <f>SUMIFS(F6357:F6462,K6357:K6462,"0",B6357:B6462,"5 1 3 9 8 12 31111 6 M59 97000 000132 0000R 00001 00398 015 2111300 2024*")</f>
        <v>4460</v>
      </c>
      <c r="G6356" s="83">
        <f>SUMIFS(G6357:G6462,K6357:K6462,"0",B6357:B6462,"5 1 3 9 8 12 31111 6 M59 97000 000132 0000R 00001 00398 015 2111300 2024*")</f>
        <v>0</v>
      </c>
      <c r="H6356" s="83">
        <f t="shared" si="99"/>
        <v>4460</v>
      </c>
      <c r="I6356" s="83"/>
      <c r="K6356" s="54" t="s">
        <v>15</v>
      </c>
    </row>
    <row r="6357" spans="2:11" ht="41.25" x14ac:dyDescent="0.2">
      <c r="B6357" s="82" t="s">
        <v>9913</v>
      </c>
      <c r="C6357" s="82" t="s">
        <v>1056</v>
      </c>
      <c r="D6357" s="83">
        <f>SUMIFS(D6358:D6462,K6358:K6462,"0",B6358:B6462,"5 1 3 9 8 12 31111 6 M59 97000 000132 0000R 00001 00398 015 2111300 2024 CP1SP428*")-SUMIFS(E6358:E6462,K6358:K6462,"0",B6358:B6462,"5 1 3 9 8 12 31111 6 M59 97000 000132 0000R 00001 00398 015 2111300 2024 CP1SP428*")</f>
        <v>0</v>
      </c>
      <c r="E6357" s="54"/>
      <c r="F6357" s="83">
        <f>SUMIFS(F6358:F6462,K6358:K6462,"0",B6358:B6462,"5 1 3 9 8 12 31111 6 M59 97000 000132 0000R 00001 00398 015 2111300 2024 CP1SP428*")</f>
        <v>4460</v>
      </c>
      <c r="G6357" s="83">
        <f>SUMIFS(G6358:G6462,K6358:K6462,"0",B6358:B6462,"5 1 3 9 8 12 31111 6 M59 97000 000132 0000R 00001 00398 015 2111300 2024 CP1SP428*")</f>
        <v>0</v>
      </c>
      <c r="H6357" s="83">
        <f t="shared" si="99"/>
        <v>4460</v>
      </c>
      <c r="I6357" s="83"/>
      <c r="K6357" s="54" t="s">
        <v>15</v>
      </c>
    </row>
    <row r="6358" spans="2:11" ht="41.25" x14ac:dyDescent="0.2">
      <c r="B6358" s="82" t="s">
        <v>9914</v>
      </c>
      <c r="C6358" s="82" t="s">
        <v>282</v>
      </c>
      <c r="D6358" s="83">
        <f>SUMIFS(D6359:D6462,K6359:K6462,"0",B6359:B6462,"5 1 3 9 8 12 31111 6 M59 97000 000132 0000R 00001 00398 015 2111300 2024 CP1SP428 001*")-SUMIFS(E6359:E6462,K6359:K6462,"0",B6359:B6462,"5 1 3 9 8 12 31111 6 M59 97000 000132 0000R 00001 00398 015 2111300 2024 CP1SP428 001*")</f>
        <v>0</v>
      </c>
      <c r="E6358" s="54"/>
      <c r="F6358" s="83">
        <f>SUMIFS(F6359:F6462,K6359:K6462,"0",B6359:B6462,"5 1 3 9 8 12 31111 6 M59 97000 000132 0000R 00001 00398 015 2111300 2024 CP1SP428 001*")</f>
        <v>4460</v>
      </c>
      <c r="G6358" s="83">
        <f>SUMIFS(G6359:G6462,K6359:K6462,"0",B6359:B6462,"5 1 3 9 8 12 31111 6 M59 97000 000132 0000R 00001 00398 015 2111300 2024 CP1SP428 001*")</f>
        <v>0</v>
      </c>
      <c r="H6358" s="83">
        <f t="shared" si="99"/>
        <v>4460</v>
      </c>
      <c r="I6358" s="83"/>
      <c r="K6358" s="54" t="s">
        <v>15</v>
      </c>
    </row>
    <row r="6359" spans="2:11" ht="33" x14ac:dyDescent="0.2">
      <c r="B6359" s="84" t="s">
        <v>9915</v>
      </c>
      <c r="C6359" s="84" t="s">
        <v>9254</v>
      </c>
      <c r="D6359" s="85">
        <v>0</v>
      </c>
      <c r="E6359" s="85"/>
      <c r="F6359" s="85">
        <v>4460</v>
      </c>
      <c r="G6359" s="85">
        <v>0</v>
      </c>
      <c r="H6359" s="85">
        <f t="shared" si="99"/>
        <v>4460</v>
      </c>
      <c r="I6359" s="85"/>
      <c r="K6359" s="54" t="s">
        <v>38</v>
      </c>
    </row>
    <row r="6360" spans="2:11" ht="16.5" x14ac:dyDescent="0.2">
      <c r="B6360" s="82" t="s">
        <v>9916</v>
      </c>
      <c r="C6360" s="82" t="s">
        <v>3754</v>
      </c>
      <c r="D6360" s="83">
        <f>SUMIFS(D6361:D6462,K6361:K6462,"0",B6361:B6462,"5 1 3 9 8 12 31111 6 M59 99000*")-SUMIFS(E6361:E6462,K6361:K6462,"0",B6361:B6462,"5 1 3 9 8 12 31111 6 M59 99000*")</f>
        <v>0</v>
      </c>
      <c r="E6360" s="54"/>
      <c r="F6360" s="83">
        <f>SUMIFS(F6361:F6462,K6361:K6462,"0",B6361:B6462,"5 1 3 9 8 12 31111 6 M59 99000*")</f>
        <v>4760.88</v>
      </c>
      <c r="G6360" s="83">
        <f>SUMIFS(G6361:G6462,K6361:K6462,"0",B6361:B6462,"5 1 3 9 8 12 31111 6 M59 99000*")</f>
        <v>0</v>
      </c>
      <c r="H6360" s="83">
        <f t="shared" si="99"/>
        <v>4760.88</v>
      </c>
      <c r="I6360" s="83"/>
      <c r="K6360" s="54" t="s">
        <v>15</v>
      </c>
    </row>
    <row r="6361" spans="2:11" ht="16.5" x14ac:dyDescent="0.2">
      <c r="B6361" s="82" t="s">
        <v>9917</v>
      </c>
      <c r="C6361" s="82" t="s">
        <v>648</v>
      </c>
      <c r="D6361" s="83">
        <f>SUMIFS(D6362:D6462,K6362:K6462,"0",B6362:B6462,"5 1 3 9 8 12 31111 6 M59 99000 000132*")-SUMIFS(E6362:E6462,K6362:K6462,"0",B6362:B6462,"5 1 3 9 8 12 31111 6 M59 99000 000132*")</f>
        <v>0</v>
      </c>
      <c r="E6361" s="54"/>
      <c r="F6361" s="83">
        <f>SUMIFS(F6362:F6462,K6362:K6462,"0",B6362:B6462,"5 1 3 9 8 12 31111 6 M59 99000 000132*")</f>
        <v>4760.88</v>
      </c>
      <c r="G6361" s="83">
        <f>SUMIFS(G6362:G6462,K6362:K6462,"0",B6362:B6462,"5 1 3 9 8 12 31111 6 M59 99000 000132*")</f>
        <v>0</v>
      </c>
      <c r="H6361" s="83">
        <f t="shared" si="99"/>
        <v>4760.88</v>
      </c>
      <c r="I6361" s="83"/>
      <c r="K6361" s="54" t="s">
        <v>15</v>
      </c>
    </row>
    <row r="6362" spans="2:11" ht="24.75" x14ac:dyDescent="0.2">
      <c r="B6362" s="82" t="s">
        <v>9918</v>
      </c>
      <c r="C6362" s="82" t="s">
        <v>650</v>
      </c>
      <c r="D6362" s="83">
        <f>SUMIFS(D6363:D6462,K6363:K6462,"0",B6363:B6462,"5 1 3 9 8 12 31111 6 M59 99000 000132 0000R*")-SUMIFS(E6363:E6462,K6363:K6462,"0",B6363:B6462,"5 1 3 9 8 12 31111 6 M59 99000 000132 0000R*")</f>
        <v>0</v>
      </c>
      <c r="E6362" s="54"/>
      <c r="F6362" s="83">
        <f>SUMIFS(F6363:F6462,K6363:K6462,"0",B6363:B6462,"5 1 3 9 8 12 31111 6 M59 99000 000132 0000R*")</f>
        <v>4760.88</v>
      </c>
      <c r="G6362" s="83">
        <f>SUMIFS(G6363:G6462,K6363:K6462,"0",B6363:B6462,"5 1 3 9 8 12 31111 6 M59 99000 000132 0000R*")</f>
        <v>0</v>
      </c>
      <c r="H6362" s="83">
        <f t="shared" si="99"/>
        <v>4760.88</v>
      </c>
      <c r="I6362" s="83"/>
      <c r="K6362" s="54" t="s">
        <v>15</v>
      </c>
    </row>
    <row r="6363" spans="2:11" ht="24.75" x14ac:dyDescent="0.2">
      <c r="B6363" s="82" t="s">
        <v>9919</v>
      </c>
      <c r="C6363" s="82" t="s">
        <v>282</v>
      </c>
      <c r="D6363" s="83">
        <f>SUMIFS(D6364:D6462,K6364:K6462,"0",B6364:B6462,"5 1 3 9 8 12 31111 6 M59 99000 000132 0000R 00001*")-SUMIFS(E6364:E6462,K6364:K6462,"0",B6364:B6462,"5 1 3 9 8 12 31111 6 M59 99000 000132 0000R 00001*")</f>
        <v>0</v>
      </c>
      <c r="E6363" s="54"/>
      <c r="F6363" s="83">
        <f>SUMIFS(F6364:F6462,K6364:K6462,"0",B6364:B6462,"5 1 3 9 8 12 31111 6 M59 99000 000132 0000R 00001*")</f>
        <v>4760.88</v>
      </c>
      <c r="G6363" s="83">
        <f>SUMIFS(G6364:G6462,K6364:K6462,"0",B6364:B6462,"5 1 3 9 8 12 31111 6 M59 99000 000132 0000R 00001*")</f>
        <v>0</v>
      </c>
      <c r="H6363" s="83">
        <f t="shared" si="99"/>
        <v>4760.88</v>
      </c>
      <c r="I6363" s="83"/>
      <c r="K6363" s="54" t="s">
        <v>15</v>
      </c>
    </row>
    <row r="6364" spans="2:11" ht="24.75" x14ac:dyDescent="0.2">
      <c r="B6364" s="82" t="s">
        <v>9920</v>
      </c>
      <c r="C6364" s="82" t="s">
        <v>9247</v>
      </c>
      <c r="D6364" s="83">
        <f>SUMIFS(D6365:D6462,K6365:K6462,"0",B6365:B6462,"5 1 3 9 8 12 31111 6 M59 99000 000132 0000R 00001 00398*")-SUMIFS(E6365:E6462,K6365:K6462,"0",B6365:B6462,"5 1 3 9 8 12 31111 6 M59 99000 000132 0000R 00001 00398*")</f>
        <v>0</v>
      </c>
      <c r="E6364" s="54"/>
      <c r="F6364" s="83">
        <f>SUMIFS(F6365:F6462,K6365:K6462,"0",B6365:B6462,"5 1 3 9 8 12 31111 6 M59 99000 000132 0000R 00001 00398*")</f>
        <v>4760.88</v>
      </c>
      <c r="G6364" s="83">
        <f>SUMIFS(G6365:G6462,K6365:K6462,"0",B6365:B6462,"5 1 3 9 8 12 31111 6 M59 99000 000132 0000R 00001 00398*")</f>
        <v>0</v>
      </c>
      <c r="H6364" s="83">
        <f t="shared" si="99"/>
        <v>4760.88</v>
      </c>
      <c r="I6364" s="83"/>
      <c r="K6364" s="54" t="s">
        <v>15</v>
      </c>
    </row>
    <row r="6365" spans="2:11" ht="33" x14ac:dyDescent="0.2">
      <c r="B6365" s="82" t="s">
        <v>9921</v>
      </c>
      <c r="C6365" s="82" t="s">
        <v>1051</v>
      </c>
      <c r="D6365" s="83">
        <f>SUMIFS(D6366:D6462,K6366:K6462,"0",B6366:B6462,"5 1 3 9 8 12 31111 6 M59 99000 000132 0000R 00001 00398 015*")-SUMIFS(E6366:E6462,K6366:K6462,"0",B6366:B6462,"5 1 3 9 8 12 31111 6 M59 99000 000132 0000R 00001 00398 015*")</f>
        <v>0</v>
      </c>
      <c r="E6365" s="54"/>
      <c r="F6365" s="83">
        <f>SUMIFS(F6366:F6462,K6366:K6462,"0",B6366:B6462,"5 1 3 9 8 12 31111 6 M59 99000 000132 0000R 00001 00398 015*")</f>
        <v>4760.88</v>
      </c>
      <c r="G6365" s="83">
        <f>SUMIFS(G6366:G6462,K6366:K6462,"0",B6366:B6462,"5 1 3 9 8 12 31111 6 M59 99000 000132 0000R 00001 00398 015*")</f>
        <v>0</v>
      </c>
      <c r="H6365" s="83">
        <f t="shared" si="99"/>
        <v>4760.88</v>
      </c>
      <c r="I6365" s="83"/>
      <c r="K6365" s="54" t="s">
        <v>15</v>
      </c>
    </row>
    <row r="6366" spans="2:11" ht="33" x14ac:dyDescent="0.2">
      <c r="B6366" s="82" t="s">
        <v>9922</v>
      </c>
      <c r="C6366" s="82" t="s">
        <v>2927</v>
      </c>
      <c r="D6366" s="83">
        <f>SUMIFS(D6367:D6462,K6367:K6462,"0",B6367:B6462,"5 1 3 9 8 12 31111 6 M59 99000 000132 0000R 00001 00398 015 2111100*")-SUMIFS(E6367:E6462,K6367:K6462,"0",B6367:B6462,"5 1 3 9 8 12 31111 6 M59 99000 000132 0000R 00001 00398 015 2111100*")</f>
        <v>0</v>
      </c>
      <c r="E6366" s="54"/>
      <c r="F6366" s="83">
        <f>SUMIFS(F6367:F6462,K6367:K6462,"0",B6367:B6462,"5 1 3 9 8 12 31111 6 M59 99000 000132 0000R 00001 00398 015 2111100*")</f>
        <v>4760.88</v>
      </c>
      <c r="G6366" s="83">
        <f>SUMIFS(G6367:G6462,K6367:K6462,"0",B6367:B6462,"5 1 3 9 8 12 31111 6 M59 99000 000132 0000R 00001 00398 015 2111100*")</f>
        <v>0</v>
      </c>
      <c r="H6366" s="83">
        <f t="shared" si="99"/>
        <v>4760.88</v>
      </c>
      <c r="I6366" s="83"/>
      <c r="K6366" s="54" t="s">
        <v>15</v>
      </c>
    </row>
    <row r="6367" spans="2:11" ht="33" x14ac:dyDescent="0.2">
      <c r="B6367" s="82" t="s">
        <v>9923</v>
      </c>
      <c r="C6367" s="82" t="s">
        <v>660</v>
      </c>
      <c r="D6367" s="83">
        <f>SUMIFS(D6368:D6462,K6368:K6462,"0",B6368:B6462,"5 1 3 9 8 12 31111 6 M59 99000 000132 0000R 00001 00398 015 2111100 2024*")-SUMIFS(E6368:E6462,K6368:K6462,"0",B6368:B6462,"5 1 3 9 8 12 31111 6 M59 99000 000132 0000R 00001 00398 015 2111100 2024*")</f>
        <v>0</v>
      </c>
      <c r="E6367" s="54"/>
      <c r="F6367" s="83">
        <f>SUMIFS(F6368:F6462,K6368:K6462,"0",B6368:B6462,"5 1 3 9 8 12 31111 6 M59 99000 000132 0000R 00001 00398 015 2111100 2024*")</f>
        <v>4760.88</v>
      </c>
      <c r="G6367" s="83">
        <f>SUMIFS(G6368:G6462,K6368:K6462,"0",B6368:B6462,"5 1 3 9 8 12 31111 6 M59 99000 000132 0000R 00001 00398 015 2111100 2024*")</f>
        <v>0</v>
      </c>
      <c r="H6367" s="83">
        <f t="shared" si="99"/>
        <v>4760.88</v>
      </c>
      <c r="I6367" s="83"/>
      <c r="K6367" s="54" t="s">
        <v>15</v>
      </c>
    </row>
    <row r="6368" spans="2:11" ht="41.25" x14ac:dyDescent="0.2">
      <c r="B6368" s="82" t="s">
        <v>9924</v>
      </c>
      <c r="C6368" s="82" t="s">
        <v>1056</v>
      </c>
      <c r="D6368" s="83">
        <f>SUMIFS(D6369:D6462,K6369:K6462,"0",B6369:B6462,"5 1 3 9 8 12 31111 6 M59 99000 000132 0000R 00001 00398 015 2111100 2024 CP1MG408*")-SUMIFS(E6369:E6462,K6369:K6462,"0",B6369:B6462,"5 1 3 9 8 12 31111 6 M59 99000 000132 0000R 00001 00398 015 2111100 2024 CP1MG408*")</f>
        <v>0</v>
      </c>
      <c r="E6368" s="54"/>
      <c r="F6368" s="83">
        <f>SUMIFS(F6369:F6462,K6369:K6462,"0",B6369:B6462,"5 1 3 9 8 12 31111 6 M59 99000 000132 0000R 00001 00398 015 2111100 2024 CP1MG408*")</f>
        <v>4760.88</v>
      </c>
      <c r="G6368" s="83">
        <f>SUMIFS(G6369:G6462,K6369:K6462,"0",B6369:B6462,"5 1 3 9 8 12 31111 6 M59 99000 000132 0000R 00001 00398 015 2111100 2024 CP1MG408*")</f>
        <v>0</v>
      </c>
      <c r="H6368" s="83">
        <f t="shared" si="99"/>
        <v>4760.88</v>
      </c>
      <c r="I6368" s="83"/>
      <c r="K6368" s="54" t="s">
        <v>15</v>
      </c>
    </row>
    <row r="6369" spans="2:11" ht="41.25" x14ac:dyDescent="0.2">
      <c r="B6369" s="82" t="s">
        <v>9925</v>
      </c>
      <c r="C6369" s="82" t="s">
        <v>282</v>
      </c>
      <c r="D6369" s="83">
        <f>SUMIFS(D6370:D6462,K6370:K6462,"0",B6370:B6462,"5 1 3 9 8 12 31111 6 M59 99000 000132 0000R 00001 00398 015 2111100 2024 CP1MG408 001*")-SUMIFS(E6370:E6462,K6370:K6462,"0",B6370:B6462,"5 1 3 9 8 12 31111 6 M59 99000 000132 0000R 00001 00398 015 2111100 2024 CP1MG408 001*")</f>
        <v>0</v>
      </c>
      <c r="E6369" s="54"/>
      <c r="F6369" s="83">
        <f>SUMIFS(F6370:F6462,K6370:K6462,"0",B6370:B6462,"5 1 3 9 8 12 31111 6 M59 99000 000132 0000R 00001 00398 015 2111100 2024 CP1MG408 001*")</f>
        <v>4760.88</v>
      </c>
      <c r="G6369" s="83">
        <f>SUMIFS(G6370:G6462,K6370:K6462,"0",B6370:B6462,"5 1 3 9 8 12 31111 6 M59 99000 000132 0000R 00001 00398 015 2111100 2024 CP1MG408 001*")</f>
        <v>0</v>
      </c>
      <c r="H6369" s="83">
        <f t="shared" si="99"/>
        <v>4760.88</v>
      </c>
      <c r="I6369" s="83"/>
      <c r="K6369" s="54" t="s">
        <v>15</v>
      </c>
    </row>
    <row r="6370" spans="2:11" ht="41.25" x14ac:dyDescent="0.2">
      <c r="B6370" s="84" t="s">
        <v>9926</v>
      </c>
      <c r="C6370" s="84" t="s">
        <v>9254</v>
      </c>
      <c r="D6370" s="85">
        <v>0</v>
      </c>
      <c r="E6370" s="85"/>
      <c r="F6370" s="85">
        <v>4760.88</v>
      </c>
      <c r="G6370" s="85">
        <v>0</v>
      </c>
      <c r="H6370" s="85">
        <f t="shared" si="99"/>
        <v>4760.88</v>
      </c>
      <c r="I6370" s="85"/>
      <c r="K6370" s="54" t="s">
        <v>38</v>
      </c>
    </row>
    <row r="6371" spans="2:11" ht="12.75" x14ac:dyDescent="0.2">
      <c r="B6371" s="82" t="s">
        <v>9927</v>
      </c>
      <c r="C6371" s="82" t="s">
        <v>9153</v>
      </c>
      <c r="D6371" s="83">
        <f>SUMIFS(D6372:D6462,K6372:K6462,"0",B6372:B6462,"5 1 3 9 9*")-SUMIFS(E6372:E6462,K6372:K6462,"0",B6372:B6462,"5 1 3 9 9*")</f>
        <v>0</v>
      </c>
      <c r="E6371" s="54"/>
      <c r="F6371" s="83">
        <f>SUMIFS(F6372:F6462,K6372:K6462,"0",B6372:B6462,"5 1 3 9 9*")</f>
        <v>857329.67</v>
      </c>
      <c r="G6371" s="83">
        <f>SUMIFS(G6372:G6462,K6372:K6462,"0",B6372:B6462,"5 1 3 9 9*")</f>
        <v>0</v>
      </c>
      <c r="H6371" s="83">
        <f t="shared" si="99"/>
        <v>857329.67</v>
      </c>
      <c r="I6371" s="83"/>
      <c r="K6371" s="54" t="s">
        <v>15</v>
      </c>
    </row>
    <row r="6372" spans="2:11" ht="12.75" x14ac:dyDescent="0.2">
      <c r="B6372" s="82" t="s">
        <v>9928</v>
      </c>
      <c r="C6372" s="82" t="s">
        <v>26</v>
      </c>
      <c r="D6372" s="83">
        <f>SUMIFS(D6373:D6462,K6373:K6462,"0",B6373:B6462,"5 1 3 9 9 12*")-SUMIFS(E6373:E6462,K6373:K6462,"0",B6373:B6462,"5 1 3 9 9 12*")</f>
        <v>0</v>
      </c>
      <c r="E6372" s="54"/>
      <c r="F6372" s="83">
        <f>SUMIFS(F6373:F6462,K6373:K6462,"0",B6373:B6462,"5 1 3 9 9 12*")</f>
        <v>857329.67</v>
      </c>
      <c r="G6372" s="83">
        <f>SUMIFS(G6373:G6462,K6373:K6462,"0",B6373:B6462,"5 1 3 9 9 12*")</f>
        <v>0</v>
      </c>
      <c r="H6372" s="83">
        <f t="shared" si="99"/>
        <v>857329.67</v>
      </c>
      <c r="I6372" s="83"/>
      <c r="K6372" s="54" t="s">
        <v>15</v>
      </c>
    </row>
    <row r="6373" spans="2:11" ht="16.5" x14ac:dyDescent="0.2">
      <c r="B6373" s="82" t="s">
        <v>9929</v>
      </c>
      <c r="C6373" s="82" t="s">
        <v>28</v>
      </c>
      <c r="D6373" s="83">
        <f>SUMIFS(D6374:D6462,K6374:K6462,"0",B6374:B6462,"5 1 3 9 9 12 31111*")-SUMIFS(E6374:E6462,K6374:K6462,"0",B6374:B6462,"5 1 3 9 9 12 31111*")</f>
        <v>0</v>
      </c>
      <c r="E6373" s="54"/>
      <c r="F6373" s="83">
        <f>SUMIFS(F6374:F6462,K6374:K6462,"0",B6374:B6462,"5 1 3 9 9 12 31111*")</f>
        <v>857329.67</v>
      </c>
      <c r="G6373" s="83">
        <f>SUMIFS(G6374:G6462,K6374:K6462,"0",B6374:B6462,"5 1 3 9 9 12 31111*")</f>
        <v>0</v>
      </c>
      <c r="H6373" s="83">
        <f t="shared" si="99"/>
        <v>857329.67</v>
      </c>
      <c r="I6373" s="83"/>
      <c r="K6373" s="54" t="s">
        <v>15</v>
      </c>
    </row>
    <row r="6374" spans="2:11" ht="12.75" x14ac:dyDescent="0.2">
      <c r="B6374" s="82" t="s">
        <v>9930</v>
      </c>
      <c r="C6374" s="82" t="s">
        <v>30</v>
      </c>
      <c r="D6374" s="83">
        <f>SUMIFS(D6375:D6462,K6375:K6462,"0",B6375:B6462,"5 1 3 9 9 12 31111 6*")-SUMIFS(E6375:E6462,K6375:K6462,"0",B6375:B6462,"5 1 3 9 9 12 31111 6*")</f>
        <v>0</v>
      </c>
      <c r="E6374" s="54"/>
      <c r="F6374" s="83">
        <f>SUMIFS(F6375:F6462,K6375:K6462,"0",B6375:B6462,"5 1 3 9 9 12 31111 6*")</f>
        <v>857329.67</v>
      </c>
      <c r="G6374" s="83">
        <f>SUMIFS(G6375:G6462,K6375:K6462,"0",B6375:B6462,"5 1 3 9 9 12 31111 6*")</f>
        <v>0</v>
      </c>
      <c r="H6374" s="83">
        <f t="shared" si="99"/>
        <v>857329.67</v>
      </c>
      <c r="I6374" s="83"/>
      <c r="K6374" s="54" t="s">
        <v>15</v>
      </c>
    </row>
    <row r="6375" spans="2:11" ht="16.5" x14ac:dyDescent="0.2">
      <c r="B6375" s="82" t="s">
        <v>9931</v>
      </c>
      <c r="C6375" s="82" t="s">
        <v>2284</v>
      </c>
      <c r="D6375" s="83">
        <f>SUMIFS(D6376:D6462,K6376:K6462,"0",B6376:B6462,"5 1 3 9 9 12 31111 6 M59*")-SUMIFS(E6376:E6462,K6376:K6462,"0",B6376:B6462,"5 1 3 9 9 12 31111 6 M59*")</f>
        <v>0</v>
      </c>
      <c r="E6375" s="54"/>
      <c r="F6375" s="83">
        <f>SUMIFS(F6376:F6462,K6376:K6462,"0",B6376:B6462,"5 1 3 9 9 12 31111 6 M59*")</f>
        <v>857329.67</v>
      </c>
      <c r="G6375" s="83">
        <f>SUMIFS(G6376:G6462,K6376:K6462,"0",B6376:B6462,"5 1 3 9 9 12 31111 6 M59*")</f>
        <v>0</v>
      </c>
      <c r="H6375" s="83">
        <f t="shared" si="99"/>
        <v>857329.67</v>
      </c>
      <c r="I6375" s="83"/>
      <c r="K6375" s="54" t="s">
        <v>15</v>
      </c>
    </row>
    <row r="6376" spans="2:11" ht="16.5" x14ac:dyDescent="0.2">
      <c r="B6376" s="82" t="s">
        <v>9932</v>
      </c>
      <c r="C6376" s="82" t="s">
        <v>1243</v>
      </c>
      <c r="D6376" s="83">
        <f>SUMIFS(D6377:D6462,K6377:K6462,"0",B6377:B6462,"5 1 3 9 9 12 31111 6 M59 10000*")-SUMIFS(E6377:E6462,K6377:K6462,"0",B6377:B6462,"5 1 3 9 9 12 31111 6 M59 10000*")</f>
        <v>0</v>
      </c>
      <c r="E6376" s="54"/>
      <c r="F6376" s="83">
        <f>SUMIFS(F6377:F6462,K6377:K6462,"0",B6377:B6462,"5 1 3 9 9 12 31111 6 M59 10000*")</f>
        <v>4479.6499999999996</v>
      </c>
      <c r="G6376" s="83">
        <f>SUMIFS(G6377:G6462,K6377:K6462,"0",B6377:B6462,"5 1 3 9 9 12 31111 6 M59 10000*")</f>
        <v>0</v>
      </c>
      <c r="H6376" s="83">
        <f t="shared" si="99"/>
        <v>4479.6499999999996</v>
      </c>
      <c r="I6376" s="83"/>
      <c r="K6376" s="54" t="s">
        <v>15</v>
      </c>
    </row>
    <row r="6377" spans="2:11" ht="16.5" x14ac:dyDescent="0.2">
      <c r="B6377" s="82" t="s">
        <v>9933</v>
      </c>
      <c r="C6377" s="82" t="s">
        <v>648</v>
      </c>
      <c r="D6377" s="83">
        <f>SUMIFS(D6378:D6462,K6378:K6462,"0",B6378:B6462,"5 1 3 9 9 12 31111 6 M59 10000 000132*")-SUMIFS(E6378:E6462,K6378:K6462,"0",B6378:B6462,"5 1 3 9 9 12 31111 6 M59 10000 000132*")</f>
        <v>0</v>
      </c>
      <c r="E6377" s="54"/>
      <c r="F6377" s="83">
        <f>SUMIFS(F6378:F6462,K6378:K6462,"0",B6378:B6462,"5 1 3 9 9 12 31111 6 M59 10000 000132*")</f>
        <v>4479.6499999999996</v>
      </c>
      <c r="G6377" s="83">
        <f>SUMIFS(G6378:G6462,K6378:K6462,"0",B6378:B6462,"5 1 3 9 9 12 31111 6 M59 10000 000132*")</f>
        <v>0</v>
      </c>
      <c r="H6377" s="83">
        <f t="shared" si="99"/>
        <v>4479.6499999999996</v>
      </c>
      <c r="I6377" s="83"/>
      <c r="K6377" s="54" t="s">
        <v>15</v>
      </c>
    </row>
    <row r="6378" spans="2:11" ht="24.75" x14ac:dyDescent="0.2">
      <c r="B6378" s="82" t="s">
        <v>9934</v>
      </c>
      <c r="C6378" s="82" t="s">
        <v>650</v>
      </c>
      <c r="D6378" s="83">
        <f>SUMIFS(D6379:D6462,K6379:K6462,"0",B6379:B6462,"5 1 3 9 9 12 31111 6 M59 10000 000132 0000R*")-SUMIFS(E6379:E6462,K6379:K6462,"0",B6379:B6462,"5 1 3 9 9 12 31111 6 M59 10000 000132 0000R*")</f>
        <v>0</v>
      </c>
      <c r="E6378" s="54"/>
      <c r="F6378" s="83">
        <f>SUMIFS(F6379:F6462,K6379:K6462,"0",B6379:B6462,"5 1 3 9 9 12 31111 6 M59 10000 000132 0000R*")</f>
        <v>4479.6499999999996</v>
      </c>
      <c r="G6378" s="83">
        <f>SUMIFS(G6379:G6462,K6379:K6462,"0",B6379:B6462,"5 1 3 9 9 12 31111 6 M59 10000 000132 0000R*")</f>
        <v>0</v>
      </c>
      <c r="H6378" s="83">
        <f t="shared" si="99"/>
        <v>4479.6499999999996</v>
      </c>
      <c r="I6378" s="83"/>
      <c r="K6378" s="54" t="s">
        <v>15</v>
      </c>
    </row>
    <row r="6379" spans="2:11" ht="24.75" x14ac:dyDescent="0.2">
      <c r="B6379" s="82" t="s">
        <v>9935</v>
      </c>
      <c r="C6379" s="82" t="s">
        <v>282</v>
      </c>
      <c r="D6379" s="83">
        <f>SUMIFS(D6380:D6462,K6380:K6462,"0",B6380:B6462,"5 1 3 9 9 12 31111 6 M59 10000 000132 0000R 00001*")-SUMIFS(E6380:E6462,K6380:K6462,"0",B6380:B6462,"5 1 3 9 9 12 31111 6 M59 10000 000132 0000R 00001*")</f>
        <v>0</v>
      </c>
      <c r="E6379" s="54"/>
      <c r="F6379" s="83">
        <f>SUMIFS(F6380:F6462,K6380:K6462,"0",B6380:B6462,"5 1 3 9 9 12 31111 6 M59 10000 000132 0000R 00001*")</f>
        <v>4479.6499999999996</v>
      </c>
      <c r="G6379" s="83">
        <f>SUMIFS(G6380:G6462,K6380:K6462,"0",B6380:B6462,"5 1 3 9 9 12 31111 6 M59 10000 000132 0000R 00001*")</f>
        <v>0</v>
      </c>
      <c r="H6379" s="83">
        <f t="shared" ref="H6379:H6442" si="100">D6379 + F6379 - G6379</f>
        <v>4479.6499999999996</v>
      </c>
      <c r="I6379" s="83"/>
      <c r="K6379" s="54" t="s">
        <v>15</v>
      </c>
    </row>
    <row r="6380" spans="2:11" ht="24.75" x14ac:dyDescent="0.2">
      <c r="B6380" s="82" t="s">
        <v>9936</v>
      </c>
      <c r="C6380" s="82" t="s">
        <v>9937</v>
      </c>
      <c r="D6380" s="83">
        <f>SUMIFS(D6381:D6462,K6381:K6462,"0",B6381:B6462,"5 1 3 9 9 12 31111 6 M59 10000 000132 0000R 00001 00399*")-SUMIFS(E6381:E6462,K6381:K6462,"0",B6381:B6462,"5 1 3 9 9 12 31111 6 M59 10000 000132 0000R 00001 00399*")</f>
        <v>0</v>
      </c>
      <c r="E6380" s="54"/>
      <c r="F6380" s="83">
        <f>SUMIFS(F6381:F6462,K6381:K6462,"0",B6381:B6462,"5 1 3 9 9 12 31111 6 M59 10000 000132 0000R 00001 00399*")</f>
        <v>4479.6499999999996</v>
      </c>
      <c r="G6380" s="83">
        <f>SUMIFS(G6381:G6462,K6381:K6462,"0",B6381:B6462,"5 1 3 9 9 12 31111 6 M59 10000 000132 0000R 00001 00399*")</f>
        <v>0</v>
      </c>
      <c r="H6380" s="83">
        <f t="shared" si="100"/>
        <v>4479.6499999999996</v>
      </c>
      <c r="I6380" s="83"/>
      <c r="K6380" s="54" t="s">
        <v>15</v>
      </c>
    </row>
    <row r="6381" spans="2:11" ht="33" x14ac:dyDescent="0.2">
      <c r="B6381" s="82" t="s">
        <v>9938</v>
      </c>
      <c r="C6381" s="82" t="s">
        <v>1051</v>
      </c>
      <c r="D6381" s="83">
        <f>SUMIFS(D6382:D6462,K6382:K6462,"0",B6382:B6462,"5 1 3 9 9 12 31111 6 M59 10000 000132 0000R 00001 00399 015*")-SUMIFS(E6382:E6462,K6382:K6462,"0",B6382:B6462,"5 1 3 9 9 12 31111 6 M59 10000 000132 0000R 00001 00399 015*")</f>
        <v>0</v>
      </c>
      <c r="E6381" s="54"/>
      <c r="F6381" s="83">
        <f>SUMIFS(F6382:F6462,K6382:K6462,"0",B6382:B6462,"5 1 3 9 9 12 31111 6 M59 10000 000132 0000R 00001 00399 015*")</f>
        <v>4479.6499999999996</v>
      </c>
      <c r="G6381" s="83">
        <f>SUMIFS(G6382:G6462,K6382:K6462,"0",B6382:B6462,"5 1 3 9 9 12 31111 6 M59 10000 000132 0000R 00001 00399 015*")</f>
        <v>0</v>
      </c>
      <c r="H6381" s="83">
        <f t="shared" si="100"/>
        <v>4479.6499999999996</v>
      </c>
      <c r="I6381" s="83"/>
      <c r="K6381" s="54" t="s">
        <v>15</v>
      </c>
    </row>
    <row r="6382" spans="2:11" ht="33" x14ac:dyDescent="0.2">
      <c r="B6382" s="82" t="s">
        <v>9939</v>
      </c>
      <c r="C6382" s="82" t="s">
        <v>5830</v>
      </c>
      <c r="D6382" s="83">
        <f>SUMIFS(D6383:D6462,K6383:K6462,"0",B6383:B6462,"5 1 3 9 9 12 31111 6 M59 10000 000132 0000R 00001 00399 015 2112000*")-SUMIFS(E6383:E6462,K6383:K6462,"0",B6383:B6462,"5 1 3 9 9 12 31111 6 M59 10000 000132 0000R 00001 00399 015 2112000*")</f>
        <v>0</v>
      </c>
      <c r="E6382" s="54"/>
      <c r="F6382" s="83">
        <f>SUMIFS(F6383:F6462,K6383:K6462,"0",B6383:B6462,"5 1 3 9 9 12 31111 6 M59 10000 000132 0000R 00001 00399 015 2112000*")</f>
        <v>4479.6499999999996</v>
      </c>
      <c r="G6382" s="83">
        <f>SUMIFS(G6383:G6462,K6383:K6462,"0",B6383:B6462,"5 1 3 9 9 12 31111 6 M59 10000 000132 0000R 00001 00399 015 2112000*")</f>
        <v>0</v>
      </c>
      <c r="H6382" s="83">
        <f t="shared" si="100"/>
        <v>4479.6499999999996</v>
      </c>
      <c r="I6382" s="83"/>
      <c r="K6382" s="54" t="s">
        <v>15</v>
      </c>
    </row>
    <row r="6383" spans="2:11" ht="33" x14ac:dyDescent="0.2">
      <c r="B6383" s="82" t="s">
        <v>9940</v>
      </c>
      <c r="C6383" s="82" t="s">
        <v>660</v>
      </c>
      <c r="D6383" s="83">
        <f>SUMIFS(D6384:D6462,K6384:K6462,"0",B6384:B6462,"5 1 3 9 9 12 31111 6 M59 10000 000132 0000R 00001 00399 015 2112000 2024*")-SUMIFS(E6384:E6462,K6384:K6462,"0",B6384:B6462,"5 1 3 9 9 12 31111 6 M59 10000 000132 0000R 00001 00399 015 2112000 2024*")</f>
        <v>0</v>
      </c>
      <c r="E6383" s="54"/>
      <c r="F6383" s="83">
        <f>SUMIFS(F6384:F6462,K6384:K6462,"0",B6384:B6462,"5 1 3 9 9 12 31111 6 M59 10000 000132 0000R 00001 00399 015 2112000 2024*")</f>
        <v>4479.6499999999996</v>
      </c>
      <c r="G6383" s="83">
        <f>SUMIFS(G6384:G6462,K6384:K6462,"0",B6384:B6462,"5 1 3 9 9 12 31111 6 M59 10000 000132 0000R 00001 00399 015 2112000 2024*")</f>
        <v>0</v>
      </c>
      <c r="H6383" s="83">
        <f t="shared" si="100"/>
        <v>4479.6499999999996</v>
      </c>
      <c r="I6383" s="83"/>
      <c r="K6383" s="54" t="s">
        <v>15</v>
      </c>
    </row>
    <row r="6384" spans="2:11" ht="41.25" x14ac:dyDescent="0.2">
      <c r="B6384" s="82" t="s">
        <v>9941</v>
      </c>
      <c r="C6384" s="82" t="s">
        <v>662</v>
      </c>
      <c r="D6384" s="83">
        <f>SUMIFS(D6385:D6462,K6385:K6462,"0",B6385:B6462,"5 1 3 9 9 12 31111 6 M59 10000 000132 0000R 00001 00399 015 2112000 2024 CP1PM439*")-SUMIFS(E6385:E6462,K6385:K6462,"0",B6385:B6462,"5 1 3 9 9 12 31111 6 M59 10000 000132 0000R 00001 00399 015 2112000 2024 CP1PM439*")</f>
        <v>0</v>
      </c>
      <c r="E6384" s="54"/>
      <c r="F6384" s="83">
        <f>SUMIFS(F6385:F6462,K6385:K6462,"0",B6385:B6462,"5 1 3 9 9 12 31111 6 M59 10000 000132 0000R 00001 00399 015 2112000 2024 CP1PM439*")</f>
        <v>4479.6499999999996</v>
      </c>
      <c r="G6384" s="83">
        <f>SUMIFS(G6385:G6462,K6385:K6462,"0",B6385:B6462,"5 1 3 9 9 12 31111 6 M59 10000 000132 0000R 00001 00399 015 2112000 2024 CP1PM439*")</f>
        <v>0</v>
      </c>
      <c r="H6384" s="83">
        <f t="shared" si="100"/>
        <v>4479.6499999999996</v>
      </c>
      <c r="I6384" s="83"/>
      <c r="K6384" s="54" t="s">
        <v>15</v>
      </c>
    </row>
    <row r="6385" spans="2:11" ht="41.25" x14ac:dyDescent="0.2">
      <c r="B6385" s="82" t="s">
        <v>9942</v>
      </c>
      <c r="C6385" s="82" t="s">
        <v>282</v>
      </c>
      <c r="D6385" s="83">
        <f>SUMIFS(D6386:D6462,K6386:K6462,"0",B6386:B6462,"5 1 3 9 9 12 31111 6 M59 10000 000132 0000R 00001 00399 015 2112000 2024 CP1PM439 001*")-SUMIFS(E6386:E6462,K6386:K6462,"0",B6386:B6462,"5 1 3 9 9 12 31111 6 M59 10000 000132 0000R 00001 00399 015 2112000 2024 CP1PM439 001*")</f>
        <v>0</v>
      </c>
      <c r="E6385" s="54"/>
      <c r="F6385" s="83">
        <f>SUMIFS(F6386:F6462,K6386:K6462,"0",B6386:B6462,"5 1 3 9 9 12 31111 6 M59 10000 000132 0000R 00001 00399 015 2112000 2024 CP1PM439 001*")</f>
        <v>4479.6499999999996</v>
      </c>
      <c r="G6385" s="83">
        <f>SUMIFS(G6386:G6462,K6386:K6462,"0",B6386:B6462,"5 1 3 9 9 12 31111 6 M59 10000 000132 0000R 00001 00399 015 2112000 2024 CP1PM439 001*")</f>
        <v>0</v>
      </c>
      <c r="H6385" s="83">
        <f t="shared" si="100"/>
        <v>4479.6499999999996</v>
      </c>
      <c r="I6385" s="83"/>
      <c r="K6385" s="54" t="s">
        <v>15</v>
      </c>
    </row>
    <row r="6386" spans="2:11" ht="33" x14ac:dyDescent="0.2">
      <c r="B6386" s="84" t="s">
        <v>9943</v>
      </c>
      <c r="C6386" s="84" t="s">
        <v>9153</v>
      </c>
      <c r="D6386" s="85">
        <v>0</v>
      </c>
      <c r="E6386" s="85"/>
      <c r="F6386" s="85">
        <v>4479.6499999999996</v>
      </c>
      <c r="G6386" s="85">
        <v>0</v>
      </c>
      <c r="H6386" s="85">
        <f t="shared" si="100"/>
        <v>4479.6499999999996</v>
      </c>
      <c r="I6386" s="85"/>
      <c r="K6386" s="54" t="s">
        <v>38</v>
      </c>
    </row>
    <row r="6387" spans="2:11" ht="16.5" x14ac:dyDescent="0.2">
      <c r="B6387" s="82" t="s">
        <v>9955</v>
      </c>
      <c r="C6387" s="82" t="s">
        <v>3103</v>
      </c>
      <c r="D6387" s="83">
        <f>SUMIFS(D6388:D6462,K6388:K6462,"0",B6388:B6462,"5 1 3 9 9 12 31111 6 M59 20400*")-SUMIFS(E6388:E6462,K6388:K6462,"0",B6388:B6462,"5 1 3 9 9 12 31111 6 M59 20400*")</f>
        <v>0</v>
      </c>
      <c r="E6387" s="54"/>
      <c r="F6387" s="83">
        <f>SUMIFS(F6388:F6462,K6388:K6462,"0",B6388:B6462,"5 1 3 9 9 12 31111 6 M59 20400*")</f>
        <v>2850.02</v>
      </c>
      <c r="G6387" s="83">
        <f>SUMIFS(G6388:G6462,K6388:K6462,"0",B6388:B6462,"5 1 3 9 9 12 31111 6 M59 20400*")</f>
        <v>0</v>
      </c>
      <c r="H6387" s="83">
        <f t="shared" si="100"/>
        <v>2850.02</v>
      </c>
      <c r="I6387" s="83"/>
      <c r="K6387" s="54" t="s">
        <v>15</v>
      </c>
    </row>
    <row r="6388" spans="2:11" ht="16.5" x14ac:dyDescent="0.2">
      <c r="B6388" s="82" t="s">
        <v>9956</v>
      </c>
      <c r="C6388" s="82" t="s">
        <v>648</v>
      </c>
      <c r="D6388" s="83">
        <f>SUMIFS(D6389:D6462,K6389:K6462,"0",B6389:B6462,"5 1 3 9 9 12 31111 6 M59 20400 000132*")-SUMIFS(E6389:E6462,K6389:K6462,"0",B6389:B6462,"5 1 3 9 9 12 31111 6 M59 20400 000132*")</f>
        <v>0</v>
      </c>
      <c r="E6388" s="54"/>
      <c r="F6388" s="83">
        <f>SUMIFS(F6389:F6462,K6389:K6462,"0",B6389:B6462,"5 1 3 9 9 12 31111 6 M59 20400 000132*")</f>
        <v>2850.02</v>
      </c>
      <c r="G6388" s="83">
        <f>SUMIFS(G6389:G6462,K6389:K6462,"0",B6389:B6462,"5 1 3 9 9 12 31111 6 M59 20400 000132*")</f>
        <v>0</v>
      </c>
      <c r="H6388" s="83">
        <f t="shared" si="100"/>
        <v>2850.02</v>
      </c>
      <c r="I6388" s="83"/>
      <c r="K6388" s="54" t="s">
        <v>15</v>
      </c>
    </row>
    <row r="6389" spans="2:11" ht="24.75" x14ac:dyDescent="0.2">
      <c r="B6389" s="82" t="s">
        <v>9957</v>
      </c>
      <c r="C6389" s="82" t="s">
        <v>650</v>
      </c>
      <c r="D6389" s="83">
        <f>SUMIFS(D6390:D6462,K6390:K6462,"0",B6390:B6462,"5 1 3 9 9 12 31111 6 M59 20400 000132 0000R*")-SUMIFS(E6390:E6462,K6390:K6462,"0",B6390:B6462,"5 1 3 9 9 12 31111 6 M59 20400 000132 0000R*")</f>
        <v>0</v>
      </c>
      <c r="E6389" s="54"/>
      <c r="F6389" s="83">
        <f>SUMIFS(F6390:F6462,K6390:K6462,"0",B6390:B6462,"5 1 3 9 9 12 31111 6 M59 20400 000132 0000R*")</f>
        <v>2850.02</v>
      </c>
      <c r="G6389" s="83">
        <f>SUMIFS(G6390:G6462,K6390:K6462,"0",B6390:B6462,"5 1 3 9 9 12 31111 6 M59 20400 000132 0000R*")</f>
        <v>0</v>
      </c>
      <c r="H6389" s="83">
        <f t="shared" si="100"/>
        <v>2850.02</v>
      </c>
      <c r="I6389" s="83"/>
      <c r="K6389" s="54" t="s">
        <v>15</v>
      </c>
    </row>
    <row r="6390" spans="2:11" ht="24.75" x14ac:dyDescent="0.2">
      <c r="B6390" s="82" t="s">
        <v>9958</v>
      </c>
      <c r="C6390" s="82" t="s">
        <v>282</v>
      </c>
      <c r="D6390" s="83">
        <f>SUMIFS(D6391:D6462,K6391:K6462,"0",B6391:B6462,"5 1 3 9 9 12 31111 6 M59 20400 000132 0000R 00001*")-SUMIFS(E6391:E6462,K6391:K6462,"0",B6391:B6462,"5 1 3 9 9 12 31111 6 M59 20400 000132 0000R 00001*")</f>
        <v>0</v>
      </c>
      <c r="E6390" s="54"/>
      <c r="F6390" s="83">
        <f>SUMIFS(F6391:F6462,K6391:K6462,"0",B6391:B6462,"5 1 3 9 9 12 31111 6 M59 20400 000132 0000R 00001*")</f>
        <v>2850.02</v>
      </c>
      <c r="G6390" s="83">
        <f>SUMIFS(G6391:G6462,K6391:K6462,"0",B6391:B6462,"5 1 3 9 9 12 31111 6 M59 20400 000132 0000R 00001*")</f>
        <v>0</v>
      </c>
      <c r="H6390" s="83">
        <f t="shared" si="100"/>
        <v>2850.02</v>
      </c>
      <c r="I6390" s="83"/>
      <c r="K6390" s="54" t="s">
        <v>15</v>
      </c>
    </row>
    <row r="6391" spans="2:11" ht="24.75" x14ac:dyDescent="0.2">
      <c r="B6391" s="82" t="s">
        <v>9959</v>
      </c>
      <c r="C6391" s="82" t="s">
        <v>9937</v>
      </c>
      <c r="D6391" s="83">
        <f>SUMIFS(D6392:D6462,K6392:K6462,"0",B6392:B6462,"5 1 3 9 9 12 31111 6 M59 20400 000132 0000R 00001 00399*")-SUMIFS(E6392:E6462,K6392:K6462,"0",B6392:B6462,"5 1 3 9 9 12 31111 6 M59 20400 000132 0000R 00001 00399*")</f>
        <v>0</v>
      </c>
      <c r="E6391" s="54"/>
      <c r="F6391" s="83">
        <f>SUMIFS(F6392:F6462,K6392:K6462,"0",B6392:B6462,"5 1 3 9 9 12 31111 6 M59 20400 000132 0000R 00001 00399*")</f>
        <v>2850.02</v>
      </c>
      <c r="G6391" s="83">
        <f>SUMIFS(G6392:G6462,K6392:K6462,"0",B6392:B6462,"5 1 3 9 9 12 31111 6 M59 20400 000132 0000R 00001 00399*")</f>
        <v>0</v>
      </c>
      <c r="H6391" s="83">
        <f t="shared" si="100"/>
        <v>2850.02</v>
      </c>
      <c r="I6391" s="83"/>
      <c r="K6391" s="54" t="s">
        <v>15</v>
      </c>
    </row>
    <row r="6392" spans="2:11" ht="33" x14ac:dyDescent="0.2">
      <c r="B6392" s="82" t="s">
        <v>9960</v>
      </c>
      <c r="C6392" s="82" t="s">
        <v>1051</v>
      </c>
      <c r="D6392" s="83">
        <f>SUMIFS(D6393:D6462,K6393:K6462,"0",B6393:B6462,"5 1 3 9 9 12 31111 6 M59 20400 000132 0000R 00001 00399 015*")-SUMIFS(E6393:E6462,K6393:K6462,"0",B6393:B6462,"5 1 3 9 9 12 31111 6 M59 20400 000132 0000R 00001 00399 015*")</f>
        <v>0</v>
      </c>
      <c r="E6392" s="54"/>
      <c r="F6392" s="83">
        <f>SUMIFS(F6393:F6462,K6393:K6462,"0",B6393:B6462,"5 1 3 9 9 12 31111 6 M59 20400 000132 0000R 00001 00399 015*")</f>
        <v>2850.02</v>
      </c>
      <c r="G6392" s="83">
        <f>SUMIFS(G6393:G6462,K6393:K6462,"0",B6393:B6462,"5 1 3 9 9 12 31111 6 M59 20400 000132 0000R 00001 00399 015*")</f>
        <v>0</v>
      </c>
      <c r="H6392" s="83">
        <f t="shared" si="100"/>
        <v>2850.02</v>
      </c>
      <c r="I6392" s="83"/>
      <c r="K6392" s="54" t="s">
        <v>15</v>
      </c>
    </row>
    <row r="6393" spans="2:11" ht="33" x14ac:dyDescent="0.2">
      <c r="B6393" s="82" t="s">
        <v>9961</v>
      </c>
      <c r="C6393" s="82" t="s">
        <v>5830</v>
      </c>
      <c r="D6393" s="83">
        <f>SUMIFS(D6394:D6462,K6394:K6462,"0",B6394:B6462,"5 1 3 9 9 12 31111 6 M59 20400 000132 0000R 00001 00399 015 2112000*")-SUMIFS(E6394:E6462,K6394:K6462,"0",B6394:B6462,"5 1 3 9 9 12 31111 6 M59 20400 000132 0000R 00001 00399 015 2112000*")</f>
        <v>0</v>
      </c>
      <c r="E6393" s="54"/>
      <c r="F6393" s="83">
        <f>SUMIFS(F6394:F6462,K6394:K6462,"0",B6394:B6462,"5 1 3 9 9 12 31111 6 M59 20400 000132 0000R 00001 00399 015 2112000*")</f>
        <v>2850.02</v>
      </c>
      <c r="G6393" s="83">
        <f>SUMIFS(G6394:G6462,K6394:K6462,"0",B6394:B6462,"5 1 3 9 9 12 31111 6 M59 20400 000132 0000R 00001 00399 015 2112000*")</f>
        <v>0</v>
      </c>
      <c r="H6393" s="83">
        <f t="shared" si="100"/>
        <v>2850.02</v>
      </c>
      <c r="I6393" s="83"/>
      <c r="K6393" s="54" t="s">
        <v>15</v>
      </c>
    </row>
    <row r="6394" spans="2:11" ht="33" x14ac:dyDescent="0.2">
      <c r="B6394" s="82" t="s">
        <v>9962</v>
      </c>
      <c r="C6394" s="82" t="s">
        <v>660</v>
      </c>
      <c r="D6394" s="83">
        <f>SUMIFS(D6395:D6462,K6395:K6462,"0",B6395:B6462,"5 1 3 9 9 12 31111 6 M59 20400 000132 0000R 00001 00399 015 2112000 2024*")-SUMIFS(E6395:E6462,K6395:K6462,"0",B6395:B6462,"5 1 3 9 9 12 31111 6 M59 20400 000132 0000R 00001 00399 015 2112000 2024*")</f>
        <v>0</v>
      </c>
      <c r="E6394" s="54"/>
      <c r="F6394" s="83">
        <f>SUMIFS(F6395:F6462,K6395:K6462,"0",B6395:B6462,"5 1 3 9 9 12 31111 6 M59 20400 000132 0000R 00001 00399 015 2112000 2024*")</f>
        <v>2850.02</v>
      </c>
      <c r="G6394" s="83">
        <f>SUMIFS(G6395:G6462,K6395:K6462,"0",B6395:B6462,"5 1 3 9 9 12 31111 6 M59 20400 000132 0000R 00001 00399 015 2112000 2024*")</f>
        <v>0</v>
      </c>
      <c r="H6394" s="83">
        <f t="shared" si="100"/>
        <v>2850.02</v>
      </c>
      <c r="I6394" s="83"/>
      <c r="K6394" s="54" t="s">
        <v>15</v>
      </c>
    </row>
    <row r="6395" spans="2:11" ht="41.25" x14ac:dyDescent="0.2">
      <c r="B6395" s="82" t="s">
        <v>9963</v>
      </c>
      <c r="C6395" s="82" t="s">
        <v>1056</v>
      </c>
      <c r="D6395" s="83">
        <f>SUMIFS(D6396:D6462,K6396:K6462,"0",B6396:B6462,"5 1 3 9 9 12 31111 6 M59 20400 000132 0000R 00001 00399 015 2112000 2024 CP1PV404*")-SUMIFS(E6396:E6462,K6396:K6462,"0",B6396:B6462,"5 1 3 9 9 12 31111 6 M59 20400 000132 0000R 00001 00399 015 2112000 2024 CP1PV404*")</f>
        <v>0</v>
      </c>
      <c r="E6395" s="54"/>
      <c r="F6395" s="83">
        <f>SUMIFS(F6396:F6462,K6396:K6462,"0",B6396:B6462,"5 1 3 9 9 12 31111 6 M59 20400 000132 0000R 00001 00399 015 2112000 2024 CP1PV404*")</f>
        <v>2850.02</v>
      </c>
      <c r="G6395" s="83">
        <f>SUMIFS(G6396:G6462,K6396:K6462,"0",B6396:B6462,"5 1 3 9 9 12 31111 6 M59 20400 000132 0000R 00001 00399 015 2112000 2024 CP1PV404*")</f>
        <v>0</v>
      </c>
      <c r="H6395" s="83">
        <f t="shared" si="100"/>
        <v>2850.02</v>
      </c>
      <c r="I6395" s="83"/>
      <c r="K6395" s="54" t="s">
        <v>15</v>
      </c>
    </row>
    <row r="6396" spans="2:11" ht="41.25" x14ac:dyDescent="0.2">
      <c r="B6396" s="82" t="s">
        <v>9964</v>
      </c>
      <c r="C6396" s="82" t="s">
        <v>282</v>
      </c>
      <c r="D6396" s="83">
        <f>SUMIFS(D6397:D6462,K6397:K6462,"0",B6397:B6462,"5 1 3 9 9 12 31111 6 M59 20400 000132 0000R 00001 00399 015 2112000 2024 CP1PV404 001*")-SUMIFS(E6397:E6462,K6397:K6462,"0",B6397:B6462,"5 1 3 9 9 12 31111 6 M59 20400 000132 0000R 00001 00399 015 2112000 2024 CP1PV404 001*")</f>
        <v>0</v>
      </c>
      <c r="E6396" s="54"/>
      <c r="F6396" s="83">
        <f>SUMIFS(F6397:F6462,K6397:K6462,"0",B6397:B6462,"5 1 3 9 9 12 31111 6 M59 20400 000132 0000R 00001 00399 015 2112000 2024 CP1PV404 001*")</f>
        <v>2850.02</v>
      </c>
      <c r="G6396" s="83">
        <f>SUMIFS(G6397:G6462,K6397:K6462,"0",B6397:B6462,"5 1 3 9 9 12 31111 6 M59 20400 000132 0000R 00001 00399 015 2112000 2024 CP1PV404 001*")</f>
        <v>0</v>
      </c>
      <c r="H6396" s="83">
        <f t="shared" si="100"/>
        <v>2850.02</v>
      </c>
      <c r="I6396" s="83"/>
      <c r="K6396" s="54" t="s">
        <v>15</v>
      </c>
    </row>
    <row r="6397" spans="2:11" ht="41.25" x14ac:dyDescent="0.2">
      <c r="B6397" s="84" t="s">
        <v>9965</v>
      </c>
      <c r="C6397" s="84" t="s">
        <v>9153</v>
      </c>
      <c r="D6397" s="85">
        <v>0</v>
      </c>
      <c r="E6397" s="85"/>
      <c r="F6397" s="85">
        <v>2850.02</v>
      </c>
      <c r="G6397" s="85">
        <v>0</v>
      </c>
      <c r="H6397" s="85">
        <f t="shared" si="100"/>
        <v>2850.02</v>
      </c>
      <c r="I6397" s="85"/>
      <c r="K6397" s="54" t="s">
        <v>38</v>
      </c>
    </row>
    <row r="6398" spans="2:11" ht="16.5" x14ac:dyDescent="0.2">
      <c r="B6398" s="82" t="s">
        <v>9977</v>
      </c>
      <c r="C6398" s="82" t="s">
        <v>3644</v>
      </c>
      <c r="D6398" s="83">
        <f>SUMIFS(D6399:D6462,K6399:K6462,"0",B6399:B6462,"5 1 3 9 9 12 31111 6 M59 94000*")-SUMIFS(E6399:E6462,K6399:K6462,"0",B6399:B6462,"5 1 3 9 9 12 31111 6 M59 94000*")</f>
        <v>0</v>
      </c>
      <c r="E6398" s="54"/>
      <c r="F6398" s="83">
        <f>SUMIFS(F6399:F6462,K6399:K6462,"0",B6399:B6462,"5 1 3 9 9 12 31111 6 M59 94000*")</f>
        <v>850000</v>
      </c>
      <c r="G6398" s="83">
        <f>SUMIFS(G6399:G6462,K6399:K6462,"0",B6399:B6462,"5 1 3 9 9 12 31111 6 M59 94000*")</f>
        <v>0</v>
      </c>
      <c r="H6398" s="83">
        <f t="shared" si="100"/>
        <v>850000</v>
      </c>
      <c r="I6398" s="83"/>
      <c r="K6398" s="54" t="s">
        <v>15</v>
      </c>
    </row>
    <row r="6399" spans="2:11" ht="24.75" x14ac:dyDescent="0.2">
      <c r="B6399" s="82" t="s">
        <v>9978</v>
      </c>
      <c r="C6399" s="82" t="s">
        <v>3152</v>
      </c>
      <c r="D6399" s="83">
        <f>SUMIFS(D6400:D6462,K6400:K6462,"0",B6400:B6462,"5 1 3 9 9 12 31111 6 M59 94000 000181*")-SUMIFS(E6400:E6462,K6400:K6462,"0",B6400:B6462,"5 1 3 9 9 12 31111 6 M59 94000 000181*")</f>
        <v>0</v>
      </c>
      <c r="E6399" s="54"/>
      <c r="F6399" s="83">
        <f>SUMIFS(F6400:F6462,K6400:K6462,"0",B6400:B6462,"5 1 3 9 9 12 31111 6 M59 94000 000181*")</f>
        <v>850000</v>
      </c>
      <c r="G6399" s="83">
        <f>SUMIFS(G6400:G6462,K6400:K6462,"0",B6400:B6462,"5 1 3 9 9 12 31111 6 M59 94000 000181*")</f>
        <v>0</v>
      </c>
      <c r="H6399" s="83">
        <f t="shared" si="100"/>
        <v>850000</v>
      </c>
      <c r="I6399" s="83"/>
      <c r="K6399" s="54" t="s">
        <v>15</v>
      </c>
    </row>
    <row r="6400" spans="2:11" ht="24.75" x14ac:dyDescent="0.2">
      <c r="B6400" s="82" t="s">
        <v>9979</v>
      </c>
      <c r="C6400" s="82" t="s">
        <v>650</v>
      </c>
      <c r="D6400" s="83">
        <f>SUMIFS(D6401:D6462,K6401:K6462,"0",B6401:B6462,"5 1 3 9 9 12 31111 6 M59 94000 000181 0000R*")-SUMIFS(E6401:E6462,K6401:K6462,"0",B6401:B6462,"5 1 3 9 9 12 31111 6 M59 94000 000181 0000R*")</f>
        <v>0</v>
      </c>
      <c r="E6400" s="54"/>
      <c r="F6400" s="83">
        <f>SUMIFS(F6401:F6462,K6401:K6462,"0",B6401:B6462,"5 1 3 9 9 12 31111 6 M59 94000 000181 0000R*")</f>
        <v>850000</v>
      </c>
      <c r="G6400" s="83">
        <f>SUMIFS(G6401:G6462,K6401:K6462,"0",B6401:B6462,"5 1 3 9 9 12 31111 6 M59 94000 000181 0000R*")</f>
        <v>0</v>
      </c>
      <c r="H6400" s="83">
        <f t="shared" si="100"/>
        <v>850000</v>
      </c>
      <c r="I6400" s="83"/>
      <c r="K6400" s="54" t="s">
        <v>15</v>
      </c>
    </row>
    <row r="6401" spans="2:11" ht="24.75" x14ac:dyDescent="0.2">
      <c r="B6401" s="82" t="s">
        <v>9980</v>
      </c>
      <c r="C6401" s="82" t="s">
        <v>282</v>
      </c>
      <c r="D6401" s="83">
        <f>SUMIFS(D6402:D6462,K6402:K6462,"0",B6402:B6462,"5 1 3 9 9 12 31111 6 M59 94000 000181 0000R 00001*")-SUMIFS(E6402:E6462,K6402:K6462,"0",B6402:B6462,"5 1 3 9 9 12 31111 6 M59 94000 000181 0000R 00001*")</f>
        <v>0</v>
      </c>
      <c r="E6401" s="54"/>
      <c r="F6401" s="83">
        <f>SUMIFS(F6402:F6462,K6402:K6462,"0",B6402:B6462,"5 1 3 9 9 12 31111 6 M59 94000 000181 0000R 00001*")</f>
        <v>850000</v>
      </c>
      <c r="G6401" s="83">
        <f>SUMIFS(G6402:G6462,K6402:K6462,"0",B6402:B6462,"5 1 3 9 9 12 31111 6 M59 94000 000181 0000R 00001*")</f>
        <v>0</v>
      </c>
      <c r="H6401" s="83">
        <f t="shared" si="100"/>
        <v>850000</v>
      </c>
      <c r="I6401" s="83"/>
      <c r="K6401" s="54" t="s">
        <v>15</v>
      </c>
    </row>
    <row r="6402" spans="2:11" ht="24.75" x14ac:dyDescent="0.2">
      <c r="B6402" s="82" t="s">
        <v>9981</v>
      </c>
      <c r="C6402" s="82" t="s">
        <v>9937</v>
      </c>
      <c r="D6402" s="83">
        <f>SUMIFS(D6403:D6462,K6403:K6462,"0",B6403:B6462,"5 1 3 9 9 12 31111 6 M59 94000 000181 0000R 00001 00399*")-SUMIFS(E6403:E6462,K6403:K6462,"0",B6403:B6462,"5 1 3 9 9 12 31111 6 M59 94000 000181 0000R 00001 00399*")</f>
        <v>0</v>
      </c>
      <c r="E6402" s="54"/>
      <c r="F6402" s="83">
        <f>SUMIFS(F6403:F6462,K6403:K6462,"0",B6403:B6462,"5 1 3 9 9 12 31111 6 M59 94000 000181 0000R 00001 00399*")</f>
        <v>850000</v>
      </c>
      <c r="G6402" s="83">
        <f>SUMIFS(G6403:G6462,K6403:K6462,"0",B6403:B6462,"5 1 3 9 9 12 31111 6 M59 94000 000181 0000R 00001 00399*")</f>
        <v>0</v>
      </c>
      <c r="H6402" s="83">
        <f t="shared" si="100"/>
        <v>850000</v>
      </c>
      <c r="I6402" s="83"/>
      <c r="K6402" s="54" t="s">
        <v>15</v>
      </c>
    </row>
    <row r="6403" spans="2:11" ht="33" x14ac:dyDescent="0.2">
      <c r="B6403" s="82" t="s">
        <v>9982</v>
      </c>
      <c r="C6403" s="82" t="s">
        <v>1051</v>
      </c>
      <c r="D6403" s="83">
        <f>SUMIFS(D6404:D6462,K6404:K6462,"0",B6404:B6462,"5 1 3 9 9 12 31111 6 M59 94000 000181 0000R 00001 00399 015*")-SUMIFS(E6404:E6462,K6404:K6462,"0",B6404:B6462,"5 1 3 9 9 12 31111 6 M59 94000 000181 0000R 00001 00399 015*")</f>
        <v>0</v>
      </c>
      <c r="E6403" s="54"/>
      <c r="F6403" s="83">
        <f>SUMIFS(F6404:F6462,K6404:K6462,"0",B6404:B6462,"5 1 3 9 9 12 31111 6 M59 94000 000181 0000R 00001 00399 015*")</f>
        <v>850000</v>
      </c>
      <c r="G6403" s="83">
        <f>SUMIFS(G6404:G6462,K6404:K6462,"0",B6404:B6462,"5 1 3 9 9 12 31111 6 M59 94000 000181 0000R 00001 00399 015*")</f>
        <v>0</v>
      </c>
      <c r="H6403" s="83">
        <f t="shared" si="100"/>
        <v>850000</v>
      </c>
      <c r="I6403" s="83"/>
      <c r="K6403" s="54" t="s">
        <v>15</v>
      </c>
    </row>
    <row r="6404" spans="2:11" ht="33" x14ac:dyDescent="0.2">
      <c r="B6404" s="82" t="s">
        <v>9983</v>
      </c>
      <c r="C6404" s="82" t="s">
        <v>5830</v>
      </c>
      <c r="D6404" s="83">
        <f>SUMIFS(D6405:D6462,K6405:K6462,"0",B6405:B6462,"5 1 3 9 9 12 31111 6 M59 94000 000181 0000R 00001 00399 015 2112000*")-SUMIFS(E6405:E6462,K6405:K6462,"0",B6405:B6462,"5 1 3 9 9 12 31111 6 M59 94000 000181 0000R 00001 00399 015 2112000*")</f>
        <v>0</v>
      </c>
      <c r="E6404" s="54"/>
      <c r="F6404" s="83">
        <f>SUMIFS(F6405:F6462,K6405:K6462,"0",B6405:B6462,"5 1 3 9 9 12 31111 6 M59 94000 000181 0000R 00001 00399 015 2112000*")</f>
        <v>850000</v>
      </c>
      <c r="G6404" s="83">
        <f>SUMIFS(G6405:G6462,K6405:K6462,"0",B6405:B6462,"5 1 3 9 9 12 31111 6 M59 94000 000181 0000R 00001 00399 015 2112000*")</f>
        <v>0</v>
      </c>
      <c r="H6404" s="83">
        <f t="shared" si="100"/>
        <v>850000</v>
      </c>
      <c r="I6404" s="83"/>
      <c r="K6404" s="54" t="s">
        <v>15</v>
      </c>
    </row>
    <row r="6405" spans="2:11" ht="33" x14ac:dyDescent="0.2">
      <c r="B6405" s="82" t="s">
        <v>9984</v>
      </c>
      <c r="C6405" s="82" t="s">
        <v>660</v>
      </c>
      <c r="D6405" s="83">
        <f>SUMIFS(D6406:D6462,K6406:K6462,"0",B6406:B6462,"5 1 3 9 9 12 31111 6 M59 94000 000181 0000R 00001 00399 015 2112000 2024*")-SUMIFS(E6406:E6462,K6406:K6462,"0",B6406:B6462,"5 1 3 9 9 12 31111 6 M59 94000 000181 0000R 00001 00399 015 2112000 2024*")</f>
        <v>0</v>
      </c>
      <c r="E6405" s="54"/>
      <c r="F6405" s="83">
        <f>SUMIFS(F6406:F6462,K6406:K6462,"0",B6406:B6462,"5 1 3 9 9 12 31111 6 M59 94000 000181 0000R 00001 00399 015 2112000 2024*")</f>
        <v>850000</v>
      </c>
      <c r="G6405" s="83">
        <f>SUMIFS(G6406:G6462,K6406:K6462,"0",B6406:B6462,"5 1 3 9 9 12 31111 6 M59 94000 000181 0000R 00001 00399 015 2112000 2024*")</f>
        <v>0</v>
      </c>
      <c r="H6405" s="83">
        <f t="shared" si="100"/>
        <v>850000</v>
      </c>
      <c r="I6405" s="83"/>
      <c r="K6405" s="54" t="s">
        <v>15</v>
      </c>
    </row>
    <row r="6406" spans="2:11" ht="41.25" x14ac:dyDescent="0.2">
      <c r="B6406" s="82" t="s">
        <v>9985</v>
      </c>
      <c r="C6406" s="82" t="s">
        <v>1056</v>
      </c>
      <c r="D6406" s="83">
        <f>SUMIFS(D6407:D6462,K6407:K6462,"0",B6407:B6462,"5 1 3 9 9 12 31111 6 M59 94000 000181 0000R 00001 00399 015 2112000 2024 CP1OM392*")-SUMIFS(E6407:E6462,K6407:K6462,"0",B6407:B6462,"5 1 3 9 9 12 31111 6 M59 94000 000181 0000R 00001 00399 015 2112000 2024 CP1OM392*")</f>
        <v>0</v>
      </c>
      <c r="E6406" s="54"/>
      <c r="F6406" s="83">
        <f>SUMIFS(F6407:F6462,K6407:K6462,"0",B6407:B6462,"5 1 3 9 9 12 31111 6 M59 94000 000181 0000R 00001 00399 015 2112000 2024 CP1OM392*")</f>
        <v>850000</v>
      </c>
      <c r="G6406" s="83">
        <f>SUMIFS(G6407:G6462,K6407:K6462,"0",B6407:B6462,"5 1 3 9 9 12 31111 6 M59 94000 000181 0000R 00001 00399 015 2112000 2024 CP1OM392*")</f>
        <v>0</v>
      </c>
      <c r="H6406" s="83">
        <f t="shared" si="100"/>
        <v>850000</v>
      </c>
      <c r="I6406" s="83"/>
      <c r="K6406" s="54" t="s">
        <v>15</v>
      </c>
    </row>
    <row r="6407" spans="2:11" ht="41.25" x14ac:dyDescent="0.2">
      <c r="B6407" s="82" t="s">
        <v>9986</v>
      </c>
      <c r="C6407" s="82" t="s">
        <v>282</v>
      </c>
      <c r="D6407" s="83">
        <f>SUMIFS(D6408:D6462,K6408:K6462,"0",B6408:B6462,"5 1 3 9 9 12 31111 6 M59 94000 000181 0000R 00001 00399 015 2112000 2024 CP1OM392 001*")-SUMIFS(E6408:E6462,K6408:K6462,"0",B6408:B6462,"5 1 3 9 9 12 31111 6 M59 94000 000181 0000R 00001 00399 015 2112000 2024 CP1OM392 001*")</f>
        <v>0</v>
      </c>
      <c r="E6407" s="54"/>
      <c r="F6407" s="83">
        <f>SUMIFS(F6408:F6462,K6408:K6462,"0",B6408:B6462,"5 1 3 9 9 12 31111 6 M59 94000 000181 0000R 00001 00399 015 2112000 2024 CP1OM392 001*")</f>
        <v>850000</v>
      </c>
      <c r="G6407" s="83">
        <f>SUMIFS(G6408:G6462,K6408:K6462,"0",B6408:B6462,"5 1 3 9 9 12 31111 6 M59 94000 000181 0000R 00001 00399 015 2112000 2024 CP1OM392 001*")</f>
        <v>0</v>
      </c>
      <c r="H6407" s="83">
        <f t="shared" si="100"/>
        <v>850000</v>
      </c>
      <c r="I6407" s="83"/>
      <c r="K6407" s="54" t="s">
        <v>15</v>
      </c>
    </row>
    <row r="6408" spans="2:11" ht="33" x14ac:dyDescent="0.2">
      <c r="B6408" s="84" t="s">
        <v>9987</v>
      </c>
      <c r="C6408" s="84" t="s">
        <v>9153</v>
      </c>
      <c r="D6408" s="85">
        <v>0</v>
      </c>
      <c r="E6408" s="85"/>
      <c r="F6408" s="85">
        <v>850000</v>
      </c>
      <c r="G6408" s="85">
        <v>0</v>
      </c>
      <c r="H6408" s="85">
        <f t="shared" si="100"/>
        <v>850000</v>
      </c>
      <c r="I6408" s="85"/>
      <c r="K6408" s="54" t="s">
        <v>38</v>
      </c>
    </row>
    <row r="6409" spans="2:11" ht="24.75" x14ac:dyDescent="0.2">
      <c r="B6409" s="82" t="s">
        <v>9988</v>
      </c>
      <c r="C6409" s="82" t="s">
        <v>9989</v>
      </c>
      <c r="D6409" s="83">
        <f>SUMIFS(D6410:D6462,K6410:K6462,"0",B6410:B6462,"5 2*")-SUMIFS(E6410:E6462,K6410:K6462,"0",B6410:B6462,"5 2*")</f>
        <v>0</v>
      </c>
      <c r="E6409" s="54"/>
      <c r="F6409" s="83">
        <f>SUMIFS(F6410:F6462,K6410:K6462,"0",B6410:B6462,"5 2*")</f>
        <v>1668625.19</v>
      </c>
      <c r="G6409" s="83">
        <f>SUMIFS(G6410:G6462,K6410:K6462,"0",B6410:B6462,"5 2*")</f>
        <v>0</v>
      </c>
      <c r="H6409" s="83">
        <f t="shared" si="100"/>
        <v>1668625.19</v>
      </c>
      <c r="I6409" s="83"/>
      <c r="K6409" s="54" t="s">
        <v>15</v>
      </c>
    </row>
    <row r="6410" spans="2:11" ht="12.75" x14ac:dyDescent="0.2">
      <c r="B6410" s="82" t="s">
        <v>10013</v>
      </c>
      <c r="C6410" s="82" t="s">
        <v>10014</v>
      </c>
      <c r="D6410" s="83">
        <f>SUMIFS(D6411:D6462,K6411:K6462,"0",B6411:B6462,"5 2 3*")-SUMIFS(E6411:E6462,K6411:K6462,"0",B6411:B6462,"5 2 3*")</f>
        <v>0</v>
      </c>
      <c r="E6410" s="54"/>
      <c r="F6410" s="83">
        <f>SUMIFS(F6411:F6462,K6411:K6462,"0",B6411:B6462,"5 2 3*")</f>
        <v>1168335.8600000001</v>
      </c>
      <c r="G6410" s="83">
        <f>SUMIFS(G6411:G6462,K6411:K6462,"0",B6411:B6462,"5 2 3*")</f>
        <v>0</v>
      </c>
      <c r="H6410" s="83">
        <f t="shared" si="100"/>
        <v>1168335.8600000001</v>
      </c>
      <c r="I6410" s="83"/>
      <c r="K6410" s="54" t="s">
        <v>15</v>
      </c>
    </row>
    <row r="6411" spans="2:11" ht="12.75" x14ac:dyDescent="0.2">
      <c r="B6411" s="82" t="s">
        <v>10015</v>
      </c>
      <c r="C6411" s="82" t="s">
        <v>10016</v>
      </c>
      <c r="D6411" s="83">
        <f>SUMIFS(D6412:D6462,K6412:K6462,"0",B6412:B6462,"5 2 3 1*")-SUMIFS(E6412:E6462,K6412:K6462,"0",B6412:B6462,"5 2 3 1*")</f>
        <v>0</v>
      </c>
      <c r="E6411" s="54"/>
      <c r="F6411" s="83">
        <f>SUMIFS(F6412:F6462,K6412:K6462,"0",B6412:B6462,"5 2 3 1*")</f>
        <v>1168335.8600000001</v>
      </c>
      <c r="G6411" s="83">
        <f>SUMIFS(G6412:G6462,K6412:K6462,"0",B6412:B6462,"5 2 3 1*")</f>
        <v>0</v>
      </c>
      <c r="H6411" s="83">
        <f t="shared" si="100"/>
        <v>1168335.8600000001</v>
      </c>
      <c r="I6411" s="83"/>
      <c r="K6411" s="54" t="s">
        <v>15</v>
      </c>
    </row>
    <row r="6412" spans="2:11" ht="16.5" x14ac:dyDescent="0.2">
      <c r="B6412" s="82" t="s">
        <v>10017</v>
      </c>
      <c r="C6412" s="82" t="s">
        <v>10018</v>
      </c>
      <c r="D6412" s="83">
        <f>SUMIFS(D6413:D6462,K6413:K6462,"0",B6413:B6462,"5 2 3 1 8*")-SUMIFS(E6413:E6462,K6413:K6462,"0",B6413:B6462,"5 2 3 1 8*")</f>
        <v>0</v>
      </c>
      <c r="E6412" s="54"/>
      <c r="F6412" s="83">
        <f>SUMIFS(F6413:F6462,K6413:K6462,"0",B6413:B6462,"5 2 3 1 8*")</f>
        <v>1168335.8600000001</v>
      </c>
      <c r="G6412" s="83">
        <f>SUMIFS(G6413:G6462,K6413:K6462,"0",B6413:B6462,"5 2 3 1 8*")</f>
        <v>0</v>
      </c>
      <c r="H6412" s="83">
        <f t="shared" si="100"/>
        <v>1168335.8600000001</v>
      </c>
      <c r="I6412" s="83"/>
      <c r="K6412" s="54" t="s">
        <v>15</v>
      </c>
    </row>
    <row r="6413" spans="2:11" ht="12.75" x14ac:dyDescent="0.2">
      <c r="B6413" s="82" t="s">
        <v>10019</v>
      </c>
      <c r="C6413" s="82" t="s">
        <v>26</v>
      </c>
      <c r="D6413" s="83">
        <f>SUMIFS(D6414:D6462,K6414:K6462,"0",B6414:B6462,"5 2 3 1 8 12*")-SUMIFS(E6414:E6462,K6414:K6462,"0",B6414:B6462,"5 2 3 1 8 12*")</f>
        <v>0</v>
      </c>
      <c r="E6413" s="54"/>
      <c r="F6413" s="83">
        <f>SUMIFS(F6414:F6462,K6414:K6462,"0",B6414:B6462,"5 2 3 1 8 12*")</f>
        <v>1168335.8600000001</v>
      </c>
      <c r="G6413" s="83">
        <f>SUMIFS(G6414:G6462,K6414:K6462,"0",B6414:B6462,"5 2 3 1 8 12*")</f>
        <v>0</v>
      </c>
      <c r="H6413" s="83">
        <f t="shared" si="100"/>
        <v>1168335.8600000001</v>
      </c>
      <c r="I6413" s="83"/>
      <c r="K6413" s="54" t="s">
        <v>15</v>
      </c>
    </row>
    <row r="6414" spans="2:11" ht="16.5" x14ac:dyDescent="0.2">
      <c r="B6414" s="82" t="s">
        <v>10020</v>
      </c>
      <c r="C6414" s="82" t="s">
        <v>28</v>
      </c>
      <c r="D6414" s="83">
        <f>SUMIFS(D6415:D6462,K6415:K6462,"0",B6415:B6462,"5 2 3 1 8 12 31111*")-SUMIFS(E6415:E6462,K6415:K6462,"0",B6415:B6462,"5 2 3 1 8 12 31111*")</f>
        <v>0</v>
      </c>
      <c r="E6414" s="54"/>
      <c r="F6414" s="83">
        <f>SUMIFS(F6415:F6462,K6415:K6462,"0",B6415:B6462,"5 2 3 1 8 12 31111*")</f>
        <v>1168335.8600000001</v>
      </c>
      <c r="G6414" s="83">
        <f>SUMIFS(G6415:G6462,K6415:K6462,"0",B6415:B6462,"5 2 3 1 8 12 31111*")</f>
        <v>0</v>
      </c>
      <c r="H6414" s="83">
        <f t="shared" si="100"/>
        <v>1168335.8600000001</v>
      </c>
      <c r="I6414" s="83"/>
      <c r="K6414" s="54" t="s">
        <v>15</v>
      </c>
    </row>
    <row r="6415" spans="2:11" ht="12.75" x14ac:dyDescent="0.2">
      <c r="B6415" s="82" t="s">
        <v>10021</v>
      </c>
      <c r="C6415" s="82" t="s">
        <v>30</v>
      </c>
      <c r="D6415" s="83">
        <f>SUMIFS(D6416:D6462,K6416:K6462,"0",B6416:B6462,"5 2 3 1 8 12 31111 6*")-SUMIFS(E6416:E6462,K6416:K6462,"0",B6416:B6462,"5 2 3 1 8 12 31111 6*")</f>
        <v>0</v>
      </c>
      <c r="E6415" s="54"/>
      <c r="F6415" s="83">
        <f>SUMIFS(F6416:F6462,K6416:K6462,"0",B6416:B6462,"5 2 3 1 8 12 31111 6*")</f>
        <v>1168335.8600000001</v>
      </c>
      <c r="G6415" s="83">
        <f>SUMIFS(G6416:G6462,K6416:K6462,"0",B6416:B6462,"5 2 3 1 8 12 31111 6*")</f>
        <v>0</v>
      </c>
      <c r="H6415" s="83">
        <f t="shared" si="100"/>
        <v>1168335.8600000001</v>
      </c>
      <c r="I6415" s="83"/>
      <c r="K6415" s="54" t="s">
        <v>15</v>
      </c>
    </row>
    <row r="6416" spans="2:11" ht="16.5" x14ac:dyDescent="0.2">
      <c r="B6416" s="82" t="s">
        <v>10022</v>
      </c>
      <c r="C6416" s="82" t="s">
        <v>2284</v>
      </c>
      <c r="D6416" s="83">
        <f>SUMIFS(D6417:D6462,K6417:K6462,"0",B6417:B6462,"5 2 3 1 8 12 31111 6 M59*")-SUMIFS(E6417:E6462,K6417:K6462,"0",B6417:B6462,"5 2 3 1 8 12 31111 6 M59*")</f>
        <v>0</v>
      </c>
      <c r="E6416" s="54"/>
      <c r="F6416" s="83">
        <f>SUMIFS(F6417:F6462,K6417:K6462,"0",B6417:B6462,"5 2 3 1 8 12 31111 6 M59*")</f>
        <v>1168335.8600000001</v>
      </c>
      <c r="G6416" s="83">
        <f>SUMIFS(G6417:G6462,K6417:K6462,"0",B6417:B6462,"5 2 3 1 8 12 31111 6 M59*")</f>
        <v>0</v>
      </c>
      <c r="H6416" s="83">
        <f t="shared" si="100"/>
        <v>1168335.8600000001</v>
      </c>
      <c r="I6416" s="83"/>
      <c r="K6416" s="54" t="s">
        <v>15</v>
      </c>
    </row>
    <row r="6417" spans="2:11" ht="24.75" x14ac:dyDescent="0.2">
      <c r="B6417" s="82" t="s">
        <v>10023</v>
      </c>
      <c r="C6417" s="82" t="s">
        <v>3571</v>
      </c>
      <c r="D6417" s="83">
        <f>SUMIFS(D6418:D6462,K6418:K6462,"0",B6418:B6462,"5 2 3 1 8 12 31111 6 M59 80500*")-SUMIFS(E6418:E6462,K6418:K6462,"0",B6418:B6462,"5 2 3 1 8 12 31111 6 M59 80500*")</f>
        <v>0</v>
      </c>
      <c r="E6417" s="54"/>
      <c r="F6417" s="83">
        <f>SUMIFS(F6418:F6462,K6418:K6462,"0",B6418:B6462,"5 2 3 1 8 12 31111 6 M59 80500*")</f>
        <v>1168335.8600000001</v>
      </c>
      <c r="G6417" s="83">
        <f>SUMIFS(G6418:G6462,K6418:K6462,"0",B6418:B6462,"5 2 3 1 8 12 31111 6 M59 80500*")</f>
        <v>0</v>
      </c>
      <c r="H6417" s="83">
        <f t="shared" si="100"/>
        <v>1168335.8600000001</v>
      </c>
      <c r="I6417" s="83"/>
      <c r="K6417" s="54" t="s">
        <v>15</v>
      </c>
    </row>
    <row r="6418" spans="2:11" ht="16.5" x14ac:dyDescent="0.2">
      <c r="B6418" s="82" t="s">
        <v>10024</v>
      </c>
      <c r="C6418" s="82" t="s">
        <v>3573</v>
      </c>
      <c r="D6418" s="83">
        <f>SUMIFS(D6419:D6462,K6419:K6462,"0",B6419:B6462,"5 2 3 1 8 12 31111 6 M59 80500 000216*")-SUMIFS(E6419:E6462,K6419:K6462,"0",B6419:B6462,"5 2 3 1 8 12 31111 6 M59 80500 000216*")</f>
        <v>0</v>
      </c>
      <c r="E6418" s="54"/>
      <c r="F6418" s="83">
        <f>SUMIFS(F6419:F6462,K6419:K6462,"0",B6419:B6462,"5 2 3 1 8 12 31111 6 M59 80500 000216*")</f>
        <v>1168335.8600000001</v>
      </c>
      <c r="G6418" s="83">
        <f>SUMIFS(G6419:G6462,K6419:K6462,"0",B6419:B6462,"5 2 3 1 8 12 31111 6 M59 80500 000216*")</f>
        <v>0</v>
      </c>
      <c r="H6418" s="83">
        <f t="shared" si="100"/>
        <v>1168335.8600000001</v>
      </c>
      <c r="I6418" s="83"/>
      <c r="K6418" s="54" t="s">
        <v>15</v>
      </c>
    </row>
    <row r="6419" spans="2:11" ht="24.75" x14ac:dyDescent="0.2">
      <c r="B6419" s="82" t="s">
        <v>10025</v>
      </c>
      <c r="C6419" s="82" t="s">
        <v>650</v>
      </c>
      <c r="D6419" s="83">
        <f>SUMIFS(D6420:D6462,K6420:K6462,"0",B6420:B6462,"5 2 3 1 8 12 31111 6 M59 80500 000216 0000R*")-SUMIFS(E6420:E6462,K6420:K6462,"0",B6420:B6462,"5 2 3 1 8 12 31111 6 M59 80500 000216 0000R*")</f>
        <v>0</v>
      </c>
      <c r="E6419" s="54"/>
      <c r="F6419" s="83">
        <f>SUMIFS(F6420:F6462,K6420:K6462,"0",B6420:B6462,"5 2 3 1 8 12 31111 6 M59 80500 000216 0000R*")</f>
        <v>1168335.8600000001</v>
      </c>
      <c r="G6419" s="83">
        <f>SUMIFS(G6420:G6462,K6420:K6462,"0",B6420:B6462,"5 2 3 1 8 12 31111 6 M59 80500 000216 0000R*")</f>
        <v>0</v>
      </c>
      <c r="H6419" s="83">
        <f t="shared" si="100"/>
        <v>1168335.8600000001</v>
      </c>
      <c r="I6419" s="83"/>
      <c r="K6419" s="54" t="s">
        <v>15</v>
      </c>
    </row>
    <row r="6420" spans="2:11" ht="24.75" x14ac:dyDescent="0.2">
      <c r="B6420" s="82" t="s">
        <v>10026</v>
      </c>
      <c r="C6420" s="82" t="s">
        <v>282</v>
      </c>
      <c r="D6420" s="83">
        <f>SUMIFS(D6421:D6462,K6421:K6462,"0",B6421:B6462,"5 2 3 1 8 12 31111 6 M59 80500 000216 0000R 00001*")-SUMIFS(E6421:E6462,K6421:K6462,"0",B6421:B6462,"5 2 3 1 8 12 31111 6 M59 80500 000216 0000R 00001*")</f>
        <v>0</v>
      </c>
      <c r="E6420" s="54"/>
      <c r="F6420" s="83">
        <f>SUMIFS(F6421:F6462,K6421:K6462,"0",B6421:B6462,"5 2 3 1 8 12 31111 6 M59 80500 000216 0000R 00001*")</f>
        <v>1168335.8600000001</v>
      </c>
      <c r="G6420" s="83">
        <f>SUMIFS(G6421:G6462,K6421:K6462,"0",B6421:B6462,"5 2 3 1 8 12 31111 6 M59 80500 000216 0000R 00001*")</f>
        <v>0</v>
      </c>
      <c r="H6420" s="83">
        <f t="shared" si="100"/>
        <v>1168335.8600000001</v>
      </c>
      <c r="I6420" s="83"/>
      <c r="K6420" s="54" t="s">
        <v>15</v>
      </c>
    </row>
    <row r="6421" spans="2:11" ht="24.75" x14ac:dyDescent="0.2">
      <c r="B6421" s="82" t="s">
        <v>10027</v>
      </c>
      <c r="C6421" s="82" t="s">
        <v>10028</v>
      </c>
      <c r="D6421" s="83">
        <f>SUMIFS(D6422:D6462,K6422:K6462,"0",B6422:B6462,"5 2 3 1 8 12 31111 6 M59 80500 000216 0000R 00001 00438*")-SUMIFS(E6422:E6462,K6422:K6462,"0",B6422:B6462,"5 2 3 1 8 12 31111 6 M59 80500 000216 0000R 00001 00438*")</f>
        <v>0</v>
      </c>
      <c r="E6421" s="54"/>
      <c r="F6421" s="83">
        <f>SUMIFS(F6422:F6462,K6422:K6462,"0",B6422:B6462,"5 2 3 1 8 12 31111 6 M59 80500 000216 0000R 00001 00438*")</f>
        <v>1168335.8600000001</v>
      </c>
      <c r="G6421" s="83">
        <f>SUMIFS(G6422:G6462,K6422:K6462,"0",B6422:B6462,"5 2 3 1 8 12 31111 6 M59 80500 000216 0000R 00001 00438*")</f>
        <v>0</v>
      </c>
      <c r="H6421" s="83">
        <f t="shared" si="100"/>
        <v>1168335.8600000001</v>
      </c>
      <c r="I6421" s="83"/>
      <c r="K6421" s="54" t="s">
        <v>15</v>
      </c>
    </row>
    <row r="6422" spans="2:11" ht="33" x14ac:dyDescent="0.2">
      <c r="B6422" s="82" t="s">
        <v>10037</v>
      </c>
      <c r="C6422" s="82" t="s">
        <v>1051</v>
      </c>
      <c r="D6422" s="83">
        <f>SUMIFS(D6423:D6462,K6423:K6462,"0",B6423:B6462,"5 2 3 1 8 12 31111 6 M59 80500 000216 0000R 00001 00438 015*")-SUMIFS(E6423:E6462,K6423:K6462,"0",B6423:B6462,"5 2 3 1 8 12 31111 6 M59 80500 000216 0000R 00001 00438 015*")</f>
        <v>0</v>
      </c>
      <c r="E6422" s="54"/>
      <c r="F6422" s="83">
        <f>SUMIFS(F6423:F6462,K6423:K6462,"0",B6423:B6462,"5 2 3 1 8 12 31111 6 M59 80500 000216 0000R 00001 00438 015*")</f>
        <v>1168335.8600000001</v>
      </c>
      <c r="G6422" s="83">
        <f>SUMIFS(G6423:G6462,K6423:K6462,"0",B6423:B6462,"5 2 3 1 8 12 31111 6 M59 80500 000216 0000R 00001 00438 015*")</f>
        <v>0</v>
      </c>
      <c r="H6422" s="83">
        <f t="shared" si="100"/>
        <v>1168335.8600000001</v>
      </c>
      <c r="I6422" s="83"/>
      <c r="K6422" s="54" t="s">
        <v>15</v>
      </c>
    </row>
    <row r="6423" spans="2:11" ht="33" x14ac:dyDescent="0.2">
      <c r="B6423" s="82" t="s">
        <v>10038</v>
      </c>
      <c r="C6423" s="82" t="s">
        <v>10031</v>
      </c>
      <c r="D6423" s="83">
        <f>SUMIFS(D6424:D6462,K6424:K6462,"0",B6424:B6462,"5 2 3 1 8 12 31111 6 M59 80500 000216 0000R 00001 00438 015 2152200*")-SUMIFS(E6424:E6462,K6424:K6462,"0",B6424:B6462,"5 2 3 1 8 12 31111 6 M59 80500 000216 0000R 00001 00438 015 2152200*")</f>
        <v>0</v>
      </c>
      <c r="E6423" s="54"/>
      <c r="F6423" s="83">
        <f>SUMIFS(F6424:F6462,K6424:K6462,"0",B6424:B6462,"5 2 3 1 8 12 31111 6 M59 80500 000216 0000R 00001 00438 015 2152200*")</f>
        <v>1168335.8600000001</v>
      </c>
      <c r="G6423" s="83">
        <f>SUMIFS(G6424:G6462,K6424:K6462,"0",B6424:B6462,"5 2 3 1 8 12 31111 6 M59 80500 000216 0000R 00001 00438 015 2152200*")</f>
        <v>0</v>
      </c>
      <c r="H6423" s="83">
        <f t="shared" si="100"/>
        <v>1168335.8600000001</v>
      </c>
      <c r="I6423" s="83"/>
      <c r="K6423" s="54" t="s">
        <v>15</v>
      </c>
    </row>
    <row r="6424" spans="2:11" ht="33" x14ac:dyDescent="0.2">
      <c r="B6424" s="82" t="s">
        <v>10039</v>
      </c>
      <c r="C6424" s="82" t="s">
        <v>660</v>
      </c>
      <c r="D6424" s="83">
        <f>SUMIFS(D6425:D6462,K6425:K6462,"0",B6425:B6462,"5 2 3 1 8 12 31111 6 M59 80500 000216 0000R 00001 00438 015 2152200 2024*")-SUMIFS(E6425:E6462,K6425:K6462,"0",B6425:B6462,"5 2 3 1 8 12 31111 6 M59 80500 000216 0000R 00001 00438 015 2152200 2024*")</f>
        <v>0</v>
      </c>
      <c r="E6424" s="54"/>
      <c r="F6424" s="83">
        <f>SUMIFS(F6425:F6462,K6425:K6462,"0",B6425:B6462,"5 2 3 1 8 12 31111 6 M59 80500 000216 0000R 00001 00438 015 2152200 2024*")</f>
        <v>1168335.8600000001</v>
      </c>
      <c r="G6424" s="83">
        <f>SUMIFS(G6425:G6462,K6425:K6462,"0",B6425:B6462,"5 2 3 1 8 12 31111 6 M59 80500 000216 0000R 00001 00438 015 2152200 2024*")</f>
        <v>0</v>
      </c>
      <c r="H6424" s="83">
        <f t="shared" si="100"/>
        <v>1168335.8600000001</v>
      </c>
      <c r="I6424" s="83"/>
      <c r="K6424" s="54" t="s">
        <v>15</v>
      </c>
    </row>
    <row r="6425" spans="2:11" ht="41.25" x14ac:dyDescent="0.2">
      <c r="B6425" s="82" t="s">
        <v>10040</v>
      </c>
      <c r="C6425" s="82" t="s">
        <v>1056</v>
      </c>
      <c r="D6425" s="83">
        <f>SUMIFS(D6426:D6462,K6426:K6462,"0",B6426:B6462,"5 2 3 1 8 12 31111 6 M59 80500 000216 0000R 00001 00438 015 2152200 2024 CP1MA417*")-SUMIFS(E6426:E6462,K6426:K6462,"0",B6426:B6462,"5 2 3 1 8 12 31111 6 M59 80500 000216 0000R 00001 00438 015 2152200 2024 CP1MA417*")</f>
        <v>0</v>
      </c>
      <c r="E6425" s="54"/>
      <c r="F6425" s="83">
        <f>SUMIFS(F6426:F6462,K6426:K6462,"0",B6426:B6462,"5 2 3 1 8 12 31111 6 M59 80500 000216 0000R 00001 00438 015 2152200 2024 CP1MA417*")</f>
        <v>1168335.8600000001</v>
      </c>
      <c r="G6425" s="83">
        <f>SUMIFS(G6426:G6462,K6426:K6462,"0",B6426:B6462,"5 2 3 1 8 12 31111 6 M59 80500 000216 0000R 00001 00438 015 2152200 2024 CP1MA417*")</f>
        <v>0</v>
      </c>
      <c r="H6425" s="83">
        <f t="shared" si="100"/>
        <v>1168335.8600000001</v>
      </c>
      <c r="I6425" s="83"/>
      <c r="K6425" s="54" t="s">
        <v>15</v>
      </c>
    </row>
    <row r="6426" spans="2:11" ht="41.25" x14ac:dyDescent="0.2">
      <c r="B6426" s="82" t="s">
        <v>10041</v>
      </c>
      <c r="C6426" s="82" t="s">
        <v>282</v>
      </c>
      <c r="D6426" s="83">
        <f>SUMIFS(D6427:D6462,K6427:K6462,"0",B6427:B6462,"5 2 3 1 8 12 31111 6 M59 80500 000216 0000R 00001 00438 015 2152200 2024 CP1MA417 001*")-SUMIFS(E6427:E6462,K6427:K6462,"0",B6427:B6462,"5 2 3 1 8 12 31111 6 M59 80500 000216 0000R 00001 00438 015 2152200 2024 CP1MA417 001*")</f>
        <v>0</v>
      </c>
      <c r="E6426" s="54"/>
      <c r="F6426" s="83">
        <f>SUMIFS(F6427:F6462,K6427:K6462,"0",B6427:B6462,"5 2 3 1 8 12 31111 6 M59 80500 000216 0000R 00001 00438 015 2152200 2024 CP1MA417 001*")</f>
        <v>1168335.8600000001</v>
      </c>
      <c r="G6426" s="83">
        <f>SUMIFS(G6427:G6462,K6427:K6462,"0",B6427:B6462,"5 2 3 1 8 12 31111 6 M59 80500 000216 0000R 00001 00438 015 2152200 2024 CP1MA417 001*")</f>
        <v>0</v>
      </c>
      <c r="H6426" s="83">
        <f t="shared" si="100"/>
        <v>1168335.8600000001</v>
      </c>
      <c r="I6426" s="83"/>
      <c r="K6426" s="54" t="s">
        <v>15</v>
      </c>
    </row>
    <row r="6427" spans="2:11" ht="33" x14ac:dyDescent="0.2">
      <c r="B6427" s="84" t="s">
        <v>10042</v>
      </c>
      <c r="C6427" s="84" t="s">
        <v>10018</v>
      </c>
      <c r="D6427" s="85">
        <v>0</v>
      </c>
      <c r="E6427" s="85"/>
      <c r="F6427" s="85">
        <v>1168335.8600000001</v>
      </c>
      <c r="G6427" s="85">
        <v>0</v>
      </c>
      <c r="H6427" s="85">
        <f t="shared" si="100"/>
        <v>1168335.8600000001</v>
      </c>
      <c r="I6427" s="85"/>
      <c r="K6427" s="54" t="s">
        <v>38</v>
      </c>
    </row>
    <row r="6428" spans="2:11" ht="12.75" x14ac:dyDescent="0.2">
      <c r="B6428" s="82" t="s">
        <v>10043</v>
      </c>
      <c r="C6428" s="82" t="s">
        <v>1804</v>
      </c>
      <c r="D6428" s="83">
        <f>SUMIFS(D6429:D6462,K6429:K6462,"0",B6429:B6462,"5 2 4*")-SUMIFS(E6429:E6462,K6429:K6462,"0",B6429:B6462,"5 2 4*")</f>
        <v>0</v>
      </c>
      <c r="E6428" s="54"/>
      <c r="F6428" s="83">
        <f>SUMIFS(F6429:F6462,K6429:K6462,"0",B6429:B6462,"5 2 4*")</f>
        <v>500289.33</v>
      </c>
      <c r="G6428" s="83">
        <f>SUMIFS(G6429:G6462,K6429:K6462,"0",B6429:B6462,"5 2 4*")</f>
        <v>0</v>
      </c>
      <c r="H6428" s="83">
        <f t="shared" si="100"/>
        <v>500289.33</v>
      </c>
      <c r="I6428" s="83"/>
      <c r="K6428" s="54" t="s">
        <v>15</v>
      </c>
    </row>
    <row r="6429" spans="2:11" ht="16.5" x14ac:dyDescent="0.2">
      <c r="B6429" s="82" t="s">
        <v>10044</v>
      </c>
      <c r="C6429" s="82" t="s">
        <v>10045</v>
      </c>
      <c r="D6429" s="83">
        <f>SUMIFS(D6430:D6462,K6430:K6462,"0",B6430:B6462,"5 2 4 1*")-SUMIFS(E6430:E6462,K6430:K6462,"0",B6430:B6462,"5 2 4 1*")</f>
        <v>0</v>
      </c>
      <c r="E6429" s="54"/>
      <c r="F6429" s="83">
        <f>SUMIFS(F6430:F6462,K6430:K6462,"0",B6430:B6462,"5 2 4 1*")</f>
        <v>500289.33</v>
      </c>
      <c r="G6429" s="83">
        <f>SUMIFS(G6430:G6462,K6430:K6462,"0",B6430:B6462,"5 2 4 1*")</f>
        <v>0</v>
      </c>
      <c r="H6429" s="83">
        <f t="shared" si="100"/>
        <v>500289.33</v>
      </c>
      <c r="I6429" s="83"/>
      <c r="K6429" s="54" t="s">
        <v>15</v>
      </c>
    </row>
    <row r="6430" spans="2:11" ht="16.5" x14ac:dyDescent="0.2">
      <c r="B6430" s="82" t="s">
        <v>10046</v>
      </c>
      <c r="C6430" s="82" t="s">
        <v>10045</v>
      </c>
      <c r="D6430" s="83">
        <f>SUMIFS(D6431:D6462,K6431:K6462,"0",B6431:B6462,"5 2 4 1 1*")-SUMIFS(E6431:E6462,K6431:K6462,"0",B6431:B6462,"5 2 4 1 1*")</f>
        <v>0</v>
      </c>
      <c r="E6430" s="54"/>
      <c r="F6430" s="83">
        <f>SUMIFS(F6431:F6462,K6431:K6462,"0",B6431:B6462,"5 2 4 1 1*")</f>
        <v>500289.33</v>
      </c>
      <c r="G6430" s="83">
        <f>SUMIFS(G6431:G6462,K6431:K6462,"0",B6431:B6462,"5 2 4 1 1*")</f>
        <v>0</v>
      </c>
      <c r="H6430" s="83">
        <f t="shared" si="100"/>
        <v>500289.33</v>
      </c>
      <c r="I6430" s="83"/>
      <c r="K6430" s="54" t="s">
        <v>15</v>
      </c>
    </row>
    <row r="6431" spans="2:11" ht="12.75" x14ac:dyDescent="0.2">
      <c r="B6431" s="82" t="s">
        <v>10047</v>
      </c>
      <c r="C6431" s="82" t="s">
        <v>26</v>
      </c>
      <c r="D6431" s="83">
        <f>SUMIFS(D6432:D6462,K6432:K6462,"0",B6432:B6462,"5 2 4 1 1 12*")-SUMIFS(E6432:E6462,K6432:K6462,"0",B6432:B6462,"5 2 4 1 1 12*")</f>
        <v>0</v>
      </c>
      <c r="E6431" s="54"/>
      <c r="F6431" s="83">
        <f>SUMIFS(F6432:F6462,K6432:K6462,"0",B6432:B6462,"5 2 4 1 1 12*")</f>
        <v>500289.33</v>
      </c>
      <c r="G6431" s="83">
        <f>SUMIFS(G6432:G6462,K6432:K6462,"0",B6432:B6462,"5 2 4 1 1 12*")</f>
        <v>0</v>
      </c>
      <c r="H6431" s="83">
        <f t="shared" si="100"/>
        <v>500289.33</v>
      </c>
      <c r="I6431" s="83"/>
      <c r="K6431" s="54" t="s">
        <v>15</v>
      </c>
    </row>
    <row r="6432" spans="2:11" ht="16.5" x14ac:dyDescent="0.2">
      <c r="B6432" s="82" t="s">
        <v>10048</v>
      </c>
      <c r="C6432" s="82" t="s">
        <v>28</v>
      </c>
      <c r="D6432" s="83">
        <f>SUMIFS(D6433:D6462,K6433:K6462,"0",B6433:B6462,"5 2 4 1 1 12 31111*")-SUMIFS(E6433:E6462,K6433:K6462,"0",B6433:B6462,"5 2 4 1 1 12 31111*")</f>
        <v>0</v>
      </c>
      <c r="E6432" s="54"/>
      <c r="F6432" s="83">
        <f>SUMIFS(F6433:F6462,K6433:K6462,"0",B6433:B6462,"5 2 4 1 1 12 31111*")</f>
        <v>500289.33</v>
      </c>
      <c r="G6432" s="83">
        <f>SUMIFS(G6433:G6462,K6433:K6462,"0",B6433:B6462,"5 2 4 1 1 12 31111*")</f>
        <v>0</v>
      </c>
      <c r="H6432" s="83">
        <f t="shared" si="100"/>
        <v>500289.33</v>
      </c>
      <c r="I6432" s="83"/>
      <c r="K6432" s="54" t="s">
        <v>15</v>
      </c>
    </row>
    <row r="6433" spans="2:11" ht="12.75" x14ac:dyDescent="0.2">
      <c r="B6433" s="82" t="s">
        <v>10049</v>
      </c>
      <c r="C6433" s="82" t="s">
        <v>30</v>
      </c>
      <c r="D6433" s="83">
        <f>SUMIFS(D6434:D6462,K6434:K6462,"0",B6434:B6462,"5 2 4 1 1 12 31111 6*")-SUMIFS(E6434:E6462,K6434:K6462,"0",B6434:B6462,"5 2 4 1 1 12 31111 6*")</f>
        <v>0</v>
      </c>
      <c r="E6433" s="54"/>
      <c r="F6433" s="83">
        <f>SUMIFS(F6434:F6462,K6434:K6462,"0",B6434:B6462,"5 2 4 1 1 12 31111 6*")</f>
        <v>500289.33</v>
      </c>
      <c r="G6433" s="83">
        <f>SUMIFS(G6434:G6462,K6434:K6462,"0",B6434:B6462,"5 2 4 1 1 12 31111 6*")</f>
        <v>0</v>
      </c>
      <c r="H6433" s="83">
        <f t="shared" si="100"/>
        <v>500289.33</v>
      </c>
      <c r="I6433" s="83"/>
      <c r="K6433" s="54" t="s">
        <v>15</v>
      </c>
    </row>
    <row r="6434" spans="2:11" ht="16.5" x14ac:dyDescent="0.2">
      <c r="B6434" s="82" t="s">
        <v>10050</v>
      </c>
      <c r="C6434" s="82" t="s">
        <v>2284</v>
      </c>
      <c r="D6434" s="83">
        <f>SUMIFS(D6435:D6462,K6435:K6462,"0",B6435:B6462,"5 2 4 1 1 12 31111 6 M59*")-SUMIFS(E6435:E6462,K6435:K6462,"0",B6435:B6462,"5 2 4 1 1 12 31111 6 M59*")</f>
        <v>0</v>
      </c>
      <c r="E6434" s="54"/>
      <c r="F6434" s="83">
        <f>SUMIFS(F6435:F6462,K6435:K6462,"0",B6435:B6462,"5 2 4 1 1 12 31111 6 M59*")</f>
        <v>500289.33</v>
      </c>
      <c r="G6434" s="83">
        <f>SUMIFS(G6435:G6462,K6435:K6462,"0",B6435:B6462,"5 2 4 1 1 12 31111 6 M59*")</f>
        <v>0</v>
      </c>
      <c r="H6434" s="83">
        <f t="shared" si="100"/>
        <v>500289.33</v>
      </c>
      <c r="I6434" s="83"/>
      <c r="K6434" s="54" t="s">
        <v>15</v>
      </c>
    </row>
    <row r="6435" spans="2:11" ht="16.5" x14ac:dyDescent="0.2">
      <c r="B6435" s="82" t="s">
        <v>10067</v>
      </c>
      <c r="C6435" s="82" t="s">
        <v>1044</v>
      </c>
      <c r="D6435" s="83">
        <f>SUMIFS(D6436:D6462,K6436:K6462,"0",B6436:B6462,"5 2 4 1 1 12 31111 6 M59 19000*")-SUMIFS(E6436:E6462,K6436:K6462,"0",B6436:B6462,"5 2 4 1 1 12 31111 6 M59 19000*")</f>
        <v>0</v>
      </c>
      <c r="E6435" s="54"/>
      <c r="F6435" s="83">
        <f>SUMIFS(F6436:F6462,K6436:K6462,"0",B6436:B6462,"5 2 4 1 1 12 31111 6 M59 19000*")</f>
        <v>500289.33</v>
      </c>
      <c r="G6435" s="83">
        <f>SUMIFS(G6436:G6462,K6436:K6462,"0",B6436:B6462,"5 2 4 1 1 12 31111 6 M59 19000*")</f>
        <v>0</v>
      </c>
      <c r="H6435" s="83">
        <f t="shared" si="100"/>
        <v>500289.33</v>
      </c>
      <c r="I6435" s="83"/>
      <c r="K6435" s="54" t="s">
        <v>15</v>
      </c>
    </row>
    <row r="6436" spans="2:11" ht="16.5" x14ac:dyDescent="0.2">
      <c r="B6436" s="82" t="s">
        <v>10068</v>
      </c>
      <c r="C6436" s="82" t="s">
        <v>648</v>
      </c>
      <c r="D6436" s="83">
        <f>SUMIFS(D6437:D6462,K6437:K6462,"0",B6437:B6462,"5 2 4 1 1 12 31111 6 M59 19000 000132*")-SUMIFS(E6437:E6462,K6437:K6462,"0",B6437:B6462,"5 2 4 1 1 12 31111 6 M59 19000 000132*")</f>
        <v>0</v>
      </c>
      <c r="E6436" s="54"/>
      <c r="F6436" s="83">
        <f>SUMIFS(F6437:F6462,K6437:K6462,"0",B6437:B6462,"5 2 4 1 1 12 31111 6 M59 19000 000132*")</f>
        <v>500289.33</v>
      </c>
      <c r="G6436" s="83">
        <f>SUMIFS(G6437:G6462,K6437:K6462,"0",B6437:B6462,"5 2 4 1 1 12 31111 6 M59 19000 000132*")</f>
        <v>0</v>
      </c>
      <c r="H6436" s="83">
        <f t="shared" si="100"/>
        <v>500289.33</v>
      </c>
      <c r="I6436" s="83"/>
      <c r="K6436" s="54" t="s">
        <v>15</v>
      </c>
    </row>
    <row r="6437" spans="2:11" ht="24.75" x14ac:dyDescent="0.2">
      <c r="B6437" s="82" t="s">
        <v>10069</v>
      </c>
      <c r="C6437" s="82" t="s">
        <v>650</v>
      </c>
      <c r="D6437" s="83">
        <f>SUMIFS(D6438:D6462,K6438:K6462,"0",B6438:B6462,"5 2 4 1 1 12 31111 6 M59 19000 000132 0000R*")-SUMIFS(E6438:E6462,K6438:K6462,"0",B6438:B6462,"5 2 4 1 1 12 31111 6 M59 19000 000132 0000R*")</f>
        <v>0</v>
      </c>
      <c r="E6437" s="54"/>
      <c r="F6437" s="83">
        <f>SUMIFS(F6438:F6462,K6438:K6462,"0",B6438:B6462,"5 2 4 1 1 12 31111 6 M59 19000 000132 0000R*")</f>
        <v>500289.33</v>
      </c>
      <c r="G6437" s="83">
        <f>SUMIFS(G6438:G6462,K6438:K6462,"0",B6438:B6462,"5 2 4 1 1 12 31111 6 M59 19000 000132 0000R*")</f>
        <v>0</v>
      </c>
      <c r="H6437" s="83">
        <f t="shared" si="100"/>
        <v>500289.33</v>
      </c>
      <c r="I6437" s="83"/>
      <c r="K6437" s="54" t="s">
        <v>15</v>
      </c>
    </row>
    <row r="6438" spans="2:11" ht="24.75" x14ac:dyDescent="0.2">
      <c r="B6438" s="82" t="s">
        <v>10070</v>
      </c>
      <c r="C6438" s="82" t="s">
        <v>282</v>
      </c>
      <c r="D6438" s="83">
        <f>SUMIFS(D6439:D6462,K6439:K6462,"0",B6439:B6462,"5 2 4 1 1 12 31111 6 M59 19000 000132 0000R 00001*")-SUMIFS(E6439:E6462,K6439:K6462,"0",B6439:B6462,"5 2 4 1 1 12 31111 6 M59 19000 000132 0000R 00001*")</f>
        <v>0</v>
      </c>
      <c r="E6438" s="54"/>
      <c r="F6438" s="83">
        <f>SUMIFS(F6439:F6462,K6439:K6462,"0",B6439:B6462,"5 2 4 1 1 12 31111 6 M59 19000 000132 0000R 00001*")</f>
        <v>500289.33</v>
      </c>
      <c r="G6438" s="83">
        <f>SUMIFS(G6439:G6462,K6439:K6462,"0",B6439:B6462,"5 2 4 1 1 12 31111 6 M59 19000 000132 0000R 00001*")</f>
        <v>0</v>
      </c>
      <c r="H6438" s="83">
        <f t="shared" si="100"/>
        <v>500289.33</v>
      </c>
      <c r="I6438" s="83"/>
      <c r="K6438" s="54" t="s">
        <v>15</v>
      </c>
    </row>
    <row r="6439" spans="2:11" ht="24.75" x14ac:dyDescent="0.2">
      <c r="B6439" s="82" t="s">
        <v>10071</v>
      </c>
      <c r="C6439" s="82" t="s">
        <v>10056</v>
      </c>
      <c r="D6439" s="83">
        <f>SUMIFS(D6440:D6462,K6440:K6462,"0",B6440:B6462,"5 2 4 1 1 12 31111 6 M59 19000 000132 0000R 00001 00441*")-SUMIFS(E6440:E6462,K6440:K6462,"0",B6440:B6462,"5 2 4 1 1 12 31111 6 M59 19000 000132 0000R 00001 00441*")</f>
        <v>0</v>
      </c>
      <c r="E6439" s="54"/>
      <c r="F6439" s="83">
        <f>SUMIFS(F6440:F6462,K6440:K6462,"0",B6440:B6462,"5 2 4 1 1 12 31111 6 M59 19000 000132 0000R 00001 00441*")</f>
        <v>500289.33</v>
      </c>
      <c r="G6439" s="83">
        <f>SUMIFS(G6440:G6462,K6440:K6462,"0",B6440:B6462,"5 2 4 1 1 12 31111 6 M59 19000 000132 0000R 00001 00441*")</f>
        <v>0</v>
      </c>
      <c r="H6439" s="83">
        <f t="shared" si="100"/>
        <v>500289.33</v>
      </c>
      <c r="I6439" s="83"/>
      <c r="K6439" s="54" t="s">
        <v>15</v>
      </c>
    </row>
    <row r="6440" spans="2:11" ht="33" x14ac:dyDescent="0.2">
      <c r="B6440" s="82" t="s">
        <v>10078</v>
      </c>
      <c r="C6440" s="82" t="s">
        <v>1051</v>
      </c>
      <c r="D6440" s="83">
        <f>SUMIFS(D6441:D6462,K6441:K6462,"0",B6441:B6462,"5 2 4 1 1 12 31111 6 M59 19000 000132 0000R 00001 00441 015*")-SUMIFS(E6441:E6462,K6441:K6462,"0",B6441:B6462,"5 2 4 1 1 12 31111 6 M59 19000 000132 0000R 00001 00441 015*")</f>
        <v>0</v>
      </c>
      <c r="E6440" s="54"/>
      <c r="F6440" s="83">
        <f>SUMIFS(F6441:F6462,K6441:K6462,"0",B6441:B6462,"5 2 4 1 1 12 31111 6 M59 19000 000132 0000R 00001 00441 015*")</f>
        <v>500289.33</v>
      </c>
      <c r="G6440" s="83">
        <f>SUMIFS(G6441:G6462,K6441:K6462,"0",B6441:B6462,"5 2 4 1 1 12 31111 6 M59 19000 000132 0000R 00001 00441 015*")</f>
        <v>0</v>
      </c>
      <c r="H6440" s="83">
        <f t="shared" si="100"/>
        <v>500289.33</v>
      </c>
      <c r="I6440" s="83"/>
      <c r="K6440" s="54" t="s">
        <v>15</v>
      </c>
    </row>
    <row r="6441" spans="2:11" ht="33" x14ac:dyDescent="0.2">
      <c r="B6441" s="82" t="s">
        <v>10079</v>
      </c>
      <c r="C6441" s="82" t="s">
        <v>10059</v>
      </c>
      <c r="D6441" s="83">
        <f>SUMIFS(D6442:D6462,K6442:K6462,"0",B6442:B6462,"5 2 4 1 1 12 31111 6 M59 19000 000132 0000R 00001 00441 015 2151100*")-SUMIFS(E6442:E6462,K6442:K6462,"0",B6442:B6462,"5 2 4 1 1 12 31111 6 M59 19000 000132 0000R 00001 00441 015 2151100*")</f>
        <v>0</v>
      </c>
      <c r="E6441" s="54"/>
      <c r="F6441" s="83">
        <f>SUMIFS(F6442:F6462,K6442:K6462,"0",B6442:B6462,"5 2 4 1 1 12 31111 6 M59 19000 000132 0000R 00001 00441 015 2151100*")</f>
        <v>500289.33</v>
      </c>
      <c r="G6441" s="83">
        <f>SUMIFS(G6442:G6462,K6442:K6462,"0",B6442:B6462,"5 2 4 1 1 12 31111 6 M59 19000 000132 0000R 00001 00441 015 2151100*")</f>
        <v>0</v>
      </c>
      <c r="H6441" s="83">
        <f t="shared" si="100"/>
        <v>500289.33</v>
      </c>
      <c r="I6441" s="83"/>
      <c r="K6441" s="54" t="s">
        <v>15</v>
      </c>
    </row>
    <row r="6442" spans="2:11" ht="33" x14ac:dyDescent="0.2">
      <c r="B6442" s="82" t="s">
        <v>10080</v>
      </c>
      <c r="C6442" s="82" t="s">
        <v>660</v>
      </c>
      <c r="D6442" s="83">
        <f>SUMIFS(D6443:D6462,K6443:K6462,"0",B6443:B6462,"5 2 4 1 1 12 31111 6 M59 19000 000132 0000R 00001 00441 015 2151100 2024*")-SUMIFS(E6443:E6462,K6443:K6462,"0",B6443:B6462,"5 2 4 1 1 12 31111 6 M59 19000 000132 0000R 00001 00441 015 2151100 2024*")</f>
        <v>0</v>
      </c>
      <c r="E6442" s="54"/>
      <c r="F6442" s="83">
        <f>SUMIFS(F6443:F6462,K6443:K6462,"0",B6443:B6462,"5 2 4 1 1 12 31111 6 M59 19000 000132 0000R 00001 00441 015 2151100 2024*")</f>
        <v>500289.33</v>
      </c>
      <c r="G6442" s="83">
        <f>SUMIFS(G6443:G6462,K6443:K6462,"0",B6443:B6462,"5 2 4 1 1 12 31111 6 M59 19000 000132 0000R 00001 00441 015 2151100 2024*")</f>
        <v>0</v>
      </c>
      <c r="H6442" s="83">
        <f t="shared" si="100"/>
        <v>500289.33</v>
      </c>
      <c r="I6442" s="83"/>
      <c r="K6442" s="54" t="s">
        <v>15</v>
      </c>
    </row>
    <row r="6443" spans="2:11" ht="41.25" x14ac:dyDescent="0.2">
      <c r="B6443" s="82" t="s">
        <v>10081</v>
      </c>
      <c r="C6443" s="82" t="s">
        <v>662</v>
      </c>
      <c r="D6443" s="83">
        <f>SUMIFS(D6444:D6462,K6444:K6462,"0",B6444:B6462,"5 2 4 1 1 12 31111 6 M59 19000 000132 0000R 00001 00441 015 2151100 2024 CP1TM440*")-SUMIFS(E6444:E6462,K6444:K6462,"0",B6444:B6462,"5 2 4 1 1 12 31111 6 M59 19000 000132 0000R 00001 00441 015 2151100 2024 CP1TM440*")</f>
        <v>0</v>
      </c>
      <c r="E6443" s="54"/>
      <c r="F6443" s="83">
        <f>SUMIFS(F6444:F6462,K6444:K6462,"0",B6444:B6462,"5 2 4 1 1 12 31111 6 M59 19000 000132 0000R 00001 00441 015 2151100 2024 CP1TM440*")</f>
        <v>500289.33</v>
      </c>
      <c r="G6443" s="83">
        <f>SUMIFS(G6444:G6462,K6444:K6462,"0",B6444:B6462,"5 2 4 1 1 12 31111 6 M59 19000 000132 0000R 00001 00441 015 2151100 2024 CP1TM440*")</f>
        <v>0</v>
      </c>
      <c r="H6443" s="83">
        <f t="shared" ref="H6443:H6450" si="101">D6443 + F6443 - G6443</f>
        <v>500289.33</v>
      </c>
      <c r="I6443" s="83"/>
      <c r="K6443" s="54" t="s">
        <v>15</v>
      </c>
    </row>
    <row r="6444" spans="2:11" ht="41.25" x14ac:dyDescent="0.2">
      <c r="B6444" s="82" t="s">
        <v>10082</v>
      </c>
      <c r="C6444" s="82" t="s">
        <v>282</v>
      </c>
      <c r="D6444" s="83">
        <f>SUMIFS(D6445:D6462,K6445:K6462,"0",B6445:B6462,"5 2 4 1 1 12 31111 6 M59 19000 000132 0000R 00001 00441 015 2151100 2024 CP1TM440 001*")-SUMIFS(E6445:E6462,K6445:K6462,"0",B6445:B6462,"5 2 4 1 1 12 31111 6 M59 19000 000132 0000R 00001 00441 015 2151100 2024 CP1TM440 001*")</f>
        <v>0</v>
      </c>
      <c r="E6444" s="54"/>
      <c r="F6444" s="83">
        <f>SUMIFS(F6445:F6462,K6445:K6462,"0",B6445:B6462,"5 2 4 1 1 12 31111 6 M59 19000 000132 0000R 00001 00441 015 2151100 2024 CP1TM440 001*")</f>
        <v>500289.33</v>
      </c>
      <c r="G6444" s="83">
        <f>SUMIFS(G6445:G6462,K6445:K6462,"0",B6445:B6462,"5 2 4 1 1 12 31111 6 M59 19000 000132 0000R 00001 00441 015 2151100 2024 CP1TM440 001*")</f>
        <v>0</v>
      </c>
      <c r="H6444" s="83">
        <f t="shared" si="101"/>
        <v>500289.33</v>
      </c>
      <c r="I6444" s="83"/>
      <c r="K6444" s="54" t="s">
        <v>15</v>
      </c>
    </row>
    <row r="6445" spans="2:11" ht="33" x14ac:dyDescent="0.2">
      <c r="B6445" s="84" t="s">
        <v>10083</v>
      </c>
      <c r="C6445" s="84" t="s">
        <v>10084</v>
      </c>
      <c r="D6445" s="85">
        <v>0</v>
      </c>
      <c r="E6445" s="85"/>
      <c r="F6445" s="85">
        <v>85000</v>
      </c>
      <c r="G6445" s="85">
        <v>0</v>
      </c>
      <c r="H6445" s="85">
        <f t="shared" si="101"/>
        <v>85000</v>
      </c>
      <c r="I6445" s="85"/>
      <c r="K6445" s="54" t="s">
        <v>38</v>
      </c>
    </row>
    <row r="6446" spans="2:11" ht="33" x14ac:dyDescent="0.2">
      <c r="B6446" s="84" t="s">
        <v>10085</v>
      </c>
      <c r="C6446" s="84" t="s">
        <v>10086</v>
      </c>
      <c r="D6446" s="85">
        <v>0</v>
      </c>
      <c r="E6446" s="85"/>
      <c r="F6446" s="85">
        <v>289634.2</v>
      </c>
      <c r="G6446" s="85">
        <v>0</v>
      </c>
      <c r="H6446" s="85">
        <f t="shared" si="101"/>
        <v>289634.2</v>
      </c>
      <c r="I6446" s="85"/>
      <c r="K6446" s="54" t="s">
        <v>38</v>
      </c>
    </row>
    <row r="6447" spans="2:11" ht="33" x14ac:dyDescent="0.2">
      <c r="B6447" s="84" t="s">
        <v>10087</v>
      </c>
      <c r="C6447" s="84" t="s">
        <v>10088</v>
      </c>
      <c r="D6447" s="85">
        <v>0</v>
      </c>
      <c r="E6447" s="85"/>
      <c r="F6447" s="85">
        <v>125655.13</v>
      </c>
      <c r="G6447" s="85">
        <v>0</v>
      </c>
      <c r="H6447" s="85">
        <f t="shared" si="101"/>
        <v>125655.13</v>
      </c>
      <c r="I6447" s="85"/>
      <c r="K6447" s="54" t="s">
        <v>38</v>
      </c>
    </row>
    <row r="6448" spans="2:11" ht="16.5" x14ac:dyDescent="0.2">
      <c r="B6448" s="82" t="s">
        <v>10160</v>
      </c>
      <c r="C6448" s="82" t="s">
        <v>10161</v>
      </c>
      <c r="D6448" s="83">
        <f>SUMIFS(D6449:D6462,K6449:K6462,"0",B6449:B6462,"8*")-SUMIFS(E6449:E6462,K6449:K6462,"0",B6449:B6462,"8*")</f>
        <v>0</v>
      </c>
      <c r="E6448" s="54"/>
      <c r="F6448" s="83">
        <f>SUMIFS(F6449:F6462,K6449:K6462,"0",B6449:B6462,"8*")</f>
        <v>866235665.20999992</v>
      </c>
      <c r="G6448" s="83">
        <f>SUMIFS(G6449:G6462,K6449:K6462,"0",B6449:B6462,"8*")</f>
        <v>866235665.20999992</v>
      </c>
      <c r="H6448" s="83">
        <f t="shared" si="101"/>
        <v>0</v>
      </c>
      <c r="I6448" s="83"/>
      <c r="K6448" s="54" t="s">
        <v>15</v>
      </c>
    </row>
    <row r="6449" spans="2:11" ht="12.75" x14ac:dyDescent="0.2">
      <c r="B6449" s="82" t="s">
        <v>10162</v>
      </c>
      <c r="C6449" s="82" t="s">
        <v>10163</v>
      </c>
      <c r="D6449" s="83">
        <f>SUMIFS(D6450:D6462,K6450:K6462,"0",B6450:B6462,"8 1*")-SUMIFS(E6450:E6462,K6450:K6462,"0",B6450:B6462,"8 1*")</f>
        <v>0</v>
      </c>
      <c r="E6449" s="54"/>
      <c r="F6449" s="83">
        <f>SUMIFS(F6450:F6462,K6450:K6462,"0",B6450:B6462,"8 1*")</f>
        <v>327075736.86000001</v>
      </c>
      <c r="G6449" s="83">
        <f>SUMIFS(G6450:G6462,K6450:K6462,"0",B6450:B6462,"8 1*")</f>
        <v>327075736.86000001</v>
      </c>
      <c r="H6449" s="83">
        <f t="shared" si="101"/>
        <v>0</v>
      </c>
      <c r="I6449" s="83"/>
      <c r="K6449" s="54" t="s">
        <v>15</v>
      </c>
    </row>
    <row r="6450" spans="2:11" ht="12.75" x14ac:dyDescent="0.2">
      <c r="B6450" s="84" t="s">
        <v>10164</v>
      </c>
      <c r="C6450" s="84" t="s">
        <v>10165</v>
      </c>
      <c r="D6450" s="85">
        <v>0</v>
      </c>
      <c r="E6450" s="85"/>
      <c r="F6450" s="85">
        <v>99734619.939999998</v>
      </c>
      <c r="G6450" s="85">
        <v>0</v>
      </c>
      <c r="H6450" s="85">
        <f t="shared" si="101"/>
        <v>99734619.939999998</v>
      </c>
      <c r="I6450" s="85"/>
      <c r="K6450" s="54" t="s">
        <v>38</v>
      </c>
    </row>
    <row r="6451" spans="2:11" ht="12.75" x14ac:dyDescent="0.2">
      <c r="B6451" s="84" t="s">
        <v>10166</v>
      </c>
      <c r="C6451" s="84" t="s">
        <v>10167</v>
      </c>
      <c r="D6451" s="85"/>
      <c r="E6451" s="85">
        <v>0</v>
      </c>
      <c r="F6451" s="85">
        <v>109025245.62</v>
      </c>
      <c r="G6451" s="85">
        <v>109025245.62</v>
      </c>
      <c r="H6451" s="85"/>
      <c r="I6451" s="85">
        <f>E6451 - F6451 + G6451</f>
        <v>0</v>
      </c>
      <c r="K6451" s="54" t="s">
        <v>38</v>
      </c>
    </row>
    <row r="6452" spans="2:11" ht="16.5" x14ac:dyDescent="0.2">
      <c r="B6452" s="84" t="s">
        <v>10168</v>
      </c>
      <c r="C6452" s="84" t="s">
        <v>10169</v>
      </c>
      <c r="D6452" s="85">
        <v>0</v>
      </c>
      <c r="E6452" s="85"/>
      <c r="F6452" s="85">
        <v>9290625.6799999997</v>
      </c>
      <c r="G6452" s="85">
        <v>0</v>
      </c>
      <c r="H6452" s="85">
        <f>D6452 + F6452 - G6452</f>
        <v>9290625.6799999997</v>
      </c>
      <c r="I6452" s="85"/>
      <c r="K6452" s="54" t="s">
        <v>38</v>
      </c>
    </row>
    <row r="6453" spans="2:11" ht="12.75" x14ac:dyDescent="0.2">
      <c r="B6453" s="84" t="s">
        <v>10170</v>
      </c>
      <c r="C6453" s="84" t="s">
        <v>10171</v>
      </c>
      <c r="D6453" s="85"/>
      <c r="E6453" s="85">
        <v>0</v>
      </c>
      <c r="F6453" s="85">
        <v>109025245.62</v>
      </c>
      <c r="G6453" s="85">
        <v>109025245.62</v>
      </c>
      <c r="H6453" s="85"/>
      <c r="I6453" s="85">
        <f>E6453 - F6453 + G6453</f>
        <v>0</v>
      </c>
      <c r="K6453" s="54" t="s">
        <v>38</v>
      </c>
    </row>
    <row r="6454" spans="2:11" ht="12.75" x14ac:dyDescent="0.2">
      <c r="B6454" s="84" t="s">
        <v>10172</v>
      </c>
      <c r="C6454" s="84" t="s">
        <v>10173</v>
      </c>
      <c r="D6454" s="85"/>
      <c r="E6454" s="85">
        <v>0</v>
      </c>
      <c r="F6454" s="85">
        <v>0</v>
      </c>
      <c r="G6454" s="85">
        <v>109025245.62</v>
      </c>
      <c r="H6454" s="85"/>
      <c r="I6454" s="85">
        <f>E6454 - F6454 + G6454</f>
        <v>109025245.62</v>
      </c>
      <c r="K6454" s="54" t="s">
        <v>38</v>
      </c>
    </row>
    <row r="6455" spans="2:11" ht="12.75" x14ac:dyDescent="0.2">
      <c r="B6455" s="82" t="s">
        <v>10174</v>
      </c>
      <c r="C6455" s="82" t="s">
        <v>10175</v>
      </c>
      <c r="D6455" s="54"/>
      <c r="E6455" s="83">
        <f>SUMIFS(E6456:E6462,K6456:K6462,"0",B6456:B6462,"8 2*")-SUMIFS(D6456:D6462,K6456:K6462,"0",B6456:B6462,"8 2*")</f>
        <v>0</v>
      </c>
      <c r="F6455" s="83">
        <f>SUMIFS(F6456:F6462,K6456:K6462,"0",B6456:B6462,"8 2*")</f>
        <v>539159928.35000002</v>
      </c>
      <c r="G6455" s="83">
        <f>SUMIFS(G6456:G6462,K6456:K6462,"0",B6456:B6462,"8 2*")</f>
        <v>539159928.35000002</v>
      </c>
      <c r="H6455" s="83"/>
      <c r="I6455" s="83">
        <f>E6455 - F6455 + G6455</f>
        <v>0</v>
      </c>
      <c r="K6455" s="54" t="s">
        <v>15</v>
      </c>
    </row>
    <row r="6456" spans="2:11" ht="16.5" x14ac:dyDescent="0.2">
      <c r="B6456" s="84" t="s">
        <v>10176</v>
      </c>
      <c r="C6456" s="84" t="s">
        <v>10177</v>
      </c>
      <c r="D6456" s="85"/>
      <c r="E6456" s="85">
        <v>0</v>
      </c>
      <c r="F6456" s="85">
        <v>0</v>
      </c>
      <c r="G6456" s="85">
        <v>99305119.939999998</v>
      </c>
      <c r="H6456" s="85"/>
      <c r="I6456" s="85">
        <f>E6456 - F6456 + G6456</f>
        <v>99305119.939999998</v>
      </c>
      <c r="K6456" s="54" t="s">
        <v>38</v>
      </c>
    </row>
    <row r="6457" spans="2:11" ht="16.5" x14ac:dyDescent="0.2">
      <c r="B6457" s="84" t="s">
        <v>10178</v>
      </c>
      <c r="C6457" s="84" t="s">
        <v>10179</v>
      </c>
      <c r="D6457" s="85">
        <v>0</v>
      </c>
      <c r="E6457" s="85"/>
      <c r="F6457" s="85">
        <v>107831985.67</v>
      </c>
      <c r="G6457" s="85">
        <v>107831985.67</v>
      </c>
      <c r="H6457" s="85">
        <f>D6457 + F6457 - G6457</f>
        <v>0</v>
      </c>
      <c r="I6457" s="85"/>
      <c r="K6457" s="54" t="s">
        <v>38</v>
      </c>
    </row>
    <row r="6458" spans="2:11" ht="16.5" x14ac:dyDescent="0.2">
      <c r="B6458" s="84" t="s">
        <v>10180</v>
      </c>
      <c r="C6458" s="84" t="s">
        <v>10181</v>
      </c>
      <c r="D6458" s="85"/>
      <c r="E6458" s="85">
        <v>0</v>
      </c>
      <c r="F6458" s="85">
        <v>0</v>
      </c>
      <c r="G6458" s="85">
        <v>8526865.7300000004</v>
      </c>
      <c r="H6458" s="85"/>
      <c r="I6458" s="85">
        <f>E6458 - F6458 + G6458</f>
        <v>8526865.7300000004</v>
      </c>
      <c r="K6458" s="54" t="s">
        <v>38</v>
      </c>
    </row>
    <row r="6459" spans="2:11" ht="16.5" x14ac:dyDescent="0.2">
      <c r="B6459" s="84" t="s">
        <v>10182</v>
      </c>
      <c r="C6459" s="84" t="s">
        <v>10183</v>
      </c>
      <c r="D6459" s="85">
        <v>0</v>
      </c>
      <c r="E6459" s="85"/>
      <c r="F6459" s="85">
        <v>107831985.67</v>
      </c>
      <c r="G6459" s="85">
        <v>107831985.67</v>
      </c>
      <c r="H6459" s="85">
        <f>D6459 + F6459 - G6459</f>
        <v>0</v>
      </c>
      <c r="I6459" s="85"/>
      <c r="K6459" s="54" t="s">
        <v>38</v>
      </c>
    </row>
    <row r="6460" spans="2:11" ht="16.5" x14ac:dyDescent="0.2">
      <c r="B6460" s="84" t="s">
        <v>10184</v>
      </c>
      <c r="C6460" s="84" t="s">
        <v>10185</v>
      </c>
      <c r="D6460" s="85">
        <v>0</v>
      </c>
      <c r="E6460" s="85"/>
      <c r="F6460" s="85">
        <v>107831985.67</v>
      </c>
      <c r="G6460" s="85">
        <v>107831985.67</v>
      </c>
      <c r="H6460" s="85">
        <f>D6460 + F6460 - G6460</f>
        <v>0</v>
      </c>
      <c r="I6460" s="85"/>
      <c r="K6460" s="54" t="s">
        <v>38</v>
      </c>
    </row>
    <row r="6461" spans="2:11" ht="16.5" x14ac:dyDescent="0.2">
      <c r="B6461" s="84" t="s">
        <v>10186</v>
      </c>
      <c r="C6461" s="84" t="s">
        <v>10187</v>
      </c>
      <c r="D6461" s="85">
        <v>0</v>
      </c>
      <c r="E6461" s="85"/>
      <c r="F6461" s="85">
        <v>107831985.67</v>
      </c>
      <c r="G6461" s="85">
        <v>107831985.67</v>
      </c>
      <c r="H6461" s="85">
        <f>D6461 + F6461 - G6461</f>
        <v>0</v>
      </c>
      <c r="I6461" s="85"/>
      <c r="K6461" s="54" t="s">
        <v>38</v>
      </c>
    </row>
    <row r="6462" spans="2:11" ht="12.75" x14ac:dyDescent="0.2">
      <c r="B6462" s="84" t="s">
        <v>10188</v>
      </c>
      <c r="C6462" s="84" t="s">
        <v>10189</v>
      </c>
      <c r="D6462" s="85">
        <v>0</v>
      </c>
      <c r="E6462" s="85"/>
      <c r="F6462" s="85">
        <v>107831985.67</v>
      </c>
      <c r="G6462" s="85">
        <v>0</v>
      </c>
      <c r="H6462" s="85">
        <f>D6462 + F6462 - G6462</f>
        <v>107831985.67</v>
      </c>
      <c r="I6462" s="85"/>
      <c r="K6462" s="54" t="s">
        <v>38</v>
      </c>
    </row>
    <row r="6464" spans="2:11" x14ac:dyDescent="0.2">
      <c r="D6464" s="87">
        <f>SUMIF(K12:K6462,"=0",D12:D6462)</f>
        <v>22072238.899999999</v>
      </c>
      <c r="E6464" s="87">
        <f>SUMIF(K12:K6462,"=0",E12:E6462)</f>
        <v>22072238.899999999</v>
      </c>
      <c r="F6464" s="87">
        <f>SUMIF(K12:K6462,"=0",F12:F6462)</f>
        <v>1419899690.3500009</v>
      </c>
      <c r="G6464" s="87">
        <f>SUMIF(K12:K6462,"=0",G12:G6462)</f>
        <v>1419899690.3500001</v>
      </c>
      <c r="H6464" s="87">
        <f>SUMIF(K12:K6462,"=0",H12:H6462)</f>
        <v>348354920.5</v>
      </c>
      <c r="I6464" s="87">
        <f>SUMIF(K12:K6462,"=0",I12:I6462)</f>
        <v>348354920.50000006</v>
      </c>
    </row>
    <row r="6468" spans="2:2" x14ac:dyDescent="0.2">
      <c r="B6468" s="88" t="str">
        <f>IF(AND(ROUND(D6464, 2)=ROUND(E6464, 2), ROUND(F6464, 2)=ROUND(G6464, 2), ROUND(H6464,2)=ROUND(I6464,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9:E9"/>
    <mergeCell ref="F9:G9"/>
    <mergeCell ref="H9:I9"/>
    <mergeCell ref="D10:E10"/>
    <mergeCell ref="F10:G10"/>
    <mergeCell ref="H10:I10"/>
    <mergeCell ref="B2:I2"/>
    <mergeCell ref="B3:I3"/>
    <mergeCell ref="B4:I4"/>
    <mergeCell ref="B5:I5"/>
    <mergeCell ref="B6:I6"/>
    <mergeCell ref="B7:I7"/>
  </mergeCells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2492C-46B2-467A-8093-2ACF24ED768B}">
  <dimension ref="A1:K546"/>
  <sheetViews>
    <sheetView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81" customWidth="1" collapsed="1"/>
    <col min="2" max="2" width="16.42578125" style="81" customWidth="1" collapsed="1"/>
    <col min="3" max="3" width="23" style="86" customWidth="1" collapsed="1"/>
    <col min="4" max="6" width="13.28515625" style="89" customWidth="1" collapsed="1"/>
    <col min="7" max="7" width="13.28515625" style="81" customWidth="1" collapsed="1"/>
    <col min="8" max="8" width="13.28515625" style="86" customWidth="1" collapsed="1"/>
    <col min="9" max="9" width="13.28515625" style="89" customWidth="1" collapsed="1"/>
    <col min="10" max="10" width="0.7109375" style="81" customWidth="1" collapsed="1"/>
    <col min="11" max="11" width="13.7109375" style="81" hidden="1" customWidth="1" collapsed="1"/>
    <col min="12" max="13" width="0" style="81" hidden="1" customWidth="1" collapsed="1"/>
    <col min="14" max="16384" width="9.140625" style="81" collapsed="1"/>
  </cols>
  <sheetData>
    <row r="1" spans="1:11" s="51" customFormat="1" ht="5.25" customHeight="1" x14ac:dyDescent="0.2">
      <c r="A1" s="47"/>
      <c r="B1" s="48"/>
      <c r="C1" s="49"/>
      <c r="D1" s="50"/>
      <c r="E1" s="50"/>
      <c r="F1" s="50"/>
      <c r="G1" s="48"/>
      <c r="H1" s="49"/>
      <c r="I1" s="50"/>
      <c r="J1" s="47"/>
    </row>
    <row r="2" spans="1:11" s="54" customFormat="1" ht="13.5" customHeight="1" x14ac:dyDescent="0.2">
      <c r="A2" s="52"/>
      <c r="B2" s="53" t="s">
        <v>7</v>
      </c>
      <c r="C2" s="53"/>
      <c r="D2" s="53"/>
      <c r="E2" s="53"/>
      <c r="F2" s="53"/>
      <c r="G2" s="53"/>
      <c r="H2" s="53"/>
      <c r="I2" s="53"/>
      <c r="J2" s="52"/>
    </row>
    <row r="3" spans="1:11" s="57" customFormat="1" ht="13.5" customHeight="1" x14ac:dyDescent="0.2">
      <c r="A3" s="55"/>
      <c r="B3" s="56" t="s">
        <v>8</v>
      </c>
      <c r="C3" s="56"/>
      <c r="D3" s="56"/>
      <c r="E3" s="56"/>
      <c r="F3" s="56"/>
      <c r="G3" s="56"/>
      <c r="H3" s="56"/>
      <c r="I3" s="56"/>
      <c r="J3" s="55"/>
    </row>
    <row r="4" spans="1:11" s="57" customFormat="1" ht="13.5" customHeight="1" x14ac:dyDescent="0.2">
      <c r="A4" s="55"/>
      <c r="B4" s="58" t="s">
        <v>10190</v>
      </c>
      <c r="C4" s="58"/>
      <c r="D4" s="58"/>
      <c r="E4" s="58"/>
      <c r="F4" s="58"/>
      <c r="G4" s="58"/>
      <c r="H4" s="58"/>
      <c r="I4" s="58"/>
      <c r="J4" s="55"/>
    </row>
    <row r="5" spans="1:11" s="57" customFormat="1" ht="13.5" customHeight="1" x14ac:dyDescent="0.2">
      <c r="A5" s="55"/>
      <c r="B5" s="58" t="s">
        <v>10</v>
      </c>
      <c r="C5" s="58"/>
      <c r="D5" s="58"/>
      <c r="E5" s="58"/>
      <c r="F5" s="58"/>
      <c r="G5" s="58"/>
      <c r="H5" s="58"/>
      <c r="I5" s="58"/>
      <c r="J5" s="55"/>
    </row>
    <row r="6" spans="1:11" s="54" customFormat="1" ht="13.5" customHeight="1" x14ac:dyDescent="0.2">
      <c r="A6" s="52"/>
      <c r="B6" s="59" t="s">
        <v>11</v>
      </c>
      <c r="C6" s="59"/>
      <c r="D6" s="59"/>
      <c r="E6" s="59"/>
      <c r="F6" s="59"/>
      <c r="G6" s="59"/>
      <c r="H6" s="59"/>
      <c r="I6" s="59"/>
      <c r="J6" s="52"/>
    </row>
    <row r="7" spans="1:11" s="54" customFormat="1" ht="13.5" customHeight="1" x14ac:dyDescent="0.2">
      <c r="A7" s="52"/>
      <c r="B7" s="58"/>
      <c r="C7" s="58"/>
      <c r="D7" s="58"/>
      <c r="E7" s="58"/>
      <c r="F7" s="58"/>
      <c r="G7" s="58"/>
      <c r="H7" s="58"/>
      <c r="I7" s="58"/>
      <c r="J7" s="52"/>
    </row>
    <row r="8" spans="1:11" s="54" customFormat="1" ht="8.25" customHeight="1" x14ac:dyDescent="0.2">
      <c r="B8" s="60"/>
      <c r="C8" s="60"/>
      <c r="D8" s="60"/>
      <c r="E8" s="60"/>
      <c r="F8" s="60"/>
      <c r="G8" s="60"/>
      <c r="H8" s="60"/>
      <c r="I8" s="60"/>
    </row>
    <row r="9" spans="1:11" s="54" customFormat="1" ht="12.75" x14ac:dyDescent="0.2">
      <c r="A9" s="61"/>
      <c r="B9" s="62"/>
      <c r="C9" s="62"/>
      <c r="D9" s="63" t="s">
        <v>6</v>
      </c>
      <c r="E9" s="64"/>
      <c r="F9" s="63" t="s">
        <v>5</v>
      </c>
      <c r="G9" s="64"/>
      <c r="H9" s="65" t="s">
        <v>4</v>
      </c>
      <c r="I9" s="65"/>
      <c r="J9" s="66"/>
    </row>
    <row r="10" spans="1:11" s="54" customFormat="1" ht="12.75" x14ac:dyDescent="0.2">
      <c r="A10" s="67"/>
      <c r="B10" s="68" t="s">
        <v>2</v>
      </c>
      <c r="C10" s="69" t="s">
        <v>3</v>
      </c>
      <c r="D10" s="70" t="s">
        <v>12</v>
      </c>
      <c r="E10" s="71"/>
      <c r="F10" s="70" t="s">
        <v>13</v>
      </c>
      <c r="G10" s="71"/>
      <c r="H10" s="72" t="s">
        <v>14</v>
      </c>
      <c r="I10" s="72"/>
      <c r="J10" s="73"/>
    </row>
    <row r="11" spans="1:11" x14ac:dyDescent="0.15">
      <c r="A11" s="74"/>
      <c r="B11" s="75"/>
      <c r="C11" s="76"/>
      <c r="D11" s="77" t="s">
        <v>0</v>
      </c>
      <c r="E11" s="78" t="s">
        <v>1</v>
      </c>
      <c r="F11" s="77" t="s">
        <v>0</v>
      </c>
      <c r="G11" s="78" t="s">
        <v>1</v>
      </c>
      <c r="H11" s="79" t="s">
        <v>0</v>
      </c>
      <c r="I11" s="79" t="s">
        <v>1</v>
      </c>
      <c r="J11" s="80"/>
    </row>
    <row r="12" spans="1:11" ht="12.75" x14ac:dyDescent="0.2">
      <c r="B12" s="82" t="s">
        <v>15</v>
      </c>
      <c r="C12" s="82" t="s">
        <v>16</v>
      </c>
      <c r="D12" s="83">
        <f>SUMIFS(D13:D540,K13:K540,"0",B13:B540,"1*")-SUMIFS(E13:E540,K13:K540,"0",B13:B540,"1*")</f>
        <v>41747655.340000004</v>
      </c>
      <c r="E12" s="54"/>
      <c r="F12" s="83">
        <f>SUMIFS(F13:F540,K13:K540,"0",B13:B540,"1*")</f>
        <v>326247069.0800001</v>
      </c>
      <c r="G12" s="83">
        <f>SUMIFS(G13:G540,K13:K540,"0",B13:B540,"1*")</f>
        <v>241019543.42999998</v>
      </c>
      <c r="H12" s="83">
        <f t="shared" ref="H12:H75" si="0">D12 + F12 - G12</f>
        <v>126975180.9900001</v>
      </c>
      <c r="I12" s="83"/>
      <c r="K12" s="54" t="s">
        <v>15</v>
      </c>
    </row>
    <row r="13" spans="1:11" ht="12.75" x14ac:dyDescent="0.2">
      <c r="B13" s="82" t="s">
        <v>17</v>
      </c>
      <c r="C13" s="82" t="s">
        <v>18</v>
      </c>
      <c r="D13" s="83">
        <f>SUMIFS(D14:D540,K14:K540,"0",B14:B540,"1 1*")-SUMIFS(E14:E540,K14:K540,"0",B14:B540,"1 1*")</f>
        <v>330048.07</v>
      </c>
      <c r="E13" s="54"/>
      <c r="F13" s="83">
        <f>SUMIFS(F14:F540,K14:K540,"0",B14:B540,"1 1*")</f>
        <v>219848427.70000002</v>
      </c>
      <c r="G13" s="83">
        <f>SUMIFS(G14:G540,K14:K540,"0",B14:B540,"1 1*")</f>
        <v>219757389.22999999</v>
      </c>
      <c r="H13" s="83">
        <f t="shared" si="0"/>
        <v>421086.54000002146</v>
      </c>
      <c r="I13" s="83"/>
      <c r="K13" s="54" t="s">
        <v>15</v>
      </c>
    </row>
    <row r="14" spans="1:11" ht="12.75" x14ac:dyDescent="0.2">
      <c r="B14" s="82" t="s">
        <v>19</v>
      </c>
      <c r="C14" s="82" t="s">
        <v>20</v>
      </c>
      <c r="D14" s="83">
        <f>SUMIFS(D15:D540,K15:K540,"0",B15:B540,"1 1 1*")-SUMIFS(E15:E540,K15:K540,"0",B15:B540,"1 1 1*")</f>
        <v>10534.1</v>
      </c>
      <c r="E14" s="54"/>
      <c r="F14" s="83">
        <f>SUMIFS(F15:F540,K15:K540,"0",B15:B540,"1 1 1*")</f>
        <v>109204305.23</v>
      </c>
      <c r="G14" s="83">
        <f>SUMIFS(G15:G540,K15:K540,"0",B15:B540,"1 1 1*")</f>
        <v>109113266.76000001</v>
      </c>
      <c r="H14" s="83">
        <f t="shared" si="0"/>
        <v>101572.56999999285</v>
      </c>
      <c r="I14" s="83"/>
      <c r="K14" s="54" t="s">
        <v>15</v>
      </c>
    </row>
    <row r="15" spans="1:11" ht="12.75" x14ac:dyDescent="0.2">
      <c r="B15" s="82" t="s">
        <v>50</v>
      </c>
      <c r="C15" s="82" t="s">
        <v>51</v>
      </c>
      <c r="D15" s="83">
        <f>SUMIFS(D16:D540,K16:K540,"0",B16:B540,"1 1 1 2*")-SUMIFS(E16:E540,K16:K540,"0",B16:B540,"1 1 1 2*")</f>
        <v>10534.1</v>
      </c>
      <c r="E15" s="54"/>
      <c r="F15" s="83">
        <f>SUMIFS(F16:F540,K16:K540,"0",B16:B540,"1 1 1 2*")</f>
        <v>109204305.23</v>
      </c>
      <c r="G15" s="83">
        <f>SUMIFS(G16:G540,K16:K540,"0",B16:B540,"1 1 1 2*")</f>
        <v>109113266.76000001</v>
      </c>
      <c r="H15" s="83">
        <f t="shared" si="0"/>
        <v>101572.56999999285</v>
      </c>
      <c r="I15" s="83"/>
      <c r="K15" s="54" t="s">
        <v>15</v>
      </c>
    </row>
    <row r="16" spans="1:11" ht="12.75" x14ac:dyDescent="0.2">
      <c r="B16" s="82" t="s">
        <v>52</v>
      </c>
      <c r="C16" s="82" t="s">
        <v>53</v>
      </c>
      <c r="D16" s="83">
        <f>SUMIFS(D17:D540,K17:K540,"0",B17:B540,"1 1 1 2 1*")-SUMIFS(E17:E540,K17:K540,"0",B17:B540,"1 1 1 2 1*")</f>
        <v>10534.1</v>
      </c>
      <c r="E16" s="54"/>
      <c r="F16" s="83">
        <f>SUMIFS(F17:F540,K17:K540,"0",B17:B540,"1 1 1 2 1*")</f>
        <v>109204305.23</v>
      </c>
      <c r="G16" s="83">
        <f>SUMIFS(G17:G540,K17:K540,"0",B17:B540,"1 1 1 2 1*")</f>
        <v>109113266.76000001</v>
      </c>
      <c r="H16" s="83">
        <f t="shared" si="0"/>
        <v>101572.56999999285</v>
      </c>
      <c r="I16" s="83"/>
      <c r="K16" s="54" t="s">
        <v>15</v>
      </c>
    </row>
    <row r="17" spans="2:11" ht="12.75" x14ac:dyDescent="0.2">
      <c r="B17" s="82" t="s">
        <v>54</v>
      </c>
      <c r="C17" s="82" t="s">
        <v>26</v>
      </c>
      <c r="D17" s="83">
        <f>SUMIFS(D18:D540,K18:K540,"0",B18:B540,"1 1 1 2 1 12*")-SUMIFS(E18:E540,K18:K540,"0",B18:B540,"1 1 1 2 1 12*")</f>
        <v>10534.1</v>
      </c>
      <c r="E17" s="54"/>
      <c r="F17" s="83">
        <f>SUMIFS(F18:F540,K18:K540,"0",B18:B540,"1 1 1 2 1 12*")</f>
        <v>109204305.23</v>
      </c>
      <c r="G17" s="83">
        <f>SUMIFS(G18:G540,K18:K540,"0",B18:B540,"1 1 1 2 1 12*")</f>
        <v>109113266.76000001</v>
      </c>
      <c r="H17" s="83">
        <f t="shared" si="0"/>
        <v>101572.56999999285</v>
      </c>
      <c r="I17" s="83"/>
      <c r="K17" s="54" t="s">
        <v>15</v>
      </c>
    </row>
    <row r="18" spans="2:11" ht="16.5" x14ac:dyDescent="0.2">
      <c r="B18" s="82" t="s">
        <v>55</v>
      </c>
      <c r="C18" s="82" t="s">
        <v>28</v>
      </c>
      <c r="D18" s="83">
        <f>SUMIFS(D19:D540,K19:K540,"0",B19:B540,"1 1 1 2 1 12 31111*")-SUMIFS(E19:E540,K19:K540,"0",B19:B540,"1 1 1 2 1 12 31111*")</f>
        <v>10534.1</v>
      </c>
      <c r="E18" s="54"/>
      <c r="F18" s="83">
        <f>SUMIFS(F19:F540,K19:K540,"0",B19:B540,"1 1 1 2 1 12 31111*")</f>
        <v>109204305.23</v>
      </c>
      <c r="G18" s="83">
        <f>SUMIFS(G19:G540,K19:K540,"0",B19:B540,"1 1 1 2 1 12 31111*")</f>
        <v>109113266.76000001</v>
      </c>
      <c r="H18" s="83">
        <f t="shared" si="0"/>
        <v>101572.56999999285</v>
      </c>
      <c r="I18" s="83"/>
      <c r="K18" s="54" t="s">
        <v>15</v>
      </c>
    </row>
    <row r="19" spans="2:11" ht="12.75" x14ac:dyDescent="0.2">
      <c r="B19" s="82" t="s">
        <v>56</v>
      </c>
      <c r="C19" s="82" t="s">
        <v>30</v>
      </c>
      <c r="D19" s="83">
        <f>SUMIFS(D20:D540,K20:K540,"0",B20:B540,"1 1 1 2 1 12 31111 6*")-SUMIFS(E20:E540,K20:K540,"0",B20:B540,"1 1 1 2 1 12 31111 6*")</f>
        <v>10534.1</v>
      </c>
      <c r="E19" s="54"/>
      <c r="F19" s="83">
        <f>SUMIFS(F20:F540,K20:K540,"0",B20:B540,"1 1 1 2 1 12 31111 6*")</f>
        <v>109204305.23</v>
      </c>
      <c r="G19" s="83">
        <f>SUMIFS(G20:G540,K20:K540,"0",B20:B540,"1 1 1 2 1 12 31111 6*")</f>
        <v>109113266.76000001</v>
      </c>
      <c r="H19" s="83">
        <f t="shared" si="0"/>
        <v>101572.56999999285</v>
      </c>
      <c r="I19" s="83"/>
      <c r="K19" s="54" t="s">
        <v>15</v>
      </c>
    </row>
    <row r="20" spans="2:11" ht="12.75" x14ac:dyDescent="0.2">
      <c r="B20" s="82" t="s">
        <v>57</v>
      </c>
      <c r="C20" s="82" t="s">
        <v>32</v>
      </c>
      <c r="D20" s="83">
        <f>SUMIFS(D21:D540,K21:K540,"0",B21:B540,"1 1 1 2 1 12 31111 6 M59*")-SUMIFS(E21:E540,K21:K540,"0",B21:B540,"1 1 1 2 1 12 31111 6 M59*")</f>
        <v>10534.1</v>
      </c>
      <c r="E20" s="54"/>
      <c r="F20" s="83">
        <f>SUMIFS(F21:F540,K21:K540,"0",B21:B540,"1 1 1 2 1 12 31111 6 M59*")</f>
        <v>109204305.23</v>
      </c>
      <c r="G20" s="83">
        <f>SUMIFS(G21:G540,K21:K540,"0",B21:B540,"1 1 1 2 1 12 31111 6 M59*")</f>
        <v>109113266.76000001</v>
      </c>
      <c r="H20" s="83">
        <f t="shared" si="0"/>
        <v>101572.56999999285</v>
      </c>
      <c r="I20" s="83"/>
      <c r="K20" s="54" t="s">
        <v>15</v>
      </c>
    </row>
    <row r="21" spans="2:11" ht="24.75" x14ac:dyDescent="0.2">
      <c r="B21" s="82" t="s">
        <v>72</v>
      </c>
      <c r="C21" s="82" t="s">
        <v>1476</v>
      </c>
      <c r="D21" s="83">
        <f>SUMIFS(D22:D540,K22:K540,"0",B22:B540,"1 1 1 2 1 12 31111 6 M59 00002*")-SUMIFS(E22:E540,K22:K540,"0",B22:B540,"1 1 1 2 1 12 31111 6 M59 00002*")</f>
        <v>10534.1</v>
      </c>
      <c r="E21" s="54"/>
      <c r="F21" s="83">
        <f>SUMIFS(F22:F540,K22:K540,"0",B22:B540,"1 1 1 2 1 12 31111 6 M59 00002*")</f>
        <v>109204305.23</v>
      </c>
      <c r="G21" s="83">
        <f>SUMIFS(G22:G540,K22:K540,"0",B22:B540,"1 1 1 2 1 12 31111 6 M59 00002*")</f>
        <v>109113266.76000001</v>
      </c>
      <c r="H21" s="83">
        <f t="shared" si="0"/>
        <v>101572.56999999285</v>
      </c>
      <c r="I21" s="83"/>
      <c r="K21" s="54" t="s">
        <v>15</v>
      </c>
    </row>
    <row r="22" spans="2:11" ht="16.5" x14ac:dyDescent="0.2">
      <c r="B22" s="82" t="s">
        <v>74</v>
      </c>
      <c r="C22" s="82" t="s">
        <v>75</v>
      </c>
      <c r="D22" s="83">
        <f>SUMIFS(D23:D540,K23:K540,"0",B23:B540,"1 1 1 2 1 12 31111 6 M59 00002 000001*")-SUMIFS(E23:E540,K23:K540,"0",B23:B540,"1 1 1 2 1 12 31111 6 M59 00002 000001*")</f>
        <v>10534.1</v>
      </c>
      <c r="E22" s="54"/>
      <c r="F22" s="83">
        <f>SUMIFS(F23:F540,K23:K540,"0",B23:B540,"1 1 1 2 1 12 31111 6 M59 00002 000001*")</f>
        <v>0</v>
      </c>
      <c r="G22" s="83">
        <f>SUMIFS(G23:G540,K23:K540,"0",B23:B540,"1 1 1 2 1 12 31111 6 M59 00002 000001*")</f>
        <v>0</v>
      </c>
      <c r="H22" s="83">
        <f t="shared" si="0"/>
        <v>10534.1</v>
      </c>
      <c r="I22" s="83"/>
      <c r="K22" s="54" t="s">
        <v>15</v>
      </c>
    </row>
    <row r="23" spans="2:11" ht="16.5" x14ac:dyDescent="0.2">
      <c r="B23" s="84" t="s">
        <v>76</v>
      </c>
      <c r="C23" s="84" t="s">
        <v>77</v>
      </c>
      <c r="D23" s="85">
        <v>10534.1</v>
      </c>
      <c r="E23" s="85"/>
      <c r="F23" s="85">
        <v>0</v>
      </c>
      <c r="G23" s="85">
        <v>0</v>
      </c>
      <c r="H23" s="85">
        <f t="shared" si="0"/>
        <v>10534.1</v>
      </c>
      <c r="I23" s="85"/>
      <c r="K23" s="54" t="s">
        <v>38</v>
      </c>
    </row>
    <row r="24" spans="2:11" ht="16.5" x14ac:dyDescent="0.2">
      <c r="B24" s="82" t="s">
        <v>78</v>
      </c>
      <c r="C24" s="82" t="s">
        <v>79</v>
      </c>
      <c r="D24" s="83">
        <f>SUMIFS(D25:D540,K25:K540,"0",B25:B540,"1 1 1 2 1 12 31111 6 M59 00002 000004*")-SUMIFS(E25:E540,K25:K540,"0",B25:B540,"1 1 1 2 1 12 31111 6 M59 00002 000004*")</f>
        <v>0</v>
      </c>
      <c r="E24" s="54"/>
      <c r="F24" s="83">
        <f>SUMIFS(F25:F540,K25:K540,"0",B25:B540,"1 1 1 2 1 12 31111 6 M59 00002 000004*")</f>
        <v>109204305.23</v>
      </c>
      <c r="G24" s="83">
        <f>SUMIFS(G25:G540,K25:K540,"0",B25:B540,"1 1 1 2 1 12 31111 6 M59 00002 000004*")</f>
        <v>109113266.76000001</v>
      </c>
      <c r="H24" s="83">
        <f t="shared" si="0"/>
        <v>91038.469999998808</v>
      </c>
      <c r="I24" s="83"/>
      <c r="K24" s="54" t="s">
        <v>15</v>
      </c>
    </row>
    <row r="25" spans="2:11" ht="16.5" x14ac:dyDescent="0.2">
      <c r="B25" s="84" t="s">
        <v>80</v>
      </c>
      <c r="C25" s="84" t="s">
        <v>81</v>
      </c>
      <c r="D25" s="85">
        <v>0</v>
      </c>
      <c r="E25" s="85"/>
      <c r="F25" s="85">
        <v>109204305.23</v>
      </c>
      <c r="G25" s="85">
        <v>109113266.76000001</v>
      </c>
      <c r="H25" s="85">
        <f t="shared" si="0"/>
        <v>91038.469999998808</v>
      </c>
      <c r="I25" s="85"/>
      <c r="K25" s="54" t="s">
        <v>38</v>
      </c>
    </row>
    <row r="26" spans="2:11" ht="16.5" x14ac:dyDescent="0.2">
      <c r="B26" s="82" t="s">
        <v>118</v>
      </c>
      <c r="C26" s="82" t="s">
        <v>119</v>
      </c>
      <c r="D26" s="83">
        <f>SUMIFS(D27:D540,K27:K540,"0",B27:B540,"1 1 2*")-SUMIFS(E27:E540,K27:K540,"0",B27:B540,"1 1 2*")</f>
        <v>0</v>
      </c>
      <c r="E26" s="54"/>
      <c r="F26" s="83">
        <f>SUMIFS(F27:F540,K27:K540,"0",B27:B540,"1 1 2*")</f>
        <v>107492796.70999999</v>
      </c>
      <c r="G26" s="83">
        <f>SUMIFS(G27:G540,K27:K540,"0",B27:B540,"1 1 2*")</f>
        <v>107492796.70999999</v>
      </c>
      <c r="H26" s="83">
        <f t="shared" si="0"/>
        <v>0</v>
      </c>
      <c r="I26" s="83"/>
      <c r="K26" s="54" t="s">
        <v>15</v>
      </c>
    </row>
    <row r="27" spans="2:11" ht="16.5" x14ac:dyDescent="0.2">
      <c r="B27" s="82" t="s">
        <v>120</v>
      </c>
      <c r="C27" s="82" t="s">
        <v>121</v>
      </c>
      <c r="D27" s="83">
        <f>SUMIFS(D28:D540,K28:K540,"0",B28:B540,"1 1 2 2*")-SUMIFS(E28:E540,K28:K540,"0",B28:B540,"1 1 2 2*")</f>
        <v>0</v>
      </c>
      <c r="E27" s="54"/>
      <c r="F27" s="83">
        <f>SUMIFS(F28:F540,K28:K540,"0",B28:B540,"1 1 2 2*")</f>
        <v>106310771</v>
      </c>
      <c r="G27" s="83">
        <f>SUMIFS(G28:G540,K28:K540,"0",B28:B540,"1 1 2 2*")</f>
        <v>106310771</v>
      </c>
      <c r="H27" s="83">
        <f t="shared" si="0"/>
        <v>0</v>
      </c>
      <c r="I27" s="83"/>
      <c r="K27" s="54" t="s">
        <v>15</v>
      </c>
    </row>
    <row r="28" spans="2:11" ht="16.5" x14ac:dyDescent="0.2">
      <c r="B28" s="82" t="s">
        <v>134</v>
      </c>
      <c r="C28" s="82" t="s">
        <v>135</v>
      </c>
      <c r="D28" s="83">
        <f>SUMIFS(D29:D540,K29:K540,"0",B29:B540,"1 1 2 2 5*")-SUMIFS(E29:E540,K29:K540,"0",B29:B540,"1 1 2 2 5*")</f>
        <v>0</v>
      </c>
      <c r="E28" s="54"/>
      <c r="F28" s="83">
        <f>SUMIFS(F29:F540,K29:K540,"0",B29:B540,"1 1 2 2 5*")</f>
        <v>106310771</v>
      </c>
      <c r="G28" s="83">
        <f>SUMIFS(G29:G540,K29:K540,"0",B29:B540,"1 1 2 2 5*")</f>
        <v>106310771</v>
      </c>
      <c r="H28" s="83">
        <f t="shared" si="0"/>
        <v>0</v>
      </c>
      <c r="I28" s="83"/>
      <c r="K28" s="54" t="s">
        <v>15</v>
      </c>
    </row>
    <row r="29" spans="2:11" ht="12.75" x14ac:dyDescent="0.2">
      <c r="B29" s="82" t="s">
        <v>136</v>
      </c>
      <c r="C29" s="82" t="s">
        <v>26</v>
      </c>
      <c r="D29" s="83">
        <f>SUMIFS(D30:D540,K30:K540,"0",B30:B540,"1 1 2 2 5 12*")-SUMIFS(E30:E540,K30:K540,"0",B30:B540,"1 1 2 2 5 12*")</f>
        <v>0</v>
      </c>
      <c r="E29" s="54"/>
      <c r="F29" s="83">
        <f>SUMIFS(F30:F540,K30:K540,"0",B30:B540,"1 1 2 2 5 12*")</f>
        <v>106310771</v>
      </c>
      <c r="G29" s="83">
        <f>SUMIFS(G30:G540,K30:K540,"0",B30:B540,"1 1 2 2 5 12*")</f>
        <v>106310771</v>
      </c>
      <c r="H29" s="83">
        <f t="shared" si="0"/>
        <v>0</v>
      </c>
      <c r="I29" s="83"/>
      <c r="K29" s="54" t="s">
        <v>15</v>
      </c>
    </row>
    <row r="30" spans="2:11" ht="16.5" x14ac:dyDescent="0.2">
      <c r="B30" s="82" t="s">
        <v>137</v>
      </c>
      <c r="C30" s="82" t="s">
        <v>28</v>
      </c>
      <c r="D30" s="83">
        <f>SUMIFS(D31:D540,K31:K540,"0",B31:B540,"1 1 2 2 5 12 31111*")-SUMIFS(E31:E540,K31:K540,"0",B31:B540,"1 1 2 2 5 12 31111*")</f>
        <v>0</v>
      </c>
      <c r="E30" s="54"/>
      <c r="F30" s="83">
        <f>SUMIFS(F31:F540,K31:K540,"0",B31:B540,"1 1 2 2 5 12 31111*")</f>
        <v>106310771</v>
      </c>
      <c r="G30" s="83">
        <f>SUMIFS(G31:G540,K31:K540,"0",B31:B540,"1 1 2 2 5 12 31111*")</f>
        <v>106310771</v>
      </c>
      <c r="H30" s="83">
        <f t="shared" si="0"/>
        <v>0</v>
      </c>
      <c r="I30" s="83"/>
      <c r="K30" s="54" t="s">
        <v>15</v>
      </c>
    </row>
    <row r="31" spans="2:11" ht="12.75" x14ac:dyDescent="0.2">
      <c r="B31" s="82" t="s">
        <v>138</v>
      </c>
      <c r="C31" s="82" t="s">
        <v>30</v>
      </c>
      <c r="D31" s="83">
        <f>SUMIFS(D32:D540,K32:K540,"0",B32:B540,"1 1 2 2 5 12 31111 6*")-SUMIFS(E32:E540,K32:K540,"0",B32:B540,"1 1 2 2 5 12 31111 6*")</f>
        <v>0</v>
      </c>
      <c r="E31" s="54"/>
      <c r="F31" s="83">
        <f>SUMIFS(F32:F540,K32:K540,"0",B32:B540,"1 1 2 2 5 12 31111 6*")</f>
        <v>106310771</v>
      </c>
      <c r="G31" s="83">
        <f>SUMIFS(G32:G540,K32:K540,"0",B32:B540,"1 1 2 2 5 12 31111 6*")</f>
        <v>106310771</v>
      </c>
      <c r="H31" s="83">
        <f t="shared" si="0"/>
        <v>0</v>
      </c>
      <c r="I31" s="83"/>
      <c r="K31" s="54" t="s">
        <v>15</v>
      </c>
    </row>
    <row r="32" spans="2:11" ht="16.5" x14ac:dyDescent="0.2">
      <c r="B32" s="82" t="s">
        <v>149</v>
      </c>
      <c r="C32" s="82" t="s">
        <v>32</v>
      </c>
      <c r="D32" s="83">
        <f>SUMIFS(D33:D540,K33:K540,"0",B33:B540,"1 1 2 2 5 12 31111 6 M59*")-SUMIFS(E33:E540,K33:K540,"0",B33:B540,"1 1 2 2 5 12 31111 6 M59*")</f>
        <v>0</v>
      </c>
      <c r="E32" s="54"/>
      <c r="F32" s="83">
        <f>SUMIFS(F33:F540,K33:K540,"0",B33:B540,"1 1 2 2 5 12 31111 6 M59*")</f>
        <v>106310771</v>
      </c>
      <c r="G32" s="83">
        <f>SUMIFS(G33:G540,K33:K540,"0",B33:B540,"1 1 2 2 5 12 31111 6 M59*")</f>
        <v>106310771</v>
      </c>
      <c r="H32" s="83">
        <f t="shared" si="0"/>
        <v>0</v>
      </c>
      <c r="I32" s="83"/>
      <c r="K32" s="54" t="s">
        <v>15</v>
      </c>
    </row>
    <row r="33" spans="2:11" ht="24.75" x14ac:dyDescent="0.2">
      <c r="B33" s="82" t="s">
        <v>150</v>
      </c>
      <c r="C33" s="82" t="s">
        <v>1476</v>
      </c>
      <c r="D33" s="83">
        <f>SUMIFS(D34:D540,K34:K540,"0",B34:B540,"1 1 2 2 5 12 31111 6 M59 00002*")-SUMIFS(E34:E540,K34:K540,"0",B34:B540,"1 1 2 2 5 12 31111 6 M59 00002*")</f>
        <v>0</v>
      </c>
      <c r="E33" s="54"/>
      <c r="F33" s="83">
        <f>SUMIFS(F34:F540,K34:K540,"0",B34:B540,"1 1 2 2 5 12 31111 6 M59 00002*")</f>
        <v>106310771</v>
      </c>
      <c r="G33" s="83">
        <f>SUMIFS(G34:G540,K34:K540,"0",B34:B540,"1 1 2 2 5 12 31111 6 M59 00002*")</f>
        <v>106310771</v>
      </c>
      <c r="H33" s="83">
        <f t="shared" si="0"/>
        <v>0</v>
      </c>
      <c r="I33" s="83"/>
      <c r="K33" s="54" t="s">
        <v>15</v>
      </c>
    </row>
    <row r="34" spans="2:11" ht="16.5" x14ac:dyDescent="0.2">
      <c r="B34" s="82" t="s">
        <v>151</v>
      </c>
      <c r="C34" s="82" t="s">
        <v>152</v>
      </c>
      <c r="D34" s="83">
        <f>SUMIFS(D35:D540,K35:K540,"0",B35:B540,"1 1 2 2 5 12 31111 6 M59 00002 000004*")-SUMIFS(E35:E540,K35:K540,"0",B35:B540,"1 1 2 2 5 12 31111 6 M59 00002 000004*")</f>
        <v>0</v>
      </c>
      <c r="E34" s="54"/>
      <c r="F34" s="83">
        <f>SUMIFS(F35:F540,K35:K540,"0",B35:B540,"1 1 2 2 5 12 31111 6 M59 00002 000004*")</f>
        <v>106310771</v>
      </c>
      <c r="G34" s="83">
        <f>SUMIFS(G35:G540,K35:K540,"0",B35:B540,"1 1 2 2 5 12 31111 6 M59 00002 000004*")</f>
        <v>106310771</v>
      </c>
      <c r="H34" s="83">
        <f t="shared" si="0"/>
        <v>0</v>
      </c>
      <c r="I34" s="83"/>
      <c r="K34" s="54" t="s">
        <v>15</v>
      </c>
    </row>
    <row r="35" spans="2:11" ht="16.5" x14ac:dyDescent="0.2">
      <c r="B35" s="84" t="s">
        <v>153</v>
      </c>
      <c r="C35" s="84" t="s">
        <v>154</v>
      </c>
      <c r="D35" s="85">
        <v>0</v>
      </c>
      <c r="E35" s="85"/>
      <c r="F35" s="85">
        <v>106310771</v>
      </c>
      <c r="G35" s="85">
        <v>106310771</v>
      </c>
      <c r="H35" s="85">
        <f t="shared" si="0"/>
        <v>0</v>
      </c>
      <c r="I35" s="85"/>
      <c r="K35" s="54" t="s">
        <v>38</v>
      </c>
    </row>
    <row r="36" spans="2:11" ht="16.5" x14ac:dyDescent="0.2">
      <c r="B36" s="82" t="s">
        <v>169</v>
      </c>
      <c r="C36" s="82" t="s">
        <v>170</v>
      </c>
      <c r="D36" s="83">
        <f>SUMIFS(D37:D540,K37:K540,"0",B37:B540,"1 1 2 3*")-SUMIFS(E37:E540,K37:K540,"0",B37:B540,"1 1 2 3*")</f>
        <v>0</v>
      </c>
      <c r="E36" s="54"/>
      <c r="F36" s="83">
        <f>SUMIFS(F37:F540,K37:K540,"0",B37:B540,"1 1 2 3*")</f>
        <v>1082896.5</v>
      </c>
      <c r="G36" s="83">
        <f>SUMIFS(G37:G540,K37:K540,"0",B37:B540,"1 1 2 3*")</f>
        <v>1082896.5</v>
      </c>
      <c r="H36" s="83">
        <f t="shared" si="0"/>
        <v>0</v>
      </c>
      <c r="I36" s="83"/>
      <c r="K36" s="54" t="s">
        <v>15</v>
      </c>
    </row>
    <row r="37" spans="2:11" ht="16.5" x14ac:dyDescent="0.2">
      <c r="B37" s="82" t="s">
        <v>171</v>
      </c>
      <c r="C37" s="82" t="s">
        <v>172</v>
      </c>
      <c r="D37" s="83">
        <f>SUMIFS(D38:D540,K38:K540,"0",B38:B540,"1 1 2 3 1*")-SUMIFS(E38:E540,K38:K540,"0",B38:B540,"1 1 2 3 1*")</f>
        <v>0</v>
      </c>
      <c r="E37" s="54"/>
      <c r="F37" s="83">
        <f>SUMIFS(F38:F540,K38:K540,"0",B38:B540,"1 1 2 3 1*")</f>
        <v>1082896.5</v>
      </c>
      <c r="G37" s="83">
        <f>SUMIFS(G38:G540,K38:K540,"0",B38:B540,"1 1 2 3 1*")</f>
        <v>1082896.5</v>
      </c>
      <c r="H37" s="83">
        <f t="shared" si="0"/>
        <v>0</v>
      </c>
      <c r="I37" s="83"/>
      <c r="K37" s="54" t="s">
        <v>15</v>
      </c>
    </row>
    <row r="38" spans="2:11" ht="12.75" x14ac:dyDescent="0.2">
      <c r="B38" s="82" t="s">
        <v>173</v>
      </c>
      <c r="C38" s="82" t="s">
        <v>26</v>
      </c>
      <c r="D38" s="83">
        <f>SUMIFS(D39:D540,K39:K540,"0",B39:B540,"1 1 2 3 1 12*")-SUMIFS(E39:E540,K39:K540,"0",B39:B540,"1 1 2 3 1 12*")</f>
        <v>0</v>
      </c>
      <c r="E38" s="54"/>
      <c r="F38" s="83">
        <f>SUMIFS(F39:F540,K39:K540,"0",B39:B540,"1 1 2 3 1 12*")</f>
        <v>1082896.5</v>
      </c>
      <c r="G38" s="83">
        <f>SUMIFS(G39:G540,K39:K540,"0",B39:B540,"1 1 2 3 1 12*")</f>
        <v>1082896.5</v>
      </c>
      <c r="H38" s="83">
        <f t="shared" si="0"/>
        <v>0</v>
      </c>
      <c r="I38" s="83"/>
      <c r="K38" s="54" t="s">
        <v>15</v>
      </c>
    </row>
    <row r="39" spans="2:11" ht="16.5" x14ac:dyDescent="0.2">
      <c r="B39" s="82" t="s">
        <v>174</v>
      </c>
      <c r="C39" s="82" t="s">
        <v>28</v>
      </c>
      <c r="D39" s="83">
        <f>SUMIFS(D40:D540,K40:K540,"0",B40:B540,"1 1 2 3 1 12 31111*")-SUMIFS(E40:E540,K40:K540,"0",B40:B540,"1 1 2 3 1 12 31111*")</f>
        <v>0</v>
      </c>
      <c r="E39" s="54"/>
      <c r="F39" s="83">
        <f>SUMIFS(F40:F540,K40:K540,"0",B40:B540,"1 1 2 3 1 12 31111*")</f>
        <v>1082896.5</v>
      </c>
      <c r="G39" s="83">
        <f>SUMIFS(G40:G540,K40:K540,"0",B40:B540,"1 1 2 3 1 12 31111*")</f>
        <v>1082896.5</v>
      </c>
      <c r="H39" s="83">
        <f t="shared" si="0"/>
        <v>0</v>
      </c>
      <c r="I39" s="83"/>
      <c r="K39" s="54" t="s">
        <v>15</v>
      </c>
    </row>
    <row r="40" spans="2:11" ht="12.75" x14ac:dyDescent="0.2">
      <c r="B40" s="82" t="s">
        <v>175</v>
      </c>
      <c r="C40" s="82" t="s">
        <v>30</v>
      </c>
      <c r="D40" s="83">
        <f>SUMIFS(D41:D540,K41:K540,"0",B41:B540,"1 1 2 3 1 12 31111 6*")-SUMIFS(E41:E540,K41:K540,"0",B41:B540,"1 1 2 3 1 12 31111 6*")</f>
        <v>0</v>
      </c>
      <c r="E40" s="54"/>
      <c r="F40" s="83">
        <f>SUMIFS(F41:F540,K41:K540,"0",B41:B540,"1 1 2 3 1 12 31111 6*")</f>
        <v>1082896.5</v>
      </c>
      <c r="G40" s="83">
        <f>SUMIFS(G41:G540,K41:K540,"0",B41:B540,"1 1 2 3 1 12 31111 6*")</f>
        <v>1082896.5</v>
      </c>
      <c r="H40" s="83">
        <f t="shared" si="0"/>
        <v>0</v>
      </c>
      <c r="I40" s="83"/>
      <c r="K40" s="54" t="s">
        <v>15</v>
      </c>
    </row>
    <row r="41" spans="2:11" ht="12.75" x14ac:dyDescent="0.2">
      <c r="B41" s="82" t="s">
        <v>176</v>
      </c>
      <c r="C41" s="82" t="s">
        <v>32</v>
      </c>
      <c r="D41" s="83">
        <f>SUMIFS(D42:D540,K42:K540,"0",B42:B540,"1 1 2 3 1 12 31111 6 M59*")-SUMIFS(E42:E540,K42:K540,"0",B42:B540,"1 1 2 3 1 12 31111 6 M59*")</f>
        <v>0</v>
      </c>
      <c r="E41" s="54"/>
      <c r="F41" s="83">
        <f>SUMIFS(F42:F540,K42:K540,"0",B42:B540,"1 1 2 3 1 12 31111 6 M59*")</f>
        <v>1082896.5</v>
      </c>
      <c r="G41" s="83">
        <f>SUMIFS(G42:G540,K42:K540,"0",B42:B540,"1 1 2 3 1 12 31111 6 M59*")</f>
        <v>1082896.5</v>
      </c>
      <c r="H41" s="83">
        <f t="shared" si="0"/>
        <v>0</v>
      </c>
      <c r="I41" s="83"/>
      <c r="K41" s="54" t="s">
        <v>15</v>
      </c>
    </row>
    <row r="42" spans="2:11" ht="24.75" x14ac:dyDescent="0.2">
      <c r="B42" s="82" t="s">
        <v>186</v>
      </c>
      <c r="C42" s="82" t="s">
        <v>1476</v>
      </c>
      <c r="D42" s="83">
        <f>SUMIFS(D43:D540,K43:K540,"0",B43:B540,"1 1 2 3 1 12 31111 6 M59 00002*")-SUMIFS(E43:E540,K43:K540,"0",B43:B540,"1 1 2 3 1 12 31111 6 M59 00002*")</f>
        <v>0</v>
      </c>
      <c r="E42" s="54"/>
      <c r="F42" s="83">
        <f>SUMIFS(F43:F540,K43:K540,"0",B43:B540,"1 1 2 3 1 12 31111 6 M59 00002*")</f>
        <v>1082896.5</v>
      </c>
      <c r="G42" s="83">
        <f>SUMIFS(G43:G540,K43:K540,"0",B43:B540,"1 1 2 3 1 12 31111 6 M59 00002*")</f>
        <v>1082896.5</v>
      </c>
      <c r="H42" s="83">
        <f t="shared" si="0"/>
        <v>0</v>
      </c>
      <c r="I42" s="83"/>
      <c r="K42" s="54" t="s">
        <v>15</v>
      </c>
    </row>
    <row r="43" spans="2:11" ht="16.5" x14ac:dyDescent="0.2">
      <c r="B43" s="84" t="s">
        <v>187</v>
      </c>
      <c r="C43" s="84" t="s">
        <v>188</v>
      </c>
      <c r="D43" s="85">
        <v>0</v>
      </c>
      <c r="E43" s="85"/>
      <c r="F43" s="85">
        <v>1082896.5</v>
      </c>
      <c r="G43" s="85">
        <v>1082896.5</v>
      </c>
      <c r="H43" s="85">
        <f t="shared" si="0"/>
        <v>0</v>
      </c>
      <c r="I43" s="85"/>
      <c r="K43" s="54" t="s">
        <v>38</v>
      </c>
    </row>
    <row r="44" spans="2:11" ht="16.5" x14ac:dyDescent="0.2">
      <c r="B44" s="82" t="s">
        <v>207</v>
      </c>
      <c r="C44" s="82" t="s">
        <v>208</v>
      </c>
      <c r="D44" s="83">
        <f>SUMIFS(D45:D540,K45:K540,"0",B45:B540,"1 1 2 4*")-SUMIFS(E45:E540,K45:K540,"0",B45:B540,"1 1 2 4*")</f>
        <v>0</v>
      </c>
      <c r="E44" s="54"/>
      <c r="F44" s="83">
        <f>SUMIFS(F45:F540,K45:K540,"0",B45:B540,"1 1 2 4*")</f>
        <v>99129.21</v>
      </c>
      <c r="G44" s="83">
        <f>SUMIFS(G45:G540,K45:K540,"0",B45:B540,"1 1 2 4*")</f>
        <v>99129.21</v>
      </c>
      <c r="H44" s="83">
        <f t="shared" si="0"/>
        <v>0</v>
      </c>
      <c r="I44" s="83"/>
      <c r="K44" s="54" t="s">
        <v>15</v>
      </c>
    </row>
    <row r="45" spans="2:11" ht="12.75" x14ac:dyDescent="0.2">
      <c r="B45" s="82" t="s">
        <v>235</v>
      </c>
      <c r="C45" s="82" t="s">
        <v>236</v>
      </c>
      <c r="D45" s="83">
        <f>SUMIFS(D46:D540,K46:K540,"0",B46:B540,"1 1 2 4 4*")-SUMIFS(E46:E540,K46:K540,"0",B46:B540,"1 1 2 4 4*")</f>
        <v>0</v>
      </c>
      <c r="E45" s="54"/>
      <c r="F45" s="83">
        <f>SUMIFS(F46:F540,K46:K540,"0",B46:B540,"1 1 2 4 4*")</f>
        <v>99129.21</v>
      </c>
      <c r="G45" s="83">
        <f>SUMIFS(G46:G540,K46:K540,"0",B46:B540,"1 1 2 4 4*")</f>
        <v>99129.21</v>
      </c>
      <c r="H45" s="83">
        <f t="shared" si="0"/>
        <v>0</v>
      </c>
      <c r="I45" s="83"/>
      <c r="K45" s="54" t="s">
        <v>15</v>
      </c>
    </row>
    <row r="46" spans="2:11" ht="12.75" x14ac:dyDescent="0.2">
      <c r="B46" s="82" t="s">
        <v>237</v>
      </c>
      <c r="C46" s="82" t="s">
        <v>26</v>
      </c>
      <c r="D46" s="83">
        <f>SUMIFS(D47:D540,K47:K540,"0",B47:B540,"1 1 2 4 4 12*")-SUMIFS(E47:E540,K47:K540,"0",B47:B540,"1 1 2 4 4 12*")</f>
        <v>0</v>
      </c>
      <c r="E46" s="54"/>
      <c r="F46" s="83">
        <f>SUMIFS(F47:F540,K47:K540,"0",B47:B540,"1 1 2 4 4 12*")</f>
        <v>99129.21</v>
      </c>
      <c r="G46" s="83">
        <f>SUMIFS(G47:G540,K47:K540,"0",B47:B540,"1 1 2 4 4 12*")</f>
        <v>99129.21</v>
      </c>
      <c r="H46" s="83">
        <f t="shared" si="0"/>
        <v>0</v>
      </c>
      <c r="I46" s="83"/>
      <c r="K46" s="54" t="s">
        <v>15</v>
      </c>
    </row>
    <row r="47" spans="2:11" ht="16.5" x14ac:dyDescent="0.2">
      <c r="B47" s="82" t="s">
        <v>238</v>
      </c>
      <c r="C47" s="82" t="s">
        <v>28</v>
      </c>
      <c r="D47" s="83">
        <f>SUMIFS(D48:D540,K48:K540,"0",B48:B540,"1 1 2 4 4 12 31111*")-SUMIFS(E48:E540,K48:K540,"0",B48:B540,"1 1 2 4 4 12 31111*")</f>
        <v>0</v>
      </c>
      <c r="E47" s="54"/>
      <c r="F47" s="83">
        <f>SUMIFS(F48:F540,K48:K540,"0",B48:B540,"1 1 2 4 4 12 31111*")</f>
        <v>99129.21</v>
      </c>
      <c r="G47" s="83">
        <f>SUMIFS(G48:G540,K48:K540,"0",B48:B540,"1 1 2 4 4 12 31111*")</f>
        <v>99129.21</v>
      </c>
      <c r="H47" s="83">
        <f t="shared" si="0"/>
        <v>0</v>
      </c>
      <c r="I47" s="83"/>
      <c r="K47" s="54" t="s">
        <v>15</v>
      </c>
    </row>
    <row r="48" spans="2:11" ht="12.75" x14ac:dyDescent="0.2">
      <c r="B48" s="82" t="s">
        <v>239</v>
      </c>
      <c r="C48" s="82" t="s">
        <v>30</v>
      </c>
      <c r="D48" s="83">
        <f>SUMIFS(D49:D540,K49:K540,"0",B49:B540,"1 1 2 4 4 12 31111 6*")-SUMIFS(E49:E540,K49:K540,"0",B49:B540,"1 1 2 4 4 12 31111 6*")</f>
        <v>0</v>
      </c>
      <c r="E48" s="54"/>
      <c r="F48" s="83">
        <f>SUMIFS(F49:F540,K49:K540,"0",B49:B540,"1 1 2 4 4 12 31111 6*")</f>
        <v>99129.21</v>
      </c>
      <c r="G48" s="83">
        <f>SUMIFS(G49:G540,K49:K540,"0",B49:B540,"1 1 2 4 4 12 31111 6*")</f>
        <v>99129.21</v>
      </c>
      <c r="H48" s="83">
        <f t="shared" si="0"/>
        <v>0</v>
      </c>
      <c r="I48" s="83"/>
      <c r="K48" s="54" t="s">
        <v>15</v>
      </c>
    </row>
    <row r="49" spans="2:11" ht="16.5" x14ac:dyDescent="0.2">
      <c r="B49" s="82" t="s">
        <v>240</v>
      </c>
      <c r="C49" s="82" t="s">
        <v>32</v>
      </c>
      <c r="D49" s="83">
        <f>SUMIFS(D50:D540,K50:K540,"0",B50:B540,"1 1 2 4 4 12 31111 6 M59*")-SUMIFS(E50:E540,K50:K540,"0",B50:B540,"1 1 2 4 4 12 31111 6 M59*")</f>
        <v>0</v>
      </c>
      <c r="E49" s="54"/>
      <c r="F49" s="83">
        <f>SUMIFS(F50:F540,K50:K540,"0",B50:B540,"1 1 2 4 4 12 31111 6 M59*")</f>
        <v>99129.21</v>
      </c>
      <c r="G49" s="83">
        <f>SUMIFS(G50:G540,K50:K540,"0",B50:B540,"1 1 2 4 4 12 31111 6 M59*")</f>
        <v>99129.21</v>
      </c>
      <c r="H49" s="83">
        <f t="shared" si="0"/>
        <v>0</v>
      </c>
      <c r="I49" s="83"/>
      <c r="K49" s="54" t="s">
        <v>15</v>
      </c>
    </row>
    <row r="50" spans="2:11" ht="16.5" x14ac:dyDescent="0.2">
      <c r="B50" s="84" t="s">
        <v>244</v>
      </c>
      <c r="C50" s="84" t="s">
        <v>1476</v>
      </c>
      <c r="D50" s="85">
        <v>0</v>
      </c>
      <c r="E50" s="85"/>
      <c r="F50" s="85">
        <v>99129.21</v>
      </c>
      <c r="G50" s="85">
        <v>99129.21</v>
      </c>
      <c r="H50" s="85">
        <f t="shared" si="0"/>
        <v>0</v>
      </c>
      <c r="I50" s="85"/>
      <c r="K50" s="54" t="s">
        <v>38</v>
      </c>
    </row>
    <row r="51" spans="2:11" ht="16.5" x14ac:dyDescent="0.2">
      <c r="B51" s="82" t="s">
        <v>376</v>
      </c>
      <c r="C51" s="82" t="s">
        <v>377</v>
      </c>
      <c r="D51" s="83">
        <f>SUMIFS(D52:D540,K52:K540,"0",B52:B540,"1 1 3*")-SUMIFS(E52:E540,K52:K540,"0",B52:B540,"1 1 3*")</f>
        <v>319513.97000000003</v>
      </c>
      <c r="E51" s="54"/>
      <c r="F51" s="83">
        <f>SUMIFS(F52:F540,K52:K540,"0",B52:B540,"1 1 3*")</f>
        <v>3151325.76</v>
      </c>
      <c r="G51" s="83">
        <f>SUMIFS(G52:G540,K52:K540,"0",B52:B540,"1 1 3*")</f>
        <v>3151325.76</v>
      </c>
      <c r="H51" s="83">
        <f t="shared" si="0"/>
        <v>319513.9700000002</v>
      </c>
      <c r="I51" s="83"/>
      <c r="K51" s="54" t="s">
        <v>15</v>
      </c>
    </row>
    <row r="52" spans="2:11" ht="33" x14ac:dyDescent="0.2">
      <c r="B52" s="82" t="s">
        <v>378</v>
      </c>
      <c r="C52" s="82" t="s">
        <v>379</v>
      </c>
      <c r="D52" s="83">
        <f>SUMIFS(D53:D540,K53:K540,"0",B53:B540,"1 1 3 1*")-SUMIFS(E53:E540,K53:K540,"0",B53:B540,"1 1 3 1*")</f>
        <v>319513.97000000003</v>
      </c>
      <c r="E52" s="54"/>
      <c r="F52" s="83">
        <f>SUMIFS(F53:F540,K53:K540,"0",B53:B540,"1 1 3 1*")</f>
        <v>3151325.76</v>
      </c>
      <c r="G52" s="83">
        <f>SUMIFS(G53:G540,K53:K540,"0",B53:B540,"1 1 3 1*")</f>
        <v>3151325.76</v>
      </c>
      <c r="H52" s="83">
        <f t="shared" si="0"/>
        <v>319513.9700000002</v>
      </c>
      <c r="I52" s="83"/>
      <c r="K52" s="54" t="s">
        <v>15</v>
      </c>
    </row>
    <row r="53" spans="2:11" ht="33" x14ac:dyDescent="0.2">
      <c r="B53" s="82" t="s">
        <v>380</v>
      </c>
      <c r="C53" s="82" t="s">
        <v>379</v>
      </c>
      <c r="D53" s="83">
        <f>SUMIFS(D54:D540,K54:K540,"0",B54:B540,"1 1 3 1 1*")-SUMIFS(E54:E540,K54:K540,"0",B54:B540,"1 1 3 1 1*")</f>
        <v>319513.97000000003</v>
      </c>
      <c r="E53" s="54"/>
      <c r="F53" s="83">
        <f>SUMIFS(F54:F540,K54:K540,"0",B54:B540,"1 1 3 1 1*")</f>
        <v>3151325.76</v>
      </c>
      <c r="G53" s="83">
        <f>SUMIFS(G54:G540,K54:K540,"0",B54:B540,"1 1 3 1 1*")</f>
        <v>3151325.76</v>
      </c>
      <c r="H53" s="83">
        <f t="shared" si="0"/>
        <v>319513.9700000002</v>
      </c>
      <c r="I53" s="83"/>
      <c r="K53" s="54" t="s">
        <v>15</v>
      </c>
    </row>
    <row r="54" spans="2:11" ht="12.75" x14ac:dyDescent="0.2">
      <c r="B54" s="82" t="s">
        <v>381</v>
      </c>
      <c r="C54" s="82" t="s">
        <v>26</v>
      </c>
      <c r="D54" s="83">
        <f>SUMIFS(D55:D540,K55:K540,"0",B55:B540,"1 1 3 1 1 12*")-SUMIFS(E55:E540,K55:K540,"0",B55:B540,"1 1 3 1 1 12*")</f>
        <v>319513.97000000003</v>
      </c>
      <c r="E54" s="54"/>
      <c r="F54" s="83">
        <f>SUMIFS(F55:F540,K55:K540,"0",B55:B540,"1 1 3 1 1 12*")</f>
        <v>3151325.76</v>
      </c>
      <c r="G54" s="83">
        <f>SUMIFS(G55:G540,K55:K540,"0",B55:B540,"1 1 3 1 1 12*")</f>
        <v>3151325.76</v>
      </c>
      <c r="H54" s="83">
        <f t="shared" si="0"/>
        <v>319513.9700000002</v>
      </c>
      <c r="I54" s="83"/>
      <c r="K54" s="54" t="s">
        <v>15</v>
      </c>
    </row>
    <row r="55" spans="2:11" ht="16.5" x14ac:dyDescent="0.2">
      <c r="B55" s="82" t="s">
        <v>382</v>
      </c>
      <c r="C55" s="82" t="s">
        <v>28</v>
      </c>
      <c r="D55" s="83">
        <f>SUMIFS(D56:D540,K56:K540,"0",B56:B540,"1 1 3 1 1 12 31111*")-SUMIFS(E56:E540,K56:K540,"0",B56:B540,"1 1 3 1 1 12 31111*")</f>
        <v>319513.97000000003</v>
      </c>
      <c r="E55" s="54"/>
      <c r="F55" s="83">
        <f>SUMIFS(F56:F540,K56:K540,"0",B56:B540,"1 1 3 1 1 12 31111*")</f>
        <v>3151325.76</v>
      </c>
      <c r="G55" s="83">
        <f>SUMIFS(G56:G540,K56:K540,"0",B56:B540,"1 1 3 1 1 12 31111*")</f>
        <v>3151325.76</v>
      </c>
      <c r="H55" s="83">
        <f t="shared" si="0"/>
        <v>319513.9700000002</v>
      </c>
      <c r="I55" s="83"/>
      <c r="K55" s="54" t="s">
        <v>15</v>
      </c>
    </row>
    <row r="56" spans="2:11" ht="12.75" x14ac:dyDescent="0.2">
      <c r="B56" s="82" t="s">
        <v>383</v>
      </c>
      <c r="C56" s="82" t="s">
        <v>30</v>
      </c>
      <c r="D56" s="83">
        <f>SUMIFS(D57:D540,K57:K540,"0",B57:B540,"1 1 3 1 1 12 31111 6*")-SUMIFS(E57:E540,K57:K540,"0",B57:B540,"1 1 3 1 1 12 31111 6*")</f>
        <v>319513.97000000003</v>
      </c>
      <c r="E56" s="54"/>
      <c r="F56" s="83">
        <f>SUMIFS(F57:F540,K57:K540,"0",B57:B540,"1 1 3 1 1 12 31111 6*")</f>
        <v>3151325.76</v>
      </c>
      <c r="G56" s="83">
        <f>SUMIFS(G57:G540,K57:K540,"0",B57:B540,"1 1 3 1 1 12 31111 6*")</f>
        <v>3151325.76</v>
      </c>
      <c r="H56" s="83">
        <f t="shared" si="0"/>
        <v>319513.9700000002</v>
      </c>
      <c r="I56" s="83"/>
      <c r="K56" s="54" t="s">
        <v>15</v>
      </c>
    </row>
    <row r="57" spans="2:11" ht="12.75" x14ac:dyDescent="0.2">
      <c r="B57" s="82" t="s">
        <v>384</v>
      </c>
      <c r="C57" s="82" t="s">
        <v>32</v>
      </c>
      <c r="D57" s="83">
        <f>SUMIFS(D58:D540,K58:K540,"0",B58:B540,"1 1 3 1 1 12 31111 6 M59*")-SUMIFS(E58:E540,K58:K540,"0",B58:B540,"1 1 3 1 1 12 31111 6 M59*")</f>
        <v>319513.97000000003</v>
      </c>
      <c r="E57" s="54"/>
      <c r="F57" s="83">
        <f>SUMIFS(F58:F540,K58:K540,"0",B58:B540,"1 1 3 1 1 12 31111 6 M59*")</f>
        <v>3151325.76</v>
      </c>
      <c r="G57" s="83">
        <f>SUMIFS(G58:G540,K58:K540,"0",B58:B540,"1 1 3 1 1 12 31111 6 M59*")</f>
        <v>3151325.76</v>
      </c>
      <c r="H57" s="83">
        <f t="shared" si="0"/>
        <v>319513.9700000002</v>
      </c>
      <c r="I57" s="83"/>
      <c r="K57" s="54" t="s">
        <v>15</v>
      </c>
    </row>
    <row r="58" spans="2:11" ht="24.75" x14ac:dyDescent="0.2">
      <c r="B58" s="82" t="s">
        <v>409</v>
      </c>
      <c r="C58" s="82" t="s">
        <v>1476</v>
      </c>
      <c r="D58" s="83">
        <f>SUMIFS(D59:D540,K59:K540,"0",B59:B540,"1 1 3 1 1 12 31111 6 M59 00002*")-SUMIFS(E59:E540,K59:K540,"0",B59:B540,"1 1 3 1 1 12 31111 6 M59 00002*")</f>
        <v>319513.97000000003</v>
      </c>
      <c r="E58" s="54"/>
      <c r="F58" s="83">
        <f>SUMIFS(F59:F540,K59:K540,"0",B59:B540,"1 1 3 1 1 12 31111 6 M59 00002*")</f>
        <v>3151325.76</v>
      </c>
      <c r="G58" s="83">
        <f>SUMIFS(G59:G540,K59:K540,"0",B59:B540,"1 1 3 1 1 12 31111 6 M59 00002*")</f>
        <v>3151325.76</v>
      </c>
      <c r="H58" s="83">
        <f t="shared" si="0"/>
        <v>319513.9700000002</v>
      </c>
      <c r="I58" s="83"/>
      <c r="K58" s="54" t="s">
        <v>15</v>
      </c>
    </row>
    <row r="59" spans="2:11" ht="16.5" x14ac:dyDescent="0.2">
      <c r="B59" s="82" t="s">
        <v>410</v>
      </c>
      <c r="C59" s="82" t="s">
        <v>411</v>
      </c>
      <c r="D59" s="83">
        <f>SUMIFS(D60:D540,K60:K540,"0",B60:B540,"1 1 3 1 1 12 31111 6 M59 00002 000001*")-SUMIFS(E60:E540,K60:K540,"0",B60:B540,"1 1 3 1 1 12 31111 6 M59 00002 000001*")</f>
        <v>319513.97000000003</v>
      </c>
      <c r="E59" s="54"/>
      <c r="F59" s="83">
        <f>SUMIFS(F60:F540,K60:K540,"0",B60:B540,"1 1 3 1 1 12 31111 6 M59 00002 000001*")</f>
        <v>3151325.76</v>
      </c>
      <c r="G59" s="83">
        <f>SUMIFS(G60:G540,K60:K540,"0",B60:B540,"1 1 3 1 1 12 31111 6 M59 00002 000001*")</f>
        <v>3151325.76</v>
      </c>
      <c r="H59" s="83">
        <f t="shared" si="0"/>
        <v>319513.9700000002</v>
      </c>
      <c r="I59" s="83"/>
      <c r="K59" s="54" t="s">
        <v>15</v>
      </c>
    </row>
    <row r="60" spans="2:11" ht="16.5" x14ac:dyDescent="0.2">
      <c r="B60" s="84" t="s">
        <v>412</v>
      </c>
      <c r="C60" s="84" t="s">
        <v>413</v>
      </c>
      <c r="D60" s="85">
        <v>6.69</v>
      </c>
      <c r="E60" s="85"/>
      <c r="F60" s="85">
        <v>3151325.76</v>
      </c>
      <c r="G60" s="85">
        <v>3151325.76</v>
      </c>
      <c r="H60" s="85">
        <f t="shared" si="0"/>
        <v>6.6899999999441206</v>
      </c>
      <c r="I60" s="85"/>
      <c r="K60" s="54" t="s">
        <v>38</v>
      </c>
    </row>
    <row r="61" spans="2:11" ht="16.5" x14ac:dyDescent="0.2">
      <c r="B61" s="84" t="s">
        <v>414</v>
      </c>
      <c r="C61" s="84" t="s">
        <v>415</v>
      </c>
      <c r="D61" s="85">
        <v>70</v>
      </c>
      <c r="E61" s="85"/>
      <c r="F61" s="85">
        <v>0</v>
      </c>
      <c r="G61" s="85">
        <v>0</v>
      </c>
      <c r="H61" s="85">
        <f t="shared" si="0"/>
        <v>70</v>
      </c>
      <c r="I61" s="85"/>
      <c r="K61" s="54" t="s">
        <v>38</v>
      </c>
    </row>
    <row r="62" spans="2:11" ht="16.5" x14ac:dyDescent="0.2">
      <c r="B62" s="84" t="s">
        <v>416</v>
      </c>
      <c r="C62" s="84" t="s">
        <v>417</v>
      </c>
      <c r="D62" s="85">
        <v>319437.27</v>
      </c>
      <c r="E62" s="85"/>
      <c r="F62" s="85">
        <v>0</v>
      </c>
      <c r="G62" s="85">
        <v>0</v>
      </c>
      <c r="H62" s="85">
        <f t="shared" si="0"/>
        <v>319437.27</v>
      </c>
      <c r="I62" s="85"/>
      <c r="K62" s="54" t="s">
        <v>38</v>
      </c>
    </row>
    <row r="63" spans="2:11" ht="16.5" x14ac:dyDescent="0.2">
      <c r="B63" s="84" t="s">
        <v>418</v>
      </c>
      <c r="C63" s="84" t="s">
        <v>419</v>
      </c>
      <c r="D63" s="85">
        <v>0.01</v>
      </c>
      <c r="E63" s="85"/>
      <c r="F63" s="85">
        <v>0</v>
      </c>
      <c r="G63" s="85">
        <v>0</v>
      </c>
      <c r="H63" s="85">
        <f t="shared" si="0"/>
        <v>0.01</v>
      </c>
      <c r="I63" s="85"/>
      <c r="K63" s="54" t="s">
        <v>38</v>
      </c>
    </row>
    <row r="64" spans="2:11" ht="12.75" x14ac:dyDescent="0.2">
      <c r="B64" s="82" t="s">
        <v>585</v>
      </c>
      <c r="C64" s="82" t="s">
        <v>586</v>
      </c>
      <c r="D64" s="83">
        <f>SUMIFS(D65:D540,K65:K540,"0",B65:B540,"1 2*")-SUMIFS(E65:E540,K65:K540,"0",B65:B540,"1 2*")</f>
        <v>41417607.270000003</v>
      </c>
      <c r="E64" s="54"/>
      <c r="F64" s="83">
        <f>SUMIFS(F65:F540,K65:K540,"0",B65:B540,"1 2*")</f>
        <v>106398641.37999995</v>
      </c>
      <c r="G64" s="83">
        <f>SUMIFS(G65:G540,K65:K540,"0",B65:B540,"1 2*")</f>
        <v>21262154.199999996</v>
      </c>
      <c r="H64" s="83">
        <f t="shared" si="0"/>
        <v>126554094.44999996</v>
      </c>
      <c r="I64" s="83"/>
      <c r="K64" s="54" t="s">
        <v>15</v>
      </c>
    </row>
    <row r="65" spans="2:11" ht="33" x14ac:dyDescent="0.2">
      <c r="B65" s="82" t="s">
        <v>587</v>
      </c>
      <c r="C65" s="82" t="s">
        <v>588</v>
      </c>
      <c r="D65" s="83">
        <f>SUMIFS(D66:D540,K66:K540,"0",B66:B540,"1 2 3*")-SUMIFS(E66:E540,K66:K540,"0",B66:B540,"1 2 3*")</f>
        <v>41447096.380000003</v>
      </c>
      <c r="E65" s="54"/>
      <c r="F65" s="83">
        <f>SUMIFS(F66:F540,K66:K540,"0",B66:B540,"1 2 3*")</f>
        <v>106398641.37999995</v>
      </c>
      <c r="G65" s="83">
        <f>SUMIFS(G66:G540,K66:K540,"0",B66:B540,"1 2 3*")</f>
        <v>21262154.199999996</v>
      </c>
      <c r="H65" s="83">
        <f t="shared" si="0"/>
        <v>126583583.55999997</v>
      </c>
      <c r="I65" s="83"/>
      <c r="K65" s="54" t="s">
        <v>15</v>
      </c>
    </row>
    <row r="66" spans="2:11" ht="12.75" x14ac:dyDescent="0.2">
      <c r="B66" s="82" t="s">
        <v>612</v>
      </c>
      <c r="C66" s="82" t="s">
        <v>613</v>
      </c>
      <c r="D66" s="83">
        <f>SUMIFS(D67:D540,K67:K540,"0",B67:B540,"1 2 3 4*")-SUMIFS(E67:E540,K67:K540,"0",B67:B540,"1 2 3 4*")</f>
        <v>41447096.380000003</v>
      </c>
      <c r="E66" s="54"/>
      <c r="F66" s="83">
        <f>SUMIFS(F67:F540,K67:K540,"0",B67:B540,"1 2 3 4*")</f>
        <v>0</v>
      </c>
      <c r="G66" s="83">
        <f>SUMIFS(G67:G540,K67:K540,"0",B67:B540,"1 2 3 4*")</f>
        <v>0</v>
      </c>
      <c r="H66" s="83">
        <f t="shared" si="0"/>
        <v>41447096.380000003</v>
      </c>
      <c r="I66" s="83"/>
      <c r="K66" s="54" t="s">
        <v>15</v>
      </c>
    </row>
    <row r="67" spans="2:11" ht="16.5" x14ac:dyDescent="0.2">
      <c r="B67" s="82" t="s">
        <v>614</v>
      </c>
      <c r="C67" s="82" t="s">
        <v>615</v>
      </c>
      <c r="D67" s="83">
        <f>SUMIFS(D68:D540,K68:K540,"0",B68:B540,"1 2 3 4 1*")-SUMIFS(E68:E540,K68:K540,"0",B68:B540,"1 2 3 4 1*")</f>
        <v>5814454.04</v>
      </c>
      <c r="E67" s="54"/>
      <c r="F67" s="83">
        <f>SUMIFS(F68:F540,K68:K540,"0",B68:B540,"1 2 3 4 1*")</f>
        <v>0</v>
      </c>
      <c r="G67" s="83">
        <f>SUMIFS(G68:G540,K68:K540,"0",B68:B540,"1 2 3 4 1*")</f>
        <v>0</v>
      </c>
      <c r="H67" s="83">
        <f t="shared" si="0"/>
        <v>5814454.04</v>
      </c>
      <c r="I67" s="83"/>
      <c r="K67" s="54" t="s">
        <v>15</v>
      </c>
    </row>
    <row r="68" spans="2:11" ht="12.75" x14ac:dyDescent="0.2">
      <c r="B68" s="82" t="s">
        <v>616</v>
      </c>
      <c r="C68" s="82" t="s">
        <v>26</v>
      </c>
      <c r="D68" s="83">
        <f>SUMIFS(D69:D540,K69:K540,"0",B69:B540,"1 2 3 4 1 12*")-SUMIFS(E69:E540,K69:K540,"0",B69:B540,"1 2 3 4 1 12*")</f>
        <v>5814454.04</v>
      </c>
      <c r="E68" s="54"/>
      <c r="F68" s="83">
        <f>SUMIFS(F69:F540,K69:K540,"0",B69:B540,"1 2 3 4 1 12*")</f>
        <v>0</v>
      </c>
      <c r="G68" s="83">
        <f>SUMIFS(G69:G540,K69:K540,"0",B69:B540,"1 2 3 4 1 12*")</f>
        <v>0</v>
      </c>
      <c r="H68" s="83">
        <f t="shared" si="0"/>
        <v>5814454.04</v>
      </c>
      <c r="I68" s="83"/>
      <c r="K68" s="54" t="s">
        <v>15</v>
      </c>
    </row>
    <row r="69" spans="2:11" ht="16.5" x14ac:dyDescent="0.2">
      <c r="B69" s="82" t="s">
        <v>617</v>
      </c>
      <c r="C69" s="82" t="s">
        <v>28</v>
      </c>
      <c r="D69" s="83">
        <f>SUMIFS(D70:D540,K70:K540,"0",B70:B540,"1 2 3 4 1 12 31111*")-SUMIFS(E70:E540,K70:K540,"0",B70:B540,"1 2 3 4 1 12 31111*")</f>
        <v>5814454.04</v>
      </c>
      <c r="E69" s="54"/>
      <c r="F69" s="83">
        <f>SUMIFS(F70:F540,K70:K540,"0",B70:B540,"1 2 3 4 1 12 31111*")</f>
        <v>0</v>
      </c>
      <c r="G69" s="83">
        <f>SUMIFS(G70:G540,K70:K540,"0",B70:B540,"1 2 3 4 1 12 31111*")</f>
        <v>0</v>
      </c>
      <c r="H69" s="83">
        <f t="shared" si="0"/>
        <v>5814454.04</v>
      </c>
      <c r="I69" s="83"/>
      <c r="K69" s="54" t="s">
        <v>15</v>
      </c>
    </row>
    <row r="70" spans="2:11" ht="12.75" x14ac:dyDescent="0.2">
      <c r="B70" s="82" t="s">
        <v>618</v>
      </c>
      <c r="C70" s="82" t="s">
        <v>30</v>
      </c>
      <c r="D70" s="83">
        <f>SUMIFS(D71:D540,K71:K540,"0",B71:B540,"1 2 3 4 1 12 31111 6*")-SUMIFS(E71:E540,K71:K540,"0",B71:B540,"1 2 3 4 1 12 31111 6*")</f>
        <v>5814454.04</v>
      </c>
      <c r="E70" s="54"/>
      <c r="F70" s="83">
        <f>SUMIFS(F71:F540,K71:K540,"0",B71:B540,"1 2 3 4 1 12 31111 6*")</f>
        <v>0</v>
      </c>
      <c r="G70" s="83">
        <f>SUMIFS(G71:G540,K71:K540,"0",B71:B540,"1 2 3 4 1 12 31111 6*")</f>
        <v>0</v>
      </c>
      <c r="H70" s="83">
        <f t="shared" si="0"/>
        <v>5814454.04</v>
      </c>
      <c r="I70" s="83"/>
      <c r="K70" s="54" t="s">
        <v>15</v>
      </c>
    </row>
    <row r="71" spans="2:11" ht="16.5" x14ac:dyDescent="0.2">
      <c r="B71" s="82" t="s">
        <v>619</v>
      </c>
      <c r="C71" s="82" t="s">
        <v>140</v>
      </c>
      <c r="D71" s="83">
        <f>SUMIFS(D72:D540,K72:K540,"0",B72:B540,"1 2 3 4 1 12 31111 6 M59*")-SUMIFS(E72:E540,K72:K540,"0",B72:B540,"1 2 3 4 1 12 31111 6 M59*")</f>
        <v>5814454.04</v>
      </c>
      <c r="E71" s="54"/>
      <c r="F71" s="83">
        <f>SUMIFS(F72:F540,K72:K540,"0",B72:B540,"1 2 3 4 1 12 31111 6 M59*")</f>
        <v>0</v>
      </c>
      <c r="G71" s="83">
        <f>SUMIFS(G72:G540,K72:K540,"0",B72:B540,"1 2 3 4 1 12 31111 6 M59*")</f>
        <v>0</v>
      </c>
      <c r="H71" s="83">
        <f t="shared" si="0"/>
        <v>5814454.04</v>
      </c>
      <c r="I71" s="83"/>
      <c r="K71" s="54" t="s">
        <v>15</v>
      </c>
    </row>
    <row r="72" spans="2:11" ht="24.75" x14ac:dyDescent="0.2">
      <c r="B72" s="82" t="s">
        <v>621</v>
      </c>
      <c r="C72" s="82" t="s">
        <v>986</v>
      </c>
      <c r="D72" s="83">
        <f>SUMIFS(D73:D540,K73:K540,"0",B73:B540,"1 2 3 4 1 12 31111 6 M59 00002*")-SUMIFS(E73:E540,K73:K540,"0",B73:B540,"1 2 3 4 1 12 31111 6 M59 00002*")</f>
        <v>5814454.04</v>
      </c>
      <c r="E72" s="54"/>
      <c r="F72" s="83">
        <f>SUMIFS(F73:F540,K73:K540,"0",B73:B540,"1 2 3 4 1 12 31111 6 M59 00002*")</f>
        <v>0</v>
      </c>
      <c r="G72" s="83">
        <f>SUMIFS(G73:G540,K73:K540,"0",B73:B540,"1 2 3 4 1 12 31111 6 M59 00002*")</f>
        <v>0</v>
      </c>
      <c r="H72" s="83">
        <f t="shared" si="0"/>
        <v>5814454.04</v>
      </c>
      <c r="I72" s="83"/>
      <c r="K72" s="54" t="s">
        <v>15</v>
      </c>
    </row>
    <row r="73" spans="2:11" ht="16.5" x14ac:dyDescent="0.2">
      <c r="B73" s="82" t="s">
        <v>622</v>
      </c>
      <c r="C73" s="82" t="s">
        <v>42</v>
      </c>
      <c r="D73" s="83">
        <f>SUMIFS(D74:D540,K74:K540,"0",B74:B540,"1 2 3 4 1 12 31111 6 M59 00002 000001*")-SUMIFS(E74:E540,K74:K540,"0",B74:B540,"1 2 3 4 1 12 31111 6 M59 00002 000001*")</f>
        <v>5814454.04</v>
      </c>
      <c r="E73" s="54"/>
      <c r="F73" s="83">
        <f>SUMIFS(F74:F540,K74:K540,"0",B74:B540,"1 2 3 4 1 12 31111 6 M59 00002 000001*")</f>
        <v>0</v>
      </c>
      <c r="G73" s="83">
        <f>SUMIFS(G74:G540,K74:K540,"0",B74:B540,"1 2 3 4 1 12 31111 6 M59 00002 000001*")</f>
        <v>0</v>
      </c>
      <c r="H73" s="83">
        <f t="shared" si="0"/>
        <v>5814454.04</v>
      </c>
      <c r="I73" s="83"/>
      <c r="K73" s="54" t="s">
        <v>15</v>
      </c>
    </row>
    <row r="74" spans="2:11" ht="16.5" x14ac:dyDescent="0.2">
      <c r="B74" s="84" t="s">
        <v>623</v>
      </c>
      <c r="C74" s="84" t="s">
        <v>274</v>
      </c>
      <c r="D74" s="85">
        <v>5814454.04</v>
      </c>
      <c r="E74" s="85"/>
      <c r="F74" s="85">
        <v>0</v>
      </c>
      <c r="G74" s="85">
        <v>0</v>
      </c>
      <c r="H74" s="85">
        <f t="shared" si="0"/>
        <v>5814454.04</v>
      </c>
      <c r="I74" s="85"/>
      <c r="K74" s="54" t="s">
        <v>38</v>
      </c>
    </row>
    <row r="75" spans="2:11" ht="33" x14ac:dyDescent="0.2">
      <c r="B75" s="82" t="s">
        <v>627</v>
      </c>
      <c r="C75" s="82" t="s">
        <v>628</v>
      </c>
      <c r="D75" s="83">
        <f>SUMIFS(D76:D540,K76:K540,"0",B76:B540,"1 2 3 4 6*")-SUMIFS(E76:E540,K76:K540,"0",B76:B540,"1 2 3 4 6*")</f>
        <v>35632642.340000004</v>
      </c>
      <c r="E75" s="54"/>
      <c r="F75" s="83">
        <f>SUMIFS(F76:F540,K76:K540,"0",B76:B540,"1 2 3 4 6*")</f>
        <v>0</v>
      </c>
      <c r="G75" s="83">
        <f>SUMIFS(G76:G540,K76:K540,"0",B76:B540,"1 2 3 4 6*")</f>
        <v>0</v>
      </c>
      <c r="H75" s="83">
        <f t="shared" si="0"/>
        <v>35632642.340000004</v>
      </c>
      <c r="I75" s="83"/>
      <c r="K75" s="54" t="s">
        <v>15</v>
      </c>
    </row>
    <row r="76" spans="2:11" ht="12.75" x14ac:dyDescent="0.2">
      <c r="B76" s="82" t="s">
        <v>629</v>
      </c>
      <c r="C76" s="82" t="s">
        <v>26</v>
      </c>
      <c r="D76" s="83">
        <f>SUMIFS(D77:D540,K77:K540,"0",B77:B540,"1 2 3 4 6 12*")-SUMIFS(E77:E540,K77:K540,"0",B77:B540,"1 2 3 4 6 12*")</f>
        <v>35632642.340000004</v>
      </c>
      <c r="E76" s="54"/>
      <c r="F76" s="83">
        <f>SUMIFS(F77:F540,K77:K540,"0",B77:B540,"1 2 3 4 6 12*")</f>
        <v>0</v>
      </c>
      <c r="G76" s="83">
        <f>SUMIFS(G77:G540,K77:K540,"0",B77:B540,"1 2 3 4 6 12*")</f>
        <v>0</v>
      </c>
      <c r="H76" s="83">
        <f t="shared" ref="H76:H139" si="1">D76 + F76 - G76</f>
        <v>35632642.340000004</v>
      </c>
      <c r="I76" s="83"/>
      <c r="K76" s="54" t="s">
        <v>15</v>
      </c>
    </row>
    <row r="77" spans="2:11" ht="16.5" x14ac:dyDescent="0.2">
      <c r="B77" s="82" t="s">
        <v>630</v>
      </c>
      <c r="C77" s="82" t="s">
        <v>28</v>
      </c>
      <c r="D77" s="83">
        <f>SUMIFS(D78:D540,K78:K540,"0",B78:B540,"1 2 3 4 6 12 31111*")-SUMIFS(E78:E540,K78:K540,"0",B78:B540,"1 2 3 4 6 12 31111*")</f>
        <v>35632642.340000004</v>
      </c>
      <c r="E77" s="54"/>
      <c r="F77" s="83">
        <f>SUMIFS(F78:F540,K78:K540,"0",B78:B540,"1 2 3 4 6 12 31111*")</f>
        <v>0</v>
      </c>
      <c r="G77" s="83">
        <f>SUMIFS(G78:G540,K78:K540,"0",B78:B540,"1 2 3 4 6 12 31111*")</f>
        <v>0</v>
      </c>
      <c r="H77" s="83">
        <f t="shared" si="1"/>
        <v>35632642.340000004</v>
      </c>
      <c r="I77" s="83"/>
      <c r="K77" s="54" t="s">
        <v>15</v>
      </c>
    </row>
    <row r="78" spans="2:11" ht="12.75" x14ac:dyDescent="0.2">
      <c r="B78" s="82" t="s">
        <v>631</v>
      </c>
      <c r="C78" s="82" t="s">
        <v>30</v>
      </c>
      <c r="D78" s="83">
        <f>SUMIFS(D79:D540,K79:K540,"0",B79:B540,"1 2 3 4 6 12 31111 6*")-SUMIFS(E79:E540,K79:K540,"0",B79:B540,"1 2 3 4 6 12 31111 6*")</f>
        <v>35632642.340000004</v>
      </c>
      <c r="E78" s="54"/>
      <c r="F78" s="83">
        <f>SUMIFS(F79:F540,K79:K540,"0",B79:B540,"1 2 3 4 6 12 31111 6*")</f>
        <v>0</v>
      </c>
      <c r="G78" s="83">
        <f>SUMIFS(G79:G540,K79:K540,"0",B79:B540,"1 2 3 4 6 12 31111 6*")</f>
        <v>0</v>
      </c>
      <c r="H78" s="83">
        <f t="shared" si="1"/>
        <v>35632642.340000004</v>
      </c>
      <c r="I78" s="83"/>
      <c r="K78" s="54" t="s">
        <v>15</v>
      </c>
    </row>
    <row r="79" spans="2:11" ht="16.5" x14ac:dyDescent="0.2">
      <c r="B79" s="82" t="s">
        <v>632</v>
      </c>
      <c r="C79" s="82" t="s">
        <v>140</v>
      </c>
      <c r="D79" s="83">
        <f>SUMIFS(D80:D540,K80:K540,"0",B80:B540,"1 2 3 4 6 12 31111 6 M59*")-SUMIFS(E80:E540,K80:K540,"0",B80:B540,"1 2 3 4 6 12 31111 6 M59*")</f>
        <v>35632642.340000004</v>
      </c>
      <c r="E79" s="54"/>
      <c r="F79" s="83">
        <f>SUMIFS(F80:F540,K80:K540,"0",B80:B540,"1 2 3 4 6 12 31111 6 M59*")</f>
        <v>0</v>
      </c>
      <c r="G79" s="83">
        <f>SUMIFS(G80:G540,K80:K540,"0",B80:B540,"1 2 3 4 6 12 31111 6 M59*")</f>
        <v>0</v>
      </c>
      <c r="H79" s="83">
        <f t="shared" si="1"/>
        <v>35632642.340000004</v>
      </c>
      <c r="I79" s="83"/>
      <c r="K79" s="54" t="s">
        <v>15</v>
      </c>
    </row>
    <row r="80" spans="2:11" ht="24.75" x14ac:dyDescent="0.2">
      <c r="B80" s="82" t="s">
        <v>634</v>
      </c>
      <c r="C80" s="82" t="s">
        <v>986</v>
      </c>
      <c r="D80" s="83">
        <f>SUMIFS(D81:D540,K81:K540,"0",B81:B540,"1 2 3 4 6 12 31111 6 M59 00002*")-SUMIFS(E81:E540,K81:K540,"0",B81:B540,"1 2 3 4 6 12 31111 6 M59 00002*")</f>
        <v>35632642.340000004</v>
      </c>
      <c r="E80" s="54"/>
      <c r="F80" s="83">
        <f>SUMIFS(F81:F540,K81:K540,"0",B81:B540,"1 2 3 4 6 12 31111 6 M59 00002*")</f>
        <v>0</v>
      </c>
      <c r="G80" s="83">
        <f>SUMIFS(G81:G540,K81:K540,"0",B81:B540,"1 2 3 4 6 12 31111 6 M59 00002*")</f>
        <v>0</v>
      </c>
      <c r="H80" s="83">
        <f t="shared" si="1"/>
        <v>35632642.340000004</v>
      </c>
      <c r="I80" s="83"/>
      <c r="K80" s="54" t="s">
        <v>15</v>
      </c>
    </row>
    <row r="81" spans="2:11" ht="16.5" x14ac:dyDescent="0.2">
      <c r="B81" s="82" t="s">
        <v>635</v>
      </c>
      <c r="C81" s="82" t="s">
        <v>42</v>
      </c>
      <c r="D81" s="83">
        <f>SUMIFS(D82:D540,K82:K540,"0",B82:B540,"1 2 3 4 6 12 31111 6 M59 00002 000001*")-SUMIFS(E82:E540,K82:K540,"0",B82:B540,"1 2 3 4 6 12 31111 6 M59 00002 000001*")</f>
        <v>35632642.340000004</v>
      </c>
      <c r="E81" s="54"/>
      <c r="F81" s="83">
        <f>SUMIFS(F82:F540,K82:K540,"0",B82:B540,"1 2 3 4 6 12 31111 6 M59 00002 000001*")</f>
        <v>0</v>
      </c>
      <c r="G81" s="83">
        <f>SUMIFS(G82:G540,K82:K540,"0",B82:B540,"1 2 3 4 6 12 31111 6 M59 00002 000001*")</f>
        <v>0</v>
      </c>
      <c r="H81" s="83">
        <f t="shared" si="1"/>
        <v>35632642.340000004</v>
      </c>
      <c r="I81" s="83"/>
      <c r="K81" s="54" t="s">
        <v>15</v>
      </c>
    </row>
    <row r="82" spans="2:11" ht="16.5" x14ac:dyDescent="0.2">
      <c r="B82" s="84" t="s">
        <v>636</v>
      </c>
      <c r="C82" s="84" t="s">
        <v>274</v>
      </c>
      <c r="D82" s="85">
        <v>35632642.340000004</v>
      </c>
      <c r="E82" s="85"/>
      <c r="F82" s="85">
        <v>0</v>
      </c>
      <c r="G82" s="85">
        <v>0</v>
      </c>
      <c r="H82" s="85">
        <f t="shared" si="1"/>
        <v>35632642.340000004</v>
      </c>
      <c r="I82" s="85"/>
      <c r="K82" s="54" t="s">
        <v>38</v>
      </c>
    </row>
    <row r="83" spans="2:11" ht="24.75" x14ac:dyDescent="0.2">
      <c r="B83" s="82" t="s">
        <v>637</v>
      </c>
      <c r="C83" s="82" t="s">
        <v>638</v>
      </c>
      <c r="D83" s="83">
        <f>SUMIFS(D84:D540,K84:K540,"0",B84:B540,"1 2 3 5*")-SUMIFS(E84:E540,K84:K540,"0",B84:B540,"1 2 3 5*")</f>
        <v>0</v>
      </c>
      <c r="E83" s="54"/>
      <c r="F83" s="83">
        <f>SUMIFS(F84:F540,K84:K540,"0",B84:B540,"1 2 3 5*")</f>
        <v>106310770.99999996</v>
      </c>
      <c r="G83" s="83">
        <f>SUMIFS(G84:G540,K84:K540,"0",B84:B540,"1 2 3 5*")</f>
        <v>21262154.199999996</v>
      </c>
      <c r="H83" s="83">
        <f t="shared" si="1"/>
        <v>85048616.799999952</v>
      </c>
      <c r="I83" s="83"/>
      <c r="K83" s="54" t="s">
        <v>15</v>
      </c>
    </row>
    <row r="84" spans="2:11" ht="16.5" x14ac:dyDescent="0.2">
      <c r="B84" s="82" t="s">
        <v>639</v>
      </c>
      <c r="C84" s="82" t="s">
        <v>640</v>
      </c>
      <c r="D84" s="83">
        <f>SUMIFS(D85:D540,K85:K540,"0",B85:B540,"1 2 3 5 2*")-SUMIFS(E85:E540,K85:K540,"0",B85:B540,"1 2 3 5 2*")</f>
        <v>0</v>
      </c>
      <c r="E84" s="54"/>
      <c r="F84" s="83">
        <f>SUMIFS(F85:F540,K85:K540,"0",B85:B540,"1 2 3 5 2*")</f>
        <v>6536008.7000000002</v>
      </c>
      <c r="G84" s="83">
        <f>SUMIFS(G85:G540,K85:K540,"0",B85:B540,"1 2 3 5 2*")</f>
        <v>0</v>
      </c>
      <c r="H84" s="83">
        <f t="shared" si="1"/>
        <v>6536008.7000000002</v>
      </c>
      <c r="I84" s="83"/>
      <c r="K84" s="54" t="s">
        <v>15</v>
      </c>
    </row>
    <row r="85" spans="2:11" ht="12.75" x14ac:dyDescent="0.2">
      <c r="B85" s="82" t="s">
        <v>641</v>
      </c>
      <c r="C85" s="82" t="s">
        <v>26</v>
      </c>
      <c r="D85" s="83">
        <f>SUMIFS(D86:D540,K86:K540,"0",B86:B540,"1 2 3 5 2 12*")-SUMIFS(E86:E540,K86:K540,"0",B86:B540,"1 2 3 5 2 12*")</f>
        <v>0</v>
      </c>
      <c r="E85" s="54"/>
      <c r="F85" s="83">
        <f>SUMIFS(F86:F540,K86:K540,"0",B86:B540,"1 2 3 5 2 12*")</f>
        <v>6536008.7000000002</v>
      </c>
      <c r="G85" s="83">
        <f>SUMIFS(G86:G540,K86:K540,"0",B86:B540,"1 2 3 5 2 12*")</f>
        <v>0</v>
      </c>
      <c r="H85" s="83">
        <f t="shared" si="1"/>
        <v>6536008.7000000002</v>
      </c>
      <c r="I85" s="83"/>
      <c r="K85" s="54" t="s">
        <v>15</v>
      </c>
    </row>
    <row r="86" spans="2:11" ht="16.5" x14ac:dyDescent="0.2">
      <c r="B86" s="82" t="s">
        <v>642</v>
      </c>
      <c r="C86" s="82" t="s">
        <v>28</v>
      </c>
      <c r="D86" s="83">
        <f>SUMIFS(D87:D540,K87:K540,"0",B87:B540,"1 2 3 5 2 12 31111*")-SUMIFS(E87:E540,K87:K540,"0",B87:B540,"1 2 3 5 2 12 31111*")</f>
        <v>0</v>
      </c>
      <c r="E86" s="54"/>
      <c r="F86" s="83">
        <f>SUMIFS(F87:F540,K87:K540,"0",B87:B540,"1 2 3 5 2 12 31111*")</f>
        <v>6536008.7000000002</v>
      </c>
      <c r="G86" s="83">
        <f>SUMIFS(G87:G540,K87:K540,"0",B87:B540,"1 2 3 5 2 12 31111*")</f>
        <v>0</v>
      </c>
      <c r="H86" s="83">
        <f t="shared" si="1"/>
        <v>6536008.7000000002</v>
      </c>
      <c r="I86" s="83"/>
      <c r="K86" s="54" t="s">
        <v>15</v>
      </c>
    </row>
    <row r="87" spans="2:11" ht="12.75" x14ac:dyDescent="0.2">
      <c r="B87" s="82" t="s">
        <v>643</v>
      </c>
      <c r="C87" s="82" t="s">
        <v>30</v>
      </c>
      <c r="D87" s="83">
        <f>SUMIFS(D88:D540,K88:K540,"0",B88:B540,"1 2 3 5 2 12 31111 6*")-SUMIFS(E88:E540,K88:K540,"0",B88:B540,"1 2 3 5 2 12 31111 6*")</f>
        <v>0</v>
      </c>
      <c r="E87" s="54"/>
      <c r="F87" s="83">
        <f>SUMIFS(F88:F540,K88:K540,"0",B88:B540,"1 2 3 5 2 12 31111 6*")</f>
        <v>6536008.7000000002</v>
      </c>
      <c r="G87" s="83">
        <f>SUMIFS(G88:G540,K88:K540,"0",B88:B540,"1 2 3 5 2 12 31111 6*")</f>
        <v>0</v>
      </c>
      <c r="H87" s="83">
        <f t="shared" si="1"/>
        <v>6536008.7000000002</v>
      </c>
      <c r="I87" s="83"/>
      <c r="K87" s="54" t="s">
        <v>15</v>
      </c>
    </row>
    <row r="88" spans="2:11" ht="16.5" x14ac:dyDescent="0.2">
      <c r="B88" s="82" t="s">
        <v>644</v>
      </c>
      <c r="C88" s="82" t="s">
        <v>32</v>
      </c>
      <c r="D88" s="83">
        <f>SUMIFS(D89:D540,K89:K540,"0",B89:B540,"1 2 3 5 2 12 31111 6 M59*")-SUMIFS(E89:E540,K89:K540,"0",B89:B540,"1 2 3 5 2 12 31111 6 M59*")</f>
        <v>0</v>
      </c>
      <c r="E88" s="54"/>
      <c r="F88" s="83">
        <f>SUMIFS(F89:F540,K89:K540,"0",B89:B540,"1 2 3 5 2 12 31111 6 M59*")</f>
        <v>6536008.7000000002</v>
      </c>
      <c r="G88" s="83">
        <f>SUMIFS(G89:G540,K89:K540,"0",B89:B540,"1 2 3 5 2 12 31111 6 M59*")</f>
        <v>0</v>
      </c>
      <c r="H88" s="83">
        <f t="shared" si="1"/>
        <v>6536008.7000000002</v>
      </c>
      <c r="I88" s="83"/>
      <c r="K88" s="54" t="s">
        <v>15</v>
      </c>
    </row>
    <row r="89" spans="2:11" ht="16.5" x14ac:dyDescent="0.2">
      <c r="B89" s="82" t="s">
        <v>645</v>
      </c>
      <c r="C89" s="82" t="s">
        <v>646</v>
      </c>
      <c r="D89" s="83">
        <f>SUMIFS(D90:D540,K90:K540,"0",B90:B540,"1 2 3 5 2 12 31111 6 M59 30100*")-SUMIFS(E90:E540,K90:K540,"0",B90:B540,"1 2 3 5 2 12 31111 6 M59 30100*")</f>
        <v>0</v>
      </c>
      <c r="E89" s="54"/>
      <c r="F89" s="83">
        <f>SUMIFS(F90:F540,K90:K540,"0",B90:B540,"1 2 3 5 2 12 31111 6 M59 30100*")</f>
        <v>6536008.7000000002</v>
      </c>
      <c r="G89" s="83">
        <f>SUMIFS(G90:G540,K90:K540,"0",B90:B540,"1 2 3 5 2 12 31111 6 M59 30100*")</f>
        <v>0</v>
      </c>
      <c r="H89" s="83">
        <f t="shared" si="1"/>
        <v>6536008.7000000002</v>
      </c>
      <c r="I89" s="83"/>
      <c r="K89" s="54" t="s">
        <v>15</v>
      </c>
    </row>
    <row r="90" spans="2:11" ht="16.5" x14ac:dyDescent="0.2">
      <c r="B90" s="82" t="s">
        <v>647</v>
      </c>
      <c r="C90" s="82" t="s">
        <v>648</v>
      </c>
      <c r="D90" s="83">
        <f>SUMIFS(D91:D540,K91:K540,"0",B91:B540,"1 2 3 5 2 12 31111 6 M59 30100 000132*")-SUMIFS(E91:E540,K91:K540,"0",B91:B540,"1 2 3 5 2 12 31111 6 M59 30100 000132*")</f>
        <v>0</v>
      </c>
      <c r="E90" s="54"/>
      <c r="F90" s="83">
        <f>SUMIFS(F91:F540,K91:K540,"0",B91:B540,"1 2 3 5 2 12 31111 6 M59 30100 000132*")</f>
        <v>6536008.7000000002</v>
      </c>
      <c r="G90" s="83">
        <f>SUMIFS(G91:G540,K91:K540,"0",B91:B540,"1 2 3 5 2 12 31111 6 M59 30100 000132*")</f>
        <v>0</v>
      </c>
      <c r="H90" s="83">
        <f t="shared" si="1"/>
        <v>6536008.7000000002</v>
      </c>
      <c r="I90" s="83"/>
      <c r="K90" s="54" t="s">
        <v>15</v>
      </c>
    </row>
    <row r="91" spans="2:11" ht="24.75" x14ac:dyDescent="0.2">
      <c r="B91" s="82" t="s">
        <v>649</v>
      </c>
      <c r="C91" s="82" t="s">
        <v>650</v>
      </c>
      <c r="D91" s="83">
        <f>SUMIFS(D92:D540,K92:K540,"0",B92:B540,"1 2 3 5 2 12 31111 6 M59 30100 000132 0000R*")-SUMIFS(E92:E540,K92:K540,"0",B92:B540,"1 2 3 5 2 12 31111 6 M59 30100 000132 0000R*")</f>
        <v>0</v>
      </c>
      <c r="E91" s="54"/>
      <c r="F91" s="83">
        <f>SUMIFS(F92:F540,K92:K540,"0",B92:B540,"1 2 3 5 2 12 31111 6 M59 30100 000132 0000R*")</f>
        <v>6536008.7000000002</v>
      </c>
      <c r="G91" s="83">
        <f>SUMIFS(G92:G540,K92:K540,"0",B92:B540,"1 2 3 5 2 12 31111 6 M59 30100 000132 0000R*")</f>
        <v>0</v>
      </c>
      <c r="H91" s="83">
        <f t="shared" si="1"/>
        <v>6536008.7000000002</v>
      </c>
      <c r="I91" s="83"/>
      <c r="K91" s="54" t="s">
        <v>15</v>
      </c>
    </row>
    <row r="92" spans="2:11" ht="24.75" x14ac:dyDescent="0.2">
      <c r="B92" s="82" t="s">
        <v>651</v>
      </c>
      <c r="C92" s="82" t="s">
        <v>652</v>
      </c>
      <c r="D92" s="83">
        <f>SUMIFS(D93:D540,K93:K540,"0",B93:B540,"1 2 3 5 2 12 31111 6 M59 30100 000132 0000R 00002*")-SUMIFS(E93:E540,K93:K540,"0",B93:B540,"1 2 3 5 2 12 31111 6 M59 30100 000132 0000R 00002*")</f>
        <v>0</v>
      </c>
      <c r="E92" s="54"/>
      <c r="F92" s="83">
        <f>SUMIFS(F93:F540,K93:K540,"0",B93:B540,"1 2 3 5 2 12 31111 6 M59 30100 000132 0000R 00002*")</f>
        <v>6536008.7000000002</v>
      </c>
      <c r="G92" s="83">
        <f>SUMIFS(G93:G540,K93:K540,"0",B93:B540,"1 2 3 5 2 12 31111 6 M59 30100 000132 0000R 00002*")</f>
        <v>0</v>
      </c>
      <c r="H92" s="83">
        <f t="shared" si="1"/>
        <v>6536008.7000000002</v>
      </c>
      <c r="I92" s="83"/>
      <c r="K92" s="54" t="s">
        <v>15</v>
      </c>
    </row>
    <row r="93" spans="2:11" ht="24.75" x14ac:dyDescent="0.2">
      <c r="B93" s="82" t="s">
        <v>653</v>
      </c>
      <c r="C93" s="82" t="s">
        <v>654</v>
      </c>
      <c r="D93" s="83">
        <f>SUMIFS(D94:D540,K94:K540,"0",B94:B540,"1 2 3 5 2 12 31111 6 M59 30100 000132 0000R 00002 00612*")-SUMIFS(E94:E540,K94:K540,"0",B94:B540,"1 2 3 5 2 12 31111 6 M59 30100 000132 0000R 00002 00612*")</f>
        <v>0</v>
      </c>
      <c r="E93" s="54"/>
      <c r="F93" s="83">
        <f>SUMIFS(F94:F540,K94:K540,"0",B94:B540,"1 2 3 5 2 12 31111 6 M59 30100 000132 0000R 00002 00612*")</f>
        <v>6536008.7000000002</v>
      </c>
      <c r="G93" s="83">
        <f>SUMIFS(G94:G540,K94:K540,"0",B94:B540,"1 2 3 5 2 12 31111 6 M59 30100 000132 0000R 00002 00612*")</f>
        <v>0</v>
      </c>
      <c r="H93" s="83">
        <f t="shared" si="1"/>
        <v>6536008.7000000002</v>
      </c>
      <c r="I93" s="83"/>
      <c r="K93" s="54" t="s">
        <v>15</v>
      </c>
    </row>
    <row r="94" spans="2:11" ht="33" x14ac:dyDescent="0.2">
      <c r="B94" s="82" t="s">
        <v>655</v>
      </c>
      <c r="C94" s="82" t="s">
        <v>656</v>
      </c>
      <c r="D94" s="83">
        <f>SUMIFS(D95:D540,K95:K540,"0",B95:B540,"1 2 3 5 2 12 31111 6 M59 30100 000132 0000R 00002 00612 025*")-SUMIFS(E95:E540,K95:K540,"0",B95:B540,"1 2 3 5 2 12 31111 6 M59 30100 000132 0000R 00002 00612 025*")</f>
        <v>0</v>
      </c>
      <c r="E94" s="54"/>
      <c r="F94" s="83">
        <f>SUMIFS(F95:F540,K95:K540,"0",B95:B540,"1 2 3 5 2 12 31111 6 M59 30100 000132 0000R 00002 00612 025*")</f>
        <v>6536008.7000000002</v>
      </c>
      <c r="G94" s="83">
        <f>SUMIFS(G95:G540,K95:K540,"0",B95:B540,"1 2 3 5 2 12 31111 6 M59 30100 000132 0000R 00002 00612 025*")</f>
        <v>0</v>
      </c>
      <c r="H94" s="83">
        <f t="shared" si="1"/>
        <v>6536008.7000000002</v>
      </c>
      <c r="I94" s="83"/>
      <c r="K94" s="54" t="s">
        <v>15</v>
      </c>
    </row>
    <row r="95" spans="2:11" ht="33" x14ac:dyDescent="0.2">
      <c r="B95" s="82" t="s">
        <v>657</v>
      </c>
      <c r="C95" s="82" t="s">
        <v>658</v>
      </c>
      <c r="D95" s="83">
        <f>SUMIFS(D96:D540,K96:K540,"0",B96:B540,"1 2 3 5 2 12 31111 6 M59 30100 000132 0000R 00002 00612 025 2210000*")-SUMIFS(E96:E540,K96:K540,"0",B96:B540,"1 2 3 5 2 12 31111 6 M59 30100 000132 0000R 00002 00612 025 2210000*")</f>
        <v>0</v>
      </c>
      <c r="E95" s="54"/>
      <c r="F95" s="83">
        <f>SUMIFS(F96:F540,K96:K540,"0",B96:B540,"1 2 3 5 2 12 31111 6 M59 30100 000132 0000R 00002 00612 025 2210000*")</f>
        <v>6536008.7000000002</v>
      </c>
      <c r="G95" s="83">
        <f>SUMIFS(G96:G540,K96:K540,"0",B96:B540,"1 2 3 5 2 12 31111 6 M59 30100 000132 0000R 00002 00612 025 2210000*")</f>
        <v>0</v>
      </c>
      <c r="H95" s="83">
        <f t="shared" si="1"/>
        <v>6536008.7000000002</v>
      </c>
      <c r="I95" s="83"/>
      <c r="K95" s="54" t="s">
        <v>15</v>
      </c>
    </row>
    <row r="96" spans="2:11" ht="33" x14ac:dyDescent="0.2">
      <c r="B96" s="82" t="s">
        <v>659</v>
      </c>
      <c r="C96" s="82" t="s">
        <v>660</v>
      </c>
      <c r="D96" s="83">
        <f>SUMIFS(D97:D540,K97:K540,"0",B97:B540,"1 2 3 5 2 12 31111 6 M59 30100 000132 0000R 00002 00612 025 2210000 2024*")-SUMIFS(E97:E540,K97:K540,"0",B97:B540,"1 2 3 5 2 12 31111 6 M59 30100 000132 0000R 00002 00612 025 2210000 2024*")</f>
        <v>0</v>
      </c>
      <c r="E96" s="54"/>
      <c r="F96" s="83">
        <f>SUMIFS(F97:F540,K97:K540,"0",B97:B540,"1 2 3 5 2 12 31111 6 M59 30100 000132 0000R 00002 00612 025 2210000 2024*")</f>
        <v>6536008.7000000002</v>
      </c>
      <c r="G96" s="83">
        <f>SUMIFS(G97:G540,K97:K540,"0",B97:B540,"1 2 3 5 2 12 31111 6 M59 30100 000132 0000R 00002 00612 025 2210000 2024*")</f>
        <v>0</v>
      </c>
      <c r="H96" s="83">
        <f t="shared" si="1"/>
        <v>6536008.7000000002</v>
      </c>
      <c r="I96" s="83"/>
      <c r="K96" s="54" t="s">
        <v>15</v>
      </c>
    </row>
    <row r="97" spans="2:11" ht="41.25" x14ac:dyDescent="0.2">
      <c r="B97" s="82" t="s">
        <v>669</v>
      </c>
      <c r="C97" s="82" t="s">
        <v>662</v>
      </c>
      <c r="D97" s="83">
        <f>SUMIFS(D98:D540,K98:K540,"0",B98:B540,"1 2 3 5 2 12 31111 6 M59 30100 000132 0000R 00002 00612 025 2210000 2024 CP2OP405*")-SUMIFS(E98:E540,K98:K540,"0",B98:B540,"1 2 3 5 2 12 31111 6 M59 30100 000132 0000R 00002 00612 025 2210000 2024 CP2OP405*")</f>
        <v>0</v>
      </c>
      <c r="E97" s="54"/>
      <c r="F97" s="83">
        <f>SUMIFS(F98:F540,K98:K540,"0",B98:B540,"1 2 3 5 2 12 31111 6 M59 30100 000132 0000R 00002 00612 025 2210000 2024 CP2OP405*")</f>
        <v>6536008.7000000002</v>
      </c>
      <c r="G97" s="83">
        <f>SUMIFS(G98:G540,K98:K540,"0",B98:B540,"1 2 3 5 2 12 31111 6 M59 30100 000132 0000R 00002 00612 025 2210000 2024 CP2OP405*")</f>
        <v>0</v>
      </c>
      <c r="H97" s="83">
        <f t="shared" si="1"/>
        <v>6536008.7000000002</v>
      </c>
      <c r="I97" s="83"/>
      <c r="K97" s="54" t="s">
        <v>15</v>
      </c>
    </row>
    <row r="98" spans="2:11" ht="41.25" x14ac:dyDescent="0.2">
      <c r="B98" s="82" t="s">
        <v>670</v>
      </c>
      <c r="C98" s="82" t="s">
        <v>671</v>
      </c>
      <c r="D98" s="83">
        <f>SUMIFS(D99:D540,K99:K540,"0",B99:B540,"1 2 3 5 2 12 31111 6 M59 30100 000132 0000R 00002 00612 025 2210000 2024 CP2OP405 002*")-SUMIFS(E99:E540,K99:K540,"0",B99:B540,"1 2 3 5 2 12 31111 6 M59 30100 000132 0000R 00002 00612 025 2210000 2024 CP2OP405 002*")</f>
        <v>0</v>
      </c>
      <c r="E98" s="54"/>
      <c r="F98" s="83">
        <f>SUMIFS(F99:F540,K99:K540,"0",B99:B540,"1 2 3 5 2 12 31111 6 M59 30100 000132 0000R 00002 00612 025 2210000 2024 CP2OP405 002*")</f>
        <v>6536008.7000000002</v>
      </c>
      <c r="G98" s="83">
        <f>SUMIFS(G99:G540,K99:K540,"0",B99:B540,"1 2 3 5 2 12 31111 6 M59 30100 000132 0000R 00002 00612 025 2210000 2024 CP2OP405 002*")</f>
        <v>0</v>
      </c>
      <c r="H98" s="83">
        <f t="shared" si="1"/>
        <v>6536008.7000000002</v>
      </c>
      <c r="I98" s="83"/>
      <c r="K98" s="54" t="s">
        <v>15</v>
      </c>
    </row>
    <row r="99" spans="2:11" ht="49.5" x14ac:dyDescent="0.2">
      <c r="B99" s="82" t="s">
        <v>672</v>
      </c>
      <c r="C99" s="82" t="s">
        <v>673</v>
      </c>
      <c r="D99" s="83">
        <f>SUMIFS(D100:D540,K100:K540,"0",B100:B540,"1 2 3 5 2 12 31111 6 M59 30100 000132 0000R 00002 00612 025 2210000 2024 CP2OP405 002 0000001*")-SUMIFS(E100:E540,K100:K540,"0",B100:B540,"1 2 3 5 2 12 31111 6 M59 30100 000132 0000R 00002 00612 025 2210000 2024 CP2OP405 002 0000001*")</f>
        <v>0</v>
      </c>
      <c r="E99" s="54"/>
      <c r="F99" s="83">
        <f>SUMIFS(F100:F540,K100:K540,"0",B100:B540,"1 2 3 5 2 12 31111 6 M59 30100 000132 0000R 00002 00612 025 2210000 2024 CP2OP405 002 0000001*")</f>
        <v>6536008.7000000002</v>
      </c>
      <c r="G99" s="83">
        <f>SUMIFS(G100:G540,K100:K540,"0",B100:B540,"1 2 3 5 2 12 31111 6 M59 30100 000132 0000R 00002 00612 025 2210000 2024 CP2OP405 002 0000001*")</f>
        <v>0</v>
      </c>
      <c r="H99" s="83">
        <f t="shared" si="1"/>
        <v>6536008.7000000002</v>
      </c>
      <c r="I99" s="83"/>
      <c r="K99" s="54" t="s">
        <v>15</v>
      </c>
    </row>
    <row r="100" spans="2:11" ht="41.25" x14ac:dyDescent="0.2">
      <c r="B100" s="84" t="s">
        <v>674</v>
      </c>
      <c r="C100" s="84" t="s">
        <v>675</v>
      </c>
      <c r="D100" s="85">
        <v>0</v>
      </c>
      <c r="E100" s="85"/>
      <c r="F100" s="85">
        <v>389285.1</v>
      </c>
      <c r="G100" s="85">
        <v>0</v>
      </c>
      <c r="H100" s="85">
        <f t="shared" si="1"/>
        <v>389285.1</v>
      </c>
      <c r="I100" s="85"/>
      <c r="K100" s="54" t="s">
        <v>38</v>
      </c>
    </row>
    <row r="101" spans="2:11" ht="41.25" x14ac:dyDescent="0.2">
      <c r="B101" s="84" t="s">
        <v>676</v>
      </c>
      <c r="C101" s="84" t="s">
        <v>677</v>
      </c>
      <c r="D101" s="85">
        <v>0</v>
      </c>
      <c r="E101" s="85"/>
      <c r="F101" s="85">
        <v>1680000</v>
      </c>
      <c r="G101" s="85">
        <v>0</v>
      </c>
      <c r="H101" s="85">
        <f t="shared" si="1"/>
        <v>1680000</v>
      </c>
      <c r="I101" s="85"/>
      <c r="K101" s="54" t="s">
        <v>38</v>
      </c>
    </row>
    <row r="102" spans="2:11" ht="41.25" x14ac:dyDescent="0.2">
      <c r="B102" s="84" t="s">
        <v>678</v>
      </c>
      <c r="C102" s="84" t="s">
        <v>679</v>
      </c>
      <c r="D102" s="85">
        <v>0</v>
      </c>
      <c r="E102" s="85"/>
      <c r="F102" s="85">
        <v>887922</v>
      </c>
      <c r="G102" s="85">
        <v>0</v>
      </c>
      <c r="H102" s="85">
        <f t="shared" si="1"/>
        <v>887922</v>
      </c>
      <c r="I102" s="85"/>
      <c r="K102" s="54" t="s">
        <v>38</v>
      </c>
    </row>
    <row r="103" spans="2:11" ht="41.25" x14ac:dyDescent="0.2">
      <c r="B103" s="84" t="s">
        <v>680</v>
      </c>
      <c r="C103" s="84" t="s">
        <v>681</v>
      </c>
      <c r="D103" s="85">
        <v>0</v>
      </c>
      <c r="E103" s="85"/>
      <c r="F103" s="85">
        <v>1280358.31</v>
      </c>
      <c r="G103" s="85">
        <v>0</v>
      </c>
      <c r="H103" s="85">
        <f t="shared" si="1"/>
        <v>1280358.31</v>
      </c>
      <c r="I103" s="85"/>
      <c r="K103" s="54" t="s">
        <v>38</v>
      </c>
    </row>
    <row r="104" spans="2:11" ht="41.25" x14ac:dyDescent="0.2">
      <c r="B104" s="84" t="s">
        <v>682</v>
      </c>
      <c r="C104" s="84" t="s">
        <v>683</v>
      </c>
      <c r="D104" s="85">
        <v>0</v>
      </c>
      <c r="E104" s="85"/>
      <c r="F104" s="85">
        <v>650000</v>
      </c>
      <c r="G104" s="85">
        <v>0</v>
      </c>
      <c r="H104" s="85">
        <f t="shared" si="1"/>
        <v>650000</v>
      </c>
      <c r="I104" s="85"/>
      <c r="K104" s="54" t="s">
        <v>38</v>
      </c>
    </row>
    <row r="105" spans="2:11" ht="41.25" x14ac:dyDescent="0.2">
      <c r="B105" s="84" t="s">
        <v>684</v>
      </c>
      <c r="C105" s="84" t="s">
        <v>685</v>
      </c>
      <c r="D105" s="85">
        <v>0</v>
      </c>
      <c r="E105" s="85"/>
      <c r="F105" s="85">
        <v>1648443.29</v>
      </c>
      <c r="G105" s="85">
        <v>0</v>
      </c>
      <c r="H105" s="85">
        <f t="shared" si="1"/>
        <v>1648443.29</v>
      </c>
      <c r="I105" s="85"/>
      <c r="K105" s="54" t="s">
        <v>38</v>
      </c>
    </row>
    <row r="106" spans="2:11" ht="49.5" x14ac:dyDescent="0.2">
      <c r="B106" s="82" t="s">
        <v>686</v>
      </c>
      <c r="C106" s="82" t="s">
        <v>687</v>
      </c>
      <c r="D106" s="83">
        <f>SUMIFS(D107:D540,K107:K540,"0",B107:B540,"1 2 3 5 3*")-SUMIFS(E107:E540,K107:K540,"0",B107:B540,"1 2 3 5 3*")</f>
        <v>0</v>
      </c>
      <c r="E106" s="54"/>
      <c r="F106" s="83">
        <f>SUMIFS(F107:F540,K107:K540,"0",B107:B540,"1 2 3 5 3*")</f>
        <v>26190682.219999995</v>
      </c>
      <c r="G106" s="83">
        <f>SUMIFS(G107:G540,K107:K540,"0",B107:B540,"1 2 3 5 3*")</f>
        <v>0</v>
      </c>
      <c r="H106" s="83">
        <f t="shared" si="1"/>
        <v>26190682.219999995</v>
      </c>
      <c r="I106" s="83"/>
      <c r="K106" s="54" t="s">
        <v>15</v>
      </c>
    </row>
    <row r="107" spans="2:11" ht="12.75" x14ac:dyDescent="0.2">
      <c r="B107" s="82" t="s">
        <v>688</v>
      </c>
      <c r="C107" s="82" t="s">
        <v>26</v>
      </c>
      <c r="D107" s="83">
        <f>SUMIFS(D108:D540,K108:K540,"0",B108:B540,"1 2 3 5 3 12*")-SUMIFS(E108:E540,K108:K540,"0",B108:B540,"1 2 3 5 3 12*")</f>
        <v>0</v>
      </c>
      <c r="E107" s="54"/>
      <c r="F107" s="83">
        <f>SUMIFS(F108:F540,K108:K540,"0",B108:B540,"1 2 3 5 3 12*")</f>
        <v>26190682.219999995</v>
      </c>
      <c r="G107" s="83">
        <f>SUMIFS(G108:G540,K108:K540,"0",B108:B540,"1 2 3 5 3 12*")</f>
        <v>0</v>
      </c>
      <c r="H107" s="83">
        <f t="shared" si="1"/>
        <v>26190682.219999995</v>
      </c>
      <c r="I107" s="83"/>
      <c r="K107" s="54" t="s">
        <v>15</v>
      </c>
    </row>
    <row r="108" spans="2:11" ht="16.5" x14ac:dyDescent="0.2">
      <c r="B108" s="82" t="s">
        <v>689</v>
      </c>
      <c r="C108" s="82" t="s">
        <v>28</v>
      </c>
      <c r="D108" s="83">
        <f>SUMIFS(D109:D540,K109:K540,"0",B109:B540,"1 2 3 5 3 12 31111*")-SUMIFS(E109:E540,K109:K540,"0",B109:B540,"1 2 3 5 3 12 31111*")</f>
        <v>0</v>
      </c>
      <c r="E108" s="54"/>
      <c r="F108" s="83">
        <f>SUMIFS(F109:F540,K109:K540,"0",B109:B540,"1 2 3 5 3 12 31111*")</f>
        <v>26190682.219999995</v>
      </c>
      <c r="G108" s="83">
        <f>SUMIFS(G109:G540,K109:K540,"0",B109:B540,"1 2 3 5 3 12 31111*")</f>
        <v>0</v>
      </c>
      <c r="H108" s="83">
        <f t="shared" si="1"/>
        <v>26190682.219999995</v>
      </c>
      <c r="I108" s="83"/>
      <c r="K108" s="54" t="s">
        <v>15</v>
      </c>
    </row>
    <row r="109" spans="2:11" ht="12.75" x14ac:dyDescent="0.2">
      <c r="B109" s="82" t="s">
        <v>690</v>
      </c>
      <c r="C109" s="82" t="s">
        <v>30</v>
      </c>
      <c r="D109" s="83">
        <f>SUMIFS(D110:D540,K110:K540,"0",B110:B540,"1 2 3 5 3 12 31111 6*")-SUMIFS(E110:E540,K110:K540,"0",B110:B540,"1 2 3 5 3 12 31111 6*")</f>
        <v>0</v>
      </c>
      <c r="E109" s="54"/>
      <c r="F109" s="83">
        <f>SUMIFS(F110:F540,K110:K540,"0",B110:B540,"1 2 3 5 3 12 31111 6*")</f>
        <v>26190682.219999995</v>
      </c>
      <c r="G109" s="83">
        <f>SUMIFS(G110:G540,K110:K540,"0",B110:B540,"1 2 3 5 3 12 31111 6*")</f>
        <v>0</v>
      </c>
      <c r="H109" s="83">
        <f t="shared" si="1"/>
        <v>26190682.219999995</v>
      </c>
      <c r="I109" s="83"/>
      <c r="K109" s="54" t="s">
        <v>15</v>
      </c>
    </row>
    <row r="110" spans="2:11" ht="16.5" x14ac:dyDescent="0.2">
      <c r="B110" s="82" t="s">
        <v>691</v>
      </c>
      <c r="C110" s="82" t="s">
        <v>32</v>
      </c>
      <c r="D110" s="83">
        <f>SUMIFS(D111:D540,K111:K540,"0",B111:B540,"1 2 3 5 3 12 31111 6 M59*")-SUMIFS(E111:E540,K111:K540,"0",B111:B540,"1 2 3 5 3 12 31111 6 M59*")</f>
        <v>0</v>
      </c>
      <c r="E110" s="54"/>
      <c r="F110" s="83">
        <f>SUMIFS(F111:F540,K111:K540,"0",B111:B540,"1 2 3 5 3 12 31111 6 M59*")</f>
        <v>26190682.219999995</v>
      </c>
      <c r="G110" s="83">
        <f>SUMIFS(G111:G540,K111:K540,"0",B111:B540,"1 2 3 5 3 12 31111 6 M59*")</f>
        <v>0</v>
      </c>
      <c r="H110" s="83">
        <f t="shared" si="1"/>
        <v>26190682.219999995</v>
      </c>
      <c r="I110" s="83"/>
      <c r="K110" s="54" t="s">
        <v>15</v>
      </c>
    </row>
    <row r="111" spans="2:11" ht="16.5" x14ac:dyDescent="0.2">
      <c r="B111" s="82" t="s">
        <v>692</v>
      </c>
      <c r="C111" s="82" t="s">
        <v>646</v>
      </c>
      <c r="D111" s="83">
        <f>SUMIFS(D112:D540,K112:K540,"0",B112:B540,"1 2 3 5 3 12 31111 6 M59 30100*")-SUMIFS(E112:E540,K112:K540,"0",B112:B540,"1 2 3 5 3 12 31111 6 M59 30100*")</f>
        <v>0</v>
      </c>
      <c r="E111" s="54"/>
      <c r="F111" s="83">
        <f>SUMIFS(F112:F540,K112:K540,"0",B112:B540,"1 2 3 5 3 12 31111 6 M59 30100*")</f>
        <v>26190682.219999995</v>
      </c>
      <c r="G111" s="83">
        <f>SUMIFS(G112:G540,K112:K540,"0",B112:B540,"1 2 3 5 3 12 31111 6 M59 30100*")</f>
        <v>0</v>
      </c>
      <c r="H111" s="83">
        <f t="shared" si="1"/>
        <v>26190682.219999995</v>
      </c>
      <c r="I111" s="83"/>
      <c r="K111" s="54" t="s">
        <v>15</v>
      </c>
    </row>
    <row r="112" spans="2:11" ht="16.5" x14ac:dyDescent="0.2">
      <c r="B112" s="82" t="s">
        <v>693</v>
      </c>
      <c r="C112" s="82" t="s">
        <v>648</v>
      </c>
      <c r="D112" s="83">
        <f>SUMIFS(D113:D540,K113:K540,"0",B113:B540,"1 2 3 5 3 12 31111 6 M59 30100 000132*")-SUMIFS(E113:E540,K113:K540,"0",B113:B540,"1 2 3 5 3 12 31111 6 M59 30100 000132*")</f>
        <v>0</v>
      </c>
      <c r="E112" s="54"/>
      <c r="F112" s="83">
        <f>SUMIFS(F113:F540,K113:K540,"0",B113:B540,"1 2 3 5 3 12 31111 6 M59 30100 000132*")</f>
        <v>26190682.219999995</v>
      </c>
      <c r="G112" s="83">
        <f>SUMIFS(G113:G540,K113:K540,"0",B113:B540,"1 2 3 5 3 12 31111 6 M59 30100 000132*")</f>
        <v>0</v>
      </c>
      <c r="H112" s="83">
        <f t="shared" si="1"/>
        <v>26190682.219999995</v>
      </c>
      <c r="I112" s="83"/>
      <c r="K112" s="54" t="s">
        <v>15</v>
      </c>
    </row>
    <row r="113" spans="2:11" ht="24.75" x14ac:dyDescent="0.2">
      <c r="B113" s="82" t="s">
        <v>694</v>
      </c>
      <c r="C113" s="82" t="s">
        <v>650</v>
      </c>
      <c r="D113" s="83">
        <f>SUMIFS(D114:D540,K114:K540,"0",B114:B540,"1 2 3 5 3 12 31111 6 M59 30100 000132 0000R*")-SUMIFS(E114:E540,K114:K540,"0",B114:B540,"1 2 3 5 3 12 31111 6 M59 30100 000132 0000R*")</f>
        <v>0</v>
      </c>
      <c r="E113" s="54"/>
      <c r="F113" s="83">
        <f>SUMIFS(F114:F540,K114:K540,"0",B114:B540,"1 2 3 5 3 12 31111 6 M59 30100 000132 0000R*")</f>
        <v>26190682.219999995</v>
      </c>
      <c r="G113" s="83">
        <f>SUMIFS(G114:G540,K114:K540,"0",B114:B540,"1 2 3 5 3 12 31111 6 M59 30100 000132 0000R*")</f>
        <v>0</v>
      </c>
      <c r="H113" s="83">
        <f t="shared" si="1"/>
        <v>26190682.219999995</v>
      </c>
      <c r="I113" s="83"/>
      <c r="K113" s="54" t="s">
        <v>15</v>
      </c>
    </row>
    <row r="114" spans="2:11" ht="24.75" x14ac:dyDescent="0.2">
      <c r="B114" s="82" t="s">
        <v>695</v>
      </c>
      <c r="C114" s="82" t="s">
        <v>652</v>
      </c>
      <c r="D114" s="83">
        <f>SUMIFS(D115:D540,K115:K540,"0",B115:B540,"1 2 3 5 3 12 31111 6 M59 30100 000132 0000R 00002*")-SUMIFS(E115:E540,K115:K540,"0",B115:B540,"1 2 3 5 3 12 31111 6 M59 30100 000132 0000R 00002*")</f>
        <v>0</v>
      </c>
      <c r="E114" s="54"/>
      <c r="F114" s="83">
        <f>SUMIFS(F115:F540,K115:K540,"0",B115:B540,"1 2 3 5 3 12 31111 6 M59 30100 000132 0000R 00002*")</f>
        <v>26190682.219999995</v>
      </c>
      <c r="G114" s="83">
        <f>SUMIFS(G115:G540,K115:K540,"0",B115:B540,"1 2 3 5 3 12 31111 6 M59 30100 000132 0000R 00002*")</f>
        <v>0</v>
      </c>
      <c r="H114" s="83">
        <f t="shared" si="1"/>
        <v>26190682.219999995</v>
      </c>
      <c r="I114" s="83"/>
      <c r="K114" s="54" t="s">
        <v>15</v>
      </c>
    </row>
    <row r="115" spans="2:11" ht="41.25" x14ac:dyDescent="0.2">
      <c r="B115" s="82" t="s">
        <v>696</v>
      </c>
      <c r="C115" s="82" t="s">
        <v>697</v>
      </c>
      <c r="D115" s="83">
        <f>SUMIFS(D116:D540,K116:K540,"0",B116:B540,"1 2 3 5 3 12 31111 6 M59 30100 000132 0000R 00002 00613*")-SUMIFS(E116:E540,K116:K540,"0",B116:B540,"1 2 3 5 3 12 31111 6 M59 30100 000132 0000R 00002 00613*")</f>
        <v>0</v>
      </c>
      <c r="E115" s="54"/>
      <c r="F115" s="83">
        <f>SUMIFS(F116:F540,K116:K540,"0",B116:B540,"1 2 3 5 3 12 31111 6 M59 30100 000132 0000R 00002 00613*")</f>
        <v>26190682.219999995</v>
      </c>
      <c r="G115" s="83">
        <f>SUMIFS(G116:G540,K116:K540,"0",B116:B540,"1 2 3 5 3 12 31111 6 M59 30100 000132 0000R 00002 00613*")</f>
        <v>0</v>
      </c>
      <c r="H115" s="83">
        <f t="shared" si="1"/>
        <v>26190682.219999995</v>
      </c>
      <c r="I115" s="83"/>
      <c r="K115" s="54" t="s">
        <v>15</v>
      </c>
    </row>
    <row r="116" spans="2:11" ht="33" x14ac:dyDescent="0.2">
      <c r="B116" s="82" t="s">
        <v>709</v>
      </c>
      <c r="C116" s="82" t="s">
        <v>656</v>
      </c>
      <c r="D116" s="83">
        <f>SUMIFS(D117:D540,K117:K540,"0",B117:B540,"1 2 3 5 3 12 31111 6 M59 30100 000132 0000R 00002 00613 025*")-SUMIFS(E117:E540,K117:K540,"0",B117:B540,"1 2 3 5 3 12 31111 6 M59 30100 000132 0000R 00002 00613 025*")</f>
        <v>0</v>
      </c>
      <c r="E116" s="54"/>
      <c r="F116" s="83">
        <f>SUMIFS(F117:F540,K117:K540,"0",B117:B540,"1 2 3 5 3 12 31111 6 M59 30100 000132 0000R 00002 00613 025*")</f>
        <v>26190682.219999995</v>
      </c>
      <c r="G116" s="83">
        <f>SUMIFS(G117:G540,K117:K540,"0",B117:B540,"1 2 3 5 3 12 31111 6 M59 30100 000132 0000R 00002 00613 025*")</f>
        <v>0</v>
      </c>
      <c r="H116" s="83">
        <f t="shared" si="1"/>
        <v>26190682.219999995</v>
      </c>
      <c r="I116" s="83"/>
      <c r="K116" s="54" t="s">
        <v>15</v>
      </c>
    </row>
    <row r="117" spans="2:11" ht="33" x14ac:dyDescent="0.2">
      <c r="B117" s="82" t="s">
        <v>710</v>
      </c>
      <c r="C117" s="82" t="s">
        <v>658</v>
      </c>
      <c r="D117" s="83">
        <f>SUMIFS(D118:D540,K118:K540,"0",B118:B540,"1 2 3 5 3 12 31111 6 M59 30100 000132 0000R 00002 00613 025 2210000*")-SUMIFS(E118:E540,K118:K540,"0",B118:B540,"1 2 3 5 3 12 31111 6 M59 30100 000132 0000R 00002 00613 025 2210000*")</f>
        <v>0</v>
      </c>
      <c r="E117" s="54"/>
      <c r="F117" s="83">
        <f>SUMIFS(F118:F540,K118:K540,"0",B118:B540,"1 2 3 5 3 12 31111 6 M59 30100 000132 0000R 00002 00613 025 2210000*")</f>
        <v>26190682.219999995</v>
      </c>
      <c r="G117" s="83">
        <f>SUMIFS(G118:G540,K118:K540,"0",B118:B540,"1 2 3 5 3 12 31111 6 M59 30100 000132 0000R 00002 00613 025 2210000*")</f>
        <v>0</v>
      </c>
      <c r="H117" s="83">
        <f t="shared" si="1"/>
        <v>26190682.219999995</v>
      </c>
      <c r="I117" s="83"/>
      <c r="K117" s="54" t="s">
        <v>15</v>
      </c>
    </row>
    <row r="118" spans="2:11" ht="33" x14ac:dyDescent="0.2">
      <c r="B118" s="82" t="s">
        <v>711</v>
      </c>
      <c r="C118" s="82" t="s">
        <v>660</v>
      </c>
      <c r="D118" s="83">
        <f>SUMIFS(D119:D540,K119:K540,"0",B119:B540,"1 2 3 5 3 12 31111 6 M59 30100 000132 0000R 00002 00613 025 2210000 2024*")-SUMIFS(E119:E540,K119:K540,"0",B119:B540,"1 2 3 5 3 12 31111 6 M59 30100 000132 0000R 00002 00613 025 2210000 2024*")</f>
        <v>0</v>
      </c>
      <c r="E118" s="54"/>
      <c r="F118" s="83">
        <f>SUMIFS(F119:F540,K119:K540,"0",B119:B540,"1 2 3 5 3 12 31111 6 M59 30100 000132 0000R 00002 00613 025 2210000 2024*")</f>
        <v>26190682.219999995</v>
      </c>
      <c r="G118" s="83">
        <f>SUMIFS(G119:G540,K119:K540,"0",B119:B540,"1 2 3 5 3 12 31111 6 M59 30100 000132 0000R 00002 00613 025 2210000 2024*")</f>
        <v>0</v>
      </c>
      <c r="H118" s="83">
        <f t="shared" si="1"/>
        <v>26190682.219999995</v>
      </c>
      <c r="I118" s="83"/>
      <c r="K118" s="54" t="s">
        <v>15</v>
      </c>
    </row>
    <row r="119" spans="2:11" ht="41.25" x14ac:dyDescent="0.2">
      <c r="B119" s="82" t="s">
        <v>712</v>
      </c>
      <c r="C119" s="82" t="s">
        <v>662</v>
      </c>
      <c r="D119" s="83">
        <f>SUMIFS(D120:D540,K120:K540,"0",B120:B540,"1 2 3 5 3 12 31111 6 M59 30100 000132 0000R 00002 00613 025 2210000 2024 CP2OP405*")-SUMIFS(E120:E540,K120:K540,"0",B120:B540,"1 2 3 5 3 12 31111 6 M59 30100 000132 0000R 00002 00613 025 2210000 2024 CP2OP405*")</f>
        <v>0</v>
      </c>
      <c r="E119" s="54"/>
      <c r="F119" s="83">
        <f>SUMIFS(F120:F540,K120:K540,"0",B120:B540,"1 2 3 5 3 12 31111 6 M59 30100 000132 0000R 00002 00613 025 2210000 2024 CP2OP405*")</f>
        <v>26190682.219999995</v>
      </c>
      <c r="G119" s="83">
        <f>SUMIFS(G120:G540,K120:K540,"0",B120:B540,"1 2 3 5 3 12 31111 6 M59 30100 000132 0000R 00002 00613 025 2210000 2024 CP2OP405*")</f>
        <v>0</v>
      </c>
      <c r="H119" s="83">
        <f t="shared" si="1"/>
        <v>26190682.219999995</v>
      </c>
      <c r="I119" s="83"/>
      <c r="K119" s="54" t="s">
        <v>15</v>
      </c>
    </row>
    <row r="120" spans="2:11" ht="41.25" x14ac:dyDescent="0.2">
      <c r="B120" s="82" t="s">
        <v>713</v>
      </c>
      <c r="C120" s="82" t="s">
        <v>671</v>
      </c>
      <c r="D120" s="83">
        <f>SUMIFS(D121:D540,K121:K540,"0",B121:B540,"1 2 3 5 3 12 31111 6 M59 30100 000132 0000R 00002 00613 025 2210000 2024 CP2OP405 002*")-SUMIFS(E121:E540,K121:K540,"0",B121:B540,"1 2 3 5 3 12 31111 6 M59 30100 000132 0000R 00002 00613 025 2210000 2024 CP2OP405 002*")</f>
        <v>0</v>
      </c>
      <c r="E120" s="54"/>
      <c r="F120" s="83">
        <f>SUMIFS(F121:F540,K121:K540,"0",B121:B540,"1 2 3 5 3 12 31111 6 M59 30100 000132 0000R 00002 00613 025 2210000 2024 CP2OP405 002*")</f>
        <v>26190682.219999995</v>
      </c>
      <c r="G120" s="83">
        <f>SUMIFS(G121:G540,K121:K540,"0",B121:B540,"1 2 3 5 3 12 31111 6 M59 30100 000132 0000R 00002 00613 025 2210000 2024 CP2OP405 002*")</f>
        <v>0</v>
      </c>
      <c r="H120" s="83">
        <f t="shared" si="1"/>
        <v>26190682.219999995</v>
      </c>
      <c r="I120" s="83"/>
      <c r="K120" s="54" t="s">
        <v>15</v>
      </c>
    </row>
    <row r="121" spans="2:11" ht="49.5" x14ac:dyDescent="0.2">
      <c r="B121" s="82" t="s">
        <v>714</v>
      </c>
      <c r="C121" s="82" t="s">
        <v>715</v>
      </c>
      <c r="D121" s="83">
        <f>SUMIFS(D122:D540,K122:K540,"0",B122:B540,"1 2 3 5 3 12 31111 6 M59 30100 000132 0000R 00002 00613 025 2210000 2024 CP2OP405 002 0000001*")-SUMIFS(E122:E540,K122:K540,"0",B122:B540,"1 2 3 5 3 12 31111 6 M59 30100 000132 0000R 00002 00613 025 2210000 2024 CP2OP405 002 0000001*")</f>
        <v>0</v>
      </c>
      <c r="E121" s="54"/>
      <c r="F121" s="83">
        <f>SUMIFS(F122:F540,K122:K540,"0",B122:B540,"1 2 3 5 3 12 31111 6 M59 30100 000132 0000R 00002 00613 025 2210000 2024 CP2OP405 002 0000001*")</f>
        <v>4164852.02</v>
      </c>
      <c r="G121" s="83">
        <f>SUMIFS(G122:G540,K122:K540,"0",B122:B540,"1 2 3 5 3 12 31111 6 M59 30100 000132 0000R 00002 00613 025 2210000 2024 CP2OP405 002 0000001*")</f>
        <v>0</v>
      </c>
      <c r="H121" s="83">
        <f t="shared" si="1"/>
        <v>4164852.02</v>
      </c>
      <c r="I121" s="83"/>
      <c r="K121" s="54" t="s">
        <v>15</v>
      </c>
    </row>
    <row r="122" spans="2:11" ht="41.25" x14ac:dyDescent="0.2">
      <c r="B122" s="84" t="s">
        <v>716</v>
      </c>
      <c r="C122" s="84" t="s">
        <v>717</v>
      </c>
      <c r="D122" s="85">
        <v>0</v>
      </c>
      <c r="E122" s="85"/>
      <c r="F122" s="85">
        <v>205600.02</v>
      </c>
      <c r="G122" s="85">
        <v>0</v>
      </c>
      <c r="H122" s="85">
        <f t="shared" si="1"/>
        <v>205600.02</v>
      </c>
      <c r="I122" s="85"/>
      <c r="K122" s="54" t="s">
        <v>38</v>
      </c>
    </row>
    <row r="123" spans="2:11" ht="41.25" x14ac:dyDescent="0.2">
      <c r="B123" s="84" t="s">
        <v>718</v>
      </c>
      <c r="C123" s="84" t="s">
        <v>719</v>
      </c>
      <c r="D123" s="85">
        <v>0</v>
      </c>
      <c r="E123" s="85"/>
      <c r="F123" s="85">
        <v>1296000</v>
      </c>
      <c r="G123" s="85">
        <v>0</v>
      </c>
      <c r="H123" s="85">
        <f t="shared" si="1"/>
        <v>1296000</v>
      </c>
      <c r="I123" s="85"/>
      <c r="K123" s="54" t="s">
        <v>38</v>
      </c>
    </row>
    <row r="124" spans="2:11" ht="41.25" x14ac:dyDescent="0.2">
      <c r="B124" s="84" t="s">
        <v>720</v>
      </c>
      <c r="C124" s="84" t="s">
        <v>721</v>
      </c>
      <c r="D124" s="85">
        <v>0</v>
      </c>
      <c r="E124" s="85"/>
      <c r="F124" s="85">
        <v>900000</v>
      </c>
      <c r="G124" s="85">
        <v>0</v>
      </c>
      <c r="H124" s="85">
        <f t="shared" si="1"/>
        <v>900000</v>
      </c>
      <c r="I124" s="85"/>
      <c r="K124" s="54" t="s">
        <v>38</v>
      </c>
    </row>
    <row r="125" spans="2:11" ht="41.25" x14ac:dyDescent="0.2">
      <c r="B125" s="84" t="s">
        <v>722</v>
      </c>
      <c r="C125" s="84" t="s">
        <v>723</v>
      </c>
      <c r="D125" s="85">
        <v>0</v>
      </c>
      <c r="E125" s="85"/>
      <c r="F125" s="85">
        <v>1200000</v>
      </c>
      <c r="G125" s="85">
        <v>0</v>
      </c>
      <c r="H125" s="85">
        <f t="shared" si="1"/>
        <v>1200000</v>
      </c>
      <c r="I125" s="85"/>
      <c r="K125" s="54" t="s">
        <v>38</v>
      </c>
    </row>
    <row r="126" spans="2:11" ht="41.25" x14ac:dyDescent="0.2">
      <c r="B126" s="84" t="s">
        <v>724</v>
      </c>
      <c r="C126" s="84" t="s">
        <v>725</v>
      </c>
      <c r="D126" s="85">
        <v>0</v>
      </c>
      <c r="E126" s="85"/>
      <c r="F126" s="85">
        <v>563252</v>
      </c>
      <c r="G126" s="85">
        <v>0</v>
      </c>
      <c r="H126" s="85">
        <f t="shared" si="1"/>
        <v>563252</v>
      </c>
      <c r="I126" s="85"/>
      <c r="K126" s="54" t="s">
        <v>38</v>
      </c>
    </row>
    <row r="127" spans="2:11" ht="49.5" x14ac:dyDescent="0.2">
      <c r="B127" s="82" t="s">
        <v>726</v>
      </c>
      <c r="C127" s="82" t="s">
        <v>727</v>
      </c>
      <c r="D127" s="83">
        <f>SUMIFS(D128:D540,K128:K540,"0",B128:B540,"1 2 3 5 3 12 31111 6 M59 30100 000132 0000R 00002 00613 025 2210000 2024 CP2OP405 002 0000002*")-SUMIFS(E128:E540,K128:K540,"0",B128:B540,"1 2 3 5 3 12 31111 6 M59 30100 000132 0000R 00002 00613 025 2210000 2024 CP2OP405 002 0000002*")</f>
        <v>0</v>
      </c>
      <c r="E127" s="54"/>
      <c r="F127" s="83">
        <f>SUMIFS(F128:F540,K128:K540,"0",B128:B540,"1 2 3 5 3 12 31111 6 M59 30100 000132 0000R 00002 00613 025 2210000 2024 CP2OP405 002 0000002*")</f>
        <v>22025830.199999999</v>
      </c>
      <c r="G127" s="83">
        <f>SUMIFS(G128:G540,K128:K540,"0",B128:B540,"1 2 3 5 3 12 31111 6 M59 30100 000132 0000R 00002 00613 025 2210000 2024 CP2OP405 002 0000002*")</f>
        <v>0</v>
      </c>
      <c r="H127" s="83">
        <f t="shared" si="1"/>
        <v>22025830.199999999</v>
      </c>
      <c r="I127" s="83"/>
      <c r="K127" s="54" t="s">
        <v>15</v>
      </c>
    </row>
    <row r="128" spans="2:11" ht="41.25" x14ac:dyDescent="0.2">
      <c r="B128" s="84" t="s">
        <v>728</v>
      </c>
      <c r="C128" s="84" t="s">
        <v>729</v>
      </c>
      <c r="D128" s="85">
        <v>0</v>
      </c>
      <c r="E128" s="85"/>
      <c r="F128" s="85">
        <v>900000</v>
      </c>
      <c r="G128" s="85">
        <v>0</v>
      </c>
      <c r="H128" s="85">
        <f t="shared" si="1"/>
        <v>900000</v>
      </c>
      <c r="I128" s="85"/>
      <c r="K128" s="54" t="s">
        <v>38</v>
      </c>
    </row>
    <row r="129" spans="2:11" ht="41.25" x14ac:dyDescent="0.2">
      <c r="B129" s="84" t="s">
        <v>730</v>
      </c>
      <c r="C129" s="84" t="s">
        <v>731</v>
      </c>
      <c r="D129" s="85">
        <v>0</v>
      </c>
      <c r="E129" s="85"/>
      <c r="F129" s="85">
        <v>1664276.36</v>
      </c>
      <c r="G129" s="85">
        <v>0</v>
      </c>
      <c r="H129" s="85">
        <f t="shared" si="1"/>
        <v>1664276.36</v>
      </c>
      <c r="I129" s="85"/>
      <c r="K129" s="54" t="s">
        <v>38</v>
      </c>
    </row>
    <row r="130" spans="2:11" ht="41.25" x14ac:dyDescent="0.2">
      <c r="B130" s="84" t="s">
        <v>732</v>
      </c>
      <c r="C130" s="84" t="s">
        <v>733</v>
      </c>
      <c r="D130" s="85">
        <v>0</v>
      </c>
      <c r="E130" s="85"/>
      <c r="F130" s="85">
        <v>1720000</v>
      </c>
      <c r="G130" s="85">
        <v>0</v>
      </c>
      <c r="H130" s="85">
        <f t="shared" si="1"/>
        <v>1720000</v>
      </c>
      <c r="I130" s="85"/>
      <c r="K130" s="54" t="s">
        <v>38</v>
      </c>
    </row>
    <row r="131" spans="2:11" ht="41.25" x14ac:dyDescent="0.2">
      <c r="B131" s="84" t="s">
        <v>734</v>
      </c>
      <c r="C131" s="84" t="s">
        <v>735</v>
      </c>
      <c r="D131" s="85">
        <v>0</v>
      </c>
      <c r="E131" s="85"/>
      <c r="F131" s="85">
        <v>1718293.25</v>
      </c>
      <c r="G131" s="85">
        <v>0</v>
      </c>
      <c r="H131" s="85">
        <f t="shared" si="1"/>
        <v>1718293.25</v>
      </c>
      <c r="I131" s="85"/>
      <c r="K131" s="54" t="s">
        <v>38</v>
      </c>
    </row>
    <row r="132" spans="2:11" ht="41.25" x14ac:dyDescent="0.2">
      <c r="B132" s="84" t="s">
        <v>736</v>
      </c>
      <c r="C132" s="84" t="s">
        <v>737</v>
      </c>
      <c r="D132" s="85">
        <v>0</v>
      </c>
      <c r="E132" s="85"/>
      <c r="F132" s="85">
        <v>1718293.25</v>
      </c>
      <c r="G132" s="85">
        <v>0</v>
      </c>
      <c r="H132" s="85">
        <f t="shared" si="1"/>
        <v>1718293.25</v>
      </c>
      <c r="I132" s="85"/>
      <c r="K132" s="54" t="s">
        <v>38</v>
      </c>
    </row>
    <row r="133" spans="2:11" ht="41.25" x14ac:dyDescent="0.2">
      <c r="B133" s="84" t="s">
        <v>738</v>
      </c>
      <c r="C133" s="84" t="s">
        <v>739</v>
      </c>
      <c r="D133" s="85">
        <v>0</v>
      </c>
      <c r="E133" s="85"/>
      <c r="F133" s="85">
        <v>1560259.16</v>
      </c>
      <c r="G133" s="85">
        <v>0</v>
      </c>
      <c r="H133" s="85">
        <f t="shared" si="1"/>
        <v>1560259.16</v>
      </c>
      <c r="I133" s="85"/>
      <c r="K133" s="54" t="s">
        <v>38</v>
      </c>
    </row>
    <row r="134" spans="2:11" ht="41.25" x14ac:dyDescent="0.2">
      <c r="B134" s="84" t="s">
        <v>740</v>
      </c>
      <c r="C134" s="84" t="s">
        <v>741</v>
      </c>
      <c r="D134" s="85">
        <v>0</v>
      </c>
      <c r="E134" s="85"/>
      <c r="F134" s="85">
        <v>1718293.25</v>
      </c>
      <c r="G134" s="85">
        <v>0</v>
      </c>
      <c r="H134" s="85">
        <f t="shared" si="1"/>
        <v>1718293.25</v>
      </c>
      <c r="I134" s="85"/>
      <c r="K134" s="54" t="s">
        <v>38</v>
      </c>
    </row>
    <row r="135" spans="2:11" ht="41.25" x14ac:dyDescent="0.2">
      <c r="B135" s="84" t="s">
        <v>742</v>
      </c>
      <c r="C135" s="84" t="s">
        <v>743</v>
      </c>
      <c r="D135" s="85">
        <v>0</v>
      </c>
      <c r="E135" s="85"/>
      <c r="F135" s="85">
        <v>1443750.09</v>
      </c>
      <c r="G135" s="85">
        <v>0</v>
      </c>
      <c r="H135" s="85">
        <f t="shared" si="1"/>
        <v>1443750.09</v>
      </c>
      <c r="I135" s="85"/>
      <c r="K135" s="54" t="s">
        <v>38</v>
      </c>
    </row>
    <row r="136" spans="2:11" ht="41.25" x14ac:dyDescent="0.2">
      <c r="B136" s="84" t="s">
        <v>744</v>
      </c>
      <c r="C136" s="84" t="s">
        <v>745</v>
      </c>
      <c r="D136" s="85">
        <v>0</v>
      </c>
      <c r="E136" s="85"/>
      <c r="F136" s="85">
        <v>1248207.4099999999</v>
      </c>
      <c r="G136" s="85">
        <v>0</v>
      </c>
      <c r="H136" s="85">
        <f t="shared" si="1"/>
        <v>1248207.4099999999</v>
      </c>
      <c r="I136" s="85"/>
      <c r="K136" s="54" t="s">
        <v>38</v>
      </c>
    </row>
    <row r="137" spans="2:11" ht="41.25" x14ac:dyDescent="0.2">
      <c r="B137" s="84" t="s">
        <v>746</v>
      </c>
      <c r="C137" s="84" t="s">
        <v>747</v>
      </c>
      <c r="D137" s="85">
        <v>0</v>
      </c>
      <c r="E137" s="85"/>
      <c r="F137" s="85">
        <v>1718293.25</v>
      </c>
      <c r="G137" s="85">
        <v>0</v>
      </c>
      <c r="H137" s="85">
        <f t="shared" si="1"/>
        <v>1718293.25</v>
      </c>
      <c r="I137" s="85"/>
      <c r="K137" s="54" t="s">
        <v>38</v>
      </c>
    </row>
    <row r="138" spans="2:11" ht="41.25" x14ac:dyDescent="0.2">
      <c r="B138" s="84" t="s">
        <v>748</v>
      </c>
      <c r="C138" s="84" t="s">
        <v>749</v>
      </c>
      <c r="D138" s="85">
        <v>0</v>
      </c>
      <c r="E138" s="85"/>
      <c r="F138" s="85">
        <v>1460259.16</v>
      </c>
      <c r="G138" s="85">
        <v>0</v>
      </c>
      <c r="H138" s="85">
        <f t="shared" si="1"/>
        <v>1460259.16</v>
      </c>
      <c r="I138" s="85"/>
      <c r="K138" s="54" t="s">
        <v>38</v>
      </c>
    </row>
    <row r="139" spans="2:11" ht="41.25" x14ac:dyDescent="0.2">
      <c r="B139" s="84" t="s">
        <v>750</v>
      </c>
      <c r="C139" s="84" t="s">
        <v>751</v>
      </c>
      <c r="D139" s="85">
        <v>0</v>
      </c>
      <c r="E139" s="85"/>
      <c r="F139" s="85">
        <v>1510551.42</v>
      </c>
      <c r="G139" s="85">
        <v>0</v>
      </c>
      <c r="H139" s="85">
        <f t="shared" si="1"/>
        <v>1510551.42</v>
      </c>
      <c r="I139" s="85"/>
      <c r="K139" s="54" t="s">
        <v>38</v>
      </c>
    </row>
    <row r="140" spans="2:11" ht="41.25" x14ac:dyDescent="0.2">
      <c r="B140" s="84" t="s">
        <v>752</v>
      </c>
      <c r="C140" s="84" t="s">
        <v>753</v>
      </c>
      <c r="D140" s="85">
        <v>0</v>
      </c>
      <c r="E140" s="85"/>
      <c r="F140" s="85">
        <v>416069.14</v>
      </c>
      <c r="G140" s="85">
        <v>0</v>
      </c>
      <c r="H140" s="85">
        <f t="shared" ref="H140:H203" si="2">D140 + F140 - G140</f>
        <v>416069.14</v>
      </c>
      <c r="I140" s="85"/>
      <c r="K140" s="54" t="s">
        <v>38</v>
      </c>
    </row>
    <row r="141" spans="2:11" ht="41.25" x14ac:dyDescent="0.2">
      <c r="B141" s="84" t="s">
        <v>754</v>
      </c>
      <c r="C141" s="84" t="s">
        <v>755</v>
      </c>
      <c r="D141" s="85">
        <v>0</v>
      </c>
      <c r="E141" s="85"/>
      <c r="F141" s="85">
        <v>609974.4</v>
      </c>
      <c r="G141" s="85">
        <v>0</v>
      </c>
      <c r="H141" s="85">
        <f t="shared" si="2"/>
        <v>609974.4</v>
      </c>
      <c r="I141" s="85"/>
      <c r="K141" s="54" t="s">
        <v>38</v>
      </c>
    </row>
    <row r="142" spans="2:11" ht="41.25" x14ac:dyDescent="0.2">
      <c r="B142" s="84" t="s">
        <v>756</v>
      </c>
      <c r="C142" s="84" t="s">
        <v>757</v>
      </c>
      <c r="D142" s="85">
        <v>0</v>
      </c>
      <c r="E142" s="85"/>
      <c r="F142" s="85">
        <v>579525.44999999995</v>
      </c>
      <c r="G142" s="85">
        <v>0</v>
      </c>
      <c r="H142" s="85">
        <f t="shared" si="2"/>
        <v>579525.44999999995</v>
      </c>
      <c r="I142" s="85"/>
      <c r="K142" s="54" t="s">
        <v>38</v>
      </c>
    </row>
    <row r="143" spans="2:11" ht="41.25" x14ac:dyDescent="0.2">
      <c r="B143" s="84" t="s">
        <v>758</v>
      </c>
      <c r="C143" s="84" t="s">
        <v>759</v>
      </c>
      <c r="D143" s="85">
        <v>0</v>
      </c>
      <c r="E143" s="85"/>
      <c r="F143" s="85">
        <v>579525.44999999995</v>
      </c>
      <c r="G143" s="85">
        <v>0</v>
      </c>
      <c r="H143" s="85">
        <f t="shared" si="2"/>
        <v>579525.44999999995</v>
      </c>
      <c r="I143" s="85"/>
      <c r="K143" s="54" t="s">
        <v>38</v>
      </c>
    </row>
    <row r="144" spans="2:11" ht="41.25" x14ac:dyDescent="0.2">
      <c r="B144" s="84" t="s">
        <v>760</v>
      </c>
      <c r="C144" s="84" t="s">
        <v>761</v>
      </c>
      <c r="D144" s="85">
        <v>0</v>
      </c>
      <c r="E144" s="85"/>
      <c r="F144" s="85">
        <v>1460259.16</v>
      </c>
      <c r="G144" s="85">
        <v>0</v>
      </c>
      <c r="H144" s="85">
        <f t="shared" si="2"/>
        <v>1460259.16</v>
      </c>
      <c r="I144" s="85"/>
      <c r="K144" s="54" t="s">
        <v>38</v>
      </c>
    </row>
    <row r="145" spans="2:11" ht="24.75" x14ac:dyDescent="0.2">
      <c r="B145" s="82" t="s">
        <v>762</v>
      </c>
      <c r="C145" s="82" t="s">
        <v>763</v>
      </c>
      <c r="D145" s="83">
        <f>SUMIFS(D146:D540,K146:K540,"0",B146:B540,"1 2 3 5 4*")-SUMIFS(E146:E540,K146:K540,"0",B146:B540,"1 2 3 5 4*")</f>
        <v>0</v>
      </c>
      <c r="E145" s="54"/>
      <c r="F145" s="83">
        <f>SUMIFS(F146:F540,K146:K540,"0",B146:B540,"1 2 3 5 4*")</f>
        <v>7549999.9900000002</v>
      </c>
      <c r="G145" s="83">
        <f>SUMIFS(G146:G540,K146:K540,"0",B146:B540,"1 2 3 5 4*")</f>
        <v>0</v>
      </c>
      <c r="H145" s="83">
        <f t="shared" si="2"/>
        <v>7549999.9900000002</v>
      </c>
      <c r="I145" s="83"/>
      <c r="K145" s="54" t="s">
        <v>15</v>
      </c>
    </row>
    <row r="146" spans="2:11" ht="12.75" x14ac:dyDescent="0.2">
      <c r="B146" s="82" t="s">
        <v>764</v>
      </c>
      <c r="C146" s="82" t="s">
        <v>26</v>
      </c>
      <c r="D146" s="83">
        <f>SUMIFS(D147:D540,K147:K540,"0",B147:B540,"1 2 3 5 4 12*")-SUMIFS(E147:E540,K147:K540,"0",B147:B540,"1 2 3 5 4 12*")</f>
        <v>0</v>
      </c>
      <c r="E146" s="54"/>
      <c r="F146" s="83">
        <f>SUMIFS(F147:F540,K147:K540,"0",B147:B540,"1 2 3 5 4 12*")</f>
        <v>7549999.9900000002</v>
      </c>
      <c r="G146" s="83">
        <f>SUMIFS(G147:G540,K147:K540,"0",B147:B540,"1 2 3 5 4 12*")</f>
        <v>0</v>
      </c>
      <c r="H146" s="83">
        <f t="shared" si="2"/>
        <v>7549999.9900000002</v>
      </c>
      <c r="I146" s="83"/>
      <c r="K146" s="54" t="s">
        <v>15</v>
      </c>
    </row>
    <row r="147" spans="2:11" ht="16.5" x14ac:dyDescent="0.2">
      <c r="B147" s="82" t="s">
        <v>765</v>
      </c>
      <c r="C147" s="82" t="s">
        <v>28</v>
      </c>
      <c r="D147" s="83">
        <f>SUMIFS(D148:D540,K148:K540,"0",B148:B540,"1 2 3 5 4 12 31111*")-SUMIFS(E148:E540,K148:K540,"0",B148:B540,"1 2 3 5 4 12 31111*")</f>
        <v>0</v>
      </c>
      <c r="E147" s="54"/>
      <c r="F147" s="83">
        <f>SUMIFS(F148:F540,K148:K540,"0",B148:B540,"1 2 3 5 4 12 31111*")</f>
        <v>7549999.9900000002</v>
      </c>
      <c r="G147" s="83">
        <f>SUMIFS(G148:G540,K148:K540,"0",B148:B540,"1 2 3 5 4 12 31111*")</f>
        <v>0</v>
      </c>
      <c r="H147" s="83">
        <f t="shared" si="2"/>
        <v>7549999.9900000002</v>
      </c>
      <c r="I147" s="83"/>
      <c r="K147" s="54" t="s">
        <v>15</v>
      </c>
    </row>
    <row r="148" spans="2:11" ht="12.75" x14ac:dyDescent="0.2">
      <c r="B148" s="82" t="s">
        <v>766</v>
      </c>
      <c r="C148" s="82" t="s">
        <v>30</v>
      </c>
      <c r="D148" s="83">
        <f>SUMIFS(D149:D540,K149:K540,"0",B149:B540,"1 2 3 5 4 12 31111 6*")-SUMIFS(E149:E540,K149:K540,"0",B149:B540,"1 2 3 5 4 12 31111 6*")</f>
        <v>0</v>
      </c>
      <c r="E148" s="54"/>
      <c r="F148" s="83">
        <f>SUMIFS(F149:F540,K149:K540,"0",B149:B540,"1 2 3 5 4 12 31111 6*")</f>
        <v>7549999.9900000002</v>
      </c>
      <c r="G148" s="83">
        <f>SUMIFS(G149:G540,K149:K540,"0",B149:B540,"1 2 3 5 4 12 31111 6*")</f>
        <v>0</v>
      </c>
      <c r="H148" s="83">
        <f t="shared" si="2"/>
        <v>7549999.9900000002</v>
      </c>
      <c r="I148" s="83"/>
      <c r="K148" s="54" t="s">
        <v>15</v>
      </c>
    </row>
    <row r="149" spans="2:11" ht="16.5" x14ac:dyDescent="0.2">
      <c r="B149" s="82" t="s">
        <v>767</v>
      </c>
      <c r="C149" s="82" t="s">
        <v>32</v>
      </c>
      <c r="D149" s="83">
        <f>SUMIFS(D150:D540,K150:K540,"0",B150:B540,"1 2 3 5 4 12 31111 6 M59*")-SUMIFS(E150:E540,K150:K540,"0",B150:B540,"1 2 3 5 4 12 31111 6 M59*")</f>
        <v>0</v>
      </c>
      <c r="E149" s="54"/>
      <c r="F149" s="83">
        <f>SUMIFS(F150:F540,K150:K540,"0",B150:B540,"1 2 3 5 4 12 31111 6 M59*")</f>
        <v>7549999.9900000002</v>
      </c>
      <c r="G149" s="83">
        <f>SUMIFS(G150:G540,K150:K540,"0",B150:B540,"1 2 3 5 4 12 31111 6 M59*")</f>
        <v>0</v>
      </c>
      <c r="H149" s="83">
        <f t="shared" si="2"/>
        <v>7549999.9900000002</v>
      </c>
      <c r="I149" s="83"/>
      <c r="K149" s="54" t="s">
        <v>15</v>
      </c>
    </row>
    <row r="150" spans="2:11" ht="16.5" x14ac:dyDescent="0.2">
      <c r="B150" s="82" t="s">
        <v>768</v>
      </c>
      <c r="C150" s="82" t="s">
        <v>646</v>
      </c>
      <c r="D150" s="83">
        <f>SUMIFS(D151:D540,K151:K540,"0",B151:B540,"1 2 3 5 4 12 31111 6 M59 30100*")-SUMIFS(E151:E540,K151:K540,"0",B151:B540,"1 2 3 5 4 12 31111 6 M59 30100*")</f>
        <v>0</v>
      </c>
      <c r="E150" s="54"/>
      <c r="F150" s="83">
        <f>SUMIFS(F151:F540,K151:K540,"0",B151:B540,"1 2 3 5 4 12 31111 6 M59 30100*")</f>
        <v>7549999.9900000002</v>
      </c>
      <c r="G150" s="83">
        <f>SUMIFS(G151:G540,K151:K540,"0",B151:B540,"1 2 3 5 4 12 31111 6 M59 30100*")</f>
        <v>0</v>
      </c>
      <c r="H150" s="83">
        <f t="shared" si="2"/>
        <v>7549999.9900000002</v>
      </c>
      <c r="I150" s="83"/>
      <c r="K150" s="54" t="s">
        <v>15</v>
      </c>
    </row>
    <row r="151" spans="2:11" ht="16.5" x14ac:dyDescent="0.2">
      <c r="B151" s="82" t="s">
        <v>769</v>
      </c>
      <c r="C151" s="82" t="s">
        <v>648</v>
      </c>
      <c r="D151" s="83">
        <f>SUMIFS(D152:D540,K152:K540,"0",B152:B540,"1 2 3 5 4 12 31111 6 M59 30100 000132*")-SUMIFS(E152:E540,K152:K540,"0",B152:B540,"1 2 3 5 4 12 31111 6 M59 30100 000132*")</f>
        <v>0</v>
      </c>
      <c r="E151" s="54"/>
      <c r="F151" s="83">
        <f>SUMIFS(F152:F540,K152:K540,"0",B152:B540,"1 2 3 5 4 12 31111 6 M59 30100 000132*")</f>
        <v>7549999.9900000002</v>
      </c>
      <c r="G151" s="83">
        <f>SUMIFS(G152:G540,K152:K540,"0",B152:B540,"1 2 3 5 4 12 31111 6 M59 30100 000132*")</f>
        <v>0</v>
      </c>
      <c r="H151" s="83">
        <f t="shared" si="2"/>
        <v>7549999.9900000002</v>
      </c>
      <c r="I151" s="83"/>
      <c r="K151" s="54" t="s">
        <v>15</v>
      </c>
    </row>
    <row r="152" spans="2:11" ht="24.75" x14ac:dyDescent="0.2">
      <c r="B152" s="82" t="s">
        <v>770</v>
      </c>
      <c r="C152" s="82" t="s">
        <v>650</v>
      </c>
      <c r="D152" s="83">
        <f>SUMIFS(D153:D540,K153:K540,"0",B153:B540,"1 2 3 5 4 12 31111 6 M59 30100 000132 0000R*")-SUMIFS(E153:E540,K153:K540,"0",B153:B540,"1 2 3 5 4 12 31111 6 M59 30100 000132 0000R*")</f>
        <v>0</v>
      </c>
      <c r="E152" s="54"/>
      <c r="F152" s="83">
        <f>SUMIFS(F153:F540,K153:K540,"0",B153:B540,"1 2 3 5 4 12 31111 6 M59 30100 000132 0000R*")</f>
        <v>7549999.9900000002</v>
      </c>
      <c r="G152" s="83">
        <f>SUMIFS(G153:G540,K153:K540,"0",B153:B540,"1 2 3 5 4 12 31111 6 M59 30100 000132 0000R*")</f>
        <v>0</v>
      </c>
      <c r="H152" s="83">
        <f t="shared" si="2"/>
        <v>7549999.9900000002</v>
      </c>
      <c r="I152" s="83"/>
      <c r="K152" s="54" t="s">
        <v>15</v>
      </c>
    </row>
    <row r="153" spans="2:11" ht="24.75" x14ac:dyDescent="0.2">
      <c r="B153" s="82" t="s">
        <v>771</v>
      </c>
      <c r="C153" s="82" t="s">
        <v>652</v>
      </c>
      <c r="D153" s="83">
        <f>SUMIFS(D154:D540,K154:K540,"0",B154:B540,"1 2 3 5 4 12 31111 6 M59 30100 000132 0000R 00002*")-SUMIFS(E154:E540,K154:K540,"0",B154:B540,"1 2 3 5 4 12 31111 6 M59 30100 000132 0000R 00002*")</f>
        <v>0</v>
      </c>
      <c r="E153" s="54"/>
      <c r="F153" s="83">
        <f>SUMIFS(F154:F540,K154:K540,"0",B154:B540,"1 2 3 5 4 12 31111 6 M59 30100 000132 0000R 00002*")</f>
        <v>7549999.9900000002</v>
      </c>
      <c r="G153" s="83">
        <f>SUMIFS(G154:G540,K154:K540,"0",B154:B540,"1 2 3 5 4 12 31111 6 M59 30100 000132 0000R 00002*")</f>
        <v>0</v>
      </c>
      <c r="H153" s="83">
        <f t="shared" si="2"/>
        <v>7549999.9900000002</v>
      </c>
      <c r="I153" s="83"/>
      <c r="K153" s="54" t="s">
        <v>15</v>
      </c>
    </row>
    <row r="154" spans="2:11" ht="24.75" x14ac:dyDescent="0.2">
      <c r="B154" s="82" t="s">
        <v>772</v>
      </c>
      <c r="C154" s="82" t="s">
        <v>773</v>
      </c>
      <c r="D154" s="83">
        <f>SUMIFS(D155:D540,K155:K540,"0",B155:B540,"1 2 3 5 4 12 31111 6 M59 30100 000132 0000R 00002 00614*")-SUMIFS(E155:E540,K155:K540,"0",B155:B540,"1 2 3 5 4 12 31111 6 M59 30100 000132 0000R 00002 00614*")</f>
        <v>0</v>
      </c>
      <c r="E154" s="54"/>
      <c r="F154" s="83">
        <f>SUMIFS(F155:F540,K155:K540,"0",B155:B540,"1 2 3 5 4 12 31111 6 M59 30100 000132 0000R 00002 00614*")</f>
        <v>7549999.9900000002</v>
      </c>
      <c r="G154" s="83">
        <f>SUMIFS(G155:G540,K155:K540,"0",B155:B540,"1 2 3 5 4 12 31111 6 M59 30100 000132 0000R 00002 00614*")</f>
        <v>0</v>
      </c>
      <c r="H154" s="83">
        <f t="shared" si="2"/>
        <v>7549999.9900000002</v>
      </c>
      <c r="I154" s="83"/>
      <c r="K154" s="54" t="s">
        <v>15</v>
      </c>
    </row>
    <row r="155" spans="2:11" ht="33" x14ac:dyDescent="0.2">
      <c r="B155" s="82" t="s">
        <v>774</v>
      </c>
      <c r="C155" s="82" t="s">
        <v>656</v>
      </c>
      <c r="D155" s="83">
        <f>SUMIFS(D156:D540,K156:K540,"0",B156:B540,"1 2 3 5 4 12 31111 6 M59 30100 000132 0000R 00002 00614 025*")-SUMIFS(E156:E540,K156:K540,"0",B156:B540,"1 2 3 5 4 12 31111 6 M59 30100 000132 0000R 00002 00614 025*")</f>
        <v>0</v>
      </c>
      <c r="E155" s="54"/>
      <c r="F155" s="83">
        <f>SUMIFS(F156:F540,K156:K540,"0",B156:B540,"1 2 3 5 4 12 31111 6 M59 30100 000132 0000R 00002 00614 025*")</f>
        <v>7549999.9900000002</v>
      </c>
      <c r="G155" s="83">
        <f>SUMIFS(G156:G540,K156:K540,"0",B156:B540,"1 2 3 5 4 12 31111 6 M59 30100 000132 0000R 00002 00614 025*")</f>
        <v>0</v>
      </c>
      <c r="H155" s="83">
        <f t="shared" si="2"/>
        <v>7549999.9900000002</v>
      </c>
      <c r="I155" s="83"/>
      <c r="K155" s="54" t="s">
        <v>15</v>
      </c>
    </row>
    <row r="156" spans="2:11" ht="33" x14ac:dyDescent="0.2">
      <c r="B156" s="82" t="s">
        <v>775</v>
      </c>
      <c r="C156" s="82" t="s">
        <v>658</v>
      </c>
      <c r="D156" s="83">
        <f>SUMIFS(D157:D540,K157:K540,"0",B157:B540,"1 2 3 5 4 12 31111 6 M59 30100 000132 0000R 00002 00614 025 2210000*")-SUMIFS(E157:E540,K157:K540,"0",B157:B540,"1 2 3 5 4 12 31111 6 M59 30100 000132 0000R 00002 00614 025 2210000*")</f>
        <v>0</v>
      </c>
      <c r="E156" s="54"/>
      <c r="F156" s="83">
        <f>SUMIFS(F157:F540,K157:K540,"0",B157:B540,"1 2 3 5 4 12 31111 6 M59 30100 000132 0000R 00002 00614 025 2210000*")</f>
        <v>7549999.9900000002</v>
      </c>
      <c r="G156" s="83">
        <f>SUMIFS(G157:G540,K157:K540,"0",B157:B540,"1 2 3 5 4 12 31111 6 M59 30100 000132 0000R 00002 00614 025 2210000*")</f>
        <v>0</v>
      </c>
      <c r="H156" s="83">
        <f t="shared" si="2"/>
        <v>7549999.9900000002</v>
      </c>
      <c r="I156" s="83"/>
      <c r="K156" s="54" t="s">
        <v>15</v>
      </c>
    </row>
    <row r="157" spans="2:11" ht="33" x14ac:dyDescent="0.2">
      <c r="B157" s="82" t="s">
        <v>776</v>
      </c>
      <c r="C157" s="82" t="s">
        <v>660</v>
      </c>
      <c r="D157" s="83">
        <f>SUMIFS(D158:D540,K158:K540,"0",B158:B540,"1 2 3 5 4 12 31111 6 M59 30100 000132 0000R 00002 00614 025 2210000 2024*")-SUMIFS(E158:E540,K158:K540,"0",B158:B540,"1 2 3 5 4 12 31111 6 M59 30100 000132 0000R 00002 00614 025 2210000 2024*")</f>
        <v>0</v>
      </c>
      <c r="E157" s="54"/>
      <c r="F157" s="83">
        <f>SUMIFS(F158:F540,K158:K540,"0",B158:B540,"1 2 3 5 4 12 31111 6 M59 30100 000132 0000R 00002 00614 025 2210000 2024*")</f>
        <v>7549999.9900000002</v>
      </c>
      <c r="G157" s="83">
        <f>SUMIFS(G158:G540,K158:K540,"0",B158:B540,"1 2 3 5 4 12 31111 6 M59 30100 000132 0000R 00002 00614 025 2210000 2024*")</f>
        <v>0</v>
      </c>
      <c r="H157" s="83">
        <f t="shared" si="2"/>
        <v>7549999.9900000002</v>
      </c>
      <c r="I157" s="83"/>
      <c r="K157" s="54" t="s">
        <v>15</v>
      </c>
    </row>
    <row r="158" spans="2:11" ht="41.25" x14ac:dyDescent="0.2">
      <c r="B158" s="82" t="s">
        <v>777</v>
      </c>
      <c r="C158" s="82" t="s">
        <v>662</v>
      </c>
      <c r="D158" s="83">
        <f>SUMIFS(D159:D540,K159:K540,"0",B159:B540,"1 2 3 5 4 12 31111 6 M59 30100 000132 0000R 00002 00614 025 2210000 2024 CP2OP405*")-SUMIFS(E159:E540,K159:K540,"0",B159:B540,"1 2 3 5 4 12 31111 6 M59 30100 000132 0000R 00002 00614 025 2210000 2024 CP2OP405*")</f>
        <v>0</v>
      </c>
      <c r="E158" s="54"/>
      <c r="F158" s="83">
        <f>SUMIFS(F159:F540,K159:K540,"0",B159:B540,"1 2 3 5 4 12 31111 6 M59 30100 000132 0000R 00002 00614 025 2210000 2024 CP2OP405*")</f>
        <v>7549999.9900000002</v>
      </c>
      <c r="G158" s="83">
        <f>SUMIFS(G159:G540,K159:K540,"0",B159:B540,"1 2 3 5 4 12 31111 6 M59 30100 000132 0000R 00002 00614 025 2210000 2024 CP2OP405*")</f>
        <v>0</v>
      </c>
      <c r="H158" s="83">
        <f t="shared" si="2"/>
        <v>7549999.9900000002</v>
      </c>
      <c r="I158" s="83"/>
      <c r="K158" s="54" t="s">
        <v>15</v>
      </c>
    </row>
    <row r="159" spans="2:11" ht="41.25" x14ac:dyDescent="0.2">
      <c r="B159" s="82" t="s">
        <v>778</v>
      </c>
      <c r="C159" s="82" t="s">
        <v>671</v>
      </c>
      <c r="D159" s="83">
        <f>SUMIFS(D160:D540,K160:K540,"0",B160:B540,"1 2 3 5 4 12 31111 6 M59 30100 000132 0000R 00002 00614 025 2210000 2024 CP2OP405 002*")-SUMIFS(E160:E540,K160:K540,"0",B160:B540,"1 2 3 5 4 12 31111 6 M59 30100 000132 0000R 00002 00614 025 2210000 2024 CP2OP405 002*")</f>
        <v>0</v>
      </c>
      <c r="E159" s="54"/>
      <c r="F159" s="83">
        <f>SUMIFS(F160:F540,K160:K540,"0",B160:B540,"1 2 3 5 4 12 31111 6 M59 30100 000132 0000R 00002 00614 025 2210000 2024 CP2OP405 002*")</f>
        <v>7549999.9900000002</v>
      </c>
      <c r="G159" s="83">
        <f>SUMIFS(G160:G540,K160:K540,"0",B160:B540,"1 2 3 5 4 12 31111 6 M59 30100 000132 0000R 00002 00614 025 2210000 2024 CP2OP405 002*")</f>
        <v>0</v>
      </c>
      <c r="H159" s="83">
        <f t="shared" si="2"/>
        <v>7549999.9900000002</v>
      </c>
      <c r="I159" s="83"/>
      <c r="K159" s="54" t="s">
        <v>15</v>
      </c>
    </row>
    <row r="160" spans="2:11" ht="49.5" x14ac:dyDescent="0.2">
      <c r="B160" s="82" t="s">
        <v>779</v>
      </c>
      <c r="C160" s="82" t="s">
        <v>780</v>
      </c>
      <c r="D160" s="83">
        <f>SUMIFS(D161:D540,K161:K540,"0",B161:B540,"1 2 3 5 4 12 31111 6 M59 30100 000132 0000R 00002 00614 025 2210000 2024 CP2OP405 002 0000001*")-SUMIFS(E161:E540,K161:K540,"0",B161:B540,"1 2 3 5 4 12 31111 6 M59 30100 000132 0000R 00002 00614 025 2210000 2024 CP2OP405 002 0000001*")</f>
        <v>0</v>
      </c>
      <c r="E160" s="54"/>
      <c r="F160" s="83">
        <f>SUMIFS(F161:F540,K161:K540,"0",B161:B540,"1 2 3 5 4 12 31111 6 M59 30100 000132 0000R 00002 00614 025 2210000 2024 CP2OP405 002 0000001*")</f>
        <v>7549999.9900000002</v>
      </c>
      <c r="G160" s="83">
        <f>SUMIFS(G161:G540,K161:K540,"0",B161:B540,"1 2 3 5 4 12 31111 6 M59 30100 000132 0000R 00002 00614 025 2210000 2024 CP2OP405 002 0000001*")</f>
        <v>0</v>
      </c>
      <c r="H160" s="83">
        <f t="shared" si="2"/>
        <v>7549999.9900000002</v>
      </c>
      <c r="I160" s="83"/>
      <c r="K160" s="54" t="s">
        <v>15</v>
      </c>
    </row>
    <row r="161" spans="2:11" ht="41.25" x14ac:dyDescent="0.2">
      <c r="B161" s="84" t="s">
        <v>781</v>
      </c>
      <c r="C161" s="84" t="s">
        <v>782</v>
      </c>
      <c r="D161" s="85">
        <v>0</v>
      </c>
      <c r="E161" s="85"/>
      <c r="F161" s="85">
        <v>1599999.99</v>
      </c>
      <c r="G161" s="85">
        <v>0</v>
      </c>
      <c r="H161" s="85">
        <f t="shared" si="2"/>
        <v>1599999.99</v>
      </c>
      <c r="I161" s="85"/>
      <c r="K161" s="54" t="s">
        <v>38</v>
      </c>
    </row>
    <row r="162" spans="2:11" ht="41.25" x14ac:dyDescent="0.2">
      <c r="B162" s="84" t="s">
        <v>783</v>
      </c>
      <c r="C162" s="84" t="s">
        <v>784</v>
      </c>
      <c r="D162" s="85">
        <v>0</v>
      </c>
      <c r="E162" s="85"/>
      <c r="F162" s="85">
        <v>1720000</v>
      </c>
      <c r="G162" s="85">
        <v>0</v>
      </c>
      <c r="H162" s="85">
        <f t="shared" si="2"/>
        <v>1720000</v>
      </c>
      <c r="I162" s="85"/>
      <c r="K162" s="54" t="s">
        <v>38</v>
      </c>
    </row>
    <row r="163" spans="2:11" ht="41.25" x14ac:dyDescent="0.2">
      <c r="B163" s="84" t="s">
        <v>785</v>
      </c>
      <c r="C163" s="84" t="s">
        <v>786</v>
      </c>
      <c r="D163" s="85">
        <v>0</v>
      </c>
      <c r="E163" s="85"/>
      <c r="F163" s="85">
        <v>1680000</v>
      </c>
      <c r="G163" s="85">
        <v>0</v>
      </c>
      <c r="H163" s="85">
        <f t="shared" si="2"/>
        <v>1680000</v>
      </c>
      <c r="I163" s="85"/>
      <c r="K163" s="54" t="s">
        <v>38</v>
      </c>
    </row>
    <row r="164" spans="2:11" ht="41.25" x14ac:dyDescent="0.2">
      <c r="B164" s="84" t="s">
        <v>787</v>
      </c>
      <c r="C164" s="84" t="s">
        <v>788</v>
      </c>
      <c r="D164" s="85">
        <v>0</v>
      </c>
      <c r="E164" s="85"/>
      <c r="F164" s="85">
        <v>1720000</v>
      </c>
      <c r="G164" s="85">
        <v>0</v>
      </c>
      <c r="H164" s="85">
        <f t="shared" si="2"/>
        <v>1720000</v>
      </c>
      <c r="I164" s="85"/>
      <c r="K164" s="54" t="s">
        <v>38</v>
      </c>
    </row>
    <row r="165" spans="2:11" ht="41.25" x14ac:dyDescent="0.2">
      <c r="B165" s="84" t="s">
        <v>789</v>
      </c>
      <c r="C165" s="84" t="s">
        <v>790</v>
      </c>
      <c r="D165" s="85">
        <v>0</v>
      </c>
      <c r="E165" s="85"/>
      <c r="F165" s="85">
        <v>830000</v>
      </c>
      <c r="G165" s="85">
        <v>0</v>
      </c>
      <c r="H165" s="85">
        <f t="shared" si="2"/>
        <v>830000</v>
      </c>
      <c r="I165" s="85"/>
      <c r="K165" s="54" t="s">
        <v>38</v>
      </c>
    </row>
    <row r="166" spans="2:11" ht="16.5" x14ac:dyDescent="0.2">
      <c r="B166" s="82" t="s">
        <v>791</v>
      </c>
      <c r="C166" s="82" t="s">
        <v>792</v>
      </c>
      <c r="D166" s="83">
        <f>SUMIFS(D167:D540,K167:K540,"0",B167:B540,"1 2 3 5 5*")-SUMIFS(E167:E540,K167:K540,"0",B167:B540,"1 2 3 5 5*")</f>
        <v>0</v>
      </c>
      <c r="E166" s="54"/>
      <c r="F166" s="83">
        <f>SUMIFS(F167:F540,K167:K540,"0",B167:B540,"1 2 3 5 5*")</f>
        <v>8003685.1800000006</v>
      </c>
      <c r="G166" s="83">
        <f>SUMIFS(G167:G540,K167:K540,"0",B167:B540,"1 2 3 5 5*")</f>
        <v>0</v>
      </c>
      <c r="H166" s="83">
        <f t="shared" si="2"/>
        <v>8003685.1800000006</v>
      </c>
      <c r="I166" s="83"/>
      <c r="K166" s="54" t="s">
        <v>15</v>
      </c>
    </row>
    <row r="167" spans="2:11" ht="12.75" x14ac:dyDescent="0.2">
      <c r="B167" s="82" t="s">
        <v>793</v>
      </c>
      <c r="C167" s="82" t="s">
        <v>26</v>
      </c>
      <c r="D167" s="83">
        <f>SUMIFS(D168:D540,K168:K540,"0",B168:B540,"1 2 3 5 5 12*")-SUMIFS(E168:E540,K168:K540,"0",B168:B540,"1 2 3 5 5 12*")</f>
        <v>0</v>
      </c>
      <c r="E167" s="54"/>
      <c r="F167" s="83">
        <f>SUMIFS(F168:F540,K168:K540,"0",B168:B540,"1 2 3 5 5 12*")</f>
        <v>8003685.1800000006</v>
      </c>
      <c r="G167" s="83">
        <f>SUMIFS(G168:G540,K168:K540,"0",B168:B540,"1 2 3 5 5 12*")</f>
        <v>0</v>
      </c>
      <c r="H167" s="83">
        <f t="shared" si="2"/>
        <v>8003685.1800000006</v>
      </c>
      <c r="I167" s="83"/>
      <c r="K167" s="54" t="s">
        <v>15</v>
      </c>
    </row>
    <row r="168" spans="2:11" ht="16.5" x14ac:dyDescent="0.2">
      <c r="B168" s="82" t="s">
        <v>794</v>
      </c>
      <c r="C168" s="82" t="s">
        <v>28</v>
      </c>
      <c r="D168" s="83">
        <f>SUMIFS(D169:D540,K169:K540,"0",B169:B540,"1 2 3 5 5 12 31111*")-SUMIFS(E169:E540,K169:K540,"0",B169:B540,"1 2 3 5 5 12 31111*")</f>
        <v>0</v>
      </c>
      <c r="E168" s="54"/>
      <c r="F168" s="83">
        <f>SUMIFS(F169:F540,K169:K540,"0",B169:B540,"1 2 3 5 5 12 31111*")</f>
        <v>8003685.1800000006</v>
      </c>
      <c r="G168" s="83">
        <f>SUMIFS(G169:G540,K169:K540,"0",B169:B540,"1 2 3 5 5 12 31111*")</f>
        <v>0</v>
      </c>
      <c r="H168" s="83">
        <f t="shared" si="2"/>
        <v>8003685.1800000006</v>
      </c>
      <c r="I168" s="83"/>
      <c r="K168" s="54" t="s">
        <v>15</v>
      </c>
    </row>
    <row r="169" spans="2:11" ht="12.75" x14ac:dyDescent="0.2">
      <c r="B169" s="82" t="s">
        <v>795</v>
      </c>
      <c r="C169" s="82" t="s">
        <v>30</v>
      </c>
      <c r="D169" s="83">
        <f>SUMIFS(D170:D540,K170:K540,"0",B170:B540,"1 2 3 5 5 12 31111 6*")-SUMIFS(E170:E540,K170:K540,"0",B170:B540,"1 2 3 5 5 12 31111 6*")</f>
        <v>0</v>
      </c>
      <c r="E169" s="54"/>
      <c r="F169" s="83">
        <f>SUMIFS(F170:F540,K170:K540,"0",B170:B540,"1 2 3 5 5 12 31111 6*")</f>
        <v>8003685.1800000006</v>
      </c>
      <c r="G169" s="83">
        <f>SUMIFS(G170:G540,K170:K540,"0",B170:B540,"1 2 3 5 5 12 31111 6*")</f>
        <v>0</v>
      </c>
      <c r="H169" s="83">
        <f t="shared" si="2"/>
        <v>8003685.1800000006</v>
      </c>
      <c r="I169" s="83"/>
      <c r="K169" s="54" t="s">
        <v>15</v>
      </c>
    </row>
    <row r="170" spans="2:11" ht="16.5" x14ac:dyDescent="0.2">
      <c r="B170" s="82" t="s">
        <v>796</v>
      </c>
      <c r="C170" s="82" t="s">
        <v>32</v>
      </c>
      <c r="D170" s="83">
        <f>SUMIFS(D171:D540,K171:K540,"0",B171:B540,"1 2 3 5 5 12 31111 6 M59*")-SUMIFS(E171:E540,K171:K540,"0",B171:B540,"1 2 3 5 5 12 31111 6 M59*")</f>
        <v>0</v>
      </c>
      <c r="E170" s="54"/>
      <c r="F170" s="83">
        <f>SUMIFS(F171:F540,K171:K540,"0",B171:B540,"1 2 3 5 5 12 31111 6 M59*")</f>
        <v>8003685.1800000006</v>
      </c>
      <c r="G170" s="83">
        <f>SUMIFS(G171:G540,K171:K540,"0",B171:B540,"1 2 3 5 5 12 31111 6 M59*")</f>
        <v>0</v>
      </c>
      <c r="H170" s="83">
        <f t="shared" si="2"/>
        <v>8003685.1800000006</v>
      </c>
      <c r="I170" s="83"/>
      <c r="K170" s="54" t="s">
        <v>15</v>
      </c>
    </row>
    <row r="171" spans="2:11" ht="16.5" x14ac:dyDescent="0.2">
      <c r="B171" s="82" t="s">
        <v>797</v>
      </c>
      <c r="C171" s="82" t="s">
        <v>646</v>
      </c>
      <c r="D171" s="83">
        <f>SUMIFS(D172:D540,K172:K540,"0",B172:B540,"1 2 3 5 5 12 31111 6 M59 30100*")-SUMIFS(E172:E540,K172:K540,"0",B172:B540,"1 2 3 5 5 12 31111 6 M59 30100*")</f>
        <v>0</v>
      </c>
      <c r="E171" s="54"/>
      <c r="F171" s="83">
        <f>SUMIFS(F172:F540,K172:K540,"0",B172:B540,"1 2 3 5 5 12 31111 6 M59 30100*")</f>
        <v>8003685.1800000006</v>
      </c>
      <c r="G171" s="83">
        <f>SUMIFS(G172:G540,K172:K540,"0",B172:B540,"1 2 3 5 5 12 31111 6 M59 30100*")</f>
        <v>0</v>
      </c>
      <c r="H171" s="83">
        <f t="shared" si="2"/>
        <v>8003685.1800000006</v>
      </c>
      <c r="I171" s="83"/>
      <c r="K171" s="54" t="s">
        <v>15</v>
      </c>
    </row>
    <row r="172" spans="2:11" ht="16.5" x14ac:dyDescent="0.2">
      <c r="B172" s="82" t="s">
        <v>798</v>
      </c>
      <c r="C172" s="82" t="s">
        <v>648</v>
      </c>
      <c r="D172" s="83">
        <f>SUMIFS(D173:D540,K173:K540,"0",B173:B540,"1 2 3 5 5 12 31111 6 M59 30100 000132*")-SUMIFS(E173:E540,K173:K540,"0",B173:B540,"1 2 3 5 5 12 31111 6 M59 30100 000132*")</f>
        <v>0</v>
      </c>
      <c r="E172" s="54"/>
      <c r="F172" s="83">
        <f>SUMIFS(F173:F540,K173:K540,"0",B173:B540,"1 2 3 5 5 12 31111 6 M59 30100 000132*")</f>
        <v>8003685.1800000006</v>
      </c>
      <c r="G172" s="83">
        <f>SUMIFS(G173:G540,K173:K540,"0",B173:B540,"1 2 3 5 5 12 31111 6 M59 30100 000132*")</f>
        <v>0</v>
      </c>
      <c r="H172" s="83">
        <f t="shared" si="2"/>
        <v>8003685.1800000006</v>
      </c>
      <c r="I172" s="83"/>
      <c r="K172" s="54" t="s">
        <v>15</v>
      </c>
    </row>
    <row r="173" spans="2:11" ht="24.75" x14ac:dyDescent="0.2">
      <c r="B173" s="82" t="s">
        <v>799</v>
      </c>
      <c r="C173" s="82" t="s">
        <v>650</v>
      </c>
      <c r="D173" s="83">
        <f>SUMIFS(D174:D540,K174:K540,"0",B174:B540,"1 2 3 5 5 12 31111 6 M59 30100 000132 0000R*")-SUMIFS(E174:E540,K174:K540,"0",B174:B540,"1 2 3 5 5 12 31111 6 M59 30100 000132 0000R*")</f>
        <v>0</v>
      </c>
      <c r="E173" s="54"/>
      <c r="F173" s="83">
        <f>SUMIFS(F174:F540,K174:K540,"0",B174:B540,"1 2 3 5 5 12 31111 6 M59 30100 000132 0000R*")</f>
        <v>8003685.1800000006</v>
      </c>
      <c r="G173" s="83">
        <f>SUMIFS(G174:G540,K174:K540,"0",B174:B540,"1 2 3 5 5 12 31111 6 M59 30100 000132 0000R*")</f>
        <v>0</v>
      </c>
      <c r="H173" s="83">
        <f t="shared" si="2"/>
        <v>8003685.1800000006</v>
      </c>
      <c r="I173" s="83"/>
      <c r="K173" s="54" t="s">
        <v>15</v>
      </c>
    </row>
    <row r="174" spans="2:11" ht="24.75" x14ac:dyDescent="0.2">
      <c r="B174" s="82" t="s">
        <v>800</v>
      </c>
      <c r="C174" s="82" t="s">
        <v>652</v>
      </c>
      <c r="D174" s="83">
        <f>SUMIFS(D175:D540,K175:K540,"0",B175:B540,"1 2 3 5 5 12 31111 6 M59 30100 000132 0000R 00002*")-SUMIFS(E175:E540,K175:K540,"0",B175:B540,"1 2 3 5 5 12 31111 6 M59 30100 000132 0000R 00002*")</f>
        <v>0</v>
      </c>
      <c r="E174" s="54"/>
      <c r="F174" s="83">
        <f>SUMIFS(F175:F540,K175:K540,"0",B175:B540,"1 2 3 5 5 12 31111 6 M59 30100 000132 0000R 00002*")</f>
        <v>8003685.1800000006</v>
      </c>
      <c r="G174" s="83">
        <f>SUMIFS(G175:G540,K175:K540,"0",B175:B540,"1 2 3 5 5 12 31111 6 M59 30100 000132 0000R 00002*")</f>
        <v>0</v>
      </c>
      <c r="H174" s="83">
        <f t="shared" si="2"/>
        <v>8003685.1800000006</v>
      </c>
      <c r="I174" s="83"/>
      <c r="K174" s="54" t="s">
        <v>15</v>
      </c>
    </row>
    <row r="175" spans="2:11" ht="24.75" x14ac:dyDescent="0.2">
      <c r="B175" s="82" t="s">
        <v>801</v>
      </c>
      <c r="C175" s="82" t="s">
        <v>802</v>
      </c>
      <c r="D175" s="83">
        <f>SUMIFS(D176:D540,K176:K540,"0",B176:B540,"1 2 3 5 5 12 31111 6 M59 30100 000132 0000R 00002 00615*")-SUMIFS(E176:E540,K176:K540,"0",B176:B540,"1 2 3 5 5 12 31111 6 M59 30100 000132 0000R 00002 00615*")</f>
        <v>0</v>
      </c>
      <c r="E175" s="54"/>
      <c r="F175" s="83">
        <f>SUMIFS(F176:F540,K176:K540,"0",B176:B540,"1 2 3 5 5 12 31111 6 M59 30100 000132 0000R 00002 00615*")</f>
        <v>8003685.1800000006</v>
      </c>
      <c r="G175" s="83">
        <f>SUMIFS(G176:G540,K176:K540,"0",B176:B540,"1 2 3 5 5 12 31111 6 M59 30100 000132 0000R 00002 00615*")</f>
        <v>0</v>
      </c>
      <c r="H175" s="83">
        <f t="shared" si="2"/>
        <v>8003685.1800000006</v>
      </c>
      <c r="I175" s="83"/>
      <c r="K175" s="54" t="s">
        <v>15</v>
      </c>
    </row>
    <row r="176" spans="2:11" ht="33" x14ac:dyDescent="0.2">
      <c r="B176" s="82" t="s">
        <v>803</v>
      </c>
      <c r="C176" s="82" t="s">
        <v>656</v>
      </c>
      <c r="D176" s="83">
        <f>SUMIFS(D177:D540,K177:K540,"0",B177:B540,"1 2 3 5 5 12 31111 6 M59 30100 000132 0000R 00002 00615 025*")-SUMIFS(E177:E540,K177:K540,"0",B177:B540,"1 2 3 5 5 12 31111 6 M59 30100 000132 0000R 00002 00615 025*")</f>
        <v>0</v>
      </c>
      <c r="E176" s="54"/>
      <c r="F176" s="83">
        <f>SUMIFS(F177:F540,K177:K540,"0",B177:B540,"1 2 3 5 5 12 31111 6 M59 30100 000132 0000R 00002 00615 025*")</f>
        <v>8003685.1800000006</v>
      </c>
      <c r="G176" s="83">
        <f>SUMIFS(G177:G540,K177:K540,"0",B177:B540,"1 2 3 5 5 12 31111 6 M59 30100 000132 0000R 00002 00615 025*")</f>
        <v>0</v>
      </c>
      <c r="H176" s="83">
        <f t="shared" si="2"/>
        <v>8003685.1800000006</v>
      </c>
      <c r="I176" s="83"/>
      <c r="K176" s="54" t="s">
        <v>15</v>
      </c>
    </row>
    <row r="177" spans="2:11" ht="33" x14ac:dyDescent="0.2">
      <c r="B177" s="82" t="s">
        <v>804</v>
      </c>
      <c r="C177" s="82" t="s">
        <v>658</v>
      </c>
      <c r="D177" s="83">
        <f>SUMIFS(D178:D540,K178:K540,"0",B178:B540,"1 2 3 5 5 12 31111 6 M59 30100 000132 0000R 00002 00615 025 2210000*")-SUMIFS(E178:E540,K178:K540,"0",B178:B540,"1 2 3 5 5 12 31111 6 M59 30100 000132 0000R 00002 00615 025 2210000*")</f>
        <v>0</v>
      </c>
      <c r="E177" s="54"/>
      <c r="F177" s="83">
        <f>SUMIFS(F178:F540,K178:K540,"0",B178:B540,"1 2 3 5 5 12 31111 6 M59 30100 000132 0000R 00002 00615 025 2210000*")</f>
        <v>8003685.1800000006</v>
      </c>
      <c r="G177" s="83">
        <f>SUMIFS(G178:G540,K178:K540,"0",B178:B540,"1 2 3 5 5 12 31111 6 M59 30100 000132 0000R 00002 00615 025 2210000*")</f>
        <v>0</v>
      </c>
      <c r="H177" s="83">
        <f t="shared" si="2"/>
        <v>8003685.1800000006</v>
      </c>
      <c r="I177" s="83"/>
      <c r="K177" s="54" t="s">
        <v>15</v>
      </c>
    </row>
    <row r="178" spans="2:11" ht="33" x14ac:dyDescent="0.2">
      <c r="B178" s="82" t="s">
        <v>805</v>
      </c>
      <c r="C178" s="82" t="s">
        <v>660</v>
      </c>
      <c r="D178" s="83">
        <f>SUMIFS(D179:D540,K179:K540,"0",B179:B540,"1 2 3 5 5 12 31111 6 M59 30100 000132 0000R 00002 00615 025 2210000 2024*")-SUMIFS(E179:E540,K179:K540,"0",B179:B540,"1 2 3 5 5 12 31111 6 M59 30100 000132 0000R 00002 00615 025 2210000 2024*")</f>
        <v>0</v>
      </c>
      <c r="E178" s="54"/>
      <c r="F178" s="83">
        <f>SUMIFS(F179:F540,K179:K540,"0",B179:B540,"1 2 3 5 5 12 31111 6 M59 30100 000132 0000R 00002 00615 025 2210000 2024*")</f>
        <v>8003685.1800000006</v>
      </c>
      <c r="G178" s="83">
        <f>SUMIFS(G179:G540,K179:K540,"0",B179:B540,"1 2 3 5 5 12 31111 6 M59 30100 000132 0000R 00002 00615 025 2210000 2024*")</f>
        <v>0</v>
      </c>
      <c r="H178" s="83">
        <f t="shared" si="2"/>
        <v>8003685.1800000006</v>
      </c>
      <c r="I178" s="83"/>
      <c r="K178" s="54" t="s">
        <v>15</v>
      </c>
    </row>
    <row r="179" spans="2:11" ht="41.25" x14ac:dyDescent="0.2">
      <c r="B179" s="82" t="s">
        <v>806</v>
      </c>
      <c r="C179" s="82" t="s">
        <v>662</v>
      </c>
      <c r="D179" s="83">
        <f>SUMIFS(D180:D540,K180:K540,"0",B180:B540,"1 2 3 5 5 12 31111 6 M59 30100 000132 0000R 00002 00615 025 2210000 2024 CP2OP405*")-SUMIFS(E180:E540,K180:K540,"0",B180:B540,"1 2 3 5 5 12 31111 6 M59 30100 000132 0000R 00002 00615 025 2210000 2024 CP2OP405*")</f>
        <v>0</v>
      </c>
      <c r="E179" s="54"/>
      <c r="F179" s="83">
        <f>SUMIFS(F180:F540,K180:K540,"0",B180:B540,"1 2 3 5 5 12 31111 6 M59 30100 000132 0000R 00002 00615 025 2210000 2024 CP2OP405*")</f>
        <v>8003685.1800000006</v>
      </c>
      <c r="G179" s="83">
        <f>SUMIFS(G180:G540,K180:K540,"0",B180:B540,"1 2 3 5 5 12 31111 6 M59 30100 000132 0000R 00002 00615 025 2210000 2024 CP2OP405*")</f>
        <v>0</v>
      </c>
      <c r="H179" s="83">
        <f t="shared" si="2"/>
        <v>8003685.1800000006</v>
      </c>
      <c r="I179" s="83"/>
      <c r="K179" s="54" t="s">
        <v>15</v>
      </c>
    </row>
    <row r="180" spans="2:11" ht="41.25" x14ac:dyDescent="0.2">
      <c r="B180" s="82" t="s">
        <v>807</v>
      </c>
      <c r="C180" s="82" t="s">
        <v>671</v>
      </c>
      <c r="D180" s="83">
        <f>SUMIFS(D181:D540,K181:K540,"0",B181:B540,"1 2 3 5 5 12 31111 6 M59 30100 000132 0000R 00002 00615 025 2210000 2024 CP2OP405 002*")-SUMIFS(E181:E540,K181:K540,"0",B181:B540,"1 2 3 5 5 12 31111 6 M59 30100 000132 0000R 00002 00615 025 2210000 2024 CP2OP405 002*")</f>
        <v>0</v>
      </c>
      <c r="E180" s="54"/>
      <c r="F180" s="83">
        <f>SUMIFS(F181:F540,K181:K540,"0",B181:B540,"1 2 3 5 5 12 31111 6 M59 30100 000132 0000R 00002 00615 025 2210000 2024 CP2OP405 002*")</f>
        <v>8003685.1800000006</v>
      </c>
      <c r="G180" s="83">
        <f>SUMIFS(G181:G540,K181:K540,"0",B181:B540,"1 2 3 5 5 12 31111 6 M59 30100 000132 0000R 00002 00615 025 2210000 2024 CP2OP405 002*")</f>
        <v>0</v>
      </c>
      <c r="H180" s="83">
        <f t="shared" si="2"/>
        <v>8003685.1800000006</v>
      </c>
      <c r="I180" s="83"/>
      <c r="K180" s="54" t="s">
        <v>15</v>
      </c>
    </row>
    <row r="181" spans="2:11" ht="49.5" x14ac:dyDescent="0.2">
      <c r="B181" s="82" t="s">
        <v>808</v>
      </c>
      <c r="C181" s="82" t="s">
        <v>809</v>
      </c>
      <c r="D181" s="83">
        <f>SUMIFS(D182:D540,K182:K540,"0",B182:B540,"1 2 3 5 5 12 31111 6 M59 30100 000132 0000R 00002 00615 025 2210000 2024 CP2OP405 002 0000001*")-SUMIFS(E182:E540,K182:K540,"0",B182:B540,"1 2 3 5 5 12 31111 6 M59 30100 000132 0000R 00002 00615 025 2210000 2024 CP2OP405 002 0000001*")</f>
        <v>0</v>
      </c>
      <c r="E181" s="54"/>
      <c r="F181" s="83">
        <f>SUMIFS(F182:F540,K182:K540,"0",B182:B540,"1 2 3 5 5 12 31111 6 M59 30100 000132 0000R 00002 00615 025 2210000 2024 CP2OP405 002 0000001*")</f>
        <v>5930392.4699999997</v>
      </c>
      <c r="G181" s="83">
        <f>SUMIFS(G182:G540,K182:K540,"0",B182:B540,"1 2 3 5 5 12 31111 6 M59 30100 000132 0000R 00002 00615 025 2210000 2024 CP2OP405 002 0000001*")</f>
        <v>0</v>
      </c>
      <c r="H181" s="83">
        <f t="shared" si="2"/>
        <v>5930392.4699999997</v>
      </c>
      <c r="I181" s="83"/>
      <c r="K181" s="54" t="s">
        <v>15</v>
      </c>
    </row>
    <row r="182" spans="2:11" ht="41.25" x14ac:dyDescent="0.2">
      <c r="B182" s="84" t="s">
        <v>810</v>
      </c>
      <c r="C182" s="84" t="s">
        <v>811</v>
      </c>
      <c r="D182" s="85">
        <v>0</v>
      </c>
      <c r="E182" s="85"/>
      <c r="F182" s="85">
        <v>1300985.71</v>
      </c>
      <c r="G182" s="85">
        <v>0</v>
      </c>
      <c r="H182" s="85">
        <f t="shared" si="2"/>
        <v>1300985.71</v>
      </c>
      <c r="I182" s="85"/>
      <c r="K182" s="54" t="s">
        <v>38</v>
      </c>
    </row>
    <row r="183" spans="2:11" ht="41.25" x14ac:dyDescent="0.2">
      <c r="B183" s="84" t="s">
        <v>812</v>
      </c>
      <c r="C183" s="84" t="s">
        <v>813</v>
      </c>
      <c r="D183" s="85">
        <v>0</v>
      </c>
      <c r="E183" s="85"/>
      <c r="F183" s="85">
        <v>1507752.6</v>
      </c>
      <c r="G183" s="85">
        <v>0</v>
      </c>
      <c r="H183" s="85">
        <f t="shared" si="2"/>
        <v>1507752.6</v>
      </c>
      <c r="I183" s="85"/>
      <c r="K183" s="54" t="s">
        <v>38</v>
      </c>
    </row>
    <row r="184" spans="2:11" ht="41.25" x14ac:dyDescent="0.2">
      <c r="B184" s="84" t="s">
        <v>814</v>
      </c>
      <c r="C184" s="84" t="s">
        <v>815</v>
      </c>
      <c r="D184" s="85">
        <v>0</v>
      </c>
      <c r="E184" s="85"/>
      <c r="F184" s="85">
        <v>1126895.92</v>
      </c>
      <c r="G184" s="85">
        <v>0</v>
      </c>
      <c r="H184" s="85">
        <f t="shared" si="2"/>
        <v>1126895.92</v>
      </c>
      <c r="I184" s="85"/>
      <c r="K184" s="54" t="s">
        <v>38</v>
      </c>
    </row>
    <row r="185" spans="2:11" ht="41.25" x14ac:dyDescent="0.2">
      <c r="B185" s="84" t="s">
        <v>816</v>
      </c>
      <c r="C185" s="84" t="s">
        <v>817</v>
      </c>
      <c r="D185" s="85">
        <v>0</v>
      </c>
      <c r="E185" s="85"/>
      <c r="F185" s="85">
        <v>1696758.24</v>
      </c>
      <c r="G185" s="85">
        <v>0</v>
      </c>
      <c r="H185" s="85">
        <f t="shared" si="2"/>
        <v>1696758.24</v>
      </c>
      <c r="I185" s="85"/>
      <c r="K185" s="54" t="s">
        <v>38</v>
      </c>
    </row>
    <row r="186" spans="2:11" ht="41.25" x14ac:dyDescent="0.2">
      <c r="B186" s="84" t="s">
        <v>818</v>
      </c>
      <c r="C186" s="84" t="s">
        <v>819</v>
      </c>
      <c r="D186" s="85">
        <v>0</v>
      </c>
      <c r="E186" s="85"/>
      <c r="F186" s="85">
        <v>298000</v>
      </c>
      <c r="G186" s="85">
        <v>0</v>
      </c>
      <c r="H186" s="85">
        <f t="shared" si="2"/>
        <v>298000</v>
      </c>
      <c r="I186" s="85"/>
      <c r="K186" s="54" t="s">
        <v>38</v>
      </c>
    </row>
    <row r="187" spans="2:11" ht="49.5" x14ac:dyDescent="0.2">
      <c r="B187" s="82" t="s">
        <v>820</v>
      </c>
      <c r="C187" s="82" t="s">
        <v>821</v>
      </c>
      <c r="D187" s="83">
        <f>SUMIFS(D188:D540,K188:K540,"0",B188:B540,"1 2 3 5 5 12 31111 6 M59 30100 000132 0000R 00002 00615 025 2210000 2024 CP2OP405 002 0000002*")-SUMIFS(E188:E540,K188:K540,"0",B188:B540,"1 2 3 5 5 12 31111 6 M59 30100 000132 0000R 00002 00615 025 2210000 2024 CP2OP405 002 0000002*")</f>
        <v>0</v>
      </c>
      <c r="E187" s="54"/>
      <c r="F187" s="83">
        <f>SUMIFS(F188:F540,K188:K540,"0",B188:B540,"1 2 3 5 5 12 31111 6 M59 30100 000132 0000R 00002 00615 025 2210000 2024 CP2OP405 002 0000002*")</f>
        <v>2073292.71</v>
      </c>
      <c r="G187" s="83">
        <f>SUMIFS(G188:G540,K188:K540,"0",B188:B540,"1 2 3 5 5 12 31111 6 M59 30100 000132 0000R 00002 00615 025 2210000 2024 CP2OP405 002 0000002*")</f>
        <v>0</v>
      </c>
      <c r="H187" s="83">
        <f t="shared" si="2"/>
        <v>2073292.71</v>
      </c>
      <c r="I187" s="83"/>
      <c r="K187" s="54" t="s">
        <v>15</v>
      </c>
    </row>
    <row r="188" spans="2:11" ht="41.25" x14ac:dyDescent="0.2">
      <c r="B188" s="84" t="s">
        <v>822</v>
      </c>
      <c r="C188" s="84" t="s">
        <v>823</v>
      </c>
      <c r="D188" s="85">
        <v>0</v>
      </c>
      <c r="E188" s="85"/>
      <c r="F188" s="85">
        <v>1309939.6000000001</v>
      </c>
      <c r="G188" s="85">
        <v>0</v>
      </c>
      <c r="H188" s="85">
        <f t="shared" si="2"/>
        <v>1309939.6000000001</v>
      </c>
      <c r="I188" s="85"/>
      <c r="K188" s="54" t="s">
        <v>38</v>
      </c>
    </row>
    <row r="189" spans="2:11" ht="41.25" x14ac:dyDescent="0.2">
      <c r="B189" s="84" t="s">
        <v>824</v>
      </c>
      <c r="C189" s="84" t="s">
        <v>825</v>
      </c>
      <c r="D189" s="85">
        <v>0</v>
      </c>
      <c r="E189" s="85"/>
      <c r="F189" s="85">
        <v>763353.11</v>
      </c>
      <c r="G189" s="85">
        <v>0</v>
      </c>
      <c r="H189" s="85">
        <f t="shared" si="2"/>
        <v>763353.11</v>
      </c>
      <c r="I189" s="85"/>
      <c r="K189" s="54" t="s">
        <v>38</v>
      </c>
    </row>
    <row r="190" spans="2:11" ht="33" x14ac:dyDescent="0.2">
      <c r="B190" s="82" t="s">
        <v>826</v>
      </c>
      <c r="C190" s="82" t="s">
        <v>827</v>
      </c>
      <c r="D190" s="83">
        <f>SUMIFS(D191:D540,K191:K540,"0",B191:B540,"1 2 3 5 9*")-SUMIFS(E191:E540,K191:K540,"0",B191:B540,"1 2 3 5 9*")</f>
        <v>0</v>
      </c>
      <c r="E190" s="54"/>
      <c r="F190" s="83">
        <f>SUMIFS(F191:F540,K191:K540,"0",B191:B540,"1 2 3 5 9*")</f>
        <v>58030394.910000011</v>
      </c>
      <c r="G190" s="83">
        <f>SUMIFS(G191:G540,K191:K540,"0",B191:B540,"1 2 3 5 9*")</f>
        <v>21262154.199999996</v>
      </c>
      <c r="H190" s="83">
        <f t="shared" si="2"/>
        <v>36768240.710000016</v>
      </c>
      <c r="I190" s="83"/>
      <c r="K190" s="54" t="s">
        <v>15</v>
      </c>
    </row>
    <row r="191" spans="2:11" ht="12.75" x14ac:dyDescent="0.2">
      <c r="B191" s="82" t="s">
        <v>828</v>
      </c>
      <c r="C191" s="82" t="s">
        <v>26</v>
      </c>
      <c r="D191" s="83">
        <f>SUMIFS(D192:D540,K192:K540,"0",B192:B540,"1 2 3 5 9 12*")-SUMIFS(E192:E540,K192:K540,"0",B192:B540,"1 2 3 5 9 12*")</f>
        <v>0</v>
      </c>
      <c r="E191" s="54"/>
      <c r="F191" s="83">
        <f>SUMIFS(F192:F540,K192:K540,"0",B192:B540,"1 2 3 5 9 12*")</f>
        <v>58030394.910000011</v>
      </c>
      <c r="G191" s="83">
        <f>SUMIFS(G192:G540,K192:K540,"0",B192:B540,"1 2 3 5 9 12*")</f>
        <v>21262154.199999996</v>
      </c>
      <c r="H191" s="83">
        <f t="shared" si="2"/>
        <v>36768240.710000016</v>
      </c>
      <c r="I191" s="83"/>
      <c r="K191" s="54" t="s">
        <v>15</v>
      </c>
    </row>
    <row r="192" spans="2:11" ht="16.5" x14ac:dyDescent="0.2">
      <c r="B192" s="82" t="s">
        <v>829</v>
      </c>
      <c r="C192" s="82" t="s">
        <v>28</v>
      </c>
      <c r="D192" s="83">
        <f>SUMIFS(D193:D540,K193:K540,"0",B193:B540,"1 2 3 5 9 12 31111*")-SUMIFS(E193:E540,K193:K540,"0",B193:B540,"1 2 3 5 9 12 31111*")</f>
        <v>0</v>
      </c>
      <c r="E192" s="54"/>
      <c r="F192" s="83">
        <f>SUMIFS(F193:F540,K193:K540,"0",B193:B540,"1 2 3 5 9 12 31111*")</f>
        <v>58030394.910000011</v>
      </c>
      <c r="G192" s="83">
        <f>SUMIFS(G193:G540,K193:K540,"0",B193:B540,"1 2 3 5 9 12 31111*")</f>
        <v>21262154.199999996</v>
      </c>
      <c r="H192" s="83">
        <f t="shared" si="2"/>
        <v>36768240.710000016</v>
      </c>
      <c r="I192" s="83"/>
      <c r="K192" s="54" t="s">
        <v>15</v>
      </c>
    </row>
    <row r="193" spans="2:11" ht="12.75" x14ac:dyDescent="0.2">
      <c r="B193" s="82" t="s">
        <v>830</v>
      </c>
      <c r="C193" s="82" t="s">
        <v>30</v>
      </c>
      <c r="D193" s="83">
        <f>SUMIFS(D194:D540,K194:K540,"0",B194:B540,"1 2 3 5 9 12 31111 6*")-SUMIFS(E194:E540,K194:K540,"0",B194:B540,"1 2 3 5 9 12 31111 6*")</f>
        <v>0</v>
      </c>
      <c r="E193" s="54"/>
      <c r="F193" s="83">
        <f>SUMIFS(F194:F540,K194:K540,"0",B194:B540,"1 2 3 5 9 12 31111 6*")</f>
        <v>58030394.910000011</v>
      </c>
      <c r="G193" s="83">
        <f>SUMIFS(G194:G540,K194:K540,"0",B194:B540,"1 2 3 5 9 12 31111 6*")</f>
        <v>21262154.199999996</v>
      </c>
      <c r="H193" s="83">
        <f t="shared" si="2"/>
        <v>36768240.710000016</v>
      </c>
      <c r="I193" s="83"/>
      <c r="K193" s="54" t="s">
        <v>15</v>
      </c>
    </row>
    <row r="194" spans="2:11" ht="16.5" x14ac:dyDescent="0.2">
      <c r="B194" s="82" t="s">
        <v>831</v>
      </c>
      <c r="C194" s="82" t="s">
        <v>42</v>
      </c>
      <c r="D194" s="83">
        <f>SUMIFS(D195:D540,K195:K540,"0",B195:B540,"1 2 3 5 9 12 31111 6 M59*")-SUMIFS(E195:E540,K195:K540,"0",B195:B540,"1 2 3 5 9 12 31111 6 M59*")</f>
        <v>0</v>
      </c>
      <c r="E194" s="54"/>
      <c r="F194" s="83">
        <f>SUMIFS(F195:F540,K195:K540,"0",B195:B540,"1 2 3 5 9 12 31111 6 M59*")</f>
        <v>58030394.910000011</v>
      </c>
      <c r="G194" s="83">
        <f>SUMIFS(G195:G540,K195:K540,"0",B195:B540,"1 2 3 5 9 12 31111 6 M59*")</f>
        <v>21262154.199999996</v>
      </c>
      <c r="H194" s="83">
        <f t="shared" si="2"/>
        <v>36768240.710000016</v>
      </c>
      <c r="I194" s="83"/>
      <c r="K194" s="54" t="s">
        <v>15</v>
      </c>
    </row>
    <row r="195" spans="2:11" ht="16.5" x14ac:dyDescent="0.2">
      <c r="B195" s="82" t="s">
        <v>832</v>
      </c>
      <c r="C195" s="82" t="s">
        <v>646</v>
      </c>
      <c r="D195" s="83">
        <f>SUMIFS(D196:D540,K196:K540,"0",B196:B540,"1 2 3 5 9 12 31111 6 M59 30100*")-SUMIFS(E196:E540,K196:K540,"0",B196:B540,"1 2 3 5 9 12 31111 6 M59 30100*")</f>
        <v>0</v>
      </c>
      <c r="E195" s="54"/>
      <c r="F195" s="83">
        <f>SUMIFS(F196:F540,K196:K540,"0",B196:B540,"1 2 3 5 9 12 31111 6 M59 30100*")</f>
        <v>58030394.910000011</v>
      </c>
      <c r="G195" s="83">
        <f>SUMIFS(G196:G540,K196:K540,"0",B196:B540,"1 2 3 5 9 12 31111 6 M59 30100*")</f>
        <v>21262154.199999996</v>
      </c>
      <c r="H195" s="83">
        <f t="shared" si="2"/>
        <v>36768240.710000016</v>
      </c>
      <c r="I195" s="83"/>
      <c r="K195" s="54" t="s">
        <v>15</v>
      </c>
    </row>
    <row r="196" spans="2:11" ht="16.5" x14ac:dyDescent="0.2">
      <c r="B196" s="82" t="s">
        <v>833</v>
      </c>
      <c r="C196" s="82" t="s">
        <v>648</v>
      </c>
      <c r="D196" s="83">
        <f>SUMIFS(D197:D540,K197:K540,"0",B197:B540,"1 2 3 5 9 12 31111 6 M59 30100 000132*")-SUMIFS(E197:E540,K197:K540,"0",B197:B540,"1 2 3 5 9 12 31111 6 M59 30100 000132*")</f>
        <v>0</v>
      </c>
      <c r="E196" s="54"/>
      <c r="F196" s="83">
        <f>SUMIFS(F197:F540,K197:K540,"0",B197:B540,"1 2 3 5 9 12 31111 6 M59 30100 000132*")</f>
        <v>58030394.910000011</v>
      </c>
      <c r="G196" s="83">
        <f>SUMIFS(G197:G540,K197:K540,"0",B197:B540,"1 2 3 5 9 12 31111 6 M59 30100 000132*")</f>
        <v>21262154.199999996</v>
      </c>
      <c r="H196" s="83">
        <f t="shared" si="2"/>
        <v>36768240.710000016</v>
      </c>
      <c r="I196" s="83"/>
      <c r="K196" s="54" t="s">
        <v>15</v>
      </c>
    </row>
    <row r="197" spans="2:11" ht="24.75" x14ac:dyDescent="0.2">
      <c r="B197" s="82" t="s">
        <v>834</v>
      </c>
      <c r="C197" s="82" t="s">
        <v>650</v>
      </c>
      <c r="D197" s="83">
        <f>SUMIFS(D198:D540,K198:K540,"0",B198:B540,"1 2 3 5 9 12 31111 6 M59 30100 000132 0000R*")-SUMIFS(E198:E540,K198:K540,"0",B198:B540,"1 2 3 5 9 12 31111 6 M59 30100 000132 0000R*")</f>
        <v>0</v>
      </c>
      <c r="E197" s="54"/>
      <c r="F197" s="83">
        <f>SUMIFS(F198:F540,K198:K540,"0",B198:B540,"1 2 3 5 9 12 31111 6 M59 30100 000132 0000R*")</f>
        <v>58030394.910000011</v>
      </c>
      <c r="G197" s="83">
        <f>SUMIFS(G198:G540,K198:K540,"0",B198:B540,"1 2 3 5 9 12 31111 6 M59 30100 000132 0000R*")</f>
        <v>21262154.199999996</v>
      </c>
      <c r="H197" s="83">
        <f t="shared" si="2"/>
        <v>36768240.710000016</v>
      </c>
      <c r="I197" s="83"/>
      <c r="K197" s="54" t="s">
        <v>15</v>
      </c>
    </row>
    <row r="198" spans="2:11" ht="24.75" x14ac:dyDescent="0.2">
      <c r="B198" s="82" t="s">
        <v>835</v>
      </c>
      <c r="C198" s="82" t="s">
        <v>652</v>
      </c>
      <c r="D198" s="83">
        <f>SUMIFS(D199:D540,K199:K540,"0",B199:B540,"1 2 3 5 9 12 31111 6 M59 30100 000132 0000R 00002*")-SUMIFS(E199:E540,K199:K540,"0",B199:B540,"1 2 3 5 9 12 31111 6 M59 30100 000132 0000R 00002*")</f>
        <v>0</v>
      </c>
      <c r="E198" s="54"/>
      <c r="F198" s="83">
        <f>SUMIFS(F199:F540,K199:K540,"0",B199:B540,"1 2 3 5 9 12 31111 6 M59 30100 000132 0000R 00002*")</f>
        <v>58030394.910000011</v>
      </c>
      <c r="G198" s="83">
        <f>SUMIFS(G199:G540,K199:K540,"0",B199:B540,"1 2 3 5 9 12 31111 6 M59 30100 000132 0000R 00002*")</f>
        <v>21262154.199999996</v>
      </c>
      <c r="H198" s="83">
        <f t="shared" si="2"/>
        <v>36768240.710000016</v>
      </c>
      <c r="I198" s="83"/>
      <c r="K198" s="54" t="s">
        <v>15</v>
      </c>
    </row>
    <row r="199" spans="2:11" ht="24.75" x14ac:dyDescent="0.2">
      <c r="B199" s="82" t="s">
        <v>836</v>
      </c>
      <c r="C199" s="82" t="s">
        <v>837</v>
      </c>
      <c r="D199" s="83">
        <f>SUMIFS(D200:D540,K200:K540,"0",B200:B540,"1 2 3 5 9 12 31111 6 M59 30100 000132 0000R 00002 00619*")-SUMIFS(E200:E540,K200:K540,"0",B200:B540,"1 2 3 5 9 12 31111 6 M59 30100 000132 0000R 00002 00619*")</f>
        <v>0</v>
      </c>
      <c r="E199" s="54"/>
      <c r="F199" s="83">
        <f>SUMIFS(F200:F540,K200:K540,"0",B200:B540,"1 2 3 5 9 12 31111 6 M59 30100 000132 0000R 00002 00619*")</f>
        <v>58030394.910000011</v>
      </c>
      <c r="G199" s="83">
        <f>SUMIFS(G200:G540,K200:K540,"0",B200:B540,"1 2 3 5 9 12 31111 6 M59 30100 000132 0000R 00002 00619*")</f>
        <v>21262154.199999996</v>
      </c>
      <c r="H199" s="83">
        <f t="shared" si="2"/>
        <v>36768240.710000016</v>
      </c>
      <c r="I199" s="83"/>
      <c r="K199" s="54" t="s">
        <v>15</v>
      </c>
    </row>
    <row r="200" spans="2:11" ht="33" x14ac:dyDescent="0.2">
      <c r="B200" s="82" t="s">
        <v>838</v>
      </c>
      <c r="C200" s="82" t="s">
        <v>656</v>
      </c>
      <c r="D200" s="83">
        <f>SUMIFS(D201:D540,K201:K540,"0",B201:B540,"1 2 3 5 9 12 31111 6 M59 30100 000132 0000R 00002 00619 025*")-SUMIFS(E201:E540,K201:K540,"0",B201:B540,"1 2 3 5 9 12 31111 6 M59 30100 000132 0000R 00002 00619 025*")</f>
        <v>0</v>
      </c>
      <c r="E200" s="54"/>
      <c r="F200" s="83">
        <f>SUMIFS(F201:F540,K201:K540,"0",B201:B540,"1 2 3 5 9 12 31111 6 M59 30100 000132 0000R 00002 00619 025*")</f>
        <v>58030394.910000011</v>
      </c>
      <c r="G200" s="83">
        <f>SUMIFS(G201:G540,K201:K540,"0",B201:B540,"1 2 3 5 9 12 31111 6 M59 30100 000132 0000R 00002 00619 025*")</f>
        <v>21262154.199999996</v>
      </c>
      <c r="H200" s="83">
        <f t="shared" si="2"/>
        <v>36768240.710000016</v>
      </c>
      <c r="I200" s="83"/>
      <c r="K200" s="54" t="s">
        <v>15</v>
      </c>
    </row>
    <row r="201" spans="2:11" ht="33" x14ac:dyDescent="0.2">
      <c r="B201" s="82" t="s">
        <v>839</v>
      </c>
      <c r="C201" s="82" t="s">
        <v>658</v>
      </c>
      <c r="D201" s="83">
        <f>SUMIFS(D202:D540,K202:K540,"0",B202:B540,"1 2 3 5 9 12 31111 6 M59 30100 000132 0000R 00002 00619 025 2210000*")-SUMIFS(E202:E540,K202:K540,"0",B202:B540,"1 2 3 5 9 12 31111 6 M59 30100 000132 0000R 00002 00619 025 2210000*")</f>
        <v>0</v>
      </c>
      <c r="E201" s="54"/>
      <c r="F201" s="83">
        <f>SUMIFS(F202:F540,K202:K540,"0",B202:B540,"1 2 3 5 9 12 31111 6 M59 30100 000132 0000R 00002 00619 025 2210000*")</f>
        <v>58030394.910000011</v>
      </c>
      <c r="G201" s="83">
        <f>SUMIFS(G202:G540,K202:K540,"0",B202:B540,"1 2 3 5 9 12 31111 6 M59 30100 000132 0000R 00002 00619 025 2210000*")</f>
        <v>21262154.199999996</v>
      </c>
      <c r="H201" s="83">
        <f t="shared" si="2"/>
        <v>36768240.710000016</v>
      </c>
      <c r="I201" s="83"/>
      <c r="K201" s="54" t="s">
        <v>15</v>
      </c>
    </row>
    <row r="202" spans="2:11" ht="33" x14ac:dyDescent="0.2">
      <c r="B202" s="82" t="s">
        <v>840</v>
      </c>
      <c r="C202" s="82" t="s">
        <v>660</v>
      </c>
      <c r="D202" s="83">
        <f>SUMIFS(D203:D540,K203:K540,"0",B203:B540,"1 2 3 5 9 12 31111 6 M59 30100 000132 0000R 00002 00619 025 2210000 2024*")-SUMIFS(E203:E540,K203:K540,"0",B203:B540,"1 2 3 5 9 12 31111 6 M59 30100 000132 0000R 00002 00619 025 2210000 2024*")</f>
        <v>0</v>
      </c>
      <c r="E202" s="54"/>
      <c r="F202" s="83">
        <f>SUMIFS(F203:F540,K203:K540,"0",B203:B540,"1 2 3 5 9 12 31111 6 M59 30100 000132 0000R 00002 00619 025 2210000 2024*")</f>
        <v>58030394.910000011</v>
      </c>
      <c r="G202" s="83">
        <f>SUMIFS(G203:G540,K203:K540,"0",B203:B540,"1 2 3 5 9 12 31111 6 M59 30100 000132 0000R 00002 00619 025 2210000 2024*")</f>
        <v>21262154.199999996</v>
      </c>
      <c r="H202" s="83">
        <f t="shared" si="2"/>
        <v>36768240.710000016</v>
      </c>
      <c r="I202" s="83"/>
      <c r="K202" s="54" t="s">
        <v>15</v>
      </c>
    </row>
    <row r="203" spans="2:11" ht="41.25" x14ac:dyDescent="0.2">
      <c r="B203" s="82" t="s">
        <v>841</v>
      </c>
      <c r="C203" s="82" t="s">
        <v>662</v>
      </c>
      <c r="D203" s="83">
        <f>SUMIFS(D204:D540,K204:K540,"0",B204:B540,"1 2 3 5 9 12 31111 6 M59 30100 000132 0000R 00002 00619 025 2210000 2024 CP2OP405*")-SUMIFS(E204:E540,K204:K540,"0",B204:B540,"1 2 3 5 9 12 31111 6 M59 30100 000132 0000R 00002 00619 025 2210000 2024 CP2OP405*")</f>
        <v>0</v>
      </c>
      <c r="E203" s="54"/>
      <c r="F203" s="83">
        <f>SUMIFS(F204:F540,K204:K540,"0",B204:B540,"1 2 3 5 9 12 31111 6 M59 30100 000132 0000R 00002 00619 025 2210000 2024 CP2OP405*")</f>
        <v>58030394.910000011</v>
      </c>
      <c r="G203" s="83">
        <f>SUMIFS(G204:G540,K204:K540,"0",B204:B540,"1 2 3 5 9 12 31111 6 M59 30100 000132 0000R 00002 00619 025 2210000 2024 CP2OP405*")</f>
        <v>21262154.199999996</v>
      </c>
      <c r="H203" s="83">
        <f t="shared" si="2"/>
        <v>36768240.710000016</v>
      </c>
      <c r="I203" s="83"/>
      <c r="K203" s="54" t="s">
        <v>15</v>
      </c>
    </row>
    <row r="204" spans="2:11" ht="41.25" x14ac:dyDescent="0.2">
      <c r="B204" s="82" t="s">
        <v>842</v>
      </c>
      <c r="C204" s="82" t="s">
        <v>671</v>
      </c>
      <c r="D204" s="83">
        <f>SUMIFS(D205:D540,K205:K540,"0",B205:B540,"1 2 3 5 9 12 31111 6 M59 30100 000132 0000R 00002 00619 025 2210000 2024 CP2OP405 002*")-SUMIFS(E205:E540,K205:K540,"0",B205:B540,"1 2 3 5 9 12 31111 6 M59 30100 000132 0000R 00002 00619 025 2210000 2024 CP2OP405 002*")</f>
        <v>0</v>
      </c>
      <c r="E204" s="54"/>
      <c r="F204" s="83">
        <f>SUMIFS(F205:F540,K205:K540,"0",B205:B540,"1 2 3 5 9 12 31111 6 M59 30100 000132 0000R 00002 00619 025 2210000 2024 CP2OP405 002*")</f>
        <v>58030394.910000011</v>
      </c>
      <c r="G204" s="83">
        <f>SUMIFS(G205:G540,K205:K540,"0",B205:B540,"1 2 3 5 9 12 31111 6 M59 30100 000132 0000R 00002 00619 025 2210000 2024 CP2OP405 002*")</f>
        <v>21262154.199999996</v>
      </c>
      <c r="H204" s="83">
        <f t="shared" ref="H204:H267" si="3">D204 + F204 - G204</f>
        <v>36768240.710000016</v>
      </c>
      <c r="I204" s="83"/>
      <c r="K204" s="54" t="s">
        <v>15</v>
      </c>
    </row>
    <row r="205" spans="2:11" ht="49.5" x14ac:dyDescent="0.2">
      <c r="B205" s="82" t="s">
        <v>843</v>
      </c>
      <c r="C205" s="82" t="s">
        <v>844</v>
      </c>
      <c r="D205" s="83">
        <f>SUMIFS(D206:D540,K206:K540,"0",B206:B540,"1 2 3 5 9 12 31111 6 M59 30100 000132 0000R 00002 00619 025 2210000 2024 CP2OP405 002 0000001*")-SUMIFS(E206:E540,K206:K540,"0",B206:B540,"1 2 3 5 9 12 31111 6 M59 30100 000132 0000R 00002 00619 025 2210000 2024 CP2OP405 002 0000001*")</f>
        <v>0</v>
      </c>
      <c r="E205" s="54"/>
      <c r="F205" s="83">
        <f>SUMIFS(F206:F540,K206:K540,"0",B206:B540,"1 2 3 5 9 12 31111 6 M59 30100 000132 0000R 00002 00619 025 2210000 2024 CP2OP405 002 0000001*")</f>
        <v>58030394.910000011</v>
      </c>
      <c r="G205" s="83">
        <f>SUMIFS(G206:G540,K206:K540,"0",B206:B540,"1 2 3 5 9 12 31111 6 M59 30100 000132 0000R 00002 00619 025 2210000 2024 CP2OP405 002 0000001*")</f>
        <v>21262154.199999996</v>
      </c>
      <c r="H205" s="83">
        <f t="shared" si="3"/>
        <v>36768240.710000016</v>
      </c>
      <c r="I205" s="83"/>
      <c r="K205" s="54" t="s">
        <v>15</v>
      </c>
    </row>
    <row r="206" spans="2:11" ht="41.25" x14ac:dyDescent="0.2">
      <c r="B206" s="84" t="s">
        <v>845</v>
      </c>
      <c r="C206" s="84" t="s">
        <v>846</v>
      </c>
      <c r="D206" s="85">
        <v>0</v>
      </c>
      <c r="E206" s="85"/>
      <c r="F206" s="85">
        <v>1889886.28</v>
      </c>
      <c r="G206" s="85">
        <v>0</v>
      </c>
      <c r="H206" s="85">
        <f t="shared" si="3"/>
        <v>1889886.28</v>
      </c>
      <c r="I206" s="85"/>
      <c r="K206" s="54" t="s">
        <v>38</v>
      </c>
    </row>
    <row r="207" spans="2:11" ht="41.25" x14ac:dyDescent="0.2">
      <c r="B207" s="84" t="s">
        <v>847</v>
      </c>
      <c r="C207" s="84" t="s">
        <v>848</v>
      </c>
      <c r="D207" s="85">
        <v>0</v>
      </c>
      <c r="E207" s="85"/>
      <c r="F207" s="85">
        <v>611330.16</v>
      </c>
      <c r="G207" s="85">
        <v>0</v>
      </c>
      <c r="H207" s="85">
        <f t="shared" si="3"/>
        <v>611330.16</v>
      </c>
      <c r="I207" s="85"/>
      <c r="K207" s="54" t="s">
        <v>38</v>
      </c>
    </row>
    <row r="208" spans="2:11" ht="41.25" x14ac:dyDescent="0.2">
      <c r="B208" s="84" t="s">
        <v>849</v>
      </c>
      <c r="C208" s="84" t="s">
        <v>850</v>
      </c>
      <c r="D208" s="85">
        <v>0</v>
      </c>
      <c r="E208" s="85"/>
      <c r="F208" s="85">
        <v>1376203.89</v>
      </c>
      <c r="G208" s="85">
        <v>0</v>
      </c>
      <c r="H208" s="85">
        <f t="shared" si="3"/>
        <v>1376203.89</v>
      </c>
      <c r="I208" s="85"/>
      <c r="K208" s="54" t="s">
        <v>38</v>
      </c>
    </row>
    <row r="209" spans="2:11" ht="41.25" x14ac:dyDescent="0.2">
      <c r="B209" s="84" t="s">
        <v>851</v>
      </c>
      <c r="C209" s="84" t="s">
        <v>852</v>
      </c>
      <c r="D209" s="85">
        <v>0</v>
      </c>
      <c r="E209" s="85"/>
      <c r="F209" s="85">
        <v>1273502.1100000001</v>
      </c>
      <c r="G209" s="85">
        <v>0</v>
      </c>
      <c r="H209" s="85">
        <f t="shared" si="3"/>
        <v>1273502.1100000001</v>
      </c>
      <c r="I209" s="85"/>
      <c r="K209" s="54" t="s">
        <v>38</v>
      </c>
    </row>
    <row r="210" spans="2:11" ht="41.25" x14ac:dyDescent="0.2">
      <c r="B210" s="84" t="s">
        <v>853</v>
      </c>
      <c r="C210" s="84" t="s">
        <v>854</v>
      </c>
      <c r="D210" s="85">
        <v>0</v>
      </c>
      <c r="E210" s="85"/>
      <c r="F210" s="85">
        <v>200199.82</v>
      </c>
      <c r="G210" s="85">
        <v>0</v>
      </c>
      <c r="H210" s="85">
        <f t="shared" si="3"/>
        <v>200199.82</v>
      </c>
      <c r="I210" s="85"/>
      <c r="K210" s="54" t="s">
        <v>38</v>
      </c>
    </row>
    <row r="211" spans="2:11" ht="41.25" x14ac:dyDescent="0.2">
      <c r="B211" s="84" t="s">
        <v>855</v>
      </c>
      <c r="C211" s="84" t="s">
        <v>856</v>
      </c>
      <c r="D211" s="85">
        <v>0</v>
      </c>
      <c r="E211" s="85"/>
      <c r="F211" s="85">
        <v>672671.39</v>
      </c>
      <c r="G211" s="85">
        <v>0</v>
      </c>
      <c r="H211" s="85">
        <f t="shared" si="3"/>
        <v>672671.39</v>
      </c>
      <c r="I211" s="85"/>
      <c r="K211" s="54" t="s">
        <v>38</v>
      </c>
    </row>
    <row r="212" spans="2:11" ht="41.25" x14ac:dyDescent="0.2">
      <c r="B212" s="84" t="s">
        <v>857</v>
      </c>
      <c r="C212" s="84" t="s">
        <v>858</v>
      </c>
      <c r="D212" s="85">
        <v>0</v>
      </c>
      <c r="E212" s="85"/>
      <c r="F212" s="85">
        <v>1316160.8700000001</v>
      </c>
      <c r="G212" s="85">
        <v>0</v>
      </c>
      <c r="H212" s="85">
        <f t="shared" si="3"/>
        <v>1316160.8700000001</v>
      </c>
      <c r="I212" s="85"/>
      <c r="K212" s="54" t="s">
        <v>38</v>
      </c>
    </row>
    <row r="213" spans="2:11" ht="41.25" x14ac:dyDescent="0.2">
      <c r="B213" s="84" t="s">
        <v>859</v>
      </c>
      <c r="C213" s="84" t="s">
        <v>860</v>
      </c>
      <c r="D213" s="85">
        <v>0</v>
      </c>
      <c r="E213" s="85"/>
      <c r="F213" s="85">
        <v>1289162.5</v>
      </c>
      <c r="G213" s="85">
        <v>0</v>
      </c>
      <c r="H213" s="85">
        <f t="shared" si="3"/>
        <v>1289162.5</v>
      </c>
      <c r="I213" s="85"/>
      <c r="K213" s="54" t="s">
        <v>38</v>
      </c>
    </row>
    <row r="214" spans="2:11" ht="41.25" x14ac:dyDescent="0.2">
      <c r="B214" s="84" t="s">
        <v>861</v>
      </c>
      <c r="C214" s="84" t="s">
        <v>862</v>
      </c>
      <c r="D214" s="85">
        <v>0</v>
      </c>
      <c r="E214" s="85"/>
      <c r="F214" s="85">
        <v>1096690.26</v>
      </c>
      <c r="G214" s="85">
        <v>0</v>
      </c>
      <c r="H214" s="85">
        <f t="shared" si="3"/>
        <v>1096690.26</v>
      </c>
      <c r="I214" s="85"/>
      <c r="K214" s="54" t="s">
        <v>38</v>
      </c>
    </row>
    <row r="215" spans="2:11" ht="41.25" x14ac:dyDescent="0.2">
      <c r="B215" s="84" t="s">
        <v>863</v>
      </c>
      <c r="C215" s="84" t="s">
        <v>864</v>
      </c>
      <c r="D215" s="85">
        <v>0</v>
      </c>
      <c r="E215" s="85"/>
      <c r="F215" s="85">
        <v>1278075.6299999999</v>
      </c>
      <c r="G215" s="85">
        <v>0</v>
      </c>
      <c r="H215" s="85">
        <f t="shared" si="3"/>
        <v>1278075.6299999999</v>
      </c>
      <c r="I215" s="85"/>
      <c r="K215" s="54" t="s">
        <v>38</v>
      </c>
    </row>
    <row r="216" spans="2:11" ht="41.25" x14ac:dyDescent="0.2">
      <c r="B216" s="84" t="s">
        <v>865</v>
      </c>
      <c r="C216" s="84" t="s">
        <v>866</v>
      </c>
      <c r="D216" s="85">
        <v>0</v>
      </c>
      <c r="E216" s="85"/>
      <c r="F216" s="85">
        <v>368367.67</v>
      </c>
      <c r="G216" s="85">
        <v>0</v>
      </c>
      <c r="H216" s="85">
        <f t="shared" si="3"/>
        <v>368367.67</v>
      </c>
      <c r="I216" s="85"/>
      <c r="K216" s="54" t="s">
        <v>38</v>
      </c>
    </row>
    <row r="217" spans="2:11" ht="41.25" x14ac:dyDescent="0.2">
      <c r="B217" s="84" t="s">
        <v>867</v>
      </c>
      <c r="C217" s="84" t="s">
        <v>868</v>
      </c>
      <c r="D217" s="85">
        <v>0</v>
      </c>
      <c r="E217" s="85"/>
      <c r="F217" s="85">
        <v>635033.81999999995</v>
      </c>
      <c r="G217" s="85">
        <v>0</v>
      </c>
      <c r="H217" s="85">
        <f t="shared" si="3"/>
        <v>635033.81999999995</v>
      </c>
      <c r="I217" s="85"/>
      <c r="K217" s="54" t="s">
        <v>38</v>
      </c>
    </row>
    <row r="218" spans="2:11" ht="41.25" x14ac:dyDescent="0.2">
      <c r="B218" s="84" t="s">
        <v>869</v>
      </c>
      <c r="C218" s="84" t="s">
        <v>870</v>
      </c>
      <c r="D218" s="85">
        <v>0</v>
      </c>
      <c r="E218" s="85"/>
      <c r="F218" s="85">
        <v>336335.69</v>
      </c>
      <c r="G218" s="85">
        <v>0</v>
      </c>
      <c r="H218" s="85">
        <f t="shared" si="3"/>
        <v>336335.69</v>
      </c>
      <c r="I218" s="85"/>
      <c r="K218" s="54" t="s">
        <v>38</v>
      </c>
    </row>
    <row r="219" spans="2:11" ht="41.25" x14ac:dyDescent="0.2">
      <c r="B219" s="84" t="s">
        <v>871</v>
      </c>
      <c r="C219" s="84" t="s">
        <v>872</v>
      </c>
      <c r="D219" s="85">
        <v>0</v>
      </c>
      <c r="E219" s="85"/>
      <c r="F219" s="85">
        <v>368367.67</v>
      </c>
      <c r="G219" s="85">
        <v>0</v>
      </c>
      <c r="H219" s="85">
        <f t="shared" si="3"/>
        <v>368367.67</v>
      </c>
      <c r="I219" s="85"/>
      <c r="K219" s="54" t="s">
        <v>38</v>
      </c>
    </row>
    <row r="220" spans="2:11" ht="41.25" x14ac:dyDescent="0.2">
      <c r="B220" s="84" t="s">
        <v>873</v>
      </c>
      <c r="C220" s="84" t="s">
        <v>874</v>
      </c>
      <c r="D220" s="85">
        <v>0</v>
      </c>
      <c r="E220" s="85"/>
      <c r="F220" s="85">
        <v>3049043.25</v>
      </c>
      <c r="G220" s="85">
        <v>1829425.95</v>
      </c>
      <c r="H220" s="85">
        <f t="shared" si="3"/>
        <v>1219617.3</v>
      </c>
      <c r="I220" s="85"/>
      <c r="K220" s="54" t="s">
        <v>38</v>
      </c>
    </row>
    <row r="221" spans="2:11" ht="41.25" x14ac:dyDescent="0.2">
      <c r="B221" s="84" t="s">
        <v>875</v>
      </c>
      <c r="C221" s="84" t="s">
        <v>876</v>
      </c>
      <c r="D221" s="85">
        <v>0</v>
      </c>
      <c r="E221" s="85"/>
      <c r="F221" s="85">
        <v>860538.24</v>
      </c>
      <c r="G221" s="85">
        <v>0</v>
      </c>
      <c r="H221" s="85">
        <f t="shared" si="3"/>
        <v>860538.24</v>
      </c>
      <c r="I221" s="85"/>
      <c r="K221" s="54" t="s">
        <v>38</v>
      </c>
    </row>
    <row r="222" spans="2:11" ht="41.25" x14ac:dyDescent="0.2">
      <c r="B222" s="84" t="s">
        <v>877</v>
      </c>
      <c r="C222" s="84" t="s">
        <v>878</v>
      </c>
      <c r="D222" s="85">
        <v>0</v>
      </c>
      <c r="E222" s="85"/>
      <c r="F222" s="85">
        <v>1523180.92</v>
      </c>
      <c r="G222" s="85">
        <v>0</v>
      </c>
      <c r="H222" s="85">
        <f t="shared" si="3"/>
        <v>1523180.92</v>
      </c>
      <c r="I222" s="85"/>
      <c r="K222" s="54" t="s">
        <v>38</v>
      </c>
    </row>
    <row r="223" spans="2:11" ht="41.25" x14ac:dyDescent="0.2">
      <c r="B223" s="84" t="s">
        <v>879</v>
      </c>
      <c r="C223" s="84" t="s">
        <v>880</v>
      </c>
      <c r="D223" s="85">
        <v>0</v>
      </c>
      <c r="E223" s="85"/>
      <c r="F223" s="85">
        <v>1265262.8500000001</v>
      </c>
      <c r="G223" s="85">
        <v>0</v>
      </c>
      <c r="H223" s="85">
        <f t="shared" si="3"/>
        <v>1265262.8500000001</v>
      </c>
      <c r="I223" s="85"/>
      <c r="K223" s="54" t="s">
        <v>38</v>
      </c>
    </row>
    <row r="224" spans="2:11" ht="41.25" x14ac:dyDescent="0.2">
      <c r="B224" s="84" t="s">
        <v>881</v>
      </c>
      <c r="C224" s="84" t="s">
        <v>882</v>
      </c>
      <c r="D224" s="85">
        <v>0</v>
      </c>
      <c r="E224" s="85"/>
      <c r="F224" s="85">
        <v>1135373.21</v>
      </c>
      <c r="G224" s="85">
        <v>0</v>
      </c>
      <c r="H224" s="85">
        <f t="shared" si="3"/>
        <v>1135373.21</v>
      </c>
      <c r="I224" s="85"/>
      <c r="K224" s="54" t="s">
        <v>38</v>
      </c>
    </row>
    <row r="225" spans="2:11" ht="41.25" x14ac:dyDescent="0.2">
      <c r="B225" s="84" t="s">
        <v>883</v>
      </c>
      <c r="C225" s="84" t="s">
        <v>884</v>
      </c>
      <c r="D225" s="85">
        <v>0</v>
      </c>
      <c r="E225" s="85"/>
      <c r="F225" s="85">
        <v>684683.38</v>
      </c>
      <c r="G225" s="85">
        <v>0</v>
      </c>
      <c r="H225" s="85">
        <f t="shared" si="3"/>
        <v>684683.38</v>
      </c>
      <c r="I225" s="85"/>
      <c r="K225" s="54" t="s">
        <v>38</v>
      </c>
    </row>
    <row r="226" spans="2:11" ht="41.25" x14ac:dyDescent="0.2">
      <c r="B226" s="84" t="s">
        <v>885</v>
      </c>
      <c r="C226" s="84" t="s">
        <v>886</v>
      </c>
      <c r="D226" s="85">
        <v>0</v>
      </c>
      <c r="E226" s="85"/>
      <c r="F226" s="85">
        <v>344343.69</v>
      </c>
      <c r="G226" s="85">
        <v>0</v>
      </c>
      <c r="H226" s="85">
        <f t="shared" si="3"/>
        <v>344343.69</v>
      </c>
      <c r="I226" s="85"/>
      <c r="K226" s="54" t="s">
        <v>38</v>
      </c>
    </row>
    <row r="227" spans="2:11" ht="41.25" x14ac:dyDescent="0.2">
      <c r="B227" s="84" t="s">
        <v>887</v>
      </c>
      <c r="C227" s="84" t="s">
        <v>888</v>
      </c>
      <c r="D227" s="85">
        <v>0</v>
      </c>
      <c r="E227" s="85"/>
      <c r="F227" s="85">
        <v>1135373.21</v>
      </c>
      <c r="G227" s="85">
        <v>0</v>
      </c>
      <c r="H227" s="85">
        <f t="shared" si="3"/>
        <v>1135373.21</v>
      </c>
      <c r="I227" s="85"/>
      <c r="K227" s="54" t="s">
        <v>38</v>
      </c>
    </row>
    <row r="228" spans="2:11" ht="41.25" x14ac:dyDescent="0.2">
      <c r="B228" s="84" t="s">
        <v>889</v>
      </c>
      <c r="C228" s="84" t="s">
        <v>890</v>
      </c>
      <c r="D228" s="85">
        <v>0</v>
      </c>
      <c r="E228" s="85"/>
      <c r="F228" s="85">
        <v>296295.73</v>
      </c>
      <c r="G228" s="85">
        <v>0</v>
      </c>
      <c r="H228" s="85">
        <f t="shared" si="3"/>
        <v>296295.73</v>
      </c>
      <c r="I228" s="85"/>
      <c r="K228" s="54" t="s">
        <v>38</v>
      </c>
    </row>
    <row r="229" spans="2:11" ht="41.25" x14ac:dyDescent="0.2">
      <c r="B229" s="84" t="s">
        <v>891</v>
      </c>
      <c r="C229" s="84" t="s">
        <v>892</v>
      </c>
      <c r="D229" s="85">
        <v>0</v>
      </c>
      <c r="E229" s="85"/>
      <c r="F229" s="85">
        <v>329128.5</v>
      </c>
      <c r="G229" s="85">
        <v>0</v>
      </c>
      <c r="H229" s="85">
        <f t="shared" si="3"/>
        <v>329128.5</v>
      </c>
      <c r="I229" s="85"/>
      <c r="K229" s="54" t="s">
        <v>38</v>
      </c>
    </row>
    <row r="230" spans="2:11" ht="41.25" x14ac:dyDescent="0.2">
      <c r="B230" s="84" t="s">
        <v>893</v>
      </c>
      <c r="C230" s="84" t="s">
        <v>894</v>
      </c>
      <c r="D230" s="85">
        <v>0</v>
      </c>
      <c r="E230" s="85"/>
      <c r="F230" s="85">
        <v>645012.01</v>
      </c>
      <c r="G230" s="85">
        <v>0</v>
      </c>
      <c r="H230" s="85">
        <f t="shared" si="3"/>
        <v>645012.01</v>
      </c>
      <c r="I230" s="85"/>
      <c r="K230" s="54" t="s">
        <v>38</v>
      </c>
    </row>
    <row r="231" spans="2:11" ht="41.25" x14ac:dyDescent="0.2">
      <c r="B231" s="84" t="s">
        <v>895</v>
      </c>
      <c r="C231" s="84" t="s">
        <v>896</v>
      </c>
      <c r="D231" s="85">
        <v>0</v>
      </c>
      <c r="E231" s="85"/>
      <c r="F231" s="85">
        <v>696895.39</v>
      </c>
      <c r="G231" s="85">
        <v>0</v>
      </c>
      <c r="H231" s="85">
        <f t="shared" si="3"/>
        <v>696895.39</v>
      </c>
      <c r="I231" s="85"/>
      <c r="K231" s="54" t="s">
        <v>38</v>
      </c>
    </row>
    <row r="232" spans="2:11" ht="41.25" x14ac:dyDescent="0.2">
      <c r="B232" s="84" t="s">
        <v>897</v>
      </c>
      <c r="C232" s="84" t="s">
        <v>898</v>
      </c>
      <c r="D232" s="85">
        <v>0</v>
      </c>
      <c r="E232" s="85"/>
      <c r="F232" s="85">
        <v>684683.38</v>
      </c>
      <c r="G232" s="85">
        <v>0</v>
      </c>
      <c r="H232" s="85">
        <f t="shared" si="3"/>
        <v>684683.38</v>
      </c>
      <c r="I232" s="85"/>
      <c r="K232" s="54" t="s">
        <v>38</v>
      </c>
    </row>
    <row r="233" spans="2:11" ht="41.25" x14ac:dyDescent="0.2">
      <c r="B233" s="84" t="s">
        <v>899</v>
      </c>
      <c r="C233" s="84" t="s">
        <v>900</v>
      </c>
      <c r="D233" s="85">
        <v>0</v>
      </c>
      <c r="E233" s="85"/>
      <c r="F233" s="85">
        <v>468468.57</v>
      </c>
      <c r="G233" s="85">
        <v>0</v>
      </c>
      <c r="H233" s="85">
        <f t="shared" si="3"/>
        <v>468468.57</v>
      </c>
      <c r="I233" s="85"/>
      <c r="K233" s="54" t="s">
        <v>38</v>
      </c>
    </row>
    <row r="234" spans="2:11" ht="41.25" x14ac:dyDescent="0.2">
      <c r="B234" s="84" t="s">
        <v>901</v>
      </c>
      <c r="C234" s="84" t="s">
        <v>902</v>
      </c>
      <c r="D234" s="85">
        <v>0</v>
      </c>
      <c r="E234" s="85"/>
      <c r="F234" s="85">
        <v>468467.57</v>
      </c>
      <c r="G234" s="85">
        <v>0</v>
      </c>
      <c r="H234" s="85">
        <f t="shared" si="3"/>
        <v>468467.57</v>
      </c>
      <c r="I234" s="85"/>
      <c r="K234" s="54" t="s">
        <v>38</v>
      </c>
    </row>
    <row r="235" spans="2:11" ht="41.25" x14ac:dyDescent="0.2">
      <c r="B235" s="84" t="s">
        <v>903</v>
      </c>
      <c r="C235" s="84" t="s">
        <v>904</v>
      </c>
      <c r="D235" s="85">
        <v>0</v>
      </c>
      <c r="E235" s="85"/>
      <c r="F235" s="85">
        <v>509351.7</v>
      </c>
      <c r="G235" s="85">
        <v>0</v>
      </c>
      <c r="H235" s="85">
        <f t="shared" si="3"/>
        <v>509351.7</v>
      </c>
      <c r="I235" s="85"/>
      <c r="K235" s="54" t="s">
        <v>38</v>
      </c>
    </row>
    <row r="236" spans="2:11" ht="41.25" x14ac:dyDescent="0.2">
      <c r="B236" s="84" t="s">
        <v>905</v>
      </c>
      <c r="C236" s="84" t="s">
        <v>906</v>
      </c>
      <c r="D236" s="85">
        <v>0</v>
      </c>
      <c r="E236" s="85"/>
      <c r="F236" s="85">
        <v>988987.1</v>
      </c>
      <c r="G236" s="85">
        <v>0</v>
      </c>
      <c r="H236" s="85">
        <f t="shared" si="3"/>
        <v>988987.1</v>
      </c>
      <c r="I236" s="85"/>
      <c r="K236" s="54" t="s">
        <v>38</v>
      </c>
    </row>
    <row r="237" spans="2:11" ht="41.25" x14ac:dyDescent="0.2">
      <c r="B237" s="84" t="s">
        <v>907</v>
      </c>
      <c r="C237" s="84" t="s">
        <v>908</v>
      </c>
      <c r="D237" s="85">
        <v>0</v>
      </c>
      <c r="E237" s="85"/>
      <c r="F237" s="85">
        <v>883041.36</v>
      </c>
      <c r="G237" s="85">
        <v>0</v>
      </c>
      <c r="H237" s="85">
        <f t="shared" si="3"/>
        <v>883041.36</v>
      </c>
      <c r="I237" s="85"/>
      <c r="K237" s="54" t="s">
        <v>38</v>
      </c>
    </row>
    <row r="238" spans="2:11" ht="41.25" x14ac:dyDescent="0.2">
      <c r="B238" s="84" t="s">
        <v>909</v>
      </c>
      <c r="C238" s="84" t="s">
        <v>910</v>
      </c>
      <c r="D238" s="85">
        <v>0</v>
      </c>
      <c r="E238" s="85"/>
      <c r="F238" s="85">
        <v>611330.16</v>
      </c>
      <c r="G238" s="85">
        <v>0</v>
      </c>
      <c r="H238" s="85">
        <f t="shared" si="3"/>
        <v>611330.16</v>
      </c>
      <c r="I238" s="85"/>
      <c r="K238" s="54" t="s">
        <v>38</v>
      </c>
    </row>
    <row r="239" spans="2:11" ht="41.25" x14ac:dyDescent="0.2">
      <c r="B239" s="84" t="s">
        <v>911</v>
      </c>
      <c r="C239" s="84" t="s">
        <v>912</v>
      </c>
      <c r="D239" s="85">
        <v>0</v>
      </c>
      <c r="E239" s="85"/>
      <c r="F239" s="85">
        <v>552551.5</v>
      </c>
      <c r="G239" s="85">
        <v>0</v>
      </c>
      <c r="H239" s="85">
        <f t="shared" si="3"/>
        <v>552551.5</v>
      </c>
      <c r="I239" s="85"/>
      <c r="K239" s="54" t="s">
        <v>38</v>
      </c>
    </row>
    <row r="240" spans="2:11" ht="41.25" x14ac:dyDescent="0.2">
      <c r="B240" s="84" t="s">
        <v>913</v>
      </c>
      <c r="C240" s="84" t="s">
        <v>914</v>
      </c>
      <c r="D240" s="85">
        <v>0</v>
      </c>
      <c r="E240" s="85"/>
      <c r="F240" s="85">
        <v>1028226.26</v>
      </c>
      <c r="G240" s="85">
        <v>0</v>
      </c>
      <c r="H240" s="85">
        <f t="shared" si="3"/>
        <v>1028226.26</v>
      </c>
      <c r="I240" s="85"/>
      <c r="K240" s="54" t="s">
        <v>38</v>
      </c>
    </row>
    <row r="241" spans="2:11" ht="41.25" x14ac:dyDescent="0.2">
      <c r="B241" s="84" t="s">
        <v>915</v>
      </c>
      <c r="C241" s="84" t="s">
        <v>916</v>
      </c>
      <c r="D241" s="85">
        <v>0</v>
      </c>
      <c r="E241" s="85"/>
      <c r="F241" s="85">
        <v>988987.1</v>
      </c>
      <c r="G241" s="85">
        <v>0</v>
      </c>
      <c r="H241" s="85">
        <f t="shared" si="3"/>
        <v>988987.1</v>
      </c>
      <c r="I241" s="85"/>
      <c r="K241" s="54" t="s">
        <v>38</v>
      </c>
    </row>
    <row r="242" spans="2:11" ht="41.25" x14ac:dyDescent="0.2">
      <c r="B242" s="84" t="s">
        <v>917</v>
      </c>
      <c r="C242" s="84" t="s">
        <v>918</v>
      </c>
      <c r="D242" s="85">
        <v>0</v>
      </c>
      <c r="E242" s="85"/>
      <c r="F242" s="85">
        <v>877265.47</v>
      </c>
      <c r="G242" s="85">
        <v>0</v>
      </c>
      <c r="H242" s="85">
        <f t="shared" si="3"/>
        <v>877265.47</v>
      </c>
      <c r="I242" s="85"/>
      <c r="K242" s="54" t="s">
        <v>38</v>
      </c>
    </row>
    <row r="243" spans="2:11" ht="41.25" x14ac:dyDescent="0.2">
      <c r="B243" s="84" t="s">
        <v>919</v>
      </c>
      <c r="C243" s="84" t="s">
        <v>920</v>
      </c>
      <c r="D243" s="85">
        <v>0</v>
      </c>
      <c r="E243" s="85"/>
      <c r="F243" s="85">
        <v>1340399.21</v>
      </c>
      <c r="G243" s="85">
        <v>0</v>
      </c>
      <c r="H243" s="85">
        <f t="shared" si="3"/>
        <v>1340399.21</v>
      </c>
      <c r="I243" s="85"/>
      <c r="K243" s="54" t="s">
        <v>38</v>
      </c>
    </row>
    <row r="244" spans="2:11" ht="41.25" x14ac:dyDescent="0.2">
      <c r="B244" s="84" t="s">
        <v>921</v>
      </c>
      <c r="C244" s="84" t="s">
        <v>922</v>
      </c>
      <c r="D244" s="85">
        <v>0</v>
      </c>
      <c r="E244" s="85"/>
      <c r="F244" s="85">
        <v>1089087.01</v>
      </c>
      <c r="G244" s="85">
        <v>0</v>
      </c>
      <c r="H244" s="85">
        <f t="shared" si="3"/>
        <v>1089087.01</v>
      </c>
      <c r="I244" s="85"/>
      <c r="K244" s="54" t="s">
        <v>38</v>
      </c>
    </row>
    <row r="245" spans="2:11" ht="41.25" x14ac:dyDescent="0.2">
      <c r="B245" s="84" t="s">
        <v>923</v>
      </c>
      <c r="C245" s="84" t="s">
        <v>924</v>
      </c>
      <c r="D245" s="85">
        <v>0</v>
      </c>
      <c r="E245" s="85"/>
      <c r="F245" s="85">
        <v>1055446.94</v>
      </c>
      <c r="G245" s="85">
        <v>0</v>
      </c>
      <c r="H245" s="85">
        <f t="shared" si="3"/>
        <v>1055446.94</v>
      </c>
      <c r="I245" s="85"/>
      <c r="K245" s="54" t="s">
        <v>38</v>
      </c>
    </row>
    <row r="246" spans="2:11" ht="41.25" x14ac:dyDescent="0.2">
      <c r="B246" s="84" t="s">
        <v>925</v>
      </c>
      <c r="C246" s="84" t="s">
        <v>926</v>
      </c>
      <c r="D246" s="85">
        <v>0</v>
      </c>
      <c r="E246" s="85"/>
      <c r="F246" s="85">
        <v>1508809.45</v>
      </c>
      <c r="G246" s="85">
        <v>0</v>
      </c>
      <c r="H246" s="85">
        <f t="shared" si="3"/>
        <v>1508809.45</v>
      </c>
      <c r="I246" s="85"/>
      <c r="K246" s="54" t="s">
        <v>38</v>
      </c>
    </row>
    <row r="247" spans="2:11" ht="41.25" x14ac:dyDescent="0.2">
      <c r="B247" s="84" t="s">
        <v>927</v>
      </c>
      <c r="C247" s="84" t="s">
        <v>928</v>
      </c>
      <c r="D247" s="85">
        <v>0</v>
      </c>
      <c r="E247" s="85"/>
      <c r="F247" s="85">
        <v>865445.74</v>
      </c>
      <c r="G247" s="85">
        <v>0</v>
      </c>
      <c r="H247" s="85">
        <f t="shared" si="3"/>
        <v>865445.74</v>
      </c>
      <c r="I247" s="85"/>
      <c r="K247" s="54" t="s">
        <v>38</v>
      </c>
    </row>
    <row r="248" spans="2:11" ht="41.25" x14ac:dyDescent="0.2">
      <c r="B248" s="84" t="s">
        <v>929</v>
      </c>
      <c r="C248" s="84" t="s">
        <v>930</v>
      </c>
      <c r="D248" s="85">
        <v>0</v>
      </c>
      <c r="E248" s="85"/>
      <c r="F248" s="85">
        <v>1995495.64</v>
      </c>
      <c r="G248" s="85">
        <v>1995495.64</v>
      </c>
      <c r="H248" s="85">
        <f t="shared" si="3"/>
        <v>0</v>
      </c>
      <c r="I248" s="85"/>
      <c r="K248" s="54" t="s">
        <v>38</v>
      </c>
    </row>
    <row r="249" spans="2:11" ht="41.25" x14ac:dyDescent="0.2">
      <c r="B249" s="84" t="s">
        <v>931</v>
      </c>
      <c r="C249" s="84" t="s">
        <v>932</v>
      </c>
      <c r="D249" s="85">
        <v>0</v>
      </c>
      <c r="E249" s="85"/>
      <c r="F249" s="85">
        <v>2132453.29</v>
      </c>
      <c r="G249" s="85">
        <v>2132453.29</v>
      </c>
      <c r="H249" s="85">
        <f t="shared" si="3"/>
        <v>0</v>
      </c>
      <c r="I249" s="85"/>
      <c r="K249" s="54" t="s">
        <v>38</v>
      </c>
    </row>
    <row r="250" spans="2:11" ht="41.25" x14ac:dyDescent="0.2">
      <c r="B250" s="84" t="s">
        <v>933</v>
      </c>
      <c r="C250" s="84" t="s">
        <v>934</v>
      </c>
      <c r="D250" s="85">
        <v>0</v>
      </c>
      <c r="E250" s="85"/>
      <c r="F250" s="85">
        <v>1780176.78</v>
      </c>
      <c r="G250" s="85">
        <v>1780176.78</v>
      </c>
      <c r="H250" s="85">
        <f t="shared" si="3"/>
        <v>0</v>
      </c>
      <c r="I250" s="85"/>
      <c r="K250" s="54" t="s">
        <v>38</v>
      </c>
    </row>
    <row r="251" spans="2:11" ht="41.25" x14ac:dyDescent="0.2">
      <c r="B251" s="84" t="s">
        <v>935</v>
      </c>
      <c r="C251" s="84" t="s">
        <v>936</v>
      </c>
      <c r="D251" s="85">
        <v>0</v>
      </c>
      <c r="E251" s="85"/>
      <c r="F251" s="85">
        <v>1564863.74</v>
      </c>
      <c r="G251" s="85">
        <v>1564863.74</v>
      </c>
      <c r="H251" s="85">
        <f t="shared" si="3"/>
        <v>0</v>
      </c>
      <c r="I251" s="85"/>
      <c r="K251" s="54" t="s">
        <v>38</v>
      </c>
    </row>
    <row r="252" spans="2:11" ht="41.25" x14ac:dyDescent="0.2">
      <c r="B252" s="84" t="s">
        <v>937</v>
      </c>
      <c r="C252" s="84" t="s">
        <v>938</v>
      </c>
      <c r="D252" s="85">
        <v>0</v>
      </c>
      <c r="E252" s="85"/>
      <c r="F252" s="85">
        <v>1905697.5</v>
      </c>
      <c r="G252" s="85">
        <v>1905697.5</v>
      </c>
      <c r="H252" s="85">
        <f t="shared" si="3"/>
        <v>0</v>
      </c>
      <c r="I252" s="85"/>
      <c r="K252" s="54" t="s">
        <v>38</v>
      </c>
    </row>
    <row r="253" spans="2:11" ht="41.25" x14ac:dyDescent="0.2">
      <c r="B253" s="84" t="s">
        <v>939</v>
      </c>
      <c r="C253" s="84" t="s">
        <v>940</v>
      </c>
      <c r="D253" s="85">
        <v>0</v>
      </c>
      <c r="E253" s="85"/>
      <c r="F253" s="85">
        <v>1074203.3600000001</v>
      </c>
      <c r="G253" s="85">
        <v>1074203.3600000001</v>
      </c>
      <c r="H253" s="85">
        <f t="shared" si="3"/>
        <v>0</v>
      </c>
      <c r="I253" s="85"/>
      <c r="K253" s="54" t="s">
        <v>38</v>
      </c>
    </row>
    <row r="254" spans="2:11" ht="41.25" x14ac:dyDescent="0.2">
      <c r="B254" s="84" t="s">
        <v>941</v>
      </c>
      <c r="C254" s="84" t="s">
        <v>942</v>
      </c>
      <c r="D254" s="85">
        <v>0</v>
      </c>
      <c r="E254" s="85"/>
      <c r="F254" s="85">
        <v>1935808</v>
      </c>
      <c r="G254" s="85">
        <v>1935808</v>
      </c>
      <c r="H254" s="85">
        <f t="shared" si="3"/>
        <v>0</v>
      </c>
      <c r="I254" s="85"/>
      <c r="K254" s="54" t="s">
        <v>38</v>
      </c>
    </row>
    <row r="255" spans="2:11" ht="41.25" x14ac:dyDescent="0.2">
      <c r="B255" s="84" t="s">
        <v>943</v>
      </c>
      <c r="C255" s="84" t="s">
        <v>944</v>
      </c>
      <c r="D255" s="85">
        <v>0</v>
      </c>
      <c r="E255" s="85"/>
      <c r="F255" s="85">
        <v>1965697.5</v>
      </c>
      <c r="G255" s="85">
        <v>1965697.5</v>
      </c>
      <c r="H255" s="85">
        <f t="shared" si="3"/>
        <v>0</v>
      </c>
      <c r="I255" s="85"/>
      <c r="K255" s="54" t="s">
        <v>38</v>
      </c>
    </row>
    <row r="256" spans="2:11" ht="41.25" x14ac:dyDescent="0.2">
      <c r="B256" s="84" t="s">
        <v>945</v>
      </c>
      <c r="C256" s="84" t="s">
        <v>946</v>
      </c>
      <c r="D256" s="85">
        <v>0</v>
      </c>
      <c r="E256" s="85"/>
      <c r="F256" s="85">
        <v>1804827.5</v>
      </c>
      <c r="G256" s="85">
        <v>1804827.5</v>
      </c>
      <c r="H256" s="85">
        <f t="shared" si="3"/>
        <v>0</v>
      </c>
      <c r="I256" s="85"/>
      <c r="K256" s="54" t="s">
        <v>38</v>
      </c>
    </row>
    <row r="257" spans="2:11" ht="41.25" x14ac:dyDescent="0.2">
      <c r="B257" s="84" t="s">
        <v>947</v>
      </c>
      <c r="C257" s="84" t="s">
        <v>948</v>
      </c>
      <c r="D257" s="85">
        <v>0</v>
      </c>
      <c r="E257" s="85"/>
      <c r="F257" s="85">
        <v>1586752.47</v>
      </c>
      <c r="G257" s="85">
        <v>1586752.47</v>
      </c>
      <c r="H257" s="85">
        <f t="shared" si="3"/>
        <v>0</v>
      </c>
      <c r="I257" s="85"/>
      <c r="K257" s="54" t="s">
        <v>38</v>
      </c>
    </row>
    <row r="258" spans="2:11" ht="41.25" x14ac:dyDescent="0.2">
      <c r="B258" s="84" t="s">
        <v>949</v>
      </c>
      <c r="C258" s="84" t="s">
        <v>950</v>
      </c>
      <c r="D258" s="85">
        <v>0</v>
      </c>
      <c r="E258" s="85"/>
      <c r="F258" s="85">
        <v>1686752.47</v>
      </c>
      <c r="G258" s="85">
        <v>1686752.47</v>
      </c>
      <c r="H258" s="85">
        <f t="shared" si="3"/>
        <v>0</v>
      </c>
      <c r="I258" s="85"/>
      <c r="K258" s="54" t="s">
        <v>38</v>
      </c>
    </row>
    <row r="259" spans="2:11" ht="16.5" x14ac:dyDescent="0.2">
      <c r="B259" s="82" t="s">
        <v>951</v>
      </c>
      <c r="C259" s="82" t="s">
        <v>952</v>
      </c>
      <c r="D259" s="83">
        <f>SUMIFS(D260:D540,K260:K540,"0",B260:B540,"1 2 3 6*")-SUMIFS(E260:E540,K260:K540,"0",B260:B540,"1 2 3 6*")</f>
        <v>0</v>
      </c>
      <c r="E259" s="54"/>
      <c r="F259" s="83">
        <f>SUMIFS(F260:F540,K260:K540,"0",B260:B540,"1 2 3 6*")</f>
        <v>87870.38</v>
      </c>
      <c r="G259" s="83">
        <f>SUMIFS(G260:G540,K260:K540,"0",B260:B540,"1 2 3 6*")</f>
        <v>0</v>
      </c>
      <c r="H259" s="83">
        <f t="shared" si="3"/>
        <v>87870.38</v>
      </c>
      <c r="I259" s="83"/>
      <c r="K259" s="54" t="s">
        <v>15</v>
      </c>
    </row>
    <row r="260" spans="2:11" ht="33" x14ac:dyDescent="0.2">
      <c r="B260" s="82" t="s">
        <v>953</v>
      </c>
      <c r="C260" s="82" t="s">
        <v>827</v>
      </c>
      <c r="D260" s="83">
        <f>SUMIFS(D261:D540,K261:K540,"0",B261:B540,"1 2 3 6 9*")-SUMIFS(E261:E540,K261:K540,"0",B261:B540,"1 2 3 6 9*")</f>
        <v>0</v>
      </c>
      <c r="E260" s="54"/>
      <c r="F260" s="83">
        <f>SUMIFS(F261:F540,K261:K540,"0",B261:B540,"1 2 3 6 9*")</f>
        <v>87870.38</v>
      </c>
      <c r="G260" s="83">
        <f>SUMIFS(G261:G540,K261:K540,"0",B261:B540,"1 2 3 6 9*")</f>
        <v>0</v>
      </c>
      <c r="H260" s="83">
        <f t="shared" si="3"/>
        <v>87870.38</v>
      </c>
      <c r="I260" s="83"/>
      <c r="K260" s="54" t="s">
        <v>15</v>
      </c>
    </row>
    <row r="261" spans="2:11" ht="12.75" x14ac:dyDescent="0.2">
      <c r="B261" s="82" t="s">
        <v>954</v>
      </c>
      <c r="C261" s="82" t="s">
        <v>26</v>
      </c>
      <c r="D261" s="83">
        <f>SUMIFS(D262:D540,K262:K540,"0",B262:B540,"1 2 3 6 9 12*")-SUMIFS(E262:E540,K262:K540,"0",B262:B540,"1 2 3 6 9 12*")</f>
        <v>0</v>
      </c>
      <c r="E261" s="54"/>
      <c r="F261" s="83">
        <f>SUMIFS(F262:F540,K262:K540,"0",B262:B540,"1 2 3 6 9 12*")</f>
        <v>87870.38</v>
      </c>
      <c r="G261" s="83">
        <f>SUMIFS(G262:G540,K262:K540,"0",B262:B540,"1 2 3 6 9 12*")</f>
        <v>0</v>
      </c>
      <c r="H261" s="83">
        <f t="shared" si="3"/>
        <v>87870.38</v>
      </c>
      <c r="I261" s="83"/>
      <c r="K261" s="54" t="s">
        <v>15</v>
      </c>
    </row>
    <row r="262" spans="2:11" ht="16.5" x14ac:dyDescent="0.2">
      <c r="B262" s="82" t="s">
        <v>955</v>
      </c>
      <c r="C262" s="82" t="s">
        <v>28</v>
      </c>
      <c r="D262" s="83">
        <f>SUMIFS(D263:D540,K263:K540,"0",B263:B540,"1 2 3 6 9 12 31111*")-SUMIFS(E263:E540,K263:K540,"0",B263:B540,"1 2 3 6 9 12 31111*")</f>
        <v>0</v>
      </c>
      <c r="E262" s="54"/>
      <c r="F262" s="83">
        <f>SUMIFS(F263:F540,K263:K540,"0",B263:B540,"1 2 3 6 9 12 31111*")</f>
        <v>87870.38</v>
      </c>
      <c r="G262" s="83">
        <f>SUMIFS(G263:G540,K263:K540,"0",B263:B540,"1 2 3 6 9 12 31111*")</f>
        <v>0</v>
      </c>
      <c r="H262" s="83">
        <f t="shared" si="3"/>
        <v>87870.38</v>
      </c>
      <c r="I262" s="83"/>
      <c r="K262" s="54" t="s">
        <v>15</v>
      </c>
    </row>
    <row r="263" spans="2:11" ht="12.75" x14ac:dyDescent="0.2">
      <c r="B263" s="82" t="s">
        <v>956</v>
      </c>
      <c r="C263" s="82" t="s">
        <v>30</v>
      </c>
      <c r="D263" s="83">
        <f>SUMIFS(D264:D540,K264:K540,"0",B264:B540,"1 2 3 6 9 12 31111 6*")-SUMIFS(E264:E540,K264:K540,"0",B264:B540,"1 2 3 6 9 12 31111 6*")</f>
        <v>0</v>
      </c>
      <c r="E263" s="54"/>
      <c r="F263" s="83">
        <f>SUMIFS(F264:F540,K264:K540,"0",B264:B540,"1 2 3 6 9 12 31111 6*")</f>
        <v>87870.38</v>
      </c>
      <c r="G263" s="83">
        <f>SUMIFS(G264:G540,K264:K540,"0",B264:B540,"1 2 3 6 9 12 31111 6*")</f>
        <v>0</v>
      </c>
      <c r="H263" s="83">
        <f t="shared" si="3"/>
        <v>87870.38</v>
      </c>
      <c r="I263" s="83"/>
      <c r="K263" s="54" t="s">
        <v>15</v>
      </c>
    </row>
    <row r="264" spans="2:11" ht="16.5" x14ac:dyDescent="0.2">
      <c r="B264" s="82" t="s">
        <v>957</v>
      </c>
      <c r="C264" s="82" t="s">
        <v>42</v>
      </c>
      <c r="D264" s="83">
        <f>SUMIFS(D265:D540,K265:K540,"0",B265:B540,"1 2 3 6 9 12 31111 6 M59*")-SUMIFS(E265:E540,K265:K540,"0",B265:B540,"1 2 3 6 9 12 31111 6 M59*")</f>
        <v>0</v>
      </c>
      <c r="E264" s="54"/>
      <c r="F264" s="83">
        <f>SUMIFS(F265:F540,K265:K540,"0",B265:B540,"1 2 3 6 9 12 31111 6 M59*")</f>
        <v>87870.38</v>
      </c>
      <c r="G264" s="83">
        <f>SUMIFS(G265:G540,K265:K540,"0",B265:B540,"1 2 3 6 9 12 31111 6 M59*")</f>
        <v>0</v>
      </c>
      <c r="H264" s="83">
        <f t="shared" si="3"/>
        <v>87870.38</v>
      </c>
      <c r="I264" s="83"/>
      <c r="K264" s="54" t="s">
        <v>15</v>
      </c>
    </row>
    <row r="265" spans="2:11" ht="16.5" x14ac:dyDescent="0.2">
      <c r="B265" s="82" t="s">
        <v>958</v>
      </c>
      <c r="C265" s="82" t="s">
        <v>646</v>
      </c>
      <c r="D265" s="83">
        <f>SUMIFS(D266:D540,K266:K540,"0",B266:B540,"1 2 3 6 9 12 31111 6 M59 30100*")-SUMIFS(E266:E540,K266:K540,"0",B266:B540,"1 2 3 6 9 12 31111 6 M59 30100*")</f>
        <v>0</v>
      </c>
      <c r="E265" s="54"/>
      <c r="F265" s="83">
        <f>SUMIFS(F266:F540,K266:K540,"0",B266:B540,"1 2 3 6 9 12 31111 6 M59 30100*")</f>
        <v>87870.38</v>
      </c>
      <c r="G265" s="83">
        <f>SUMIFS(G266:G540,K266:K540,"0",B266:B540,"1 2 3 6 9 12 31111 6 M59 30100*")</f>
        <v>0</v>
      </c>
      <c r="H265" s="83">
        <f t="shared" si="3"/>
        <v>87870.38</v>
      </c>
      <c r="I265" s="83"/>
      <c r="K265" s="54" t="s">
        <v>15</v>
      </c>
    </row>
    <row r="266" spans="2:11" ht="16.5" x14ac:dyDescent="0.2">
      <c r="B266" s="82" t="s">
        <v>959</v>
      </c>
      <c r="C266" s="82" t="s">
        <v>648</v>
      </c>
      <c r="D266" s="83">
        <f>SUMIFS(D267:D540,K267:K540,"0",B267:B540,"1 2 3 6 9 12 31111 6 M59 30100 000132*")-SUMIFS(E267:E540,K267:K540,"0",B267:B540,"1 2 3 6 9 12 31111 6 M59 30100 000132*")</f>
        <v>0</v>
      </c>
      <c r="E266" s="54"/>
      <c r="F266" s="83">
        <f>SUMIFS(F267:F540,K267:K540,"0",B267:B540,"1 2 3 6 9 12 31111 6 M59 30100 000132*")</f>
        <v>87870.38</v>
      </c>
      <c r="G266" s="83">
        <f>SUMIFS(G267:G540,K267:K540,"0",B267:B540,"1 2 3 6 9 12 31111 6 M59 30100 000132*")</f>
        <v>0</v>
      </c>
      <c r="H266" s="83">
        <f t="shared" si="3"/>
        <v>87870.38</v>
      </c>
      <c r="I266" s="83"/>
      <c r="K266" s="54" t="s">
        <v>15</v>
      </c>
    </row>
    <row r="267" spans="2:11" ht="24.75" x14ac:dyDescent="0.2">
      <c r="B267" s="82" t="s">
        <v>960</v>
      </c>
      <c r="C267" s="82" t="s">
        <v>650</v>
      </c>
      <c r="D267" s="83">
        <f>SUMIFS(D268:D540,K268:K540,"0",B268:B540,"1 2 3 6 9 12 31111 6 M59 30100 000132 0000R*")-SUMIFS(E268:E540,K268:K540,"0",B268:B540,"1 2 3 6 9 12 31111 6 M59 30100 000132 0000R*")</f>
        <v>0</v>
      </c>
      <c r="E267" s="54"/>
      <c r="F267" s="83">
        <f>SUMIFS(F268:F540,K268:K540,"0",B268:B540,"1 2 3 6 9 12 31111 6 M59 30100 000132 0000R*")</f>
        <v>87870.38</v>
      </c>
      <c r="G267" s="83">
        <f>SUMIFS(G268:G540,K268:K540,"0",B268:B540,"1 2 3 6 9 12 31111 6 M59 30100 000132 0000R*")</f>
        <v>0</v>
      </c>
      <c r="H267" s="83">
        <f t="shared" si="3"/>
        <v>87870.38</v>
      </c>
      <c r="I267" s="83"/>
      <c r="K267" s="54" t="s">
        <v>15</v>
      </c>
    </row>
    <row r="268" spans="2:11" ht="24.75" x14ac:dyDescent="0.2">
      <c r="B268" s="82" t="s">
        <v>961</v>
      </c>
      <c r="C268" s="82" t="s">
        <v>652</v>
      </c>
      <c r="D268" s="83">
        <f>SUMIFS(D269:D540,K269:K540,"0",B269:B540,"1 2 3 6 9 12 31111 6 M59 30100 000132 0000R 00002*")-SUMIFS(E269:E540,K269:K540,"0",B269:B540,"1 2 3 6 9 12 31111 6 M59 30100 000132 0000R 00002*")</f>
        <v>0</v>
      </c>
      <c r="E268" s="54"/>
      <c r="F268" s="83">
        <f>SUMIFS(F269:F540,K269:K540,"0",B269:B540,"1 2 3 6 9 12 31111 6 M59 30100 000132 0000R 00002*")</f>
        <v>87870.38</v>
      </c>
      <c r="G268" s="83">
        <f>SUMIFS(G269:G540,K269:K540,"0",B269:B540,"1 2 3 6 9 12 31111 6 M59 30100 000132 0000R 00002*")</f>
        <v>0</v>
      </c>
      <c r="H268" s="83">
        <f t="shared" ref="H268:H329" si="4">D268 + F268 - G268</f>
        <v>87870.38</v>
      </c>
      <c r="I268" s="83"/>
      <c r="K268" s="54" t="s">
        <v>15</v>
      </c>
    </row>
    <row r="269" spans="2:11" ht="24.75" x14ac:dyDescent="0.2">
      <c r="B269" s="82" t="s">
        <v>962</v>
      </c>
      <c r="C269" s="82" t="s">
        <v>837</v>
      </c>
      <c r="D269" s="83">
        <f>SUMIFS(D270:D540,K270:K540,"0",B270:B540,"1 2 3 6 9 12 31111 6 M59 30100 000132 0000R 00002 00629*")-SUMIFS(E270:E540,K270:K540,"0",B270:B540,"1 2 3 6 9 12 31111 6 M59 30100 000132 0000R 00002 00629*")</f>
        <v>0</v>
      </c>
      <c r="E269" s="54"/>
      <c r="F269" s="83">
        <f>SUMIFS(F270:F540,K270:K540,"0",B270:B540,"1 2 3 6 9 12 31111 6 M59 30100 000132 0000R 00002 00629*")</f>
        <v>87870.38</v>
      </c>
      <c r="G269" s="83">
        <f>SUMIFS(G270:G540,K270:K540,"0",B270:B540,"1 2 3 6 9 12 31111 6 M59 30100 000132 0000R 00002 00629*")</f>
        <v>0</v>
      </c>
      <c r="H269" s="83">
        <f t="shared" si="4"/>
        <v>87870.38</v>
      </c>
      <c r="I269" s="83"/>
      <c r="K269" s="54" t="s">
        <v>15</v>
      </c>
    </row>
    <row r="270" spans="2:11" ht="33" x14ac:dyDescent="0.2">
      <c r="B270" s="82" t="s">
        <v>963</v>
      </c>
      <c r="C270" s="82" t="s">
        <v>656</v>
      </c>
      <c r="D270" s="83">
        <f>SUMIFS(D271:D540,K271:K540,"0",B271:B540,"1 2 3 6 9 12 31111 6 M59 30100 000132 0000R 00002 00629 025*")-SUMIFS(E271:E540,K271:K540,"0",B271:B540,"1 2 3 6 9 12 31111 6 M59 30100 000132 0000R 00002 00629 025*")</f>
        <v>0</v>
      </c>
      <c r="E270" s="54"/>
      <c r="F270" s="83">
        <f>SUMIFS(F271:F540,K271:K540,"0",B271:B540,"1 2 3 6 9 12 31111 6 M59 30100 000132 0000R 00002 00629 025*")</f>
        <v>87870.38</v>
      </c>
      <c r="G270" s="83">
        <f>SUMIFS(G271:G540,K271:K540,"0",B271:B540,"1 2 3 6 9 12 31111 6 M59 30100 000132 0000R 00002 00629 025*")</f>
        <v>0</v>
      </c>
      <c r="H270" s="83">
        <f t="shared" si="4"/>
        <v>87870.38</v>
      </c>
      <c r="I270" s="83"/>
      <c r="K270" s="54" t="s">
        <v>15</v>
      </c>
    </row>
    <row r="271" spans="2:11" ht="33" x14ac:dyDescent="0.2">
      <c r="B271" s="82" t="s">
        <v>964</v>
      </c>
      <c r="C271" s="82" t="s">
        <v>658</v>
      </c>
      <c r="D271" s="83">
        <f>SUMIFS(D272:D540,K272:K540,"0",B272:B540,"1 2 3 6 9 12 31111 6 M59 30100 000132 0000R 00002 00629 025 2210000*")-SUMIFS(E272:E540,K272:K540,"0",B272:B540,"1 2 3 6 9 12 31111 6 M59 30100 000132 0000R 00002 00629 025 2210000*")</f>
        <v>0</v>
      </c>
      <c r="E271" s="54"/>
      <c r="F271" s="83">
        <f>SUMIFS(F272:F540,K272:K540,"0",B272:B540,"1 2 3 6 9 12 31111 6 M59 30100 000132 0000R 00002 00629 025 2210000*")</f>
        <v>87870.38</v>
      </c>
      <c r="G271" s="83">
        <f>SUMIFS(G272:G540,K272:K540,"0",B272:B540,"1 2 3 6 9 12 31111 6 M59 30100 000132 0000R 00002 00629 025 2210000*")</f>
        <v>0</v>
      </c>
      <c r="H271" s="83">
        <f t="shared" si="4"/>
        <v>87870.38</v>
      </c>
      <c r="I271" s="83"/>
      <c r="K271" s="54" t="s">
        <v>15</v>
      </c>
    </row>
    <row r="272" spans="2:11" ht="33" x14ac:dyDescent="0.2">
      <c r="B272" s="82" t="s">
        <v>965</v>
      </c>
      <c r="C272" s="82" t="s">
        <v>660</v>
      </c>
      <c r="D272" s="83">
        <f>SUMIFS(D273:D540,K273:K540,"0",B273:B540,"1 2 3 6 9 12 31111 6 M59 30100 000132 0000R 00002 00629 025 2210000 2024*")-SUMIFS(E273:E540,K273:K540,"0",B273:B540,"1 2 3 6 9 12 31111 6 M59 30100 000132 0000R 00002 00629 025 2210000 2024*")</f>
        <v>0</v>
      </c>
      <c r="E272" s="54"/>
      <c r="F272" s="83">
        <f>SUMIFS(F273:F540,K273:K540,"0",B273:B540,"1 2 3 6 9 12 31111 6 M59 30100 000132 0000R 00002 00629 025 2210000 2024*")</f>
        <v>87870.38</v>
      </c>
      <c r="G272" s="83">
        <f>SUMIFS(G273:G540,K273:K540,"0",B273:B540,"1 2 3 6 9 12 31111 6 M59 30100 000132 0000R 00002 00629 025 2210000 2024*")</f>
        <v>0</v>
      </c>
      <c r="H272" s="83">
        <f t="shared" si="4"/>
        <v>87870.38</v>
      </c>
      <c r="I272" s="83"/>
      <c r="K272" s="54" t="s">
        <v>15</v>
      </c>
    </row>
    <row r="273" spans="2:11" ht="41.25" x14ac:dyDescent="0.2">
      <c r="B273" s="82" t="s">
        <v>966</v>
      </c>
      <c r="C273" s="82" t="s">
        <v>662</v>
      </c>
      <c r="D273" s="83">
        <f>SUMIFS(D274:D540,K274:K540,"0",B274:B540,"1 2 3 6 9 12 31111 6 M59 30100 000132 0000R 00002 00629 025 2210000 2024 CP2OP405*")-SUMIFS(E274:E540,K274:K540,"0",B274:B540,"1 2 3 6 9 12 31111 6 M59 30100 000132 0000R 00002 00629 025 2210000 2024 CP2OP405*")</f>
        <v>0</v>
      </c>
      <c r="E273" s="54"/>
      <c r="F273" s="83">
        <f>SUMIFS(F274:F540,K274:K540,"0",B274:B540,"1 2 3 6 9 12 31111 6 M59 30100 000132 0000R 00002 00629 025 2210000 2024 CP2OP405*")</f>
        <v>87870.38</v>
      </c>
      <c r="G273" s="83">
        <f>SUMIFS(G274:G540,K274:K540,"0",B274:B540,"1 2 3 6 9 12 31111 6 M59 30100 000132 0000R 00002 00629 025 2210000 2024 CP2OP405*")</f>
        <v>0</v>
      </c>
      <c r="H273" s="83">
        <f t="shared" si="4"/>
        <v>87870.38</v>
      </c>
      <c r="I273" s="83"/>
      <c r="K273" s="54" t="s">
        <v>15</v>
      </c>
    </row>
    <row r="274" spans="2:11" ht="41.25" x14ac:dyDescent="0.2">
      <c r="B274" s="82" t="s">
        <v>967</v>
      </c>
      <c r="C274" s="82" t="s">
        <v>671</v>
      </c>
      <c r="D274" s="83">
        <f>SUMIFS(D275:D540,K275:K540,"0",B275:B540,"1 2 3 6 9 12 31111 6 M59 30100 000132 0000R 00002 00629 025 2210000 2024 CP2OP405 002*")-SUMIFS(E275:E540,K275:K540,"0",B275:B540,"1 2 3 6 9 12 31111 6 M59 30100 000132 0000R 00002 00629 025 2210000 2024 CP2OP405 002*")</f>
        <v>0</v>
      </c>
      <c r="E274" s="54"/>
      <c r="F274" s="83">
        <f>SUMIFS(F275:F540,K275:K540,"0",B275:B540,"1 2 3 6 9 12 31111 6 M59 30100 000132 0000R 00002 00629 025 2210000 2024 CP2OP405 002*")</f>
        <v>87870.38</v>
      </c>
      <c r="G274" s="83">
        <f>SUMIFS(G275:G540,K275:K540,"0",B275:B540,"1 2 3 6 9 12 31111 6 M59 30100 000132 0000R 00002 00629 025 2210000 2024 CP2OP405 002*")</f>
        <v>0</v>
      </c>
      <c r="H274" s="83">
        <f t="shared" si="4"/>
        <v>87870.38</v>
      </c>
      <c r="I274" s="83"/>
      <c r="K274" s="54" t="s">
        <v>15</v>
      </c>
    </row>
    <row r="275" spans="2:11" ht="49.5" x14ac:dyDescent="0.2">
      <c r="B275" s="82" t="s">
        <v>968</v>
      </c>
      <c r="C275" s="82" t="s">
        <v>837</v>
      </c>
      <c r="D275" s="83">
        <f>SUMIFS(D276:D540,K276:K540,"0",B276:B540,"1 2 3 6 9 12 31111 6 M59 30100 000132 0000R 00002 00629 025 2210000 2024 CP2OP405 002 0000001*")-SUMIFS(E276:E540,K276:K540,"0",B276:B540,"1 2 3 6 9 12 31111 6 M59 30100 000132 0000R 00002 00629 025 2210000 2024 CP2OP405 002 0000001*")</f>
        <v>0</v>
      </c>
      <c r="E275" s="54"/>
      <c r="F275" s="83">
        <f>SUMIFS(F276:F540,K276:K540,"0",B276:B540,"1 2 3 6 9 12 31111 6 M59 30100 000132 0000R 00002 00629 025 2210000 2024 CP2OP405 002 0000001*")</f>
        <v>87870.38</v>
      </c>
      <c r="G275" s="83">
        <f>SUMIFS(G276:G540,K276:K540,"0",B276:B540,"1 2 3 6 9 12 31111 6 M59 30100 000132 0000R 00002 00629 025 2210000 2024 CP2OP405 002 0000001*")</f>
        <v>0</v>
      </c>
      <c r="H275" s="83">
        <f t="shared" si="4"/>
        <v>87870.38</v>
      </c>
      <c r="I275" s="83"/>
      <c r="K275" s="54" t="s">
        <v>15</v>
      </c>
    </row>
    <row r="276" spans="2:11" ht="41.25" x14ac:dyDescent="0.2">
      <c r="B276" s="84" t="s">
        <v>969</v>
      </c>
      <c r="C276" s="84" t="s">
        <v>970</v>
      </c>
      <c r="D276" s="85">
        <v>0</v>
      </c>
      <c r="E276" s="85"/>
      <c r="F276" s="85">
        <v>87870.38</v>
      </c>
      <c r="G276" s="85">
        <v>0</v>
      </c>
      <c r="H276" s="85">
        <f t="shared" si="4"/>
        <v>87870.38</v>
      </c>
      <c r="I276" s="85"/>
      <c r="K276" s="54" t="s">
        <v>38</v>
      </c>
    </row>
    <row r="277" spans="2:11" ht="12.75" x14ac:dyDescent="0.2">
      <c r="B277" s="82" t="s">
        <v>971</v>
      </c>
      <c r="C277" s="82" t="s">
        <v>972</v>
      </c>
      <c r="D277" s="83">
        <f>SUMIFS(D278:D540,K278:K540,"0",B278:B540,"1 2 4*")-SUMIFS(E278:E540,K278:K540,"0",B278:B540,"1 2 4*")</f>
        <v>569130.59</v>
      </c>
      <c r="E277" s="54"/>
      <c r="F277" s="83">
        <f>SUMIFS(F278:F540,K278:K540,"0",B278:B540,"1 2 4*")</f>
        <v>0</v>
      </c>
      <c r="G277" s="83">
        <f>SUMIFS(G278:G540,K278:K540,"0",B278:B540,"1 2 4*")</f>
        <v>0</v>
      </c>
      <c r="H277" s="83">
        <f t="shared" si="4"/>
        <v>569130.59</v>
      </c>
      <c r="I277" s="83"/>
      <c r="K277" s="54" t="s">
        <v>15</v>
      </c>
    </row>
    <row r="278" spans="2:11" ht="16.5" x14ac:dyDescent="0.2">
      <c r="B278" s="82" t="s">
        <v>973</v>
      </c>
      <c r="C278" s="82" t="s">
        <v>974</v>
      </c>
      <c r="D278" s="83">
        <f>SUMIFS(D279:D540,K279:K540,"0",B279:B540,"1 2 4 1*")-SUMIFS(E279:E540,K279:K540,"0",B279:B540,"1 2 4 1*")</f>
        <v>281795.73</v>
      </c>
      <c r="E278" s="54"/>
      <c r="F278" s="83">
        <f>SUMIFS(F279:F540,K279:K540,"0",B279:B540,"1 2 4 1*")</f>
        <v>0</v>
      </c>
      <c r="G278" s="83">
        <f>SUMIFS(G279:G540,K279:K540,"0",B279:B540,"1 2 4 1*")</f>
        <v>0</v>
      </c>
      <c r="H278" s="83">
        <f t="shared" si="4"/>
        <v>281795.73</v>
      </c>
      <c r="I278" s="83"/>
      <c r="K278" s="54" t="s">
        <v>15</v>
      </c>
    </row>
    <row r="279" spans="2:11" ht="16.5" x14ac:dyDescent="0.2">
      <c r="B279" s="82" t="s">
        <v>975</v>
      </c>
      <c r="C279" s="82" t="s">
        <v>976</v>
      </c>
      <c r="D279" s="83">
        <f>SUMIFS(D280:D540,K280:K540,"0",B280:B540,"1 2 4 1 1*")-SUMIFS(E280:E540,K280:K540,"0",B280:B540,"1 2 4 1 1*")</f>
        <v>67512.210000000006</v>
      </c>
      <c r="E279" s="54"/>
      <c r="F279" s="83">
        <f>SUMIFS(F280:F540,K280:K540,"0",B280:B540,"1 2 4 1 1*")</f>
        <v>0</v>
      </c>
      <c r="G279" s="83">
        <f>SUMIFS(G280:G540,K280:K540,"0",B280:B540,"1 2 4 1 1*")</f>
        <v>0</v>
      </c>
      <c r="H279" s="83">
        <f t="shared" si="4"/>
        <v>67512.210000000006</v>
      </c>
      <c r="I279" s="83"/>
      <c r="K279" s="54" t="s">
        <v>15</v>
      </c>
    </row>
    <row r="280" spans="2:11" ht="12.75" x14ac:dyDescent="0.2">
      <c r="B280" s="82" t="s">
        <v>977</v>
      </c>
      <c r="C280" s="82" t="s">
        <v>26</v>
      </c>
      <c r="D280" s="83">
        <f>SUMIFS(D281:D540,K281:K540,"0",B281:B540,"1 2 4 1 1 12*")-SUMIFS(E281:E540,K281:K540,"0",B281:B540,"1 2 4 1 1 12*")</f>
        <v>67512.210000000006</v>
      </c>
      <c r="E280" s="54"/>
      <c r="F280" s="83">
        <f>SUMIFS(F281:F540,K281:K540,"0",B281:B540,"1 2 4 1 1 12*")</f>
        <v>0</v>
      </c>
      <c r="G280" s="83">
        <f>SUMIFS(G281:G540,K281:K540,"0",B281:B540,"1 2 4 1 1 12*")</f>
        <v>0</v>
      </c>
      <c r="H280" s="83">
        <f t="shared" si="4"/>
        <v>67512.210000000006</v>
      </c>
      <c r="I280" s="83"/>
      <c r="K280" s="54" t="s">
        <v>15</v>
      </c>
    </row>
    <row r="281" spans="2:11" ht="16.5" x14ac:dyDescent="0.2">
      <c r="B281" s="82" t="s">
        <v>978</v>
      </c>
      <c r="C281" s="82" t="s">
        <v>28</v>
      </c>
      <c r="D281" s="83">
        <f>SUMIFS(D282:D540,K282:K540,"0",B282:B540,"1 2 4 1 1 12 31111*")-SUMIFS(E282:E540,K282:K540,"0",B282:B540,"1 2 4 1 1 12 31111*")</f>
        <v>67512.210000000006</v>
      </c>
      <c r="E281" s="54"/>
      <c r="F281" s="83">
        <f>SUMIFS(F282:F540,K282:K540,"0",B282:B540,"1 2 4 1 1 12 31111*")</f>
        <v>0</v>
      </c>
      <c r="G281" s="83">
        <f>SUMIFS(G282:G540,K282:K540,"0",B282:B540,"1 2 4 1 1 12 31111*")</f>
        <v>0</v>
      </c>
      <c r="H281" s="83">
        <f t="shared" si="4"/>
        <v>67512.210000000006</v>
      </c>
      <c r="I281" s="83"/>
      <c r="K281" s="54" t="s">
        <v>15</v>
      </c>
    </row>
    <row r="282" spans="2:11" ht="12.75" x14ac:dyDescent="0.2">
      <c r="B282" s="82" t="s">
        <v>979</v>
      </c>
      <c r="C282" s="82" t="s">
        <v>30</v>
      </c>
      <c r="D282" s="83">
        <f>SUMIFS(D283:D540,K283:K540,"0",B283:B540,"1 2 4 1 1 12 31111 6*")-SUMIFS(E283:E540,K283:K540,"0",B283:B540,"1 2 4 1 1 12 31111 6*")</f>
        <v>67512.210000000006</v>
      </c>
      <c r="E282" s="54"/>
      <c r="F282" s="83">
        <f>SUMIFS(F283:F540,K283:K540,"0",B283:B540,"1 2 4 1 1 12 31111 6*")</f>
        <v>0</v>
      </c>
      <c r="G282" s="83">
        <f>SUMIFS(G283:G540,K283:K540,"0",B283:B540,"1 2 4 1 1 12 31111 6*")</f>
        <v>0</v>
      </c>
      <c r="H282" s="83">
        <f t="shared" si="4"/>
        <v>67512.210000000006</v>
      </c>
      <c r="I282" s="83"/>
      <c r="K282" s="54" t="s">
        <v>15</v>
      </c>
    </row>
    <row r="283" spans="2:11" ht="12.75" x14ac:dyDescent="0.2">
      <c r="B283" s="82" t="s">
        <v>980</v>
      </c>
      <c r="C283" s="82" t="s">
        <v>32</v>
      </c>
      <c r="D283" s="83">
        <f>SUMIFS(D284:D540,K284:K540,"0",B284:B540,"1 2 4 1 1 12 31111 6 M59*")-SUMIFS(E284:E540,K284:K540,"0",B284:B540,"1 2 4 1 1 12 31111 6 M59*")</f>
        <v>67512.210000000006</v>
      </c>
      <c r="E283" s="54"/>
      <c r="F283" s="83">
        <f>SUMIFS(F284:F540,K284:K540,"0",B284:B540,"1 2 4 1 1 12 31111 6 M59*")</f>
        <v>0</v>
      </c>
      <c r="G283" s="83">
        <f>SUMIFS(G284:G540,K284:K540,"0",B284:B540,"1 2 4 1 1 12 31111 6 M59*")</f>
        <v>0</v>
      </c>
      <c r="H283" s="83">
        <f t="shared" si="4"/>
        <v>67512.210000000006</v>
      </c>
      <c r="I283" s="83"/>
      <c r="K283" s="54" t="s">
        <v>15</v>
      </c>
    </row>
    <row r="284" spans="2:11" ht="24.75" x14ac:dyDescent="0.2">
      <c r="B284" s="82" t="s">
        <v>985</v>
      </c>
      <c r="C284" s="82" t="s">
        <v>986</v>
      </c>
      <c r="D284" s="83">
        <f>SUMIFS(D285:D540,K285:K540,"0",B285:B540,"1 2 4 1 1 12 31111 6 M59 00002*")-SUMIFS(E285:E540,K285:K540,"0",B285:B540,"1 2 4 1 1 12 31111 6 M59 00002*")</f>
        <v>67512.210000000006</v>
      </c>
      <c r="E284" s="54"/>
      <c r="F284" s="83">
        <f>SUMIFS(F285:F540,K285:K540,"0",B285:B540,"1 2 4 1 1 12 31111 6 M59 00002*")</f>
        <v>0</v>
      </c>
      <c r="G284" s="83">
        <f>SUMIFS(G285:G540,K285:K540,"0",B285:B540,"1 2 4 1 1 12 31111 6 M59 00002*")</f>
        <v>0</v>
      </c>
      <c r="H284" s="83">
        <f t="shared" si="4"/>
        <v>67512.210000000006</v>
      </c>
      <c r="I284" s="83"/>
      <c r="K284" s="54" t="s">
        <v>15</v>
      </c>
    </row>
    <row r="285" spans="2:11" ht="16.5" x14ac:dyDescent="0.2">
      <c r="B285" s="82" t="s">
        <v>987</v>
      </c>
      <c r="C285" s="82" t="s">
        <v>42</v>
      </c>
      <c r="D285" s="83">
        <f>SUMIFS(D286:D540,K286:K540,"0",B286:B540,"1 2 4 1 1 12 31111 6 M59 00002 000001*")-SUMIFS(E286:E540,K286:K540,"0",B286:B540,"1 2 4 1 1 12 31111 6 M59 00002 000001*")</f>
        <v>67512.210000000006</v>
      </c>
      <c r="E285" s="54"/>
      <c r="F285" s="83">
        <f>SUMIFS(F286:F540,K286:K540,"0",B286:B540,"1 2 4 1 1 12 31111 6 M59 00002 000001*")</f>
        <v>0</v>
      </c>
      <c r="G285" s="83">
        <f>SUMIFS(G286:G540,K286:K540,"0",B286:B540,"1 2 4 1 1 12 31111 6 M59 00002 000001*")</f>
        <v>0</v>
      </c>
      <c r="H285" s="83">
        <f t="shared" si="4"/>
        <v>67512.210000000006</v>
      </c>
      <c r="I285" s="83"/>
      <c r="K285" s="54" t="s">
        <v>15</v>
      </c>
    </row>
    <row r="286" spans="2:11" ht="16.5" x14ac:dyDescent="0.2">
      <c r="B286" s="84" t="s">
        <v>988</v>
      </c>
      <c r="C286" s="84" t="s">
        <v>274</v>
      </c>
      <c r="D286" s="85">
        <v>67512.210000000006</v>
      </c>
      <c r="E286" s="85"/>
      <c r="F286" s="85">
        <v>0</v>
      </c>
      <c r="G286" s="85">
        <v>0</v>
      </c>
      <c r="H286" s="85">
        <f t="shared" si="4"/>
        <v>67512.210000000006</v>
      </c>
      <c r="I286" s="85"/>
      <c r="K286" s="54" t="s">
        <v>38</v>
      </c>
    </row>
    <row r="287" spans="2:11" ht="24.75" x14ac:dyDescent="0.2">
      <c r="B287" s="82" t="s">
        <v>1013</v>
      </c>
      <c r="C287" s="82" t="s">
        <v>1014</v>
      </c>
      <c r="D287" s="83">
        <f>SUMIFS(D288:D540,K288:K540,"0",B288:B540,"1 2 4 1 3*")-SUMIFS(E288:E540,K288:K540,"0",B288:B540,"1 2 4 1 3*")</f>
        <v>214283.51999999999</v>
      </c>
      <c r="E287" s="54"/>
      <c r="F287" s="83">
        <f>SUMIFS(F288:F540,K288:K540,"0",B288:B540,"1 2 4 1 3*")</f>
        <v>0</v>
      </c>
      <c r="G287" s="83">
        <f>SUMIFS(G288:G540,K288:K540,"0",B288:B540,"1 2 4 1 3*")</f>
        <v>0</v>
      </c>
      <c r="H287" s="83">
        <f t="shared" si="4"/>
        <v>214283.51999999999</v>
      </c>
      <c r="I287" s="83"/>
      <c r="K287" s="54" t="s">
        <v>15</v>
      </c>
    </row>
    <row r="288" spans="2:11" ht="12.75" x14ac:dyDescent="0.2">
      <c r="B288" s="82" t="s">
        <v>1015</v>
      </c>
      <c r="C288" s="82" t="s">
        <v>26</v>
      </c>
      <c r="D288" s="83">
        <f>SUMIFS(D289:D540,K289:K540,"0",B289:B540,"1 2 4 1 3 12*")-SUMIFS(E289:E540,K289:K540,"0",B289:B540,"1 2 4 1 3 12*")</f>
        <v>214283.51999999999</v>
      </c>
      <c r="E288" s="54"/>
      <c r="F288" s="83">
        <f>SUMIFS(F289:F540,K289:K540,"0",B289:B540,"1 2 4 1 3 12*")</f>
        <v>0</v>
      </c>
      <c r="G288" s="83">
        <f>SUMIFS(G289:G540,K289:K540,"0",B289:B540,"1 2 4 1 3 12*")</f>
        <v>0</v>
      </c>
      <c r="H288" s="83">
        <f t="shared" si="4"/>
        <v>214283.51999999999</v>
      </c>
      <c r="I288" s="83"/>
      <c r="K288" s="54" t="s">
        <v>15</v>
      </c>
    </row>
    <row r="289" spans="2:11" ht="16.5" x14ac:dyDescent="0.2">
      <c r="B289" s="82" t="s">
        <v>1016</v>
      </c>
      <c r="C289" s="82" t="s">
        <v>28</v>
      </c>
      <c r="D289" s="83">
        <f>SUMIFS(D290:D540,K290:K540,"0",B290:B540,"1 2 4 1 3 12 31111*")-SUMIFS(E290:E540,K290:K540,"0",B290:B540,"1 2 4 1 3 12 31111*")</f>
        <v>214283.51999999999</v>
      </c>
      <c r="E289" s="54"/>
      <c r="F289" s="83">
        <f>SUMIFS(F290:F540,K290:K540,"0",B290:B540,"1 2 4 1 3 12 31111*")</f>
        <v>0</v>
      </c>
      <c r="G289" s="83">
        <f>SUMIFS(G290:G540,K290:K540,"0",B290:B540,"1 2 4 1 3 12 31111*")</f>
        <v>0</v>
      </c>
      <c r="H289" s="83">
        <f t="shared" si="4"/>
        <v>214283.51999999999</v>
      </c>
      <c r="I289" s="83"/>
      <c r="K289" s="54" t="s">
        <v>15</v>
      </c>
    </row>
    <row r="290" spans="2:11" ht="12.75" x14ac:dyDescent="0.2">
      <c r="B290" s="82" t="s">
        <v>1017</v>
      </c>
      <c r="C290" s="82" t="s">
        <v>30</v>
      </c>
      <c r="D290" s="83">
        <f>SUMIFS(D291:D540,K291:K540,"0",B291:B540,"1 2 4 1 3 12 31111 6*")-SUMIFS(E291:E540,K291:K540,"0",B291:B540,"1 2 4 1 3 12 31111 6*")</f>
        <v>214283.51999999999</v>
      </c>
      <c r="E290" s="54"/>
      <c r="F290" s="83">
        <f>SUMIFS(F291:F540,K291:K540,"0",B291:B540,"1 2 4 1 3 12 31111 6*")</f>
        <v>0</v>
      </c>
      <c r="G290" s="83">
        <f>SUMIFS(G291:G540,K291:K540,"0",B291:B540,"1 2 4 1 3 12 31111 6*")</f>
        <v>0</v>
      </c>
      <c r="H290" s="83">
        <f t="shared" si="4"/>
        <v>214283.51999999999</v>
      </c>
      <c r="I290" s="83"/>
      <c r="K290" s="54" t="s">
        <v>15</v>
      </c>
    </row>
    <row r="291" spans="2:11" ht="16.5" x14ac:dyDescent="0.2">
      <c r="B291" s="82" t="s">
        <v>1018</v>
      </c>
      <c r="C291" s="82" t="s">
        <v>32</v>
      </c>
      <c r="D291" s="83">
        <f>SUMIFS(D292:D540,K292:K540,"0",B292:B540,"1 2 4 1 3 12 31111 6 M59*")-SUMIFS(E292:E540,K292:K540,"0",B292:B540,"1 2 4 1 3 12 31111 6 M59*")</f>
        <v>214283.51999999999</v>
      </c>
      <c r="E291" s="54"/>
      <c r="F291" s="83">
        <f>SUMIFS(F292:F540,K292:K540,"0",B292:B540,"1 2 4 1 3 12 31111 6 M59*")</f>
        <v>0</v>
      </c>
      <c r="G291" s="83">
        <f>SUMIFS(G292:G540,K292:K540,"0",B292:B540,"1 2 4 1 3 12 31111 6 M59*")</f>
        <v>0</v>
      </c>
      <c r="H291" s="83">
        <f t="shared" si="4"/>
        <v>214283.51999999999</v>
      </c>
      <c r="I291" s="83"/>
      <c r="K291" s="54" t="s">
        <v>15</v>
      </c>
    </row>
    <row r="292" spans="2:11" ht="24.75" x14ac:dyDescent="0.2">
      <c r="B292" s="82" t="s">
        <v>1029</v>
      </c>
      <c r="C292" s="82" t="s">
        <v>986</v>
      </c>
      <c r="D292" s="83">
        <f>SUMIFS(D293:D540,K293:K540,"0",B293:B540,"1 2 4 1 3 12 31111 6 M59 00002*")-SUMIFS(E293:E540,K293:K540,"0",B293:B540,"1 2 4 1 3 12 31111 6 M59 00002*")</f>
        <v>214283.51999999999</v>
      </c>
      <c r="E292" s="54"/>
      <c r="F292" s="83">
        <f>SUMIFS(F293:F540,K293:K540,"0",B293:B540,"1 2 4 1 3 12 31111 6 M59 00002*")</f>
        <v>0</v>
      </c>
      <c r="G292" s="83">
        <f>SUMIFS(G293:G540,K293:K540,"0",B293:B540,"1 2 4 1 3 12 31111 6 M59 00002*")</f>
        <v>0</v>
      </c>
      <c r="H292" s="83">
        <f t="shared" si="4"/>
        <v>214283.51999999999</v>
      </c>
      <c r="I292" s="83"/>
      <c r="K292" s="54" t="s">
        <v>15</v>
      </c>
    </row>
    <row r="293" spans="2:11" ht="16.5" x14ac:dyDescent="0.2">
      <c r="B293" s="82" t="s">
        <v>1030</v>
      </c>
      <c r="C293" s="82" t="s">
        <v>42</v>
      </c>
      <c r="D293" s="83">
        <f>SUMIFS(D294:D540,K294:K540,"0",B294:B540,"1 2 4 1 3 12 31111 6 M59 00002 000001*")-SUMIFS(E294:E540,K294:K540,"0",B294:B540,"1 2 4 1 3 12 31111 6 M59 00002 000001*")</f>
        <v>214283.51999999999</v>
      </c>
      <c r="E293" s="54"/>
      <c r="F293" s="83">
        <f>SUMIFS(F294:F540,K294:K540,"0",B294:B540,"1 2 4 1 3 12 31111 6 M59 00002 000001*")</f>
        <v>0</v>
      </c>
      <c r="G293" s="83">
        <f>SUMIFS(G294:G540,K294:K540,"0",B294:B540,"1 2 4 1 3 12 31111 6 M59 00002 000001*")</f>
        <v>0</v>
      </c>
      <c r="H293" s="83">
        <f t="shared" si="4"/>
        <v>214283.51999999999</v>
      </c>
      <c r="I293" s="83"/>
      <c r="K293" s="54" t="s">
        <v>15</v>
      </c>
    </row>
    <row r="294" spans="2:11" ht="16.5" x14ac:dyDescent="0.2">
      <c r="B294" s="84" t="s">
        <v>1031</v>
      </c>
      <c r="C294" s="84" t="s">
        <v>274</v>
      </c>
      <c r="D294" s="85">
        <v>214283.51999999999</v>
      </c>
      <c r="E294" s="85"/>
      <c r="F294" s="85">
        <v>0</v>
      </c>
      <c r="G294" s="85">
        <v>0</v>
      </c>
      <c r="H294" s="85">
        <f t="shared" si="4"/>
        <v>214283.51999999999</v>
      </c>
      <c r="I294" s="85"/>
      <c r="K294" s="54" t="s">
        <v>38</v>
      </c>
    </row>
    <row r="295" spans="2:11" ht="16.5" x14ac:dyDescent="0.2">
      <c r="B295" s="82" t="s">
        <v>1140</v>
      </c>
      <c r="C295" s="82" t="s">
        <v>1141</v>
      </c>
      <c r="D295" s="83">
        <f>SUMIFS(D296:D540,K296:K540,"0",B296:B540,"1 2 4 2*")-SUMIFS(E296:E540,K296:K540,"0",B296:B540,"1 2 4 2*")</f>
        <v>76134.86</v>
      </c>
      <c r="E295" s="54"/>
      <c r="F295" s="83">
        <f>SUMIFS(F296:F540,K296:K540,"0",B296:B540,"1 2 4 2*")</f>
        <v>0</v>
      </c>
      <c r="G295" s="83">
        <f>SUMIFS(G296:G540,K296:K540,"0",B296:B540,"1 2 4 2*")</f>
        <v>0</v>
      </c>
      <c r="H295" s="83">
        <f t="shared" si="4"/>
        <v>76134.86</v>
      </c>
      <c r="I295" s="83"/>
      <c r="K295" s="54" t="s">
        <v>15</v>
      </c>
    </row>
    <row r="296" spans="2:11" ht="16.5" x14ac:dyDescent="0.2">
      <c r="B296" s="82" t="s">
        <v>1142</v>
      </c>
      <c r="C296" s="82" t="s">
        <v>1143</v>
      </c>
      <c r="D296" s="83">
        <f>SUMIFS(D297:D540,K297:K540,"0",B297:B540,"1 2 4 2 1*")-SUMIFS(E297:E540,K297:K540,"0",B297:B540,"1 2 4 2 1*")</f>
        <v>5604.86</v>
      </c>
      <c r="E296" s="54"/>
      <c r="F296" s="83">
        <f>SUMIFS(F297:F540,K297:K540,"0",B297:B540,"1 2 4 2 1*")</f>
        <v>0</v>
      </c>
      <c r="G296" s="83">
        <f>SUMIFS(G297:G540,K297:K540,"0",B297:B540,"1 2 4 2 1*")</f>
        <v>0</v>
      </c>
      <c r="H296" s="83">
        <f t="shared" si="4"/>
        <v>5604.86</v>
      </c>
      <c r="I296" s="83"/>
      <c r="K296" s="54" t="s">
        <v>15</v>
      </c>
    </row>
    <row r="297" spans="2:11" ht="12.75" x14ac:dyDescent="0.2">
      <c r="B297" s="82" t="s">
        <v>1144</v>
      </c>
      <c r="C297" s="82" t="s">
        <v>26</v>
      </c>
      <c r="D297" s="83">
        <f>SUMIFS(D298:D540,K298:K540,"0",B298:B540,"1 2 4 2 1 12*")-SUMIFS(E298:E540,K298:K540,"0",B298:B540,"1 2 4 2 1 12*")</f>
        <v>5604.86</v>
      </c>
      <c r="E297" s="54"/>
      <c r="F297" s="83">
        <f>SUMIFS(F298:F540,K298:K540,"0",B298:B540,"1 2 4 2 1 12*")</f>
        <v>0</v>
      </c>
      <c r="G297" s="83">
        <f>SUMIFS(G298:G540,K298:K540,"0",B298:B540,"1 2 4 2 1 12*")</f>
        <v>0</v>
      </c>
      <c r="H297" s="83">
        <f t="shared" si="4"/>
        <v>5604.86</v>
      </c>
      <c r="I297" s="83"/>
      <c r="K297" s="54" t="s">
        <v>15</v>
      </c>
    </row>
    <row r="298" spans="2:11" ht="16.5" x14ac:dyDescent="0.2">
      <c r="B298" s="82" t="s">
        <v>1145</v>
      </c>
      <c r="C298" s="82" t="s">
        <v>28</v>
      </c>
      <c r="D298" s="83">
        <f>SUMIFS(D299:D540,K299:K540,"0",B299:B540,"1 2 4 2 1 12 31111*")-SUMIFS(E299:E540,K299:K540,"0",B299:B540,"1 2 4 2 1 12 31111*")</f>
        <v>5604.86</v>
      </c>
      <c r="E298" s="54"/>
      <c r="F298" s="83">
        <f>SUMIFS(F299:F540,K299:K540,"0",B299:B540,"1 2 4 2 1 12 31111*")</f>
        <v>0</v>
      </c>
      <c r="G298" s="83">
        <f>SUMIFS(G299:G540,K299:K540,"0",B299:B540,"1 2 4 2 1 12 31111*")</f>
        <v>0</v>
      </c>
      <c r="H298" s="83">
        <f t="shared" si="4"/>
        <v>5604.86</v>
      </c>
      <c r="I298" s="83"/>
      <c r="K298" s="54" t="s">
        <v>15</v>
      </c>
    </row>
    <row r="299" spans="2:11" ht="12.75" x14ac:dyDescent="0.2">
      <c r="B299" s="82" t="s">
        <v>1146</v>
      </c>
      <c r="C299" s="82" t="s">
        <v>30</v>
      </c>
      <c r="D299" s="83">
        <f>SUMIFS(D300:D540,K300:K540,"0",B300:B540,"1 2 4 2 1 12 31111 6*")-SUMIFS(E300:E540,K300:K540,"0",B300:B540,"1 2 4 2 1 12 31111 6*")</f>
        <v>5604.86</v>
      </c>
      <c r="E299" s="54"/>
      <c r="F299" s="83">
        <f>SUMIFS(F300:F540,K300:K540,"0",B300:B540,"1 2 4 2 1 12 31111 6*")</f>
        <v>0</v>
      </c>
      <c r="G299" s="83">
        <f>SUMIFS(G300:G540,K300:K540,"0",B300:B540,"1 2 4 2 1 12 31111 6*")</f>
        <v>0</v>
      </c>
      <c r="H299" s="83">
        <f t="shared" si="4"/>
        <v>5604.86</v>
      </c>
      <c r="I299" s="83"/>
      <c r="K299" s="54" t="s">
        <v>15</v>
      </c>
    </row>
    <row r="300" spans="2:11" ht="16.5" x14ac:dyDescent="0.2">
      <c r="B300" s="82" t="s">
        <v>1147</v>
      </c>
      <c r="C300" s="82" t="s">
        <v>140</v>
      </c>
      <c r="D300" s="83">
        <f>SUMIFS(D301:D540,K301:K540,"0",B301:B540,"1 2 4 2 1 12 31111 6 M59*")-SUMIFS(E301:E540,K301:K540,"0",B301:B540,"1 2 4 2 1 12 31111 6 M59*")</f>
        <v>5604.86</v>
      </c>
      <c r="E300" s="54"/>
      <c r="F300" s="83">
        <f>SUMIFS(F301:F540,K301:K540,"0",B301:B540,"1 2 4 2 1 12 31111 6 M59*")</f>
        <v>0</v>
      </c>
      <c r="G300" s="83">
        <f>SUMIFS(G301:G540,K301:K540,"0",B301:B540,"1 2 4 2 1 12 31111 6 M59*")</f>
        <v>0</v>
      </c>
      <c r="H300" s="83">
        <f t="shared" si="4"/>
        <v>5604.86</v>
      </c>
      <c r="I300" s="83"/>
      <c r="K300" s="54" t="s">
        <v>15</v>
      </c>
    </row>
    <row r="301" spans="2:11" ht="24.75" x14ac:dyDescent="0.2">
      <c r="B301" s="82" t="s">
        <v>1152</v>
      </c>
      <c r="C301" s="82" t="s">
        <v>40</v>
      </c>
      <c r="D301" s="83">
        <f>SUMIFS(D302:D540,K302:K540,"0",B302:B540,"1 2 4 2 1 12 31111 6 M59 00002*")-SUMIFS(E302:E540,K302:K540,"0",B302:B540,"1 2 4 2 1 12 31111 6 M59 00002*")</f>
        <v>5604.86</v>
      </c>
      <c r="E301" s="54"/>
      <c r="F301" s="83">
        <f>SUMIFS(F302:F540,K302:K540,"0",B302:B540,"1 2 4 2 1 12 31111 6 M59 00002*")</f>
        <v>0</v>
      </c>
      <c r="G301" s="83">
        <f>SUMIFS(G302:G540,K302:K540,"0",B302:B540,"1 2 4 2 1 12 31111 6 M59 00002*")</f>
        <v>0</v>
      </c>
      <c r="H301" s="83">
        <f t="shared" si="4"/>
        <v>5604.86</v>
      </c>
      <c r="I301" s="83"/>
      <c r="K301" s="54" t="s">
        <v>15</v>
      </c>
    </row>
    <row r="302" spans="2:11" ht="16.5" x14ac:dyDescent="0.2">
      <c r="B302" s="82" t="s">
        <v>1153</v>
      </c>
      <c r="C302" s="82" t="s">
        <v>42</v>
      </c>
      <c r="D302" s="83">
        <f>SUMIFS(D303:D540,K303:K540,"0",B303:B540,"1 2 4 2 1 12 31111 6 M59 00002 000001*")-SUMIFS(E303:E540,K303:K540,"0",B303:B540,"1 2 4 2 1 12 31111 6 M59 00002 000001*")</f>
        <v>5604.86</v>
      </c>
      <c r="E302" s="54"/>
      <c r="F302" s="83">
        <f>SUMIFS(F303:F540,K303:K540,"0",B303:B540,"1 2 4 2 1 12 31111 6 M59 00002 000001*")</f>
        <v>0</v>
      </c>
      <c r="G302" s="83">
        <f>SUMIFS(G303:G540,K303:K540,"0",B303:B540,"1 2 4 2 1 12 31111 6 M59 00002 000001*")</f>
        <v>0</v>
      </c>
      <c r="H302" s="83">
        <f t="shared" si="4"/>
        <v>5604.86</v>
      </c>
      <c r="I302" s="83"/>
      <c r="K302" s="54" t="s">
        <v>15</v>
      </c>
    </row>
    <row r="303" spans="2:11" ht="16.5" x14ac:dyDescent="0.2">
      <c r="B303" s="84" t="s">
        <v>1154</v>
      </c>
      <c r="C303" s="84" t="s">
        <v>274</v>
      </c>
      <c r="D303" s="85">
        <v>5604.86</v>
      </c>
      <c r="E303" s="85"/>
      <c r="F303" s="85">
        <v>0</v>
      </c>
      <c r="G303" s="85">
        <v>0</v>
      </c>
      <c r="H303" s="85">
        <f t="shared" si="4"/>
        <v>5604.86</v>
      </c>
      <c r="I303" s="85"/>
      <c r="K303" s="54" t="s">
        <v>38</v>
      </c>
    </row>
    <row r="304" spans="2:11" ht="16.5" x14ac:dyDescent="0.2">
      <c r="B304" s="82" t="s">
        <v>1158</v>
      </c>
      <c r="C304" s="82" t="s">
        <v>1159</v>
      </c>
      <c r="D304" s="83">
        <f>SUMIFS(D305:D540,K305:K540,"0",B305:B540,"1 2 4 2 3*")-SUMIFS(E305:E540,K305:K540,"0",B305:B540,"1 2 4 2 3*")</f>
        <v>70530</v>
      </c>
      <c r="E304" s="54"/>
      <c r="F304" s="83">
        <f>SUMIFS(F305:F540,K305:K540,"0",B305:B540,"1 2 4 2 3*")</f>
        <v>0</v>
      </c>
      <c r="G304" s="83">
        <f>SUMIFS(G305:G540,K305:K540,"0",B305:B540,"1 2 4 2 3*")</f>
        <v>0</v>
      </c>
      <c r="H304" s="83">
        <f t="shared" si="4"/>
        <v>70530</v>
      </c>
      <c r="I304" s="83"/>
      <c r="K304" s="54" t="s">
        <v>15</v>
      </c>
    </row>
    <row r="305" spans="2:11" ht="12.75" x14ac:dyDescent="0.2">
      <c r="B305" s="82" t="s">
        <v>1160</v>
      </c>
      <c r="C305" s="82" t="s">
        <v>26</v>
      </c>
      <c r="D305" s="83">
        <f>SUMIFS(D306:D540,K306:K540,"0",B306:B540,"1 2 4 2 3 12*")-SUMIFS(E306:E540,K306:K540,"0",B306:B540,"1 2 4 2 3 12*")</f>
        <v>70530</v>
      </c>
      <c r="E305" s="54"/>
      <c r="F305" s="83">
        <f>SUMIFS(F306:F540,K306:K540,"0",B306:B540,"1 2 4 2 3 12*")</f>
        <v>0</v>
      </c>
      <c r="G305" s="83">
        <f>SUMIFS(G306:G540,K306:K540,"0",B306:B540,"1 2 4 2 3 12*")</f>
        <v>0</v>
      </c>
      <c r="H305" s="83">
        <f t="shared" si="4"/>
        <v>70530</v>
      </c>
      <c r="I305" s="83"/>
      <c r="K305" s="54" t="s">
        <v>15</v>
      </c>
    </row>
    <row r="306" spans="2:11" ht="16.5" x14ac:dyDescent="0.2">
      <c r="B306" s="82" t="s">
        <v>1161</v>
      </c>
      <c r="C306" s="82" t="s">
        <v>28</v>
      </c>
      <c r="D306" s="83">
        <f>SUMIFS(D307:D540,K307:K540,"0",B307:B540,"1 2 4 2 3 12 31111*")-SUMIFS(E307:E540,K307:K540,"0",B307:B540,"1 2 4 2 3 12 31111*")</f>
        <v>70530</v>
      </c>
      <c r="E306" s="54"/>
      <c r="F306" s="83">
        <f>SUMIFS(F307:F540,K307:K540,"0",B307:B540,"1 2 4 2 3 12 31111*")</f>
        <v>0</v>
      </c>
      <c r="G306" s="83">
        <f>SUMIFS(G307:G540,K307:K540,"0",B307:B540,"1 2 4 2 3 12 31111*")</f>
        <v>0</v>
      </c>
      <c r="H306" s="83">
        <f t="shared" si="4"/>
        <v>70530</v>
      </c>
      <c r="I306" s="83"/>
      <c r="K306" s="54" t="s">
        <v>15</v>
      </c>
    </row>
    <row r="307" spans="2:11" ht="12.75" x14ac:dyDescent="0.2">
      <c r="B307" s="82" t="s">
        <v>1162</v>
      </c>
      <c r="C307" s="82" t="s">
        <v>30</v>
      </c>
      <c r="D307" s="83">
        <f>SUMIFS(D308:D540,K308:K540,"0",B308:B540,"1 2 4 2 3 12 31111 6*")-SUMIFS(E308:E540,K308:K540,"0",B308:B540,"1 2 4 2 3 12 31111 6*")</f>
        <v>70530</v>
      </c>
      <c r="E307" s="54"/>
      <c r="F307" s="83">
        <f>SUMIFS(F308:F540,K308:K540,"0",B308:B540,"1 2 4 2 3 12 31111 6*")</f>
        <v>0</v>
      </c>
      <c r="G307" s="83">
        <f>SUMIFS(G308:G540,K308:K540,"0",B308:B540,"1 2 4 2 3 12 31111 6*")</f>
        <v>0</v>
      </c>
      <c r="H307" s="83">
        <f t="shared" si="4"/>
        <v>70530</v>
      </c>
      <c r="I307" s="83"/>
      <c r="K307" s="54" t="s">
        <v>15</v>
      </c>
    </row>
    <row r="308" spans="2:11" ht="16.5" x14ac:dyDescent="0.2">
      <c r="B308" s="82" t="s">
        <v>1163</v>
      </c>
      <c r="C308" s="82" t="s">
        <v>32</v>
      </c>
      <c r="D308" s="83">
        <f>SUMIFS(D309:D540,K309:K540,"0",B309:B540,"1 2 4 2 3 12 31111 6 M59*")-SUMIFS(E309:E540,K309:K540,"0",B309:B540,"1 2 4 2 3 12 31111 6 M59*")</f>
        <v>70530</v>
      </c>
      <c r="E308" s="54"/>
      <c r="F308" s="83">
        <f>SUMIFS(F309:F540,K309:K540,"0",B309:B540,"1 2 4 2 3 12 31111 6 M59*")</f>
        <v>0</v>
      </c>
      <c r="G308" s="83">
        <f>SUMIFS(G309:G540,K309:K540,"0",B309:B540,"1 2 4 2 3 12 31111 6 M59*")</f>
        <v>0</v>
      </c>
      <c r="H308" s="83">
        <f t="shared" si="4"/>
        <v>70530</v>
      </c>
      <c r="I308" s="83"/>
      <c r="K308" s="54" t="s">
        <v>15</v>
      </c>
    </row>
    <row r="309" spans="2:11" ht="24.75" x14ac:dyDescent="0.2">
      <c r="B309" s="82" t="s">
        <v>1166</v>
      </c>
      <c r="C309" s="82" t="s">
        <v>986</v>
      </c>
      <c r="D309" s="83">
        <f>SUMIFS(D310:D540,K310:K540,"0",B310:B540,"1 2 4 2 3 12 31111 6 M59 00002*")-SUMIFS(E310:E540,K310:K540,"0",B310:B540,"1 2 4 2 3 12 31111 6 M59 00002*")</f>
        <v>70530</v>
      </c>
      <c r="E309" s="54"/>
      <c r="F309" s="83">
        <f>SUMIFS(F310:F540,K310:K540,"0",B310:B540,"1 2 4 2 3 12 31111 6 M59 00002*")</f>
        <v>0</v>
      </c>
      <c r="G309" s="83">
        <f>SUMIFS(G310:G540,K310:K540,"0",B310:B540,"1 2 4 2 3 12 31111 6 M59 00002*")</f>
        <v>0</v>
      </c>
      <c r="H309" s="83">
        <f t="shared" si="4"/>
        <v>70530</v>
      </c>
      <c r="I309" s="83"/>
      <c r="K309" s="54" t="s">
        <v>15</v>
      </c>
    </row>
    <row r="310" spans="2:11" ht="16.5" x14ac:dyDescent="0.2">
      <c r="B310" s="82" t="s">
        <v>1167</v>
      </c>
      <c r="C310" s="82" t="s">
        <v>42</v>
      </c>
      <c r="D310" s="83">
        <f>SUMIFS(D311:D540,K311:K540,"0",B311:B540,"1 2 4 2 3 12 31111 6 M59 00002 000001*")-SUMIFS(E311:E540,K311:K540,"0",B311:B540,"1 2 4 2 3 12 31111 6 M59 00002 000001*")</f>
        <v>70530</v>
      </c>
      <c r="E310" s="54"/>
      <c r="F310" s="83">
        <f>SUMIFS(F311:F540,K311:K540,"0",B311:B540,"1 2 4 2 3 12 31111 6 M59 00002 000001*")</f>
        <v>0</v>
      </c>
      <c r="G310" s="83">
        <f>SUMIFS(G311:G540,K311:K540,"0",B311:B540,"1 2 4 2 3 12 31111 6 M59 00002 000001*")</f>
        <v>0</v>
      </c>
      <c r="H310" s="83">
        <f t="shared" si="4"/>
        <v>70530</v>
      </c>
      <c r="I310" s="83"/>
      <c r="K310" s="54" t="s">
        <v>15</v>
      </c>
    </row>
    <row r="311" spans="2:11" ht="16.5" x14ac:dyDescent="0.2">
      <c r="B311" s="84" t="s">
        <v>1168</v>
      </c>
      <c r="C311" s="84" t="s">
        <v>274</v>
      </c>
      <c r="D311" s="85">
        <v>70530</v>
      </c>
      <c r="E311" s="85"/>
      <c r="F311" s="85">
        <v>0</v>
      </c>
      <c r="G311" s="85">
        <v>0</v>
      </c>
      <c r="H311" s="85">
        <f t="shared" si="4"/>
        <v>70530</v>
      </c>
      <c r="I311" s="85"/>
      <c r="K311" s="54" t="s">
        <v>38</v>
      </c>
    </row>
    <row r="312" spans="2:11" ht="16.5" x14ac:dyDescent="0.2">
      <c r="B312" s="82" t="s">
        <v>1213</v>
      </c>
      <c r="C312" s="82" t="s">
        <v>1214</v>
      </c>
      <c r="D312" s="83">
        <f>SUMIFS(D313:D540,K313:K540,"0",B313:B540,"1 2 4 4*")-SUMIFS(E313:E540,K313:K540,"0",B313:B540,"1 2 4 4*")</f>
        <v>120000</v>
      </c>
      <c r="E312" s="54"/>
      <c r="F312" s="83">
        <f>SUMIFS(F313:F540,K313:K540,"0",B313:B540,"1 2 4 4*")</f>
        <v>0</v>
      </c>
      <c r="G312" s="83">
        <f>SUMIFS(G313:G540,K313:K540,"0",B313:B540,"1 2 4 4*")</f>
        <v>0</v>
      </c>
      <c r="H312" s="83">
        <f t="shared" si="4"/>
        <v>120000</v>
      </c>
      <c r="I312" s="83"/>
      <c r="K312" s="54" t="s">
        <v>15</v>
      </c>
    </row>
    <row r="313" spans="2:11" ht="16.5" x14ac:dyDescent="0.2">
      <c r="B313" s="82" t="s">
        <v>1215</v>
      </c>
      <c r="C313" s="82" t="s">
        <v>1216</v>
      </c>
      <c r="D313" s="83">
        <f>SUMIFS(D314:D540,K314:K540,"0",B314:B540,"1 2 4 4 1*")-SUMIFS(E314:E540,K314:K540,"0",B314:B540,"1 2 4 4 1*")</f>
        <v>120000</v>
      </c>
      <c r="E313" s="54"/>
      <c r="F313" s="83">
        <f>SUMIFS(F314:F540,K314:K540,"0",B314:B540,"1 2 4 4 1*")</f>
        <v>0</v>
      </c>
      <c r="G313" s="83">
        <f>SUMIFS(G314:G540,K314:K540,"0",B314:B540,"1 2 4 4 1*")</f>
        <v>0</v>
      </c>
      <c r="H313" s="83">
        <f t="shared" si="4"/>
        <v>120000</v>
      </c>
      <c r="I313" s="83"/>
      <c r="K313" s="54" t="s">
        <v>15</v>
      </c>
    </row>
    <row r="314" spans="2:11" ht="12.75" x14ac:dyDescent="0.2">
      <c r="B314" s="82" t="s">
        <v>1217</v>
      </c>
      <c r="C314" s="82" t="s">
        <v>26</v>
      </c>
      <c r="D314" s="83">
        <f>SUMIFS(D315:D540,K315:K540,"0",B315:B540,"1 2 4 4 1 12*")-SUMIFS(E315:E540,K315:K540,"0",B315:B540,"1 2 4 4 1 12*")</f>
        <v>120000</v>
      </c>
      <c r="E314" s="54"/>
      <c r="F314" s="83">
        <f>SUMIFS(F315:F540,K315:K540,"0",B315:B540,"1 2 4 4 1 12*")</f>
        <v>0</v>
      </c>
      <c r="G314" s="83">
        <f>SUMIFS(G315:G540,K315:K540,"0",B315:B540,"1 2 4 4 1 12*")</f>
        <v>0</v>
      </c>
      <c r="H314" s="83">
        <f t="shared" si="4"/>
        <v>120000</v>
      </c>
      <c r="I314" s="83"/>
      <c r="K314" s="54" t="s">
        <v>15</v>
      </c>
    </row>
    <row r="315" spans="2:11" ht="16.5" x14ac:dyDescent="0.2">
      <c r="B315" s="82" t="s">
        <v>1218</v>
      </c>
      <c r="C315" s="82" t="s">
        <v>28</v>
      </c>
      <c r="D315" s="83">
        <f>SUMIFS(D316:D540,K316:K540,"0",B316:B540,"1 2 4 4 1 12 31111*")-SUMIFS(E316:E540,K316:K540,"0",B316:B540,"1 2 4 4 1 12 31111*")</f>
        <v>120000</v>
      </c>
      <c r="E315" s="54"/>
      <c r="F315" s="83">
        <f>SUMIFS(F316:F540,K316:K540,"0",B316:B540,"1 2 4 4 1 12 31111*")</f>
        <v>0</v>
      </c>
      <c r="G315" s="83">
        <f>SUMIFS(G316:G540,K316:K540,"0",B316:B540,"1 2 4 4 1 12 31111*")</f>
        <v>0</v>
      </c>
      <c r="H315" s="83">
        <f t="shared" si="4"/>
        <v>120000</v>
      </c>
      <c r="I315" s="83"/>
      <c r="K315" s="54" t="s">
        <v>15</v>
      </c>
    </row>
    <row r="316" spans="2:11" ht="12.75" x14ac:dyDescent="0.2">
      <c r="B316" s="82" t="s">
        <v>1219</v>
      </c>
      <c r="C316" s="82" t="s">
        <v>30</v>
      </c>
      <c r="D316" s="83">
        <f>SUMIFS(D317:D540,K317:K540,"0",B317:B540,"1 2 4 4 1 12 31111 6*")-SUMIFS(E317:E540,K317:K540,"0",B317:B540,"1 2 4 4 1 12 31111 6*")</f>
        <v>120000</v>
      </c>
      <c r="E316" s="54"/>
      <c r="F316" s="83">
        <f>SUMIFS(F317:F540,K317:K540,"0",B317:B540,"1 2 4 4 1 12 31111 6*")</f>
        <v>0</v>
      </c>
      <c r="G316" s="83">
        <f>SUMIFS(G317:G540,K317:K540,"0",B317:B540,"1 2 4 4 1 12 31111 6*")</f>
        <v>0</v>
      </c>
      <c r="H316" s="83">
        <f t="shared" si="4"/>
        <v>120000</v>
      </c>
      <c r="I316" s="83"/>
      <c r="K316" s="54" t="s">
        <v>15</v>
      </c>
    </row>
    <row r="317" spans="2:11" ht="16.5" x14ac:dyDescent="0.2">
      <c r="B317" s="82" t="s">
        <v>1220</v>
      </c>
      <c r="C317" s="82" t="s">
        <v>32</v>
      </c>
      <c r="D317" s="83">
        <f>SUMIFS(D318:D540,K318:K540,"0",B318:B540,"1 2 4 4 1 12 31111 6 M59*")-SUMIFS(E318:E540,K318:K540,"0",B318:B540,"1 2 4 4 1 12 31111 6 M59*")</f>
        <v>120000</v>
      </c>
      <c r="E317" s="54"/>
      <c r="F317" s="83">
        <f>SUMIFS(F318:F540,K318:K540,"0",B318:B540,"1 2 4 4 1 12 31111 6 M59*")</f>
        <v>0</v>
      </c>
      <c r="G317" s="83">
        <f>SUMIFS(G318:G540,K318:K540,"0",B318:B540,"1 2 4 4 1 12 31111 6 M59*")</f>
        <v>0</v>
      </c>
      <c r="H317" s="83">
        <f t="shared" si="4"/>
        <v>120000</v>
      </c>
      <c r="I317" s="83"/>
      <c r="K317" s="54" t="s">
        <v>15</v>
      </c>
    </row>
    <row r="318" spans="2:11" ht="24.75" x14ac:dyDescent="0.2">
      <c r="B318" s="82" t="s">
        <v>1227</v>
      </c>
      <c r="C318" s="82" t="s">
        <v>986</v>
      </c>
      <c r="D318" s="83">
        <f>SUMIFS(D319:D540,K319:K540,"0",B319:B540,"1 2 4 4 1 12 31111 6 M59 00002*")-SUMIFS(E319:E540,K319:K540,"0",B319:B540,"1 2 4 4 1 12 31111 6 M59 00002*")</f>
        <v>120000</v>
      </c>
      <c r="E318" s="54"/>
      <c r="F318" s="83">
        <f>SUMIFS(F319:F540,K319:K540,"0",B319:B540,"1 2 4 4 1 12 31111 6 M59 00002*")</f>
        <v>0</v>
      </c>
      <c r="G318" s="83">
        <f>SUMIFS(G319:G540,K319:K540,"0",B319:B540,"1 2 4 4 1 12 31111 6 M59 00002*")</f>
        <v>0</v>
      </c>
      <c r="H318" s="83">
        <f t="shared" si="4"/>
        <v>120000</v>
      </c>
      <c r="I318" s="83"/>
      <c r="K318" s="54" t="s">
        <v>15</v>
      </c>
    </row>
    <row r="319" spans="2:11" ht="16.5" x14ac:dyDescent="0.2">
      <c r="B319" s="82" t="s">
        <v>1228</v>
      </c>
      <c r="C319" s="82" t="s">
        <v>42</v>
      </c>
      <c r="D319" s="83">
        <f>SUMIFS(D320:D540,K320:K540,"0",B320:B540,"1 2 4 4 1 12 31111 6 M59 00002 000001*")-SUMIFS(E320:E540,K320:K540,"0",B320:B540,"1 2 4 4 1 12 31111 6 M59 00002 000001*")</f>
        <v>120000</v>
      </c>
      <c r="E319" s="54"/>
      <c r="F319" s="83">
        <f>SUMIFS(F320:F540,K320:K540,"0",B320:B540,"1 2 4 4 1 12 31111 6 M59 00002 000001*")</f>
        <v>0</v>
      </c>
      <c r="G319" s="83">
        <f>SUMIFS(G320:G540,K320:K540,"0",B320:B540,"1 2 4 4 1 12 31111 6 M59 00002 000001*")</f>
        <v>0</v>
      </c>
      <c r="H319" s="83">
        <f t="shared" si="4"/>
        <v>120000</v>
      </c>
      <c r="I319" s="83"/>
      <c r="K319" s="54" t="s">
        <v>15</v>
      </c>
    </row>
    <row r="320" spans="2:11" ht="16.5" x14ac:dyDescent="0.2">
      <c r="B320" s="84" t="s">
        <v>1229</v>
      </c>
      <c r="C320" s="84" t="s">
        <v>274</v>
      </c>
      <c r="D320" s="85">
        <v>120000</v>
      </c>
      <c r="E320" s="85"/>
      <c r="F320" s="85">
        <v>0</v>
      </c>
      <c r="G320" s="85">
        <v>0</v>
      </c>
      <c r="H320" s="85">
        <f t="shared" si="4"/>
        <v>120000</v>
      </c>
      <c r="I320" s="85"/>
      <c r="K320" s="54" t="s">
        <v>38</v>
      </c>
    </row>
    <row r="321" spans="2:11" ht="16.5" x14ac:dyDescent="0.2">
      <c r="B321" s="82" t="s">
        <v>1292</v>
      </c>
      <c r="C321" s="82" t="s">
        <v>1293</v>
      </c>
      <c r="D321" s="83">
        <f>SUMIFS(D322:D540,K322:K540,"0",B322:B540,"1 2 4 6*")-SUMIFS(E322:E540,K322:K540,"0",B322:B540,"1 2 4 6*")</f>
        <v>91200</v>
      </c>
      <c r="E321" s="54"/>
      <c r="F321" s="83">
        <f>SUMIFS(F322:F540,K322:K540,"0",B322:B540,"1 2 4 6*")</f>
        <v>0</v>
      </c>
      <c r="G321" s="83">
        <f>SUMIFS(G322:G540,K322:K540,"0",B322:B540,"1 2 4 6*")</f>
        <v>0</v>
      </c>
      <c r="H321" s="83">
        <f t="shared" si="4"/>
        <v>91200</v>
      </c>
      <c r="I321" s="83"/>
      <c r="K321" s="54" t="s">
        <v>15</v>
      </c>
    </row>
    <row r="322" spans="2:11" ht="16.5" x14ac:dyDescent="0.2">
      <c r="B322" s="82" t="s">
        <v>1368</v>
      </c>
      <c r="C322" s="82" t="s">
        <v>1369</v>
      </c>
      <c r="D322" s="83">
        <f>SUMIFS(D323:D540,K323:K540,"0",B323:B540,"1 2 4 6 5*")-SUMIFS(E323:E540,K323:K540,"0",B323:B540,"1 2 4 6 5*")</f>
        <v>91200</v>
      </c>
      <c r="E322" s="54"/>
      <c r="F322" s="83">
        <f>SUMIFS(F323:F540,K323:K540,"0",B323:B540,"1 2 4 6 5*")</f>
        <v>0</v>
      </c>
      <c r="G322" s="83">
        <f>SUMIFS(G323:G540,K323:K540,"0",B323:B540,"1 2 4 6 5*")</f>
        <v>0</v>
      </c>
      <c r="H322" s="83">
        <f t="shared" si="4"/>
        <v>91200</v>
      </c>
      <c r="I322" s="83"/>
      <c r="K322" s="54" t="s">
        <v>15</v>
      </c>
    </row>
    <row r="323" spans="2:11" ht="12.75" x14ac:dyDescent="0.2">
      <c r="B323" s="82" t="s">
        <v>1370</v>
      </c>
      <c r="C323" s="82" t="s">
        <v>26</v>
      </c>
      <c r="D323" s="83">
        <f>SUMIFS(D324:D540,K324:K540,"0",B324:B540,"1 2 4 6 5 12*")-SUMIFS(E324:E540,K324:K540,"0",B324:B540,"1 2 4 6 5 12*")</f>
        <v>91200</v>
      </c>
      <c r="E323" s="54"/>
      <c r="F323" s="83">
        <f>SUMIFS(F324:F540,K324:K540,"0",B324:B540,"1 2 4 6 5 12*")</f>
        <v>0</v>
      </c>
      <c r="G323" s="83">
        <f>SUMIFS(G324:G540,K324:K540,"0",B324:B540,"1 2 4 6 5 12*")</f>
        <v>0</v>
      </c>
      <c r="H323" s="83">
        <f t="shared" si="4"/>
        <v>91200</v>
      </c>
      <c r="I323" s="83"/>
      <c r="K323" s="54" t="s">
        <v>15</v>
      </c>
    </row>
    <row r="324" spans="2:11" ht="16.5" x14ac:dyDescent="0.2">
      <c r="B324" s="82" t="s">
        <v>1371</v>
      </c>
      <c r="C324" s="82" t="s">
        <v>28</v>
      </c>
      <c r="D324" s="83">
        <f>SUMIFS(D325:D540,K325:K540,"0",B325:B540,"1 2 4 6 5 12 31111*")-SUMIFS(E325:E540,K325:K540,"0",B325:B540,"1 2 4 6 5 12 31111*")</f>
        <v>91200</v>
      </c>
      <c r="E324" s="54"/>
      <c r="F324" s="83">
        <f>SUMIFS(F325:F540,K325:K540,"0",B325:B540,"1 2 4 6 5 12 31111*")</f>
        <v>0</v>
      </c>
      <c r="G324" s="83">
        <f>SUMIFS(G325:G540,K325:K540,"0",B325:B540,"1 2 4 6 5 12 31111*")</f>
        <v>0</v>
      </c>
      <c r="H324" s="83">
        <f t="shared" si="4"/>
        <v>91200</v>
      </c>
      <c r="I324" s="83"/>
      <c r="K324" s="54" t="s">
        <v>15</v>
      </c>
    </row>
    <row r="325" spans="2:11" ht="12.75" x14ac:dyDescent="0.2">
      <c r="B325" s="82" t="s">
        <v>1372</v>
      </c>
      <c r="C325" s="82" t="s">
        <v>30</v>
      </c>
      <c r="D325" s="83">
        <f>SUMIFS(D326:D540,K326:K540,"0",B326:B540,"1 2 4 6 5 12 31111 6*")-SUMIFS(E326:E540,K326:K540,"0",B326:B540,"1 2 4 6 5 12 31111 6*")</f>
        <v>91200</v>
      </c>
      <c r="E325" s="54"/>
      <c r="F325" s="83">
        <f>SUMIFS(F326:F540,K326:K540,"0",B326:B540,"1 2 4 6 5 12 31111 6*")</f>
        <v>0</v>
      </c>
      <c r="G325" s="83">
        <f>SUMIFS(G326:G540,K326:K540,"0",B326:B540,"1 2 4 6 5 12 31111 6*")</f>
        <v>0</v>
      </c>
      <c r="H325" s="83">
        <f t="shared" si="4"/>
        <v>91200</v>
      </c>
      <c r="I325" s="83"/>
      <c r="K325" s="54" t="s">
        <v>15</v>
      </c>
    </row>
    <row r="326" spans="2:11" ht="16.5" x14ac:dyDescent="0.2">
      <c r="B326" s="82" t="s">
        <v>1373</v>
      </c>
      <c r="C326" s="82" t="s">
        <v>140</v>
      </c>
      <c r="D326" s="83">
        <f>SUMIFS(D327:D540,K327:K540,"0",B327:B540,"1 2 4 6 5 12 31111 6 M59*")-SUMIFS(E327:E540,K327:K540,"0",B327:B540,"1 2 4 6 5 12 31111 6 M59*")</f>
        <v>91200</v>
      </c>
      <c r="E326" s="54"/>
      <c r="F326" s="83">
        <f>SUMIFS(F327:F540,K327:K540,"0",B327:B540,"1 2 4 6 5 12 31111 6 M59*")</f>
        <v>0</v>
      </c>
      <c r="G326" s="83">
        <f>SUMIFS(G327:G540,K327:K540,"0",B327:B540,"1 2 4 6 5 12 31111 6 M59*")</f>
        <v>0</v>
      </c>
      <c r="H326" s="83">
        <f t="shared" si="4"/>
        <v>91200</v>
      </c>
      <c r="I326" s="83"/>
      <c r="K326" s="54" t="s">
        <v>15</v>
      </c>
    </row>
    <row r="327" spans="2:11" ht="24.75" x14ac:dyDescent="0.2">
      <c r="B327" s="82" t="s">
        <v>1378</v>
      </c>
      <c r="C327" s="82" t="s">
        <v>986</v>
      </c>
      <c r="D327" s="83">
        <f>SUMIFS(D328:D540,K328:K540,"0",B328:B540,"1 2 4 6 5 12 31111 6 M59 00002*")-SUMIFS(E328:E540,K328:K540,"0",B328:B540,"1 2 4 6 5 12 31111 6 M59 00002*")</f>
        <v>91200</v>
      </c>
      <c r="E327" s="54"/>
      <c r="F327" s="83">
        <f>SUMIFS(F328:F540,K328:K540,"0",B328:B540,"1 2 4 6 5 12 31111 6 M59 00002*")</f>
        <v>0</v>
      </c>
      <c r="G327" s="83">
        <f>SUMIFS(G328:G540,K328:K540,"0",B328:B540,"1 2 4 6 5 12 31111 6 M59 00002*")</f>
        <v>0</v>
      </c>
      <c r="H327" s="83">
        <f t="shared" si="4"/>
        <v>91200</v>
      </c>
      <c r="I327" s="83"/>
      <c r="K327" s="54" t="s">
        <v>15</v>
      </c>
    </row>
    <row r="328" spans="2:11" ht="16.5" x14ac:dyDescent="0.2">
      <c r="B328" s="82" t="s">
        <v>1379</v>
      </c>
      <c r="C328" s="82" t="s">
        <v>42</v>
      </c>
      <c r="D328" s="83">
        <f>SUMIFS(D329:D540,K329:K540,"0",B329:B540,"1 2 4 6 5 12 31111 6 M59 00002 000001*")-SUMIFS(E329:E540,K329:K540,"0",B329:B540,"1 2 4 6 5 12 31111 6 M59 00002 000001*")</f>
        <v>91200</v>
      </c>
      <c r="E328" s="54"/>
      <c r="F328" s="83">
        <f>SUMIFS(F329:F540,K329:K540,"0",B329:B540,"1 2 4 6 5 12 31111 6 M59 00002 000001*")</f>
        <v>0</v>
      </c>
      <c r="G328" s="83">
        <f>SUMIFS(G329:G540,K329:K540,"0",B329:B540,"1 2 4 6 5 12 31111 6 M59 00002 000001*")</f>
        <v>0</v>
      </c>
      <c r="H328" s="83">
        <f t="shared" si="4"/>
        <v>91200</v>
      </c>
      <c r="I328" s="83"/>
      <c r="K328" s="54" t="s">
        <v>15</v>
      </c>
    </row>
    <row r="329" spans="2:11" ht="16.5" x14ac:dyDescent="0.2">
      <c r="B329" s="84" t="s">
        <v>1380</v>
      </c>
      <c r="C329" s="84" t="s">
        <v>274</v>
      </c>
      <c r="D329" s="85">
        <v>91200</v>
      </c>
      <c r="E329" s="85"/>
      <c r="F329" s="85">
        <v>0</v>
      </c>
      <c r="G329" s="85">
        <v>0</v>
      </c>
      <c r="H329" s="85">
        <f t="shared" si="4"/>
        <v>91200</v>
      </c>
      <c r="I329" s="85"/>
      <c r="K329" s="54" t="s">
        <v>38</v>
      </c>
    </row>
    <row r="330" spans="2:11" ht="24.75" x14ac:dyDescent="0.2">
      <c r="B330" s="82" t="s">
        <v>1446</v>
      </c>
      <c r="C330" s="82" t="s">
        <v>1447</v>
      </c>
      <c r="D330" s="54"/>
      <c r="E330" s="83">
        <f>SUMIFS(E331:E540,K331:K540,"0",B331:B540,"1 2 6*")-SUMIFS(D331:D540,K331:K540,"0",B331:B540,"1 2 6*")</f>
        <v>598619.69999999995</v>
      </c>
      <c r="F330" s="83">
        <f>SUMIFS(F331:F540,K331:K540,"0",B331:B540,"1 2 6*")</f>
        <v>0</v>
      </c>
      <c r="G330" s="83">
        <f>SUMIFS(G331:G540,K331:K540,"0",B331:B540,"1 2 6*")</f>
        <v>0</v>
      </c>
      <c r="H330" s="83"/>
      <c r="I330" s="83">
        <f t="shared" ref="I330:I393" si="5">E330 - F330 + G330</f>
        <v>598619.69999999995</v>
      </c>
      <c r="K330" s="54" t="s">
        <v>15</v>
      </c>
    </row>
    <row r="331" spans="2:11" ht="16.5" x14ac:dyDescent="0.2">
      <c r="B331" s="82" t="s">
        <v>1448</v>
      </c>
      <c r="C331" s="82" t="s">
        <v>1449</v>
      </c>
      <c r="D331" s="54"/>
      <c r="E331" s="83">
        <f>SUMIFS(E332:E540,K332:K540,"0",B332:B540,"1 2 6 3*")-SUMIFS(D332:D540,K332:K540,"0",B332:B540,"1 2 6 3*")</f>
        <v>598619.69999999995</v>
      </c>
      <c r="F331" s="83">
        <f>SUMIFS(F332:F540,K332:K540,"0",B332:B540,"1 2 6 3*")</f>
        <v>0</v>
      </c>
      <c r="G331" s="83">
        <f>SUMIFS(G332:G540,K332:K540,"0",B332:B540,"1 2 6 3*")</f>
        <v>0</v>
      </c>
      <c r="H331" s="83"/>
      <c r="I331" s="83">
        <f t="shared" si="5"/>
        <v>598619.69999999995</v>
      </c>
      <c r="K331" s="54" t="s">
        <v>15</v>
      </c>
    </row>
    <row r="332" spans="2:11" ht="24.75" x14ac:dyDescent="0.2">
      <c r="B332" s="82" t="s">
        <v>1450</v>
      </c>
      <c r="C332" s="82" t="s">
        <v>1451</v>
      </c>
      <c r="D332" s="54"/>
      <c r="E332" s="83">
        <f>SUMIFS(E333:E540,K333:K540,"0",B333:B540,"1 2 6 3 1*")-SUMIFS(D333:D540,K333:K540,"0",B333:B540,"1 2 6 3 1*")</f>
        <v>598619.69999999995</v>
      </c>
      <c r="F332" s="83">
        <f>SUMIFS(F333:F540,K333:K540,"0",B333:B540,"1 2 6 3 1*")</f>
        <v>0</v>
      </c>
      <c r="G332" s="83">
        <f>SUMIFS(G333:G540,K333:K540,"0",B333:B540,"1 2 6 3 1*")</f>
        <v>0</v>
      </c>
      <c r="H332" s="83"/>
      <c r="I332" s="83">
        <f t="shared" si="5"/>
        <v>598619.69999999995</v>
      </c>
      <c r="K332" s="54" t="s">
        <v>15</v>
      </c>
    </row>
    <row r="333" spans="2:11" ht="12.75" x14ac:dyDescent="0.2">
      <c r="B333" s="82" t="s">
        <v>1452</v>
      </c>
      <c r="C333" s="82" t="s">
        <v>26</v>
      </c>
      <c r="D333" s="54"/>
      <c r="E333" s="83">
        <f>SUMIFS(E334:E540,K334:K540,"0",B334:B540,"1 2 6 3 1 12*")-SUMIFS(D334:D540,K334:K540,"0",B334:B540,"1 2 6 3 1 12*")</f>
        <v>598619.69999999995</v>
      </c>
      <c r="F333" s="83">
        <f>SUMIFS(F334:F540,K334:K540,"0",B334:B540,"1 2 6 3 1 12*")</f>
        <v>0</v>
      </c>
      <c r="G333" s="83">
        <f>SUMIFS(G334:G540,K334:K540,"0",B334:B540,"1 2 6 3 1 12*")</f>
        <v>0</v>
      </c>
      <c r="H333" s="83"/>
      <c r="I333" s="83">
        <f t="shared" si="5"/>
        <v>598619.69999999995</v>
      </c>
      <c r="K333" s="54" t="s">
        <v>15</v>
      </c>
    </row>
    <row r="334" spans="2:11" ht="16.5" x14ac:dyDescent="0.2">
      <c r="B334" s="82" t="s">
        <v>1453</v>
      </c>
      <c r="C334" s="82" t="s">
        <v>28</v>
      </c>
      <c r="D334" s="54"/>
      <c r="E334" s="83">
        <f>SUMIFS(E335:E540,K335:K540,"0",B335:B540,"1 2 6 3 1 12 31111*")-SUMIFS(D335:D540,K335:K540,"0",B335:B540,"1 2 6 3 1 12 31111*")</f>
        <v>598619.69999999995</v>
      </c>
      <c r="F334" s="83">
        <f>SUMIFS(F335:F540,K335:K540,"0",B335:B540,"1 2 6 3 1 12 31111*")</f>
        <v>0</v>
      </c>
      <c r="G334" s="83">
        <f>SUMIFS(G335:G540,K335:K540,"0",B335:B540,"1 2 6 3 1 12 31111*")</f>
        <v>0</v>
      </c>
      <c r="H334" s="83"/>
      <c r="I334" s="83">
        <f t="shared" si="5"/>
        <v>598619.69999999995</v>
      </c>
      <c r="K334" s="54" t="s">
        <v>15</v>
      </c>
    </row>
    <row r="335" spans="2:11" ht="12.75" x14ac:dyDescent="0.2">
      <c r="B335" s="82" t="s">
        <v>1454</v>
      </c>
      <c r="C335" s="82" t="s">
        <v>30</v>
      </c>
      <c r="D335" s="54"/>
      <c r="E335" s="83">
        <f>SUMIFS(E336:E540,K336:K540,"0",B336:B540,"1 2 6 3 1 12 31111 6*")-SUMIFS(D336:D540,K336:K540,"0",B336:B540,"1 2 6 3 1 12 31111 6*")</f>
        <v>598619.69999999995</v>
      </c>
      <c r="F335" s="83">
        <f>SUMIFS(F336:F540,K336:K540,"0",B336:B540,"1 2 6 3 1 12 31111 6*")</f>
        <v>0</v>
      </c>
      <c r="G335" s="83">
        <f>SUMIFS(G336:G540,K336:K540,"0",B336:B540,"1 2 6 3 1 12 31111 6*")</f>
        <v>0</v>
      </c>
      <c r="H335" s="83"/>
      <c r="I335" s="83">
        <f t="shared" si="5"/>
        <v>598619.69999999995</v>
      </c>
      <c r="K335" s="54" t="s">
        <v>15</v>
      </c>
    </row>
    <row r="336" spans="2:11" ht="16.5" x14ac:dyDescent="0.2">
      <c r="B336" s="82" t="s">
        <v>1455</v>
      </c>
      <c r="C336" s="82" t="s">
        <v>32</v>
      </c>
      <c r="D336" s="54"/>
      <c r="E336" s="83">
        <f>SUMIFS(E337:E540,K337:K540,"0",B337:B540,"1 2 6 3 1 12 31111 6 M59*")-SUMIFS(D337:D540,K337:K540,"0",B337:B540,"1 2 6 3 1 12 31111 6 M59*")</f>
        <v>598619.69999999995</v>
      </c>
      <c r="F336" s="83">
        <f>SUMIFS(F337:F540,K337:K540,"0",B337:B540,"1 2 6 3 1 12 31111 6 M59*")</f>
        <v>0</v>
      </c>
      <c r="G336" s="83">
        <f>SUMIFS(G337:G540,K337:K540,"0",B337:B540,"1 2 6 3 1 12 31111 6 M59*")</f>
        <v>0</v>
      </c>
      <c r="H336" s="83"/>
      <c r="I336" s="83">
        <f t="shared" si="5"/>
        <v>598619.69999999995</v>
      </c>
      <c r="K336" s="54" t="s">
        <v>15</v>
      </c>
    </row>
    <row r="337" spans="2:11" ht="24.75" x14ac:dyDescent="0.2">
      <c r="B337" s="82" t="s">
        <v>1475</v>
      </c>
      <c r="C337" s="82" t="s">
        <v>1476</v>
      </c>
      <c r="D337" s="54"/>
      <c r="E337" s="83">
        <f>SUMIFS(E338:E540,K338:K540,"0",B338:B540,"1 2 6 3 1 12 31111 6 M59 00002*")-SUMIFS(D338:D540,K338:K540,"0",B338:B540,"1 2 6 3 1 12 31111 6 M59 00002*")</f>
        <v>598619.69999999995</v>
      </c>
      <c r="F337" s="83">
        <f>SUMIFS(F338:F540,K338:K540,"0",B338:B540,"1 2 6 3 1 12 31111 6 M59 00002*")</f>
        <v>0</v>
      </c>
      <c r="G337" s="83">
        <f>SUMIFS(G338:G540,K338:K540,"0",B338:B540,"1 2 6 3 1 12 31111 6 M59 00002*")</f>
        <v>0</v>
      </c>
      <c r="H337" s="83"/>
      <c r="I337" s="83">
        <f t="shared" si="5"/>
        <v>598619.69999999995</v>
      </c>
      <c r="K337" s="54" t="s">
        <v>15</v>
      </c>
    </row>
    <row r="338" spans="2:11" ht="16.5" x14ac:dyDescent="0.2">
      <c r="B338" s="82" t="s">
        <v>1477</v>
      </c>
      <c r="C338" s="82" t="s">
        <v>42</v>
      </c>
      <c r="D338" s="54"/>
      <c r="E338" s="83">
        <f>SUMIFS(E339:E540,K339:K540,"0",B339:B540,"1 2 6 3 1 12 31111 6 M59 00002 000003*")-SUMIFS(D339:D540,K339:K540,"0",B339:B540,"1 2 6 3 1 12 31111 6 M59 00002 000003*")</f>
        <v>598619.69999999995</v>
      </c>
      <c r="F338" s="83">
        <f>SUMIFS(F339:F540,K339:K540,"0",B339:B540,"1 2 6 3 1 12 31111 6 M59 00002 000003*")</f>
        <v>0</v>
      </c>
      <c r="G338" s="83">
        <f>SUMIFS(G339:G540,K339:K540,"0",B339:B540,"1 2 6 3 1 12 31111 6 M59 00002 000003*")</f>
        <v>0</v>
      </c>
      <c r="H338" s="83"/>
      <c r="I338" s="83">
        <f t="shared" si="5"/>
        <v>598619.69999999995</v>
      </c>
      <c r="K338" s="54" t="s">
        <v>15</v>
      </c>
    </row>
    <row r="339" spans="2:11" ht="16.5" x14ac:dyDescent="0.2">
      <c r="B339" s="84" t="s">
        <v>1478</v>
      </c>
      <c r="C339" s="84" t="s">
        <v>274</v>
      </c>
      <c r="D339" s="85"/>
      <c r="E339" s="85">
        <v>598619.69999999995</v>
      </c>
      <c r="F339" s="85">
        <v>0</v>
      </c>
      <c r="G339" s="85">
        <v>0</v>
      </c>
      <c r="H339" s="85"/>
      <c r="I339" s="85">
        <f t="shared" si="5"/>
        <v>598619.69999999995</v>
      </c>
      <c r="K339" s="54" t="s">
        <v>38</v>
      </c>
    </row>
    <row r="340" spans="2:11" ht="12.75" x14ac:dyDescent="0.2">
      <c r="B340" s="82" t="s">
        <v>1496</v>
      </c>
      <c r="C340" s="82" t="s">
        <v>1497</v>
      </c>
      <c r="D340" s="54"/>
      <c r="E340" s="83">
        <f>SUMIFS(E341:E540,K341:K540,"0",B341:B540,"2*")-SUMIFS(D341:D540,K341:K540,"0",B341:B540,"2*")</f>
        <v>327982.8</v>
      </c>
      <c r="F340" s="83">
        <f>SUMIFS(F341:F540,K341:K540,"0",B341:B540,"2*")</f>
        <v>94614184.350000009</v>
      </c>
      <c r="G340" s="83">
        <f>SUMIFS(G341:G540,K341:K540,"0",B341:B540,"2*")</f>
        <v>94663750.859999999</v>
      </c>
      <c r="H340" s="83"/>
      <c r="I340" s="83">
        <f t="shared" si="5"/>
        <v>377549.30999998748</v>
      </c>
      <c r="K340" s="54" t="s">
        <v>15</v>
      </c>
    </row>
    <row r="341" spans="2:11" ht="12.75" x14ac:dyDescent="0.2">
      <c r="B341" s="82" t="s">
        <v>1498</v>
      </c>
      <c r="C341" s="82" t="s">
        <v>1499</v>
      </c>
      <c r="D341" s="54"/>
      <c r="E341" s="83">
        <f>SUMIFS(E342:E540,K342:K540,"0",B342:B540,"2 1*")-SUMIFS(D342:D540,K342:K540,"0",B342:B540,"2 1*")</f>
        <v>327982.8</v>
      </c>
      <c r="F341" s="83">
        <f>SUMIFS(F342:F540,K342:K540,"0",B342:B540,"2 1*")</f>
        <v>94614184.350000009</v>
      </c>
      <c r="G341" s="83">
        <f>SUMIFS(G342:G540,K342:K540,"0",B342:B540,"2 1*")</f>
        <v>94663750.859999999</v>
      </c>
      <c r="H341" s="83"/>
      <c r="I341" s="83">
        <f t="shared" si="5"/>
        <v>377549.30999998748</v>
      </c>
      <c r="K341" s="54" t="s">
        <v>15</v>
      </c>
    </row>
    <row r="342" spans="2:11" ht="16.5" x14ac:dyDescent="0.2">
      <c r="B342" s="82" t="s">
        <v>1500</v>
      </c>
      <c r="C342" s="82" t="s">
        <v>1501</v>
      </c>
      <c r="D342" s="54"/>
      <c r="E342" s="83">
        <f>SUMIFS(E343:E540,K343:K540,"0",B343:B540,"2 1 1*")-SUMIFS(D343:D540,K343:K540,"0",B343:B540,"2 1 1*")</f>
        <v>327982.8</v>
      </c>
      <c r="F342" s="83">
        <f>SUMIFS(F343:F540,K343:K540,"0",B343:B540,"2 1 1*")</f>
        <v>94614184.350000009</v>
      </c>
      <c r="G342" s="83">
        <f>SUMIFS(G343:G540,K343:K540,"0",B343:B540,"2 1 1*")</f>
        <v>94663750.859999999</v>
      </c>
      <c r="H342" s="83"/>
      <c r="I342" s="83">
        <f t="shared" si="5"/>
        <v>377549.30999998748</v>
      </c>
      <c r="K342" s="54" t="s">
        <v>15</v>
      </c>
    </row>
    <row r="343" spans="2:11" ht="16.5" x14ac:dyDescent="0.2">
      <c r="B343" s="82" t="s">
        <v>1522</v>
      </c>
      <c r="C343" s="82" t="s">
        <v>1523</v>
      </c>
      <c r="D343" s="54"/>
      <c r="E343" s="83">
        <f>SUMIFS(E344:E540,K344:K540,"0",B344:B540,"2 1 1 2*")-SUMIFS(D344:D540,K344:K540,"0",B344:B540,"2 1 1 2*")</f>
        <v>0</v>
      </c>
      <c r="F343" s="83">
        <f>SUMIFS(F344:F540,K344:K540,"0",B344:B540,"2 1 1 2*")</f>
        <v>8090.89</v>
      </c>
      <c r="G343" s="83">
        <f>SUMIFS(G344:G540,K344:K540,"0",B344:B540,"2 1 1 2*")</f>
        <v>8090.89</v>
      </c>
      <c r="H343" s="83"/>
      <c r="I343" s="83">
        <f t="shared" si="5"/>
        <v>0</v>
      </c>
      <c r="K343" s="54" t="s">
        <v>15</v>
      </c>
    </row>
    <row r="344" spans="2:11" ht="24.75" x14ac:dyDescent="0.2">
      <c r="B344" s="82" t="s">
        <v>1524</v>
      </c>
      <c r="C344" s="82" t="s">
        <v>1525</v>
      </c>
      <c r="D344" s="54"/>
      <c r="E344" s="83">
        <f>SUMIFS(E345:E540,K345:K540,"0",B345:B540,"2 1 1 2 1*")-SUMIFS(D345:D540,K345:K540,"0",B345:B540,"2 1 1 2 1*")</f>
        <v>0</v>
      </c>
      <c r="F344" s="83">
        <f>SUMIFS(F345:F540,K345:K540,"0",B345:B540,"2 1 1 2 1*")</f>
        <v>8090.89</v>
      </c>
      <c r="G344" s="83">
        <f>SUMIFS(G345:G540,K345:K540,"0",B345:B540,"2 1 1 2 1*")</f>
        <v>8090.89</v>
      </c>
      <c r="H344" s="83"/>
      <c r="I344" s="83">
        <f t="shared" si="5"/>
        <v>0</v>
      </c>
      <c r="K344" s="54" t="s">
        <v>15</v>
      </c>
    </row>
    <row r="345" spans="2:11" ht="12.75" x14ac:dyDescent="0.2">
      <c r="B345" s="82" t="s">
        <v>1526</v>
      </c>
      <c r="C345" s="82" t="s">
        <v>26</v>
      </c>
      <c r="D345" s="54"/>
      <c r="E345" s="83">
        <f>SUMIFS(E346:E540,K346:K540,"0",B346:B540,"2 1 1 2 1 12*")-SUMIFS(D346:D540,K346:K540,"0",B346:B540,"2 1 1 2 1 12*")</f>
        <v>0</v>
      </c>
      <c r="F345" s="83">
        <f>SUMIFS(F346:F540,K346:K540,"0",B346:B540,"2 1 1 2 1 12*")</f>
        <v>8090.89</v>
      </c>
      <c r="G345" s="83">
        <f>SUMIFS(G346:G540,K346:K540,"0",B346:B540,"2 1 1 2 1 12*")</f>
        <v>8090.89</v>
      </c>
      <c r="H345" s="83"/>
      <c r="I345" s="83">
        <f t="shared" si="5"/>
        <v>0</v>
      </c>
      <c r="K345" s="54" t="s">
        <v>15</v>
      </c>
    </row>
    <row r="346" spans="2:11" ht="16.5" x14ac:dyDescent="0.2">
      <c r="B346" s="82" t="s">
        <v>1527</v>
      </c>
      <c r="C346" s="82" t="s">
        <v>28</v>
      </c>
      <c r="D346" s="54"/>
      <c r="E346" s="83">
        <f>SUMIFS(E347:E540,K347:K540,"0",B347:B540,"2 1 1 2 1 12 31111*")-SUMIFS(D347:D540,K347:K540,"0",B347:B540,"2 1 1 2 1 12 31111*")</f>
        <v>0</v>
      </c>
      <c r="F346" s="83">
        <f>SUMIFS(F347:F540,K347:K540,"0",B347:B540,"2 1 1 2 1 12 31111*")</f>
        <v>8090.89</v>
      </c>
      <c r="G346" s="83">
        <f>SUMIFS(G347:G540,K347:K540,"0",B347:B540,"2 1 1 2 1 12 31111*")</f>
        <v>8090.89</v>
      </c>
      <c r="H346" s="83"/>
      <c r="I346" s="83">
        <f t="shared" si="5"/>
        <v>0</v>
      </c>
      <c r="K346" s="54" t="s">
        <v>15</v>
      </c>
    </row>
    <row r="347" spans="2:11" ht="12.75" x14ac:dyDescent="0.2">
      <c r="B347" s="82" t="s">
        <v>1528</v>
      </c>
      <c r="C347" s="82" t="s">
        <v>30</v>
      </c>
      <c r="D347" s="54"/>
      <c r="E347" s="83">
        <f>SUMIFS(E348:E540,K348:K540,"0",B348:B540,"2 1 1 2 1 12 31111 6*")-SUMIFS(D348:D540,K348:K540,"0",B348:B540,"2 1 1 2 1 12 31111 6*")</f>
        <v>0</v>
      </c>
      <c r="F347" s="83">
        <f>SUMIFS(F348:F540,K348:K540,"0",B348:B540,"2 1 1 2 1 12 31111 6*")</f>
        <v>8090.89</v>
      </c>
      <c r="G347" s="83">
        <f>SUMIFS(G348:G540,K348:K540,"0",B348:B540,"2 1 1 2 1 12 31111 6*")</f>
        <v>8090.89</v>
      </c>
      <c r="H347" s="83"/>
      <c r="I347" s="83">
        <f t="shared" si="5"/>
        <v>0</v>
      </c>
      <c r="K347" s="54" t="s">
        <v>15</v>
      </c>
    </row>
    <row r="348" spans="2:11" ht="12.75" x14ac:dyDescent="0.2">
      <c r="B348" s="82" t="s">
        <v>1529</v>
      </c>
      <c r="C348" s="82" t="s">
        <v>32</v>
      </c>
      <c r="D348" s="54"/>
      <c r="E348" s="83">
        <f>SUMIFS(E349:E540,K349:K540,"0",B349:B540,"2 1 1 2 1 12 31111 6 M59*")-SUMIFS(D349:D540,K349:K540,"0",B349:B540,"2 1 1 2 1 12 31111 6 M59*")</f>
        <v>0</v>
      </c>
      <c r="F348" s="83">
        <f>SUMIFS(F349:F540,K349:K540,"0",B349:B540,"2 1 1 2 1 12 31111 6 M59*")</f>
        <v>8090.89</v>
      </c>
      <c r="G348" s="83">
        <f>SUMIFS(G349:G540,K349:K540,"0",B349:B540,"2 1 1 2 1 12 31111 6 M59*")</f>
        <v>8090.89</v>
      </c>
      <c r="H348" s="83"/>
      <c r="I348" s="83">
        <f t="shared" si="5"/>
        <v>0</v>
      </c>
      <c r="K348" s="54" t="s">
        <v>15</v>
      </c>
    </row>
    <row r="349" spans="2:11" ht="24.75" x14ac:dyDescent="0.2">
      <c r="B349" s="84" t="s">
        <v>1599</v>
      </c>
      <c r="C349" s="84" t="s">
        <v>986</v>
      </c>
      <c r="D349" s="85"/>
      <c r="E349" s="85">
        <v>0</v>
      </c>
      <c r="F349" s="85">
        <v>8090.89</v>
      </c>
      <c r="G349" s="85">
        <v>8090.89</v>
      </c>
      <c r="H349" s="85"/>
      <c r="I349" s="85">
        <f t="shared" si="5"/>
        <v>0</v>
      </c>
      <c r="K349" s="54" t="s">
        <v>38</v>
      </c>
    </row>
    <row r="350" spans="2:11" ht="24.75" x14ac:dyDescent="0.2">
      <c r="B350" s="82" t="s">
        <v>1738</v>
      </c>
      <c r="C350" s="82" t="s">
        <v>1739</v>
      </c>
      <c r="D350" s="54"/>
      <c r="E350" s="83">
        <f>SUMIFS(E351:E540,K351:K540,"0",B351:B540,"2 1 1 3*")-SUMIFS(D351:D540,K351:K540,"0",B351:B540,"2 1 1 3*")</f>
        <v>16123.179999999998</v>
      </c>
      <c r="F350" s="83">
        <f>SUMIFS(F351:F540,K351:K540,"0",B351:B540,"2 1 1 3*")</f>
        <v>94606093.460000008</v>
      </c>
      <c r="G350" s="83">
        <f>SUMIFS(G351:G540,K351:K540,"0",B351:B540,"2 1 1 3*")</f>
        <v>94655659.969999999</v>
      </c>
      <c r="H350" s="83"/>
      <c r="I350" s="83">
        <f t="shared" si="5"/>
        <v>65689.689999997616</v>
      </c>
      <c r="K350" s="54" t="s">
        <v>15</v>
      </c>
    </row>
    <row r="351" spans="2:11" ht="33" x14ac:dyDescent="0.2">
      <c r="B351" s="82" t="s">
        <v>1740</v>
      </c>
      <c r="C351" s="82" t="s">
        <v>1741</v>
      </c>
      <c r="D351" s="54"/>
      <c r="E351" s="83">
        <f>SUMIFS(E352:E540,K352:K540,"0",B352:B540,"2 1 1 3 1*")-SUMIFS(D352:D540,K352:K540,"0",B352:B540,"2 1 1 3 1*")</f>
        <v>16123.179999999998</v>
      </c>
      <c r="F351" s="83">
        <f>SUMIFS(F352:F540,K352:K540,"0",B352:B540,"2 1 1 3 1*")</f>
        <v>94530360.790000007</v>
      </c>
      <c r="G351" s="83">
        <f>SUMIFS(G352:G540,K352:K540,"0",B352:B540,"2 1 1 3 1*")</f>
        <v>94579927.299999997</v>
      </c>
      <c r="H351" s="83"/>
      <c r="I351" s="83">
        <f t="shared" si="5"/>
        <v>65689.689999997616</v>
      </c>
      <c r="K351" s="54" t="s">
        <v>15</v>
      </c>
    </row>
    <row r="352" spans="2:11" ht="12.75" x14ac:dyDescent="0.2">
      <c r="B352" s="82" t="s">
        <v>1742</v>
      </c>
      <c r="C352" s="82" t="s">
        <v>26</v>
      </c>
      <c r="D352" s="54"/>
      <c r="E352" s="83">
        <f>SUMIFS(E353:E540,K353:K540,"0",B353:B540,"2 1 1 3 1 12*")-SUMIFS(D353:D540,K353:K540,"0",B353:B540,"2 1 1 3 1 12*")</f>
        <v>16123.179999999998</v>
      </c>
      <c r="F352" s="83">
        <f>SUMIFS(F353:F540,K353:K540,"0",B353:B540,"2 1 1 3 1 12*")</f>
        <v>94530360.790000007</v>
      </c>
      <c r="G352" s="83">
        <f>SUMIFS(G353:G540,K353:K540,"0",B353:B540,"2 1 1 3 1 12*")</f>
        <v>94579927.299999997</v>
      </c>
      <c r="H352" s="83"/>
      <c r="I352" s="83">
        <f t="shared" si="5"/>
        <v>65689.689999997616</v>
      </c>
      <c r="K352" s="54" t="s">
        <v>15</v>
      </c>
    </row>
    <row r="353" spans="2:11" ht="16.5" x14ac:dyDescent="0.2">
      <c r="B353" s="82" t="s">
        <v>1743</v>
      </c>
      <c r="C353" s="82" t="s">
        <v>28</v>
      </c>
      <c r="D353" s="54"/>
      <c r="E353" s="83">
        <f>SUMIFS(E354:E540,K354:K540,"0",B354:B540,"2 1 1 3 1 12 31111*")-SUMIFS(D354:D540,K354:K540,"0",B354:B540,"2 1 1 3 1 12 31111*")</f>
        <v>16123.179999999998</v>
      </c>
      <c r="F353" s="83">
        <f>SUMIFS(F354:F540,K354:K540,"0",B354:B540,"2 1 1 3 1 12 31111*")</f>
        <v>94530360.790000007</v>
      </c>
      <c r="G353" s="83">
        <f>SUMIFS(G354:G540,K354:K540,"0",B354:B540,"2 1 1 3 1 12 31111*")</f>
        <v>94579927.299999997</v>
      </c>
      <c r="H353" s="83"/>
      <c r="I353" s="83">
        <f t="shared" si="5"/>
        <v>65689.689999997616</v>
      </c>
      <c r="K353" s="54" t="s">
        <v>15</v>
      </c>
    </row>
    <row r="354" spans="2:11" ht="12.75" x14ac:dyDescent="0.2">
      <c r="B354" s="82" t="s">
        <v>1744</v>
      </c>
      <c r="C354" s="82" t="s">
        <v>30</v>
      </c>
      <c r="D354" s="54"/>
      <c r="E354" s="83">
        <f>SUMIFS(E355:E540,K355:K540,"0",B355:B540,"2 1 1 3 1 12 31111 6*")-SUMIFS(D355:D540,K355:K540,"0",B355:B540,"2 1 1 3 1 12 31111 6*")</f>
        <v>16123.179999999998</v>
      </c>
      <c r="F354" s="83">
        <f>SUMIFS(F355:F540,K355:K540,"0",B355:B540,"2 1 1 3 1 12 31111 6*")</f>
        <v>94530360.790000007</v>
      </c>
      <c r="G354" s="83">
        <f>SUMIFS(G355:G540,K355:K540,"0",B355:B540,"2 1 1 3 1 12 31111 6*")</f>
        <v>94579927.299999997</v>
      </c>
      <c r="H354" s="83"/>
      <c r="I354" s="83">
        <f t="shared" si="5"/>
        <v>65689.689999997616</v>
      </c>
      <c r="K354" s="54" t="s">
        <v>15</v>
      </c>
    </row>
    <row r="355" spans="2:11" ht="12.75" x14ac:dyDescent="0.2">
      <c r="B355" s="82" t="s">
        <v>1745</v>
      </c>
      <c r="C355" s="82" t="s">
        <v>32</v>
      </c>
      <c r="D355" s="54"/>
      <c r="E355" s="83">
        <f>SUMIFS(E356:E540,K356:K540,"0",B356:B540,"2 1 1 3 1 12 31111 6 M59*")-SUMIFS(D356:D540,K356:K540,"0",B356:B540,"2 1 1 3 1 12 31111 6 M59*")</f>
        <v>16123.179999999998</v>
      </c>
      <c r="F355" s="83">
        <f>SUMIFS(F356:F540,K356:K540,"0",B356:B540,"2 1 1 3 1 12 31111 6 M59*")</f>
        <v>94530360.790000007</v>
      </c>
      <c r="G355" s="83">
        <f>SUMIFS(G356:G540,K356:K540,"0",B356:B540,"2 1 1 3 1 12 31111 6 M59*")</f>
        <v>94579927.299999997</v>
      </c>
      <c r="H355" s="83"/>
      <c r="I355" s="83">
        <f t="shared" si="5"/>
        <v>65689.689999997616</v>
      </c>
      <c r="K355" s="54" t="s">
        <v>15</v>
      </c>
    </row>
    <row r="356" spans="2:11" ht="24.75" x14ac:dyDescent="0.2">
      <c r="B356" s="82" t="s">
        <v>1746</v>
      </c>
      <c r="C356" s="82" t="s">
        <v>986</v>
      </c>
      <c r="D356" s="54"/>
      <c r="E356" s="83">
        <f>SUMIFS(E357:E540,K357:K540,"0",B357:B540,"2 1 1 3 1 12 31111 6 M59 00002*")-SUMIFS(D357:D540,K357:K540,"0",B357:B540,"2 1 1 3 1 12 31111 6 M59 00002*")</f>
        <v>16123.179999999998</v>
      </c>
      <c r="F356" s="83">
        <f>SUMIFS(F357:F540,K357:K540,"0",B357:B540,"2 1 1 3 1 12 31111 6 M59 00002*")</f>
        <v>94530360.790000007</v>
      </c>
      <c r="G356" s="83">
        <f>SUMIFS(G357:G540,K357:K540,"0",B357:B540,"2 1 1 3 1 12 31111 6 M59 00002*")</f>
        <v>94579927.299999997</v>
      </c>
      <c r="H356" s="83"/>
      <c r="I356" s="83">
        <f t="shared" si="5"/>
        <v>65689.689999997616</v>
      </c>
      <c r="K356" s="54" t="s">
        <v>15</v>
      </c>
    </row>
    <row r="357" spans="2:11" ht="16.5" x14ac:dyDescent="0.2">
      <c r="B357" s="82" t="s">
        <v>1747</v>
      </c>
      <c r="C357" s="82" t="s">
        <v>42</v>
      </c>
      <c r="D357" s="54"/>
      <c r="E357" s="83">
        <f>SUMIFS(E358:E540,K358:K540,"0",B358:B540,"2 1 1 3 1 12 31111 6 M59 00002 000001*")-SUMIFS(D358:D540,K358:K540,"0",B358:B540,"2 1 1 3 1 12 31111 6 M59 00002 000001*")</f>
        <v>16123.179999999998</v>
      </c>
      <c r="F357" s="83">
        <f>SUMIFS(F358:F540,K358:K540,"0",B358:B540,"2 1 1 3 1 12 31111 6 M59 00002 000001*")</f>
        <v>0</v>
      </c>
      <c r="G357" s="83">
        <f>SUMIFS(G358:G540,K358:K540,"0",B358:B540,"2 1 1 3 1 12 31111 6 M59 00002 000001*")</f>
        <v>0</v>
      </c>
      <c r="H357" s="83"/>
      <c r="I357" s="83">
        <f t="shared" si="5"/>
        <v>16123.179999999998</v>
      </c>
      <c r="K357" s="54" t="s">
        <v>15</v>
      </c>
    </row>
    <row r="358" spans="2:11" ht="16.5" x14ac:dyDescent="0.2">
      <c r="B358" s="84" t="s">
        <v>1748</v>
      </c>
      <c r="C358" s="84" t="s">
        <v>1749</v>
      </c>
      <c r="D358" s="85"/>
      <c r="E358" s="85">
        <v>16121.46</v>
      </c>
      <c r="F358" s="85">
        <v>0</v>
      </c>
      <c r="G358" s="85">
        <v>0</v>
      </c>
      <c r="H358" s="85"/>
      <c r="I358" s="85">
        <f t="shared" si="5"/>
        <v>16121.46</v>
      </c>
      <c r="K358" s="54" t="s">
        <v>38</v>
      </c>
    </row>
    <row r="359" spans="2:11" ht="16.5" x14ac:dyDescent="0.2">
      <c r="B359" s="84" t="s">
        <v>1750</v>
      </c>
      <c r="C359" s="84" t="s">
        <v>1751</v>
      </c>
      <c r="D359" s="85"/>
      <c r="E359" s="85">
        <v>1.72</v>
      </c>
      <c r="F359" s="85">
        <v>0</v>
      </c>
      <c r="G359" s="85">
        <v>0</v>
      </c>
      <c r="H359" s="85"/>
      <c r="I359" s="85">
        <f t="shared" si="5"/>
        <v>1.72</v>
      </c>
      <c r="K359" s="54" t="s">
        <v>38</v>
      </c>
    </row>
    <row r="360" spans="2:11" ht="16.5" x14ac:dyDescent="0.2">
      <c r="B360" s="82" t="s">
        <v>1752</v>
      </c>
      <c r="C360" s="82" t="s">
        <v>42</v>
      </c>
      <c r="D360" s="54"/>
      <c r="E360" s="83">
        <f>SUMIFS(E361:E540,K361:K540,"0",B361:B540,"2 1 1 3 1 12 31111 6 M59 00002 000007*")-SUMIFS(D361:D540,K361:K540,"0",B361:B540,"2 1 1 3 1 12 31111 6 M59 00002 000007*")</f>
        <v>0</v>
      </c>
      <c r="F360" s="83">
        <f>SUMIFS(F361:F540,K361:K540,"0",B361:B540,"2 1 1 3 1 12 31111 6 M59 00002 000007*")</f>
        <v>94530360.790000007</v>
      </c>
      <c r="G360" s="83">
        <f>SUMIFS(G361:G540,K361:K540,"0",B361:B540,"2 1 1 3 1 12 31111 6 M59 00002 000007*")</f>
        <v>94579927.299999997</v>
      </c>
      <c r="H360" s="83"/>
      <c r="I360" s="83">
        <f t="shared" si="5"/>
        <v>49566.509999990463</v>
      </c>
      <c r="K360" s="54" t="s">
        <v>15</v>
      </c>
    </row>
    <row r="361" spans="2:11" ht="24.75" x14ac:dyDescent="0.2">
      <c r="B361" s="84" t="s">
        <v>1753</v>
      </c>
      <c r="C361" s="84" t="s">
        <v>1754</v>
      </c>
      <c r="D361" s="85"/>
      <c r="E361" s="85">
        <v>0</v>
      </c>
      <c r="F361" s="85">
        <v>94530360.790000007</v>
      </c>
      <c r="G361" s="85">
        <v>94579927.299999997</v>
      </c>
      <c r="H361" s="85"/>
      <c r="I361" s="85">
        <f t="shared" si="5"/>
        <v>49566.509999990463</v>
      </c>
      <c r="K361" s="54" t="s">
        <v>38</v>
      </c>
    </row>
    <row r="362" spans="2:11" ht="16.5" x14ac:dyDescent="0.2">
      <c r="B362" s="82" t="s">
        <v>1771</v>
      </c>
      <c r="C362" s="82" t="s">
        <v>276</v>
      </c>
      <c r="D362" s="54"/>
      <c r="E362" s="83">
        <f>SUMIFS(E363:E540,K363:K540,"0",B363:B540,"2 1 1 3 3*")-SUMIFS(D363:D540,K363:K540,"0",B363:B540,"2 1 1 3 3*")</f>
        <v>0</v>
      </c>
      <c r="F362" s="83">
        <f>SUMIFS(F363:F540,K363:K540,"0",B363:B540,"2 1 1 3 3*")</f>
        <v>75732.67</v>
      </c>
      <c r="G362" s="83">
        <f>SUMIFS(G363:G540,K363:K540,"0",B363:B540,"2 1 1 3 3*")</f>
        <v>75732.67</v>
      </c>
      <c r="H362" s="83"/>
      <c r="I362" s="83">
        <f t="shared" si="5"/>
        <v>0</v>
      </c>
      <c r="K362" s="54" t="s">
        <v>15</v>
      </c>
    </row>
    <row r="363" spans="2:11" ht="12.75" x14ac:dyDescent="0.2">
      <c r="B363" s="82" t="s">
        <v>1772</v>
      </c>
      <c r="C363" s="82" t="s">
        <v>26</v>
      </c>
      <c r="D363" s="54"/>
      <c r="E363" s="83">
        <f>SUMIFS(E364:E540,K364:K540,"0",B364:B540,"2 1 1 3 3 12*")-SUMIFS(D364:D540,K364:K540,"0",B364:B540,"2 1 1 3 3 12*")</f>
        <v>0</v>
      </c>
      <c r="F363" s="83">
        <f>SUMIFS(F364:F540,K364:K540,"0",B364:B540,"2 1 1 3 3 12*")</f>
        <v>75732.67</v>
      </c>
      <c r="G363" s="83">
        <f>SUMIFS(G364:G540,K364:K540,"0",B364:B540,"2 1 1 3 3 12*")</f>
        <v>75732.67</v>
      </c>
      <c r="H363" s="83"/>
      <c r="I363" s="83">
        <f t="shared" si="5"/>
        <v>0</v>
      </c>
      <c r="K363" s="54" t="s">
        <v>15</v>
      </c>
    </row>
    <row r="364" spans="2:11" ht="16.5" x14ac:dyDescent="0.2">
      <c r="B364" s="82" t="s">
        <v>1773</v>
      </c>
      <c r="C364" s="82" t="s">
        <v>28</v>
      </c>
      <c r="D364" s="54"/>
      <c r="E364" s="83">
        <f>SUMIFS(E365:E540,K365:K540,"0",B365:B540,"2 1 1 3 3 12 31111*")-SUMIFS(D365:D540,K365:K540,"0",B365:B540,"2 1 1 3 3 12 31111*")</f>
        <v>0</v>
      </c>
      <c r="F364" s="83">
        <f>SUMIFS(F365:F540,K365:K540,"0",B365:B540,"2 1 1 3 3 12 31111*")</f>
        <v>75732.67</v>
      </c>
      <c r="G364" s="83">
        <f>SUMIFS(G365:G540,K365:K540,"0",B365:B540,"2 1 1 3 3 12 31111*")</f>
        <v>75732.67</v>
      </c>
      <c r="H364" s="83"/>
      <c r="I364" s="83">
        <f t="shared" si="5"/>
        <v>0</v>
      </c>
      <c r="K364" s="54" t="s">
        <v>15</v>
      </c>
    </row>
    <row r="365" spans="2:11" ht="12.75" x14ac:dyDescent="0.2">
      <c r="B365" s="82" t="s">
        <v>1774</v>
      </c>
      <c r="C365" s="82" t="s">
        <v>30</v>
      </c>
      <c r="D365" s="54"/>
      <c r="E365" s="83">
        <f>SUMIFS(E366:E540,K366:K540,"0",B366:B540,"2 1 1 3 3 12 31111 6*")-SUMIFS(D366:D540,K366:K540,"0",B366:B540,"2 1 1 3 3 12 31111 6*")</f>
        <v>0</v>
      </c>
      <c r="F365" s="83">
        <f>SUMIFS(F366:F540,K366:K540,"0",B366:B540,"2 1 1 3 3 12 31111 6*")</f>
        <v>75732.67</v>
      </c>
      <c r="G365" s="83">
        <f>SUMIFS(G366:G540,K366:K540,"0",B366:B540,"2 1 1 3 3 12 31111 6*")</f>
        <v>75732.67</v>
      </c>
      <c r="H365" s="83"/>
      <c r="I365" s="83">
        <f t="shared" si="5"/>
        <v>0</v>
      </c>
      <c r="K365" s="54" t="s">
        <v>15</v>
      </c>
    </row>
    <row r="366" spans="2:11" ht="16.5" x14ac:dyDescent="0.2">
      <c r="B366" s="82" t="s">
        <v>1775</v>
      </c>
      <c r="C366" s="82" t="s">
        <v>140</v>
      </c>
      <c r="D366" s="54"/>
      <c r="E366" s="83">
        <f>SUMIFS(E367:E540,K367:K540,"0",B367:B540,"2 1 1 3 3 12 31111 6 M59*")-SUMIFS(D367:D540,K367:K540,"0",B367:B540,"2 1 1 3 3 12 31111 6 M59*")</f>
        <v>0</v>
      </c>
      <c r="F366" s="83">
        <f>SUMIFS(F367:F540,K367:K540,"0",B367:B540,"2 1 1 3 3 12 31111 6 M59*")</f>
        <v>75732.67</v>
      </c>
      <c r="G366" s="83">
        <f>SUMIFS(G367:G540,K367:K540,"0",B367:B540,"2 1 1 3 3 12 31111 6 M59*")</f>
        <v>75732.67</v>
      </c>
      <c r="H366" s="83"/>
      <c r="I366" s="83">
        <f t="shared" si="5"/>
        <v>0</v>
      </c>
      <c r="K366" s="54" t="s">
        <v>15</v>
      </c>
    </row>
    <row r="367" spans="2:11" ht="24.75" x14ac:dyDescent="0.2">
      <c r="B367" s="82" t="s">
        <v>1776</v>
      </c>
      <c r="C367" s="82" t="s">
        <v>986</v>
      </c>
      <c r="D367" s="54"/>
      <c r="E367" s="83">
        <f>SUMIFS(E368:E540,K368:K540,"0",B368:B540,"2 1 1 3 3 12 31111 6 M59 00002*")-SUMIFS(D368:D540,K368:K540,"0",B368:B540,"2 1 1 3 3 12 31111 6 M59 00002*")</f>
        <v>0</v>
      </c>
      <c r="F367" s="83">
        <f>SUMIFS(F368:F540,K368:K540,"0",B368:B540,"2 1 1 3 3 12 31111 6 M59 00002*")</f>
        <v>75732.67</v>
      </c>
      <c r="G367" s="83">
        <f>SUMIFS(G368:G540,K368:K540,"0",B368:B540,"2 1 1 3 3 12 31111 6 M59 00002*")</f>
        <v>75732.67</v>
      </c>
      <c r="H367" s="83"/>
      <c r="I367" s="83">
        <f t="shared" si="5"/>
        <v>0</v>
      </c>
      <c r="K367" s="54" t="s">
        <v>15</v>
      </c>
    </row>
    <row r="368" spans="2:11" ht="33" x14ac:dyDescent="0.2">
      <c r="B368" s="82" t="s">
        <v>1777</v>
      </c>
      <c r="C368" s="82" t="s">
        <v>1778</v>
      </c>
      <c r="D368" s="54"/>
      <c r="E368" s="83">
        <f>SUMIFS(E369:E540,K369:K540,"0",B369:B540,"2 1 1 3 3 12 31111 6 M59 00002 000001*")-SUMIFS(D369:D540,K369:K540,"0",B369:B540,"2 1 1 3 3 12 31111 6 M59 00002 000001*")</f>
        <v>0</v>
      </c>
      <c r="F368" s="83">
        <f>SUMIFS(F369:F540,K369:K540,"0",B369:B540,"2 1 1 3 3 12 31111 6 M59 00002 000001*")</f>
        <v>75732.67</v>
      </c>
      <c r="G368" s="83">
        <f>SUMIFS(G369:G540,K369:K540,"0",B369:B540,"2 1 1 3 3 12 31111 6 M59 00002 000001*")</f>
        <v>75732.67</v>
      </c>
      <c r="H368" s="83"/>
      <c r="I368" s="83">
        <f t="shared" si="5"/>
        <v>0</v>
      </c>
      <c r="K368" s="54" t="s">
        <v>15</v>
      </c>
    </row>
    <row r="369" spans="2:11" ht="16.5" x14ac:dyDescent="0.2">
      <c r="B369" s="84" t="s">
        <v>1779</v>
      </c>
      <c r="C369" s="84" t="s">
        <v>1780</v>
      </c>
      <c r="D369" s="85"/>
      <c r="E369" s="85">
        <v>0</v>
      </c>
      <c r="F369" s="85">
        <v>75732.67</v>
      </c>
      <c r="G369" s="85">
        <v>75732.67</v>
      </c>
      <c r="H369" s="85"/>
      <c r="I369" s="85">
        <f t="shared" si="5"/>
        <v>0</v>
      </c>
      <c r="K369" s="54" t="s">
        <v>38</v>
      </c>
    </row>
    <row r="370" spans="2:11" ht="24.75" x14ac:dyDescent="0.2">
      <c r="B370" s="82" t="s">
        <v>1814</v>
      </c>
      <c r="C370" s="82" t="s">
        <v>1815</v>
      </c>
      <c r="D370" s="54"/>
      <c r="E370" s="83">
        <f>SUMIFS(E371:E540,K371:K540,"0",B371:B540,"2 1 1 7*")-SUMIFS(D371:D540,K371:K540,"0",B371:B540,"2 1 1 7*")</f>
        <v>313359.62</v>
      </c>
      <c r="F370" s="83">
        <f>SUMIFS(F371:F540,K371:K540,"0",B371:B540,"2 1 1 7*")</f>
        <v>0</v>
      </c>
      <c r="G370" s="83">
        <f>SUMIFS(G371:G540,K371:K540,"0",B371:B540,"2 1 1 7*")</f>
        <v>0</v>
      </c>
      <c r="H370" s="83"/>
      <c r="I370" s="83">
        <f t="shared" si="5"/>
        <v>313359.62</v>
      </c>
      <c r="K370" s="54" t="s">
        <v>15</v>
      </c>
    </row>
    <row r="371" spans="2:11" ht="16.5" x14ac:dyDescent="0.2">
      <c r="B371" s="82" t="s">
        <v>1816</v>
      </c>
      <c r="C371" s="82" t="s">
        <v>1817</v>
      </c>
      <c r="D371" s="54"/>
      <c r="E371" s="83">
        <f>SUMIFS(E372:E540,K372:K540,"0",B372:B540,"2 1 1 7 1*")-SUMIFS(D372:D540,K372:K540,"0",B372:B540,"2 1 1 7 1*")</f>
        <v>313359.62</v>
      </c>
      <c r="F371" s="83">
        <f>SUMIFS(F372:F540,K372:K540,"0",B372:B540,"2 1 1 7 1*")</f>
        <v>0</v>
      </c>
      <c r="G371" s="83">
        <f>SUMIFS(G372:G540,K372:K540,"0",B372:B540,"2 1 1 7 1*")</f>
        <v>0</v>
      </c>
      <c r="H371" s="83"/>
      <c r="I371" s="83">
        <f t="shared" si="5"/>
        <v>313359.62</v>
      </c>
      <c r="K371" s="54" t="s">
        <v>15</v>
      </c>
    </row>
    <row r="372" spans="2:11" ht="12.75" x14ac:dyDescent="0.2">
      <c r="B372" s="82" t="s">
        <v>1818</v>
      </c>
      <c r="C372" s="82" t="s">
        <v>26</v>
      </c>
      <c r="D372" s="54"/>
      <c r="E372" s="83">
        <f>SUMIFS(E373:E540,K373:K540,"0",B373:B540,"2 1 1 7 1 12*")-SUMIFS(D373:D540,K373:K540,"0",B373:B540,"2 1 1 7 1 12*")</f>
        <v>313359.62</v>
      </c>
      <c r="F372" s="83">
        <f>SUMIFS(F373:F540,K373:K540,"0",B373:B540,"2 1 1 7 1 12*")</f>
        <v>0</v>
      </c>
      <c r="G372" s="83">
        <f>SUMIFS(G373:G540,K373:K540,"0",B373:B540,"2 1 1 7 1 12*")</f>
        <v>0</v>
      </c>
      <c r="H372" s="83"/>
      <c r="I372" s="83">
        <f t="shared" si="5"/>
        <v>313359.62</v>
      </c>
      <c r="K372" s="54" t="s">
        <v>15</v>
      </c>
    </row>
    <row r="373" spans="2:11" ht="16.5" x14ac:dyDescent="0.2">
      <c r="B373" s="82" t="s">
        <v>1819</v>
      </c>
      <c r="C373" s="82" t="s">
        <v>28</v>
      </c>
      <c r="D373" s="54"/>
      <c r="E373" s="83">
        <f>SUMIFS(E374:E540,K374:K540,"0",B374:B540,"2 1 1 7 1 12 31111*")-SUMIFS(D374:D540,K374:K540,"0",B374:B540,"2 1 1 7 1 12 31111*")</f>
        <v>313359.62</v>
      </c>
      <c r="F373" s="83">
        <f>SUMIFS(F374:F540,K374:K540,"0",B374:B540,"2 1 1 7 1 12 31111*")</f>
        <v>0</v>
      </c>
      <c r="G373" s="83">
        <f>SUMIFS(G374:G540,K374:K540,"0",B374:B540,"2 1 1 7 1 12 31111*")</f>
        <v>0</v>
      </c>
      <c r="H373" s="83"/>
      <c r="I373" s="83">
        <f t="shared" si="5"/>
        <v>313359.62</v>
      </c>
      <c r="K373" s="54" t="s">
        <v>15</v>
      </c>
    </row>
    <row r="374" spans="2:11" ht="12.75" x14ac:dyDescent="0.2">
      <c r="B374" s="82" t="s">
        <v>1820</v>
      </c>
      <c r="C374" s="82" t="s">
        <v>30</v>
      </c>
      <c r="D374" s="54"/>
      <c r="E374" s="83">
        <f>SUMIFS(E375:E540,K375:K540,"0",B375:B540,"2 1 1 7 1 12 31111 6*")-SUMIFS(D375:D540,K375:K540,"0",B375:B540,"2 1 1 7 1 12 31111 6*")</f>
        <v>313359.62</v>
      </c>
      <c r="F374" s="83">
        <f>SUMIFS(F375:F540,K375:K540,"0",B375:B540,"2 1 1 7 1 12 31111 6*")</f>
        <v>0</v>
      </c>
      <c r="G374" s="83">
        <f>SUMIFS(G375:G540,K375:K540,"0",B375:B540,"2 1 1 7 1 12 31111 6*")</f>
        <v>0</v>
      </c>
      <c r="H374" s="83"/>
      <c r="I374" s="83">
        <f t="shared" si="5"/>
        <v>313359.62</v>
      </c>
      <c r="K374" s="54" t="s">
        <v>15</v>
      </c>
    </row>
    <row r="375" spans="2:11" ht="12.75" x14ac:dyDescent="0.2">
      <c r="B375" s="82" t="s">
        <v>1821</v>
      </c>
      <c r="C375" s="82" t="s">
        <v>140</v>
      </c>
      <c r="D375" s="54"/>
      <c r="E375" s="83">
        <f>SUMIFS(E376:E540,K376:K540,"0",B376:B540,"2 1 1 7 1 12 31111 6 M59*")-SUMIFS(D376:D540,K376:K540,"0",B376:B540,"2 1 1 7 1 12 31111 6 M59*")</f>
        <v>313359.62</v>
      </c>
      <c r="F375" s="83">
        <f>SUMIFS(F376:F540,K376:K540,"0",B376:B540,"2 1 1 7 1 12 31111 6 M59*")</f>
        <v>0</v>
      </c>
      <c r="G375" s="83">
        <f>SUMIFS(G376:G540,K376:K540,"0",B376:B540,"2 1 1 7 1 12 31111 6 M59*")</f>
        <v>0</v>
      </c>
      <c r="H375" s="83"/>
      <c r="I375" s="83">
        <f t="shared" si="5"/>
        <v>313359.62</v>
      </c>
      <c r="K375" s="54" t="s">
        <v>15</v>
      </c>
    </row>
    <row r="376" spans="2:11" ht="24.75" x14ac:dyDescent="0.2">
      <c r="B376" s="82" t="s">
        <v>1860</v>
      </c>
      <c r="C376" s="82" t="s">
        <v>986</v>
      </c>
      <c r="D376" s="54"/>
      <c r="E376" s="83">
        <f>SUMIFS(E377:E540,K377:K540,"0",B377:B540,"2 1 1 7 1 12 31111 6 M59 00002*")-SUMIFS(D377:D540,K377:K540,"0",B377:B540,"2 1 1 7 1 12 31111 6 M59 00002*")</f>
        <v>313359.62</v>
      </c>
      <c r="F376" s="83">
        <f>SUMIFS(F377:F540,K377:K540,"0",B377:B540,"2 1 1 7 1 12 31111 6 M59 00002*")</f>
        <v>0</v>
      </c>
      <c r="G376" s="83">
        <f>SUMIFS(G377:G540,K377:K540,"0",B377:B540,"2 1 1 7 1 12 31111 6 M59 00002*")</f>
        <v>0</v>
      </c>
      <c r="H376" s="83"/>
      <c r="I376" s="83">
        <f t="shared" si="5"/>
        <v>313359.62</v>
      </c>
      <c r="K376" s="54" t="s">
        <v>15</v>
      </c>
    </row>
    <row r="377" spans="2:11" ht="16.5" x14ac:dyDescent="0.2">
      <c r="B377" s="82" t="s">
        <v>1861</v>
      </c>
      <c r="C377" s="82" t="s">
        <v>42</v>
      </c>
      <c r="D377" s="54"/>
      <c r="E377" s="83">
        <f>SUMIFS(E378:E540,K378:K540,"0",B378:B540,"2 1 1 7 1 12 31111 6 M59 00002 000001*")-SUMIFS(D378:D540,K378:K540,"0",B378:B540,"2 1 1 7 1 12 31111 6 M59 00002 000001*")</f>
        <v>310766.96000000002</v>
      </c>
      <c r="F377" s="83">
        <f>SUMIFS(F378:F540,K378:K540,"0",B378:B540,"2 1 1 7 1 12 31111 6 M59 00002 000001*")</f>
        <v>0</v>
      </c>
      <c r="G377" s="83">
        <f>SUMIFS(G378:G540,K378:K540,"0",B378:B540,"2 1 1 7 1 12 31111 6 M59 00002 000001*")</f>
        <v>0</v>
      </c>
      <c r="H377" s="83"/>
      <c r="I377" s="83">
        <f t="shared" si="5"/>
        <v>310766.96000000002</v>
      </c>
      <c r="K377" s="54" t="s">
        <v>15</v>
      </c>
    </row>
    <row r="378" spans="2:11" ht="24.75" x14ac:dyDescent="0.2">
      <c r="B378" s="84" t="s">
        <v>1862</v>
      </c>
      <c r="C378" s="84" t="s">
        <v>375</v>
      </c>
      <c r="D378" s="85"/>
      <c r="E378" s="85">
        <v>310766.96000000002</v>
      </c>
      <c r="F378" s="85">
        <v>0</v>
      </c>
      <c r="G378" s="85">
        <v>0</v>
      </c>
      <c r="H378" s="85"/>
      <c r="I378" s="85">
        <f t="shared" si="5"/>
        <v>310766.96000000002</v>
      </c>
      <c r="K378" s="54" t="s">
        <v>38</v>
      </c>
    </row>
    <row r="379" spans="2:11" ht="16.5" x14ac:dyDescent="0.2">
      <c r="B379" s="82" t="s">
        <v>1863</v>
      </c>
      <c r="C379" s="82" t="s">
        <v>42</v>
      </c>
      <c r="D379" s="54"/>
      <c r="E379" s="83">
        <f>SUMIFS(E380:E540,K380:K540,"0",B380:B540,"2 1 1 7 1 12 31111 6 M59 00002 000002*")-SUMIFS(D380:D540,K380:K540,"0",B380:B540,"2 1 1 7 1 12 31111 6 M59 00002 000002*")</f>
        <v>2592.66</v>
      </c>
      <c r="F379" s="83">
        <f>SUMIFS(F380:F540,K380:K540,"0",B380:B540,"2 1 1 7 1 12 31111 6 M59 00002 000002*")</f>
        <v>0</v>
      </c>
      <c r="G379" s="83">
        <f>SUMIFS(G380:G540,K380:K540,"0",B380:B540,"2 1 1 7 1 12 31111 6 M59 00002 000002*")</f>
        <v>0</v>
      </c>
      <c r="H379" s="83"/>
      <c r="I379" s="83">
        <f t="shared" si="5"/>
        <v>2592.66</v>
      </c>
      <c r="K379" s="54" t="s">
        <v>15</v>
      </c>
    </row>
    <row r="380" spans="2:11" ht="16.5" x14ac:dyDescent="0.2">
      <c r="B380" s="84" t="s">
        <v>1864</v>
      </c>
      <c r="C380" s="84" t="s">
        <v>1875</v>
      </c>
      <c r="D380" s="85"/>
      <c r="E380" s="85">
        <v>2592.66</v>
      </c>
      <c r="F380" s="85">
        <v>0</v>
      </c>
      <c r="G380" s="85">
        <v>0</v>
      </c>
      <c r="H380" s="85"/>
      <c r="I380" s="85">
        <f t="shared" si="5"/>
        <v>2592.66</v>
      </c>
      <c r="K380" s="54" t="s">
        <v>38</v>
      </c>
    </row>
    <row r="381" spans="2:11" ht="16.5" x14ac:dyDescent="0.2">
      <c r="B381" s="82" t="s">
        <v>2054</v>
      </c>
      <c r="C381" s="82" t="s">
        <v>2055</v>
      </c>
      <c r="D381" s="54"/>
      <c r="E381" s="83">
        <f>SUMIFS(E382:E540,K382:K540,"0",B382:B540,"2 1 1 9*")-SUMIFS(D382:D540,K382:K540,"0",B382:B540,"2 1 1 9*")</f>
        <v>-1500</v>
      </c>
      <c r="F381" s="83">
        <f>SUMIFS(F382:F540,K382:K540,"0",B382:B540,"2 1 1 9*")</f>
        <v>0</v>
      </c>
      <c r="G381" s="83">
        <f>SUMIFS(G382:G540,K382:K540,"0",B382:B540,"2 1 1 9*")</f>
        <v>0</v>
      </c>
      <c r="H381" s="83"/>
      <c r="I381" s="83">
        <f t="shared" si="5"/>
        <v>-1500</v>
      </c>
      <c r="K381" s="54" t="s">
        <v>15</v>
      </c>
    </row>
    <row r="382" spans="2:11" ht="16.5" x14ac:dyDescent="0.2">
      <c r="B382" s="82" t="s">
        <v>2072</v>
      </c>
      <c r="C382" s="82" t="s">
        <v>2073</v>
      </c>
      <c r="D382" s="54"/>
      <c r="E382" s="83">
        <f>SUMIFS(E383:E540,K383:K540,"0",B383:B540,"2 1 1 9 9*")-SUMIFS(D383:D540,K383:K540,"0",B383:B540,"2 1 1 9 9*")</f>
        <v>-1500</v>
      </c>
      <c r="F382" s="83">
        <f>SUMIFS(F383:F540,K383:K540,"0",B383:B540,"2 1 1 9 9*")</f>
        <v>0</v>
      </c>
      <c r="G382" s="83">
        <f>SUMIFS(G383:G540,K383:K540,"0",B383:B540,"2 1 1 9 9*")</f>
        <v>0</v>
      </c>
      <c r="H382" s="83"/>
      <c r="I382" s="83">
        <f t="shared" si="5"/>
        <v>-1500</v>
      </c>
      <c r="K382" s="54" t="s">
        <v>15</v>
      </c>
    </row>
    <row r="383" spans="2:11" ht="12.75" x14ac:dyDescent="0.2">
      <c r="B383" s="82" t="s">
        <v>2074</v>
      </c>
      <c r="C383" s="82" t="s">
        <v>26</v>
      </c>
      <c r="D383" s="54"/>
      <c r="E383" s="83">
        <f>SUMIFS(E384:E540,K384:K540,"0",B384:B540,"2 1 1 9 9 12*")-SUMIFS(D384:D540,K384:K540,"0",B384:B540,"2 1 1 9 9 12*")</f>
        <v>-1500</v>
      </c>
      <c r="F383" s="83">
        <f>SUMIFS(F384:F540,K384:K540,"0",B384:B540,"2 1 1 9 9 12*")</f>
        <v>0</v>
      </c>
      <c r="G383" s="83">
        <f>SUMIFS(G384:G540,K384:K540,"0",B384:B540,"2 1 1 9 9 12*")</f>
        <v>0</v>
      </c>
      <c r="H383" s="83"/>
      <c r="I383" s="83">
        <f t="shared" si="5"/>
        <v>-1500</v>
      </c>
      <c r="K383" s="54" t="s">
        <v>15</v>
      </c>
    </row>
    <row r="384" spans="2:11" ht="16.5" x14ac:dyDescent="0.2">
      <c r="B384" s="82" t="s">
        <v>2075</v>
      </c>
      <c r="C384" s="82" t="s">
        <v>28</v>
      </c>
      <c r="D384" s="54"/>
      <c r="E384" s="83">
        <f>SUMIFS(E385:E540,K385:K540,"0",B385:B540,"2 1 1 9 9 12 31111*")-SUMIFS(D385:D540,K385:K540,"0",B385:B540,"2 1 1 9 9 12 31111*")</f>
        <v>-1500</v>
      </c>
      <c r="F384" s="83">
        <f>SUMIFS(F385:F540,K385:K540,"0",B385:B540,"2 1 1 9 9 12 31111*")</f>
        <v>0</v>
      </c>
      <c r="G384" s="83">
        <f>SUMIFS(G385:G540,K385:K540,"0",B385:B540,"2 1 1 9 9 12 31111*")</f>
        <v>0</v>
      </c>
      <c r="H384" s="83"/>
      <c r="I384" s="83">
        <f t="shared" si="5"/>
        <v>-1500</v>
      </c>
      <c r="K384" s="54" t="s">
        <v>15</v>
      </c>
    </row>
    <row r="385" spans="2:11" ht="12.75" x14ac:dyDescent="0.2">
      <c r="B385" s="82" t="s">
        <v>2076</v>
      </c>
      <c r="C385" s="82" t="s">
        <v>30</v>
      </c>
      <c r="D385" s="54"/>
      <c r="E385" s="83">
        <f>SUMIFS(E386:E540,K386:K540,"0",B386:B540,"2 1 1 9 9 12 31111 6*")-SUMIFS(D386:D540,K386:K540,"0",B386:B540,"2 1 1 9 9 12 31111 6*")</f>
        <v>-1500</v>
      </c>
      <c r="F385" s="83">
        <f>SUMIFS(F386:F540,K386:K540,"0",B386:B540,"2 1 1 9 9 12 31111 6*")</f>
        <v>0</v>
      </c>
      <c r="G385" s="83">
        <f>SUMIFS(G386:G540,K386:K540,"0",B386:B540,"2 1 1 9 9 12 31111 6*")</f>
        <v>0</v>
      </c>
      <c r="H385" s="83"/>
      <c r="I385" s="83">
        <f t="shared" si="5"/>
        <v>-1500</v>
      </c>
      <c r="K385" s="54" t="s">
        <v>15</v>
      </c>
    </row>
    <row r="386" spans="2:11" ht="16.5" x14ac:dyDescent="0.2">
      <c r="B386" s="82" t="s">
        <v>2077</v>
      </c>
      <c r="C386" s="82" t="s">
        <v>32</v>
      </c>
      <c r="D386" s="54"/>
      <c r="E386" s="83">
        <f>SUMIFS(E387:E540,K387:K540,"0",B387:B540,"2 1 1 9 9 12 31111 6 M59*")-SUMIFS(D387:D540,K387:K540,"0",B387:B540,"2 1 1 9 9 12 31111 6 M59*")</f>
        <v>-1500</v>
      </c>
      <c r="F386" s="83">
        <f>SUMIFS(F387:F540,K387:K540,"0",B387:B540,"2 1 1 9 9 12 31111 6 M59*")</f>
        <v>0</v>
      </c>
      <c r="G386" s="83">
        <f>SUMIFS(G387:G540,K387:K540,"0",B387:B540,"2 1 1 9 9 12 31111 6 M59*")</f>
        <v>0</v>
      </c>
      <c r="H386" s="83"/>
      <c r="I386" s="83">
        <f t="shared" si="5"/>
        <v>-1500</v>
      </c>
      <c r="K386" s="54" t="s">
        <v>15</v>
      </c>
    </row>
    <row r="387" spans="2:11" ht="24.75" x14ac:dyDescent="0.2">
      <c r="B387" s="82" t="s">
        <v>2078</v>
      </c>
      <c r="C387" s="82" t="s">
        <v>2079</v>
      </c>
      <c r="D387" s="54"/>
      <c r="E387" s="83">
        <f>SUMIFS(E388:E540,K388:K540,"0",B388:B540,"2 1 1 9 9 12 31111 6 M59 00002*")-SUMIFS(D388:D540,K388:K540,"0",B388:B540,"2 1 1 9 9 12 31111 6 M59 00002*")</f>
        <v>-1500</v>
      </c>
      <c r="F387" s="83">
        <f>SUMIFS(F388:F540,K388:K540,"0",B388:B540,"2 1 1 9 9 12 31111 6 M59 00002*")</f>
        <v>0</v>
      </c>
      <c r="G387" s="83">
        <f>SUMIFS(G388:G540,K388:K540,"0",B388:B540,"2 1 1 9 9 12 31111 6 M59 00002*")</f>
        <v>0</v>
      </c>
      <c r="H387" s="83"/>
      <c r="I387" s="83">
        <f t="shared" si="5"/>
        <v>-1500</v>
      </c>
      <c r="K387" s="54" t="s">
        <v>15</v>
      </c>
    </row>
    <row r="388" spans="2:11" ht="16.5" x14ac:dyDescent="0.2">
      <c r="B388" s="82" t="s">
        <v>2080</v>
      </c>
      <c r="C388" s="82" t="s">
        <v>42</v>
      </c>
      <c r="D388" s="54"/>
      <c r="E388" s="83">
        <f>SUMIFS(E389:E540,K389:K540,"0",B389:B540,"2 1 1 9 9 12 31111 6 M59 00002 000001*")-SUMIFS(D389:D540,K389:K540,"0",B389:B540,"2 1 1 9 9 12 31111 6 M59 00002 000001*")</f>
        <v>-1500</v>
      </c>
      <c r="F388" s="83">
        <f>SUMIFS(F389:F540,K389:K540,"0",B389:B540,"2 1 1 9 9 12 31111 6 M59 00002 000001*")</f>
        <v>0</v>
      </c>
      <c r="G388" s="83">
        <f>SUMIFS(G389:G540,K389:K540,"0",B389:B540,"2 1 1 9 9 12 31111 6 M59 00002 000001*")</f>
        <v>0</v>
      </c>
      <c r="H388" s="83"/>
      <c r="I388" s="83">
        <f t="shared" si="5"/>
        <v>-1500</v>
      </c>
      <c r="K388" s="54" t="s">
        <v>15</v>
      </c>
    </row>
    <row r="389" spans="2:11" ht="16.5" x14ac:dyDescent="0.2">
      <c r="B389" s="84" t="s">
        <v>2081</v>
      </c>
      <c r="C389" s="84" t="s">
        <v>2055</v>
      </c>
      <c r="D389" s="85"/>
      <c r="E389" s="85">
        <v>-1500</v>
      </c>
      <c r="F389" s="85">
        <v>0</v>
      </c>
      <c r="G389" s="85">
        <v>0</v>
      </c>
      <c r="H389" s="85"/>
      <c r="I389" s="85">
        <f t="shared" si="5"/>
        <v>-1500</v>
      </c>
      <c r="K389" s="54" t="s">
        <v>38</v>
      </c>
    </row>
    <row r="390" spans="2:11" ht="16.5" x14ac:dyDescent="0.2">
      <c r="B390" s="82" t="s">
        <v>2126</v>
      </c>
      <c r="C390" s="82" t="s">
        <v>2127</v>
      </c>
      <c r="D390" s="54"/>
      <c r="E390" s="83">
        <f>SUMIFS(E391:E540,K391:K540,"0",B391:B540,"3*")-SUMIFS(D391:D540,K391:K540,"0",B391:B540,"3*")</f>
        <v>41419672.539999992</v>
      </c>
      <c r="F390" s="83">
        <f>SUMIFS(F391:F540,K391:K540,"0",B391:B540,"3*")</f>
        <v>0</v>
      </c>
      <c r="G390" s="83">
        <f>SUMIFS(G391:G540,K391:K540,"0",B391:B540,"3*")</f>
        <v>38304.019999999997</v>
      </c>
      <c r="H390" s="83"/>
      <c r="I390" s="83">
        <f t="shared" si="5"/>
        <v>41457976.559999995</v>
      </c>
      <c r="K390" s="54" t="s">
        <v>15</v>
      </c>
    </row>
    <row r="391" spans="2:11" ht="24.75" x14ac:dyDescent="0.2">
      <c r="B391" s="82" t="s">
        <v>2128</v>
      </c>
      <c r="C391" s="82" t="s">
        <v>2129</v>
      </c>
      <c r="D391" s="54"/>
      <c r="E391" s="83">
        <f>SUMIFS(E392:E540,K392:K540,"0",B392:B540,"3 1*")-SUMIFS(D392:D540,K392:K540,"0",B392:B540,"3 1*")</f>
        <v>274258.89</v>
      </c>
      <c r="F391" s="83">
        <f>SUMIFS(F392:F540,K392:K540,"0",B392:B540,"3 1*")</f>
        <v>0</v>
      </c>
      <c r="G391" s="83">
        <f>SUMIFS(G392:G540,K392:K540,"0",B392:B540,"3 1*")</f>
        <v>0</v>
      </c>
      <c r="H391" s="83"/>
      <c r="I391" s="83">
        <f t="shared" si="5"/>
        <v>274258.89</v>
      </c>
      <c r="K391" s="54" t="s">
        <v>15</v>
      </c>
    </row>
    <row r="392" spans="2:11" ht="12.75" x14ac:dyDescent="0.2">
      <c r="B392" s="82" t="s">
        <v>2130</v>
      </c>
      <c r="C392" s="82" t="s">
        <v>2131</v>
      </c>
      <c r="D392" s="54"/>
      <c r="E392" s="83">
        <f>SUMIFS(E393:E540,K393:K540,"0",B393:B540,"3 1 1*")-SUMIFS(D393:D540,K393:K540,"0",B393:B540,"3 1 1*")</f>
        <v>274258.89</v>
      </c>
      <c r="F392" s="83">
        <f>SUMIFS(F393:F540,K393:K540,"0",B393:B540,"3 1 1*")</f>
        <v>0</v>
      </c>
      <c r="G392" s="83">
        <f>SUMIFS(G393:G540,K393:K540,"0",B393:B540,"3 1 1*")</f>
        <v>0</v>
      </c>
      <c r="H392" s="83"/>
      <c r="I392" s="83">
        <f t="shared" si="5"/>
        <v>274258.89</v>
      </c>
      <c r="K392" s="54" t="s">
        <v>15</v>
      </c>
    </row>
    <row r="393" spans="2:11" ht="12.75" x14ac:dyDescent="0.2">
      <c r="B393" s="82" t="s">
        <v>2132</v>
      </c>
      <c r="C393" s="82" t="s">
        <v>2131</v>
      </c>
      <c r="D393" s="54"/>
      <c r="E393" s="83">
        <f>SUMIFS(E394:E540,K394:K540,"0",B394:B540,"3 1 1 1*")-SUMIFS(D394:D540,K394:K540,"0",B394:B540,"3 1 1 1*")</f>
        <v>274258.89</v>
      </c>
      <c r="F393" s="83">
        <f>SUMIFS(F394:F540,K394:K540,"0",B394:B540,"3 1 1 1*")</f>
        <v>0</v>
      </c>
      <c r="G393" s="83">
        <f>SUMIFS(G394:G540,K394:K540,"0",B394:B540,"3 1 1 1*")</f>
        <v>0</v>
      </c>
      <c r="H393" s="83"/>
      <c r="I393" s="83">
        <f t="shared" si="5"/>
        <v>274258.89</v>
      </c>
      <c r="K393" s="54" t="s">
        <v>15</v>
      </c>
    </row>
    <row r="394" spans="2:11" ht="12.75" x14ac:dyDescent="0.2">
      <c r="B394" s="82" t="s">
        <v>2133</v>
      </c>
      <c r="C394" s="82" t="s">
        <v>2131</v>
      </c>
      <c r="D394" s="54"/>
      <c r="E394" s="83">
        <f>SUMIFS(E395:E540,K395:K540,"0",B395:B540,"3 1 1 1 1*")-SUMIFS(D395:D540,K395:K540,"0",B395:B540,"3 1 1 1 1*")</f>
        <v>274258.89</v>
      </c>
      <c r="F394" s="83">
        <f>SUMIFS(F395:F540,K395:K540,"0",B395:B540,"3 1 1 1 1*")</f>
        <v>0</v>
      </c>
      <c r="G394" s="83">
        <f>SUMIFS(G395:G540,K395:K540,"0",B395:B540,"3 1 1 1 1*")</f>
        <v>0</v>
      </c>
      <c r="H394" s="83"/>
      <c r="I394" s="83">
        <f t="shared" ref="I394:I457" si="6">E394 - F394 + G394</f>
        <v>274258.89</v>
      </c>
      <c r="K394" s="54" t="s">
        <v>15</v>
      </c>
    </row>
    <row r="395" spans="2:11" ht="12.75" x14ac:dyDescent="0.2">
      <c r="B395" s="82" t="s">
        <v>2134</v>
      </c>
      <c r="C395" s="82" t="s">
        <v>26</v>
      </c>
      <c r="D395" s="54"/>
      <c r="E395" s="83">
        <f>SUMIFS(E396:E540,K396:K540,"0",B396:B540,"3 1 1 1 1 12*")-SUMIFS(D396:D540,K396:K540,"0",B396:B540,"3 1 1 1 1 12*")</f>
        <v>274258.89</v>
      </c>
      <c r="F395" s="83">
        <f>SUMIFS(F396:F540,K396:K540,"0",B396:B540,"3 1 1 1 1 12*")</f>
        <v>0</v>
      </c>
      <c r="G395" s="83">
        <f>SUMIFS(G396:G540,K396:K540,"0",B396:B540,"3 1 1 1 1 12*")</f>
        <v>0</v>
      </c>
      <c r="H395" s="83"/>
      <c r="I395" s="83">
        <f t="shared" si="6"/>
        <v>274258.89</v>
      </c>
      <c r="K395" s="54" t="s">
        <v>15</v>
      </c>
    </row>
    <row r="396" spans="2:11" ht="16.5" x14ac:dyDescent="0.2">
      <c r="B396" s="82" t="s">
        <v>2135</v>
      </c>
      <c r="C396" s="82" t="s">
        <v>28</v>
      </c>
      <c r="D396" s="54"/>
      <c r="E396" s="83">
        <f>SUMIFS(E397:E540,K397:K540,"0",B397:B540,"3 1 1 1 1 12 31111*")-SUMIFS(D397:D540,K397:K540,"0",B397:B540,"3 1 1 1 1 12 31111*")</f>
        <v>274258.89</v>
      </c>
      <c r="F396" s="83">
        <f>SUMIFS(F397:F540,K397:K540,"0",B397:B540,"3 1 1 1 1 12 31111*")</f>
        <v>0</v>
      </c>
      <c r="G396" s="83">
        <f>SUMIFS(G397:G540,K397:K540,"0",B397:B540,"3 1 1 1 1 12 31111*")</f>
        <v>0</v>
      </c>
      <c r="H396" s="83"/>
      <c r="I396" s="83">
        <f t="shared" si="6"/>
        <v>274258.89</v>
      </c>
      <c r="K396" s="54" t="s">
        <v>15</v>
      </c>
    </row>
    <row r="397" spans="2:11" ht="12.75" x14ac:dyDescent="0.2">
      <c r="B397" s="82" t="s">
        <v>2136</v>
      </c>
      <c r="C397" s="82" t="s">
        <v>30</v>
      </c>
      <c r="D397" s="54"/>
      <c r="E397" s="83">
        <f>SUMIFS(E398:E540,K398:K540,"0",B398:B540,"3 1 1 1 1 12 31111 6*")-SUMIFS(D398:D540,K398:K540,"0",B398:B540,"3 1 1 1 1 12 31111 6*")</f>
        <v>274258.89</v>
      </c>
      <c r="F397" s="83">
        <f>SUMIFS(F398:F540,K398:K540,"0",B398:B540,"3 1 1 1 1 12 31111 6*")</f>
        <v>0</v>
      </c>
      <c r="G397" s="83">
        <f>SUMIFS(G398:G540,K398:K540,"0",B398:B540,"3 1 1 1 1 12 31111 6*")</f>
        <v>0</v>
      </c>
      <c r="H397" s="83"/>
      <c r="I397" s="83">
        <f t="shared" si="6"/>
        <v>274258.89</v>
      </c>
      <c r="K397" s="54" t="s">
        <v>15</v>
      </c>
    </row>
    <row r="398" spans="2:11" ht="12.75" x14ac:dyDescent="0.2">
      <c r="B398" s="82" t="s">
        <v>2137</v>
      </c>
      <c r="C398" s="82" t="s">
        <v>140</v>
      </c>
      <c r="D398" s="54"/>
      <c r="E398" s="83">
        <f>SUMIFS(E399:E540,K399:K540,"0",B399:B540,"3 1 1 1 1 12 31111 6 M59*")-SUMIFS(D399:D540,K399:K540,"0",B399:B540,"3 1 1 1 1 12 31111 6 M59*")</f>
        <v>274258.89</v>
      </c>
      <c r="F398" s="83">
        <f>SUMIFS(F399:F540,K399:K540,"0",B399:B540,"3 1 1 1 1 12 31111 6 M59*")</f>
        <v>0</v>
      </c>
      <c r="G398" s="83">
        <f>SUMIFS(G399:G540,K399:K540,"0",B399:B540,"3 1 1 1 1 12 31111 6 M59*")</f>
        <v>0</v>
      </c>
      <c r="H398" s="83"/>
      <c r="I398" s="83">
        <f t="shared" si="6"/>
        <v>274258.89</v>
      </c>
      <c r="K398" s="54" t="s">
        <v>15</v>
      </c>
    </row>
    <row r="399" spans="2:11" ht="24.75" x14ac:dyDescent="0.2">
      <c r="B399" s="82" t="s">
        <v>2140</v>
      </c>
      <c r="C399" s="82" t="s">
        <v>986</v>
      </c>
      <c r="D399" s="54"/>
      <c r="E399" s="83">
        <f>SUMIFS(E400:E540,K400:K540,"0",B400:B540,"3 1 1 1 1 12 31111 6 M59 00002*")-SUMIFS(D400:D540,K400:K540,"0",B400:B540,"3 1 1 1 1 12 31111 6 M59 00002*")</f>
        <v>274258.89</v>
      </c>
      <c r="F399" s="83">
        <f>SUMIFS(F400:F540,K400:K540,"0",B400:B540,"3 1 1 1 1 12 31111 6 M59 00002*")</f>
        <v>0</v>
      </c>
      <c r="G399" s="83">
        <f>SUMIFS(G400:G540,K400:K540,"0",B400:B540,"3 1 1 1 1 12 31111 6 M59 00002*")</f>
        <v>0</v>
      </c>
      <c r="H399" s="83"/>
      <c r="I399" s="83">
        <f t="shared" si="6"/>
        <v>274258.89</v>
      </c>
      <c r="K399" s="54" t="s">
        <v>15</v>
      </c>
    </row>
    <row r="400" spans="2:11" ht="16.5" x14ac:dyDescent="0.2">
      <c r="B400" s="82" t="s">
        <v>2141</v>
      </c>
      <c r="C400" s="82" t="s">
        <v>42</v>
      </c>
      <c r="D400" s="54"/>
      <c r="E400" s="83">
        <f>SUMIFS(E401:E540,K401:K540,"0",B401:B540,"3 1 1 1 1 12 31111 6 M59 00002 000001*")-SUMIFS(D401:D540,K401:K540,"0",B401:B540,"3 1 1 1 1 12 31111 6 M59 00002 000001*")</f>
        <v>274258.89</v>
      </c>
      <c r="F400" s="83">
        <f>SUMIFS(F401:F540,K401:K540,"0",B401:B540,"3 1 1 1 1 12 31111 6 M59 00002 000001*")</f>
        <v>0</v>
      </c>
      <c r="G400" s="83">
        <f>SUMIFS(G401:G540,K401:K540,"0",B401:B540,"3 1 1 1 1 12 31111 6 M59 00002 000001*")</f>
        <v>0</v>
      </c>
      <c r="H400" s="83"/>
      <c r="I400" s="83">
        <f t="shared" si="6"/>
        <v>274258.89</v>
      </c>
      <c r="K400" s="54" t="s">
        <v>15</v>
      </c>
    </row>
    <row r="401" spans="2:11" ht="16.5" x14ac:dyDescent="0.2">
      <c r="B401" s="84" t="s">
        <v>2142</v>
      </c>
      <c r="C401" s="84" t="s">
        <v>274</v>
      </c>
      <c r="D401" s="85"/>
      <c r="E401" s="85">
        <v>274258.89</v>
      </c>
      <c r="F401" s="85">
        <v>0</v>
      </c>
      <c r="G401" s="85">
        <v>0</v>
      </c>
      <c r="H401" s="85"/>
      <c r="I401" s="85">
        <f t="shared" si="6"/>
        <v>274258.89</v>
      </c>
      <c r="K401" s="54" t="s">
        <v>38</v>
      </c>
    </row>
    <row r="402" spans="2:11" ht="16.5" x14ac:dyDescent="0.2">
      <c r="B402" s="82" t="s">
        <v>2146</v>
      </c>
      <c r="C402" s="82" t="s">
        <v>2147</v>
      </c>
      <c r="D402" s="54"/>
      <c r="E402" s="83">
        <f>SUMIFS(E403:E540,K403:K540,"0",B403:B540,"3 2*")-SUMIFS(D403:D540,K403:K540,"0",B403:B540,"3 2*")</f>
        <v>41145413.649999991</v>
      </c>
      <c r="F402" s="83">
        <f>SUMIFS(F403:F540,K403:K540,"0",B403:B540,"3 2*")</f>
        <v>0</v>
      </c>
      <c r="G402" s="83">
        <f>SUMIFS(G403:G540,K403:K540,"0",B403:B540,"3 2*")</f>
        <v>38304.019999999997</v>
      </c>
      <c r="H402" s="83"/>
      <c r="I402" s="83">
        <f t="shared" si="6"/>
        <v>41183717.669999994</v>
      </c>
      <c r="K402" s="54" t="s">
        <v>15</v>
      </c>
    </row>
    <row r="403" spans="2:11" ht="16.5" x14ac:dyDescent="0.2">
      <c r="B403" s="82" t="s">
        <v>2148</v>
      </c>
      <c r="C403" s="82" t="s">
        <v>2149</v>
      </c>
      <c r="D403" s="54"/>
      <c r="E403" s="83">
        <f>SUMIFS(E404:E540,K404:K540,"0",B404:B540,"3 2 1*")-SUMIFS(D404:D540,K404:K540,"0",B404:B540,"3 2 1*")</f>
        <v>768836.66</v>
      </c>
      <c r="F403" s="83">
        <f>SUMIFS(F404:F540,K404:K540,"0",B404:B540,"3 2 1*")</f>
        <v>0</v>
      </c>
      <c r="G403" s="83">
        <f>SUMIFS(G404:G540,K404:K540,"0",B404:B540,"3 2 1*")</f>
        <v>38304.019999999997</v>
      </c>
      <c r="H403" s="83"/>
      <c r="I403" s="83">
        <f t="shared" si="6"/>
        <v>807140.68</v>
      </c>
      <c r="K403" s="54" t="s">
        <v>15</v>
      </c>
    </row>
    <row r="404" spans="2:11" ht="16.5" x14ac:dyDescent="0.2">
      <c r="B404" s="82" t="s">
        <v>2150</v>
      </c>
      <c r="C404" s="82" t="s">
        <v>2149</v>
      </c>
      <c r="D404" s="54"/>
      <c r="E404" s="83">
        <f>SUMIFS(E405:E540,K405:K540,"0",B405:B540,"3 2 1 1*")-SUMIFS(D405:D540,K405:K540,"0",B405:B540,"3 2 1 1*")</f>
        <v>768836.66</v>
      </c>
      <c r="F404" s="83">
        <f>SUMIFS(F405:F540,K405:K540,"0",B405:B540,"3 2 1 1*")</f>
        <v>0</v>
      </c>
      <c r="G404" s="83">
        <f>SUMIFS(G405:G540,K405:K540,"0",B405:B540,"3 2 1 1*")</f>
        <v>38304.019999999997</v>
      </c>
      <c r="H404" s="83"/>
      <c r="I404" s="83">
        <f t="shared" si="6"/>
        <v>807140.68</v>
      </c>
      <c r="K404" s="54" t="s">
        <v>15</v>
      </c>
    </row>
    <row r="405" spans="2:11" ht="16.5" x14ac:dyDescent="0.2">
      <c r="B405" s="82" t="s">
        <v>2151</v>
      </c>
      <c r="C405" s="82" t="s">
        <v>2149</v>
      </c>
      <c r="D405" s="54"/>
      <c r="E405" s="83">
        <f>SUMIFS(E406:E540,K406:K540,"0",B406:B540,"3 2 1 1 1*")-SUMIFS(D406:D540,K406:K540,"0",B406:B540,"3 2 1 1 1*")</f>
        <v>768836.66</v>
      </c>
      <c r="F405" s="83">
        <f>SUMIFS(F406:F540,K406:K540,"0",B406:B540,"3 2 1 1 1*")</f>
        <v>0</v>
      </c>
      <c r="G405" s="83">
        <f>SUMIFS(G406:G540,K406:K540,"0",B406:B540,"3 2 1 1 1*")</f>
        <v>38304.019999999997</v>
      </c>
      <c r="H405" s="83"/>
      <c r="I405" s="83">
        <f t="shared" si="6"/>
        <v>807140.68</v>
      </c>
      <c r="K405" s="54" t="s">
        <v>15</v>
      </c>
    </row>
    <row r="406" spans="2:11" ht="12.75" x14ac:dyDescent="0.2">
      <c r="B406" s="82" t="s">
        <v>2152</v>
      </c>
      <c r="C406" s="82" t="s">
        <v>26</v>
      </c>
      <c r="D406" s="54"/>
      <c r="E406" s="83">
        <f>SUMIFS(E407:E540,K407:K540,"0",B407:B540,"3 2 1 1 1 12*")-SUMIFS(D407:D540,K407:K540,"0",B407:B540,"3 2 1 1 1 12*")</f>
        <v>768836.66</v>
      </c>
      <c r="F406" s="83">
        <f>SUMIFS(F407:F540,K407:K540,"0",B407:B540,"3 2 1 1 1 12*")</f>
        <v>0</v>
      </c>
      <c r="G406" s="83">
        <f>SUMIFS(G407:G540,K407:K540,"0",B407:B540,"3 2 1 1 1 12*")</f>
        <v>38304.019999999997</v>
      </c>
      <c r="H406" s="83"/>
      <c r="I406" s="83">
        <f t="shared" si="6"/>
        <v>807140.68</v>
      </c>
      <c r="K406" s="54" t="s">
        <v>15</v>
      </c>
    </row>
    <row r="407" spans="2:11" ht="16.5" x14ac:dyDescent="0.2">
      <c r="B407" s="82" t="s">
        <v>2153</v>
      </c>
      <c r="C407" s="82" t="s">
        <v>28</v>
      </c>
      <c r="D407" s="54"/>
      <c r="E407" s="83">
        <f>SUMIFS(E408:E540,K408:K540,"0",B408:B540,"3 2 1 1 1 12 31111*")-SUMIFS(D408:D540,K408:K540,"0",B408:B540,"3 2 1 1 1 12 31111*")</f>
        <v>768836.66</v>
      </c>
      <c r="F407" s="83">
        <f>SUMIFS(F408:F540,K408:K540,"0",B408:B540,"3 2 1 1 1 12 31111*")</f>
        <v>0</v>
      </c>
      <c r="G407" s="83">
        <f>SUMIFS(G408:G540,K408:K540,"0",B408:B540,"3 2 1 1 1 12 31111*")</f>
        <v>38304.019999999997</v>
      </c>
      <c r="H407" s="83"/>
      <c r="I407" s="83">
        <f t="shared" si="6"/>
        <v>807140.68</v>
      </c>
      <c r="K407" s="54" t="s">
        <v>15</v>
      </c>
    </row>
    <row r="408" spans="2:11" ht="12.75" x14ac:dyDescent="0.2">
      <c r="B408" s="82" t="s">
        <v>2154</v>
      </c>
      <c r="C408" s="82" t="s">
        <v>30</v>
      </c>
      <c r="D408" s="54"/>
      <c r="E408" s="83">
        <f>SUMIFS(E409:E540,K409:K540,"0",B409:B540,"3 2 1 1 1 12 31111 6*")-SUMIFS(D409:D540,K409:K540,"0",B409:B540,"3 2 1 1 1 12 31111 6*")</f>
        <v>768836.66</v>
      </c>
      <c r="F408" s="83">
        <f>SUMIFS(F409:F540,K409:K540,"0",B409:B540,"3 2 1 1 1 12 31111 6*")</f>
        <v>0</v>
      </c>
      <c r="G408" s="83">
        <f>SUMIFS(G409:G540,K409:K540,"0",B409:B540,"3 2 1 1 1 12 31111 6*")</f>
        <v>38304.019999999997</v>
      </c>
      <c r="H408" s="83"/>
      <c r="I408" s="83">
        <f t="shared" si="6"/>
        <v>807140.68</v>
      </c>
      <c r="K408" s="54" t="s">
        <v>15</v>
      </c>
    </row>
    <row r="409" spans="2:11" ht="12.75" x14ac:dyDescent="0.2">
      <c r="B409" s="82" t="s">
        <v>2155</v>
      </c>
      <c r="C409" s="82" t="s">
        <v>140</v>
      </c>
      <c r="D409" s="54"/>
      <c r="E409" s="83">
        <f>SUMIFS(E410:E540,K410:K540,"0",B410:B540,"3 2 1 1 1 12 31111 6 M59*")-SUMIFS(D410:D540,K410:K540,"0",B410:B540,"3 2 1 1 1 12 31111 6 M59*")</f>
        <v>768836.66</v>
      </c>
      <c r="F409" s="83">
        <f>SUMIFS(F410:F540,K410:K540,"0",B410:B540,"3 2 1 1 1 12 31111 6 M59*")</f>
        <v>0</v>
      </c>
      <c r="G409" s="83">
        <f>SUMIFS(G410:G540,K410:K540,"0",B410:B540,"3 2 1 1 1 12 31111 6 M59*")</f>
        <v>38304.019999999997</v>
      </c>
      <c r="H409" s="83"/>
      <c r="I409" s="83">
        <f t="shared" si="6"/>
        <v>807140.68</v>
      </c>
      <c r="K409" s="54" t="s">
        <v>15</v>
      </c>
    </row>
    <row r="410" spans="2:11" ht="24.75" x14ac:dyDescent="0.2">
      <c r="B410" s="82" t="s">
        <v>2162</v>
      </c>
      <c r="C410" s="82" t="s">
        <v>986</v>
      </c>
      <c r="D410" s="54"/>
      <c r="E410" s="83">
        <f>SUMIFS(E411:E540,K411:K540,"0",B411:B540,"3 2 1 1 1 12 31111 6 M59 00002*")-SUMIFS(D411:D540,K411:K540,"0",B411:B540,"3 2 1 1 1 12 31111 6 M59 00002*")</f>
        <v>768836.66</v>
      </c>
      <c r="F410" s="83">
        <f>SUMIFS(F411:F540,K411:K540,"0",B411:B540,"3 2 1 1 1 12 31111 6 M59 00002*")</f>
        <v>0</v>
      </c>
      <c r="G410" s="83">
        <f>SUMIFS(G411:G540,K411:K540,"0",B411:B540,"3 2 1 1 1 12 31111 6 M59 00002*")</f>
        <v>38304.019999999997</v>
      </c>
      <c r="H410" s="83"/>
      <c r="I410" s="83">
        <f t="shared" si="6"/>
        <v>807140.68</v>
      </c>
      <c r="K410" s="54" t="s">
        <v>15</v>
      </c>
    </row>
    <row r="411" spans="2:11" ht="16.5" x14ac:dyDescent="0.2">
      <c r="B411" s="82" t="s">
        <v>2163</v>
      </c>
      <c r="C411" s="82" t="s">
        <v>42</v>
      </c>
      <c r="D411" s="54"/>
      <c r="E411" s="83">
        <f>SUMIFS(E412:E540,K412:K540,"0",B412:B540,"3 2 1 1 1 12 31111 6 M59 00002 000001*")-SUMIFS(D412:D540,K412:K540,"0",B412:B540,"3 2 1 1 1 12 31111 6 M59 00002 000001*")</f>
        <v>768836.66</v>
      </c>
      <c r="F411" s="83">
        <f>SUMIFS(F412:F540,K412:K540,"0",B412:B540,"3 2 1 1 1 12 31111 6 M59 00002 000001*")</f>
        <v>0</v>
      </c>
      <c r="G411" s="83">
        <f>SUMIFS(G412:G540,K412:K540,"0",B412:B540,"3 2 1 1 1 12 31111 6 M59 00002 000001*")</f>
        <v>38304.019999999997</v>
      </c>
      <c r="H411" s="83"/>
      <c r="I411" s="83">
        <f t="shared" si="6"/>
        <v>807140.68</v>
      </c>
      <c r="K411" s="54" t="s">
        <v>15</v>
      </c>
    </row>
    <row r="412" spans="2:11" ht="16.5" x14ac:dyDescent="0.2">
      <c r="B412" s="84" t="s">
        <v>2164</v>
      </c>
      <c r="C412" s="84" t="s">
        <v>2165</v>
      </c>
      <c r="D412" s="85"/>
      <c r="E412" s="85">
        <v>768836.66</v>
      </c>
      <c r="F412" s="85">
        <v>0</v>
      </c>
      <c r="G412" s="85">
        <v>38304.019999999997</v>
      </c>
      <c r="H412" s="85"/>
      <c r="I412" s="85">
        <f t="shared" si="6"/>
        <v>807140.68</v>
      </c>
      <c r="K412" s="54" t="s">
        <v>38</v>
      </c>
    </row>
    <row r="413" spans="2:11" ht="16.5" x14ac:dyDescent="0.2">
      <c r="B413" s="82" t="s">
        <v>2177</v>
      </c>
      <c r="C413" s="82" t="s">
        <v>2178</v>
      </c>
      <c r="D413" s="54"/>
      <c r="E413" s="83">
        <f>SUMIFS(E414:E540,K414:K540,"0",B414:B540,"3 2 2*")-SUMIFS(D414:D540,K414:K540,"0",B414:B540,"3 2 2*")</f>
        <v>42181178.43</v>
      </c>
      <c r="F413" s="83">
        <f>SUMIFS(F414:F540,K414:K540,"0",B414:B540,"3 2 2*")</f>
        <v>0</v>
      </c>
      <c r="G413" s="83">
        <f>SUMIFS(G414:G540,K414:K540,"0",B414:B540,"3 2 2*")</f>
        <v>0</v>
      </c>
      <c r="H413" s="83"/>
      <c r="I413" s="83">
        <f t="shared" si="6"/>
        <v>42181178.43</v>
      </c>
      <c r="K413" s="54" t="s">
        <v>15</v>
      </c>
    </row>
    <row r="414" spans="2:11" ht="16.5" x14ac:dyDescent="0.2">
      <c r="B414" s="82" t="s">
        <v>2179</v>
      </c>
      <c r="C414" s="82" t="s">
        <v>2178</v>
      </c>
      <c r="D414" s="54"/>
      <c r="E414" s="83">
        <f>SUMIFS(E415:E540,K415:K540,"0",B415:B540,"3 2 2 1*")-SUMIFS(D415:D540,K415:K540,"0",B415:B540,"3 2 2 1*")</f>
        <v>42181178.43</v>
      </c>
      <c r="F414" s="83">
        <f>SUMIFS(F415:F540,K415:K540,"0",B415:B540,"3 2 2 1*")</f>
        <v>0</v>
      </c>
      <c r="G414" s="83">
        <f>SUMIFS(G415:G540,K415:K540,"0",B415:B540,"3 2 2 1*")</f>
        <v>0</v>
      </c>
      <c r="H414" s="83"/>
      <c r="I414" s="83">
        <f t="shared" si="6"/>
        <v>42181178.43</v>
      </c>
      <c r="K414" s="54" t="s">
        <v>15</v>
      </c>
    </row>
    <row r="415" spans="2:11" ht="16.5" x14ac:dyDescent="0.2">
      <c r="B415" s="82" t="s">
        <v>2180</v>
      </c>
      <c r="C415" s="82" t="s">
        <v>2181</v>
      </c>
      <c r="D415" s="54"/>
      <c r="E415" s="83">
        <f>SUMIFS(E416:E540,K416:K540,"0",B416:B540,"3 2 2 1 1*")-SUMIFS(D416:D540,K416:K540,"0",B416:B540,"3 2 2 1 1*")</f>
        <v>42181178.43</v>
      </c>
      <c r="F415" s="83">
        <f>SUMIFS(F416:F540,K416:K540,"0",B416:B540,"3 2 2 1 1*")</f>
        <v>0</v>
      </c>
      <c r="G415" s="83">
        <f>SUMIFS(G416:G540,K416:K540,"0",B416:B540,"3 2 2 1 1*")</f>
        <v>0</v>
      </c>
      <c r="H415" s="83"/>
      <c r="I415" s="83">
        <f t="shared" si="6"/>
        <v>42181178.43</v>
      </c>
      <c r="K415" s="54" t="s">
        <v>15</v>
      </c>
    </row>
    <row r="416" spans="2:11" ht="12.75" x14ac:dyDescent="0.2">
      <c r="B416" s="82" t="s">
        <v>2182</v>
      </c>
      <c r="C416" s="82" t="s">
        <v>26</v>
      </c>
      <c r="D416" s="54"/>
      <c r="E416" s="83">
        <f>SUMIFS(E417:E540,K417:K540,"0",B417:B540,"3 2 2 1 1 12*")-SUMIFS(D417:D540,K417:K540,"0",B417:B540,"3 2 2 1 1 12*")</f>
        <v>42181178.43</v>
      </c>
      <c r="F416" s="83">
        <f>SUMIFS(F417:F540,K417:K540,"0",B417:B540,"3 2 2 1 1 12*")</f>
        <v>0</v>
      </c>
      <c r="G416" s="83">
        <f>SUMIFS(G417:G540,K417:K540,"0",B417:B540,"3 2 2 1 1 12*")</f>
        <v>0</v>
      </c>
      <c r="H416" s="83"/>
      <c r="I416" s="83">
        <f t="shared" si="6"/>
        <v>42181178.43</v>
      </c>
      <c r="K416" s="54" t="s">
        <v>15</v>
      </c>
    </row>
    <row r="417" spans="2:11" ht="16.5" x14ac:dyDescent="0.2">
      <c r="B417" s="82" t="s">
        <v>2183</v>
      </c>
      <c r="C417" s="82" t="s">
        <v>28</v>
      </c>
      <c r="D417" s="54"/>
      <c r="E417" s="83">
        <f>SUMIFS(E418:E540,K418:K540,"0",B418:B540,"3 2 2 1 1 12 31111*")-SUMIFS(D418:D540,K418:K540,"0",B418:B540,"3 2 2 1 1 12 31111*")</f>
        <v>42181178.43</v>
      </c>
      <c r="F417" s="83">
        <f>SUMIFS(F418:F540,K418:K540,"0",B418:B540,"3 2 2 1 1 12 31111*")</f>
        <v>0</v>
      </c>
      <c r="G417" s="83">
        <f>SUMIFS(G418:G540,K418:K540,"0",B418:B540,"3 2 2 1 1 12 31111*")</f>
        <v>0</v>
      </c>
      <c r="H417" s="83"/>
      <c r="I417" s="83">
        <f t="shared" si="6"/>
        <v>42181178.43</v>
      </c>
      <c r="K417" s="54" t="s">
        <v>15</v>
      </c>
    </row>
    <row r="418" spans="2:11" ht="12.75" x14ac:dyDescent="0.2">
      <c r="B418" s="82" t="s">
        <v>2184</v>
      </c>
      <c r="C418" s="82" t="s">
        <v>30</v>
      </c>
      <c r="D418" s="54"/>
      <c r="E418" s="83">
        <f>SUMIFS(E419:E540,K419:K540,"0",B419:B540,"3 2 2 1 1 12 31111 6*")-SUMIFS(D419:D540,K419:K540,"0",B419:B540,"3 2 2 1 1 12 31111 6*")</f>
        <v>42181178.43</v>
      </c>
      <c r="F418" s="83">
        <f>SUMIFS(F419:F540,K419:K540,"0",B419:B540,"3 2 2 1 1 12 31111 6*")</f>
        <v>0</v>
      </c>
      <c r="G418" s="83">
        <f>SUMIFS(G419:G540,K419:K540,"0",B419:B540,"3 2 2 1 1 12 31111 6*")</f>
        <v>0</v>
      </c>
      <c r="H418" s="83"/>
      <c r="I418" s="83">
        <f t="shared" si="6"/>
        <v>42181178.43</v>
      </c>
      <c r="K418" s="54" t="s">
        <v>15</v>
      </c>
    </row>
    <row r="419" spans="2:11" ht="16.5" x14ac:dyDescent="0.2">
      <c r="B419" s="82" t="s">
        <v>2185</v>
      </c>
      <c r="C419" s="82" t="s">
        <v>32</v>
      </c>
      <c r="D419" s="54"/>
      <c r="E419" s="83">
        <f>SUMIFS(E420:E540,K420:K540,"0",B420:B540,"3 2 2 1 1 12 31111 6 M59*")-SUMIFS(D420:D540,K420:K540,"0",B420:B540,"3 2 2 1 1 12 31111 6 M59*")</f>
        <v>42181178.43</v>
      </c>
      <c r="F419" s="83">
        <f>SUMIFS(F420:F540,K420:K540,"0",B420:B540,"3 2 2 1 1 12 31111 6 M59*")</f>
        <v>0</v>
      </c>
      <c r="G419" s="83">
        <f>SUMIFS(G420:G540,K420:K540,"0",B420:B540,"3 2 2 1 1 12 31111 6 M59*")</f>
        <v>0</v>
      </c>
      <c r="H419" s="83"/>
      <c r="I419" s="83">
        <f t="shared" si="6"/>
        <v>42181178.43</v>
      </c>
      <c r="K419" s="54" t="s">
        <v>15</v>
      </c>
    </row>
    <row r="420" spans="2:11" ht="24.75" x14ac:dyDescent="0.2">
      <c r="B420" s="82" t="s">
        <v>2195</v>
      </c>
      <c r="C420" s="82" t="s">
        <v>1476</v>
      </c>
      <c r="D420" s="54"/>
      <c r="E420" s="83">
        <f>SUMIFS(E421:E540,K421:K540,"0",B421:B540,"3 2 2 1 1 12 31111 6 M59 00002*")-SUMIFS(D421:D540,K421:K540,"0",B421:B540,"3 2 2 1 1 12 31111 6 M59 00002*")</f>
        <v>42181178.43</v>
      </c>
      <c r="F420" s="83">
        <f>SUMIFS(F421:F540,K421:K540,"0",B421:B540,"3 2 2 1 1 12 31111 6 M59 00002*")</f>
        <v>0</v>
      </c>
      <c r="G420" s="83">
        <f>SUMIFS(G421:G540,K421:K540,"0",B421:B540,"3 2 2 1 1 12 31111 6 M59 00002*")</f>
        <v>0</v>
      </c>
      <c r="H420" s="83"/>
      <c r="I420" s="83">
        <f t="shared" si="6"/>
        <v>42181178.43</v>
      </c>
      <c r="K420" s="54" t="s">
        <v>15</v>
      </c>
    </row>
    <row r="421" spans="2:11" ht="16.5" x14ac:dyDescent="0.2">
      <c r="B421" s="84" t="s">
        <v>2196</v>
      </c>
      <c r="C421" s="84" t="s">
        <v>2197</v>
      </c>
      <c r="D421" s="85"/>
      <c r="E421" s="85">
        <v>35988044.420000002</v>
      </c>
      <c r="F421" s="85">
        <v>0</v>
      </c>
      <c r="G421" s="85">
        <v>0</v>
      </c>
      <c r="H421" s="85"/>
      <c r="I421" s="85">
        <f t="shared" si="6"/>
        <v>35988044.420000002</v>
      </c>
      <c r="K421" s="54" t="s">
        <v>38</v>
      </c>
    </row>
    <row r="422" spans="2:11" ht="16.5" x14ac:dyDescent="0.2">
      <c r="B422" s="84" t="s">
        <v>2198</v>
      </c>
      <c r="C422" s="84" t="s">
        <v>2199</v>
      </c>
      <c r="D422" s="85"/>
      <c r="E422" s="85">
        <v>6193134.0099999998</v>
      </c>
      <c r="F422" s="85">
        <v>0</v>
      </c>
      <c r="G422" s="85">
        <v>0</v>
      </c>
      <c r="H422" s="85"/>
      <c r="I422" s="85">
        <f t="shared" si="6"/>
        <v>6193134.0099999998</v>
      </c>
      <c r="K422" s="54" t="s">
        <v>38</v>
      </c>
    </row>
    <row r="423" spans="2:11" ht="12.75" x14ac:dyDescent="0.2">
      <c r="B423" s="82" t="s">
        <v>2233</v>
      </c>
      <c r="C423" s="82" t="s">
        <v>2234</v>
      </c>
      <c r="D423" s="54"/>
      <c r="E423" s="83">
        <f>SUMIFS(E424:E540,K424:K540,"0",B424:B540,"3 2 3*")-SUMIFS(D424:D540,K424:K540,"0",B424:B540,"3 2 3*")</f>
        <v>-1804643.56</v>
      </c>
      <c r="F423" s="83">
        <f>SUMIFS(F424:F540,K424:K540,"0",B424:B540,"3 2 3*")</f>
        <v>0</v>
      </c>
      <c r="G423" s="83">
        <f>SUMIFS(G424:G540,K424:K540,"0",B424:B540,"3 2 3*")</f>
        <v>0</v>
      </c>
      <c r="H423" s="83"/>
      <c r="I423" s="83">
        <f t="shared" si="6"/>
        <v>-1804643.56</v>
      </c>
      <c r="K423" s="54" t="s">
        <v>15</v>
      </c>
    </row>
    <row r="424" spans="2:11" ht="12.75" x14ac:dyDescent="0.2">
      <c r="B424" s="82" t="s">
        <v>2235</v>
      </c>
      <c r="C424" s="82" t="s">
        <v>2236</v>
      </c>
      <c r="D424" s="54"/>
      <c r="E424" s="83">
        <f>SUMIFS(E425:E540,K425:K540,"0",B425:B540,"3 2 3 2*")-SUMIFS(D425:D540,K425:K540,"0",B425:B540,"3 2 3 2*")</f>
        <v>-1804643.56</v>
      </c>
      <c r="F424" s="83">
        <f>SUMIFS(F425:F540,K425:K540,"0",B425:B540,"3 2 3 2*")</f>
        <v>0</v>
      </c>
      <c r="G424" s="83">
        <f>SUMIFS(G425:G540,K425:K540,"0",B425:B540,"3 2 3 2*")</f>
        <v>0</v>
      </c>
      <c r="H424" s="83"/>
      <c r="I424" s="83">
        <f t="shared" si="6"/>
        <v>-1804643.56</v>
      </c>
      <c r="K424" s="54" t="s">
        <v>15</v>
      </c>
    </row>
    <row r="425" spans="2:11" ht="12.75" x14ac:dyDescent="0.2">
      <c r="B425" s="82" t="s">
        <v>2237</v>
      </c>
      <c r="C425" s="82" t="s">
        <v>2236</v>
      </c>
      <c r="D425" s="54"/>
      <c r="E425" s="83">
        <f>SUMIFS(E426:E540,K426:K540,"0",B426:B540,"3 2 3 2 1*")-SUMIFS(D426:D540,K426:K540,"0",B426:B540,"3 2 3 2 1*")</f>
        <v>-1804643.56</v>
      </c>
      <c r="F425" s="83">
        <f>SUMIFS(F426:F540,K426:K540,"0",B426:B540,"3 2 3 2 1*")</f>
        <v>0</v>
      </c>
      <c r="G425" s="83">
        <f>SUMIFS(G426:G540,K426:K540,"0",B426:B540,"3 2 3 2 1*")</f>
        <v>0</v>
      </c>
      <c r="H425" s="83"/>
      <c r="I425" s="83">
        <f t="shared" si="6"/>
        <v>-1804643.56</v>
      </c>
      <c r="K425" s="54" t="s">
        <v>15</v>
      </c>
    </row>
    <row r="426" spans="2:11" ht="12.75" x14ac:dyDescent="0.2">
      <c r="B426" s="82" t="s">
        <v>2238</v>
      </c>
      <c r="C426" s="82" t="s">
        <v>26</v>
      </c>
      <c r="D426" s="54"/>
      <c r="E426" s="83">
        <f>SUMIFS(E427:E540,K427:K540,"0",B427:B540,"3 2 3 2 1 12*")-SUMIFS(D427:D540,K427:K540,"0",B427:B540,"3 2 3 2 1 12*")</f>
        <v>-1804643.56</v>
      </c>
      <c r="F426" s="83">
        <f>SUMIFS(F427:F540,K427:K540,"0",B427:B540,"3 2 3 2 1 12*")</f>
        <v>0</v>
      </c>
      <c r="G426" s="83">
        <f>SUMIFS(G427:G540,K427:K540,"0",B427:B540,"3 2 3 2 1 12*")</f>
        <v>0</v>
      </c>
      <c r="H426" s="83"/>
      <c r="I426" s="83">
        <f t="shared" si="6"/>
        <v>-1804643.56</v>
      </c>
      <c r="K426" s="54" t="s">
        <v>15</v>
      </c>
    </row>
    <row r="427" spans="2:11" ht="16.5" x14ac:dyDescent="0.2">
      <c r="B427" s="82" t="s">
        <v>2239</v>
      </c>
      <c r="C427" s="82" t="s">
        <v>28</v>
      </c>
      <c r="D427" s="54"/>
      <c r="E427" s="83">
        <f>SUMIFS(E428:E540,K428:K540,"0",B428:B540,"3 2 3 2 1 12 31111*")-SUMIFS(D428:D540,K428:K540,"0",B428:B540,"3 2 3 2 1 12 31111*")</f>
        <v>-1804643.56</v>
      </c>
      <c r="F427" s="83">
        <f>SUMIFS(F428:F540,K428:K540,"0",B428:B540,"3 2 3 2 1 12 31111*")</f>
        <v>0</v>
      </c>
      <c r="G427" s="83">
        <f>SUMIFS(G428:G540,K428:K540,"0",B428:B540,"3 2 3 2 1 12 31111*")</f>
        <v>0</v>
      </c>
      <c r="H427" s="83"/>
      <c r="I427" s="83">
        <f t="shared" si="6"/>
        <v>-1804643.56</v>
      </c>
      <c r="K427" s="54" t="s">
        <v>15</v>
      </c>
    </row>
    <row r="428" spans="2:11" ht="12.75" x14ac:dyDescent="0.2">
      <c r="B428" s="82" t="s">
        <v>2240</v>
      </c>
      <c r="C428" s="82" t="s">
        <v>30</v>
      </c>
      <c r="D428" s="54"/>
      <c r="E428" s="83">
        <f>SUMIFS(E429:E540,K429:K540,"0",B429:B540,"3 2 3 2 1 12 31111 6*")-SUMIFS(D429:D540,K429:K540,"0",B429:B540,"3 2 3 2 1 12 31111 6*")</f>
        <v>-1804643.56</v>
      </c>
      <c r="F428" s="83">
        <f>SUMIFS(F429:F540,K429:K540,"0",B429:B540,"3 2 3 2 1 12 31111 6*")</f>
        <v>0</v>
      </c>
      <c r="G428" s="83">
        <f>SUMIFS(G429:G540,K429:K540,"0",B429:B540,"3 2 3 2 1 12 31111 6*")</f>
        <v>0</v>
      </c>
      <c r="H428" s="83"/>
      <c r="I428" s="83">
        <f t="shared" si="6"/>
        <v>-1804643.56</v>
      </c>
      <c r="K428" s="54" t="s">
        <v>15</v>
      </c>
    </row>
    <row r="429" spans="2:11" ht="16.5" x14ac:dyDescent="0.2">
      <c r="B429" s="82" t="s">
        <v>2241</v>
      </c>
      <c r="C429" s="82" t="s">
        <v>140</v>
      </c>
      <c r="D429" s="54"/>
      <c r="E429" s="83">
        <f>SUMIFS(E430:E540,K430:K540,"0",B430:B540,"3 2 3 2 1 12 31111 6 M59*")-SUMIFS(D430:D540,K430:K540,"0",B430:B540,"3 2 3 2 1 12 31111 6 M59*")</f>
        <v>-1804643.56</v>
      </c>
      <c r="F429" s="83">
        <f>SUMIFS(F430:F540,K430:K540,"0",B430:B540,"3 2 3 2 1 12 31111 6 M59*")</f>
        <v>0</v>
      </c>
      <c r="G429" s="83">
        <f>SUMIFS(G430:G540,K430:K540,"0",B430:B540,"3 2 3 2 1 12 31111 6 M59*")</f>
        <v>0</v>
      </c>
      <c r="H429" s="83"/>
      <c r="I429" s="83">
        <f t="shared" si="6"/>
        <v>-1804643.56</v>
      </c>
      <c r="K429" s="54" t="s">
        <v>15</v>
      </c>
    </row>
    <row r="430" spans="2:11" ht="24.75" x14ac:dyDescent="0.2">
      <c r="B430" s="82" t="s">
        <v>2245</v>
      </c>
      <c r="C430" s="82" t="s">
        <v>986</v>
      </c>
      <c r="D430" s="54"/>
      <c r="E430" s="83">
        <f>SUMIFS(E431:E540,K431:K540,"0",B431:B540,"3 2 3 2 1 12 31111 6 M59 00002*")-SUMIFS(D431:D540,K431:K540,"0",B431:B540,"3 2 3 2 1 12 31111 6 M59 00002*")</f>
        <v>-1804643.56</v>
      </c>
      <c r="F430" s="83">
        <f>SUMIFS(F431:F540,K431:K540,"0",B431:B540,"3 2 3 2 1 12 31111 6 M59 00002*")</f>
        <v>0</v>
      </c>
      <c r="G430" s="83">
        <f>SUMIFS(G431:G540,K431:K540,"0",B431:B540,"3 2 3 2 1 12 31111 6 M59 00002*")</f>
        <v>0</v>
      </c>
      <c r="H430" s="83"/>
      <c r="I430" s="83">
        <f t="shared" si="6"/>
        <v>-1804643.56</v>
      </c>
      <c r="K430" s="54" t="s">
        <v>15</v>
      </c>
    </row>
    <row r="431" spans="2:11" ht="16.5" x14ac:dyDescent="0.2">
      <c r="B431" s="82" t="s">
        <v>2246</v>
      </c>
      <c r="C431" s="82" t="s">
        <v>42</v>
      </c>
      <c r="D431" s="54"/>
      <c r="E431" s="83">
        <f>SUMIFS(E432:E540,K432:K540,"0",B432:B540,"3 2 3 2 1 12 31111 6 M59 00002 000001*")-SUMIFS(D432:D540,K432:K540,"0",B432:B540,"3 2 3 2 1 12 31111 6 M59 00002 000001*")</f>
        <v>-1804643.56</v>
      </c>
      <c r="F431" s="83">
        <f>SUMIFS(F432:F540,K432:K540,"0",B432:B540,"3 2 3 2 1 12 31111 6 M59 00002 000001*")</f>
        <v>0</v>
      </c>
      <c r="G431" s="83">
        <f>SUMIFS(G432:G540,K432:K540,"0",B432:B540,"3 2 3 2 1 12 31111 6 M59 00002 000001*")</f>
        <v>0</v>
      </c>
      <c r="H431" s="83"/>
      <c r="I431" s="83">
        <f t="shared" si="6"/>
        <v>-1804643.56</v>
      </c>
      <c r="K431" s="54" t="s">
        <v>15</v>
      </c>
    </row>
    <row r="432" spans="2:11" ht="16.5" x14ac:dyDescent="0.2">
      <c r="B432" s="84" t="s">
        <v>2247</v>
      </c>
      <c r="C432" s="84" t="s">
        <v>274</v>
      </c>
      <c r="D432" s="85"/>
      <c r="E432" s="85">
        <v>-1804643.56</v>
      </c>
      <c r="F432" s="85">
        <v>0</v>
      </c>
      <c r="G432" s="85">
        <v>0</v>
      </c>
      <c r="H432" s="85"/>
      <c r="I432" s="85">
        <f t="shared" si="6"/>
        <v>-1804643.56</v>
      </c>
      <c r="K432" s="54" t="s">
        <v>38</v>
      </c>
    </row>
    <row r="433" spans="2:11" ht="24.75" x14ac:dyDescent="0.2">
      <c r="B433" s="82" t="s">
        <v>2250</v>
      </c>
      <c r="C433" s="82" t="s">
        <v>2251</v>
      </c>
      <c r="D433" s="54"/>
      <c r="E433" s="83">
        <f>SUMIFS(E434:E540,K434:K540,"0",B434:B540,"3 2 5*")-SUMIFS(D434:D540,K434:K540,"0",B434:B540,"3 2 5*")</f>
        <v>42.12</v>
      </c>
      <c r="F433" s="83">
        <f>SUMIFS(F434:F540,K434:K540,"0",B434:B540,"3 2 5*")</f>
        <v>0</v>
      </c>
      <c r="G433" s="83">
        <f>SUMIFS(G434:G540,K434:K540,"0",B434:B540,"3 2 5*")</f>
        <v>0</v>
      </c>
      <c r="H433" s="83"/>
      <c r="I433" s="83">
        <f t="shared" si="6"/>
        <v>42.12</v>
      </c>
      <c r="K433" s="54" t="s">
        <v>15</v>
      </c>
    </row>
    <row r="434" spans="2:11" ht="16.5" x14ac:dyDescent="0.2">
      <c r="B434" s="82" t="s">
        <v>2252</v>
      </c>
      <c r="C434" s="82" t="s">
        <v>2253</v>
      </c>
      <c r="D434" s="54"/>
      <c r="E434" s="83">
        <f>SUMIFS(E435:E540,K435:K540,"0",B435:B540,"3 2 5 2*")-SUMIFS(D435:D540,K435:K540,"0",B435:B540,"3 2 5 2*")</f>
        <v>42.12</v>
      </c>
      <c r="F434" s="83">
        <f>SUMIFS(F435:F540,K435:K540,"0",B435:B540,"3 2 5 2*")</f>
        <v>0</v>
      </c>
      <c r="G434" s="83">
        <f>SUMIFS(G435:G540,K435:K540,"0",B435:B540,"3 2 5 2*")</f>
        <v>0</v>
      </c>
      <c r="H434" s="83"/>
      <c r="I434" s="83">
        <f t="shared" si="6"/>
        <v>42.12</v>
      </c>
      <c r="K434" s="54" t="s">
        <v>15</v>
      </c>
    </row>
    <row r="435" spans="2:11" ht="16.5" x14ac:dyDescent="0.2">
      <c r="B435" s="82" t="s">
        <v>2254</v>
      </c>
      <c r="C435" s="82" t="s">
        <v>2253</v>
      </c>
      <c r="D435" s="54"/>
      <c r="E435" s="83">
        <f>SUMIFS(E436:E540,K436:K540,"0",B436:B540,"3 2 5 2 1*")-SUMIFS(D436:D540,K436:K540,"0",B436:B540,"3 2 5 2 1*")</f>
        <v>42.12</v>
      </c>
      <c r="F435" s="83">
        <f>SUMIFS(F436:F540,K436:K540,"0",B436:B540,"3 2 5 2 1*")</f>
        <v>0</v>
      </c>
      <c r="G435" s="83">
        <f>SUMIFS(G436:G540,K436:K540,"0",B436:B540,"3 2 5 2 1*")</f>
        <v>0</v>
      </c>
      <c r="H435" s="83"/>
      <c r="I435" s="83">
        <f t="shared" si="6"/>
        <v>42.12</v>
      </c>
      <c r="K435" s="54" t="s">
        <v>15</v>
      </c>
    </row>
    <row r="436" spans="2:11" ht="12.75" x14ac:dyDescent="0.2">
      <c r="B436" s="82" t="s">
        <v>2255</v>
      </c>
      <c r="C436" s="82" t="s">
        <v>26</v>
      </c>
      <c r="D436" s="54"/>
      <c r="E436" s="83">
        <f>SUMIFS(E437:E540,K437:K540,"0",B437:B540,"3 2 5 2 1 12*")-SUMIFS(D437:D540,K437:K540,"0",B437:B540,"3 2 5 2 1 12*")</f>
        <v>42.12</v>
      </c>
      <c r="F436" s="83">
        <f>SUMIFS(F437:F540,K437:K540,"0",B437:B540,"3 2 5 2 1 12*")</f>
        <v>0</v>
      </c>
      <c r="G436" s="83">
        <f>SUMIFS(G437:G540,K437:K540,"0",B437:B540,"3 2 5 2 1 12*")</f>
        <v>0</v>
      </c>
      <c r="H436" s="83"/>
      <c r="I436" s="83">
        <f t="shared" si="6"/>
        <v>42.12</v>
      </c>
      <c r="K436" s="54" t="s">
        <v>15</v>
      </c>
    </row>
    <row r="437" spans="2:11" ht="16.5" x14ac:dyDescent="0.2">
      <c r="B437" s="82" t="s">
        <v>2256</v>
      </c>
      <c r="C437" s="82" t="s">
        <v>28</v>
      </c>
      <c r="D437" s="54"/>
      <c r="E437" s="83">
        <f>SUMIFS(E438:E540,K438:K540,"0",B438:B540,"3 2 5 2 1 12 31111*")-SUMIFS(D438:D540,K438:K540,"0",B438:B540,"3 2 5 2 1 12 31111*")</f>
        <v>42.12</v>
      </c>
      <c r="F437" s="83">
        <f>SUMIFS(F438:F540,K438:K540,"0",B438:B540,"3 2 5 2 1 12 31111*")</f>
        <v>0</v>
      </c>
      <c r="G437" s="83">
        <f>SUMIFS(G438:G540,K438:K540,"0",B438:B540,"3 2 5 2 1 12 31111*")</f>
        <v>0</v>
      </c>
      <c r="H437" s="83"/>
      <c r="I437" s="83">
        <f t="shared" si="6"/>
        <v>42.12</v>
      </c>
      <c r="K437" s="54" t="s">
        <v>15</v>
      </c>
    </row>
    <row r="438" spans="2:11" ht="12.75" x14ac:dyDescent="0.2">
      <c r="B438" s="82" t="s">
        <v>2257</v>
      </c>
      <c r="C438" s="82" t="s">
        <v>30</v>
      </c>
      <c r="D438" s="54"/>
      <c r="E438" s="83">
        <f>SUMIFS(E439:E540,K439:K540,"0",B439:B540,"3 2 5 2 1 12 31111 6*")-SUMIFS(D439:D540,K439:K540,"0",B439:B540,"3 2 5 2 1 12 31111 6*")</f>
        <v>42.12</v>
      </c>
      <c r="F438" s="83">
        <f>SUMIFS(F439:F540,K439:K540,"0",B439:B540,"3 2 5 2 1 12 31111 6*")</f>
        <v>0</v>
      </c>
      <c r="G438" s="83">
        <f>SUMIFS(G439:G540,K439:K540,"0",B439:B540,"3 2 5 2 1 12 31111 6*")</f>
        <v>0</v>
      </c>
      <c r="H438" s="83"/>
      <c r="I438" s="83">
        <f t="shared" si="6"/>
        <v>42.12</v>
      </c>
      <c r="K438" s="54" t="s">
        <v>15</v>
      </c>
    </row>
    <row r="439" spans="2:11" ht="16.5" x14ac:dyDescent="0.2">
      <c r="B439" s="82" t="s">
        <v>2258</v>
      </c>
      <c r="C439" s="82" t="s">
        <v>32</v>
      </c>
      <c r="D439" s="54"/>
      <c r="E439" s="83">
        <f>SUMIFS(E440:E540,K440:K540,"0",B440:B540,"3 2 5 2 1 12 31111 6 M59*")-SUMIFS(D440:D540,K440:K540,"0",B440:B540,"3 2 5 2 1 12 31111 6 M59*")</f>
        <v>42.12</v>
      </c>
      <c r="F439" s="83">
        <f>SUMIFS(F440:F540,K440:K540,"0",B440:B540,"3 2 5 2 1 12 31111 6 M59*")</f>
        <v>0</v>
      </c>
      <c r="G439" s="83">
        <f>SUMIFS(G440:G540,K440:K540,"0",B440:B540,"3 2 5 2 1 12 31111 6 M59*")</f>
        <v>0</v>
      </c>
      <c r="H439" s="83"/>
      <c r="I439" s="83">
        <f t="shared" si="6"/>
        <v>42.12</v>
      </c>
      <c r="K439" s="54" t="s">
        <v>15</v>
      </c>
    </row>
    <row r="440" spans="2:11" ht="24.75" x14ac:dyDescent="0.2">
      <c r="B440" s="82" t="s">
        <v>2260</v>
      </c>
      <c r="C440" s="82" t="s">
        <v>73</v>
      </c>
      <c r="D440" s="54"/>
      <c r="E440" s="83">
        <f>SUMIFS(E441:E540,K441:K540,"0",B441:B540,"3 2 5 2 1 12 31111 6 M59 00002*")-SUMIFS(D441:D540,K441:K540,"0",B441:B540,"3 2 5 2 1 12 31111 6 M59 00002*")</f>
        <v>42.12</v>
      </c>
      <c r="F440" s="83">
        <f>SUMIFS(F441:F540,K441:K540,"0",B441:B540,"3 2 5 2 1 12 31111 6 M59 00002*")</f>
        <v>0</v>
      </c>
      <c r="G440" s="83">
        <f>SUMIFS(G441:G540,K441:K540,"0",B441:B540,"3 2 5 2 1 12 31111 6 M59 00002*")</f>
        <v>0</v>
      </c>
      <c r="H440" s="83"/>
      <c r="I440" s="83">
        <f t="shared" si="6"/>
        <v>42.12</v>
      </c>
      <c r="K440" s="54" t="s">
        <v>15</v>
      </c>
    </row>
    <row r="441" spans="2:11" ht="16.5" x14ac:dyDescent="0.2">
      <c r="B441" s="84" t="s">
        <v>2261</v>
      </c>
      <c r="C441" s="84" t="s">
        <v>2253</v>
      </c>
      <c r="D441" s="85"/>
      <c r="E441" s="85">
        <v>42.12</v>
      </c>
      <c r="F441" s="85">
        <v>0</v>
      </c>
      <c r="G441" s="85">
        <v>0</v>
      </c>
      <c r="H441" s="85"/>
      <c r="I441" s="85">
        <f t="shared" si="6"/>
        <v>42.12</v>
      </c>
      <c r="K441" s="54" t="s">
        <v>38</v>
      </c>
    </row>
    <row r="442" spans="2:11" ht="16.5" x14ac:dyDescent="0.2">
      <c r="B442" s="82" t="s">
        <v>2271</v>
      </c>
      <c r="C442" s="82" t="s">
        <v>2272</v>
      </c>
      <c r="D442" s="54"/>
      <c r="E442" s="83">
        <f>SUMIFS(E443:E540,K443:K540,"0",B443:B540,"4*")-SUMIFS(D443:D540,K443:K540,"0",B443:B540,"4*")</f>
        <v>0</v>
      </c>
      <c r="F442" s="83">
        <f>SUMIFS(F443:F540,K443:K540,"0",B443:B540,"4*")</f>
        <v>0</v>
      </c>
      <c r="G442" s="83">
        <f>SUMIFS(G443:G540,K443:K540,"0",B443:B540,"4*")</f>
        <v>106409900.20999999</v>
      </c>
      <c r="H442" s="83"/>
      <c r="I442" s="83">
        <f t="shared" si="6"/>
        <v>106409900.20999999</v>
      </c>
      <c r="K442" s="54" t="s">
        <v>15</v>
      </c>
    </row>
    <row r="443" spans="2:11" ht="12.75" x14ac:dyDescent="0.2">
      <c r="B443" s="82" t="s">
        <v>2273</v>
      </c>
      <c r="C443" s="82" t="s">
        <v>2274</v>
      </c>
      <c r="D443" s="54"/>
      <c r="E443" s="83">
        <f>SUMIFS(E444:E540,K444:K540,"0",B444:B540,"4 1*")-SUMIFS(D444:D540,K444:K540,"0",B444:B540,"4 1*")</f>
        <v>0</v>
      </c>
      <c r="F443" s="83">
        <f>SUMIFS(F444:F540,K444:K540,"0",B444:B540,"4 1*")</f>
        <v>0</v>
      </c>
      <c r="G443" s="83">
        <f>SUMIFS(G444:G540,K444:K540,"0",B444:B540,"4 1*")</f>
        <v>99129.21</v>
      </c>
      <c r="H443" s="83"/>
      <c r="I443" s="83">
        <f t="shared" si="6"/>
        <v>99129.21</v>
      </c>
      <c r="K443" s="54" t="s">
        <v>15</v>
      </c>
    </row>
    <row r="444" spans="2:11" ht="12.75" x14ac:dyDescent="0.2">
      <c r="B444" s="82" t="s">
        <v>2651</v>
      </c>
      <c r="C444" s="82" t="s">
        <v>252</v>
      </c>
      <c r="D444" s="54"/>
      <c r="E444" s="83">
        <f>SUMIFS(E445:E540,K445:K540,"0",B445:B540,"4 1 5*")-SUMIFS(D445:D540,K445:K540,"0",B445:B540,"4 1 5*")</f>
        <v>0</v>
      </c>
      <c r="F444" s="83">
        <f>SUMIFS(F445:F540,K445:K540,"0",B445:B540,"4 1 5*")</f>
        <v>0</v>
      </c>
      <c r="G444" s="83">
        <f>SUMIFS(G445:G540,K445:K540,"0",B445:B540,"4 1 5*")</f>
        <v>99129.21</v>
      </c>
      <c r="H444" s="83"/>
      <c r="I444" s="83">
        <f t="shared" si="6"/>
        <v>99129.21</v>
      </c>
      <c r="K444" s="54" t="s">
        <v>15</v>
      </c>
    </row>
    <row r="445" spans="2:11" ht="12.75" x14ac:dyDescent="0.2">
      <c r="B445" s="82" t="s">
        <v>2652</v>
      </c>
      <c r="C445" s="82" t="s">
        <v>252</v>
      </c>
      <c r="D445" s="54"/>
      <c r="E445" s="83">
        <f>SUMIFS(E446:E540,K446:K540,"0",B446:B540,"4 1 5 1*")-SUMIFS(D446:D540,K446:K540,"0",B446:B540,"4 1 5 1*")</f>
        <v>0</v>
      </c>
      <c r="F445" s="83">
        <f>SUMIFS(F446:F540,K446:K540,"0",B446:B540,"4 1 5 1*")</f>
        <v>0</v>
      </c>
      <c r="G445" s="83">
        <f>SUMIFS(G446:G540,K446:K540,"0",B446:B540,"4 1 5 1*")</f>
        <v>99129.21</v>
      </c>
      <c r="H445" s="83"/>
      <c r="I445" s="83">
        <f t="shared" si="6"/>
        <v>99129.21</v>
      </c>
      <c r="K445" s="54" t="s">
        <v>15</v>
      </c>
    </row>
    <row r="446" spans="2:11" ht="41.25" x14ac:dyDescent="0.2">
      <c r="B446" s="82" t="s">
        <v>2653</v>
      </c>
      <c r="C446" s="82" t="s">
        <v>2654</v>
      </c>
      <c r="D446" s="54"/>
      <c r="E446" s="83">
        <f>SUMIFS(E447:E540,K447:K540,"0",B447:B540,"4 1 5 1 1*")-SUMIFS(D447:D540,K447:K540,"0",B447:B540,"4 1 5 1 1*")</f>
        <v>0</v>
      </c>
      <c r="F446" s="83">
        <f>SUMIFS(F447:F540,K447:K540,"0",B447:B540,"4 1 5 1 1*")</f>
        <v>0</v>
      </c>
      <c r="G446" s="83">
        <f>SUMIFS(G447:G540,K447:K540,"0",B447:B540,"4 1 5 1 1*")</f>
        <v>99129.21</v>
      </c>
      <c r="H446" s="83"/>
      <c r="I446" s="83">
        <f t="shared" si="6"/>
        <v>99129.21</v>
      </c>
      <c r="K446" s="54" t="s">
        <v>15</v>
      </c>
    </row>
    <row r="447" spans="2:11" ht="12.75" x14ac:dyDescent="0.2">
      <c r="B447" s="82" t="s">
        <v>2655</v>
      </c>
      <c r="C447" s="82" t="s">
        <v>26</v>
      </c>
      <c r="D447" s="54"/>
      <c r="E447" s="83">
        <f>SUMIFS(E448:E540,K448:K540,"0",B448:B540,"4 1 5 1 1 12*")-SUMIFS(D448:D540,K448:K540,"0",B448:B540,"4 1 5 1 1 12*")</f>
        <v>0</v>
      </c>
      <c r="F447" s="83">
        <f>SUMIFS(F448:F540,K448:K540,"0",B448:B540,"4 1 5 1 1 12*")</f>
        <v>0</v>
      </c>
      <c r="G447" s="83">
        <f>SUMIFS(G448:G540,K448:K540,"0",B448:B540,"4 1 5 1 1 12*")</f>
        <v>99129.21</v>
      </c>
      <c r="H447" s="83"/>
      <c r="I447" s="83">
        <f t="shared" si="6"/>
        <v>99129.21</v>
      </c>
      <c r="K447" s="54" t="s">
        <v>15</v>
      </c>
    </row>
    <row r="448" spans="2:11" ht="16.5" x14ac:dyDescent="0.2">
      <c r="B448" s="82" t="s">
        <v>2656</v>
      </c>
      <c r="C448" s="82" t="s">
        <v>28</v>
      </c>
      <c r="D448" s="54"/>
      <c r="E448" s="83">
        <f>SUMIFS(E449:E540,K449:K540,"0",B449:B540,"4 1 5 1 1 12 31111*")-SUMIFS(D449:D540,K449:K540,"0",B449:B540,"4 1 5 1 1 12 31111*")</f>
        <v>0</v>
      </c>
      <c r="F448" s="83">
        <f>SUMIFS(F449:F540,K449:K540,"0",B449:B540,"4 1 5 1 1 12 31111*")</f>
        <v>0</v>
      </c>
      <c r="G448" s="83">
        <f>SUMIFS(G449:G540,K449:K540,"0",B449:B540,"4 1 5 1 1 12 31111*")</f>
        <v>99129.21</v>
      </c>
      <c r="H448" s="83"/>
      <c r="I448" s="83">
        <f t="shared" si="6"/>
        <v>99129.21</v>
      </c>
      <c r="K448" s="54" t="s">
        <v>15</v>
      </c>
    </row>
    <row r="449" spans="2:11" ht="12.75" x14ac:dyDescent="0.2">
      <c r="B449" s="82" t="s">
        <v>2657</v>
      </c>
      <c r="C449" s="82" t="s">
        <v>30</v>
      </c>
      <c r="D449" s="54"/>
      <c r="E449" s="83">
        <f>SUMIFS(E450:E540,K450:K540,"0",B450:B540,"4 1 5 1 1 12 31111 6*")-SUMIFS(D450:D540,K450:K540,"0",B450:B540,"4 1 5 1 1 12 31111 6*")</f>
        <v>0</v>
      </c>
      <c r="F449" s="83">
        <f>SUMIFS(F450:F540,K450:K540,"0",B450:B540,"4 1 5 1 1 12 31111 6*")</f>
        <v>0</v>
      </c>
      <c r="G449" s="83">
        <f>SUMIFS(G450:G540,K450:K540,"0",B450:B540,"4 1 5 1 1 12 31111 6*")</f>
        <v>99129.21</v>
      </c>
      <c r="H449" s="83"/>
      <c r="I449" s="83">
        <f t="shared" si="6"/>
        <v>99129.21</v>
      </c>
      <c r="K449" s="54" t="s">
        <v>15</v>
      </c>
    </row>
    <row r="450" spans="2:11" ht="16.5" x14ac:dyDescent="0.2">
      <c r="B450" s="82" t="s">
        <v>2658</v>
      </c>
      <c r="C450" s="82" t="s">
        <v>2284</v>
      </c>
      <c r="D450" s="54"/>
      <c r="E450" s="83">
        <f>SUMIFS(E451:E540,K451:K540,"0",B451:B540,"4 1 5 1 1 12 31111 6 M59*")-SUMIFS(D451:D540,K451:K540,"0",B451:B540,"4 1 5 1 1 12 31111 6 M59*")</f>
        <v>0</v>
      </c>
      <c r="F450" s="83">
        <f>SUMIFS(F451:F540,K451:K540,"0",B451:B540,"4 1 5 1 1 12 31111 6 M59*")</f>
        <v>0</v>
      </c>
      <c r="G450" s="83">
        <f>SUMIFS(G451:G540,K451:K540,"0",B451:B540,"4 1 5 1 1 12 31111 6 M59*")</f>
        <v>99129.21</v>
      </c>
      <c r="H450" s="83"/>
      <c r="I450" s="83">
        <f t="shared" si="6"/>
        <v>99129.21</v>
      </c>
      <c r="K450" s="54" t="s">
        <v>15</v>
      </c>
    </row>
    <row r="451" spans="2:11" ht="16.5" x14ac:dyDescent="0.2">
      <c r="B451" s="82" t="s">
        <v>2659</v>
      </c>
      <c r="C451" s="82" t="s">
        <v>1044</v>
      </c>
      <c r="D451" s="54"/>
      <c r="E451" s="83">
        <f>SUMIFS(E452:E540,K452:K540,"0",B452:B540,"4 1 5 1 1 12 31111 6 M59 19000*")-SUMIFS(D452:D540,K452:K540,"0",B452:B540,"4 1 5 1 1 12 31111 6 M59 19000*")</f>
        <v>0</v>
      </c>
      <c r="F451" s="83">
        <f>SUMIFS(F452:F540,K452:K540,"0",B452:B540,"4 1 5 1 1 12 31111 6 M59 19000*")</f>
        <v>0</v>
      </c>
      <c r="G451" s="83">
        <f>SUMIFS(G452:G540,K452:K540,"0",B452:B540,"4 1 5 1 1 12 31111 6 M59 19000*")</f>
        <v>99129.21</v>
      </c>
      <c r="H451" s="83"/>
      <c r="I451" s="83">
        <f t="shared" si="6"/>
        <v>99129.21</v>
      </c>
      <c r="K451" s="54" t="s">
        <v>15</v>
      </c>
    </row>
    <row r="452" spans="2:11" ht="16.5" x14ac:dyDescent="0.2">
      <c r="B452" s="82" t="s">
        <v>2660</v>
      </c>
      <c r="C452" s="82" t="s">
        <v>2287</v>
      </c>
      <c r="D452" s="54"/>
      <c r="E452" s="83">
        <f>SUMIFS(E453:E540,K453:K540,"0",B453:B540,"4 1 5 1 1 12 31111 6 M59 19000 000000*")-SUMIFS(D453:D540,K453:K540,"0",B453:B540,"4 1 5 1 1 12 31111 6 M59 19000 000000*")</f>
        <v>0</v>
      </c>
      <c r="F452" s="83">
        <f>SUMIFS(F453:F540,K453:K540,"0",B453:B540,"4 1 5 1 1 12 31111 6 M59 19000 000000*")</f>
        <v>0</v>
      </c>
      <c r="G452" s="83">
        <f>SUMIFS(G453:G540,K453:K540,"0",B453:B540,"4 1 5 1 1 12 31111 6 M59 19000 000000*")</f>
        <v>99129.21</v>
      </c>
      <c r="H452" s="83"/>
      <c r="I452" s="83">
        <f t="shared" si="6"/>
        <v>99129.21</v>
      </c>
      <c r="K452" s="54" t="s">
        <v>15</v>
      </c>
    </row>
    <row r="453" spans="2:11" ht="16.5" x14ac:dyDescent="0.2">
      <c r="B453" s="82" t="s">
        <v>2661</v>
      </c>
      <c r="C453" s="82" t="s">
        <v>2289</v>
      </c>
      <c r="D453" s="54"/>
      <c r="E453" s="83">
        <f>SUMIFS(E454:E540,K454:K540,"0",B454:B540,"4 1 5 1 1 12 31111 6 M59 19000 000000 00000*")-SUMIFS(D454:D540,K454:K540,"0",B454:B540,"4 1 5 1 1 12 31111 6 M59 19000 000000 00000*")</f>
        <v>0</v>
      </c>
      <c r="F453" s="83">
        <f>SUMIFS(F454:F540,K454:K540,"0",B454:B540,"4 1 5 1 1 12 31111 6 M59 19000 000000 00000*")</f>
        <v>0</v>
      </c>
      <c r="G453" s="83">
        <f>SUMIFS(G454:G540,K454:K540,"0",B454:B540,"4 1 5 1 1 12 31111 6 M59 19000 000000 00000*")</f>
        <v>99129.21</v>
      </c>
      <c r="H453" s="83"/>
      <c r="I453" s="83">
        <f t="shared" si="6"/>
        <v>99129.21</v>
      </c>
      <c r="K453" s="54" t="s">
        <v>15</v>
      </c>
    </row>
    <row r="454" spans="2:11" ht="24.75" x14ac:dyDescent="0.2">
      <c r="B454" s="82" t="s">
        <v>2662</v>
      </c>
      <c r="C454" s="82" t="s">
        <v>2291</v>
      </c>
      <c r="D454" s="54"/>
      <c r="E454" s="83">
        <f>SUMIFS(E455:E540,K455:K540,"0",B455:B540,"4 1 5 1 1 12 31111 6 M59 19000 000000 00000 00000*")-SUMIFS(D455:D540,K455:K540,"0",B455:B540,"4 1 5 1 1 12 31111 6 M59 19000 000000 00000 00000*")</f>
        <v>0</v>
      </c>
      <c r="F454" s="83">
        <f>SUMIFS(F455:F540,K455:K540,"0",B455:B540,"4 1 5 1 1 12 31111 6 M59 19000 000000 00000 00000*")</f>
        <v>0</v>
      </c>
      <c r="G454" s="83">
        <f>SUMIFS(G455:G540,K455:K540,"0",B455:B540,"4 1 5 1 1 12 31111 6 M59 19000 000000 00000 00000*")</f>
        <v>99129.21</v>
      </c>
      <c r="H454" s="83"/>
      <c r="I454" s="83">
        <f t="shared" si="6"/>
        <v>99129.21</v>
      </c>
      <c r="K454" s="54" t="s">
        <v>15</v>
      </c>
    </row>
    <row r="455" spans="2:11" ht="24.75" x14ac:dyDescent="0.2">
      <c r="B455" s="82" t="s">
        <v>2663</v>
      </c>
      <c r="C455" s="82" t="s">
        <v>252</v>
      </c>
      <c r="D455" s="54"/>
      <c r="E455" s="83">
        <f>SUMIFS(E456:E540,K456:K540,"0",B456:B540,"4 1 5 1 1 12 31111 6 M59 19000 000000 00000 00000 00051*")-SUMIFS(D456:D540,K456:K540,"0",B456:B540,"4 1 5 1 1 12 31111 6 M59 19000 000000 00000 00000 00051*")</f>
        <v>0</v>
      </c>
      <c r="F455" s="83">
        <f>SUMIFS(F456:F540,K456:K540,"0",B456:B540,"4 1 5 1 1 12 31111 6 M59 19000 000000 00000 00000 00051*")</f>
        <v>0</v>
      </c>
      <c r="G455" s="83">
        <f>SUMIFS(G456:G540,K456:K540,"0",B456:B540,"4 1 5 1 1 12 31111 6 M59 19000 000000 00000 00000 00051*")</f>
        <v>99129.21</v>
      </c>
      <c r="H455" s="83"/>
      <c r="I455" s="83">
        <f t="shared" si="6"/>
        <v>99129.21</v>
      </c>
      <c r="K455" s="54" t="s">
        <v>15</v>
      </c>
    </row>
    <row r="456" spans="2:11" ht="24.75" x14ac:dyDescent="0.2">
      <c r="B456" s="82" t="s">
        <v>2700</v>
      </c>
      <c r="C456" s="82" t="s">
        <v>656</v>
      </c>
      <c r="D456" s="54"/>
      <c r="E456" s="83">
        <f>SUMIFS(E457:E540,K457:K540,"0",B457:B540,"4 1 5 1 1 12 31111 6 M59 19000 000000 00000 00000 00051 025*")-SUMIFS(D457:D540,K457:K540,"0",B457:B540,"4 1 5 1 1 12 31111 6 M59 19000 000000 00000 00000 00051 025*")</f>
        <v>0</v>
      </c>
      <c r="F456" s="83">
        <f>SUMIFS(F457:F540,K457:K540,"0",B457:B540,"4 1 5 1 1 12 31111 6 M59 19000 000000 00000 00000 00051 025*")</f>
        <v>0</v>
      </c>
      <c r="G456" s="83">
        <f>SUMIFS(G457:G540,K457:K540,"0",B457:B540,"4 1 5 1 1 12 31111 6 M59 19000 000000 00000 00000 00051 025*")</f>
        <v>99129.21</v>
      </c>
      <c r="H456" s="83"/>
      <c r="I456" s="83">
        <f t="shared" si="6"/>
        <v>99129.21</v>
      </c>
      <c r="K456" s="54" t="s">
        <v>15</v>
      </c>
    </row>
    <row r="457" spans="2:11" ht="33" x14ac:dyDescent="0.2">
      <c r="B457" s="82" t="s">
        <v>2707</v>
      </c>
      <c r="C457" s="82" t="s">
        <v>2708</v>
      </c>
      <c r="D457" s="54"/>
      <c r="E457" s="83">
        <f>SUMIFS(E458:E540,K458:K540,"0",B458:B540,"4 1 5 1 1 12 31111 6 M59 19000 000000 00000 00000 00051 025 1182300*")-SUMIFS(D458:D540,K458:K540,"0",B458:B540,"4 1 5 1 1 12 31111 6 M59 19000 000000 00000 00000 00051 025 1182300*")</f>
        <v>0</v>
      </c>
      <c r="F457" s="83">
        <f>SUMIFS(F458:F540,K458:K540,"0",B458:B540,"4 1 5 1 1 12 31111 6 M59 19000 000000 00000 00000 00051 025 1182300*")</f>
        <v>0</v>
      </c>
      <c r="G457" s="83">
        <f>SUMIFS(G458:G540,K458:K540,"0",B458:B540,"4 1 5 1 1 12 31111 6 M59 19000 000000 00000 00000 00051 025 1182300*")</f>
        <v>99129.21</v>
      </c>
      <c r="H457" s="83"/>
      <c r="I457" s="83">
        <f t="shared" si="6"/>
        <v>99129.21</v>
      </c>
      <c r="K457" s="54" t="s">
        <v>15</v>
      </c>
    </row>
    <row r="458" spans="2:11" ht="33" x14ac:dyDescent="0.2">
      <c r="B458" s="82" t="s">
        <v>2709</v>
      </c>
      <c r="C458" s="82" t="s">
        <v>660</v>
      </c>
      <c r="D458" s="54"/>
      <c r="E458" s="83">
        <f>SUMIFS(E459:E540,K459:K540,"0",B459:B540,"4 1 5 1 1 12 31111 6 M59 19000 000000 00000 00000 00051 025 1182300 2024*")-SUMIFS(D459:D540,K459:K540,"0",B459:B540,"4 1 5 1 1 12 31111 6 M59 19000 000000 00000 00000 00051 025 1182300 2024*")</f>
        <v>0</v>
      </c>
      <c r="F458" s="83">
        <f>SUMIFS(F459:F540,K459:K540,"0",B459:B540,"4 1 5 1 1 12 31111 6 M59 19000 000000 00000 00000 00051 025 1182300 2024*")</f>
        <v>0</v>
      </c>
      <c r="G458" s="83">
        <f>SUMIFS(G459:G540,K459:K540,"0",B459:B540,"4 1 5 1 1 12 31111 6 M59 19000 000000 00000 00000 00051 025 1182300 2024*")</f>
        <v>99129.21</v>
      </c>
      <c r="H458" s="83"/>
      <c r="I458" s="83">
        <f t="shared" ref="I458:I482" si="7">E458 - F458 + G458</f>
        <v>99129.21</v>
      </c>
      <c r="K458" s="54" t="s">
        <v>15</v>
      </c>
    </row>
    <row r="459" spans="2:11" ht="41.25" x14ac:dyDescent="0.2">
      <c r="B459" s="82" t="s">
        <v>2710</v>
      </c>
      <c r="C459" s="82" t="s">
        <v>2298</v>
      </c>
      <c r="D459" s="54"/>
      <c r="E459" s="83">
        <f>SUMIFS(E460:E540,K460:K540,"0",B460:B540,"4 1 5 1 1 12 31111 6 M59 19000 000000 00000 00000 00051 025 1182300 2024 00000000*")-SUMIFS(D460:D540,K460:K540,"0",B460:B540,"4 1 5 1 1 12 31111 6 M59 19000 000000 00000 00000 00051 025 1182300 2024 00000000*")</f>
        <v>0</v>
      </c>
      <c r="F459" s="83">
        <f>SUMIFS(F460:F540,K460:K540,"0",B460:B540,"4 1 5 1 1 12 31111 6 M59 19000 000000 00000 00000 00051 025 1182300 2024 00000000*")</f>
        <v>0</v>
      </c>
      <c r="G459" s="83">
        <f>SUMIFS(G460:G540,K460:K540,"0",B460:B540,"4 1 5 1 1 12 31111 6 M59 19000 000000 00000 00000 00051 025 1182300 2024 00000000*")</f>
        <v>99129.21</v>
      </c>
      <c r="H459" s="83"/>
      <c r="I459" s="83">
        <f t="shared" si="7"/>
        <v>99129.21</v>
      </c>
      <c r="K459" s="54" t="s">
        <v>15</v>
      </c>
    </row>
    <row r="460" spans="2:11" ht="41.25" x14ac:dyDescent="0.2">
      <c r="B460" s="82" t="s">
        <v>2711</v>
      </c>
      <c r="C460" s="82" t="s">
        <v>2712</v>
      </c>
      <c r="D460" s="54"/>
      <c r="E460" s="83">
        <f>SUMIFS(E461:E540,K461:K540,"0",B461:B540,"4 1 5 1 1 12 31111 6 M59 19000 000000 00000 00000 00051 025 1182300 2024 00000000 002*")-SUMIFS(D461:D540,K461:K540,"0",B461:B540,"4 1 5 1 1 12 31111 6 M59 19000 000000 00000 00000 00051 025 1182300 2024 00000000 002*")</f>
        <v>0</v>
      </c>
      <c r="F460" s="83">
        <f>SUMIFS(F461:F540,K461:K540,"0",B461:B540,"4 1 5 1 1 12 31111 6 M59 19000 000000 00000 00000 00051 025 1182300 2024 00000000 002*")</f>
        <v>0</v>
      </c>
      <c r="G460" s="83">
        <f>SUMIFS(G461:G540,K461:K540,"0",B461:B540,"4 1 5 1 1 12 31111 6 M59 19000 000000 00000 00000 00051 025 1182300 2024 00000000 002*")</f>
        <v>99129.21</v>
      </c>
      <c r="H460" s="83"/>
      <c r="I460" s="83">
        <f t="shared" si="7"/>
        <v>99129.21</v>
      </c>
      <c r="K460" s="54" t="s">
        <v>15</v>
      </c>
    </row>
    <row r="461" spans="2:11" ht="49.5" x14ac:dyDescent="0.2">
      <c r="B461" s="82" t="s">
        <v>2713</v>
      </c>
      <c r="C461" s="82" t="s">
        <v>2697</v>
      </c>
      <c r="D461" s="54"/>
      <c r="E461" s="83">
        <f>SUMIFS(E462:E540,K462:K540,"0",B462:B540,"4 1 5 1 1 12 31111 6 M59 19000 000000 00000 00000 00051 025 1182300 2024 00000000 002 0000001*")-SUMIFS(D462:D540,K462:K540,"0",B462:B540,"4 1 5 1 1 12 31111 6 M59 19000 000000 00000 00000 00051 025 1182300 2024 00000000 002 0000001*")</f>
        <v>0</v>
      </c>
      <c r="F461" s="83">
        <f>SUMIFS(F462:F540,K462:K540,"0",B462:B540,"4 1 5 1 1 12 31111 6 M59 19000 000000 00000 00000 00051 025 1182300 2024 00000000 002 0000001*")</f>
        <v>0</v>
      </c>
      <c r="G461" s="83">
        <f>SUMIFS(G462:G540,K462:K540,"0",B462:B540,"4 1 5 1 1 12 31111 6 M59 19000 000000 00000 00000 00051 025 1182300 2024 00000000 002 0000001*")</f>
        <v>99129.21</v>
      </c>
      <c r="H461" s="83"/>
      <c r="I461" s="83">
        <f t="shared" si="7"/>
        <v>99129.21</v>
      </c>
      <c r="K461" s="54" t="s">
        <v>15</v>
      </c>
    </row>
    <row r="462" spans="2:11" ht="41.25" x14ac:dyDescent="0.2">
      <c r="B462" s="84" t="s">
        <v>2714</v>
      </c>
      <c r="C462" s="84" t="s">
        <v>2699</v>
      </c>
      <c r="D462" s="85"/>
      <c r="E462" s="85">
        <v>0</v>
      </c>
      <c r="F462" s="85">
        <v>0</v>
      </c>
      <c r="G462" s="85">
        <v>99129.21</v>
      </c>
      <c r="H462" s="85"/>
      <c r="I462" s="85">
        <f t="shared" si="7"/>
        <v>99129.21</v>
      </c>
      <c r="K462" s="54" t="s">
        <v>38</v>
      </c>
    </row>
    <row r="463" spans="2:11" ht="82.5" x14ac:dyDescent="0.2">
      <c r="B463" s="82" t="s">
        <v>2772</v>
      </c>
      <c r="C463" s="82" t="s">
        <v>2773</v>
      </c>
      <c r="D463" s="54"/>
      <c r="E463" s="83">
        <f>SUMIFS(E464:E540,K464:K540,"0",B464:B540,"4 2*")-SUMIFS(D464:D540,K464:K540,"0",B464:B540,"4 2*")</f>
        <v>0</v>
      </c>
      <c r="F463" s="83">
        <f>SUMIFS(F464:F540,K464:K540,"0",B464:B540,"4 2*")</f>
        <v>0</v>
      </c>
      <c r="G463" s="83">
        <f>SUMIFS(G464:G540,K464:K540,"0",B464:B540,"4 2*")</f>
        <v>106310771</v>
      </c>
      <c r="H463" s="83"/>
      <c r="I463" s="83">
        <f t="shared" si="7"/>
        <v>106310771</v>
      </c>
      <c r="K463" s="54" t="s">
        <v>15</v>
      </c>
    </row>
    <row r="464" spans="2:11" ht="49.5" x14ac:dyDescent="0.2">
      <c r="B464" s="82" t="s">
        <v>2774</v>
      </c>
      <c r="C464" s="82" t="s">
        <v>2775</v>
      </c>
      <c r="D464" s="54"/>
      <c r="E464" s="83">
        <f>SUMIFS(E465:E540,K465:K540,"0",B465:B540,"4 2 1*")-SUMIFS(D465:D540,K465:K540,"0",B465:B540,"4 2 1*")</f>
        <v>0</v>
      </c>
      <c r="F464" s="83">
        <f>SUMIFS(F465:F540,K465:K540,"0",B465:B540,"4 2 1*")</f>
        <v>0</v>
      </c>
      <c r="G464" s="83">
        <f>SUMIFS(G465:G540,K465:K540,"0",B465:B540,"4 2 1*")</f>
        <v>106310771</v>
      </c>
      <c r="H464" s="83"/>
      <c r="I464" s="83">
        <f t="shared" si="7"/>
        <v>106310771</v>
      </c>
      <c r="K464" s="54" t="s">
        <v>15</v>
      </c>
    </row>
    <row r="465" spans="2:11" ht="12.75" x14ac:dyDescent="0.2">
      <c r="B465" s="82" t="s">
        <v>2827</v>
      </c>
      <c r="C465" s="82" t="s">
        <v>2131</v>
      </c>
      <c r="D465" s="54"/>
      <c r="E465" s="83">
        <f>SUMIFS(E466:E540,K466:K540,"0",B466:B540,"4 2 1 2*")-SUMIFS(D466:D540,K466:K540,"0",B466:B540,"4 2 1 2*")</f>
        <v>0</v>
      </c>
      <c r="F465" s="83">
        <f>SUMIFS(F466:F540,K466:K540,"0",B466:B540,"4 2 1 2*")</f>
        <v>0</v>
      </c>
      <c r="G465" s="83">
        <f>SUMIFS(G466:G540,K466:K540,"0",B466:B540,"4 2 1 2*")</f>
        <v>106310771</v>
      </c>
      <c r="H465" s="83"/>
      <c r="I465" s="83">
        <f t="shared" si="7"/>
        <v>106310771</v>
      </c>
      <c r="K465" s="54" t="s">
        <v>15</v>
      </c>
    </row>
    <row r="466" spans="2:11" ht="12.75" x14ac:dyDescent="0.2">
      <c r="B466" s="82" t="s">
        <v>2828</v>
      </c>
      <c r="C466" s="82" t="s">
        <v>2131</v>
      </c>
      <c r="D466" s="54"/>
      <c r="E466" s="83">
        <f>SUMIFS(E467:E540,K467:K540,"0",B467:B540,"4 2 1 2 1*")-SUMIFS(D467:D540,K467:K540,"0",B467:B540,"4 2 1 2 1*")</f>
        <v>0</v>
      </c>
      <c r="F466" s="83">
        <f>SUMIFS(F467:F540,K467:K540,"0",B467:B540,"4 2 1 2 1*")</f>
        <v>0</v>
      </c>
      <c r="G466" s="83">
        <f>SUMIFS(G467:G540,K467:K540,"0",B467:B540,"4 2 1 2 1*")</f>
        <v>106310771</v>
      </c>
      <c r="H466" s="83"/>
      <c r="I466" s="83">
        <f t="shared" si="7"/>
        <v>106310771</v>
      </c>
      <c r="K466" s="54" t="s">
        <v>15</v>
      </c>
    </row>
    <row r="467" spans="2:11" ht="12.75" x14ac:dyDescent="0.2">
      <c r="B467" s="82" t="s">
        <v>2829</v>
      </c>
      <c r="C467" s="82" t="s">
        <v>26</v>
      </c>
      <c r="D467" s="54"/>
      <c r="E467" s="83">
        <f>SUMIFS(E468:E540,K468:K540,"0",B468:B540,"4 2 1 2 1 12*")-SUMIFS(D468:D540,K468:K540,"0",B468:B540,"4 2 1 2 1 12*")</f>
        <v>0</v>
      </c>
      <c r="F467" s="83">
        <f>SUMIFS(F468:F540,K468:K540,"0",B468:B540,"4 2 1 2 1 12*")</f>
        <v>0</v>
      </c>
      <c r="G467" s="83">
        <f>SUMIFS(G468:G540,K468:K540,"0",B468:B540,"4 2 1 2 1 12*")</f>
        <v>106310771</v>
      </c>
      <c r="H467" s="83"/>
      <c r="I467" s="83">
        <f t="shared" si="7"/>
        <v>106310771</v>
      </c>
      <c r="K467" s="54" t="s">
        <v>15</v>
      </c>
    </row>
    <row r="468" spans="2:11" ht="16.5" x14ac:dyDescent="0.2">
      <c r="B468" s="82" t="s">
        <v>2830</v>
      </c>
      <c r="C468" s="82" t="s">
        <v>28</v>
      </c>
      <c r="D468" s="54"/>
      <c r="E468" s="83">
        <f>SUMIFS(E469:E540,K469:K540,"0",B469:B540,"4 2 1 2 1 12 31111*")-SUMIFS(D469:D540,K469:K540,"0",B469:B540,"4 2 1 2 1 12 31111*")</f>
        <v>0</v>
      </c>
      <c r="F468" s="83">
        <f>SUMIFS(F469:F540,K469:K540,"0",B469:B540,"4 2 1 2 1 12 31111*")</f>
        <v>0</v>
      </c>
      <c r="G468" s="83">
        <f>SUMIFS(G469:G540,K469:K540,"0",B469:B540,"4 2 1 2 1 12 31111*")</f>
        <v>106310771</v>
      </c>
      <c r="H468" s="83"/>
      <c r="I468" s="83">
        <f t="shared" si="7"/>
        <v>106310771</v>
      </c>
      <c r="K468" s="54" t="s">
        <v>15</v>
      </c>
    </row>
    <row r="469" spans="2:11" ht="12.75" x14ac:dyDescent="0.2">
      <c r="B469" s="82" t="s">
        <v>2831</v>
      </c>
      <c r="C469" s="82" t="s">
        <v>30</v>
      </c>
      <c r="D469" s="54"/>
      <c r="E469" s="83">
        <f>SUMIFS(E470:E540,K470:K540,"0",B470:B540,"4 2 1 2 1 12 31111 6*")-SUMIFS(D470:D540,K470:K540,"0",B470:B540,"4 2 1 2 1 12 31111 6*")</f>
        <v>0</v>
      </c>
      <c r="F469" s="83">
        <f>SUMIFS(F470:F540,K470:K540,"0",B470:B540,"4 2 1 2 1 12 31111 6*")</f>
        <v>0</v>
      </c>
      <c r="G469" s="83">
        <f>SUMIFS(G470:G540,K470:K540,"0",B470:B540,"4 2 1 2 1 12 31111 6*")</f>
        <v>106310771</v>
      </c>
      <c r="H469" s="83"/>
      <c r="I469" s="83">
        <f t="shared" si="7"/>
        <v>106310771</v>
      </c>
      <c r="K469" s="54" t="s">
        <v>15</v>
      </c>
    </row>
    <row r="470" spans="2:11" ht="16.5" x14ac:dyDescent="0.2">
      <c r="B470" s="82" t="s">
        <v>2832</v>
      </c>
      <c r="C470" s="82" t="s">
        <v>2284</v>
      </c>
      <c r="D470" s="54"/>
      <c r="E470" s="83">
        <f>SUMIFS(E471:E540,K471:K540,"0",B471:B540,"4 2 1 2 1 12 31111 6 M59*")-SUMIFS(D471:D540,K471:K540,"0",B471:B540,"4 2 1 2 1 12 31111 6 M59*")</f>
        <v>0</v>
      </c>
      <c r="F470" s="83">
        <f>SUMIFS(F471:F540,K471:K540,"0",B471:B540,"4 2 1 2 1 12 31111 6 M59*")</f>
        <v>0</v>
      </c>
      <c r="G470" s="83">
        <f>SUMIFS(G471:G540,K471:K540,"0",B471:B540,"4 2 1 2 1 12 31111 6 M59*")</f>
        <v>106310771</v>
      </c>
      <c r="H470" s="83"/>
      <c r="I470" s="83">
        <f t="shared" si="7"/>
        <v>106310771</v>
      </c>
      <c r="K470" s="54" t="s">
        <v>15</v>
      </c>
    </row>
    <row r="471" spans="2:11" ht="16.5" x14ac:dyDescent="0.2">
      <c r="B471" s="82" t="s">
        <v>2833</v>
      </c>
      <c r="C471" s="82" t="s">
        <v>1044</v>
      </c>
      <c r="D471" s="54"/>
      <c r="E471" s="83">
        <f>SUMIFS(E472:E540,K472:K540,"0",B472:B540,"4 2 1 2 1 12 31111 6 M59 19000*")-SUMIFS(D472:D540,K472:K540,"0",B472:B540,"4 2 1 2 1 12 31111 6 M59 19000*")</f>
        <v>0</v>
      </c>
      <c r="F471" s="83">
        <f>SUMIFS(F472:F540,K472:K540,"0",B472:B540,"4 2 1 2 1 12 31111 6 M59 19000*")</f>
        <v>0</v>
      </c>
      <c r="G471" s="83">
        <f>SUMIFS(G472:G540,K472:K540,"0",B472:B540,"4 2 1 2 1 12 31111 6 M59 19000*")</f>
        <v>106310771</v>
      </c>
      <c r="H471" s="83"/>
      <c r="I471" s="83">
        <f t="shared" si="7"/>
        <v>106310771</v>
      </c>
      <c r="K471" s="54" t="s">
        <v>15</v>
      </c>
    </row>
    <row r="472" spans="2:11" ht="16.5" x14ac:dyDescent="0.2">
      <c r="B472" s="82" t="s">
        <v>2834</v>
      </c>
      <c r="C472" s="82" t="s">
        <v>2287</v>
      </c>
      <c r="D472" s="54"/>
      <c r="E472" s="83">
        <f>SUMIFS(E473:E540,K473:K540,"0",B473:B540,"4 2 1 2 1 12 31111 6 M59 19000 000000*")-SUMIFS(D473:D540,K473:K540,"0",B473:B540,"4 2 1 2 1 12 31111 6 M59 19000 000000*")</f>
        <v>0</v>
      </c>
      <c r="F472" s="83">
        <f>SUMIFS(F473:F540,K473:K540,"0",B473:B540,"4 2 1 2 1 12 31111 6 M59 19000 000000*")</f>
        <v>0</v>
      </c>
      <c r="G472" s="83">
        <f>SUMIFS(G473:G540,K473:K540,"0",B473:B540,"4 2 1 2 1 12 31111 6 M59 19000 000000*")</f>
        <v>106310771</v>
      </c>
      <c r="H472" s="83"/>
      <c r="I472" s="83">
        <f t="shared" si="7"/>
        <v>106310771</v>
      </c>
      <c r="K472" s="54" t="s">
        <v>15</v>
      </c>
    </row>
    <row r="473" spans="2:11" ht="24.75" x14ac:dyDescent="0.2">
      <c r="B473" s="82" t="s">
        <v>2835</v>
      </c>
      <c r="C473" s="82" t="s">
        <v>2289</v>
      </c>
      <c r="D473" s="54"/>
      <c r="E473" s="83">
        <f>SUMIFS(E474:E540,K474:K540,"0",B474:B540,"4 2 1 2 1 12 31111 6 M59 19000 000000 00000*")-SUMIFS(D474:D540,K474:K540,"0",B474:B540,"4 2 1 2 1 12 31111 6 M59 19000 000000 00000*")</f>
        <v>0</v>
      </c>
      <c r="F473" s="83">
        <f>SUMIFS(F474:F540,K474:K540,"0",B474:B540,"4 2 1 2 1 12 31111 6 M59 19000 000000 00000*")</f>
        <v>0</v>
      </c>
      <c r="G473" s="83">
        <f>SUMIFS(G474:G540,K474:K540,"0",B474:B540,"4 2 1 2 1 12 31111 6 M59 19000 000000 00000*")</f>
        <v>106310771</v>
      </c>
      <c r="H473" s="83"/>
      <c r="I473" s="83">
        <f t="shared" si="7"/>
        <v>106310771</v>
      </c>
      <c r="K473" s="54" t="s">
        <v>15</v>
      </c>
    </row>
    <row r="474" spans="2:11" ht="24.75" x14ac:dyDescent="0.2">
      <c r="B474" s="82" t="s">
        <v>2836</v>
      </c>
      <c r="C474" s="82" t="s">
        <v>2291</v>
      </c>
      <c r="D474" s="54"/>
      <c r="E474" s="83">
        <f>SUMIFS(E475:E540,K475:K540,"0",B475:B540,"4 2 1 2 1 12 31111 6 M59 19000 000000 00000 00000*")-SUMIFS(D475:D540,K475:K540,"0",B475:B540,"4 2 1 2 1 12 31111 6 M59 19000 000000 00000 00000*")</f>
        <v>0</v>
      </c>
      <c r="F474" s="83">
        <f>SUMIFS(F475:F540,K475:K540,"0",B475:B540,"4 2 1 2 1 12 31111 6 M59 19000 000000 00000 00000*")</f>
        <v>0</v>
      </c>
      <c r="G474" s="83">
        <f>SUMIFS(G475:G540,K475:K540,"0",B475:B540,"4 2 1 2 1 12 31111 6 M59 19000 000000 00000 00000*")</f>
        <v>106310771</v>
      </c>
      <c r="H474" s="83"/>
      <c r="I474" s="83">
        <f t="shared" si="7"/>
        <v>106310771</v>
      </c>
      <c r="K474" s="54" t="s">
        <v>15</v>
      </c>
    </row>
    <row r="475" spans="2:11" ht="24.75" x14ac:dyDescent="0.2">
      <c r="B475" s="82" t="s">
        <v>2837</v>
      </c>
      <c r="C475" s="82" t="s">
        <v>2131</v>
      </c>
      <c r="D475" s="54"/>
      <c r="E475" s="83">
        <f>SUMIFS(E476:E540,K476:K540,"0",B476:B540,"4 2 1 2 1 12 31111 6 M59 19000 000000 00000 00000 00082*")-SUMIFS(D476:D540,K476:K540,"0",B476:B540,"4 2 1 2 1 12 31111 6 M59 19000 000000 00000 00000 00082*")</f>
        <v>0</v>
      </c>
      <c r="F475" s="83">
        <f>SUMIFS(F476:F540,K476:K540,"0",B476:B540,"4 2 1 2 1 12 31111 6 M59 19000 000000 00000 00000 00082*")</f>
        <v>0</v>
      </c>
      <c r="G475" s="83">
        <f>SUMIFS(G476:G540,K476:K540,"0",B476:B540,"4 2 1 2 1 12 31111 6 M59 19000 000000 00000 00000 00082*")</f>
        <v>106310771</v>
      </c>
      <c r="H475" s="83"/>
      <c r="I475" s="83">
        <f t="shared" si="7"/>
        <v>106310771</v>
      </c>
      <c r="K475" s="54" t="s">
        <v>15</v>
      </c>
    </row>
    <row r="476" spans="2:11" ht="33" x14ac:dyDescent="0.2">
      <c r="B476" s="82" t="s">
        <v>2838</v>
      </c>
      <c r="C476" s="82" t="s">
        <v>656</v>
      </c>
      <c r="D476" s="54"/>
      <c r="E476" s="83">
        <f>SUMIFS(E477:E540,K477:K540,"0",B477:B540,"4 2 1 2 1 12 31111 6 M59 19000 000000 00000 00000 00082 025*")-SUMIFS(D477:D540,K477:K540,"0",B477:B540,"4 2 1 2 1 12 31111 6 M59 19000 000000 00000 00000 00082 025*")</f>
        <v>0</v>
      </c>
      <c r="F476" s="83">
        <f>SUMIFS(F477:F540,K477:K540,"0",B477:B540,"4 2 1 2 1 12 31111 6 M59 19000 000000 00000 00000 00082 025*")</f>
        <v>0</v>
      </c>
      <c r="G476" s="83">
        <f>SUMIFS(G477:G540,K477:K540,"0",B477:B540,"4 2 1 2 1 12 31111 6 M59 19000 000000 00000 00000 00082 025*")</f>
        <v>106310771</v>
      </c>
      <c r="H476" s="83"/>
      <c r="I476" s="83">
        <f t="shared" si="7"/>
        <v>106310771</v>
      </c>
      <c r="K476" s="54" t="s">
        <v>15</v>
      </c>
    </row>
    <row r="477" spans="2:11" ht="33" x14ac:dyDescent="0.2">
      <c r="B477" s="82" t="s">
        <v>2839</v>
      </c>
      <c r="C477" s="82" t="s">
        <v>2708</v>
      </c>
      <c r="D477" s="54"/>
      <c r="E477" s="83">
        <f>SUMIFS(E478:E540,K478:K540,"0",B478:B540,"4 2 1 2 1 12 31111 6 M59 19000 000000 00000 00000 00082 025 1182300*")-SUMIFS(D478:D540,K478:K540,"0",B478:B540,"4 2 1 2 1 12 31111 6 M59 19000 000000 00000 00000 00082 025 1182300*")</f>
        <v>0</v>
      </c>
      <c r="F477" s="83">
        <f>SUMIFS(F478:F540,K478:K540,"0",B478:B540,"4 2 1 2 1 12 31111 6 M59 19000 000000 00000 00000 00082 025 1182300*")</f>
        <v>0</v>
      </c>
      <c r="G477" s="83">
        <f>SUMIFS(G478:G540,K478:K540,"0",B478:B540,"4 2 1 2 1 12 31111 6 M59 19000 000000 00000 00000 00082 025 1182300*")</f>
        <v>106310771</v>
      </c>
      <c r="H477" s="83"/>
      <c r="I477" s="83">
        <f t="shared" si="7"/>
        <v>106310771</v>
      </c>
      <c r="K477" s="54" t="s">
        <v>15</v>
      </c>
    </row>
    <row r="478" spans="2:11" ht="33" x14ac:dyDescent="0.2">
      <c r="B478" s="82" t="s">
        <v>2840</v>
      </c>
      <c r="C478" s="82" t="s">
        <v>660</v>
      </c>
      <c r="D478" s="54"/>
      <c r="E478" s="83">
        <f>SUMIFS(E479:E540,K479:K540,"0",B479:B540,"4 2 1 2 1 12 31111 6 M59 19000 000000 00000 00000 00082 025 1182300 2024*")-SUMIFS(D479:D540,K479:K540,"0",B479:B540,"4 2 1 2 1 12 31111 6 M59 19000 000000 00000 00000 00082 025 1182300 2024*")</f>
        <v>0</v>
      </c>
      <c r="F478" s="83">
        <f>SUMIFS(F479:F540,K479:K540,"0",B479:B540,"4 2 1 2 1 12 31111 6 M59 19000 000000 00000 00000 00082 025 1182300 2024*")</f>
        <v>0</v>
      </c>
      <c r="G478" s="83">
        <f>SUMIFS(G479:G540,K479:K540,"0",B479:B540,"4 2 1 2 1 12 31111 6 M59 19000 000000 00000 00000 00082 025 1182300 2024*")</f>
        <v>106310771</v>
      </c>
      <c r="H478" s="83"/>
      <c r="I478" s="83">
        <f t="shared" si="7"/>
        <v>106310771</v>
      </c>
      <c r="K478" s="54" t="s">
        <v>15</v>
      </c>
    </row>
    <row r="479" spans="2:11" ht="41.25" x14ac:dyDescent="0.2">
      <c r="B479" s="82" t="s">
        <v>2841</v>
      </c>
      <c r="C479" s="82" t="s">
        <v>2298</v>
      </c>
      <c r="D479" s="54"/>
      <c r="E479" s="83">
        <f>SUMIFS(E480:E540,K480:K540,"0",B480:B540,"4 2 1 2 1 12 31111 6 M59 19000 000000 00000 00000 00082 025 1182300 2024 00000000*")-SUMIFS(D480:D540,K480:K540,"0",B480:B540,"4 2 1 2 1 12 31111 6 M59 19000 000000 00000 00000 00082 025 1182300 2024 00000000*")</f>
        <v>0</v>
      </c>
      <c r="F479" s="83">
        <f>SUMIFS(F480:F540,K480:K540,"0",B480:B540,"4 2 1 2 1 12 31111 6 M59 19000 000000 00000 00000 00082 025 1182300 2024 00000000*")</f>
        <v>0</v>
      </c>
      <c r="G479" s="83">
        <f>SUMIFS(G480:G540,K480:K540,"0",B480:B540,"4 2 1 2 1 12 31111 6 M59 19000 000000 00000 00000 00082 025 1182300 2024 00000000*")</f>
        <v>106310771</v>
      </c>
      <c r="H479" s="83"/>
      <c r="I479" s="83">
        <f t="shared" si="7"/>
        <v>106310771</v>
      </c>
      <c r="K479" s="54" t="s">
        <v>15</v>
      </c>
    </row>
    <row r="480" spans="2:11" ht="41.25" x14ac:dyDescent="0.2">
      <c r="B480" s="82" t="s">
        <v>2842</v>
      </c>
      <c r="C480" s="82" t="s">
        <v>2843</v>
      </c>
      <c r="D480" s="54"/>
      <c r="E480" s="83">
        <f>SUMIFS(E481:E540,K481:K540,"0",B481:B540,"4 2 1 2 1 12 31111 6 M59 19000 000000 00000 00000 00082 025 1182300 2024 00000000 002*")-SUMIFS(D481:D540,K481:K540,"0",B481:B540,"4 2 1 2 1 12 31111 6 M59 19000 000000 00000 00000 00082 025 1182300 2024 00000000 002*")</f>
        <v>0</v>
      </c>
      <c r="F480" s="83">
        <f>SUMIFS(F481:F540,K481:K540,"0",B481:B540,"4 2 1 2 1 12 31111 6 M59 19000 000000 00000 00000 00082 025 1182300 2024 00000000 002*")</f>
        <v>0</v>
      </c>
      <c r="G480" s="83">
        <f>SUMIFS(G481:G540,K481:K540,"0",B481:B540,"4 2 1 2 1 12 31111 6 M59 19000 000000 00000 00000 00082 025 1182300 2024 00000000 002*")</f>
        <v>106310771</v>
      </c>
      <c r="H480" s="83"/>
      <c r="I480" s="83">
        <f t="shared" si="7"/>
        <v>106310771</v>
      </c>
      <c r="K480" s="54" t="s">
        <v>15</v>
      </c>
    </row>
    <row r="481" spans="2:11" ht="49.5" x14ac:dyDescent="0.2">
      <c r="B481" s="82" t="s">
        <v>2844</v>
      </c>
      <c r="C481" s="82" t="s">
        <v>2131</v>
      </c>
      <c r="D481" s="54"/>
      <c r="E481" s="83">
        <f>SUMIFS(E482:E540,K482:K540,"0",B482:B540,"4 2 1 2 1 12 31111 6 M59 19000 000000 00000 00000 00082 025 1182300 2024 00000000 002 0000001*")-SUMIFS(D482:D540,K482:K540,"0",B482:B540,"4 2 1 2 1 12 31111 6 M59 19000 000000 00000 00000 00082 025 1182300 2024 00000000 002 0000001*")</f>
        <v>0</v>
      </c>
      <c r="F481" s="83">
        <f>SUMIFS(F482:F540,K482:K540,"0",B482:B540,"4 2 1 2 1 12 31111 6 M59 19000 000000 00000 00000 00082 025 1182300 2024 00000000 002 0000001*")</f>
        <v>0</v>
      </c>
      <c r="G481" s="83">
        <f>SUMIFS(G482:G540,K482:K540,"0",B482:B540,"4 2 1 2 1 12 31111 6 M59 19000 000000 00000 00000 00082 025 1182300 2024 00000000 002 0000001*")</f>
        <v>106310771</v>
      </c>
      <c r="H481" s="83"/>
      <c r="I481" s="83">
        <f t="shared" si="7"/>
        <v>106310771</v>
      </c>
      <c r="K481" s="54" t="s">
        <v>15</v>
      </c>
    </row>
    <row r="482" spans="2:11" ht="41.25" x14ac:dyDescent="0.2">
      <c r="B482" s="84" t="s">
        <v>2845</v>
      </c>
      <c r="C482" s="84" t="s">
        <v>2846</v>
      </c>
      <c r="D482" s="85"/>
      <c r="E482" s="85">
        <v>0</v>
      </c>
      <c r="F482" s="85">
        <v>0</v>
      </c>
      <c r="G482" s="85">
        <v>106310771</v>
      </c>
      <c r="H482" s="85"/>
      <c r="I482" s="85">
        <f t="shared" si="7"/>
        <v>106310771</v>
      </c>
      <c r="K482" s="54" t="s">
        <v>38</v>
      </c>
    </row>
    <row r="483" spans="2:11" ht="12.75" x14ac:dyDescent="0.2">
      <c r="B483" s="82" t="s">
        <v>2896</v>
      </c>
      <c r="C483" s="82" t="s">
        <v>2897</v>
      </c>
      <c r="D483" s="83">
        <f>SUMIFS(D484:D540,K484:K540,"0",B484:B540,"5*")-SUMIFS(E484:E540,K484:K540,"0",B484:B540,"5*")</f>
        <v>0</v>
      </c>
      <c r="E483" s="54"/>
      <c r="F483" s="83">
        <f>SUMIFS(F484:F540,K484:K540,"0",B484:B540,"5*")</f>
        <v>21270245.089999996</v>
      </c>
      <c r="G483" s="83">
        <f>SUMIFS(G484:G540,K484:K540,"0",B484:B540,"5*")</f>
        <v>0</v>
      </c>
      <c r="H483" s="83">
        <f t="shared" ref="H483:H528" si="8">D483 + F483 - G483</f>
        <v>21270245.089999996</v>
      </c>
      <c r="I483" s="83"/>
      <c r="K483" s="54" t="s">
        <v>15</v>
      </c>
    </row>
    <row r="484" spans="2:11" ht="12.75" x14ac:dyDescent="0.2">
      <c r="B484" s="82" t="s">
        <v>2898</v>
      </c>
      <c r="C484" s="82" t="s">
        <v>2899</v>
      </c>
      <c r="D484" s="83">
        <f>SUMIFS(D485:D540,K485:K540,"0",B485:B540,"5 1*")-SUMIFS(E485:E540,K485:K540,"0",B485:B540,"5 1*")</f>
        <v>0</v>
      </c>
      <c r="E484" s="54"/>
      <c r="F484" s="83">
        <f>SUMIFS(F485:F540,K485:K540,"0",B485:B540,"5 1*")</f>
        <v>8090.89</v>
      </c>
      <c r="G484" s="83">
        <f>SUMIFS(G485:G540,K485:K540,"0",B485:B540,"5 1*")</f>
        <v>0</v>
      </c>
      <c r="H484" s="83">
        <f t="shared" si="8"/>
        <v>8090.89</v>
      </c>
      <c r="I484" s="83"/>
      <c r="K484" s="54" t="s">
        <v>15</v>
      </c>
    </row>
    <row r="485" spans="2:11" ht="12.75" x14ac:dyDescent="0.2">
      <c r="B485" s="82" t="s">
        <v>8324</v>
      </c>
      <c r="C485" s="82" t="s">
        <v>8325</v>
      </c>
      <c r="D485" s="83">
        <f>SUMIFS(D486:D540,K486:K540,"0",B486:B540,"5 1 3*")-SUMIFS(E486:E540,K486:K540,"0",B486:B540,"5 1 3*")</f>
        <v>0</v>
      </c>
      <c r="E485" s="54"/>
      <c r="F485" s="83">
        <f>SUMIFS(F486:F540,K486:K540,"0",B486:B540,"5 1 3*")</f>
        <v>8090.89</v>
      </c>
      <c r="G485" s="83">
        <f>SUMIFS(G486:G540,K486:K540,"0",B486:B540,"5 1 3*")</f>
        <v>0</v>
      </c>
      <c r="H485" s="83">
        <f t="shared" si="8"/>
        <v>8090.89</v>
      </c>
      <c r="I485" s="83"/>
      <c r="K485" s="54" t="s">
        <v>15</v>
      </c>
    </row>
    <row r="486" spans="2:11" ht="16.5" x14ac:dyDescent="0.2">
      <c r="B486" s="82" t="s">
        <v>8692</v>
      </c>
      <c r="C486" s="82" t="s">
        <v>8693</v>
      </c>
      <c r="D486" s="83">
        <f>SUMIFS(D487:D540,K487:K540,"0",B487:B540,"5 1 3 4*")-SUMIFS(E487:E540,K487:K540,"0",B487:B540,"5 1 3 4*")</f>
        <v>0</v>
      </c>
      <c r="E486" s="54"/>
      <c r="F486" s="83">
        <f>SUMIFS(F487:F540,K487:K540,"0",B487:B540,"5 1 3 4*")</f>
        <v>8090.89</v>
      </c>
      <c r="G486" s="83">
        <f>SUMIFS(G487:G540,K487:K540,"0",B487:B540,"5 1 3 4*")</f>
        <v>0</v>
      </c>
      <c r="H486" s="83">
        <f t="shared" si="8"/>
        <v>8090.89</v>
      </c>
      <c r="I486" s="83"/>
      <c r="K486" s="54" t="s">
        <v>15</v>
      </c>
    </row>
    <row r="487" spans="2:11" ht="24.75" x14ac:dyDescent="0.2">
      <c r="B487" s="82" t="s">
        <v>8813</v>
      </c>
      <c r="C487" s="82" t="s">
        <v>8814</v>
      </c>
      <c r="D487" s="83">
        <f>SUMIFS(D488:D540,K488:K540,"0",B488:B540,"5 1 3 4 9*")-SUMIFS(E488:E540,K488:K540,"0",B488:B540,"5 1 3 4 9*")</f>
        <v>0</v>
      </c>
      <c r="E487" s="54"/>
      <c r="F487" s="83">
        <f>SUMIFS(F488:F540,K488:K540,"0",B488:B540,"5 1 3 4 9*")</f>
        <v>8090.89</v>
      </c>
      <c r="G487" s="83">
        <f>SUMIFS(G488:G540,K488:K540,"0",B488:B540,"5 1 3 4 9*")</f>
        <v>0</v>
      </c>
      <c r="H487" s="83">
        <f t="shared" si="8"/>
        <v>8090.89</v>
      </c>
      <c r="I487" s="83"/>
      <c r="K487" s="54" t="s">
        <v>15</v>
      </c>
    </row>
    <row r="488" spans="2:11" ht="12.75" x14ac:dyDescent="0.2">
      <c r="B488" s="82" t="s">
        <v>8815</v>
      </c>
      <c r="C488" s="82" t="s">
        <v>26</v>
      </c>
      <c r="D488" s="83">
        <f>SUMIFS(D489:D540,K489:K540,"0",B489:B540,"5 1 3 4 9 12*")-SUMIFS(E489:E540,K489:K540,"0",B489:B540,"5 1 3 4 9 12*")</f>
        <v>0</v>
      </c>
      <c r="E488" s="54"/>
      <c r="F488" s="83">
        <f>SUMIFS(F489:F540,K489:K540,"0",B489:B540,"5 1 3 4 9 12*")</f>
        <v>8090.89</v>
      </c>
      <c r="G488" s="83">
        <f>SUMIFS(G489:G540,K489:K540,"0",B489:B540,"5 1 3 4 9 12*")</f>
        <v>0</v>
      </c>
      <c r="H488" s="83">
        <f t="shared" si="8"/>
        <v>8090.89</v>
      </c>
      <c r="I488" s="83"/>
      <c r="K488" s="54" t="s">
        <v>15</v>
      </c>
    </row>
    <row r="489" spans="2:11" ht="16.5" x14ac:dyDescent="0.2">
      <c r="B489" s="82" t="s">
        <v>8816</v>
      </c>
      <c r="C489" s="82" t="s">
        <v>28</v>
      </c>
      <c r="D489" s="83">
        <f>SUMIFS(D490:D540,K490:K540,"0",B490:B540,"5 1 3 4 9 12 31111*")-SUMIFS(E490:E540,K490:K540,"0",B490:B540,"5 1 3 4 9 12 31111*")</f>
        <v>0</v>
      </c>
      <c r="E489" s="54"/>
      <c r="F489" s="83">
        <f>SUMIFS(F490:F540,K490:K540,"0",B490:B540,"5 1 3 4 9 12 31111*")</f>
        <v>8090.89</v>
      </c>
      <c r="G489" s="83">
        <f>SUMIFS(G490:G540,K490:K540,"0",B490:B540,"5 1 3 4 9 12 31111*")</f>
        <v>0</v>
      </c>
      <c r="H489" s="83">
        <f t="shared" si="8"/>
        <v>8090.89</v>
      </c>
      <c r="I489" s="83"/>
      <c r="K489" s="54" t="s">
        <v>15</v>
      </c>
    </row>
    <row r="490" spans="2:11" ht="12.75" x14ac:dyDescent="0.2">
      <c r="B490" s="82" t="s">
        <v>8817</v>
      </c>
      <c r="C490" s="82" t="s">
        <v>30</v>
      </c>
      <c r="D490" s="83">
        <f>SUMIFS(D491:D540,K491:K540,"0",B491:B540,"5 1 3 4 9 12 31111 6*")-SUMIFS(E491:E540,K491:K540,"0",B491:B540,"5 1 3 4 9 12 31111 6*")</f>
        <v>0</v>
      </c>
      <c r="E490" s="54"/>
      <c r="F490" s="83">
        <f>SUMIFS(F491:F540,K491:K540,"0",B491:B540,"5 1 3 4 9 12 31111 6*")</f>
        <v>8090.89</v>
      </c>
      <c r="G490" s="83">
        <f>SUMIFS(G491:G540,K491:K540,"0",B491:B540,"5 1 3 4 9 12 31111 6*")</f>
        <v>0</v>
      </c>
      <c r="H490" s="83">
        <f t="shared" si="8"/>
        <v>8090.89</v>
      </c>
      <c r="I490" s="83"/>
      <c r="K490" s="54" t="s">
        <v>15</v>
      </c>
    </row>
    <row r="491" spans="2:11" ht="16.5" x14ac:dyDescent="0.2">
      <c r="B491" s="82" t="s">
        <v>8818</v>
      </c>
      <c r="C491" s="82" t="s">
        <v>2284</v>
      </c>
      <c r="D491" s="83">
        <f>SUMIFS(D492:D540,K492:K540,"0",B492:B540,"5 1 3 4 9 12 31111 6 M59*")-SUMIFS(E492:E540,K492:K540,"0",B492:B540,"5 1 3 4 9 12 31111 6 M59*")</f>
        <v>0</v>
      </c>
      <c r="E491" s="54"/>
      <c r="F491" s="83">
        <f>SUMIFS(F492:F540,K492:K540,"0",B492:B540,"5 1 3 4 9 12 31111 6 M59*")</f>
        <v>8090.89</v>
      </c>
      <c r="G491" s="83">
        <f>SUMIFS(G492:G540,K492:K540,"0",B492:B540,"5 1 3 4 9 12 31111 6 M59*")</f>
        <v>0</v>
      </c>
      <c r="H491" s="83">
        <f t="shared" si="8"/>
        <v>8090.89</v>
      </c>
      <c r="I491" s="83"/>
      <c r="K491" s="54" t="s">
        <v>15</v>
      </c>
    </row>
    <row r="492" spans="2:11" ht="16.5" x14ac:dyDescent="0.2">
      <c r="B492" s="82" t="s">
        <v>8819</v>
      </c>
      <c r="C492" s="82" t="s">
        <v>1044</v>
      </c>
      <c r="D492" s="83">
        <f>SUMIFS(D493:D540,K493:K540,"0",B493:B540,"5 1 3 4 9 12 31111 6 M59 19000*")-SUMIFS(E493:E540,K493:K540,"0",B493:B540,"5 1 3 4 9 12 31111 6 M59 19000*")</f>
        <v>0</v>
      </c>
      <c r="E492" s="54"/>
      <c r="F492" s="83">
        <f>SUMIFS(F493:F540,K493:K540,"0",B493:B540,"5 1 3 4 9 12 31111 6 M59 19000*")</f>
        <v>8090.89</v>
      </c>
      <c r="G492" s="83">
        <f>SUMIFS(G493:G540,K493:K540,"0",B493:B540,"5 1 3 4 9 12 31111 6 M59 19000*")</f>
        <v>0</v>
      </c>
      <c r="H492" s="83">
        <f t="shared" si="8"/>
        <v>8090.89</v>
      </c>
      <c r="I492" s="83"/>
      <c r="K492" s="54" t="s">
        <v>15</v>
      </c>
    </row>
    <row r="493" spans="2:11" ht="16.5" x14ac:dyDescent="0.2">
      <c r="B493" s="82" t="s">
        <v>8820</v>
      </c>
      <c r="C493" s="82" t="s">
        <v>648</v>
      </c>
      <c r="D493" s="83">
        <f>SUMIFS(D494:D540,K494:K540,"0",B494:B540,"5 1 3 4 9 12 31111 6 M59 19000 000132*")-SUMIFS(E494:E540,K494:K540,"0",B494:B540,"5 1 3 4 9 12 31111 6 M59 19000 000132*")</f>
        <v>0</v>
      </c>
      <c r="E493" s="54"/>
      <c r="F493" s="83">
        <f>SUMIFS(F494:F540,K494:K540,"0",B494:B540,"5 1 3 4 9 12 31111 6 M59 19000 000132*")</f>
        <v>8090.89</v>
      </c>
      <c r="G493" s="83">
        <f>SUMIFS(G494:G540,K494:K540,"0",B494:B540,"5 1 3 4 9 12 31111 6 M59 19000 000132*")</f>
        <v>0</v>
      </c>
      <c r="H493" s="83">
        <f t="shared" si="8"/>
        <v>8090.89</v>
      </c>
      <c r="I493" s="83"/>
      <c r="K493" s="54" t="s">
        <v>15</v>
      </c>
    </row>
    <row r="494" spans="2:11" ht="24.75" x14ac:dyDescent="0.2">
      <c r="B494" s="82" t="s">
        <v>8821</v>
      </c>
      <c r="C494" s="82" t="s">
        <v>650</v>
      </c>
      <c r="D494" s="83">
        <f>SUMIFS(D495:D540,K495:K540,"0",B495:B540,"5 1 3 4 9 12 31111 6 M59 19000 000132 0000R*")-SUMIFS(E495:E540,K495:K540,"0",B495:B540,"5 1 3 4 9 12 31111 6 M59 19000 000132 0000R*")</f>
        <v>0</v>
      </c>
      <c r="E494" s="54"/>
      <c r="F494" s="83">
        <f>SUMIFS(F495:F540,K495:K540,"0",B495:B540,"5 1 3 4 9 12 31111 6 M59 19000 000132 0000R*")</f>
        <v>8090.89</v>
      </c>
      <c r="G494" s="83">
        <f>SUMIFS(G495:G540,K495:K540,"0",B495:B540,"5 1 3 4 9 12 31111 6 M59 19000 000132 0000R*")</f>
        <v>0</v>
      </c>
      <c r="H494" s="83">
        <f t="shared" si="8"/>
        <v>8090.89</v>
      </c>
      <c r="I494" s="83"/>
      <c r="K494" s="54" t="s">
        <v>15</v>
      </c>
    </row>
    <row r="495" spans="2:11" ht="24.75" x14ac:dyDescent="0.2">
      <c r="B495" s="82" t="s">
        <v>8822</v>
      </c>
      <c r="C495" s="82" t="s">
        <v>282</v>
      </c>
      <c r="D495" s="83">
        <f>SUMIFS(D496:D540,K496:K540,"0",B496:B540,"5 1 3 4 9 12 31111 6 M59 19000 000132 0000R 00001*")-SUMIFS(E496:E540,K496:K540,"0",B496:B540,"5 1 3 4 9 12 31111 6 M59 19000 000132 0000R 00001*")</f>
        <v>0</v>
      </c>
      <c r="E495" s="54"/>
      <c r="F495" s="83">
        <f>SUMIFS(F496:F540,K496:K540,"0",B496:B540,"5 1 3 4 9 12 31111 6 M59 19000 000132 0000R 00001*")</f>
        <v>8090.89</v>
      </c>
      <c r="G495" s="83">
        <f>SUMIFS(G496:G540,K496:K540,"0",B496:B540,"5 1 3 4 9 12 31111 6 M59 19000 000132 0000R 00001*")</f>
        <v>0</v>
      </c>
      <c r="H495" s="83">
        <f t="shared" si="8"/>
        <v>8090.89</v>
      </c>
      <c r="I495" s="83"/>
      <c r="K495" s="54" t="s">
        <v>15</v>
      </c>
    </row>
    <row r="496" spans="2:11" ht="24.75" x14ac:dyDescent="0.2">
      <c r="B496" s="82" t="s">
        <v>8823</v>
      </c>
      <c r="C496" s="82" t="s">
        <v>8824</v>
      </c>
      <c r="D496" s="83">
        <f>SUMIFS(D497:D540,K497:K540,"0",B497:B540,"5 1 3 4 9 12 31111 6 M59 19000 000132 0000R 00001 00349*")-SUMIFS(E497:E540,K497:K540,"0",B497:B540,"5 1 3 4 9 12 31111 6 M59 19000 000132 0000R 00001 00349*")</f>
        <v>0</v>
      </c>
      <c r="E496" s="54"/>
      <c r="F496" s="83">
        <f>SUMIFS(F497:F540,K497:K540,"0",B497:B540,"5 1 3 4 9 12 31111 6 M59 19000 000132 0000R 00001 00349*")</f>
        <v>8090.89</v>
      </c>
      <c r="G496" s="83">
        <f>SUMIFS(G497:G540,K497:K540,"0",B497:B540,"5 1 3 4 9 12 31111 6 M59 19000 000132 0000R 00001 00349*")</f>
        <v>0</v>
      </c>
      <c r="H496" s="83">
        <f t="shared" si="8"/>
        <v>8090.89</v>
      </c>
      <c r="I496" s="83"/>
      <c r="K496" s="54" t="s">
        <v>15</v>
      </c>
    </row>
    <row r="497" spans="2:11" ht="33" x14ac:dyDescent="0.2">
      <c r="B497" s="82" t="s">
        <v>8825</v>
      </c>
      <c r="C497" s="82" t="s">
        <v>656</v>
      </c>
      <c r="D497" s="83">
        <f>SUMIFS(D498:D540,K498:K540,"0",B498:B540,"5 1 3 4 9 12 31111 6 M59 19000 000132 0000R 00001 00349 025*")-SUMIFS(E498:E540,K498:K540,"0",B498:B540,"5 1 3 4 9 12 31111 6 M59 19000 000132 0000R 00001 00349 025*")</f>
        <v>0</v>
      </c>
      <c r="E497" s="54"/>
      <c r="F497" s="83">
        <f>SUMIFS(F498:F540,K498:K540,"0",B498:B540,"5 1 3 4 9 12 31111 6 M59 19000 000132 0000R 00001 00349 025*")</f>
        <v>8090.89</v>
      </c>
      <c r="G497" s="83">
        <f>SUMIFS(G498:G540,K498:K540,"0",B498:B540,"5 1 3 4 9 12 31111 6 M59 19000 000132 0000R 00001 00349 025*")</f>
        <v>0</v>
      </c>
      <c r="H497" s="83">
        <f t="shared" si="8"/>
        <v>8090.89</v>
      </c>
      <c r="I497" s="83"/>
      <c r="K497" s="54" t="s">
        <v>15</v>
      </c>
    </row>
    <row r="498" spans="2:11" ht="33" x14ac:dyDescent="0.2">
      <c r="B498" s="82" t="s">
        <v>8826</v>
      </c>
      <c r="C498" s="82" t="s">
        <v>5830</v>
      </c>
      <c r="D498" s="83">
        <f>SUMIFS(D499:D540,K499:K540,"0",B499:B540,"5 1 3 4 9 12 31111 6 M59 19000 000132 0000R 00001 00349 025 2112000*")-SUMIFS(E499:E540,K499:K540,"0",B499:B540,"5 1 3 4 9 12 31111 6 M59 19000 000132 0000R 00001 00349 025 2112000*")</f>
        <v>0</v>
      </c>
      <c r="E498" s="54"/>
      <c r="F498" s="83">
        <f>SUMIFS(F499:F540,K499:K540,"0",B499:B540,"5 1 3 4 9 12 31111 6 M59 19000 000132 0000R 00001 00349 025 2112000*")</f>
        <v>8090.89</v>
      </c>
      <c r="G498" s="83">
        <f>SUMIFS(G499:G540,K499:K540,"0",B499:B540,"5 1 3 4 9 12 31111 6 M59 19000 000132 0000R 00001 00349 025 2112000*")</f>
        <v>0</v>
      </c>
      <c r="H498" s="83">
        <f t="shared" si="8"/>
        <v>8090.89</v>
      </c>
      <c r="I498" s="83"/>
      <c r="K498" s="54" t="s">
        <v>15</v>
      </c>
    </row>
    <row r="499" spans="2:11" ht="33" x14ac:dyDescent="0.2">
      <c r="B499" s="82" t="s">
        <v>8827</v>
      </c>
      <c r="C499" s="82" t="s">
        <v>660</v>
      </c>
      <c r="D499" s="83">
        <f>SUMIFS(D500:D540,K500:K540,"0",B500:B540,"5 1 3 4 9 12 31111 6 M59 19000 000132 0000R 00001 00349 025 2112000 2024*")-SUMIFS(E500:E540,K500:K540,"0",B500:B540,"5 1 3 4 9 12 31111 6 M59 19000 000132 0000R 00001 00349 025 2112000 2024*")</f>
        <v>0</v>
      </c>
      <c r="E499" s="54"/>
      <c r="F499" s="83">
        <f>SUMIFS(F500:F540,K500:K540,"0",B500:B540,"5 1 3 4 9 12 31111 6 M59 19000 000132 0000R 00001 00349 025 2112000 2024*")</f>
        <v>8090.89</v>
      </c>
      <c r="G499" s="83">
        <f>SUMIFS(G500:G540,K500:K540,"0",B500:B540,"5 1 3 4 9 12 31111 6 M59 19000 000132 0000R 00001 00349 025 2112000 2024*")</f>
        <v>0</v>
      </c>
      <c r="H499" s="83">
        <f t="shared" si="8"/>
        <v>8090.89</v>
      </c>
      <c r="I499" s="83"/>
      <c r="K499" s="54" t="s">
        <v>15</v>
      </c>
    </row>
    <row r="500" spans="2:11" ht="41.25" x14ac:dyDescent="0.2">
      <c r="B500" s="82" t="s">
        <v>8828</v>
      </c>
      <c r="C500" s="82" t="s">
        <v>662</v>
      </c>
      <c r="D500" s="83">
        <f>SUMIFS(D501:D540,K501:K540,"0",B501:B540,"5 1 3 4 9 12 31111 6 M59 19000 000132 0000R 00001 00349 025 2112000 2024 CP1TM440*")-SUMIFS(E501:E540,K501:K540,"0",B501:B540,"5 1 3 4 9 12 31111 6 M59 19000 000132 0000R 00001 00349 025 2112000 2024 CP1TM440*")</f>
        <v>0</v>
      </c>
      <c r="E500" s="54"/>
      <c r="F500" s="83">
        <f>SUMIFS(F501:F540,K501:K540,"0",B501:B540,"5 1 3 4 9 12 31111 6 M59 19000 000132 0000R 00001 00349 025 2112000 2024 CP1TM440*")</f>
        <v>8090.89</v>
      </c>
      <c r="G500" s="83">
        <f>SUMIFS(G501:G540,K501:K540,"0",B501:B540,"5 1 3 4 9 12 31111 6 M59 19000 000132 0000R 00001 00349 025 2112000 2024 CP1TM440*")</f>
        <v>0</v>
      </c>
      <c r="H500" s="83">
        <f t="shared" si="8"/>
        <v>8090.89</v>
      </c>
      <c r="I500" s="83"/>
      <c r="K500" s="54" t="s">
        <v>15</v>
      </c>
    </row>
    <row r="501" spans="2:11" ht="41.25" x14ac:dyDescent="0.2">
      <c r="B501" s="82" t="s">
        <v>8829</v>
      </c>
      <c r="C501" s="82" t="s">
        <v>671</v>
      </c>
      <c r="D501" s="83">
        <f>SUMIFS(D502:D540,K502:K540,"0",B502:B540,"5 1 3 4 9 12 31111 6 M59 19000 000132 0000R 00001 00349 025 2112000 2024 CP1TM440 002*")-SUMIFS(E502:E540,K502:K540,"0",B502:B540,"5 1 3 4 9 12 31111 6 M59 19000 000132 0000R 00001 00349 025 2112000 2024 CP1TM440 002*")</f>
        <v>0</v>
      </c>
      <c r="E501" s="54"/>
      <c r="F501" s="83">
        <f>SUMIFS(F502:F540,K502:K540,"0",B502:B540,"5 1 3 4 9 12 31111 6 M59 19000 000132 0000R 00001 00349 025 2112000 2024 CP1TM440 002*")</f>
        <v>8090.89</v>
      </c>
      <c r="G501" s="83">
        <f>SUMIFS(G502:G540,K502:K540,"0",B502:B540,"5 1 3 4 9 12 31111 6 M59 19000 000132 0000R 00001 00349 025 2112000 2024 CP1TM440 002*")</f>
        <v>0</v>
      </c>
      <c r="H501" s="83">
        <f t="shared" si="8"/>
        <v>8090.89</v>
      </c>
      <c r="I501" s="83"/>
      <c r="K501" s="54" t="s">
        <v>15</v>
      </c>
    </row>
    <row r="502" spans="2:11" ht="33" x14ac:dyDescent="0.2">
      <c r="B502" s="84" t="s">
        <v>8830</v>
      </c>
      <c r="C502" s="84" t="s">
        <v>8814</v>
      </c>
      <c r="D502" s="85">
        <v>0</v>
      </c>
      <c r="E502" s="85"/>
      <c r="F502" s="85">
        <v>8090.89</v>
      </c>
      <c r="G502" s="85">
        <v>0</v>
      </c>
      <c r="H502" s="85">
        <f t="shared" si="8"/>
        <v>8090.89</v>
      </c>
      <c r="I502" s="85"/>
      <c r="K502" s="54" t="s">
        <v>38</v>
      </c>
    </row>
    <row r="503" spans="2:11" ht="12.75" x14ac:dyDescent="0.2">
      <c r="B503" s="82" t="s">
        <v>10103</v>
      </c>
      <c r="C503" s="82" t="s">
        <v>10104</v>
      </c>
      <c r="D503" s="83">
        <f>SUMIFS(D504:D540,K504:K540,"0",B504:B540,"5 6*")-SUMIFS(E504:E540,K504:K540,"0",B504:B540,"5 6*")</f>
        <v>0</v>
      </c>
      <c r="E503" s="54"/>
      <c r="F503" s="83">
        <f>SUMIFS(F504:F540,K504:K540,"0",B504:B540,"5 6*")</f>
        <v>21262154.199999996</v>
      </c>
      <c r="G503" s="83">
        <f>SUMIFS(G504:G540,K504:K540,"0",B504:B540,"5 6*")</f>
        <v>0</v>
      </c>
      <c r="H503" s="83">
        <f t="shared" si="8"/>
        <v>21262154.199999996</v>
      </c>
      <c r="I503" s="83"/>
      <c r="K503" s="54" t="s">
        <v>15</v>
      </c>
    </row>
    <row r="504" spans="2:11" ht="16.5" x14ac:dyDescent="0.2">
      <c r="B504" s="82" t="s">
        <v>10105</v>
      </c>
      <c r="C504" s="82" t="s">
        <v>10106</v>
      </c>
      <c r="D504" s="83">
        <f>SUMIFS(D505:D540,K505:K540,"0",B505:B540,"5 6 1*")-SUMIFS(E505:E540,K505:K540,"0",B505:B540,"5 6 1*")</f>
        <v>0</v>
      </c>
      <c r="E504" s="54"/>
      <c r="F504" s="83">
        <f>SUMIFS(F505:F540,K505:K540,"0",B505:B540,"5 6 1*")</f>
        <v>21262154.199999996</v>
      </c>
      <c r="G504" s="83">
        <f>SUMIFS(G505:G540,K505:K540,"0",B505:B540,"5 6 1*")</f>
        <v>0</v>
      </c>
      <c r="H504" s="83">
        <f t="shared" si="8"/>
        <v>21262154.199999996</v>
      </c>
      <c r="I504" s="83"/>
      <c r="K504" s="54" t="s">
        <v>15</v>
      </c>
    </row>
    <row r="505" spans="2:11" ht="16.5" x14ac:dyDescent="0.2">
      <c r="B505" s="82" t="s">
        <v>10107</v>
      </c>
      <c r="C505" s="82" t="s">
        <v>10108</v>
      </c>
      <c r="D505" s="83">
        <f>SUMIFS(D506:D540,K506:K540,"0",B506:B540,"5 6 1 1*")-SUMIFS(E506:E540,K506:K540,"0",B506:B540,"5 6 1 1*")</f>
        <v>0</v>
      </c>
      <c r="E505" s="54"/>
      <c r="F505" s="83">
        <f>SUMIFS(F506:F540,K506:K540,"0",B506:B540,"5 6 1 1*")</f>
        <v>21262154.199999996</v>
      </c>
      <c r="G505" s="83">
        <f>SUMIFS(G506:G540,K506:K540,"0",B506:B540,"5 6 1 1*")</f>
        <v>0</v>
      </c>
      <c r="H505" s="83">
        <f t="shared" si="8"/>
        <v>21262154.199999996</v>
      </c>
      <c r="I505" s="83"/>
      <c r="K505" s="54" t="s">
        <v>15</v>
      </c>
    </row>
    <row r="506" spans="2:11" ht="24.75" x14ac:dyDescent="0.2">
      <c r="B506" s="82" t="s">
        <v>10138</v>
      </c>
      <c r="C506" s="82" t="s">
        <v>10139</v>
      </c>
      <c r="D506" s="83">
        <f>SUMIFS(D507:D540,K507:K540,"0",B507:B540,"5 6 1 1 4*")-SUMIFS(E507:E540,K507:K540,"0",B507:B540,"5 6 1 1 4*")</f>
        <v>0</v>
      </c>
      <c r="E506" s="54"/>
      <c r="F506" s="83">
        <f>SUMIFS(F507:F540,K507:K540,"0",B507:B540,"5 6 1 1 4*")</f>
        <v>21262154.199999996</v>
      </c>
      <c r="G506" s="83">
        <f>SUMIFS(G507:G540,K507:K540,"0",B507:B540,"5 6 1 1 4*")</f>
        <v>0</v>
      </c>
      <c r="H506" s="83">
        <f t="shared" si="8"/>
        <v>21262154.199999996</v>
      </c>
      <c r="I506" s="83"/>
      <c r="K506" s="54" t="s">
        <v>15</v>
      </c>
    </row>
    <row r="507" spans="2:11" ht="12.75" x14ac:dyDescent="0.2">
      <c r="B507" s="82" t="s">
        <v>10140</v>
      </c>
      <c r="C507" s="82" t="s">
        <v>26</v>
      </c>
      <c r="D507" s="83">
        <f>SUMIFS(D508:D540,K508:K540,"0",B508:B540,"5 6 1 1 4 12*")-SUMIFS(E508:E540,K508:K540,"0",B508:B540,"5 6 1 1 4 12*")</f>
        <v>0</v>
      </c>
      <c r="E507" s="54"/>
      <c r="F507" s="83">
        <f>SUMIFS(F508:F540,K508:K540,"0",B508:B540,"5 6 1 1 4 12*")</f>
        <v>21262154.199999996</v>
      </c>
      <c r="G507" s="83">
        <f>SUMIFS(G508:G540,K508:K540,"0",B508:B540,"5 6 1 1 4 12*")</f>
        <v>0</v>
      </c>
      <c r="H507" s="83">
        <f t="shared" si="8"/>
        <v>21262154.199999996</v>
      </c>
      <c r="I507" s="83"/>
      <c r="K507" s="54" t="s">
        <v>15</v>
      </c>
    </row>
    <row r="508" spans="2:11" ht="16.5" x14ac:dyDescent="0.2">
      <c r="B508" s="82" t="s">
        <v>10141</v>
      </c>
      <c r="C508" s="82" t="s">
        <v>28</v>
      </c>
      <c r="D508" s="83">
        <f>SUMIFS(D509:D540,K509:K540,"0",B509:B540,"5 6 1 1 4 12 31111*")-SUMIFS(E509:E540,K509:K540,"0",B509:B540,"5 6 1 1 4 12 31111*")</f>
        <v>0</v>
      </c>
      <c r="E508" s="54"/>
      <c r="F508" s="83">
        <f>SUMIFS(F509:F540,K509:K540,"0",B509:B540,"5 6 1 1 4 12 31111*")</f>
        <v>21262154.199999996</v>
      </c>
      <c r="G508" s="83">
        <f>SUMIFS(G509:G540,K509:K540,"0",B509:B540,"5 6 1 1 4 12 31111*")</f>
        <v>0</v>
      </c>
      <c r="H508" s="83">
        <f t="shared" si="8"/>
        <v>21262154.199999996</v>
      </c>
      <c r="I508" s="83"/>
      <c r="K508" s="54" t="s">
        <v>15</v>
      </c>
    </row>
    <row r="509" spans="2:11" ht="12.75" x14ac:dyDescent="0.2">
      <c r="B509" s="82" t="s">
        <v>10142</v>
      </c>
      <c r="C509" s="82" t="s">
        <v>30</v>
      </c>
      <c r="D509" s="83">
        <f>SUMIFS(D510:D540,K510:K540,"0",B510:B540,"5 6 1 1 4 12 31111 6*")-SUMIFS(E510:E540,K510:K540,"0",B510:B540,"5 6 1 1 4 12 31111 6*")</f>
        <v>0</v>
      </c>
      <c r="E509" s="54"/>
      <c r="F509" s="83">
        <f>SUMIFS(F510:F540,K510:K540,"0",B510:B540,"5 6 1 1 4 12 31111 6*")</f>
        <v>21262154.199999996</v>
      </c>
      <c r="G509" s="83">
        <f>SUMIFS(G510:G540,K510:K540,"0",B510:B540,"5 6 1 1 4 12 31111 6*")</f>
        <v>0</v>
      </c>
      <c r="H509" s="83">
        <f t="shared" si="8"/>
        <v>21262154.199999996</v>
      </c>
      <c r="I509" s="83"/>
      <c r="K509" s="54" t="s">
        <v>15</v>
      </c>
    </row>
    <row r="510" spans="2:11" ht="16.5" x14ac:dyDescent="0.2">
      <c r="B510" s="82" t="s">
        <v>10143</v>
      </c>
      <c r="C510" s="82" t="s">
        <v>32</v>
      </c>
      <c r="D510" s="83">
        <f>SUMIFS(D511:D540,K511:K540,"0",B511:B540,"5 6 1 1 4 12 31111 6 M59*")-SUMIFS(E511:E540,K511:K540,"0",B511:B540,"5 6 1 1 4 12 31111 6 M59*")</f>
        <v>0</v>
      </c>
      <c r="E510" s="54"/>
      <c r="F510" s="83">
        <f>SUMIFS(F511:F540,K511:K540,"0",B511:B540,"5 6 1 1 4 12 31111 6 M59*")</f>
        <v>21262154.199999996</v>
      </c>
      <c r="G510" s="83">
        <f>SUMIFS(G511:G540,K511:K540,"0",B511:B540,"5 6 1 1 4 12 31111 6 M59*")</f>
        <v>0</v>
      </c>
      <c r="H510" s="83">
        <f t="shared" si="8"/>
        <v>21262154.199999996</v>
      </c>
      <c r="I510" s="83"/>
      <c r="K510" s="54" t="s">
        <v>15</v>
      </c>
    </row>
    <row r="511" spans="2:11" ht="24.75" x14ac:dyDescent="0.2">
      <c r="B511" s="82" t="s">
        <v>10144</v>
      </c>
      <c r="C511" s="82" t="s">
        <v>2079</v>
      </c>
      <c r="D511" s="83">
        <f>SUMIFS(D512:D540,K512:K540,"0",B512:B540,"5 6 1 1 4 12 31111 6 M59 00002*")-SUMIFS(E512:E540,K512:K540,"0",B512:B540,"5 6 1 1 4 12 31111 6 M59 00002*")</f>
        <v>0</v>
      </c>
      <c r="E511" s="54"/>
      <c r="F511" s="83">
        <f>SUMIFS(F512:F540,K512:K540,"0",B512:B540,"5 6 1 1 4 12 31111 6 M59 00002*")</f>
        <v>21262154.199999996</v>
      </c>
      <c r="G511" s="83">
        <f>SUMIFS(G512:G540,K512:K540,"0",B512:B540,"5 6 1 1 4 12 31111 6 M59 00002*")</f>
        <v>0</v>
      </c>
      <c r="H511" s="83">
        <f t="shared" si="8"/>
        <v>21262154.199999996</v>
      </c>
      <c r="I511" s="83"/>
      <c r="K511" s="54" t="s">
        <v>15</v>
      </c>
    </row>
    <row r="512" spans="2:11" ht="16.5" x14ac:dyDescent="0.2">
      <c r="B512" s="82" t="s">
        <v>10145</v>
      </c>
      <c r="C512" s="82" t="s">
        <v>660</v>
      </c>
      <c r="D512" s="83">
        <f>SUMIFS(D513:D540,K513:K540,"0",B513:B540,"5 6 1 1 4 12 31111 6 M59 00002 000001*")-SUMIFS(E513:E540,K513:K540,"0",B513:B540,"5 6 1 1 4 12 31111 6 M59 00002 000001*")</f>
        <v>0</v>
      </c>
      <c r="E512" s="54"/>
      <c r="F512" s="83">
        <f>SUMIFS(F513:F540,K513:K540,"0",B513:B540,"5 6 1 1 4 12 31111 6 M59 00002 000001*")</f>
        <v>21262154.199999996</v>
      </c>
      <c r="G512" s="83">
        <f>SUMIFS(G513:G540,K513:K540,"0",B513:B540,"5 6 1 1 4 12 31111 6 M59 00002 000001*")</f>
        <v>0</v>
      </c>
      <c r="H512" s="83">
        <f t="shared" si="8"/>
        <v>21262154.199999996</v>
      </c>
      <c r="I512" s="83"/>
      <c r="K512" s="54" t="s">
        <v>15</v>
      </c>
    </row>
    <row r="513" spans="2:11" ht="24.75" x14ac:dyDescent="0.2">
      <c r="B513" s="82" t="s">
        <v>10146</v>
      </c>
      <c r="C513" s="82" t="s">
        <v>10147</v>
      </c>
      <c r="D513" s="83">
        <f>SUMIFS(D514:D540,K514:K540,"0",B514:B540,"5 6 1 1 4 12 31111 6 M59 00002 000001 00001*")-SUMIFS(E514:E540,K514:K540,"0",B514:B540,"5 6 1 1 4 12 31111 6 M59 00002 000001 00001*")</f>
        <v>0</v>
      </c>
      <c r="E513" s="54"/>
      <c r="F513" s="83">
        <f>SUMIFS(F514:F540,K514:K540,"0",B514:B540,"5 6 1 1 4 12 31111 6 M59 00002 000001 00001*")</f>
        <v>21262154.199999996</v>
      </c>
      <c r="G513" s="83">
        <f>SUMIFS(G514:G540,K514:K540,"0",B514:B540,"5 6 1 1 4 12 31111 6 M59 00002 000001 00001*")</f>
        <v>0</v>
      </c>
      <c r="H513" s="83">
        <f t="shared" si="8"/>
        <v>21262154.199999996</v>
      </c>
      <c r="I513" s="83"/>
      <c r="K513" s="54" t="s">
        <v>15</v>
      </c>
    </row>
    <row r="514" spans="2:11" ht="33" x14ac:dyDescent="0.2">
      <c r="B514" s="84" t="s">
        <v>10148</v>
      </c>
      <c r="C514" s="84" t="s">
        <v>930</v>
      </c>
      <c r="D514" s="85">
        <v>0</v>
      </c>
      <c r="E514" s="85"/>
      <c r="F514" s="85">
        <v>1995495.64</v>
      </c>
      <c r="G514" s="85">
        <v>0</v>
      </c>
      <c r="H514" s="85">
        <f t="shared" si="8"/>
        <v>1995495.64</v>
      </c>
      <c r="I514" s="85"/>
      <c r="K514" s="54" t="s">
        <v>38</v>
      </c>
    </row>
    <row r="515" spans="2:11" ht="33" x14ac:dyDescent="0.2">
      <c r="B515" s="84" t="s">
        <v>10149</v>
      </c>
      <c r="C515" s="84" t="s">
        <v>932</v>
      </c>
      <c r="D515" s="85">
        <v>0</v>
      </c>
      <c r="E515" s="85"/>
      <c r="F515" s="85">
        <v>2132453.29</v>
      </c>
      <c r="G515" s="85">
        <v>0</v>
      </c>
      <c r="H515" s="85">
        <f t="shared" si="8"/>
        <v>2132453.29</v>
      </c>
      <c r="I515" s="85"/>
      <c r="K515" s="54" t="s">
        <v>38</v>
      </c>
    </row>
    <row r="516" spans="2:11" ht="41.25" x14ac:dyDescent="0.2">
      <c r="B516" s="84" t="s">
        <v>10150</v>
      </c>
      <c r="C516" s="84" t="s">
        <v>934</v>
      </c>
      <c r="D516" s="85">
        <v>0</v>
      </c>
      <c r="E516" s="85"/>
      <c r="F516" s="85">
        <v>1780176.78</v>
      </c>
      <c r="G516" s="85">
        <v>0</v>
      </c>
      <c r="H516" s="85">
        <f t="shared" si="8"/>
        <v>1780176.78</v>
      </c>
      <c r="I516" s="85"/>
      <c r="K516" s="54" t="s">
        <v>38</v>
      </c>
    </row>
    <row r="517" spans="2:11" ht="24.75" x14ac:dyDescent="0.2">
      <c r="B517" s="84" t="s">
        <v>10151</v>
      </c>
      <c r="C517" s="84" t="s">
        <v>874</v>
      </c>
      <c r="D517" s="85">
        <v>0</v>
      </c>
      <c r="E517" s="85"/>
      <c r="F517" s="85">
        <v>1829425.95</v>
      </c>
      <c r="G517" s="85">
        <v>0</v>
      </c>
      <c r="H517" s="85">
        <f t="shared" si="8"/>
        <v>1829425.95</v>
      </c>
      <c r="I517" s="85"/>
      <c r="K517" s="54" t="s">
        <v>38</v>
      </c>
    </row>
    <row r="518" spans="2:11" ht="33" x14ac:dyDescent="0.2">
      <c r="B518" s="84" t="s">
        <v>10152</v>
      </c>
      <c r="C518" s="84" t="s">
        <v>936</v>
      </c>
      <c r="D518" s="85">
        <v>0</v>
      </c>
      <c r="E518" s="85"/>
      <c r="F518" s="85">
        <v>1564863.74</v>
      </c>
      <c r="G518" s="85">
        <v>0</v>
      </c>
      <c r="H518" s="85">
        <f t="shared" si="8"/>
        <v>1564863.74</v>
      </c>
      <c r="I518" s="85"/>
      <c r="K518" s="54" t="s">
        <v>38</v>
      </c>
    </row>
    <row r="519" spans="2:11" ht="41.25" x14ac:dyDescent="0.2">
      <c r="B519" s="84" t="s">
        <v>10153</v>
      </c>
      <c r="C519" s="84" t="s">
        <v>938</v>
      </c>
      <c r="D519" s="85">
        <v>0</v>
      </c>
      <c r="E519" s="85"/>
      <c r="F519" s="85">
        <v>1905697.5</v>
      </c>
      <c r="G519" s="85">
        <v>0</v>
      </c>
      <c r="H519" s="85">
        <f t="shared" si="8"/>
        <v>1905697.5</v>
      </c>
      <c r="I519" s="85"/>
      <c r="K519" s="54" t="s">
        <v>38</v>
      </c>
    </row>
    <row r="520" spans="2:11" ht="33" x14ac:dyDescent="0.2">
      <c r="B520" s="84" t="s">
        <v>10154</v>
      </c>
      <c r="C520" s="84" t="s">
        <v>940</v>
      </c>
      <c r="D520" s="85">
        <v>0</v>
      </c>
      <c r="E520" s="85"/>
      <c r="F520" s="85">
        <v>1074203.3600000001</v>
      </c>
      <c r="G520" s="85">
        <v>0</v>
      </c>
      <c r="H520" s="85">
        <f t="shared" si="8"/>
        <v>1074203.3600000001</v>
      </c>
      <c r="I520" s="85"/>
      <c r="K520" s="54" t="s">
        <v>38</v>
      </c>
    </row>
    <row r="521" spans="2:11" ht="33" x14ac:dyDescent="0.2">
      <c r="B521" s="84" t="s">
        <v>10155</v>
      </c>
      <c r="C521" s="84" t="s">
        <v>942</v>
      </c>
      <c r="D521" s="85">
        <v>0</v>
      </c>
      <c r="E521" s="85"/>
      <c r="F521" s="85">
        <v>1935808</v>
      </c>
      <c r="G521" s="85">
        <v>0</v>
      </c>
      <c r="H521" s="85">
        <f t="shared" si="8"/>
        <v>1935808</v>
      </c>
      <c r="I521" s="85"/>
      <c r="K521" s="54" t="s">
        <v>38</v>
      </c>
    </row>
    <row r="522" spans="2:11" ht="41.25" x14ac:dyDescent="0.2">
      <c r="B522" s="84" t="s">
        <v>10156</v>
      </c>
      <c r="C522" s="84" t="s">
        <v>944</v>
      </c>
      <c r="D522" s="85">
        <v>0</v>
      </c>
      <c r="E522" s="85"/>
      <c r="F522" s="85">
        <v>1965697.5</v>
      </c>
      <c r="G522" s="85">
        <v>0</v>
      </c>
      <c r="H522" s="85">
        <f t="shared" si="8"/>
        <v>1965697.5</v>
      </c>
      <c r="I522" s="85"/>
      <c r="K522" s="54" t="s">
        <v>38</v>
      </c>
    </row>
    <row r="523" spans="2:11" ht="41.25" x14ac:dyDescent="0.2">
      <c r="B523" s="84" t="s">
        <v>10157</v>
      </c>
      <c r="C523" s="84" t="s">
        <v>946</v>
      </c>
      <c r="D523" s="85">
        <v>0</v>
      </c>
      <c r="E523" s="85"/>
      <c r="F523" s="85">
        <v>1804827.5</v>
      </c>
      <c r="G523" s="85">
        <v>0</v>
      </c>
      <c r="H523" s="85">
        <f t="shared" si="8"/>
        <v>1804827.5</v>
      </c>
      <c r="I523" s="85"/>
      <c r="K523" s="54" t="s">
        <v>38</v>
      </c>
    </row>
    <row r="524" spans="2:11" ht="33" x14ac:dyDescent="0.2">
      <c r="B524" s="84" t="s">
        <v>10158</v>
      </c>
      <c r="C524" s="84" t="s">
        <v>948</v>
      </c>
      <c r="D524" s="85">
        <v>0</v>
      </c>
      <c r="E524" s="85"/>
      <c r="F524" s="85">
        <v>1586752.47</v>
      </c>
      <c r="G524" s="85">
        <v>0</v>
      </c>
      <c r="H524" s="85">
        <f t="shared" si="8"/>
        <v>1586752.47</v>
      </c>
      <c r="I524" s="85"/>
      <c r="K524" s="54" t="s">
        <v>38</v>
      </c>
    </row>
    <row r="525" spans="2:11" ht="24.75" x14ac:dyDescent="0.2">
      <c r="B525" s="84" t="s">
        <v>10159</v>
      </c>
      <c r="C525" s="84" t="s">
        <v>950</v>
      </c>
      <c r="D525" s="85">
        <v>0</v>
      </c>
      <c r="E525" s="85"/>
      <c r="F525" s="85">
        <v>1686752.47</v>
      </c>
      <c r="G525" s="85">
        <v>0</v>
      </c>
      <c r="H525" s="85">
        <f t="shared" si="8"/>
        <v>1686752.47</v>
      </c>
      <c r="I525" s="85"/>
      <c r="K525" s="54" t="s">
        <v>38</v>
      </c>
    </row>
    <row r="526" spans="2:11" ht="16.5" x14ac:dyDescent="0.2">
      <c r="B526" s="82" t="s">
        <v>10160</v>
      </c>
      <c r="C526" s="82" t="s">
        <v>10161</v>
      </c>
      <c r="D526" s="83">
        <f>SUMIFS(D527:D540,K527:K540,"0",B527:B540,"8*")-SUMIFS(E527:E540,K527:K540,"0",B527:B540,"8*")</f>
        <v>0</v>
      </c>
      <c r="E526" s="54"/>
      <c r="F526" s="83">
        <f>SUMIFS(F527:F540,K527:K540,"0",B527:B540,"8*")</f>
        <v>851263361.9799999</v>
      </c>
      <c r="G526" s="83">
        <f>SUMIFS(G527:G540,K527:K540,"0",B527:B540,"8*")</f>
        <v>851263361.9799999</v>
      </c>
      <c r="H526" s="83">
        <f t="shared" si="8"/>
        <v>0</v>
      </c>
      <c r="I526" s="83"/>
      <c r="K526" s="54" t="s">
        <v>15</v>
      </c>
    </row>
    <row r="527" spans="2:11" ht="12.75" x14ac:dyDescent="0.2">
      <c r="B527" s="82" t="s">
        <v>10162</v>
      </c>
      <c r="C527" s="82" t="s">
        <v>10163</v>
      </c>
      <c r="D527" s="83">
        <f>SUMIFS(D528:D540,K528:K540,"0",B528:B540,"8 1*")-SUMIFS(E528:E540,K528:K540,"0",B528:B540,"8 1*")</f>
        <v>0</v>
      </c>
      <c r="E527" s="54"/>
      <c r="F527" s="83">
        <f>SUMIFS(F528:F540,K528:K540,"0",B528:B540,"8 1*")</f>
        <v>319229700.63</v>
      </c>
      <c r="G527" s="83">
        <f>SUMIFS(G528:G540,K528:K540,"0",B528:B540,"8 1*")</f>
        <v>319229700.63</v>
      </c>
      <c r="H527" s="83">
        <f t="shared" si="8"/>
        <v>0</v>
      </c>
      <c r="I527" s="83"/>
      <c r="K527" s="54" t="s">
        <v>15</v>
      </c>
    </row>
    <row r="528" spans="2:11" ht="12.75" x14ac:dyDescent="0.2">
      <c r="B528" s="84" t="s">
        <v>10164</v>
      </c>
      <c r="C528" s="84" t="s">
        <v>10165</v>
      </c>
      <c r="D528" s="85">
        <v>0</v>
      </c>
      <c r="E528" s="85"/>
      <c r="F528" s="85">
        <v>104757982</v>
      </c>
      <c r="G528" s="85">
        <v>0</v>
      </c>
      <c r="H528" s="85">
        <f t="shared" si="8"/>
        <v>104757982</v>
      </c>
      <c r="I528" s="85"/>
      <c r="K528" s="54" t="s">
        <v>38</v>
      </c>
    </row>
    <row r="529" spans="2:11" ht="12.75" x14ac:dyDescent="0.2">
      <c r="B529" s="84" t="s">
        <v>10166</v>
      </c>
      <c r="C529" s="84" t="s">
        <v>10167</v>
      </c>
      <c r="D529" s="85"/>
      <c r="E529" s="85">
        <v>0</v>
      </c>
      <c r="F529" s="85">
        <v>106409900.20999999</v>
      </c>
      <c r="G529" s="85">
        <v>106409900.20999999</v>
      </c>
      <c r="H529" s="85"/>
      <c r="I529" s="85">
        <f>E529 - F529 + G529</f>
        <v>0</v>
      </c>
      <c r="K529" s="54" t="s">
        <v>38</v>
      </c>
    </row>
    <row r="530" spans="2:11" ht="16.5" x14ac:dyDescent="0.2">
      <c r="B530" s="84" t="s">
        <v>10168</v>
      </c>
      <c r="C530" s="84" t="s">
        <v>10169</v>
      </c>
      <c r="D530" s="85">
        <v>0</v>
      </c>
      <c r="E530" s="85"/>
      <c r="F530" s="85">
        <v>1651918.21</v>
      </c>
      <c r="G530" s="85">
        <v>0</v>
      </c>
      <c r="H530" s="85">
        <f>D530 + F530 - G530</f>
        <v>1651918.21</v>
      </c>
      <c r="I530" s="85"/>
      <c r="K530" s="54" t="s">
        <v>38</v>
      </c>
    </row>
    <row r="531" spans="2:11" ht="12.75" x14ac:dyDescent="0.2">
      <c r="B531" s="84" t="s">
        <v>10170</v>
      </c>
      <c r="C531" s="84" t="s">
        <v>10171</v>
      </c>
      <c r="D531" s="85"/>
      <c r="E531" s="85">
        <v>0</v>
      </c>
      <c r="F531" s="85">
        <v>106409900.20999999</v>
      </c>
      <c r="G531" s="85">
        <v>106409900.20999999</v>
      </c>
      <c r="H531" s="85"/>
      <c r="I531" s="85">
        <f>E531 - F531 + G531</f>
        <v>0</v>
      </c>
      <c r="K531" s="54" t="s">
        <v>38</v>
      </c>
    </row>
    <row r="532" spans="2:11" ht="12.75" x14ac:dyDescent="0.2">
      <c r="B532" s="84" t="s">
        <v>10172</v>
      </c>
      <c r="C532" s="84" t="s">
        <v>10173</v>
      </c>
      <c r="D532" s="85"/>
      <c r="E532" s="85">
        <v>0</v>
      </c>
      <c r="F532" s="85">
        <v>0</v>
      </c>
      <c r="G532" s="85">
        <v>106409900.20999999</v>
      </c>
      <c r="H532" s="85"/>
      <c r="I532" s="85">
        <f>E532 - F532 + G532</f>
        <v>106409900.20999999</v>
      </c>
      <c r="K532" s="54" t="s">
        <v>38</v>
      </c>
    </row>
    <row r="533" spans="2:11" ht="12.75" x14ac:dyDescent="0.2">
      <c r="B533" s="82" t="s">
        <v>10174</v>
      </c>
      <c r="C533" s="82" t="s">
        <v>10175</v>
      </c>
      <c r="D533" s="54"/>
      <c r="E533" s="83">
        <f>SUMIFS(E534:E540,K534:K540,"0",B534:B540,"8 2*")-SUMIFS(D534:D540,K534:K540,"0",B534:B540,"8 2*")</f>
        <v>0</v>
      </c>
      <c r="F533" s="83">
        <f>SUMIFS(F534:F540,K534:K540,"0",B534:B540,"8 2*")</f>
        <v>532033661.34999996</v>
      </c>
      <c r="G533" s="83">
        <f>SUMIFS(G534:G540,K534:K540,"0",B534:B540,"8 2*")</f>
        <v>532033661.34999996</v>
      </c>
      <c r="H533" s="83"/>
      <c r="I533" s="83">
        <f>E533 - F533 + G533</f>
        <v>0</v>
      </c>
      <c r="K533" s="54" t="s">
        <v>15</v>
      </c>
    </row>
    <row r="534" spans="2:11" ht="16.5" x14ac:dyDescent="0.2">
      <c r="B534" s="84" t="s">
        <v>10176</v>
      </c>
      <c r="C534" s="84" t="s">
        <v>10177</v>
      </c>
      <c r="D534" s="85"/>
      <c r="E534" s="85">
        <v>0</v>
      </c>
      <c r="F534" s="85">
        <v>0</v>
      </c>
      <c r="G534" s="85">
        <v>104757982</v>
      </c>
      <c r="H534" s="85"/>
      <c r="I534" s="85">
        <f>E534 - F534 + G534</f>
        <v>104757982</v>
      </c>
      <c r="K534" s="54" t="s">
        <v>38</v>
      </c>
    </row>
    <row r="535" spans="2:11" ht="16.5" x14ac:dyDescent="0.2">
      <c r="B535" s="84" t="s">
        <v>10178</v>
      </c>
      <c r="C535" s="84" t="s">
        <v>10179</v>
      </c>
      <c r="D535" s="85">
        <v>0</v>
      </c>
      <c r="E535" s="85"/>
      <c r="F535" s="85">
        <v>106406732.27</v>
      </c>
      <c r="G535" s="85">
        <v>106406732.27</v>
      </c>
      <c r="H535" s="85">
        <f>D535 + F535 - G535</f>
        <v>0</v>
      </c>
      <c r="I535" s="85"/>
      <c r="K535" s="54" t="s">
        <v>38</v>
      </c>
    </row>
    <row r="536" spans="2:11" ht="16.5" x14ac:dyDescent="0.2">
      <c r="B536" s="84" t="s">
        <v>10180</v>
      </c>
      <c r="C536" s="84" t="s">
        <v>10181</v>
      </c>
      <c r="D536" s="85"/>
      <c r="E536" s="85">
        <v>0</v>
      </c>
      <c r="F536" s="85">
        <v>0</v>
      </c>
      <c r="G536" s="85">
        <v>1648750.27</v>
      </c>
      <c r="H536" s="85"/>
      <c r="I536" s="85">
        <f>E536 - F536 + G536</f>
        <v>1648750.27</v>
      </c>
      <c r="K536" s="54" t="s">
        <v>38</v>
      </c>
    </row>
    <row r="537" spans="2:11" ht="16.5" x14ac:dyDescent="0.2">
      <c r="B537" s="84" t="s">
        <v>10182</v>
      </c>
      <c r="C537" s="84" t="s">
        <v>10183</v>
      </c>
      <c r="D537" s="85">
        <v>0</v>
      </c>
      <c r="E537" s="85"/>
      <c r="F537" s="85">
        <v>106406732.27</v>
      </c>
      <c r="G537" s="85">
        <v>106406732.27</v>
      </c>
      <c r="H537" s="85">
        <f>D537 + F537 - G537</f>
        <v>0</v>
      </c>
      <c r="I537" s="85"/>
      <c r="K537" s="54" t="s">
        <v>38</v>
      </c>
    </row>
    <row r="538" spans="2:11" ht="16.5" x14ac:dyDescent="0.2">
      <c r="B538" s="84" t="s">
        <v>10184</v>
      </c>
      <c r="C538" s="84" t="s">
        <v>10185</v>
      </c>
      <c r="D538" s="85">
        <v>0</v>
      </c>
      <c r="E538" s="85"/>
      <c r="F538" s="85">
        <v>106406732.27</v>
      </c>
      <c r="G538" s="85">
        <v>106406732.27</v>
      </c>
      <c r="H538" s="85">
        <f>D538 + F538 - G538</f>
        <v>0</v>
      </c>
      <c r="I538" s="85"/>
      <c r="K538" s="54" t="s">
        <v>38</v>
      </c>
    </row>
    <row r="539" spans="2:11" ht="16.5" x14ac:dyDescent="0.2">
      <c r="B539" s="84" t="s">
        <v>10186</v>
      </c>
      <c r="C539" s="84" t="s">
        <v>10187</v>
      </c>
      <c r="D539" s="85">
        <v>0</v>
      </c>
      <c r="E539" s="85"/>
      <c r="F539" s="85">
        <v>106406732.27</v>
      </c>
      <c r="G539" s="85">
        <v>106406732.27</v>
      </c>
      <c r="H539" s="85">
        <f>D539 + F539 - G539</f>
        <v>0</v>
      </c>
      <c r="I539" s="85"/>
      <c r="K539" s="54" t="s">
        <v>38</v>
      </c>
    </row>
    <row r="540" spans="2:11" ht="12.75" x14ac:dyDescent="0.2">
      <c r="B540" s="84" t="s">
        <v>10188</v>
      </c>
      <c r="C540" s="84" t="s">
        <v>10189</v>
      </c>
      <c r="D540" s="85">
        <v>0</v>
      </c>
      <c r="E540" s="85"/>
      <c r="F540" s="85">
        <v>106406732.27</v>
      </c>
      <c r="G540" s="85">
        <v>0</v>
      </c>
      <c r="H540" s="85">
        <f>D540 + F540 - G540</f>
        <v>106406732.27</v>
      </c>
      <c r="I540" s="85"/>
      <c r="K540" s="54" t="s">
        <v>38</v>
      </c>
    </row>
    <row r="542" spans="2:11" x14ac:dyDescent="0.2">
      <c r="D542" s="87">
        <f>SUMIF(K12:K540,"=0",D12:D540)</f>
        <v>42346275.040000007</v>
      </c>
      <c r="E542" s="87">
        <f>SUMIF(K12:K540,"=0",E12:E540)</f>
        <v>42346275.039999992</v>
      </c>
      <c r="F542" s="87">
        <f>SUMIF(K12:K540,"=0",F12:F540)</f>
        <v>1293394860.5000002</v>
      </c>
      <c r="G542" s="87">
        <f>SUMIF(K12:K540,"=0",G12:G540)</f>
        <v>1293394860.5</v>
      </c>
      <c r="H542" s="87">
        <f>SUMIF(K12:K540,"=0",H12:H540)</f>
        <v>361660678.25999993</v>
      </c>
      <c r="I542" s="87">
        <f>SUMIF(K12:K540,"=0",I12:I540)</f>
        <v>361660678.25999993</v>
      </c>
    </row>
    <row r="546" spans="2:2" x14ac:dyDescent="0.2">
      <c r="B546" s="88" t="str">
        <f>IF(AND(ROUND(D542, 2)=ROUND(E542, 2), ROUND(F542, 2)=ROUND(G542, 2), ROUND(H542,2)=ROUND(I542,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9:E9"/>
    <mergeCell ref="F9:G9"/>
    <mergeCell ref="H9:I9"/>
    <mergeCell ref="D10:E10"/>
    <mergeCell ref="F10:G10"/>
    <mergeCell ref="H10:I10"/>
    <mergeCell ref="B2:I2"/>
    <mergeCell ref="B3:I3"/>
    <mergeCell ref="B4:I4"/>
    <mergeCell ref="B5:I5"/>
    <mergeCell ref="B6:I6"/>
    <mergeCell ref="B7:I7"/>
  </mergeCells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8EBC8-427C-472D-B82A-F9DF9052C13F}">
  <dimension ref="A1:K1502"/>
  <sheetViews>
    <sheetView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81" customWidth="1" collapsed="1"/>
    <col min="2" max="2" width="16.42578125" style="81" customWidth="1" collapsed="1"/>
    <col min="3" max="3" width="23" style="86" customWidth="1" collapsed="1"/>
    <col min="4" max="6" width="13.28515625" style="89" customWidth="1" collapsed="1"/>
    <col min="7" max="7" width="13.28515625" style="81" customWidth="1" collapsed="1"/>
    <col min="8" max="8" width="13.28515625" style="86" customWidth="1" collapsed="1"/>
    <col min="9" max="9" width="13.28515625" style="89" customWidth="1" collapsed="1"/>
    <col min="10" max="10" width="0.7109375" style="81" customWidth="1" collapsed="1"/>
    <col min="11" max="11" width="13.7109375" style="81" hidden="1" customWidth="1" collapsed="1"/>
    <col min="12" max="13" width="0" style="81" hidden="1" customWidth="1" collapsed="1"/>
    <col min="14" max="16384" width="9.140625" style="81" collapsed="1"/>
  </cols>
  <sheetData>
    <row r="1" spans="1:11" s="51" customFormat="1" ht="5.25" customHeight="1" x14ac:dyDescent="0.2">
      <c r="A1" s="47"/>
      <c r="B1" s="48"/>
      <c r="C1" s="49"/>
      <c r="D1" s="50"/>
      <c r="E1" s="50"/>
      <c r="F1" s="50"/>
      <c r="G1" s="48"/>
      <c r="H1" s="49"/>
      <c r="I1" s="50"/>
      <c r="J1" s="47"/>
    </row>
    <row r="2" spans="1:11" s="54" customFormat="1" ht="13.5" customHeight="1" x14ac:dyDescent="0.2">
      <c r="A2" s="52"/>
      <c r="B2" s="53" t="s">
        <v>7</v>
      </c>
      <c r="C2" s="53"/>
      <c r="D2" s="53"/>
      <c r="E2" s="53"/>
      <c r="F2" s="53"/>
      <c r="G2" s="53"/>
      <c r="H2" s="53"/>
      <c r="I2" s="53"/>
      <c r="J2" s="52"/>
    </row>
    <row r="3" spans="1:11" s="57" customFormat="1" ht="13.5" customHeight="1" x14ac:dyDescent="0.2">
      <c r="A3" s="55"/>
      <c r="B3" s="56" t="s">
        <v>8</v>
      </c>
      <c r="C3" s="56"/>
      <c r="D3" s="56"/>
      <c r="E3" s="56"/>
      <c r="F3" s="56"/>
      <c r="G3" s="56"/>
      <c r="H3" s="56"/>
      <c r="I3" s="56"/>
      <c r="J3" s="55"/>
    </row>
    <row r="4" spans="1:11" s="57" customFormat="1" ht="13.5" customHeight="1" x14ac:dyDescent="0.2">
      <c r="A4" s="55"/>
      <c r="B4" s="58" t="s">
        <v>10191</v>
      </c>
      <c r="C4" s="58"/>
      <c r="D4" s="58"/>
      <c r="E4" s="58"/>
      <c r="F4" s="58"/>
      <c r="G4" s="58"/>
      <c r="H4" s="58"/>
      <c r="I4" s="58"/>
      <c r="J4" s="55"/>
    </row>
    <row r="5" spans="1:11" s="57" customFormat="1" ht="13.5" customHeight="1" x14ac:dyDescent="0.2">
      <c r="A5" s="55"/>
      <c r="B5" s="58" t="s">
        <v>10</v>
      </c>
      <c r="C5" s="58"/>
      <c r="D5" s="58"/>
      <c r="E5" s="58"/>
      <c r="F5" s="58"/>
      <c r="G5" s="58"/>
      <c r="H5" s="58"/>
      <c r="I5" s="58"/>
      <c r="J5" s="55"/>
    </row>
    <row r="6" spans="1:11" s="54" customFormat="1" ht="13.5" customHeight="1" x14ac:dyDescent="0.2">
      <c r="A6" s="52"/>
      <c r="B6" s="59" t="s">
        <v>11</v>
      </c>
      <c r="C6" s="59"/>
      <c r="D6" s="59"/>
      <c r="E6" s="59"/>
      <c r="F6" s="59"/>
      <c r="G6" s="59"/>
      <c r="H6" s="59"/>
      <c r="I6" s="59"/>
      <c r="J6" s="52"/>
    </row>
    <row r="7" spans="1:11" s="54" customFormat="1" ht="13.5" customHeight="1" x14ac:dyDescent="0.2">
      <c r="A7" s="52"/>
      <c r="B7" s="58"/>
      <c r="C7" s="58"/>
      <c r="D7" s="58"/>
      <c r="E7" s="58"/>
      <c r="F7" s="58"/>
      <c r="G7" s="58"/>
      <c r="H7" s="58"/>
      <c r="I7" s="58"/>
      <c r="J7" s="52"/>
    </row>
    <row r="8" spans="1:11" s="54" customFormat="1" ht="8.25" customHeight="1" x14ac:dyDescent="0.2">
      <c r="B8" s="60"/>
      <c r="C8" s="60"/>
      <c r="D8" s="60"/>
      <c r="E8" s="60"/>
      <c r="F8" s="60"/>
      <c r="G8" s="60"/>
      <c r="H8" s="60"/>
      <c r="I8" s="60"/>
    </row>
    <row r="9" spans="1:11" s="54" customFormat="1" ht="12.75" x14ac:dyDescent="0.2">
      <c r="A9" s="61"/>
      <c r="B9" s="62"/>
      <c r="C9" s="62"/>
      <c r="D9" s="63" t="s">
        <v>6</v>
      </c>
      <c r="E9" s="64"/>
      <c r="F9" s="63" t="s">
        <v>5</v>
      </c>
      <c r="G9" s="64"/>
      <c r="H9" s="65" t="s">
        <v>4</v>
      </c>
      <c r="I9" s="65"/>
      <c r="J9" s="66"/>
    </row>
    <row r="10" spans="1:11" s="54" customFormat="1" ht="12.75" x14ac:dyDescent="0.2">
      <c r="A10" s="67"/>
      <c r="B10" s="68" t="s">
        <v>2</v>
      </c>
      <c r="C10" s="69" t="s">
        <v>3</v>
      </c>
      <c r="D10" s="70" t="s">
        <v>12</v>
      </c>
      <c r="E10" s="71"/>
      <c r="F10" s="70" t="s">
        <v>13</v>
      </c>
      <c r="G10" s="71"/>
      <c r="H10" s="72" t="s">
        <v>14</v>
      </c>
      <c r="I10" s="72"/>
      <c r="J10" s="73"/>
    </row>
    <row r="11" spans="1:11" x14ac:dyDescent="0.15">
      <c r="A11" s="74"/>
      <c r="B11" s="75"/>
      <c r="C11" s="76"/>
      <c r="D11" s="77" t="s">
        <v>0</v>
      </c>
      <c r="E11" s="78" t="s">
        <v>1</v>
      </c>
      <c r="F11" s="77" t="s">
        <v>0</v>
      </c>
      <c r="G11" s="78" t="s">
        <v>1</v>
      </c>
      <c r="H11" s="79" t="s">
        <v>0</v>
      </c>
      <c r="I11" s="79" t="s">
        <v>1</v>
      </c>
      <c r="J11" s="80"/>
    </row>
    <row r="12" spans="1:11" ht="12.75" x14ac:dyDescent="0.2">
      <c r="B12" s="82" t="s">
        <v>15</v>
      </c>
      <c r="C12" s="82" t="s">
        <v>16</v>
      </c>
      <c r="D12" s="83">
        <f>SUMIFS(D13:D1496,K13:K1496,"0",B13:B1496,"1*")-SUMIFS(E13:E1496,K13:K1496,"0",B13:B1496,"1*")</f>
        <v>2454613.7200000016</v>
      </c>
      <c r="E12" s="54"/>
      <c r="F12" s="83">
        <f>SUMIFS(F13:F1496,K13:K1496,"0",B13:B1496,"1*")</f>
        <v>134832793.86000001</v>
      </c>
      <c r="G12" s="83">
        <f>SUMIFS(G13:G1496,K13:K1496,"0",B13:B1496,"1*")</f>
        <v>126659662.59000002</v>
      </c>
      <c r="H12" s="83">
        <f t="shared" ref="H12:H75" si="0">D12 + F12 - G12</f>
        <v>10627744.989999995</v>
      </c>
      <c r="I12" s="83"/>
      <c r="K12" s="54" t="s">
        <v>15</v>
      </c>
    </row>
    <row r="13" spans="1:11" ht="12.75" x14ac:dyDescent="0.2">
      <c r="B13" s="82" t="s">
        <v>17</v>
      </c>
      <c r="C13" s="82" t="s">
        <v>18</v>
      </c>
      <c r="D13" s="83">
        <f>SUMIFS(D14:D1496,K14:K1496,"0",B14:B1496,"1 1*")-SUMIFS(E14:E1496,K14:K1496,"0",B14:B1496,"1 1*")</f>
        <v>570255.35999999999</v>
      </c>
      <c r="E13" s="54"/>
      <c r="F13" s="83">
        <f>SUMIFS(F14:F1496,K14:K1496,"0",B14:B1496,"1 1*")</f>
        <v>127008635.87000002</v>
      </c>
      <c r="G13" s="83">
        <f>SUMIFS(G14:G1496,K14:K1496,"0",B14:B1496,"1 1*")</f>
        <v>126279662.59000002</v>
      </c>
      <c r="H13" s="83">
        <f t="shared" si="0"/>
        <v>1299228.6400000006</v>
      </c>
      <c r="I13" s="83"/>
      <c r="K13" s="54" t="s">
        <v>15</v>
      </c>
    </row>
    <row r="14" spans="1:11" ht="12.75" x14ac:dyDescent="0.2">
      <c r="B14" s="82" t="s">
        <v>19</v>
      </c>
      <c r="C14" s="82" t="s">
        <v>20</v>
      </c>
      <c r="D14" s="83">
        <f>SUMIFS(D15:D1496,K15:K1496,"0",B15:B1496,"1 1 1*")-SUMIFS(E15:E1496,K15:K1496,"0",B15:B1496,"1 1 1*")</f>
        <v>32302.35</v>
      </c>
      <c r="E14" s="54"/>
      <c r="F14" s="83">
        <f>SUMIFS(F15:F1496,K15:K1496,"0",B15:B1496,"1 1 1*")</f>
        <v>66076658.770000003</v>
      </c>
      <c r="G14" s="83">
        <f>SUMIFS(G15:G1496,K15:K1496,"0",B15:B1496,"1 1 1*")</f>
        <v>66076658.770000003</v>
      </c>
      <c r="H14" s="83">
        <f t="shared" si="0"/>
        <v>32302.35000000149</v>
      </c>
      <c r="I14" s="83"/>
      <c r="K14" s="54" t="s">
        <v>15</v>
      </c>
    </row>
    <row r="15" spans="1:11" ht="12.75" x14ac:dyDescent="0.2">
      <c r="B15" s="82" t="s">
        <v>21</v>
      </c>
      <c r="C15" s="82" t="s">
        <v>22</v>
      </c>
      <c r="D15" s="83">
        <f>SUMIFS(D16:D1496,K16:K1496,"0",B16:B1496,"1 1 1 1*")-SUMIFS(E16:E1496,K16:K1496,"0",B16:B1496,"1 1 1 1*")</f>
        <v>32302.35</v>
      </c>
      <c r="E15" s="54"/>
      <c r="F15" s="83">
        <f>SUMIFS(F16:F1496,K16:K1496,"0",B16:B1496,"1 1 1 1*")</f>
        <v>0</v>
      </c>
      <c r="G15" s="83">
        <f>SUMIFS(G16:G1496,K16:K1496,"0",B16:B1496,"1 1 1 1*")</f>
        <v>0</v>
      </c>
      <c r="H15" s="83">
        <f t="shared" si="0"/>
        <v>32302.35</v>
      </c>
      <c r="I15" s="83"/>
      <c r="K15" s="54" t="s">
        <v>15</v>
      </c>
    </row>
    <row r="16" spans="1:11" ht="12.75" x14ac:dyDescent="0.2">
      <c r="B16" s="82" t="s">
        <v>23</v>
      </c>
      <c r="C16" s="82" t="s">
        <v>24</v>
      </c>
      <c r="D16" s="83">
        <f>SUMIFS(D17:D1496,K17:K1496,"0",B17:B1496,"1 1 1 1 1*")-SUMIFS(E17:E1496,K17:K1496,"0",B17:B1496,"1 1 1 1 1*")</f>
        <v>32302.35</v>
      </c>
      <c r="E16" s="54"/>
      <c r="F16" s="83">
        <f>SUMIFS(F17:F1496,K17:K1496,"0",B17:B1496,"1 1 1 1 1*")</f>
        <v>0</v>
      </c>
      <c r="G16" s="83">
        <f>SUMIFS(G17:G1496,K17:K1496,"0",B17:B1496,"1 1 1 1 1*")</f>
        <v>0</v>
      </c>
      <c r="H16" s="83">
        <f t="shared" si="0"/>
        <v>32302.35</v>
      </c>
      <c r="I16" s="83"/>
      <c r="K16" s="54" t="s">
        <v>15</v>
      </c>
    </row>
    <row r="17" spans="2:11" ht="12.75" x14ac:dyDescent="0.2">
      <c r="B17" s="82" t="s">
        <v>25</v>
      </c>
      <c r="C17" s="82" t="s">
        <v>26</v>
      </c>
      <c r="D17" s="83">
        <f>SUMIFS(D18:D1496,K18:K1496,"0",B18:B1496,"1 1 1 1 1 12*")-SUMIFS(E18:E1496,K18:K1496,"0",B18:B1496,"1 1 1 1 1 12*")</f>
        <v>32302.35</v>
      </c>
      <c r="E17" s="54"/>
      <c r="F17" s="83">
        <f>SUMIFS(F18:F1496,K18:K1496,"0",B18:B1496,"1 1 1 1 1 12*")</f>
        <v>0</v>
      </c>
      <c r="G17" s="83">
        <f>SUMIFS(G18:G1496,K18:K1496,"0",B18:B1496,"1 1 1 1 1 12*")</f>
        <v>0</v>
      </c>
      <c r="H17" s="83">
        <f t="shared" si="0"/>
        <v>32302.35</v>
      </c>
      <c r="I17" s="83"/>
      <c r="K17" s="54" t="s">
        <v>15</v>
      </c>
    </row>
    <row r="18" spans="2:11" ht="16.5" x14ac:dyDescent="0.2">
      <c r="B18" s="82" t="s">
        <v>27</v>
      </c>
      <c r="C18" s="82" t="s">
        <v>28</v>
      </c>
      <c r="D18" s="83">
        <f>SUMIFS(D19:D1496,K19:K1496,"0",B19:B1496,"1 1 1 1 1 12 31111*")-SUMIFS(E19:E1496,K19:K1496,"0",B19:B1496,"1 1 1 1 1 12 31111*")</f>
        <v>32302.35</v>
      </c>
      <c r="E18" s="54"/>
      <c r="F18" s="83">
        <f>SUMIFS(F19:F1496,K19:K1496,"0",B19:B1496,"1 1 1 1 1 12 31111*")</f>
        <v>0</v>
      </c>
      <c r="G18" s="83">
        <f>SUMIFS(G19:G1496,K19:K1496,"0",B19:B1496,"1 1 1 1 1 12 31111*")</f>
        <v>0</v>
      </c>
      <c r="H18" s="83">
        <f t="shared" si="0"/>
        <v>32302.35</v>
      </c>
      <c r="I18" s="83"/>
      <c r="K18" s="54" t="s">
        <v>15</v>
      </c>
    </row>
    <row r="19" spans="2:11" ht="12.75" x14ac:dyDescent="0.2">
      <c r="B19" s="82" t="s">
        <v>29</v>
      </c>
      <c r="C19" s="82" t="s">
        <v>30</v>
      </c>
      <c r="D19" s="83">
        <f>SUMIFS(D20:D1496,K20:K1496,"0",B20:B1496,"1 1 1 1 1 12 31111 6*")-SUMIFS(E20:E1496,K20:K1496,"0",B20:B1496,"1 1 1 1 1 12 31111 6*")</f>
        <v>32302.35</v>
      </c>
      <c r="E19" s="54"/>
      <c r="F19" s="83">
        <f>SUMIFS(F20:F1496,K20:K1496,"0",B20:B1496,"1 1 1 1 1 12 31111 6*")</f>
        <v>0</v>
      </c>
      <c r="G19" s="83">
        <f>SUMIFS(G20:G1496,K20:K1496,"0",B20:B1496,"1 1 1 1 1 12 31111 6*")</f>
        <v>0</v>
      </c>
      <c r="H19" s="83">
        <f t="shared" si="0"/>
        <v>32302.35</v>
      </c>
      <c r="I19" s="83"/>
      <c r="K19" s="54" t="s">
        <v>15</v>
      </c>
    </row>
    <row r="20" spans="2:11" ht="12.75" x14ac:dyDescent="0.2">
      <c r="B20" s="82" t="s">
        <v>31</v>
      </c>
      <c r="C20" s="82" t="s">
        <v>32</v>
      </c>
      <c r="D20" s="83">
        <f>SUMIFS(D21:D1496,K21:K1496,"0",B21:B1496,"1 1 1 1 1 12 31111 6 M59*")-SUMIFS(E21:E1496,K21:K1496,"0",B21:B1496,"1 1 1 1 1 12 31111 6 M59*")</f>
        <v>32302.35</v>
      </c>
      <c r="E20" s="54"/>
      <c r="F20" s="83">
        <f>SUMIFS(F21:F1496,K21:K1496,"0",B21:B1496,"1 1 1 1 1 12 31111 6 M59*")</f>
        <v>0</v>
      </c>
      <c r="G20" s="83">
        <f>SUMIFS(G21:G1496,K21:K1496,"0",B21:B1496,"1 1 1 1 1 12 31111 6 M59*")</f>
        <v>0</v>
      </c>
      <c r="H20" s="83">
        <f t="shared" si="0"/>
        <v>32302.35</v>
      </c>
      <c r="I20" s="83"/>
      <c r="K20" s="54" t="s">
        <v>15</v>
      </c>
    </row>
    <row r="21" spans="2:11" ht="24.75" x14ac:dyDescent="0.2">
      <c r="B21" s="82" t="s">
        <v>39</v>
      </c>
      <c r="C21" s="82" t="s">
        <v>40</v>
      </c>
      <c r="D21" s="83">
        <f>SUMIFS(D22:D1496,K22:K1496,"0",B22:B1496,"1 1 1 1 1 12 31111 6 M59 00003*")-SUMIFS(E22:E1496,K22:K1496,"0",B22:B1496,"1 1 1 1 1 12 31111 6 M59 00003*")</f>
        <v>32302.35</v>
      </c>
      <c r="E21" s="54"/>
      <c r="F21" s="83">
        <f>SUMIFS(F22:F1496,K22:K1496,"0",B22:B1496,"1 1 1 1 1 12 31111 6 M59 00003*")</f>
        <v>0</v>
      </c>
      <c r="G21" s="83">
        <f>SUMIFS(G22:G1496,K22:K1496,"0",B22:B1496,"1 1 1 1 1 12 31111 6 M59 00003*")</f>
        <v>0</v>
      </c>
      <c r="H21" s="83">
        <f t="shared" si="0"/>
        <v>32302.35</v>
      </c>
      <c r="I21" s="83"/>
      <c r="K21" s="54" t="s">
        <v>15</v>
      </c>
    </row>
    <row r="22" spans="2:11" ht="16.5" x14ac:dyDescent="0.2">
      <c r="B22" s="82" t="s">
        <v>41</v>
      </c>
      <c r="C22" s="82" t="s">
        <v>42</v>
      </c>
      <c r="D22" s="83">
        <f>SUMIFS(D23:D1496,K23:K1496,"0",B23:B1496,"1 1 1 1 1 12 31111 6 M59 00003 000001*")-SUMIFS(E23:E1496,K23:K1496,"0",B23:B1496,"1 1 1 1 1 12 31111 6 M59 00003 000001*")</f>
        <v>32302.35</v>
      </c>
      <c r="E22" s="54"/>
      <c r="F22" s="83">
        <f>SUMIFS(F23:F1496,K23:K1496,"0",B23:B1496,"1 1 1 1 1 12 31111 6 M59 00003 000001*")</f>
        <v>0</v>
      </c>
      <c r="G22" s="83">
        <f>SUMIFS(G23:G1496,K23:K1496,"0",B23:B1496,"1 1 1 1 1 12 31111 6 M59 00003 000001*")</f>
        <v>0</v>
      </c>
      <c r="H22" s="83">
        <f t="shared" si="0"/>
        <v>32302.35</v>
      </c>
      <c r="I22" s="83"/>
      <c r="K22" s="54" t="s">
        <v>15</v>
      </c>
    </row>
    <row r="23" spans="2:11" ht="16.5" x14ac:dyDescent="0.2">
      <c r="B23" s="84" t="s">
        <v>43</v>
      </c>
      <c r="C23" s="84" t="s">
        <v>44</v>
      </c>
      <c r="D23" s="85">
        <v>32302.35</v>
      </c>
      <c r="E23" s="85"/>
      <c r="F23" s="85">
        <v>0</v>
      </c>
      <c r="G23" s="85">
        <v>0</v>
      </c>
      <c r="H23" s="85">
        <f t="shared" si="0"/>
        <v>32302.35</v>
      </c>
      <c r="I23" s="85"/>
      <c r="K23" s="54" t="s">
        <v>38</v>
      </c>
    </row>
    <row r="24" spans="2:11" ht="12.75" x14ac:dyDescent="0.2">
      <c r="B24" s="82" t="s">
        <v>50</v>
      </c>
      <c r="C24" s="82" t="s">
        <v>51</v>
      </c>
      <c r="D24" s="83">
        <f>SUMIFS(D25:D1496,K25:K1496,"0",B25:B1496,"1 1 1 2*")-SUMIFS(E25:E1496,K25:K1496,"0",B25:B1496,"1 1 1 2*")</f>
        <v>0</v>
      </c>
      <c r="E24" s="54"/>
      <c r="F24" s="83">
        <f>SUMIFS(F25:F1496,K25:K1496,"0",B25:B1496,"1 1 1 2*")</f>
        <v>66076658.770000003</v>
      </c>
      <c r="G24" s="83">
        <f>SUMIFS(G25:G1496,K25:K1496,"0",B25:B1496,"1 1 1 2*")</f>
        <v>66076658.770000003</v>
      </c>
      <c r="H24" s="83">
        <f t="shared" si="0"/>
        <v>0</v>
      </c>
      <c r="I24" s="83"/>
      <c r="K24" s="54" t="s">
        <v>15</v>
      </c>
    </row>
    <row r="25" spans="2:11" ht="12.75" x14ac:dyDescent="0.2">
      <c r="B25" s="82" t="s">
        <v>52</v>
      </c>
      <c r="C25" s="82" t="s">
        <v>53</v>
      </c>
      <c r="D25" s="83">
        <f>SUMIFS(D26:D1496,K26:K1496,"0",B26:B1496,"1 1 1 2 1*")-SUMIFS(E26:E1496,K26:K1496,"0",B26:B1496,"1 1 1 2 1*")</f>
        <v>0</v>
      </c>
      <c r="E25" s="54"/>
      <c r="F25" s="83">
        <f>SUMIFS(F26:F1496,K26:K1496,"0",B26:B1496,"1 1 1 2 1*")</f>
        <v>66076658.770000003</v>
      </c>
      <c r="G25" s="83">
        <f>SUMIFS(G26:G1496,K26:K1496,"0",B26:B1496,"1 1 1 2 1*")</f>
        <v>66076658.770000003</v>
      </c>
      <c r="H25" s="83">
        <f t="shared" si="0"/>
        <v>0</v>
      </c>
      <c r="I25" s="83"/>
      <c r="K25" s="54" t="s">
        <v>15</v>
      </c>
    </row>
    <row r="26" spans="2:11" ht="12.75" x14ac:dyDescent="0.2">
      <c r="B26" s="82" t="s">
        <v>54</v>
      </c>
      <c r="C26" s="82" t="s">
        <v>26</v>
      </c>
      <c r="D26" s="83">
        <f>SUMIFS(D27:D1496,K27:K1496,"0",B27:B1496,"1 1 1 2 1 12*")-SUMIFS(E27:E1496,K27:K1496,"0",B27:B1496,"1 1 1 2 1 12*")</f>
        <v>0</v>
      </c>
      <c r="E26" s="54"/>
      <c r="F26" s="83">
        <f>SUMIFS(F27:F1496,K27:K1496,"0",B27:B1496,"1 1 1 2 1 12*")</f>
        <v>66076658.770000003</v>
      </c>
      <c r="G26" s="83">
        <f>SUMIFS(G27:G1496,K27:K1496,"0",B27:B1496,"1 1 1 2 1 12*")</f>
        <v>66076658.770000003</v>
      </c>
      <c r="H26" s="83">
        <f t="shared" si="0"/>
        <v>0</v>
      </c>
      <c r="I26" s="83"/>
      <c r="K26" s="54" t="s">
        <v>15</v>
      </c>
    </row>
    <row r="27" spans="2:11" ht="16.5" x14ac:dyDescent="0.2">
      <c r="B27" s="82" t="s">
        <v>55</v>
      </c>
      <c r="C27" s="82" t="s">
        <v>28</v>
      </c>
      <c r="D27" s="83">
        <f>SUMIFS(D28:D1496,K28:K1496,"0",B28:B1496,"1 1 1 2 1 12 31111*")-SUMIFS(E28:E1496,K28:K1496,"0",B28:B1496,"1 1 1 2 1 12 31111*")</f>
        <v>0</v>
      </c>
      <c r="E27" s="54"/>
      <c r="F27" s="83">
        <f>SUMIFS(F28:F1496,K28:K1496,"0",B28:B1496,"1 1 1 2 1 12 31111*")</f>
        <v>66076658.770000003</v>
      </c>
      <c r="G27" s="83">
        <f>SUMIFS(G28:G1496,K28:K1496,"0",B28:B1496,"1 1 1 2 1 12 31111*")</f>
        <v>66076658.770000003</v>
      </c>
      <c r="H27" s="83">
        <f t="shared" si="0"/>
        <v>0</v>
      </c>
      <c r="I27" s="83"/>
      <c r="K27" s="54" t="s">
        <v>15</v>
      </c>
    </row>
    <row r="28" spans="2:11" ht="12.75" x14ac:dyDescent="0.2">
      <c r="B28" s="82" t="s">
        <v>56</v>
      </c>
      <c r="C28" s="82" t="s">
        <v>30</v>
      </c>
      <c r="D28" s="83">
        <f>SUMIFS(D29:D1496,K29:K1496,"0",B29:B1496,"1 1 1 2 1 12 31111 6*")-SUMIFS(E29:E1496,K29:K1496,"0",B29:B1496,"1 1 1 2 1 12 31111 6*")</f>
        <v>0</v>
      </c>
      <c r="E28" s="54"/>
      <c r="F28" s="83">
        <f>SUMIFS(F29:F1496,K29:K1496,"0",B29:B1496,"1 1 1 2 1 12 31111 6*")</f>
        <v>66076658.770000003</v>
      </c>
      <c r="G28" s="83">
        <f>SUMIFS(G29:G1496,K29:K1496,"0",B29:B1496,"1 1 1 2 1 12 31111 6*")</f>
        <v>66076658.770000003</v>
      </c>
      <c r="H28" s="83">
        <f t="shared" si="0"/>
        <v>0</v>
      </c>
      <c r="I28" s="83"/>
      <c r="K28" s="54" t="s">
        <v>15</v>
      </c>
    </row>
    <row r="29" spans="2:11" ht="12.75" x14ac:dyDescent="0.2">
      <c r="B29" s="82" t="s">
        <v>57</v>
      </c>
      <c r="C29" s="82" t="s">
        <v>32</v>
      </c>
      <c r="D29" s="83">
        <f>SUMIFS(D30:D1496,K30:K1496,"0",B30:B1496,"1 1 1 2 1 12 31111 6 M59*")-SUMIFS(E30:E1496,K30:K1496,"0",B30:B1496,"1 1 1 2 1 12 31111 6 M59*")</f>
        <v>0</v>
      </c>
      <c r="E29" s="54"/>
      <c r="F29" s="83">
        <f>SUMIFS(F30:F1496,K30:K1496,"0",B30:B1496,"1 1 1 2 1 12 31111 6 M59*")</f>
        <v>66076658.770000003</v>
      </c>
      <c r="G29" s="83">
        <f>SUMIFS(G30:G1496,K30:K1496,"0",B30:B1496,"1 1 1 2 1 12 31111 6 M59*")</f>
        <v>66076658.770000003</v>
      </c>
      <c r="H29" s="83">
        <f t="shared" si="0"/>
        <v>0</v>
      </c>
      <c r="I29" s="83"/>
      <c r="K29" s="54" t="s">
        <v>15</v>
      </c>
    </row>
    <row r="30" spans="2:11" ht="24.75" x14ac:dyDescent="0.2">
      <c r="B30" s="82" t="s">
        <v>82</v>
      </c>
      <c r="C30" s="82" t="s">
        <v>40</v>
      </c>
      <c r="D30" s="83">
        <f>SUMIFS(D31:D1496,K31:K1496,"0",B31:B1496,"1 1 1 2 1 12 31111 6 M59 00003*")-SUMIFS(E31:E1496,K31:K1496,"0",B31:B1496,"1 1 1 2 1 12 31111 6 M59 00003*")</f>
        <v>0</v>
      </c>
      <c r="E30" s="54"/>
      <c r="F30" s="83">
        <f>SUMIFS(F31:F1496,K31:K1496,"0",B31:B1496,"1 1 1 2 1 12 31111 6 M59 00003*")</f>
        <v>66076658.770000003</v>
      </c>
      <c r="G30" s="83">
        <f>SUMIFS(G31:G1496,K31:K1496,"0",B31:B1496,"1 1 1 2 1 12 31111 6 M59 00003*")</f>
        <v>66076658.770000003</v>
      </c>
      <c r="H30" s="83">
        <f t="shared" si="0"/>
        <v>0</v>
      </c>
      <c r="I30" s="83"/>
      <c r="K30" s="54" t="s">
        <v>15</v>
      </c>
    </row>
    <row r="31" spans="2:11" ht="16.5" x14ac:dyDescent="0.2">
      <c r="B31" s="82" t="s">
        <v>84</v>
      </c>
      <c r="C31" s="82" t="s">
        <v>85</v>
      </c>
      <c r="D31" s="83">
        <f>SUMIFS(D32:D1496,K32:K1496,"0",B32:B1496,"1 1 1 2 1 12 31111 6 M59 00003 000004*")-SUMIFS(E32:E1496,K32:K1496,"0",B32:B1496,"1 1 1 2 1 12 31111 6 M59 00003 000004*")</f>
        <v>0</v>
      </c>
      <c r="E31" s="54"/>
      <c r="F31" s="83">
        <f>SUMIFS(F32:F1496,K32:K1496,"0",B32:B1496,"1 1 1 2 1 12 31111 6 M59 00003 000004*")</f>
        <v>66076658.770000003</v>
      </c>
      <c r="G31" s="83">
        <f>SUMIFS(G32:G1496,K32:K1496,"0",B32:B1496,"1 1 1 2 1 12 31111 6 M59 00003 000004*")</f>
        <v>66076658.770000003</v>
      </c>
      <c r="H31" s="83">
        <f t="shared" si="0"/>
        <v>0</v>
      </c>
      <c r="I31" s="83"/>
      <c r="K31" s="54" t="s">
        <v>15</v>
      </c>
    </row>
    <row r="32" spans="2:11" ht="16.5" x14ac:dyDescent="0.2">
      <c r="B32" s="84" t="s">
        <v>86</v>
      </c>
      <c r="C32" s="84" t="s">
        <v>87</v>
      </c>
      <c r="D32" s="85">
        <v>0</v>
      </c>
      <c r="E32" s="85"/>
      <c r="F32" s="85">
        <v>575000</v>
      </c>
      <c r="G32" s="85">
        <v>575000</v>
      </c>
      <c r="H32" s="85">
        <f t="shared" si="0"/>
        <v>0</v>
      </c>
      <c r="I32" s="85"/>
      <c r="K32" s="54" t="s">
        <v>38</v>
      </c>
    </row>
    <row r="33" spans="2:11" ht="16.5" x14ac:dyDescent="0.2">
      <c r="B33" s="84" t="s">
        <v>88</v>
      </c>
      <c r="C33" s="84" t="s">
        <v>89</v>
      </c>
      <c r="D33" s="85">
        <v>0</v>
      </c>
      <c r="E33" s="85"/>
      <c r="F33" s="85">
        <v>65501658.770000003</v>
      </c>
      <c r="G33" s="85">
        <v>65501658.770000003</v>
      </c>
      <c r="H33" s="85">
        <f t="shared" si="0"/>
        <v>0</v>
      </c>
      <c r="I33" s="85"/>
      <c r="K33" s="54" t="s">
        <v>38</v>
      </c>
    </row>
    <row r="34" spans="2:11" ht="16.5" x14ac:dyDescent="0.2">
      <c r="B34" s="82" t="s">
        <v>118</v>
      </c>
      <c r="C34" s="82" t="s">
        <v>119</v>
      </c>
      <c r="D34" s="83">
        <f>SUMIFS(D35:D1496,K35:K1496,"0",B35:B1496,"1 1 2*")-SUMIFS(E35:E1496,K35:K1496,"0",B35:B1496,"1 1 2*")</f>
        <v>34500</v>
      </c>
      <c r="E34" s="54"/>
      <c r="F34" s="83">
        <f>SUMIFS(F35:F1496,K35:K1496,"0",B35:B1496,"1 1 2*")</f>
        <v>60172109.549999997</v>
      </c>
      <c r="G34" s="83">
        <f>SUMIFS(G35:G1496,K35:K1496,"0",B35:B1496,"1 1 2*")</f>
        <v>59445204.069999993</v>
      </c>
      <c r="H34" s="83">
        <f t="shared" si="0"/>
        <v>761405.48000000417</v>
      </c>
      <c r="I34" s="83"/>
      <c r="K34" s="54" t="s">
        <v>15</v>
      </c>
    </row>
    <row r="35" spans="2:11" ht="16.5" x14ac:dyDescent="0.2">
      <c r="B35" s="82" t="s">
        <v>120</v>
      </c>
      <c r="C35" s="82" t="s">
        <v>121</v>
      </c>
      <c r="D35" s="83">
        <f>SUMIFS(D36:D1496,K36:K1496,"0",B36:B1496,"1 1 2 2*")-SUMIFS(E36:E1496,K36:K1496,"0",B36:B1496,"1 1 2 2*")</f>
        <v>0</v>
      </c>
      <c r="E35" s="54"/>
      <c r="F35" s="83">
        <f>SUMIFS(F36:F1496,K36:K1496,"0",B36:B1496,"1 1 2 2*")</f>
        <v>59410569.919999994</v>
      </c>
      <c r="G35" s="83">
        <f>SUMIFS(G36:G1496,K36:K1496,"0",B36:B1496,"1 1 2 2*")</f>
        <v>59410569.919999994</v>
      </c>
      <c r="H35" s="83">
        <f t="shared" si="0"/>
        <v>0</v>
      </c>
      <c r="I35" s="83"/>
      <c r="K35" s="54" t="s">
        <v>15</v>
      </c>
    </row>
    <row r="36" spans="2:11" ht="16.5" x14ac:dyDescent="0.2">
      <c r="B36" s="82" t="s">
        <v>134</v>
      </c>
      <c r="C36" s="82" t="s">
        <v>135</v>
      </c>
      <c r="D36" s="83">
        <f>SUMIFS(D37:D1496,K37:K1496,"0",B37:B1496,"1 1 2 2 5*")-SUMIFS(E37:E1496,K37:K1496,"0",B37:B1496,"1 1 2 2 5*")</f>
        <v>0</v>
      </c>
      <c r="E36" s="54"/>
      <c r="F36" s="83">
        <f>SUMIFS(F37:F1496,K37:K1496,"0",B37:B1496,"1 1 2 2 5*")</f>
        <v>59410569.919999994</v>
      </c>
      <c r="G36" s="83">
        <f>SUMIFS(G37:G1496,K37:K1496,"0",B37:B1496,"1 1 2 2 5*")</f>
        <v>59410569.919999994</v>
      </c>
      <c r="H36" s="83">
        <f t="shared" si="0"/>
        <v>0</v>
      </c>
      <c r="I36" s="83"/>
      <c r="K36" s="54" t="s">
        <v>15</v>
      </c>
    </row>
    <row r="37" spans="2:11" ht="12.75" x14ac:dyDescent="0.2">
      <c r="B37" s="82" t="s">
        <v>136</v>
      </c>
      <c r="C37" s="82" t="s">
        <v>26</v>
      </c>
      <c r="D37" s="83">
        <f>SUMIFS(D38:D1496,K38:K1496,"0",B38:B1496,"1 1 2 2 5 12*")-SUMIFS(E38:E1496,K38:K1496,"0",B38:B1496,"1 1 2 2 5 12*")</f>
        <v>0</v>
      </c>
      <c r="E37" s="54"/>
      <c r="F37" s="83">
        <f>SUMIFS(F38:F1496,K38:K1496,"0",B38:B1496,"1 1 2 2 5 12*")</f>
        <v>59410569.919999994</v>
      </c>
      <c r="G37" s="83">
        <f>SUMIFS(G38:G1496,K38:K1496,"0",B38:B1496,"1 1 2 2 5 12*")</f>
        <v>59410569.919999994</v>
      </c>
      <c r="H37" s="83">
        <f t="shared" si="0"/>
        <v>0</v>
      </c>
      <c r="I37" s="83"/>
      <c r="K37" s="54" t="s">
        <v>15</v>
      </c>
    </row>
    <row r="38" spans="2:11" ht="16.5" x14ac:dyDescent="0.2">
      <c r="B38" s="82" t="s">
        <v>137</v>
      </c>
      <c r="C38" s="82" t="s">
        <v>28</v>
      </c>
      <c r="D38" s="83">
        <f>SUMIFS(D39:D1496,K39:K1496,"0",B39:B1496,"1 1 2 2 5 12 31111*")-SUMIFS(E39:E1496,K39:K1496,"0",B39:B1496,"1 1 2 2 5 12 31111*")</f>
        <v>0</v>
      </c>
      <c r="E38" s="54"/>
      <c r="F38" s="83">
        <f>SUMIFS(F39:F1496,K39:K1496,"0",B39:B1496,"1 1 2 2 5 12 31111*")</f>
        <v>59410569.919999994</v>
      </c>
      <c r="G38" s="83">
        <f>SUMIFS(G39:G1496,K39:K1496,"0",B39:B1496,"1 1 2 2 5 12 31111*")</f>
        <v>59410569.919999994</v>
      </c>
      <c r="H38" s="83">
        <f t="shared" si="0"/>
        <v>0</v>
      </c>
      <c r="I38" s="83"/>
      <c r="K38" s="54" t="s">
        <v>15</v>
      </c>
    </row>
    <row r="39" spans="2:11" ht="12.75" x14ac:dyDescent="0.2">
      <c r="B39" s="82" t="s">
        <v>138</v>
      </c>
      <c r="C39" s="82" t="s">
        <v>30</v>
      </c>
      <c r="D39" s="83">
        <f>SUMIFS(D40:D1496,K40:K1496,"0",B40:B1496,"1 1 2 2 5 12 31111 6*")-SUMIFS(E40:E1496,K40:K1496,"0",B40:B1496,"1 1 2 2 5 12 31111 6*")</f>
        <v>0</v>
      </c>
      <c r="E39" s="54"/>
      <c r="F39" s="83">
        <f>SUMIFS(F40:F1496,K40:K1496,"0",B40:B1496,"1 1 2 2 5 12 31111 6*")</f>
        <v>59410569.919999994</v>
      </c>
      <c r="G39" s="83">
        <f>SUMIFS(G40:G1496,K40:K1496,"0",B40:B1496,"1 1 2 2 5 12 31111 6*")</f>
        <v>59410569.919999994</v>
      </c>
      <c r="H39" s="83">
        <f t="shared" si="0"/>
        <v>0</v>
      </c>
      <c r="I39" s="83"/>
      <c r="K39" s="54" t="s">
        <v>15</v>
      </c>
    </row>
    <row r="40" spans="2:11" ht="12.75" x14ac:dyDescent="0.2">
      <c r="B40" s="82" t="s">
        <v>139</v>
      </c>
      <c r="C40" s="82" t="s">
        <v>140</v>
      </c>
      <c r="D40" s="83">
        <f>SUMIFS(D41:D1496,K41:K1496,"0",B41:B1496,"1 1 2 2 5 12 31111 6 M41*")-SUMIFS(E41:E1496,K41:K1496,"0",B41:B1496,"1 1 2 2 5 12 31111 6 M41*")</f>
        <v>0</v>
      </c>
      <c r="E40" s="54"/>
      <c r="F40" s="83">
        <f>SUMIFS(F41:F1496,K41:K1496,"0",B41:B1496,"1 1 2 2 5 12 31111 6 M41*")</f>
        <v>44557927.409999996</v>
      </c>
      <c r="G40" s="83">
        <f>SUMIFS(G41:G1496,K41:K1496,"0",B41:B1496,"1 1 2 2 5 12 31111 6 M41*")</f>
        <v>44557927.409999996</v>
      </c>
      <c r="H40" s="83">
        <f t="shared" si="0"/>
        <v>0</v>
      </c>
      <c r="I40" s="83"/>
      <c r="K40" s="54" t="s">
        <v>15</v>
      </c>
    </row>
    <row r="41" spans="2:11" ht="16.5" x14ac:dyDescent="0.2">
      <c r="B41" s="82" t="s">
        <v>141</v>
      </c>
      <c r="C41" s="82" t="s">
        <v>142</v>
      </c>
      <c r="D41" s="83">
        <f>SUMIFS(D42:D1496,K42:K1496,"0",B42:B1496,"1 1 2 2 5 12 31111 6 M41 00003*")-SUMIFS(E42:E1496,K42:K1496,"0",B42:B1496,"1 1 2 2 5 12 31111 6 M41 00003*")</f>
        <v>0</v>
      </c>
      <c r="E41" s="54"/>
      <c r="F41" s="83">
        <f>SUMIFS(F42:F1496,K42:K1496,"0",B42:B1496,"1 1 2 2 5 12 31111 6 M41 00003*")</f>
        <v>44557927.409999996</v>
      </c>
      <c r="G41" s="83">
        <f>SUMIFS(G42:G1496,K42:K1496,"0",B42:B1496,"1 1 2 2 5 12 31111 6 M41 00003*")</f>
        <v>44557927.409999996</v>
      </c>
      <c r="H41" s="83">
        <f t="shared" si="0"/>
        <v>0</v>
      </c>
      <c r="I41" s="83"/>
      <c r="K41" s="54" t="s">
        <v>15</v>
      </c>
    </row>
    <row r="42" spans="2:11" ht="16.5" x14ac:dyDescent="0.2">
      <c r="B42" s="82" t="s">
        <v>143</v>
      </c>
      <c r="C42" s="82" t="s">
        <v>144</v>
      </c>
      <c r="D42" s="83">
        <f>SUMIFS(D43:D1496,K43:K1496,"0",B43:B1496,"1 1 2 2 5 12 31111 6 M41 00003 000003*")-SUMIFS(E43:E1496,K43:K1496,"0",B43:B1496,"1 1 2 2 5 12 31111 6 M41 00003 000003*")</f>
        <v>0</v>
      </c>
      <c r="E42" s="54"/>
      <c r="F42" s="83">
        <f>SUMIFS(F43:F1496,K43:K1496,"0",B43:B1496,"1 1 2 2 5 12 31111 6 M41 00003 000003*")</f>
        <v>44557927.409999996</v>
      </c>
      <c r="G42" s="83">
        <f>SUMIFS(G43:G1496,K43:K1496,"0",B43:B1496,"1 1 2 2 5 12 31111 6 M41 00003 000003*")</f>
        <v>44557927.409999996</v>
      </c>
      <c r="H42" s="83">
        <f t="shared" si="0"/>
        <v>0</v>
      </c>
      <c r="I42" s="83"/>
      <c r="K42" s="54" t="s">
        <v>15</v>
      </c>
    </row>
    <row r="43" spans="2:11" ht="16.5" x14ac:dyDescent="0.2">
      <c r="B43" s="82" t="s">
        <v>145</v>
      </c>
      <c r="C43" s="82" t="s">
        <v>146</v>
      </c>
      <c r="D43" s="83">
        <f>SUMIFS(D44:D1496,K44:K1496,"0",B44:B1496,"1 1 2 2 5 12 31111 6 M41 00003 000003 00005*")-SUMIFS(E44:E1496,K44:K1496,"0",B44:B1496,"1 1 2 2 5 12 31111 6 M41 00003 000003 00005*")</f>
        <v>0</v>
      </c>
      <c r="E43" s="54"/>
      <c r="F43" s="83">
        <f>SUMIFS(F44:F1496,K44:K1496,"0",B44:B1496,"1 1 2 2 5 12 31111 6 M41 00003 000003 00005*")</f>
        <v>44557927.409999996</v>
      </c>
      <c r="G43" s="83">
        <f>SUMIFS(G44:G1496,K44:K1496,"0",B44:B1496,"1 1 2 2 5 12 31111 6 M41 00003 000003 00005*")</f>
        <v>44557927.409999996</v>
      </c>
      <c r="H43" s="83">
        <f t="shared" si="0"/>
        <v>0</v>
      </c>
      <c r="I43" s="83"/>
      <c r="K43" s="54" t="s">
        <v>15</v>
      </c>
    </row>
    <row r="44" spans="2:11" ht="24.75" x14ac:dyDescent="0.2">
      <c r="B44" s="84" t="s">
        <v>147</v>
      </c>
      <c r="C44" s="84" t="s">
        <v>148</v>
      </c>
      <c r="D44" s="85">
        <v>0</v>
      </c>
      <c r="E44" s="85"/>
      <c r="F44" s="85">
        <v>44557927.409999996</v>
      </c>
      <c r="G44" s="85">
        <v>44557927.409999996</v>
      </c>
      <c r="H44" s="85">
        <f t="shared" si="0"/>
        <v>0</v>
      </c>
      <c r="I44" s="85"/>
      <c r="K44" s="54" t="s">
        <v>38</v>
      </c>
    </row>
    <row r="45" spans="2:11" ht="16.5" x14ac:dyDescent="0.2">
      <c r="B45" s="82" t="s">
        <v>149</v>
      </c>
      <c r="C45" s="82" t="s">
        <v>32</v>
      </c>
      <c r="D45" s="83">
        <f>SUMIFS(D46:D1496,K46:K1496,"0",B46:B1496,"1 1 2 2 5 12 31111 6 M59*")-SUMIFS(E46:E1496,K46:K1496,"0",B46:B1496,"1 1 2 2 5 12 31111 6 M59*")</f>
        <v>0</v>
      </c>
      <c r="E45" s="54"/>
      <c r="F45" s="83">
        <f>SUMIFS(F46:F1496,K46:K1496,"0",B46:B1496,"1 1 2 2 5 12 31111 6 M59*")</f>
        <v>14852642.51</v>
      </c>
      <c r="G45" s="83">
        <f>SUMIFS(G46:G1496,K46:K1496,"0",B46:B1496,"1 1 2 2 5 12 31111 6 M59*")</f>
        <v>14852642.51</v>
      </c>
      <c r="H45" s="83">
        <f t="shared" si="0"/>
        <v>0</v>
      </c>
      <c r="I45" s="83"/>
      <c r="K45" s="54" t="s">
        <v>15</v>
      </c>
    </row>
    <row r="46" spans="2:11" ht="24.75" x14ac:dyDescent="0.2">
      <c r="B46" s="82" t="s">
        <v>155</v>
      </c>
      <c r="C46" s="82" t="s">
        <v>40</v>
      </c>
      <c r="D46" s="83">
        <f>SUMIFS(D47:D1496,K47:K1496,"0",B47:B1496,"1 1 2 2 5 12 31111 6 M59 00003*")-SUMIFS(E47:E1496,K47:K1496,"0",B47:B1496,"1 1 2 2 5 12 31111 6 M59 00003*")</f>
        <v>0</v>
      </c>
      <c r="E46" s="54"/>
      <c r="F46" s="83">
        <f>SUMIFS(F47:F1496,K47:K1496,"0",B47:B1496,"1 1 2 2 5 12 31111 6 M59 00003*")</f>
        <v>14852642.51</v>
      </c>
      <c r="G46" s="83">
        <f>SUMIFS(G47:G1496,K47:K1496,"0",B47:B1496,"1 1 2 2 5 12 31111 6 M59 00003*")</f>
        <v>14852642.51</v>
      </c>
      <c r="H46" s="83">
        <f t="shared" si="0"/>
        <v>0</v>
      </c>
      <c r="I46" s="83"/>
      <c r="K46" s="54" t="s">
        <v>15</v>
      </c>
    </row>
    <row r="47" spans="2:11" ht="16.5" x14ac:dyDescent="0.2">
      <c r="B47" s="82" t="s">
        <v>156</v>
      </c>
      <c r="C47" s="82" t="s">
        <v>146</v>
      </c>
      <c r="D47" s="83">
        <f>SUMIFS(D48:D1496,K48:K1496,"0",B48:B1496,"1 1 2 2 5 12 31111 6 M59 00003 000002*")-SUMIFS(E48:E1496,K48:K1496,"0",B48:B1496,"1 1 2 2 5 12 31111 6 M59 00003 000002*")</f>
        <v>0</v>
      </c>
      <c r="E47" s="54"/>
      <c r="F47" s="83">
        <f>SUMIFS(F48:F1496,K48:K1496,"0",B48:B1496,"1 1 2 2 5 12 31111 6 M59 00003 000002*")</f>
        <v>14852642.51</v>
      </c>
      <c r="G47" s="83">
        <f>SUMIFS(G48:G1496,K48:K1496,"0",B48:B1496,"1 1 2 2 5 12 31111 6 M59 00003 000002*")</f>
        <v>14852642.51</v>
      </c>
      <c r="H47" s="83">
        <f t="shared" si="0"/>
        <v>0</v>
      </c>
      <c r="I47" s="83"/>
      <c r="K47" s="54" t="s">
        <v>15</v>
      </c>
    </row>
    <row r="48" spans="2:11" ht="24.75" x14ac:dyDescent="0.2">
      <c r="B48" s="84" t="s">
        <v>157</v>
      </c>
      <c r="C48" s="84" t="s">
        <v>158</v>
      </c>
      <c r="D48" s="85">
        <v>0</v>
      </c>
      <c r="E48" s="85"/>
      <c r="F48" s="85">
        <v>14852642.51</v>
      </c>
      <c r="G48" s="85">
        <v>14852642.51</v>
      </c>
      <c r="H48" s="85">
        <f t="shared" si="0"/>
        <v>0</v>
      </c>
      <c r="I48" s="85"/>
      <c r="K48" s="54" t="s">
        <v>38</v>
      </c>
    </row>
    <row r="49" spans="2:11" ht="16.5" x14ac:dyDescent="0.2">
      <c r="B49" s="82" t="s">
        <v>169</v>
      </c>
      <c r="C49" s="82" t="s">
        <v>170</v>
      </c>
      <c r="D49" s="83">
        <f>SUMIFS(D50:D1496,K50:K1496,"0",B50:B1496,"1 1 2 3*")-SUMIFS(E50:E1496,K50:K1496,"0",B50:B1496,"1 1 2 3*")</f>
        <v>23000</v>
      </c>
      <c r="E49" s="54"/>
      <c r="F49" s="83">
        <f>SUMIFS(F50:F1496,K50:K1496,"0",B50:B1496,"1 1 2 3*")</f>
        <v>742929.4800000001</v>
      </c>
      <c r="G49" s="83">
        <f>SUMIFS(G50:G1496,K50:K1496,"0",B50:B1496,"1 1 2 3*")</f>
        <v>4524</v>
      </c>
      <c r="H49" s="83">
        <f t="shared" si="0"/>
        <v>761405.4800000001</v>
      </c>
      <c r="I49" s="83"/>
      <c r="K49" s="54" t="s">
        <v>15</v>
      </c>
    </row>
    <row r="50" spans="2:11" ht="16.5" x14ac:dyDescent="0.2">
      <c r="B50" s="82" t="s">
        <v>171</v>
      </c>
      <c r="C50" s="82" t="s">
        <v>172</v>
      </c>
      <c r="D50" s="83">
        <f>SUMIFS(D51:D1496,K51:K1496,"0",B51:B1496,"1 1 2 3 1*")-SUMIFS(E51:E1496,K51:K1496,"0",B51:B1496,"1 1 2 3 1*")</f>
        <v>23000</v>
      </c>
      <c r="E50" s="54"/>
      <c r="F50" s="83">
        <f>SUMIFS(F51:F1496,K51:K1496,"0",B51:B1496,"1 1 2 3 1*")</f>
        <v>742929.4800000001</v>
      </c>
      <c r="G50" s="83">
        <f>SUMIFS(G51:G1496,K51:K1496,"0",B51:B1496,"1 1 2 3 1*")</f>
        <v>4524</v>
      </c>
      <c r="H50" s="83">
        <f t="shared" si="0"/>
        <v>761405.4800000001</v>
      </c>
      <c r="I50" s="83"/>
      <c r="K50" s="54" t="s">
        <v>15</v>
      </c>
    </row>
    <row r="51" spans="2:11" ht="12.75" x14ac:dyDescent="0.2">
      <c r="B51" s="82" t="s">
        <v>173</v>
      </c>
      <c r="C51" s="82" t="s">
        <v>26</v>
      </c>
      <c r="D51" s="83">
        <f>SUMIFS(D52:D1496,K52:K1496,"0",B52:B1496,"1 1 2 3 1 12*")-SUMIFS(E52:E1496,K52:K1496,"0",B52:B1496,"1 1 2 3 1 12*")</f>
        <v>23000</v>
      </c>
      <c r="E51" s="54"/>
      <c r="F51" s="83">
        <f>SUMIFS(F52:F1496,K52:K1496,"0",B52:B1496,"1 1 2 3 1 12*")</f>
        <v>742929.4800000001</v>
      </c>
      <c r="G51" s="83">
        <f>SUMIFS(G52:G1496,K52:K1496,"0",B52:B1496,"1 1 2 3 1 12*")</f>
        <v>4524</v>
      </c>
      <c r="H51" s="83">
        <f t="shared" si="0"/>
        <v>761405.4800000001</v>
      </c>
      <c r="I51" s="83"/>
      <c r="K51" s="54" t="s">
        <v>15</v>
      </c>
    </row>
    <row r="52" spans="2:11" ht="16.5" x14ac:dyDescent="0.2">
      <c r="B52" s="82" t="s">
        <v>174</v>
      </c>
      <c r="C52" s="82" t="s">
        <v>28</v>
      </c>
      <c r="D52" s="83">
        <f>SUMIFS(D53:D1496,K53:K1496,"0",B53:B1496,"1 1 2 3 1 12 31111*")-SUMIFS(E53:E1496,K53:K1496,"0",B53:B1496,"1 1 2 3 1 12 31111*")</f>
        <v>23000</v>
      </c>
      <c r="E52" s="54"/>
      <c r="F52" s="83">
        <f>SUMIFS(F53:F1496,K53:K1496,"0",B53:B1496,"1 1 2 3 1 12 31111*")</f>
        <v>742929.4800000001</v>
      </c>
      <c r="G52" s="83">
        <f>SUMIFS(G53:G1496,K53:K1496,"0",B53:B1496,"1 1 2 3 1 12 31111*")</f>
        <v>4524</v>
      </c>
      <c r="H52" s="83">
        <f t="shared" si="0"/>
        <v>761405.4800000001</v>
      </c>
      <c r="I52" s="83"/>
      <c r="K52" s="54" t="s">
        <v>15</v>
      </c>
    </row>
    <row r="53" spans="2:11" ht="12.75" x14ac:dyDescent="0.2">
      <c r="B53" s="82" t="s">
        <v>175</v>
      </c>
      <c r="C53" s="82" t="s">
        <v>30</v>
      </c>
      <c r="D53" s="83">
        <f>SUMIFS(D54:D1496,K54:K1496,"0",B54:B1496,"1 1 2 3 1 12 31111 6*")-SUMIFS(E54:E1496,K54:K1496,"0",B54:B1496,"1 1 2 3 1 12 31111 6*")</f>
        <v>23000</v>
      </c>
      <c r="E53" s="54"/>
      <c r="F53" s="83">
        <f>SUMIFS(F54:F1496,K54:K1496,"0",B54:B1496,"1 1 2 3 1 12 31111 6*")</f>
        <v>742929.4800000001</v>
      </c>
      <c r="G53" s="83">
        <f>SUMIFS(G54:G1496,K54:K1496,"0",B54:B1496,"1 1 2 3 1 12 31111 6*")</f>
        <v>4524</v>
      </c>
      <c r="H53" s="83">
        <f t="shared" si="0"/>
        <v>761405.4800000001</v>
      </c>
      <c r="I53" s="83"/>
      <c r="K53" s="54" t="s">
        <v>15</v>
      </c>
    </row>
    <row r="54" spans="2:11" ht="12.75" x14ac:dyDescent="0.2">
      <c r="B54" s="82" t="s">
        <v>176</v>
      </c>
      <c r="C54" s="82" t="s">
        <v>32</v>
      </c>
      <c r="D54" s="83">
        <f>SUMIFS(D55:D1496,K55:K1496,"0",B55:B1496,"1 1 2 3 1 12 31111 6 M59*")-SUMIFS(E55:E1496,K55:K1496,"0",B55:B1496,"1 1 2 3 1 12 31111 6 M59*")</f>
        <v>23000</v>
      </c>
      <c r="E54" s="54"/>
      <c r="F54" s="83">
        <f>SUMIFS(F55:F1496,K55:K1496,"0",B55:B1496,"1 1 2 3 1 12 31111 6 M59*")</f>
        <v>742929.4800000001</v>
      </c>
      <c r="G54" s="83">
        <f>SUMIFS(G55:G1496,K55:K1496,"0",B55:B1496,"1 1 2 3 1 12 31111 6 M59*")</f>
        <v>4524</v>
      </c>
      <c r="H54" s="83">
        <f t="shared" si="0"/>
        <v>761405.4800000001</v>
      </c>
      <c r="I54" s="83"/>
      <c r="K54" s="54" t="s">
        <v>15</v>
      </c>
    </row>
    <row r="55" spans="2:11" ht="24.75" x14ac:dyDescent="0.2">
      <c r="B55" s="82" t="s">
        <v>189</v>
      </c>
      <c r="C55" s="82" t="s">
        <v>40</v>
      </c>
      <c r="D55" s="83">
        <f>SUMIFS(D56:D1496,K56:K1496,"0",B56:B1496,"1 1 2 3 1 12 31111 6 M59 00003*")-SUMIFS(E56:E1496,K56:K1496,"0",B56:B1496,"1 1 2 3 1 12 31111 6 M59 00003*")</f>
        <v>23000</v>
      </c>
      <c r="E55" s="54"/>
      <c r="F55" s="83">
        <f>SUMIFS(F56:F1496,K56:K1496,"0",B56:B1496,"1 1 2 3 1 12 31111 6 M59 00003*")</f>
        <v>742929.4800000001</v>
      </c>
      <c r="G55" s="83">
        <f>SUMIFS(G56:G1496,K56:K1496,"0",B56:B1496,"1 1 2 3 1 12 31111 6 M59 00003*")</f>
        <v>4524</v>
      </c>
      <c r="H55" s="83">
        <f t="shared" si="0"/>
        <v>761405.4800000001</v>
      </c>
      <c r="I55" s="83"/>
      <c r="K55" s="54" t="s">
        <v>15</v>
      </c>
    </row>
    <row r="56" spans="2:11" ht="16.5" x14ac:dyDescent="0.2">
      <c r="B56" s="82" t="s">
        <v>190</v>
      </c>
      <c r="C56" s="82" t="s">
        <v>191</v>
      </c>
      <c r="D56" s="83">
        <f>SUMIFS(D57:D1496,K57:K1496,"0",B57:B1496,"1 1 2 3 1 12 31111 6 M59 00003 000003*")-SUMIFS(E57:E1496,K57:K1496,"0",B57:B1496,"1 1 2 3 1 12 31111 6 M59 00003 000003*")</f>
        <v>23000</v>
      </c>
      <c r="E56" s="54"/>
      <c r="F56" s="83">
        <f>SUMIFS(F57:F1496,K57:K1496,"0",B57:B1496,"1 1 2 3 1 12 31111 6 M59 00003 000003*")</f>
        <v>742929.4800000001</v>
      </c>
      <c r="G56" s="83">
        <f>SUMIFS(G57:G1496,K57:K1496,"0",B57:B1496,"1 1 2 3 1 12 31111 6 M59 00003 000003*")</f>
        <v>4524</v>
      </c>
      <c r="H56" s="83">
        <f t="shared" si="0"/>
        <v>761405.4800000001</v>
      </c>
      <c r="I56" s="83"/>
      <c r="K56" s="54" t="s">
        <v>15</v>
      </c>
    </row>
    <row r="57" spans="2:11" ht="16.5" x14ac:dyDescent="0.2">
      <c r="B57" s="82" t="s">
        <v>192</v>
      </c>
      <c r="C57" s="82" t="s">
        <v>193</v>
      </c>
      <c r="D57" s="83">
        <f>SUMIFS(D58:D1496,K58:K1496,"0",B58:B1496,"1 1 2 3 1 12 31111 6 M59 00003 000003 00001*")-SUMIFS(E58:E1496,K58:K1496,"0",B58:B1496,"1 1 2 3 1 12 31111 6 M59 00003 000003 00001*")</f>
        <v>23000</v>
      </c>
      <c r="E57" s="54"/>
      <c r="F57" s="83">
        <f>SUMIFS(F58:F1496,K58:K1496,"0",B58:B1496,"1 1 2 3 1 12 31111 6 M59 00003 000003 00001*")</f>
        <v>742929.4800000001</v>
      </c>
      <c r="G57" s="83">
        <f>SUMIFS(G58:G1496,K58:K1496,"0",B58:B1496,"1 1 2 3 1 12 31111 6 M59 00003 000003 00001*")</f>
        <v>4524</v>
      </c>
      <c r="H57" s="83">
        <f t="shared" si="0"/>
        <v>761405.4800000001</v>
      </c>
      <c r="I57" s="83"/>
      <c r="K57" s="54" t="s">
        <v>15</v>
      </c>
    </row>
    <row r="58" spans="2:11" ht="16.5" x14ac:dyDescent="0.2">
      <c r="B58" s="84" t="s">
        <v>194</v>
      </c>
      <c r="C58" s="84" t="s">
        <v>195</v>
      </c>
      <c r="D58" s="85">
        <v>0</v>
      </c>
      <c r="E58" s="85"/>
      <c r="F58" s="85">
        <v>679191.06</v>
      </c>
      <c r="G58" s="85">
        <v>0</v>
      </c>
      <c r="H58" s="85">
        <f t="shared" si="0"/>
        <v>679191.06</v>
      </c>
      <c r="I58" s="85"/>
      <c r="K58" s="54" t="s">
        <v>38</v>
      </c>
    </row>
    <row r="59" spans="2:11" ht="24.75" x14ac:dyDescent="0.2">
      <c r="B59" s="84" t="s">
        <v>196</v>
      </c>
      <c r="C59" s="84" t="s">
        <v>179</v>
      </c>
      <c r="D59" s="85">
        <v>20000</v>
      </c>
      <c r="E59" s="85"/>
      <c r="F59" s="85">
        <v>4524</v>
      </c>
      <c r="G59" s="85">
        <v>4524</v>
      </c>
      <c r="H59" s="85">
        <f t="shared" si="0"/>
        <v>20000</v>
      </c>
      <c r="I59" s="85"/>
      <c r="K59" s="54" t="s">
        <v>38</v>
      </c>
    </row>
    <row r="60" spans="2:11" ht="16.5" x14ac:dyDescent="0.2">
      <c r="B60" s="84" t="s">
        <v>197</v>
      </c>
      <c r="C60" s="84" t="s">
        <v>198</v>
      </c>
      <c r="D60" s="85">
        <v>3000</v>
      </c>
      <c r="E60" s="85"/>
      <c r="F60" s="85">
        <v>0</v>
      </c>
      <c r="G60" s="85">
        <v>0</v>
      </c>
      <c r="H60" s="85">
        <f t="shared" si="0"/>
        <v>3000</v>
      </c>
      <c r="I60" s="85"/>
      <c r="K60" s="54" t="s">
        <v>38</v>
      </c>
    </row>
    <row r="61" spans="2:11" ht="24.75" x14ac:dyDescent="0.2">
      <c r="B61" s="84" t="s">
        <v>199</v>
      </c>
      <c r="C61" s="84" t="s">
        <v>200</v>
      </c>
      <c r="D61" s="85">
        <v>0</v>
      </c>
      <c r="E61" s="85"/>
      <c r="F61" s="85">
        <v>59214.42</v>
      </c>
      <c r="G61" s="85">
        <v>0</v>
      </c>
      <c r="H61" s="85">
        <f t="shared" si="0"/>
        <v>59214.42</v>
      </c>
      <c r="I61" s="85"/>
      <c r="K61" s="54" t="s">
        <v>38</v>
      </c>
    </row>
    <row r="62" spans="2:11" ht="16.5" x14ac:dyDescent="0.2">
      <c r="B62" s="82" t="s">
        <v>207</v>
      </c>
      <c r="C62" s="82" t="s">
        <v>208</v>
      </c>
      <c r="D62" s="83">
        <f>SUMIFS(D63:D1496,K63:K1496,"0",B63:B1496,"1 1 2 4*")-SUMIFS(E63:E1496,K63:K1496,"0",B63:B1496,"1 1 2 4*")</f>
        <v>0</v>
      </c>
      <c r="E62" s="54"/>
      <c r="F62" s="83">
        <f>SUMIFS(F63:F1496,K63:K1496,"0",B63:B1496,"1 1 2 4*")</f>
        <v>13610.15</v>
      </c>
      <c r="G62" s="83">
        <f>SUMIFS(G63:G1496,K63:K1496,"0",B63:B1496,"1 1 2 4*")</f>
        <v>13610.15</v>
      </c>
      <c r="H62" s="83">
        <f t="shared" si="0"/>
        <v>0</v>
      </c>
      <c r="I62" s="83"/>
      <c r="K62" s="54" t="s">
        <v>15</v>
      </c>
    </row>
    <row r="63" spans="2:11" ht="12.75" x14ac:dyDescent="0.2">
      <c r="B63" s="82" t="s">
        <v>235</v>
      </c>
      <c r="C63" s="82" t="s">
        <v>236</v>
      </c>
      <c r="D63" s="83">
        <f>SUMIFS(D64:D1496,K64:K1496,"0",B64:B1496,"1 1 2 4 4*")-SUMIFS(E64:E1496,K64:K1496,"0",B64:B1496,"1 1 2 4 4*")</f>
        <v>0</v>
      </c>
      <c r="E63" s="54"/>
      <c r="F63" s="83">
        <f>SUMIFS(F64:F1496,K64:K1496,"0",B64:B1496,"1 1 2 4 4*")</f>
        <v>13610.15</v>
      </c>
      <c r="G63" s="83">
        <f>SUMIFS(G64:G1496,K64:K1496,"0",B64:B1496,"1 1 2 4 4*")</f>
        <v>13610.15</v>
      </c>
      <c r="H63" s="83">
        <f t="shared" si="0"/>
        <v>0</v>
      </c>
      <c r="I63" s="83"/>
      <c r="K63" s="54" t="s">
        <v>15</v>
      </c>
    </row>
    <row r="64" spans="2:11" ht="12.75" x14ac:dyDescent="0.2">
      <c r="B64" s="82" t="s">
        <v>237</v>
      </c>
      <c r="C64" s="82" t="s">
        <v>26</v>
      </c>
      <c r="D64" s="83">
        <f>SUMIFS(D65:D1496,K65:K1496,"0",B65:B1496,"1 1 2 4 4 12*")-SUMIFS(E65:E1496,K65:K1496,"0",B65:B1496,"1 1 2 4 4 12*")</f>
        <v>0</v>
      </c>
      <c r="E64" s="54"/>
      <c r="F64" s="83">
        <f>SUMIFS(F65:F1496,K65:K1496,"0",B65:B1496,"1 1 2 4 4 12*")</f>
        <v>13610.15</v>
      </c>
      <c r="G64" s="83">
        <f>SUMIFS(G65:G1496,K65:K1496,"0",B65:B1496,"1 1 2 4 4 12*")</f>
        <v>13610.15</v>
      </c>
      <c r="H64" s="83">
        <f t="shared" si="0"/>
        <v>0</v>
      </c>
      <c r="I64" s="83"/>
      <c r="K64" s="54" t="s">
        <v>15</v>
      </c>
    </row>
    <row r="65" spans="2:11" ht="16.5" x14ac:dyDescent="0.2">
      <c r="B65" s="82" t="s">
        <v>238</v>
      </c>
      <c r="C65" s="82" t="s">
        <v>28</v>
      </c>
      <c r="D65" s="83">
        <f>SUMIFS(D66:D1496,K66:K1496,"0",B66:B1496,"1 1 2 4 4 12 31111*")-SUMIFS(E66:E1496,K66:K1496,"0",B66:B1496,"1 1 2 4 4 12 31111*")</f>
        <v>0</v>
      </c>
      <c r="E65" s="54"/>
      <c r="F65" s="83">
        <f>SUMIFS(F66:F1496,K66:K1496,"0",B66:B1496,"1 1 2 4 4 12 31111*")</f>
        <v>13610.15</v>
      </c>
      <c r="G65" s="83">
        <f>SUMIFS(G66:G1496,K66:K1496,"0",B66:B1496,"1 1 2 4 4 12 31111*")</f>
        <v>13610.15</v>
      </c>
      <c r="H65" s="83">
        <f t="shared" si="0"/>
        <v>0</v>
      </c>
      <c r="I65" s="83"/>
      <c r="K65" s="54" t="s">
        <v>15</v>
      </c>
    </row>
    <row r="66" spans="2:11" ht="12.75" x14ac:dyDescent="0.2">
      <c r="B66" s="82" t="s">
        <v>239</v>
      </c>
      <c r="C66" s="82" t="s">
        <v>30</v>
      </c>
      <c r="D66" s="83">
        <f>SUMIFS(D67:D1496,K67:K1496,"0",B67:B1496,"1 1 2 4 4 12 31111 6*")-SUMIFS(E67:E1496,K67:K1496,"0",B67:B1496,"1 1 2 4 4 12 31111 6*")</f>
        <v>0</v>
      </c>
      <c r="E66" s="54"/>
      <c r="F66" s="83">
        <f>SUMIFS(F67:F1496,K67:K1496,"0",B67:B1496,"1 1 2 4 4 12 31111 6*")</f>
        <v>13610.15</v>
      </c>
      <c r="G66" s="83">
        <f>SUMIFS(G67:G1496,K67:K1496,"0",B67:B1496,"1 1 2 4 4 12 31111 6*")</f>
        <v>13610.15</v>
      </c>
      <c r="H66" s="83">
        <f t="shared" si="0"/>
        <v>0</v>
      </c>
      <c r="I66" s="83"/>
      <c r="K66" s="54" t="s">
        <v>15</v>
      </c>
    </row>
    <row r="67" spans="2:11" ht="16.5" x14ac:dyDescent="0.2">
      <c r="B67" s="82" t="s">
        <v>240</v>
      </c>
      <c r="C67" s="82" t="s">
        <v>32</v>
      </c>
      <c r="D67" s="83">
        <f>SUMIFS(D68:D1496,K68:K1496,"0",B68:B1496,"1 1 2 4 4 12 31111 6 M59*")-SUMIFS(E68:E1496,K68:K1496,"0",B68:B1496,"1 1 2 4 4 12 31111 6 M59*")</f>
        <v>0</v>
      </c>
      <c r="E67" s="54"/>
      <c r="F67" s="83">
        <f>SUMIFS(F68:F1496,K68:K1496,"0",B68:B1496,"1 1 2 4 4 12 31111 6 M59*")</f>
        <v>13610.15</v>
      </c>
      <c r="G67" s="83">
        <f>SUMIFS(G68:G1496,K68:K1496,"0",B68:B1496,"1 1 2 4 4 12 31111 6 M59*")</f>
        <v>13610.15</v>
      </c>
      <c r="H67" s="83">
        <f t="shared" si="0"/>
        <v>0</v>
      </c>
      <c r="I67" s="83"/>
      <c r="K67" s="54" t="s">
        <v>15</v>
      </c>
    </row>
    <row r="68" spans="2:11" ht="24.75" x14ac:dyDescent="0.2">
      <c r="B68" s="84" t="s">
        <v>245</v>
      </c>
      <c r="C68" s="84" t="s">
        <v>40</v>
      </c>
      <c r="D68" s="85">
        <v>0</v>
      </c>
      <c r="E68" s="85"/>
      <c r="F68" s="85">
        <v>13610.15</v>
      </c>
      <c r="G68" s="85">
        <v>13610.15</v>
      </c>
      <c r="H68" s="85">
        <f t="shared" si="0"/>
        <v>0</v>
      </c>
      <c r="I68" s="85"/>
      <c r="K68" s="54" t="s">
        <v>38</v>
      </c>
    </row>
    <row r="69" spans="2:11" ht="16.5" x14ac:dyDescent="0.2">
      <c r="B69" s="82" t="s">
        <v>263</v>
      </c>
      <c r="C69" s="82" t="s">
        <v>264</v>
      </c>
      <c r="D69" s="83">
        <f>SUMIFS(D70:D1496,K70:K1496,"0",B70:B1496,"1 1 2 6*")-SUMIFS(E70:E1496,K70:K1496,"0",B70:B1496,"1 1 2 6*")</f>
        <v>11500</v>
      </c>
      <c r="E69" s="54"/>
      <c r="F69" s="83">
        <f>SUMIFS(F70:F1496,K70:K1496,"0",B70:B1496,"1 1 2 6*")</f>
        <v>5000</v>
      </c>
      <c r="G69" s="83">
        <f>SUMIFS(G70:G1496,K70:K1496,"0",B70:B1496,"1 1 2 6*")</f>
        <v>16500</v>
      </c>
      <c r="H69" s="83">
        <f t="shared" si="0"/>
        <v>0</v>
      </c>
      <c r="I69" s="83"/>
      <c r="K69" s="54" t="s">
        <v>15</v>
      </c>
    </row>
    <row r="70" spans="2:11" ht="16.5" x14ac:dyDescent="0.2">
      <c r="B70" s="82" t="s">
        <v>275</v>
      </c>
      <c r="C70" s="82" t="s">
        <v>276</v>
      </c>
      <c r="D70" s="83">
        <f>SUMIFS(D71:D1496,K71:K1496,"0",B71:B1496,"1 1 2 6 4*")-SUMIFS(E71:E1496,K71:K1496,"0",B71:B1496,"1 1 2 6 4*")</f>
        <v>11500</v>
      </c>
      <c r="E70" s="54"/>
      <c r="F70" s="83">
        <f>SUMIFS(F71:F1496,K71:K1496,"0",B71:B1496,"1 1 2 6 4*")</f>
        <v>5000</v>
      </c>
      <c r="G70" s="83">
        <f>SUMIFS(G71:G1496,K71:K1496,"0",B71:B1496,"1 1 2 6 4*")</f>
        <v>16500</v>
      </c>
      <c r="H70" s="83">
        <f t="shared" si="0"/>
        <v>0</v>
      </c>
      <c r="I70" s="83"/>
      <c r="K70" s="54" t="s">
        <v>15</v>
      </c>
    </row>
    <row r="71" spans="2:11" ht="12.75" x14ac:dyDescent="0.2">
      <c r="B71" s="82" t="s">
        <v>277</v>
      </c>
      <c r="C71" s="82" t="s">
        <v>26</v>
      </c>
      <c r="D71" s="83">
        <f>SUMIFS(D72:D1496,K72:K1496,"0",B72:B1496,"1 1 2 6 4 12*")-SUMIFS(E72:E1496,K72:K1496,"0",B72:B1496,"1 1 2 6 4 12*")</f>
        <v>11500</v>
      </c>
      <c r="E71" s="54"/>
      <c r="F71" s="83">
        <f>SUMIFS(F72:F1496,K72:K1496,"0",B72:B1496,"1 1 2 6 4 12*")</f>
        <v>5000</v>
      </c>
      <c r="G71" s="83">
        <f>SUMIFS(G72:G1496,K72:K1496,"0",B72:B1496,"1 1 2 6 4 12*")</f>
        <v>16500</v>
      </c>
      <c r="H71" s="83">
        <f t="shared" si="0"/>
        <v>0</v>
      </c>
      <c r="I71" s="83"/>
      <c r="K71" s="54" t="s">
        <v>15</v>
      </c>
    </row>
    <row r="72" spans="2:11" ht="16.5" x14ac:dyDescent="0.2">
      <c r="B72" s="82" t="s">
        <v>278</v>
      </c>
      <c r="C72" s="82" t="s">
        <v>28</v>
      </c>
      <c r="D72" s="83">
        <f>SUMIFS(D73:D1496,K73:K1496,"0",B73:B1496,"1 1 2 6 4 12 31111*")-SUMIFS(E73:E1496,K73:K1496,"0",B73:B1496,"1 1 2 6 4 12 31111*")</f>
        <v>11500</v>
      </c>
      <c r="E72" s="54"/>
      <c r="F72" s="83">
        <f>SUMIFS(F73:F1496,K73:K1496,"0",B73:B1496,"1 1 2 6 4 12 31111*")</f>
        <v>5000</v>
      </c>
      <c r="G72" s="83">
        <f>SUMIFS(G73:G1496,K73:K1496,"0",B73:B1496,"1 1 2 6 4 12 31111*")</f>
        <v>16500</v>
      </c>
      <c r="H72" s="83">
        <f t="shared" si="0"/>
        <v>0</v>
      </c>
      <c r="I72" s="83"/>
      <c r="K72" s="54" t="s">
        <v>15</v>
      </c>
    </row>
    <row r="73" spans="2:11" ht="12.75" x14ac:dyDescent="0.2">
      <c r="B73" s="82" t="s">
        <v>279</v>
      </c>
      <c r="C73" s="82" t="s">
        <v>30</v>
      </c>
      <c r="D73" s="83">
        <f>SUMIFS(D74:D1496,K74:K1496,"0",B74:B1496,"1 1 2 6 4 12 31111 6*")-SUMIFS(E74:E1496,K74:K1496,"0",B74:B1496,"1 1 2 6 4 12 31111 6*")</f>
        <v>11500</v>
      </c>
      <c r="E73" s="54"/>
      <c r="F73" s="83">
        <f>SUMIFS(F74:F1496,K74:K1496,"0",B74:B1496,"1 1 2 6 4 12 31111 6*")</f>
        <v>5000</v>
      </c>
      <c r="G73" s="83">
        <f>SUMIFS(G74:G1496,K74:K1496,"0",B74:B1496,"1 1 2 6 4 12 31111 6*")</f>
        <v>16500</v>
      </c>
      <c r="H73" s="83">
        <f t="shared" si="0"/>
        <v>0</v>
      </c>
      <c r="I73" s="83"/>
      <c r="K73" s="54" t="s">
        <v>15</v>
      </c>
    </row>
    <row r="74" spans="2:11" ht="16.5" x14ac:dyDescent="0.2">
      <c r="B74" s="82" t="s">
        <v>280</v>
      </c>
      <c r="C74" s="82" t="s">
        <v>140</v>
      </c>
      <c r="D74" s="83">
        <f>SUMIFS(D75:D1496,K75:K1496,"0",B75:B1496,"1 1 2 6 4 12 31111 6 M59*")-SUMIFS(E75:E1496,K75:K1496,"0",B75:B1496,"1 1 2 6 4 12 31111 6 M59*")</f>
        <v>11500</v>
      </c>
      <c r="E74" s="54"/>
      <c r="F74" s="83">
        <f>SUMIFS(F75:F1496,K75:K1496,"0",B75:B1496,"1 1 2 6 4 12 31111 6 M59*")</f>
        <v>5000</v>
      </c>
      <c r="G74" s="83">
        <f>SUMIFS(G75:G1496,K75:K1496,"0",B75:B1496,"1 1 2 6 4 12 31111 6 M59*")</f>
        <v>16500</v>
      </c>
      <c r="H74" s="83">
        <f t="shared" si="0"/>
        <v>0</v>
      </c>
      <c r="I74" s="83"/>
      <c r="K74" s="54" t="s">
        <v>15</v>
      </c>
    </row>
    <row r="75" spans="2:11" ht="24.75" x14ac:dyDescent="0.2">
      <c r="B75" s="82" t="s">
        <v>345</v>
      </c>
      <c r="C75" s="82" t="s">
        <v>40</v>
      </c>
      <c r="D75" s="83">
        <f>SUMIFS(D76:D1496,K76:K1496,"0",B76:B1496,"1 1 2 6 4 12 31111 6 M59 00003*")-SUMIFS(E76:E1496,K76:K1496,"0",B76:B1496,"1 1 2 6 4 12 31111 6 M59 00003*")</f>
        <v>11500</v>
      </c>
      <c r="E75" s="54"/>
      <c r="F75" s="83">
        <f>SUMIFS(F76:F1496,K76:K1496,"0",B76:B1496,"1 1 2 6 4 12 31111 6 M59 00003*")</f>
        <v>5000</v>
      </c>
      <c r="G75" s="83">
        <f>SUMIFS(G76:G1496,K76:K1496,"0",B76:B1496,"1 1 2 6 4 12 31111 6 M59 00003*")</f>
        <v>16500</v>
      </c>
      <c r="H75" s="83">
        <f t="shared" si="0"/>
        <v>0</v>
      </c>
      <c r="I75" s="83"/>
      <c r="K75" s="54" t="s">
        <v>15</v>
      </c>
    </row>
    <row r="76" spans="2:11" ht="16.5" x14ac:dyDescent="0.2">
      <c r="B76" s="82" t="s">
        <v>346</v>
      </c>
      <c r="C76" s="82" t="s">
        <v>42</v>
      </c>
      <c r="D76" s="83">
        <f>SUMIFS(D77:D1496,K77:K1496,"0",B77:B1496,"1 1 2 6 4 12 31111 6 M59 00003 000001*")-SUMIFS(E77:E1496,K77:K1496,"0",B77:B1496,"1 1 2 6 4 12 31111 6 M59 00003 000001*")</f>
        <v>11500</v>
      </c>
      <c r="E76" s="54"/>
      <c r="F76" s="83">
        <f>SUMIFS(F77:F1496,K77:K1496,"0",B77:B1496,"1 1 2 6 4 12 31111 6 M59 00003 000001*")</f>
        <v>5000</v>
      </c>
      <c r="G76" s="83">
        <f>SUMIFS(G77:G1496,K77:K1496,"0",B77:B1496,"1 1 2 6 4 12 31111 6 M59 00003 000001*")</f>
        <v>16500</v>
      </c>
      <c r="H76" s="83">
        <f t="shared" ref="H76:H139" si="1">D76 + F76 - G76</f>
        <v>0</v>
      </c>
      <c r="I76" s="83"/>
      <c r="K76" s="54" t="s">
        <v>15</v>
      </c>
    </row>
    <row r="77" spans="2:11" ht="16.5" x14ac:dyDescent="0.2">
      <c r="B77" s="84" t="s">
        <v>347</v>
      </c>
      <c r="C77" s="84" t="s">
        <v>348</v>
      </c>
      <c r="D77" s="85">
        <v>6000</v>
      </c>
      <c r="E77" s="85"/>
      <c r="F77" s="85">
        <v>0</v>
      </c>
      <c r="G77" s="85">
        <v>6000</v>
      </c>
      <c r="H77" s="85">
        <f t="shared" si="1"/>
        <v>0</v>
      </c>
      <c r="I77" s="85"/>
      <c r="K77" s="54" t="s">
        <v>38</v>
      </c>
    </row>
    <row r="78" spans="2:11" ht="16.5" x14ac:dyDescent="0.2">
      <c r="B78" s="84" t="s">
        <v>349</v>
      </c>
      <c r="C78" s="84" t="s">
        <v>350</v>
      </c>
      <c r="D78" s="85">
        <v>4500</v>
      </c>
      <c r="E78" s="85"/>
      <c r="F78" s="85">
        <v>0</v>
      </c>
      <c r="G78" s="85">
        <v>4500</v>
      </c>
      <c r="H78" s="85">
        <f t="shared" si="1"/>
        <v>0</v>
      </c>
      <c r="I78" s="85"/>
      <c r="K78" s="54" t="s">
        <v>38</v>
      </c>
    </row>
    <row r="79" spans="2:11" ht="16.5" x14ac:dyDescent="0.2">
      <c r="B79" s="84" t="s">
        <v>351</v>
      </c>
      <c r="C79" s="84" t="s">
        <v>352</v>
      </c>
      <c r="D79" s="85">
        <v>1000</v>
      </c>
      <c r="E79" s="85"/>
      <c r="F79" s="85">
        <v>0</v>
      </c>
      <c r="G79" s="85">
        <v>1000</v>
      </c>
      <c r="H79" s="85">
        <f t="shared" si="1"/>
        <v>0</v>
      </c>
      <c r="I79" s="85"/>
      <c r="K79" s="54" t="s">
        <v>38</v>
      </c>
    </row>
    <row r="80" spans="2:11" ht="16.5" x14ac:dyDescent="0.2">
      <c r="B80" s="84" t="s">
        <v>353</v>
      </c>
      <c r="C80" s="84" t="s">
        <v>354</v>
      </c>
      <c r="D80" s="85">
        <v>0</v>
      </c>
      <c r="E80" s="85"/>
      <c r="F80" s="85">
        <v>5000</v>
      </c>
      <c r="G80" s="85">
        <v>5000</v>
      </c>
      <c r="H80" s="85">
        <f t="shared" si="1"/>
        <v>0</v>
      </c>
      <c r="I80" s="85"/>
      <c r="K80" s="54" t="s">
        <v>38</v>
      </c>
    </row>
    <row r="81" spans="2:11" ht="16.5" x14ac:dyDescent="0.2">
      <c r="B81" s="82" t="s">
        <v>376</v>
      </c>
      <c r="C81" s="82" t="s">
        <v>377</v>
      </c>
      <c r="D81" s="83">
        <f>SUMIFS(D82:D1496,K82:K1496,"0",B82:B1496,"1 1 3*")-SUMIFS(E82:E1496,K82:K1496,"0",B82:B1496,"1 1 3*")</f>
        <v>503453.01000000007</v>
      </c>
      <c r="E81" s="54"/>
      <c r="F81" s="83">
        <f>SUMIFS(F82:F1496,K82:K1496,"0",B82:B1496,"1 1 3*")</f>
        <v>759867.55</v>
      </c>
      <c r="G81" s="83">
        <f>SUMIFS(G82:G1496,K82:K1496,"0",B82:B1496,"1 1 3*")</f>
        <v>757799.75</v>
      </c>
      <c r="H81" s="83">
        <f t="shared" si="1"/>
        <v>505520.81000000006</v>
      </c>
      <c r="I81" s="83"/>
      <c r="K81" s="54" t="s">
        <v>15</v>
      </c>
    </row>
    <row r="82" spans="2:11" ht="33" x14ac:dyDescent="0.2">
      <c r="B82" s="82" t="s">
        <v>378</v>
      </c>
      <c r="C82" s="82" t="s">
        <v>379</v>
      </c>
      <c r="D82" s="83">
        <f>SUMIFS(D83:D1496,K83:K1496,"0",B83:B1496,"1 1 3 1*")-SUMIFS(E83:E1496,K83:K1496,"0",B83:B1496,"1 1 3 1*")</f>
        <v>503453.01000000007</v>
      </c>
      <c r="E82" s="54"/>
      <c r="F82" s="83">
        <f>SUMIFS(F83:F1496,K83:K1496,"0",B83:B1496,"1 1 3 1*")</f>
        <v>759867.55</v>
      </c>
      <c r="G82" s="83">
        <f>SUMIFS(G83:G1496,K83:K1496,"0",B83:B1496,"1 1 3 1*")</f>
        <v>757799.75</v>
      </c>
      <c r="H82" s="83">
        <f t="shared" si="1"/>
        <v>505520.81000000006</v>
      </c>
      <c r="I82" s="83"/>
      <c r="K82" s="54" t="s">
        <v>15</v>
      </c>
    </row>
    <row r="83" spans="2:11" ht="33" x14ac:dyDescent="0.2">
      <c r="B83" s="82" t="s">
        <v>380</v>
      </c>
      <c r="C83" s="82" t="s">
        <v>379</v>
      </c>
      <c r="D83" s="83">
        <f>SUMIFS(D84:D1496,K84:K1496,"0",B84:B1496,"1 1 3 1 1*")-SUMIFS(E84:E1496,K84:K1496,"0",B84:B1496,"1 1 3 1 1*")</f>
        <v>503453.01000000007</v>
      </c>
      <c r="E83" s="54"/>
      <c r="F83" s="83">
        <f>SUMIFS(F84:F1496,K84:K1496,"0",B84:B1496,"1 1 3 1 1*")</f>
        <v>759867.55</v>
      </c>
      <c r="G83" s="83">
        <f>SUMIFS(G84:G1496,K84:K1496,"0",B84:B1496,"1 1 3 1 1*")</f>
        <v>757799.75</v>
      </c>
      <c r="H83" s="83">
        <f t="shared" si="1"/>
        <v>505520.81000000006</v>
      </c>
      <c r="I83" s="83"/>
      <c r="K83" s="54" t="s">
        <v>15</v>
      </c>
    </row>
    <row r="84" spans="2:11" ht="12.75" x14ac:dyDescent="0.2">
      <c r="B84" s="82" t="s">
        <v>381</v>
      </c>
      <c r="C84" s="82" t="s">
        <v>26</v>
      </c>
      <c r="D84" s="83">
        <f>SUMIFS(D85:D1496,K85:K1496,"0",B85:B1496,"1 1 3 1 1 12*")-SUMIFS(E85:E1496,K85:K1496,"0",B85:B1496,"1 1 3 1 1 12*")</f>
        <v>503453.01000000007</v>
      </c>
      <c r="E84" s="54"/>
      <c r="F84" s="83">
        <f>SUMIFS(F85:F1496,K85:K1496,"0",B85:B1496,"1 1 3 1 1 12*")</f>
        <v>759867.55</v>
      </c>
      <c r="G84" s="83">
        <f>SUMIFS(G85:G1496,K85:K1496,"0",B85:B1496,"1 1 3 1 1 12*")</f>
        <v>757799.75</v>
      </c>
      <c r="H84" s="83">
        <f t="shared" si="1"/>
        <v>505520.81000000006</v>
      </c>
      <c r="I84" s="83"/>
      <c r="K84" s="54" t="s">
        <v>15</v>
      </c>
    </row>
    <row r="85" spans="2:11" ht="16.5" x14ac:dyDescent="0.2">
      <c r="B85" s="82" t="s">
        <v>382</v>
      </c>
      <c r="C85" s="82" t="s">
        <v>28</v>
      </c>
      <c r="D85" s="83">
        <f>SUMIFS(D86:D1496,K86:K1496,"0",B86:B1496,"1 1 3 1 1 12 31111*")-SUMIFS(E86:E1496,K86:K1496,"0",B86:B1496,"1 1 3 1 1 12 31111*")</f>
        <v>503453.01000000007</v>
      </c>
      <c r="E85" s="54"/>
      <c r="F85" s="83">
        <f>SUMIFS(F86:F1496,K86:K1496,"0",B86:B1496,"1 1 3 1 1 12 31111*")</f>
        <v>759867.55</v>
      </c>
      <c r="G85" s="83">
        <f>SUMIFS(G86:G1496,K86:K1496,"0",B86:B1496,"1 1 3 1 1 12 31111*")</f>
        <v>757799.75</v>
      </c>
      <c r="H85" s="83">
        <f t="shared" si="1"/>
        <v>505520.81000000006</v>
      </c>
      <c r="I85" s="83"/>
      <c r="K85" s="54" t="s">
        <v>15</v>
      </c>
    </row>
    <row r="86" spans="2:11" ht="12.75" x14ac:dyDescent="0.2">
      <c r="B86" s="82" t="s">
        <v>383</v>
      </c>
      <c r="C86" s="82" t="s">
        <v>30</v>
      </c>
      <c r="D86" s="83">
        <f>SUMIFS(D87:D1496,K87:K1496,"0",B87:B1496,"1 1 3 1 1 12 31111 6*")-SUMIFS(E87:E1496,K87:K1496,"0",B87:B1496,"1 1 3 1 1 12 31111 6*")</f>
        <v>503453.01000000007</v>
      </c>
      <c r="E86" s="54"/>
      <c r="F86" s="83">
        <f>SUMIFS(F87:F1496,K87:K1496,"0",B87:B1496,"1 1 3 1 1 12 31111 6*")</f>
        <v>759867.55</v>
      </c>
      <c r="G86" s="83">
        <f>SUMIFS(G87:G1496,K87:K1496,"0",B87:B1496,"1 1 3 1 1 12 31111 6*")</f>
        <v>757799.75</v>
      </c>
      <c r="H86" s="83">
        <f t="shared" si="1"/>
        <v>505520.81000000006</v>
      </c>
      <c r="I86" s="83"/>
      <c r="K86" s="54" t="s">
        <v>15</v>
      </c>
    </row>
    <row r="87" spans="2:11" ht="12.75" x14ac:dyDescent="0.2">
      <c r="B87" s="82" t="s">
        <v>384</v>
      </c>
      <c r="C87" s="82" t="s">
        <v>32</v>
      </c>
      <c r="D87" s="83">
        <f>SUMIFS(D88:D1496,K88:K1496,"0",B88:B1496,"1 1 3 1 1 12 31111 6 M59*")-SUMIFS(E88:E1496,K88:K1496,"0",B88:B1496,"1 1 3 1 1 12 31111 6 M59*")</f>
        <v>503453.01000000007</v>
      </c>
      <c r="E87" s="54"/>
      <c r="F87" s="83">
        <f>SUMIFS(F88:F1496,K88:K1496,"0",B88:B1496,"1 1 3 1 1 12 31111 6 M59*")</f>
        <v>759867.55</v>
      </c>
      <c r="G87" s="83">
        <f>SUMIFS(G88:G1496,K88:K1496,"0",B88:B1496,"1 1 3 1 1 12 31111 6 M59*")</f>
        <v>757799.75</v>
      </c>
      <c r="H87" s="83">
        <f t="shared" si="1"/>
        <v>505520.81000000006</v>
      </c>
      <c r="I87" s="83"/>
      <c r="K87" s="54" t="s">
        <v>15</v>
      </c>
    </row>
    <row r="88" spans="2:11" ht="24.75" x14ac:dyDescent="0.2">
      <c r="B88" s="82" t="s">
        <v>420</v>
      </c>
      <c r="C88" s="82" t="s">
        <v>40</v>
      </c>
      <c r="D88" s="83">
        <f>SUMIFS(D89:D1496,K89:K1496,"0",B89:B1496,"1 1 3 1 1 12 31111 6 M59 00003*")-SUMIFS(E89:E1496,K89:K1496,"0",B89:B1496,"1 1 3 1 1 12 31111 6 M59 00003*")</f>
        <v>503453.01000000007</v>
      </c>
      <c r="E88" s="54"/>
      <c r="F88" s="83">
        <f>SUMIFS(F89:F1496,K89:K1496,"0",B89:B1496,"1 1 3 1 1 12 31111 6 M59 00003*")</f>
        <v>759867.55</v>
      </c>
      <c r="G88" s="83">
        <f>SUMIFS(G89:G1496,K89:K1496,"0",B89:B1496,"1 1 3 1 1 12 31111 6 M59 00003*")</f>
        <v>757799.75</v>
      </c>
      <c r="H88" s="83">
        <f t="shared" si="1"/>
        <v>505520.81000000006</v>
      </c>
      <c r="I88" s="83"/>
      <c r="K88" s="54" t="s">
        <v>15</v>
      </c>
    </row>
    <row r="89" spans="2:11" ht="16.5" x14ac:dyDescent="0.2">
      <c r="B89" s="82" t="s">
        <v>421</v>
      </c>
      <c r="C89" s="82" t="s">
        <v>411</v>
      </c>
      <c r="D89" s="83">
        <f>SUMIFS(D90:D1496,K90:K1496,"0",B90:B1496,"1 1 3 1 1 12 31111 6 M59 00003 000003*")-SUMIFS(E90:E1496,K90:K1496,"0",B90:B1496,"1 1 3 1 1 12 31111 6 M59 00003 000003*")</f>
        <v>503453.01000000007</v>
      </c>
      <c r="E89" s="54"/>
      <c r="F89" s="83">
        <f>SUMIFS(F90:F1496,K90:K1496,"0",B90:B1496,"1 1 3 1 1 12 31111 6 M59 00003 000003*")</f>
        <v>759867.55</v>
      </c>
      <c r="G89" s="83">
        <f>SUMIFS(G90:G1496,K90:K1496,"0",B90:B1496,"1 1 3 1 1 12 31111 6 M59 00003 000003*")</f>
        <v>757799.75</v>
      </c>
      <c r="H89" s="83">
        <f t="shared" si="1"/>
        <v>505520.81000000006</v>
      </c>
      <c r="I89" s="83"/>
      <c r="K89" s="54" t="s">
        <v>15</v>
      </c>
    </row>
    <row r="90" spans="2:11" ht="16.5" x14ac:dyDescent="0.2">
      <c r="B90" s="84" t="s">
        <v>422</v>
      </c>
      <c r="C90" s="84" t="s">
        <v>413</v>
      </c>
      <c r="D90" s="85">
        <v>0</v>
      </c>
      <c r="E90" s="85"/>
      <c r="F90" s="85">
        <v>759867.55</v>
      </c>
      <c r="G90" s="85">
        <v>757799.75</v>
      </c>
      <c r="H90" s="85">
        <f t="shared" si="1"/>
        <v>2067.8000000000466</v>
      </c>
      <c r="I90" s="85"/>
      <c r="K90" s="54" t="s">
        <v>38</v>
      </c>
    </row>
    <row r="91" spans="2:11" ht="16.5" x14ac:dyDescent="0.2">
      <c r="B91" s="84" t="s">
        <v>423</v>
      </c>
      <c r="C91" s="84" t="s">
        <v>387</v>
      </c>
      <c r="D91" s="85">
        <v>53</v>
      </c>
      <c r="E91" s="85"/>
      <c r="F91" s="85">
        <v>0</v>
      </c>
      <c r="G91" s="85">
        <v>0</v>
      </c>
      <c r="H91" s="85">
        <f t="shared" si="1"/>
        <v>53</v>
      </c>
      <c r="I91" s="85"/>
      <c r="K91" s="54" t="s">
        <v>38</v>
      </c>
    </row>
    <row r="92" spans="2:11" ht="24.75" x14ac:dyDescent="0.2">
      <c r="B92" s="84" t="s">
        <v>424</v>
      </c>
      <c r="C92" s="84" t="s">
        <v>375</v>
      </c>
      <c r="D92" s="85">
        <v>165049.29</v>
      </c>
      <c r="E92" s="85"/>
      <c r="F92" s="85">
        <v>0</v>
      </c>
      <c r="G92" s="85">
        <v>0</v>
      </c>
      <c r="H92" s="85">
        <f t="shared" si="1"/>
        <v>165049.29</v>
      </c>
      <c r="I92" s="85"/>
      <c r="K92" s="54" t="s">
        <v>38</v>
      </c>
    </row>
    <row r="93" spans="2:11" ht="24.75" x14ac:dyDescent="0.2">
      <c r="B93" s="84" t="s">
        <v>425</v>
      </c>
      <c r="C93" s="84" t="s">
        <v>426</v>
      </c>
      <c r="D93" s="85">
        <v>928.79</v>
      </c>
      <c r="E93" s="85"/>
      <c r="F93" s="85">
        <v>0</v>
      </c>
      <c r="G93" s="85">
        <v>0</v>
      </c>
      <c r="H93" s="85">
        <f t="shared" si="1"/>
        <v>928.79</v>
      </c>
      <c r="I93" s="85"/>
      <c r="K93" s="54" t="s">
        <v>38</v>
      </c>
    </row>
    <row r="94" spans="2:11" ht="16.5" x14ac:dyDescent="0.2">
      <c r="B94" s="84" t="s">
        <v>427</v>
      </c>
      <c r="C94" s="84" t="s">
        <v>428</v>
      </c>
      <c r="D94" s="85">
        <v>3</v>
      </c>
      <c r="E94" s="85"/>
      <c r="F94" s="85">
        <v>0</v>
      </c>
      <c r="G94" s="85">
        <v>0</v>
      </c>
      <c r="H94" s="85">
        <f t="shared" si="1"/>
        <v>3</v>
      </c>
      <c r="I94" s="85"/>
      <c r="K94" s="54" t="s">
        <v>38</v>
      </c>
    </row>
    <row r="95" spans="2:11" ht="16.5" x14ac:dyDescent="0.2">
      <c r="B95" s="84" t="s">
        <v>429</v>
      </c>
      <c r="C95" s="84" t="s">
        <v>430</v>
      </c>
      <c r="D95" s="85">
        <v>3200</v>
      </c>
      <c r="E95" s="85"/>
      <c r="F95" s="85">
        <v>0</v>
      </c>
      <c r="G95" s="85">
        <v>0</v>
      </c>
      <c r="H95" s="85">
        <f t="shared" si="1"/>
        <v>3200</v>
      </c>
      <c r="I95" s="85"/>
      <c r="K95" s="54" t="s">
        <v>38</v>
      </c>
    </row>
    <row r="96" spans="2:11" ht="16.5" x14ac:dyDescent="0.2">
      <c r="B96" s="84" t="s">
        <v>431</v>
      </c>
      <c r="C96" s="84" t="s">
        <v>432</v>
      </c>
      <c r="D96" s="85">
        <v>1665</v>
      </c>
      <c r="E96" s="85"/>
      <c r="F96" s="85">
        <v>0</v>
      </c>
      <c r="G96" s="85">
        <v>0</v>
      </c>
      <c r="H96" s="85">
        <f t="shared" si="1"/>
        <v>1665</v>
      </c>
      <c r="I96" s="85"/>
      <c r="K96" s="54" t="s">
        <v>38</v>
      </c>
    </row>
    <row r="97" spans="2:11" ht="16.5" x14ac:dyDescent="0.2">
      <c r="B97" s="84" t="s">
        <v>433</v>
      </c>
      <c r="C97" s="84" t="s">
        <v>434</v>
      </c>
      <c r="D97" s="85">
        <v>42294.44</v>
      </c>
      <c r="E97" s="85"/>
      <c r="F97" s="85">
        <v>0</v>
      </c>
      <c r="G97" s="85">
        <v>0</v>
      </c>
      <c r="H97" s="85">
        <f t="shared" si="1"/>
        <v>42294.44</v>
      </c>
      <c r="I97" s="85"/>
      <c r="K97" s="54" t="s">
        <v>38</v>
      </c>
    </row>
    <row r="98" spans="2:11" ht="16.5" x14ac:dyDescent="0.2">
      <c r="B98" s="84" t="s">
        <v>435</v>
      </c>
      <c r="C98" s="84" t="s">
        <v>436</v>
      </c>
      <c r="D98" s="85">
        <v>5040</v>
      </c>
      <c r="E98" s="85"/>
      <c r="F98" s="85">
        <v>0</v>
      </c>
      <c r="G98" s="85">
        <v>0</v>
      </c>
      <c r="H98" s="85">
        <f t="shared" si="1"/>
        <v>5040</v>
      </c>
      <c r="I98" s="85"/>
      <c r="K98" s="54" t="s">
        <v>38</v>
      </c>
    </row>
    <row r="99" spans="2:11" ht="16.5" x14ac:dyDescent="0.2">
      <c r="B99" s="84" t="s">
        <v>437</v>
      </c>
      <c r="C99" s="84" t="s">
        <v>438</v>
      </c>
      <c r="D99" s="85">
        <v>3080</v>
      </c>
      <c r="E99" s="85"/>
      <c r="F99" s="85">
        <v>0</v>
      </c>
      <c r="G99" s="85">
        <v>0</v>
      </c>
      <c r="H99" s="85">
        <f t="shared" si="1"/>
        <v>3080</v>
      </c>
      <c r="I99" s="85"/>
      <c r="K99" s="54" t="s">
        <v>38</v>
      </c>
    </row>
    <row r="100" spans="2:11" ht="16.5" x14ac:dyDescent="0.2">
      <c r="B100" s="84" t="s">
        <v>439</v>
      </c>
      <c r="C100" s="84" t="s">
        <v>396</v>
      </c>
      <c r="D100" s="85">
        <v>159583.94</v>
      </c>
      <c r="E100" s="85"/>
      <c r="F100" s="85">
        <v>0</v>
      </c>
      <c r="G100" s="85">
        <v>0</v>
      </c>
      <c r="H100" s="85">
        <f t="shared" si="1"/>
        <v>159583.94</v>
      </c>
      <c r="I100" s="85"/>
      <c r="K100" s="54" t="s">
        <v>38</v>
      </c>
    </row>
    <row r="101" spans="2:11" ht="16.5" x14ac:dyDescent="0.2">
      <c r="B101" s="84" t="s">
        <v>440</v>
      </c>
      <c r="C101" s="84" t="s">
        <v>441</v>
      </c>
      <c r="D101" s="85">
        <v>400</v>
      </c>
      <c r="E101" s="85"/>
      <c r="F101" s="85">
        <v>0</v>
      </c>
      <c r="G101" s="85">
        <v>0</v>
      </c>
      <c r="H101" s="85">
        <f t="shared" si="1"/>
        <v>400</v>
      </c>
      <c r="I101" s="85"/>
      <c r="K101" s="54" t="s">
        <v>38</v>
      </c>
    </row>
    <row r="102" spans="2:11" ht="16.5" x14ac:dyDescent="0.2">
      <c r="B102" s="84" t="s">
        <v>442</v>
      </c>
      <c r="C102" s="84" t="s">
        <v>443</v>
      </c>
      <c r="D102" s="85">
        <v>49900</v>
      </c>
      <c r="E102" s="85"/>
      <c r="F102" s="85">
        <v>0</v>
      </c>
      <c r="G102" s="85">
        <v>0</v>
      </c>
      <c r="H102" s="85">
        <f t="shared" si="1"/>
        <v>49900</v>
      </c>
      <c r="I102" s="85"/>
      <c r="K102" s="54" t="s">
        <v>38</v>
      </c>
    </row>
    <row r="103" spans="2:11" ht="16.5" x14ac:dyDescent="0.2">
      <c r="B103" s="84" t="s">
        <v>444</v>
      </c>
      <c r="C103" s="84" t="s">
        <v>445</v>
      </c>
      <c r="D103" s="85">
        <v>8933.01</v>
      </c>
      <c r="E103" s="85"/>
      <c r="F103" s="85">
        <v>0</v>
      </c>
      <c r="G103" s="85">
        <v>0</v>
      </c>
      <c r="H103" s="85">
        <f t="shared" si="1"/>
        <v>8933.01</v>
      </c>
      <c r="I103" s="85"/>
      <c r="K103" s="54" t="s">
        <v>38</v>
      </c>
    </row>
    <row r="104" spans="2:11" ht="16.5" x14ac:dyDescent="0.2">
      <c r="B104" s="84" t="s">
        <v>446</v>
      </c>
      <c r="C104" s="84" t="s">
        <v>441</v>
      </c>
      <c r="D104" s="85">
        <v>1400</v>
      </c>
      <c r="E104" s="85"/>
      <c r="F104" s="85">
        <v>0</v>
      </c>
      <c r="G104" s="85">
        <v>0</v>
      </c>
      <c r="H104" s="85">
        <f t="shared" si="1"/>
        <v>1400</v>
      </c>
      <c r="I104" s="85"/>
      <c r="K104" s="54" t="s">
        <v>38</v>
      </c>
    </row>
    <row r="105" spans="2:11" ht="16.5" x14ac:dyDescent="0.2">
      <c r="B105" s="84" t="s">
        <v>447</v>
      </c>
      <c r="C105" s="84" t="s">
        <v>448</v>
      </c>
      <c r="D105" s="85">
        <v>200</v>
      </c>
      <c r="E105" s="85"/>
      <c r="F105" s="85">
        <v>0</v>
      </c>
      <c r="G105" s="85">
        <v>0</v>
      </c>
      <c r="H105" s="85">
        <f t="shared" si="1"/>
        <v>200</v>
      </c>
      <c r="I105" s="85"/>
      <c r="K105" s="54" t="s">
        <v>38</v>
      </c>
    </row>
    <row r="106" spans="2:11" ht="16.5" x14ac:dyDescent="0.2">
      <c r="B106" s="84" t="s">
        <v>449</v>
      </c>
      <c r="C106" s="84" t="s">
        <v>450</v>
      </c>
      <c r="D106" s="85">
        <v>38149.199999999997</v>
      </c>
      <c r="E106" s="85"/>
      <c r="F106" s="85">
        <v>0</v>
      </c>
      <c r="G106" s="85">
        <v>0</v>
      </c>
      <c r="H106" s="85">
        <f t="shared" si="1"/>
        <v>38149.199999999997</v>
      </c>
      <c r="I106" s="85"/>
      <c r="K106" s="54" t="s">
        <v>38</v>
      </c>
    </row>
    <row r="107" spans="2:11" ht="16.5" x14ac:dyDescent="0.2">
      <c r="B107" s="84" t="s">
        <v>451</v>
      </c>
      <c r="C107" s="84" t="s">
        <v>406</v>
      </c>
      <c r="D107" s="85">
        <v>23573.34</v>
      </c>
      <c r="E107" s="85"/>
      <c r="F107" s="85">
        <v>0</v>
      </c>
      <c r="G107" s="85">
        <v>0</v>
      </c>
      <c r="H107" s="85">
        <f t="shared" si="1"/>
        <v>23573.34</v>
      </c>
      <c r="I107" s="85"/>
      <c r="K107" s="54" t="s">
        <v>38</v>
      </c>
    </row>
    <row r="108" spans="2:11" ht="12.75" x14ac:dyDescent="0.2">
      <c r="B108" s="82" t="s">
        <v>585</v>
      </c>
      <c r="C108" s="82" t="s">
        <v>586</v>
      </c>
      <c r="D108" s="83">
        <f>SUMIFS(D109:D1496,K109:K1496,"0",B109:B1496,"1 2*")-SUMIFS(E109:E1496,K109:K1496,"0",B109:B1496,"1 2*")</f>
        <v>1884358.3600000022</v>
      </c>
      <c r="E108" s="54"/>
      <c r="F108" s="83">
        <f>SUMIFS(F109:F1496,K109:K1496,"0",B109:B1496,"1 2*")</f>
        <v>7824157.9900000002</v>
      </c>
      <c r="G108" s="83">
        <f>SUMIFS(G109:G1496,K109:K1496,"0",B109:B1496,"1 2*")</f>
        <v>380000</v>
      </c>
      <c r="H108" s="83">
        <f t="shared" si="1"/>
        <v>9328516.3500000015</v>
      </c>
      <c r="I108" s="83"/>
      <c r="K108" s="54" t="s">
        <v>15</v>
      </c>
    </row>
    <row r="109" spans="2:11" ht="33" x14ac:dyDescent="0.2">
      <c r="B109" s="82" t="s">
        <v>587</v>
      </c>
      <c r="C109" s="82" t="s">
        <v>588</v>
      </c>
      <c r="D109" s="83">
        <f>SUMIFS(D110:D1496,K110:K1496,"0",B110:B1496,"1 2 3*")-SUMIFS(E110:E1496,K110:K1496,"0",B110:B1496,"1 2 3*")</f>
        <v>0</v>
      </c>
      <c r="E109" s="54"/>
      <c r="F109" s="83">
        <f>SUMIFS(F110:F1496,K110:K1496,"0",B110:B1496,"1 2 3*")</f>
        <v>380000</v>
      </c>
      <c r="G109" s="83">
        <f>SUMIFS(G110:G1496,K110:K1496,"0",B110:B1496,"1 2 3*")</f>
        <v>380000</v>
      </c>
      <c r="H109" s="83">
        <f t="shared" si="1"/>
        <v>0</v>
      </c>
      <c r="I109" s="83"/>
      <c r="K109" s="54" t="s">
        <v>15</v>
      </c>
    </row>
    <row r="110" spans="2:11" ht="24.75" x14ac:dyDescent="0.2">
      <c r="B110" s="82" t="s">
        <v>637</v>
      </c>
      <c r="C110" s="82" t="s">
        <v>638</v>
      </c>
      <c r="D110" s="83">
        <f>SUMIFS(D111:D1496,K111:K1496,"0",B111:B1496,"1 2 3 5*")-SUMIFS(E111:E1496,K111:K1496,"0",B111:B1496,"1 2 3 5*")</f>
        <v>0</v>
      </c>
      <c r="E110" s="54"/>
      <c r="F110" s="83">
        <f>SUMIFS(F111:F1496,K111:K1496,"0",B111:B1496,"1 2 3 5*")</f>
        <v>380000</v>
      </c>
      <c r="G110" s="83">
        <f>SUMIFS(G111:G1496,K111:K1496,"0",B111:B1496,"1 2 3 5*")</f>
        <v>380000</v>
      </c>
      <c r="H110" s="83">
        <f t="shared" si="1"/>
        <v>0</v>
      </c>
      <c r="I110" s="83"/>
      <c r="K110" s="54" t="s">
        <v>15</v>
      </c>
    </row>
    <row r="111" spans="2:11" ht="16.5" x14ac:dyDescent="0.2">
      <c r="B111" s="82" t="s">
        <v>639</v>
      </c>
      <c r="C111" s="82" t="s">
        <v>640</v>
      </c>
      <c r="D111" s="83">
        <f>SUMIFS(D112:D1496,K112:K1496,"0",B112:B1496,"1 2 3 5 2*")-SUMIFS(E112:E1496,K112:K1496,"0",B112:B1496,"1 2 3 5 2*")</f>
        <v>0</v>
      </c>
      <c r="E111" s="54"/>
      <c r="F111" s="83">
        <f>SUMIFS(F112:F1496,K112:K1496,"0",B112:B1496,"1 2 3 5 2*")</f>
        <v>380000</v>
      </c>
      <c r="G111" s="83">
        <f>SUMIFS(G112:G1496,K112:K1496,"0",B112:B1496,"1 2 3 5 2*")</f>
        <v>380000</v>
      </c>
      <c r="H111" s="83">
        <f t="shared" si="1"/>
        <v>0</v>
      </c>
      <c r="I111" s="83"/>
      <c r="K111" s="54" t="s">
        <v>15</v>
      </c>
    </row>
    <row r="112" spans="2:11" ht="12.75" x14ac:dyDescent="0.2">
      <c r="B112" s="82" t="s">
        <v>641</v>
      </c>
      <c r="C112" s="82" t="s">
        <v>26</v>
      </c>
      <c r="D112" s="83">
        <f>SUMIFS(D113:D1496,K113:K1496,"0",B113:B1496,"1 2 3 5 2 12*")-SUMIFS(E113:E1496,K113:K1496,"0",B113:B1496,"1 2 3 5 2 12*")</f>
        <v>0</v>
      </c>
      <c r="E112" s="54"/>
      <c r="F112" s="83">
        <f>SUMIFS(F113:F1496,K113:K1496,"0",B113:B1496,"1 2 3 5 2 12*")</f>
        <v>380000</v>
      </c>
      <c r="G112" s="83">
        <f>SUMIFS(G113:G1496,K113:K1496,"0",B113:B1496,"1 2 3 5 2 12*")</f>
        <v>380000</v>
      </c>
      <c r="H112" s="83">
        <f t="shared" si="1"/>
        <v>0</v>
      </c>
      <c r="I112" s="83"/>
      <c r="K112" s="54" t="s">
        <v>15</v>
      </c>
    </row>
    <row r="113" spans="2:11" ht="16.5" x14ac:dyDescent="0.2">
      <c r="B113" s="82" t="s">
        <v>642</v>
      </c>
      <c r="C113" s="82" t="s">
        <v>28</v>
      </c>
      <c r="D113" s="83">
        <f>SUMIFS(D114:D1496,K114:K1496,"0",B114:B1496,"1 2 3 5 2 12 31111*")-SUMIFS(E114:E1496,K114:K1496,"0",B114:B1496,"1 2 3 5 2 12 31111*")</f>
        <v>0</v>
      </c>
      <c r="E113" s="54"/>
      <c r="F113" s="83">
        <f>SUMIFS(F114:F1496,K114:K1496,"0",B114:B1496,"1 2 3 5 2 12 31111*")</f>
        <v>380000</v>
      </c>
      <c r="G113" s="83">
        <f>SUMIFS(G114:G1496,K114:K1496,"0",B114:B1496,"1 2 3 5 2 12 31111*")</f>
        <v>380000</v>
      </c>
      <c r="H113" s="83">
        <f t="shared" si="1"/>
        <v>0</v>
      </c>
      <c r="I113" s="83"/>
      <c r="K113" s="54" t="s">
        <v>15</v>
      </c>
    </row>
    <row r="114" spans="2:11" ht="12.75" x14ac:dyDescent="0.2">
      <c r="B114" s="82" t="s">
        <v>643</v>
      </c>
      <c r="C114" s="82" t="s">
        <v>30</v>
      </c>
      <c r="D114" s="83">
        <f>SUMIFS(D115:D1496,K115:K1496,"0",B115:B1496,"1 2 3 5 2 12 31111 6*")-SUMIFS(E115:E1496,K115:K1496,"0",B115:B1496,"1 2 3 5 2 12 31111 6*")</f>
        <v>0</v>
      </c>
      <c r="E114" s="54"/>
      <c r="F114" s="83">
        <f>SUMIFS(F115:F1496,K115:K1496,"0",B115:B1496,"1 2 3 5 2 12 31111 6*")</f>
        <v>380000</v>
      </c>
      <c r="G114" s="83">
        <f>SUMIFS(G115:G1496,K115:K1496,"0",B115:B1496,"1 2 3 5 2 12 31111 6*")</f>
        <v>380000</v>
      </c>
      <c r="H114" s="83">
        <f t="shared" si="1"/>
        <v>0</v>
      </c>
      <c r="I114" s="83"/>
      <c r="K114" s="54" t="s">
        <v>15</v>
      </c>
    </row>
    <row r="115" spans="2:11" ht="16.5" x14ac:dyDescent="0.2">
      <c r="B115" s="82" t="s">
        <v>644</v>
      </c>
      <c r="C115" s="82" t="s">
        <v>140</v>
      </c>
      <c r="D115" s="83">
        <f>SUMIFS(D116:D1496,K116:K1496,"0",B116:B1496,"1 2 3 5 2 12 31111 6 M59*")-SUMIFS(E116:E1496,K116:K1496,"0",B116:B1496,"1 2 3 5 2 12 31111 6 M59*")</f>
        <v>0</v>
      </c>
      <c r="E115" s="54"/>
      <c r="F115" s="83">
        <f>SUMIFS(F116:F1496,K116:K1496,"0",B116:B1496,"1 2 3 5 2 12 31111 6 M59*")</f>
        <v>380000</v>
      </c>
      <c r="G115" s="83">
        <f>SUMIFS(G116:G1496,K116:K1496,"0",B116:B1496,"1 2 3 5 2 12 31111 6 M59*")</f>
        <v>380000</v>
      </c>
      <c r="H115" s="83">
        <f t="shared" si="1"/>
        <v>0</v>
      </c>
      <c r="I115" s="83"/>
      <c r="K115" s="54" t="s">
        <v>15</v>
      </c>
    </row>
    <row r="116" spans="2:11" ht="16.5" x14ac:dyDescent="0.2">
      <c r="B116" s="82" t="s">
        <v>645</v>
      </c>
      <c r="C116" s="82" t="s">
        <v>646</v>
      </c>
      <c r="D116" s="83">
        <f>SUMIFS(D117:D1496,K117:K1496,"0",B117:B1496,"1 2 3 5 2 12 31111 6 M59 30100*")-SUMIFS(E117:E1496,K117:K1496,"0",B117:B1496,"1 2 3 5 2 12 31111 6 M59 30100*")</f>
        <v>0</v>
      </c>
      <c r="E116" s="54"/>
      <c r="F116" s="83">
        <f>SUMIFS(F117:F1496,K117:K1496,"0",B117:B1496,"1 2 3 5 2 12 31111 6 M59 30100*")</f>
        <v>380000</v>
      </c>
      <c r="G116" s="83">
        <f>SUMIFS(G117:G1496,K117:K1496,"0",B117:B1496,"1 2 3 5 2 12 31111 6 M59 30100*")</f>
        <v>380000</v>
      </c>
      <c r="H116" s="83">
        <f t="shared" si="1"/>
        <v>0</v>
      </c>
      <c r="I116" s="83"/>
      <c r="K116" s="54" t="s">
        <v>15</v>
      </c>
    </row>
    <row r="117" spans="2:11" ht="16.5" x14ac:dyDescent="0.2">
      <c r="B117" s="82" t="s">
        <v>647</v>
      </c>
      <c r="C117" s="82" t="s">
        <v>648</v>
      </c>
      <c r="D117" s="83">
        <f>SUMIFS(D118:D1496,K118:K1496,"0",B118:B1496,"1 2 3 5 2 12 31111 6 M59 30100 000132*")-SUMIFS(E118:E1496,K118:K1496,"0",B118:B1496,"1 2 3 5 2 12 31111 6 M59 30100 000132*")</f>
        <v>0</v>
      </c>
      <c r="E117" s="54"/>
      <c r="F117" s="83">
        <f>SUMIFS(F118:F1496,K118:K1496,"0",B118:B1496,"1 2 3 5 2 12 31111 6 M59 30100 000132*")</f>
        <v>380000</v>
      </c>
      <c r="G117" s="83">
        <f>SUMIFS(G118:G1496,K118:K1496,"0",B118:B1496,"1 2 3 5 2 12 31111 6 M59 30100 000132*")</f>
        <v>380000</v>
      </c>
      <c r="H117" s="83">
        <f t="shared" si="1"/>
        <v>0</v>
      </c>
      <c r="I117" s="83"/>
      <c r="K117" s="54" t="s">
        <v>15</v>
      </c>
    </row>
    <row r="118" spans="2:11" ht="24.75" x14ac:dyDescent="0.2">
      <c r="B118" s="82" t="s">
        <v>649</v>
      </c>
      <c r="C118" s="82" t="s">
        <v>650</v>
      </c>
      <c r="D118" s="83">
        <f>SUMIFS(D119:D1496,K119:K1496,"0",B119:B1496,"1 2 3 5 2 12 31111 6 M59 30100 000132 0000R*")-SUMIFS(E119:E1496,K119:K1496,"0",B119:B1496,"1 2 3 5 2 12 31111 6 M59 30100 000132 0000R*")</f>
        <v>0</v>
      </c>
      <c r="E118" s="54"/>
      <c r="F118" s="83">
        <f>SUMIFS(F119:F1496,K119:K1496,"0",B119:B1496,"1 2 3 5 2 12 31111 6 M59 30100 000132 0000R*")</f>
        <v>380000</v>
      </c>
      <c r="G118" s="83">
        <f>SUMIFS(G119:G1496,K119:K1496,"0",B119:B1496,"1 2 3 5 2 12 31111 6 M59 30100 000132 0000R*")</f>
        <v>380000</v>
      </c>
      <c r="H118" s="83">
        <f t="shared" si="1"/>
        <v>0</v>
      </c>
      <c r="I118" s="83"/>
      <c r="K118" s="54" t="s">
        <v>15</v>
      </c>
    </row>
    <row r="119" spans="2:11" ht="24.75" x14ac:dyDescent="0.2">
      <c r="B119" s="82" t="s">
        <v>651</v>
      </c>
      <c r="C119" s="82" t="s">
        <v>652</v>
      </c>
      <c r="D119" s="83">
        <f>SUMIFS(D120:D1496,K120:K1496,"0",B120:B1496,"1 2 3 5 2 12 31111 6 M59 30100 000132 0000R 00002*")-SUMIFS(E120:E1496,K120:K1496,"0",B120:B1496,"1 2 3 5 2 12 31111 6 M59 30100 000132 0000R 00002*")</f>
        <v>0</v>
      </c>
      <c r="E119" s="54"/>
      <c r="F119" s="83">
        <f>SUMIFS(F120:F1496,K120:K1496,"0",B120:B1496,"1 2 3 5 2 12 31111 6 M59 30100 000132 0000R 00002*")</f>
        <v>380000</v>
      </c>
      <c r="G119" s="83">
        <f>SUMIFS(G120:G1496,K120:K1496,"0",B120:B1496,"1 2 3 5 2 12 31111 6 M59 30100 000132 0000R 00002*")</f>
        <v>380000</v>
      </c>
      <c r="H119" s="83">
        <f t="shared" si="1"/>
        <v>0</v>
      </c>
      <c r="I119" s="83"/>
      <c r="K119" s="54" t="s">
        <v>15</v>
      </c>
    </row>
    <row r="120" spans="2:11" ht="24.75" x14ac:dyDescent="0.2">
      <c r="B120" s="82" t="s">
        <v>653</v>
      </c>
      <c r="C120" s="82" t="s">
        <v>654</v>
      </c>
      <c r="D120" s="83">
        <f>SUMIFS(D121:D1496,K121:K1496,"0",B121:B1496,"1 2 3 5 2 12 31111 6 M59 30100 000132 0000R 00002 00612*")-SUMIFS(E121:E1496,K121:K1496,"0",B121:B1496,"1 2 3 5 2 12 31111 6 M59 30100 000132 0000R 00002 00612*")</f>
        <v>0</v>
      </c>
      <c r="E120" s="54"/>
      <c r="F120" s="83">
        <f>SUMIFS(F121:F1496,K121:K1496,"0",B121:B1496,"1 2 3 5 2 12 31111 6 M59 30100 000132 0000R 00002 00612*")</f>
        <v>380000</v>
      </c>
      <c r="G120" s="83">
        <f>SUMIFS(G121:G1496,K121:K1496,"0",B121:B1496,"1 2 3 5 2 12 31111 6 M59 30100 000132 0000R 00002 00612*")</f>
        <v>380000</v>
      </c>
      <c r="H120" s="83">
        <f t="shared" si="1"/>
        <v>0</v>
      </c>
      <c r="I120" s="83"/>
      <c r="K120" s="54" t="s">
        <v>15</v>
      </c>
    </row>
    <row r="121" spans="2:11" ht="33" x14ac:dyDescent="0.2">
      <c r="B121" s="82" t="s">
        <v>655</v>
      </c>
      <c r="C121" s="82" t="s">
        <v>656</v>
      </c>
      <c r="D121" s="83">
        <f>SUMIFS(D122:D1496,K122:K1496,"0",B122:B1496,"1 2 3 5 2 12 31111 6 M59 30100 000132 0000R 00002 00612 025*")-SUMIFS(E122:E1496,K122:K1496,"0",B122:B1496,"1 2 3 5 2 12 31111 6 M59 30100 000132 0000R 00002 00612 025*")</f>
        <v>0</v>
      </c>
      <c r="E121" s="54"/>
      <c r="F121" s="83">
        <f>SUMIFS(F122:F1496,K122:K1496,"0",B122:B1496,"1 2 3 5 2 12 31111 6 M59 30100 000132 0000R 00002 00612 025*")</f>
        <v>380000</v>
      </c>
      <c r="G121" s="83">
        <f>SUMIFS(G122:G1496,K122:K1496,"0",B122:B1496,"1 2 3 5 2 12 31111 6 M59 30100 000132 0000R 00002 00612 025*")</f>
        <v>380000</v>
      </c>
      <c r="H121" s="83">
        <f t="shared" si="1"/>
        <v>0</v>
      </c>
      <c r="I121" s="83"/>
      <c r="K121" s="54" t="s">
        <v>15</v>
      </c>
    </row>
    <row r="122" spans="2:11" ht="33" x14ac:dyDescent="0.2">
      <c r="B122" s="82" t="s">
        <v>657</v>
      </c>
      <c r="C122" s="82" t="s">
        <v>658</v>
      </c>
      <c r="D122" s="83">
        <f>SUMIFS(D123:D1496,K123:K1496,"0",B123:B1496,"1 2 3 5 2 12 31111 6 M59 30100 000132 0000R 00002 00612 025 2210000*")-SUMIFS(E123:E1496,K123:K1496,"0",B123:B1496,"1 2 3 5 2 12 31111 6 M59 30100 000132 0000R 00002 00612 025 2210000*")</f>
        <v>0</v>
      </c>
      <c r="E122" s="54"/>
      <c r="F122" s="83">
        <f>SUMIFS(F123:F1496,K123:K1496,"0",B123:B1496,"1 2 3 5 2 12 31111 6 M59 30100 000132 0000R 00002 00612 025 2210000*")</f>
        <v>380000</v>
      </c>
      <c r="G122" s="83">
        <f>SUMIFS(G123:G1496,K123:K1496,"0",B123:B1496,"1 2 3 5 2 12 31111 6 M59 30100 000132 0000R 00002 00612 025 2210000*")</f>
        <v>380000</v>
      </c>
      <c r="H122" s="83">
        <f t="shared" si="1"/>
        <v>0</v>
      </c>
      <c r="I122" s="83"/>
      <c r="K122" s="54" t="s">
        <v>15</v>
      </c>
    </row>
    <row r="123" spans="2:11" ht="33" x14ac:dyDescent="0.2">
      <c r="B123" s="82" t="s">
        <v>659</v>
      </c>
      <c r="C123" s="82" t="s">
        <v>660</v>
      </c>
      <c r="D123" s="83">
        <f>SUMIFS(D124:D1496,K124:K1496,"0",B124:B1496,"1 2 3 5 2 12 31111 6 M59 30100 000132 0000R 00002 00612 025 2210000 2024*")-SUMIFS(E124:E1496,K124:K1496,"0",B124:B1496,"1 2 3 5 2 12 31111 6 M59 30100 000132 0000R 00002 00612 025 2210000 2024*")</f>
        <v>0</v>
      </c>
      <c r="E123" s="54"/>
      <c r="F123" s="83">
        <f>SUMIFS(F124:F1496,K124:K1496,"0",B124:B1496,"1 2 3 5 2 12 31111 6 M59 30100 000132 0000R 00002 00612 025 2210000 2024*")</f>
        <v>380000</v>
      </c>
      <c r="G123" s="83">
        <f>SUMIFS(G124:G1496,K124:K1496,"0",B124:B1496,"1 2 3 5 2 12 31111 6 M59 30100 000132 0000R 00002 00612 025 2210000 2024*")</f>
        <v>380000</v>
      </c>
      <c r="H123" s="83">
        <f t="shared" si="1"/>
        <v>0</v>
      </c>
      <c r="I123" s="83"/>
      <c r="K123" s="54" t="s">
        <v>15</v>
      </c>
    </row>
    <row r="124" spans="2:11" ht="41.25" x14ac:dyDescent="0.2">
      <c r="B124" s="82" t="s">
        <v>661</v>
      </c>
      <c r="C124" s="82" t="s">
        <v>662</v>
      </c>
      <c r="D124" s="83">
        <f>SUMIFS(D125:D1496,K125:K1496,"0",B125:B1496,"1 2 3 5 2 12 31111 6 M59 30100 000132 0000R 00002 00612 025 2210000 2024 CP1OP405*")-SUMIFS(E125:E1496,K125:K1496,"0",B125:B1496,"1 2 3 5 2 12 31111 6 M59 30100 000132 0000R 00002 00612 025 2210000 2024 CP1OP405*")</f>
        <v>0</v>
      </c>
      <c r="E124" s="54"/>
      <c r="F124" s="83">
        <f>SUMIFS(F125:F1496,K125:K1496,"0",B125:B1496,"1 2 3 5 2 12 31111 6 M59 30100 000132 0000R 00002 00612 025 2210000 2024 CP1OP405*")</f>
        <v>380000</v>
      </c>
      <c r="G124" s="83">
        <f>SUMIFS(G125:G1496,K125:K1496,"0",B125:B1496,"1 2 3 5 2 12 31111 6 M59 30100 000132 0000R 00002 00612 025 2210000 2024 CP1OP405*")</f>
        <v>380000</v>
      </c>
      <c r="H124" s="83">
        <f t="shared" si="1"/>
        <v>0</v>
      </c>
      <c r="I124" s="83"/>
      <c r="K124" s="54" t="s">
        <v>15</v>
      </c>
    </row>
    <row r="125" spans="2:11" ht="41.25" x14ac:dyDescent="0.2">
      <c r="B125" s="82" t="s">
        <v>663</v>
      </c>
      <c r="C125" s="82" t="s">
        <v>664</v>
      </c>
      <c r="D125" s="83">
        <f>SUMIFS(D126:D1496,K126:K1496,"0",B126:B1496,"1 2 3 5 2 12 31111 6 M59 30100 000132 0000R 00002 00612 025 2210000 2024 CP1OP405 003*")-SUMIFS(E126:E1496,K126:K1496,"0",B126:B1496,"1 2 3 5 2 12 31111 6 M59 30100 000132 0000R 00002 00612 025 2210000 2024 CP1OP405 003*")</f>
        <v>0</v>
      </c>
      <c r="E125" s="54"/>
      <c r="F125" s="83">
        <f>SUMIFS(F126:F1496,K126:K1496,"0",B126:B1496,"1 2 3 5 2 12 31111 6 M59 30100 000132 0000R 00002 00612 025 2210000 2024 CP1OP405 003*")</f>
        <v>380000</v>
      </c>
      <c r="G125" s="83">
        <f>SUMIFS(G126:G1496,K126:K1496,"0",B126:B1496,"1 2 3 5 2 12 31111 6 M59 30100 000132 0000R 00002 00612 025 2210000 2024 CP1OP405 003*")</f>
        <v>380000</v>
      </c>
      <c r="H125" s="83">
        <f t="shared" si="1"/>
        <v>0</v>
      </c>
      <c r="I125" s="83"/>
      <c r="K125" s="54" t="s">
        <v>15</v>
      </c>
    </row>
    <row r="126" spans="2:11" ht="49.5" x14ac:dyDescent="0.2">
      <c r="B126" s="82" t="s">
        <v>665</v>
      </c>
      <c r="C126" s="82" t="s">
        <v>666</v>
      </c>
      <c r="D126" s="83">
        <f>SUMIFS(D127:D1496,K127:K1496,"0",B127:B1496,"1 2 3 5 2 12 31111 6 M59 30100 000132 0000R 00002 00612 025 2210000 2024 CP1OP405 003 0000001*")-SUMIFS(E127:E1496,K127:K1496,"0",B127:B1496,"1 2 3 5 2 12 31111 6 M59 30100 000132 0000R 00002 00612 025 2210000 2024 CP1OP405 003 0000001*")</f>
        <v>0</v>
      </c>
      <c r="E126" s="54"/>
      <c r="F126" s="83">
        <f>SUMIFS(F127:F1496,K127:K1496,"0",B127:B1496,"1 2 3 5 2 12 31111 6 M59 30100 000132 0000R 00002 00612 025 2210000 2024 CP1OP405 003 0000001*")</f>
        <v>380000</v>
      </c>
      <c r="G126" s="83">
        <f>SUMIFS(G127:G1496,K127:K1496,"0",B127:B1496,"1 2 3 5 2 12 31111 6 M59 30100 000132 0000R 00002 00612 025 2210000 2024 CP1OP405 003 0000001*")</f>
        <v>380000</v>
      </c>
      <c r="H126" s="83">
        <f t="shared" si="1"/>
        <v>0</v>
      </c>
      <c r="I126" s="83"/>
      <c r="K126" s="54" t="s">
        <v>15</v>
      </c>
    </row>
    <row r="127" spans="2:11" ht="41.25" x14ac:dyDescent="0.2">
      <c r="B127" s="84" t="s">
        <v>667</v>
      </c>
      <c r="C127" s="84" t="s">
        <v>668</v>
      </c>
      <c r="D127" s="85">
        <v>0</v>
      </c>
      <c r="E127" s="85"/>
      <c r="F127" s="85">
        <v>380000</v>
      </c>
      <c r="G127" s="85">
        <v>380000</v>
      </c>
      <c r="H127" s="85">
        <f t="shared" si="1"/>
        <v>0</v>
      </c>
      <c r="I127" s="85"/>
      <c r="K127" s="54" t="s">
        <v>38</v>
      </c>
    </row>
    <row r="128" spans="2:11" ht="12.75" x14ac:dyDescent="0.2">
      <c r="B128" s="82" t="s">
        <v>971</v>
      </c>
      <c r="C128" s="82" t="s">
        <v>972</v>
      </c>
      <c r="D128" s="83">
        <f>SUMIFS(D129:D1496,K129:K1496,"0",B129:B1496,"1 2 4*")-SUMIFS(E129:E1496,K129:K1496,"0",B129:B1496,"1 2 4*")</f>
        <v>10070741.860000001</v>
      </c>
      <c r="E128" s="54"/>
      <c r="F128" s="83">
        <f>SUMIFS(F129:F1496,K129:K1496,"0",B129:B1496,"1 2 4*")</f>
        <v>7444157.9900000002</v>
      </c>
      <c r="G128" s="83">
        <f>SUMIFS(G129:G1496,K129:K1496,"0",B129:B1496,"1 2 4*")</f>
        <v>0</v>
      </c>
      <c r="H128" s="83">
        <f t="shared" si="1"/>
        <v>17514899.850000001</v>
      </c>
      <c r="I128" s="83"/>
      <c r="K128" s="54" t="s">
        <v>15</v>
      </c>
    </row>
    <row r="129" spans="2:11" ht="16.5" x14ac:dyDescent="0.2">
      <c r="B129" s="82" t="s">
        <v>973</v>
      </c>
      <c r="C129" s="82" t="s">
        <v>974</v>
      </c>
      <c r="D129" s="83">
        <f>SUMIFS(D130:D1496,K130:K1496,"0",B130:B1496,"1 2 4 1*")-SUMIFS(E130:E1496,K130:K1496,"0",B130:B1496,"1 2 4 1*")</f>
        <v>1782481.53</v>
      </c>
      <c r="E129" s="54"/>
      <c r="F129" s="83">
        <f>SUMIFS(F130:F1496,K130:K1496,"0",B130:B1496,"1 2 4 1*")</f>
        <v>69197.989999999991</v>
      </c>
      <c r="G129" s="83">
        <f>SUMIFS(G130:G1496,K130:K1496,"0",B130:B1496,"1 2 4 1*")</f>
        <v>0</v>
      </c>
      <c r="H129" s="83">
        <f t="shared" si="1"/>
        <v>1851679.52</v>
      </c>
      <c r="I129" s="83"/>
      <c r="K129" s="54" t="s">
        <v>15</v>
      </c>
    </row>
    <row r="130" spans="2:11" ht="16.5" x14ac:dyDescent="0.2">
      <c r="B130" s="82" t="s">
        <v>975</v>
      </c>
      <c r="C130" s="82" t="s">
        <v>976</v>
      </c>
      <c r="D130" s="83">
        <f>SUMIFS(D131:D1496,K131:K1496,"0",B131:B1496,"1 2 4 1 1*")-SUMIFS(E131:E1496,K131:K1496,"0",B131:B1496,"1 2 4 1 1*")</f>
        <v>986178.06</v>
      </c>
      <c r="E130" s="54"/>
      <c r="F130" s="83">
        <f>SUMIFS(F131:F1496,K131:K1496,"0",B131:B1496,"1 2 4 1 1*")</f>
        <v>0</v>
      </c>
      <c r="G130" s="83">
        <f>SUMIFS(G131:G1496,K131:K1496,"0",B131:B1496,"1 2 4 1 1*")</f>
        <v>0</v>
      </c>
      <c r="H130" s="83">
        <f t="shared" si="1"/>
        <v>986178.06</v>
      </c>
      <c r="I130" s="83"/>
      <c r="K130" s="54" t="s">
        <v>15</v>
      </c>
    </row>
    <row r="131" spans="2:11" ht="12.75" x14ac:dyDescent="0.2">
      <c r="B131" s="82" t="s">
        <v>977</v>
      </c>
      <c r="C131" s="82" t="s">
        <v>26</v>
      </c>
      <c r="D131" s="83">
        <f>SUMIFS(D132:D1496,K132:K1496,"0",B132:B1496,"1 2 4 1 1 12*")-SUMIFS(E132:E1496,K132:K1496,"0",B132:B1496,"1 2 4 1 1 12*")</f>
        <v>986178.06</v>
      </c>
      <c r="E131" s="54"/>
      <c r="F131" s="83">
        <f>SUMIFS(F132:F1496,K132:K1496,"0",B132:B1496,"1 2 4 1 1 12*")</f>
        <v>0</v>
      </c>
      <c r="G131" s="83">
        <f>SUMIFS(G132:G1496,K132:K1496,"0",B132:B1496,"1 2 4 1 1 12*")</f>
        <v>0</v>
      </c>
      <c r="H131" s="83">
        <f t="shared" si="1"/>
        <v>986178.06</v>
      </c>
      <c r="I131" s="83"/>
      <c r="K131" s="54" t="s">
        <v>15</v>
      </c>
    </row>
    <row r="132" spans="2:11" ht="16.5" x14ac:dyDescent="0.2">
      <c r="B132" s="82" t="s">
        <v>978</v>
      </c>
      <c r="C132" s="82" t="s">
        <v>28</v>
      </c>
      <c r="D132" s="83">
        <f>SUMIFS(D133:D1496,K133:K1496,"0",B133:B1496,"1 2 4 1 1 12 31111*")-SUMIFS(E133:E1496,K133:K1496,"0",B133:B1496,"1 2 4 1 1 12 31111*")</f>
        <v>986178.06</v>
      </c>
      <c r="E132" s="54"/>
      <c r="F132" s="83">
        <f>SUMIFS(F133:F1496,K133:K1496,"0",B133:B1496,"1 2 4 1 1 12 31111*")</f>
        <v>0</v>
      </c>
      <c r="G132" s="83">
        <f>SUMIFS(G133:G1496,K133:K1496,"0",B133:B1496,"1 2 4 1 1 12 31111*")</f>
        <v>0</v>
      </c>
      <c r="H132" s="83">
        <f t="shared" si="1"/>
        <v>986178.06</v>
      </c>
      <c r="I132" s="83"/>
      <c r="K132" s="54" t="s">
        <v>15</v>
      </c>
    </row>
    <row r="133" spans="2:11" ht="12.75" x14ac:dyDescent="0.2">
      <c r="B133" s="82" t="s">
        <v>979</v>
      </c>
      <c r="C133" s="82" t="s">
        <v>30</v>
      </c>
      <c r="D133" s="83">
        <f>SUMIFS(D134:D1496,K134:K1496,"0",B134:B1496,"1 2 4 1 1 12 31111 6*")-SUMIFS(E134:E1496,K134:K1496,"0",B134:B1496,"1 2 4 1 1 12 31111 6*")</f>
        <v>986178.06</v>
      </c>
      <c r="E133" s="54"/>
      <c r="F133" s="83">
        <f>SUMIFS(F134:F1496,K134:K1496,"0",B134:B1496,"1 2 4 1 1 12 31111 6*")</f>
        <v>0</v>
      </c>
      <c r="G133" s="83">
        <f>SUMIFS(G134:G1496,K134:K1496,"0",B134:B1496,"1 2 4 1 1 12 31111 6*")</f>
        <v>0</v>
      </c>
      <c r="H133" s="83">
        <f t="shared" si="1"/>
        <v>986178.06</v>
      </c>
      <c r="I133" s="83"/>
      <c r="K133" s="54" t="s">
        <v>15</v>
      </c>
    </row>
    <row r="134" spans="2:11" ht="12.75" x14ac:dyDescent="0.2">
      <c r="B134" s="82" t="s">
        <v>980</v>
      </c>
      <c r="C134" s="82" t="s">
        <v>32</v>
      </c>
      <c r="D134" s="83">
        <f>SUMIFS(D135:D1496,K135:K1496,"0",B135:B1496,"1 2 4 1 1 12 31111 6 M59*")-SUMIFS(E135:E1496,K135:K1496,"0",B135:B1496,"1 2 4 1 1 12 31111 6 M59*")</f>
        <v>986178.06</v>
      </c>
      <c r="E134" s="54"/>
      <c r="F134" s="83">
        <f>SUMIFS(F135:F1496,K135:K1496,"0",B135:B1496,"1 2 4 1 1 12 31111 6 M59*")</f>
        <v>0</v>
      </c>
      <c r="G134" s="83">
        <f>SUMIFS(G135:G1496,K135:K1496,"0",B135:B1496,"1 2 4 1 1 12 31111 6 M59*")</f>
        <v>0</v>
      </c>
      <c r="H134" s="83">
        <f t="shared" si="1"/>
        <v>986178.06</v>
      </c>
      <c r="I134" s="83"/>
      <c r="K134" s="54" t="s">
        <v>15</v>
      </c>
    </row>
    <row r="135" spans="2:11" ht="24.75" x14ac:dyDescent="0.2">
      <c r="B135" s="82" t="s">
        <v>989</v>
      </c>
      <c r="C135" s="82" t="s">
        <v>40</v>
      </c>
      <c r="D135" s="83">
        <f>SUMIFS(D136:D1496,K136:K1496,"0",B136:B1496,"1 2 4 1 1 12 31111 6 M59 00003*")-SUMIFS(E136:E1496,K136:K1496,"0",B136:B1496,"1 2 4 1 1 12 31111 6 M59 00003*")</f>
        <v>986178.06</v>
      </c>
      <c r="E135" s="54"/>
      <c r="F135" s="83">
        <f>SUMIFS(F136:F1496,K136:K1496,"0",B136:B1496,"1 2 4 1 1 12 31111 6 M59 00003*")</f>
        <v>0</v>
      </c>
      <c r="G135" s="83">
        <f>SUMIFS(G136:G1496,K136:K1496,"0",B136:B1496,"1 2 4 1 1 12 31111 6 M59 00003*")</f>
        <v>0</v>
      </c>
      <c r="H135" s="83">
        <f t="shared" si="1"/>
        <v>986178.06</v>
      </c>
      <c r="I135" s="83"/>
      <c r="K135" s="54" t="s">
        <v>15</v>
      </c>
    </row>
    <row r="136" spans="2:11" ht="16.5" x14ac:dyDescent="0.2">
      <c r="B136" s="82" t="s">
        <v>990</v>
      </c>
      <c r="C136" s="82" t="s">
        <v>42</v>
      </c>
      <c r="D136" s="83">
        <f>SUMIFS(D137:D1496,K137:K1496,"0",B137:B1496,"1 2 4 1 1 12 31111 6 M59 00003 000001*")-SUMIFS(E137:E1496,K137:K1496,"0",B137:B1496,"1 2 4 1 1 12 31111 6 M59 00003 000001*")</f>
        <v>986178.06</v>
      </c>
      <c r="E136" s="54"/>
      <c r="F136" s="83">
        <f>SUMIFS(F137:F1496,K137:K1496,"0",B137:B1496,"1 2 4 1 1 12 31111 6 M59 00003 000001*")</f>
        <v>0</v>
      </c>
      <c r="G136" s="83">
        <f>SUMIFS(G137:G1496,K137:K1496,"0",B137:B1496,"1 2 4 1 1 12 31111 6 M59 00003 000001*")</f>
        <v>0</v>
      </c>
      <c r="H136" s="83">
        <f t="shared" si="1"/>
        <v>986178.06</v>
      </c>
      <c r="I136" s="83"/>
      <c r="K136" s="54" t="s">
        <v>15</v>
      </c>
    </row>
    <row r="137" spans="2:11" ht="16.5" x14ac:dyDescent="0.2">
      <c r="B137" s="84" t="s">
        <v>991</v>
      </c>
      <c r="C137" s="84" t="s">
        <v>274</v>
      </c>
      <c r="D137" s="85">
        <v>986178.06</v>
      </c>
      <c r="E137" s="85"/>
      <c r="F137" s="85">
        <v>0</v>
      </c>
      <c r="G137" s="85">
        <v>0</v>
      </c>
      <c r="H137" s="85">
        <f t="shared" si="1"/>
        <v>986178.06</v>
      </c>
      <c r="I137" s="85"/>
      <c r="K137" s="54" t="s">
        <v>38</v>
      </c>
    </row>
    <row r="138" spans="2:11" ht="16.5" x14ac:dyDescent="0.2">
      <c r="B138" s="82" t="s">
        <v>995</v>
      </c>
      <c r="C138" s="82" t="s">
        <v>996</v>
      </c>
      <c r="D138" s="83">
        <f>SUMIFS(D139:D1496,K139:K1496,"0",B139:B1496,"1 2 4 1 2*")-SUMIFS(E139:E1496,K139:K1496,"0",B139:B1496,"1 2 4 1 2*")</f>
        <v>65944.72</v>
      </c>
      <c r="E138" s="54"/>
      <c r="F138" s="83">
        <f>SUMIFS(F139:F1496,K139:K1496,"0",B139:B1496,"1 2 4 1 2*")</f>
        <v>0</v>
      </c>
      <c r="G138" s="83">
        <f>SUMIFS(G139:G1496,K139:K1496,"0",B139:B1496,"1 2 4 1 2*")</f>
        <v>0</v>
      </c>
      <c r="H138" s="83">
        <f t="shared" si="1"/>
        <v>65944.72</v>
      </c>
      <c r="I138" s="83"/>
      <c r="K138" s="54" t="s">
        <v>15</v>
      </c>
    </row>
    <row r="139" spans="2:11" ht="12.75" x14ac:dyDescent="0.2">
      <c r="B139" s="82" t="s">
        <v>997</v>
      </c>
      <c r="C139" s="82" t="s">
        <v>26</v>
      </c>
      <c r="D139" s="83">
        <f>SUMIFS(D140:D1496,K140:K1496,"0",B140:B1496,"1 2 4 1 2 12*")-SUMIFS(E140:E1496,K140:K1496,"0",B140:B1496,"1 2 4 1 2 12*")</f>
        <v>65944.72</v>
      </c>
      <c r="E139" s="54"/>
      <c r="F139" s="83">
        <f>SUMIFS(F140:F1496,K140:K1496,"0",B140:B1496,"1 2 4 1 2 12*")</f>
        <v>0</v>
      </c>
      <c r="G139" s="83">
        <f>SUMIFS(G140:G1496,K140:K1496,"0",B140:B1496,"1 2 4 1 2 12*")</f>
        <v>0</v>
      </c>
      <c r="H139" s="83">
        <f t="shared" si="1"/>
        <v>65944.72</v>
      </c>
      <c r="I139" s="83"/>
      <c r="K139" s="54" t="s">
        <v>15</v>
      </c>
    </row>
    <row r="140" spans="2:11" ht="16.5" x14ac:dyDescent="0.2">
      <c r="B140" s="82" t="s">
        <v>998</v>
      </c>
      <c r="C140" s="82" t="s">
        <v>28</v>
      </c>
      <c r="D140" s="83">
        <f>SUMIFS(D141:D1496,K141:K1496,"0",B141:B1496,"1 2 4 1 2 12 31111*")-SUMIFS(E141:E1496,K141:K1496,"0",B141:B1496,"1 2 4 1 2 12 31111*")</f>
        <v>65944.72</v>
      </c>
      <c r="E140" s="54"/>
      <c r="F140" s="83">
        <f>SUMIFS(F141:F1496,K141:K1496,"0",B141:B1496,"1 2 4 1 2 12 31111*")</f>
        <v>0</v>
      </c>
      <c r="G140" s="83">
        <f>SUMIFS(G141:G1496,K141:K1496,"0",B141:B1496,"1 2 4 1 2 12 31111*")</f>
        <v>0</v>
      </c>
      <c r="H140" s="83">
        <f t="shared" ref="H140:H203" si="2">D140 + F140 - G140</f>
        <v>65944.72</v>
      </c>
      <c r="I140" s="83"/>
      <c r="K140" s="54" t="s">
        <v>15</v>
      </c>
    </row>
    <row r="141" spans="2:11" ht="12.75" x14ac:dyDescent="0.2">
      <c r="B141" s="82" t="s">
        <v>999</v>
      </c>
      <c r="C141" s="82" t="s">
        <v>30</v>
      </c>
      <c r="D141" s="83">
        <f>SUMIFS(D142:D1496,K142:K1496,"0",B142:B1496,"1 2 4 1 2 12 31111 6*")-SUMIFS(E142:E1496,K142:K1496,"0",B142:B1496,"1 2 4 1 2 12 31111 6*")</f>
        <v>65944.72</v>
      </c>
      <c r="E141" s="54"/>
      <c r="F141" s="83">
        <f>SUMIFS(F142:F1496,K142:K1496,"0",B142:B1496,"1 2 4 1 2 12 31111 6*")</f>
        <v>0</v>
      </c>
      <c r="G141" s="83">
        <f>SUMIFS(G142:G1496,K142:K1496,"0",B142:B1496,"1 2 4 1 2 12 31111 6*")</f>
        <v>0</v>
      </c>
      <c r="H141" s="83">
        <f t="shared" si="2"/>
        <v>65944.72</v>
      </c>
      <c r="I141" s="83"/>
      <c r="K141" s="54" t="s">
        <v>15</v>
      </c>
    </row>
    <row r="142" spans="2:11" ht="16.5" x14ac:dyDescent="0.2">
      <c r="B142" s="82" t="s">
        <v>1000</v>
      </c>
      <c r="C142" s="82" t="s">
        <v>32</v>
      </c>
      <c r="D142" s="83">
        <f>SUMIFS(D143:D1496,K143:K1496,"0",B143:B1496,"1 2 4 1 2 12 31111 6 M59*")-SUMIFS(E143:E1496,K143:K1496,"0",B143:B1496,"1 2 4 1 2 12 31111 6 M59*")</f>
        <v>65944.72</v>
      </c>
      <c r="E142" s="54"/>
      <c r="F142" s="83">
        <f>SUMIFS(F143:F1496,K143:K1496,"0",B143:B1496,"1 2 4 1 2 12 31111 6 M59*")</f>
        <v>0</v>
      </c>
      <c r="G142" s="83">
        <f>SUMIFS(G143:G1496,K143:K1496,"0",B143:B1496,"1 2 4 1 2 12 31111 6 M59*")</f>
        <v>0</v>
      </c>
      <c r="H142" s="83">
        <f t="shared" si="2"/>
        <v>65944.72</v>
      </c>
      <c r="I142" s="83"/>
      <c r="K142" s="54" t="s">
        <v>15</v>
      </c>
    </row>
    <row r="143" spans="2:11" ht="24.75" x14ac:dyDescent="0.2">
      <c r="B143" s="82" t="s">
        <v>1005</v>
      </c>
      <c r="C143" s="82" t="s">
        <v>40</v>
      </c>
      <c r="D143" s="83">
        <f>SUMIFS(D144:D1496,K144:K1496,"0",B144:B1496,"1 2 4 1 2 12 31111 6 M59 00003*")-SUMIFS(E144:E1496,K144:K1496,"0",B144:B1496,"1 2 4 1 2 12 31111 6 M59 00003*")</f>
        <v>65944.72</v>
      </c>
      <c r="E143" s="54"/>
      <c r="F143" s="83">
        <f>SUMIFS(F144:F1496,K144:K1496,"0",B144:B1496,"1 2 4 1 2 12 31111 6 M59 00003*")</f>
        <v>0</v>
      </c>
      <c r="G143" s="83">
        <f>SUMIFS(G144:G1496,K144:K1496,"0",B144:B1496,"1 2 4 1 2 12 31111 6 M59 00003*")</f>
        <v>0</v>
      </c>
      <c r="H143" s="83">
        <f t="shared" si="2"/>
        <v>65944.72</v>
      </c>
      <c r="I143" s="83"/>
      <c r="K143" s="54" t="s">
        <v>15</v>
      </c>
    </row>
    <row r="144" spans="2:11" ht="16.5" x14ac:dyDescent="0.2">
      <c r="B144" s="82" t="s">
        <v>1006</v>
      </c>
      <c r="C144" s="82" t="s">
        <v>42</v>
      </c>
      <c r="D144" s="83">
        <f>SUMIFS(D145:D1496,K145:K1496,"0",B145:B1496,"1 2 4 1 2 12 31111 6 M59 00003 000001*")-SUMIFS(E145:E1496,K145:K1496,"0",B145:B1496,"1 2 4 1 2 12 31111 6 M59 00003 000001*")</f>
        <v>65944.72</v>
      </c>
      <c r="E144" s="54"/>
      <c r="F144" s="83">
        <f>SUMIFS(F145:F1496,K145:K1496,"0",B145:B1496,"1 2 4 1 2 12 31111 6 M59 00003 000001*")</f>
        <v>0</v>
      </c>
      <c r="G144" s="83">
        <f>SUMIFS(G145:G1496,K145:K1496,"0",B145:B1496,"1 2 4 1 2 12 31111 6 M59 00003 000001*")</f>
        <v>0</v>
      </c>
      <c r="H144" s="83">
        <f t="shared" si="2"/>
        <v>65944.72</v>
      </c>
      <c r="I144" s="83"/>
      <c r="K144" s="54" t="s">
        <v>15</v>
      </c>
    </row>
    <row r="145" spans="2:11" ht="33" x14ac:dyDescent="0.2">
      <c r="B145" s="84" t="s">
        <v>1007</v>
      </c>
      <c r="C145" s="84" t="s">
        <v>984</v>
      </c>
      <c r="D145" s="85">
        <v>47944.76</v>
      </c>
      <c r="E145" s="85"/>
      <c r="F145" s="85">
        <v>0</v>
      </c>
      <c r="G145" s="85">
        <v>0</v>
      </c>
      <c r="H145" s="85">
        <f t="shared" si="2"/>
        <v>47944.76</v>
      </c>
      <c r="I145" s="85"/>
      <c r="K145" s="54" t="s">
        <v>38</v>
      </c>
    </row>
    <row r="146" spans="2:11" ht="16.5" x14ac:dyDescent="0.2">
      <c r="B146" s="84" t="s">
        <v>1008</v>
      </c>
      <c r="C146" s="84" t="s">
        <v>274</v>
      </c>
      <c r="D146" s="85">
        <v>17999.96</v>
      </c>
      <c r="E146" s="85"/>
      <c r="F146" s="85">
        <v>0</v>
      </c>
      <c r="G146" s="85">
        <v>0</v>
      </c>
      <c r="H146" s="85">
        <f t="shared" si="2"/>
        <v>17999.96</v>
      </c>
      <c r="I146" s="85"/>
      <c r="K146" s="54" t="s">
        <v>38</v>
      </c>
    </row>
    <row r="147" spans="2:11" ht="24.75" x14ac:dyDescent="0.2">
      <c r="B147" s="82" t="s">
        <v>1013</v>
      </c>
      <c r="C147" s="82" t="s">
        <v>1014</v>
      </c>
      <c r="D147" s="83">
        <f>SUMIFS(D148:D1496,K148:K1496,"0",B148:B1496,"1 2 4 1 3*")-SUMIFS(E148:E1496,K148:K1496,"0",B148:B1496,"1 2 4 1 3*")</f>
        <v>697352.5</v>
      </c>
      <c r="E147" s="54"/>
      <c r="F147" s="83">
        <f>SUMIFS(F148:F1496,K148:K1496,"0",B148:B1496,"1 2 4 1 3*")</f>
        <v>69197.989999999991</v>
      </c>
      <c r="G147" s="83">
        <f>SUMIFS(G148:G1496,K148:K1496,"0",B148:B1496,"1 2 4 1 3*")</f>
        <v>0</v>
      </c>
      <c r="H147" s="83">
        <f t="shared" si="2"/>
        <v>766550.49</v>
      </c>
      <c r="I147" s="83"/>
      <c r="K147" s="54" t="s">
        <v>15</v>
      </c>
    </row>
    <row r="148" spans="2:11" ht="12.75" x14ac:dyDescent="0.2">
      <c r="B148" s="82" t="s">
        <v>1015</v>
      </c>
      <c r="C148" s="82" t="s">
        <v>26</v>
      </c>
      <c r="D148" s="83">
        <f>SUMIFS(D149:D1496,K149:K1496,"0",B149:B1496,"1 2 4 1 3 12*")-SUMIFS(E149:E1496,K149:K1496,"0",B149:B1496,"1 2 4 1 3 12*")</f>
        <v>697352.5</v>
      </c>
      <c r="E148" s="54"/>
      <c r="F148" s="83">
        <f>SUMIFS(F149:F1496,K149:K1496,"0",B149:B1496,"1 2 4 1 3 12*")</f>
        <v>69197.989999999991</v>
      </c>
      <c r="G148" s="83">
        <f>SUMIFS(G149:G1496,K149:K1496,"0",B149:B1496,"1 2 4 1 3 12*")</f>
        <v>0</v>
      </c>
      <c r="H148" s="83">
        <f t="shared" si="2"/>
        <v>766550.49</v>
      </c>
      <c r="I148" s="83"/>
      <c r="K148" s="54" t="s">
        <v>15</v>
      </c>
    </row>
    <row r="149" spans="2:11" ht="16.5" x14ac:dyDescent="0.2">
      <c r="B149" s="82" t="s">
        <v>1016</v>
      </c>
      <c r="C149" s="82" t="s">
        <v>28</v>
      </c>
      <c r="D149" s="83">
        <f>SUMIFS(D150:D1496,K150:K1496,"0",B150:B1496,"1 2 4 1 3 12 31111*")-SUMIFS(E150:E1496,K150:K1496,"0",B150:B1496,"1 2 4 1 3 12 31111*")</f>
        <v>697352.5</v>
      </c>
      <c r="E149" s="54"/>
      <c r="F149" s="83">
        <f>SUMIFS(F150:F1496,K150:K1496,"0",B150:B1496,"1 2 4 1 3 12 31111*")</f>
        <v>69197.989999999991</v>
      </c>
      <c r="G149" s="83">
        <f>SUMIFS(G150:G1496,K150:K1496,"0",B150:B1496,"1 2 4 1 3 12 31111*")</f>
        <v>0</v>
      </c>
      <c r="H149" s="83">
        <f t="shared" si="2"/>
        <v>766550.49</v>
      </c>
      <c r="I149" s="83"/>
      <c r="K149" s="54" t="s">
        <v>15</v>
      </c>
    </row>
    <row r="150" spans="2:11" ht="12.75" x14ac:dyDescent="0.2">
      <c r="B150" s="82" t="s">
        <v>1017</v>
      </c>
      <c r="C150" s="82" t="s">
        <v>30</v>
      </c>
      <c r="D150" s="83">
        <f>SUMIFS(D151:D1496,K151:K1496,"0",B151:B1496,"1 2 4 1 3 12 31111 6*")-SUMIFS(E151:E1496,K151:K1496,"0",B151:B1496,"1 2 4 1 3 12 31111 6*")</f>
        <v>697352.5</v>
      </c>
      <c r="E150" s="54"/>
      <c r="F150" s="83">
        <f>SUMIFS(F151:F1496,K151:K1496,"0",B151:B1496,"1 2 4 1 3 12 31111 6*")</f>
        <v>69197.989999999991</v>
      </c>
      <c r="G150" s="83">
        <f>SUMIFS(G151:G1496,K151:K1496,"0",B151:B1496,"1 2 4 1 3 12 31111 6*")</f>
        <v>0</v>
      </c>
      <c r="H150" s="83">
        <f t="shared" si="2"/>
        <v>766550.49</v>
      </c>
      <c r="I150" s="83"/>
      <c r="K150" s="54" t="s">
        <v>15</v>
      </c>
    </row>
    <row r="151" spans="2:11" ht="16.5" x14ac:dyDescent="0.2">
      <c r="B151" s="82" t="s">
        <v>1018</v>
      </c>
      <c r="C151" s="82" t="s">
        <v>32</v>
      </c>
      <c r="D151" s="83">
        <f>SUMIFS(D152:D1496,K152:K1496,"0",B152:B1496,"1 2 4 1 3 12 31111 6 M59*")-SUMIFS(E152:E1496,K152:K1496,"0",B152:B1496,"1 2 4 1 3 12 31111 6 M59*")</f>
        <v>697352.5</v>
      </c>
      <c r="E151" s="54"/>
      <c r="F151" s="83">
        <f>SUMIFS(F152:F1496,K152:K1496,"0",B152:B1496,"1 2 4 1 3 12 31111 6 M59*")</f>
        <v>69197.989999999991</v>
      </c>
      <c r="G151" s="83">
        <f>SUMIFS(G152:G1496,K152:K1496,"0",B152:B1496,"1 2 4 1 3 12 31111 6 M59*")</f>
        <v>0</v>
      </c>
      <c r="H151" s="83">
        <f t="shared" si="2"/>
        <v>766550.49</v>
      </c>
      <c r="I151" s="83"/>
      <c r="K151" s="54" t="s">
        <v>15</v>
      </c>
    </row>
    <row r="152" spans="2:11" ht="24.75" x14ac:dyDescent="0.2">
      <c r="B152" s="82" t="s">
        <v>1032</v>
      </c>
      <c r="C152" s="82" t="s">
        <v>40</v>
      </c>
      <c r="D152" s="83">
        <f>SUMIFS(D153:D1496,K153:K1496,"0",B153:B1496,"1 2 4 1 3 12 31111 6 M59 00003*")-SUMIFS(E153:E1496,K153:K1496,"0",B153:B1496,"1 2 4 1 3 12 31111 6 M59 00003*")</f>
        <v>697352.5</v>
      </c>
      <c r="E152" s="54"/>
      <c r="F152" s="83">
        <f>SUMIFS(F153:F1496,K153:K1496,"0",B153:B1496,"1 2 4 1 3 12 31111 6 M59 00003*")</f>
        <v>0</v>
      </c>
      <c r="G152" s="83">
        <f>SUMIFS(G153:G1496,K153:K1496,"0",B153:B1496,"1 2 4 1 3 12 31111 6 M59 00003*")</f>
        <v>0</v>
      </c>
      <c r="H152" s="83">
        <f t="shared" si="2"/>
        <v>697352.5</v>
      </c>
      <c r="I152" s="83"/>
      <c r="K152" s="54" t="s">
        <v>15</v>
      </c>
    </row>
    <row r="153" spans="2:11" ht="16.5" x14ac:dyDescent="0.2">
      <c r="B153" s="82" t="s">
        <v>1033</v>
      </c>
      <c r="C153" s="82" t="s">
        <v>42</v>
      </c>
      <c r="D153" s="83">
        <f>SUMIFS(D154:D1496,K154:K1496,"0",B154:B1496,"1 2 4 1 3 12 31111 6 M59 00003 000001*")-SUMIFS(E154:E1496,K154:K1496,"0",B154:B1496,"1 2 4 1 3 12 31111 6 M59 00003 000001*")</f>
        <v>697352.5</v>
      </c>
      <c r="E153" s="54"/>
      <c r="F153" s="83">
        <f>SUMIFS(F154:F1496,K154:K1496,"0",B154:B1496,"1 2 4 1 3 12 31111 6 M59 00003 000001*")</f>
        <v>0</v>
      </c>
      <c r="G153" s="83">
        <f>SUMIFS(G154:G1496,K154:K1496,"0",B154:B1496,"1 2 4 1 3 12 31111 6 M59 00003 000001*")</f>
        <v>0</v>
      </c>
      <c r="H153" s="83">
        <f t="shared" si="2"/>
        <v>697352.5</v>
      </c>
      <c r="I153" s="83"/>
      <c r="K153" s="54" t="s">
        <v>15</v>
      </c>
    </row>
    <row r="154" spans="2:11" ht="16.5" x14ac:dyDescent="0.2">
      <c r="B154" s="84" t="s">
        <v>1034</v>
      </c>
      <c r="C154" s="84" t="s">
        <v>1035</v>
      </c>
      <c r="D154" s="85">
        <v>4500.01</v>
      </c>
      <c r="E154" s="85"/>
      <c r="F154" s="85">
        <v>0</v>
      </c>
      <c r="G154" s="85">
        <v>0</v>
      </c>
      <c r="H154" s="85">
        <f t="shared" si="2"/>
        <v>4500.01</v>
      </c>
      <c r="I154" s="85"/>
      <c r="K154" s="54" t="s">
        <v>38</v>
      </c>
    </row>
    <row r="155" spans="2:11" ht="16.5" x14ac:dyDescent="0.2">
      <c r="B155" s="84" t="s">
        <v>1036</v>
      </c>
      <c r="C155" s="84" t="s">
        <v>1037</v>
      </c>
      <c r="D155" s="85">
        <v>18142</v>
      </c>
      <c r="E155" s="85"/>
      <c r="F155" s="85">
        <v>0</v>
      </c>
      <c r="G155" s="85">
        <v>0</v>
      </c>
      <c r="H155" s="85">
        <f t="shared" si="2"/>
        <v>18142</v>
      </c>
      <c r="I155" s="85"/>
      <c r="K155" s="54" t="s">
        <v>38</v>
      </c>
    </row>
    <row r="156" spans="2:11" ht="16.5" x14ac:dyDescent="0.2">
      <c r="B156" s="84" t="s">
        <v>1038</v>
      </c>
      <c r="C156" s="84" t="s">
        <v>274</v>
      </c>
      <c r="D156" s="85">
        <v>674710.49</v>
      </c>
      <c r="E156" s="85"/>
      <c r="F156" s="85">
        <v>0</v>
      </c>
      <c r="G156" s="85">
        <v>0</v>
      </c>
      <c r="H156" s="85">
        <f t="shared" si="2"/>
        <v>674710.49</v>
      </c>
      <c r="I156" s="85"/>
      <c r="K156" s="54" t="s">
        <v>38</v>
      </c>
    </row>
    <row r="157" spans="2:11" ht="16.5" x14ac:dyDescent="0.2">
      <c r="B157" s="82" t="s">
        <v>1091</v>
      </c>
      <c r="C157" s="82" t="s">
        <v>1092</v>
      </c>
      <c r="D157" s="83">
        <f>SUMIFS(D158:D1496,K158:K1496,"0",B158:B1496,"1 2 4 1 3 12 31111 6 M59 40000*")-SUMIFS(E158:E1496,K158:K1496,"0",B158:B1496,"1 2 4 1 3 12 31111 6 M59 40000*")</f>
        <v>0</v>
      </c>
      <c r="E157" s="54"/>
      <c r="F157" s="83">
        <f>SUMIFS(F158:F1496,K158:K1496,"0",B158:B1496,"1 2 4 1 3 12 31111 6 M59 40000*")</f>
        <v>58973.99</v>
      </c>
      <c r="G157" s="83">
        <f>SUMIFS(G158:G1496,K158:K1496,"0",B158:B1496,"1 2 4 1 3 12 31111 6 M59 40000*")</f>
        <v>0</v>
      </c>
      <c r="H157" s="83">
        <f t="shared" si="2"/>
        <v>58973.99</v>
      </c>
      <c r="I157" s="83"/>
      <c r="K157" s="54" t="s">
        <v>15</v>
      </c>
    </row>
    <row r="158" spans="2:11" ht="16.5" x14ac:dyDescent="0.2">
      <c r="B158" s="82" t="s">
        <v>1093</v>
      </c>
      <c r="C158" s="82" t="s">
        <v>1094</v>
      </c>
      <c r="D158" s="83">
        <f>SUMIFS(D159:D1496,K159:K1496,"0",B159:B1496,"1 2 4 1 3 12 31111 6 M59 40000 000161*")-SUMIFS(E159:E1496,K159:K1496,"0",B159:B1496,"1 2 4 1 3 12 31111 6 M59 40000 000161*")</f>
        <v>0</v>
      </c>
      <c r="E158" s="54"/>
      <c r="F158" s="83">
        <f>SUMIFS(F159:F1496,K159:K1496,"0",B159:B1496,"1 2 4 1 3 12 31111 6 M59 40000 000161*")</f>
        <v>58973.99</v>
      </c>
      <c r="G158" s="83">
        <f>SUMIFS(G159:G1496,K159:K1496,"0",B159:B1496,"1 2 4 1 3 12 31111 6 M59 40000 000161*")</f>
        <v>0</v>
      </c>
      <c r="H158" s="83">
        <f t="shared" si="2"/>
        <v>58973.99</v>
      </c>
      <c r="I158" s="83"/>
      <c r="K158" s="54" t="s">
        <v>15</v>
      </c>
    </row>
    <row r="159" spans="2:11" ht="24.75" x14ac:dyDescent="0.2">
      <c r="B159" s="82" t="s">
        <v>1095</v>
      </c>
      <c r="C159" s="82" t="s">
        <v>1065</v>
      </c>
      <c r="D159" s="83">
        <f>SUMIFS(D160:D1496,K160:K1496,"0",B160:B1496,"1 2 4 1 3 12 31111 6 M59 40000 000161 0000E*")-SUMIFS(E160:E1496,K160:K1496,"0",B160:B1496,"1 2 4 1 3 12 31111 6 M59 40000 000161 0000E*")</f>
        <v>0</v>
      </c>
      <c r="E159" s="54"/>
      <c r="F159" s="83">
        <f>SUMIFS(F160:F1496,K160:K1496,"0",B160:B1496,"1 2 4 1 3 12 31111 6 M59 40000 000161 0000E*")</f>
        <v>58973.99</v>
      </c>
      <c r="G159" s="83">
        <f>SUMIFS(G160:G1496,K160:K1496,"0",B160:B1496,"1 2 4 1 3 12 31111 6 M59 40000 000161 0000E*")</f>
        <v>0</v>
      </c>
      <c r="H159" s="83">
        <f t="shared" si="2"/>
        <v>58973.99</v>
      </c>
      <c r="I159" s="83"/>
      <c r="K159" s="54" t="s">
        <v>15</v>
      </c>
    </row>
    <row r="160" spans="2:11" ht="24.75" x14ac:dyDescent="0.2">
      <c r="B160" s="82" t="s">
        <v>1096</v>
      </c>
      <c r="C160" s="82" t="s">
        <v>652</v>
      </c>
      <c r="D160" s="83">
        <f>SUMIFS(D161:D1496,K161:K1496,"0",B161:B1496,"1 2 4 1 3 12 31111 6 M59 40000 000161 0000E 00002*")-SUMIFS(E161:E1496,K161:K1496,"0",B161:B1496,"1 2 4 1 3 12 31111 6 M59 40000 000161 0000E 00002*")</f>
        <v>0</v>
      </c>
      <c r="E160" s="54"/>
      <c r="F160" s="83">
        <f>SUMIFS(F161:F1496,K161:K1496,"0",B161:B1496,"1 2 4 1 3 12 31111 6 M59 40000 000161 0000E 00002*")</f>
        <v>58973.99</v>
      </c>
      <c r="G160" s="83">
        <f>SUMIFS(G161:G1496,K161:K1496,"0",B161:B1496,"1 2 4 1 3 12 31111 6 M59 40000 000161 0000E 00002*")</f>
        <v>0</v>
      </c>
      <c r="H160" s="83">
        <f t="shared" si="2"/>
        <v>58973.99</v>
      </c>
      <c r="I160" s="83"/>
      <c r="K160" s="54" t="s">
        <v>15</v>
      </c>
    </row>
    <row r="161" spans="2:11" ht="24.75" x14ac:dyDescent="0.2">
      <c r="B161" s="82" t="s">
        <v>1097</v>
      </c>
      <c r="C161" s="82" t="s">
        <v>1049</v>
      </c>
      <c r="D161" s="83">
        <f>SUMIFS(D162:D1496,K162:K1496,"0",B162:B1496,"1 2 4 1 3 12 31111 6 M59 40000 000161 0000E 00002 00515*")-SUMIFS(E162:E1496,K162:K1496,"0",B162:B1496,"1 2 4 1 3 12 31111 6 M59 40000 000161 0000E 00002 00515*")</f>
        <v>0</v>
      </c>
      <c r="E161" s="54"/>
      <c r="F161" s="83">
        <f>SUMIFS(F162:F1496,K162:K1496,"0",B162:B1496,"1 2 4 1 3 12 31111 6 M59 40000 000161 0000E 00002 00515*")</f>
        <v>58973.99</v>
      </c>
      <c r="G161" s="83">
        <f>SUMIFS(G162:G1496,K162:K1496,"0",B162:B1496,"1 2 4 1 3 12 31111 6 M59 40000 000161 0000E 00002 00515*")</f>
        <v>0</v>
      </c>
      <c r="H161" s="83">
        <f t="shared" si="2"/>
        <v>58973.99</v>
      </c>
      <c r="I161" s="83"/>
      <c r="K161" s="54" t="s">
        <v>15</v>
      </c>
    </row>
    <row r="162" spans="2:11" ht="33" x14ac:dyDescent="0.2">
      <c r="B162" s="82" t="s">
        <v>1098</v>
      </c>
      <c r="C162" s="82" t="s">
        <v>656</v>
      </c>
      <c r="D162" s="83">
        <f>SUMIFS(D163:D1496,K163:K1496,"0",B163:B1496,"1 2 4 1 3 12 31111 6 M59 40000 000161 0000E 00002 00515 025*")-SUMIFS(E163:E1496,K163:K1496,"0",B163:B1496,"1 2 4 1 3 12 31111 6 M59 40000 000161 0000E 00002 00515 025*")</f>
        <v>0</v>
      </c>
      <c r="E162" s="54"/>
      <c r="F162" s="83">
        <f>SUMIFS(F163:F1496,K163:K1496,"0",B163:B1496,"1 2 4 1 3 12 31111 6 M59 40000 000161 0000E 00002 00515 025*")</f>
        <v>58973.99</v>
      </c>
      <c r="G162" s="83">
        <f>SUMIFS(G163:G1496,K163:K1496,"0",B163:B1496,"1 2 4 1 3 12 31111 6 M59 40000 000161 0000E 00002 00515 025*")</f>
        <v>0</v>
      </c>
      <c r="H162" s="83">
        <f t="shared" si="2"/>
        <v>58973.99</v>
      </c>
      <c r="I162" s="83"/>
      <c r="K162" s="54" t="s">
        <v>15</v>
      </c>
    </row>
    <row r="163" spans="2:11" ht="33" x14ac:dyDescent="0.2">
      <c r="B163" s="82" t="s">
        <v>1099</v>
      </c>
      <c r="C163" s="82" t="s">
        <v>1070</v>
      </c>
      <c r="D163" s="83">
        <f>SUMIFS(D164:D1496,K164:K1496,"0",B164:B1496,"1 2 4 1 3 12 31111 6 M59 40000 000161 0000E 00002 00515 025 2222200*")-SUMIFS(E164:E1496,K164:K1496,"0",B164:B1496,"1 2 4 1 3 12 31111 6 M59 40000 000161 0000E 00002 00515 025 2222200*")</f>
        <v>0</v>
      </c>
      <c r="E163" s="54"/>
      <c r="F163" s="83">
        <f>SUMIFS(F164:F1496,K164:K1496,"0",B164:B1496,"1 2 4 1 3 12 31111 6 M59 40000 000161 0000E 00002 00515 025 2222200*")</f>
        <v>58973.99</v>
      </c>
      <c r="G163" s="83">
        <f>SUMIFS(G164:G1496,K164:K1496,"0",B164:B1496,"1 2 4 1 3 12 31111 6 M59 40000 000161 0000E 00002 00515 025 2222200*")</f>
        <v>0</v>
      </c>
      <c r="H163" s="83">
        <f t="shared" si="2"/>
        <v>58973.99</v>
      </c>
      <c r="I163" s="83"/>
      <c r="K163" s="54" t="s">
        <v>15</v>
      </c>
    </row>
    <row r="164" spans="2:11" ht="33" x14ac:dyDescent="0.2">
      <c r="B164" s="82" t="s">
        <v>1100</v>
      </c>
      <c r="C164" s="82" t="s">
        <v>660</v>
      </c>
      <c r="D164" s="83">
        <f>SUMIFS(D165:D1496,K165:K1496,"0",B165:B1496,"1 2 4 1 3 12 31111 6 M59 40000 000161 0000E 00002 00515 025 2222200 2024*")-SUMIFS(E165:E1496,K165:K1496,"0",B165:B1496,"1 2 4 1 3 12 31111 6 M59 40000 000161 0000E 00002 00515 025 2222200 2024*")</f>
        <v>0</v>
      </c>
      <c r="E164" s="54"/>
      <c r="F164" s="83">
        <f>SUMIFS(F165:F1496,K165:K1496,"0",B165:B1496,"1 2 4 1 3 12 31111 6 M59 40000 000161 0000E 00002 00515 025 2222200 2024*")</f>
        <v>58973.99</v>
      </c>
      <c r="G164" s="83">
        <f>SUMIFS(G165:G1496,K165:K1496,"0",B165:B1496,"1 2 4 1 3 12 31111 6 M59 40000 000161 0000E 00002 00515 025 2222200 2024*")</f>
        <v>0</v>
      </c>
      <c r="H164" s="83">
        <f t="shared" si="2"/>
        <v>58973.99</v>
      </c>
      <c r="I164" s="83"/>
      <c r="K164" s="54" t="s">
        <v>15</v>
      </c>
    </row>
    <row r="165" spans="2:11" ht="41.25" x14ac:dyDescent="0.2">
      <c r="B165" s="82" t="s">
        <v>1101</v>
      </c>
      <c r="C165" s="82" t="s">
        <v>662</v>
      </c>
      <c r="D165" s="83">
        <f>SUMIFS(D166:D1496,K166:K1496,"0",B166:B1496,"1 2 4 1 3 12 31111 6 M59 40000 000161 0000E 00002 00515 025 2222200 2024 CP4SP372*")-SUMIFS(E166:E1496,K166:K1496,"0",B166:B1496,"1 2 4 1 3 12 31111 6 M59 40000 000161 0000E 00002 00515 025 2222200 2024 CP4SP372*")</f>
        <v>0</v>
      </c>
      <c r="E165" s="54"/>
      <c r="F165" s="83">
        <f>SUMIFS(F166:F1496,K166:K1496,"0",B166:B1496,"1 2 4 1 3 12 31111 6 M59 40000 000161 0000E 00002 00515 025 2222200 2024 CP4SP372*")</f>
        <v>58973.99</v>
      </c>
      <c r="G165" s="83">
        <f>SUMIFS(G166:G1496,K166:K1496,"0",B166:B1496,"1 2 4 1 3 12 31111 6 M59 40000 000161 0000E 00002 00515 025 2222200 2024 CP4SP372*")</f>
        <v>0</v>
      </c>
      <c r="H165" s="83">
        <f t="shared" si="2"/>
        <v>58973.99</v>
      </c>
      <c r="I165" s="83"/>
      <c r="K165" s="54" t="s">
        <v>15</v>
      </c>
    </row>
    <row r="166" spans="2:11" ht="41.25" x14ac:dyDescent="0.2">
      <c r="B166" s="82" t="s">
        <v>1102</v>
      </c>
      <c r="C166" s="82" t="s">
        <v>664</v>
      </c>
      <c r="D166" s="83">
        <f>SUMIFS(D167:D1496,K167:K1496,"0",B167:B1496,"1 2 4 1 3 12 31111 6 M59 40000 000161 0000E 00002 00515 025 2222200 2024 CP4SP372 003*")-SUMIFS(E167:E1496,K167:K1496,"0",B167:B1496,"1 2 4 1 3 12 31111 6 M59 40000 000161 0000E 00002 00515 025 2222200 2024 CP4SP372 003*")</f>
        <v>0</v>
      </c>
      <c r="E166" s="54"/>
      <c r="F166" s="83">
        <f>SUMIFS(F167:F1496,K167:K1496,"0",B167:B1496,"1 2 4 1 3 12 31111 6 M59 40000 000161 0000E 00002 00515 025 2222200 2024 CP4SP372 003*")</f>
        <v>58973.99</v>
      </c>
      <c r="G166" s="83">
        <f>SUMIFS(G167:G1496,K167:K1496,"0",B167:B1496,"1 2 4 1 3 12 31111 6 M59 40000 000161 0000E 00002 00515 025 2222200 2024 CP4SP372 003*")</f>
        <v>0</v>
      </c>
      <c r="H166" s="83">
        <f t="shared" si="2"/>
        <v>58973.99</v>
      </c>
      <c r="I166" s="83"/>
      <c r="K166" s="54" t="s">
        <v>15</v>
      </c>
    </row>
    <row r="167" spans="2:11" ht="33" x14ac:dyDescent="0.2">
      <c r="B167" s="84" t="s">
        <v>1103</v>
      </c>
      <c r="C167" s="84" t="s">
        <v>1049</v>
      </c>
      <c r="D167" s="85">
        <v>0</v>
      </c>
      <c r="E167" s="85"/>
      <c r="F167" s="85">
        <v>58973.99</v>
      </c>
      <c r="G167" s="85">
        <v>0</v>
      </c>
      <c r="H167" s="85">
        <f t="shared" si="2"/>
        <v>58973.99</v>
      </c>
      <c r="I167" s="85"/>
      <c r="K167" s="54" t="s">
        <v>38</v>
      </c>
    </row>
    <row r="168" spans="2:11" ht="16.5" x14ac:dyDescent="0.2">
      <c r="B168" s="82" t="s">
        <v>1104</v>
      </c>
      <c r="C168" s="82" t="s">
        <v>1105</v>
      </c>
      <c r="D168" s="83">
        <f>SUMIFS(D169:D1496,K169:K1496,"0",B169:B1496,"1 2 4 1 3 12 31111 6 M59 40200*")-SUMIFS(E169:E1496,K169:K1496,"0",B169:B1496,"1 2 4 1 3 12 31111 6 M59 40200*")</f>
        <v>0</v>
      </c>
      <c r="E168" s="54"/>
      <c r="F168" s="83">
        <f>SUMIFS(F169:F1496,K169:K1496,"0",B169:B1496,"1 2 4 1 3 12 31111 6 M59 40200*")</f>
        <v>10224</v>
      </c>
      <c r="G168" s="83">
        <f>SUMIFS(G169:G1496,K169:K1496,"0",B169:B1496,"1 2 4 1 3 12 31111 6 M59 40200*")</f>
        <v>0</v>
      </c>
      <c r="H168" s="83">
        <f t="shared" si="2"/>
        <v>10224</v>
      </c>
      <c r="I168" s="83"/>
      <c r="K168" s="54" t="s">
        <v>15</v>
      </c>
    </row>
    <row r="169" spans="2:11" ht="16.5" x14ac:dyDescent="0.2">
      <c r="B169" s="82" t="s">
        <v>1106</v>
      </c>
      <c r="C169" s="82" t="s">
        <v>1107</v>
      </c>
      <c r="D169" s="83">
        <f>SUMIFS(D170:D1496,K170:K1496,"0",B170:B1496,"1 2 4 1 3 12 31111 6 M59 40200 000172*")-SUMIFS(E170:E1496,K170:K1496,"0",B170:B1496,"1 2 4 1 3 12 31111 6 M59 40200 000172*")</f>
        <v>0</v>
      </c>
      <c r="E169" s="54"/>
      <c r="F169" s="83">
        <f>SUMIFS(F170:F1496,K170:K1496,"0",B170:B1496,"1 2 4 1 3 12 31111 6 M59 40200 000172*")</f>
        <v>10224</v>
      </c>
      <c r="G169" s="83">
        <f>SUMIFS(G170:G1496,K170:K1496,"0",B170:B1496,"1 2 4 1 3 12 31111 6 M59 40200 000172*")</f>
        <v>0</v>
      </c>
      <c r="H169" s="83">
        <f t="shared" si="2"/>
        <v>10224</v>
      </c>
      <c r="I169" s="83"/>
      <c r="K169" s="54" t="s">
        <v>15</v>
      </c>
    </row>
    <row r="170" spans="2:11" ht="24.75" x14ac:dyDescent="0.2">
      <c r="B170" s="82" t="s">
        <v>1108</v>
      </c>
      <c r="C170" s="82" t="s">
        <v>650</v>
      </c>
      <c r="D170" s="83">
        <f>SUMIFS(D171:D1496,K171:K1496,"0",B171:B1496,"1 2 4 1 3 12 31111 6 M59 40200 000172 0000R*")-SUMIFS(E171:E1496,K171:K1496,"0",B171:B1496,"1 2 4 1 3 12 31111 6 M59 40200 000172 0000R*")</f>
        <v>0</v>
      </c>
      <c r="E170" s="54"/>
      <c r="F170" s="83">
        <f>SUMIFS(F171:F1496,K171:K1496,"0",B171:B1496,"1 2 4 1 3 12 31111 6 M59 40200 000172 0000R*")</f>
        <v>10224</v>
      </c>
      <c r="G170" s="83">
        <f>SUMIFS(G171:G1496,K171:K1496,"0",B171:B1496,"1 2 4 1 3 12 31111 6 M59 40200 000172 0000R*")</f>
        <v>0</v>
      </c>
      <c r="H170" s="83">
        <f t="shared" si="2"/>
        <v>10224</v>
      </c>
      <c r="I170" s="83"/>
      <c r="K170" s="54" t="s">
        <v>15</v>
      </c>
    </row>
    <row r="171" spans="2:11" ht="24.75" x14ac:dyDescent="0.2">
      <c r="B171" s="82" t="s">
        <v>1109</v>
      </c>
      <c r="C171" s="82" t="s">
        <v>652</v>
      </c>
      <c r="D171" s="83">
        <f>SUMIFS(D172:D1496,K172:K1496,"0",B172:B1496,"1 2 4 1 3 12 31111 6 M59 40200 000172 0000R 00002*")-SUMIFS(E172:E1496,K172:K1496,"0",B172:B1496,"1 2 4 1 3 12 31111 6 M59 40200 000172 0000R 00002*")</f>
        <v>0</v>
      </c>
      <c r="E171" s="54"/>
      <c r="F171" s="83">
        <f>SUMIFS(F172:F1496,K172:K1496,"0",B172:B1496,"1 2 4 1 3 12 31111 6 M59 40200 000172 0000R 00002*")</f>
        <v>10224</v>
      </c>
      <c r="G171" s="83">
        <f>SUMIFS(G172:G1496,K172:K1496,"0",B172:B1496,"1 2 4 1 3 12 31111 6 M59 40200 000172 0000R 00002*")</f>
        <v>0</v>
      </c>
      <c r="H171" s="83">
        <f t="shared" si="2"/>
        <v>10224</v>
      </c>
      <c r="I171" s="83"/>
      <c r="K171" s="54" t="s">
        <v>15</v>
      </c>
    </row>
    <row r="172" spans="2:11" ht="24.75" x14ac:dyDescent="0.2">
      <c r="B172" s="82" t="s">
        <v>1110</v>
      </c>
      <c r="C172" s="82" t="s">
        <v>1049</v>
      </c>
      <c r="D172" s="83">
        <f>SUMIFS(D173:D1496,K173:K1496,"0",B173:B1496,"1 2 4 1 3 12 31111 6 M59 40200 000172 0000R 00002 00515*")-SUMIFS(E173:E1496,K173:K1496,"0",B173:B1496,"1 2 4 1 3 12 31111 6 M59 40200 000172 0000R 00002 00515*")</f>
        <v>0</v>
      </c>
      <c r="E172" s="54"/>
      <c r="F172" s="83">
        <f>SUMIFS(F173:F1496,K173:K1496,"0",B173:B1496,"1 2 4 1 3 12 31111 6 M59 40200 000172 0000R 00002 00515*")</f>
        <v>10224</v>
      </c>
      <c r="G172" s="83">
        <f>SUMIFS(G173:G1496,K173:K1496,"0",B173:B1496,"1 2 4 1 3 12 31111 6 M59 40200 000172 0000R 00002 00515*")</f>
        <v>0</v>
      </c>
      <c r="H172" s="83">
        <f t="shared" si="2"/>
        <v>10224</v>
      </c>
      <c r="I172" s="83"/>
      <c r="K172" s="54" t="s">
        <v>15</v>
      </c>
    </row>
    <row r="173" spans="2:11" ht="33" x14ac:dyDescent="0.2">
      <c r="B173" s="82" t="s">
        <v>1111</v>
      </c>
      <c r="C173" s="82" t="s">
        <v>656</v>
      </c>
      <c r="D173" s="83">
        <f>SUMIFS(D174:D1496,K174:K1496,"0",B174:B1496,"1 2 4 1 3 12 31111 6 M59 40200 000172 0000R 00002 00515 025*")-SUMIFS(E174:E1496,K174:K1496,"0",B174:B1496,"1 2 4 1 3 12 31111 6 M59 40200 000172 0000R 00002 00515 025*")</f>
        <v>0</v>
      </c>
      <c r="E173" s="54"/>
      <c r="F173" s="83">
        <f>SUMIFS(F174:F1496,K174:K1496,"0",B174:B1496,"1 2 4 1 3 12 31111 6 M59 40200 000172 0000R 00002 00515 025*")</f>
        <v>10224</v>
      </c>
      <c r="G173" s="83">
        <f>SUMIFS(G174:G1496,K174:K1496,"0",B174:B1496,"1 2 4 1 3 12 31111 6 M59 40200 000172 0000R 00002 00515 025*")</f>
        <v>0</v>
      </c>
      <c r="H173" s="83">
        <f t="shared" si="2"/>
        <v>10224</v>
      </c>
      <c r="I173" s="83"/>
      <c r="K173" s="54" t="s">
        <v>15</v>
      </c>
    </row>
    <row r="174" spans="2:11" ht="33" x14ac:dyDescent="0.2">
      <c r="B174" s="82" t="s">
        <v>1112</v>
      </c>
      <c r="C174" s="82" t="s">
        <v>1070</v>
      </c>
      <c r="D174" s="83">
        <f>SUMIFS(D175:D1496,K175:K1496,"0",B175:B1496,"1 2 4 1 3 12 31111 6 M59 40200 000172 0000R 00002 00515 025 2222200*")-SUMIFS(E175:E1496,K175:K1496,"0",B175:B1496,"1 2 4 1 3 12 31111 6 M59 40200 000172 0000R 00002 00515 025 2222200*")</f>
        <v>0</v>
      </c>
      <c r="E174" s="54"/>
      <c r="F174" s="83">
        <f>SUMIFS(F175:F1496,K175:K1496,"0",B175:B1496,"1 2 4 1 3 12 31111 6 M59 40200 000172 0000R 00002 00515 025 2222200*")</f>
        <v>10224</v>
      </c>
      <c r="G174" s="83">
        <f>SUMIFS(G175:G1496,K175:K1496,"0",B175:B1496,"1 2 4 1 3 12 31111 6 M59 40200 000172 0000R 00002 00515 025 2222200*")</f>
        <v>0</v>
      </c>
      <c r="H174" s="83">
        <f t="shared" si="2"/>
        <v>10224</v>
      </c>
      <c r="I174" s="83"/>
      <c r="K174" s="54" t="s">
        <v>15</v>
      </c>
    </row>
    <row r="175" spans="2:11" ht="33" x14ac:dyDescent="0.2">
      <c r="B175" s="82" t="s">
        <v>1113</v>
      </c>
      <c r="C175" s="82" t="s">
        <v>660</v>
      </c>
      <c r="D175" s="83">
        <f>SUMIFS(D176:D1496,K176:K1496,"0",B176:B1496,"1 2 4 1 3 12 31111 6 M59 40200 000172 0000R 00002 00515 025 2222200 2024*")-SUMIFS(E176:E1496,K176:K1496,"0",B176:B1496,"1 2 4 1 3 12 31111 6 M59 40200 000172 0000R 00002 00515 025 2222200 2024*")</f>
        <v>0</v>
      </c>
      <c r="E175" s="54"/>
      <c r="F175" s="83">
        <f>SUMIFS(F176:F1496,K176:K1496,"0",B176:B1496,"1 2 4 1 3 12 31111 6 M59 40200 000172 0000R 00002 00515 025 2222200 2024*")</f>
        <v>10224</v>
      </c>
      <c r="G175" s="83">
        <f>SUMIFS(G176:G1496,K176:K1496,"0",B176:B1496,"1 2 4 1 3 12 31111 6 M59 40200 000172 0000R 00002 00515 025 2222200 2024*")</f>
        <v>0</v>
      </c>
      <c r="H175" s="83">
        <f t="shared" si="2"/>
        <v>10224</v>
      </c>
      <c r="I175" s="83"/>
      <c r="K175" s="54" t="s">
        <v>15</v>
      </c>
    </row>
    <row r="176" spans="2:11" ht="41.25" x14ac:dyDescent="0.2">
      <c r="B176" s="82" t="s">
        <v>1114</v>
      </c>
      <c r="C176" s="82" t="s">
        <v>1056</v>
      </c>
      <c r="D176" s="83">
        <f>SUMIFS(D177:D1496,K177:K1496,"0",B177:B1496,"1 2 4 1 3 12 31111 6 M59 40200 000172 0000R 00002 00515 025 2222200 2024 CP4PC370*")-SUMIFS(E177:E1496,K177:K1496,"0",B177:B1496,"1 2 4 1 3 12 31111 6 M59 40200 000172 0000R 00002 00515 025 2222200 2024 CP4PC370*")</f>
        <v>0</v>
      </c>
      <c r="E176" s="54"/>
      <c r="F176" s="83">
        <f>SUMIFS(F177:F1496,K177:K1496,"0",B177:B1496,"1 2 4 1 3 12 31111 6 M59 40200 000172 0000R 00002 00515 025 2222200 2024 CP4PC370*")</f>
        <v>10224</v>
      </c>
      <c r="G176" s="83">
        <f>SUMIFS(G177:G1496,K177:K1496,"0",B177:B1496,"1 2 4 1 3 12 31111 6 M59 40200 000172 0000R 00002 00515 025 2222200 2024 CP4PC370*")</f>
        <v>0</v>
      </c>
      <c r="H176" s="83">
        <f t="shared" si="2"/>
        <v>10224</v>
      </c>
      <c r="I176" s="83"/>
      <c r="K176" s="54" t="s">
        <v>15</v>
      </c>
    </row>
    <row r="177" spans="2:11" ht="41.25" x14ac:dyDescent="0.2">
      <c r="B177" s="82" t="s">
        <v>1115</v>
      </c>
      <c r="C177" s="82" t="s">
        <v>664</v>
      </c>
      <c r="D177" s="83">
        <f>SUMIFS(D178:D1496,K178:K1496,"0",B178:B1496,"1 2 4 1 3 12 31111 6 M59 40200 000172 0000R 00002 00515 025 2222200 2024 CP4PC370 003*")-SUMIFS(E178:E1496,K178:K1496,"0",B178:B1496,"1 2 4 1 3 12 31111 6 M59 40200 000172 0000R 00002 00515 025 2222200 2024 CP4PC370 003*")</f>
        <v>0</v>
      </c>
      <c r="E177" s="54"/>
      <c r="F177" s="83">
        <f>SUMIFS(F178:F1496,K178:K1496,"0",B178:B1496,"1 2 4 1 3 12 31111 6 M59 40200 000172 0000R 00002 00515 025 2222200 2024 CP4PC370 003*")</f>
        <v>10224</v>
      </c>
      <c r="G177" s="83">
        <f>SUMIFS(G178:G1496,K178:K1496,"0",B178:B1496,"1 2 4 1 3 12 31111 6 M59 40200 000172 0000R 00002 00515 025 2222200 2024 CP4PC370 003*")</f>
        <v>0</v>
      </c>
      <c r="H177" s="83">
        <f t="shared" si="2"/>
        <v>10224</v>
      </c>
      <c r="I177" s="83"/>
      <c r="K177" s="54" t="s">
        <v>15</v>
      </c>
    </row>
    <row r="178" spans="2:11" ht="41.25" x14ac:dyDescent="0.2">
      <c r="B178" s="84" t="s">
        <v>1116</v>
      </c>
      <c r="C178" s="84" t="s">
        <v>1049</v>
      </c>
      <c r="D178" s="85">
        <v>0</v>
      </c>
      <c r="E178" s="85"/>
      <c r="F178" s="85">
        <v>10224</v>
      </c>
      <c r="G178" s="85">
        <v>0</v>
      </c>
      <c r="H178" s="85">
        <f t="shared" si="2"/>
        <v>10224</v>
      </c>
      <c r="I178" s="85"/>
      <c r="K178" s="54" t="s">
        <v>38</v>
      </c>
    </row>
    <row r="179" spans="2:11" ht="16.5" x14ac:dyDescent="0.2">
      <c r="B179" s="82" t="s">
        <v>1117</v>
      </c>
      <c r="C179" s="82" t="s">
        <v>1118</v>
      </c>
      <c r="D179" s="83">
        <f>SUMIFS(D180:D1496,K180:K1496,"0",B180:B1496,"1 2 4 1 9*")-SUMIFS(E180:E1496,K180:K1496,"0",B180:B1496,"1 2 4 1 9*")</f>
        <v>33006.25</v>
      </c>
      <c r="E179" s="54"/>
      <c r="F179" s="83">
        <f>SUMIFS(F180:F1496,K180:K1496,"0",B180:B1496,"1 2 4 1 9*")</f>
        <v>0</v>
      </c>
      <c r="G179" s="83">
        <f>SUMIFS(G180:G1496,K180:K1496,"0",B180:B1496,"1 2 4 1 9*")</f>
        <v>0</v>
      </c>
      <c r="H179" s="83">
        <f t="shared" si="2"/>
        <v>33006.25</v>
      </c>
      <c r="I179" s="83"/>
      <c r="K179" s="54" t="s">
        <v>15</v>
      </c>
    </row>
    <row r="180" spans="2:11" ht="12.75" x14ac:dyDescent="0.2">
      <c r="B180" s="82" t="s">
        <v>1119</v>
      </c>
      <c r="C180" s="82" t="s">
        <v>26</v>
      </c>
      <c r="D180" s="83">
        <f>SUMIFS(D181:D1496,K181:K1496,"0",B181:B1496,"1 2 4 1 9 12*")-SUMIFS(E181:E1496,K181:K1496,"0",B181:B1496,"1 2 4 1 9 12*")</f>
        <v>33006.25</v>
      </c>
      <c r="E180" s="54"/>
      <c r="F180" s="83">
        <f>SUMIFS(F181:F1496,K181:K1496,"0",B181:B1496,"1 2 4 1 9 12*")</f>
        <v>0</v>
      </c>
      <c r="G180" s="83">
        <f>SUMIFS(G181:G1496,K181:K1496,"0",B181:B1496,"1 2 4 1 9 12*")</f>
        <v>0</v>
      </c>
      <c r="H180" s="83">
        <f t="shared" si="2"/>
        <v>33006.25</v>
      </c>
      <c r="I180" s="83"/>
      <c r="K180" s="54" t="s">
        <v>15</v>
      </c>
    </row>
    <row r="181" spans="2:11" ht="16.5" x14ac:dyDescent="0.2">
      <c r="B181" s="82" t="s">
        <v>1120</v>
      </c>
      <c r="C181" s="82" t="s">
        <v>28</v>
      </c>
      <c r="D181" s="83">
        <f>SUMIFS(D182:D1496,K182:K1496,"0",B182:B1496,"1 2 4 1 9 12 31111*")-SUMIFS(E182:E1496,K182:K1496,"0",B182:B1496,"1 2 4 1 9 12 31111*")</f>
        <v>33006.25</v>
      </c>
      <c r="E181" s="54"/>
      <c r="F181" s="83">
        <f>SUMIFS(F182:F1496,K182:K1496,"0",B182:B1496,"1 2 4 1 9 12 31111*")</f>
        <v>0</v>
      </c>
      <c r="G181" s="83">
        <f>SUMIFS(G182:G1496,K182:K1496,"0",B182:B1496,"1 2 4 1 9 12 31111*")</f>
        <v>0</v>
      </c>
      <c r="H181" s="83">
        <f t="shared" si="2"/>
        <v>33006.25</v>
      </c>
      <c r="I181" s="83"/>
      <c r="K181" s="54" t="s">
        <v>15</v>
      </c>
    </row>
    <row r="182" spans="2:11" ht="12.75" x14ac:dyDescent="0.2">
      <c r="B182" s="82" t="s">
        <v>1121</v>
      </c>
      <c r="C182" s="82" t="s">
        <v>30</v>
      </c>
      <c r="D182" s="83">
        <f>SUMIFS(D183:D1496,K183:K1496,"0",B183:B1496,"1 2 4 1 9 12 31111 6*")-SUMIFS(E183:E1496,K183:K1496,"0",B183:B1496,"1 2 4 1 9 12 31111 6*")</f>
        <v>33006.25</v>
      </c>
      <c r="E182" s="54"/>
      <c r="F182" s="83">
        <f>SUMIFS(F183:F1496,K183:K1496,"0",B183:B1496,"1 2 4 1 9 12 31111 6*")</f>
        <v>0</v>
      </c>
      <c r="G182" s="83">
        <f>SUMIFS(G183:G1496,K183:K1496,"0",B183:B1496,"1 2 4 1 9 12 31111 6*")</f>
        <v>0</v>
      </c>
      <c r="H182" s="83">
        <f t="shared" si="2"/>
        <v>33006.25</v>
      </c>
      <c r="I182" s="83"/>
      <c r="K182" s="54" t="s">
        <v>15</v>
      </c>
    </row>
    <row r="183" spans="2:11" ht="16.5" x14ac:dyDescent="0.2">
      <c r="B183" s="82" t="s">
        <v>1122</v>
      </c>
      <c r="C183" s="82" t="s">
        <v>32</v>
      </c>
      <c r="D183" s="83">
        <f>SUMIFS(D184:D1496,K184:K1496,"0",B184:B1496,"1 2 4 1 9 12 31111 6 M59*")-SUMIFS(E184:E1496,K184:K1496,"0",B184:B1496,"1 2 4 1 9 12 31111 6 M59*")</f>
        <v>33006.25</v>
      </c>
      <c r="E183" s="54"/>
      <c r="F183" s="83">
        <f>SUMIFS(F184:F1496,K184:K1496,"0",B184:B1496,"1 2 4 1 9 12 31111 6 M59*")</f>
        <v>0</v>
      </c>
      <c r="G183" s="83">
        <f>SUMIFS(G184:G1496,K184:K1496,"0",B184:B1496,"1 2 4 1 9 12 31111 6 M59*")</f>
        <v>0</v>
      </c>
      <c r="H183" s="83">
        <f t="shared" si="2"/>
        <v>33006.25</v>
      </c>
      <c r="I183" s="83"/>
      <c r="K183" s="54" t="s">
        <v>15</v>
      </c>
    </row>
    <row r="184" spans="2:11" ht="24.75" x14ac:dyDescent="0.2">
      <c r="B184" s="82" t="s">
        <v>1131</v>
      </c>
      <c r="C184" s="82" t="s">
        <v>40</v>
      </c>
      <c r="D184" s="83">
        <f>SUMIFS(D185:D1496,K185:K1496,"0",B185:B1496,"1 2 4 1 9 12 31111 6 M59 00003*")-SUMIFS(E185:E1496,K185:K1496,"0",B185:B1496,"1 2 4 1 9 12 31111 6 M59 00003*")</f>
        <v>33006.25</v>
      </c>
      <c r="E184" s="54"/>
      <c r="F184" s="83">
        <f>SUMIFS(F185:F1496,K185:K1496,"0",B185:B1496,"1 2 4 1 9 12 31111 6 M59 00003*")</f>
        <v>0</v>
      </c>
      <c r="G184" s="83">
        <f>SUMIFS(G185:G1496,K185:K1496,"0",B185:B1496,"1 2 4 1 9 12 31111 6 M59 00003*")</f>
        <v>0</v>
      </c>
      <c r="H184" s="83">
        <f t="shared" si="2"/>
        <v>33006.25</v>
      </c>
      <c r="I184" s="83"/>
      <c r="K184" s="54" t="s">
        <v>15</v>
      </c>
    </row>
    <row r="185" spans="2:11" ht="16.5" x14ac:dyDescent="0.2">
      <c r="B185" s="82" t="s">
        <v>1132</v>
      </c>
      <c r="C185" s="82" t="s">
        <v>42</v>
      </c>
      <c r="D185" s="83">
        <f>SUMIFS(D186:D1496,K186:K1496,"0",B186:B1496,"1 2 4 1 9 12 31111 6 M59 00003 000001*")-SUMIFS(E186:E1496,K186:K1496,"0",B186:B1496,"1 2 4 1 9 12 31111 6 M59 00003 000001*")</f>
        <v>33006.25</v>
      </c>
      <c r="E185" s="54"/>
      <c r="F185" s="83">
        <f>SUMIFS(F186:F1496,K186:K1496,"0",B186:B1496,"1 2 4 1 9 12 31111 6 M59 00003 000001*")</f>
        <v>0</v>
      </c>
      <c r="G185" s="83">
        <f>SUMIFS(G186:G1496,K186:K1496,"0",B186:B1496,"1 2 4 1 9 12 31111 6 M59 00003 000001*")</f>
        <v>0</v>
      </c>
      <c r="H185" s="83">
        <f t="shared" si="2"/>
        <v>33006.25</v>
      </c>
      <c r="I185" s="83"/>
      <c r="K185" s="54" t="s">
        <v>15</v>
      </c>
    </row>
    <row r="186" spans="2:11" ht="16.5" x14ac:dyDescent="0.2">
      <c r="B186" s="84" t="s">
        <v>1133</v>
      </c>
      <c r="C186" s="84" t="s">
        <v>274</v>
      </c>
      <c r="D186" s="85">
        <v>33006.25</v>
      </c>
      <c r="E186" s="85"/>
      <c r="F186" s="85">
        <v>0</v>
      </c>
      <c r="G186" s="85">
        <v>0</v>
      </c>
      <c r="H186" s="85">
        <f t="shared" si="2"/>
        <v>33006.25</v>
      </c>
      <c r="I186" s="85"/>
      <c r="K186" s="54" t="s">
        <v>38</v>
      </c>
    </row>
    <row r="187" spans="2:11" ht="16.5" x14ac:dyDescent="0.2">
      <c r="B187" s="82" t="s">
        <v>1140</v>
      </c>
      <c r="C187" s="82" t="s">
        <v>1141</v>
      </c>
      <c r="D187" s="83">
        <f>SUMIFS(D188:D1496,K188:K1496,"0",B188:B1496,"1 2 4 2*")-SUMIFS(E188:E1496,K188:K1496,"0",B188:B1496,"1 2 4 2*")</f>
        <v>483401.19</v>
      </c>
      <c r="E187" s="54"/>
      <c r="F187" s="83">
        <f>SUMIFS(F188:F1496,K188:K1496,"0",B188:B1496,"1 2 4 2*")</f>
        <v>0</v>
      </c>
      <c r="G187" s="83">
        <f>SUMIFS(G188:G1496,K188:K1496,"0",B188:B1496,"1 2 4 2*")</f>
        <v>0</v>
      </c>
      <c r="H187" s="83">
        <f t="shared" si="2"/>
        <v>483401.19</v>
      </c>
      <c r="I187" s="83"/>
      <c r="K187" s="54" t="s">
        <v>15</v>
      </c>
    </row>
    <row r="188" spans="2:11" ht="16.5" x14ac:dyDescent="0.2">
      <c r="B188" s="82" t="s">
        <v>1142</v>
      </c>
      <c r="C188" s="82" t="s">
        <v>1143</v>
      </c>
      <c r="D188" s="83">
        <f>SUMIFS(D189:D1496,K189:K1496,"0",B189:B1496,"1 2 4 2 1*")-SUMIFS(E189:E1496,K189:K1496,"0",B189:B1496,"1 2 4 2 1*")</f>
        <v>14487</v>
      </c>
      <c r="E188" s="54"/>
      <c r="F188" s="83">
        <f>SUMIFS(F189:F1496,K189:K1496,"0",B189:B1496,"1 2 4 2 1*")</f>
        <v>0</v>
      </c>
      <c r="G188" s="83">
        <f>SUMIFS(G189:G1496,K189:K1496,"0",B189:B1496,"1 2 4 2 1*")</f>
        <v>0</v>
      </c>
      <c r="H188" s="83">
        <f t="shared" si="2"/>
        <v>14487</v>
      </c>
      <c r="I188" s="83"/>
      <c r="K188" s="54" t="s">
        <v>15</v>
      </c>
    </row>
    <row r="189" spans="2:11" ht="12.75" x14ac:dyDescent="0.2">
      <c r="B189" s="82" t="s">
        <v>1144</v>
      </c>
      <c r="C189" s="82" t="s">
        <v>26</v>
      </c>
      <c r="D189" s="83">
        <f>SUMIFS(D190:D1496,K190:K1496,"0",B190:B1496,"1 2 4 2 1 12*")-SUMIFS(E190:E1496,K190:K1496,"0",B190:B1496,"1 2 4 2 1 12*")</f>
        <v>14487</v>
      </c>
      <c r="E189" s="54"/>
      <c r="F189" s="83">
        <f>SUMIFS(F190:F1496,K190:K1496,"0",B190:B1496,"1 2 4 2 1 12*")</f>
        <v>0</v>
      </c>
      <c r="G189" s="83">
        <f>SUMIFS(G190:G1496,K190:K1496,"0",B190:B1496,"1 2 4 2 1 12*")</f>
        <v>0</v>
      </c>
      <c r="H189" s="83">
        <f t="shared" si="2"/>
        <v>14487</v>
      </c>
      <c r="I189" s="83"/>
      <c r="K189" s="54" t="s">
        <v>15</v>
      </c>
    </row>
    <row r="190" spans="2:11" ht="16.5" x14ac:dyDescent="0.2">
      <c r="B190" s="82" t="s">
        <v>1145</v>
      </c>
      <c r="C190" s="82" t="s">
        <v>28</v>
      </c>
      <c r="D190" s="83">
        <f>SUMIFS(D191:D1496,K191:K1496,"0",B191:B1496,"1 2 4 2 1 12 31111*")-SUMIFS(E191:E1496,K191:K1496,"0",B191:B1496,"1 2 4 2 1 12 31111*")</f>
        <v>14487</v>
      </c>
      <c r="E190" s="54"/>
      <c r="F190" s="83">
        <f>SUMIFS(F191:F1496,K191:K1496,"0",B191:B1496,"1 2 4 2 1 12 31111*")</f>
        <v>0</v>
      </c>
      <c r="G190" s="83">
        <f>SUMIFS(G191:G1496,K191:K1496,"0",B191:B1496,"1 2 4 2 1 12 31111*")</f>
        <v>0</v>
      </c>
      <c r="H190" s="83">
        <f t="shared" si="2"/>
        <v>14487</v>
      </c>
      <c r="I190" s="83"/>
      <c r="K190" s="54" t="s">
        <v>15</v>
      </c>
    </row>
    <row r="191" spans="2:11" ht="12.75" x14ac:dyDescent="0.2">
      <c r="B191" s="82" t="s">
        <v>1146</v>
      </c>
      <c r="C191" s="82" t="s">
        <v>30</v>
      </c>
      <c r="D191" s="83">
        <f>SUMIFS(D192:D1496,K192:K1496,"0",B192:B1496,"1 2 4 2 1 12 31111 6*")-SUMIFS(E192:E1496,K192:K1496,"0",B192:B1496,"1 2 4 2 1 12 31111 6*")</f>
        <v>14487</v>
      </c>
      <c r="E191" s="54"/>
      <c r="F191" s="83">
        <f>SUMIFS(F192:F1496,K192:K1496,"0",B192:B1496,"1 2 4 2 1 12 31111 6*")</f>
        <v>0</v>
      </c>
      <c r="G191" s="83">
        <f>SUMIFS(G192:G1496,K192:K1496,"0",B192:B1496,"1 2 4 2 1 12 31111 6*")</f>
        <v>0</v>
      </c>
      <c r="H191" s="83">
        <f t="shared" si="2"/>
        <v>14487</v>
      </c>
      <c r="I191" s="83"/>
      <c r="K191" s="54" t="s">
        <v>15</v>
      </c>
    </row>
    <row r="192" spans="2:11" ht="16.5" x14ac:dyDescent="0.2">
      <c r="B192" s="82" t="s">
        <v>1147</v>
      </c>
      <c r="C192" s="82" t="s">
        <v>32</v>
      </c>
      <c r="D192" s="83">
        <f>SUMIFS(D193:D1496,K193:K1496,"0",B193:B1496,"1 2 4 2 1 12 31111 6 M59*")-SUMIFS(E193:E1496,K193:K1496,"0",B193:B1496,"1 2 4 2 1 12 31111 6 M59*")</f>
        <v>14487</v>
      </c>
      <c r="E192" s="54"/>
      <c r="F192" s="83">
        <f>SUMIFS(F193:F1496,K193:K1496,"0",B193:B1496,"1 2 4 2 1 12 31111 6 M59*")</f>
        <v>0</v>
      </c>
      <c r="G192" s="83">
        <f>SUMIFS(G193:G1496,K193:K1496,"0",B193:B1496,"1 2 4 2 1 12 31111 6 M59*")</f>
        <v>0</v>
      </c>
      <c r="H192" s="83">
        <f t="shared" si="2"/>
        <v>14487</v>
      </c>
      <c r="I192" s="83"/>
      <c r="K192" s="54" t="s">
        <v>15</v>
      </c>
    </row>
    <row r="193" spans="2:11" ht="24.75" x14ac:dyDescent="0.2">
      <c r="B193" s="82" t="s">
        <v>1155</v>
      </c>
      <c r="C193" s="82" t="s">
        <v>40</v>
      </c>
      <c r="D193" s="83">
        <f>SUMIFS(D194:D1496,K194:K1496,"0",B194:B1496,"1 2 4 2 1 12 31111 6 M59 00003*")-SUMIFS(E194:E1496,K194:K1496,"0",B194:B1496,"1 2 4 2 1 12 31111 6 M59 00003*")</f>
        <v>14487</v>
      </c>
      <c r="E193" s="54"/>
      <c r="F193" s="83">
        <f>SUMIFS(F194:F1496,K194:K1496,"0",B194:B1496,"1 2 4 2 1 12 31111 6 M59 00003*")</f>
        <v>0</v>
      </c>
      <c r="G193" s="83">
        <f>SUMIFS(G194:G1496,K194:K1496,"0",B194:B1496,"1 2 4 2 1 12 31111 6 M59 00003*")</f>
        <v>0</v>
      </c>
      <c r="H193" s="83">
        <f t="shared" si="2"/>
        <v>14487</v>
      </c>
      <c r="I193" s="83"/>
      <c r="K193" s="54" t="s">
        <v>15</v>
      </c>
    </row>
    <row r="194" spans="2:11" ht="16.5" x14ac:dyDescent="0.2">
      <c r="B194" s="82" t="s">
        <v>1156</v>
      </c>
      <c r="C194" s="82" t="s">
        <v>42</v>
      </c>
      <c r="D194" s="83">
        <f>SUMIFS(D195:D1496,K195:K1496,"0",B195:B1496,"1 2 4 2 1 12 31111 6 M59 00003 000001*")-SUMIFS(E195:E1496,K195:K1496,"0",B195:B1496,"1 2 4 2 1 12 31111 6 M59 00003 000001*")</f>
        <v>14487</v>
      </c>
      <c r="E194" s="54"/>
      <c r="F194" s="83">
        <f>SUMIFS(F195:F1496,K195:K1496,"0",B195:B1496,"1 2 4 2 1 12 31111 6 M59 00003 000001*")</f>
        <v>0</v>
      </c>
      <c r="G194" s="83">
        <f>SUMIFS(G195:G1496,K195:K1496,"0",B195:B1496,"1 2 4 2 1 12 31111 6 M59 00003 000001*")</f>
        <v>0</v>
      </c>
      <c r="H194" s="83">
        <f t="shared" si="2"/>
        <v>14487</v>
      </c>
      <c r="I194" s="83"/>
      <c r="K194" s="54" t="s">
        <v>15</v>
      </c>
    </row>
    <row r="195" spans="2:11" ht="16.5" x14ac:dyDescent="0.2">
      <c r="B195" s="84" t="s">
        <v>1157</v>
      </c>
      <c r="C195" s="84" t="s">
        <v>274</v>
      </c>
      <c r="D195" s="85">
        <v>14487</v>
      </c>
      <c r="E195" s="85"/>
      <c r="F195" s="85">
        <v>0</v>
      </c>
      <c r="G195" s="85">
        <v>0</v>
      </c>
      <c r="H195" s="85">
        <f t="shared" si="2"/>
        <v>14487</v>
      </c>
      <c r="I195" s="85"/>
      <c r="K195" s="54" t="s">
        <v>38</v>
      </c>
    </row>
    <row r="196" spans="2:11" ht="16.5" x14ac:dyDescent="0.2">
      <c r="B196" s="82" t="s">
        <v>1158</v>
      </c>
      <c r="C196" s="82" t="s">
        <v>1159</v>
      </c>
      <c r="D196" s="83">
        <f>SUMIFS(D197:D1496,K197:K1496,"0",B197:B1496,"1 2 4 2 3*")-SUMIFS(E197:E1496,K197:K1496,"0",B197:B1496,"1 2 4 2 3*")</f>
        <v>67337</v>
      </c>
      <c r="E196" s="54"/>
      <c r="F196" s="83">
        <f>SUMIFS(F197:F1496,K197:K1496,"0",B197:B1496,"1 2 4 2 3*")</f>
        <v>0</v>
      </c>
      <c r="G196" s="83">
        <f>SUMIFS(G197:G1496,K197:K1496,"0",B197:B1496,"1 2 4 2 3*")</f>
        <v>0</v>
      </c>
      <c r="H196" s="83">
        <f t="shared" si="2"/>
        <v>67337</v>
      </c>
      <c r="I196" s="83"/>
      <c r="K196" s="54" t="s">
        <v>15</v>
      </c>
    </row>
    <row r="197" spans="2:11" ht="12.75" x14ac:dyDescent="0.2">
      <c r="B197" s="82" t="s">
        <v>1160</v>
      </c>
      <c r="C197" s="82" t="s">
        <v>26</v>
      </c>
      <c r="D197" s="83">
        <f>SUMIFS(D198:D1496,K198:K1496,"0",B198:B1496,"1 2 4 2 3 12*")-SUMIFS(E198:E1496,K198:K1496,"0",B198:B1496,"1 2 4 2 3 12*")</f>
        <v>67337</v>
      </c>
      <c r="E197" s="54"/>
      <c r="F197" s="83">
        <f>SUMIFS(F198:F1496,K198:K1496,"0",B198:B1496,"1 2 4 2 3 12*")</f>
        <v>0</v>
      </c>
      <c r="G197" s="83">
        <f>SUMIFS(G198:G1496,K198:K1496,"0",B198:B1496,"1 2 4 2 3 12*")</f>
        <v>0</v>
      </c>
      <c r="H197" s="83">
        <f t="shared" si="2"/>
        <v>67337</v>
      </c>
      <c r="I197" s="83"/>
      <c r="K197" s="54" t="s">
        <v>15</v>
      </c>
    </row>
    <row r="198" spans="2:11" ht="16.5" x14ac:dyDescent="0.2">
      <c r="B198" s="82" t="s">
        <v>1161</v>
      </c>
      <c r="C198" s="82" t="s">
        <v>28</v>
      </c>
      <c r="D198" s="83">
        <f>SUMIFS(D199:D1496,K199:K1496,"0",B199:B1496,"1 2 4 2 3 12 31111*")-SUMIFS(E199:E1496,K199:K1496,"0",B199:B1496,"1 2 4 2 3 12 31111*")</f>
        <v>67337</v>
      </c>
      <c r="E198" s="54"/>
      <c r="F198" s="83">
        <f>SUMIFS(F199:F1496,K199:K1496,"0",B199:B1496,"1 2 4 2 3 12 31111*")</f>
        <v>0</v>
      </c>
      <c r="G198" s="83">
        <f>SUMIFS(G199:G1496,K199:K1496,"0",B199:B1496,"1 2 4 2 3 12 31111*")</f>
        <v>0</v>
      </c>
      <c r="H198" s="83">
        <f t="shared" si="2"/>
        <v>67337</v>
      </c>
      <c r="I198" s="83"/>
      <c r="K198" s="54" t="s">
        <v>15</v>
      </c>
    </row>
    <row r="199" spans="2:11" ht="12.75" x14ac:dyDescent="0.2">
      <c r="B199" s="82" t="s">
        <v>1162</v>
      </c>
      <c r="C199" s="82" t="s">
        <v>30</v>
      </c>
      <c r="D199" s="83">
        <f>SUMIFS(D200:D1496,K200:K1496,"0",B200:B1496,"1 2 4 2 3 12 31111 6*")-SUMIFS(E200:E1496,K200:K1496,"0",B200:B1496,"1 2 4 2 3 12 31111 6*")</f>
        <v>67337</v>
      </c>
      <c r="E199" s="54"/>
      <c r="F199" s="83">
        <f>SUMIFS(F200:F1496,K200:K1496,"0",B200:B1496,"1 2 4 2 3 12 31111 6*")</f>
        <v>0</v>
      </c>
      <c r="G199" s="83">
        <f>SUMIFS(G200:G1496,K200:K1496,"0",B200:B1496,"1 2 4 2 3 12 31111 6*")</f>
        <v>0</v>
      </c>
      <c r="H199" s="83">
        <f t="shared" si="2"/>
        <v>67337</v>
      </c>
      <c r="I199" s="83"/>
      <c r="K199" s="54" t="s">
        <v>15</v>
      </c>
    </row>
    <row r="200" spans="2:11" ht="16.5" x14ac:dyDescent="0.2">
      <c r="B200" s="82" t="s">
        <v>1163</v>
      </c>
      <c r="C200" s="82" t="s">
        <v>32</v>
      </c>
      <c r="D200" s="83">
        <f>SUMIFS(D201:D1496,K201:K1496,"0",B201:B1496,"1 2 4 2 3 12 31111 6 M59*")-SUMIFS(E201:E1496,K201:K1496,"0",B201:B1496,"1 2 4 2 3 12 31111 6 M59*")</f>
        <v>67337</v>
      </c>
      <c r="E200" s="54"/>
      <c r="F200" s="83">
        <f>SUMIFS(F201:F1496,K201:K1496,"0",B201:B1496,"1 2 4 2 3 12 31111 6 M59*")</f>
        <v>0</v>
      </c>
      <c r="G200" s="83">
        <f>SUMIFS(G201:G1496,K201:K1496,"0",B201:B1496,"1 2 4 2 3 12 31111 6 M59*")</f>
        <v>0</v>
      </c>
      <c r="H200" s="83">
        <f t="shared" si="2"/>
        <v>67337</v>
      </c>
      <c r="I200" s="83"/>
      <c r="K200" s="54" t="s">
        <v>15</v>
      </c>
    </row>
    <row r="201" spans="2:11" ht="24.75" x14ac:dyDescent="0.2">
      <c r="B201" s="82" t="s">
        <v>1169</v>
      </c>
      <c r="C201" s="82" t="s">
        <v>40</v>
      </c>
      <c r="D201" s="83">
        <f>SUMIFS(D202:D1496,K202:K1496,"0",B202:B1496,"1 2 4 2 3 12 31111 6 M59 00003*")-SUMIFS(E202:E1496,K202:K1496,"0",B202:B1496,"1 2 4 2 3 12 31111 6 M59 00003*")</f>
        <v>67337</v>
      </c>
      <c r="E201" s="54"/>
      <c r="F201" s="83">
        <f>SUMIFS(F202:F1496,K202:K1496,"0",B202:B1496,"1 2 4 2 3 12 31111 6 M59 00003*")</f>
        <v>0</v>
      </c>
      <c r="G201" s="83">
        <f>SUMIFS(G202:G1496,K202:K1496,"0",B202:B1496,"1 2 4 2 3 12 31111 6 M59 00003*")</f>
        <v>0</v>
      </c>
      <c r="H201" s="83">
        <f t="shared" si="2"/>
        <v>67337</v>
      </c>
      <c r="I201" s="83"/>
      <c r="K201" s="54" t="s">
        <v>15</v>
      </c>
    </row>
    <row r="202" spans="2:11" ht="16.5" x14ac:dyDescent="0.2">
      <c r="B202" s="82" t="s">
        <v>1170</v>
      </c>
      <c r="C202" s="82" t="s">
        <v>42</v>
      </c>
      <c r="D202" s="83">
        <f>SUMIFS(D203:D1496,K203:K1496,"0",B203:B1496,"1 2 4 2 3 12 31111 6 M59 00003 000001*")-SUMIFS(E203:E1496,K203:K1496,"0",B203:B1496,"1 2 4 2 3 12 31111 6 M59 00003 000001*")</f>
        <v>67337</v>
      </c>
      <c r="E202" s="54"/>
      <c r="F202" s="83">
        <f>SUMIFS(F203:F1496,K203:K1496,"0",B203:B1496,"1 2 4 2 3 12 31111 6 M59 00003 000001*")</f>
        <v>0</v>
      </c>
      <c r="G202" s="83">
        <f>SUMIFS(G203:G1496,K203:K1496,"0",B203:B1496,"1 2 4 2 3 12 31111 6 M59 00003 000001*")</f>
        <v>0</v>
      </c>
      <c r="H202" s="83">
        <f t="shared" si="2"/>
        <v>67337</v>
      </c>
      <c r="I202" s="83"/>
      <c r="K202" s="54" t="s">
        <v>15</v>
      </c>
    </row>
    <row r="203" spans="2:11" ht="33" x14ac:dyDescent="0.2">
      <c r="B203" s="84" t="s">
        <v>1171</v>
      </c>
      <c r="C203" s="84" t="s">
        <v>984</v>
      </c>
      <c r="D203" s="85">
        <v>28937</v>
      </c>
      <c r="E203" s="85"/>
      <c r="F203" s="85">
        <v>0</v>
      </c>
      <c r="G203" s="85">
        <v>0</v>
      </c>
      <c r="H203" s="85">
        <f t="shared" si="2"/>
        <v>28937</v>
      </c>
      <c r="I203" s="85"/>
      <c r="K203" s="54" t="s">
        <v>38</v>
      </c>
    </row>
    <row r="204" spans="2:11" ht="16.5" x14ac:dyDescent="0.2">
      <c r="B204" s="84" t="s">
        <v>1172</v>
      </c>
      <c r="C204" s="84" t="s">
        <v>274</v>
      </c>
      <c r="D204" s="85">
        <v>38400</v>
      </c>
      <c r="E204" s="85"/>
      <c r="F204" s="85">
        <v>0</v>
      </c>
      <c r="G204" s="85">
        <v>0</v>
      </c>
      <c r="H204" s="85">
        <f t="shared" ref="H204:H267" si="3">D204 + F204 - G204</f>
        <v>38400</v>
      </c>
      <c r="I204" s="85"/>
      <c r="K204" s="54" t="s">
        <v>38</v>
      </c>
    </row>
    <row r="205" spans="2:11" ht="16.5" x14ac:dyDescent="0.2">
      <c r="B205" s="82" t="s">
        <v>1173</v>
      </c>
      <c r="C205" s="82" t="s">
        <v>1174</v>
      </c>
      <c r="D205" s="83">
        <f>SUMIFS(D206:D1496,K206:K1496,"0",B206:B1496,"1 2 4 2 9*")-SUMIFS(E206:E1496,K206:K1496,"0",B206:B1496,"1 2 4 2 9*")</f>
        <v>401577.19</v>
      </c>
      <c r="E205" s="54"/>
      <c r="F205" s="83">
        <f>SUMIFS(F206:F1496,K206:K1496,"0",B206:B1496,"1 2 4 2 9*")</f>
        <v>0</v>
      </c>
      <c r="G205" s="83">
        <f>SUMIFS(G206:G1496,K206:K1496,"0",B206:B1496,"1 2 4 2 9*")</f>
        <v>0</v>
      </c>
      <c r="H205" s="83">
        <f t="shared" si="3"/>
        <v>401577.19</v>
      </c>
      <c r="I205" s="83"/>
      <c r="K205" s="54" t="s">
        <v>15</v>
      </c>
    </row>
    <row r="206" spans="2:11" ht="12.75" x14ac:dyDescent="0.2">
      <c r="B206" s="82" t="s">
        <v>1175</v>
      </c>
      <c r="C206" s="82" t="s">
        <v>26</v>
      </c>
      <c r="D206" s="83">
        <f>SUMIFS(D207:D1496,K207:K1496,"0",B207:B1496,"1 2 4 2 9 12*")-SUMIFS(E207:E1496,K207:K1496,"0",B207:B1496,"1 2 4 2 9 12*")</f>
        <v>401577.19</v>
      </c>
      <c r="E206" s="54"/>
      <c r="F206" s="83">
        <f>SUMIFS(F207:F1496,K207:K1496,"0",B207:B1496,"1 2 4 2 9 12*")</f>
        <v>0</v>
      </c>
      <c r="G206" s="83">
        <f>SUMIFS(G207:G1496,K207:K1496,"0",B207:B1496,"1 2 4 2 9 12*")</f>
        <v>0</v>
      </c>
      <c r="H206" s="83">
        <f t="shared" si="3"/>
        <v>401577.19</v>
      </c>
      <c r="I206" s="83"/>
      <c r="K206" s="54" t="s">
        <v>15</v>
      </c>
    </row>
    <row r="207" spans="2:11" ht="16.5" x14ac:dyDescent="0.2">
      <c r="B207" s="82" t="s">
        <v>1176</v>
      </c>
      <c r="C207" s="82" t="s">
        <v>28</v>
      </c>
      <c r="D207" s="83">
        <f>SUMIFS(D208:D1496,K208:K1496,"0",B208:B1496,"1 2 4 2 9 12 31111*")-SUMIFS(E208:E1496,K208:K1496,"0",B208:B1496,"1 2 4 2 9 12 31111*")</f>
        <v>401577.19</v>
      </c>
      <c r="E207" s="54"/>
      <c r="F207" s="83">
        <f>SUMIFS(F208:F1496,K208:K1496,"0",B208:B1496,"1 2 4 2 9 12 31111*")</f>
        <v>0</v>
      </c>
      <c r="G207" s="83">
        <f>SUMIFS(G208:G1496,K208:K1496,"0",B208:B1496,"1 2 4 2 9 12 31111*")</f>
        <v>0</v>
      </c>
      <c r="H207" s="83">
        <f t="shared" si="3"/>
        <v>401577.19</v>
      </c>
      <c r="I207" s="83"/>
      <c r="K207" s="54" t="s">
        <v>15</v>
      </c>
    </row>
    <row r="208" spans="2:11" ht="12.75" x14ac:dyDescent="0.2">
      <c r="B208" s="82" t="s">
        <v>1177</v>
      </c>
      <c r="C208" s="82" t="s">
        <v>30</v>
      </c>
      <c r="D208" s="83">
        <f>SUMIFS(D209:D1496,K209:K1496,"0",B209:B1496,"1 2 4 2 9 12 31111 6*")-SUMIFS(E209:E1496,K209:K1496,"0",B209:B1496,"1 2 4 2 9 12 31111 6*")</f>
        <v>401577.19</v>
      </c>
      <c r="E208" s="54"/>
      <c r="F208" s="83">
        <f>SUMIFS(F209:F1496,K209:K1496,"0",B209:B1496,"1 2 4 2 9 12 31111 6*")</f>
        <v>0</v>
      </c>
      <c r="G208" s="83">
        <f>SUMIFS(G209:G1496,K209:K1496,"0",B209:B1496,"1 2 4 2 9 12 31111 6*")</f>
        <v>0</v>
      </c>
      <c r="H208" s="83">
        <f t="shared" si="3"/>
        <v>401577.19</v>
      </c>
      <c r="I208" s="83"/>
      <c r="K208" s="54" t="s">
        <v>15</v>
      </c>
    </row>
    <row r="209" spans="2:11" ht="16.5" x14ac:dyDescent="0.2">
      <c r="B209" s="82" t="s">
        <v>1178</v>
      </c>
      <c r="C209" s="82" t="s">
        <v>1990</v>
      </c>
      <c r="D209" s="83">
        <f>SUMIFS(D210:D1496,K210:K1496,"0",B210:B1496,"1 2 4 2 9 12 31111 6 M59*")-SUMIFS(E210:E1496,K210:K1496,"0",B210:B1496,"1 2 4 2 9 12 31111 6 M59*")</f>
        <v>401577.19</v>
      </c>
      <c r="E209" s="54"/>
      <c r="F209" s="83">
        <f>SUMIFS(F210:F1496,K210:K1496,"0",B210:B1496,"1 2 4 2 9 12 31111 6 M59*")</f>
        <v>0</v>
      </c>
      <c r="G209" s="83">
        <f>SUMIFS(G210:G1496,K210:K1496,"0",B210:B1496,"1 2 4 2 9 12 31111 6 M59*")</f>
        <v>0</v>
      </c>
      <c r="H209" s="83">
        <f t="shared" si="3"/>
        <v>401577.19</v>
      </c>
      <c r="I209" s="83"/>
      <c r="K209" s="54" t="s">
        <v>15</v>
      </c>
    </row>
    <row r="210" spans="2:11" ht="24.75" x14ac:dyDescent="0.2">
      <c r="B210" s="82" t="s">
        <v>1181</v>
      </c>
      <c r="C210" s="82" t="s">
        <v>40</v>
      </c>
      <c r="D210" s="83">
        <f>SUMIFS(D211:D1496,K211:K1496,"0",B211:B1496,"1 2 4 2 9 12 31111 6 M59 00003*")-SUMIFS(E211:E1496,K211:K1496,"0",B211:B1496,"1 2 4 2 9 12 31111 6 M59 00003*")</f>
        <v>401577.19</v>
      </c>
      <c r="E210" s="54"/>
      <c r="F210" s="83">
        <f>SUMIFS(F211:F1496,K211:K1496,"0",B211:B1496,"1 2 4 2 9 12 31111 6 M59 00003*")</f>
        <v>0</v>
      </c>
      <c r="G210" s="83">
        <f>SUMIFS(G211:G1496,K211:K1496,"0",B211:B1496,"1 2 4 2 9 12 31111 6 M59 00003*")</f>
        <v>0</v>
      </c>
      <c r="H210" s="83">
        <f t="shared" si="3"/>
        <v>401577.19</v>
      </c>
      <c r="I210" s="83"/>
      <c r="K210" s="54" t="s">
        <v>15</v>
      </c>
    </row>
    <row r="211" spans="2:11" ht="16.5" x14ac:dyDescent="0.2">
      <c r="B211" s="82" t="s">
        <v>1182</v>
      </c>
      <c r="C211" s="82" t="s">
        <v>42</v>
      </c>
      <c r="D211" s="83">
        <f>SUMIFS(D212:D1496,K212:K1496,"0",B212:B1496,"1 2 4 2 9 12 31111 6 M59 00003 000001*")-SUMIFS(E212:E1496,K212:K1496,"0",B212:B1496,"1 2 4 2 9 12 31111 6 M59 00003 000001*")</f>
        <v>401577.19</v>
      </c>
      <c r="E211" s="54"/>
      <c r="F211" s="83">
        <f>SUMIFS(F212:F1496,K212:K1496,"0",B212:B1496,"1 2 4 2 9 12 31111 6 M59 00003 000001*")</f>
        <v>0</v>
      </c>
      <c r="G211" s="83">
        <f>SUMIFS(G212:G1496,K212:K1496,"0",B212:B1496,"1 2 4 2 9 12 31111 6 M59 00003 000001*")</f>
        <v>0</v>
      </c>
      <c r="H211" s="83">
        <f t="shared" si="3"/>
        <v>401577.19</v>
      </c>
      <c r="I211" s="83"/>
      <c r="K211" s="54" t="s">
        <v>15</v>
      </c>
    </row>
    <row r="212" spans="2:11" ht="16.5" x14ac:dyDescent="0.2">
      <c r="B212" s="84" t="s">
        <v>1183</v>
      </c>
      <c r="C212" s="84" t="s">
        <v>274</v>
      </c>
      <c r="D212" s="85">
        <v>401577.19</v>
      </c>
      <c r="E212" s="85"/>
      <c r="F212" s="85">
        <v>0</v>
      </c>
      <c r="G212" s="85">
        <v>0</v>
      </c>
      <c r="H212" s="85">
        <f t="shared" si="3"/>
        <v>401577.19</v>
      </c>
      <c r="I212" s="85"/>
      <c r="K212" s="54" t="s">
        <v>38</v>
      </c>
    </row>
    <row r="213" spans="2:11" ht="16.5" x14ac:dyDescent="0.2">
      <c r="B213" s="82" t="s">
        <v>1187</v>
      </c>
      <c r="C213" s="82" t="s">
        <v>1188</v>
      </c>
      <c r="D213" s="83">
        <f>SUMIFS(D214:D1496,K214:K1496,"0",B214:B1496,"1 2 4 3*")-SUMIFS(E214:E1496,K214:K1496,"0",B214:B1496,"1 2 4 3*")</f>
        <v>109251</v>
      </c>
      <c r="E213" s="54"/>
      <c r="F213" s="83">
        <f>SUMIFS(F214:F1496,K214:K1496,"0",B214:B1496,"1 2 4 3*")</f>
        <v>0</v>
      </c>
      <c r="G213" s="83">
        <f>SUMIFS(G214:G1496,K214:K1496,"0",B214:B1496,"1 2 4 3*")</f>
        <v>0</v>
      </c>
      <c r="H213" s="83">
        <f t="shared" si="3"/>
        <v>109251</v>
      </c>
      <c r="I213" s="83"/>
      <c r="K213" s="54" t="s">
        <v>15</v>
      </c>
    </row>
    <row r="214" spans="2:11" ht="16.5" x14ac:dyDescent="0.2">
      <c r="B214" s="82" t="s">
        <v>1189</v>
      </c>
      <c r="C214" s="82" t="s">
        <v>1190</v>
      </c>
      <c r="D214" s="83">
        <f>SUMIFS(D215:D1496,K215:K1496,"0",B215:B1496,"1 2 4 3 1*")-SUMIFS(E215:E1496,K215:K1496,"0",B215:B1496,"1 2 4 3 1*")</f>
        <v>13013</v>
      </c>
      <c r="E214" s="54"/>
      <c r="F214" s="83">
        <f>SUMIFS(F215:F1496,K215:K1496,"0",B215:B1496,"1 2 4 3 1*")</f>
        <v>0</v>
      </c>
      <c r="G214" s="83">
        <f>SUMIFS(G215:G1496,K215:K1496,"0",B215:B1496,"1 2 4 3 1*")</f>
        <v>0</v>
      </c>
      <c r="H214" s="83">
        <f t="shared" si="3"/>
        <v>13013</v>
      </c>
      <c r="I214" s="83"/>
      <c r="K214" s="54" t="s">
        <v>15</v>
      </c>
    </row>
    <row r="215" spans="2:11" ht="12.75" x14ac:dyDescent="0.2">
      <c r="B215" s="82" t="s">
        <v>1191</v>
      </c>
      <c r="C215" s="82" t="s">
        <v>26</v>
      </c>
      <c r="D215" s="83">
        <f>SUMIFS(D216:D1496,K216:K1496,"0",B216:B1496,"1 2 4 3 1 12*")-SUMIFS(E216:E1496,K216:K1496,"0",B216:B1496,"1 2 4 3 1 12*")</f>
        <v>13013</v>
      </c>
      <c r="E215" s="54"/>
      <c r="F215" s="83">
        <f>SUMIFS(F216:F1496,K216:K1496,"0",B216:B1496,"1 2 4 3 1 12*")</f>
        <v>0</v>
      </c>
      <c r="G215" s="83">
        <f>SUMIFS(G216:G1496,K216:K1496,"0",B216:B1496,"1 2 4 3 1 12*")</f>
        <v>0</v>
      </c>
      <c r="H215" s="83">
        <f t="shared" si="3"/>
        <v>13013</v>
      </c>
      <c r="I215" s="83"/>
      <c r="K215" s="54" t="s">
        <v>15</v>
      </c>
    </row>
    <row r="216" spans="2:11" ht="16.5" x14ac:dyDescent="0.2">
      <c r="B216" s="82" t="s">
        <v>1192</v>
      </c>
      <c r="C216" s="82" t="s">
        <v>28</v>
      </c>
      <c r="D216" s="83">
        <f>SUMIFS(D217:D1496,K217:K1496,"0",B217:B1496,"1 2 4 3 1 12 31111*")-SUMIFS(E217:E1496,K217:K1496,"0",B217:B1496,"1 2 4 3 1 12 31111*")</f>
        <v>13013</v>
      </c>
      <c r="E216" s="54"/>
      <c r="F216" s="83">
        <f>SUMIFS(F217:F1496,K217:K1496,"0",B217:B1496,"1 2 4 3 1 12 31111*")</f>
        <v>0</v>
      </c>
      <c r="G216" s="83">
        <f>SUMIFS(G217:G1496,K217:K1496,"0",B217:B1496,"1 2 4 3 1 12 31111*")</f>
        <v>0</v>
      </c>
      <c r="H216" s="83">
        <f t="shared" si="3"/>
        <v>13013</v>
      </c>
      <c r="I216" s="83"/>
      <c r="K216" s="54" t="s">
        <v>15</v>
      </c>
    </row>
    <row r="217" spans="2:11" ht="12.75" x14ac:dyDescent="0.2">
      <c r="B217" s="82" t="s">
        <v>1193</v>
      </c>
      <c r="C217" s="82" t="s">
        <v>30</v>
      </c>
      <c r="D217" s="83">
        <f>SUMIFS(D218:D1496,K218:K1496,"0",B218:B1496,"1 2 4 3 1 12 31111 6*")-SUMIFS(E218:E1496,K218:K1496,"0",B218:B1496,"1 2 4 3 1 12 31111 6*")</f>
        <v>13013</v>
      </c>
      <c r="E217" s="54"/>
      <c r="F217" s="83">
        <f>SUMIFS(F218:F1496,K218:K1496,"0",B218:B1496,"1 2 4 3 1 12 31111 6*")</f>
        <v>0</v>
      </c>
      <c r="G217" s="83">
        <f>SUMIFS(G218:G1496,K218:K1496,"0",B218:B1496,"1 2 4 3 1 12 31111 6*")</f>
        <v>0</v>
      </c>
      <c r="H217" s="83">
        <f t="shared" si="3"/>
        <v>13013</v>
      </c>
      <c r="I217" s="83"/>
      <c r="K217" s="54" t="s">
        <v>15</v>
      </c>
    </row>
    <row r="218" spans="2:11" ht="16.5" x14ac:dyDescent="0.2">
      <c r="B218" s="82" t="s">
        <v>1194</v>
      </c>
      <c r="C218" s="82" t="s">
        <v>1990</v>
      </c>
      <c r="D218" s="83">
        <f>SUMIFS(D219:D1496,K219:K1496,"0",B219:B1496,"1 2 4 3 1 12 31111 6 M59*")-SUMIFS(E219:E1496,K219:K1496,"0",B219:B1496,"1 2 4 3 1 12 31111 6 M59*")</f>
        <v>13013</v>
      </c>
      <c r="E218" s="54"/>
      <c r="F218" s="83">
        <f>SUMIFS(F219:F1496,K219:K1496,"0",B219:B1496,"1 2 4 3 1 12 31111 6 M59*")</f>
        <v>0</v>
      </c>
      <c r="G218" s="83">
        <f>SUMIFS(G219:G1496,K219:K1496,"0",B219:B1496,"1 2 4 3 1 12 31111 6 M59*")</f>
        <v>0</v>
      </c>
      <c r="H218" s="83">
        <f t="shared" si="3"/>
        <v>13013</v>
      </c>
      <c r="I218" s="83"/>
      <c r="K218" s="54" t="s">
        <v>15</v>
      </c>
    </row>
    <row r="219" spans="2:11" ht="24.75" x14ac:dyDescent="0.2">
      <c r="B219" s="82" t="s">
        <v>1198</v>
      </c>
      <c r="C219" s="82" t="s">
        <v>40</v>
      </c>
      <c r="D219" s="83">
        <f>SUMIFS(D220:D1496,K220:K1496,"0",B220:B1496,"1 2 4 3 1 12 31111 6 M59 00003*")-SUMIFS(E220:E1496,K220:K1496,"0",B220:B1496,"1 2 4 3 1 12 31111 6 M59 00003*")</f>
        <v>13013</v>
      </c>
      <c r="E219" s="54"/>
      <c r="F219" s="83">
        <f>SUMIFS(F220:F1496,K220:K1496,"0",B220:B1496,"1 2 4 3 1 12 31111 6 M59 00003*")</f>
        <v>0</v>
      </c>
      <c r="G219" s="83">
        <f>SUMIFS(G220:G1496,K220:K1496,"0",B220:B1496,"1 2 4 3 1 12 31111 6 M59 00003*")</f>
        <v>0</v>
      </c>
      <c r="H219" s="83">
        <f t="shared" si="3"/>
        <v>13013</v>
      </c>
      <c r="I219" s="83"/>
      <c r="K219" s="54" t="s">
        <v>15</v>
      </c>
    </row>
    <row r="220" spans="2:11" ht="16.5" x14ac:dyDescent="0.2">
      <c r="B220" s="82" t="s">
        <v>1199</v>
      </c>
      <c r="C220" s="82" t="s">
        <v>42</v>
      </c>
      <c r="D220" s="83">
        <f>SUMIFS(D221:D1496,K221:K1496,"0",B221:B1496,"1 2 4 3 1 12 31111 6 M59 00003 000001*")-SUMIFS(E221:E1496,K221:K1496,"0",B221:B1496,"1 2 4 3 1 12 31111 6 M59 00003 000001*")</f>
        <v>13013</v>
      </c>
      <c r="E220" s="54"/>
      <c r="F220" s="83">
        <f>SUMIFS(F221:F1496,K221:K1496,"0",B221:B1496,"1 2 4 3 1 12 31111 6 M59 00003 000001*")</f>
        <v>0</v>
      </c>
      <c r="G220" s="83">
        <f>SUMIFS(G221:G1496,K221:K1496,"0",B221:B1496,"1 2 4 3 1 12 31111 6 M59 00003 000001*")</f>
        <v>0</v>
      </c>
      <c r="H220" s="83">
        <f t="shared" si="3"/>
        <v>13013</v>
      </c>
      <c r="I220" s="83"/>
      <c r="K220" s="54" t="s">
        <v>15</v>
      </c>
    </row>
    <row r="221" spans="2:11" ht="16.5" x14ac:dyDescent="0.2">
      <c r="B221" s="84" t="s">
        <v>1200</v>
      </c>
      <c r="C221" s="84" t="s">
        <v>274</v>
      </c>
      <c r="D221" s="85">
        <v>13013</v>
      </c>
      <c r="E221" s="85"/>
      <c r="F221" s="85">
        <v>0</v>
      </c>
      <c r="G221" s="85">
        <v>0</v>
      </c>
      <c r="H221" s="85">
        <f t="shared" si="3"/>
        <v>13013</v>
      </c>
      <c r="I221" s="85"/>
      <c r="K221" s="54" t="s">
        <v>38</v>
      </c>
    </row>
    <row r="222" spans="2:11" ht="16.5" x14ac:dyDescent="0.2">
      <c r="B222" s="82" t="s">
        <v>1201</v>
      </c>
      <c r="C222" s="82" t="s">
        <v>1202</v>
      </c>
      <c r="D222" s="83">
        <f>SUMIFS(D223:D1496,K223:K1496,"0",B223:B1496,"1 2 4 3 2*")-SUMIFS(E223:E1496,K223:K1496,"0",B223:B1496,"1 2 4 3 2*")</f>
        <v>96238</v>
      </c>
      <c r="E222" s="54"/>
      <c r="F222" s="83">
        <f>SUMIFS(F223:F1496,K223:K1496,"0",B223:B1496,"1 2 4 3 2*")</f>
        <v>0</v>
      </c>
      <c r="G222" s="83">
        <f>SUMIFS(G223:G1496,K223:K1496,"0",B223:B1496,"1 2 4 3 2*")</f>
        <v>0</v>
      </c>
      <c r="H222" s="83">
        <f t="shared" si="3"/>
        <v>96238</v>
      </c>
      <c r="I222" s="83"/>
      <c r="K222" s="54" t="s">
        <v>15</v>
      </c>
    </row>
    <row r="223" spans="2:11" ht="12.75" x14ac:dyDescent="0.2">
      <c r="B223" s="82" t="s">
        <v>1203</v>
      </c>
      <c r="C223" s="82" t="s">
        <v>26</v>
      </c>
      <c r="D223" s="83">
        <f>SUMIFS(D224:D1496,K224:K1496,"0",B224:B1496,"1 2 4 3 2 12*")-SUMIFS(E224:E1496,K224:K1496,"0",B224:B1496,"1 2 4 3 2 12*")</f>
        <v>96238</v>
      </c>
      <c r="E223" s="54"/>
      <c r="F223" s="83">
        <f>SUMIFS(F224:F1496,K224:K1496,"0",B224:B1496,"1 2 4 3 2 12*")</f>
        <v>0</v>
      </c>
      <c r="G223" s="83">
        <f>SUMIFS(G224:G1496,K224:K1496,"0",B224:B1496,"1 2 4 3 2 12*")</f>
        <v>0</v>
      </c>
      <c r="H223" s="83">
        <f t="shared" si="3"/>
        <v>96238</v>
      </c>
      <c r="I223" s="83"/>
      <c r="K223" s="54" t="s">
        <v>15</v>
      </c>
    </row>
    <row r="224" spans="2:11" ht="16.5" x14ac:dyDescent="0.2">
      <c r="B224" s="82" t="s">
        <v>1204</v>
      </c>
      <c r="C224" s="82" t="s">
        <v>28</v>
      </c>
      <c r="D224" s="83">
        <f>SUMIFS(D225:D1496,K225:K1496,"0",B225:B1496,"1 2 4 3 2 12 31111*")-SUMIFS(E225:E1496,K225:K1496,"0",B225:B1496,"1 2 4 3 2 12 31111*")</f>
        <v>96238</v>
      </c>
      <c r="E224" s="54"/>
      <c r="F224" s="83">
        <f>SUMIFS(F225:F1496,K225:K1496,"0",B225:B1496,"1 2 4 3 2 12 31111*")</f>
        <v>0</v>
      </c>
      <c r="G224" s="83">
        <f>SUMIFS(G225:G1496,K225:K1496,"0",B225:B1496,"1 2 4 3 2 12 31111*")</f>
        <v>0</v>
      </c>
      <c r="H224" s="83">
        <f t="shared" si="3"/>
        <v>96238</v>
      </c>
      <c r="I224" s="83"/>
      <c r="K224" s="54" t="s">
        <v>15</v>
      </c>
    </row>
    <row r="225" spans="2:11" ht="12.75" x14ac:dyDescent="0.2">
      <c r="B225" s="82" t="s">
        <v>1205</v>
      </c>
      <c r="C225" s="82" t="s">
        <v>30</v>
      </c>
      <c r="D225" s="83">
        <f>SUMIFS(D226:D1496,K226:K1496,"0",B226:B1496,"1 2 4 3 2 12 31111 6*")-SUMIFS(E226:E1496,K226:K1496,"0",B226:B1496,"1 2 4 3 2 12 31111 6*")</f>
        <v>96238</v>
      </c>
      <c r="E225" s="54"/>
      <c r="F225" s="83">
        <f>SUMIFS(F226:F1496,K226:K1496,"0",B226:B1496,"1 2 4 3 2 12 31111 6*")</f>
        <v>0</v>
      </c>
      <c r="G225" s="83">
        <f>SUMIFS(G226:G1496,K226:K1496,"0",B226:B1496,"1 2 4 3 2 12 31111 6*")</f>
        <v>0</v>
      </c>
      <c r="H225" s="83">
        <f t="shared" si="3"/>
        <v>96238</v>
      </c>
      <c r="I225" s="83"/>
      <c r="K225" s="54" t="s">
        <v>15</v>
      </c>
    </row>
    <row r="226" spans="2:11" ht="16.5" x14ac:dyDescent="0.2">
      <c r="B226" s="82" t="s">
        <v>1206</v>
      </c>
      <c r="C226" s="82" t="s">
        <v>1990</v>
      </c>
      <c r="D226" s="83">
        <f>SUMIFS(D227:D1496,K227:K1496,"0",B227:B1496,"1 2 4 3 2 12 31111 6 M59*")-SUMIFS(E227:E1496,K227:K1496,"0",B227:B1496,"1 2 4 3 2 12 31111 6 M59*")</f>
        <v>96238</v>
      </c>
      <c r="E226" s="54"/>
      <c r="F226" s="83">
        <f>SUMIFS(F227:F1496,K227:K1496,"0",B227:B1496,"1 2 4 3 2 12 31111 6 M59*")</f>
        <v>0</v>
      </c>
      <c r="G226" s="83">
        <f>SUMIFS(G227:G1496,K227:K1496,"0",B227:B1496,"1 2 4 3 2 12 31111 6 M59*")</f>
        <v>0</v>
      </c>
      <c r="H226" s="83">
        <f t="shared" si="3"/>
        <v>96238</v>
      </c>
      <c r="I226" s="83"/>
      <c r="K226" s="54" t="s">
        <v>15</v>
      </c>
    </row>
    <row r="227" spans="2:11" ht="24.75" x14ac:dyDescent="0.2">
      <c r="B227" s="82" t="s">
        <v>1210</v>
      </c>
      <c r="C227" s="82" t="s">
        <v>40</v>
      </c>
      <c r="D227" s="83">
        <f>SUMIFS(D228:D1496,K228:K1496,"0",B228:B1496,"1 2 4 3 2 12 31111 6 M59 00003*")-SUMIFS(E228:E1496,K228:K1496,"0",B228:B1496,"1 2 4 3 2 12 31111 6 M59 00003*")</f>
        <v>96238</v>
      </c>
      <c r="E227" s="54"/>
      <c r="F227" s="83">
        <f>SUMIFS(F228:F1496,K228:K1496,"0",B228:B1496,"1 2 4 3 2 12 31111 6 M59 00003*")</f>
        <v>0</v>
      </c>
      <c r="G227" s="83">
        <f>SUMIFS(G228:G1496,K228:K1496,"0",B228:B1496,"1 2 4 3 2 12 31111 6 M59 00003*")</f>
        <v>0</v>
      </c>
      <c r="H227" s="83">
        <f t="shared" si="3"/>
        <v>96238</v>
      </c>
      <c r="I227" s="83"/>
      <c r="K227" s="54" t="s">
        <v>15</v>
      </c>
    </row>
    <row r="228" spans="2:11" ht="16.5" x14ac:dyDescent="0.2">
      <c r="B228" s="82" t="s">
        <v>1211</v>
      </c>
      <c r="C228" s="82" t="s">
        <v>42</v>
      </c>
      <c r="D228" s="83">
        <f>SUMIFS(D229:D1496,K229:K1496,"0",B229:B1496,"1 2 4 3 2 12 31111 6 M59 00003 000001*")-SUMIFS(E229:E1496,K229:K1496,"0",B229:B1496,"1 2 4 3 2 12 31111 6 M59 00003 000001*")</f>
        <v>96238</v>
      </c>
      <c r="E228" s="54"/>
      <c r="F228" s="83">
        <f>SUMIFS(F229:F1496,K229:K1496,"0",B229:B1496,"1 2 4 3 2 12 31111 6 M59 00003 000001*")</f>
        <v>0</v>
      </c>
      <c r="G228" s="83">
        <f>SUMIFS(G229:G1496,K229:K1496,"0",B229:B1496,"1 2 4 3 2 12 31111 6 M59 00003 000001*")</f>
        <v>0</v>
      </c>
      <c r="H228" s="83">
        <f t="shared" si="3"/>
        <v>96238</v>
      </c>
      <c r="I228" s="83"/>
      <c r="K228" s="54" t="s">
        <v>15</v>
      </c>
    </row>
    <row r="229" spans="2:11" ht="16.5" x14ac:dyDescent="0.2">
      <c r="B229" s="84" t="s">
        <v>1212</v>
      </c>
      <c r="C229" s="84" t="s">
        <v>274</v>
      </c>
      <c r="D229" s="85">
        <v>96238</v>
      </c>
      <c r="E229" s="85"/>
      <c r="F229" s="85">
        <v>0</v>
      </c>
      <c r="G229" s="85">
        <v>0</v>
      </c>
      <c r="H229" s="85">
        <f t="shared" si="3"/>
        <v>96238</v>
      </c>
      <c r="I229" s="85"/>
      <c r="K229" s="54" t="s">
        <v>38</v>
      </c>
    </row>
    <row r="230" spans="2:11" ht="16.5" x14ac:dyDescent="0.2">
      <c r="B230" s="82" t="s">
        <v>1213</v>
      </c>
      <c r="C230" s="82" t="s">
        <v>1214</v>
      </c>
      <c r="D230" s="83">
        <f>SUMIFS(D231:D1496,K231:K1496,"0",B231:B1496,"1 2 4 4*")-SUMIFS(E231:E1496,K231:K1496,"0",B231:B1496,"1 2 4 4*")</f>
        <v>7045034</v>
      </c>
      <c r="E230" s="54"/>
      <c r="F230" s="83">
        <f>SUMIFS(F231:F1496,K231:K1496,"0",B231:B1496,"1 2 4 4*")</f>
        <v>7374960</v>
      </c>
      <c r="G230" s="83">
        <f>SUMIFS(G231:G1496,K231:K1496,"0",B231:B1496,"1 2 4 4*")</f>
        <v>0</v>
      </c>
      <c r="H230" s="83">
        <f t="shared" si="3"/>
        <v>14419994</v>
      </c>
      <c r="I230" s="83"/>
      <c r="K230" s="54" t="s">
        <v>15</v>
      </c>
    </row>
    <row r="231" spans="2:11" ht="16.5" x14ac:dyDescent="0.2">
      <c r="B231" s="82" t="s">
        <v>1215</v>
      </c>
      <c r="C231" s="82" t="s">
        <v>1216</v>
      </c>
      <c r="D231" s="83">
        <f>SUMIFS(D232:D1496,K232:K1496,"0",B232:B1496,"1 2 4 4 1*")-SUMIFS(E232:E1496,K232:K1496,"0",B232:B1496,"1 2 4 4 1*")</f>
        <v>7045034</v>
      </c>
      <c r="E231" s="54"/>
      <c r="F231" s="83">
        <f>SUMIFS(F232:F1496,K232:K1496,"0",B232:B1496,"1 2 4 4 1*")</f>
        <v>7374960</v>
      </c>
      <c r="G231" s="83">
        <f>SUMIFS(G232:G1496,K232:K1496,"0",B232:B1496,"1 2 4 4 1*")</f>
        <v>0</v>
      </c>
      <c r="H231" s="83">
        <f t="shared" si="3"/>
        <v>14419994</v>
      </c>
      <c r="I231" s="83"/>
      <c r="K231" s="54" t="s">
        <v>15</v>
      </c>
    </row>
    <row r="232" spans="2:11" ht="12.75" x14ac:dyDescent="0.2">
      <c r="B232" s="82" t="s">
        <v>1217</v>
      </c>
      <c r="C232" s="82" t="s">
        <v>26</v>
      </c>
      <c r="D232" s="83">
        <f>SUMIFS(D233:D1496,K233:K1496,"0",B233:B1496,"1 2 4 4 1 12*")-SUMIFS(E233:E1496,K233:K1496,"0",B233:B1496,"1 2 4 4 1 12*")</f>
        <v>7045034</v>
      </c>
      <c r="E232" s="54"/>
      <c r="F232" s="83">
        <f>SUMIFS(F233:F1496,K233:K1496,"0",B233:B1496,"1 2 4 4 1 12*")</f>
        <v>7374960</v>
      </c>
      <c r="G232" s="83">
        <f>SUMIFS(G233:G1496,K233:K1496,"0",B233:B1496,"1 2 4 4 1 12*")</f>
        <v>0</v>
      </c>
      <c r="H232" s="83">
        <f t="shared" si="3"/>
        <v>14419994</v>
      </c>
      <c r="I232" s="83"/>
      <c r="K232" s="54" t="s">
        <v>15</v>
      </c>
    </row>
    <row r="233" spans="2:11" ht="16.5" x14ac:dyDescent="0.2">
      <c r="B233" s="82" t="s">
        <v>1218</v>
      </c>
      <c r="C233" s="82" t="s">
        <v>28</v>
      </c>
      <c r="D233" s="83">
        <f>SUMIFS(D234:D1496,K234:K1496,"0",B234:B1496,"1 2 4 4 1 12 31111*")-SUMIFS(E234:E1496,K234:K1496,"0",B234:B1496,"1 2 4 4 1 12 31111*")</f>
        <v>7045034</v>
      </c>
      <c r="E233" s="54"/>
      <c r="F233" s="83">
        <f>SUMIFS(F234:F1496,K234:K1496,"0",B234:B1496,"1 2 4 4 1 12 31111*")</f>
        <v>7374960</v>
      </c>
      <c r="G233" s="83">
        <f>SUMIFS(G234:G1496,K234:K1496,"0",B234:B1496,"1 2 4 4 1 12 31111*")</f>
        <v>0</v>
      </c>
      <c r="H233" s="83">
        <f t="shared" si="3"/>
        <v>14419994</v>
      </c>
      <c r="I233" s="83"/>
      <c r="K233" s="54" t="s">
        <v>15</v>
      </c>
    </row>
    <row r="234" spans="2:11" ht="12.75" x14ac:dyDescent="0.2">
      <c r="B234" s="82" t="s">
        <v>1219</v>
      </c>
      <c r="C234" s="82" t="s">
        <v>30</v>
      </c>
      <c r="D234" s="83">
        <f>SUMIFS(D235:D1496,K235:K1496,"0",B235:B1496,"1 2 4 4 1 12 31111 6*")-SUMIFS(E235:E1496,K235:K1496,"0",B235:B1496,"1 2 4 4 1 12 31111 6*")</f>
        <v>7045034</v>
      </c>
      <c r="E234" s="54"/>
      <c r="F234" s="83">
        <f>SUMIFS(F235:F1496,K235:K1496,"0",B235:B1496,"1 2 4 4 1 12 31111 6*")</f>
        <v>7374960</v>
      </c>
      <c r="G234" s="83">
        <f>SUMIFS(G235:G1496,K235:K1496,"0",B235:B1496,"1 2 4 4 1 12 31111 6*")</f>
        <v>0</v>
      </c>
      <c r="H234" s="83">
        <f t="shared" si="3"/>
        <v>14419994</v>
      </c>
      <c r="I234" s="83"/>
      <c r="K234" s="54" t="s">
        <v>15</v>
      </c>
    </row>
    <row r="235" spans="2:11" ht="16.5" x14ac:dyDescent="0.2">
      <c r="B235" s="82" t="s">
        <v>1220</v>
      </c>
      <c r="C235" s="82" t="s">
        <v>32</v>
      </c>
      <c r="D235" s="83">
        <f>SUMIFS(D236:D1496,K236:K1496,"0",B236:B1496,"1 2 4 4 1 12 31111 6 M59*")-SUMIFS(E236:E1496,K236:K1496,"0",B236:B1496,"1 2 4 4 1 12 31111 6 M59*")</f>
        <v>7045034</v>
      </c>
      <c r="E235" s="54"/>
      <c r="F235" s="83">
        <f>SUMIFS(F236:F1496,K236:K1496,"0",B236:B1496,"1 2 4 4 1 12 31111 6 M59*")</f>
        <v>7374960</v>
      </c>
      <c r="G235" s="83">
        <f>SUMIFS(G236:G1496,K236:K1496,"0",B236:B1496,"1 2 4 4 1 12 31111 6 M59*")</f>
        <v>0</v>
      </c>
      <c r="H235" s="83">
        <f t="shared" si="3"/>
        <v>14419994</v>
      </c>
      <c r="I235" s="83"/>
      <c r="K235" s="54" t="s">
        <v>15</v>
      </c>
    </row>
    <row r="236" spans="2:11" ht="24.75" x14ac:dyDescent="0.2">
      <c r="B236" s="82" t="s">
        <v>1230</v>
      </c>
      <c r="C236" s="82" t="s">
        <v>40</v>
      </c>
      <c r="D236" s="83">
        <f>SUMIFS(D237:D1496,K237:K1496,"0",B237:B1496,"1 2 4 4 1 12 31111 6 M59 00003*")-SUMIFS(E237:E1496,K237:K1496,"0",B237:B1496,"1 2 4 4 1 12 31111 6 M59 00003*")</f>
        <v>7045034</v>
      </c>
      <c r="E236" s="54"/>
      <c r="F236" s="83">
        <f>SUMIFS(F237:F1496,K237:K1496,"0",B237:B1496,"1 2 4 4 1 12 31111 6 M59 00003*")</f>
        <v>0</v>
      </c>
      <c r="G236" s="83">
        <f>SUMIFS(G237:G1496,K237:K1496,"0",B237:B1496,"1 2 4 4 1 12 31111 6 M59 00003*")</f>
        <v>0</v>
      </c>
      <c r="H236" s="83">
        <f t="shared" si="3"/>
        <v>7045034</v>
      </c>
      <c r="I236" s="83"/>
      <c r="K236" s="54" t="s">
        <v>15</v>
      </c>
    </row>
    <row r="237" spans="2:11" ht="16.5" x14ac:dyDescent="0.2">
      <c r="B237" s="82" t="s">
        <v>1231</v>
      </c>
      <c r="C237" s="82" t="s">
        <v>42</v>
      </c>
      <c r="D237" s="83">
        <f>SUMIFS(D238:D1496,K238:K1496,"0",B238:B1496,"1 2 4 4 1 12 31111 6 M59 00003 000001*")-SUMIFS(E238:E1496,K238:K1496,"0",B238:B1496,"1 2 4 4 1 12 31111 6 M59 00003 000001*")</f>
        <v>7045034</v>
      </c>
      <c r="E237" s="54"/>
      <c r="F237" s="83">
        <f>SUMIFS(F238:F1496,K238:K1496,"0",B238:B1496,"1 2 4 4 1 12 31111 6 M59 00003 000001*")</f>
        <v>0</v>
      </c>
      <c r="G237" s="83">
        <f>SUMIFS(G238:G1496,K238:K1496,"0",B238:B1496,"1 2 4 4 1 12 31111 6 M59 00003 000001*")</f>
        <v>0</v>
      </c>
      <c r="H237" s="83">
        <f t="shared" si="3"/>
        <v>7045034</v>
      </c>
      <c r="I237" s="83"/>
      <c r="K237" s="54" t="s">
        <v>15</v>
      </c>
    </row>
    <row r="238" spans="2:11" ht="16.5" x14ac:dyDescent="0.2">
      <c r="B238" s="84" t="s">
        <v>1232</v>
      </c>
      <c r="C238" s="84" t="s">
        <v>434</v>
      </c>
      <c r="D238" s="85">
        <v>4467434</v>
      </c>
      <c r="E238" s="85"/>
      <c r="F238" s="85">
        <v>0</v>
      </c>
      <c r="G238" s="85">
        <v>0</v>
      </c>
      <c r="H238" s="85">
        <f t="shared" si="3"/>
        <v>4467434</v>
      </c>
      <c r="I238" s="85"/>
      <c r="K238" s="54" t="s">
        <v>38</v>
      </c>
    </row>
    <row r="239" spans="2:11" ht="16.5" x14ac:dyDescent="0.2">
      <c r="B239" s="84" t="s">
        <v>1233</v>
      </c>
      <c r="C239" s="84" t="s">
        <v>1234</v>
      </c>
      <c r="D239" s="85">
        <v>1765600</v>
      </c>
      <c r="E239" s="85"/>
      <c r="F239" s="85">
        <v>0</v>
      </c>
      <c r="G239" s="85">
        <v>0</v>
      </c>
      <c r="H239" s="85">
        <f t="shared" si="3"/>
        <v>1765600</v>
      </c>
      <c r="I239" s="85"/>
      <c r="K239" s="54" t="s">
        <v>38</v>
      </c>
    </row>
    <row r="240" spans="2:11" ht="16.5" x14ac:dyDescent="0.2">
      <c r="B240" s="84" t="s">
        <v>1235</v>
      </c>
      <c r="C240" s="84" t="s">
        <v>1236</v>
      </c>
      <c r="D240" s="85">
        <v>200000</v>
      </c>
      <c r="E240" s="85"/>
      <c r="F240" s="85">
        <v>0</v>
      </c>
      <c r="G240" s="85">
        <v>0</v>
      </c>
      <c r="H240" s="85">
        <f t="shared" si="3"/>
        <v>200000</v>
      </c>
      <c r="I240" s="85"/>
      <c r="K240" s="54" t="s">
        <v>38</v>
      </c>
    </row>
    <row r="241" spans="2:11" ht="16.5" x14ac:dyDescent="0.2">
      <c r="B241" s="84" t="s">
        <v>1237</v>
      </c>
      <c r="C241" s="84" t="s">
        <v>274</v>
      </c>
      <c r="D241" s="85">
        <v>612000</v>
      </c>
      <c r="E241" s="85"/>
      <c r="F241" s="85">
        <v>0</v>
      </c>
      <c r="G241" s="85">
        <v>0</v>
      </c>
      <c r="H241" s="85">
        <f t="shared" si="3"/>
        <v>612000</v>
      </c>
      <c r="I241" s="85"/>
      <c r="K241" s="54" t="s">
        <v>38</v>
      </c>
    </row>
    <row r="242" spans="2:11" ht="16.5" x14ac:dyDescent="0.2">
      <c r="B242" s="82" t="s">
        <v>1256</v>
      </c>
      <c r="C242" s="82" t="s">
        <v>1092</v>
      </c>
      <c r="D242" s="83">
        <f>SUMIFS(D243:D1496,K243:K1496,"0",B243:B1496,"1 2 4 4 1 12 31111 6 M59 40000*")-SUMIFS(E243:E1496,K243:K1496,"0",B243:B1496,"1 2 4 4 1 12 31111 6 M59 40000*")</f>
        <v>0</v>
      </c>
      <c r="E242" s="54"/>
      <c r="F242" s="83">
        <f>SUMIFS(F243:F1496,K243:K1496,"0",B243:B1496,"1 2 4 4 1 12 31111 6 M59 40000*")</f>
        <v>7374960</v>
      </c>
      <c r="G242" s="83">
        <f>SUMIFS(G243:G1496,K243:K1496,"0",B243:B1496,"1 2 4 4 1 12 31111 6 M59 40000*")</f>
        <v>0</v>
      </c>
      <c r="H242" s="83">
        <f t="shared" si="3"/>
        <v>7374960</v>
      </c>
      <c r="I242" s="83"/>
      <c r="K242" s="54" t="s">
        <v>15</v>
      </c>
    </row>
    <row r="243" spans="2:11" ht="16.5" x14ac:dyDescent="0.2">
      <c r="B243" s="82" t="s">
        <v>1257</v>
      </c>
      <c r="C243" s="82" t="s">
        <v>1094</v>
      </c>
      <c r="D243" s="83">
        <f>SUMIFS(D244:D1496,K244:K1496,"0",B244:B1496,"1 2 4 4 1 12 31111 6 M59 40000 000161*")-SUMIFS(E244:E1496,K244:K1496,"0",B244:B1496,"1 2 4 4 1 12 31111 6 M59 40000 000161*")</f>
        <v>0</v>
      </c>
      <c r="E243" s="54"/>
      <c r="F243" s="83">
        <f>SUMIFS(F244:F1496,K244:K1496,"0",B244:B1496,"1 2 4 4 1 12 31111 6 M59 40000 000161*")</f>
        <v>7374960</v>
      </c>
      <c r="G243" s="83">
        <f>SUMIFS(G244:G1496,K244:K1496,"0",B244:B1496,"1 2 4 4 1 12 31111 6 M59 40000 000161*")</f>
        <v>0</v>
      </c>
      <c r="H243" s="83">
        <f t="shared" si="3"/>
        <v>7374960</v>
      </c>
      <c r="I243" s="83"/>
      <c r="K243" s="54" t="s">
        <v>15</v>
      </c>
    </row>
    <row r="244" spans="2:11" ht="24.75" x14ac:dyDescent="0.2">
      <c r="B244" s="82" t="s">
        <v>1258</v>
      </c>
      <c r="C244" s="82" t="s">
        <v>1065</v>
      </c>
      <c r="D244" s="83">
        <f>SUMIFS(D245:D1496,K245:K1496,"0",B245:B1496,"1 2 4 4 1 12 31111 6 M59 40000 000161 0000E*")-SUMIFS(E245:E1496,K245:K1496,"0",B245:B1496,"1 2 4 4 1 12 31111 6 M59 40000 000161 0000E*")</f>
        <v>0</v>
      </c>
      <c r="E244" s="54"/>
      <c r="F244" s="83">
        <f>SUMIFS(F245:F1496,K245:K1496,"0",B245:B1496,"1 2 4 4 1 12 31111 6 M59 40000 000161 0000E*")</f>
        <v>7374960</v>
      </c>
      <c r="G244" s="83">
        <f>SUMIFS(G245:G1496,K245:K1496,"0",B245:B1496,"1 2 4 4 1 12 31111 6 M59 40000 000161 0000E*")</f>
        <v>0</v>
      </c>
      <c r="H244" s="83">
        <f t="shared" si="3"/>
        <v>7374960</v>
      </c>
      <c r="I244" s="83"/>
      <c r="K244" s="54" t="s">
        <v>15</v>
      </c>
    </row>
    <row r="245" spans="2:11" ht="24.75" x14ac:dyDescent="0.2">
      <c r="B245" s="82" t="s">
        <v>1259</v>
      </c>
      <c r="C245" s="82" t="s">
        <v>652</v>
      </c>
      <c r="D245" s="83">
        <f>SUMIFS(D246:D1496,K246:K1496,"0",B246:B1496,"1 2 4 4 1 12 31111 6 M59 40000 000161 0000E 00002*")-SUMIFS(E246:E1496,K246:K1496,"0",B246:B1496,"1 2 4 4 1 12 31111 6 M59 40000 000161 0000E 00002*")</f>
        <v>0</v>
      </c>
      <c r="E245" s="54"/>
      <c r="F245" s="83">
        <f>SUMIFS(F246:F1496,K246:K1496,"0",B246:B1496,"1 2 4 4 1 12 31111 6 M59 40000 000161 0000E 00002*")</f>
        <v>7374960</v>
      </c>
      <c r="G245" s="83">
        <f>SUMIFS(G246:G1496,K246:K1496,"0",B246:B1496,"1 2 4 4 1 12 31111 6 M59 40000 000161 0000E 00002*")</f>
        <v>0</v>
      </c>
      <c r="H245" s="83">
        <f t="shared" si="3"/>
        <v>7374960</v>
      </c>
      <c r="I245" s="83"/>
      <c r="K245" s="54" t="s">
        <v>15</v>
      </c>
    </row>
    <row r="246" spans="2:11" ht="24.75" x14ac:dyDescent="0.2">
      <c r="B246" s="82" t="s">
        <v>1260</v>
      </c>
      <c r="C246" s="82" t="s">
        <v>1248</v>
      </c>
      <c r="D246" s="83">
        <f>SUMIFS(D247:D1496,K247:K1496,"0",B247:B1496,"1 2 4 4 1 12 31111 6 M59 40000 000161 0000E 00002 00541*")-SUMIFS(E247:E1496,K247:K1496,"0",B247:B1496,"1 2 4 4 1 12 31111 6 M59 40000 000161 0000E 00002 00541*")</f>
        <v>0</v>
      </c>
      <c r="E246" s="54"/>
      <c r="F246" s="83">
        <f>SUMIFS(F247:F1496,K247:K1496,"0",B247:B1496,"1 2 4 4 1 12 31111 6 M59 40000 000161 0000E 00002 00541*")</f>
        <v>7374960</v>
      </c>
      <c r="G246" s="83">
        <f>SUMIFS(G247:G1496,K247:K1496,"0",B247:B1496,"1 2 4 4 1 12 31111 6 M59 40000 000161 0000E 00002 00541*")</f>
        <v>0</v>
      </c>
      <c r="H246" s="83">
        <f t="shared" si="3"/>
        <v>7374960</v>
      </c>
      <c r="I246" s="83"/>
      <c r="K246" s="54" t="s">
        <v>15</v>
      </c>
    </row>
    <row r="247" spans="2:11" ht="33" x14ac:dyDescent="0.2">
      <c r="B247" s="82" t="s">
        <v>1261</v>
      </c>
      <c r="C247" s="82" t="s">
        <v>656</v>
      </c>
      <c r="D247" s="83">
        <f>SUMIFS(D248:D1496,K248:K1496,"0",B248:B1496,"1 2 4 4 1 12 31111 6 M59 40000 000161 0000E 00002 00541 025*")-SUMIFS(E248:E1496,K248:K1496,"0",B248:B1496,"1 2 4 4 1 12 31111 6 M59 40000 000161 0000E 00002 00541 025*")</f>
        <v>0</v>
      </c>
      <c r="E247" s="54"/>
      <c r="F247" s="83">
        <f>SUMIFS(F248:F1496,K248:K1496,"0",B248:B1496,"1 2 4 4 1 12 31111 6 M59 40000 000161 0000E 00002 00541 025*")</f>
        <v>7374960</v>
      </c>
      <c r="G247" s="83">
        <f>SUMIFS(G248:G1496,K248:K1496,"0",B248:B1496,"1 2 4 4 1 12 31111 6 M59 40000 000161 0000E 00002 00541 025*")</f>
        <v>0</v>
      </c>
      <c r="H247" s="83">
        <f t="shared" si="3"/>
        <v>7374960</v>
      </c>
      <c r="I247" s="83"/>
      <c r="K247" s="54" t="s">
        <v>15</v>
      </c>
    </row>
    <row r="248" spans="2:11" ht="33" x14ac:dyDescent="0.2">
      <c r="B248" s="82" t="s">
        <v>1262</v>
      </c>
      <c r="C248" s="82" t="s">
        <v>1251</v>
      </c>
      <c r="D248" s="83">
        <f>SUMIFS(D249:D1496,K249:K1496,"0",B249:B1496,"1 2 4 4 1 12 31111 6 M59 40000 000161 0000E 00002 00541 025 2222100*")-SUMIFS(E249:E1496,K249:K1496,"0",B249:B1496,"1 2 4 4 1 12 31111 6 M59 40000 000161 0000E 00002 00541 025 2222100*")</f>
        <v>0</v>
      </c>
      <c r="E248" s="54"/>
      <c r="F248" s="83">
        <f>SUMIFS(F249:F1496,K249:K1496,"0",B249:B1496,"1 2 4 4 1 12 31111 6 M59 40000 000161 0000E 00002 00541 025 2222100*")</f>
        <v>7374960</v>
      </c>
      <c r="G248" s="83">
        <f>SUMIFS(G249:G1496,K249:K1496,"0",B249:B1496,"1 2 4 4 1 12 31111 6 M59 40000 000161 0000E 00002 00541 025 2222100*")</f>
        <v>0</v>
      </c>
      <c r="H248" s="83">
        <f t="shared" si="3"/>
        <v>7374960</v>
      </c>
      <c r="I248" s="83"/>
      <c r="K248" s="54" t="s">
        <v>15</v>
      </c>
    </row>
    <row r="249" spans="2:11" ht="33" x14ac:dyDescent="0.2">
      <c r="B249" s="82" t="s">
        <v>1263</v>
      </c>
      <c r="C249" s="82" t="s">
        <v>660</v>
      </c>
      <c r="D249" s="83">
        <f>SUMIFS(D250:D1496,K250:K1496,"0",B250:B1496,"1 2 4 4 1 12 31111 6 M59 40000 000161 0000E 00002 00541 025 2222100 2024*")-SUMIFS(E250:E1496,K250:K1496,"0",B250:B1496,"1 2 4 4 1 12 31111 6 M59 40000 000161 0000E 00002 00541 025 2222100 2024*")</f>
        <v>0</v>
      </c>
      <c r="E249" s="54"/>
      <c r="F249" s="83">
        <f>SUMIFS(F250:F1496,K250:K1496,"0",B250:B1496,"1 2 4 4 1 12 31111 6 M59 40000 000161 0000E 00002 00541 025 2222100 2024*")</f>
        <v>7374960</v>
      </c>
      <c r="G249" s="83">
        <f>SUMIFS(G250:G1496,K250:K1496,"0",B250:B1496,"1 2 4 4 1 12 31111 6 M59 40000 000161 0000E 00002 00541 025 2222100 2024*")</f>
        <v>0</v>
      </c>
      <c r="H249" s="83">
        <f t="shared" si="3"/>
        <v>7374960</v>
      </c>
      <c r="I249" s="83"/>
      <c r="K249" s="54" t="s">
        <v>15</v>
      </c>
    </row>
    <row r="250" spans="2:11" ht="41.25" x14ac:dyDescent="0.2">
      <c r="B250" s="82" t="s">
        <v>1264</v>
      </c>
      <c r="C250" s="82" t="s">
        <v>662</v>
      </c>
      <c r="D250" s="83">
        <f>SUMIFS(D251:D1496,K251:K1496,"0",B251:B1496,"1 2 4 4 1 12 31111 6 M59 40000 000161 0000E 00002 00541 025 2222100 2024 CP4SP372*")-SUMIFS(E251:E1496,K251:K1496,"0",B251:B1496,"1 2 4 4 1 12 31111 6 M59 40000 000161 0000E 00002 00541 025 2222100 2024 CP4SP372*")</f>
        <v>0</v>
      </c>
      <c r="E250" s="54"/>
      <c r="F250" s="83">
        <f>SUMIFS(F251:F1496,K251:K1496,"0",B251:B1496,"1 2 4 4 1 12 31111 6 M59 40000 000161 0000E 00002 00541 025 2222100 2024 CP4SP372*")</f>
        <v>7374960</v>
      </c>
      <c r="G250" s="83">
        <f>SUMIFS(G251:G1496,K251:K1496,"0",B251:B1496,"1 2 4 4 1 12 31111 6 M59 40000 000161 0000E 00002 00541 025 2222100 2024 CP4SP372*")</f>
        <v>0</v>
      </c>
      <c r="H250" s="83">
        <f t="shared" si="3"/>
        <v>7374960</v>
      </c>
      <c r="I250" s="83"/>
      <c r="K250" s="54" t="s">
        <v>15</v>
      </c>
    </row>
    <row r="251" spans="2:11" ht="41.25" x14ac:dyDescent="0.2">
      <c r="B251" s="82" t="s">
        <v>1265</v>
      </c>
      <c r="C251" s="82" t="s">
        <v>664</v>
      </c>
      <c r="D251" s="83">
        <f>SUMIFS(D252:D1496,K252:K1496,"0",B252:B1496,"1 2 4 4 1 12 31111 6 M59 40000 000161 0000E 00002 00541 025 2222100 2024 CP4SP372 003*")-SUMIFS(E252:E1496,K252:K1496,"0",B252:B1496,"1 2 4 4 1 12 31111 6 M59 40000 000161 0000E 00002 00541 025 2222100 2024 CP4SP372 003*")</f>
        <v>0</v>
      </c>
      <c r="E251" s="54"/>
      <c r="F251" s="83">
        <f>SUMIFS(F252:F1496,K252:K1496,"0",B252:B1496,"1 2 4 4 1 12 31111 6 M59 40000 000161 0000E 00002 00541 025 2222100 2024 CP4SP372 003*")</f>
        <v>7374960</v>
      </c>
      <c r="G251" s="83">
        <f>SUMIFS(G252:G1496,K252:K1496,"0",B252:B1496,"1 2 4 4 1 12 31111 6 M59 40000 000161 0000E 00002 00541 025 2222100 2024 CP4SP372 003*")</f>
        <v>0</v>
      </c>
      <c r="H251" s="83">
        <f t="shared" si="3"/>
        <v>7374960</v>
      </c>
      <c r="I251" s="83"/>
      <c r="K251" s="54" t="s">
        <v>15</v>
      </c>
    </row>
    <row r="252" spans="2:11" ht="33" x14ac:dyDescent="0.2">
      <c r="B252" s="84" t="s">
        <v>1266</v>
      </c>
      <c r="C252" s="84" t="s">
        <v>1267</v>
      </c>
      <c r="D252" s="85">
        <v>0</v>
      </c>
      <c r="E252" s="85"/>
      <c r="F252" s="85">
        <v>7374960</v>
      </c>
      <c r="G252" s="85">
        <v>0</v>
      </c>
      <c r="H252" s="85">
        <f t="shared" si="3"/>
        <v>7374960</v>
      </c>
      <c r="I252" s="85"/>
      <c r="K252" s="54" t="s">
        <v>38</v>
      </c>
    </row>
    <row r="253" spans="2:11" ht="16.5" x14ac:dyDescent="0.2">
      <c r="B253" s="82" t="s">
        <v>1280</v>
      </c>
      <c r="C253" s="82" t="s">
        <v>1281</v>
      </c>
      <c r="D253" s="83">
        <f>SUMIFS(D254:D1496,K254:K1496,"0",B254:B1496,"1 2 4 5*")-SUMIFS(E254:E1496,K254:K1496,"0",B254:B1496,"1 2 4 5*")</f>
        <v>23846</v>
      </c>
      <c r="E253" s="54"/>
      <c r="F253" s="83">
        <f>SUMIFS(F254:F1496,K254:K1496,"0",B254:B1496,"1 2 4 5*")</f>
        <v>0</v>
      </c>
      <c r="G253" s="83">
        <f>SUMIFS(G254:G1496,K254:K1496,"0",B254:B1496,"1 2 4 5*")</f>
        <v>0</v>
      </c>
      <c r="H253" s="83">
        <f t="shared" si="3"/>
        <v>23846</v>
      </c>
      <c r="I253" s="83"/>
      <c r="K253" s="54" t="s">
        <v>15</v>
      </c>
    </row>
    <row r="254" spans="2:11" ht="16.5" x14ac:dyDescent="0.2">
      <c r="B254" s="82" t="s">
        <v>1282</v>
      </c>
      <c r="C254" s="82" t="s">
        <v>1281</v>
      </c>
      <c r="D254" s="83">
        <f>SUMIFS(D255:D1496,K255:K1496,"0",B255:B1496,"1 2 4 5 1*")-SUMIFS(E255:E1496,K255:K1496,"0",B255:B1496,"1 2 4 5 1*")</f>
        <v>23846</v>
      </c>
      <c r="E254" s="54"/>
      <c r="F254" s="83">
        <f>SUMIFS(F255:F1496,K255:K1496,"0",B255:B1496,"1 2 4 5 1*")</f>
        <v>0</v>
      </c>
      <c r="G254" s="83">
        <f>SUMIFS(G255:G1496,K255:K1496,"0",B255:B1496,"1 2 4 5 1*")</f>
        <v>0</v>
      </c>
      <c r="H254" s="83">
        <f t="shared" si="3"/>
        <v>23846</v>
      </c>
      <c r="I254" s="83"/>
      <c r="K254" s="54" t="s">
        <v>15</v>
      </c>
    </row>
    <row r="255" spans="2:11" ht="12.75" x14ac:dyDescent="0.2">
      <c r="B255" s="82" t="s">
        <v>1283</v>
      </c>
      <c r="C255" s="82" t="s">
        <v>26</v>
      </c>
      <c r="D255" s="83">
        <f>SUMIFS(D256:D1496,K256:K1496,"0",B256:B1496,"1 2 4 5 1 12*")-SUMIFS(E256:E1496,K256:K1496,"0",B256:B1496,"1 2 4 5 1 12*")</f>
        <v>23846</v>
      </c>
      <c r="E255" s="54"/>
      <c r="F255" s="83">
        <f>SUMIFS(F256:F1496,K256:K1496,"0",B256:B1496,"1 2 4 5 1 12*")</f>
        <v>0</v>
      </c>
      <c r="G255" s="83">
        <f>SUMIFS(G256:G1496,K256:K1496,"0",B256:B1496,"1 2 4 5 1 12*")</f>
        <v>0</v>
      </c>
      <c r="H255" s="83">
        <f t="shared" si="3"/>
        <v>23846</v>
      </c>
      <c r="I255" s="83"/>
      <c r="K255" s="54" t="s">
        <v>15</v>
      </c>
    </row>
    <row r="256" spans="2:11" ht="16.5" x14ac:dyDescent="0.2">
      <c r="B256" s="82" t="s">
        <v>1284</v>
      </c>
      <c r="C256" s="82" t="s">
        <v>28</v>
      </c>
      <c r="D256" s="83">
        <f>SUMIFS(D257:D1496,K257:K1496,"0",B257:B1496,"1 2 4 5 1 12 31111*")-SUMIFS(E257:E1496,K257:K1496,"0",B257:B1496,"1 2 4 5 1 12 31111*")</f>
        <v>23846</v>
      </c>
      <c r="E256" s="54"/>
      <c r="F256" s="83">
        <f>SUMIFS(F257:F1496,K257:K1496,"0",B257:B1496,"1 2 4 5 1 12 31111*")</f>
        <v>0</v>
      </c>
      <c r="G256" s="83">
        <f>SUMIFS(G257:G1496,K257:K1496,"0",B257:B1496,"1 2 4 5 1 12 31111*")</f>
        <v>0</v>
      </c>
      <c r="H256" s="83">
        <f t="shared" si="3"/>
        <v>23846</v>
      </c>
      <c r="I256" s="83"/>
      <c r="K256" s="54" t="s">
        <v>15</v>
      </c>
    </row>
    <row r="257" spans="2:11" ht="12.75" x14ac:dyDescent="0.2">
      <c r="B257" s="82" t="s">
        <v>1285</v>
      </c>
      <c r="C257" s="82" t="s">
        <v>30</v>
      </c>
      <c r="D257" s="83">
        <f>SUMIFS(D258:D1496,K258:K1496,"0",B258:B1496,"1 2 4 5 1 12 31111 6*")-SUMIFS(E258:E1496,K258:K1496,"0",B258:B1496,"1 2 4 5 1 12 31111 6*")</f>
        <v>23846</v>
      </c>
      <c r="E257" s="54"/>
      <c r="F257" s="83">
        <f>SUMIFS(F258:F1496,K258:K1496,"0",B258:B1496,"1 2 4 5 1 12 31111 6*")</f>
        <v>0</v>
      </c>
      <c r="G257" s="83">
        <f>SUMIFS(G258:G1496,K258:K1496,"0",B258:B1496,"1 2 4 5 1 12 31111 6*")</f>
        <v>0</v>
      </c>
      <c r="H257" s="83">
        <f t="shared" si="3"/>
        <v>23846</v>
      </c>
      <c r="I257" s="83"/>
      <c r="K257" s="54" t="s">
        <v>15</v>
      </c>
    </row>
    <row r="258" spans="2:11" ht="16.5" x14ac:dyDescent="0.2">
      <c r="B258" s="82" t="s">
        <v>1286</v>
      </c>
      <c r="C258" s="82" t="s">
        <v>32</v>
      </c>
      <c r="D258" s="83">
        <f>SUMIFS(D259:D1496,K259:K1496,"0",B259:B1496,"1 2 4 5 1 12 31111 6 M59*")-SUMIFS(E259:E1496,K259:K1496,"0",B259:B1496,"1 2 4 5 1 12 31111 6 M59*")</f>
        <v>23846</v>
      </c>
      <c r="E258" s="54"/>
      <c r="F258" s="83">
        <f>SUMIFS(F259:F1496,K259:K1496,"0",B259:B1496,"1 2 4 5 1 12 31111 6 M59*")</f>
        <v>0</v>
      </c>
      <c r="G258" s="83">
        <f>SUMIFS(G259:G1496,K259:K1496,"0",B259:B1496,"1 2 4 5 1 12 31111 6 M59*")</f>
        <v>0</v>
      </c>
      <c r="H258" s="83">
        <f t="shared" si="3"/>
        <v>23846</v>
      </c>
      <c r="I258" s="83"/>
      <c r="K258" s="54" t="s">
        <v>15</v>
      </c>
    </row>
    <row r="259" spans="2:11" ht="24.75" x14ac:dyDescent="0.2">
      <c r="B259" s="82" t="s">
        <v>1289</v>
      </c>
      <c r="C259" s="82" t="s">
        <v>40</v>
      </c>
      <c r="D259" s="83">
        <f>SUMIFS(D260:D1496,K260:K1496,"0",B260:B1496,"1 2 4 5 1 12 31111 6 M59 00003*")-SUMIFS(E260:E1496,K260:K1496,"0",B260:B1496,"1 2 4 5 1 12 31111 6 M59 00003*")</f>
        <v>23846</v>
      </c>
      <c r="E259" s="54"/>
      <c r="F259" s="83">
        <f>SUMIFS(F260:F1496,K260:K1496,"0",B260:B1496,"1 2 4 5 1 12 31111 6 M59 00003*")</f>
        <v>0</v>
      </c>
      <c r="G259" s="83">
        <f>SUMIFS(G260:G1496,K260:K1496,"0",B260:B1496,"1 2 4 5 1 12 31111 6 M59 00003*")</f>
        <v>0</v>
      </c>
      <c r="H259" s="83">
        <f t="shared" si="3"/>
        <v>23846</v>
      </c>
      <c r="I259" s="83"/>
      <c r="K259" s="54" t="s">
        <v>15</v>
      </c>
    </row>
    <row r="260" spans="2:11" ht="16.5" x14ac:dyDescent="0.2">
      <c r="B260" s="82" t="s">
        <v>1290</v>
      </c>
      <c r="C260" s="82" t="s">
        <v>42</v>
      </c>
      <c r="D260" s="83">
        <f>SUMIFS(D261:D1496,K261:K1496,"0",B261:B1496,"1 2 4 5 1 12 31111 6 M59 00003 000001*")-SUMIFS(E261:E1496,K261:K1496,"0",B261:B1496,"1 2 4 5 1 12 31111 6 M59 00003 000001*")</f>
        <v>23846</v>
      </c>
      <c r="E260" s="54"/>
      <c r="F260" s="83">
        <f>SUMIFS(F261:F1496,K261:K1496,"0",B261:B1496,"1 2 4 5 1 12 31111 6 M59 00003 000001*")</f>
        <v>0</v>
      </c>
      <c r="G260" s="83">
        <f>SUMIFS(G261:G1496,K261:K1496,"0",B261:B1496,"1 2 4 5 1 12 31111 6 M59 00003 000001*")</f>
        <v>0</v>
      </c>
      <c r="H260" s="83">
        <f t="shared" si="3"/>
        <v>23846</v>
      </c>
      <c r="I260" s="83"/>
      <c r="K260" s="54" t="s">
        <v>15</v>
      </c>
    </row>
    <row r="261" spans="2:11" ht="16.5" x14ac:dyDescent="0.2">
      <c r="B261" s="84" t="s">
        <v>1291</v>
      </c>
      <c r="C261" s="84" t="s">
        <v>274</v>
      </c>
      <c r="D261" s="85">
        <v>23846</v>
      </c>
      <c r="E261" s="85"/>
      <c r="F261" s="85">
        <v>0</v>
      </c>
      <c r="G261" s="85">
        <v>0</v>
      </c>
      <c r="H261" s="85">
        <f t="shared" si="3"/>
        <v>23846</v>
      </c>
      <c r="I261" s="85"/>
      <c r="K261" s="54" t="s">
        <v>38</v>
      </c>
    </row>
    <row r="262" spans="2:11" ht="16.5" x14ac:dyDescent="0.2">
      <c r="B262" s="82" t="s">
        <v>1292</v>
      </c>
      <c r="C262" s="82" t="s">
        <v>1293</v>
      </c>
      <c r="D262" s="83">
        <f>SUMIFS(D263:D1496,K263:K1496,"0",B263:B1496,"1 2 4 6*")-SUMIFS(E263:E1496,K263:K1496,"0",B263:B1496,"1 2 4 6*")</f>
        <v>626728.14</v>
      </c>
      <c r="E262" s="54"/>
      <c r="F262" s="83">
        <f>SUMIFS(F263:F1496,K263:K1496,"0",B263:B1496,"1 2 4 6*")</f>
        <v>0</v>
      </c>
      <c r="G262" s="83">
        <f>SUMIFS(G263:G1496,K263:K1496,"0",B263:B1496,"1 2 4 6*")</f>
        <v>0</v>
      </c>
      <c r="H262" s="83">
        <f t="shared" si="3"/>
        <v>626728.14</v>
      </c>
      <c r="I262" s="83"/>
      <c r="K262" s="54" t="s">
        <v>15</v>
      </c>
    </row>
    <row r="263" spans="2:11" ht="16.5" x14ac:dyDescent="0.2">
      <c r="B263" s="82" t="s">
        <v>1294</v>
      </c>
      <c r="C263" s="82" t="s">
        <v>1295</v>
      </c>
      <c r="D263" s="83">
        <f>SUMIFS(D264:D1496,K264:K1496,"0",B264:B1496,"1 2 4 6 1*")-SUMIFS(E264:E1496,K264:K1496,"0",B264:B1496,"1 2 4 6 1*")</f>
        <v>1931.14</v>
      </c>
      <c r="E263" s="54"/>
      <c r="F263" s="83">
        <f>SUMIFS(F264:F1496,K264:K1496,"0",B264:B1496,"1 2 4 6 1*")</f>
        <v>0</v>
      </c>
      <c r="G263" s="83">
        <f>SUMIFS(G264:G1496,K264:K1496,"0",B264:B1496,"1 2 4 6 1*")</f>
        <v>0</v>
      </c>
      <c r="H263" s="83">
        <f t="shared" si="3"/>
        <v>1931.14</v>
      </c>
      <c r="I263" s="83"/>
      <c r="K263" s="54" t="s">
        <v>15</v>
      </c>
    </row>
    <row r="264" spans="2:11" ht="12.75" x14ac:dyDescent="0.2">
      <c r="B264" s="82" t="s">
        <v>1296</v>
      </c>
      <c r="C264" s="82" t="s">
        <v>26</v>
      </c>
      <c r="D264" s="83">
        <f>SUMIFS(D265:D1496,K265:K1496,"0",B265:B1496,"1 2 4 6 1 12*")-SUMIFS(E265:E1496,K265:K1496,"0",B265:B1496,"1 2 4 6 1 12*")</f>
        <v>1931.14</v>
      </c>
      <c r="E264" s="54"/>
      <c r="F264" s="83">
        <f>SUMIFS(F265:F1496,K265:K1496,"0",B265:B1496,"1 2 4 6 1 12*")</f>
        <v>0</v>
      </c>
      <c r="G264" s="83">
        <f>SUMIFS(G265:G1496,K265:K1496,"0",B265:B1496,"1 2 4 6 1 12*")</f>
        <v>0</v>
      </c>
      <c r="H264" s="83">
        <f t="shared" si="3"/>
        <v>1931.14</v>
      </c>
      <c r="I264" s="83"/>
      <c r="K264" s="54" t="s">
        <v>15</v>
      </c>
    </row>
    <row r="265" spans="2:11" ht="16.5" x14ac:dyDescent="0.2">
      <c r="B265" s="82" t="s">
        <v>1297</v>
      </c>
      <c r="C265" s="82" t="s">
        <v>28</v>
      </c>
      <c r="D265" s="83">
        <f>SUMIFS(D266:D1496,K266:K1496,"0",B266:B1496,"1 2 4 6 1 12 31111*")-SUMIFS(E266:E1496,K266:K1496,"0",B266:B1496,"1 2 4 6 1 12 31111*")</f>
        <v>1931.14</v>
      </c>
      <c r="E265" s="54"/>
      <c r="F265" s="83">
        <f>SUMIFS(F266:F1496,K266:K1496,"0",B266:B1496,"1 2 4 6 1 12 31111*")</f>
        <v>0</v>
      </c>
      <c r="G265" s="83">
        <f>SUMIFS(G266:G1496,K266:K1496,"0",B266:B1496,"1 2 4 6 1 12 31111*")</f>
        <v>0</v>
      </c>
      <c r="H265" s="83">
        <f t="shared" si="3"/>
        <v>1931.14</v>
      </c>
      <c r="I265" s="83"/>
      <c r="K265" s="54" t="s">
        <v>15</v>
      </c>
    </row>
    <row r="266" spans="2:11" ht="12.75" x14ac:dyDescent="0.2">
      <c r="B266" s="82" t="s">
        <v>1298</v>
      </c>
      <c r="C266" s="82" t="s">
        <v>30</v>
      </c>
      <c r="D266" s="83">
        <f>SUMIFS(D267:D1496,K267:K1496,"0",B267:B1496,"1 2 4 6 1 12 31111 6*")-SUMIFS(E267:E1496,K267:K1496,"0",B267:B1496,"1 2 4 6 1 12 31111 6*")</f>
        <v>1931.14</v>
      </c>
      <c r="E266" s="54"/>
      <c r="F266" s="83">
        <f>SUMIFS(F267:F1496,K267:K1496,"0",B267:B1496,"1 2 4 6 1 12 31111 6*")</f>
        <v>0</v>
      </c>
      <c r="G266" s="83">
        <f>SUMIFS(G267:G1496,K267:K1496,"0",B267:B1496,"1 2 4 6 1 12 31111 6*")</f>
        <v>0</v>
      </c>
      <c r="H266" s="83">
        <f t="shared" si="3"/>
        <v>1931.14</v>
      </c>
      <c r="I266" s="83"/>
      <c r="K266" s="54" t="s">
        <v>15</v>
      </c>
    </row>
    <row r="267" spans="2:11" ht="16.5" x14ac:dyDescent="0.2">
      <c r="B267" s="82" t="s">
        <v>1299</v>
      </c>
      <c r="C267" s="82" t="s">
        <v>1990</v>
      </c>
      <c r="D267" s="83">
        <f>SUMIFS(D268:D1496,K268:K1496,"0",B268:B1496,"1 2 4 6 1 12 31111 6 M59*")-SUMIFS(E268:E1496,K268:K1496,"0",B268:B1496,"1 2 4 6 1 12 31111 6 M59*")</f>
        <v>1931.14</v>
      </c>
      <c r="E267" s="54"/>
      <c r="F267" s="83">
        <f>SUMIFS(F268:F1496,K268:K1496,"0",B268:B1496,"1 2 4 6 1 12 31111 6 M59*")</f>
        <v>0</v>
      </c>
      <c r="G267" s="83">
        <f>SUMIFS(G268:G1496,K268:K1496,"0",B268:B1496,"1 2 4 6 1 12 31111 6 M59*")</f>
        <v>0</v>
      </c>
      <c r="H267" s="83">
        <f t="shared" si="3"/>
        <v>1931.14</v>
      </c>
      <c r="I267" s="83"/>
      <c r="K267" s="54" t="s">
        <v>15</v>
      </c>
    </row>
    <row r="268" spans="2:11" ht="24.75" x14ac:dyDescent="0.2">
      <c r="B268" s="82" t="s">
        <v>1304</v>
      </c>
      <c r="C268" s="82" t="s">
        <v>40</v>
      </c>
      <c r="D268" s="83">
        <f>SUMIFS(D269:D1496,K269:K1496,"0",B269:B1496,"1 2 4 6 1 12 31111 6 M59 00003*")-SUMIFS(E269:E1496,K269:K1496,"0",B269:B1496,"1 2 4 6 1 12 31111 6 M59 00003*")</f>
        <v>1931.14</v>
      </c>
      <c r="E268" s="54"/>
      <c r="F268" s="83">
        <f>SUMIFS(F269:F1496,K269:K1496,"0",B269:B1496,"1 2 4 6 1 12 31111 6 M59 00003*")</f>
        <v>0</v>
      </c>
      <c r="G268" s="83">
        <f>SUMIFS(G269:G1496,K269:K1496,"0",B269:B1496,"1 2 4 6 1 12 31111 6 M59 00003*")</f>
        <v>0</v>
      </c>
      <c r="H268" s="83">
        <f t="shared" ref="H268:H323" si="4">D268 + F268 - G268</f>
        <v>1931.14</v>
      </c>
      <c r="I268" s="83"/>
      <c r="K268" s="54" t="s">
        <v>15</v>
      </c>
    </row>
    <row r="269" spans="2:11" ht="16.5" x14ac:dyDescent="0.2">
      <c r="B269" s="82" t="s">
        <v>1305</v>
      </c>
      <c r="C269" s="82" t="s">
        <v>42</v>
      </c>
      <c r="D269" s="83">
        <f>SUMIFS(D270:D1496,K270:K1496,"0",B270:B1496,"1 2 4 6 1 12 31111 6 M59 00003 000001*")-SUMIFS(E270:E1496,K270:K1496,"0",B270:B1496,"1 2 4 6 1 12 31111 6 M59 00003 000001*")</f>
        <v>1931.14</v>
      </c>
      <c r="E269" s="54"/>
      <c r="F269" s="83">
        <f>SUMIFS(F270:F1496,K270:K1496,"0",B270:B1496,"1 2 4 6 1 12 31111 6 M59 00003 000001*")</f>
        <v>0</v>
      </c>
      <c r="G269" s="83">
        <f>SUMIFS(G270:G1496,K270:K1496,"0",B270:B1496,"1 2 4 6 1 12 31111 6 M59 00003 000001*")</f>
        <v>0</v>
      </c>
      <c r="H269" s="83">
        <f t="shared" si="4"/>
        <v>1931.14</v>
      </c>
      <c r="I269" s="83"/>
      <c r="K269" s="54" t="s">
        <v>15</v>
      </c>
    </row>
    <row r="270" spans="2:11" ht="16.5" x14ac:dyDescent="0.2">
      <c r="B270" s="84" t="s">
        <v>1306</v>
      </c>
      <c r="C270" s="84" t="s">
        <v>274</v>
      </c>
      <c r="D270" s="85">
        <v>1931.14</v>
      </c>
      <c r="E270" s="85"/>
      <c r="F270" s="85">
        <v>0</v>
      </c>
      <c r="G270" s="85">
        <v>0</v>
      </c>
      <c r="H270" s="85">
        <f t="shared" si="4"/>
        <v>1931.14</v>
      </c>
      <c r="I270" s="85"/>
      <c r="K270" s="54" t="s">
        <v>38</v>
      </c>
    </row>
    <row r="271" spans="2:11" ht="16.5" x14ac:dyDescent="0.2">
      <c r="B271" s="82" t="s">
        <v>1322</v>
      </c>
      <c r="C271" s="82" t="s">
        <v>1323</v>
      </c>
      <c r="D271" s="83">
        <f>SUMIFS(D272:D1496,K272:K1496,"0",B272:B1496,"1 2 4 6 2*")-SUMIFS(E272:E1496,K272:K1496,"0",B272:B1496,"1 2 4 6 2*")</f>
        <v>27851</v>
      </c>
      <c r="E271" s="54"/>
      <c r="F271" s="83">
        <f>SUMIFS(F272:F1496,K272:K1496,"0",B272:B1496,"1 2 4 6 2*")</f>
        <v>0</v>
      </c>
      <c r="G271" s="83">
        <f>SUMIFS(G272:G1496,K272:K1496,"0",B272:B1496,"1 2 4 6 2*")</f>
        <v>0</v>
      </c>
      <c r="H271" s="83">
        <f t="shared" si="4"/>
        <v>27851</v>
      </c>
      <c r="I271" s="83"/>
      <c r="K271" s="54" t="s">
        <v>15</v>
      </c>
    </row>
    <row r="272" spans="2:11" ht="12.75" x14ac:dyDescent="0.2">
      <c r="B272" s="82" t="s">
        <v>1324</v>
      </c>
      <c r="C272" s="82" t="s">
        <v>26</v>
      </c>
      <c r="D272" s="83">
        <f>SUMIFS(D273:D1496,K273:K1496,"0",B273:B1496,"1 2 4 6 2 12*")-SUMIFS(E273:E1496,K273:K1496,"0",B273:B1496,"1 2 4 6 2 12*")</f>
        <v>27851</v>
      </c>
      <c r="E272" s="54"/>
      <c r="F272" s="83">
        <f>SUMIFS(F273:F1496,K273:K1496,"0",B273:B1496,"1 2 4 6 2 12*")</f>
        <v>0</v>
      </c>
      <c r="G272" s="83">
        <f>SUMIFS(G273:G1496,K273:K1496,"0",B273:B1496,"1 2 4 6 2 12*")</f>
        <v>0</v>
      </c>
      <c r="H272" s="83">
        <f t="shared" si="4"/>
        <v>27851</v>
      </c>
      <c r="I272" s="83"/>
      <c r="K272" s="54" t="s">
        <v>15</v>
      </c>
    </row>
    <row r="273" spans="2:11" ht="16.5" x14ac:dyDescent="0.2">
      <c r="B273" s="82" t="s">
        <v>1325</v>
      </c>
      <c r="C273" s="82" t="s">
        <v>28</v>
      </c>
      <c r="D273" s="83">
        <f>SUMIFS(D274:D1496,K274:K1496,"0",B274:B1496,"1 2 4 6 2 12 31111*")-SUMIFS(E274:E1496,K274:K1496,"0",B274:B1496,"1 2 4 6 2 12 31111*")</f>
        <v>27851</v>
      </c>
      <c r="E273" s="54"/>
      <c r="F273" s="83">
        <f>SUMIFS(F274:F1496,K274:K1496,"0",B274:B1496,"1 2 4 6 2 12 31111*")</f>
        <v>0</v>
      </c>
      <c r="G273" s="83">
        <f>SUMIFS(G274:G1496,K274:K1496,"0",B274:B1496,"1 2 4 6 2 12 31111*")</f>
        <v>0</v>
      </c>
      <c r="H273" s="83">
        <f t="shared" si="4"/>
        <v>27851</v>
      </c>
      <c r="I273" s="83"/>
      <c r="K273" s="54" t="s">
        <v>15</v>
      </c>
    </row>
    <row r="274" spans="2:11" ht="12.75" x14ac:dyDescent="0.2">
      <c r="B274" s="82" t="s">
        <v>1326</v>
      </c>
      <c r="C274" s="82" t="s">
        <v>30</v>
      </c>
      <c r="D274" s="83">
        <f>SUMIFS(D275:D1496,K275:K1496,"0",B275:B1496,"1 2 4 6 2 12 31111 6*")-SUMIFS(E275:E1496,K275:K1496,"0",B275:B1496,"1 2 4 6 2 12 31111 6*")</f>
        <v>27851</v>
      </c>
      <c r="E274" s="54"/>
      <c r="F274" s="83">
        <f>SUMIFS(F275:F1496,K275:K1496,"0",B275:B1496,"1 2 4 6 2 12 31111 6*")</f>
        <v>0</v>
      </c>
      <c r="G274" s="83">
        <f>SUMIFS(G275:G1496,K275:K1496,"0",B275:B1496,"1 2 4 6 2 12 31111 6*")</f>
        <v>0</v>
      </c>
      <c r="H274" s="83">
        <f t="shared" si="4"/>
        <v>27851</v>
      </c>
      <c r="I274" s="83"/>
      <c r="K274" s="54" t="s">
        <v>15</v>
      </c>
    </row>
    <row r="275" spans="2:11" ht="16.5" x14ac:dyDescent="0.2">
      <c r="B275" s="82" t="s">
        <v>1327</v>
      </c>
      <c r="C275" s="82" t="s">
        <v>32</v>
      </c>
      <c r="D275" s="83">
        <f>SUMIFS(D276:D1496,K276:K1496,"0",B276:B1496,"1 2 4 6 2 12 31111 6 M59*")-SUMIFS(E276:E1496,K276:K1496,"0",B276:B1496,"1 2 4 6 2 12 31111 6 M59*")</f>
        <v>27851</v>
      </c>
      <c r="E275" s="54"/>
      <c r="F275" s="83">
        <f>SUMIFS(F276:F1496,K276:K1496,"0",B276:B1496,"1 2 4 6 2 12 31111 6 M59*")</f>
        <v>0</v>
      </c>
      <c r="G275" s="83">
        <f>SUMIFS(G276:G1496,K276:K1496,"0",B276:B1496,"1 2 4 6 2 12 31111 6 M59*")</f>
        <v>0</v>
      </c>
      <c r="H275" s="83">
        <f t="shared" si="4"/>
        <v>27851</v>
      </c>
      <c r="I275" s="83"/>
      <c r="K275" s="54" t="s">
        <v>15</v>
      </c>
    </row>
    <row r="276" spans="2:11" ht="24.75" x14ac:dyDescent="0.2">
      <c r="B276" s="82" t="s">
        <v>1334</v>
      </c>
      <c r="C276" s="82" t="s">
        <v>40</v>
      </c>
      <c r="D276" s="83">
        <f>SUMIFS(D277:D1496,K277:K1496,"0",B277:B1496,"1 2 4 6 2 12 31111 6 M59 00003*")-SUMIFS(E277:E1496,K277:K1496,"0",B277:B1496,"1 2 4 6 2 12 31111 6 M59 00003*")</f>
        <v>27851</v>
      </c>
      <c r="E276" s="54"/>
      <c r="F276" s="83">
        <f>SUMIFS(F277:F1496,K277:K1496,"0",B277:B1496,"1 2 4 6 2 12 31111 6 M59 00003*")</f>
        <v>0</v>
      </c>
      <c r="G276" s="83">
        <f>SUMIFS(G277:G1496,K277:K1496,"0",B277:B1496,"1 2 4 6 2 12 31111 6 M59 00003*")</f>
        <v>0</v>
      </c>
      <c r="H276" s="83">
        <f t="shared" si="4"/>
        <v>27851</v>
      </c>
      <c r="I276" s="83"/>
      <c r="K276" s="54" t="s">
        <v>15</v>
      </c>
    </row>
    <row r="277" spans="2:11" ht="16.5" x14ac:dyDescent="0.2">
      <c r="B277" s="82" t="s">
        <v>1335</v>
      </c>
      <c r="C277" s="82" t="s">
        <v>42</v>
      </c>
      <c r="D277" s="83">
        <f>SUMIFS(D278:D1496,K278:K1496,"0",B278:B1496,"1 2 4 6 2 12 31111 6 M59 00003 000001*")-SUMIFS(E278:E1496,K278:K1496,"0",B278:B1496,"1 2 4 6 2 12 31111 6 M59 00003 000001*")</f>
        <v>27851</v>
      </c>
      <c r="E277" s="54"/>
      <c r="F277" s="83">
        <f>SUMIFS(F278:F1496,K278:K1496,"0",B278:B1496,"1 2 4 6 2 12 31111 6 M59 00003 000001*")</f>
        <v>0</v>
      </c>
      <c r="G277" s="83">
        <f>SUMIFS(G278:G1496,K278:K1496,"0",B278:B1496,"1 2 4 6 2 12 31111 6 M59 00003 000001*")</f>
        <v>0</v>
      </c>
      <c r="H277" s="83">
        <f t="shared" si="4"/>
        <v>27851</v>
      </c>
      <c r="I277" s="83"/>
      <c r="K277" s="54" t="s">
        <v>15</v>
      </c>
    </row>
    <row r="278" spans="2:11" ht="16.5" x14ac:dyDescent="0.2">
      <c r="B278" s="84" t="s">
        <v>1336</v>
      </c>
      <c r="C278" s="84" t="s">
        <v>274</v>
      </c>
      <c r="D278" s="85">
        <v>27851</v>
      </c>
      <c r="E278" s="85"/>
      <c r="F278" s="85">
        <v>0</v>
      </c>
      <c r="G278" s="85">
        <v>0</v>
      </c>
      <c r="H278" s="85">
        <f t="shared" si="4"/>
        <v>27851</v>
      </c>
      <c r="I278" s="85"/>
      <c r="K278" s="54" t="s">
        <v>38</v>
      </c>
    </row>
    <row r="279" spans="2:11" ht="41.25" x14ac:dyDescent="0.2">
      <c r="B279" s="82" t="s">
        <v>1349</v>
      </c>
      <c r="C279" s="82" t="s">
        <v>1350</v>
      </c>
      <c r="D279" s="83">
        <f>SUMIFS(D280:D1496,K280:K1496,"0",B280:B1496,"1 2 4 6 4*")-SUMIFS(E280:E1496,K280:K1496,"0",B280:B1496,"1 2 4 6 4*")</f>
        <v>279865.15999999997</v>
      </c>
      <c r="E279" s="54"/>
      <c r="F279" s="83">
        <f>SUMIFS(F280:F1496,K280:K1496,"0",B280:B1496,"1 2 4 6 4*")</f>
        <v>0</v>
      </c>
      <c r="G279" s="83">
        <f>SUMIFS(G280:G1496,K280:K1496,"0",B280:B1496,"1 2 4 6 4*")</f>
        <v>0</v>
      </c>
      <c r="H279" s="83">
        <f t="shared" si="4"/>
        <v>279865.15999999997</v>
      </c>
      <c r="I279" s="83"/>
      <c r="K279" s="54" t="s">
        <v>15</v>
      </c>
    </row>
    <row r="280" spans="2:11" ht="12.75" x14ac:dyDescent="0.2">
      <c r="B280" s="82" t="s">
        <v>1351</v>
      </c>
      <c r="C280" s="82" t="s">
        <v>26</v>
      </c>
      <c r="D280" s="83">
        <f>SUMIFS(D281:D1496,K281:K1496,"0",B281:B1496,"1 2 4 6 4 12*")-SUMIFS(E281:E1496,K281:K1496,"0",B281:B1496,"1 2 4 6 4 12*")</f>
        <v>279865.15999999997</v>
      </c>
      <c r="E280" s="54"/>
      <c r="F280" s="83">
        <f>SUMIFS(F281:F1496,K281:K1496,"0",B281:B1496,"1 2 4 6 4 12*")</f>
        <v>0</v>
      </c>
      <c r="G280" s="83">
        <f>SUMIFS(G281:G1496,K281:K1496,"0",B281:B1496,"1 2 4 6 4 12*")</f>
        <v>0</v>
      </c>
      <c r="H280" s="83">
        <f t="shared" si="4"/>
        <v>279865.15999999997</v>
      </c>
      <c r="I280" s="83"/>
      <c r="K280" s="54" t="s">
        <v>15</v>
      </c>
    </row>
    <row r="281" spans="2:11" ht="16.5" x14ac:dyDescent="0.2">
      <c r="B281" s="82" t="s">
        <v>1352</v>
      </c>
      <c r="C281" s="82" t="s">
        <v>28</v>
      </c>
      <c r="D281" s="83">
        <f>SUMIFS(D282:D1496,K282:K1496,"0",B282:B1496,"1 2 4 6 4 12 31111*")-SUMIFS(E282:E1496,K282:K1496,"0",B282:B1496,"1 2 4 6 4 12 31111*")</f>
        <v>279865.15999999997</v>
      </c>
      <c r="E281" s="54"/>
      <c r="F281" s="83">
        <f>SUMIFS(F282:F1496,K282:K1496,"0",B282:B1496,"1 2 4 6 4 12 31111*")</f>
        <v>0</v>
      </c>
      <c r="G281" s="83">
        <f>SUMIFS(G282:G1496,K282:K1496,"0",B282:B1496,"1 2 4 6 4 12 31111*")</f>
        <v>0</v>
      </c>
      <c r="H281" s="83">
        <f t="shared" si="4"/>
        <v>279865.15999999997</v>
      </c>
      <c r="I281" s="83"/>
      <c r="K281" s="54" t="s">
        <v>15</v>
      </c>
    </row>
    <row r="282" spans="2:11" ht="12.75" x14ac:dyDescent="0.2">
      <c r="B282" s="82" t="s">
        <v>1353</v>
      </c>
      <c r="C282" s="82" t="s">
        <v>30</v>
      </c>
      <c r="D282" s="83">
        <f>SUMIFS(D283:D1496,K283:K1496,"0",B283:B1496,"1 2 4 6 4 12 31111 6*")-SUMIFS(E283:E1496,K283:K1496,"0",B283:B1496,"1 2 4 6 4 12 31111 6*")</f>
        <v>279865.15999999997</v>
      </c>
      <c r="E282" s="54"/>
      <c r="F282" s="83">
        <f>SUMIFS(F283:F1496,K283:K1496,"0",B283:B1496,"1 2 4 6 4 12 31111 6*")</f>
        <v>0</v>
      </c>
      <c r="G282" s="83">
        <f>SUMIFS(G283:G1496,K283:K1496,"0",B283:B1496,"1 2 4 6 4 12 31111 6*")</f>
        <v>0</v>
      </c>
      <c r="H282" s="83">
        <f t="shared" si="4"/>
        <v>279865.15999999997</v>
      </c>
      <c r="I282" s="83"/>
      <c r="K282" s="54" t="s">
        <v>15</v>
      </c>
    </row>
    <row r="283" spans="2:11" ht="16.5" x14ac:dyDescent="0.2">
      <c r="B283" s="82" t="s">
        <v>1354</v>
      </c>
      <c r="C283" s="82" t="s">
        <v>32</v>
      </c>
      <c r="D283" s="83">
        <f>SUMIFS(D284:D1496,K284:K1496,"0",B284:B1496,"1 2 4 6 4 12 31111 6 M59*")-SUMIFS(E284:E1496,K284:K1496,"0",B284:B1496,"1 2 4 6 4 12 31111 6 M59*")</f>
        <v>279865.15999999997</v>
      </c>
      <c r="E283" s="54"/>
      <c r="F283" s="83">
        <f>SUMIFS(F284:F1496,K284:K1496,"0",B284:B1496,"1 2 4 6 4 12 31111 6 M59*")</f>
        <v>0</v>
      </c>
      <c r="G283" s="83">
        <f>SUMIFS(G284:G1496,K284:K1496,"0",B284:B1496,"1 2 4 6 4 12 31111 6 M59*")</f>
        <v>0</v>
      </c>
      <c r="H283" s="83">
        <f t="shared" si="4"/>
        <v>279865.15999999997</v>
      </c>
      <c r="I283" s="83"/>
      <c r="K283" s="54" t="s">
        <v>15</v>
      </c>
    </row>
    <row r="284" spans="2:11" ht="24.75" x14ac:dyDescent="0.2">
      <c r="B284" s="82" t="s">
        <v>1360</v>
      </c>
      <c r="C284" s="82" t="s">
        <v>40</v>
      </c>
      <c r="D284" s="83">
        <f>SUMIFS(D285:D1496,K285:K1496,"0",B285:B1496,"1 2 4 6 4 12 31111 6 M59 00003*")-SUMIFS(E285:E1496,K285:K1496,"0",B285:B1496,"1 2 4 6 4 12 31111 6 M59 00003*")</f>
        <v>279865.15999999997</v>
      </c>
      <c r="E284" s="54"/>
      <c r="F284" s="83">
        <f>SUMIFS(F285:F1496,K285:K1496,"0",B285:B1496,"1 2 4 6 4 12 31111 6 M59 00003*")</f>
        <v>0</v>
      </c>
      <c r="G284" s="83">
        <f>SUMIFS(G285:G1496,K285:K1496,"0",B285:B1496,"1 2 4 6 4 12 31111 6 M59 00003*")</f>
        <v>0</v>
      </c>
      <c r="H284" s="83">
        <f t="shared" si="4"/>
        <v>279865.15999999997</v>
      </c>
      <c r="I284" s="83"/>
      <c r="K284" s="54" t="s">
        <v>15</v>
      </c>
    </row>
    <row r="285" spans="2:11" ht="16.5" x14ac:dyDescent="0.2">
      <c r="B285" s="82" t="s">
        <v>1361</v>
      </c>
      <c r="C285" s="82" t="s">
        <v>42</v>
      </c>
      <c r="D285" s="83">
        <f>SUMIFS(D286:D1496,K286:K1496,"0",B286:B1496,"1 2 4 6 4 12 31111 6 M59 00003 000001*")-SUMIFS(E286:E1496,K286:K1496,"0",B286:B1496,"1 2 4 6 4 12 31111 6 M59 00003 000001*")</f>
        <v>279865.15999999997</v>
      </c>
      <c r="E285" s="54"/>
      <c r="F285" s="83">
        <f>SUMIFS(F286:F1496,K286:K1496,"0",B286:B1496,"1 2 4 6 4 12 31111 6 M59 00003 000001*")</f>
        <v>0</v>
      </c>
      <c r="G285" s="83">
        <f>SUMIFS(G286:G1496,K286:K1496,"0",B286:B1496,"1 2 4 6 4 12 31111 6 M59 00003 000001*")</f>
        <v>0</v>
      </c>
      <c r="H285" s="83">
        <f t="shared" si="4"/>
        <v>279865.15999999997</v>
      </c>
      <c r="I285" s="83"/>
      <c r="K285" s="54" t="s">
        <v>15</v>
      </c>
    </row>
    <row r="286" spans="2:11" ht="16.5" x14ac:dyDescent="0.2">
      <c r="B286" s="84" t="s">
        <v>1362</v>
      </c>
      <c r="C286" s="84" t="s">
        <v>274</v>
      </c>
      <c r="D286" s="85">
        <v>279865.15999999997</v>
      </c>
      <c r="E286" s="85"/>
      <c r="F286" s="85">
        <v>0</v>
      </c>
      <c r="G286" s="85">
        <v>0</v>
      </c>
      <c r="H286" s="85">
        <f t="shared" si="4"/>
        <v>279865.15999999997</v>
      </c>
      <c r="I286" s="85"/>
      <c r="K286" s="54" t="s">
        <v>38</v>
      </c>
    </row>
    <row r="287" spans="2:11" ht="16.5" x14ac:dyDescent="0.2">
      <c r="B287" s="82" t="s">
        <v>1368</v>
      </c>
      <c r="C287" s="82" t="s">
        <v>1369</v>
      </c>
      <c r="D287" s="83">
        <f>SUMIFS(D288:D1496,K288:K1496,"0",B288:B1496,"1 2 4 6 5*")-SUMIFS(E288:E1496,K288:K1496,"0",B288:B1496,"1 2 4 6 5*")</f>
        <v>269303.83999999997</v>
      </c>
      <c r="E287" s="54"/>
      <c r="F287" s="83">
        <f>SUMIFS(F288:F1496,K288:K1496,"0",B288:B1496,"1 2 4 6 5*")</f>
        <v>0</v>
      </c>
      <c r="G287" s="83">
        <f>SUMIFS(G288:G1496,K288:K1496,"0",B288:B1496,"1 2 4 6 5*")</f>
        <v>0</v>
      </c>
      <c r="H287" s="83">
        <f t="shared" si="4"/>
        <v>269303.83999999997</v>
      </c>
      <c r="I287" s="83"/>
      <c r="K287" s="54" t="s">
        <v>15</v>
      </c>
    </row>
    <row r="288" spans="2:11" ht="12.75" x14ac:dyDescent="0.2">
      <c r="B288" s="82" t="s">
        <v>1370</v>
      </c>
      <c r="C288" s="82" t="s">
        <v>26</v>
      </c>
      <c r="D288" s="83">
        <f>SUMIFS(D289:D1496,K289:K1496,"0",B289:B1496,"1 2 4 6 5 12*")-SUMIFS(E289:E1496,K289:K1496,"0",B289:B1496,"1 2 4 6 5 12*")</f>
        <v>269303.83999999997</v>
      </c>
      <c r="E288" s="54"/>
      <c r="F288" s="83">
        <f>SUMIFS(F289:F1496,K289:K1496,"0",B289:B1496,"1 2 4 6 5 12*")</f>
        <v>0</v>
      </c>
      <c r="G288" s="83">
        <f>SUMIFS(G289:G1496,K289:K1496,"0",B289:B1496,"1 2 4 6 5 12*")</f>
        <v>0</v>
      </c>
      <c r="H288" s="83">
        <f t="shared" si="4"/>
        <v>269303.83999999997</v>
      </c>
      <c r="I288" s="83"/>
      <c r="K288" s="54" t="s">
        <v>15</v>
      </c>
    </row>
    <row r="289" spans="2:11" ht="16.5" x14ac:dyDescent="0.2">
      <c r="B289" s="82" t="s">
        <v>1371</v>
      </c>
      <c r="C289" s="82" t="s">
        <v>28</v>
      </c>
      <c r="D289" s="83">
        <f>SUMIFS(D290:D1496,K290:K1496,"0",B290:B1496,"1 2 4 6 5 12 31111*")-SUMIFS(E290:E1496,K290:K1496,"0",B290:B1496,"1 2 4 6 5 12 31111*")</f>
        <v>269303.83999999997</v>
      </c>
      <c r="E289" s="54"/>
      <c r="F289" s="83">
        <f>SUMIFS(F290:F1496,K290:K1496,"0",B290:B1496,"1 2 4 6 5 12 31111*")</f>
        <v>0</v>
      </c>
      <c r="G289" s="83">
        <f>SUMIFS(G290:G1496,K290:K1496,"0",B290:B1496,"1 2 4 6 5 12 31111*")</f>
        <v>0</v>
      </c>
      <c r="H289" s="83">
        <f t="shared" si="4"/>
        <v>269303.83999999997</v>
      </c>
      <c r="I289" s="83"/>
      <c r="K289" s="54" t="s">
        <v>15</v>
      </c>
    </row>
    <row r="290" spans="2:11" ht="12.75" x14ac:dyDescent="0.2">
      <c r="B290" s="82" t="s">
        <v>1372</v>
      </c>
      <c r="C290" s="82" t="s">
        <v>30</v>
      </c>
      <c r="D290" s="83">
        <f>SUMIFS(D291:D1496,K291:K1496,"0",B291:B1496,"1 2 4 6 5 12 31111 6*")-SUMIFS(E291:E1496,K291:K1496,"0",B291:B1496,"1 2 4 6 5 12 31111 6*")</f>
        <v>269303.83999999997</v>
      </c>
      <c r="E290" s="54"/>
      <c r="F290" s="83">
        <f>SUMIFS(F291:F1496,K291:K1496,"0",B291:B1496,"1 2 4 6 5 12 31111 6*")</f>
        <v>0</v>
      </c>
      <c r="G290" s="83">
        <f>SUMIFS(G291:G1496,K291:K1496,"0",B291:B1496,"1 2 4 6 5 12 31111 6*")</f>
        <v>0</v>
      </c>
      <c r="H290" s="83">
        <f t="shared" si="4"/>
        <v>269303.83999999997</v>
      </c>
      <c r="I290" s="83"/>
      <c r="K290" s="54" t="s">
        <v>15</v>
      </c>
    </row>
    <row r="291" spans="2:11" ht="16.5" x14ac:dyDescent="0.2">
      <c r="B291" s="82" t="s">
        <v>1373</v>
      </c>
      <c r="C291" s="82" t="s">
        <v>32</v>
      </c>
      <c r="D291" s="83">
        <f>SUMIFS(D292:D1496,K292:K1496,"0",B292:B1496,"1 2 4 6 5 12 31111 6 M59*")-SUMIFS(E292:E1496,K292:K1496,"0",B292:B1496,"1 2 4 6 5 12 31111 6 M59*")</f>
        <v>269303.83999999997</v>
      </c>
      <c r="E291" s="54"/>
      <c r="F291" s="83">
        <f>SUMIFS(F292:F1496,K292:K1496,"0",B292:B1496,"1 2 4 6 5 12 31111 6 M59*")</f>
        <v>0</v>
      </c>
      <c r="G291" s="83">
        <f>SUMIFS(G292:G1496,K292:K1496,"0",B292:B1496,"1 2 4 6 5 12 31111 6 M59*")</f>
        <v>0</v>
      </c>
      <c r="H291" s="83">
        <f t="shared" si="4"/>
        <v>269303.83999999997</v>
      </c>
      <c r="I291" s="83"/>
      <c r="K291" s="54" t="s">
        <v>15</v>
      </c>
    </row>
    <row r="292" spans="2:11" ht="24.75" x14ac:dyDescent="0.2">
      <c r="B292" s="82" t="s">
        <v>1381</v>
      </c>
      <c r="C292" s="82" t="s">
        <v>40</v>
      </c>
      <c r="D292" s="83">
        <f>SUMIFS(D293:D1496,K293:K1496,"0",B293:B1496,"1 2 4 6 5 12 31111 6 M59 00003*")-SUMIFS(E293:E1496,K293:K1496,"0",B293:B1496,"1 2 4 6 5 12 31111 6 M59 00003*")</f>
        <v>269303.83999999997</v>
      </c>
      <c r="E292" s="54"/>
      <c r="F292" s="83">
        <f>SUMIFS(F293:F1496,K293:K1496,"0",B293:B1496,"1 2 4 6 5 12 31111 6 M59 00003*")</f>
        <v>0</v>
      </c>
      <c r="G292" s="83">
        <f>SUMIFS(G293:G1496,K293:K1496,"0",B293:B1496,"1 2 4 6 5 12 31111 6 M59 00003*")</f>
        <v>0</v>
      </c>
      <c r="H292" s="83">
        <f t="shared" si="4"/>
        <v>269303.83999999997</v>
      </c>
      <c r="I292" s="83"/>
      <c r="K292" s="54" t="s">
        <v>15</v>
      </c>
    </row>
    <row r="293" spans="2:11" ht="16.5" x14ac:dyDescent="0.2">
      <c r="B293" s="82" t="s">
        <v>1382</v>
      </c>
      <c r="C293" s="82" t="s">
        <v>42</v>
      </c>
      <c r="D293" s="83">
        <f>SUMIFS(D294:D1496,K294:K1496,"0",B294:B1496,"1 2 4 6 5 12 31111 6 M59 00003 000001*")-SUMIFS(E294:E1496,K294:K1496,"0",B294:B1496,"1 2 4 6 5 12 31111 6 M59 00003 000001*")</f>
        <v>269303.83999999997</v>
      </c>
      <c r="E293" s="54"/>
      <c r="F293" s="83">
        <f>SUMIFS(F294:F1496,K294:K1496,"0",B294:B1496,"1 2 4 6 5 12 31111 6 M59 00003 000001*")</f>
        <v>0</v>
      </c>
      <c r="G293" s="83">
        <f>SUMIFS(G294:G1496,K294:K1496,"0",B294:B1496,"1 2 4 6 5 12 31111 6 M59 00003 000001*")</f>
        <v>0</v>
      </c>
      <c r="H293" s="83">
        <f t="shared" si="4"/>
        <v>269303.83999999997</v>
      </c>
      <c r="I293" s="83"/>
      <c r="K293" s="54" t="s">
        <v>15</v>
      </c>
    </row>
    <row r="294" spans="2:11" ht="16.5" x14ac:dyDescent="0.2">
      <c r="B294" s="84" t="s">
        <v>1383</v>
      </c>
      <c r="C294" s="84" t="s">
        <v>1384</v>
      </c>
      <c r="D294" s="85">
        <v>189421</v>
      </c>
      <c r="E294" s="85"/>
      <c r="F294" s="85">
        <v>0</v>
      </c>
      <c r="G294" s="85">
        <v>0</v>
      </c>
      <c r="H294" s="85">
        <f t="shared" si="4"/>
        <v>189421</v>
      </c>
      <c r="I294" s="85"/>
      <c r="K294" s="54" t="s">
        <v>38</v>
      </c>
    </row>
    <row r="295" spans="2:11" ht="16.5" x14ac:dyDescent="0.2">
      <c r="B295" s="84" t="s">
        <v>1385</v>
      </c>
      <c r="C295" s="84" t="s">
        <v>1386</v>
      </c>
      <c r="D295" s="85">
        <v>22000</v>
      </c>
      <c r="E295" s="85"/>
      <c r="F295" s="85">
        <v>0</v>
      </c>
      <c r="G295" s="85">
        <v>0</v>
      </c>
      <c r="H295" s="85">
        <f t="shared" si="4"/>
        <v>22000</v>
      </c>
      <c r="I295" s="85"/>
      <c r="K295" s="54" t="s">
        <v>38</v>
      </c>
    </row>
    <row r="296" spans="2:11" ht="16.5" x14ac:dyDescent="0.2">
      <c r="B296" s="84" t="s">
        <v>1387</v>
      </c>
      <c r="C296" s="84" t="s">
        <v>274</v>
      </c>
      <c r="D296" s="85">
        <v>57882.84</v>
      </c>
      <c r="E296" s="85"/>
      <c r="F296" s="85">
        <v>0</v>
      </c>
      <c r="G296" s="85">
        <v>0</v>
      </c>
      <c r="H296" s="85">
        <f t="shared" si="4"/>
        <v>57882.84</v>
      </c>
      <c r="I296" s="85"/>
      <c r="K296" s="54" t="s">
        <v>38</v>
      </c>
    </row>
    <row r="297" spans="2:11" ht="24.75" x14ac:dyDescent="0.2">
      <c r="B297" s="82" t="s">
        <v>1388</v>
      </c>
      <c r="C297" s="82" t="s">
        <v>1389</v>
      </c>
      <c r="D297" s="83">
        <f>SUMIFS(D298:D1496,K298:K1496,"0",B298:B1496,"1 2 4 6 6*")-SUMIFS(E298:E1496,K298:K1496,"0",B298:B1496,"1 2 4 6 6*")</f>
        <v>9400</v>
      </c>
      <c r="E297" s="54"/>
      <c r="F297" s="83">
        <f>SUMIFS(F298:F1496,K298:K1496,"0",B298:B1496,"1 2 4 6 6*")</f>
        <v>0</v>
      </c>
      <c r="G297" s="83">
        <f>SUMIFS(G298:G1496,K298:K1496,"0",B298:B1496,"1 2 4 6 6*")</f>
        <v>0</v>
      </c>
      <c r="H297" s="83">
        <f t="shared" si="4"/>
        <v>9400</v>
      </c>
      <c r="I297" s="83"/>
      <c r="K297" s="54" t="s">
        <v>15</v>
      </c>
    </row>
    <row r="298" spans="2:11" ht="12.75" x14ac:dyDescent="0.2">
      <c r="B298" s="82" t="s">
        <v>1390</v>
      </c>
      <c r="C298" s="82" t="s">
        <v>26</v>
      </c>
      <c r="D298" s="83">
        <f>SUMIFS(D299:D1496,K299:K1496,"0",B299:B1496,"1 2 4 6 6 12*")-SUMIFS(E299:E1496,K299:K1496,"0",B299:B1496,"1 2 4 6 6 12*")</f>
        <v>9400</v>
      </c>
      <c r="E298" s="54"/>
      <c r="F298" s="83">
        <f>SUMIFS(F299:F1496,K299:K1496,"0",B299:B1496,"1 2 4 6 6 12*")</f>
        <v>0</v>
      </c>
      <c r="G298" s="83">
        <f>SUMIFS(G299:G1496,K299:K1496,"0",B299:B1496,"1 2 4 6 6 12*")</f>
        <v>0</v>
      </c>
      <c r="H298" s="83">
        <f t="shared" si="4"/>
        <v>9400</v>
      </c>
      <c r="I298" s="83"/>
      <c r="K298" s="54" t="s">
        <v>15</v>
      </c>
    </row>
    <row r="299" spans="2:11" ht="16.5" x14ac:dyDescent="0.2">
      <c r="B299" s="82" t="s">
        <v>1391</v>
      </c>
      <c r="C299" s="82" t="s">
        <v>28</v>
      </c>
      <c r="D299" s="83">
        <f>SUMIFS(D300:D1496,K300:K1496,"0",B300:B1496,"1 2 4 6 6 12 31111*")-SUMIFS(E300:E1496,K300:K1496,"0",B300:B1496,"1 2 4 6 6 12 31111*")</f>
        <v>9400</v>
      </c>
      <c r="E299" s="54"/>
      <c r="F299" s="83">
        <f>SUMIFS(F300:F1496,K300:K1496,"0",B300:B1496,"1 2 4 6 6 12 31111*")</f>
        <v>0</v>
      </c>
      <c r="G299" s="83">
        <f>SUMIFS(G300:G1496,K300:K1496,"0",B300:B1496,"1 2 4 6 6 12 31111*")</f>
        <v>0</v>
      </c>
      <c r="H299" s="83">
        <f t="shared" si="4"/>
        <v>9400</v>
      </c>
      <c r="I299" s="83"/>
      <c r="K299" s="54" t="s">
        <v>15</v>
      </c>
    </row>
    <row r="300" spans="2:11" ht="12.75" x14ac:dyDescent="0.2">
      <c r="B300" s="82" t="s">
        <v>1392</v>
      </c>
      <c r="C300" s="82" t="s">
        <v>30</v>
      </c>
      <c r="D300" s="83">
        <f>SUMIFS(D301:D1496,K301:K1496,"0",B301:B1496,"1 2 4 6 6 12 31111 6*")-SUMIFS(E301:E1496,K301:K1496,"0",B301:B1496,"1 2 4 6 6 12 31111 6*")</f>
        <v>9400</v>
      </c>
      <c r="E300" s="54"/>
      <c r="F300" s="83">
        <f>SUMIFS(F301:F1496,K301:K1496,"0",B301:B1496,"1 2 4 6 6 12 31111 6*")</f>
        <v>0</v>
      </c>
      <c r="G300" s="83">
        <f>SUMIFS(G301:G1496,K301:K1496,"0",B301:B1496,"1 2 4 6 6 12 31111 6*")</f>
        <v>0</v>
      </c>
      <c r="H300" s="83">
        <f t="shared" si="4"/>
        <v>9400</v>
      </c>
      <c r="I300" s="83"/>
      <c r="K300" s="54" t="s">
        <v>15</v>
      </c>
    </row>
    <row r="301" spans="2:11" ht="16.5" x14ac:dyDescent="0.2">
      <c r="B301" s="82" t="s">
        <v>1393</v>
      </c>
      <c r="C301" s="82" t="s">
        <v>1990</v>
      </c>
      <c r="D301" s="83">
        <f>SUMIFS(D302:D1496,K302:K1496,"0",B302:B1496,"1 2 4 6 6 12 31111 6 M59*")-SUMIFS(E302:E1496,K302:K1496,"0",B302:B1496,"1 2 4 6 6 12 31111 6 M59*")</f>
        <v>9400</v>
      </c>
      <c r="E301" s="54"/>
      <c r="F301" s="83">
        <f>SUMIFS(F302:F1496,K302:K1496,"0",B302:B1496,"1 2 4 6 6 12 31111 6 M59*")</f>
        <v>0</v>
      </c>
      <c r="G301" s="83">
        <f>SUMIFS(G302:G1496,K302:K1496,"0",B302:B1496,"1 2 4 6 6 12 31111 6 M59*")</f>
        <v>0</v>
      </c>
      <c r="H301" s="83">
        <f t="shared" si="4"/>
        <v>9400</v>
      </c>
      <c r="I301" s="83"/>
      <c r="K301" s="54" t="s">
        <v>15</v>
      </c>
    </row>
    <row r="302" spans="2:11" ht="24.75" x14ac:dyDescent="0.2">
      <c r="B302" s="82" t="s">
        <v>1395</v>
      </c>
      <c r="C302" s="82" t="s">
        <v>40</v>
      </c>
      <c r="D302" s="83">
        <f>SUMIFS(D303:D1496,K303:K1496,"0",B303:B1496,"1 2 4 6 6 12 31111 6 M59 00003*")-SUMIFS(E303:E1496,K303:K1496,"0",B303:B1496,"1 2 4 6 6 12 31111 6 M59 00003*")</f>
        <v>9400</v>
      </c>
      <c r="E302" s="54"/>
      <c r="F302" s="83">
        <f>SUMIFS(F303:F1496,K303:K1496,"0",B303:B1496,"1 2 4 6 6 12 31111 6 M59 00003*")</f>
        <v>0</v>
      </c>
      <c r="G302" s="83">
        <f>SUMIFS(G303:G1496,K303:K1496,"0",B303:B1496,"1 2 4 6 6 12 31111 6 M59 00003*")</f>
        <v>0</v>
      </c>
      <c r="H302" s="83">
        <f t="shared" si="4"/>
        <v>9400</v>
      </c>
      <c r="I302" s="83"/>
      <c r="K302" s="54" t="s">
        <v>15</v>
      </c>
    </row>
    <row r="303" spans="2:11" ht="16.5" x14ac:dyDescent="0.2">
      <c r="B303" s="82" t="s">
        <v>1396</v>
      </c>
      <c r="C303" s="82" t="s">
        <v>42</v>
      </c>
      <c r="D303" s="83">
        <f>SUMIFS(D304:D1496,K304:K1496,"0",B304:B1496,"1 2 4 6 6 12 31111 6 M59 00003 000001*")-SUMIFS(E304:E1496,K304:K1496,"0",B304:B1496,"1 2 4 6 6 12 31111 6 M59 00003 000001*")</f>
        <v>9400</v>
      </c>
      <c r="E303" s="54"/>
      <c r="F303" s="83">
        <f>SUMIFS(F304:F1496,K304:K1496,"0",B304:B1496,"1 2 4 6 6 12 31111 6 M59 00003 000001*")</f>
        <v>0</v>
      </c>
      <c r="G303" s="83">
        <f>SUMIFS(G304:G1496,K304:K1496,"0",B304:B1496,"1 2 4 6 6 12 31111 6 M59 00003 000001*")</f>
        <v>0</v>
      </c>
      <c r="H303" s="83">
        <f t="shared" si="4"/>
        <v>9400</v>
      </c>
      <c r="I303" s="83"/>
      <c r="K303" s="54" t="s">
        <v>15</v>
      </c>
    </row>
    <row r="304" spans="2:11" ht="16.5" x14ac:dyDescent="0.2">
      <c r="B304" s="84" t="s">
        <v>1397</v>
      </c>
      <c r="C304" s="84" t="s">
        <v>1035</v>
      </c>
      <c r="D304" s="85">
        <v>1400</v>
      </c>
      <c r="E304" s="85"/>
      <c r="F304" s="85">
        <v>0</v>
      </c>
      <c r="G304" s="85">
        <v>0</v>
      </c>
      <c r="H304" s="85">
        <f t="shared" si="4"/>
        <v>1400</v>
      </c>
      <c r="I304" s="85"/>
      <c r="K304" s="54" t="s">
        <v>38</v>
      </c>
    </row>
    <row r="305" spans="2:11" ht="33" x14ac:dyDescent="0.2">
      <c r="B305" s="84" t="s">
        <v>1398</v>
      </c>
      <c r="C305" s="84" t="s">
        <v>984</v>
      </c>
      <c r="D305" s="85">
        <v>8000</v>
      </c>
      <c r="E305" s="85"/>
      <c r="F305" s="85">
        <v>0</v>
      </c>
      <c r="G305" s="85">
        <v>0</v>
      </c>
      <c r="H305" s="85">
        <f t="shared" si="4"/>
        <v>8000</v>
      </c>
      <c r="I305" s="85"/>
      <c r="K305" s="54" t="s">
        <v>38</v>
      </c>
    </row>
    <row r="306" spans="2:11" ht="16.5" x14ac:dyDescent="0.2">
      <c r="B306" s="82" t="s">
        <v>1401</v>
      </c>
      <c r="C306" s="82" t="s">
        <v>1402</v>
      </c>
      <c r="D306" s="83">
        <f>SUMIFS(D307:D1496,K307:K1496,"0",B307:B1496,"1 2 4 6 7*")-SUMIFS(E307:E1496,K307:K1496,"0",B307:B1496,"1 2 4 6 7*")</f>
        <v>38377</v>
      </c>
      <c r="E306" s="54"/>
      <c r="F306" s="83">
        <f>SUMIFS(F307:F1496,K307:K1496,"0",B307:B1496,"1 2 4 6 7*")</f>
        <v>0</v>
      </c>
      <c r="G306" s="83">
        <f>SUMIFS(G307:G1496,K307:K1496,"0",B307:B1496,"1 2 4 6 7*")</f>
        <v>0</v>
      </c>
      <c r="H306" s="83">
        <f t="shared" si="4"/>
        <v>38377</v>
      </c>
      <c r="I306" s="83"/>
      <c r="K306" s="54" t="s">
        <v>15</v>
      </c>
    </row>
    <row r="307" spans="2:11" ht="12.75" x14ac:dyDescent="0.2">
      <c r="B307" s="82" t="s">
        <v>1403</v>
      </c>
      <c r="C307" s="82" t="s">
        <v>26</v>
      </c>
      <c r="D307" s="83">
        <f>SUMIFS(D308:D1496,K308:K1496,"0",B308:B1496,"1 2 4 6 7 12*")-SUMIFS(E308:E1496,K308:K1496,"0",B308:B1496,"1 2 4 6 7 12*")</f>
        <v>38377</v>
      </c>
      <c r="E307" s="54"/>
      <c r="F307" s="83">
        <f>SUMIFS(F308:F1496,K308:K1496,"0",B308:B1496,"1 2 4 6 7 12*")</f>
        <v>0</v>
      </c>
      <c r="G307" s="83">
        <f>SUMIFS(G308:G1496,K308:K1496,"0",B308:B1496,"1 2 4 6 7 12*")</f>
        <v>0</v>
      </c>
      <c r="H307" s="83">
        <f t="shared" si="4"/>
        <v>38377</v>
      </c>
      <c r="I307" s="83"/>
      <c r="K307" s="54" t="s">
        <v>15</v>
      </c>
    </row>
    <row r="308" spans="2:11" ht="16.5" x14ac:dyDescent="0.2">
      <c r="B308" s="82" t="s">
        <v>1404</v>
      </c>
      <c r="C308" s="82" t="s">
        <v>28</v>
      </c>
      <c r="D308" s="83">
        <f>SUMIFS(D309:D1496,K309:K1496,"0",B309:B1496,"1 2 4 6 7 12 31111*")-SUMIFS(E309:E1496,K309:K1496,"0",B309:B1496,"1 2 4 6 7 12 31111*")</f>
        <v>38377</v>
      </c>
      <c r="E308" s="54"/>
      <c r="F308" s="83">
        <f>SUMIFS(F309:F1496,K309:K1496,"0",B309:B1496,"1 2 4 6 7 12 31111*")</f>
        <v>0</v>
      </c>
      <c r="G308" s="83">
        <f>SUMIFS(G309:G1496,K309:K1496,"0",B309:B1496,"1 2 4 6 7 12 31111*")</f>
        <v>0</v>
      </c>
      <c r="H308" s="83">
        <f t="shared" si="4"/>
        <v>38377</v>
      </c>
      <c r="I308" s="83"/>
      <c r="K308" s="54" t="s">
        <v>15</v>
      </c>
    </row>
    <row r="309" spans="2:11" ht="12.75" x14ac:dyDescent="0.2">
      <c r="B309" s="82" t="s">
        <v>1405</v>
      </c>
      <c r="C309" s="82" t="s">
        <v>30</v>
      </c>
      <c r="D309" s="83">
        <f>SUMIFS(D310:D1496,K310:K1496,"0",B310:B1496,"1 2 4 6 7 12 31111 6*")-SUMIFS(E310:E1496,K310:K1496,"0",B310:B1496,"1 2 4 6 7 12 31111 6*")</f>
        <v>38377</v>
      </c>
      <c r="E309" s="54"/>
      <c r="F309" s="83">
        <f>SUMIFS(F310:F1496,K310:K1496,"0",B310:B1496,"1 2 4 6 7 12 31111 6*")</f>
        <v>0</v>
      </c>
      <c r="G309" s="83">
        <f>SUMIFS(G310:G1496,K310:K1496,"0",B310:B1496,"1 2 4 6 7 12 31111 6*")</f>
        <v>0</v>
      </c>
      <c r="H309" s="83">
        <f t="shared" si="4"/>
        <v>38377</v>
      </c>
      <c r="I309" s="83"/>
      <c r="K309" s="54" t="s">
        <v>15</v>
      </c>
    </row>
    <row r="310" spans="2:11" ht="16.5" x14ac:dyDescent="0.2">
      <c r="B310" s="82" t="s">
        <v>1406</v>
      </c>
      <c r="C310" s="82" t="s">
        <v>32</v>
      </c>
      <c r="D310" s="83">
        <f>SUMIFS(D311:D1496,K311:K1496,"0",B311:B1496,"1 2 4 6 7 12 31111 6 M59*")-SUMIFS(E311:E1496,K311:K1496,"0",B311:B1496,"1 2 4 6 7 12 31111 6 M59*")</f>
        <v>38377</v>
      </c>
      <c r="E310" s="54"/>
      <c r="F310" s="83">
        <f>SUMIFS(F311:F1496,K311:K1496,"0",B311:B1496,"1 2 4 6 7 12 31111 6 M59*")</f>
        <v>0</v>
      </c>
      <c r="G310" s="83">
        <f>SUMIFS(G311:G1496,K311:K1496,"0",B311:B1496,"1 2 4 6 7 12 31111 6 M59*")</f>
        <v>0</v>
      </c>
      <c r="H310" s="83">
        <f t="shared" si="4"/>
        <v>38377</v>
      </c>
      <c r="I310" s="83"/>
      <c r="K310" s="54" t="s">
        <v>15</v>
      </c>
    </row>
    <row r="311" spans="2:11" ht="24.75" x14ac:dyDescent="0.2">
      <c r="B311" s="82" t="s">
        <v>1407</v>
      </c>
      <c r="C311" s="82" t="s">
        <v>40</v>
      </c>
      <c r="D311" s="83">
        <f>SUMIFS(D312:D1496,K312:K1496,"0",B312:B1496,"1 2 4 6 7 12 31111 6 M59 00003*")-SUMIFS(E312:E1496,K312:K1496,"0",B312:B1496,"1 2 4 6 7 12 31111 6 M59 00003*")</f>
        <v>38377</v>
      </c>
      <c r="E311" s="54"/>
      <c r="F311" s="83">
        <f>SUMIFS(F312:F1496,K312:K1496,"0",B312:B1496,"1 2 4 6 7 12 31111 6 M59 00003*")</f>
        <v>0</v>
      </c>
      <c r="G311" s="83">
        <f>SUMIFS(G312:G1496,K312:K1496,"0",B312:B1496,"1 2 4 6 7 12 31111 6 M59 00003*")</f>
        <v>0</v>
      </c>
      <c r="H311" s="83">
        <f t="shared" si="4"/>
        <v>38377</v>
      </c>
      <c r="I311" s="83"/>
      <c r="K311" s="54" t="s">
        <v>15</v>
      </c>
    </row>
    <row r="312" spans="2:11" ht="16.5" x14ac:dyDescent="0.2">
      <c r="B312" s="82" t="s">
        <v>1408</v>
      </c>
      <c r="C312" s="82" t="s">
        <v>42</v>
      </c>
      <c r="D312" s="83">
        <f>SUMIFS(D313:D1496,K313:K1496,"0",B313:B1496,"1 2 4 6 7 12 31111 6 M59 00003 000001*")-SUMIFS(E313:E1496,K313:K1496,"0",B313:B1496,"1 2 4 6 7 12 31111 6 M59 00003 000001*")</f>
        <v>38377</v>
      </c>
      <c r="E312" s="54"/>
      <c r="F312" s="83">
        <f>SUMIFS(F313:F1496,K313:K1496,"0",B313:B1496,"1 2 4 6 7 12 31111 6 M59 00003 000001*")</f>
        <v>0</v>
      </c>
      <c r="G312" s="83">
        <f>SUMIFS(G313:G1496,K313:K1496,"0",B313:B1496,"1 2 4 6 7 12 31111 6 M59 00003 000001*")</f>
        <v>0</v>
      </c>
      <c r="H312" s="83">
        <f t="shared" si="4"/>
        <v>38377</v>
      </c>
      <c r="I312" s="83"/>
      <c r="K312" s="54" t="s">
        <v>15</v>
      </c>
    </row>
    <row r="313" spans="2:11" ht="16.5" x14ac:dyDescent="0.2">
      <c r="B313" s="84" t="s">
        <v>1409</v>
      </c>
      <c r="C313" s="84" t="s">
        <v>274</v>
      </c>
      <c r="D313" s="85">
        <v>38377</v>
      </c>
      <c r="E313" s="85"/>
      <c r="F313" s="85">
        <v>0</v>
      </c>
      <c r="G313" s="85">
        <v>0</v>
      </c>
      <c r="H313" s="85">
        <f t="shared" si="4"/>
        <v>38377</v>
      </c>
      <c r="I313" s="85"/>
      <c r="K313" s="54" t="s">
        <v>38</v>
      </c>
    </row>
    <row r="314" spans="2:11" ht="12.75" x14ac:dyDescent="0.2">
      <c r="B314" s="82" t="s">
        <v>1432</v>
      </c>
      <c r="C314" s="82" t="s">
        <v>1433</v>
      </c>
      <c r="D314" s="83">
        <f>SUMIFS(D315:D1496,K315:K1496,"0",B315:B1496,"1 2 5*")-SUMIFS(E315:E1496,K315:K1496,"0",B315:B1496,"1 2 5*")</f>
        <v>23300.46</v>
      </c>
      <c r="E314" s="54"/>
      <c r="F314" s="83">
        <f>SUMIFS(F315:F1496,K315:K1496,"0",B315:B1496,"1 2 5*")</f>
        <v>0</v>
      </c>
      <c r="G314" s="83">
        <f>SUMIFS(G315:G1496,K315:K1496,"0",B315:B1496,"1 2 5*")</f>
        <v>0</v>
      </c>
      <c r="H314" s="83">
        <f t="shared" si="4"/>
        <v>23300.46</v>
      </c>
      <c r="I314" s="83"/>
      <c r="K314" s="54" t="s">
        <v>15</v>
      </c>
    </row>
    <row r="315" spans="2:11" ht="12.75" x14ac:dyDescent="0.2">
      <c r="B315" s="82" t="s">
        <v>1434</v>
      </c>
      <c r="C315" s="82" t="s">
        <v>1435</v>
      </c>
      <c r="D315" s="83">
        <f>SUMIFS(D316:D1496,K316:K1496,"0",B316:B1496,"1 2 5 1*")-SUMIFS(E316:E1496,K316:K1496,"0",B316:B1496,"1 2 5 1*")</f>
        <v>23300.46</v>
      </c>
      <c r="E315" s="54"/>
      <c r="F315" s="83">
        <f>SUMIFS(F316:F1496,K316:K1496,"0",B316:B1496,"1 2 5 1*")</f>
        <v>0</v>
      </c>
      <c r="G315" s="83">
        <f>SUMIFS(G316:G1496,K316:K1496,"0",B316:B1496,"1 2 5 1*")</f>
        <v>0</v>
      </c>
      <c r="H315" s="83">
        <f t="shared" si="4"/>
        <v>23300.46</v>
      </c>
      <c r="I315" s="83"/>
      <c r="K315" s="54" t="s">
        <v>15</v>
      </c>
    </row>
    <row r="316" spans="2:11" ht="12.75" x14ac:dyDescent="0.2">
      <c r="B316" s="82" t="s">
        <v>1436</v>
      </c>
      <c r="C316" s="82" t="s">
        <v>1435</v>
      </c>
      <c r="D316" s="83">
        <f>SUMIFS(D317:D1496,K317:K1496,"0",B317:B1496,"1 2 5 1 1*")-SUMIFS(E317:E1496,K317:K1496,"0",B317:B1496,"1 2 5 1 1*")</f>
        <v>23300.46</v>
      </c>
      <c r="E316" s="54"/>
      <c r="F316" s="83">
        <f>SUMIFS(F317:F1496,K317:K1496,"0",B317:B1496,"1 2 5 1 1*")</f>
        <v>0</v>
      </c>
      <c r="G316" s="83">
        <f>SUMIFS(G317:G1496,K317:K1496,"0",B317:B1496,"1 2 5 1 1*")</f>
        <v>0</v>
      </c>
      <c r="H316" s="83">
        <f t="shared" si="4"/>
        <v>23300.46</v>
      </c>
      <c r="I316" s="83"/>
      <c r="K316" s="54" t="s">
        <v>15</v>
      </c>
    </row>
    <row r="317" spans="2:11" ht="12.75" x14ac:dyDescent="0.2">
      <c r="B317" s="82" t="s">
        <v>1437</v>
      </c>
      <c r="C317" s="82" t="s">
        <v>26</v>
      </c>
      <c r="D317" s="83">
        <f>SUMIFS(D318:D1496,K318:K1496,"0",B318:B1496,"1 2 5 1 1 12*")-SUMIFS(E318:E1496,K318:K1496,"0",B318:B1496,"1 2 5 1 1 12*")</f>
        <v>23300.46</v>
      </c>
      <c r="E317" s="54"/>
      <c r="F317" s="83">
        <f>SUMIFS(F318:F1496,K318:K1496,"0",B318:B1496,"1 2 5 1 1 12*")</f>
        <v>0</v>
      </c>
      <c r="G317" s="83">
        <f>SUMIFS(G318:G1496,K318:K1496,"0",B318:B1496,"1 2 5 1 1 12*")</f>
        <v>0</v>
      </c>
      <c r="H317" s="83">
        <f t="shared" si="4"/>
        <v>23300.46</v>
      </c>
      <c r="I317" s="83"/>
      <c r="K317" s="54" t="s">
        <v>15</v>
      </c>
    </row>
    <row r="318" spans="2:11" ht="16.5" x14ac:dyDescent="0.2">
      <c r="B318" s="82" t="s">
        <v>1438</v>
      </c>
      <c r="C318" s="82" t="s">
        <v>28</v>
      </c>
      <c r="D318" s="83">
        <f>SUMIFS(D319:D1496,K319:K1496,"0",B319:B1496,"1 2 5 1 1 12 31111*")-SUMIFS(E319:E1496,K319:K1496,"0",B319:B1496,"1 2 5 1 1 12 31111*")</f>
        <v>23300.46</v>
      </c>
      <c r="E318" s="54"/>
      <c r="F318" s="83">
        <f>SUMIFS(F319:F1496,K319:K1496,"0",B319:B1496,"1 2 5 1 1 12 31111*")</f>
        <v>0</v>
      </c>
      <c r="G318" s="83">
        <f>SUMIFS(G319:G1496,K319:K1496,"0",B319:B1496,"1 2 5 1 1 12 31111*")</f>
        <v>0</v>
      </c>
      <c r="H318" s="83">
        <f t="shared" si="4"/>
        <v>23300.46</v>
      </c>
      <c r="I318" s="83"/>
      <c r="K318" s="54" t="s">
        <v>15</v>
      </c>
    </row>
    <row r="319" spans="2:11" ht="12.75" x14ac:dyDescent="0.2">
      <c r="B319" s="82" t="s">
        <v>1439</v>
      </c>
      <c r="C319" s="82" t="s">
        <v>30</v>
      </c>
      <c r="D319" s="83">
        <f>SUMIFS(D320:D1496,K320:K1496,"0",B320:B1496,"1 2 5 1 1 12 31111 6*")-SUMIFS(E320:E1496,K320:K1496,"0",B320:B1496,"1 2 5 1 1 12 31111 6*")</f>
        <v>23300.46</v>
      </c>
      <c r="E319" s="54"/>
      <c r="F319" s="83">
        <f>SUMIFS(F320:F1496,K320:K1496,"0",B320:B1496,"1 2 5 1 1 12 31111 6*")</f>
        <v>0</v>
      </c>
      <c r="G319" s="83">
        <f>SUMIFS(G320:G1496,K320:K1496,"0",B320:B1496,"1 2 5 1 1 12 31111 6*")</f>
        <v>0</v>
      </c>
      <c r="H319" s="83">
        <f t="shared" si="4"/>
        <v>23300.46</v>
      </c>
      <c r="I319" s="83"/>
      <c r="K319" s="54" t="s">
        <v>15</v>
      </c>
    </row>
    <row r="320" spans="2:11" ht="12.75" x14ac:dyDescent="0.2">
      <c r="B320" s="82" t="s">
        <v>1440</v>
      </c>
      <c r="C320" s="82" t="s">
        <v>1990</v>
      </c>
      <c r="D320" s="83">
        <f>SUMIFS(D321:D1496,K321:K1496,"0",B321:B1496,"1 2 5 1 1 12 31111 6 M59*")-SUMIFS(E321:E1496,K321:K1496,"0",B321:B1496,"1 2 5 1 1 12 31111 6 M59*")</f>
        <v>23300.46</v>
      </c>
      <c r="E320" s="54"/>
      <c r="F320" s="83">
        <f>SUMIFS(F321:F1496,K321:K1496,"0",B321:B1496,"1 2 5 1 1 12 31111 6 M59*")</f>
        <v>0</v>
      </c>
      <c r="G320" s="83">
        <f>SUMIFS(G321:G1496,K321:K1496,"0",B321:B1496,"1 2 5 1 1 12 31111 6 M59*")</f>
        <v>0</v>
      </c>
      <c r="H320" s="83">
        <f t="shared" si="4"/>
        <v>23300.46</v>
      </c>
      <c r="I320" s="83"/>
      <c r="K320" s="54" t="s">
        <v>15</v>
      </c>
    </row>
    <row r="321" spans="2:11" ht="24.75" x14ac:dyDescent="0.2">
      <c r="B321" s="82" t="s">
        <v>1443</v>
      </c>
      <c r="C321" s="82" t="s">
        <v>40</v>
      </c>
      <c r="D321" s="83">
        <f>SUMIFS(D322:D1496,K322:K1496,"0",B322:B1496,"1 2 5 1 1 12 31111 6 M59 00003*")-SUMIFS(E322:E1496,K322:K1496,"0",B322:B1496,"1 2 5 1 1 12 31111 6 M59 00003*")</f>
        <v>23300.46</v>
      </c>
      <c r="E321" s="54"/>
      <c r="F321" s="83">
        <f>SUMIFS(F322:F1496,K322:K1496,"0",B322:B1496,"1 2 5 1 1 12 31111 6 M59 00003*")</f>
        <v>0</v>
      </c>
      <c r="G321" s="83">
        <f>SUMIFS(G322:G1496,K322:K1496,"0",B322:B1496,"1 2 5 1 1 12 31111 6 M59 00003*")</f>
        <v>0</v>
      </c>
      <c r="H321" s="83">
        <f t="shared" si="4"/>
        <v>23300.46</v>
      </c>
      <c r="I321" s="83"/>
      <c r="K321" s="54" t="s">
        <v>15</v>
      </c>
    </row>
    <row r="322" spans="2:11" ht="16.5" x14ac:dyDescent="0.2">
      <c r="B322" s="82" t="s">
        <v>1444</v>
      </c>
      <c r="C322" s="82" t="s">
        <v>42</v>
      </c>
      <c r="D322" s="83">
        <f>SUMIFS(D323:D1496,K323:K1496,"0",B323:B1496,"1 2 5 1 1 12 31111 6 M59 00003 000001*")-SUMIFS(E323:E1496,K323:K1496,"0",B323:B1496,"1 2 5 1 1 12 31111 6 M59 00003 000001*")</f>
        <v>23300.46</v>
      </c>
      <c r="E322" s="54"/>
      <c r="F322" s="83">
        <f>SUMIFS(F323:F1496,K323:K1496,"0",B323:B1496,"1 2 5 1 1 12 31111 6 M59 00003 000001*")</f>
        <v>0</v>
      </c>
      <c r="G322" s="83">
        <f>SUMIFS(G323:G1496,K323:K1496,"0",B323:B1496,"1 2 5 1 1 12 31111 6 M59 00003 000001*")</f>
        <v>0</v>
      </c>
      <c r="H322" s="83">
        <f t="shared" si="4"/>
        <v>23300.46</v>
      </c>
      <c r="I322" s="83"/>
      <c r="K322" s="54" t="s">
        <v>15</v>
      </c>
    </row>
    <row r="323" spans="2:11" ht="16.5" x14ac:dyDescent="0.2">
      <c r="B323" s="84" t="s">
        <v>1445</v>
      </c>
      <c r="C323" s="84" t="s">
        <v>274</v>
      </c>
      <c r="D323" s="85">
        <v>23300.46</v>
      </c>
      <c r="E323" s="85"/>
      <c r="F323" s="85">
        <v>0</v>
      </c>
      <c r="G323" s="85">
        <v>0</v>
      </c>
      <c r="H323" s="85">
        <f t="shared" si="4"/>
        <v>23300.46</v>
      </c>
      <c r="I323" s="85"/>
      <c r="K323" s="54" t="s">
        <v>38</v>
      </c>
    </row>
    <row r="324" spans="2:11" ht="24.75" x14ac:dyDescent="0.2">
      <c r="B324" s="82" t="s">
        <v>1446</v>
      </c>
      <c r="C324" s="82" t="s">
        <v>1447</v>
      </c>
      <c r="D324" s="54"/>
      <c r="E324" s="83">
        <f>SUMIFS(E325:E1496,K325:K1496,"0",B325:B1496,"1 2 6*")-SUMIFS(D325:D1496,K325:K1496,"0",B325:B1496,"1 2 6*")</f>
        <v>8209683.96</v>
      </c>
      <c r="F324" s="83">
        <f>SUMIFS(F325:F1496,K325:K1496,"0",B325:B1496,"1 2 6*")</f>
        <v>0</v>
      </c>
      <c r="G324" s="83">
        <f>SUMIFS(G325:G1496,K325:K1496,"0",B325:B1496,"1 2 6*")</f>
        <v>0</v>
      </c>
      <c r="H324" s="83"/>
      <c r="I324" s="83">
        <f t="shared" ref="I324:I387" si="5">E324 - F324 + G324</f>
        <v>8209683.96</v>
      </c>
      <c r="K324" s="54" t="s">
        <v>15</v>
      </c>
    </row>
    <row r="325" spans="2:11" ht="16.5" x14ac:dyDescent="0.2">
      <c r="B325" s="82" t="s">
        <v>1448</v>
      </c>
      <c r="C325" s="82" t="s">
        <v>1449</v>
      </c>
      <c r="D325" s="54"/>
      <c r="E325" s="83">
        <f>SUMIFS(E326:E1496,K326:K1496,"0",B326:B1496,"1 2 6 3*")-SUMIFS(D326:D1496,K326:K1496,"0",B326:B1496,"1 2 6 3*")</f>
        <v>8209683.96</v>
      </c>
      <c r="F325" s="83">
        <f>SUMIFS(F326:F1496,K326:K1496,"0",B326:B1496,"1 2 6 3*")</f>
        <v>0</v>
      </c>
      <c r="G325" s="83">
        <f>SUMIFS(G326:G1496,K326:K1496,"0",B326:B1496,"1 2 6 3*")</f>
        <v>0</v>
      </c>
      <c r="H325" s="83"/>
      <c r="I325" s="83">
        <f t="shared" si="5"/>
        <v>8209683.96</v>
      </c>
      <c r="K325" s="54" t="s">
        <v>15</v>
      </c>
    </row>
    <row r="326" spans="2:11" ht="24.75" x14ac:dyDescent="0.2">
      <c r="B326" s="82" t="s">
        <v>1450</v>
      </c>
      <c r="C326" s="82" t="s">
        <v>1451</v>
      </c>
      <c r="D326" s="54"/>
      <c r="E326" s="83">
        <f>SUMIFS(E327:E1496,K327:K1496,"0",B327:B1496,"1 2 6 3 1*")-SUMIFS(D327:D1496,K327:K1496,"0",B327:B1496,"1 2 6 3 1*")</f>
        <v>8209683.96</v>
      </c>
      <c r="F326" s="83">
        <f>SUMIFS(F327:F1496,K327:K1496,"0",B327:B1496,"1 2 6 3 1*")</f>
        <v>0</v>
      </c>
      <c r="G326" s="83">
        <f>SUMIFS(G327:G1496,K327:K1496,"0",B327:B1496,"1 2 6 3 1*")</f>
        <v>0</v>
      </c>
      <c r="H326" s="83"/>
      <c r="I326" s="83">
        <f t="shared" si="5"/>
        <v>8209683.96</v>
      </c>
      <c r="K326" s="54" t="s">
        <v>15</v>
      </c>
    </row>
    <row r="327" spans="2:11" ht="12.75" x14ac:dyDescent="0.2">
      <c r="B327" s="82" t="s">
        <v>1452</v>
      </c>
      <c r="C327" s="82" t="s">
        <v>26</v>
      </c>
      <c r="D327" s="54"/>
      <c r="E327" s="83">
        <f>SUMIFS(E328:E1496,K328:K1496,"0",B328:B1496,"1 2 6 3 1 12*")-SUMIFS(D328:D1496,K328:K1496,"0",B328:B1496,"1 2 6 3 1 12*")</f>
        <v>8209683.96</v>
      </c>
      <c r="F327" s="83">
        <f>SUMIFS(F328:F1496,K328:K1496,"0",B328:B1496,"1 2 6 3 1 12*")</f>
        <v>0</v>
      </c>
      <c r="G327" s="83">
        <f>SUMIFS(G328:G1496,K328:K1496,"0",B328:B1496,"1 2 6 3 1 12*")</f>
        <v>0</v>
      </c>
      <c r="H327" s="83"/>
      <c r="I327" s="83">
        <f t="shared" si="5"/>
        <v>8209683.96</v>
      </c>
      <c r="K327" s="54" t="s">
        <v>15</v>
      </c>
    </row>
    <row r="328" spans="2:11" ht="16.5" x14ac:dyDescent="0.2">
      <c r="B328" s="82" t="s">
        <v>1453</v>
      </c>
      <c r="C328" s="82" t="s">
        <v>28</v>
      </c>
      <c r="D328" s="54"/>
      <c r="E328" s="83">
        <f>SUMIFS(E329:E1496,K329:K1496,"0",B329:B1496,"1 2 6 3 1 12 31111*")-SUMIFS(D329:D1496,K329:K1496,"0",B329:B1496,"1 2 6 3 1 12 31111*")</f>
        <v>8209683.96</v>
      </c>
      <c r="F328" s="83">
        <f>SUMIFS(F329:F1496,K329:K1496,"0",B329:B1496,"1 2 6 3 1 12 31111*")</f>
        <v>0</v>
      </c>
      <c r="G328" s="83">
        <f>SUMIFS(G329:G1496,K329:K1496,"0",B329:B1496,"1 2 6 3 1 12 31111*")</f>
        <v>0</v>
      </c>
      <c r="H328" s="83"/>
      <c r="I328" s="83">
        <f t="shared" si="5"/>
        <v>8209683.96</v>
      </c>
      <c r="K328" s="54" t="s">
        <v>15</v>
      </c>
    </row>
    <row r="329" spans="2:11" ht="12.75" x14ac:dyDescent="0.2">
      <c r="B329" s="82" t="s">
        <v>1454</v>
      </c>
      <c r="C329" s="82" t="s">
        <v>30</v>
      </c>
      <c r="D329" s="54"/>
      <c r="E329" s="83">
        <f>SUMIFS(E330:E1496,K330:K1496,"0",B330:B1496,"1 2 6 3 1 12 31111 6*")-SUMIFS(D330:D1496,K330:K1496,"0",B330:B1496,"1 2 6 3 1 12 31111 6*")</f>
        <v>8209683.96</v>
      </c>
      <c r="F329" s="83">
        <f>SUMIFS(F330:F1496,K330:K1496,"0",B330:B1496,"1 2 6 3 1 12 31111 6*")</f>
        <v>0</v>
      </c>
      <c r="G329" s="83">
        <f>SUMIFS(G330:G1496,K330:K1496,"0",B330:B1496,"1 2 6 3 1 12 31111 6*")</f>
        <v>0</v>
      </c>
      <c r="H329" s="83"/>
      <c r="I329" s="83">
        <f t="shared" si="5"/>
        <v>8209683.96</v>
      </c>
      <c r="K329" s="54" t="s">
        <v>15</v>
      </c>
    </row>
    <row r="330" spans="2:11" ht="16.5" x14ac:dyDescent="0.2">
      <c r="B330" s="82" t="s">
        <v>1455</v>
      </c>
      <c r="C330" s="82" t="s">
        <v>32</v>
      </c>
      <c r="D330" s="54"/>
      <c r="E330" s="83">
        <f>SUMIFS(E331:E1496,K331:K1496,"0",B331:B1496,"1 2 6 3 1 12 31111 6 M59*")-SUMIFS(D331:D1496,K331:K1496,"0",B331:B1496,"1 2 6 3 1 12 31111 6 M59*")</f>
        <v>8209683.96</v>
      </c>
      <c r="F330" s="83">
        <f>SUMIFS(F331:F1496,K331:K1496,"0",B331:B1496,"1 2 6 3 1 12 31111 6 M59*")</f>
        <v>0</v>
      </c>
      <c r="G330" s="83">
        <f>SUMIFS(G331:G1496,K331:K1496,"0",B331:B1496,"1 2 6 3 1 12 31111 6 M59*")</f>
        <v>0</v>
      </c>
      <c r="H330" s="83"/>
      <c r="I330" s="83">
        <f t="shared" si="5"/>
        <v>8209683.96</v>
      </c>
      <c r="K330" s="54" t="s">
        <v>15</v>
      </c>
    </row>
    <row r="331" spans="2:11" ht="24.75" x14ac:dyDescent="0.2">
      <c r="B331" s="82" t="s">
        <v>1479</v>
      </c>
      <c r="C331" s="82" t="s">
        <v>40</v>
      </c>
      <c r="D331" s="54"/>
      <c r="E331" s="83">
        <f>SUMIFS(E332:E1496,K332:K1496,"0",B332:B1496,"1 2 6 3 1 12 31111 6 M59 00003*")-SUMIFS(D332:D1496,K332:K1496,"0",B332:B1496,"1 2 6 3 1 12 31111 6 M59 00003*")</f>
        <v>8209683.96</v>
      </c>
      <c r="F331" s="83">
        <f>SUMIFS(F332:F1496,K332:K1496,"0",B332:B1496,"1 2 6 3 1 12 31111 6 M59 00003*")</f>
        <v>0</v>
      </c>
      <c r="G331" s="83">
        <f>SUMIFS(G332:G1496,K332:K1496,"0",B332:B1496,"1 2 6 3 1 12 31111 6 M59 00003*")</f>
        <v>0</v>
      </c>
      <c r="H331" s="83"/>
      <c r="I331" s="83">
        <f t="shared" si="5"/>
        <v>8209683.96</v>
      </c>
      <c r="K331" s="54" t="s">
        <v>15</v>
      </c>
    </row>
    <row r="332" spans="2:11" ht="16.5" x14ac:dyDescent="0.2">
      <c r="B332" s="82" t="s">
        <v>1480</v>
      </c>
      <c r="C332" s="82" t="s">
        <v>42</v>
      </c>
      <c r="D332" s="54"/>
      <c r="E332" s="83">
        <f>SUMIFS(E333:E1496,K333:K1496,"0",B333:B1496,"1 2 6 3 1 12 31111 6 M59 00003 000003*")-SUMIFS(D333:D1496,K333:K1496,"0",B333:B1496,"1 2 6 3 1 12 31111 6 M59 00003 000003*")</f>
        <v>8209683.96</v>
      </c>
      <c r="F332" s="83">
        <f>SUMIFS(F333:F1496,K333:K1496,"0",B333:B1496,"1 2 6 3 1 12 31111 6 M59 00003 000003*")</f>
        <v>0</v>
      </c>
      <c r="G332" s="83">
        <f>SUMIFS(G333:G1496,K333:K1496,"0",B333:B1496,"1 2 6 3 1 12 31111 6 M59 00003 000003*")</f>
        <v>0</v>
      </c>
      <c r="H332" s="83"/>
      <c r="I332" s="83">
        <f t="shared" si="5"/>
        <v>8209683.96</v>
      </c>
      <c r="K332" s="54" t="s">
        <v>15</v>
      </c>
    </row>
    <row r="333" spans="2:11" ht="16.5" x14ac:dyDescent="0.2">
      <c r="B333" s="84" t="s">
        <v>1481</v>
      </c>
      <c r="C333" s="84" t="s">
        <v>434</v>
      </c>
      <c r="D333" s="85"/>
      <c r="E333" s="85">
        <v>6827729.8499999996</v>
      </c>
      <c r="F333" s="85">
        <v>0</v>
      </c>
      <c r="G333" s="85">
        <v>0</v>
      </c>
      <c r="H333" s="85"/>
      <c r="I333" s="85">
        <f t="shared" si="5"/>
        <v>6827729.8499999996</v>
      </c>
      <c r="K333" s="54" t="s">
        <v>38</v>
      </c>
    </row>
    <row r="334" spans="2:11" ht="16.5" x14ac:dyDescent="0.2">
      <c r="B334" s="84" t="s">
        <v>1482</v>
      </c>
      <c r="C334" s="84" t="s">
        <v>1035</v>
      </c>
      <c r="D334" s="85"/>
      <c r="E334" s="85">
        <v>1078604.31</v>
      </c>
      <c r="F334" s="85">
        <v>0</v>
      </c>
      <c r="G334" s="85">
        <v>0</v>
      </c>
      <c r="H334" s="85"/>
      <c r="I334" s="85">
        <f t="shared" si="5"/>
        <v>1078604.31</v>
      </c>
      <c r="K334" s="54" t="s">
        <v>38</v>
      </c>
    </row>
    <row r="335" spans="2:11" ht="16.5" x14ac:dyDescent="0.2">
      <c r="B335" s="84" t="s">
        <v>1483</v>
      </c>
      <c r="C335" s="84" t="s">
        <v>1037</v>
      </c>
      <c r="D335" s="85"/>
      <c r="E335" s="85">
        <v>16327.8</v>
      </c>
      <c r="F335" s="85">
        <v>0</v>
      </c>
      <c r="G335" s="85">
        <v>0</v>
      </c>
      <c r="H335" s="85"/>
      <c r="I335" s="85">
        <f t="shared" si="5"/>
        <v>16327.8</v>
      </c>
      <c r="K335" s="54" t="s">
        <v>38</v>
      </c>
    </row>
    <row r="336" spans="2:11" ht="33" x14ac:dyDescent="0.2">
      <c r="B336" s="84" t="s">
        <v>1484</v>
      </c>
      <c r="C336" s="84" t="s">
        <v>984</v>
      </c>
      <c r="D336" s="85"/>
      <c r="E336" s="85">
        <v>26440</v>
      </c>
      <c r="F336" s="85">
        <v>0</v>
      </c>
      <c r="G336" s="85">
        <v>0</v>
      </c>
      <c r="H336" s="85"/>
      <c r="I336" s="85">
        <f t="shared" si="5"/>
        <v>26440</v>
      </c>
      <c r="K336" s="54" t="s">
        <v>38</v>
      </c>
    </row>
    <row r="337" spans="2:11" ht="16.5" x14ac:dyDescent="0.2">
      <c r="B337" s="84" t="s">
        <v>1485</v>
      </c>
      <c r="C337" s="84" t="s">
        <v>1384</v>
      </c>
      <c r="D337" s="85"/>
      <c r="E337" s="85">
        <v>3182</v>
      </c>
      <c r="F337" s="85">
        <v>0</v>
      </c>
      <c r="G337" s="85">
        <v>0</v>
      </c>
      <c r="H337" s="85"/>
      <c r="I337" s="85">
        <f t="shared" si="5"/>
        <v>3182</v>
      </c>
      <c r="K337" s="54" t="s">
        <v>38</v>
      </c>
    </row>
    <row r="338" spans="2:11" ht="16.5" x14ac:dyDescent="0.2">
      <c r="B338" s="84" t="s">
        <v>1486</v>
      </c>
      <c r="C338" s="84" t="s">
        <v>1234</v>
      </c>
      <c r="D338" s="85"/>
      <c r="E338" s="85">
        <v>4400</v>
      </c>
      <c r="F338" s="85">
        <v>0</v>
      </c>
      <c r="G338" s="85">
        <v>0</v>
      </c>
      <c r="H338" s="85"/>
      <c r="I338" s="85">
        <f t="shared" si="5"/>
        <v>4400</v>
      </c>
      <c r="K338" s="54" t="s">
        <v>38</v>
      </c>
    </row>
    <row r="339" spans="2:11" ht="16.5" x14ac:dyDescent="0.2">
      <c r="B339" s="84" t="s">
        <v>1487</v>
      </c>
      <c r="C339" s="84" t="s">
        <v>1236</v>
      </c>
      <c r="D339" s="85"/>
      <c r="E339" s="85">
        <v>100000</v>
      </c>
      <c r="F339" s="85">
        <v>0</v>
      </c>
      <c r="G339" s="85">
        <v>0</v>
      </c>
      <c r="H339" s="85"/>
      <c r="I339" s="85">
        <f t="shared" si="5"/>
        <v>100000</v>
      </c>
      <c r="K339" s="54" t="s">
        <v>38</v>
      </c>
    </row>
    <row r="340" spans="2:11" ht="16.5" x14ac:dyDescent="0.2">
      <c r="B340" s="84" t="s">
        <v>1488</v>
      </c>
      <c r="C340" s="84" t="s">
        <v>274</v>
      </c>
      <c r="D340" s="85"/>
      <c r="E340" s="85">
        <v>153000</v>
      </c>
      <c r="F340" s="85">
        <v>0</v>
      </c>
      <c r="G340" s="85">
        <v>0</v>
      </c>
      <c r="H340" s="85"/>
      <c r="I340" s="85">
        <f t="shared" si="5"/>
        <v>153000</v>
      </c>
      <c r="K340" s="54" t="s">
        <v>38</v>
      </c>
    </row>
    <row r="341" spans="2:11" ht="12.75" x14ac:dyDescent="0.2">
      <c r="B341" s="82" t="s">
        <v>1496</v>
      </c>
      <c r="C341" s="82" t="s">
        <v>1497</v>
      </c>
      <c r="D341" s="54"/>
      <c r="E341" s="83">
        <f>SUMIFS(E342:E1496,K342:K1496,"0",B342:B1496,"2*")-SUMIFS(D342:D1496,K342:K1496,"0",B342:B1496,"2*")</f>
        <v>3992466.67</v>
      </c>
      <c r="F341" s="83">
        <f>SUMIFS(F342:F1496,K342:K1496,"0",B342:B1496,"2*")</f>
        <v>68179123.239999995</v>
      </c>
      <c r="G341" s="83">
        <f>SUMIFS(G342:G1496,K342:K1496,"0",B342:B1496,"2*")</f>
        <v>68255252.319999993</v>
      </c>
      <c r="H341" s="83"/>
      <c r="I341" s="83">
        <f t="shared" si="5"/>
        <v>4068595.75</v>
      </c>
      <c r="K341" s="54" t="s">
        <v>15</v>
      </c>
    </row>
    <row r="342" spans="2:11" ht="12.75" x14ac:dyDescent="0.2">
      <c r="B342" s="82" t="s">
        <v>1498</v>
      </c>
      <c r="C342" s="82" t="s">
        <v>1499</v>
      </c>
      <c r="D342" s="54"/>
      <c r="E342" s="83">
        <f>SUMIFS(E343:E1496,K343:K1496,"0",B343:B1496,"2 1*")-SUMIFS(D343:D1496,K343:K1496,"0",B343:B1496,"2 1*")</f>
        <v>3992466.67</v>
      </c>
      <c r="F342" s="83">
        <f>SUMIFS(F343:F1496,K343:K1496,"0",B343:B1496,"2 1*")</f>
        <v>68179123.239999995</v>
      </c>
      <c r="G342" s="83">
        <f>SUMIFS(G343:G1496,K343:K1496,"0",B343:B1496,"2 1*")</f>
        <v>68255252.319999993</v>
      </c>
      <c r="H342" s="83"/>
      <c r="I342" s="83">
        <f t="shared" si="5"/>
        <v>4068595.75</v>
      </c>
      <c r="K342" s="54" t="s">
        <v>15</v>
      </c>
    </row>
    <row r="343" spans="2:11" ht="16.5" x14ac:dyDescent="0.2">
      <c r="B343" s="82" t="s">
        <v>1500</v>
      </c>
      <c r="C343" s="82" t="s">
        <v>1501</v>
      </c>
      <c r="D343" s="54"/>
      <c r="E343" s="83">
        <f>SUMIFS(E344:E1496,K344:K1496,"0",B344:B1496,"2 1 1*")-SUMIFS(D344:D1496,K344:K1496,"0",B344:B1496,"2 1 1*")</f>
        <v>3985466.67</v>
      </c>
      <c r="F343" s="83">
        <f>SUMIFS(F344:F1496,K344:K1496,"0",B344:B1496,"2 1 1*")</f>
        <v>65902596.289999992</v>
      </c>
      <c r="G343" s="83">
        <f>SUMIFS(G344:G1496,K344:K1496,"0",B344:B1496,"2 1 1*")</f>
        <v>65963520.179999992</v>
      </c>
      <c r="H343" s="83"/>
      <c r="I343" s="83">
        <f t="shared" si="5"/>
        <v>4046390.5600000024</v>
      </c>
      <c r="K343" s="54" t="s">
        <v>15</v>
      </c>
    </row>
    <row r="344" spans="2:11" ht="16.5" x14ac:dyDescent="0.2">
      <c r="B344" s="82" t="s">
        <v>1502</v>
      </c>
      <c r="C344" s="82" t="s">
        <v>1503</v>
      </c>
      <c r="D344" s="54"/>
      <c r="E344" s="83">
        <f>SUMIFS(E345:E1496,K345:K1496,"0",B345:B1496,"2 1 1 1*")-SUMIFS(D345:D1496,K345:K1496,"0",B345:B1496,"2 1 1 1*")</f>
        <v>20400</v>
      </c>
      <c r="F344" s="83">
        <f>SUMIFS(F345:F1496,K345:K1496,"0",B345:B1496,"2 1 1 1*")</f>
        <v>26800020.649999999</v>
      </c>
      <c r="G344" s="83">
        <f>SUMIFS(G345:G1496,K345:K1496,"0",B345:B1496,"2 1 1 1*")</f>
        <v>27207208.649999999</v>
      </c>
      <c r="H344" s="83"/>
      <c r="I344" s="83">
        <f t="shared" si="5"/>
        <v>427588</v>
      </c>
      <c r="K344" s="54" t="s">
        <v>15</v>
      </c>
    </row>
    <row r="345" spans="2:11" ht="24.75" x14ac:dyDescent="0.2">
      <c r="B345" s="82" t="s">
        <v>1504</v>
      </c>
      <c r="C345" s="82" t="s">
        <v>1505</v>
      </c>
      <c r="D345" s="54"/>
      <c r="E345" s="83">
        <f>SUMIFS(E346:E1496,K346:K1496,"0",B346:B1496,"2 1 1 1 1*")-SUMIFS(D346:D1496,K346:K1496,"0",B346:B1496,"2 1 1 1 1*")</f>
        <v>20400</v>
      </c>
      <c r="F345" s="83">
        <f>SUMIFS(F346:F1496,K346:K1496,"0",B346:B1496,"2 1 1 1 1*")</f>
        <v>26800020.649999999</v>
      </c>
      <c r="G345" s="83">
        <f>SUMIFS(G346:G1496,K346:K1496,"0",B346:B1496,"2 1 1 1 1*")</f>
        <v>27207208.649999999</v>
      </c>
      <c r="H345" s="83"/>
      <c r="I345" s="83">
        <f t="shared" si="5"/>
        <v>427588</v>
      </c>
      <c r="K345" s="54" t="s">
        <v>15</v>
      </c>
    </row>
    <row r="346" spans="2:11" ht="12.75" x14ac:dyDescent="0.2">
      <c r="B346" s="82" t="s">
        <v>1506</v>
      </c>
      <c r="C346" s="82" t="s">
        <v>26</v>
      </c>
      <c r="D346" s="54"/>
      <c r="E346" s="83">
        <f>SUMIFS(E347:E1496,K347:K1496,"0",B347:B1496,"2 1 1 1 1 12*")-SUMIFS(D347:D1496,K347:K1496,"0",B347:B1496,"2 1 1 1 1 12*")</f>
        <v>20400</v>
      </c>
      <c r="F346" s="83">
        <f>SUMIFS(F347:F1496,K347:K1496,"0",B347:B1496,"2 1 1 1 1 12*")</f>
        <v>26800020.649999999</v>
      </c>
      <c r="G346" s="83">
        <f>SUMIFS(G347:G1496,K347:K1496,"0",B347:B1496,"2 1 1 1 1 12*")</f>
        <v>27207208.649999999</v>
      </c>
      <c r="H346" s="83"/>
      <c r="I346" s="83">
        <f t="shared" si="5"/>
        <v>427588</v>
      </c>
      <c r="K346" s="54" t="s">
        <v>15</v>
      </c>
    </row>
    <row r="347" spans="2:11" ht="16.5" x14ac:dyDescent="0.2">
      <c r="B347" s="82" t="s">
        <v>1507</v>
      </c>
      <c r="C347" s="82" t="s">
        <v>28</v>
      </c>
      <c r="D347" s="54"/>
      <c r="E347" s="83">
        <f>SUMIFS(E348:E1496,K348:K1496,"0",B348:B1496,"2 1 1 1 1 12 31111*")-SUMIFS(D348:D1496,K348:K1496,"0",B348:B1496,"2 1 1 1 1 12 31111*")</f>
        <v>20400</v>
      </c>
      <c r="F347" s="83">
        <f>SUMIFS(F348:F1496,K348:K1496,"0",B348:B1496,"2 1 1 1 1 12 31111*")</f>
        <v>26800020.649999999</v>
      </c>
      <c r="G347" s="83">
        <f>SUMIFS(G348:G1496,K348:K1496,"0",B348:B1496,"2 1 1 1 1 12 31111*")</f>
        <v>27207208.649999999</v>
      </c>
      <c r="H347" s="83"/>
      <c r="I347" s="83">
        <f t="shared" si="5"/>
        <v>427588</v>
      </c>
      <c r="K347" s="54" t="s">
        <v>15</v>
      </c>
    </row>
    <row r="348" spans="2:11" ht="12.75" x14ac:dyDescent="0.2">
      <c r="B348" s="82" t="s">
        <v>1508</v>
      </c>
      <c r="C348" s="82" t="s">
        <v>30</v>
      </c>
      <c r="D348" s="54"/>
      <c r="E348" s="83">
        <f>SUMIFS(E349:E1496,K349:K1496,"0",B349:B1496,"2 1 1 1 1 12 31111 6*")-SUMIFS(D349:D1496,K349:K1496,"0",B349:B1496,"2 1 1 1 1 12 31111 6*")</f>
        <v>20400</v>
      </c>
      <c r="F348" s="83">
        <f>SUMIFS(F349:F1496,K349:K1496,"0",B349:B1496,"2 1 1 1 1 12 31111 6*")</f>
        <v>26800020.649999999</v>
      </c>
      <c r="G348" s="83">
        <f>SUMIFS(G349:G1496,K349:K1496,"0",B349:B1496,"2 1 1 1 1 12 31111 6*")</f>
        <v>27207208.649999999</v>
      </c>
      <c r="H348" s="83"/>
      <c r="I348" s="83">
        <f t="shared" si="5"/>
        <v>427588</v>
      </c>
      <c r="K348" s="54" t="s">
        <v>15</v>
      </c>
    </row>
    <row r="349" spans="2:11" ht="12.75" x14ac:dyDescent="0.2">
      <c r="B349" s="82" t="s">
        <v>1509</v>
      </c>
      <c r="C349" s="82" t="s">
        <v>32</v>
      </c>
      <c r="D349" s="54"/>
      <c r="E349" s="83">
        <f>SUMIFS(E350:E1496,K350:K1496,"0",B350:B1496,"2 1 1 1 1 12 31111 6 M59*")-SUMIFS(D350:D1496,K350:K1496,"0",B350:B1496,"2 1 1 1 1 12 31111 6 M59*")</f>
        <v>20400</v>
      </c>
      <c r="F349" s="83">
        <f>SUMIFS(F350:F1496,K350:K1496,"0",B350:B1496,"2 1 1 1 1 12 31111 6 M59*")</f>
        <v>26800020.649999999</v>
      </c>
      <c r="G349" s="83">
        <f>SUMIFS(G350:G1496,K350:K1496,"0",B350:B1496,"2 1 1 1 1 12 31111 6 M59*")</f>
        <v>27207208.649999999</v>
      </c>
      <c r="H349" s="83"/>
      <c r="I349" s="83">
        <f t="shared" si="5"/>
        <v>427588</v>
      </c>
      <c r="K349" s="54" t="s">
        <v>15</v>
      </c>
    </row>
    <row r="350" spans="2:11" ht="24.75" x14ac:dyDescent="0.2">
      <c r="B350" s="82" t="s">
        <v>1513</v>
      </c>
      <c r="C350" s="82" t="s">
        <v>1514</v>
      </c>
      <c r="D350" s="54"/>
      <c r="E350" s="83">
        <f>SUMIFS(E351:E1496,K351:K1496,"0",B351:B1496,"2 1 1 1 1 12 31111 6 M59 00003*")-SUMIFS(D351:D1496,K351:K1496,"0",B351:B1496,"2 1 1 1 1 12 31111 6 M59 00003*")</f>
        <v>20400</v>
      </c>
      <c r="F350" s="83">
        <f>SUMIFS(F351:F1496,K351:K1496,"0",B351:B1496,"2 1 1 1 1 12 31111 6 M59 00003*")</f>
        <v>26800020.649999999</v>
      </c>
      <c r="G350" s="83">
        <f>SUMIFS(G351:G1496,K351:K1496,"0",B351:B1496,"2 1 1 1 1 12 31111 6 M59 00003*")</f>
        <v>27207208.649999999</v>
      </c>
      <c r="H350" s="83"/>
      <c r="I350" s="83">
        <f t="shared" si="5"/>
        <v>427588</v>
      </c>
      <c r="K350" s="54" t="s">
        <v>15</v>
      </c>
    </row>
    <row r="351" spans="2:11" ht="16.5" x14ac:dyDescent="0.2">
      <c r="B351" s="82" t="s">
        <v>1515</v>
      </c>
      <c r="C351" s="82" t="s">
        <v>1516</v>
      </c>
      <c r="D351" s="54"/>
      <c r="E351" s="83">
        <f>SUMIFS(E352:E1496,K352:K1496,"0",B352:B1496,"2 1 1 1 1 12 31111 6 M59 00003 000001*")-SUMIFS(D352:D1496,K352:K1496,"0",B352:B1496,"2 1 1 1 1 12 31111 6 M59 00003 000001*")</f>
        <v>20400</v>
      </c>
      <c r="F351" s="83">
        <f>SUMIFS(F352:F1496,K352:K1496,"0",B352:B1496,"2 1 1 1 1 12 31111 6 M59 00003 000001*")</f>
        <v>26800020.649999999</v>
      </c>
      <c r="G351" s="83">
        <f>SUMIFS(G352:G1496,K352:K1496,"0",B352:B1496,"2 1 1 1 1 12 31111 6 M59 00003 000001*")</f>
        <v>27207208.649999999</v>
      </c>
      <c r="H351" s="83"/>
      <c r="I351" s="83">
        <f t="shared" si="5"/>
        <v>427588</v>
      </c>
      <c r="K351" s="54" t="s">
        <v>15</v>
      </c>
    </row>
    <row r="352" spans="2:11" ht="16.5" x14ac:dyDescent="0.2">
      <c r="B352" s="84" t="s">
        <v>1517</v>
      </c>
      <c r="C352" s="84" t="s">
        <v>1512</v>
      </c>
      <c r="D352" s="85"/>
      <c r="E352" s="85">
        <v>20400</v>
      </c>
      <c r="F352" s="85">
        <v>26282487.649999999</v>
      </c>
      <c r="G352" s="85">
        <v>26689675.649999999</v>
      </c>
      <c r="H352" s="85"/>
      <c r="I352" s="85">
        <f t="shared" si="5"/>
        <v>427588</v>
      </c>
      <c r="K352" s="54" t="s">
        <v>38</v>
      </c>
    </row>
    <row r="353" spans="2:11" ht="16.5" x14ac:dyDescent="0.2">
      <c r="B353" s="84" t="s">
        <v>1518</v>
      </c>
      <c r="C353" s="84" t="s">
        <v>1519</v>
      </c>
      <c r="D353" s="85"/>
      <c r="E353" s="85">
        <v>0</v>
      </c>
      <c r="F353" s="85">
        <v>517533</v>
      </c>
      <c r="G353" s="85">
        <v>517533</v>
      </c>
      <c r="H353" s="85"/>
      <c r="I353" s="85">
        <f t="shared" si="5"/>
        <v>0</v>
      </c>
      <c r="K353" s="54" t="s">
        <v>38</v>
      </c>
    </row>
    <row r="354" spans="2:11" ht="16.5" x14ac:dyDescent="0.2">
      <c r="B354" s="82" t="s">
        <v>1522</v>
      </c>
      <c r="C354" s="82" t="s">
        <v>1523</v>
      </c>
      <c r="D354" s="54"/>
      <c r="E354" s="83">
        <f>SUMIFS(E355:E1496,K355:K1496,"0",B355:B1496,"2 1 1 2*")-SUMIFS(D355:D1496,K355:K1496,"0",B355:B1496,"2 1 1 2*")</f>
        <v>187385.25</v>
      </c>
      <c r="F354" s="83">
        <f>SUMIFS(F355:F1496,K355:K1496,"0",B355:B1496,"2 1 1 2*")</f>
        <v>30110447.030000001</v>
      </c>
      <c r="G354" s="83">
        <f>SUMIFS(G355:G1496,K355:K1496,"0",B355:B1496,"2 1 1 2*")</f>
        <v>30110447.030000001</v>
      </c>
      <c r="H354" s="83"/>
      <c r="I354" s="83">
        <f t="shared" si="5"/>
        <v>187385.25</v>
      </c>
      <c r="K354" s="54" t="s">
        <v>15</v>
      </c>
    </row>
    <row r="355" spans="2:11" ht="24.75" x14ac:dyDescent="0.2">
      <c r="B355" s="82" t="s">
        <v>1524</v>
      </c>
      <c r="C355" s="82" t="s">
        <v>1525</v>
      </c>
      <c r="D355" s="54"/>
      <c r="E355" s="83">
        <f>SUMIFS(E356:E1496,K356:K1496,"0",B356:B1496,"2 1 1 2 1*")-SUMIFS(D356:D1496,K356:K1496,"0",B356:B1496,"2 1 1 2 1*")</f>
        <v>187385.25</v>
      </c>
      <c r="F355" s="83">
        <f>SUMIFS(F356:F1496,K356:K1496,"0",B356:B1496,"2 1 1 2 1*")</f>
        <v>30110447.030000001</v>
      </c>
      <c r="G355" s="83">
        <f>SUMIFS(G356:G1496,K356:K1496,"0",B356:B1496,"2 1 1 2 1*")</f>
        <v>30110447.030000001</v>
      </c>
      <c r="H355" s="83"/>
      <c r="I355" s="83">
        <f t="shared" si="5"/>
        <v>187385.25</v>
      </c>
      <c r="K355" s="54" t="s">
        <v>15</v>
      </c>
    </row>
    <row r="356" spans="2:11" ht="12.75" x14ac:dyDescent="0.2">
      <c r="B356" s="82" t="s">
        <v>1526</v>
      </c>
      <c r="C356" s="82" t="s">
        <v>26</v>
      </c>
      <c r="D356" s="54"/>
      <c r="E356" s="83">
        <f>SUMIFS(E357:E1496,K357:K1496,"0",B357:B1496,"2 1 1 2 1 12*")-SUMIFS(D357:D1496,K357:K1496,"0",B357:B1496,"2 1 1 2 1 12*")</f>
        <v>187385.25</v>
      </c>
      <c r="F356" s="83">
        <f>SUMIFS(F357:F1496,K357:K1496,"0",B357:B1496,"2 1 1 2 1 12*")</f>
        <v>30110447.030000001</v>
      </c>
      <c r="G356" s="83">
        <f>SUMIFS(G357:G1496,K357:K1496,"0",B357:B1496,"2 1 1 2 1 12*")</f>
        <v>30110447.030000001</v>
      </c>
      <c r="H356" s="83"/>
      <c r="I356" s="83">
        <f t="shared" si="5"/>
        <v>187385.25</v>
      </c>
      <c r="K356" s="54" t="s">
        <v>15</v>
      </c>
    </row>
    <row r="357" spans="2:11" ht="16.5" x14ac:dyDescent="0.2">
      <c r="B357" s="82" t="s">
        <v>1527</v>
      </c>
      <c r="C357" s="82" t="s">
        <v>28</v>
      </c>
      <c r="D357" s="54"/>
      <c r="E357" s="83">
        <f>SUMIFS(E358:E1496,K358:K1496,"0",B358:B1496,"2 1 1 2 1 12 31111*")-SUMIFS(D358:D1496,K358:K1496,"0",B358:B1496,"2 1 1 2 1 12 31111*")</f>
        <v>187385.25</v>
      </c>
      <c r="F357" s="83">
        <f>SUMIFS(F358:F1496,K358:K1496,"0",B358:B1496,"2 1 1 2 1 12 31111*")</f>
        <v>30110447.030000001</v>
      </c>
      <c r="G357" s="83">
        <f>SUMIFS(G358:G1496,K358:K1496,"0",B358:B1496,"2 1 1 2 1 12 31111*")</f>
        <v>30110447.030000001</v>
      </c>
      <c r="H357" s="83"/>
      <c r="I357" s="83">
        <f t="shared" si="5"/>
        <v>187385.25</v>
      </c>
      <c r="K357" s="54" t="s">
        <v>15</v>
      </c>
    </row>
    <row r="358" spans="2:11" ht="12.75" x14ac:dyDescent="0.2">
      <c r="B358" s="82" t="s">
        <v>1528</v>
      </c>
      <c r="C358" s="82" t="s">
        <v>30</v>
      </c>
      <c r="D358" s="54"/>
      <c r="E358" s="83">
        <f>SUMIFS(E359:E1496,K359:K1496,"0",B359:B1496,"2 1 1 2 1 12 31111 6*")-SUMIFS(D359:D1496,K359:K1496,"0",B359:B1496,"2 1 1 2 1 12 31111 6*")</f>
        <v>187385.25</v>
      </c>
      <c r="F358" s="83">
        <f>SUMIFS(F359:F1496,K359:K1496,"0",B359:B1496,"2 1 1 2 1 12 31111 6*")</f>
        <v>30110447.030000001</v>
      </c>
      <c r="G358" s="83">
        <f>SUMIFS(G359:G1496,K359:K1496,"0",B359:B1496,"2 1 1 2 1 12 31111 6*")</f>
        <v>30110447.030000001</v>
      </c>
      <c r="H358" s="83"/>
      <c r="I358" s="83">
        <f t="shared" si="5"/>
        <v>187385.25</v>
      </c>
      <c r="K358" s="54" t="s">
        <v>15</v>
      </c>
    </row>
    <row r="359" spans="2:11" ht="12.75" x14ac:dyDescent="0.2">
      <c r="B359" s="82" t="s">
        <v>1529</v>
      </c>
      <c r="C359" s="82" t="s">
        <v>32</v>
      </c>
      <c r="D359" s="54"/>
      <c r="E359" s="83">
        <f>SUMIFS(E360:E1496,K360:K1496,"0",B360:B1496,"2 1 1 2 1 12 31111 6 M59*")-SUMIFS(D360:D1496,K360:K1496,"0",B360:B1496,"2 1 1 2 1 12 31111 6 M59*")</f>
        <v>187385.25</v>
      </c>
      <c r="F359" s="83">
        <f>SUMIFS(F360:F1496,K360:K1496,"0",B360:B1496,"2 1 1 2 1 12 31111 6 M59*")</f>
        <v>30110447.030000001</v>
      </c>
      <c r="G359" s="83">
        <f>SUMIFS(G360:G1496,K360:K1496,"0",B360:B1496,"2 1 1 2 1 12 31111 6 M59*")</f>
        <v>30110447.030000001</v>
      </c>
      <c r="H359" s="83"/>
      <c r="I359" s="83">
        <f t="shared" si="5"/>
        <v>187385.25</v>
      </c>
      <c r="K359" s="54" t="s">
        <v>15</v>
      </c>
    </row>
    <row r="360" spans="2:11" ht="24.75" x14ac:dyDescent="0.2">
      <c r="B360" s="82" t="s">
        <v>1600</v>
      </c>
      <c r="C360" s="82" t="s">
        <v>1514</v>
      </c>
      <c r="D360" s="54"/>
      <c r="E360" s="83">
        <f>SUMIFS(E361:E1496,K361:K1496,"0",B361:B1496,"2 1 1 2 1 12 31111 6 M59 00003*")-SUMIFS(D361:D1496,K361:K1496,"0",B361:B1496,"2 1 1 2 1 12 31111 6 M59 00003*")</f>
        <v>187385.25</v>
      </c>
      <c r="F360" s="83">
        <f>SUMIFS(F361:F1496,K361:K1496,"0",B361:B1496,"2 1 1 2 1 12 31111 6 M59 00003*")</f>
        <v>30110447.030000001</v>
      </c>
      <c r="G360" s="83">
        <f>SUMIFS(G361:G1496,K361:K1496,"0",B361:B1496,"2 1 1 2 1 12 31111 6 M59 00003*")</f>
        <v>30110447.030000001</v>
      </c>
      <c r="H360" s="83"/>
      <c r="I360" s="83">
        <f t="shared" si="5"/>
        <v>187385.25</v>
      </c>
      <c r="K360" s="54" t="s">
        <v>15</v>
      </c>
    </row>
    <row r="361" spans="2:11" ht="16.5" x14ac:dyDescent="0.2">
      <c r="B361" s="82" t="s">
        <v>1601</v>
      </c>
      <c r="C361" s="82" t="s">
        <v>1602</v>
      </c>
      <c r="D361" s="54"/>
      <c r="E361" s="83">
        <f>SUMIFS(E362:E1496,K362:K1496,"0",B362:B1496,"2 1 1 2 1 12 31111 6 M59 00003 000001*")-SUMIFS(D362:D1496,K362:K1496,"0",B362:B1496,"2 1 1 2 1 12 31111 6 M59 00003 000001*")</f>
        <v>0</v>
      </c>
      <c r="F361" s="83">
        <f>SUMIFS(F362:F1496,K362:K1496,"0",B362:B1496,"2 1 1 2 1 12 31111 6 M59 00003 000001*")</f>
        <v>8715858.7599999998</v>
      </c>
      <c r="G361" s="83">
        <f>SUMIFS(G362:G1496,K362:K1496,"0",B362:B1496,"2 1 1 2 1 12 31111 6 M59 00003 000001*")</f>
        <v>8715858.7599999998</v>
      </c>
      <c r="H361" s="83"/>
      <c r="I361" s="83">
        <f t="shared" si="5"/>
        <v>0</v>
      </c>
      <c r="K361" s="54" t="s">
        <v>15</v>
      </c>
    </row>
    <row r="362" spans="2:11" ht="16.5" x14ac:dyDescent="0.2">
      <c r="B362" s="84" t="s">
        <v>1603</v>
      </c>
      <c r="C362" s="84" t="s">
        <v>1604</v>
      </c>
      <c r="D362" s="85"/>
      <c r="E362" s="85">
        <v>0</v>
      </c>
      <c r="F362" s="85">
        <v>904805.13</v>
      </c>
      <c r="G362" s="85">
        <v>904805.13</v>
      </c>
      <c r="H362" s="85"/>
      <c r="I362" s="85">
        <f t="shared" si="5"/>
        <v>0</v>
      </c>
      <c r="K362" s="54" t="s">
        <v>38</v>
      </c>
    </row>
    <row r="363" spans="2:11" ht="16.5" x14ac:dyDescent="0.2">
      <c r="B363" s="84" t="s">
        <v>1605</v>
      </c>
      <c r="C363" s="84" t="s">
        <v>1606</v>
      </c>
      <c r="D363" s="85"/>
      <c r="E363" s="85">
        <v>0</v>
      </c>
      <c r="F363" s="85">
        <v>66352.160000000003</v>
      </c>
      <c r="G363" s="85">
        <v>66352.160000000003</v>
      </c>
      <c r="H363" s="85"/>
      <c r="I363" s="85">
        <f t="shared" si="5"/>
        <v>0</v>
      </c>
      <c r="K363" s="54" t="s">
        <v>38</v>
      </c>
    </row>
    <row r="364" spans="2:11" ht="16.5" x14ac:dyDescent="0.2">
      <c r="B364" s="84" t="s">
        <v>1607</v>
      </c>
      <c r="C364" s="84" t="s">
        <v>1608</v>
      </c>
      <c r="D364" s="85"/>
      <c r="E364" s="85">
        <v>0</v>
      </c>
      <c r="F364" s="85">
        <v>214932.49</v>
      </c>
      <c r="G364" s="85">
        <v>214932.49</v>
      </c>
      <c r="H364" s="85"/>
      <c r="I364" s="85">
        <f t="shared" si="5"/>
        <v>0</v>
      </c>
      <c r="K364" s="54" t="s">
        <v>38</v>
      </c>
    </row>
    <row r="365" spans="2:11" ht="16.5" x14ac:dyDescent="0.2">
      <c r="B365" s="84" t="s">
        <v>1609</v>
      </c>
      <c r="C365" s="84" t="s">
        <v>1610</v>
      </c>
      <c r="D365" s="85"/>
      <c r="E365" s="85">
        <v>0</v>
      </c>
      <c r="F365" s="85">
        <v>455010</v>
      </c>
      <c r="G365" s="85">
        <v>455010</v>
      </c>
      <c r="H365" s="85"/>
      <c r="I365" s="85">
        <f t="shared" si="5"/>
        <v>0</v>
      </c>
      <c r="K365" s="54" t="s">
        <v>38</v>
      </c>
    </row>
    <row r="366" spans="2:11" ht="16.5" x14ac:dyDescent="0.2">
      <c r="B366" s="84" t="s">
        <v>1611</v>
      </c>
      <c r="C366" s="84" t="s">
        <v>1558</v>
      </c>
      <c r="D366" s="85"/>
      <c r="E366" s="85">
        <v>0</v>
      </c>
      <c r="F366" s="85">
        <v>32575</v>
      </c>
      <c r="G366" s="85">
        <v>32575</v>
      </c>
      <c r="H366" s="85"/>
      <c r="I366" s="85">
        <f t="shared" si="5"/>
        <v>0</v>
      </c>
      <c r="K366" s="54" t="s">
        <v>38</v>
      </c>
    </row>
    <row r="367" spans="2:11" ht="16.5" x14ac:dyDescent="0.2">
      <c r="B367" s="84" t="s">
        <v>1612</v>
      </c>
      <c r="C367" s="84" t="s">
        <v>1613</v>
      </c>
      <c r="D367" s="85"/>
      <c r="E367" s="85">
        <v>0</v>
      </c>
      <c r="F367" s="85">
        <v>3669</v>
      </c>
      <c r="G367" s="85">
        <v>3669</v>
      </c>
      <c r="H367" s="85"/>
      <c r="I367" s="85">
        <f t="shared" si="5"/>
        <v>0</v>
      </c>
      <c r="K367" s="54" t="s">
        <v>38</v>
      </c>
    </row>
    <row r="368" spans="2:11" ht="16.5" x14ac:dyDescent="0.2">
      <c r="B368" s="84" t="s">
        <v>1614</v>
      </c>
      <c r="C368" s="84" t="s">
        <v>1615</v>
      </c>
      <c r="D368" s="85"/>
      <c r="E368" s="85">
        <v>0</v>
      </c>
      <c r="F368" s="85">
        <v>2331</v>
      </c>
      <c r="G368" s="85">
        <v>2331</v>
      </c>
      <c r="H368" s="85"/>
      <c r="I368" s="85">
        <f t="shared" si="5"/>
        <v>0</v>
      </c>
      <c r="K368" s="54" t="s">
        <v>38</v>
      </c>
    </row>
    <row r="369" spans="2:11" ht="16.5" x14ac:dyDescent="0.2">
      <c r="B369" s="84" t="s">
        <v>1616</v>
      </c>
      <c r="C369" s="84" t="s">
        <v>1617</v>
      </c>
      <c r="D369" s="85"/>
      <c r="E369" s="85">
        <v>0</v>
      </c>
      <c r="F369" s="85">
        <v>92940</v>
      </c>
      <c r="G369" s="85">
        <v>92940</v>
      </c>
      <c r="H369" s="85"/>
      <c r="I369" s="85">
        <f t="shared" si="5"/>
        <v>0</v>
      </c>
      <c r="K369" s="54" t="s">
        <v>38</v>
      </c>
    </row>
    <row r="370" spans="2:11" ht="16.5" x14ac:dyDescent="0.2">
      <c r="B370" s="84" t="s">
        <v>1618</v>
      </c>
      <c r="C370" s="84" t="s">
        <v>1619</v>
      </c>
      <c r="D370" s="85"/>
      <c r="E370" s="85">
        <v>0</v>
      </c>
      <c r="F370" s="85">
        <v>928</v>
      </c>
      <c r="G370" s="85">
        <v>928</v>
      </c>
      <c r="H370" s="85"/>
      <c r="I370" s="85">
        <f t="shared" si="5"/>
        <v>0</v>
      </c>
      <c r="K370" s="54" t="s">
        <v>38</v>
      </c>
    </row>
    <row r="371" spans="2:11" ht="16.5" x14ac:dyDescent="0.2">
      <c r="B371" s="84" t="s">
        <v>1620</v>
      </c>
      <c r="C371" s="84" t="s">
        <v>1621</v>
      </c>
      <c r="D371" s="85"/>
      <c r="E371" s="85">
        <v>0</v>
      </c>
      <c r="F371" s="85">
        <v>1044</v>
      </c>
      <c r="G371" s="85">
        <v>1044</v>
      </c>
      <c r="H371" s="85"/>
      <c r="I371" s="85">
        <f t="shared" si="5"/>
        <v>0</v>
      </c>
      <c r="K371" s="54" t="s">
        <v>38</v>
      </c>
    </row>
    <row r="372" spans="2:11" ht="16.5" x14ac:dyDescent="0.2">
      <c r="B372" s="84" t="s">
        <v>1622</v>
      </c>
      <c r="C372" s="84" t="s">
        <v>1623</v>
      </c>
      <c r="D372" s="85"/>
      <c r="E372" s="85">
        <v>0</v>
      </c>
      <c r="F372" s="85">
        <v>2327</v>
      </c>
      <c r="G372" s="85">
        <v>2327</v>
      </c>
      <c r="H372" s="85"/>
      <c r="I372" s="85">
        <f t="shared" si="5"/>
        <v>0</v>
      </c>
      <c r="K372" s="54" t="s">
        <v>38</v>
      </c>
    </row>
    <row r="373" spans="2:11" ht="16.5" x14ac:dyDescent="0.2">
      <c r="B373" s="84" t="s">
        <v>1624</v>
      </c>
      <c r="C373" s="84" t="s">
        <v>1625</v>
      </c>
      <c r="D373" s="85"/>
      <c r="E373" s="85">
        <v>0</v>
      </c>
      <c r="F373" s="85">
        <v>1127</v>
      </c>
      <c r="G373" s="85">
        <v>1127</v>
      </c>
      <c r="H373" s="85"/>
      <c r="I373" s="85">
        <f t="shared" si="5"/>
        <v>0</v>
      </c>
      <c r="K373" s="54" t="s">
        <v>38</v>
      </c>
    </row>
    <row r="374" spans="2:11" ht="16.5" x14ac:dyDescent="0.2">
      <c r="B374" s="84" t="s">
        <v>1626</v>
      </c>
      <c r="C374" s="84" t="s">
        <v>1627</v>
      </c>
      <c r="D374" s="85"/>
      <c r="E374" s="85">
        <v>0</v>
      </c>
      <c r="F374" s="85">
        <v>2020</v>
      </c>
      <c r="G374" s="85">
        <v>2020</v>
      </c>
      <c r="H374" s="85"/>
      <c r="I374" s="85">
        <f t="shared" si="5"/>
        <v>0</v>
      </c>
      <c r="K374" s="54" t="s">
        <v>38</v>
      </c>
    </row>
    <row r="375" spans="2:11" ht="16.5" x14ac:dyDescent="0.2">
      <c r="B375" s="84" t="s">
        <v>1628</v>
      </c>
      <c r="C375" s="84" t="s">
        <v>1629</v>
      </c>
      <c r="D375" s="85"/>
      <c r="E375" s="85">
        <v>0</v>
      </c>
      <c r="F375" s="85">
        <v>1199</v>
      </c>
      <c r="G375" s="85">
        <v>1199</v>
      </c>
      <c r="H375" s="85"/>
      <c r="I375" s="85">
        <f t="shared" si="5"/>
        <v>0</v>
      </c>
      <c r="K375" s="54" t="s">
        <v>38</v>
      </c>
    </row>
    <row r="376" spans="2:11" ht="16.5" x14ac:dyDescent="0.2">
      <c r="B376" s="84" t="s">
        <v>1630</v>
      </c>
      <c r="C376" s="84" t="s">
        <v>1631</v>
      </c>
      <c r="D376" s="85"/>
      <c r="E376" s="85">
        <v>0</v>
      </c>
      <c r="F376" s="85">
        <v>271889</v>
      </c>
      <c r="G376" s="85">
        <v>271889</v>
      </c>
      <c r="H376" s="85"/>
      <c r="I376" s="85">
        <f t="shared" si="5"/>
        <v>0</v>
      </c>
      <c r="K376" s="54" t="s">
        <v>38</v>
      </c>
    </row>
    <row r="377" spans="2:11" ht="16.5" x14ac:dyDescent="0.2">
      <c r="B377" s="84" t="s">
        <v>1632</v>
      </c>
      <c r="C377" s="84" t="s">
        <v>1633</v>
      </c>
      <c r="D377" s="85"/>
      <c r="E377" s="85">
        <v>0</v>
      </c>
      <c r="F377" s="85">
        <v>6603.99</v>
      </c>
      <c r="G377" s="85">
        <v>6603.99</v>
      </c>
      <c r="H377" s="85"/>
      <c r="I377" s="85">
        <f t="shared" si="5"/>
        <v>0</v>
      </c>
      <c r="K377" s="54" t="s">
        <v>38</v>
      </c>
    </row>
    <row r="378" spans="2:11" ht="16.5" x14ac:dyDescent="0.2">
      <c r="B378" s="84" t="s">
        <v>1634</v>
      </c>
      <c r="C378" s="84" t="s">
        <v>1635</v>
      </c>
      <c r="D378" s="85"/>
      <c r="E378" s="85">
        <v>0</v>
      </c>
      <c r="F378" s="85">
        <v>962400</v>
      </c>
      <c r="G378" s="85">
        <v>962400</v>
      </c>
      <c r="H378" s="85"/>
      <c r="I378" s="85">
        <f t="shared" si="5"/>
        <v>0</v>
      </c>
      <c r="K378" s="54" t="s">
        <v>38</v>
      </c>
    </row>
    <row r="379" spans="2:11" ht="16.5" x14ac:dyDescent="0.2">
      <c r="B379" s="84" t="s">
        <v>1636</v>
      </c>
      <c r="C379" s="84" t="s">
        <v>1562</v>
      </c>
      <c r="D379" s="85"/>
      <c r="E379" s="85">
        <v>0</v>
      </c>
      <c r="F379" s="85">
        <v>105218</v>
      </c>
      <c r="G379" s="85">
        <v>105218</v>
      </c>
      <c r="H379" s="85"/>
      <c r="I379" s="85">
        <f t="shared" si="5"/>
        <v>0</v>
      </c>
      <c r="K379" s="54" t="s">
        <v>38</v>
      </c>
    </row>
    <row r="380" spans="2:11" ht="16.5" x14ac:dyDescent="0.2">
      <c r="B380" s="84" t="s">
        <v>1637</v>
      </c>
      <c r="C380" s="84" t="s">
        <v>1638</v>
      </c>
      <c r="D380" s="85"/>
      <c r="E380" s="85">
        <v>0</v>
      </c>
      <c r="F380" s="85">
        <v>478699.04</v>
      </c>
      <c r="G380" s="85">
        <v>478699.04</v>
      </c>
      <c r="H380" s="85"/>
      <c r="I380" s="85">
        <f t="shared" si="5"/>
        <v>0</v>
      </c>
      <c r="K380" s="54" t="s">
        <v>38</v>
      </c>
    </row>
    <row r="381" spans="2:11" ht="16.5" x14ac:dyDescent="0.2">
      <c r="B381" s="84" t="s">
        <v>1639</v>
      </c>
      <c r="C381" s="84" t="s">
        <v>1640</v>
      </c>
      <c r="D381" s="85"/>
      <c r="E381" s="85">
        <v>0</v>
      </c>
      <c r="F381" s="85">
        <v>800.01</v>
      </c>
      <c r="G381" s="85">
        <v>800.01</v>
      </c>
      <c r="H381" s="85"/>
      <c r="I381" s="85">
        <f t="shared" si="5"/>
        <v>0</v>
      </c>
      <c r="K381" s="54" t="s">
        <v>38</v>
      </c>
    </row>
    <row r="382" spans="2:11" ht="16.5" x14ac:dyDescent="0.2">
      <c r="B382" s="84" t="s">
        <v>1641</v>
      </c>
      <c r="C382" s="84" t="s">
        <v>1642</v>
      </c>
      <c r="D382" s="85"/>
      <c r="E382" s="85">
        <v>0</v>
      </c>
      <c r="F382" s="85">
        <v>248</v>
      </c>
      <c r="G382" s="85">
        <v>248</v>
      </c>
      <c r="H382" s="85"/>
      <c r="I382" s="85">
        <f t="shared" si="5"/>
        <v>0</v>
      </c>
      <c r="K382" s="54" t="s">
        <v>38</v>
      </c>
    </row>
    <row r="383" spans="2:11" ht="16.5" x14ac:dyDescent="0.2">
      <c r="B383" s="84" t="s">
        <v>1643</v>
      </c>
      <c r="C383" s="84" t="s">
        <v>1644</v>
      </c>
      <c r="D383" s="85"/>
      <c r="E383" s="85">
        <v>0</v>
      </c>
      <c r="F383" s="85">
        <v>1422.46</v>
      </c>
      <c r="G383" s="85">
        <v>1422.46</v>
      </c>
      <c r="H383" s="85"/>
      <c r="I383" s="85">
        <f t="shared" si="5"/>
        <v>0</v>
      </c>
      <c r="K383" s="54" t="s">
        <v>38</v>
      </c>
    </row>
    <row r="384" spans="2:11" ht="16.5" x14ac:dyDescent="0.2">
      <c r="B384" s="84" t="s">
        <v>1645</v>
      </c>
      <c r="C384" s="84" t="s">
        <v>1564</v>
      </c>
      <c r="D384" s="85"/>
      <c r="E384" s="85">
        <v>0</v>
      </c>
      <c r="F384" s="85">
        <v>2010000</v>
      </c>
      <c r="G384" s="85">
        <v>2010000</v>
      </c>
      <c r="H384" s="85"/>
      <c r="I384" s="85">
        <f t="shared" si="5"/>
        <v>0</v>
      </c>
      <c r="K384" s="54" t="s">
        <v>38</v>
      </c>
    </row>
    <row r="385" spans="2:11" ht="16.5" x14ac:dyDescent="0.2">
      <c r="B385" s="84" t="s">
        <v>1646</v>
      </c>
      <c r="C385" s="84" t="s">
        <v>1647</v>
      </c>
      <c r="D385" s="85"/>
      <c r="E385" s="85">
        <v>0</v>
      </c>
      <c r="F385" s="85">
        <v>157389</v>
      </c>
      <c r="G385" s="85">
        <v>157389</v>
      </c>
      <c r="H385" s="85"/>
      <c r="I385" s="85">
        <f t="shared" si="5"/>
        <v>0</v>
      </c>
      <c r="K385" s="54" t="s">
        <v>38</v>
      </c>
    </row>
    <row r="386" spans="2:11" ht="16.5" x14ac:dyDescent="0.2">
      <c r="B386" s="84" t="s">
        <v>1648</v>
      </c>
      <c r="C386" s="84" t="s">
        <v>1576</v>
      </c>
      <c r="D386" s="85"/>
      <c r="E386" s="85">
        <v>0</v>
      </c>
      <c r="F386" s="85">
        <v>56169.48</v>
      </c>
      <c r="G386" s="85">
        <v>56169.48</v>
      </c>
      <c r="H386" s="85"/>
      <c r="I386" s="85">
        <f t="shared" si="5"/>
        <v>0</v>
      </c>
      <c r="K386" s="54" t="s">
        <v>38</v>
      </c>
    </row>
    <row r="387" spans="2:11" ht="16.5" x14ac:dyDescent="0.2">
      <c r="B387" s="84" t="s">
        <v>1649</v>
      </c>
      <c r="C387" s="84" t="s">
        <v>1650</v>
      </c>
      <c r="D387" s="85"/>
      <c r="E387" s="85">
        <v>0</v>
      </c>
      <c r="F387" s="85">
        <v>2883760</v>
      </c>
      <c r="G387" s="85">
        <v>2883760</v>
      </c>
      <c r="H387" s="85"/>
      <c r="I387" s="85">
        <f t="shared" si="5"/>
        <v>0</v>
      </c>
      <c r="K387" s="54" t="s">
        <v>38</v>
      </c>
    </row>
    <row r="388" spans="2:11" ht="16.5" x14ac:dyDescent="0.2">
      <c r="B388" s="82" t="s">
        <v>1651</v>
      </c>
      <c r="C388" s="82" t="s">
        <v>1602</v>
      </c>
      <c r="D388" s="54"/>
      <c r="E388" s="83">
        <f>SUMIFS(E389:E1496,K389:K1496,"0",B389:B1496,"2 1 1 2 1 12 31111 6 M59 00003 000002*")-SUMIFS(D389:D1496,K389:K1496,"0",B389:B1496,"2 1 1 2 1 12 31111 6 M59 00003 000002*")</f>
        <v>187385.25</v>
      </c>
      <c r="F388" s="83">
        <f>SUMIFS(F389:F1496,K389:K1496,"0",B389:B1496,"2 1 1 2 1 12 31111 6 M59 00003 000002*")</f>
        <v>0</v>
      </c>
      <c r="G388" s="83">
        <f>SUMIFS(G389:G1496,K389:K1496,"0",B389:B1496,"2 1 1 2 1 12 31111 6 M59 00003 000002*")</f>
        <v>0</v>
      </c>
      <c r="H388" s="83"/>
      <c r="I388" s="83">
        <f t="shared" ref="I388:I451" si="6">E388 - F388 + G388</f>
        <v>187385.25</v>
      </c>
      <c r="K388" s="54" t="s">
        <v>15</v>
      </c>
    </row>
    <row r="389" spans="2:11" ht="16.5" x14ac:dyDescent="0.2">
      <c r="B389" s="84" t="s">
        <v>1652</v>
      </c>
      <c r="C389" s="84" t="s">
        <v>1653</v>
      </c>
      <c r="D389" s="85"/>
      <c r="E389" s="85">
        <v>20000</v>
      </c>
      <c r="F389" s="85">
        <v>0</v>
      </c>
      <c r="G389" s="85">
        <v>0</v>
      </c>
      <c r="H389" s="85"/>
      <c r="I389" s="85">
        <f t="shared" si="6"/>
        <v>20000</v>
      </c>
      <c r="K389" s="54" t="s">
        <v>38</v>
      </c>
    </row>
    <row r="390" spans="2:11" ht="24.75" x14ac:dyDescent="0.2">
      <c r="B390" s="84" t="s">
        <v>1654</v>
      </c>
      <c r="C390" s="84" t="s">
        <v>426</v>
      </c>
      <c r="D390" s="85"/>
      <c r="E390" s="85">
        <v>62979.839999999997</v>
      </c>
      <c r="F390" s="85">
        <v>0</v>
      </c>
      <c r="G390" s="85">
        <v>0</v>
      </c>
      <c r="H390" s="85"/>
      <c r="I390" s="85">
        <f t="shared" si="6"/>
        <v>62979.839999999997</v>
      </c>
      <c r="K390" s="54" t="s">
        <v>38</v>
      </c>
    </row>
    <row r="391" spans="2:11" ht="16.5" x14ac:dyDescent="0.2">
      <c r="B391" s="84" t="s">
        <v>1655</v>
      </c>
      <c r="C391" s="84" t="s">
        <v>428</v>
      </c>
      <c r="D391" s="85"/>
      <c r="E391" s="85">
        <v>-86.02</v>
      </c>
      <c r="F391" s="85">
        <v>0</v>
      </c>
      <c r="G391" s="85">
        <v>0</v>
      </c>
      <c r="H391" s="85"/>
      <c r="I391" s="85">
        <f t="shared" si="6"/>
        <v>-86.02</v>
      </c>
      <c r="K391" s="54" t="s">
        <v>38</v>
      </c>
    </row>
    <row r="392" spans="2:11" ht="16.5" x14ac:dyDescent="0.2">
      <c r="B392" s="84" t="s">
        <v>1656</v>
      </c>
      <c r="C392" s="84" t="s">
        <v>1657</v>
      </c>
      <c r="D392" s="85"/>
      <c r="E392" s="85">
        <v>30179.55</v>
      </c>
      <c r="F392" s="85">
        <v>0</v>
      </c>
      <c r="G392" s="85">
        <v>0</v>
      </c>
      <c r="H392" s="85"/>
      <c r="I392" s="85">
        <f t="shared" si="6"/>
        <v>30179.55</v>
      </c>
      <c r="K392" s="54" t="s">
        <v>38</v>
      </c>
    </row>
    <row r="393" spans="2:11" ht="16.5" x14ac:dyDescent="0.2">
      <c r="B393" s="84" t="s">
        <v>1658</v>
      </c>
      <c r="C393" s="84" t="s">
        <v>1659</v>
      </c>
      <c r="D393" s="85"/>
      <c r="E393" s="85">
        <v>32.380000000000003</v>
      </c>
      <c r="F393" s="85">
        <v>0</v>
      </c>
      <c r="G393" s="85">
        <v>0</v>
      </c>
      <c r="H393" s="85"/>
      <c r="I393" s="85">
        <f t="shared" si="6"/>
        <v>32.380000000000003</v>
      </c>
      <c r="K393" s="54" t="s">
        <v>38</v>
      </c>
    </row>
    <row r="394" spans="2:11" ht="16.5" x14ac:dyDescent="0.2">
      <c r="B394" s="84" t="s">
        <v>1660</v>
      </c>
      <c r="C394" s="84" t="s">
        <v>450</v>
      </c>
      <c r="D394" s="85"/>
      <c r="E394" s="85">
        <v>74225.86</v>
      </c>
      <c r="F394" s="85">
        <v>0</v>
      </c>
      <c r="G394" s="85">
        <v>0</v>
      </c>
      <c r="H394" s="85"/>
      <c r="I394" s="85">
        <f t="shared" si="6"/>
        <v>74225.86</v>
      </c>
      <c r="K394" s="54" t="s">
        <v>38</v>
      </c>
    </row>
    <row r="395" spans="2:11" ht="16.5" x14ac:dyDescent="0.2">
      <c r="B395" s="84" t="s">
        <v>1661</v>
      </c>
      <c r="C395" s="84" t="s">
        <v>1662</v>
      </c>
      <c r="D395" s="85"/>
      <c r="E395" s="85">
        <v>44.6</v>
      </c>
      <c r="F395" s="85">
        <v>0</v>
      </c>
      <c r="G395" s="85">
        <v>0</v>
      </c>
      <c r="H395" s="85"/>
      <c r="I395" s="85">
        <f t="shared" si="6"/>
        <v>44.6</v>
      </c>
      <c r="K395" s="54" t="s">
        <v>38</v>
      </c>
    </row>
    <row r="396" spans="2:11" ht="16.5" x14ac:dyDescent="0.2">
      <c r="B396" s="84" t="s">
        <v>1663</v>
      </c>
      <c r="C396" s="84" t="s">
        <v>1664</v>
      </c>
      <c r="D396" s="85"/>
      <c r="E396" s="85">
        <v>9.0399999999999991</v>
      </c>
      <c r="F396" s="85">
        <v>0</v>
      </c>
      <c r="G396" s="85">
        <v>0</v>
      </c>
      <c r="H396" s="85"/>
      <c r="I396" s="85">
        <f t="shared" si="6"/>
        <v>9.0399999999999991</v>
      </c>
      <c r="K396" s="54" t="s">
        <v>38</v>
      </c>
    </row>
    <row r="397" spans="2:11" ht="16.5" x14ac:dyDescent="0.2">
      <c r="B397" s="82" t="s">
        <v>1665</v>
      </c>
      <c r="C397" s="82" t="s">
        <v>42</v>
      </c>
      <c r="D397" s="54"/>
      <c r="E397" s="83">
        <f>SUMIFS(E398:E1496,K398:K1496,"0",B398:B1496,"2 1 1 2 1 12 31111 6 M59 00003 000053*")-SUMIFS(D398:D1496,K398:K1496,"0",B398:B1496,"2 1 1 2 1 12 31111 6 M59 00003 000053*")</f>
        <v>0</v>
      </c>
      <c r="F397" s="83">
        <f>SUMIFS(F398:F1496,K398:K1496,"0",B398:B1496,"2 1 1 2 1 12 31111 6 M59 00003 000053*")</f>
        <v>21394588.27</v>
      </c>
      <c r="G397" s="83">
        <f>SUMIFS(G398:G1496,K398:K1496,"0",B398:B1496,"2 1 1 2 1 12 31111 6 M59 00003 000053*")</f>
        <v>21394588.27</v>
      </c>
      <c r="H397" s="83"/>
      <c r="I397" s="83">
        <f t="shared" si="6"/>
        <v>0</v>
      </c>
      <c r="K397" s="54" t="s">
        <v>15</v>
      </c>
    </row>
    <row r="398" spans="2:11" ht="16.5" x14ac:dyDescent="0.2">
      <c r="B398" s="84" t="s">
        <v>1666</v>
      </c>
      <c r="C398" s="84" t="s">
        <v>1667</v>
      </c>
      <c r="D398" s="85"/>
      <c r="E398" s="85">
        <v>0</v>
      </c>
      <c r="F398" s="85">
        <v>21394588.27</v>
      </c>
      <c r="G398" s="85">
        <v>21394588.27</v>
      </c>
      <c r="H398" s="85"/>
      <c r="I398" s="85">
        <f t="shared" si="6"/>
        <v>0</v>
      </c>
      <c r="K398" s="54" t="s">
        <v>38</v>
      </c>
    </row>
    <row r="399" spans="2:11" ht="24.75" x14ac:dyDescent="0.2">
      <c r="B399" s="82" t="s">
        <v>1738</v>
      </c>
      <c r="C399" s="82" t="s">
        <v>1739</v>
      </c>
      <c r="D399" s="54"/>
      <c r="E399" s="83">
        <f>SUMIFS(E400:E1496,K400:K1496,"0",B400:B1496,"2 1 1 3*")-SUMIFS(D400:D1496,K400:K1496,"0",B400:B1496,"2 1 1 3*")</f>
        <v>0</v>
      </c>
      <c r="F399" s="83">
        <f>SUMIFS(F400:F1496,K400:K1496,"0",B400:B1496,"2 1 1 3*")</f>
        <v>380000</v>
      </c>
      <c r="G399" s="83">
        <f>SUMIFS(G400:G1496,K400:K1496,"0",B400:B1496,"2 1 1 3*")</f>
        <v>380000</v>
      </c>
      <c r="H399" s="83"/>
      <c r="I399" s="83">
        <f t="shared" si="6"/>
        <v>0</v>
      </c>
      <c r="K399" s="54" t="s">
        <v>15</v>
      </c>
    </row>
    <row r="400" spans="2:11" ht="24.75" x14ac:dyDescent="0.2">
      <c r="B400" s="82" t="s">
        <v>1757</v>
      </c>
      <c r="C400" s="82" t="s">
        <v>1758</v>
      </c>
      <c r="D400" s="54"/>
      <c r="E400" s="83">
        <f>SUMIFS(E401:E1496,K401:K1496,"0",B401:B1496,"2 1 1 3 2*")-SUMIFS(D401:D1496,K401:K1496,"0",B401:B1496,"2 1 1 3 2*")</f>
        <v>0</v>
      </c>
      <c r="F400" s="83">
        <f>SUMIFS(F401:F1496,K401:K1496,"0",B401:B1496,"2 1 1 3 2*")</f>
        <v>380000</v>
      </c>
      <c r="G400" s="83">
        <f>SUMIFS(G401:G1496,K401:K1496,"0",B401:B1496,"2 1 1 3 2*")</f>
        <v>380000</v>
      </c>
      <c r="H400" s="83"/>
      <c r="I400" s="83">
        <f t="shared" si="6"/>
        <v>0</v>
      </c>
      <c r="K400" s="54" t="s">
        <v>15</v>
      </c>
    </row>
    <row r="401" spans="2:11" ht="12.75" x14ac:dyDescent="0.2">
      <c r="B401" s="82" t="s">
        <v>1759</v>
      </c>
      <c r="C401" s="82" t="s">
        <v>26</v>
      </c>
      <c r="D401" s="54"/>
      <c r="E401" s="83">
        <f>SUMIFS(E402:E1496,K402:K1496,"0",B402:B1496,"2 1 1 3 2 12*")-SUMIFS(D402:D1496,K402:K1496,"0",B402:B1496,"2 1 1 3 2 12*")</f>
        <v>0</v>
      </c>
      <c r="F401" s="83">
        <f>SUMIFS(F402:F1496,K402:K1496,"0",B402:B1496,"2 1 1 3 2 12*")</f>
        <v>380000</v>
      </c>
      <c r="G401" s="83">
        <f>SUMIFS(G402:G1496,K402:K1496,"0",B402:B1496,"2 1 1 3 2 12*")</f>
        <v>380000</v>
      </c>
      <c r="H401" s="83"/>
      <c r="I401" s="83">
        <f t="shared" si="6"/>
        <v>0</v>
      </c>
      <c r="K401" s="54" t="s">
        <v>15</v>
      </c>
    </row>
    <row r="402" spans="2:11" ht="16.5" x14ac:dyDescent="0.2">
      <c r="B402" s="82" t="s">
        <v>1760</v>
      </c>
      <c r="C402" s="82" t="s">
        <v>28</v>
      </c>
      <c r="D402" s="54"/>
      <c r="E402" s="83">
        <f>SUMIFS(E403:E1496,K403:K1496,"0",B403:B1496,"2 1 1 3 2 12 31111*")-SUMIFS(D403:D1496,K403:K1496,"0",B403:B1496,"2 1 1 3 2 12 31111*")</f>
        <v>0</v>
      </c>
      <c r="F402" s="83">
        <f>SUMIFS(F403:F1496,K403:K1496,"0",B403:B1496,"2 1 1 3 2 12 31111*")</f>
        <v>380000</v>
      </c>
      <c r="G402" s="83">
        <f>SUMIFS(G403:G1496,K403:K1496,"0",B403:B1496,"2 1 1 3 2 12 31111*")</f>
        <v>380000</v>
      </c>
      <c r="H402" s="83"/>
      <c r="I402" s="83">
        <f t="shared" si="6"/>
        <v>0</v>
      </c>
      <c r="K402" s="54" t="s">
        <v>15</v>
      </c>
    </row>
    <row r="403" spans="2:11" ht="12.75" x14ac:dyDescent="0.2">
      <c r="B403" s="82" t="s">
        <v>1761</v>
      </c>
      <c r="C403" s="82" t="s">
        <v>30</v>
      </c>
      <c r="D403" s="54"/>
      <c r="E403" s="83">
        <f>SUMIFS(E404:E1496,K404:K1496,"0",B404:B1496,"2 1 1 3 2 12 31111 6*")-SUMIFS(D404:D1496,K404:K1496,"0",B404:B1496,"2 1 1 3 2 12 31111 6*")</f>
        <v>0</v>
      </c>
      <c r="F403" s="83">
        <f>SUMIFS(F404:F1496,K404:K1496,"0",B404:B1496,"2 1 1 3 2 12 31111 6*")</f>
        <v>380000</v>
      </c>
      <c r="G403" s="83">
        <f>SUMIFS(G404:G1496,K404:K1496,"0",B404:B1496,"2 1 1 3 2 12 31111 6*")</f>
        <v>380000</v>
      </c>
      <c r="H403" s="83"/>
      <c r="I403" s="83">
        <f t="shared" si="6"/>
        <v>0</v>
      </c>
      <c r="K403" s="54" t="s">
        <v>15</v>
      </c>
    </row>
    <row r="404" spans="2:11" ht="16.5" x14ac:dyDescent="0.2">
      <c r="B404" s="82" t="s">
        <v>1762</v>
      </c>
      <c r="C404" s="82" t="s">
        <v>32</v>
      </c>
      <c r="D404" s="54"/>
      <c r="E404" s="83">
        <f>SUMIFS(E405:E1496,K405:K1496,"0",B405:B1496,"2 1 1 3 2 12 31111 6 M59*")-SUMIFS(D405:D1496,K405:K1496,"0",B405:B1496,"2 1 1 3 2 12 31111 6 M59*")</f>
        <v>0</v>
      </c>
      <c r="F404" s="83">
        <f>SUMIFS(F405:F1496,K405:K1496,"0",B405:B1496,"2 1 1 3 2 12 31111 6 M59*")</f>
        <v>380000</v>
      </c>
      <c r="G404" s="83">
        <f>SUMIFS(G405:G1496,K405:K1496,"0",B405:B1496,"2 1 1 3 2 12 31111 6 M59*")</f>
        <v>380000</v>
      </c>
      <c r="H404" s="83"/>
      <c r="I404" s="83">
        <f t="shared" si="6"/>
        <v>0</v>
      </c>
      <c r="K404" s="54" t="s">
        <v>15</v>
      </c>
    </row>
    <row r="405" spans="2:11" ht="24.75" x14ac:dyDescent="0.2">
      <c r="B405" s="82" t="s">
        <v>1763</v>
      </c>
      <c r="C405" s="82" t="s">
        <v>1764</v>
      </c>
      <c r="D405" s="54"/>
      <c r="E405" s="83">
        <f>SUMIFS(E406:E1496,K406:K1496,"0",B406:B1496,"2 1 1 3 2 12 31111 6 M59 00003*")-SUMIFS(D406:D1496,K406:K1496,"0",B406:B1496,"2 1 1 3 2 12 31111 6 M59 00003*")</f>
        <v>0</v>
      </c>
      <c r="F405" s="83">
        <f>SUMIFS(F406:F1496,K406:K1496,"0",B406:B1496,"2 1 1 3 2 12 31111 6 M59 00003*")</f>
        <v>380000</v>
      </c>
      <c r="G405" s="83">
        <f>SUMIFS(G406:G1496,K406:K1496,"0",B406:B1496,"2 1 1 3 2 12 31111 6 M59 00003*")</f>
        <v>380000</v>
      </c>
      <c r="H405" s="83"/>
      <c r="I405" s="83">
        <f t="shared" si="6"/>
        <v>0</v>
      </c>
      <c r="K405" s="54" t="s">
        <v>15</v>
      </c>
    </row>
    <row r="406" spans="2:11" ht="16.5" x14ac:dyDescent="0.2">
      <c r="B406" s="82" t="s">
        <v>1765</v>
      </c>
      <c r="C406" s="82" t="s">
        <v>1766</v>
      </c>
      <c r="D406" s="54"/>
      <c r="E406" s="83">
        <f>SUMIFS(E407:E1496,K407:K1496,"0",B407:B1496,"2 1 1 3 2 12 31111 6 M59 00003 000001*")-SUMIFS(D407:D1496,K407:K1496,"0",B407:B1496,"2 1 1 3 2 12 31111 6 M59 00003 000001*")</f>
        <v>0</v>
      </c>
      <c r="F406" s="83">
        <f>SUMIFS(F407:F1496,K407:K1496,"0",B407:B1496,"2 1 1 3 2 12 31111 6 M59 00003 000001*")</f>
        <v>380000</v>
      </c>
      <c r="G406" s="83">
        <f>SUMIFS(G407:G1496,K407:K1496,"0",B407:B1496,"2 1 1 3 2 12 31111 6 M59 00003 000001*")</f>
        <v>380000</v>
      </c>
      <c r="H406" s="83"/>
      <c r="I406" s="83">
        <f t="shared" si="6"/>
        <v>0</v>
      </c>
      <c r="K406" s="54" t="s">
        <v>15</v>
      </c>
    </row>
    <row r="407" spans="2:11" ht="16.5" x14ac:dyDescent="0.2">
      <c r="B407" s="84" t="s">
        <v>1767</v>
      </c>
      <c r="C407" s="84" t="s">
        <v>1768</v>
      </c>
      <c r="D407" s="85"/>
      <c r="E407" s="85">
        <v>0</v>
      </c>
      <c r="F407" s="85">
        <v>190000</v>
      </c>
      <c r="G407" s="85">
        <v>190000</v>
      </c>
      <c r="H407" s="85"/>
      <c r="I407" s="85">
        <f t="shared" si="6"/>
        <v>0</v>
      </c>
      <c r="K407" s="54" t="s">
        <v>38</v>
      </c>
    </row>
    <row r="408" spans="2:11" ht="16.5" x14ac:dyDescent="0.2">
      <c r="B408" s="84" t="s">
        <v>1769</v>
      </c>
      <c r="C408" s="84" t="s">
        <v>1770</v>
      </c>
      <c r="D408" s="85"/>
      <c r="E408" s="85">
        <v>0</v>
      </c>
      <c r="F408" s="85">
        <v>190000</v>
      </c>
      <c r="G408" s="85">
        <v>190000</v>
      </c>
      <c r="H408" s="85"/>
      <c r="I408" s="85">
        <f t="shared" si="6"/>
        <v>0</v>
      </c>
      <c r="K408" s="54" t="s">
        <v>38</v>
      </c>
    </row>
    <row r="409" spans="2:11" ht="24.75" x14ac:dyDescent="0.2">
      <c r="B409" s="82" t="s">
        <v>1781</v>
      </c>
      <c r="C409" s="82" t="s">
        <v>1782</v>
      </c>
      <c r="D409" s="54"/>
      <c r="E409" s="83">
        <f>SUMIFS(E410:E1496,K410:K1496,"0",B410:B1496,"2 1 1 5*")-SUMIFS(D410:D1496,K410:K1496,"0",B410:B1496,"2 1 1 5*")</f>
        <v>0</v>
      </c>
      <c r="F409" s="83">
        <f>SUMIFS(F410:F1496,K410:K1496,"0",B410:B1496,"2 1 1 5*")</f>
        <v>589059.98</v>
      </c>
      <c r="G409" s="83">
        <f>SUMIFS(G410:G1496,K410:K1496,"0",B410:B1496,"2 1 1 5*")</f>
        <v>589059.98</v>
      </c>
      <c r="H409" s="83"/>
      <c r="I409" s="83">
        <f t="shared" si="6"/>
        <v>0</v>
      </c>
      <c r="K409" s="54" t="s">
        <v>15</v>
      </c>
    </row>
    <row r="410" spans="2:11" ht="24.75" x14ac:dyDescent="0.2">
      <c r="B410" s="82" t="s">
        <v>1783</v>
      </c>
      <c r="C410" s="82" t="s">
        <v>1784</v>
      </c>
      <c r="D410" s="54"/>
      <c r="E410" s="83">
        <f>SUMIFS(E411:E1496,K411:K1496,"0",B411:B1496,"2 1 1 5 1*")-SUMIFS(D411:D1496,K411:K1496,"0",B411:B1496,"2 1 1 5 1*")</f>
        <v>0</v>
      </c>
      <c r="F410" s="83">
        <f>SUMIFS(F411:F1496,K411:K1496,"0",B411:B1496,"2 1 1 5 1*")</f>
        <v>574425</v>
      </c>
      <c r="G410" s="83">
        <f>SUMIFS(G411:G1496,K411:K1496,"0",B411:B1496,"2 1 1 5 1*")</f>
        <v>574425</v>
      </c>
      <c r="H410" s="83"/>
      <c r="I410" s="83">
        <f t="shared" si="6"/>
        <v>0</v>
      </c>
      <c r="K410" s="54" t="s">
        <v>15</v>
      </c>
    </row>
    <row r="411" spans="2:11" ht="12.75" x14ac:dyDescent="0.2">
      <c r="B411" s="82" t="s">
        <v>1785</v>
      </c>
      <c r="C411" s="82" t="s">
        <v>26</v>
      </c>
      <c r="D411" s="54"/>
      <c r="E411" s="83">
        <f>SUMIFS(E412:E1496,K412:K1496,"0",B412:B1496,"2 1 1 5 1 12*")-SUMIFS(D412:D1496,K412:K1496,"0",B412:B1496,"2 1 1 5 1 12*")</f>
        <v>0</v>
      </c>
      <c r="F411" s="83">
        <f>SUMIFS(F412:F1496,K412:K1496,"0",B412:B1496,"2 1 1 5 1 12*")</f>
        <v>574425</v>
      </c>
      <c r="G411" s="83">
        <f>SUMIFS(G412:G1496,K412:K1496,"0",B412:B1496,"2 1 1 5 1 12*")</f>
        <v>574425</v>
      </c>
      <c r="H411" s="83"/>
      <c r="I411" s="83">
        <f t="shared" si="6"/>
        <v>0</v>
      </c>
      <c r="K411" s="54" t="s">
        <v>15</v>
      </c>
    </row>
    <row r="412" spans="2:11" ht="16.5" x14ac:dyDescent="0.2">
      <c r="B412" s="82" t="s">
        <v>1786</v>
      </c>
      <c r="C412" s="82" t="s">
        <v>28</v>
      </c>
      <c r="D412" s="54"/>
      <c r="E412" s="83">
        <f>SUMIFS(E413:E1496,K413:K1496,"0",B413:B1496,"2 1 1 5 1 12 31111*")-SUMIFS(D413:D1496,K413:K1496,"0",B413:B1496,"2 1 1 5 1 12 31111*")</f>
        <v>0</v>
      </c>
      <c r="F412" s="83">
        <f>SUMIFS(F413:F1496,K413:K1496,"0",B413:B1496,"2 1 1 5 1 12 31111*")</f>
        <v>574425</v>
      </c>
      <c r="G412" s="83">
        <f>SUMIFS(G413:G1496,K413:K1496,"0",B413:B1496,"2 1 1 5 1 12 31111*")</f>
        <v>574425</v>
      </c>
      <c r="H412" s="83"/>
      <c r="I412" s="83">
        <f t="shared" si="6"/>
        <v>0</v>
      </c>
      <c r="K412" s="54" t="s">
        <v>15</v>
      </c>
    </row>
    <row r="413" spans="2:11" ht="12.75" x14ac:dyDescent="0.2">
      <c r="B413" s="82" t="s">
        <v>1787</v>
      </c>
      <c r="C413" s="82" t="s">
        <v>30</v>
      </c>
      <c r="D413" s="54"/>
      <c r="E413" s="83">
        <f>SUMIFS(E414:E1496,K414:K1496,"0",B414:B1496,"2 1 1 5 1 12 31111 6*")-SUMIFS(D414:D1496,K414:K1496,"0",B414:B1496,"2 1 1 5 1 12 31111 6*")</f>
        <v>0</v>
      </c>
      <c r="F413" s="83">
        <f>SUMIFS(F414:F1496,K414:K1496,"0",B414:B1496,"2 1 1 5 1 12 31111 6*")</f>
        <v>574425</v>
      </c>
      <c r="G413" s="83">
        <f>SUMIFS(G414:G1496,K414:K1496,"0",B414:B1496,"2 1 1 5 1 12 31111 6*")</f>
        <v>574425</v>
      </c>
      <c r="H413" s="83"/>
      <c r="I413" s="83">
        <f t="shared" si="6"/>
        <v>0</v>
      </c>
      <c r="K413" s="54" t="s">
        <v>15</v>
      </c>
    </row>
    <row r="414" spans="2:11" ht="12.75" x14ac:dyDescent="0.2">
      <c r="B414" s="82" t="s">
        <v>1788</v>
      </c>
      <c r="C414" s="82" t="s">
        <v>42</v>
      </c>
      <c r="D414" s="54"/>
      <c r="E414" s="83">
        <f>SUMIFS(E415:E1496,K415:K1496,"0",B415:B1496,"2 1 1 5 1 12 31111 6 M59*")-SUMIFS(D415:D1496,K415:K1496,"0",B415:B1496,"2 1 1 5 1 12 31111 6 M59*")</f>
        <v>0</v>
      </c>
      <c r="F414" s="83">
        <f>SUMIFS(F415:F1496,K415:K1496,"0",B415:B1496,"2 1 1 5 1 12 31111 6 M59*")</f>
        <v>574425</v>
      </c>
      <c r="G414" s="83">
        <f>SUMIFS(G415:G1496,K415:K1496,"0",B415:B1496,"2 1 1 5 1 12 31111 6 M59*")</f>
        <v>574425</v>
      </c>
      <c r="H414" s="83"/>
      <c r="I414" s="83">
        <f t="shared" si="6"/>
        <v>0</v>
      </c>
      <c r="K414" s="54" t="s">
        <v>15</v>
      </c>
    </row>
    <row r="415" spans="2:11" ht="16.5" x14ac:dyDescent="0.2">
      <c r="B415" s="82" t="s">
        <v>1791</v>
      </c>
      <c r="C415" s="82" t="s">
        <v>664</v>
      </c>
      <c r="D415" s="54"/>
      <c r="E415" s="83">
        <f>SUMIFS(E416:E1496,K416:K1496,"0",B416:B1496,"2 1 1 5 1 12 31111 6 M59 00003*")-SUMIFS(D416:D1496,K416:K1496,"0",B416:B1496,"2 1 1 5 1 12 31111 6 M59 00003*")</f>
        <v>0</v>
      </c>
      <c r="F415" s="83">
        <f>SUMIFS(F416:F1496,K416:K1496,"0",B416:B1496,"2 1 1 5 1 12 31111 6 M59 00003*")</f>
        <v>574425</v>
      </c>
      <c r="G415" s="83">
        <f>SUMIFS(G416:G1496,K416:K1496,"0",B416:B1496,"2 1 1 5 1 12 31111 6 M59 00003*")</f>
        <v>574425</v>
      </c>
      <c r="H415" s="83"/>
      <c r="I415" s="83">
        <f t="shared" si="6"/>
        <v>0</v>
      </c>
      <c r="K415" s="54" t="s">
        <v>15</v>
      </c>
    </row>
    <row r="416" spans="2:11" ht="16.5" x14ac:dyDescent="0.2">
      <c r="B416" s="84" t="s">
        <v>1793</v>
      </c>
      <c r="C416" s="84" t="s">
        <v>1794</v>
      </c>
      <c r="D416" s="85"/>
      <c r="E416" s="85">
        <v>0</v>
      </c>
      <c r="F416" s="85">
        <v>514425</v>
      </c>
      <c r="G416" s="85">
        <v>514425</v>
      </c>
      <c r="H416" s="85"/>
      <c r="I416" s="85">
        <f t="shared" si="6"/>
        <v>0</v>
      </c>
      <c r="K416" s="54" t="s">
        <v>38</v>
      </c>
    </row>
    <row r="417" spans="2:11" ht="16.5" x14ac:dyDescent="0.2">
      <c r="B417" s="84" t="s">
        <v>1795</v>
      </c>
      <c r="C417" s="84" t="s">
        <v>1796</v>
      </c>
      <c r="D417" s="85"/>
      <c r="E417" s="85">
        <v>0</v>
      </c>
      <c r="F417" s="85">
        <v>30000</v>
      </c>
      <c r="G417" s="85">
        <v>30000</v>
      </c>
      <c r="H417" s="85"/>
      <c r="I417" s="85">
        <f t="shared" si="6"/>
        <v>0</v>
      </c>
      <c r="K417" s="54" t="s">
        <v>38</v>
      </c>
    </row>
    <row r="418" spans="2:11" ht="16.5" x14ac:dyDescent="0.2">
      <c r="B418" s="84" t="s">
        <v>1797</v>
      </c>
      <c r="C418" s="84" t="s">
        <v>1798</v>
      </c>
      <c r="D418" s="85"/>
      <c r="E418" s="85">
        <v>0</v>
      </c>
      <c r="F418" s="85">
        <v>30000</v>
      </c>
      <c r="G418" s="85">
        <v>30000</v>
      </c>
      <c r="H418" s="85"/>
      <c r="I418" s="85">
        <f t="shared" si="6"/>
        <v>0</v>
      </c>
      <c r="K418" s="54" t="s">
        <v>38</v>
      </c>
    </row>
    <row r="419" spans="2:11" ht="12.75" x14ac:dyDescent="0.2">
      <c r="B419" s="82" t="s">
        <v>1803</v>
      </c>
      <c r="C419" s="82" t="s">
        <v>1804</v>
      </c>
      <c r="D419" s="54"/>
      <c r="E419" s="83">
        <f>SUMIFS(E420:E1496,K420:K1496,"0",B420:B1496,"2 1 1 5 6*")-SUMIFS(D420:D1496,K420:K1496,"0",B420:B1496,"2 1 1 5 6*")</f>
        <v>0</v>
      </c>
      <c r="F419" s="83">
        <f>SUMIFS(F420:F1496,K420:K1496,"0",B420:B1496,"2 1 1 5 6*")</f>
        <v>14634.98</v>
      </c>
      <c r="G419" s="83">
        <f>SUMIFS(G420:G1496,K420:K1496,"0",B420:B1496,"2 1 1 5 6*")</f>
        <v>14634.98</v>
      </c>
      <c r="H419" s="83"/>
      <c r="I419" s="83">
        <f t="shared" si="6"/>
        <v>0</v>
      </c>
      <c r="K419" s="54" t="s">
        <v>15</v>
      </c>
    </row>
    <row r="420" spans="2:11" ht="12.75" x14ac:dyDescent="0.2">
      <c r="B420" s="82" t="s">
        <v>1805</v>
      </c>
      <c r="C420" s="82" t="s">
        <v>26</v>
      </c>
      <c r="D420" s="54"/>
      <c r="E420" s="83">
        <f>SUMIFS(E421:E1496,K421:K1496,"0",B421:B1496,"2 1 1 5 6 12*")-SUMIFS(D421:D1496,K421:K1496,"0",B421:B1496,"2 1 1 5 6 12*")</f>
        <v>0</v>
      </c>
      <c r="F420" s="83">
        <f>SUMIFS(F421:F1496,K421:K1496,"0",B421:B1496,"2 1 1 5 6 12*")</f>
        <v>14634.98</v>
      </c>
      <c r="G420" s="83">
        <f>SUMIFS(G421:G1496,K421:K1496,"0",B421:B1496,"2 1 1 5 6 12*")</f>
        <v>14634.98</v>
      </c>
      <c r="H420" s="83"/>
      <c r="I420" s="83">
        <f t="shared" si="6"/>
        <v>0</v>
      </c>
      <c r="K420" s="54" t="s">
        <v>15</v>
      </c>
    </row>
    <row r="421" spans="2:11" ht="16.5" x14ac:dyDescent="0.2">
      <c r="B421" s="82" t="s">
        <v>1806</v>
      </c>
      <c r="C421" s="82" t="s">
        <v>28</v>
      </c>
      <c r="D421" s="54"/>
      <c r="E421" s="83">
        <f>SUMIFS(E422:E1496,K422:K1496,"0",B422:B1496,"2 1 1 5 6 12 31111*")-SUMIFS(D422:D1496,K422:K1496,"0",B422:B1496,"2 1 1 5 6 12 31111*")</f>
        <v>0</v>
      </c>
      <c r="F421" s="83">
        <f>SUMIFS(F422:F1496,K422:K1496,"0",B422:B1496,"2 1 1 5 6 12 31111*")</f>
        <v>14634.98</v>
      </c>
      <c r="G421" s="83">
        <f>SUMIFS(G422:G1496,K422:K1496,"0",B422:B1496,"2 1 1 5 6 12 31111*")</f>
        <v>14634.98</v>
      </c>
      <c r="H421" s="83"/>
      <c r="I421" s="83">
        <f t="shared" si="6"/>
        <v>0</v>
      </c>
      <c r="K421" s="54" t="s">
        <v>15</v>
      </c>
    </row>
    <row r="422" spans="2:11" ht="12.75" x14ac:dyDescent="0.2">
      <c r="B422" s="82" t="s">
        <v>1807</v>
      </c>
      <c r="C422" s="82" t="s">
        <v>30</v>
      </c>
      <c r="D422" s="54"/>
      <c r="E422" s="83">
        <f>SUMIFS(E423:E1496,K423:K1496,"0",B423:B1496,"2 1 1 5 6 12 31111 6*")-SUMIFS(D423:D1496,K423:K1496,"0",B423:B1496,"2 1 1 5 6 12 31111 6*")</f>
        <v>0</v>
      </c>
      <c r="F422" s="83">
        <f>SUMIFS(F423:F1496,K423:K1496,"0",B423:B1496,"2 1 1 5 6 12 31111 6*")</f>
        <v>14634.98</v>
      </c>
      <c r="G422" s="83">
        <f>SUMIFS(G423:G1496,K423:K1496,"0",B423:B1496,"2 1 1 5 6 12 31111 6*")</f>
        <v>14634.98</v>
      </c>
      <c r="H422" s="83"/>
      <c r="I422" s="83">
        <f t="shared" si="6"/>
        <v>0</v>
      </c>
      <c r="K422" s="54" t="s">
        <v>15</v>
      </c>
    </row>
    <row r="423" spans="2:11" ht="16.5" x14ac:dyDescent="0.2">
      <c r="B423" s="82" t="s">
        <v>1808</v>
      </c>
      <c r="C423" s="82" t="s">
        <v>32</v>
      </c>
      <c r="D423" s="54"/>
      <c r="E423" s="83">
        <f>SUMIFS(E424:E1496,K424:K1496,"0",B424:B1496,"2 1 1 5 6 12 31111 6 M59*")-SUMIFS(D424:D1496,K424:K1496,"0",B424:B1496,"2 1 1 5 6 12 31111 6 M59*")</f>
        <v>0</v>
      </c>
      <c r="F423" s="83">
        <f>SUMIFS(F424:F1496,K424:K1496,"0",B424:B1496,"2 1 1 5 6 12 31111 6 M59*")</f>
        <v>14634.98</v>
      </c>
      <c r="G423" s="83">
        <f>SUMIFS(G424:G1496,K424:K1496,"0",B424:B1496,"2 1 1 5 6 12 31111 6 M59*")</f>
        <v>14634.98</v>
      </c>
      <c r="H423" s="83"/>
      <c r="I423" s="83">
        <f t="shared" si="6"/>
        <v>0</v>
      </c>
      <c r="K423" s="54" t="s">
        <v>15</v>
      </c>
    </row>
    <row r="424" spans="2:11" ht="24.75" x14ac:dyDescent="0.2">
      <c r="B424" s="82" t="s">
        <v>1809</v>
      </c>
      <c r="C424" s="82" t="s">
        <v>40</v>
      </c>
      <c r="D424" s="54"/>
      <c r="E424" s="83">
        <f>SUMIFS(E425:E1496,K425:K1496,"0",B425:B1496,"2 1 1 5 6 12 31111 6 M59 00003*")-SUMIFS(D425:D1496,K425:K1496,"0",B425:B1496,"2 1 1 5 6 12 31111 6 M59 00003*")</f>
        <v>0</v>
      </c>
      <c r="F424" s="83">
        <f>SUMIFS(F425:F1496,K425:K1496,"0",B425:B1496,"2 1 1 5 6 12 31111 6 M59 00003*")</f>
        <v>14634.98</v>
      </c>
      <c r="G424" s="83">
        <f>SUMIFS(G425:G1496,K425:K1496,"0",B425:B1496,"2 1 1 5 6 12 31111 6 M59 00003*")</f>
        <v>14634.98</v>
      </c>
      <c r="H424" s="83"/>
      <c r="I424" s="83">
        <f t="shared" si="6"/>
        <v>0</v>
      </c>
      <c r="K424" s="54" t="s">
        <v>15</v>
      </c>
    </row>
    <row r="425" spans="2:11" ht="16.5" x14ac:dyDescent="0.2">
      <c r="B425" s="84" t="s">
        <v>1810</v>
      </c>
      <c r="C425" s="84" t="s">
        <v>1811</v>
      </c>
      <c r="D425" s="85"/>
      <c r="E425" s="85">
        <v>0</v>
      </c>
      <c r="F425" s="85">
        <v>14634.98</v>
      </c>
      <c r="G425" s="85">
        <v>14634.98</v>
      </c>
      <c r="H425" s="85"/>
      <c r="I425" s="85">
        <f t="shared" si="6"/>
        <v>0</v>
      </c>
      <c r="K425" s="54" t="s">
        <v>38</v>
      </c>
    </row>
    <row r="426" spans="2:11" ht="24.75" x14ac:dyDescent="0.2">
      <c r="B426" s="82" t="s">
        <v>1814</v>
      </c>
      <c r="C426" s="82" t="s">
        <v>1815</v>
      </c>
      <c r="D426" s="54"/>
      <c r="E426" s="83">
        <f>SUMIFS(E427:E1496,K427:K1496,"0",B427:B1496,"2 1 1 7*")-SUMIFS(D427:D1496,K427:K1496,"0",B427:B1496,"2 1 1 7*")</f>
        <v>3774081.42</v>
      </c>
      <c r="F426" s="83">
        <f>SUMIFS(F427:F1496,K427:K1496,"0",B427:B1496,"2 1 1 7*")</f>
        <v>2255368.63</v>
      </c>
      <c r="G426" s="83">
        <f>SUMIFS(G427:G1496,K427:K1496,"0",B427:B1496,"2 1 1 7*")</f>
        <v>1749054.5200000003</v>
      </c>
      <c r="H426" s="83"/>
      <c r="I426" s="83">
        <f t="shared" si="6"/>
        <v>3267767.3100000005</v>
      </c>
      <c r="K426" s="54" t="s">
        <v>15</v>
      </c>
    </row>
    <row r="427" spans="2:11" ht="16.5" x14ac:dyDescent="0.2">
      <c r="B427" s="82" t="s">
        <v>1816</v>
      </c>
      <c r="C427" s="82" t="s">
        <v>1817</v>
      </c>
      <c r="D427" s="54"/>
      <c r="E427" s="83">
        <f>SUMIFS(E428:E1496,K428:K1496,"0",B428:B1496,"2 1 1 7 1*")-SUMIFS(D428:D1496,K428:K1496,"0",B428:B1496,"2 1 1 7 1*")</f>
        <v>463747.12</v>
      </c>
      <c r="F427" s="83">
        <f>SUMIFS(F428:F1496,K428:K1496,"0",B428:B1496,"2 1 1 7 1*")</f>
        <v>0</v>
      </c>
      <c r="G427" s="83">
        <f>SUMIFS(G428:G1496,K428:K1496,"0",B428:B1496,"2 1 1 7 1*")</f>
        <v>76233</v>
      </c>
      <c r="H427" s="83"/>
      <c r="I427" s="83">
        <f t="shared" si="6"/>
        <v>539980.12</v>
      </c>
      <c r="K427" s="54" t="s">
        <v>15</v>
      </c>
    </row>
    <row r="428" spans="2:11" ht="12.75" x14ac:dyDescent="0.2">
      <c r="B428" s="82" t="s">
        <v>1818</v>
      </c>
      <c r="C428" s="82" t="s">
        <v>26</v>
      </c>
      <c r="D428" s="54"/>
      <c r="E428" s="83">
        <f>SUMIFS(E429:E1496,K429:K1496,"0",B429:B1496,"2 1 1 7 1 12*")-SUMIFS(D429:D1496,K429:K1496,"0",B429:B1496,"2 1 1 7 1 12*")</f>
        <v>463747.12</v>
      </c>
      <c r="F428" s="83">
        <f>SUMIFS(F429:F1496,K429:K1496,"0",B429:B1496,"2 1 1 7 1 12*")</f>
        <v>0</v>
      </c>
      <c r="G428" s="83">
        <f>SUMIFS(G429:G1496,K429:K1496,"0",B429:B1496,"2 1 1 7 1 12*")</f>
        <v>76233</v>
      </c>
      <c r="H428" s="83"/>
      <c r="I428" s="83">
        <f t="shared" si="6"/>
        <v>539980.12</v>
      </c>
      <c r="K428" s="54" t="s">
        <v>15</v>
      </c>
    </row>
    <row r="429" spans="2:11" ht="16.5" x14ac:dyDescent="0.2">
      <c r="B429" s="82" t="s">
        <v>1819</v>
      </c>
      <c r="C429" s="82" t="s">
        <v>28</v>
      </c>
      <c r="D429" s="54"/>
      <c r="E429" s="83">
        <f>SUMIFS(E430:E1496,K430:K1496,"0",B430:B1496,"2 1 1 7 1 12 31111*")-SUMIFS(D430:D1496,K430:K1496,"0",B430:B1496,"2 1 1 7 1 12 31111*")</f>
        <v>463747.12</v>
      </c>
      <c r="F429" s="83">
        <f>SUMIFS(F430:F1496,K430:K1496,"0",B430:B1496,"2 1 1 7 1 12 31111*")</f>
        <v>0</v>
      </c>
      <c r="G429" s="83">
        <f>SUMIFS(G430:G1496,K430:K1496,"0",B430:B1496,"2 1 1 7 1 12 31111*")</f>
        <v>76233</v>
      </c>
      <c r="H429" s="83"/>
      <c r="I429" s="83">
        <f t="shared" si="6"/>
        <v>539980.12</v>
      </c>
      <c r="K429" s="54" t="s">
        <v>15</v>
      </c>
    </row>
    <row r="430" spans="2:11" ht="12.75" x14ac:dyDescent="0.2">
      <c r="B430" s="82" t="s">
        <v>1820</v>
      </c>
      <c r="C430" s="82" t="s">
        <v>30</v>
      </c>
      <c r="D430" s="54"/>
      <c r="E430" s="83">
        <f>SUMIFS(E431:E1496,K431:K1496,"0",B431:B1496,"2 1 1 7 1 12 31111 6*")-SUMIFS(D431:D1496,K431:K1496,"0",B431:B1496,"2 1 1 7 1 12 31111 6*")</f>
        <v>463747.12</v>
      </c>
      <c r="F430" s="83">
        <f>SUMIFS(F431:F1496,K431:K1496,"0",B431:B1496,"2 1 1 7 1 12 31111 6*")</f>
        <v>0</v>
      </c>
      <c r="G430" s="83">
        <f>SUMIFS(G431:G1496,K431:K1496,"0",B431:B1496,"2 1 1 7 1 12 31111 6*")</f>
        <v>76233</v>
      </c>
      <c r="H430" s="83"/>
      <c r="I430" s="83">
        <f t="shared" si="6"/>
        <v>539980.12</v>
      </c>
      <c r="K430" s="54" t="s">
        <v>15</v>
      </c>
    </row>
    <row r="431" spans="2:11" ht="12.75" x14ac:dyDescent="0.2">
      <c r="B431" s="82" t="s">
        <v>1821</v>
      </c>
      <c r="C431" s="82" t="s">
        <v>32</v>
      </c>
      <c r="D431" s="54"/>
      <c r="E431" s="83">
        <f>SUMIFS(E432:E1496,K432:K1496,"0",B432:B1496,"2 1 1 7 1 12 31111 6 M59*")-SUMIFS(D432:D1496,K432:K1496,"0",B432:B1496,"2 1 1 7 1 12 31111 6 M59*")</f>
        <v>463747.12</v>
      </c>
      <c r="F431" s="83">
        <f>SUMIFS(F432:F1496,K432:K1496,"0",B432:B1496,"2 1 1 7 1 12 31111 6 M59*")</f>
        <v>0</v>
      </c>
      <c r="G431" s="83">
        <f>SUMIFS(G432:G1496,K432:K1496,"0",B432:B1496,"2 1 1 7 1 12 31111 6 M59*")</f>
        <v>76233</v>
      </c>
      <c r="H431" s="83"/>
      <c r="I431" s="83">
        <f t="shared" si="6"/>
        <v>539980.12</v>
      </c>
      <c r="K431" s="54" t="s">
        <v>15</v>
      </c>
    </row>
    <row r="432" spans="2:11" ht="24.75" x14ac:dyDescent="0.2">
      <c r="B432" s="82" t="s">
        <v>1865</v>
      </c>
      <c r="C432" s="82" t="s">
        <v>1764</v>
      </c>
      <c r="D432" s="54"/>
      <c r="E432" s="83">
        <f>SUMIFS(E433:E1496,K433:K1496,"0",B433:B1496,"2 1 1 7 1 12 31111 6 M59 00003*")-SUMIFS(D433:D1496,K433:K1496,"0",B433:B1496,"2 1 1 7 1 12 31111 6 M59 00003*")</f>
        <v>463747.12</v>
      </c>
      <c r="F432" s="83">
        <f>SUMIFS(F433:F1496,K433:K1496,"0",B433:B1496,"2 1 1 7 1 12 31111 6 M59 00003*")</f>
        <v>0</v>
      </c>
      <c r="G432" s="83">
        <f>SUMIFS(G433:G1496,K433:K1496,"0",B433:B1496,"2 1 1 7 1 12 31111 6 M59 00003*")</f>
        <v>76233</v>
      </c>
      <c r="H432" s="83"/>
      <c r="I432" s="83">
        <f t="shared" si="6"/>
        <v>539980.12</v>
      </c>
      <c r="K432" s="54" t="s">
        <v>15</v>
      </c>
    </row>
    <row r="433" spans="2:11" ht="16.5" x14ac:dyDescent="0.2">
      <c r="B433" s="82" t="s">
        <v>1866</v>
      </c>
      <c r="C433" s="82" t="s">
        <v>42</v>
      </c>
      <c r="D433" s="54"/>
      <c r="E433" s="83">
        <f>SUMIFS(E434:E1496,K434:K1496,"0",B434:B1496,"2 1 1 7 1 12 31111 6 M59 00003 000001*")-SUMIFS(D434:D1496,K434:K1496,"0",B434:B1496,"2 1 1 7 1 12 31111 6 M59 00003 000001*")</f>
        <v>463747.12</v>
      </c>
      <c r="F433" s="83">
        <f>SUMIFS(F434:F1496,K434:K1496,"0",B434:B1496,"2 1 1 7 1 12 31111 6 M59 00003 000001*")</f>
        <v>0</v>
      </c>
      <c r="G433" s="83">
        <f>SUMIFS(G434:G1496,K434:K1496,"0",B434:B1496,"2 1 1 7 1 12 31111 6 M59 00003 000001*")</f>
        <v>76233</v>
      </c>
      <c r="H433" s="83"/>
      <c r="I433" s="83">
        <f t="shared" si="6"/>
        <v>539980.12</v>
      </c>
      <c r="K433" s="54" t="s">
        <v>15</v>
      </c>
    </row>
    <row r="434" spans="2:11" ht="24.75" x14ac:dyDescent="0.2">
      <c r="B434" s="84" t="s">
        <v>1868</v>
      </c>
      <c r="C434" s="84" t="s">
        <v>375</v>
      </c>
      <c r="D434" s="85"/>
      <c r="E434" s="85">
        <v>5172</v>
      </c>
      <c r="F434" s="85">
        <v>0</v>
      </c>
      <c r="G434" s="85">
        <v>0</v>
      </c>
      <c r="H434" s="85"/>
      <c r="I434" s="85">
        <f t="shared" si="6"/>
        <v>5172</v>
      </c>
      <c r="K434" s="54" t="s">
        <v>38</v>
      </c>
    </row>
    <row r="435" spans="2:11" ht="16.5" x14ac:dyDescent="0.2">
      <c r="B435" s="84" t="s">
        <v>1870</v>
      </c>
      <c r="C435" s="84" t="s">
        <v>428</v>
      </c>
      <c r="D435" s="85"/>
      <c r="E435" s="85">
        <v>431399.13</v>
      </c>
      <c r="F435" s="85">
        <v>0</v>
      </c>
      <c r="G435" s="85">
        <v>0</v>
      </c>
      <c r="H435" s="85"/>
      <c r="I435" s="85">
        <f t="shared" si="6"/>
        <v>431399.13</v>
      </c>
      <c r="K435" s="54" t="s">
        <v>38</v>
      </c>
    </row>
    <row r="436" spans="2:11" ht="16.5" x14ac:dyDescent="0.2">
      <c r="B436" s="84" t="s">
        <v>1872</v>
      </c>
      <c r="C436" s="84" t="s">
        <v>205</v>
      </c>
      <c r="D436" s="85"/>
      <c r="E436" s="85">
        <v>322.02999999999997</v>
      </c>
      <c r="F436" s="85">
        <v>0</v>
      </c>
      <c r="G436" s="85">
        <v>0</v>
      </c>
      <c r="H436" s="85"/>
      <c r="I436" s="85">
        <f t="shared" si="6"/>
        <v>322.02999999999997</v>
      </c>
      <c r="K436" s="54" t="s">
        <v>38</v>
      </c>
    </row>
    <row r="437" spans="2:11" ht="16.5" x14ac:dyDescent="0.2">
      <c r="B437" s="84" t="s">
        <v>1873</v>
      </c>
      <c r="C437" s="84" t="s">
        <v>428</v>
      </c>
      <c r="D437" s="85"/>
      <c r="E437" s="85">
        <v>72.22</v>
      </c>
      <c r="F437" s="85">
        <v>0</v>
      </c>
      <c r="G437" s="85">
        <v>0</v>
      </c>
      <c r="H437" s="85"/>
      <c r="I437" s="85">
        <f t="shared" si="6"/>
        <v>72.22</v>
      </c>
      <c r="K437" s="54" t="s">
        <v>38</v>
      </c>
    </row>
    <row r="438" spans="2:11" ht="16.5" x14ac:dyDescent="0.2">
      <c r="B438" s="84" t="s">
        <v>1874</v>
      </c>
      <c r="C438" s="84" t="s">
        <v>1875</v>
      </c>
      <c r="D438" s="85"/>
      <c r="E438" s="85">
        <v>26781.74</v>
      </c>
      <c r="F438" s="85">
        <v>0</v>
      </c>
      <c r="G438" s="85">
        <v>0</v>
      </c>
      <c r="H438" s="85"/>
      <c r="I438" s="85">
        <f t="shared" si="6"/>
        <v>26781.74</v>
      </c>
      <c r="K438" s="54" t="s">
        <v>38</v>
      </c>
    </row>
    <row r="439" spans="2:11" ht="16.5" x14ac:dyDescent="0.2">
      <c r="B439" s="84" t="s">
        <v>1876</v>
      </c>
      <c r="C439" s="84" t="s">
        <v>1877</v>
      </c>
      <c r="D439" s="85"/>
      <c r="E439" s="85">
        <v>0</v>
      </c>
      <c r="F439" s="85">
        <v>0</v>
      </c>
      <c r="G439" s="85">
        <v>76233</v>
      </c>
      <c r="H439" s="85"/>
      <c r="I439" s="85">
        <f t="shared" si="6"/>
        <v>76233</v>
      </c>
      <c r="K439" s="54" t="s">
        <v>38</v>
      </c>
    </row>
    <row r="440" spans="2:11" ht="24.75" x14ac:dyDescent="0.2">
      <c r="B440" s="82" t="s">
        <v>1920</v>
      </c>
      <c r="C440" s="82" t="s">
        <v>1921</v>
      </c>
      <c r="D440" s="54"/>
      <c r="E440" s="83">
        <f>SUMIFS(E441:E1496,K441:K1496,"0",B441:B1496,"2 1 1 7 2*")-SUMIFS(D441:D1496,K441:K1496,"0",B441:B1496,"2 1 1 7 2*")</f>
        <v>17691.75</v>
      </c>
      <c r="F440" s="83">
        <f>SUMIFS(F441:F1496,K441:K1496,"0",B441:B1496,"2 1 1 7 2*")</f>
        <v>0</v>
      </c>
      <c r="G440" s="83">
        <f>SUMIFS(G441:G1496,K441:K1496,"0",B441:B1496,"2 1 1 7 2*")</f>
        <v>0</v>
      </c>
      <c r="H440" s="83"/>
      <c r="I440" s="83">
        <f t="shared" si="6"/>
        <v>17691.75</v>
      </c>
      <c r="K440" s="54" t="s">
        <v>15</v>
      </c>
    </row>
    <row r="441" spans="2:11" ht="12.75" x14ac:dyDescent="0.2">
      <c r="B441" s="82" t="s">
        <v>1922</v>
      </c>
      <c r="C441" s="82" t="s">
        <v>26</v>
      </c>
      <c r="D441" s="54"/>
      <c r="E441" s="83">
        <f>SUMIFS(E442:E1496,K442:K1496,"0",B442:B1496,"2 1 1 7 2 12*")-SUMIFS(D442:D1496,K442:K1496,"0",B442:B1496,"2 1 1 7 2 12*")</f>
        <v>17691.75</v>
      </c>
      <c r="F441" s="83">
        <f>SUMIFS(F442:F1496,K442:K1496,"0",B442:B1496,"2 1 1 7 2 12*")</f>
        <v>0</v>
      </c>
      <c r="G441" s="83">
        <f>SUMIFS(G442:G1496,K442:K1496,"0",B442:B1496,"2 1 1 7 2 12*")</f>
        <v>0</v>
      </c>
      <c r="H441" s="83"/>
      <c r="I441" s="83">
        <f t="shared" si="6"/>
        <v>17691.75</v>
      </c>
      <c r="K441" s="54" t="s">
        <v>15</v>
      </c>
    </row>
    <row r="442" spans="2:11" ht="16.5" x14ac:dyDescent="0.2">
      <c r="B442" s="82" t="s">
        <v>1923</v>
      </c>
      <c r="C442" s="82" t="s">
        <v>28</v>
      </c>
      <c r="D442" s="54"/>
      <c r="E442" s="83">
        <f>SUMIFS(E443:E1496,K443:K1496,"0",B443:B1496,"2 1 1 7 2 12 31111*")-SUMIFS(D443:D1496,K443:K1496,"0",B443:B1496,"2 1 1 7 2 12 31111*")</f>
        <v>17691.75</v>
      </c>
      <c r="F442" s="83">
        <f>SUMIFS(F443:F1496,K443:K1496,"0",B443:B1496,"2 1 1 7 2 12 31111*")</f>
        <v>0</v>
      </c>
      <c r="G442" s="83">
        <f>SUMIFS(G443:G1496,K443:K1496,"0",B443:B1496,"2 1 1 7 2 12 31111*")</f>
        <v>0</v>
      </c>
      <c r="H442" s="83"/>
      <c r="I442" s="83">
        <f t="shared" si="6"/>
        <v>17691.75</v>
      </c>
      <c r="K442" s="54" t="s">
        <v>15</v>
      </c>
    </row>
    <row r="443" spans="2:11" ht="12.75" x14ac:dyDescent="0.2">
      <c r="B443" s="82" t="s">
        <v>1924</v>
      </c>
      <c r="C443" s="82" t="s">
        <v>30</v>
      </c>
      <c r="D443" s="54"/>
      <c r="E443" s="83">
        <f>SUMIFS(E444:E1496,K444:K1496,"0",B444:B1496,"2 1 1 7 2 12 31111 6*")-SUMIFS(D444:D1496,K444:K1496,"0",B444:B1496,"2 1 1 7 2 12 31111 6*")</f>
        <v>17691.75</v>
      </c>
      <c r="F443" s="83">
        <f>SUMIFS(F444:F1496,K444:K1496,"0",B444:B1496,"2 1 1 7 2 12 31111 6*")</f>
        <v>0</v>
      </c>
      <c r="G443" s="83">
        <f>SUMIFS(G444:G1496,K444:K1496,"0",B444:B1496,"2 1 1 7 2 12 31111 6*")</f>
        <v>0</v>
      </c>
      <c r="H443" s="83"/>
      <c r="I443" s="83">
        <f t="shared" si="6"/>
        <v>17691.75</v>
      </c>
      <c r="K443" s="54" t="s">
        <v>15</v>
      </c>
    </row>
    <row r="444" spans="2:11" ht="16.5" x14ac:dyDescent="0.2">
      <c r="B444" s="82" t="s">
        <v>1925</v>
      </c>
      <c r="C444" s="82" t="s">
        <v>1990</v>
      </c>
      <c r="D444" s="54"/>
      <c r="E444" s="83">
        <f>SUMIFS(E445:E1496,K445:K1496,"0",B445:B1496,"2 1 1 7 2 12 31111 6 M59*")-SUMIFS(D445:D1496,K445:K1496,"0",B445:B1496,"2 1 1 7 2 12 31111 6 M59*")</f>
        <v>17691.75</v>
      </c>
      <c r="F444" s="83">
        <f>SUMIFS(F445:F1496,K445:K1496,"0",B445:B1496,"2 1 1 7 2 12 31111 6 M59*")</f>
        <v>0</v>
      </c>
      <c r="G444" s="83">
        <f>SUMIFS(G445:G1496,K445:K1496,"0",B445:B1496,"2 1 1 7 2 12 31111 6 M59*")</f>
        <v>0</v>
      </c>
      <c r="H444" s="83"/>
      <c r="I444" s="83">
        <f t="shared" si="6"/>
        <v>17691.75</v>
      </c>
      <c r="K444" s="54" t="s">
        <v>15</v>
      </c>
    </row>
    <row r="445" spans="2:11" ht="24.75" x14ac:dyDescent="0.2">
      <c r="B445" s="82" t="s">
        <v>1939</v>
      </c>
      <c r="C445" s="82" t="s">
        <v>40</v>
      </c>
      <c r="D445" s="54"/>
      <c r="E445" s="83">
        <f>SUMIFS(E446:E1496,K446:K1496,"0",B446:B1496,"2 1 1 7 2 12 31111 6 M59 00003*")-SUMIFS(D446:D1496,K446:K1496,"0",B446:B1496,"2 1 1 7 2 12 31111 6 M59 00003*")</f>
        <v>17691.75</v>
      </c>
      <c r="F445" s="83">
        <f>SUMIFS(F446:F1496,K446:K1496,"0",B446:B1496,"2 1 1 7 2 12 31111 6 M59 00003*")</f>
        <v>0</v>
      </c>
      <c r="G445" s="83">
        <f>SUMIFS(G446:G1496,K446:K1496,"0",B446:B1496,"2 1 1 7 2 12 31111 6 M59 00003*")</f>
        <v>0</v>
      </c>
      <c r="H445" s="83"/>
      <c r="I445" s="83">
        <f t="shared" si="6"/>
        <v>17691.75</v>
      </c>
      <c r="K445" s="54" t="s">
        <v>15</v>
      </c>
    </row>
    <row r="446" spans="2:11" ht="16.5" x14ac:dyDescent="0.2">
      <c r="B446" s="82" t="s">
        <v>1940</v>
      </c>
      <c r="C446" s="82" t="s">
        <v>42</v>
      </c>
      <c r="D446" s="54"/>
      <c r="E446" s="83">
        <f>SUMIFS(E447:E1496,K447:K1496,"0",B447:B1496,"2 1 1 7 2 12 31111 6 M59 00003 000001*")-SUMIFS(D447:D1496,K447:K1496,"0",B447:B1496,"2 1 1 7 2 12 31111 6 M59 00003 000001*")</f>
        <v>10981.05</v>
      </c>
      <c r="F446" s="83">
        <f>SUMIFS(F447:F1496,K447:K1496,"0",B447:B1496,"2 1 1 7 2 12 31111 6 M59 00003 000001*")</f>
        <v>0</v>
      </c>
      <c r="G446" s="83">
        <f>SUMIFS(G447:G1496,K447:K1496,"0",B447:B1496,"2 1 1 7 2 12 31111 6 M59 00003 000001*")</f>
        <v>0</v>
      </c>
      <c r="H446" s="83"/>
      <c r="I446" s="83">
        <f t="shared" si="6"/>
        <v>10981.05</v>
      </c>
      <c r="K446" s="54" t="s">
        <v>15</v>
      </c>
    </row>
    <row r="447" spans="2:11" ht="33" x14ac:dyDescent="0.2">
      <c r="B447" s="84" t="s">
        <v>1941</v>
      </c>
      <c r="C447" s="84" t="s">
        <v>1942</v>
      </c>
      <c r="D447" s="85"/>
      <c r="E447" s="85">
        <v>10981.05</v>
      </c>
      <c r="F447" s="85">
        <v>0</v>
      </c>
      <c r="G447" s="85">
        <v>0</v>
      </c>
      <c r="H447" s="85"/>
      <c r="I447" s="85">
        <f t="shared" si="6"/>
        <v>10981.05</v>
      </c>
      <c r="K447" s="54" t="s">
        <v>38</v>
      </c>
    </row>
    <row r="448" spans="2:11" ht="16.5" x14ac:dyDescent="0.2">
      <c r="B448" s="82" t="s">
        <v>1943</v>
      </c>
      <c r="C448" s="82" t="s">
        <v>42</v>
      </c>
      <c r="D448" s="54"/>
      <c r="E448" s="83">
        <f>SUMIFS(E449:E1496,K449:K1496,"0",B449:B1496,"2 1 1 7 2 12 31111 6 M59 00003 000002*")-SUMIFS(D449:D1496,K449:K1496,"0",B449:B1496,"2 1 1 7 2 12 31111 6 M59 00003 000002*")</f>
        <v>6710.7</v>
      </c>
      <c r="F448" s="83">
        <f>SUMIFS(F449:F1496,K449:K1496,"0",B449:B1496,"2 1 1 7 2 12 31111 6 M59 00003 000002*")</f>
        <v>0</v>
      </c>
      <c r="G448" s="83">
        <f>SUMIFS(G449:G1496,K449:K1496,"0",B449:B1496,"2 1 1 7 2 12 31111 6 M59 00003 000002*")</f>
        <v>0</v>
      </c>
      <c r="H448" s="83"/>
      <c r="I448" s="83">
        <f t="shared" si="6"/>
        <v>6710.7</v>
      </c>
      <c r="K448" s="54" t="s">
        <v>15</v>
      </c>
    </row>
    <row r="449" spans="2:11" ht="33" x14ac:dyDescent="0.2">
      <c r="B449" s="84" t="s">
        <v>1944</v>
      </c>
      <c r="C449" s="84" t="s">
        <v>1942</v>
      </c>
      <c r="D449" s="85"/>
      <c r="E449" s="85">
        <v>6710.7</v>
      </c>
      <c r="F449" s="85">
        <v>0</v>
      </c>
      <c r="G449" s="85">
        <v>0</v>
      </c>
      <c r="H449" s="85"/>
      <c r="I449" s="85">
        <f t="shared" si="6"/>
        <v>6710.7</v>
      </c>
      <c r="K449" s="54" t="s">
        <v>38</v>
      </c>
    </row>
    <row r="450" spans="2:11" ht="33" x14ac:dyDescent="0.2">
      <c r="B450" s="82" t="s">
        <v>1963</v>
      </c>
      <c r="C450" s="82" t="s">
        <v>1964</v>
      </c>
      <c r="D450" s="54"/>
      <c r="E450" s="83">
        <f>SUMIFS(E451:E1496,K451:K1496,"0",B451:B1496,"2 1 1 7 5*")-SUMIFS(D451:D1496,K451:K1496,"0",B451:B1496,"2 1 1 7 5*")</f>
        <v>2819832.65</v>
      </c>
      <c r="F450" s="83">
        <f>SUMIFS(F451:F1496,K451:K1496,"0",B451:B1496,"2 1 1 7 5*")</f>
        <v>0</v>
      </c>
      <c r="G450" s="83">
        <f>SUMIFS(G451:G1496,K451:K1496,"0",B451:B1496,"2 1 1 7 5*")</f>
        <v>413048.04</v>
      </c>
      <c r="H450" s="83"/>
      <c r="I450" s="83">
        <f t="shared" si="6"/>
        <v>3232880.69</v>
      </c>
      <c r="K450" s="54" t="s">
        <v>15</v>
      </c>
    </row>
    <row r="451" spans="2:11" ht="12.75" x14ac:dyDescent="0.2">
      <c r="B451" s="82" t="s">
        <v>1965</v>
      </c>
      <c r="C451" s="82" t="s">
        <v>26</v>
      </c>
      <c r="D451" s="54"/>
      <c r="E451" s="83">
        <f>SUMIFS(E452:E1496,K452:K1496,"0",B452:B1496,"2 1 1 7 5 12*")-SUMIFS(D452:D1496,K452:K1496,"0",B452:B1496,"2 1 1 7 5 12*")</f>
        <v>2819832.65</v>
      </c>
      <c r="F451" s="83">
        <f>SUMIFS(F452:F1496,K452:K1496,"0",B452:B1496,"2 1 1 7 5 12*")</f>
        <v>0</v>
      </c>
      <c r="G451" s="83">
        <f>SUMIFS(G452:G1496,K452:K1496,"0",B452:B1496,"2 1 1 7 5 12*")</f>
        <v>413048.04</v>
      </c>
      <c r="H451" s="83"/>
      <c r="I451" s="83">
        <f t="shared" si="6"/>
        <v>3232880.69</v>
      </c>
      <c r="K451" s="54" t="s">
        <v>15</v>
      </c>
    </row>
    <row r="452" spans="2:11" ht="16.5" x14ac:dyDescent="0.2">
      <c r="B452" s="82" t="s">
        <v>1966</v>
      </c>
      <c r="C452" s="82" t="s">
        <v>28</v>
      </c>
      <c r="D452" s="54"/>
      <c r="E452" s="83">
        <f>SUMIFS(E453:E1496,K453:K1496,"0",B453:B1496,"2 1 1 7 5 12 31111*")-SUMIFS(D453:D1496,K453:K1496,"0",B453:B1496,"2 1 1 7 5 12 31111*")</f>
        <v>2819832.65</v>
      </c>
      <c r="F452" s="83">
        <f>SUMIFS(F453:F1496,K453:K1496,"0",B453:B1496,"2 1 1 7 5 12 31111*")</f>
        <v>0</v>
      </c>
      <c r="G452" s="83">
        <f>SUMIFS(G453:G1496,K453:K1496,"0",B453:B1496,"2 1 1 7 5 12 31111*")</f>
        <v>413048.04</v>
      </c>
      <c r="H452" s="83"/>
      <c r="I452" s="83">
        <f t="shared" ref="I452:I515" si="7">E452 - F452 + G452</f>
        <v>3232880.69</v>
      </c>
      <c r="K452" s="54" t="s">
        <v>15</v>
      </c>
    </row>
    <row r="453" spans="2:11" ht="12.75" x14ac:dyDescent="0.2">
      <c r="B453" s="82" t="s">
        <v>1967</v>
      </c>
      <c r="C453" s="82" t="s">
        <v>30</v>
      </c>
      <c r="D453" s="54"/>
      <c r="E453" s="83">
        <f>SUMIFS(E454:E1496,K454:K1496,"0",B454:B1496,"2 1 1 7 5 12 31111 6*")-SUMIFS(D454:D1496,K454:K1496,"0",B454:B1496,"2 1 1 7 5 12 31111 6*")</f>
        <v>2819832.65</v>
      </c>
      <c r="F453" s="83">
        <f>SUMIFS(F454:F1496,K454:K1496,"0",B454:B1496,"2 1 1 7 5 12 31111 6*")</f>
        <v>0</v>
      </c>
      <c r="G453" s="83">
        <f>SUMIFS(G454:G1496,K454:K1496,"0",B454:B1496,"2 1 1 7 5 12 31111 6*")</f>
        <v>413048.04</v>
      </c>
      <c r="H453" s="83"/>
      <c r="I453" s="83">
        <f t="shared" si="7"/>
        <v>3232880.69</v>
      </c>
      <c r="K453" s="54" t="s">
        <v>15</v>
      </c>
    </row>
    <row r="454" spans="2:11" ht="12.75" x14ac:dyDescent="0.2">
      <c r="B454" s="82" t="s">
        <v>1968</v>
      </c>
      <c r="C454" s="82" t="s">
        <v>32</v>
      </c>
      <c r="D454" s="54"/>
      <c r="E454" s="83">
        <f>SUMIFS(E455:E1496,K455:K1496,"0",B455:B1496,"2 1 1 7 5 12 31111 6 M59*")-SUMIFS(D455:D1496,K455:K1496,"0",B455:B1496,"2 1 1 7 5 12 31111 6 M59*")</f>
        <v>2819832.65</v>
      </c>
      <c r="F454" s="83">
        <f>SUMIFS(F455:F1496,K455:K1496,"0",B455:B1496,"2 1 1 7 5 12 31111 6 M59*")</f>
        <v>0</v>
      </c>
      <c r="G454" s="83">
        <f>SUMIFS(G455:G1496,K455:K1496,"0",B455:B1496,"2 1 1 7 5 12 31111 6 M59*")</f>
        <v>413048.04</v>
      </c>
      <c r="H454" s="83"/>
      <c r="I454" s="83">
        <f t="shared" si="7"/>
        <v>3232880.69</v>
      </c>
      <c r="K454" s="54" t="s">
        <v>15</v>
      </c>
    </row>
    <row r="455" spans="2:11" ht="24.75" x14ac:dyDescent="0.2">
      <c r="B455" s="82" t="s">
        <v>1979</v>
      </c>
      <c r="C455" s="82" t="s">
        <v>1764</v>
      </c>
      <c r="D455" s="54"/>
      <c r="E455" s="83">
        <f>SUMIFS(E456:E1496,K456:K1496,"0",B456:B1496,"2 1 1 7 5 12 31111 6 M59 00003*")-SUMIFS(D456:D1496,K456:K1496,"0",B456:B1496,"2 1 1 7 5 12 31111 6 M59 00003*")</f>
        <v>2819832.65</v>
      </c>
      <c r="F455" s="83">
        <f>SUMIFS(F456:F1496,K456:K1496,"0",B456:B1496,"2 1 1 7 5 12 31111 6 M59 00003*")</f>
        <v>0</v>
      </c>
      <c r="G455" s="83">
        <f>SUMIFS(G456:G1496,K456:K1496,"0",B456:B1496,"2 1 1 7 5 12 31111 6 M59 00003*")</f>
        <v>413048.04</v>
      </c>
      <c r="H455" s="83"/>
      <c r="I455" s="83">
        <f t="shared" si="7"/>
        <v>3232880.69</v>
      </c>
      <c r="K455" s="54" t="s">
        <v>15</v>
      </c>
    </row>
    <row r="456" spans="2:11" ht="16.5" x14ac:dyDescent="0.2">
      <c r="B456" s="82" t="s">
        <v>1980</v>
      </c>
      <c r="C456" s="82" t="s">
        <v>1981</v>
      </c>
      <c r="D456" s="54"/>
      <c r="E456" s="83">
        <f>SUMIFS(E457:E1496,K457:K1496,"0",B457:B1496,"2 1 1 7 5 12 31111 6 M59 00003 000003*")-SUMIFS(D457:D1496,K457:K1496,"0",B457:B1496,"2 1 1 7 5 12 31111 6 M59 00003 000003*")</f>
        <v>2819832.65</v>
      </c>
      <c r="F456" s="83">
        <f>SUMIFS(F457:F1496,K457:K1496,"0",B457:B1496,"2 1 1 7 5 12 31111 6 M59 00003 000003*")</f>
        <v>0</v>
      </c>
      <c r="G456" s="83">
        <f>SUMIFS(G457:G1496,K457:K1496,"0",B457:B1496,"2 1 1 7 5 12 31111 6 M59 00003 000003*")</f>
        <v>413048.04</v>
      </c>
      <c r="H456" s="83"/>
      <c r="I456" s="83">
        <f t="shared" si="7"/>
        <v>3232880.69</v>
      </c>
      <c r="K456" s="54" t="s">
        <v>15</v>
      </c>
    </row>
    <row r="457" spans="2:11" ht="24.75" x14ac:dyDescent="0.2">
      <c r="B457" s="84" t="s">
        <v>1982</v>
      </c>
      <c r="C457" s="84" t="s">
        <v>375</v>
      </c>
      <c r="D457" s="85"/>
      <c r="E457" s="85">
        <v>2819832.65</v>
      </c>
      <c r="F457" s="85">
        <v>0</v>
      </c>
      <c r="G457" s="85">
        <v>0</v>
      </c>
      <c r="H457" s="85"/>
      <c r="I457" s="85">
        <f t="shared" si="7"/>
        <v>2819832.65</v>
      </c>
      <c r="K457" s="54" t="s">
        <v>38</v>
      </c>
    </row>
    <row r="458" spans="2:11" ht="16.5" x14ac:dyDescent="0.2">
      <c r="B458" s="84" t="s">
        <v>1983</v>
      </c>
      <c r="C458" s="84" t="s">
        <v>1984</v>
      </c>
      <c r="D458" s="85"/>
      <c r="E458" s="85">
        <v>0</v>
      </c>
      <c r="F458" s="85">
        <v>0</v>
      </c>
      <c r="G458" s="85">
        <v>413048.04</v>
      </c>
      <c r="H458" s="85"/>
      <c r="I458" s="85">
        <f t="shared" si="7"/>
        <v>413048.04</v>
      </c>
      <c r="K458" s="54" t="s">
        <v>38</v>
      </c>
    </row>
    <row r="459" spans="2:11" ht="16.5" x14ac:dyDescent="0.2">
      <c r="B459" s="82" t="s">
        <v>1985</v>
      </c>
      <c r="C459" s="82" t="s">
        <v>276</v>
      </c>
      <c r="D459" s="54"/>
      <c r="E459" s="83">
        <f>SUMIFS(E460:E1496,K460:K1496,"0",B460:B1496,"2 1 1 7 6*")-SUMIFS(D460:D1496,K460:K1496,"0",B460:B1496,"2 1 1 7 6*")</f>
        <v>472809.9</v>
      </c>
      <c r="F459" s="83">
        <f>SUMIFS(F460:F1496,K460:K1496,"0",B460:B1496,"2 1 1 7 6*")</f>
        <v>2241258.7000000002</v>
      </c>
      <c r="G459" s="83">
        <f>SUMIFS(G460:G1496,K460:K1496,"0",B460:B1496,"2 1 1 7 6*")</f>
        <v>1240363.55</v>
      </c>
      <c r="H459" s="83"/>
      <c r="I459" s="83">
        <f t="shared" si="7"/>
        <v>-528085.25000000023</v>
      </c>
      <c r="K459" s="54" t="s">
        <v>15</v>
      </c>
    </row>
    <row r="460" spans="2:11" ht="12.75" x14ac:dyDescent="0.2">
      <c r="B460" s="82" t="s">
        <v>1986</v>
      </c>
      <c r="C460" s="82" t="s">
        <v>26</v>
      </c>
      <c r="D460" s="54"/>
      <c r="E460" s="83">
        <f>SUMIFS(E461:E1496,K461:K1496,"0",B461:B1496,"2 1 1 7 6 12*")-SUMIFS(D461:D1496,K461:K1496,"0",B461:B1496,"2 1 1 7 6 12*")</f>
        <v>472809.9</v>
      </c>
      <c r="F460" s="83">
        <f>SUMIFS(F461:F1496,K461:K1496,"0",B461:B1496,"2 1 1 7 6 12*")</f>
        <v>2241258.7000000002</v>
      </c>
      <c r="G460" s="83">
        <f>SUMIFS(G461:G1496,K461:K1496,"0",B461:B1496,"2 1 1 7 6 12*")</f>
        <v>1240363.55</v>
      </c>
      <c r="H460" s="83"/>
      <c r="I460" s="83">
        <f t="shared" si="7"/>
        <v>-528085.25000000023</v>
      </c>
      <c r="K460" s="54" t="s">
        <v>15</v>
      </c>
    </row>
    <row r="461" spans="2:11" ht="16.5" x14ac:dyDescent="0.2">
      <c r="B461" s="82" t="s">
        <v>1987</v>
      </c>
      <c r="C461" s="82" t="s">
        <v>28</v>
      </c>
      <c r="D461" s="54"/>
      <c r="E461" s="83">
        <f>SUMIFS(E462:E1496,K462:K1496,"0",B462:B1496,"2 1 1 7 6 12 31111*")-SUMIFS(D462:D1496,K462:K1496,"0",B462:B1496,"2 1 1 7 6 12 31111*")</f>
        <v>472809.9</v>
      </c>
      <c r="F461" s="83">
        <f>SUMIFS(F462:F1496,K462:K1496,"0",B462:B1496,"2 1 1 7 6 12 31111*")</f>
        <v>2241258.7000000002</v>
      </c>
      <c r="G461" s="83">
        <f>SUMIFS(G462:G1496,K462:K1496,"0",B462:B1496,"2 1 1 7 6 12 31111*")</f>
        <v>1240363.55</v>
      </c>
      <c r="H461" s="83"/>
      <c r="I461" s="83">
        <f t="shared" si="7"/>
        <v>-528085.25000000023</v>
      </c>
      <c r="K461" s="54" t="s">
        <v>15</v>
      </c>
    </row>
    <row r="462" spans="2:11" ht="12.75" x14ac:dyDescent="0.2">
      <c r="B462" s="82" t="s">
        <v>1988</v>
      </c>
      <c r="C462" s="82" t="s">
        <v>30</v>
      </c>
      <c r="D462" s="54"/>
      <c r="E462" s="83">
        <f>SUMIFS(E463:E1496,K463:K1496,"0",B463:B1496,"2 1 1 7 6 12 31111 6*")-SUMIFS(D463:D1496,K463:K1496,"0",B463:B1496,"2 1 1 7 6 12 31111 6*")</f>
        <v>472809.9</v>
      </c>
      <c r="F462" s="83">
        <f>SUMIFS(F463:F1496,K463:K1496,"0",B463:B1496,"2 1 1 7 6 12 31111 6*")</f>
        <v>2241258.7000000002</v>
      </c>
      <c r="G462" s="83">
        <f>SUMIFS(G463:G1496,K463:K1496,"0",B463:B1496,"2 1 1 7 6 12 31111 6*")</f>
        <v>1240363.55</v>
      </c>
      <c r="H462" s="83"/>
      <c r="I462" s="83">
        <f t="shared" si="7"/>
        <v>-528085.25000000023</v>
      </c>
      <c r="K462" s="54" t="s">
        <v>15</v>
      </c>
    </row>
    <row r="463" spans="2:11" ht="16.5" x14ac:dyDescent="0.2">
      <c r="B463" s="82" t="s">
        <v>1989</v>
      </c>
      <c r="C463" s="82" t="s">
        <v>1990</v>
      </c>
      <c r="D463" s="54"/>
      <c r="E463" s="83">
        <f>SUMIFS(E464:E1496,K464:K1496,"0",B464:B1496,"2 1 1 7 6 12 31111 6 M59*")-SUMIFS(D464:D1496,K464:K1496,"0",B464:B1496,"2 1 1 7 6 12 31111 6 M59*")</f>
        <v>472809.9</v>
      </c>
      <c r="F463" s="83">
        <f>SUMIFS(F464:F1496,K464:K1496,"0",B464:B1496,"2 1 1 7 6 12 31111 6 M59*")</f>
        <v>2241258.7000000002</v>
      </c>
      <c r="G463" s="83">
        <f>SUMIFS(G464:G1496,K464:K1496,"0",B464:B1496,"2 1 1 7 6 12 31111 6 M59*")</f>
        <v>1240363.55</v>
      </c>
      <c r="H463" s="83"/>
      <c r="I463" s="83">
        <f t="shared" si="7"/>
        <v>-528085.25000000023</v>
      </c>
      <c r="K463" s="54" t="s">
        <v>15</v>
      </c>
    </row>
    <row r="464" spans="2:11" ht="24.75" x14ac:dyDescent="0.2">
      <c r="B464" s="82" t="s">
        <v>1991</v>
      </c>
      <c r="C464" s="82" t="s">
        <v>40</v>
      </c>
      <c r="D464" s="54"/>
      <c r="E464" s="83">
        <f>SUMIFS(E465:E1496,K465:K1496,"0",B465:B1496,"2 1 1 7 6 12 31111 6 M59 00003*")-SUMIFS(D465:D1496,K465:K1496,"0",B465:B1496,"2 1 1 7 6 12 31111 6 M59 00003*")</f>
        <v>472809.9</v>
      </c>
      <c r="F464" s="83">
        <f>SUMIFS(F465:F1496,K465:K1496,"0",B465:B1496,"2 1 1 7 6 12 31111 6 M59 00003*")</f>
        <v>2241258.7000000002</v>
      </c>
      <c r="G464" s="83">
        <f>SUMIFS(G465:G1496,K465:K1496,"0",B465:B1496,"2 1 1 7 6 12 31111 6 M59 00003*")</f>
        <v>1240363.55</v>
      </c>
      <c r="H464" s="83"/>
      <c r="I464" s="83">
        <f t="shared" si="7"/>
        <v>-528085.25000000023</v>
      </c>
      <c r="K464" s="54" t="s">
        <v>15</v>
      </c>
    </row>
    <row r="465" spans="2:11" ht="16.5" x14ac:dyDescent="0.2">
      <c r="B465" s="82" t="s">
        <v>1992</v>
      </c>
      <c r="C465" s="82" t="s">
        <v>42</v>
      </c>
      <c r="D465" s="54"/>
      <c r="E465" s="83">
        <f>SUMIFS(E466:E1496,K466:K1496,"0",B466:B1496,"2 1 1 7 6 12 31111 6 M59 00003 000001*")-SUMIFS(D466:D1496,K466:K1496,"0",B466:B1496,"2 1 1 7 6 12 31111 6 M59 00003 000001*")</f>
        <v>11504.85</v>
      </c>
      <c r="F465" s="83">
        <f>SUMIFS(F466:F1496,K466:K1496,"0",B466:B1496,"2 1 1 7 6 12 31111 6 M59 00003 000001*")</f>
        <v>133219.31</v>
      </c>
      <c r="G465" s="83">
        <f>SUMIFS(G466:G1496,K466:K1496,"0",B466:B1496,"2 1 1 7 6 12 31111 6 M59 00003 000001*")</f>
        <v>143363.14000000001</v>
      </c>
      <c r="H465" s="83"/>
      <c r="I465" s="83">
        <f t="shared" si="7"/>
        <v>21648.680000000022</v>
      </c>
      <c r="K465" s="54" t="s">
        <v>15</v>
      </c>
    </row>
    <row r="466" spans="2:11" ht="16.5" x14ac:dyDescent="0.2">
      <c r="B466" s="84" t="s">
        <v>1993</v>
      </c>
      <c r="C466" s="84" t="s">
        <v>1994</v>
      </c>
      <c r="D466" s="85"/>
      <c r="E466" s="85">
        <v>5040</v>
      </c>
      <c r="F466" s="85">
        <v>133219.31</v>
      </c>
      <c r="G466" s="85">
        <v>143363.14000000001</v>
      </c>
      <c r="H466" s="85"/>
      <c r="I466" s="85">
        <f t="shared" si="7"/>
        <v>15183.830000000016</v>
      </c>
      <c r="K466" s="54" t="s">
        <v>38</v>
      </c>
    </row>
    <row r="467" spans="2:11" ht="16.5" x14ac:dyDescent="0.2">
      <c r="B467" s="84" t="s">
        <v>1995</v>
      </c>
      <c r="C467" s="84" t="s">
        <v>430</v>
      </c>
      <c r="D467" s="85"/>
      <c r="E467" s="85">
        <v>1600</v>
      </c>
      <c r="F467" s="85">
        <v>0</v>
      </c>
      <c r="G467" s="85">
        <v>0</v>
      </c>
      <c r="H467" s="85"/>
      <c r="I467" s="85">
        <f t="shared" si="7"/>
        <v>1600</v>
      </c>
      <c r="K467" s="54" t="s">
        <v>38</v>
      </c>
    </row>
    <row r="468" spans="2:11" ht="16.5" x14ac:dyDescent="0.2">
      <c r="B468" s="84" t="s">
        <v>1996</v>
      </c>
      <c r="C468" s="84" t="s">
        <v>432</v>
      </c>
      <c r="D468" s="85"/>
      <c r="E468" s="85">
        <v>120</v>
      </c>
      <c r="F468" s="85">
        <v>0</v>
      </c>
      <c r="G468" s="85">
        <v>0</v>
      </c>
      <c r="H468" s="85"/>
      <c r="I468" s="85">
        <f t="shared" si="7"/>
        <v>120</v>
      </c>
      <c r="K468" s="54" t="s">
        <v>38</v>
      </c>
    </row>
    <row r="469" spans="2:11" ht="16.5" x14ac:dyDescent="0.2">
      <c r="B469" s="84" t="s">
        <v>1997</v>
      </c>
      <c r="C469" s="84" t="s">
        <v>1998</v>
      </c>
      <c r="D469" s="85"/>
      <c r="E469" s="85">
        <v>669.85</v>
      </c>
      <c r="F469" s="85">
        <v>0</v>
      </c>
      <c r="G469" s="85">
        <v>0</v>
      </c>
      <c r="H469" s="85"/>
      <c r="I469" s="85">
        <f t="shared" si="7"/>
        <v>669.85</v>
      </c>
      <c r="K469" s="54" t="s">
        <v>38</v>
      </c>
    </row>
    <row r="470" spans="2:11" ht="16.5" x14ac:dyDescent="0.2">
      <c r="B470" s="84" t="s">
        <v>1999</v>
      </c>
      <c r="C470" s="84" t="s">
        <v>2000</v>
      </c>
      <c r="D470" s="85"/>
      <c r="E470" s="85">
        <v>3200</v>
      </c>
      <c r="F470" s="85">
        <v>0</v>
      </c>
      <c r="G470" s="85">
        <v>0</v>
      </c>
      <c r="H470" s="85"/>
      <c r="I470" s="85">
        <f t="shared" si="7"/>
        <v>3200</v>
      </c>
      <c r="K470" s="54" t="s">
        <v>38</v>
      </c>
    </row>
    <row r="471" spans="2:11" ht="16.5" x14ac:dyDescent="0.2">
      <c r="B471" s="84" t="s">
        <v>2001</v>
      </c>
      <c r="C471" s="84" t="s">
        <v>2002</v>
      </c>
      <c r="D471" s="85"/>
      <c r="E471" s="85">
        <v>875</v>
      </c>
      <c r="F471" s="85">
        <v>0</v>
      </c>
      <c r="G471" s="85">
        <v>0</v>
      </c>
      <c r="H471" s="85"/>
      <c r="I471" s="85">
        <f t="shared" si="7"/>
        <v>875</v>
      </c>
      <c r="K471" s="54" t="s">
        <v>38</v>
      </c>
    </row>
    <row r="472" spans="2:11" ht="16.5" x14ac:dyDescent="0.2">
      <c r="B472" s="82" t="s">
        <v>2003</v>
      </c>
      <c r="C472" s="82" t="s">
        <v>42</v>
      </c>
      <c r="D472" s="54"/>
      <c r="E472" s="83">
        <f>SUMIFS(E473:E1496,K473:K1496,"0",B473:B1496,"2 1 1 7 6 12 31111 6 M59 00003 000002*")-SUMIFS(D473:D1496,K473:K1496,"0",B473:B1496,"2 1 1 7 6 12 31111 6 M59 00003 000002*")</f>
        <v>454726.9</v>
      </c>
      <c r="F472" s="83">
        <f>SUMIFS(F473:F1496,K473:K1496,"0",B473:B1496,"2 1 1 7 6 12 31111 6 M59 00003 000002*")</f>
        <v>2035369.79</v>
      </c>
      <c r="G472" s="83">
        <f>SUMIFS(G473:G1496,K473:K1496,"0",B473:B1496,"2 1 1 7 6 12 31111 6 M59 00003 000002*")</f>
        <v>1030189.92</v>
      </c>
      <c r="H472" s="83"/>
      <c r="I472" s="83">
        <f t="shared" si="7"/>
        <v>-550452.97000000009</v>
      </c>
      <c r="K472" s="54" t="s">
        <v>15</v>
      </c>
    </row>
    <row r="473" spans="2:11" ht="16.5" x14ac:dyDescent="0.2">
      <c r="B473" s="84" t="s">
        <v>2004</v>
      </c>
      <c r="C473" s="84" t="s">
        <v>406</v>
      </c>
      <c r="D473" s="85"/>
      <c r="E473" s="85">
        <v>454726.9</v>
      </c>
      <c r="F473" s="85">
        <v>2035369.79</v>
      </c>
      <c r="G473" s="85">
        <v>1030189.92</v>
      </c>
      <c r="H473" s="85"/>
      <c r="I473" s="85">
        <f t="shared" si="7"/>
        <v>-550452.97000000009</v>
      </c>
      <c r="K473" s="54" t="s">
        <v>38</v>
      </c>
    </row>
    <row r="474" spans="2:11" ht="16.5" x14ac:dyDescent="0.2">
      <c r="B474" s="82" t="s">
        <v>2005</v>
      </c>
      <c r="C474" s="82" t="s">
        <v>42</v>
      </c>
      <c r="D474" s="54"/>
      <c r="E474" s="83">
        <f>SUMIFS(E475:E1496,K475:K1496,"0",B475:B1496,"2 1 1 7 6 12 31111 6 M59 00003 000003*")-SUMIFS(D475:D1496,K475:K1496,"0",B475:B1496,"2 1 1 7 6 12 31111 6 M59 00003 000003*")</f>
        <v>1128.1500000000001</v>
      </c>
      <c r="F474" s="83">
        <f>SUMIFS(F475:F1496,K475:K1496,"0",B475:B1496,"2 1 1 7 6 12 31111 6 M59 00003 000003*")</f>
        <v>65409.599999999999</v>
      </c>
      <c r="G474" s="83">
        <f>SUMIFS(G475:G1496,K475:K1496,"0",B475:B1496,"2 1 1 7 6 12 31111 6 M59 00003 000003*")</f>
        <v>59550.49</v>
      </c>
      <c r="H474" s="83"/>
      <c r="I474" s="83">
        <f t="shared" si="7"/>
        <v>-4730.9599999999991</v>
      </c>
      <c r="K474" s="54" t="s">
        <v>15</v>
      </c>
    </row>
    <row r="475" spans="2:11" ht="24.75" x14ac:dyDescent="0.2">
      <c r="B475" s="84" t="s">
        <v>2006</v>
      </c>
      <c r="C475" s="84" t="s">
        <v>2007</v>
      </c>
      <c r="D475" s="85"/>
      <c r="E475" s="85">
        <v>1128.1500000000001</v>
      </c>
      <c r="F475" s="85">
        <v>65409.599999999999</v>
      </c>
      <c r="G475" s="85">
        <v>59550.49</v>
      </c>
      <c r="H475" s="85"/>
      <c r="I475" s="85">
        <f t="shared" si="7"/>
        <v>-4730.9599999999991</v>
      </c>
      <c r="K475" s="54" t="s">
        <v>38</v>
      </c>
    </row>
    <row r="476" spans="2:11" ht="16.5" x14ac:dyDescent="0.2">
      <c r="B476" s="82" t="s">
        <v>2008</v>
      </c>
      <c r="C476" s="82" t="s">
        <v>42</v>
      </c>
      <c r="D476" s="54"/>
      <c r="E476" s="83">
        <f>SUMIFS(E477:E1496,K477:K1496,"0",B477:B1496,"2 1 1 7 6 12 31111 6 M59 00003 000004*")-SUMIFS(D477:D1496,K477:K1496,"0",B477:B1496,"2 1 1 7 6 12 31111 6 M59 00003 000004*")</f>
        <v>5450</v>
      </c>
      <c r="F476" s="83">
        <f>SUMIFS(F477:F1496,K477:K1496,"0",B477:B1496,"2 1 1 7 6 12 31111 6 M59 00003 000004*")</f>
        <v>7260</v>
      </c>
      <c r="G476" s="83">
        <f>SUMIFS(G477:G1496,K477:K1496,"0",B477:B1496,"2 1 1 7 6 12 31111 6 M59 00003 000004*")</f>
        <v>7260</v>
      </c>
      <c r="H476" s="83"/>
      <c r="I476" s="83">
        <f t="shared" si="7"/>
        <v>5450</v>
      </c>
      <c r="K476" s="54" t="s">
        <v>15</v>
      </c>
    </row>
    <row r="477" spans="2:11" ht="16.5" x14ac:dyDescent="0.2">
      <c r="B477" s="84" t="s">
        <v>2009</v>
      </c>
      <c r="C477" s="84" t="s">
        <v>2010</v>
      </c>
      <c r="D477" s="85"/>
      <c r="E477" s="85">
        <v>890</v>
      </c>
      <c r="F477" s="85">
        <v>0</v>
      </c>
      <c r="G477" s="85">
        <v>0</v>
      </c>
      <c r="H477" s="85"/>
      <c r="I477" s="85">
        <f t="shared" si="7"/>
        <v>890</v>
      </c>
      <c r="K477" s="54" t="s">
        <v>38</v>
      </c>
    </row>
    <row r="478" spans="2:11" ht="16.5" x14ac:dyDescent="0.2">
      <c r="B478" s="84" t="s">
        <v>2011</v>
      </c>
      <c r="C478" s="84" t="s">
        <v>2012</v>
      </c>
      <c r="D478" s="85"/>
      <c r="E478" s="85">
        <v>360</v>
      </c>
      <c r="F478" s="85">
        <v>5760</v>
      </c>
      <c r="G478" s="85">
        <v>5760</v>
      </c>
      <c r="H478" s="85"/>
      <c r="I478" s="85">
        <f t="shared" si="7"/>
        <v>360</v>
      </c>
      <c r="K478" s="54" t="s">
        <v>38</v>
      </c>
    </row>
    <row r="479" spans="2:11" ht="24.75" x14ac:dyDescent="0.2">
      <c r="B479" s="84" t="s">
        <v>2013</v>
      </c>
      <c r="C479" s="84" t="s">
        <v>2014</v>
      </c>
      <c r="D479" s="85"/>
      <c r="E479" s="85">
        <v>4200</v>
      </c>
      <c r="F479" s="85">
        <v>1500</v>
      </c>
      <c r="G479" s="85">
        <v>1500</v>
      </c>
      <c r="H479" s="85"/>
      <c r="I479" s="85">
        <f t="shared" si="7"/>
        <v>4200</v>
      </c>
      <c r="K479" s="54" t="s">
        <v>38</v>
      </c>
    </row>
    <row r="480" spans="2:11" ht="24.75" x14ac:dyDescent="0.2">
      <c r="B480" s="82" t="s">
        <v>2015</v>
      </c>
      <c r="C480" s="82" t="s">
        <v>2016</v>
      </c>
      <c r="D480" s="54"/>
      <c r="E480" s="83">
        <f>SUMIFS(E481:E1496,K481:K1496,"0",B481:B1496,"2 1 1 7 9*")-SUMIFS(D481:D1496,K481:K1496,"0",B481:B1496,"2 1 1 7 9*")</f>
        <v>0</v>
      </c>
      <c r="F480" s="83">
        <f>SUMIFS(F481:F1496,K481:K1496,"0",B481:B1496,"2 1 1 7 9*")</f>
        <v>14109.93</v>
      </c>
      <c r="G480" s="83">
        <f>SUMIFS(G481:G1496,K481:K1496,"0",B481:B1496,"2 1 1 7 9*")</f>
        <v>19409.93</v>
      </c>
      <c r="H480" s="83"/>
      <c r="I480" s="83">
        <f t="shared" si="7"/>
        <v>5300</v>
      </c>
      <c r="K480" s="54" t="s">
        <v>15</v>
      </c>
    </row>
    <row r="481" spans="2:11" ht="12.75" x14ac:dyDescent="0.2">
      <c r="B481" s="82" t="s">
        <v>2017</v>
      </c>
      <c r="C481" s="82" t="s">
        <v>26</v>
      </c>
      <c r="D481" s="54"/>
      <c r="E481" s="83">
        <f>SUMIFS(E482:E1496,K482:K1496,"0",B482:B1496,"2 1 1 7 9 12*")-SUMIFS(D482:D1496,K482:K1496,"0",B482:B1496,"2 1 1 7 9 12*")</f>
        <v>0</v>
      </c>
      <c r="F481" s="83">
        <f>SUMIFS(F482:F1496,K482:K1496,"0",B482:B1496,"2 1 1 7 9 12*")</f>
        <v>14109.93</v>
      </c>
      <c r="G481" s="83">
        <f>SUMIFS(G482:G1496,K482:K1496,"0",B482:B1496,"2 1 1 7 9 12*")</f>
        <v>19409.93</v>
      </c>
      <c r="H481" s="83"/>
      <c r="I481" s="83">
        <f t="shared" si="7"/>
        <v>5300</v>
      </c>
      <c r="K481" s="54" t="s">
        <v>15</v>
      </c>
    </row>
    <row r="482" spans="2:11" ht="16.5" x14ac:dyDescent="0.2">
      <c r="B482" s="82" t="s">
        <v>2018</v>
      </c>
      <c r="C482" s="82" t="s">
        <v>28</v>
      </c>
      <c r="D482" s="54"/>
      <c r="E482" s="83">
        <f>SUMIFS(E483:E1496,K483:K1496,"0",B483:B1496,"2 1 1 7 9 12 31111*")-SUMIFS(D483:D1496,K483:K1496,"0",B483:B1496,"2 1 1 7 9 12 31111*")</f>
        <v>0</v>
      </c>
      <c r="F482" s="83">
        <f>SUMIFS(F483:F1496,K483:K1496,"0",B483:B1496,"2 1 1 7 9 12 31111*")</f>
        <v>14109.93</v>
      </c>
      <c r="G482" s="83">
        <f>SUMIFS(G483:G1496,K483:K1496,"0",B483:B1496,"2 1 1 7 9 12 31111*")</f>
        <v>19409.93</v>
      </c>
      <c r="H482" s="83"/>
      <c r="I482" s="83">
        <f t="shared" si="7"/>
        <v>5300</v>
      </c>
      <c r="K482" s="54" t="s">
        <v>15</v>
      </c>
    </row>
    <row r="483" spans="2:11" ht="12.75" x14ac:dyDescent="0.2">
      <c r="B483" s="82" t="s">
        <v>2019</v>
      </c>
      <c r="C483" s="82" t="s">
        <v>30</v>
      </c>
      <c r="D483" s="54"/>
      <c r="E483" s="83">
        <f>SUMIFS(E484:E1496,K484:K1496,"0",B484:B1496,"2 1 1 7 9 12 31111 6*")-SUMIFS(D484:D1496,K484:K1496,"0",B484:B1496,"2 1 1 7 9 12 31111 6*")</f>
        <v>0</v>
      </c>
      <c r="F483" s="83">
        <f>SUMIFS(F484:F1496,K484:K1496,"0",B484:B1496,"2 1 1 7 9 12 31111 6*")</f>
        <v>14109.93</v>
      </c>
      <c r="G483" s="83">
        <f>SUMIFS(G484:G1496,K484:K1496,"0",B484:B1496,"2 1 1 7 9 12 31111 6*")</f>
        <v>19409.93</v>
      </c>
      <c r="H483" s="83"/>
      <c r="I483" s="83">
        <f t="shared" si="7"/>
        <v>5300</v>
      </c>
      <c r="K483" s="54" t="s">
        <v>15</v>
      </c>
    </row>
    <row r="484" spans="2:11" ht="16.5" x14ac:dyDescent="0.2">
      <c r="B484" s="82" t="s">
        <v>2020</v>
      </c>
      <c r="C484" s="82" t="s">
        <v>32</v>
      </c>
      <c r="D484" s="54"/>
      <c r="E484" s="83">
        <f>SUMIFS(E485:E1496,K485:K1496,"0",B485:B1496,"2 1 1 7 9 12 31111 6 M59*")-SUMIFS(D485:D1496,K485:K1496,"0",B485:B1496,"2 1 1 7 9 12 31111 6 M59*")</f>
        <v>0</v>
      </c>
      <c r="F484" s="83">
        <f>SUMIFS(F485:F1496,K485:K1496,"0",B485:B1496,"2 1 1 7 9 12 31111 6 M59*")</f>
        <v>14109.93</v>
      </c>
      <c r="G484" s="83">
        <f>SUMIFS(G485:G1496,K485:K1496,"0",B485:B1496,"2 1 1 7 9 12 31111 6 M59*")</f>
        <v>19409.93</v>
      </c>
      <c r="H484" s="83"/>
      <c r="I484" s="83">
        <f t="shared" si="7"/>
        <v>5300</v>
      </c>
      <c r="K484" s="54" t="s">
        <v>15</v>
      </c>
    </row>
    <row r="485" spans="2:11" ht="24.75" x14ac:dyDescent="0.2">
      <c r="B485" s="82" t="s">
        <v>2045</v>
      </c>
      <c r="C485" s="82" t="s">
        <v>1764</v>
      </c>
      <c r="D485" s="54"/>
      <c r="E485" s="83">
        <f>SUMIFS(E486:E1496,K486:K1496,"0",B486:B1496,"2 1 1 7 9 12 31111 6 M59 00003*")-SUMIFS(D486:D1496,K486:K1496,"0",B486:B1496,"2 1 1 7 9 12 31111 6 M59 00003*")</f>
        <v>0</v>
      </c>
      <c r="F485" s="83">
        <f>SUMIFS(F486:F1496,K486:K1496,"0",B486:B1496,"2 1 1 7 9 12 31111 6 M59 00003*")</f>
        <v>14109.93</v>
      </c>
      <c r="G485" s="83">
        <f>SUMIFS(G486:G1496,K486:K1496,"0",B486:B1496,"2 1 1 7 9 12 31111 6 M59 00003*")</f>
        <v>19409.93</v>
      </c>
      <c r="H485" s="83"/>
      <c r="I485" s="83">
        <f t="shared" si="7"/>
        <v>5300</v>
      </c>
      <c r="K485" s="54" t="s">
        <v>15</v>
      </c>
    </row>
    <row r="486" spans="2:11" ht="16.5" x14ac:dyDescent="0.2">
      <c r="B486" s="82" t="s">
        <v>2046</v>
      </c>
      <c r="C486" s="82" t="s">
        <v>2047</v>
      </c>
      <c r="D486" s="54"/>
      <c r="E486" s="83">
        <f>SUMIFS(E487:E1496,K487:K1496,"0",B487:B1496,"2 1 1 7 9 12 31111 6 M59 00003 000001*")-SUMIFS(D487:D1496,K487:K1496,"0",B487:B1496,"2 1 1 7 9 12 31111 6 M59 00003 000001*")</f>
        <v>0</v>
      </c>
      <c r="F486" s="83">
        <f>SUMIFS(F487:F1496,K487:K1496,"0",B487:B1496,"2 1 1 7 9 12 31111 6 M59 00003 000001*")</f>
        <v>14109.93</v>
      </c>
      <c r="G486" s="83">
        <f>SUMIFS(G487:G1496,K487:K1496,"0",B487:B1496,"2 1 1 7 9 12 31111 6 M59 00003 000001*")</f>
        <v>19409.93</v>
      </c>
      <c r="H486" s="83"/>
      <c r="I486" s="83">
        <f t="shared" si="7"/>
        <v>5300</v>
      </c>
      <c r="K486" s="54" t="s">
        <v>15</v>
      </c>
    </row>
    <row r="487" spans="2:11" ht="16.5" x14ac:dyDescent="0.2">
      <c r="B487" s="84" t="s">
        <v>2048</v>
      </c>
      <c r="C487" s="84" t="s">
        <v>2049</v>
      </c>
      <c r="D487" s="85"/>
      <c r="E487" s="85">
        <v>0</v>
      </c>
      <c r="F487" s="85">
        <v>0</v>
      </c>
      <c r="G487" s="85">
        <v>5300</v>
      </c>
      <c r="H487" s="85"/>
      <c r="I487" s="85">
        <f t="shared" si="7"/>
        <v>5300</v>
      </c>
      <c r="K487" s="54" t="s">
        <v>38</v>
      </c>
    </row>
    <row r="488" spans="2:11" ht="16.5" x14ac:dyDescent="0.2">
      <c r="B488" s="84" t="s">
        <v>2050</v>
      </c>
      <c r="C488" s="84" t="s">
        <v>2051</v>
      </c>
      <c r="D488" s="85"/>
      <c r="E488" s="85">
        <v>0</v>
      </c>
      <c r="F488" s="85">
        <v>5582.57</v>
      </c>
      <c r="G488" s="85">
        <v>5582.57</v>
      </c>
      <c r="H488" s="85"/>
      <c r="I488" s="85">
        <f t="shared" si="7"/>
        <v>0</v>
      </c>
      <c r="K488" s="54" t="s">
        <v>38</v>
      </c>
    </row>
    <row r="489" spans="2:11" ht="16.5" x14ac:dyDescent="0.2">
      <c r="B489" s="84" t="s">
        <v>2052</v>
      </c>
      <c r="C489" s="84" t="s">
        <v>2053</v>
      </c>
      <c r="D489" s="85"/>
      <c r="E489" s="85">
        <v>0</v>
      </c>
      <c r="F489" s="85">
        <v>8527.36</v>
      </c>
      <c r="G489" s="85">
        <v>8527.36</v>
      </c>
      <c r="H489" s="85"/>
      <c r="I489" s="85">
        <f t="shared" si="7"/>
        <v>0</v>
      </c>
      <c r="K489" s="54" t="s">
        <v>38</v>
      </c>
    </row>
    <row r="490" spans="2:11" ht="16.5" x14ac:dyDescent="0.2">
      <c r="B490" s="82" t="s">
        <v>2054</v>
      </c>
      <c r="C490" s="82" t="s">
        <v>2055</v>
      </c>
      <c r="D490" s="54"/>
      <c r="E490" s="83">
        <f>SUMIFS(E491:E1496,K491:K1496,"0",B491:B1496,"2 1 1 9*")-SUMIFS(D491:D1496,K491:K1496,"0",B491:B1496,"2 1 1 9*")</f>
        <v>3600</v>
      </c>
      <c r="F490" s="83">
        <f>SUMIFS(F491:F1496,K491:K1496,"0",B491:B1496,"2 1 1 9*")</f>
        <v>5767700</v>
      </c>
      <c r="G490" s="83">
        <f>SUMIFS(G491:G1496,K491:K1496,"0",B491:B1496,"2 1 1 9*")</f>
        <v>5927750</v>
      </c>
      <c r="H490" s="83"/>
      <c r="I490" s="83">
        <f t="shared" si="7"/>
        <v>163650</v>
      </c>
      <c r="K490" s="54" t="s">
        <v>15</v>
      </c>
    </row>
    <row r="491" spans="2:11" ht="12.75" x14ac:dyDescent="0.2">
      <c r="B491" s="82" t="s">
        <v>2056</v>
      </c>
      <c r="C491" s="82" t="s">
        <v>2057</v>
      </c>
      <c r="D491" s="54"/>
      <c r="E491" s="83">
        <f>SUMIFS(E492:E1496,K492:K1496,"0",B492:B1496,"2 1 1 9 5*")-SUMIFS(D492:D1496,K492:K1496,"0",B492:B1496,"2 1 1 9 5*")</f>
        <v>2100</v>
      </c>
      <c r="F491" s="83">
        <f>SUMIFS(F492:F1496,K492:K1496,"0",B492:B1496,"2 1 1 9 5*")</f>
        <v>5767700</v>
      </c>
      <c r="G491" s="83">
        <f>SUMIFS(G492:G1496,K492:K1496,"0",B492:B1496,"2 1 1 9 5*")</f>
        <v>5923700</v>
      </c>
      <c r="H491" s="83"/>
      <c r="I491" s="83">
        <f t="shared" si="7"/>
        <v>158100</v>
      </c>
      <c r="K491" s="54" t="s">
        <v>15</v>
      </c>
    </row>
    <row r="492" spans="2:11" ht="12.75" x14ac:dyDescent="0.2">
      <c r="B492" s="82" t="s">
        <v>2058</v>
      </c>
      <c r="C492" s="82" t="s">
        <v>26</v>
      </c>
      <c r="D492" s="54"/>
      <c r="E492" s="83">
        <f>SUMIFS(E493:E1496,K493:K1496,"0",B493:B1496,"2 1 1 9 5 12*")-SUMIFS(D493:D1496,K493:K1496,"0",B493:B1496,"2 1 1 9 5 12*")</f>
        <v>2100</v>
      </c>
      <c r="F492" s="83">
        <f>SUMIFS(F493:F1496,K493:K1496,"0",B493:B1496,"2 1 1 9 5 12*")</f>
        <v>5767700</v>
      </c>
      <c r="G492" s="83">
        <f>SUMIFS(G493:G1496,K493:K1496,"0",B493:B1496,"2 1 1 9 5 12*")</f>
        <v>5923700</v>
      </c>
      <c r="H492" s="83"/>
      <c r="I492" s="83">
        <f t="shared" si="7"/>
        <v>158100</v>
      </c>
      <c r="K492" s="54" t="s">
        <v>15</v>
      </c>
    </row>
    <row r="493" spans="2:11" ht="16.5" x14ac:dyDescent="0.2">
      <c r="B493" s="82" t="s">
        <v>2059</v>
      </c>
      <c r="C493" s="82" t="s">
        <v>28</v>
      </c>
      <c r="D493" s="54"/>
      <c r="E493" s="83">
        <f>SUMIFS(E494:E1496,K494:K1496,"0",B494:B1496,"2 1 1 9 5 12 31111*")-SUMIFS(D494:D1496,K494:K1496,"0",B494:B1496,"2 1 1 9 5 12 31111*")</f>
        <v>2100</v>
      </c>
      <c r="F493" s="83">
        <f>SUMIFS(F494:F1496,K494:K1496,"0",B494:B1496,"2 1 1 9 5 12 31111*")</f>
        <v>5767700</v>
      </c>
      <c r="G493" s="83">
        <f>SUMIFS(G494:G1496,K494:K1496,"0",B494:B1496,"2 1 1 9 5 12 31111*")</f>
        <v>5923700</v>
      </c>
      <c r="H493" s="83"/>
      <c r="I493" s="83">
        <f t="shared" si="7"/>
        <v>158100</v>
      </c>
      <c r="K493" s="54" t="s">
        <v>15</v>
      </c>
    </row>
    <row r="494" spans="2:11" ht="12.75" x14ac:dyDescent="0.2">
      <c r="B494" s="82" t="s">
        <v>2060</v>
      </c>
      <c r="C494" s="82" t="s">
        <v>30</v>
      </c>
      <c r="D494" s="54"/>
      <c r="E494" s="83">
        <f>SUMIFS(E495:E1496,K495:K1496,"0",B495:B1496,"2 1 1 9 5 12 31111 6*")-SUMIFS(D495:D1496,K495:K1496,"0",B495:B1496,"2 1 1 9 5 12 31111 6*")</f>
        <v>2100</v>
      </c>
      <c r="F494" s="83">
        <f>SUMIFS(F495:F1496,K495:K1496,"0",B495:B1496,"2 1 1 9 5 12 31111 6*")</f>
        <v>5767700</v>
      </c>
      <c r="G494" s="83">
        <f>SUMIFS(G495:G1496,K495:K1496,"0",B495:B1496,"2 1 1 9 5 12 31111 6*")</f>
        <v>5923700</v>
      </c>
      <c r="H494" s="83"/>
      <c r="I494" s="83">
        <f t="shared" si="7"/>
        <v>158100</v>
      </c>
      <c r="K494" s="54" t="s">
        <v>15</v>
      </c>
    </row>
    <row r="495" spans="2:11" ht="16.5" x14ac:dyDescent="0.2">
      <c r="B495" s="82" t="s">
        <v>2061</v>
      </c>
      <c r="C495" s="82" t="s">
        <v>32</v>
      </c>
      <c r="D495" s="54"/>
      <c r="E495" s="83">
        <f>SUMIFS(E496:E1496,K496:K1496,"0",B496:B1496,"2 1 1 9 5 12 31111 6 M59*")-SUMIFS(D496:D1496,K496:K1496,"0",B496:B1496,"2 1 1 9 5 12 31111 6 M59*")</f>
        <v>2100</v>
      </c>
      <c r="F495" s="83">
        <f>SUMIFS(F496:F1496,K496:K1496,"0",B496:B1496,"2 1 1 9 5 12 31111 6 M59*")</f>
        <v>5767700</v>
      </c>
      <c r="G495" s="83">
        <f>SUMIFS(G496:G1496,K496:K1496,"0",B496:B1496,"2 1 1 9 5 12 31111 6 M59*")</f>
        <v>5923700</v>
      </c>
      <c r="H495" s="83"/>
      <c r="I495" s="83">
        <f t="shared" si="7"/>
        <v>158100</v>
      </c>
      <c r="K495" s="54" t="s">
        <v>15</v>
      </c>
    </row>
    <row r="496" spans="2:11" ht="24.75" x14ac:dyDescent="0.2">
      <c r="B496" s="82" t="s">
        <v>2066</v>
      </c>
      <c r="C496" s="82" t="s">
        <v>1764</v>
      </c>
      <c r="D496" s="54"/>
      <c r="E496" s="83">
        <f>SUMIFS(E497:E1496,K497:K1496,"0",B497:B1496,"2 1 1 9 5 12 31111 6 M59 00003*")-SUMIFS(D497:D1496,K497:K1496,"0",B497:B1496,"2 1 1 9 5 12 31111 6 M59 00003*")</f>
        <v>2100</v>
      </c>
      <c r="F496" s="83">
        <f>SUMIFS(F497:F1496,K497:K1496,"0",B497:B1496,"2 1 1 9 5 12 31111 6 M59 00003*")</f>
        <v>5767700</v>
      </c>
      <c r="G496" s="83">
        <f>SUMIFS(G497:G1496,K497:K1496,"0",B497:B1496,"2 1 1 9 5 12 31111 6 M59 00003*")</f>
        <v>5923700</v>
      </c>
      <c r="H496" s="83"/>
      <c r="I496" s="83">
        <f t="shared" si="7"/>
        <v>158100</v>
      </c>
      <c r="K496" s="54" t="s">
        <v>15</v>
      </c>
    </row>
    <row r="497" spans="2:11" ht="16.5" x14ac:dyDescent="0.2">
      <c r="B497" s="82" t="s">
        <v>2067</v>
      </c>
      <c r="C497" s="82" t="s">
        <v>2068</v>
      </c>
      <c r="D497" s="54"/>
      <c r="E497" s="83">
        <f>SUMIFS(E498:E1496,K498:K1496,"0",B498:B1496,"2 1 1 9 5 12 31111 6 M59 00003 000001*")-SUMIFS(D498:D1496,K498:K1496,"0",B498:B1496,"2 1 1 9 5 12 31111 6 M59 00003 000001*")</f>
        <v>2100</v>
      </c>
      <c r="F497" s="83">
        <f>SUMIFS(F498:F1496,K498:K1496,"0",B498:B1496,"2 1 1 9 5 12 31111 6 M59 00003 000001*")</f>
        <v>5767700</v>
      </c>
      <c r="G497" s="83">
        <f>SUMIFS(G498:G1496,K498:K1496,"0",B498:B1496,"2 1 1 9 5 12 31111 6 M59 00003 000001*")</f>
        <v>5923700</v>
      </c>
      <c r="H497" s="83"/>
      <c r="I497" s="83">
        <f t="shared" si="7"/>
        <v>158100</v>
      </c>
      <c r="K497" s="54" t="s">
        <v>15</v>
      </c>
    </row>
    <row r="498" spans="2:11" ht="16.5" x14ac:dyDescent="0.2">
      <c r="B498" s="84" t="s">
        <v>2069</v>
      </c>
      <c r="C498" s="84" t="s">
        <v>274</v>
      </c>
      <c r="D498" s="85"/>
      <c r="E498" s="85">
        <v>2100</v>
      </c>
      <c r="F498" s="85">
        <v>5767700</v>
      </c>
      <c r="G498" s="85">
        <v>5895700</v>
      </c>
      <c r="H498" s="85"/>
      <c r="I498" s="85">
        <f t="shared" si="7"/>
        <v>130100</v>
      </c>
      <c r="K498" s="54" t="s">
        <v>38</v>
      </c>
    </row>
    <row r="499" spans="2:11" ht="16.5" x14ac:dyDescent="0.2">
      <c r="B499" s="84" t="s">
        <v>2070</v>
      </c>
      <c r="C499" s="84" t="s">
        <v>2071</v>
      </c>
      <c r="D499" s="85"/>
      <c r="E499" s="85">
        <v>0</v>
      </c>
      <c r="F499" s="85">
        <v>0</v>
      </c>
      <c r="G499" s="85">
        <v>28000</v>
      </c>
      <c r="H499" s="85"/>
      <c r="I499" s="85">
        <f t="shared" si="7"/>
        <v>28000</v>
      </c>
      <c r="K499" s="54" t="s">
        <v>38</v>
      </c>
    </row>
    <row r="500" spans="2:11" ht="16.5" x14ac:dyDescent="0.2">
      <c r="B500" s="82" t="s">
        <v>2072</v>
      </c>
      <c r="C500" s="82" t="s">
        <v>2073</v>
      </c>
      <c r="D500" s="54"/>
      <c r="E500" s="83">
        <f>SUMIFS(E501:E1496,K501:K1496,"0",B501:B1496,"2 1 1 9 9*")-SUMIFS(D501:D1496,K501:K1496,"0",B501:B1496,"2 1 1 9 9*")</f>
        <v>1500</v>
      </c>
      <c r="F500" s="83">
        <f>SUMIFS(F501:F1496,K501:K1496,"0",B501:B1496,"2 1 1 9 9*")</f>
        <v>0</v>
      </c>
      <c r="G500" s="83">
        <f>SUMIFS(G501:G1496,K501:K1496,"0",B501:B1496,"2 1 1 9 9*")</f>
        <v>4050</v>
      </c>
      <c r="H500" s="83"/>
      <c r="I500" s="83">
        <f t="shared" si="7"/>
        <v>5550</v>
      </c>
      <c r="K500" s="54" t="s">
        <v>15</v>
      </c>
    </row>
    <row r="501" spans="2:11" ht="12.75" x14ac:dyDescent="0.2">
      <c r="B501" s="82" t="s">
        <v>2074</v>
      </c>
      <c r="C501" s="82" t="s">
        <v>26</v>
      </c>
      <c r="D501" s="54"/>
      <c r="E501" s="83">
        <f>SUMIFS(E502:E1496,K502:K1496,"0",B502:B1496,"2 1 1 9 9 12*")-SUMIFS(D502:D1496,K502:K1496,"0",B502:B1496,"2 1 1 9 9 12*")</f>
        <v>1500</v>
      </c>
      <c r="F501" s="83">
        <f>SUMIFS(F502:F1496,K502:K1496,"0",B502:B1496,"2 1 1 9 9 12*")</f>
        <v>0</v>
      </c>
      <c r="G501" s="83">
        <f>SUMIFS(G502:G1496,K502:K1496,"0",B502:B1496,"2 1 1 9 9 12*")</f>
        <v>4050</v>
      </c>
      <c r="H501" s="83"/>
      <c r="I501" s="83">
        <f t="shared" si="7"/>
        <v>5550</v>
      </c>
      <c r="K501" s="54" t="s">
        <v>15</v>
      </c>
    </row>
    <row r="502" spans="2:11" ht="16.5" x14ac:dyDescent="0.2">
      <c r="B502" s="82" t="s">
        <v>2075</v>
      </c>
      <c r="C502" s="82" t="s">
        <v>28</v>
      </c>
      <c r="D502" s="54"/>
      <c r="E502" s="83">
        <f>SUMIFS(E503:E1496,K503:K1496,"0",B503:B1496,"2 1 1 9 9 12 31111*")-SUMIFS(D503:D1496,K503:K1496,"0",B503:B1496,"2 1 1 9 9 12 31111*")</f>
        <v>1500</v>
      </c>
      <c r="F502" s="83">
        <f>SUMIFS(F503:F1496,K503:K1496,"0",B503:B1496,"2 1 1 9 9 12 31111*")</f>
        <v>0</v>
      </c>
      <c r="G502" s="83">
        <f>SUMIFS(G503:G1496,K503:K1496,"0",B503:B1496,"2 1 1 9 9 12 31111*")</f>
        <v>4050</v>
      </c>
      <c r="H502" s="83"/>
      <c r="I502" s="83">
        <f t="shared" si="7"/>
        <v>5550</v>
      </c>
      <c r="K502" s="54" t="s">
        <v>15</v>
      </c>
    </row>
    <row r="503" spans="2:11" ht="12.75" x14ac:dyDescent="0.2">
      <c r="B503" s="82" t="s">
        <v>2076</v>
      </c>
      <c r="C503" s="82" t="s">
        <v>30</v>
      </c>
      <c r="D503" s="54"/>
      <c r="E503" s="83">
        <f>SUMIFS(E504:E1496,K504:K1496,"0",B504:B1496,"2 1 1 9 9 12 31111 6*")-SUMIFS(D504:D1496,K504:K1496,"0",B504:B1496,"2 1 1 9 9 12 31111 6*")</f>
        <v>1500</v>
      </c>
      <c r="F503" s="83">
        <f>SUMIFS(F504:F1496,K504:K1496,"0",B504:B1496,"2 1 1 9 9 12 31111 6*")</f>
        <v>0</v>
      </c>
      <c r="G503" s="83">
        <f>SUMIFS(G504:G1496,K504:K1496,"0",B504:B1496,"2 1 1 9 9 12 31111 6*")</f>
        <v>4050</v>
      </c>
      <c r="H503" s="83"/>
      <c r="I503" s="83">
        <f t="shared" si="7"/>
        <v>5550</v>
      </c>
      <c r="K503" s="54" t="s">
        <v>15</v>
      </c>
    </row>
    <row r="504" spans="2:11" ht="16.5" x14ac:dyDescent="0.2">
      <c r="B504" s="82" t="s">
        <v>2077</v>
      </c>
      <c r="C504" s="82" t="s">
        <v>32</v>
      </c>
      <c r="D504" s="54"/>
      <c r="E504" s="83">
        <f>SUMIFS(E505:E1496,K505:K1496,"0",B505:B1496,"2 1 1 9 9 12 31111 6 M59*")-SUMIFS(D505:D1496,K505:K1496,"0",B505:B1496,"2 1 1 9 9 12 31111 6 M59*")</f>
        <v>1500</v>
      </c>
      <c r="F504" s="83">
        <f>SUMIFS(F505:F1496,K505:K1496,"0",B505:B1496,"2 1 1 9 9 12 31111 6 M59*")</f>
        <v>0</v>
      </c>
      <c r="G504" s="83">
        <f>SUMIFS(G505:G1496,K505:K1496,"0",B505:B1496,"2 1 1 9 9 12 31111 6 M59*")</f>
        <v>4050</v>
      </c>
      <c r="H504" s="83"/>
      <c r="I504" s="83">
        <f t="shared" si="7"/>
        <v>5550</v>
      </c>
      <c r="K504" s="54" t="s">
        <v>15</v>
      </c>
    </row>
    <row r="505" spans="2:11" ht="24.75" x14ac:dyDescent="0.2">
      <c r="B505" s="82" t="s">
        <v>2082</v>
      </c>
      <c r="C505" s="82" t="s">
        <v>1764</v>
      </c>
      <c r="D505" s="54"/>
      <c r="E505" s="83">
        <f>SUMIFS(E506:E1496,K506:K1496,"0",B506:B1496,"2 1 1 9 9 12 31111 6 M59 00003*")-SUMIFS(D506:D1496,K506:K1496,"0",B506:B1496,"2 1 1 9 9 12 31111 6 M59 00003*")</f>
        <v>1500</v>
      </c>
      <c r="F505" s="83">
        <f>SUMIFS(F506:F1496,K506:K1496,"0",B506:B1496,"2 1 1 9 9 12 31111 6 M59 00003*")</f>
        <v>0</v>
      </c>
      <c r="G505" s="83">
        <f>SUMIFS(G506:G1496,K506:K1496,"0",B506:B1496,"2 1 1 9 9 12 31111 6 M59 00003*")</f>
        <v>4050</v>
      </c>
      <c r="H505" s="83"/>
      <c r="I505" s="83">
        <f t="shared" si="7"/>
        <v>5550</v>
      </c>
      <c r="K505" s="54" t="s">
        <v>15</v>
      </c>
    </row>
    <row r="506" spans="2:11" ht="16.5" x14ac:dyDescent="0.2">
      <c r="B506" s="82" t="s">
        <v>2083</v>
      </c>
      <c r="C506" s="82" t="s">
        <v>42</v>
      </c>
      <c r="D506" s="54"/>
      <c r="E506" s="83">
        <f>SUMIFS(E507:E1496,K507:K1496,"0",B507:B1496,"2 1 1 9 9 12 31111 6 M59 00003 000001*")-SUMIFS(D507:D1496,K507:K1496,"0",B507:B1496,"2 1 1 9 9 12 31111 6 M59 00003 000001*")</f>
        <v>1500</v>
      </c>
      <c r="F506" s="83">
        <f>SUMIFS(F507:F1496,K507:K1496,"0",B507:B1496,"2 1 1 9 9 12 31111 6 M59 00003 000001*")</f>
        <v>0</v>
      </c>
      <c r="G506" s="83">
        <f>SUMIFS(G507:G1496,K507:K1496,"0",B507:B1496,"2 1 1 9 9 12 31111 6 M59 00003 000001*")</f>
        <v>0</v>
      </c>
      <c r="H506" s="83"/>
      <c r="I506" s="83">
        <f t="shared" si="7"/>
        <v>1500</v>
      </c>
      <c r="K506" s="54" t="s">
        <v>15</v>
      </c>
    </row>
    <row r="507" spans="2:11" ht="16.5" x14ac:dyDescent="0.2">
      <c r="B507" s="84" t="s">
        <v>2084</v>
      </c>
      <c r="C507" s="84" t="s">
        <v>2085</v>
      </c>
      <c r="D507" s="85"/>
      <c r="E507" s="85">
        <v>1500</v>
      </c>
      <c r="F507" s="85">
        <v>0</v>
      </c>
      <c r="G507" s="85">
        <v>0</v>
      </c>
      <c r="H507" s="85"/>
      <c r="I507" s="85">
        <f t="shared" si="7"/>
        <v>1500</v>
      </c>
      <c r="K507" s="54" t="s">
        <v>38</v>
      </c>
    </row>
    <row r="508" spans="2:11" ht="16.5" x14ac:dyDescent="0.2">
      <c r="B508" s="82" t="s">
        <v>2086</v>
      </c>
      <c r="C508" s="82" t="s">
        <v>2087</v>
      </c>
      <c r="D508" s="54"/>
      <c r="E508" s="83">
        <f>SUMIFS(E509:E1496,K509:K1496,"0",B509:B1496,"2 1 1 9 9 12 31111 6 M59 00003 000002*")-SUMIFS(D509:D1496,K509:K1496,"0",B509:B1496,"2 1 1 9 9 12 31111 6 M59 00003 000002*")</f>
        <v>0</v>
      </c>
      <c r="F508" s="83">
        <f>SUMIFS(F509:F1496,K509:K1496,"0",B509:B1496,"2 1 1 9 9 12 31111 6 M59 00003 000002*")</f>
        <v>0</v>
      </c>
      <c r="G508" s="83">
        <f>SUMIFS(G509:G1496,K509:K1496,"0",B509:B1496,"2 1 1 9 9 12 31111 6 M59 00003 000002*")</f>
        <v>4050</v>
      </c>
      <c r="H508" s="83"/>
      <c r="I508" s="83">
        <f t="shared" si="7"/>
        <v>4050</v>
      </c>
      <c r="K508" s="54" t="s">
        <v>15</v>
      </c>
    </row>
    <row r="509" spans="2:11" ht="16.5" x14ac:dyDescent="0.2">
      <c r="B509" s="84" t="s">
        <v>2088</v>
      </c>
      <c r="C509" s="84" t="s">
        <v>2089</v>
      </c>
      <c r="D509" s="85"/>
      <c r="E509" s="85">
        <v>0</v>
      </c>
      <c r="F509" s="85">
        <v>0</v>
      </c>
      <c r="G509" s="85">
        <v>4050</v>
      </c>
      <c r="H509" s="85"/>
      <c r="I509" s="85">
        <f t="shared" si="7"/>
        <v>4050</v>
      </c>
      <c r="K509" s="54" t="s">
        <v>38</v>
      </c>
    </row>
    <row r="510" spans="2:11" ht="16.5" x14ac:dyDescent="0.2">
      <c r="B510" s="82" t="s">
        <v>2104</v>
      </c>
      <c r="C510" s="82" t="s">
        <v>2105</v>
      </c>
      <c r="D510" s="54"/>
      <c r="E510" s="83">
        <f>SUMIFS(E511:E1496,K511:K1496,"0",B511:B1496,"2 1 9*")-SUMIFS(D511:D1496,K511:K1496,"0",B511:B1496,"2 1 9*")</f>
        <v>7000</v>
      </c>
      <c r="F510" s="83">
        <f>SUMIFS(F511:F1496,K511:K1496,"0",B511:B1496,"2 1 9*")</f>
        <v>2276526.9500000002</v>
      </c>
      <c r="G510" s="83">
        <f>SUMIFS(G511:G1496,K511:K1496,"0",B511:B1496,"2 1 9*")</f>
        <v>2291732.14</v>
      </c>
      <c r="H510" s="83"/>
      <c r="I510" s="83">
        <f t="shared" si="7"/>
        <v>22205.189999999944</v>
      </c>
      <c r="K510" s="54" t="s">
        <v>15</v>
      </c>
    </row>
    <row r="511" spans="2:11" ht="12.75" x14ac:dyDescent="0.2">
      <c r="B511" s="82" t="s">
        <v>2106</v>
      </c>
      <c r="C511" s="82" t="s">
        <v>2107</v>
      </c>
      <c r="D511" s="54"/>
      <c r="E511" s="83">
        <f>SUMIFS(E512:E1496,K512:K1496,"0",B512:B1496,"2 1 9 1*")-SUMIFS(D512:D1496,K512:K1496,"0",B512:B1496,"2 1 9 1*")</f>
        <v>7000</v>
      </c>
      <c r="F511" s="83">
        <f>SUMIFS(F512:F1496,K512:K1496,"0",B512:B1496,"2 1 9 1*")</f>
        <v>2276526.9500000002</v>
      </c>
      <c r="G511" s="83">
        <f>SUMIFS(G512:G1496,K512:K1496,"0",B512:B1496,"2 1 9 1*")</f>
        <v>2291732.14</v>
      </c>
      <c r="H511" s="83"/>
      <c r="I511" s="83">
        <f t="shared" si="7"/>
        <v>22205.189999999944</v>
      </c>
      <c r="K511" s="54" t="s">
        <v>15</v>
      </c>
    </row>
    <row r="512" spans="2:11" ht="12.75" x14ac:dyDescent="0.2">
      <c r="B512" s="82" t="s">
        <v>2108</v>
      </c>
      <c r="C512" s="82" t="s">
        <v>2107</v>
      </c>
      <c r="D512" s="54"/>
      <c r="E512" s="83">
        <f>SUMIFS(E513:E1496,K513:K1496,"0",B513:B1496,"2 1 9 1 1*")-SUMIFS(D513:D1496,K513:K1496,"0",B513:B1496,"2 1 9 1 1*")</f>
        <v>7000</v>
      </c>
      <c r="F512" s="83">
        <f>SUMIFS(F513:F1496,K513:K1496,"0",B513:B1496,"2 1 9 1 1*")</f>
        <v>2276526.9500000002</v>
      </c>
      <c r="G512" s="83">
        <f>SUMIFS(G513:G1496,K513:K1496,"0",B513:B1496,"2 1 9 1 1*")</f>
        <v>2291732.14</v>
      </c>
      <c r="H512" s="83"/>
      <c r="I512" s="83">
        <f t="shared" si="7"/>
        <v>22205.189999999944</v>
      </c>
      <c r="K512" s="54" t="s">
        <v>15</v>
      </c>
    </row>
    <row r="513" spans="2:11" ht="12.75" x14ac:dyDescent="0.2">
      <c r="B513" s="82" t="s">
        <v>2109</v>
      </c>
      <c r="C513" s="82" t="s">
        <v>26</v>
      </c>
      <c r="D513" s="54"/>
      <c r="E513" s="83">
        <f>SUMIFS(E514:E1496,K514:K1496,"0",B514:B1496,"2 1 9 1 1 12*")-SUMIFS(D514:D1496,K514:K1496,"0",B514:B1496,"2 1 9 1 1 12*")</f>
        <v>7000</v>
      </c>
      <c r="F513" s="83">
        <f>SUMIFS(F514:F1496,K514:K1496,"0",B514:B1496,"2 1 9 1 1 12*")</f>
        <v>2276526.9500000002</v>
      </c>
      <c r="G513" s="83">
        <f>SUMIFS(G514:G1496,K514:K1496,"0",B514:B1496,"2 1 9 1 1 12*")</f>
        <v>2291732.14</v>
      </c>
      <c r="H513" s="83"/>
      <c r="I513" s="83">
        <f t="shared" si="7"/>
        <v>22205.189999999944</v>
      </c>
      <c r="K513" s="54" t="s">
        <v>15</v>
      </c>
    </row>
    <row r="514" spans="2:11" ht="16.5" x14ac:dyDescent="0.2">
      <c r="B514" s="82" t="s">
        <v>2110</v>
      </c>
      <c r="C514" s="82" t="s">
        <v>28</v>
      </c>
      <c r="D514" s="54"/>
      <c r="E514" s="83">
        <f>SUMIFS(E515:E1496,K515:K1496,"0",B515:B1496,"2 1 9 1 1 12 31111*")-SUMIFS(D515:D1496,K515:K1496,"0",B515:B1496,"2 1 9 1 1 12 31111*")</f>
        <v>7000</v>
      </c>
      <c r="F514" s="83">
        <f>SUMIFS(F515:F1496,K515:K1496,"0",B515:B1496,"2 1 9 1 1 12 31111*")</f>
        <v>2276526.9500000002</v>
      </c>
      <c r="G514" s="83">
        <f>SUMIFS(G515:G1496,K515:K1496,"0",B515:B1496,"2 1 9 1 1 12 31111*")</f>
        <v>2291732.14</v>
      </c>
      <c r="H514" s="83"/>
      <c r="I514" s="83">
        <f t="shared" si="7"/>
        <v>22205.189999999944</v>
      </c>
      <c r="K514" s="54" t="s">
        <v>15</v>
      </c>
    </row>
    <row r="515" spans="2:11" ht="12.75" x14ac:dyDescent="0.2">
      <c r="B515" s="82" t="s">
        <v>2111</v>
      </c>
      <c r="C515" s="82" t="s">
        <v>30</v>
      </c>
      <c r="D515" s="54"/>
      <c r="E515" s="83">
        <f>SUMIFS(E516:E1496,K516:K1496,"0",B516:B1496,"2 1 9 1 1 12 31111 6*")-SUMIFS(D516:D1496,K516:K1496,"0",B516:B1496,"2 1 9 1 1 12 31111 6*")</f>
        <v>7000</v>
      </c>
      <c r="F515" s="83">
        <f>SUMIFS(F516:F1496,K516:K1496,"0",B516:B1496,"2 1 9 1 1 12 31111 6*")</f>
        <v>2276526.9500000002</v>
      </c>
      <c r="G515" s="83">
        <f>SUMIFS(G516:G1496,K516:K1496,"0",B516:B1496,"2 1 9 1 1 12 31111 6*")</f>
        <v>2291732.14</v>
      </c>
      <c r="H515" s="83"/>
      <c r="I515" s="83">
        <f t="shared" si="7"/>
        <v>22205.189999999944</v>
      </c>
      <c r="K515" s="54" t="s">
        <v>15</v>
      </c>
    </row>
    <row r="516" spans="2:11" ht="12.75" x14ac:dyDescent="0.2">
      <c r="B516" s="82" t="s">
        <v>2112</v>
      </c>
      <c r="C516" s="82" t="s">
        <v>32</v>
      </c>
      <c r="D516" s="54"/>
      <c r="E516" s="83">
        <f>SUMIFS(E517:E1496,K517:K1496,"0",B517:B1496,"2 1 9 1 1 12 31111 6 M59*")-SUMIFS(D517:D1496,K517:K1496,"0",B517:B1496,"2 1 9 1 1 12 31111 6 M59*")</f>
        <v>7000</v>
      </c>
      <c r="F516" s="83">
        <f>SUMIFS(F517:F1496,K517:K1496,"0",B517:B1496,"2 1 9 1 1 12 31111 6 M59*")</f>
        <v>2276526.9500000002</v>
      </c>
      <c r="G516" s="83">
        <f>SUMIFS(G517:G1496,K517:K1496,"0",B517:B1496,"2 1 9 1 1 12 31111 6 M59*")</f>
        <v>2291732.14</v>
      </c>
      <c r="H516" s="83"/>
      <c r="I516" s="83">
        <f t="shared" ref="I516:I579" si="8">E516 - F516 + G516</f>
        <v>22205.189999999944</v>
      </c>
      <c r="K516" s="54" t="s">
        <v>15</v>
      </c>
    </row>
    <row r="517" spans="2:11" ht="24.75" x14ac:dyDescent="0.2">
      <c r="B517" s="82" t="s">
        <v>2113</v>
      </c>
      <c r="C517" s="82" t="s">
        <v>40</v>
      </c>
      <c r="D517" s="54"/>
      <c r="E517" s="83">
        <f>SUMIFS(E518:E1496,K518:K1496,"0",B518:B1496,"2 1 9 1 1 12 31111 6 M59 00003*")-SUMIFS(D518:D1496,K518:K1496,"0",B518:B1496,"2 1 9 1 1 12 31111 6 M59 00003*")</f>
        <v>7000</v>
      </c>
      <c r="F517" s="83">
        <f>SUMIFS(F518:F1496,K518:K1496,"0",B518:B1496,"2 1 9 1 1 12 31111 6 M59 00003*")</f>
        <v>2276526.9500000002</v>
      </c>
      <c r="G517" s="83">
        <f>SUMIFS(G518:G1496,K518:K1496,"0",B518:B1496,"2 1 9 1 1 12 31111 6 M59 00003*")</f>
        <v>2291732.14</v>
      </c>
      <c r="H517" s="83"/>
      <c r="I517" s="83">
        <f t="shared" si="8"/>
        <v>22205.189999999944</v>
      </c>
      <c r="K517" s="54" t="s">
        <v>15</v>
      </c>
    </row>
    <row r="518" spans="2:11" ht="16.5" x14ac:dyDescent="0.2">
      <c r="B518" s="82" t="s">
        <v>2114</v>
      </c>
      <c r="C518" s="82" t="s">
        <v>42</v>
      </c>
      <c r="D518" s="54"/>
      <c r="E518" s="83">
        <f>SUMIFS(E519:E1496,K519:K1496,"0",B519:B1496,"2 1 9 1 1 12 31111 6 M59 00003 000001*")-SUMIFS(D519:D1496,K519:K1496,"0",B519:B1496,"2 1 9 1 1 12 31111 6 M59 00003 000001*")</f>
        <v>7000</v>
      </c>
      <c r="F518" s="83">
        <f>SUMIFS(F519:F1496,K519:K1496,"0",B519:B1496,"2 1 9 1 1 12 31111 6 M59 00003 000001*")</f>
        <v>2276526.9500000002</v>
      </c>
      <c r="G518" s="83">
        <f>SUMIFS(G519:G1496,K519:K1496,"0",B519:B1496,"2 1 9 1 1 12 31111 6 M59 00003 000001*")</f>
        <v>2291732.14</v>
      </c>
      <c r="H518" s="83"/>
      <c r="I518" s="83">
        <f t="shared" si="8"/>
        <v>22205.189999999944</v>
      </c>
      <c r="K518" s="54" t="s">
        <v>15</v>
      </c>
    </row>
    <row r="519" spans="2:11" ht="24.75" x14ac:dyDescent="0.2">
      <c r="B519" s="84" t="s">
        <v>2115</v>
      </c>
      <c r="C519" s="84" t="s">
        <v>2116</v>
      </c>
      <c r="D519" s="85"/>
      <c r="E519" s="85">
        <v>4000</v>
      </c>
      <c r="F519" s="85">
        <v>0</v>
      </c>
      <c r="G519" s="85">
        <v>0</v>
      </c>
      <c r="H519" s="85"/>
      <c r="I519" s="85">
        <f t="shared" si="8"/>
        <v>4000</v>
      </c>
      <c r="K519" s="54" t="s">
        <v>38</v>
      </c>
    </row>
    <row r="520" spans="2:11" ht="16.5" x14ac:dyDescent="0.2">
      <c r="B520" s="84" t="s">
        <v>2117</v>
      </c>
      <c r="C520" s="84" t="s">
        <v>2118</v>
      </c>
      <c r="D520" s="85"/>
      <c r="E520" s="85">
        <v>2829.25</v>
      </c>
      <c r="F520" s="85">
        <v>0</v>
      </c>
      <c r="G520" s="85">
        <v>0</v>
      </c>
      <c r="H520" s="85"/>
      <c r="I520" s="85">
        <f t="shared" si="8"/>
        <v>2829.25</v>
      </c>
      <c r="K520" s="54" t="s">
        <v>38</v>
      </c>
    </row>
    <row r="521" spans="2:11" ht="16.5" x14ac:dyDescent="0.2">
      <c r="B521" s="84" t="s">
        <v>2119</v>
      </c>
      <c r="C521" s="84" t="s">
        <v>274</v>
      </c>
      <c r="D521" s="85"/>
      <c r="E521" s="85">
        <v>170.75</v>
      </c>
      <c r="F521" s="85">
        <v>2276526.9500000002</v>
      </c>
      <c r="G521" s="85">
        <v>2291732.14</v>
      </c>
      <c r="H521" s="85"/>
      <c r="I521" s="85">
        <f t="shared" si="8"/>
        <v>15375.939999999944</v>
      </c>
      <c r="K521" s="54" t="s">
        <v>38</v>
      </c>
    </row>
    <row r="522" spans="2:11" ht="16.5" x14ac:dyDescent="0.2">
      <c r="B522" s="82" t="s">
        <v>2126</v>
      </c>
      <c r="C522" s="82" t="s">
        <v>2127</v>
      </c>
      <c r="D522" s="54"/>
      <c r="E522" s="83">
        <f>SUMIFS(E523:E1496,K523:K1496,"0",B523:B1496,"3*")-SUMIFS(D523:D1496,K523:K1496,"0",B523:B1496,"3*")</f>
        <v>-1537852.9499999997</v>
      </c>
      <c r="F522" s="83">
        <f>SUMIFS(F523:F1496,K523:K1496,"0",B523:B1496,"3*")</f>
        <v>0</v>
      </c>
      <c r="G522" s="83">
        <f>SUMIFS(G523:G1496,K523:K1496,"0",B523:B1496,"3*")</f>
        <v>2725046.9699999997</v>
      </c>
      <c r="H522" s="83"/>
      <c r="I522" s="83">
        <f t="shared" si="8"/>
        <v>1187194.02</v>
      </c>
      <c r="K522" s="54" t="s">
        <v>15</v>
      </c>
    </row>
    <row r="523" spans="2:11" ht="16.5" x14ac:dyDescent="0.2">
      <c r="B523" s="82" t="s">
        <v>2146</v>
      </c>
      <c r="C523" s="82" t="s">
        <v>2147</v>
      </c>
      <c r="D523" s="54"/>
      <c r="E523" s="83">
        <f>SUMIFS(E524:E1496,K524:K1496,"0",B524:B1496,"3 2*")-SUMIFS(D524:D1496,K524:K1496,"0",B524:B1496,"3 2*")</f>
        <v>-1537852.9499999997</v>
      </c>
      <c r="F523" s="83">
        <f>SUMIFS(F524:F1496,K524:K1496,"0",B524:B1496,"3 2*")</f>
        <v>0</v>
      </c>
      <c r="G523" s="83">
        <f>SUMIFS(G524:G1496,K524:K1496,"0",B524:B1496,"3 2*")</f>
        <v>2725046.9699999997</v>
      </c>
      <c r="H523" s="83"/>
      <c r="I523" s="83">
        <f t="shared" si="8"/>
        <v>1187194.02</v>
      </c>
      <c r="K523" s="54" t="s">
        <v>15</v>
      </c>
    </row>
    <row r="524" spans="2:11" ht="16.5" x14ac:dyDescent="0.2">
      <c r="B524" s="82" t="s">
        <v>2148</v>
      </c>
      <c r="C524" s="82" t="s">
        <v>2149</v>
      </c>
      <c r="D524" s="54"/>
      <c r="E524" s="83">
        <f>SUMIFS(E525:E1496,K525:K1496,"0",B525:B1496,"3 2 1*")-SUMIFS(D525:D1496,K525:K1496,"0",B525:B1496,"3 2 1*")</f>
        <v>-315303.28999999998</v>
      </c>
      <c r="F524" s="83">
        <f>SUMIFS(F525:F1496,K525:K1496,"0",B525:B1496,"3 2 1*")</f>
        <v>0</v>
      </c>
      <c r="G524" s="83">
        <f>SUMIFS(G525:G1496,K525:K1496,"0",B525:B1496,"3 2 1*")</f>
        <v>903554.81</v>
      </c>
      <c r="H524" s="83"/>
      <c r="I524" s="83">
        <f t="shared" si="8"/>
        <v>588251.52</v>
      </c>
      <c r="K524" s="54" t="s">
        <v>15</v>
      </c>
    </row>
    <row r="525" spans="2:11" ht="16.5" x14ac:dyDescent="0.2">
      <c r="B525" s="82" t="s">
        <v>2150</v>
      </c>
      <c r="C525" s="82" t="s">
        <v>2149</v>
      </c>
      <c r="D525" s="54"/>
      <c r="E525" s="83">
        <f>SUMIFS(E526:E1496,K526:K1496,"0",B526:B1496,"3 2 1 1*")-SUMIFS(D526:D1496,K526:K1496,"0",B526:B1496,"3 2 1 1*")</f>
        <v>-315303.28999999998</v>
      </c>
      <c r="F525" s="83">
        <f>SUMIFS(F526:F1496,K526:K1496,"0",B526:B1496,"3 2 1 1*")</f>
        <v>0</v>
      </c>
      <c r="G525" s="83">
        <f>SUMIFS(G526:G1496,K526:K1496,"0",B526:B1496,"3 2 1 1*")</f>
        <v>903554.81</v>
      </c>
      <c r="H525" s="83"/>
      <c r="I525" s="83">
        <f t="shared" si="8"/>
        <v>588251.52</v>
      </c>
      <c r="K525" s="54" t="s">
        <v>15</v>
      </c>
    </row>
    <row r="526" spans="2:11" ht="16.5" x14ac:dyDescent="0.2">
      <c r="B526" s="82" t="s">
        <v>2151</v>
      </c>
      <c r="C526" s="82" t="s">
        <v>2149</v>
      </c>
      <c r="D526" s="54"/>
      <c r="E526" s="83">
        <f>SUMIFS(E527:E1496,K527:K1496,"0",B527:B1496,"3 2 1 1 1*")-SUMIFS(D527:D1496,K527:K1496,"0",B527:B1496,"3 2 1 1 1*")</f>
        <v>-315303.28999999998</v>
      </c>
      <c r="F526" s="83">
        <f>SUMIFS(F527:F1496,K527:K1496,"0",B527:B1496,"3 2 1 1 1*")</f>
        <v>0</v>
      </c>
      <c r="G526" s="83">
        <f>SUMIFS(G527:G1496,K527:K1496,"0",B527:B1496,"3 2 1 1 1*")</f>
        <v>903554.81</v>
      </c>
      <c r="H526" s="83"/>
      <c r="I526" s="83">
        <f t="shared" si="8"/>
        <v>588251.52</v>
      </c>
      <c r="K526" s="54" t="s">
        <v>15</v>
      </c>
    </row>
    <row r="527" spans="2:11" ht="12.75" x14ac:dyDescent="0.2">
      <c r="B527" s="82" t="s">
        <v>2152</v>
      </c>
      <c r="C527" s="82" t="s">
        <v>26</v>
      </c>
      <c r="D527" s="54"/>
      <c r="E527" s="83">
        <f>SUMIFS(E528:E1496,K528:K1496,"0",B528:B1496,"3 2 1 1 1 12*")-SUMIFS(D528:D1496,K528:K1496,"0",B528:B1496,"3 2 1 1 1 12*")</f>
        <v>-315303.28999999998</v>
      </c>
      <c r="F527" s="83">
        <f>SUMIFS(F528:F1496,K528:K1496,"0",B528:B1496,"3 2 1 1 1 12*")</f>
        <v>0</v>
      </c>
      <c r="G527" s="83">
        <f>SUMIFS(G528:G1496,K528:K1496,"0",B528:B1496,"3 2 1 1 1 12*")</f>
        <v>903554.81</v>
      </c>
      <c r="H527" s="83"/>
      <c r="I527" s="83">
        <f t="shared" si="8"/>
        <v>588251.52</v>
      </c>
      <c r="K527" s="54" t="s">
        <v>15</v>
      </c>
    </row>
    <row r="528" spans="2:11" ht="16.5" x14ac:dyDescent="0.2">
      <c r="B528" s="82" t="s">
        <v>2153</v>
      </c>
      <c r="C528" s="82" t="s">
        <v>28</v>
      </c>
      <c r="D528" s="54"/>
      <c r="E528" s="83">
        <f>SUMIFS(E529:E1496,K529:K1496,"0",B529:B1496,"3 2 1 1 1 12 31111*")-SUMIFS(D529:D1496,K529:K1496,"0",B529:B1496,"3 2 1 1 1 12 31111*")</f>
        <v>-315303.28999999998</v>
      </c>
      <c r="F528" s="83">
        <f>SUMIFS(F529:F1496,K529:K1496,"0",B529:B1496,"3 2 1 1 1 12 31111*")</f>
        <v>0</v>
      </c>
      <c r="G528" s="83">
        <f>SUMIFS(G529:G1496,K529:K1496,"0",B529:B1496,"3 2 1 1 1 12 31111*")</f>
        <v>903554.81</v>
      </c>
      <c r="H528" s="83"/>
      <c r="I528" s="83">
        <f t="shared" si="8"/>
        <v>588251.52</v>
      </c>
      <c r="K528" s="54" t="s">
        <v>15</v>
      </c>
    </row>
    <row r="529" spans="2:11" ht="12.75" x14ac:dyDescent="0.2">
      <c r="B529" s="82" t="s">
        <v>2154</v>
      </c>
      <c r="C529" s="82" t="s">
        <v>30</v>
      </c>
      <c r="D529" s="54"/>
      <c r="E529" s="83">
        <f>SUMIFS(E530:E1496,K530:K1496,"0",B530:B1496,"3 2 1 1 1 12 31111 6*")-SUMIFS(D530:D1496,K530:K1496,"0",B530:B1496,"3 2 1 1 1 12 31111 6*")</f>
        <v>-315303.28999999998</v>
      </c>
      <c r="F529" s="83">
        <f>SUMIFS(F530:F1496,K530:K1496,"0",B530:B1496,"3 2 1 1 1 12 31111 6*")</f>
        <v>0</v>
      </c>
      <c r="G529" s="83">
        <f>SUMIFS(G530:G1496,K530:K1496,"0",B530:B1496,"3 2 1 1 1 12 31111 6*")</f>
        <v>903554.81</v>
      </c>
      <c r="H529" s="83"/>
      <c r="I529" s="83">
        <f t="shared" si="8"/>
        <v>588251.52</v>
      </c>
      <c r="K529" s="54" t="s">
        <v>15</v>
      </c>
    </row>
    <row r="530" spans="2:11" ht="12.75" x14ac:dyDescent="0.2">
      <c r="B530" s="82" t="s">
        <v>2155</v>
      </c>
      <c r="C530" s="82" t="s">
        <v>32</v>
      </c>
      <c r="D530" s="54"/>
      <c r="E530" s="83">
        <f>SUMIFS(E531:E1496,K531:K1496,"0",B531:B1496,"3 2 1 1 1 12 31111 6 M59*")-SUMIFS(D531:D1496,K531:K1496,"0",B531:B1496,"3 2 1 1 1 12 31111 6 M59*")</f>
        <v>-315303.28999999998</v>
      </c>
      <c r="F530" s="83">
        <f>SUMIFS(F531:F1496,K531:K1496,"0",B531:B1496,"3 2 1 1 1 12 31111 6 M59*")</f>
        <v>0</v>
      </c>
      <c r="G530" s="83">
        <f>SUMIFS(G531:G1496,K531:K1496,"0",B531:B1496,"3 2 1 1 1 12 31111 6 M59*")</f>
        <v>903554.81</v>
      </c>
      <c r="H530" s="83"/>
      <c r="I530" s="83">
        <f t="shared" si="8"/>
        <v>588251.52</v>
      </c>
      <c r="K530" s="54" t="s">
        <v>15</v>
      </c>
    </row>
    <row r="531" spans="2:11" ht="24.75" x14ac:dyDescent="0.2">
      <c r="B531" s="82" t="s">
        <v>2166</v>
      </c>
      <c r="C531" s="82" t="s">
        <v>40</v>
      </c>
      <c r="D531" s="54"/>
      <c r="E531" s="83">
        <f>SUMIFS(E532:E1496,K532:K1496,"0",B532:B1496,"3 2 1 1 1 12 31111 6 M59 00003*")-SUMIFS(D532:D1496,K532:K1496,"0",B532:B1496,"3 2 1 1 1 12 31111 6 M59 00003*")</f>
        <v>-315303.28999999998</v>
      </c>
      <c r="F531" s="83">
        <f>SUMIFS(F532:F1496,K532:K1496,"0",B532:B1496,"3 2 1 1 1 12 31111 6 M59 00003*")</f>
        <v>0</v>
      </c>
      <c r="G531" s="83">
        <f>SUMIFS(G532:G1496,K532:K1496,"0",B532:B1496,"3 2 1 1 1 12 31111 6 M59 00003*")</f>
        <v>903554.81</v>
      </c>
      <c r="H531" s="83"/>
      <c r="I531" s="83">
        <f t="shared" si="8"/>
        <v>588251.52</v>
      </c>
      <c r="K531" s="54" t="s">
        <v>15</v>
      </c>
    </row>
    <row r="532" spans="2:11" ht="16.5" x14ac:dyDescent="0.2">
      <c r="B532" s="82" t="s">
        <v>2167</v>
      </c>
      <c r="C532" s="82" t="s">
        <v>42</v>
      </c>
      <c r="D532" s="54"/>
      <c r="E532" s="83">
        <f>SUMIFS(E533:E1496,K533:K1496,"0",B533:B1496,"3 2 1 1 1 12 31111 6 M59 00003 000001*")-SUMIFS(D533:D1496,K533:K1496,"0",B533:B1496,"3 2 1 1 1 12 31111 6 M59 00003 000001*")</f>
        <v>-315303.28999999998</v>
      </c>
      <c r="F532" s="83">
        <f>SUMIFS(F533:F1496,K533:K1496,"0",B533:B1496,"3 2 1 1 1 12 31111 6 M59 00003 000001*")</f>
        <v>0</v>
      </c>
      <c r="G532" s="83">
        <f>SUMIFS(G533:G1496,K533:K1496,"0",B533:B1496,"3 2 1 1 1 12 31111 6 M59 00003 000001*")</f>
        <v>903554.81</v>
      </c>
      <c r="H532" s="83"/>
      <c r="I532" s="83">
        <f t="shared" si="8"/>
        <v>588251.52</v>
      </c>
      <c r="K532" s="54" t="s">
        <v>15</v>
      </c>
    </row>
    <row r="533" spans="2:11" ht="16.5" x14ac:dyDescent="0.2">
      <c r="B533" s="82" t="s">
        <v>2168</v>
      </c>
      <c r="C533" s="82" t="s">
        <v>42</v>
      </c>
      <c r="D533" s="54"/>
      <c r="E533" s="83">
        <f>SUMIFS(E534:E1496,K534:K1496,"0",B534:B1496,"3 2 1 1 1 12 31111 6 M59 00003 000001 00001*")-SUMIFS(D534:D1496,K534:K1496,"0",B534:B1496,"3 2 1 1 1 12 31111 6 M59 00003 000001 00001*")</f>
        <v>-315303.28999999998</v>
      </c>
      <c r="F533" s="83">
        <f>SUMIFS(F534:F1496,K534:K1496,"0",B534:B1496,"3 2 1 1 1 12 31111 6 M59 00003 000001 00001*")</f>
        <v>0</v>
      </c>
      <c r="G533" s="83">
        <f>SUMIFS(G534:G1496,K534:K1496,"0",B534:B1496,"3 2 1 1 1 12 31111 6 M59 00003 000001 00001*")</f>
        <v>903554.81</v>
      </c>
      <c r="H533" s="83"/>
      <c r="I533" s="83">
        <f t="shared" si="8"/>
        <v>588251.52</v>
      </c>
      <c r="K533" s="54" t="s">
        <v>15</v>
      </c>
    </row>
    <row r="534" spans="2:11" ht="16.5" x14ac:dyDescent="0.2">
      <c r="B534" s="84" t="s">
        <v>2169</v>
      </c>
      <c r="C534" s="84" t="s">
        <v>2170</v>
      </c>
      <c r="D534" s="85"/>
      <c r="E534" s="85">
        <v>-315303.28999999998</v>
      </c>
      <c r="F534" s="85">
        <v>0</v>
      </c>
      <c r="G534" s="85">
        <v>903554.81</v>
      </c>
      <c r="H534" s="85"/>
      <c r="I534" s="85">
        <f t="shared" si="8"/>
        <v>588251.52</v>
      </c>
      <c r="K534" s="54" t="s">
        <v>38</v>
      </c>
    </row>
    <row r="535" spans="2:11" ht="16.5" x14ac:dyDescent="0.2">
      <c r="B535" s="82" t="s">
        <v>2177</v>
      </c>
      <c r="C535" s="82" t="s">
        <v>2178</v>
      </c>
      <c r="D535" s="54"/>
      <c r="E535" s="83">
        <f>SUMIFS(E536:E1496,K536:K1496,"0",B536:B1496,"3 2 2*")-SUMIFS(D536:D1496,K536:K1496,"0",B536:B1496,"3 2 2*")</f>
        <v>-1477093.3399999999</v>
      </c>
      <c r="F535" s="83">
        <f>SUMIFS(F536:F1496,K536:K1496,"0",B536:B1496,"3 2 2*")</f>
        <v>0</v>
      </c>
      <c r="G535" s="83">
        <f>SUMIFS(G536:G1496,K536:K1496,"0",B536:B1496,"3 2 2*")</f>
        <v>0</v>
      </c>
      <c r="H535" s="83"/>
      <c r="I535" s="83">
        <f t="shared" si="8"/>
        <v>-1477093.3399999999</v>
      </c>
      <c r="K535" s="54" t="s">
        <v>15</v>
      </c>
    </row>
    <row r="536" spans="2:11" ht="16.5" x14ac:dyDescent="0.2">
      <c r="B536" s="82" t="s">
        <v>2179</v>
      </c>
      <c r="C536" s="82" t="s">
        <v>2178</v>
      </c>
      <c r="D536" s="54"/>
      <c r="E536" s="83">
        <f>SUMIFS(E537:E1496,K537:K1496,"0",B537:B1496,"3 2 2 1*")-SUMIFS(D537:D1496,K537:K1496,"0",B537:B1496,"3 2 2 1*")</f>
        <v>-1477093.3399999999</v>
      </c>
      <c r="F536" s="83">
        <f>SUMIFS(F537:F1496,K537:K1496,"0",B537:B1496,"3 2 2 1*")</f>
        <v>0</v>
      </c>
      <c r="G536" s="83">
        <f>SUMIFS(G537:G1496,K537:K1496,"0",B537:B1496,"3 2 2 1*")</f>
        <v>0</v>
      </c>
      <c r="H536" s="83"/>
      <c r="I536" s="83">
        <f t="shared" si="8"/>
        <v>-1477093.3399999999</v>
      </c>
      <c r="K536" s="54" t="s">
        <v>15</v>
      </c>
    </row>
    <row r="537" spans="2:11" ht="16.5" x14ac:dyDescent="0.2">
      <c r="B537" s="82" t="s">
        <v>2180</v>
      </c>
      <c r="C537" s="82" t="s">
        <v>2181</v>
      </c>
      <c r="D537" s="54"/>
      <c r="E537" s="83">
        <f>SUMIFS(E538:E1496,K538:K1496,"0",B538:B1496,"3 2 2 1 1*")-SUMIFS(D538:D1496,K538:K1496,"0",B538:B1496,"3 2 2 1 1*")</f>
        <v>-921145.83</v>
      </c>
      <c r="F537" s="83">
        <f>SUMIFS(F538:F1496,K538:K1496,"0",B538:B1496,"3 2 2 1 1*")</f>
        <v>0</v>
      </c>
      <c r="G537" s="83">
        <f>SUMIFS(G538:G1496,K538:K1496,"0",B538:B1496,"3 2 2 1 1*")</f>
        <v>0</v>
      </c>
      <c r="H537" s="83"/>
      <c r="I537" s="83">
        <f t="shared" si="8"/>
        <v>-921145.83</v>
      </c>
      <c r="K537" s="54" t="s">
        <v>15</v>
      </c>
    </row>
    <row r="538" spans="2:11" ht="12.75" x14ac:dyDescent="0.2">
      <c r="B538" s="82" t="s">
        <v>2182</v>
      </c>
      <c r="C538" s="82" t="s">
        <v>26</v>
      </c>
      <c r="D538" s="54"/>
      <c r="E538" s="83">
        <f>SUMIFS(E539:E1496,K539:K1496,"0",B539:B1496,"3 2 2 1 1 12*")-SUMIFS(D539:D1496,K539:K1496,"0",B539:B1496,"3 2 2 1 1 12*")</f>
        <v>-921145.83</v>
      </c>
      <c r="F538" s="83">
        <f>SUMIFS(F539:F1496,K539:K1496,"0",B539:B1496,"3 2 2 1 1 12*")</f>
        <v>0</v>
      </c>
      <c r="G538" s="83">
        <f>SUMIFS(G539:G1496,K539:K1496,"0",B539:B1496,"3 2 2 1 1 12*")</f>
        <v>0</v>
      </c>
      <c r="H538" s="83"/>
      <c r="I538" s="83">
        <f t="shared" si="8"/>
        <v>-921145.83</v>
      </c>
      <c r="K538" s="54" t="s">
        <v>15</v>
      </c>
    </row>
    <row r="539" spans="2:11" ht="16.5" x14ac:dyDescent="0.2">
      <c r="B539" s="82" t="s">
        <v>2183</v>
      </c>
      <c r="C539" s="82" t="s">
        <v>28</v>
      </c>
      <c r="D539" s="54"/>
      <c r="E539" s="83">
        <f>SUMIFS(E540:E1496,K540:K1496,"0",B540:B1496,"3 2 2 1 1 12 31111*")-SUMIFS(D540:D1496,K540:K1496,"0",B540:B1496,"3 2 2 1 1 12 31111*")</f>
        <v>-921145.83</v>
      </c>
      <c r="F539" s="83">
        <f>SUMIFS(F540:F1496,K540:K1496,"0",B540:B1496,"3 2 2 1 1 12 31111*")</f>
        <v>0</v>
      </c>
      <c r="G539" s="83">
        <f>SUMIFS(G540:G1496,K540:K1496,"0",B540:B1496,"3 2 2 1 1 12 31111*")</f>
        <v>0</v>
      </c>
      <c r="H539" s="83"/>
      <c r="I539" s="83">
        <f t="shared" si="8"/>
        <v>-921145.83</v>
      </c>
      <c r="K539" s="54" t="s">
        <v>15</v>
      </c>
    </row>
    <row r="540" spans="2:11" ht="12.75" x14ac:dyDescent="0.2">
      <c r="B540" s="82" t="s">
        <v>2184</v>
      </c>
      <c r="C540" s="82" t="s">
        <v>30</v>
      </c>
      <c r="D540" s="54"/>
      <c r="E540" s="83">
        <f>SUMIFS(E541:E1496,K541:K1496,"0",B541:B1496,"3 2 2 1 1 12 31111 6*")-SUMIFS(D541:D1496,K541:K1496,"0",B541:B1496,"3 2 2 1 1 12 31111 6*")</f>
        <v>-921145.83</v>
      </c>
      <c r="F540" s="83">
        <f>SUMIFS(F541:F1496,K541:K1496,"0",B541:B1496,"3 2 2 1 1 12 31111 6*")</f>
        <v>0</v>
      </c>
      <c r="G540" s="83">
        <f>SUMIFS(G541:G1496,K541:K1496,"0",B541:B1496,"3 2 2 1 1 12 31111 6*")</f>
        <v>0</v>
      </c>
      <c r="H540" s="83"/>
      <c r="I540" s="83">
        <f t="shared" si="8"/>
        <v>-921145.83</v>
      </c>
      <c r="K540" s="54" t="s">
        <v>15</v>
      </c>
    </row>
    <row r="541" spans="2:11" ht="16.5" x14ac:dyDescent="0.2">
      <c r="B541" s="82" t="s">
        <v>2185</v>
      </c>
      <c r="C541" s="82" t="s">
        <v>32</v>
      </c>
      <c r="D541" s="54"/>
      <c r="E541" s="83">
        <f>SUMIFS(E542:E1496,K542:K1496,"0",B542:B1496,"3 2 2 1 1 12 31111 6 M59*")-SUMIFS(D542:D1496,K542:K1496,"0",B542:B1496,"3 2 2 1 1 12 31111 6 M59*")</f>
        <v>-921145.83</v>
      </c>
      <c r="F541" s="83">
        <f>SUMIFS(F542:F1496,K542:K1496,"0",B542:B1496,"3 2 2 1 1 12 31111 6 M59*")</f>
        <v>0</v>
      </c>
      <c r="G541" s="83">
        <f>SUMIFS(G542:G1496,K542:K1496,"0",B542:B1496,"3 2 2 1 1 12 31111 6 M59*")</f>
        <v>0</v>
      </c>
      <c r="H541" s="83"/>
      <c r="I541" s="83">
        <f t="shared" si="8"/>
        <v>-921145.83</v>
      </c>
      <c r="K541" s="54" t="s">
        <v>15</v>
      </c>
    </row>
    <row r="542" spans="2:11" ht="24.75" x14ac:dyDescent="0.2">
      <c r="B542" s="82" t="s">
        <v>2200</v>
      </c>
      <c r="C542" s="82" t="s">
        <v>40</v>
      </c>
      <c r="D542" s="54"/>
      <c r="E542" s="83">
        <f>SUMIFS(E543:E1496,K543:K1496,"0",B543:B1496,"3 2 2 1 1 12 31111 6 M59 00003*")-SUMIFS(D543:D1496,K543:K1496,"0",B543:B1496,"3 2 2 1 1 12 31111 6 M59 00003*")</f>
        <v>-921145.83</v>
      </c>
      <c r="F542" s="83">
        <f>SUMIFS(F543:F1496,K543:K1496,"0",B543:B1496,"3 2 2 1 1 12 31111 6 M59 00003*")</f>
        <v>0</v>
      </c>
      <c r="G542" s="83">
        <f>SUMIFS(G543:G1496,K543:K1496,"0",B543:B1496,"3 2 2 1 1 12 31111 6 M59 00003*")</f>
        <v>0</v>
      </c>
      <c r="H542" s="83"/>
      <c r="I542" s="83">
        <f t="shared" si="8"/>
        <v>-921145.83</v>
      </c>
      <c r="K542" s="54" t="s">
        <v>15</v>
      </c>
    </row>
    <row r="543" spans="2:11" ht="16.5" x14ac:dyDescent="0.2">
      <c r="B543" s="84" t="s">
        <v>2201</v>
      </c>
      <c r="C543" s="84" t="s">
        <v>2199</v>
      </c>
      <c r="D543" s="85"/>
      <c r="E543" s="85">
        <v>-921145.83</v>
      </c>
      <c r="F543" s="85">
        <v>0</v>
      </c>
      <c r="G543" s="85">
        <v>0</v>
      </c>
      <c r="H543" s="85"/>
      <c r="I543" s="85">
        <f t="shared" si="8"/>
        <v>-921145.83</v>
      </c>
      <c r="K543" s="54" t="s">
        <v>38</v>
      </c>
    </row>
    <row r="544" spans="2:11" ht="16.5" x14ac:dyDescent="0.2">
      <c r="B544" s="82" t="s">
        <v>2208</v>
      </c>
      <c r="C544" s="82" t="s">
        <v>2209</v>
      </c>
      <c r="D544" s="54"/>
      <c r="E544" s="83">
        <f>SUMIFS(E545:E1496,K545:K1496,"0",B545:B1496,"3 2 2 1 2*")-SUMIFS(D545:D1496,K545:K1496,"0",B545:B1496,"3 2 2 1 2*")</f>
        <v>-555947.51</v>
      </c>
      <c r="F544" s="83">
        <f>SUMIFS(F545:F1496,K545:K1496,"0",B545:B1496,"3 2 2 1 2*")</f>
        <v>0</v>
      </c>
      <c r="G544" s="83">
        <f>SUMIFS(G545:G1496,K545:K1496,"0",B545:B1496,"3 2 2 1 2*")</f>
        <v>0</v>
      </c>
      <c r="H544" s="83"/>
      <c r="I544" s="83">
        <f t="shared" si="8"/>
        <v>-555947.51</v>
      </c>
      <c r="K544" s="54" t="s">
        <v>15</v>
      </c>
    </row>
    <row r="545" spans="2:11" ht="12.75" x14ac:dyDescent="0.2">
      <c r="B545" s="82" t="s">
        <v>2210</v>
      </c>
      <c r="C545" s="82" t="s">
        <v>26</v>
      </c>
      <c r="D545" s="54"/>
      <c r="E545" s="83">
        <f>SUMIFS(E546:E1496,K546:K1496,"0",B546:B1496,"3 2 2 1 2 12*")-SUMIFS(D546:D1496,K546:K1496,"0",B546:B1496,"3 2 2 1 2 12*")</f>
        <v>-555947.51</v>
      </c>
      <c r="F545" s="83">
        <f>SUMIFS(F546:F1496,K546:K1496,"0",B546:B1496,"3 2 2 1 2 12*")</f>
        <v>0</v>
      </c>
      <c r="G545" s="83">
        <f>SUMIFS(G546:G1496,K546:K1496,"0",B546:B1496,"3 2 2 1 2 12*")</f>
        <v>0</v>
      </c>
      <c r="H545" s="83"/>
      <c r="I545" s="83">
        <f t="shared" si="8"/>
        <v>-555947.51</v>
      </c>
      <c r="K545" s="54" t="s">
        <v>15</v>
      </c>
    </row>
    <row r="546" spans="2:11" ht="16.5" x14ac:dyDescent="0.2">
      <c r="B546" s="82" t="s">
        <v>2211</v>
      </c>
      <c r="C546" s="82" t="s">
        <v>28</v>
      </c>
      <c r="D546" s="54"/>
      <c r="E546" s="83">
        <f>SUMIFS(E547:E1496,K547:K1496,"0",B547:B1496,"3 2 2 1 2 12 31111*")-SUMIFS(D547:D1496,K547:K1496,"0",B547:B1496,"3 2 2 1 2 12 31111*")</f>
        <v>-555947.51</v>
      </c>
      <c r="F546" s="83">
        <f>SUMIFS(F547:F1496,K547:K1496,"0",B547:B1496,"3 2 2 1 2 12 31111*")</f>
        <v>0</v>
      </c>
      <c r="G546" s="83">
        <f>SUMIFS(G547:G1496,K547:K1496,"0",B547:B1496,"3 2 2 1 2 12 31111*")</f>
        <v>0</v>
      </c>
      <c r="H546" s="83"/>
      <c r="I546" s="83">
        <f t="shared" si="8"/>
        <v>-555947.51</v>
      </c>
      <c r="K546" s="54" t="s">
        <v>15</v>
      </c>
    </row>
    <row r="547" spans="2:11" ht="12.75" x14ac:dyDescent="0.2">
      <c r="B547" s="82" t="s">
        <v>2212</v>
      </c>
      <c r="C547" s="82" t="s">
        <v>30</v>
      </c>
      <c r="D547" s="54"/>
      <c r="E547" s="83">
        <f>SUMIFS(E548:E1496,K548:K1496,"0",B548:B1496,"3 2 2 1 2 12 31111 6*")-SUMIFS(D548:D1496,K548:K1496,"0",B548:B1496,"3 2 2 1 2 12 31111 6*")</f>
        <v>-555947.51</v>
      </c>
      <c r="F547" s="83">
        <f>SUMIFS(F548:F1496,K548:K1496,"0",B548:B1496,"3 2 2 1 2 12 31111 6*")</f>
        <v>0</v>
      </c>
      <c r="G547" s="83">
        <f>SUMIFS(G548:G1496,K548:K1496,"0",B548:B1496,"3 2 2 1 2 12 31111 6*")</f>
        <v>0</v>
      </c>
      <c r="H547" s="83"/>
      <c r="I547" s="83">
        <f t="shared" si="8"/>
        <v>-555947.51</v>
      </c>
      <c r="K547" s="54" t="s">
        <v>15</v>
      </c>
    </row>
    <row r="548" spans="2:11" ht="16.5" x14ac:dyDescent="0.2">
      <c r="B548" s="82" t="s">
        <v>2213</v>
      </c>
      <c r="C548" s="82" t="s">
        <v>32</v>
      </c>
      <c r="D548" s="54"/>
      <c r="E548" s="83">
        <f>SUMIFS(E549:E1496,K549:K1496,"0",B549:B1496,"3 2 2 1 2 12 31111 6 M59*")-SUMIFS(D549:D1496,K549:K1496,"0",B549:B1496,"3 2 2 1 2 12 31111 6 M59*")</f>
        <v>-555947.51</v>
      </c>
      <c r="F548" s="83">
        <f>SUMIFS(F549:F1496,K549:K1496,"0",B549:B1496,"3 2 2 1 2 12 31111 6 M59*")</f>
        <v>0</v>
      </c>
      <c r="G548" s="83">
        <f>SUMIFS(G549:G1496,K549:K1496,"0",B549:B1496,"3 2 2 1 2 12 31111 6 M59*")</f>
        <v>0</v>
      </c>
      <c r="H548" s="83"/>
      <c r="I548" s="83">
        <f t="shared" si="8"/>
        <v>-555947.51</v>
      </c>
      <c r="K548" s="54" t="s">
        <v>15</v>
      </c>
    </row>
    <row r="549" spans="2:11" ht="24.75" x14ac:dyDescent="0.2">
      <c r="B549" s="82" t="s">
        <v>2220</v>
      </c>
      <c r="C549" s="82" t="s">
        <v>40</v>
      </c>
      <c r="D549" s="54"/>
      <c r="E549" s="83">
        <f>SUMIFS(E550:E1496,K550:K1496,"0",B550:B1496,"3 2 2 1 2 12 31111 6 M59 00003*")-SUMIFS(D550:D1496,K550:K1496,"0",B550:B1496,"3 2 2 1 2 12 31111 6 M59 00003*")</f>
        <v>-555947.51</v>
      </c>
      <c r="F549" s="83">
        <f>SUMIFS(F550:F1496,K550:K1496,"0",B550:B1496,"3 2 2 1 2 12 31111 6 M59 00003*")</f>
        <v>0</v>
      </c>
      <c r="G549" s="83">
        <f>SUMIFS(G550:G1496,K550:K1496,"0",B550:B1496,"3 2 2 1 2 12 31111 6 M59 00003*")</f>
        <v>0</v>
      </c>
      <c r="H549" s="83"/>
      <c r="I549" s="83">
        <f t="shared" si="8"/>
        <v>-555947.51</v>
      </c>
      <c r="K549" s="54" t="s">
        <v>15</v>
      </c>
    </row>
    <row r="550" spans="2:11" ht="16.5" x14ac:dyDescent="0.2">
      <c r="B550" s="84" t="s">
        <v>2221</v>
      </c>
      <c r="C550" s="84" t="s">
        <v>2165</v>
      </c>
      <c r="D550" s="85"/>
      <c r="E550" s="85">
        <v>-555947.51</v>
      </c>
      <c r="F550" s="85">
        <v>0</v>
      </c>
      <c r="G550" s="85">
        <v>0</v>
      </c>
      <c r="H550" s="85"/>
      <c r="I550" s="85">
        <f t="shared" si="8"/>
        <v>-555947.51</v>
      </c>
      <c r="K550" s="54" t="s">
        <v>38</v>
      </c>
    </row>
    <row r="551" spans="2:11" ht="12.75" x14ac:dyDescent="0.2">
      <c r="B551" s="82" t="s">
        <v>2233</v>
      </c>
      <c r="C551" s="82" t="s">
        <v>2234</v>
      </c>
      <c r="D551" s="54"/>
      <c r="E551" s="83">
        <f>SUMIFS(E552:E1496,K552:K1496,"0",B552:B1496,"3 2 3*")-SUMIFS(D552:D1496,K552:K1496,"0",B552:B1496,"3 2 3*")</f>
        <v>1179431.77</v>
      </c>
      <c r="F551" s="83">
        <f>SUMIFS(F552:F1496,K552:K1496,"0",B552:B1496,"3 2 3*")</f>
        <v>0</v>
      </c>
      <c r="G551" s="83">
        <f>SUMIFS(G552:G1496,K552:K1496,"0",B552:B1496,"3 2 3*")</f>
        <v>0</v>
      </c>
      <c r="H551" s="83"/>
      <c r="I551" s="83">
        <f t="shared" si="8"/>
        <v>1179431.77</v>
      </c>
      <c r="K551" s="54" t="s">
        <v>15</v>
      </c>
    </row>
    <row r="552" spans="2:11" ht="12.75" x14ac:dyDescent="0.2">
      <c r="B552" s="82" t="s">
        <v>2235</v>
      </c>
      <c r="C552" s="82" t="s">
        <v>2236</v>
      </c>
      <c r="D552" s="54"/>
      <c r="E552" s="83">
        <f>SUMIFS(E553:E1496,K553:K1496,"0",B553:B1496,"3 2 3 2*")-SUMIFS(D553:D1496,K553:K1496,"0",B553:B1496,"3 2 3 2*")</f>
        <v>1179431.77</v>
      </c>
      <c r="F552" s="83">
        <f>SUMIFS(F553:F1496,K553:K1496,"0",B553:B1496,"3 2 3 2*")</f>
        <v>0</v>
      </c>
      <c r="G552" s="83">
        <f>SUMIFS(G553:G1496,K553:K1496,"0",B553:B1496,"3 2 3 2*")</f>
        <v>0</v>
      </c>
      <c r="H552" s="83"/>
      <c r="I552" s="83">
        <f t="shared" si="8"/>
        <v>1179431.77</v>
      </c>
      <c r="K552" s="54" t="s">
        <v>15</v>
      </c>
    </row>
    <row r="553" spans="2:11" ht="12.75" x14ac:dyDescent="0.2">
      <c r="B553" s="82" t="s">
        <v>2237</v>
      </c>
      <c r="C553" s="82" t="s">
        <v>2236</v>
      </c>
      <c r="D553" s="54"/>
      <c r="E553" s="83">
        <f>SUMIFS(E554:E1496,K554:K1496,"0",B554:B1496,"3 2 3 2 1*")-SUMIFS(D554:D1496,K554:K1496,"0",B554:B1496,"3 2 3 2 1*")</f>
        <v>1179431.77</v>
      </c>
      <c r="F553" s="83">
        <f>SUMIFS(F554:F1496,K554:K1496,"0",B554:B1496,"3 2 3 2 1*")</f>
        <v>0</v>
      </c>
      <c r="G553" s="83">
        <f>SUMIFS(G554:G1496,K554:K1496,"0",B554:B1496,"3 2 3 2 1*")</f>
        <v>0</v>
      </c>
      <c r="H553" s="83"/>
      <c r="I553" s="83">
        <f t="shared" si="8"/>
        <v>1179431.77</v>
      </c>
      <c r="K553" s="54" t="s">
        <v>15</v>
      </c>
    </row>
    <row r="554" spans="2:11" ht="12.75" x14ac:dyDescent="0.2">
      <c r="B554" s="82" t="s">
        <v>2238</v>
      </c>
      <c r="C554" s="82" t="s">
        <v>26</v>
      </c>
      <c r="D554" s="54"/>
      <c r="E554" s="83">
        <f>SUMIFS(E555:E1496,K555:K1496,"0",B555:B1496,"3 2 3 2 1 12*")-SUMIFS(D555:D1496,K555:K1496,"0",B555:B1496,"3 2 3 2 1 12*")</f>
        <v>1179431.77</v>
      </c>
      <c r="F554" s="83">
        <f>SUMIFS(F555:F1496,K555:K1496,"0",B555:B1496,"3 2 3 2 1 12*")</f>
        <v>0</v>
      </c>
      <c r="G554" s="83">
        <f>SUMIFS(G555:G1496,K555:K1496,"0",B555:B1496,"3 2 3 2 1 12*")</f>
        <v>0</v>
      </c>
      <c r="H554" s="83"/>
      <c r="I554" s="83">
        <f t="shared" si="8"/>
        <v>1179431.77</v>
      </c>
      <c r="K554" s="54" t="s">
        <v>15</v>
      </c>
    </row>
    <row r="555" spans="2:11" ht="16.5" x14ac:dyDescent="0.2">
      <c r="B555" s="82" t="s">
        <v>2239</v>
      </c>
      <c r="C555" s="82" t="s">
        <v>28</v>
      </c>
      <c r="D555" s="54"/>
      <c r="E555" s="83">
        <f>SUMIFS(E556:E1496,K556:K1496,"0",B556:B1496,"3 2 3 2 1 12 31111*")-SUMIFS(D556:D1496,K556:K1496,"0",B556:B1496,"3 2 3 2 1 12 31111*")</f>
        <v>1179431.77</v>
      </c>
      <c r="F555" s="83">
        <f>SUMIFS(F556:F1496,K556:K1496,"0",B556:B1496,"3 2 3 2 1 12 31111*")</f>
        <v>0</v>
      </c>
      <c r="G555" s="83">
        <f>SUMIFS(G556:G1496,K556:K1496,"0",B556:B1496,"3 2 3 2 1 12 31111*")</f>
        <v>0</v>
      </c>
      <c r="H555" s="83"/>
      <c r="I555" s="83">
        <f t="shared" si="8"/>
        <v>1179431.77</v>
      </c>
      <c r="K555" s="54" t="s">
        <v>15</v>
      </c>
    </row>
    <row r="556" spans="2:11" ht="12.75" x14ac:dyDescent="0.2">
      <c r="B556" s="82" t="s">
        <v>2240</v>
      </c>
      <c r="C556" s="82" t="s">
        <v>30</v>
      </c>
      <c r="D556" s="54"/>
      <c r="E556" s="83">
        <f>SUMIFS(E557:E1496,K557:K1496,"0",B557:B1496,"3 2 3 2 1 12 31111 6*")-SUMIFS(D557:D1496,K557:K1496,"0",B557:B1496,"3 2 3 2 1 12 31111 6*")</f>
        <v>1179431.77</v>
      </c>
      <c r="F556" s="83">
        <f>SUMIFS(F557:F1496,K557:K1496,"0",B557:B1496,"3 2 3 2 1 12 31111 6*")</f>
        <v>0</v>
      </c>
      <c r="G556" s="83">
        <f>SUMIFS(G557:G1496,K557:K1496,"0",B557:B1496,"3 2 3 2 1 12 31111 6*")</f>
        <v>0</v>
      </c>
      <c r="H556" s="83"/>
      <c r="I556" s="83">
        <f t="shared" si="8"/>
        <v>1179431.77</v>
      </c>
      <c r="K556" s="54" t="s">
        <v>15</v>
      </c>
    </row>
    <row r="557" spans="2:11" ht="16.5" x14ac:dyDescent="0.2">
      <c r="B557" s="82" t="s">
        <v>2241</v>
      </c>
      <c r="C557" s="82" t="s">
        <v>32</v>
      </c>
      <c r="D557" s="54"/>
      <c r="E557" s="83">
        <f>SUMIFS(E558:E1496,K558:K1496,"0",B558:B1496,"3 2 3 2 1 12 31111 6 M59*")-SUMIFS(D558:D1496,K558:K1496,"0",B558:B1496,"3 2 3 2 1 12 31111 6 M59*")</f>
        <v>1179431.77</v>
      </c>
      <c r="F557" s="83">
        <f>SUMIFS(F558:F1496,K558:K1496,"0",B558:B1496,"3 2 3 2 1 12 31111 6 M59*")</f>
        <v>0</v>
      </c>
      <c r="G557" s="83">
        <f>SUMIFS(G558:G1496,K558:K1496,"0",B558:B1496,"3 2 3 2 1 12 31111 6 M59*")</f>
        <v>0</v>
      </c>
      <c r="H557" s="83"/>
      <c r="I557" s="83">
        <f t="shared" si="8"/>
        <v>1179431.77</v>
      </c>
      <c r="K557" s="54" t="s">
        <v>15</v>
      </c>
    </row>
    <row r="558" spans="2:11" ht="24.75" x14ac:dyDescent="0.2">
      <c r="B558" s="82" t="s">
        <v>2248</v>
      </c>
      <c r="C558" s="82" t="s">
        <v>40</v>
      </c>
      <c r="D558" s="54"/>
      <c r="E558" s="83">
        <f>SUMIFS(E559:E1496,K559:K1496,"0",B559:B1496,"3 2 3 2 1 12 31111 6 M59 00003*")-SUMIFS(D559:D1496,K559:K1496,"0",B559:B1496,"3 2 3 2 1 12 31111 6 M59 00003*")</f>
        <v>1179431.77</v>
      </c>
      <c r="F558" s="83">
        <f>SUMIFS(F559:F1496,K559:K1496,"0",B559:B1496,"3 2 3 2 1 12 31111 6 M59 00003*")</f>
        <v>0</v>
      </c>
      <c r="G558" s="83">
        <f>SUMIFS(G559:G1496,K559:K1496,"0",B559:B1496,"3 2 3 2 1 12 31111 6 M59 00003*")</f>
        <v>0</v>
      </c>
      <c r="H558" s="83"/>
      <c r="I558" s="83">
        <f t="shared" si="8"/>
        <v>1179431.77</v>
      </c>
      <c r="K558" s="54" t="s">
        <v>15</v>
      </c>
    </row>
    <row r="559" spans="2:11" ht="16.5" x14ac:dyDescent="0.2">
      <c r="B559" s="84" t="s">
        <v>2249</v>
      </c>
      <c r="C559" s="84" t="s">
        <v>2236</v>
      </c>
      <c r="D559" s="85"/>
      <c r="E559" s="85">
        <v>1179431.77</v>
      </c>
      <c r="F559" s="85">
        <v>0</v>
      </c>
      <c r="G559" s="85">
        <v>0</v>
      </c>
      <c r="H559" s="85"/>
      <c r="I559" s="85">
        <f t="shared" si="8"/>
        <v>1179431.77</v>
      </c>
      <c r="K559" s="54" t="s">
        <v>38</v>
      </c>
    </row>
    <row r="560" spans="2:11" ht="24.75" x14ac:dyDescent="0.2">
      <c r="B560" s="82" t="s">
        <v>2250</v>
      </c>
      <c r="C560" s="82" t="s">
        <v>2251</v>
      </c>
      <c r="D560" s="54"/>
      <c r="E560" s="83">
        <f>SUMIFS(E561:E1496,K561:K1496,"0",B561:B1496,"3 2 5*")-SUMIFS(D561:D1496,K561:K1496,"0",B561:B1496,"3 2 5*")</f>
        <v>-924888.09</v>
      </c>
      <c r="F560" s="83">
        <f>SUMIFS(F561:F1496,K561:K1496,"0",B561:B1496,"3 2 5*")</f>
        <v>0</v>
      </c>
      <c r="G560" s="83">
        <f>SUMIFS(G561:G1496,K561:K1496,"0",B561:B1496,"3 2 5*")</f>
        <v>1821492.16</v>
      </c>
      <c r="H560" s="83"/>
      <c r="I560" s="83">
        <f t="shared" si="8"/>
        <v>896604.07</v>
      </c>
      <c r="K560" s="54" t="s">
        <v>15</v>
      </c>
    </row>
    <row r="561" spans="2:11" ht="16.5" x14ac:dyDescent="0.2">
      <c r="B561" s="82" t="s">
        <v>2252</v>
      </c>
      <c r="C561" s="82" t="s">
        <v>2253</v>
      </c>
      <c r="D561" s="54"/>
      <c r="E561" s="83">
        <f>SUMIFS(E562:E1496,K562:K1496,"0",B562:B1496,"3 2 5 2*")-SUMIFS(D562:D1496,K562:K1496,"0",B562:B1496,"3 2 5 2*")</f>
        <v>-924888.09</v>
      </c>
      <c r="F561" s="83">
        <f>SUMIFS(F562:F1496,K562:K1496,"0",B562:B1496,"3 2 5 2*")</f>
        <v>0</v>
      </c>
      <c r="G561" s="83">
        <f>SUMIFS(G562:G1496,K562:K1496,"0",B562:B1496,"3 2 5 2*")</f>
        <v>1821492.16</v>
      </c>
      <c r="H561" s="83"/>
      <c r="I561" s="83">
        <f t="shared" si="8"/>
        <v>896604.07</v>
      </c>
      <c r="K561" s="54" t="s">
        <v>15</v>
      </c>
    </row>
    <row r="562" spans="2:11" ht="16.5" x14ac:dyDescent="0.2">
      <c r="B562" s="82" t="s">
        <v>2254</v>
      </c>
      <c r="C562" s="82" t="s">
        <v>2253</v>
      </c>
      <c r="D562" s="54"/>
      <c r="E562" s="83">
        <f>SUMIFS(E563:E1496,K563:K1496,"0",B563:B1496,"3 2 5 2 1*")-SUMIFS(D563:D1496,K563:K1496,"0",B563:B1496,"3 2 5 2 1*")</f>
        <v>-924888.09</v>
      </c>
      <c r="F562" s="83">
        <f>SUMIFS(F563:F1496,K563:K1496,"0",B563:B1496,"3 2 5 2 1*")</f>
        <v>0</v>
      </c>
      <c r="G562" s="83">
        <f>SUMIFS(G563:G1496,K563:K1496,"0",B563:B1496,"3 2 5 2 1*")</f>
        <v>1821492.16</v>
      </c>
      <c r="H562" s="83"/>
      <c r="I562" s="83">
        <f t="shared" si="8"/>
        <v>896604.07</v>
      </c>
      <c r="K562" s="54" t="s">
        <v>15</v>
      </c>
    </row>
    <row r="563" spans="2:11" ht="12.75" x14ac:dyDescent="0.2">
      <c r="B563" s="82" t="s">
        <v>2255</v>
      </c>
      <c r="C563" s="82" t="s">
        <v>26</v>
      </c>
      <c r="D563" s="54"/>
      <c r="E563" s="83">
        <f>SUMIFS(E564:E1496,K564:K1496,"0",B564:B1496,"3 2 5 2 1 12*")-SUMIFS(D564:D1496,K564:K1496,"0",B564:B1496,"3 2 5 2 1 12*")</f>
        <v>-924888.09</v>
      </c>
      <c r="F563" s="83">
        <f>SUMIFS(F564:F1496,K564:K1496,"0",B564:B1496,"3 2 5 2 1 12*")</f>
        <v>0</v>
      </c>
      <c r="G563" s="83">
        <f>SUMIFS(G564:G1496,K564:K1496,"0",B564:B1496,"3 2 5 2 1 12*")</f>
        <v>1821492.16</v>
      </c>
      <c r="H563" s="83"/>
      <c r="I563" s="83">
        <f t="shared" si="8"/>
        <v>896604.07</v>
      </c>
      <c r="K563" s="54" t="s">
        <v>15</v>
      </c>
    </row>
    <row r="564" spans="2:11" ht="16.5" x14ac:dyDescent="0.2">
      <c r="B564" s="82" t="s">
        <v>2256</v>
      </c>
      <c r="C564" s="82" t="s">
        <v>28</v>
      </c>
      <c r="D564" s="54"/>
      <c r="E564" s="83">
        <f>SUMIFS(E565:E1496,K565:K1496,"0",B565:B1496,"3 2 5 2 1 12 31111*")-SUMIFS(D565:D1496,K565:K1496,"0",B565:B1496,"3 2 5 2 1 12 31111*")</f>
        <v>-924888.09</v>
      </c>
      <c r="F564" s="83">
        <f>SUMIFS(F565:F1496,K565:K1496,"0",B565:B1496,"3 2 5 2 1 12 31111*")</f>
        <v>0</v>
      </c>
      <c r="G564" s="83">
        <f>SUMIFS(G565:G1496,K565:K1496,"0",B565:B1496,"3 2 5 2 1 12 31111*")</f>
        <v>1821492.16</v>
      </c>
      <c r="H564" s="83"/>
      <c r="I564" s="83">
        <f t="shared" si="8"/>
        <v>896604.07</v>
      </c>
      <c r="K564" s="54" t="s">
        <v>15</v>
      </c>
    </row>
    <row r="565" spans="2:11" ht="12.75" x14ac:dyDescent="0.2">
      <c r="B565" s="82" t="s">
        <v>2257</v>
      </c>
      <c r="C565" s="82" t="s">
        <v>30</v>
      </c>
      <c r="D565" s="54"/>
      <c r="E565" s="83">
        <f>SUMIFS(E566:E1496,K566:K1496,"0",B566:B1496,"3 2 5 2 1 12 31111 6*")-SUMIFS(D566:D1496,K566:K1496,"0",B566:B1496,"3 2 5 2 1 12 31111 6*")</f>
        <v>-924888.09</v>
      </c>
      <c r="F565" s="83">
        <f>SUMIFS(F566:F1496,K566:K1496,"0",B566:B1496,"3 2 5 2 1 12 31111 6*")</f>
        <v>0</v>
      </c>
      <c r="G565" s="83">
        <f>SUMIFS(G566:G1496,K566:K1496,"0",B566:B1496,"3 2 5 2 1 12 31111 6*")</f>
        <v>1821492.16</v>
      </c>
      <c r="H565" s="83"/>
      <c r="I565" s="83">
        <f t="shared" si="8"/>
        <v>896604.07</v>
      </c>
      <c r="K565" s="54" t="s">
        <v>15</v>
      </c>
    </row>
    <row r="566" spans="2:11" ht="16.5" x14ac:dyDescent="0.2">
      <c r="B566" s="82" t="s">
        <v>2258</v>
      </c>
      <c r="C566" s="82" t="s">
        <v>32</v>
      </c>
      <c r="D566" s="54"/>
      <c r="E566" s="83">
        <f>SUMIFS(E567:E1496,K567:K1496,"0",B567:B1496,"3 2 5 2 1 12 31111 6 M59*")-SUMIFS(D567:D1496,K567:K1496,"0",B567:B1496,"3 2 5 2 1 12 31111 6 M59*")</f>
        <v>-924888.09</v>
      </c>
      <c r="F566" s="83">
        <f>SUMIFS(F567:F1496,K567:K1496,"0",B567:B1496,"3 2 5 2 1 12 31111 6 M59*")</f>
        <v>0</v>
      </c>
      <c r="G566" s="83">
        <f>SUMIFS(G567:G1496,K567:K1496,"0",B567:B1496,"3 2 5 2 1 12 31111 6 M59*")</f>
        <v>1821492.16</v>
      </c>
      <c r="H566" s="83"/>
      <c r="I566" s="83">
        <f t="shared" si="8"/>
        <v>896604.07</v>
      </c>
      <c r="K566" s="54" t="s">
        <v>15</v>
      </c>
    </row>
    <row r="567" spans="2:11" ht="16.5" x14ac:dyDescent="0.2">
      <c r="B567" s="82" t="s">
        <v>2262</v>
      </c>
      <c r="C567" s="82" t="s">
        <v>83</v>
      </c>
      <c r="D567" s="54"/>
      <c r="E567" s="83">
        <f>SUMIFS(E568:E1496,K568:K1496,"0",B568:B1496,"3 2 5 2 1 12 31111 6 M59 00003*")-SUMIFS(D568:D1496,K568:K1496,"0",B568:B1496,"3 2 5 2 1 12 31111 6 M59 00003*")</f>
        <v>-924888.09</v>
      </c>
      <c r="F567" s="83">
        <f>SUMIFS(F568:F1496,K568:K1496,"0",B568:B1496,"3 2 5 2 1 12 31111 6 M59 00003*")</f>
        <v>0</v>
      </c>
      <c r="G567" s="83">
        <f>SUMIFS(G568:G1496,K568:K1496,"0",B568:B1496,"3 2 5 2 1 12 31111 6 M59 00003*")</f>
        <v>1821492.16</v>
      </c>
      <c r="H567" s="83"/>
      <c r="I567" s="83">
        <f t="shared" si="8"/>
        <v>896604.07</v>
      </c>
      <c r="K567" s="54" t="s">
        <v>15</v>
      </c>
    </row>
    <row r="568" spans="2:11" ht="16.5" x14ac:dyDescent="0.2">
      <c r="B568" s="84" t="s">
        <v>2263</v>
      </c>
      <c r="C568" s="84" t="s">
        <v>2264</v>
      </c>
      <c r="D568" s="85"/>
      <c r="E568" s="85">
        <v>-924888.09</v>
      </c>
      <c r="F568" s="85">
        <v>0</v>
      </c>
      <c r="G568" s="85">
        <v>1821492.16</v>
      </c>
      <c r="H568" s="85"/>
      <c r="I568" s="85">
        <f t="shared" si="8"/>
        <v>896604.07</v>
      </c>
      <c r="K568" s="54" t="s">
        <v>38</v>
      </c>
    </row>
    <row r="569" spans="2:11" ht="16.5" x14ac:dyDescent="0.2">
      <c r="B569" s="82" t="s">
        <v>2271</v>
      </c>
      <c r="C569" s="82" t="s">
        <v>2272</v>
      </c>
      <c r="D569" s="54"/>
      <c r="E569" s="83">
        <f>SUMIFS(E570:E1496,K570:K1496,"0",B570:B1496,"4*")-SUMIFS(D570:D1496,K570:K1496,"0",B570:B1496,"4*")</f>
        <v>0</v>
      </c>
      <c r="F569" s="83">
        <f>SUMIFS(F570:F1496,K570:K1496,"0",B570:B1496,"4*")</f>
        <v>0</v>
      </c>
      <c r="G569" s="83">
        <f>SUMIFS(G570:G1496,K570:K1496,"0",B570:B1496,"4*")</f>
        <v>59424180.07</v>
      </c>
      <c r="H569" s="83"/>
      <c r="I569" s="83">
        <f t="shared" si="8"/>
        <v>59424180.07</v>
      </c>
      <c r="K569" s="54" t="s">
        <v>15</v>
      </c>
    </row>
    <row r="570" spans="2:11" ht="12.75" x14ac:dyDescent="0.2">
      <c r="B570" s="82" t="s">
        <v>2273</v>
      </c>
      <c r="C570" s="82" t="s">
        <v>2274</v>
      </c>
      <c r="D570" s="54"/>
      <c r="E570" s="83">
        <f>SUMIFS(E571:E1496,K571:K1496,"0",B571:B1496,"4 1*")-SUMIFS(D571:D1496,K571:K1496,"0",B571:B1496,"4 1*")</f>
        <v>0</v>
      </c>
      <c r="F570" s="83">
        <f>SUMIFS(F571:F1496,K571:K1496,"0",B571:B1496,"4 1*")</f>
        <v>0</v>
      </c>
      <c r="G570" s="83">
        <f>SUMIFS(G571:G1496,K571:K1496,"0",B571:B1496,"4 1*")</f>
        <v>13610.15</v>
      </c>
      <c r="H570" s="83"/>
      <c r="I570" s="83">
        <f t="shared" si="8"/>
        <v>13610.15</v>
      </c>
      <c r="K570" s="54" t="s">
        <v>15</v>
      </c>
    </row>
    <row r="571" spans="2:11" ht="12.75" x14ac:dyDescent="0.2">
      <c r="B571" s="82" t="s">
        <v>2651</v>
      </c>
      <c r="C571" s="82" t="s">
        <v>252</v>
      </c>
      <c r="D571" s="54"/>
      <c r="E571" s="83">
        <f>SUMIFS(E572:E1496,K572:K1496,"0",B572:B1496,"4 1 5*")-SUMIFS(D572:D1496,K572:K1496,"0",B572:B1496,"4 1 5*")</f>
        <v>0</v>
      </c>
      <c r="F571" s="83">
        <f>SUMIFS(F572:F1496,K572:K1496,"0",B572:B1496,"4 1 5*")</f>
        <v>0</v>
      </c>
      <c r="G571" s="83">
        <f>SUMIFS(G572:G1496,K572:K1496,"0",B572:B1496,"4 1 5*")</f>
        <v>13610.15</v>
      </c>
      <c r="H571" s="83"/>
      <c r="I571" s="83">
        <f t="shared" si="8"/>
        <v>13610.15</v>
      </c>
      <c r="K571" s="54" t="s">
        <v>15</v>
      </c>
    </row>
    <row r="572" spans="2:11" ht="12.75" x14ac:dyDescent="0.2">
      <c r="B572" s="82" t="s">
        <v>2652</v>
      </c>
      <c r="C572" s="82" t="s">
        <v>252</v>
      </c>
      <c r="D572" s="54"/>
      <c r="E572" s="83">
        <f>SUMIFS(E573:E1496,K573:K1496,"0",B573:B1496,"4 1 5 1*")-SUMIFS(D573:D1496,K573:K1496,"0",B573:B1496,"4 1 5 1*")</f>
        <v>0</v>
      </c>
      <c r="F572" s="83">
        <f>SUMIFS(F573:F1496,K573:K1496,"0",B573:B1496,"4 1 5 1*")</f>
        <v>0</v>
      </c>
      <c r="G572" s="83">
        <f>SUMIFS(G573:G1496,K573:K1496,"0",B573:B1496,"4 1 5 1*")</f>
        <v>13610.15</v>
      </c>
      <c r="H572" s="83"/>
      <c r="I572" s="83">
        <f t="shared" si="8"/>
        <v>13610.15</v>
      </c>
      <c r="K572" s="54" t="s">
        <v>15</v>
      </c>
    </row>
    <row r="573" spans="2:11" ht="41.25" x14ac:dyDescent="0.2">
      <c r="B573" s="82" t="s">
        <v>2653</v>
      </c>
      <c r="C573" s="82" t="s">
        <v>2654</v>
      </c>
      <c r="D573" s="54"/>
      <c r="E573" s="83">
        <f>SUMIFS(E574:E1496,K574:K1496,"0",B574:B1496,"4 1 5 1 1*")-SUMIFS(D574:D1496,K574:K1496,"0",B574:B1496,"4 1 5 1 1*")</f>
        <v>0</v>
      </c>
      <c r="F573" s="83">
        <f>SUMIFS(F574:F1496,K574:K1496,"0",B574:B1496,"4 1 5 1 1*")</f>
        <v>0</v>
      </c>
      <c r="G573" s="83">
        <f>SUMIFS(G574:G1496,K574:K1496,"0",B574:B1496,"4 1 5 1 1*")</f>
        <v>13610.15</v>
      </c>
      <c r="H573" s="83"/>
      <c r="I573" s="83">
        <f t="shared" si="8"/>
        <v>13610.15</v>
      </c>
      <c r="K573" s="54" t="s">
        <v>15</v>
      </c>
    </row>
    <row r="574" spans="2:11" ht="12.75" x14ac:dyDescent="0.2">
      <c r="B574" s="82" t="s">
        <v>2655</v>
      </c>
      <c r="C574" s="82" t="s">
        <v>26</v>
      </c>
      <c r="D574" s="54"/>
      <c r="E574" s="83">
        <f>SUMIFS(E575:E1496,K575:K1496,"0",B575:B1496,"4 1 5 1 1 12*")-SUMIFS(D575:D1496,K575:K1496,"0",B575:B1496,"4 1 5 1 1 12*")</f>
        <v>0</v>
      </c>
      <c r="F574" s="83">
        <f>SUMIFS(F575:F1496,K575:K1496,"0",B575:B1496,"4 1 5 1 1 12*")</f>
        <v>0</v>
      </c>
      <c r="G574" s="83">
        <f>SUMIFS(G575:G1496,K575:K1496,"0",B575:B1496,"4 1 5 1 1 12*")</f>
        <v>13610.15</v>
      </c>
      <c r="H574" s="83"/>
      <c r="I574" s="83">
        <f t="shared" si="8"/>
        <v>13610.15</v>
      </c>
      <c r="K574" s="54" t="s">
        <v>15</v>
      </c>
    </row>
    <row r="575" spans="2:11" ht="16.5" x14ac:dyDescent="0.2">
      <c r="B575" s="82" t="s">
        <v>2656</v>
      </c>
      <c r="C575" s="82" t="s">
        <v>28</v>
      </c>
      <c r="D575" s="54"/>
      <c r="E575" s="83">
        <f>SUMIFS(E576:E1496,K576:K1496,"0",B576:B1496,"4 1 5 1 1 12 31111*")-SUMIFS(D576:D1496,K576:K1496,"0",B576:B1496,"4 1 5 1 1 12 31111*")</f>
        <v>0</v>
      </c>
      <c r="F575" s="83">
        <f>SUMIFS(F576:F1496,K576:K1496,"0",B576:B1496,"4 1 5 1 1 12 31111*")</f>
        <v>0</v>
      </c>
      <c r="G575" s="83">
        <f>SUMIFS(G576:G1496,K576:K1496,"0",B576:B1496,"4 1 5 1 1 12 31111*")</f>
        <v>13610.15</v>
      </c>
      <c r="H575" s="83"/>
      <c r="I575" s="83">
        <f t="shared" si="8"/>
        <v>13610.15</v>
      </c>
      <c r="K575" s="54" t="s">
        <v>15</v>
      </c>
    </row>
    <row r="576" spans="2:11" ht="12.75" x14ac:dyDescent="0.2">
      <c r="B576" s="82" t="s">
        <v>2657</v>
      </c>
      <c r="C576" s="82" t="s">
        <v>30</v>
      </c>
      <c r="D576" s="54"/>
      <c r="E576" s="83">
        <f>SUMIFS(E577:E1496,K577:K1496,"0",B577:B1496,"4 1 5 1 1 12 31111 6*")-SUMIFS(D577:D1496,K577:K1496,"0",B577:B1496,"4 1 5 1 1 12 31111 6*")</f>
        <v>0</v>
      </c>
      <c r="F576" s="83">
        <f>SUMIFS(F577:F1496,K577:K1496,"0",B577:B1496,"4 1 5 1 1 12 31111 6*")</f>
        <v>0</v>
      </c>
      <c r="G576" s="83">
        <f>SUMIFS(G577:G1496,K577:K1496,"0",B577:B1496,"4 1 5 1 1 12 31111 6*")</f>
        <v>13610.15</v>
      </c>
      <c r="H576" s="83"/>
      <c r="I576" s="83">
        <f t="shared" si="8"/>
        <v>13610.15</v>
      </c>
      <c r="K576" s="54" t="s">
        <v>15</v>
      </c>
    </row>
    <row r="577" spans="2:11" ht="16.5" x14ac:dyDescent="0.2">
      <c r="B577" s="82" t="s">
        <v>2658</v>
      </c>
      <c r="C577" s="82" t="s">
        <v>2284</v>
      </c>
      <c r="D577" s="54"/>
      <c r="E577" s="83">
        <f>SUMIFS(E578:E1496,K578:K1496,"0",B578:B1496,"4 1 5 1 1 12 31111 6 M59*")-SUMIFS(D578:D1496,K578:K1496,"0",B578:B1496,"4 1 5 1 1 12 31111 6 M59*")</f>
        <v>0</v>
      </c>
      <c r="F577" s="83">
        <f>SUMIFS(F578:F1496,K578:K1496,"0",B578:B1496,"4 1 5 1 1 12 31111 6 M59*")</f>
        <v>0</v>
      </c>
      <c r="G577" s="83">
        <f>SUMIFS(G578:G1496,K578:K1496,"0",B578:B1496,"4 1 5 1 1 12 31111 6 M59*")</f>
        <v>13610.15</v>
      </c>
      <c r="H577" s="83"/>
      <c r="I577" s="83">
        <f t="shared" si="8"/>
        <v>13610.15</v>
      </c>
      <c r="K577" s="54" t="s">
        <v>15</v>
      </c>
    </row>
    <row r="578" spans="2:11" ht="16.5" x14ac:dyDescent="0.2">
      <c r="B578" s="82" t="s">
        <v>2659</v>
      </c>
      <c r="C578" s="82" t="s">
        <v>1044</v>
      </c>
      <c r="D578" s="54"/>
      <c r="E578" s="83">
        <f>SUMIFS(E579:E1496,K579:K1496,"0",B579:B1496,"4 1 5 1 1 12 31111 6 M59 19000*")-SUMIFS(D579:D1496,K579:K1496,"0",B579:B1496,"4 1 5 1 1 12 31111 6 M59 19000*")</f>
        <v>0</v>
      </c>
      <c r="F578" s="83">
        <f>SUMIFS(F579:F1496,K579:K1496,"0",B579:B1496,"4 1 5 1 1 12 31111 6 M59 19000*")</f>
        <v>0</v>
      </c>
      <c r="G578" s="83">
        <f>SUMIFS(G579:G1496,K579:K1496,"0",B579:B1496,"4 1 5 1 1 12 31111 6 M59 19000*")</f>
        <v>13610.15</v>
      </c>
      <c r="H578" s="83"/>
      <c r="I578" s="83">
        <f t="shared" si="8"/>
        <v>13610.15</v>
      </c>
      <c r="K578" s="54" t="s">
        <v>15</v>
      </c>
    </row>
    <row r="579" spans="2:11" ht="16.5" x14ac:dyDescent="0.2">
      <c r="B579" s="82" t="s">
        <v>2660</v>
      </c>
      <c r="C579" s="82" t="s">
        <v>2287</v>
      </c>
      <c r="D579" s="54"/>
      <c r="E579" s="83">
        <f>SUMIFS(E580:E1496,K580:K1496,"0",B580:B1496,"4 1 5 1 1 12 31111 6 M59 19000 000000*")-SUMIFS(D580:D1496,K580:K1496,"0",B580:B1496,"4 1 5 1 1 12 31111 6 M59 19000 000000*")</f>
        <v>0</v>
      </c>
      <c r="F579" s="83">
        <f>SUMIFS(F580:F1496,K580:K1496,"0",B580:B1496,"4 1 5 1 1 12 31111 6 M59 19000 000000*")</f>
        <v>0</v>
      </c>
      <c r="G579" s="83">
        <f>SUMIFS(G580:G1496,K580:K1496,"0",B580:B1496,"4 1 5 1 1 12 31111 6 M59 19000 000000*")</f>
        <v>13610.15</v>
      </c>
      <c r="H579" s="83"/>
      <c r="I579" s="83">
        <f t="shared" si="8"/>
        <v>13610.15</v>
      </c>
      <c r="K579" s="54" t="s">
        <v>15</v>
      </c>
    </row>
    <row r="580" spans="2:11" ht="16.5" x14ac:dyDescent="0.2">
      <c r="B580" s="82" t="s">
        <v>2661</v>
      </c>
      <c r="C580" s="82" t="s">
        <v>2289</v>
      </c>
      <c r="D580" s="54"/>
      <c r="E580" s="83">
        <f>SUMIFS(E581:E1496,K581:K1496,"0",B581:B1496,"4 1 5 1 1 12 31111 6 M59 19000 000000 00000*")-SUMIFS(D581:D1496,K581:K1496,"0",B581:B1496,"4 1 5 1 1 12 31111 6 M59 19000 000000 00000*")</f>
        <v>0</v>
      </c>
      <c r="F580" s="83">
        <f>SUMIFS(F581:F1496,K581:K1496,"0",B581:B1496,"4 1 5 1 1 12 31111 6 M59 19000 000000 00000*")</f>
        <v>0</v>
      </c>
      <c r="G580" s="83">
        <f>SUMIFS(G581:G1496,K581:K1496,"0",B581:B1496,"4 1 5 1 1 12 31111 6 M59 19000 000000 00000*")</f>
        <v>13610.15</v>
      </c>
      <c r="H580" s="83"/>
      <c r="I580" s="83">
        <f t="shared" ref="I580:I610" si="9">E580 - F580 + G580</f>
        <v>13610.15</v>
      </c>
      <c r="K580" s="54" t="s">
        <v>15</v>
      </c>
    </row>
    <row r="581" spans="2:11" ht="24.75" x14ac:dyDescent="0.2">
      <c r="B581" s="82" t="s">
        <v>2662</v>
      </c>
      <c r="C581" s="82" t="s">
        <v>2291</v>
      </c>
      <c r="D581" s="54"/>
      <c r="E581" s="83">
        <f>SUMIFS(E582:E1496,K582:K1496,"0",B582:B1496,"4 1 5 1 1 12 31111 6 M59 19000 000000 00000 00000*")-SUMIFS(D582:D1496,K582:K1496,"0",B582:B1496,"4 1 5 1 1 12 31111 6 M59 19000 000000 00000 00000*")</f>
        <v>0</v>
      </c>
      <c r="F581" s="83">
        <f>SUMIFS(F582:F1496,K582:K1496,"0",B582:B1496,"4 1 5 1 1 12 31111 6 M59 19000 000000 00000 00000*")</f>
        <v>0</v>
      </c>
      <c r="G581" s="83">
        <f>SUMIFS(G582:G1496,K582:K1496,"0",B582:B1496,"4 1 5 1 1 12 31111 6 M59 19000 000000 00000 00000*")</f>
        <v>13610.15</v>
      </c>
      <c r="H581" s="83"/>
      <c r="I581" s="83">
        <f t="shared" si="9"/>
        <v>13610.15</v>
      </c>
      <c r="K581" s="54" t="s">
        <v>15</v>
      </c>
    </row>
    <row r="582" spans="2:11" ht="24.75" x14ac:dyDescent="0.2">
      <c r="B582" s="82" t="s">
        <v>2663</v>
      </c>
      <c r="C582" s="82" t="s">
        <v>252</v>
      </c>
      <c r="D582" s="54"/>
      <c r="E582" s="83">
        <f>SUMIFS(E583:E1496,K583:K1496,"0",B583:B1496,"4 1 5 1 1 12 31111 6 M59 19000 000000 00000 00000 00051*")-SUMIFS(D583:D1496,K583:K1496,"0",B583:B1496,"4 1 5 1 1 12 31111 6 M59 19000 000000 00000 00000 00051*")</f>
        <v>0</v>
      </c>
      <c r="F582" s="83">
        <f>SUMIFS(F583:F1496,K583:K1496,"0",B583:B1496,"4 1 5 1 1 12 31111 6 M59 19000 000000 00000 00000 00051*")</f>
        <v>0</v>
      </c>
      <c r="G582" s="83">
        <f>SUMIFS(G583:G1496,K583:K1496,"0",B583:B1496,"4 1 5 1 1 12 31111 6 M59 19000 000000 00000 00000 00051*")</f>
        <v>13610.15</v>
      </c>
      <c r="H582" s="83"/>
      <c r="I582" s="83">
        <f t="shared" si="9"/>
        <v>13610.15</v>
      </c>
      <c r="K582" s="54" t="s">
        <v>15</v>
      </c>
    </row>
    <row r="583" spans="2:11" ht="24.75" x14ac:dyDescent="0.2">
      <c r="B583" s="82" t="s">
        <v>2700</v>
      </c>
      <c r="C583" s="82" t="s">
        <v>656</v>
      </c>
      <c r="D583" s="54"/>
      <c r="E583" s="83">
        <f>SUMIFS(E584:E1496,K584:K1496,"0",B584:B1496,"4 1 5 1 1 12 31111 6 M59 19000 000000 00000 00000 00051 025*")-SUMIFS(D584:D1496,K584:K1496,"0",B584:B1496,"4 1 5 1 1 12 31111 6 M59 19000 000000 00000 00000 00051 025*")</f>
        <v>0</v>
      </c>
      <c r="F583" s="83">
        <f>SUMIFS(F584:F1496,K584:K1496,"0",B584:B1496,"4 1 5 1 1 12 31111 6 M59 19000 000000 00000 00000 00051 025*")</f>
        <v>0</v>
      </c>
      <c r="G583" s="83">
        <f>SUMIFS(G584:G1496,K584:K1496,"0",B584:B1496,"4 1 5 1 1 12 31111 6 M59 19000 000000 00000 00000 00051 025*")</f>
        <v>13610.15</v>
      </c>
      <c r="H583" s="83"/>
      <c r="I583" s="83">
        <f t="shared" si="9"/>
        <v>13610.15</v>
      </c>
      <c r="K583" s="54" t="s">
        <v>15</v>
      </c>
    </row>
    <row r="584" spans="2:11" ht="33" x14ac:dyDescent="0.2">
      <c r="B584" s="82" t="s">
        <v>2701</v>
      </c>
      <c r="C584" s="82" t="s">
        <v>2692</v>
      </c>
      <c r="D584" s="54"/>
      <c r="E584" s="83">
        <f>SUMIFS(E585:E1496,K585:K1496,"0",B585:B1496,"4 1 5 1 1 12 31111 6 M59 19000 000000 00000 00000 00051 025 1142000*")-SUMIFS(D585:D1496,K585:K1496,"0",B585:B1496,"4 1 5 1 1 12 31111 6 M59 19000 000000 00000 00000 00051 025 1142000*")</f>
        <v>0</v>
      </c>
      <c r="F584" s="83">
        <f>SUMIFS(F585:F1496,K585:K1496,"0",B585:B1496,"4 1 5 1 1 12 31111 6 M59 19000 000000 00000 00000 00051 025 1142000*")</f>
        <v>0</v>
      </c>
      <c r="G584" s="83">
        <f>SUMIFS(G585:G1496,K585:K1496,"0",B585:B1496,"4 1 5 1 1 12 31111 6 M59 19000 000000 00000 00000 00051 025 1142000*")</f>
        <v>13610.15</v>
      </c>
      <c r="H584" s="83"/>
      <c r="I584" s="83">
        <f t="shared" si="9"/>
        <v>13610.15</v>
      </c>
      <c r="K584" s="54" t="s">
        <v>15</v>
      </c>
    </row>
    <row r="585" spans="2:11" ht="33" x14ac:dyDescent="0.2">
      <c r="B585" s="82" t="s">
        <v>2702</v>
      </c>
      <c r="C585" s="82" t="s">
        <v>660</v>
      </c>
      <c r="D585" s="54"/>
      <c r="E585" s="83">
        <f>SUMIFS(E586:E1496,K586:K1496,"0",B586:B1496,"4 1 5 1 1 12 31111 6 M59 19000 000000 00000 00000 00051 025 1142000 2024*")-SUMIFS(D586:D1496,K586:K1496,"0",B586:B1496,"4 1 5 1 1 12 31111 6 M59 19000 000000 00000 00000 00051 025 1142000 2024*")</f>
        <v>0</v>
      </c>
      <c r="F585" s="83">
        <f>SUMIFS(F586:F1496,K586:K1496,"0",B586:B1496,"4 1 5 1 1 12 31111 6 M59 19000 000000 00000 00000 00051 025 1142000 2024*")</f>
        <v>0</v>
      </c>
      <c r="G585" s="83">
        <f>SUMIFS(G586:G1496,K586:K1496,"0",B586:B1496,"4 1 5 1 1 12 31111 6 M59 19000 000000 00000 00000 00051 025 1142000 2024*")</f>
        <v>13610.15</v>
      </c>
      <c r="H585" s="83"/>
      <c r="I585" s="83">
        <f t="shared" si="9"/>
        <v>13610.15</v>
      </c>
      <c r="K585" s="54" t="s">
        <v>15</v>
      </c>
    </row>
    <row r="586" spans="2:11" ht="41.25" x14ac:dyDescent="0.2">
      <c r="B586" s="82" t="s">
        <v>2703</v>
      </c>
      <c r="C586" s="82" t="s">
        <v>2298</v>
      </c>
      <c r="D586" s="54"/>
      <c r="E586" s="83">
        <f>SUMIFS(E587:E1496,K587:K1496,"0",B587:B1496,"4 1 5 1 1 12 31111 6 M59 19000 000000 00000 00000 00051 025 1142000 2024 00000000*")-SUMIFS(D587:D1496,K587:K1496,"0",B587:B1496,"4 1 5 1 1 12 31111 6 M59 19000 000000 00000 00000 00051 025 1142000 2024 00000000*")</f>
        <v>0</v>
      </c>
      <c r="F586" s="83">
        <f>SUMIFS(F587:F1496,K587:K1496,"0",B587:B1496,"4 1 5 1 1 12 31111 6 M59 19000 000000 00000 00000 00051 025 1142000 2024 00000000*")</f>
        <v>0</v>
      </c>
      <c r="G586" s="83">
        <f>SUMIFS(G587:G1496,K587:K1496,"0",B587:B1496,"4 1 5 1 1 12 31111 6 M59 19000 000000 00000 00000 00051 025 1142000 2024 00000000*")</f>
        <v>13610.15</v>
      </c>
      <c r="H586" s="83"/>
      <c r="I586" s="83">
        <f t="shared" si="9"/>
        <v>13610.15</v>
      </c>
      <c r="K586" s="54" t="s">
        <v>15</v>
      </c>
    </row>
    <row r="587" spans="2:11" ht="41.25" x14ac:dyDescent="0.2">
      <c r="B587" s="82" t="s">
        <v>2704</v>
      </c>
      <c r="C587" s="82" t="s">
        <v>664</v>
      </c>
      <c r="D587" s="54"/>
      <c r="E587" s="83">
        <f>SUMIFS(E588:E1496,K588:K1496,"0",B588:B1496,"4 1 5 1 1 12 31111 6 M59 19000 000000 00000 00000 00051 025 1142000 2024 00000000 003*")-SUMIFS(D588:D1496,K588:K1496,"0",B588:B1496,"4 1 5 1 1 12 31111 6 M59 19000 000000 00000 00000 00051 025 1142000 2024 00000000 003*")</f>
        <v>0</v>
      </c>
      <c r="F587" s="83">
        <f>SUMIFS(F588:F1496,K588:K1496,"0",B588:B1496,"4 1 5 1 1 12 31111 6 M59 19000 000000 00000 00000 00051 025 1142000 2024 00000000 003*")</f>
        <v>0</v>
      </c>
      <c r="G587" s="83">
        <f>SUMIFS(G588:G1496,K588:K1496,"0",B588:B1496,"4 1 5 1 1 12 31111 6 M59 19000 000000 00000 00000 00051 025 1142000 2024 00000000 003*")</f>
        <v>13610.15</v>
      </c>
      <c r="H587" s="83"/>
      <c r="I587" s="83">
        <f t="shared" si="9"/>
        <v>13610.15</v>
      </c>
      <c r="K587" s="54" t="s">
        <v>15</v>
      </c>
    </row>
    <row r="588" spans="2:11" ht="49.5" x14ac:dyDescent="0.2">
      <c r="B588" s="82" t="s">
        <v>2705</v>
      </c>
      <c r="C588" s="82" t="s">
        <v>2697</v>
      </c>
      <c r="D588" s="54"/>
      <c r="E588" s="83">
        <f>SUMIFS(E589:E1496,K589:K1496,"0",B589:B1496,"4 1 5 1 1 12 31111 6 M59 19000 000000 00000 00000 00051 025 1142000 2024 00000000 003 0000001*")-SUMIFS(D589:D1496,K589:K1496,"0",B589:B1496,"4 1 5 1 1 12 31111 6 M59 19000 000000 00000 00000 00051 025 1142000 2024 00000000 003 0000001*")</f>
        <v>0</v>
      </c>
      <c r="F588" s="83">
        <f>SUMIFS(F589:F1496,K589:K1496,"0",B589:B1496,"4 1 5 1 1 12 31111 6 M59 19000 000000 00000 00000 00051 025 1142000 2024 00000000 003 0000001*")</f>
        <v>0</v>
      </c>
      <c r="G588" s="83">
        <f>SUMIFS(G589:G1496,K589:K1496,"0",B589:B1496,"4 1 5 1 1 12 31111 6 M59 19000 000000 00000 00000 00051 025 1142000 2024 00000000 003 0000001*")</f>
        <v>13610.15</v>
      </c>
      <c r="H588" s="83"/>
      <c r="I588" s="83">
        <f t="shared" si="9"/>
        <v>13610.15</v>
      </c>
      <c r="K588" s="54" t="s">
        <v>15</v>
      </c>
    </row>
    <row r="589" spans="2:11" ht="41.25" x14ac:dyDescent="0.2">
      <c r="B589" s="84" t="s">
        <v>2706</v>
      </c>
      <c r="C589" s="84" t="s">
        <v>2699</v>
      </c>
      <c r="D589" s="85"/>
      <c r="E589" s="85">
        <v>0</v>
      </c>
      <c r="F589" s="85">
        <v>0</v>
      </c>
      <c r="G589" s="85">
        <v>13610.15</v>
      </c>
      <c r="H589" s="85"/>
      <c r="I589" s="85">
        <f t="shared" si="9"/>
        <v>13610.15</v>
      </c>
      <c r="K589" s="54" t="s">
        <v>38</v>
      </c>
    </row>
    <row r="590" spans="2:11" ht="82.5" x14ac:dyDescent="0.2">
      <c r="B590" s="82" t="s">
        <v>2772</v>
      </c>
      <c r="C590" s="82" t="s">
        <v>2773</v>
      </c>
      <c r="D590" s="54"/>
      <c r="E590" s="83">
        <f>SUMIFS(E591:E1496,K591:K1496,"0",B591:B1496,"4 2*")-SUMIFS(D591:D1496,K591:K1496,"0",B591:B1496,"4 2*")</f>
        <v>0</v>
      </c>
      <c r="F590" s="83">
        <f>SUMIFS(F591:F1496,K591:K1496,"0",B591:B1496,"4 2*")</f>
        <v>0</v>
      </c>
      <c r="G590" s="83">
        <f>SUMIFS(G591:G1496,K591:K1496,"0",B591:B1496,"4 2*")</f>
        <v>59410569.920000002</v>
      </c>
      <c r="H590" s="83"/>
      <c r="I590" s="83">
        <f t="shared" si="9"/>
        <v>59410569.920000002</v>
      </c>
      <c r="K590" s="54" t="s">
        <v>15</v>
      </c>
    </row>
    <row r="591" spans="2:11" ht="49.5" x14ac:dyDescent="0.2">
      <c r="B591" s="82" t="s">
        <v>2774</v>
      </c>
      <c r="C591" s="82" t="s">
        <v>2775</v>
      </c>
      <c r="D591" s="54"/>
      <c r="E591" s="83">
        <f>SUMIFS(E592:E1496,K592:K1496,"0",B592:B1496,"4 2 1*")-SUMIFS(D592:D1496,K592:K1496,"0",B592:B1496,"4 2 1*")</f>
        <v>0</v>
      </c>
      <c r="F591" s="83">
        <f>SUMIFS(F592:F1496,K592:K1496,"0",B592:B1496,"4 2 1*")</f>
        <v>0</v>
      </c>
      <c r="G591" s="83">
        <f>SUMIFS(G592:G1496,K592:K1496,"0",B592:B1496,"4 2 1*")</f>
        <v>59410569.920000002</v>
      </c>
      <c r="H591" s="83"/>
      <c r="I591" s="83">
        <f t="shared" si="9"/>
        <v>59410569.920000002</v>
      </c>
      <c r="K591" s="54" t="s">
        <v>15</v>
      </c>
    </row>
    <row r="592" spans="2:11" ht="12.75" x14ac:dyDescent="0.2">
      <c r="B592" s="82" t="s">
        <v>2827</v>
      </c>
      <c r="C592" s="82" t="s">
        <v>2131</v>
      </c>
      <c r="D592" s="54"/>
      <c r="E592" s="83">
        <f>SUMIFS(E593:E1496,K593:K1496,"0",B593:B1496,"4 2 1 2*")-SUMIFS(D593:D1496,K593:K1496,"0",B593:B1496,"4 2 1 2*")</f>
        <v>0</v>
      </c>
      <c r="F592" s="83">
        <f>SUMIFS(F593:F1496,K593:K1496,"0",B593:B1496,"4 2 1 2*")</f>
        <v>0</v>
      </c>
      <c r="G592" s="83">
        <f>SUMIFS(G593:G1496,K593:K1496,"0",B593:B1496,"4 2 1 2*")</f>
        <v>59410569.920000002</v>
      </c>
      <c r="H592" s="83"/>
      <c r="I592" s="83">
        <f t="shared" si="9"/>
        <v>59410569.920000002</v>
      </c>
      <c r="K592" s="54" t="s">
        <v>15</v>
      </c>
    </row>
    <row r="593" spans="2:11" ht="12.75" x14ac:dyDescent="0.2">
      <c r="B593" s="82" t="s">
        <v>2828</v>
      </c>
      <c r="C593" s="82" t="s">
        <v>2131</v>
      </c>
      <c r="D593" s="54"/>
      <c r="E593" s="83">
        <f>SUMIFS(E594:E1496,K594:K1496,"0",B594:B1496,"4 2 1 2 1*")-SUMIFS(D594:D1496,K594:K1496,"0",B594:B1496,"4 2 1 2 1*")</f>
        <v>0</v>
      </c>
      <c r="F593" s="83">
        <f>SUMIFS(F594:F1496,K594:K1496,"0",B594:B1496,"4 2 1 2 1*")</f>
        <v>0</v>
      </c>
      <c r="G593" s="83">
        <f>SUMIFS(G594:G1496,K594:K1496,"0",B594:B1496,"4 2 1 2 1*")</f>
        <v>59410569.920000002</v>
      </c>
      <c r="H593" s="83"/>
      <c r="I593" s="83">
        <f t="shared" si="9"/>
        <v>59410569.920000002</v>
      </c>
      <c r="K593" s="54" t="s">
        <v>15</v>
      </c>
    </row>
    <row r="594" spans="2:11" ht="12.75" x14ac:dyDescent="0.2">
      <c r="B594" s="82" t="s">
        <v>2829</v>
      </c>
      <c r="C594" s="82" t="s">
        <v>26</v>
      </c>
      <c r="D594" s="54"/>
      <c r="E594" s="83">
        <f>SUMIFS(E595:E1496,K595:K1496,"0",B595:B1496,"4 2 1 2 1 12*")-SUMIFS(D595:D1496,K595:K1496,"0",B595:B1496,"4 2 1 2 1 12*")</f>
        <v>0</v>
      </c>
      <c r="F594" s="83">
        <f>SUMIFS(F595:F1496,K595:K1496,"0",B595:B1496,"4 2 1 2 1 12*")</f>
        <v>0</v>
      </c>
      <c r="G594" s="83">
        <f>SUMIFS(G595:G1496,K595:K1496,"0",B595:B1496,"4 2 1 2 1 12*")</f>
        <v>59410569.920000002</v>
      </c>
      <c r="H594" s="83"/>
      <c r="I594" s="83">
        <f t="shared" si="9"/>
        <v>59410569.920000002</v>
      </c>
      <c r="K594" s="54" t="s">
        <v>15</v>
      </c>
    </row>
    <row r="595" spans="2:11" ht="16.5" x14ac:dyDescent="0.2">
      <c r="B595" s="82" t="s">
        <v>2830</v>
      </c>
      <c r="C595" s="82" t="s">
        <v>28</v>
      </c>
      <c r="D595" s="54"/>
      <c r="E595" s="83">
        <f>SUMIFS(E596:E1496,K596:K1496,"0",B596:B1496,"4 2 1 2 1 12 31111*")-SUMIFS(D596:D1496,K596:K1496,"0",B596:B1496,"4 2 1 2 1 12 31111*")</f>
        <v>0</v>
      </c>
      <c r="F595" s="83">
        <f>SUMIFS(F596:F1496,K596:K1496,"0",B596:B1496,"4 2 1 2 1 12 31111*")</f>
        <v>0</v>
      </c>
      <c r="G595" s="83">
        <f>SUMIFS(G596:G1496,K596:K1496,"0",B596:B1496,"4 2 1 2 1 12 31111*")</f>
        <v>59410569.920000002</v>
      </c>
      <c r="H595" s="83"/>
      <c r="I595" s="83">
        <f t="shared" si="9"/>
        <v>59410569.920000002</v>
      </c>
      <c r="K595" s="54" t="s">
        <v>15</v>
      </c>
    </row>
    <row r="596" spans="2:11" ht="12.75" x14ac:dyDescent="0.2">
      <c r="B596" s="82" t="s">
        <v>2831</v>
      </c>
      <c r="C596" s="82" t="s">
        <v>30</v>
      </c>
      <c r="D596" s="54"/>
      <c r="E596" s="83">
        <f>SUMIFS(E597:E1496,K597:K1496,"0",B597:B1496,"4 2 1 2 1 12 31111 6*")-SUMIFS(D597:D1496,K597:K1496,"0",B597:B1496,"4 2 1 2 1 12 31111 6*")</f>
        <v>0</v>
      </c>
      <c r="F596" s="83">
        <f>SUMIFS(F597:F1496,K597:K1496,"0",B597:B1496,"4 2 1 2 1 12 31111 6*")</f>
        <v>0</v>
      </c>
      <c r="G596" s="83">
        <f>SUMIFS(G597:G1496,K597:K1496,"0",B597:B1496,"4 2 1 2 1 12 31111 6*")</f>
        <v>59410569.920000002</v>
      </c>
      <c r="H596" s="83"/>
      <c r="I596" s="83">
        <f t="shared" si="9"/>
        <v>59410569.920000002</v>
      </c>
      <c r="K596" s="54" t="s">
        <v>15</v>
      </c>
    </row>
    <row r="597" spans="2:11" ht="16.5" x14ac:dyDescent="0.2">
      <c r="B597" s="82" t="s">
        <v>2832</v>
      </c>
      <c r="C597" s="82" t="s">
        <v>2284</v>
      </c>
      <c r="D597" s="54"/>
      <c r="E597" s="83">
        <f>SUMIFS(E598:E1496,K598:K1496,"0",B598:B1496,"4 2 1 2 1 12 31111 6 M59*")-SUMIFS(D598:D1496,K598:K1496,"0",B598:B1496,"4 2 1 2 1 12 31111 6 M59*")</f>
        <v>0</v>
      </c>
      <c r="F597" s="83">
        <f>SUMIFS(F598:F1496,K598:K1496,"0",B598:B1496,"4 2 1 2 1 12 31111 6 M59*")</f>
        <v>0</v>
      </c>
      <c r="G597" s="83">
        <f>SUMIFS(G598:G1496,K598:K1496,"0",B598:B1496,"4 2 1 2 1 12 31111 6 M59*")</f>
        <v>59410569.920000002</v>
      </c>
      <c r="H597" s="83"/>
      <c r="I597" s="83">
        <f t="shared" si="9"/>
        <v>59410569.920000002</v>
      </c>
      <c r="K597" s="54" t="s">
        <v>15</v>
      </c>
    </row>
    <row r="598" spans="2:11" ht="16.5" x14ac:dyDescent="0.2">
      <c r="B598" s="82" t="s">
        <v>2833</v>
      </c>
      <c r="C598" s="82" t="s">
        <v>1044</v>
      </c>
      <c r="D598" s="54"/>
      <c r="E598" s="83">
        <f>SUMIFS(E599:E1496,K599:K1496,"0",B599:B1496,"4 2 1 2 1 12 31111 6 M59 19000*")-SUMIFS(D599:D1496,K599:K1496,"0",B599:B1496,"4 2 1 2 1 12 31111 6 M59 19000*")</f>
        <v>0</v>
      </c>
      <c r="F598" s="83">
        <f>SUMIFS(F599:F1496,K599:K1496,"0",B599:B1496,"4 2 1 2 1 12 31111 6 M59 19000*")</f>
        <v>0</v>
      </c>
      <c r="G598" s="83">
        <f>SUMIFS(G599:G1496,K599:K1496,"0",B599:B1496,"4 2 1 2 1 12 31111 6 M59 19000*")</f>
        <v>59410569.920000002</v>
      </c>
      <c r="H598" s="83"/>
      <c r="I598" s="83">
        <f t="shared" si="9"/>
        <v>59410569.920000002</v>
      </c>
      <c r="K598" s="54" t="s">
        <v>15</v>
      </c>
    </row>
    <row r="599" spans="2:11" ht="16.5" x14ac:dyDescent="0.2">
      <c r="B599" s="82" t="s">
        <v>2834</v>
      </c>
      <c r="C599" s="82" t="s">
        <v>2287</v>
      </c>
      <c r="D599" s="54"/>
      <c r="E599" s="83">
        <f>SUMIFS(E600:E1496,K600:K1496,"0",B600:B1496,"4 2 1 2 1 12 31111 6 M59 19000 000000*")-SUMIFS(D600:D1496,K600:K1496,"0",B600:B1496,"4 2 1 2 1 12 31111 6 M59 19000 000000*")</f>
        <v>0</v>
      </c>
      <c r="F599" s="83">
        <f>SUMIFS(F600:F1496,K600:K1496,"0",B600:B1496,"4 2 1 2 1 12 31111 6 M59 19000 000000*")</f>
        <v>0</v>
      </c>
      <c r="G599" s="83">
        <f>SUMIFS(G600:G1496,K600:K1496,"0",B600:B1496,"4 2 1 2 1 12 31111 6 M59 19000 000000*")</f>
        <v>59410569.920000002</v>
      </c>
      <c r="H599" s="83"/>
      <c r="I599" s="83">
        <f t="shared" si="9"/>
        <v>59410569.920000002</v>
      </c>
      <c r="K599" s="54" t="s">
        <v>15</v>
      </c>
    </row>
    <row r="600" spans="2:11" ht="24.75" x14ac:dyDescent="0.2">
      <c r="B600" s="82" t="s">
        <v>2835</v>
      </c>
      <c r="C600" s="82" t="s">
        <v>2289</v>
      </c>
      <c r="D600" s="54"/>
      <c r="E600" s="83">
        <f>SUMIFS(E601:E1496,K601:K1496,"0",B601:B1496,"4 2 1 2 1 12 31111 6 M59 19000 000000 00000*")-SUMIFS(D601:D1496,K601:K1496,"0",B601:B1496,"4 2 1 2 1 12 31111 6 M59 19000 000000 00000*")</f>
        <v>0</v>
      </c>
      <c r="F600" s="83">
        <f>SUMIFS(F601:F1496,K601:K1496,"0",B601:B1496,"4 2 1 2 1 12 31111 6 M59 19000 000000 00000*")</f>
        <v>0</v>
      </c>
      <c r="G600" s="83">
        <f>SUMIFS(G601:G1496,K601:K1496,"0",B601:B1496,"4 2 1 2 1 12 31111 6 M59 19000 000000 00000*")</f>
        <v>59410569.920000002</v>
      </c>
      <c r="H600" s="83"/>
      <c r="I600" s="83">
        <f t="shared" si="9"/>
        <v>59410569.920000002</v>
      </c>
      <c r="K600" s="54" t="s">
        <v>15</v>
      </c>
    </row>
    <row r="601" spans="2:11" ht="24.75" x14ac:dyDescent="0.2">
      <c r="B601" s="82" t="s">
        <v>2836</v>
      </c>
      <c r="C601" s="82" t="s">
        <v>2291</v>
      </c>
      <c r="D601" s="54"/>
      <c r="E601" s="83">
        <f>SUMIFS(E602:E1496,K602:K1496,"0",B602:B1496,"4 2 1 2 1 12 31111 6 M59 19000 000000 00000 00000*")-SUMIFS(D602:D1496,K602:K1496,"0",B602:B1496,"4 2 1 2 1 12 31111 6 M59 19000 000000 00000 00000*")</f>
        <v>0</v>
      </c>
      <c r="F601" s="83">
        <f>SUMIFS(F602:F1496,K602:K1496,"0",B602:B1496,"4 2 1 2 1 12 31111 6 M59 19000 000000 00000 00000*")</f>
        <v>0</v>
      </c>
      <c r="G601" s="83">
        <f>SUMIFS(G602:G1496,K602:K1496,"0",B602:B1496,"4 2 1 2 1 12 31111 6 M59 19000 000000 00000 00000*")</f>
        <v>59410569.920000002</v>
      </c>
      <c r="H601" s="83"/>
      <c r="I601" s="83">
        <f t="shared" si="9"/>
        <v>59410569.920000002</v>
      </c>
      <c r="K601" s="54" t="s">
        <v>15</v>
      </c>
    </row>
    <row r="602" spans="2:11" ht="24.75" x14ac:dyDescent="0.2">
      <c r="B602" s="82" t="s">
        <v>2837</v>
      </c>
      <c r="C602" s="82" t="s">
        <v>2131</v>
      </c>
      <c r="D602" s="54"/>
      <c r="E602" s="83">
        <f>SUMIFS(E603:E1496,K603:K1496,"0",B603:B1496,"4 2 1 2 1 12 31111 6 M59 19000 000000 00000 00000 00082*")-SUMIFS(D603:D1496,K603:K1496,"0",B603:B1496,"4 2 1 2 1 12 31111 6 M59 19000 000000 00000 00000 00082*")</f>
        <v>0</v>
      </c>
      <c r="F602" s="83">
        <f>SUMIFS(F603:F1496,K603:K1496,"0",B603:B1496,"4 2 1 2 1 12 31111 6 M59 19000 000000 00000 00000 00082*")</f>
        <v>0</v>
      </c>
      <c r="G602" s="83">
        <f>SUMIFS(G603:G1496,K603:K1496,"0",B603:B1496,"4 2 1 2 1 12 31111 6 M59 19000 000000 00000 00000 00082*")</f>
        <v>59410569.920000002</v>
      </c>
      <c r="H602" s="83"/>
      <c r="I602" s="83">
        <f t="shared" si="9"/>
        <v>59410569.920000002</v>
      </c>
      <c r="K602" s="54" t="s">
        <v>15</v>
      </c>
    </row>
    <row r="603" spans="2:11" ht="33" x14ac:dyDescent="0.2">
      <c r="B603" s="82" t="s">
        <v>2838</v>
      </c>
      <c r="C603" s="82" t="s">
        <v>656</v>
      </c>
      <c r="D603" s="54"/>
      <c r="E603" s="83">
        <f>SUMIFS(E604:E1496,K604:K1496,"0",B604:B1496,"4 2 1 2 1 12 31111 6 M59 19000 000000 00000 00000 00082 025*")-SUMIFS(D604:D1496,K604:K1496,"0",B604:B1496,"4 2 1 2 1 12 31111 6 M59 19000 000000 00000 00000 00082 025*")</f>
        <v>0</v>
      </c>
      <c r="F603" s="83">
        <f>SUMIFS(F604:F1496,K604:K1496,"0",B604:B1496,"4 2 1 2 1 12 31111 6 M59 19000 000000 00000 00000 00082 025*")</f>
        <v>0</v>
      </c>
      <c r="G603" s="83">
        <f>SUMIFS(G604:G1496,K604:K1496,"0",B604:B1496,"4 2 1 2 1 12 31111 6 M59 19000 000000 00000 00000 00082 025*")</f>
        <v>59410569.920000002</v>
      </c>
      <c r="H603" s="83"/>
      <c r="I603" s="83">
        <f t="shared" si="9"/>
        <v>59410569.920000002</v>
      </c>
      <c r="K603" s="54" t="s">
        <v>15</v>
      </c>
    </row>
    <row r="604" spans="2:11" ht="33" x14ac:dyDescent="0.2">
      <c r="B604" s="82" t="s">
        <v>2839</v>
      </c>
      <c r="C604" s="82" t="s">
        <v>2708</v>
      </c>
      <c r="D604" s="54"/>
      <c r="E604" s="83">
        <f>SUMIFS(E605:E1496,K605:K1496,"0",B605:B1496,"4 2 1 2 1 12 31111 6 M59 19000 000000 00000 00000 00082 025 1182300*")-SUMIFS(D605:D1496,K605:K1496,"0",B605:B1496,"4 2 1 2 1 12 31111 6 M59 19000 000000 00000 00000 00082 025 1182300*")</f>
        <v>0</v>
      </c>
      <c r="F604" s="83">
        <f>SUMIFS(F605:F1496,K605:K1496,"0",B605:B1496,"4 2 1 2 1 12 31111 6 M59 19000 000000 00000 00000 00082 025 1182300*")</f>
        <v>0</v>
      </c>
      <c r="G604" s="83">
        <f>SUMIFS(G605:G1496,K605:K1496,"0",B605:B1496,"4 2 1 2 1 12 31111 6 M59 19000 000000 00000 00000 00082 025 1182300*")</f>
        <v>59410569.920000002</v>
      </c>
      <c r="H604" s="83"/>
      <c r="I604" s="83">
        <f t="shared" si="9"/>
        <v>59410569.920000002</v>
      </c>
      <c r="K604" s="54" t="s">
        <v>15</v>
      </c>
    </row>
    <row r="605" spans="2:11" ht="33" x14ac:dyDescent="0.2">
      <c r="B605" s="82" t="s">
        <v>2840</v>
      </c>
      <c r="C605" s="82" t="s">
        <v>660</v>
      </c>
      <c r="D605" s="54"/>
      <c r="E605" s="83">
        <f>SUMIFS(E606:E1496,K606:K1496,"0",B606:B1496,"4 2 1 2 1 12 31111 6 M59 19000 000000 00000 00000 00082 025 1182300 2024*")-SUMIFS(D606:D1496,K606:K1496,"0",B606:B1496,"4 2 1 2 1 12 31111 6 M59 19000 000000 00000 00000 00082 025 1182300 2024*")</f>
        <v>0</v>
      </c>
      <c r="F605" s="83">
        <f>SUMIFS(F606:F1496,K606:K1496,"0",B606:B1496,"4 2 1 2 1 12 31111 6 M59 19000 000000 00000 00000 00082 025 1182300 2024*")</f>
        <v>0</v>
      </c>
      <c r="G605" s="83">
        <f>SUMIFS(G606:G1496,K606:K1496,"0",B606:B1496,"4 2 1 2 1 12 31111 6 M59 19000 000000 00000 00000 00082 025 1182300 2024*")</f>
        <v>59410569.920000002</v>
      </c>
      <c r="H605" s="83"/>
      <c r="I605" s="83">
        <f t="shared" si="9"/>
        <v>59410569.920000002</v>
      </c>
      <c r="K605" s="54" t="s">
        <v>15</v>
      </c>
    </row>
    <row r="606" spans="2:11" ht="41.25" x14ac:dyDescent="0.2">
      <c r="B606" s="82" t="s">
        <v>2841</v>
      </c>
      <c r="C606" s="82" t="s">
        <v>2298</v>
      </c>
      <c r="D606" s="54"/>
      <c r="E606" s="83">
        <f>SUMIFS(E607:E1496,K607:K1496,"0",B607:B1496,"4 2 1 2 1 12 31111 6 M59 19000 000000 00000 00000 00082 025 1182300 2024 00000000*")-SUMIFS(D607:D1496,K607:K1496,"0",B607:B1496,"4 2 1 2 1 12 31111 6 M59 19000 000000 00000 00000 00082 025 1182300 2024 00000000*")</f>
        <v>0</v>
      </c>
      <c r="F606" s="83">
        <f>SUMIFS(F607:F1496,K607:K1496,"0",B607:B1496,"4 2 1 2 1 12 31111 6 M59 19000 000000 00000 00000 00082 025 1182300 2024 00000000*")</f>
        <v>0</v>
      </c>
      <c r="G606" s="83">
        <f>SUMIFS(G607:G1496,K607:K1496,"0",B607:B1496,"4 2 1 2 1 12 31111 6 M59 19000 000000 00000 00000 00082 025 1182300 2024 00000000*")</f>
        <v>59410569.920000002</v>
      </c>
      <c r="H606" s="83"/>
      <c r="I606" s="83">
        <f t="shared" si="9"/>
        <v>59410569.920000002</v>
      </c>
      <c r="K606" s="54" t="s">
        <v>15</v>
      </c>
    </row>
    <row r="607" spans="2:11" ht="41.25" x14ac:dyDescent="0.2">
      <c r="B607" s="82" t="s">
        <v>2847</v>
      </c>
      <c r="C607" s="82" t="s">
        <v>664</v>
      </c>
      <c r="D607" s="54"/>
      <c r="E607" s="83">
        <f>SUMIFS(E608:E1496,K608:K1496,"0",B608:B1496,"4 2 1 2 1 12 31111 6 M59 19000 000000 00000 00000 00082 025 1182300 2024 00000000 003*")-SUMIFS(D608:D1496,K608:K1496,"0",B608:B1496,"4 2 1 2 1 12 31111 6 M59 19000 000000 00000 00000 00082 025 1182300 2024 00000000 003*")</f>
        <v>0</v>
      </c>
      <c r="F607" s="83">
        <f>SUMIFS(F608:F1496,K608:K1496,"0",B608:B1496,"4 2 1 2 1 12 31111 6 M59 19000 000000 00000 00000 00082 025 1182300 2024 00000000 003*")</f>
        <v>0</v>
      </c>
      <c r="G607" s="83">
        <f>SUMIFS(G608:G1496,K608:K1496,"0",B608:B1496,"4 2 1 2 1 12 31111 6 M59 19000 000000 00000 00000 00082 025 1182300 2024 00000000 003*")</f>
        <v>59410569.920000002</v>
      </c>
      <c r="H607" s="83"/>
      <c r="I607" s="83">
        <f t="shared" si="9"/>
        <v>59410569.920000002</v>
      </c>
      <c r="K607" s="54" t="s">
        <v>15</v>
      </c>
    </row>
    <row r="608" spans="2:11" ht="49.5" x14ac:dyDescent="0.2">
      <c r="B608" s="82" t="s">
        <v>2848</v>
      </c>
      <c r="C608" s="82" t="s">
        <v>2849</v>
      </c>
      <c r="D608" s="54"/>
      <c r="E608" s="83">
        <f>SUMIFS(E609:E1496,K609:K1496,"0",B609:B1496,"4 2 1 2 1 12 31111 6 M59 19000 000000 00000 00000 00082 025 1182300 2024 00000000 003 0000001*")-SUMIFS(D609:D1496,K609:K1496,"0",B609:B1496,"4 2 1 2 1 12 31111 6 M59 19000 000000 00000 00000 00082 025 1182300 2024 00000000 003 0000001*")</f>
        <v>0</v>
      </c>
      <c r="F608" s="83">
        <f>SUMIFS(F609:F1496,K609:K1496,"0",B609:B1496,"4 2 1 2 1 12 31111 6 M59 19000 000000 00000 00000 00082 025 1182300 2024 00000000 003 0000001*")</f>
        <v>0</v>
      </c>
      <c r="G608" s="83">
        <f>SUMIFS(G609:G1496,K609:K1496,"0",B609:B1496,"4 2 1 2 1 12 31111 6 M59 19000 000000 00000 00000 00082 025 1182300 2024 00000000 003 0000001*")</f>
        <v>59410569.920000002</v>
      </c>
      <c r="H608" s="83"/>
      <c r="I608" s="83">
        <f t="shared" si="9"/>
        <v>59410569.920000002</v>
      </c>
      <c r="K608" s="54" t="s">
        <v>15</v>
      </c>
    </row>
    <row r="609" spans="2:11" ht="49.5" x14ac:dyDescent="0.2">
      <c r="B609" s="82" t="s">
        <v>2850</v>
      </c>
      <c r="C609" s="82" t="s">
        <v>2284</v>
      </c>
      <c r="D609" s="54"/>
      <c r="E609" s="83">
        <f>SUMIFS(E610:E1496,K610:K1496,"0",B610:B1496,"4 2 1 2 1 12 31111 6 M59 19000 000000 00000 00000 00082 025 1182300 2024 00000000 003 0000001 00001*")-SUMIFS(D610:D1496,K610:K1496,"0",B610:B1496,"4 2 1 2 1 12 31111 6 M59 19000 000000 00000 00000 00082 025 1182300 2024 00000000 003 0000001 00001*")</f>
        <v>0</v>
      </c>
      <c r="F609" s="83">
        <f>SUMIFS(F610:F1496,K610:K1496,"0",B610:B1496,"4 2 1 2 1 12 31111 6 M59 19000 000000 00000 00000 00082 025 1182300 2024 00000000 003 0000001 00001*")</f>
        <v>0</v>
      </c>
      <c r="G609" s="83">
        <f>SUMIFS(G610:G1496,K610:K1496,"0",B610:B1496,"4 2 1 2 1 12 31111 6 M59 19000 000000 00000 00000 00082 025 1182300 2024 00000000 003 0000001 00001*")</f>
        <v>59410569.920000002</v>
      </c>
      <c r="H609" s="83"/>
      <c r="I609" s="83">
        <f t="shared" si="9"/>
        <v>59410569.920000002</v>
      </c>
      <c r="K609" s="54" t="s">
        <v>15</v>
      </c>
    </row>
    <row r="610" spans="2:11" ht="41.25" x14ac:dyDescent="0.2">
      <c r="B610" s="84" t="s">
        <v>2851</v>
      </c>
      <c r="C610" s="84" t="s">
        <v>2852</v>
      </c>
      <c r="D610" s="85"/>
      <c r="E610" s="85">
        <v>0</v>
      </c>
      <c r="F610" s="85">
        <v>0</v>
      </c>
      <c r="G610" s="85">
        <v>59410569.920000002</v>
      </c>
      <c r="H610" s="85"/>
      <c r="I610" s="85">
        <f t="shared" si="9"/>
        <v>59410569.920000002</v>
      </c>
      <c r="K610" s="54" t="s">
        <v>38</v>
      </c>
    </row>
    <row r="611" spans="2:11" ht="12.75" x14ac:dyDescent="0.2">
      <c r="B611" s="82" t="s">
        <v>2896</v>
      </c>
      <c r="C611" s="82" t="s">
        <v>2897</v>
      </c>
      <c r="D611" s="83">
        <f>SUMIFS(D612:D1496,K612:K1496,"0",B612:B1496,"5*")-SUMIFS(E612:E1496,K612:K1496,"0",B612:B1496,"5*")</f>
        <v>0</v>
      </c>
      <c r="E611" s="54"/>
      <c r="F611" s="83">
        <f>SUMIFS(F612:F1496,K612:K1496,"0",B612:B1496,"5*")</f>
        <v>54052224.849999994</v>
      </c>
      <c r="G611" s="83">
        <f>SUMIFS(G612:G1496,K612:K1496,"0",B612:B1496,"5*")</f>
        <v>0</v>
      </c>
      <c r="H611" s="83">
        <f t="shared" ref="H611:H674" si="10">D611 + F611 - G611</f>
        <v>54052224.849999994</v>
      </c>
      <c r="I611" s="83"/>
      <c r="K611" s="54" t="s">
        <v>15</v>
      </c>
    </row>
    <row r="612" spans="2:11" ht="12.75" x14ac:dyDescent="0.2">
      <c r="B612" s="82" t="s">
        <v>2898</v>
      </c>
      <c r="C612" s="82" t="s">
        <v>2899</v>
      </c>
      <c r="D612" s="83">
        <f>SUMIFS(D613:D1496,K613:K1496,"0",B613:B1496,"5 1*")-SUMIFS(E613:E1496,K613:K1496,"0",B613:B1496,"5 1*")</f>
        <v>0</v>
      </c>
      <c r="E612" s="54"/>
      <c r="F612" s="83">
        <f>SUMIFS(F613:F1496,K613:K1496,"0",B613:B1496,"5 1*")</f>
        <v>53083164.869999997</v>
      </c>
      <c r="G612" s="83">
        <f>SUMIFS(G613:G1496,K613:K1496,"0",B613:B1496,"5 1*")</f>
        <v>0</v>
      </c>
      <c r="H612" s="83">
        <f t="shared" si="10"/>
        <v>53083164.869999997</v>
      </c>
      <c r="I612" s="83"/>
      <c r="K612" s="54" t="s">
        <v>15</v>
      </c>
    </row>
    <row r="613" spans="2:11" ht="12.75" x14ac:dyDescent="0.2">
      <c r="B613" s="82" t="s">
        <v>2900</v>
      </c>
      <c r="C613" s="82" t="s">
        <v>2901</v>
      </c>
      <c r="D613" s="83">
        <f>SUMIFS(D614:D1496,K614:K1496,"0",B614:B1496,"5 1 1*")-SUMIFS(E614:E1496,K614:K1496,"0",B614:B1496,"5 1 1*")</f>
        <v>0</v>
      </c>
      <c r="E613" s="54"/>
      <c r="F613" s="83">
        <f>SUMIFS(F614:F1496,K614:K1496,"0",B614:B1496,"5 1 1*")</f>
        <v>29137275.849999998</v>
      </c>
      <c r="G613" s="83">
        <f>SUMIFS(G614:G1496,K614:K1496,"0",B614:B1496,"5 1 1*")</f>
        <v>0</v>
      </c>
      <c r="H613" s="83">
        <f t="shared" si="10"/>
        <v>29137275.849999998</v>
      </c>
      <c r="I613" s="83"/>
      <c r="K613" s="54" t="s">
        <v>15</v>
      </c>
    </row>
    <row r="614" spans="2:11" ht="24.75" x14ac:dyDescent="0.2">
      <c r="B614" s="82" t="s">
        <v>2902</v>
      </c>
      <c r="C614" s="82" t="s">
        <v>2903</v>
      </c>
      <c r="D614" s="83">
        <f>SUMIFS(D615:D1496,K615:K1496,"0",B615:B1496,"5 1 1 1*")-SUMIFS(E615:E1496,K615:K1496,"0",B615:B1496,"5 1 1 1*")</f>
        <v>0</v>
      </c>
      <c r="E614" s="54"/>
      <c r="F614" s="83">
        <f>SUMIFS(F615:F1496,K615:K1496,"0",B615:B1496,"5 1 1 1*")</f>
        <v>26001332.149999999</v>
      </c>
      <c r="G614" s="83">
        <f>SUMIFS(G615:G1496,K615:K1496,"0",B615:B1496,"5 1 1 1*")</f>
        <v>0</v>
      </c>
      <c r="H614" s="83">
        <f t="shared" si="10"/>
        <v>26001332.149999999</v>
      </c>
      <c r="I614" s="83"/>
      <c r="K614" s="54" t="s">
        <v>15</v>
      </c>
    </row>
    <row r="615" spans="2:11" ht="16.5" x14ac:dyDescent="0.2">
      <c r="B615" s="82" t="s">
        <v>2913</v>
      </c>
      <c r="C615" s="82" t="s">
        <v>2914</v>
      </c>
      <c r="D615" s="83">
        <f>SUMIFS(D616:D1496,K616:K1496,"0",B616:B1496,"5 1 1 1 3*")-SUMIFS(E616:E1496,K616:K1496,"0",B616:B1496,"5 1 1 1 3*")</f>
        <v>0</v>
      </c>
      <c r="E615" s="54"/>
      <c r="F615" s="83">
        <f>SUMIFS(F616:F1496,K616:K1496,"0",B616:B1496,"5 1 1 1 3*")</f>
        <v>26001332.149999999</v>
      </c>
      <c r="G615" s="83">
        <f>SUMIFS(G616:G1496,K616:K1496,"0",B616:B1496,"5 1 1 1 3*")</f>
        <v>0</v>
      </c>
      <c r="H615" s="83">
        <f t="shared" si="10"/>
        <v>26001332.149999999</v>
      </c>
      <c r="I615" s="83"/>
      <c r="K615" s="54" t="s">
        <v>15</v>
      </c>
    </row>
    <row r="616" spans="2:11" ht="12.75" x14ac:dyDescent="0.2">
      <c r="B616" s="82" t="s">
        <v>2915</v>
      </c>
      <c r="C616" s="82" t="s">
        <v>26</v>
      </c>
      <c r="D616" s="83">
        <f>SUMIFS(D617:D1496,K617:K1496,"0",B617:B1496,"5 1 1 1 3 12*")-SUMIFS(E617:E1496,K617:K1496,"0",B617:B1496,"5 1 1 1 3 12*")</f>
        <v>0</v>
      </c>
      <c r="E616" s="54"/>
      <c r="F616" s="83">
        <f>SUMIFS(F617:F1496,K617:K1496,"0",B617:B1496,"5 1 1 1 3 12*")</f>
        <v>26001332.149999999</v>
      </c>
      <c r="G616" s="83">
        <f>SUMIFS(G617:G1496,K617:K1496,"0",B617:B1496,"5 1 1 1 3 12*")</f>
        <v>0</v>
      </c>
      <c r="H616" s="83">
        <f t="shared" si="10"/>
        <v>26001332.149999999</v>
      </c>
      <c r="I616" s="83"/>
      <c r="K616" s="54" t="s">
        <v>15</v>
      </c>
    </row>
    <row r="617" spans="2:11" ht="16.5" x14ac:dyDescent="0.2">
      <c r="B617" s="82" t="s">
        <v>2916</v>
      </c>
      <c r="C617" s="82" t="s">
        <v>28</v>
      </c>
      <c r="D617" s="83">
        <f>SUMIFS(D618:D1496,K618:K1496,"0",B618:B1496,"5 1 1 1 3 12 31111*")-SUMIFS(E618:E1496,K618:K1496,"0",B618:B1496,"5 1 1 1 3 12 31111*")</f>
        <v>0</v>
      </c>
      <c r="E617" s="54"/>
      <c r="F617" s="83">
        <f>SUMIFS(F618:F1496,K618:K1496,"0",B618:B1496,"5 1 1 1 3 12 31111*")</f>
        <v>26001332.149999999</v>
      </c>
      <c r="G617" s="83">
        <f>SUMIFS(G618:G1496,K618:K1496,"0",B618:B1496,"5 1 1 1 3 12 31111*")</f>
        <v>0</v>
      </c>
      <c r="H617" s="83">
        <f t="shared" si="10"/>
        <v>26001332.149999999</v>
      </c>
      <c r="I617" s="83"/>
      <c r="K617" s="54" t="s">
        <v>15</v>
      </c>
    </row>
    <row r="618" spans="2:11" ht="12.75" x14ac:dyDescent="0.2">
      <c r="B618" s="82" t="s">
        <v>2917</v>
      </c>
      <c r="C618" s="82" t="s">
        <v>30</v>
      </c>
      <c r="D618" s="83">
        <f>SUMIFS(D619:D1496,K619:K1496,"0",B619:B1496,"5 1 1 1 3 12 31111 6*")-SUMIFS(E619:E1496,K619:K1496,"0",B619:B1496,"5 1 1 1 3 12 31111 6*")</f>
        <v>0</v>
      </c>
      <c r="E618" s="54"/>
      <c r="F618" s="83">
        <f>SUMIFS(F619:F1496,K619:K1496,"0",B619:B1496,"5 1 1 1 3 12 31111 6*")</f>
        <v>26001332.149999999</v>
      </c>
      <c r="G618" s="83">
        <f>SUMIFS(G619:G1496,K619:K1496,"0",B619:B1496,"5 1 1 1 3 12 31111 6*")</f>
        <v>0</v>
      </c>
      <c r="H618" s="83">
        <f t="shared" si="10"/>
        <v>26001332.149999999</v>
      </c>
      <c r="I618" s="83"/>
      <c r="K618" s="54" t="s">
        <v>15</v>
      </c>
    </row>
    <row r="619" spans="2:11" ht="16.5" x14ac:dyDescent="0.2">
      <c r="B619" s="82" t="s">
        <v>2918</v>
      </c>
      <c r="C619" s="82" t="s">
        <v>2284</v>
      </c>
      <c r="D619" s="83">
        <f>SUMIFS(D620:D1496,K620:K1496,"0",B620:B1496,"5 1 1 1 3 12 31111 6 M59*")-SUMIFS(E620:E1496,K620:K1496,"0",B620:B1496,"5 1 1 1 3 12 31111 6 M59*")</f>
        <v>0</v>
      </c>
      <c r="E619" s="54"/>
      <c r="F619" s="83">
        <f>SUMIFS(F620:F1496,K620:K1496,"0",B620:B1496,"5 1 1 1 3 12 31111 6 M59*")</f>
        <v>26001332.149999999</v>
      </c>
      <c r="G619" s="83">
        <f>SUMIFS(G620:G1496,K620:K1496,"0",B620:B1496,"5 1 1 1 3 12 31111 6 M59*")</f>
        <v>0</v>
      </c>
      <c r="H619" s="83">
        <f t="shared" si="10"/>
        <v>26001332.149999999</v>
      </c>
      <c r="I619" s="83"/>
      <c r="K619" s="54" t="s">
        <v>15</v>
      </c>
    </row>
    <row r="620" spans="2:11" ht="16.5" x14ac:dyDescent="0.2">
      <c r="B620" s="82" t="s">
        <v>3233</v>
      </c>
      <c r="C620" s="82" t="s">
        <v>1092</v>
      </c>
      <c r="D620" s="83">
        <f>SUMIFS(D621:D1496,K621:K1496,"0",B621:B1496,"5 1 1 1 3 12 31111 6 M59 40000*")-SUMIFS(E621:E1496,K621:K1496,"0",B621:B1496,"5 1 1 1 3 12 31111 6 M59 40000*")</f>
        <v>0</v>
      </c>
      <c r="E620" s="54"/>
      <c r="F620" s="83">
        <f>SUMIFS(F621:F1496,K621:K1496,"0",B621:B1496,"5 1 1 1 3 12 31111 6 M59 40000*")</f>
        <v>19943214.59</v>
      </c>
      <c r="G620" s="83">
        <f>SUMIFS(G621:G1496,K621:K1496,"0",B621:B1496,"5 1 1 1 3 12 31111 6 M59 40000*")</f>
        <v>0</v>
      </c>
      <c r="H620" s="83">
        <f t="shared" si="10"/>
        <v>19943214.59</v>
      </c>
      <c r="I620" s="83"/>
      <c r="K620" s="54" t="s">
        <v>15</v>
      </c>
    </row>
    <row r="621" spans="2:11" ht="16.5" x14ac:dyDescent="0.2">
      <c r="B621" s="82" t="s">
        <v>3234</v>
      </c>
      <c r="C621" s="82" t="s">
        <v>1094</v>
      </c>
      <c r="D621" s="83">
        <f>SUMIFS(D622:D1496,K622:K1496,"0",B622:B1496,"5 1 1 1 3 12 31111 6 M59 40000 000161*")-SUMIFS(E622:E1496,K622:K1496,"0",B622:B1496,"5 1 1 1 3 12 31111 6 M59 40000 000161*")</f>
        <v>0</v>
      </c>
      <c r="E621" s="54"/>
      <c r="F621" s="83">
        <f>SUMIFS(F622:F1496,K622:K1496,"0",B622:B1496,"5 1 1 1 3 12 31111 6 M59 40000 000161*")</f>
        <v>19943214.59</v>
      </c>
      <c r="G621" s="83">
        <f>SUMIFS(G622:G1496,K622:K1496,"0",B622:B1496,"5 1 1 1 3 12 31111 6 M59 40000 000161*")</f>
        <v>0</v>
      </c>
      <c r="H621" s="83">
        <f t="shared" si="10"/>
        <v>19943214.59</v>
      </c>
      <c r="I621" s="83"/>
      <c r="K621" s="54" t="s">
        <v>15</v>
      </c>
    </row>
    <row r="622" spans="2:11" ht="16.5" x14ac:dyDescent="0.2">
      <c r="B622" s="82" t="s">
        <v>3235</v>
      </c>
      <c r="C622" s="82" t="s">
        <v>1065</v>
      </c>
      <c r="D622" s="83">
        <f>SUMIFS(D623:D1496,K623:K1496,"0",B623:B1496,"5 1 1 1 3 12 31111 6 M59 40000 000161 0000E*")-SUMIFS(E623:E1496,K623:K1496,"0",B623:B1496,"5 1 1 1 3 12 31111 6 M59 40000 000161 0000E*")</f>
        <v>0</v>
      </c>
      <c r="E622" s="54"/>
      <c r="F622" s="83">
        <f>SUMIFS(F623:F1496,K623:K1496,"0",B623:B1496,"5 1 1 1 3 12 31111 6 M59 40000 000161 0000E*")</f>
        <v>19943214.59</v>
      </c>
      <c r="G622" s="83">
        <f>SUMIFS(G623:G1496,K623:K1496,"0",B623:B1496,"5 1 1 1 3 12 31111 6 M59 40000 000161 0000E*")</f>
        <v>0</v>
      </c>
      <c r="H622" s="83">
        <f t="shared" si="10"/>
        <v>19943214.59</v>
      </c>
      <c r="I622" s="83"/>
      <c r="K622" s="54" t="s">
        <v>15</v>
      </c>
    </row>
    <row r="623" spans="2:11" ht="24.75" x14ac:dyDescent="0.2">
      <c r="B623" s="82" t="s">
        <v>3236</v>
      </c>
      <c r="C623" s="82" t="s">
        <v>282</v>
      </c>
      <c r="D623" s="83">
        <f>SUMIFS(D624:D1496,K624:K1496,"0",B624:B1496,"5 1 1 1 3 12 31111 6 M59 40000 000161 0000E 00001*")-SUMIFS(E624:E1496,K624:K1496,"0",B624:B1496,"5 1 1 1 3 12 31111 6 M59 40000 000161 0000E 00001*")</f>
        <v>0</v>
      </c>
      <c r="E623" s="54"/>
      <c r="F623" s="83">
        <f>SUMIFS(F624:F1496,K624:K1496,"0",B624:B1496,"5 1 1 1 3 12 31111 6 M59 40000 000161 0000E 00001*")</f>
        <v>19943214.59</v>
      </c>
      <c r="G623" s="83">
        <f>SUMIFS(G624:G1496,K624:K1496,"0",B624:B1496,"5 1 1 1 3 12 31111 6 M59 40000 000161 0000E 00001*")</f>
        <v>0</v>
      </c>
      <c r="H623" s="83">
        <f t="shared" si="10"/>
        <v>19943214.59</v>
      </c>
      <c r="I623" s="83"/>
      <c r="K623" s="54" t="s">
        <v>15</v>
      </c>
    </row>
    <row r="624" spans="2:11" ht="24.75" x14ac:dyDescent="0.2">
      <c r="B624" s="82" t="s">
        <v>3237</v>
      </c>
      <c r="C624" s="82" t="s">
        <v>2924</v>
      </c>
      <c r="D624" s="83">
        <f>SUMIFS(D625:D1496,K625:K1496,"0",B625:B1496,"5 1 1 1 3 12 31111 6 M59 40000 000161 0000E 00001 00113*")-SUMIFS(E625:E1496,K625:K1496,"0",B625:B1496,"5 1 1 1 3 12 31111 6 M59 40000 000161 0000E 00001 00113*")</f>
        <v>0</v>
      </c>
      <c r="E624" s="54"/>
      <c r="F624" s="83">
        <f>SUMIFS(F625:F1496,K625:K1496,"0",B625:B1496,"5 1 1 1 3 12 31111 6 M59 40000 000161 0000E 00001 00113*")</f>
        <v>19943214.59</v>
      </c>
      <c r="G624" s="83">
        <f>SUMIFS(G625:G1496,K625:K1496,"0",B625:B1496,"5 1 1 1 3 12 31111 6 M59 40000 000161 0000E 00001 00113*")</f>
        <v>0</v>
      </c>
      <c r="H624" s="83">
        <f t="shared" si="10"/>
        <v>19943214.59</v>
      </c>
      <c r="I624" s="83"/>
      <c r="K624" s="54" t="s">
        <v>15</v>
      </c>
    </row>
    <row r="625" spans="2:11" ht="24.75" x14ac:dyDescent="0.2">
      <c r="B625" s="82" t="s">
        <v>3238</v>
      </c>
      <c r="C625" s="82" t="s">
        <v>656</v>
      </c>
      <c r="D625" s="83">
        <f>SUMIFS(D626:D1496,K626:K1496,"0",B626:B1496,"5 1 1 1 3 12 31111 6 M59 40000 000161 0000E 00001 00113 025*")-SUMIFS(E626:E1496,K626:K1496,"0",B626:B1496,"5 1 1 1 3 12 31111 6 M59 40000 000161 0000E 00001 00113 025*")</f>
        <v>0</v>
      </c>
      <c r="E625" s="54"/>
      <c r="F625" s="83">
        <f>SUMIFS(F626:F1496,K626:K1496,"0",B626:B1496,"5 1 1 1 3 12 31111 6 M59 40000 000161 0000E 00001 00113 025*")</f>
        <v>19943214.59</v>
      </c>
      <c r="G625" s="83">
        <f>SUMIFS(G626:G1496,K626:K1496,"0",B626:B1496,"5 1 1 1 3 12 31111 6 M59 40000 000161 0000E 00001 00113 025*")</f>
        <v>0</v>
      </c>
      <c r="H625" s="83">
        <f t="shared" si="10"/>
        <v>19943214.59</v>
      </c>
      <c r="I625" s="83"/>
      <c r="K625" s="54" t="s">
        <v>15</v>
      </c>
    </row>
    <row r="626" spans="2:11" ht="33" x14ac:dyDescent="0.2">
      <c r="B626" s="82" t="s">
        <v>3239</v>
      </c>
      <c r="C626" s="82" t="s">
        <v>2927</v>
      </c>
      <c r="D626" s="83">
        <f>SUMIFS(D627:D1496,K627:K1496,"0",B627:B1496,"5 1 1 1 3 12 31111 6 M59 40000 000161 0000E 00001 00113 025 2111100*")-SUMIFS(E627:E1496,K627:K1496,"0",B627:B1496,"5 1 1 1 3 12 31111 6 M59 40000 000161 0000E 00001 00113 025 2111100*")</f>
        <v>0</v>
      </c>
      <c r="E626" s="54"/>
      <c r="F626" s="83">
        <f>SUMIFS(F627:F1496,K627:K1496,"0",B627:B1496,"5 1 1 1 3 12 31111 6 M59 40000 000161 0000E 00001 00113 025 2111100*")</f>
        <v>19943214.59</v>
      </c>
      <c r="G626" s="83">
        <f>SUMIFS(G627:G1496,K627:K1496,"0",B627:B1496,"5 1 1 1 3 12 31111 6 M59 40000 000161 0000E 00001 00113 025 2111100*")</f>
        <v>0</v>
      </c>
      <c r="H626" s="83">
        <f t="shared" si="10"/>
        <v>19943214.59</v>
      </c>
      <c r="I626" s="83"/>
      <c r="K626" s="54" t="s">
        <v>15</v>
      </c>
    </row>
    <row r="627" spans="2:11" ht="33" x14ac:dyDescent="0.2">
      <c r="B627" s="82" t="s">
        <v>3240</v>
      </c>
      <c r="C627" s="82" t="s">
        <v>660</v>
      </c>
      <c r="D627" s="83">
        <f>SUMIFS(D628:D1496,K628:K1496,"0",B628:B1496,"5 1 1 1 3 12 31111 6 M59 40000 000161 0000E 00001 00113 025 2111100 2024*")-SUMIFS(E628:E1496,K628:K1496,"0",B628:B1496,"5 1 1 1 3 12 31111 6 M59 40000 000161 0000E 00001 00113 025 2111100 2024*")</f>
        <v>0</v>
      </c>
      <c r="E627" s="54"/>
      <c r="F627" s="83">
        <f>SUMIFS(F628:F1496,K628:K1496,"0",B628:B1496,"5 1 1 1 3 12 31111 6 M59 40000 000161 0000E 00001 00113 025 2111100 2024*")</f>
        <v>19943214.59</v>
      </c>
      <c r="G627" s="83">
        <f>SUMIFS(G628:G1496,K628:K1496,"0",B628:B1496,"5 1 1 1 3 12 31111 6 M59 40000 000161 0000E 00001 00113 025 2111100 2024*")</f>
        <v>0</v>
      </c>
      <c r="H627" s="83">
        <f t="shared" si="10"/>
        <v>19943214.59</v>
      </c>
      <c r="I627" s="83"/>
      <c r="K627" s="54" t="s">
        <v>15</v>
      </c>
    </row>
    <row r="628" spans="2:11" ht="41.25" x14ac:dyDescent="0.2">
      <c r="B628" s="82" t="s">
        <v>3241</v>
      </c>
      <c r="C628" s="82" t="s">
        <v>662</v>
      </c>
      <c r="D628" s="83">
        <f>SUMIFS(D629:D1496,K629:K1496,"0",B629:B1496,"5 1 1 1 3 12 31111 6 M59 40000 000161 0000E 00001 00113 025 2111100 2024 CP4SP372*")-SUMIFS(E629:E1496,K629:K1496,"0",B629:B1496,"5 1 1 1 3 12 31111 6 M59 40000 000161 0000E 00001 00113 025 2111100 2024 CP4SP372*")</f>
        <v>0</v>
      </c>
      <c r="E628" s="54"/>
      <c r="F628" s="83">
        <f>SUMIFS(F629:F1496,K629:K1496,"0",B629:B1496,"5 1 1 1 3 12 31111 6 M59 40000 000161 0000E 00001 00113 025 2111100 2024 CP4SP372*")</f>
        <v>19943214.59</v>
      </c>
      <c r="G628" s="83">
        <f>SUMIFS(G629:G1496,K629:K1496,"0",B629:B1496,"5 1 1 1 3 12 31111 6 M59 40000 000161 0000E 00001 00113 025 2111100 2024 CP4SP372*")</f>
        <v>0</v>
      </c>
      <c r="H628" s="83">
        <f t="shared" si="10"/>
        <v>19943214.59</v>
      </c>
      <c r="I628" s="83"/>
      <c r="K628" s="54" t="s">
        <v>15</v>
      </c>
    </row>
    <row r="629" spans="2:11" ht="41.25" x14ac:dyDescent="0.2">
      <c r="B629" s="82" t="s">
        <v>3242</v>
      </c>
      <c r="C629" s="82" t="s">
        <v>664</v>
      </c>
      <c r="D629" s="83">
        <f>SUMIFS(D630:D1496,K630:K1496,"0",B630:B1496,"5 1 1 1 3 12 31111 6 M59 40000 000161 0000E 00001 00113 025 2111100 2024 CP4SP372 003*")-SUMIFS(E630:E1496,K630:K1496,"0",B630:B1496,"5 1 1 1 3 12 31111 6 M59 40000 000161 0000E 00001 00113 025 2111100 2024 CP4SP372 003*")</f>
        <v>0</v>
      </c>
      <c r="E629" s="54"/>
      <c r="F629" s="83">
        <f>SUMIFS(F630:F1496,K630:K1496,"0",B630:B1496,"5 1 1 1 3 12 31111 6 M59 40000 000161 0000E 00001 00113 025 2111100 2024 CP4SP372 003*")</f>
        <v>19943214.59</v>
      </c>
      <c r="G629" s="83">
        <f>SUMIFS(G630:G1496,K630:K1496,"0",B630:B1496,"5 1 1 1 3 12 31111 6 M59 40000 000161 0000E 00001 00113 025 2111100 2024 CP4SP372 003*")</f>
        <v>0</v>
      </c>
      <c r="H629" s="83">
        <f t="shared" si="10"/>
        <v>19943214.59</v>
      </c>
      <c r="I629" s="83"/>
      <c r="K629" s="54" t="s">
        <v>15</v>
      </c>
    </row>
    <row r="630" spans="2:11" ht="33" x14ac:dyDescent="0.2">
      <c r="B630" s="84" t="s">
        <v>3243</v>
      </c>
      <c r="C630" s="84" t="s">
        <v>2932</v>
      </c>
      <c r="D630" s="85">
        <v>0</v>
      </c>
      <c r="E630" s="85"/>
      <c r="F630" s="85">
        <v>19943214.59</v>
      </c>
      <c r="G630" s="85">
        <v>0</v>
      </c>
      <c r="H630" s="85">
        <f t="shared" si="10"/>
        <v>19943214.59</v>
      </c>
      <c r="I630" s="85"/>
      <c r="K630" s="54" t="s">
        <v>38</v>
      </c>
    </row>
    <row r="631" spans="2:11" ht="16.5" x14ac:dyDescent="0.2">
      <c r="B631" s="82" t="s">
        <v>3244</v>
      </c>
      <c r="C631" s="82" t="s">
        <v>1105</v>
      </c>
      <c r="D631" s="83">
        <f>SUMIFS(D632:D1496,K632:K1496,"0",B632:B1496,"5 1 1 1 3 12 31111 6 M59 40200*")-SUMIFS(E632:E1496,K632:K1496,"0",B632:B1496,"5 1 1 1 3 12 31111 6 M59 40200*")</f>
        <v>0</v>
      </c>
      <c r="E631" s="54"/>
      <c r="F631" s="83">
        <f>SUMIFS(F632:F1496,K632:K1496,"0",B632:B1496,"5 1 1 1 3 12 31111 6 M59 40200*")</f>
        <v>3018881.84</v>
      </c>
      <c r="G631" s="83">
        <f>SUMIFS(G632:G1496,K632:K1496,"0",B632:B1496,"5 1 1 1 3 12 31111 6 M59 40200*")</f>
        <v>0</v>
      </c>
      <c r="H631" s="83">
        <f t="shared" si="10"/>
        <v>3018881.84</v>
      </c>
      <c r="I631" s="83"/>
      <c r="K631" s="54" t="s">
        <v>15</v>
      </c>
    </row>
    <row r="632" spans="2:11" ht="16.5" x14ac:dyDescent="0.2">
      <c r="B632" s="82" t="s">
        <v>3245</v>
      </c>
      <c r="C632" s="82" t="s">
        <v>1107</v>
      </c>
      <c r="D632" s="83">
        <f>SUMIFS(D633:D1496,K633:K1496,"0",B633:B1496,"5 1 1 1 3 12 31111 6 M59 40200 000172*")-SUMIFS(E633:E1496,K633:K1496,"0",B633:B1496,"5 1 1 1 3 12 31111 6 M59 40200 000172*")</f>
        <v>0</v>
      </c>
      <c r="E632" s="54"/>
      <c r="F632" s="83">
        <f>SUMIFS(F633:F1496,K633:K1496,"0",B633:B1496,"5 1 1 1 3 12 31111 6 M59 40200 000172*")</f>
        <v>3018881.84</v>
      </c>
      <c r="G632" s="83">
        <f>SUMIFS(G633:G1496,K633:K1496,"0",B633:B1496,"5 1 1 1 3 12 31111 6 M59 40200 000172*")</f>
        <v>0</v>
      </c>
      <c r="H632" s="83">
        <f t="shared" si="10"/>
        <v>3018881.84</v>
      </c>
      <c r="I632" s="83"/>
      <c r="K632" s="54" t="s">
        <v>15</v>
      </c>
    </row>
    <row r="633" spans="2:11" ht="16.5" x14ac:dyDescent="0.2">
      <c r="B633" s="82" t="s">
        <v>3246</v>
      </c>
      <c r="C633" s="82" t="s">
        <v>650</v>
      </c>
      <c r="D633" s="83">
        <f>SUMIFS(D634:D1496,K634:K1496,"0",B634:B1496,"5 1 1 1 3 12 31111 6 M59 40200 000172 0000R*")-SUMIFS(E634:E1496,K634:K1496,"0",B634:B1496,"5 1 1 1 3 12 31111 6 M59 40200 000172 0000R*")</f>
        <v>0</v>
      </c>
      <c r="E633" s="54"/>
      <c r="F633" s="83">
        <f>SUMIFS(F634:F1496,K634:K1496,"0",B634:B1496,"5 1 1 1 3 12 31111 6 M59 40200 000172 0000R*")</f>
        <v>3018881.84</v>
      </c>
      <c r="G633" s="83">
        <f>SUMIFS(G634:G1496,K634:K1496,"0",B634:B1496,"5 1 1 1 3 12 31111 6 M59 40200 000172 0000R*")</f>
        <v>0</v>
      </c>
      <c r="H633" s="83">
        <f t="shared" si="10"/>
        <v>3018881.84</v>
      </c>
      <c r="I633" s="83"/>
      <c r="K633" s="54" t="s">
        <v>15</v>
      </c>
    </row>
    <row r="634" spans="2:11" ht="24.75" x14ac:dyDescent="0.2">
      <c r="B634" s="82" t="s">
        <v>3247</v>
      </c>
      <c r="C634" s="82" t="s">
        <v>282</v>
      </c>
      <c r="D634" s="83">
        <f>SUMIFS(D635:D1496,K635:K1496,"0",B635:B1496,"5 1 1 1 3 12 31111 6 M59 40200 000172 0000R 00001*")-SUMIFS(E635:E1496,K635:K1496,"0",B635:B1496,"5 1 1 1 3 12 31111 6 M59 40200 000172 0000R 00001*")</f>
        <v>0</v>
      </c>
      <c r="E634" s="54"/>
      <c r="F634" s="83">
        <f>SUMIFS(F635:F1496,K635:K1496,"0",B635:B1496,"5 1 1 1 3 12 31111 6 M59 40200 000172 0000R 00001*")</f>
        <v>3018881.84</v>
      </c>
      <c r="G634" s="83">
        <f>SUMIFS(G635:G1496,K635:K1496,"0",B635:B1496,"5 1 1 1 3 12 31111 6 M59 40200 000172 0000R 00001*")</f>
        <v>0</v>
      </c>
      <c r="H634" s="83">
        <f t="shared" si="10"/>
        <v>3018881.84</v>
      </c>
      <c r="I634" s="83"/>
      <c r="K634" s="54" t="s">
        <v>15</v>
      </c>
    </row>
    <row r="635" spans="2:11" ht="24.75" x14ac:dyDescent="0.2">
      <c r="B635" s="82" t="s">
        <v>3248</v>
      </c>
      <c r="C635" s="82" t="s">
        <v>2924</v>
      </c>
      <c r="D635" s="83">
        <f>SUMIFS(D636:D1496,K636:K1496,"0",B636:B1496,"5 1 1 1 3 12 31111 6 M59 40200 000172 0000R 00001 00113*")-SUMIFS(E636:E1496,K636:K1496,"0",B636:B1496,"5 1 1 1 3 12 31111 6 M59 40200 000172 0000R 00001 00113*")</f>
        <v>0</v>
      </c>
      <c r="E635" s="54"/>
      <c r="F635" s="83">
        <f>SUMIFS(F636:F1496,K636:K1496,"0",B636:B1496,"5 1 1 1 3 12 31111 6 M59 40200 000172 0000R 00001 00113*")</f>
        <v>3018881.84</v>
      </c>
      <c r="G635" s="83">
        <f>SUMIFS(G636:G1496,K636:K1496,"0",B636:B1496,"5 1 1 1 3 12 31111 6 M59 40200 000172 0000R 00001 00113*")</f>
        <v>0</v>
      </c>
      <c r="H635" s="83">
        <f t="shared" si="10"/>
        <v>3018881.84</v>
      </c>
      <c r="I635" s="83"/>
      <c r="K635" s="54" t="s">
        <v>15</v>
      </c>
    </row>
    <row r="636" spans="2:11" ht="24.75" x14ac:dyDescent="0.2">
      <c r="B636" s="82" t="s">
        <v>3249</v>
      </c>
      <c r="C636" s="82" t="s">
        <v>656</v>
      </c>
      <c r="D636" s="83">
        <f>SUMIFS(D637:D1496,K637:K1496,"0",B637:B1496,"5 1 1 1 3 12 31111 6 M59 40200 000172 0000R 00001 00113 025*")-SUMIFS(E637:E1496,K637:K1496,"0",B637:B1496,"5 1 1 1 3 12 31111 6 M59 40200 000172 0000R 00001 00113 025*")</f>
        <v>0</v>
      </c>
      <c r="E636" s="54"/>
      <c r="F636" s="83">
        <f>SUMIFS(F637:F1496,K637:K1496,"0",B637:B1496,"5 1 1 1 3 12 31111 6 M59 40200 000172 0000R 00001 00113 025*")</f>
        <v>3018881.84</v>
      </c>
      <c r="G636" s="83">
        <f>SUMIFS(G637:G1496,K637:K1496,"0",B637:B1496,"5 1 1 1 3 12 31111 6 M59 40200 000172 0000R 00001 00113 025*")</f>
        <v>0</v>
      </c>
      <c r="H636" s="83">
        <f t="shared" si="10"/>
        <v>3018881.84</v>
      </c>
      <c r="I636" s="83"/>
      <c r="K636" s="54" t="s">
        <v>15</v>
      </c>
    </row>
    <row r="637" spans="2:11" ht="33" x14ac:dyDescent="0.2">
      <c r="B637" s="82" t="s">
        <v>3250</v>
      </c>
      <c r="C637" s="82" t="s">
        <v>2927</v>
      </c>
      <c r="D637" s="83">
        <f>SUMIFS(D638:D1496,K638:K1496,"0",B638:B1496,"5 1 1 1 3 12 31111 6 M59 40200 000172 0000R 00001 00113 025 2111100*")-SUMIFS(E638:E1496,K638:K1496,"0",B638:B1496,"5 1 1 1 3 12 31111 6 M59 40200 000172 0000R 00001 00113 025 2111100*")</f>
        <v>0</v>
      </c>
      <c r="E637" s="54"/>
      <c r="F637" s="83">
        <f>SUMIFS(F638:F1496,K638:K1496,"0",B638:B1496,"5 1 1 1 3 12 31111 6 M59 40200 000172 0000R 00001 00113 025 2111100*")</f>
        <v>3018881.84</v>
      </c>
      <c r="G637" s="83">
        <f>SUMIFS(G638:G1496,K638:K1496,"0",B638:B1496,"5 1 1 1 3 12 31111 6 M59 40200 000172 0000R 00001 00113 025 2111100*")</f>
        <v>0</v>
      </c>
      <c r="H637" s="83">
        <f t="shared" si="10"/>
        <v>3018881.84</v>
      </c>
      <c r="I637" s="83"/>
      <c r="K637" s="54" t="s">
        <v>15</v>
      </c>
    </row>
    <row r="638" spans="2:11" ht="33" x14ac:dyDescent="0.2">
      <c r="B638" s="82" t="s">
        <v>3251</v>
      </c>
      <c r="C638" s="82" t="s">
        <v>660</v>
      </c>
      <c r="D638" s="83">
        <f>SUMIFS(D639:D1496,K639:K1496,"0",B639:B1496,"5 1 1 1 3 12 31111 6 M59 40200 000172 0000R 00001 00113 025 2111100 2024*")-SUMIFS(E639:E1496,K639:K1496,"0",B639:B1496,"5 1 1 1 3 12 31111 6 M59 40200 000172 0000R 00001 00113 025 2111100 2024*")</f>
        <v>0</v>
      </c>
      <c r="E638" s="54"/>
      <c r="F638" s="83">
        <f>SUMIFS(F639:F1496,K639:K1496,"0",B639:B1496,"5 1 1 1 3 12 31111 6 M59 40200 000172 0000R 00001 00113 025 2111100 2024*")</f>
        <v>3018881.84</v>
      </c>
      <c r="G638" s="83">
        <f>SUMIFS(G639:G1496,K639:K1496,"0",B639:B1496,"5 1 1 1 3 12 31111 6 M59 40200 000172 0000R 00001 00113 025 2111100 2024*")</f>
        <v>0</v>
      </c>
      <c r="H638" s="83">
        <f t="shared" si="10"/>
        <v>3018881.84</v>
      </c>
      <c r="I638" s="83"/>
      <c r="K638" s="54" t="s">
        <v>15</v>
      </c>
    </row>
    <row r="639" spans="2:11" ht="41.25" x14ac:dyDescent="0.2">
      <c r="B639" s="82" t="s">
        <v>3252</v>
      </c>
      <c r="C639" s="82" t="s">
        <v>1056</v>
      </c>
      <c r="D639" s="83">
        <f>SUMIFS(D640:D1496,K640:K1496,"0",B640:B1496,"5 1 1 1 3 12 31111 6 M59 40200 000172 0000R 00001 00113 025 2111100 2024 CP4PC370*")-SUMIFS(E640:E1496,K640:K1496,"0",B640:B1496,"5 1 1 1 3 12 31111 6 M59 40200 000172 0000R 00001 00113 025 2111100 2024 CP4PC370*")</f>
        <v>0</v>
      </c>
      <c r="E639" s="54"/>
      <c r="F639" s="83">
        <f>SUMIFS(F640:F1496,K640:K1496,"0",B640:B1496,"5 1 1 1 3 12 31111 6 M59 40200 000172 0000R 00001 00113 025 2111100 2024 CP4PC370*")</f>
        <v>3018881.84</v>
      </c>
      <c r="G639" s="83">
        <f>SUMIFS(G640:G1496,K640:K1496,"0",B640:B1496,"5 1 1 1 3 12 31111 6 M59 40200 000172 0000R 00001 00113 025 2111100 2024 CP4PC370*")</f>
        <v>0</v>
      </c>
      <c r="H639" s="83">
        <f t="shared" si="10"/>
        <v>3018881.84</v>
      </c>
      <c r="I639" s="83"/>
      <c r="K639" s="54" t="s">
        <v>15</v>
      </c>
    </row>
    <row r="640" spans="2:11" ht="41.25" x14ac:dyDescent="0.2">
      <c r="B640" s="82" t="s">
        <v>3253</v>
      </c>
      <c r="C640" s="82" t="s">
        <v>664</v>
      </c>
      <c r="D640" s="83">
        <f>SUMIFS(D641:D1496,K641:K1496,"0",B641:B1496,"5 1 1 1 3 12 31111 6 M59 40200 000172 0000R 00001 00113 025 2111100 2024 CP4PC370 003*")-SUMIFS(E641:E1496,K641:K1496,"0",B641:B1496,"5 1 1 1 3 12 31111 6 M59 40200 000172 0000R 00001 00113 025 2111100 2024 CP4PC370 003*")</f>
        <v>0</v>
      </c>
      <c r="E640" s="54"/>
      <c r="F640" s="83">
        <f>SUMIFS(F641:F1496,K641:K1496,"0",B641:B1496,"5 1 1 1 3 12 31111 6 M59 40200 000172 0000R 00001 00113 025 2111100 2024 CP4PC370 003*")</f>
        <v>3018881.84</v>
      </c>
      <c r="G640" s="83">
        <f>SUMIFS(G641:G1496,K641:K1496,"0",B641:B1496,"5 1 1 1 3 12 31111 6 M59 40200 000172 0000R 00001 00113 025 2111100 2024 CP4PC370 003*")</f>
        <v>0</v>
      </c>
      <c r="H640" s="83">
        <f t="shared" si="10"/>
        <v>3018881.84</v>
      </c>
      <c r="I640" s="83"/>
      <c r="K640" s="54" t="s">
        <v>15</v>
      </c>
    </row>
    <row r="641" spans="2:11" ht="33" x14ac:dyDescent="0.2">
      <c r="B641" s="84" t="s">
        <v>3254</v>
      </c>
      <c r="C641" s="84" t="s">
        <v>2932</v>
      </c>
      <c r="D641" s="85">
        <v>0</v>
      </c>
      <c r="E641" s="85"/>
      <c r="F641" s="85">
        <v>3018881.84</v>
      </c>
      <c r="G641" s="85">
        <v>0</v>
      </c>
      <c r="H641" s="85">
        <f t="shared" si="10"/>
        <v>3018881.84</v>
      </c>
      <c r="I641" s="85"/>
      <c r="K641" s="54" t="s">
        <v>38</v>
      </c>
    </row>
    <row r="642" spans="2:11" ht="16.5" x14ac:dyDescent="0.2">
      <c r="B642" s="82" t="s">
        <v>3255</v>
      </c>
      <c r="C642" s="82" t="s">
        <v>3256</v>
      </c>
      <c r="D642" s="83">
        <f>SUMIFS(D643:D1496,K643:K1496,"0",B643:B1496,"5 1 1 1 3 12 31111 6 M59 40300*")-SUMIFS(E643:E1496,K643:K1496,"0",B643:B1496,"5 1 1 1 3 12 31111 6 M59 40300*")</f>
        <v>0</v>
      </c>
      <c r="E642" s="54"/>
      <c r="F642" s="83">
        <f>SUMIFS(F643:F1496,K643:K1496,"0",B643:B1496,"5 1 1 1 3 12 31111 6 M59 40300*")</f>
        <v>2744065.54</v>
      </c>
      <c r="G642" s="83">
        <f>SUMIFS(G643:G1496,K643:K1496,"0",B643:B1496,"5 1 1 1 3 12 31111 6 M59 40300*")</f>
        <v>0</v>
      </c>
      <c r="H642" s="83">
        <f t="shared" si="10"/>
        <v>2744065.54</v>
      </c>
      <c r="I642" s="83"/>
      <c r="K642" s="54" t="s">
        <v>15</v>
      </c>
    </row>
    <row r="643" spans="2:11" ht="16.5" x14ac:dyDescent="0.2">
      <c r="B643" s="82" t="s">
        <v>3257</v>
      </c>
      <c r="C643" s="82" t="s">
        <v>1063</v>
      </c>
      <c r="D643" s="83">
        <f>SUMIFS(D644:D1496,K644:K1496,"0",B644:B1496,"5 1 1 1 3 12 31111 6 M59 40300 000185*")-SUMIFS(E644:E1496,K644:K1496,"0",B644:B1496,"5 1 1 1 3 12 31111 6 M59 40300 000185*")</f>
        <v>0</v>
      </c>
      <c r="E643" s="54"/>
      <c r="F643" s="83">
        <f>SUMIFS(F644:F1496,K644:K1496,"0",B644:B1496,"5 1 1 1 3 12 31111 6 M59 40300 000185*")</f>
        <v>2744065.54</v>
      </c>
      <c r="G643" s="83">
        <f>SUMIFS(G644:G1496,K644:K1496,"0",B644:B1496,"5 1 1 1 3 12 31111 6 M59 40300 000185*")</f>
        <v>0</v>
      </c>
      <c r="H643" s="83">
        <f t="shared" si="10"/>
        <v>2744065.54</v>
      </c>
      <c r="I643" s="83"/>
      <c r="K643" s="54" t="s">
        <v>15</v>
      </c>
    </row>
    <row r="644" spans="2:11" ht="16.5" x14ac:dyDescent="0.2">
      <c r="B644" s="82" t="s">
        <v>3258</v>
      </c>
      <c r="C644" s="82" t="s">
        <v>650</v>
      </c>
      <c r="D644" s="83">
        <f>SUMIFS(D645:D1496,K645:K1496,"0",B645:B1496,"5 1 1 1 3 12 31111 6 M59 40300 000185 0000R*")-SUMIFS(E645:E1496,K645:K1496,"0",B645:B1496,"5 1 1 1 3 12 31111 6 M59 40300 000185 0000R*")</f>
        <v>0</v>
      </c>
      <c r="E644" s="54"/>
      <c r="F644" s="83">
        <f>SUMIFS(F645:F1496,K645:K1496,"0",B645:B1496,"5 1 1 1 3 12 31111 6 M59 40300 000185 0000R*")</f>
        <v>2744065.54</v>
      </c>
      <c r="G644" s="83">
        <f>SUMIFS(G645:G1496,K645:K1496,"0",B645:B1496,"5 1 1 1 3 12 31111 6 M59 40300 000185 0000R*")</f>
        <v>0</v>
      </c>
      <c r="H644" s="83">
        <f t="shared" si="10"/>
        <v>2744065.54</v>
      </c>
      <c r="I644" s="83"/>
      <c r="K644" s="54" t="s">
        <v>15</v>
      </c>
    </row>
    <row r="645" spans="2:11" ht="24.75" x14ac:dyDescent="0.2">
      <c r="B645" s="82" t="s">
        <v>3259</v>
      </c>
      <c r="C645" s="82" t="s">
        <v>282</v>
      </c>
      <c r="D645" s="83">
        <f>SUMIFS(D646:D1496,K646:K1496,"0",B646:B1496,"5 1 1 1 3 12 31111 6 M59 40300 000185 0000R 00001*")-SUMIFS(E646:E1496,K646:K1496,"0",B646:B1496,"5 1 1 1 3 12 31111 6 M59 40300 000185 0000R 00001*")</f>
        <v>0</v>
      </c>
      <c r="E645" s="54"/>
      <c r="F645" s="83">
        <f>SUMIFS(F646:F1496,K646:K1496,"0",B646:B1496,"5 1 1 1 3 12 31111 6 M59 40300 000185 0000R 00001*")</f>
        <v>2744065.54</v>
      </c>
      <c r="G645" s="83">
        <f>SUMIFS(G646:G1496,K646:K1496,"0",B646:B1496,"5 1 1 1 3 12 31111 6 M59 40300 000185 0000R 00001*")</f>
        <v>0</v>
      </c>
      <c r="H645" s="83">
        <f t="shared" si="10"/>
        <v>2744065.54</v>
      </c>
      <c r="I645" s="83"/>
      <c r="K645" s="54" t="s">
        <v>15</v>
      </c>
    </row>
    <row r="646" spans="2:11" ht="24.75" x14ac:dyDescent="0.2">
      <c r="B646" s="82" t="s">
        <v>3260</v>
      </c>
      <c r="C646" s="82" t="s">
        <v>2924</v>
      </c>
      <c r="D646" s="83">
        <f>SUMIFS(D647:D1496,K647:K1496,"0",B647:B1496,"5 1 1 1 3 12 31111 6 M59 40300 000185 0000R 00001 00113*")-SUMIFS(E647:E1496,K647:K1496,"0",B647:B1496,"5 1 1 1 3 12 31111 6 M59 40300 000185 0000R 00001 00113*")</f>
        <v>0</v>
      </c>
      <c r="E646" s="54"/>
      <c r="F646" s="83">
        <f>SUMIFS(F647:F1496,K647:K1496,"0",B647:B1496,"5 1 1 1 3 12 31111 6 M59 40300 000185 0000R 00001 00113*")</f>
        <v>2744065.54</v>
      </c>
      <c r="G646" s="83">
        <f>SUMIFS(G647:G1496,K647:K1496,"0",B647:B1496,"5 1 1 1 3 12 31111 6 M59 40300 000185 0000R 00001 00113*")</f>
        <v>0</v>
      </c>
      <c r="H646" s="83">
        <f t="shared" si="10"/>
        <v>2744065.54</v>
      </c>
      <c r="I646" s="83"/>
      <c r="K646" s="54" t="s">
        <v>15</v>
      </c>
    </row>
    <row r="647" spans="2:11" ht="24.75" x14ac:dyDescent="0.2">
      <c r="B647" s="82" t="s">
        <v>3261</v>
      </c>
      <c r="C647" s="82" t="s">
        <v>656</v>
      </c>
      <c r="D647" s="83">
        <f>SUMIFS(D648:D1496,K648:K1496,"0",B648:B1496,"5 1 1 1 3 12 31111 6 M59 40300 000185 0000R 00001 00113 025*")-SUMIFS(E648:E1496,K648:K1496,"0",B648:B1496,"5 1 1 1 3 12 31111 6 M59 40300 000185 0000R 00001 00113 025*")</f>
        <v>0</v>
      </c>
      <c r="E647" s="54"/>
      <c r="F647" s="83">
        <f>SUMIFS(F648:F1496,K648:K1496,"0",B648:B1496,"5 1 1 1 3 12 31111 6 M59 40300 000185 0000R 00001 00113 025*")</f>
        <v>2744065.54</v>
      </c>
      <c r="G647" s="83">
        <f>SUMIFS(G648:G1496,K648:K1496,"0",B648:B1496,"5 1 1 1 3 12 31111 6 M59 40300 000185 0000R 00001 00113 025*")</f>
        <v>0</v>
      </c>
      <c r="H647" s="83">
        <f t="shared" si="10"/>
        <v>2744065.54</v>
      </c>
      <c r="I647" s="83"/>
      <c r="K647" s="54" t="s">
        <v>15</v>
      </c>
    </row>
    <row r="648" spans="2:11" ht="33" x14ac:dyDescent="0.2">
      <c r="B648" s="82" t="s">
        <v>3262</v>
      </c>
      <c r="C648" s="82" t="s">
        <v>2927</v>
      </c>
      <c r="D648" s="83">
        <f>SUMIFS(D649:D1496,K649:K1496,"0",B649:B1496,"5 1 1 1 3 12 31111 6 M59 40300 000185 0000R 00001 00113 025 2111100*")-SUMIFS(E649:E1496,K649:K1496,"0",B649:B1496,"5 1 1 1 3 12 31111 6 M59 40300 000185 0000R 00001 00113 025 2111100*")</f>
        <v>0</v>
      </c>
      <c r="E648" s="54"/>
      <c r="F648" s="83">
        <f>SUMIFS(F649:F1496,K649:K1496,"0",B649:B1496,"5 1 1 1 3 12 31111 6 M59 40300 000185 0000R 00001 00113 025 2111100*")</f>
        <v>2744065.54</v>
      </c>
      <c r="G648" s="83">
        <f>SUMIFS(G649:G1496,K649:K1496,"0",B649:B1496,"5 1 1 1 3 12 31111 6 M59 40300 000185 0000R 00001 00113 025 2111100*")</f>
        <v>0</v>
      </c>
      <c r="H648" s="83">
        <f t="shared" si="10"/>
        <v>2744065.54</v>
      </c>
      <c r="I648" s="83"/>
      <c r="K648" s="54" t="s">
        <v>15</v>
      </c>
    </row>
    <row r="649" spans="2:11" ht="33" x14ac:dyDescent="0.2">
      <c r="B649" s="82" t="s">
        <v>3263</v>
      </c>
      <c r="C649" s="82" t="s">
        <v>660</v>
      </c>
      <c r="D649" s="83">
        <f>SUMIFS(D650:D1496,K650:K1496,"0",B650:B1496,"5 1 1 1 3 12 31111 6 M59 40300 000185 0000R 00001 00113 025 2111100 2024*")-SUMIFS(E650:E1496,K650:K1496,"0",B650:B1496,"5 1 1 1 3 12 31111 6 M59 40300 000185 0000R 00001 00113 025 2111100 2024*")</f>
        <v>0</v>
      </c>
      <c r="E649" s="54"/>
      <c r="F649" s="83">
        <f>SUMIFS(F650:F1496,K650:K1496,"0",B650:B1496,"5 1 1 1 3 12 31111 6 M59 40300 000185 0000R 00001 00113 025 2111100 2024*")</f>
        <v>2744065.54</v>
      </c>
      <c r="G649" s="83">
        <f>SUMIFS(G650:G1496,K650:K1496,"0",B650:B1496,"5 1 1 1 3 12 31111 6 M59 40300 000185 0000R 00001 00113 025 2111100 2024*")</f>
        <v>0</v>
      </c>
      <c r="H649" s="83">
        <f t="shared" si="10"/>
        <v>2744065.54</v>
      </c>
      <c r="I649" s="83"/>
      <c r="K649" s="54" t="s">
        <v>15</v>
      </c>
    </row>
    <row r="650" spans="2:11" ht="41.25" x14ac:dyDescent="0.2">
      <c r="B650" s="82" t="s">
        <v>3264</v>
      </c>
      <c r="C650" s="82" t="s">
        <v>662</v>
      </c>
      <c r="D650" s="83">
        <f>SUMIFS(D651:D1496,K651:K1496,"0",B651:B1496,"5 1 1 1 3 12 31111 6 M59 40300 000185 0000R 00001 00113 025 2111100 2024 CP4TV371*")-SUMIFS(E651:E1496,K651:K1496,"0",B651:B1496,"5 1 1 1 3 12 31111 6 M59 40300 000185 0000R 00001 00113 025 2111100 2024 CP4TV371*")</f>
        <v>0</v>
      </c>
      <c r="E650" s="54"/>
      <c r="F650" s="83">
        <f>SUMIFS(F651:F1496,K651:K1496,"0",B651:B1496,"5 1 1 1 3 12 31111 6 M59 40300 000185 0000R 00001 00113 025 2111100 2024 CP4TV371*")</f>
        <v>2744065.54</v>
      </c>
      <c r="G650" s="83">
        <f>SUMIFS(G651:G1496,K651:K1496,"0",B651:B1496,"5 1 1 1 3 12 31111 6 M59 40300 000185 0000R 00001 00113 025 2111100 2024 CP4TV371*")</f>
        <v>0</v>
      </c>
      <c r="H650" s="83">
        <f t="shared" si="10"/>
        <v>2744065.54</v>
      </c>
      <c r="I650" s="83"/>
      <c r="K650" s="54" t="s">
        <v>15</v>
      </c>
    </row>
    <row r="651" spans="2:11" ht="41.25" x14ac:dyDescent="0.2">
      <c r="B651" s="82" t="s">
        <v>3265</v>
      </c>
      <c r="C651" s="82" t="s">
        <v>664</v>
      </c>
      <c r="D651" s="83">
        <f>SUMIFS(D652:D1496,K652:K1496,"0",B652:B1496,"5 1 1 1 3 12 31111 6 M59 40300 000185 0000R 00001 00113 025 2111100 2024 CP4TV371 003*")-SUMIFS(E652:E1496,K652:K1496,"0",B652:B1496,"5 1 1 1 3 12 31111 6 M59 40300 000185 0000R 00001 00113 025 2111100 2024 CP4TV371 003*")</f>
        <v>0</v>
      </c>
      <c r="E651" s="54"/>
      <c r="F651" s="83">
        <f>SUMIFS(F652:F1496,K652:K1496,"0",B652:B1496,"5 1 1 1 3 12 31111 6 M59 40300 000185 0000R 00001 00113 025 2111100 2024 CP4TV371 003*")</f>
        <v>2744065.54</v>
      </c>
      <c r="G651" s="83">
        <f>SUMIFS(G652:G1496,K652:K1496,"0",B652:B1496,"5 1 1 1 3 12 31111 6 M59 40300 000185 0000R 00001 00113 025 2111100 2024 CP4TV371 003*")</f>
        <v>0</v>
      </c>
      <c r="H651" s="83">
        <f t="shared" si="10"/>
        <v>2744065.54</v>
      </c>
      <c r="I651" s="83"/>
      <c r="K651" s="54" t="s">
        <v>15</v>
      </c>
    </row>
    <row r="652" spans="2:11" ht="33" x14ac:dyDescent="0.2">
      <c r="B652" s="84" t="s">
        <v>3266</v>
      </c>
      <c r="C652" s="84" t="s">
        <v>2932</v>
      </c>
      <c r="D652" s="85">
        <v>0</v>
      </c>
      <c r="E652" s="85"/>
      <c r="F652" s="85">
        <v>2744065.54</v>
      </c>
      <c r="G652" s="85">
        <v>0</v>
      </c>
      <c r="H652" s="85">
        <f t="shared" si="10"/>
        <v>2744065.54</v>
      </c>
      <c r="I652" s="85"/>
      <c r="K652" s="54" t="s">
        <v>38</v>
      </c>
    </row>
    <row r="653" spans="2:11" ht="16.5" x14ac:dyDescent="0.2">
      <c r="B653" s="82" t="s">
        <v>3267</v>
      </c>
      <c r="C653" s="82" t="s">
        <v>3268</v>
      </c>
      <c r="D653" s="83">
        <f>SUMIFS(D654:D1496,K654:K1496,"0",B654:B1496,"5 1 1 1 3 12 31111 6 M59 40400*")-SUMIFS(E654:E1496,K654:K1496,"0",B654:B1496,"5 1 1 1 3 12 31111 6 M59 40400*")</f>
        <v>0</v>
      </c>
      <c r="E653" s="54"/>
      <c r="F653" s="83">
        <f>SUMIFS(F654:F1496,K654:K1496,"0",B654:B1496,"5 1 1 1 3 12 31111 6 M59 40400*")</f>
        <v>295170.18</v>
      </c>
      <c r="G653" s="83">
        <f>SUMIFS(G654:G1496,K654:K1496,"0",B654:B1496,"5 1 1 1 3 12 31111 6 M59 40400*")</f>
        <v>0</v>
      </c>
      <c r="H653" s="83">
        <f t="shared" si="10"/>
        <v>295170.18</v>
      </c>
      <c r="I653" s="83"/>
      <c r="K653" s="54" t="s">
        <v>15</v>
      </c>
    </row>
    <row r="654" spans="2:11" ht="16.5" x14ac:dyDescent="0.2">
      <c r="B654" s="82" t="s">
        <v>3269</v>
      </c>
      <c r="C654" s="82" t="s">
        <v>3270</v>
      </c>
      <c r="D654" s="83">
        <f>SUMIFS(D655:D1496,K655:K1496,"0",B655:B1496,"5 1 1 1 3 12 31111 6 M59 40400 000173*")-SUMIFS(E655:E1496,K655:K1496,"0",B655:B1496,"5 1 1 1 3 12 31111 6 M59 40400 000173*")</f>
        <v>0</v>
      </c>
      <c r="E654" s="54"/>
      <c r="F654" s="83">
        <f>SUMIFS(F655:F1496,K655:K1496,"0",B655:B1496,"5 1 1 1 3 12 31111 6 M59 40400 000173*")</f>
        <v>295170.18</v>
      </c>
      <c r="G654" s="83">
        <f>SUMIFS(G655:G1496,K655:K1496,"0",B655:B1496,"5 1 1 1 3 12 31111 6 M59 40400 000173*")</f>
        <v>0</v>
      </c>
      <c r="H654" s="83">
        <f t="shared" si="10"/>
        <v>295170.18</v>
      </c>
      <c r="I654" s="83"/>
      <c r="K654" s="54" t="s">
        <v>15</v>
      </c>
    </row>
    <row r="655" spans="2:11" ht="16.5" x14ac:dyDescent="0.2">
      <c r="B655" s="82" t="s">
        <v>3271</v>
      </c>
      <c r="C655" s="82" t="s">
        <v>650</v>
      </c>
      <c r="D655" s="83">
        <f>SUMIFS(D656:D1496,K656:K1496,"0",B656:B1496,"5 1 1 1 3 12 31111 6 M59 40400 000173 0000R*")-SUMIFS(E656:E1496,K656:K1496,"0",B656:B1496,"5 1 1 1 3 12 31111 6 M59 40400 000173 0000R*")</f>
        <v>0</v>
      </c>
      <c r="E655" s="54"/>
      <c r="F655" s="83">
        <f>SUMIFS(F656:F1496,K656:K1496,"0",B656:B1496,"5 1 1 1 3 12 31111 6 M59 40400 000173 0000R*")</f>
        <v>295170.18</v>
      </c>
      <c r="G655" s="83">
        <f>SUMIFS(G656:G1496,K656:K1496,"0",B656:B1496,"5 1 1 1 3 12 31111 6 M59 40400 000173 0000R*")</f>
        <v>0</v>
      </c>
      <c r="H655" s="83">
        <f t="shared" si="10"/>
        <v>295170.18</v>
      </c>
      <c r="I655" s="83"/>
      <c r="K655" s="54" t="s">
        <v>15</v>
      </c>
    </row>
    <row r="656" spans="2:11" ht="24.75" x14ac:dyDescent="0.2">
      <c r="B656" s="82" t="s">
        <v>3272</v>
      </c>
      <c r="C656" s="82" t="s">
        <v>282</v>
      </c>
      <c r="D656" s="83">
        <f>SUMIFS(D657:D1496,K657:K1496,"0",B657:B1496,"5 1 1 1 3 12 31111 6 M59 40400 000173 0000R 00001*")-SUMIFS(E657:E1496,K657:K1496,"0",B657:B1496,"5 1 1 1 3 12 31111 6 M59 40400 000173 0000R 00001*")</f>
        <v>0</v>
      </c>
      <c r="E656" s="54"/>
      <c r="F656" s="83">
        <f>SUMIFS(F657:F1496,K657:K1496,"0",B657:B1496,"5 1 1 1 3 12 31111 6 M59 40400 000173 0000R 00001*")</f>
        <v>295170.18</v>
      </c>
      <c r="G656" s="83">
        <f>SUMIFS(G657:G1496,K657:K1496,"0",B657:B1496,"5 1 1 1 3 12 31111 6 M59 40400 000173 0000R 00001*")</f>
        <v>0</v>
      </c>
      <c r="H656" s="83">
        <f t="shared" si="10"/>
        <v>295170.18</v>
      </c>
      <c r="I656" s="83"/>
      <c r="K656" s="54" t="s">
        <v>15</v>
      </c>
    </row>
    <row r="657" spans="2:11" ht="24.75" x14ac:dyDescent="0.2">
      <c r="B657" s="82" t="s">
        <v>3273</v>
      </c>
      <c r="C657" s="82" t="s">
        <v>2924</v>
      </c>
      <c r="D657" s="83">
        <f>SUMIFS(D658:D1496,K658:K1496,"0",B658:B1496,"5 1 1 1 3 12 31111 6 M59 40400 000173 0000R 00001 00113*")-SUMIFS(E658:E1496,K658:K1496,"0",B658:B1496,"5 1 1 1 3 12 31111 6 M59 40400 000173 0000R 00001 00113*")</f>
        <v>0</v>
      </c>
      <c r="E657" s="54"/>
      <c r="F657" s="83">
        <f>SUMIFS(F658:F1496,K658:K1496,"0",B658:B1496,"5 1 1 1 3 12 31111 6 M59 40400 000173 0000R 00001 00113*")</f>
        <v>295170.18</v>
      </c>
      <c r="G657" s="83">
        <f>SUMIFS(G658:G1496,K658:K1496,"0",B658:B1496,"5 1 1 1 3 12 31111 6 M59 40400 000173 0000R 00001 00113*")</f>
        <v>0</v>
      </c>
      <c r="H657" s="83">
        <f t="shared" si="10"/>
        <v>295170.18</v>
      </c>
      <c r="I657" s="83"/>
      <c r="K657" s="54" t="s">
        <v>15</v>
      </c>
    </row>
    <row r="658" spans="2:11" ht="24.75" x14ac:dyDescent="0.2">
      <c r="B658" s="82" t="s">
        <v>3274</v>
      </c>
      <c r="C658" s="82" t="s">
        <v>656</v>
      </c>
      <c r="D658" s="83">
        <f>SUMIFS(D659:D1496,K659:K1496,"0",B659:B1496,"5 1 1 1 3 12 31111 6 M59 40400 000173 0000R 00001 00113 025*")-SUMIFS(E659:E1496,K659:K1496,"0",B659:B1496,"5 1 1 1 3 12 31111 6 M59 40400 000173 0000R 00001 00113 025*")</f>
        <v>0</v>
      </c>
      <c r="E658" s="54"/>
      <c r="F658" s="83">
        <f>SUMIFS(F659:F1496,K659:K1496,"0",B659:B1496,"5 1 1 1 3 12 31111 6 M59 40400 000173 0000R 00001 00113 025*")</f>
        <v>295170.18</v>
      </c>
      <c r="G658" s="83">
        <f>SUMIFS(G659:G1496,K659:K1496,"0",B659:B1496,"5 1 1 1 3 12 31111 6 M59 40400 000173 0000R 00001 00113 025*")</f>
        <v>0</v>
      </c>
      <c r="H658" s="83">
        <f t="shared" si="10"/>
        <v>295170.18</v>
      </c>
      <c r="I658" s="83"/>
      <c r="K658" s="54" t="s">
        <v>15</v>
      </c>
    </row>
    <row r="659" spans="2:11" ht="33" x14ac:dyDescent="0.2">
      <c r="B659" s="82" t="s">
        <v>3275</v>
      </c>
      <c r="C659" s="82" t="s">
        <v>2927</v>
      </c>
      <c r="D659" s="83">
        <f>SUMIFS(D660:D1496,K660:K1496,"0",B660:B1496,"5 1 1 1 3 12 31111 6 M59 40400 000173 0000R 00001 00113 025 2111100*")-SUMIFS(E660:E1496,K660:K1496,"0",B660:B1496,"5 1 1 1 3 12 31111 6 M59 40400 000173 0000R 00001 00113 025 2111100*")</f>
        <v>0</v>
      </c>
      <c r="E659" s="54"/>
      <c r="F659" s="83">
        <f>SUMIFS(F660:F1496,K660:K1496,"0",B660:B1496,"5 1 1 1 3 12 31111 6 M59 40400 000173 0000R 00001 00113 025 2111100*")</f>
        <v>295170.18</v>
      </c>
      <c r="G659" s="83">
        <f>SUMIFS(G660:G1496,K660:K1496,"0",B660:B1496,"5 1 1 1 3 12 31111 6 M59 40400 000173 0000R 00001 00113 025 2111100*")</f>
        <v>0</v>
      </c>
      <c r="H659" s="83">
        <f t="shared" si="10"/>
        <v>295170.18</v>
      </c>
      <c r="I659" s="83"/>
      <c r="K659" s="54" t="s">
        <v>15</v>
      </c>
    </row>
    <row r="660" spans="2:11" ht="33" x14ac:dyDescent="0.2">
      <c r="B660" s="82" t="s">
        <v>3276</v>
      </c>
      <c r="C660" s="82" t="s">
        <v>660</v>
      </c>
      <c r="D660" s="83">
        <f>SUMIFS(D661:D1496,K661:K1496,"0",B661:B1496,"5 1 1 1 3 12 31111 6 M59 40400 000173 0000R 00001 00113 025 2111100 2024*")-SUMIFS(E661:E1496,K661:K1496,"0",B661:B1496,"5 1 1 1 3 12 31111 6 M59 40400 000173 0000R 00001 00113 025 2111100 2024*")</f>
        <v>0</v>
      </c>
      <c r="E660" s="54"/>
      <c r="F660" s="83">
        <f>SUMIFS(F661:F1496,K661:K1496,"0",B661:B1496,"5 1 1 1 3 12 31111 6 M59 40400 000173 0000R 00001 00113 025 2111100 2024*")</f>
        <v>295170.18</v>
      </c>
      <c r="G660" s="83">
        <f>SUMIFS(G661:G1496,K661:K1496,"0",B661:B1496,"5 1 1 1 3 12 31111 6 M59 40400 000173 0000R 00001 00113 025 2111100 2024*")</f>
        <v>0</v>
      </c>
      <c r="H660" s="83">
        <f t="shared" si="10"/>
        <v>295170.18</v>
      </c>
      <c r="I660" s="83"/>
      <c r="K660" s="54" t="s">
        <v>15</v>
      </c>
    </row>
    <row r="661" spans="2:11" ht="41.25" x14ac:dyDescent="0.2">
      <c r="B661" s="82" t="s">
        <v>3277</v>
      </c>
      <c r="C661" s="82" t="s">
        <v>662</v>
      </c>
      <c r="D661" s="83">
        <f>SUMIFS(D662:D1496,K662:K1496,"0",B662:B1496,"5 1 1 1 3 12 31111 6 M59 40400 000173 0000R 00001 00113 025 2111100 2024 CP4PD369*")-SUMIFS(E662:E1496,K662:K1496,"0",B662:B1496,"5 1 1 1 3 12 31111 6 M59 40400 000173 0000R 00001 00113 025 2111100 2024 CP4PD369*")</f>
        <v>0</v>
      </c>
      <c r="E661" s="54"/>
      <c r="F661" s="83">
        <f>SUMIFS(F662:F1496,K662:K1496,"0",B662:B1496,"5 1 1 1 3 12 31111 6 M59 40400 000173 0000R 00001 00113 025 2111100 2024 CP4PD369*")</f>
        <v>295170.18</v>
      </c>
      <c r="G661" s="83">
        <f>SUMIFS(G662:G1496,K662:K1496,"0",B662:B1496,"5 1 1 1 3 12 31111 6 M59 40400 000173 0000R 00001 00113 025 2111100 2024 CP4PD369*")</f>
        <v>0</v>
      </c>
      <c r="H661" s="83">
        <f t="shared" si="10"/>
        <v>295170.18</v>
      </c>
      <c r="I661" s="83"/>
      <c r="K661" s="54" t="s">
        <v>15</v>
      </c>
    </row>
    <row r="662" spans="2:11" ht="41.25" x14ac:dyDescent="0.2">
      <c r="B662" s="82" t="s">
        <v>3278</v>
      </c>
      <c r="C662" s="82" t="s">
        <v>664</v>
      </c>
      <c r="D662" s="83">
        <f>SUMIFS(D663:D1496,K663:K1496,"0",B663:B1496,"5 1 1 1 3 12 31111 6 M59 40400 000173 0000R 00001 00113 025 2111100 2024 CP4PD369 003*")-SUMIFS(E663:E1496,K663:K1496,"0",B663:B1496,"5 1 1 1 3 12 31111 6 M59 40400 000173 0000R 00001 00113 025 2111100 2024 CP4PD369 003*")</f>
        <v>0</v>
      </c>
      <c r="E662" s="54"/>
      <c r="F662" s="83">
        <f>SUMIFS(F663:F1496,K663:K1496,"0",B663:B1496,"5 1 1 1 3 12 31111 6 M59 40400 000173 0000R 00001 00113 025 2111100 2024 CP4PD369 003*")</f>
        <v>295170.18</v>
      </c>
      <c r="G662" s="83">
        <f>SUMIFS(G663:G1496,K663:K1496,"0",B663:B1496,"5 1 1 1 3 12 31111 6 M59 40400 000173 0000R 00001 00113 025 2111100 2024 CP4PD369 003*")</f>
        <v>0</v>
      </c>
      <c r="H662" s="83">
        <f t="shared" si="10"/>
        <v>295170.18</v>
      </c>
      <c r="I662" s="83"/>
      <c r="K662" s="54" t="s">
        <v>15</v>
      </c>
    </row>
    <row r="663" spans="2:11" ht="33" x14ac:dyDescent="0.2">
      <c r="B663" s="84" t="s">
        <v>3279</v>
      </c>
      <c r="C663" s="84" t="s">
        <v>2932</v>
      </c>
      <c r="D663" s="85">
        <v>0</v>
      </c>
      <c r="E663" s="85"/>
      <c r="F663" s="85">
        <v>295170.18</v>
      </c>
      <c r="G663" s="85">
        <v>0</v>
      </c>
      <c r="H663" s="85">
        <f t="shared" si="10"/>
        <v>295170.18</v>
      </c>
      <c r="I663" s="85"/>
      <c r="K663" s="54" t="s">
        <v>38</v>
      </c>
    </row>
    <row r="664" spans="2:11" ht="16.5" x14ac:dyDescent="0.2">
      <c r="B664" s="82" t="s">
        <v>3765</v>
      </c>
      <c r="C664" s="82" t="s">
        <v>3766</v>
      </c>
      <c r="D664" s="83">
        <f>SUMIFS(D665:D1496,K665:K1496,"0",B665:B1496,"5 1 1 3*")-SUMIFS(E665:E1496,K665:K1496,"0",B665:B1496,"5 1 1 3*")</f>
        <v>0</v>
      </c>
      <c r="E664" s="54"/>
      <c r="F664" s="83">
        <f>SUMIFS(F665:F1496,K665:K1496,"0",B665:B1496,"5 1 1 3*")</f>
        <v>3113031.6599999997</v>
      </c>
      <c r="G664" s="83">
        <f>SUMIFS(G665:G1496,K665:K1496,"0",B665:B1496,"5 1 1 3*")</f>
        <v>0</v>
      </c>
      <c r="H664" s="83">
        <f t="shared" si="10"/>
        <v>3113031.6599999997</v>
      </c>
      <c r="I664" s="83"/>
      <c r="K664" s="54" t="s">
        <v>15</v>
      </c>
    </row>
    <row r="665" spans="2:11" ht="24.75" x14ac:dyDescent="0.2">
      <c r="B665" s="82" t="s">
        <v>4030</v>
      </c>
      <c r="C665" s="82" t="s">
        <v>4031</v>
      </c>
      <c r="D665" s="83">
        <f>SUMIFS(D666:D1496,K666:K1496,"0",B666:B1496,"5 1 1 3 2*")-SUMIFS(E666:E1496,K666:K1496,"0",B666:B1496,"5 1 1 3 2*")</f>
        <v>0</v>
      </c>
      <c r="E665" s="54"/>
      <c r="F665" s="83">
        <f>SUMIFS(F666:F1496,K666:K1496,"0",B666:B1496,"5 1 1 3 2*")</f>
        <v>2349440.88</v>
      </c>
      <c r="G665" s="83">
        <f>SUMIFS(G666:G1496,K666:K1496,"0",B666:B1496,"5 1 1 3 2*")</f>
        <v>0</v>
      </c>
      <c r="H665" s="83">
        <f t="shared" si="10"/>
        <v>2349440.88</v>
      </c>
      <c r="I665" s="83"/>
      <c r="K665" s="54" t="s">
        <v>15</v>
      </c>
    </row>
    <row r="666" spans="2:11" ht="12.75" x14ac:dyDescent="0.2">
      <c r="B666" s="82" t="s">
        <v>4032</v>
      </c>
      <c r="C666" s="82" t="s">
        <v>26</v>
      </c>
      <c r="D666" s="83">
        <f>SUMIFS(D667:D1496,K667:K1496,"0",B667:B1496,"5 1 1 3 2 12*")-SUMIFS(E667:E1496,K667:K1496,"0",B667:B1496,"5 1 1 3 2 12*")</f>
        <v>0</v>
      </c>
      <c r="E666" s="54"/>
      <c r="F666" s="83">
        <f>SUMIFS(F667:F1496,K667:K1496,"0",B667:B1496,"5 1 1 3 2 12*")</f>
        <v>2349440.88</v>
      </c>
      <c r="G666" s="83">
        <f>SUMIFS(G667:G1496,K667:K1496,"0",B667:B1496,"5 1 1 3 2 12*")</f>
        <v>0</v>
      </c>
      <c r="H666" s="83">
        <f t="shared" si="10"/>
        <v>2349440.88</v>
      </c>
      <c r="I666" s="83"/>
      <c r="K666" s="54" t="s">
        <v>15</v>
      </c>
    </row>
    <row r="667" spans="2:11" ht="16.5" x14ac:dyDescent="0.2">
      <c r="B667" s="82" t="s">
        <v>4033</v>
      </c>
      <c r="C667" s="82" t="s">
        <v>28</v>
      </c>
      <c r="D667" s="83">
        <f>SUMIFS(D668:D1496,K668:K1496,"0",B668:B1496,"5 1 1 3 2 12 31111*")-SUMIFS(E668:E1496,K668:K1496,"0",B668:B1496,"5 1 1 3 2 12 31111*")</f>
        <v>0</v>
      </c>
      <c r="E667" s="54"/>
      <c r="F667" s="83">
        <f>SUMIFS(F668:F1496,K668:K1496,"0",B668:B1496,"5 1 1 3 2 12 31111*")</f>
        <v>2349440.88</v>
      </c>
      <c r="G667" s="83">
        <f>SUMIFS(G668:G1496,K668:K1496,"0",B668:B1496,"5 1 1 3 2 12 31111*")</f>
        <v>0</v>
      </c>
      <c r="H667" s="83">
        <f t="shared" si="10"/>
        <v>2349440.88</v>
      </c>
      <c r="I667" s="83"/>
      <c r="K667" s="54" t="s">
        <v>15</v>
      </c>
    </row>
    <row r="668" spans="2:11" ht="12.75" x14ac:dyDescent="0.2">
      <c r="B668" s="82" t="s">
        <v>4034</v>
      </c>
      <c r="C668" s="82" t="s">
        <v>30</v>
      </c>
      <c r="D668" s="83">
        <f>SUMIFS(D669:D1496,K669:K1496,"0",B669:B1496,"5 1 1 3 2 12 31111 6*")-SUMIFS(E669:E1496,K669:K1496,"0",B669:B1496,"5 1 1 3 2 12 31111 6*")</f>
        <v>0</v>
      </c>
      <c r="E668" s="54"/>
      <c r="F668" s="83">
        <f>SUMIFS(F669:F1496,K669:K1496,"0",B669:B1496,"5 1 1 3 2 12 31111 6*")</f>
        <v>2349440.88</v>
      </c>
      <c r="G668" s="83">
        <f>SUMIFS(G669:G1496,K669:K1496,"0",B669:B1496,"5 1 1 3 2 12 31111 6*")</f>
        <v>0</v>
      </c>
      <c r="H668" s="83">
        <f t="shared" si="10"/>
        <v>2349440.88</v>
      </c>
      <c r="I668" s="83"/>
      <c r="K668" s="54" t="s">
        <v>15</v>
      </c>
    </row>
    <row r="669" spans="2:11" ht="16.5" x14ac:dyDescent="0.2">
      <c r="B669" s="82" t="s">
        <v>4035</v>
      </c>
      <c r="C669" s="82" t="s">
        <v>2284</v>
      </c>
      <c r="D669" s="83">
        <f>SUMIFS(D670:D1496,K670:K1496,"0",B670:B1496,"5 1 1 3 2 12 31111 6 M59*")-SUMIFS(E670:E1496,K670:K1496,"0",B670:B1496,"5 1 1 3 2 12 31111 6 M59*")</f>
        <v>0</v>
      </c>
      <c r="E669" s="54"/>
      <c r="F669" s="83">
        <f>SUMIFS(F670:F1496,K670:K1496,"0",B670:B1496,"5 1 1 3 2 12 31111 6 M59*")</f>
        <v>2349440.88</v>
      </c>
      <c r="G669" s="83">
        <f>SUMIFS(G670:G1496,K670:K1496,"0",B670:B1496,"5 1 1 3 2 12 31111 6 M59*")</f>
        <v>0</v>
      </c>
      <c r="H669" s="83">
        <f t="shared" si="10"/>
        <v>2349440.88</v>
      </c>
      <c r="I669" s="83"/>
      <c r="K669" s="54" t="s">
        <v>15</v>
      </c>
    </row>
    <row r="670" spans="2:11" ht="16.5" x14ac:dyDescent="0.2">
      <c r="B670" s="82" t="s">
        <v>4321</v>
      </c>
      <c r="C670" s="82" t="s">
        <v>1092</v>
      </c>
      <c r="D670" s="83">
        <f>SUMIFS(D671:D1496,K671:K1496,"0",B671:B1496,"5 1 1 3 2 12 31111 6 M59 40000*")-SUMIFS(E671:E1496,K671:K1496,"0",B671:B1496,"5 1 1 3 2 12 31111 6 M59 40000*")</f>
        <v>0</v>
      </c>
      <c r="E670" s="54"/>
      <c r="F670" s="83">
        <f>SUMIFS(F671:F1496,K671:K1496,"0",B671:B1496,"5 1 1 3 2 12 31111 6 M59 40000*")</f>
        <v>1829415.15</v>
      </c>
      <c r="G670" s="83">
        <f>SUMIFS(G671:G1496,K671:K1496,"0",B671:B1496,"5 1 1 3 2 12 31111 6 M59 40000*")</f>
        <v>0</v>
      </c>
      <c r="H670" s="83">
        <f t="shared" si="10"/>
        <v>1829415.15</v>
      </c>
      <c r="I670" s="83"/>
      <c r="K670" s="54" t="s">
        <v>15</v>
      </c>
    </row>
    <row r="671" spans="2:11" ht="16.5" x14ac:dyDescent="0.2">
      <c r="B671" s="82" t="s">
        <v>4322</v>
      </c>
      <c r="C671" s="82" t="s">
        <v>1094</v>
      </c>
      <c r="D671" s="83">
        <f>SUMIFS(D672:D1496,K672:K1496,"0",B672:B1496,"5 1 1 3 2 12 31111 6 M59 40000 000161*")-SUMIFS(E672:E1496,K672:K1496,"0",B672:B1496,"5 1 1 3 2 12 31111 6 M59 40000 000161*")</f>
        <v>0</v>
      </c>
      <c r="E671" s="54"/>
      <c r="F671" s="83">
        <f>SUMIFS(F672:F1496,K672:K1496,"0",B672:B1496,"5 1 1 3 2 12 31111 6 M59 40000 000161*")</f>
        <v>1829415.15</v>
      </c>
      <c r="G671" s="83">
        <f>SUMIFS(G672:G1496,K672:K1496,"0",B672:B1496,"5 1 1 3 2 12 31111 6 M59 40000 000161*")</f>
        <v>0</v>
      </c>
      <c r="H671" s="83">
        <f t="shared" si="10"/>
        <v>1829415.15</v>
      </c>
      <c r="I671" s="83"/>
      <c r="K671" s="54" t="s">
        <v>15</v>
      </c>
    </row>
    <row r="672" spans="2:11" ht="24.75" x14ac:dyDescent="0.2">
      <c r="B672" s="82" t="s">
        <v>4323</v>
      </c>
      <c r="C672" s="82" t="s">
        <v>1065</v>
      </c>
      <c r="D672" s="83">
        <f>SUMIFS(D673:D1496,K673:K1496,"0",B673:B1496,"5 1 1 3 2 12 31111 6 M59 40000 000161 0000E*")-SUMIFS(E673:E1496,K673:K1496,"0",B673:B1496,"5 1 1 3 2 12 31111 6 M59 40000 000161 0000E*")</f>
        <v>0</v>
      </c>
      <c r="E672" s="54"/>
      <c r="F672" s="83">
        <f>SUMIFS(F673:F1496,K673:K1496,"0",B673:B1496,"5 1 1 3 2 12 31111 6 M59 40000 000161 0000E*")</f>
        <v>1829415.15</v>
      </c>
      <c r="G672" s="83">
        <f>SUMIFS(G673:G1496,K673:K1496,"0",B673:B1496,"5 1 1 3 2 12 31111 6 M59 40000 000161 0000E*")</f>
        <v>0</v>
      </c>
      <c r="H672" s="83">
        <f t="shared" si="10"/>
        <v>1829415.15</v>
      </c>
      <c r="I672" s="83"/>
      <c r="K672" s="54" t="s">
        <v>15</v>
      </c>
    </row>
    <row r="673" spans="2:11" ht="24.75" x14ac:dyDescent="0.2">
      <c r="B673" s="82" t="s">
        <v>4324</v>
      </c>
      <c r="C673" s="82" t="s">
        <v>282</v>
      </c>
      <c r="D673" s="83">
        <f>SUMIFS(D674:D1496,K674:K1496,"0",B674:B1496,"5 1 1 3 2 12 31111 6 M59 40000 000161 0000E 00001*")-SUMIFS(E674:E1496,K674:K1496,"0",B674:B1496,"5 1 1 3 2 12 31111 6 M59 40000 000161 0000E 00001*")</f>
        <v>0</v>
      </c>
      <c r="E673" s="54"/>
      <c r="F673" s="83">
        <f>SUMIFS(F674:F1496,K674:K1496,"0",B674:B1496,"5 1 1 3 2 12 31111 6 M59 40000 000161 0000E 00001*")</f>
        <v>1829415.15</v>
      </c>
      <c r="G673" s="83">
        <f>SUMIFS(G674:G1496,K674:K1496,"0",B674:B1496,"5 1 1 3 2 12 31111 6 M59 40000 000161 0000E 00001*")</f>
        <v>0</v>
      </c>
      <c r="H673" s="83">
        <f t="shared" si="10"/>
        <v>1829415.15</v>
      </c>
      <c r="I673" s="83"/>
      <c r="K673" s="54" t="s">
        <v>15</v>
      </c>
    </row>
    <row r="674" spans="2:11" ht="24.75" x14ac:dyDescent="0.2">
      <c r="B674" s="82" t="s">
        <v>4325</v>
      </c>
      <c r="C674" s="82" t="s">
        <v>4041</v>
      </c>
      <c r="D674" s="83">
        <f>SUMIFS(D675:D1496,K675:K1496,"0",B675:B1496,"5 1 1 3 2 12 31111 6 M59 40000 000161 0000E 00001 00132*")-SUMIFS(E675:E1496,K675:K1496,"0",B675:B1496,"5 1 1 3 2 12 31111 6 M59 40000 000161 0000E 00001 00132*")</f>
        <v>0</v>
      </c>
      <c r="E674" s="54"/>
      <c r="F674" s="83">
        <f>SUMIFS(F675:F1496,K675:K1496,"0",B675:B1496,"5 1 1 3 2 12 31111 6 M59 40000 000161 0000E 00001 00132*")</f>
        <v>1829415.15</v>
      </c>
      <c r="G674" s="83">
        <f>SUMIFS(G675:G1496,K675:K1496,"0",B675:B1496,"5 1 1 3 2 12 31111 6 M59 40000 000161 0000E 00001 00132*")</f>
        <v>0</v>
      </c>
      <c r="H674" s="83">
        <f t="shared" si="10"/>
        <v>1829415.15</v>
      </c>
      <c r="I674" s="83"/>
      <c r="K674" s="54" t="s">
        <v>15</v>
      </c>
    </row>
    <row r="675" spans="2:11" ht="33" x14ac:dyDescent="0.2">
      <c r="B675" s="82" t="s">
        <v>4326</v>
      </c>
      <c r="C675" s="82" t="s">
        <v>656</v>
      </c>
      <c r="D675" s="83">
        <f>SUMIFS(D676:D1496,K676:K1496,"0",B676:B1496,"5 1 1 3 2 12 31111 6 M59 40000 000161 0000E 00001 00132 025*")-SUMIFS(E676:E1496,K676:K1496,"0",B676:B1496,"5 1 1 3 2 12 31111 6 M59 40000 000161 0000E 00001 00132 025*")</f>
        <v>0</v>
      </c>
      <c r="E675" s="54"/>
      <c r="F675" s="83">
        <f>SUMIFS(F676:F1496,K676:K1496,"0",B676:B1496,"5 1 1 3 2 12 31111 6 M59 40000 000161 0000E 00001 00132 025*")</f>
        <v>1829415.15</v>
      </c>
      <c r="G675" s="83">
        <f>SUMIFS(G676:G1496,K676:K1496,"0",B676:B1496,"5 1 1 3 2 12 31111 6 M59 40000 000161 0000E 00001 00132 025*")</f>
        <v>0</v>
      </c>
      <c r="H675" s="83">
        <f t="shared" ref="H675:H738" si="11">D675 + F675 - G675</f>
        <v>1829415.15</v>
      </c>
      <c r="I675" s="83"/>
      <c r="K675" s="54" t="s">
        <v>15</v>
      </c>
    </row>
    <row r="676" spans="2:11" ht="33" x14ac:dyDescent="0.2">
      <c r="B676" s="82" t="s">
        <v>4327</v>
      </c>
      <c r="C676" s="82" t="s">
        <v>2927</v>
      </c>
      <c r="D676" s="83">
        <f>SUMIFS(D677:D1496,K677:K1496,"0",B677:B1496,"5 1 1 3 2 12 31111 6 M59 40000 000161 0000E 00001 00132 025 2111100*")-SUMIFS(E677:E1496,K677:K1496,"0",B677:B1496,"5 1 1 3 2 12 31111 6 M59 40000 000161 0000E 00001 00132 025 2111100*")</f>
        <v>0</v>
      </c>
      <c r="E676" s="54"/>
      <c r="F676" s="83">
        <f>SUMIFS(F677:F1496,K677:K1496,"0",B677:B1496,"5 1 1 3 2 12 31111 6 M59 40000 000161 0000E 00001 00132 025 2111100*")</f>
        <v>1829415.15</v>
      </c>
      <c r="G676" s="83">
        <f>SUMIFS(G677:G1496,K677:K1496,"0",B677:B1496,"5 1 1 3 2 12 31111 6 M59 40000 000161 0000E 00001 00132 025 2111100*")</f>
        <v>0</v>
      </c>
      <c r="H676" s="83">
        <f t="shared" si="11"/>
        <v>1829415.15</v>
      </c>
      <c r="I676" s="83"/>
      <c r="K676" s="54" t="s">
        <v>15</v>
      </c>
    </row>
    <row r="677" spans="2:11" ht="33" x14ac:dyDescent="0.2">
      <c r="B677" s="82" t="s">
        <v>4328</v>
      </c>
      <c r="C677" s="82" t="s">
        <v>660</v>
      </c>
      <c r="D677" s="83">
        <f>SUMIFS(D678:D1496,K678:K1496,"0",B678:B1496,"5 1 1 3 2 12 31111 6 M59 40000 000161 0000E 00001 00132 025 2111100 2024*")-SUMIFS(E678:E1496,K678:K1496,"0",B678:B1496,"5 1 1 3 2 12 31111 6 M59 40000 000161 0000E 00001 00132 025 2111100 2024*")</f>
        <v>0</v>
      </c>
      <c r="E677" s="54"/>
      <c r="F677" s="83">
        <f>SUMIFS(F678:F1496,K678:K1496,"0",B678:B1496,"5 1 1 3 2 12 31111 6 M59 40000 000161 0000E 00001 00132 025 2111100 2024*")</f>
        <v>1829415.15</v>
      </c>
      <c r="G677" s="83">
        <f>SUMIFS(G678:G1496,K678:K1496,"0",B678:B1496,"5 1 1 3 2 12 31111 6 M59 40000 000161 0000E 00001 00132 025 2111100 2024*")</f>
        <v>0</v>
      </c>
      <c r="H677" s="83">
        <f t="shared" si="11"/>
        <v>1829415.15</v>
      </c>
      <c r="I677" s="83"/>
      <c r="K677" s="54" t="s">
        <v>15</v>
      </c>
    </row>
    <row r="678" spans="2:11" ht="41.25" x14ac:dyDescent="0.2">
      <c r="B678" s="82" t="s">
        <v>4329</v>
      </c>
      <c r="C678" s="82" t="s">
        <v>662</v>
      </c>
      <c r="D678" s="83">
        <f>SUMIFS(D679:D1496,K679:K1496,"0",B679:B1496,"5 1 1 3 2 12 31111 6 M59 40000 000161 0000E 00001 00132 025 2111100 2024 CP4SP372*")-SUMIFS(E679:E1496,K679:K1496,"0",B679:B1496,"5 1 1 3 2 12 31111 6 M59 40000 000161 0000E 00001 00132 025 2111100 2024 CP4SP372*")</f>
        <v>0</v>
      </c>
      <c r="E678" s="54"/>
      <c r="F678" s="83">
        <f>SUMIFS(F679:F1496,K679:K1496,"0",B679:B1496,"5 1 1 3 2 12 31111 6 M59 40000 000161 0000E 00001 00132 025 2111100 2024 CP4SP372*")</f>
        <v>1829415.15</v>
      </c>
      <c r="G678" s="83">
        <f>SUMIFS(G679:G1496,K679:K1496,"0",B679:B1496,"5 1 1 3 2 12 31111 6 M59 40000 000161 0000E 00001 00132 025 2111100 2024 CP4SP372*")</f>
        <v>0</v>
      </c>
      <c r="H678" s="83">
        <f t="shared" si="11"/>
        <v>1829415.15</v>
      </c>
      <c r="I678" s="83"/>
      <c r="K678" s="54" t="s">
        <v>15</v>
      </c>
    </row>
    <row r="679" spans="2:11" ht="41.25" x14ac:dyDescent="0.2">
      <c r="B679" s="82" t="s">
        <v>4330</v>
      </c>
      <c r="C679" s="82" t="s">
        <v>664</v>
      </c>
      <c r="D679" s="83">
        <f>SUMIFS(D680:D1496,K680:K1496,"0",B680:B1496,"5 1 1 3 2 12 31111 6 M59 40000 000161 0000E 00001 00132 025 2111100 2024 CP4SP372 003*")-SUMIFS(E680:E1496,K680:K1496,"0",B680:B1496,"5 1 1 3 2 12 31111 6 M59 40000 000161 0000E 00001 00132 025 2111100 2024 CP4SP372 003*")</f>
        <v>0</v>
      </c>
      <c r="E679" s="54"/>
      <c r="F679" s="83">
        <f>SUMIFS(F680:F1496,K680:K1496,"0",B680:B1496,"5 1 1 3 2 12 31111 6 M59 40000 000161 0000E 00001 00132 025 2111100 2024 CP4SP372 003*")</f>
        <v>1829415.15</v>
      </c>
      <c r="G679" s="83">
        <f>SUMIFS(G680:G1496,K680:K1496,"0",B680:B1496,"5 1 1 3 2 12 31111 6 M59 40000 000161 0000E 00001 00132 025 2111100 2024 CP4SP372 003*")</f>
        <v>0</v>
      </c>
      <c r="H679" s="83">
        <f t="shared" si="11"/>
        <v>1829415.15</v>
      </c>
      <c r="I679" s="83"/>
      <c r="K679" s="54" t="s">
        <v>15</v>
      </c>
    </row>
    <row r="680" spans="2:11" ht="33" x14ac:dyDescent="0.2">
      <c r="B680" s="84" t="s">
        <v>4331</v>
      </c>
      <c r="C680" s="84" t="s">
        <v>4332</v>
      </c>
      <c r="D680" s="85">
        <v>0</v>
      </c>
      <c r="E680" s="85"/>
      <c r="F680" s="85">
        <v>1829415.15</v>
      </c>
      <c r="G680" s="85">
        <v>0</v>
      </c>
      <c r="H680" s="85">
        <f t="shared" si="11"/>
        <v>1829415.15</v>
      </c>
      <c r="I680" s="85"/>
      <c r="K680" s="54" t="s">
        <v>38</v>
      </c>
    </row>
    <row r="681" spans="2:11" ht="16.5" x14ac:dyDescent="0.2">
      <c r="B681" s="82" t="s">
        <v>4333</v>
      </c>
      <c r="C681" s="82" t="s">
        <v>1105</v>
      </c>
      <c r="D681" s="83">
        <f>SUMIFS(D682:D1496,K682:K1496,"0",B682:B1496,"5 1 1 3 2 12 31111 6 M59 40200*")-SUMIFS(E682:E1496,K682:K1496,"0",B682:B1496,"5 1 1 3 2 12 31111 6 M59 40200*")</f>
        <v>0</v>
      </c>
      <c r="E681" s="54"/>
      <c r="F681" s="83">
        <f>SUMIFS(F682:F1496,K682:K1496,"0",B682:B1496,"5 1 1 3 2 12 31111 6 M59 40200*")</f>
        <v>265918.68</v>
      </c>
      <c r="G681" s="83">
        <f>SUMIFS(G682:G1496,K682:K1496,"0",B682:B1496,"5 1 1 3 2 12 31111 6 M59 40200*")</f>
        <v>0</v>
      </c>
      <c r="H681" s="83">
        <f t="shared" si="11"/>
        <v>265918.68</v>
      </c>
      <c r="I681" s="83"/>
      <c r="K681" s="54" t="s">
        <v>15</v>
      </c>
    </row>
    <row r="682" spans="2:11" ht="16.5" x14ac:dyDescent="0.2">
      <c r="B682" s="82" t="s">
        <v>4334</v>
      </c>
      <c r="C682" s="82" t="s">
        <v>1107</v>
      </c>
      <c r="D682" s="83">
        <f>SUMIFS(D683:D1496,K683:K1496,"0",B683:B1496,"5 1 1 3 2 12 31111 6 M59 40200 000172*")-SUMIFS(E683:E1496,K683:K1496,"0",B683:B1496,"5 1 1 3 2 12 31111 6 M59 40200 000172*")</f>
        <v>0</v>
      </c>
      <c r="E682" s="54"/>
      <c r="F682" s="83">
        <f>SUMIFS(F683:F1496,K683:K1496,"0",B683:B1496,"5 1 1 3 2 12 31111 6 M59 40200 000172*")</f>
        <v>265918.68</v>
      </c>
      <c r="G682" s="83">
        <f>SUMIFS(G683:G1496,K683:K1496,"0",B683:B1496,"5 1 1 3 2 12 31111 6 M59 40200 000172*")</f>
        <v>0</v>
      </c>
      <c r="H682" s="83">
        <f t="shared" si="11"/>
        <v>265918.68</v>
      </c>
      <c r="I682" s="83"/>
      <c r="K682" s="54" t="s">
        <v>15</v>
      </c>
    </row>
    <row r="683" spans="2:11" ht="24.75" x14ac:dyDescent="0.2">
      <c r="B683" s="82" t="s">
        <v>4335</v>
      </c>
      <c r="C683" s="82" t="s">
        <v>650</v>
      </c>
      <c r="D683" s="83">
        <f>SUMIFS(D684:D1496,K684:K1496,"0",B684:B1496,"5 1 1 3 2 12 31111 6 M59 40200 000172 0000R*")-SUMIFS(E684:E1496,K684:K1496,"0",B684:B1496,"5 1 1 3 2 12 31111 6 M59 40200 000172 0000R*")</f>
        <v>0</v>
      </c>
      <c r="E683" s="54"/>
      <c r="F683" s="83">
        <f>SUMIFS(F684:F1496,K684:K1496,"0",B684:B1496,"5 1 1 3 2 12 31111 6 M59 40200 000172 0000R*")</f>
        <v>265918.68</v>
      </c>
      <c r="G683" s="83">
        <f>SUMIFS(G684:G1496,K684:K1496,"0",B684:B1496,"5 1 1 3 2 12 31111 6 M59 40200 000172 0000R*")</f>
        <v>0</v>
      </c>
      <c r="H683" s="83">
        <f t="shared" si="11"/>
        <v>265918.68</v>
      </c>
      <c r="I683" s="83"/>
      <c r="K683" s="54" t="s">
        <v>15</v>
      </c>
    </row>
    <row r="684" spans="2:11" ht="24.75" x14ac:dyDescent="0.2">
      <c r="B684" s="82" t="s">
        <v>4336</v>
      </c>
      <c r="C684" s="82" t="s">
        <v>282</v>
      </c>
      <c r="D684" s="83">
        <f>SUMIFS(D685:D1496,K685:K1496,"0",B685:B1496,"5 1 1 3 2 12 31111 6 M59 40200 000172 0000R 00001*")-SUMIFS(E685:E1496,K685:K1496,"0",B685:B1496,"5 1 1 3 2 12 31111 6 M59 40200 000172 0000R 00001*")</f>
        <v>0</v>
      </c>
      <c r="E684" s="54"/>
      <c r="F684" s="83">
        <f>SUMIFS(F685:F1496,K685:K1496,"0",B685:B1496,"5 1 1 3 2 12 31111 6 M59 40200 000172 0000R 00001*")</f>
        <v>265918.68</v>
      </c>
      <c r="G684" s="83">
        <f>SUMIFS(G685:G1496,K685:K1496,"0",B685:B1496,"5 1 1 3 2 12 31111 6 M59 40200 000172 0000R 00001*")</f>
        <v>0</v>
      </c>
      <c r="H684" s="83">
        <f t="shared" si="11"/>
        <v>265918.68</v>
      </c>
      <c r="I684" s="83"/>
      <c r="K684" s="54" t="s">
        <v>15</v>
      </c>
    </row>
    <row r="685" spans="2:11" ht="24.75" x14ac:dyDescent="0.2">
      <c r="B685" s="82" t="s">
        <v>4337</v>
      </c>
      <c r="C685" s="82" t="s">
        <v>4041</v>
      </c>
      <c r="D685" s="83">
        <f>SUMIFS(D686:D1496,K686:K1496,"0",B686:B1496,"5 1 1 3 2 12 31111 6 M59 40200 000172 0000R 00001 00132*")-SUMIFS(E686:E1496,K686:K1496,"0",B686:B1496,"5 1 1 3 2 12 31111 6 M59 40200 000172 0000R 00001 00132*")</f>
        <v>0</v>
      </c>
      <c r="E685" s="54"/>
      <c r="F685" s="83">
        <f>SUMIFS(F686:F1496,K686:K1496,"0",B686:B1496,"5 1 1 3 2 12 31111 6 M59 40200 000172 0000R 00001 00132*")</f>
        <v>265918.68</v>
      </c>
      <c r="G685" s="83">
        <f>SUMIFS(G686:G1496,K686:K1496,"0",B686:B1496,"5 1 1 3 2 12 31111 6 M59 40200 000172 0000R 00001 00132*")</f>
        <v>0</v>
      </c>
      <c r="H685" s="83">
        <f t="shared" si="11"/>
        <v>265918.68</v>
      </c>
      <c r="I685" s="83"/>
      <c r="K685" s="54" t="s">
        <v>15</v>
      </c>
    </row>
    <row r="686" spans="2:11" ht="33" x14ac:dyDescent="0.2">
      <c r="B686" s="82" t="s">
        <v>4338</v>
      </c>
      <c r="C686" s="82" t="s">
        <v>656</v>
      </c>
      <c r="D686" s="83">
        <f>SUMIFS(D687:D1496,K687:K1496,"0",B687:B1496,"5 1 1 3 2 12 31111 6 M59 40200 000172 0000R 00001 00132 025*")-SUMIFS(E687:E1496,K687:K1496,"0",B687:B1496,"5 1 1 3 2 12 31111 6 M59 40200 000172 0000R 00001 00132 025*")</f>
        <v>0</v>
      </c>
      <c r="E686" s="54"/>
      <c r="F686" s="83">
        <f>SUMIFS(F687:F1496,K687:K1496,"0",B687:B1496,"5 1 1 3 2 12 31111 6 M59 40200 000172 0000R 00001 00132 025*")</f>
        <v>265918.68</v>
      </c>
      <c r="G686" s="83">
        <f>SUMIFS(G687:G1496,K687:K1496,"0",B687:B1496,"5 1 1 3 2 12 31111 6 M59 40200 000172 0000R 00001 00132 025*")</f>
        <v>0</v>
      </c>
      <c r="H686" s="83">
        <f t="shared" si="11"/>
        <v>265918.68</v>
      </c>
      <c r="I686" s="83"/>
      <c r="K686" s="54" t="s">
        <v>15</v>
      </c>
    </row>
    <row r="687" spans="2:11" ht="33" x14ac:dyDescent="0.2">
      <c r="B687" s="82" t="s">
        <v>4339</v>
      </c>
      <c r="C687" s="82" t="s">
        <v>2927</v>
      </c>
      <c r="D687" s="83">
        <f>SUMIFS(D688:D1496,K688:K1496,"0",B688:B1496,"5 1 1 3 2 12 31111 6 M59 40200 000172 0000R 00001 00132 025 2111100*")-SUMIFS(E688:E1496,K688:K1496,"0",B688:B1496,"5 1 1 3 2 12 31111 6 M59 40200 000172 0000R 00001 00132 025 2111100*")</f>
        <v>0</v>
      </c>
      <c r="E687" s="54"/>
      <c r="F687" s="83">
        <f>SUMIFS(F688:F1496,K688:K1496,"0",B688:B1496,"5 1 1 3 2 12 31111 6 M59 40200 000172 0000R 00001 00132 025 2111100*")</f>
        <v>265918.68</v>
      </c>
      <c r="G687" s="83">
        <f>SUMIFS(G688:G1496,K688:K1496,"0",B688:B1496,"5 1 1 3 2 12 31111 6 M59 40200 000172 0000R 00001 00132 025 2111100*")</f>
        <v>0</v>
      </c>
      <c r="H687" s="83">
        <f t="shared" si="11"/>
        <v>265918.68</v>
      </c>
      <c r="I687" s="83"/>
      <c r="K687" s="54" t="s">
        <v>15</v>
      </c>
    </row>
    <row r="688" spans="2:11" ht="33" x14ac:dyDescent="0.2">
      <c r="B688" s="82" t="s">
        <v>4340</v>
      </c>
      <c r="C688" s="82" t="s">
        <v>660</v>
      </c>
      <c r="D688" s="83">
        <f>SUMIFS(D689:D1496,K689:K1496,"0",B689:B1496,"5 1 1 3 2 12 31111 6 M59 40200 000172 0000R 00001 00132 025 2111100 2024*")-SUMIFS(E689:E1496,K689:K1496,"0",B689:B1496,"5 1 1 3 2 12 31111 6 M59 40200 000172 0000R 00001 00132 025 2111100 2024*")</f>
        <v>0</v>
      </c>
      <c r="E688" s="54"/>
      <c r="F688" s="83">
        <f>SUMIFS(F689:F1496,K689:K1496,"0",B689:B1496,"5 1 1 3 2 12 31111 6 M59 40200 000172 0000R 00001 00132 025 2111100 2024*")</f>
        <v>265918.68</v>
      </c>
      <c r="G688" s="83">
        <f>SUMIFS(G689:G1496,K689:K1496,"0",B689:B1496,"5 1 1 3 2 12 31111 6 M59 40200 000172 0000R 00001 00132 025 2111100 2024*")</f>
        <v>0</v>
      </c>
      <c r="H688" s="83">
        <f t="shared" si="11"/>
        <v>265918.68</v>
      </c>
      <c r="I688" s="83"/>
      <c r="K688" s="54" t="s">
        <v>15</v>
      </c>
    </row>
    <row r="689" spans="2:11" ht="41.25" x14ac:dyDescent="0.2">
      <c r="B689" s="82" t="s">
        <v>4341</v>
      </c>
      <c r="C689" s="82" t="s">
        <v>1056</v>
      </c>
      <c r="D689" s="83">
        <f>SUMIFS(D690:D1496,K690:K1496,"0",B690:B1496,"5 1 1 3 2 12 31111 6 M59 40200 000172 0000R 00001 00132 025 2111100 2024 CP4PC370*")-SUMIFS(E690:E1496,K690:K1496,"0",B690:B1496,"5 1 1 3 2 12 31111 6 M59 40200 000172 0000R 00001 00132 025 2111100 2024 CP4PC370*")</f>
        <v>0</v>
      </c>
      <c r="E689" s="54"/>
      <c r="F689" s="83">
        <f>SUMIFS(F690:F1496,K690:K1496,"0",B690:B1496,"5 1 1 3 2 12 31111 6 M59 40200 000172 0000R 00001 00132 025 2111100 2024 CP4PC370*")</f>
        <v>265918.68</v>
      </c>
      <c r="G689" s="83">
        <f>SUMIFS(G690:G1496,K690:K1496,"0",B690:B1496,"5 1 1 3 2 12 31111 6 M59 40200 000172 0000R 00001 00132 025 2111100 2024 CP4PC370*")</f>
        <v>0</v>
      </c>
      <c r="H689" s="83">
        <f t="shared" si="11"/>
        <v>265918.68</v>
      </c>
      <c r="I689" s="83"/>
      <c r="K689" s="54" t="s">
        <v>15</v>
      </c>
    </row>
    <row r="690" spans="2:11" ht="41.25" x14ac:dyDescent="0.2">
      <c r="B690" s="82" t="s">
        <v>4342</v>
      </c>
      <c r="C690" s="82" t="s">
        <v>664</v>
      </c>
      <c r="D690" s="83">
        <f>SUMIFS(D691:D1496,K691:K1496,"0",B691:B1496,"5 1 1 3 2 12 31111 6 M59 40200 000172 0000R 00001 00132 025 2111100 2024 CP4PC370 003*")-SUMIFS(E691:E1496,K691:K1496,"0",B691:B1496,"5 1 1 3 2 12 31111 6 M59 40200 000172 0000R 00001 00132 025 2111100 2024 CP4PC370 003*")</f>
        <v>0</v>
      </c>
      <c r="E690" s="54"/>
      <c r="F690" s="83">
        <f>SUMIFS(F691:F1496,K691:K1496,"0",B691:B1496,"5 1 1 3 2 12 31111 6 M59 40200 000172 0000R 00001 00132 025 2111100 2024 CP4PC370 003*")</f>
        <v>265918.68</v>
      </c>
      <c r="G690" s="83">
        <f>SUMIFS(G691:G1496,K691:K1496,"0",B691:B1496,"5 1 1 3 2 12 31111 6 M59 40200 000172 0000R 00001 00132 025 2111100 2024 CP4PC370 003*")</f>
        <v>0</v>
      </c>
      <c r="H690" s="83">
        <f t="shared" si="11"/>
        <v>265918.68</v>
      </c>
      <c r="I690" s="83"/>
      <c r="K690" s="54" t="s">
        <v>15</v>
      </c>
    </row>
    <row r="691" spans="2:11" ht="33" x14ac:dyDescent="0.2">
      <c r="B691" s="84" t="s">
        <v>4343</v>
      </c>
      <c r="C691" s="84" t="s">
        <v>4332</v>
      </c>
      <c r="D691" s="85">
        <v>0</v>
      </c>
      <c r="E691" s="85"/>
      <c r="F691" s="85">
        <v>265918.68</v>
      </c>
      <c r="G691" s="85">
        <v>0</v>
      </c>
      <c r="H691" s="85">
        <f t="shared" si="11"/>
        <v>265918.68</v>
      </c>
      <c r="I691" s="85"/>
      <c r="K691" s="54" t="s">
        <v>38</v>
      </c>
    </row>
    <row r="692" spans="2:11" ht="16.5" x14ac:dyDescent="0.2">
      <c r="B692" s="82" t="s">
        <v>4344</v>
      </c>
      <c r="C692" s="82" t="s">
        <v>3256</v>
      </c>
      <c r="D692" s="83">
        <f>SUMIFS(D693:D1496,K693:K1496,"0",B693:B1496,"5 1 1 3 2 12 31111 6 M59 40300*")-SUMIFS(E693:E1496,K693:K1496,"0",B693:B1496,"5 1 1 3 2 12 31111 6 M59 40300*")</f>
        <v>0</v>
      </c>
      <c r="E692" s="54"/>
      <c r="F692" s="83">
        <f>SUMIFS(F693:F1496,K693:K1496,"0",B693:B1496,"5 1 1 3 2 12 31111 6 M59 40300*")</f>
        <v>238446.05</v>
      </c>
      <c r="G692" s="83">
        <f>SUMIFS(G693:G1496,K693:K1496,"0",B693:B1496,"5 1 1 3 2 12 31111 6 M59 40300*")</f>
        <v>0</v>
      </c>
      <c r="H692" s="83">
        <f t="shared" si="11"/>
        <v>238446.05</v>
      </c>
      <c r="I692" s="83"/>
      <c r="K692" s="54" t="s">
        <v>15</v>
      </c>
    </row>
    <row r="693" spans="2:11" ht="16.5" x14ac:dyDescent="0.2">
      <c r="B693" s="82" t="s">
        <v>4345</v>
      </c>
      <c r="C693" s="82" t="s">
        <v>1063</v>
      </c>
      <c r="D693" s="83">
        <f>SUMIFS(D694:D1496,K694:K1496,"0",B694:B1496,"5 1 1 3 2 12 31111 6 M59 40300 000185*")-SUMIFS(E694:E1496,K694:K1496,"0",B694:B1496,"5 1 1 3 2 12 31111 6 M59 40300 000185*")</f>
        <v>0</v>
      </c>
      <c r="E693" s="54"/>
      <c r="F693" s="83">
        <f>SUMIFS(F694:F1496,K694:K1496,"0",B694:B1496,"5 1 1 3 2 12 31111 6 M59 40300 000185*")</f>
        <v>238446.05</v>
      </c>
      <c r="G693" s="83">
        <f>SUMIFS(G694:G1496,K694:K1496,"0",B694:B1496,"5 1 1 3 2 12 31111 6 M59 40300 000185*")</f>
        <v>0</v>
      </c>
      <c r="H693" s="83">
        <f t="shared" si="11"/>
        <v>238446.05</v>
      </c>
      <c r="I693" s="83"/>
      <c r="K693" s="54" t="s">
        <v>15</v>
      </c>
    </row>
    <row r="694" spans="2:11" ht="24.75" x14ac:dyDescent="0.2">
      <c r="B694" s="82" t="s">
        <v>4346</v>
      </c>
      <c r="C694" s="82" t="s">
        <v>650</v>
      </c>
      <c r="D694" s="83">
        <f>SUMIFS(D695:D1496,K695:K1496,"0",B695:B1496,"5 1 1 3 2 12 31111 6 M59 40300 000185 0000R*")-SUMIFS(E695:E1496,K695:K1496,"0",B695:B1496,"5 1 1 3 2 12 31111 6 M59 40300 000185 0000R*")</f>
        <v>0</v>
      </c>
      <c r="E694" s="54"/>
      <c r="F694" s="83">
        <f>SUMIFS(F695:F1496,K695:K1496,"0",B695:B1496,"5 1 1 3 2 12 31111 6 M59 40300 000185 0000R*")</f>
        <v>238446.05</v>
      </c>
      <c r="G694" s="83">
        <f>SUMIFS(G695:G1496,K695:K1496,"0",B695:B1496,"5 1 1 3 2 12 31111 6 M59 40300 000185 0000R*")</f>
        <v>0</v>
      </c>
      <c r="H694" s="83">
        <f t="shared" si="11"/>
        <v>238446.05</v>
      </c>
      <c r="I694" s="83"/>
      <c r="K694" s="54" t="s">
        <v>15</v>
      </c>
    </row>
    <row r="695" spans="2:11" ht="24.75" x14ac:dyDescent="0.2">
      <c r="B695" s="82" t="s">
        <v>4347</v>
      </c>
      <c r="C695" s="82" t="s">
        <v>282</v>
      </c>
      <c r="D695" s="83">
        <f>SUMIFS(D696:D1496,K696:K1496,"0",B696:B1496,"5 1 1 3 2 12 31111 6 M59 40300 000185 0000R 00001*")-SUMIFS(E696:E1496,K696:K1496,"0",B696:B1496,"5 1 1 3 2 12 31111 6 M59 40300 000185 0000R 00001*")</f>
        <v>0</v>
      </c>
      <c r="E695" s="54"/>
      <c r="F695" s="83">
        <f>SUMIFS(F696:F1496,K696:K1496,"0",B696:B1496,"5 1 1 3 2 12 31111 6 M59 40300 000185 0000R 00001*")</f>
        <v>238446.05</v>
      </c>
      <c r="G695" s="83">
        <f>SUMIFS(G696:G1496,K696:K1496,"0",B696:B1496,"5 1 1 3 2 12 31111 6 M59 40300 000185 0000R 00001*")</f>
        <v>0</v>
      </c>
      <c r="H695" s="83">
        <f t="shared" si="11"/>
        <v>238446.05</v>
      </c>
      <c r="I695" s="83"/>
      <c r="K695" s="54" t="s">
        <v>15</v>
      </c>
    </row>
    <row r="696" spans="2:11" ht="24.75" x14ac:dyDescent="0.2">
      <c r="B696" s="82" t="s">
        <v>4348</v>
      </c>
      <c r="C696" s="82" t="s">
        <v>4041</v>
      </c>
      <c r="D696" s="83">
        <f>SUMIFS(D697:D1496,K697:K1496,"0",B697:B1496,"5 1 1 3 2 12 31111 6 M59 40300 000185 0000R 00001 00132*")-SUMIFS(E697:E1496,K697:K1496,"0",B697:B1496,"5 1 1 3 2 12 31111 6 M59 40300 000185 0000R 00001 00132*")</f>
        <v>0</v>
      </c>
      <c r="E696" s="54"/>
      <c r="F696" s="83">
        <f>SUMIFS(F697:F1496,K697:K1496,"0",B697:B1496,"5 1 1 3 2 12 31111 6 M59 40300 000185 0000R 00001 00132*")</f>
        <v>238446.05</v>
      </c>
      <c r="G696" s="83">
        <f>SUMIFS(G697:G1496,K697:K1496,"0",B697:B1496,"5 1 1 3 2 12 31111 6 M59 40300 000185 0000R 00001 00132*")</f>
        <v>0</v>
      </c>
      <c r="H696" s="83">
        <f t="shared" si="11"/>
        <v>238446.05</v>
      </c>
      <c r="I696" s="83"/>
      <c r="K696" s="54" t="s">
        <v>15</v>
      </c>
    </row>
    <row r="697" spans="2:11" ht="33" x14ac:dyDescent="0.2">
      <c r="B697" s="82" t="s">
        <v>4349</v>
      </c>
      <c r="C697" s="82" t="s">
        <v>656</v>
      </c>
      <c r="D697" s="83">
        <f>SUMIFS(D698:D1496,K698:K1496,"0",B698:B1496,"5 1 1 3 2 12 31111 6 M59 40300 000185 0000R 00001 00132 025*")-SUMIFS(E698:E1496,K698:K1496,"0",B698:B1496,"5 1 1 3 2 12 31111 6 M59 40300 000185 0000R 00001 00132 025*")</f>
        <v>0</v>
      </c>
      <c r="E697" s="54"/>
      <c r="F697" s="83">
        <f>SUMIFS(F698:F1496,K698:K1496,"0",B698:B1496,"5 1 1 3 2 12 31111 6 M59 40300 000185 0000R 00001 00132 025*")</f>
        <v>238446.05</v>
      </c>
      <c r="G697" s="83">
        <f>SUMIFS(G698:G1496,K698:K1496,"0",B698:B1496,"5 1 1 3 2 12 31111 6 M59 40300 000185 0000R 00001 00132 025*")</f>
        <v>0</v>
      </c>
      <c r="H697" s="83">
        <f t="shared" si="11"/>
        <v>238446.05</v>
      </c>
      <c r="I697" s="83"/>
      <c r="K697" s="54" t="s">
        <v>15</v>
      </c>
    </row>
    <row r="698" spans="2:11" ht="33" x14ac:dyDescent="0.2">
      <c r="B698" s="82" t="s">
        <v>4350</v>
      </c>
      <c r="C698" s="82" t="s">
        <v>2927</v>
      </c>
      <c r="D698" s="83">
        <f>SUMIFS(D699:D1496,K699:K1496,"0",B699:B1496,"5 1 1 3 2 12 31111 6 M59 40300 000185 0000R 00001 00132 025 2111100*")-SUMIFS(E699:E1496,K699:K1496,"0",B699:B1496,"5 1 1 3 2 12 31111 6 M59 40300 000185 0000R 00001 00132 025 2111100*")</f>
        <v>0</v>
      </c>
      <c r="E698" s="54"/>
      <c r="F698" s="83">
        <f>SUMIFS(F699:F1496,K699:K1496,"0",B699:B1496,"5 1 1 3 2 12 31111 6 M59 40300 000185 0000R 00001 00132 025 2111100*")</f>
        <v>238446.05</v>
      </c>
      <c r="G698" s="83">
        <f>SUMIFS(G699:G1496,K699:K1496,"0",B699:B1496,"5 1 1 3 2 12 31111 6 M59 40300 000185 0000R 00001 00132 025 2111100*")</f>
        <v>0</v>
      </c>
      <c r="H698" s="83">
        <f t="shared" si="11"/>
        <v>238446.05</v>
      </c>
      <c r="I698" s="83"/>
      <c r="K698" s="54" t="s">
        <v>15</v>
      </c>
    </row>
    <row r="699" spans="2:11" ht="33" x14ac:dyDescent="0.2">
      <c r="B699" s="82" t="s">
        <v>4351</v>
      </c>
      <c r="C699" s="82" t="s">
        <v>660</v>
      </c>
      <c r="D699" s="83">
        <f>SUMIFS(D700:D1496,K700:K1496,"0",B700:B1496,"5 1 1 3 2 12 31111 6 M59 40300 000185 0000R 00001 00132 025 2111100 2024*")-SUMIFS(E700:E1496,K700:K1496,"0",B700:B1496,"5 1 1 3 2 12 31111 6 M59 40300 000185 0000R 00001 00132 025 2111100 2024*")</f>
        <v>0</v>
      </c>
      <c r="E699" s="54"/>
      <c r="F699" s="83">
        <f>SUMIFS(F700:F1496,K700:K1496,"0",B700:B1496,"5 1 1 3 2 12 31111 6 M59 40300 000185 0000R 00001 00132 025 2111100 2024*")</f>
        <v>238446.05</v>
      </c>
      <c r="G699" s="83">
        <f>SUMIFS(G700:G1496,K700:K1496,"0",B700:B1496,"5 1 1 3 2 12 31111 6 M59 40300 000185 0000R 00001 00132 025 2111100 2024*")</f>
        <v>0</v>
      </c>
      <c r="H699" s="83">
        <f t="shared" si="11"/>
        <v>238446.05</v>
      </c>
      <c r="I699" s="83"/>
      <c r="K699" s="54" t="s">
        <v>15</v>
      </c>
    </row>
    <row r="700" spans="2:11" ht="41.25" x14ac:dyDescent="0.2">
      <c r="B700" s="82" t="s">
        <v>4352</v>
      </c>
      <c r="C700" s="82" t="s">
        <v>662</v>
      </c>
      <c r="D700" s="83">
        <f>SUMIFS(D701:D1496,K701:K1496,"0",B701:B1496,"5 1 1 3 2 12 31111 6 M59 40300 000185 0000R 00001 00132 025 2111100 2024 CP4TV371*")-SUMIFS(E701:E1496,K701:K1496,"0",B701:B1496,"5 1 1 3 2 12 31111 6 M59 40300 000185 0000R 00001 00132 025 2111100 2024 CP4TV371*")</f>
        <v>0</v>
      </c>
      <c r="E700" s="54"/>
      <c r="F700" s="83">
        <f>SUMIFS(F701:F1496,K701:K1496,"0",B701:B1496,"5 1 1 3 2 12 31111 6 M59 40300 000185 0000R 00001 00132 025 2111100 2024 CP4TV371*")</f>
        <v>238446.05</v>
      </c>
      <c r="G700" s="83">
        <f>SUMIFS(G701:G1496,K701:K1496,"0",B701:B1496,"5 1 1 3 2 12 31111 6 M59 40300 000185 0000R 00001 00132 025 2111100 2024 CP4TV371*")</f>
        <v>0</v>
      </c>
      <c r="H700" s="83">
        <f t="shared" si="11"/>
        <v>238446.05</v>
      </c>
      <c r="I700" s="83"/>
      <c r="K700" s="54" t="s">
        <v>15</v>
      </c>
    </row>
    <row r="701" spans="2:11" ht="41.25" x14ac:dyDescent="0.2">
      <c r="B701" s="82" t="s">
        <v>4353</v>
      </c>
      <c r="C701" s="82" t="s">
        <v>664</v>
      </c>
      <c r="D701" s="83">
        <f>SUMIFS(D702:D1496,K702:K1496,"0",B702:B1496,"5 1 1 3 2 12 31111 6 M59 40300 000185 0000R 00001 00132 025 2111100 2024 CP4TV371 003*")-SUMIFS(E702:E1496,K702:K1496,"0",B702:B1496,"5 1 1 3 2 12 31111 6 M59 40300 000185 0000R 00001 00132 025 2111100 2024 CP4TV371 003*")</f>
        <v>0</v>
      </c>
      <c r="E701" s="54"/>
      <c r="F701" s="83">
        <f>SUMIFS(F702:F1496,K702:K1496,"0",B702:B1496,"5 1 1 3 2 12 31111 6 M59 40300 000185 0000R 00001 00132 025 2111100 2024 CP4TV371 003*")</f>
        <v>238446.05</v>
      </c>
      <c r="G701" s="83">
        <f>SUMIFS(G702:G1496,K702:K1496,"0",B702:B1496,"5 1 1 3 2 12 31111 6 M59 40300 000185 0000R 00001 00132 025 2111100 2024 CP4TV371 003*")</f>
        <v>0</v>
      </c>
      <c r="H701" s="83">
        <f t="shared" si="11"/>
        <v>238446.05</v>
      </c>
      <c r="I701" s="83"/>
      <c r="K701" s="54" t="s">
        <v>15</v>
      </c>
    </row>
    <row r="702" spans="2:11" ht="33" x14ac:dyDescent="0.2">
      <c r="B702" s="84" t="s">
        <v>4354</v>
      </c>
      <c r="C702" s="84" t="s">
        <v>4332</v>
      </c>
      <c r="D702" s="85">
        <v>0</v>
      </c>
      <c r="E702" s="85"/>
      <c r="F702" s="85">
        <v>238446.05</v>
      </c>
      <c r="G702" s="85">
        <v>0</v>
      </c>
      <c r="H702" s="85">
        <f t="shared" si="11"/>
        <v>238446.05</v>
      </c>
      <c r="I702" s="85"/>
      <c r="K702" s="54" t="s">
        <v>38</v>
      </c>
    </row>
    <row r="703" spans="2:11" ht="16.5" x14ac:dyDescent="0.2">
      <c r="B703" s="82" t="s">
        <v>4355</v>
      </c>
      <c r="C703" s="82" t="s">
        <v>3268</v>
      </c>
      <c r="D703" s="83">
        <f>SUMIFS(D704:D1496,K704:K1496,"0",B704:B1496,"5 1 1 3 2 12 31111 6 M59 40400*")-SUMIFS(E704:E1496,K704:K1496,"0",B704:B1496,"5 1 1 3 2 12 31111 6 M59 40400*")</f>
        <v>0</v>
      </c>
      <c r="E703" s="54"/>
      <c r="F703" s="83">
        <f>SUMIFS(F704:F1496,K704:K1496,"0",B704:B1496,"5 1 1 3 2 12 31111 6 M59 40400*")</f>
        <v>15661</v>
      </c>
      <c r="G703" s="83">
        <f>SUMIFS(G704:G1496,K704:K1496,"0",B704:B1496,"5 1 1 3 2 12 31111 6 M59 40400*")</f>
        <v>0</v>
      </c>
      <c r="H703" s="83">
        <f t="shared" si="11"/>
        <v>15661</v>
      </c>
      <c r="I703" s="83"/>
      <c r="K703" s="54" t="s">
        <v>15</v>
      </c>
    </row>
    <row r="704" spans="2:11" ht="16.5" x14ac:dyDescent="0.2">
      <c r="B704" s="82" t="s">
        <v>4356</v>
      </c>
      <c r="C704" s="82" t="s">
        <v>3270</v>
      </c>
      <c r="D704" s="83">
        <f>SUMIFS(D705:D1496,K705:K1496,"0",B705:B1496,"5 1 1 3 2 12 31111 6 M59 40400 000173*")-SUMIFS(E705:E1496,K705:K1496,"0",B705:B1496,"5 1 1 3 2 12 31111 6 M59 40400 000173*")</f>
        <v>0</v>
      </c>
      <c r="E704" s="54"/>
      <c r="F704" s="83">
        <f>SUMIFS(F705:F1496,K705:K1496,"0",B705:B1496,"5 1 1 3 2 12 31111 6 M59 40400 000173*")</f>
        <v>15661</v>
      </c>
      <c r="G704" s="83">
        <f>SUMIFS(G705:G1496,K705:K1496,"0",B705:B1496,"5 1 1 3 2 12 31111 6 M59 40400 000173*")</f>
        <v>0</v>
      </c>
      <c r="H704" s="83">
        <f t="shared" si="11"/>
        <v>15661</v>
      </c>
      <c r="I704" s="83"/>
      <c r="K704" s="54" t="s">
        <v>15</v>
      </c>
    </row>
    <row r="705" spans="2:11" ht="24.75" x14ac:dyDescent="0.2">
      <c r="B705" s="82" t="s">
        <v>4357</v>
      </c>
      <c r="C705" s="82" t="s">
        <v>650</v>
      </c>
      <c r="D705" s="83">
        <f>SUMIFS(D706:D1496,K706:K1496,"0",B706:B1496,"5 1 1 3 2 12 31111 6 M59 40400 000173 0000R*")-SUMIFS(E706:E1496,K706:K1496,"0",B706:B1496,"5 1 1 3 2 12 31111 6 M59 40400 000173 0000R*")</f>
        <v>0</v>
      </c>
      <c r="E705" s="54"/>
      <c r="F705" s="83">
        <f>SUMIFS(F706:F1496,K706:K1496,"0",B706:B1496,"5 1 1 3 2 12 31111 6 M59 40400 000173 0000R*")</f>
        <v>15661</v>
      </c>
      <c r="G705" s="83">
        <f>SUMIFS(G706:G1496,K706:K1496,"0",B706:B1496,"5 1 1 3 2 12 31111 6 M59 40400 000173 0000R*")</f>
        <v>0</v>
      </c>
      <c r="H705" s="83">
        <f t="shared" si="11"/>
        <v>15661</v>
      </c>
      <c r="I705" s="83"/>
      <c r="K705" s="54" t="s">
        <v>15</v>
      </c>
    </row>
    <row r="706" spans="2:11" ht="24.75" x14ac:dyDescent="0.2">
      <c r="B706" s="82" t="s">
        <v>4358</v>
      </c>
      <c r="C706" s="82" t="s">
        <v>282</v>
      </c>
      <c r="D706" s="83">
        <f>SUMIFS(D707:D1496,K707:K1496,"0",B707:B1496,"5 1 1 3 2 12 31111 6 M59 40400 000173 0000R 00001*")-SUMIFS(E707:E1496,K707:K1496,"0",B707:B1496,"5 1 1 3 2 12 31111 6 M59 40400 000173 0000R 00001*")</f>
        <v>0</v>
      </c>
      <c r="E706" s="54"/>
      <c r="F706" s="83">
        <f>SUMIFS(F707:F1496,K707:K1496,"0",B707:B1496,"5 1 1 3 2 12 31111 6 M59 40400 000173 0000R 00001*")</f>
        <v>15661</v>
      </c>
      <c r="G706" s="83">
        <f>SUMIFS(G707:G1496,K707:K1496,"0",B707:B1496,"5 1 1 3 2 12 31111 6 M59 40400 000173 0000R 00001*")</f>
        <v>0</v>
      </c>
      <c r="H706" s="83">
        <f t="shared" si="11"/>
        <v>15661</v>
      </c>
      <c r="I706" s="83"/>
      <c r="K706" s="54" t="s">
        <v>15</v>
      </c>
    </row>
    <row r="707" spans="2:11" ht="24.75" x14ac:dyDescent="0.2">
      <c r="B707" s="82" t="s">
        <v>4359</v>
      </c>
      <c r="C707" s="82" t="s">
        <v>4041</v>
      </c>
      <c r="D707" s="83">
        <f>SUMIFS(D708:D1496,K708:K1496,"0",B708:B1496,"5 1 1 3 2 12 31111 6 M59 40400 000173 0000R 00001 00132*")-SUMIFS(E708:E1496,K708:K1496,"0",B708:B1496,"5 1 1 3 2 12 31111 6 M59 40400 000173 0000R 00001 00132*")</f>
        <v>0</v>
      </c>
      <c r="E707" s="54"/>
      <c r="F707" s="83">
        <f>SUMIFS(F708:F1496,K708:K1496,"0",B708:B1496,"5 1 1 3 2 12 31111 6 M59 40400 000173 0000R 00001 00132*")</f>
        <v>15661</v>
      </c>
      <c r="G707" s="83">
        <f>SUMIFS(G708:G1496,K708:K1496,"0",B708:B1496,"5 1 1 3 2 12 31111 6 M59 40400 000173 0000R 00001 00132*")</f>
        <v>0</v>
      </c>
      <c r="H707" s="83">
        <f t="shared" si="11"/>
        <v>15661</v>
      </c>
      <c r="I707" s="83"/>
      <c r="K707" s="54" t="s">
        <v>15</v>
      </c>
    </row>
    <row r="708" spans="2:11" ht="33" x14ac:dyDescent="0.2">
      <c r="B708" s="82" t="s">
        <v>4360</v>
      </c>
      <c r="C708" s="82" t="s">
        <v>656</v>
      </c>
      <c r="D708" s="83">
        <f>SUMIFS(D709:D1496,K709:K1496,"0",B709:B1496,"5 1 1 3 2 12 31111 6 M59 40400 000173 0000R 00001 00132 025*")-SUMIFS(E709:E1496,K709:K1496,"0",B709:B1496,"5 1 1 3 2 12 31111 6 M59 40400 000173 0000R 00001 00132 025*")</f>
        <v>0</v>
      </c>
      <c r="E708" s="54"/>
      <c r="F708" s="83">
        <f>SUMIFS(F709:F1496,K709:K1496,"0",B709:B1496,"5 1 1 3 2 12 31111 6 M59 40400 000173 0000R 00001 00132 025*")</f>
        <v>15661</v>
      </c>
      <c r="G708" s="83">
        <f>SUMIFS(G709:G1496,K709:K1496,"0",B709:B1496,"5 1 1 3 2 12 31111 6 M59 40400 000173 0000R 00001 00132 025*")</f>
        <v>0</v>
      </c>
      <c r="H708" s="83">
        <f t="shared" si="11"/>
        <v>15661</v>
      </c>
      <c r="I708" s="83"/>
      <c r="K708" s="54" t="s">
        <v>15</v>
      </c>
    </row>
    <row r="709" spans="2:11" ht="33" x14ac:dyDescent="0.2">
      <c r="B709" s="82" t="s">
        <v>4361</v>
      </c>
      <c r="C709" s="82" t="s">
        <v>2927</v>
      </c>
      <c r="D709" s="83">
        <f>SUMIFS(D710:D1496,K710:K1496,"0",B710:B1496,"5 1 1 3 2 12 31111 6 M59 40400 000173 0000R 00001 00132 025 2111100*")-SUMIFS(E710:E1496,K710:K1496,"0",B710:B1496,"5 1 1 3 2 12 31111 6 M59 40400 000173 0000R 00001 00132 025 2111100*")</f>
        <v>0</v>
      </c>
      <c r="E709" s="54"/>
      <c r="F709" s="83">
        <f>SUMIFS(F710:F1496,K710:K1496,"0",B710:B1496,"5 1 1 3 2 12 31111 6 M59 40400 000173 0000R 00001 00132 025 2111100*")</f>
        <v>15661</v>
      </c>
      <c r="G709" s="83">
        <f>SUMIFS(G710:G1496,K710:K1496,"0",B710:B1496,"5 1 1 3 2 12 31111 6 M59 40400 000173 0000R 00001 00132 025 2111100*")</f>
        <v>0</v>
      </c>
      <c r="H709" s="83">
        <f t="shared" si="11"/>
        <v>15661</v>
      </c>
      <c r="I709" s="83"/>
      <c r="K709" s="54" t="s">
        <v>15</v>
      </c>
    </row>
    <row r="710" spans="2:11" ht="33" x14ac:dyDescent="0.2">
      <c r="B710" s="82" t="s">
        <v>4362</v>
      </c>
      <c r="C710" s="82" t="s">
        <v>660</v>
      </c>
      <c r="D710" s="83">
        <f>SUMIFS(D711:D1496,K711:K1496,"0",B711:B1496,"5 1 1 3 2 12 31111 6 M59 40400 000173 0000R 00001 00132 025 2111100 2024*")-SUMIFS(E711:E1496,K711:K1496,"0",B711:B1496,"5 1 1 3 2 12 31111 6 M59 40400 000173 0000R 00001 00132 025 2111100 2024*")</f>
        <v>0</v>
      </c>
      <c r="E710" s="54"/>
      <c r="F710" s="83">
        <f>SUMIFS(F711:F1496,K711:K1496,"0",B711:B1496,"5 1 1 3 2 12 31111 6 M59 40400 000173 0000R 00001 00132 025 2111100 2024*")</f>
        <v>15661</v>
      </c>
      <c r="G710" s="83">
        <f>SUMIFS(G711:G1496,K711:K1496,"0",B711:B1496,"5 1 1 3 2 12 31111 6 M59 40400 000173 0000R 00001 00132 025 2111100 2024*")</f>
        <v>0</v>
      </c>
      <c r="H710" s="83">
        <f t="shared" si="11"/>
        <v>15661</v>
      </c>
      <c r="I710" s="83"/>
      <c r="K710" s="54" t="s">
        <v>15</v>
      </c>
    </row>
    <row r="711" spans="2:11" ht="41.25" x14ac:dyDescent="0.2">
      <c r="B711" s="82" t="s">
        <v>4363</v>
      </c>
      <c r="C711" s="82" t="s">
        <v>662</v>
      </c>
      <c r="D711" s="83">
        <f>SUMIFS(D712:D1496,K712:K1496,"0",B712:B1496,"5 1 1 3 2 12 31111 6 M59 40400 000173 0000R 00001 00132 025 2111100 2024 CP4PD369*")-SUMIFS(E712:E1496,K712:K1496,"0",B712:B1496,"5 1 1 3 2 12 31111 6 M59 40400 000173 0000R 00001 00132 025 2111100 2024 CP4PD369*")</f>
        <v>0</v>
      </c>
      <c r="E711" s="54"/>
      <c r="F711" s="83">
        <f>SUMIFS(F712:F1496,K712:K1496,"0",B712:B1496,"5 1 1 3 2 12 31111 6 M59 40400 000173 0000R 00001 00132 025 2111100 2024 CP4PD369*")</f>
        <v>15661</v>
      </c>
      <c r="G711" s="83">
        <f>SUMIFS(G712:G1496,K712:K1496,"0",B712:B1496,"5 1 1 3 2 12 31111 6 M59 40400 000173 0000R 00001 00132 025 2111100 2024 CP4PD369*")</f>
        <v>0</v>
      </c>
      <c r="H711" s="83">
        <f t="shared" si="11"/>
        <v>15661</v>
      </c>
      <c r="I711" s="83"/>
      <c r="K711" s="54" t="s">
        <v>15</v>
      </c>
    </row>
    <row r="712" spans="2:11" ht="41.25" x14ac:dyDescent="0.2">
      <c r="B712" s="82" t="s">
        <v>4364</v>
      </c>
      <c r="C712" s="82" t="s">
        <v>664</v>
      </c>
      <c r="D712" s="83">
        <f>SUMIFS(D713:D1496,K713:K1496,"0",B713:B1496,"5 1 1 3 2 12 31111 6 M59 40400 000173 0000R 00001 00132 025 2111100 2024 CP4PD369 003*")-SUMIFS(E713:E1496,K713:K1496,"0",B713:B1496,"5 1 1 3 2 12 31111 6 M59 40400 000173 0000R 00001 00132 025 2111100 2024 CP4PD369 003*")</f>
        <v>0</v>
      </c>
      <c r="E712" s="54"/>
      <c r="F712" s="83">
        <f>SUMIFS(F713:F1496,K713:K1496,"0",B713:B1496,"5 1 1 3 2 12 31111 6 M59 40400 000173 0000R 00001 00132 025 2111100 2024 CP4PD369 003*")</f>
        <v>15661</v>
      </c>
      <c r="G712" s="83">
        <f>SUMIFS(G713:G1496,K713:K1496,"0",B713:B1496,"5 1 1 3 2 12 31111 6 M59 40400 000173 0000R 00001 00132 025 2111100 2024 CP4PD369 003*")</f>
        <v>0</v>
      </c>
      <c r="H712" s="83">
        <f t="shared" si="11"/>
        <v>15661</v>
      </c>
      <c r="I712" s="83"/>
      <c r="K712" s="54" t="s">
        <v>15</v>
      </c>
    </row>
    <row r="713" spans="2:11" ht="33" x14ac:dyDescent="0.2">
      <c r="B713" s="84" t="s">
        <v>4365</v>
      </c>
      <c r="C713" s="84" t="s">
        <v>4332</v>
      </c>
      <c r="D713" s="85">
        <v>0</v>
      </c>
      <c r="E713" s="85"/>
      <c r="F713" s="85">
        <v>15661</v>
      </c>
      <c r="G713" s="85">
        <v>0</v>
      </c>
      <c r="H713" s="85">
        <f t="shared" si="11"/>
        <v>15661</v>
      </c>
      <c r="I713" s="85"/>
      <c r="K713" s="54" t="s">
        <v>38</v>
      </c>
    </row>
    <row r="714" spans="2:11" ht="12.75" x14ac:dyDescent="0.2">
      <c r="B714" s="82" t="s">
        <v>4765</v>
      </c>
      <c r="C714" s="82" t="s">
        <v>4766</v>
      </c>
      <c r="D714" s="83">
        <f>SUMIFS(D715:D1496,K715:K1496,"0",B715:B1496,"5 1 1 3 4*")-SUMIFS(E715:E1496,K715:K1496,"0",B715:B1496,"5 1 1 3 4*")</f>
        <v>0</v>
      </c>
      <c r="E714" s="54"/>
      <c r="F714" s="83">
        <f>SUMIFS(F715:F1496,K715:K1496,"0",B715:B1496,"5 1 1 3 4*")</f>
        <v>763590.78</v>
      </c>
      <c r="G714" s="83">
        <f>SUMIFS(G715:G1496,K715:K1496,"0",B715:B1496,"5 1 1 3 4*")</f>
        <v>0</v>
      </c>
      <c r="H714" s="83">
        <f t="shared" si="11"/>
        <v>763590.78</v>
      </c>
      <c r="I714" s="83"/>
      <c r="K714" s="54" t="s">
        <v>15</v>
      </c>
    </row>
    <row r="715" spans="2:11" ht="12.75" x14ac:dyDescent="0.2">
      <c r="B715" s="82" t="s">
        <v>4767</v>
      </c>
      <c r="C715" s="82" t="s">
        <v>26</v>
      </c>
      <c r="D715" s="83">
        <f>SUMIFS(D716:D1496,K716:K1496,"0",B716:B1496,"5 1 1 3 4 12*")-SUMIFS(E716:E1496,K716:K1496,"0",B716:B1496,"5 1 1 3 4 12*")</f>
        <v>0</v>
      </c>
      <c r="E715" s="54"/>
      <c r="F715" s="83">
        <f>SUMIFS(F716:F1496,K716:K1496,"0",B716:B1496,"5 1 1 3 4 12*")</f>
        <v>763590.78</v>
      </c>
      <c r="G715" s="83">
        <f>SUMIFS(G716:G1496,K716:K1496,"0",B716:B1496,"5 1 1 3 4 12*")</f>
        <v>0</v>
      </c>
      <c r="H715" s="83">
        <f t="shared" si="11"/>
        <v>763590.78</v>
      </c>
      <c r="I715" s="83"/>
      <c r="K715" s="54" t="s">
        <v>15</v>
      </c>
    </row>
    <row r="716" spans="2:11" ht="16.5" x14ac:dyDescent="0.2">
      <c r="B716" s="82" t="s">
        <v>4768</v>
      </c>
      <c r="C716" s="82" t="s">
        <v>28</v>
      </c>
      <c r="D716" s="83">
        <f>SUMIFS(D717:D1496,K717:K1496,"0",B717:B1496,"5 1 1 3 4 12 31111*")-SUMIFS(E717:E1496,K717:K1496,"0",B717:B1496,"5 1 1 3 4 12 31111*")</f>
        <v>0</v>
      </c>
      <c r="E716" s="54"/>
      <c r="F716" s="83">
        <f>SUMIFS(F717:F1496,K717:K1496,"0",B717:B1496,"5 1 1 3 4 12 31111*")</f>
        <v>763590.78</v>
      </c>
      <c r="G716" s="83">
        <f>SUMIFS(G717:G1496,K717:K1496,"0",B717:B1496,"5 1 1 3 4 12 31111*")</f>
        <v>0</v>
      </c>
      <c r="H716" s="83">
        <f t="shared" si="11"/>
        <v>763590.78</v>
      </c>
      <c r="I716" s="83"/>
      <c r="K716" s="54" t="s">
        <v>15</v>
      </c>
    </row>
    <row r="717" spans="2:11" ht="12.75" x14ac:dyDescent="0.2">
      <c r="B717" s="82" t="s">
        <v>4769</v>
      </c>
      <c r="C717" s="82" t="s">
        <v>30</v>
      </c>
      <c r="D717" s="83">
        <f>SUMIFS(D718:D1496,K718:K1496,"0",B718:B1496,"5 1 1 3 4 12 31111 6*")-SUMIFS(E718:E1496,K718:K1496,"0",B718:B1496,"5 1 1 3 4 12 31111 6*")</f>
        <v>0</v>
      </c>
      <c r="E717" s="54"/>
      <c r="F717" s="83">
        <f>SUMIFS(F718:F1496,K718:K1496,"0",B718:B1496,"5 1 1 3 4 12 31111 6*")</f>
        <v>763590.78</v>
      </c>
      <c r="G717" s="83">
        <f>SUMIFS(G718:G1496,K718:K1496,"0",B718:B1496,"5 1 1 3 4 12 31111 6*")</f>
        <v>0</v>
      </c>
      <c r="H717" s="83">
        <f t="shared" si="11"/>
        <v>763590.78</v>
      </c>
      <c r="I717" s="83"/>
      <c r="K717" s="54" t="s">
        <v>15</v>
      </c>
    </row>
    <row r="718" spans="2:11" ht="16.5" x14ac:dyDescent="0.2">
      <c r="B718" s="82" t="s">
        <v>4770</v>
      </c>
      <c r="C718" s="82" t="s">
        <v>2284</v>
      </c>
      <c r="D718" s="83">
        <f>SUMIFS(D719:D1496,K719:K1496,"0",B719:B1496,"5 1 1 3 4 12 31111 6 M59*")-SUMIFS(E719:E1496,K719:K1496,"0",B719:B1496,"5 1 1 3 4 12 31111 6 M59*")</f>
        <v>0</v>
      </c>
      <c r="E718" s="54"/>
      <c r="F718" s="83">
        <f>SUMIFS(F719:F1496,K719:K1496,"0",B719:B1496,"5 1 1 3 4 12 31111 6 M59*")</f>
        <v>763590.78</v>
      </c>
      <c r="G718" s="83">
        <f>SUMIFS(G719:G1496,K719:K1496,"0",B719:B1496,"5 1 1 3 4 12 31111 6 M59*")</f>
        <v>0</v>
      </c>
      <c r="H718" s="83">
        <f t="shared" si="11"/>
        <v>763590.78</v>
      </c>
      <c r="I718" s="83"/>
      <c r="K718" s="54" t="s">
        <v>15</v>
      </c>
    </row>
    <row r="719" spans="2:11" ht="16.5" x14ac:dyDescent="0.2">
      <c r="B719" s="82" t="s">
        <v>4951</v>
      </c>
      <c r="C719" s="82" t="s">
        <v>1092</v>
      </c>
      <c r="D719" s="83">
        <f>SUMIFS(D720:D1496,K720:K1496,"0",B720:B1496,"5 1 1 3 4 12 31111 6 M59 40000*")-SUMIFS(E720:E1496,K720:K1496,"0",B720:B1496,"5 1 1 3 4 12 31111 6 M59 40000*")</f>
        <v>0</v>
      </c>
      <c r="E719" s="54"/>
      <c r="F719" s="83">
        <f>SUMIFS(F720:F1496,K720:K1496,"0",B720:B1496,"5 1 1 3 4 12 31111 6 M59 40000*")</f>
        <v>680898.48</v>
      </c>
      <c r="G719" s="83">
        <f>SUMIFS(G720:G1496,K720:K1496,"0",B720:B1496,"5 1 1 3 4 12 31111 6 M59 40000*")</f>
        <v>0</v>
      </c>
      <c r="H719" s="83">
        <f t="shared" si="11"/>
        <v>680898.48</v>
      </c>
      <c r="I719" s="83"/>
      <c r="K719" s="54" t="s">
        <v>15</v>
      </c>
    </row>
    <row r="720" spans="2:11" ht="16.5" x14ac:dyDescent="0.2">
      <c r="B720" s="82" t="s">
        <v>4952</v>
      </c>
      <c r="C720" s="82" t="s">
        <v>1094</v>
      </c>
      <c r="D720" s="83">
        <f>SUMIFS(D721:D1496,K721:K1496,"0",B721:B1496,"5 1 1 3 4 12 31111 6 M59 40000 000161*")-SUMIFS(E721:E1496,K721:K1496,"0",B721:B1496,"5 1 1 3 4 12 31111 6 M59 40000 000161*")</f>
        <v>0</v>
      </c>
      <c r="E720" s="54"/>
      <c r="F720" s="83">
        <f>SUMIFS(F721:F1496,K721:K1496,"0",B721:B1496,"5 1 1 3 4 12 31111 6 M59 40000 000161*")</f>
        <v>680898.48</v>
      </c>
      <c r="G720" s="83">
        <f>SUMIFS(G721:G1496,K721:K1496,"0",B721:B1496,"5 1 1 3 4 12 31111 6 M59 40000 000161*")</f>
        <v>0</v>
      </c>
      <c r="H720" s="83">
        <f t="shared" si="11"/>
        <v>680898.48</v>
      </c>
      <c r="I720" s="83"/>
      <c r="K720" s="54" t="s">
        <v>15</v>
      </c>
    </row>
    <row r="721" spans="2:11" ht="24.75" x14ac:dyDescent="0.2">
      <c r="B721" s="82" t="s">
        <v>4953</v>
      </c>
      <c r="C721" s="82" t="s">
        <v>1065</v>
      </c>
      <c r="D721" s="83">
        <f>SUMIFS(D722:D1496,K722:K1496,"0",B722:B1496,"5 1 1 3 4 12 31111 6 M59 40000 000161 0000E*")-SUMIFS(E722:E1496,K722:K1496,"0",B722:B1496,"5 1 1 3 4 12 31111 6 M59 40000 000161 0000E*")</f>
        <v>0</v>
      </c>
      <c r="E721" s="54"/>
      <c r="F721" s="83">
        <f>SUMIFS(F722:F1496,K722:K1496,"0",B722:B1496,"5 1 1 3 4 12 31111 6 M59 40000 000161 0000E*")</f>
        <v>680898.48</v>
      </c>
      <c r="G721" s="83">
        <f>SUMIFS(G722:G1496,K722:K1496,"0",B722:B1496,"5 1 1 3 4 12 31111 6 M59 40000 000161 0000E*")</f>
        <v>0</v>
      </c>
      <c r="H721" s="83">
        <f t="shared" si="11"/>
        <v>680898.48</v>
      </c>
      <c r="I721" s="83"/>
      <c r="K721" s="54" t="s">
        <v>15</v>
      </c>
    </row>
    <row r="722" spans="2:11" ht="24.75" x14ac:dyDescent="0.2">
      <c r="B722" s="82" t="s">
        <v>4954</v>
      </c>
      <c r="C722" s="82" t="s">
        <v>282</v>
      </c>
      <c r="D722" s="83">
        <f>SUMIFS(D723:D1496,K723:K1496,"0",B723:B1496,"5 1 1 3 4 12 31111 6 M59 40000 000161 0000E 00001*")-SUMIFS(E723:E1496,K723:K1496,"0",B723:B1496,"5 1 1 3 4 12 31111 6 M59 40000 000161 0000E 00001*")</f>
        <v>0</v>
      </c>
      <c r="E722" s="54"/>
      <c r="F722" s="83">
        <f>SUMIFS(F723:F1496,K723:K1496,"0",B723:B1496,"5 1 1 3 4 12 31111 6 M59 40000 000161 0000E 00001*")</f>
        <v>680898.48</v>
      </c>
      <c r="G722" s="83">
        <f>SUMIFS(G723:G1496,K723:K1496,"0",B723:B1496,"5 1 1 3 4 12 31111 6 M59 40000 000161 0000E 00001*")</f>
        <v>0</v>
      </c>
      <c r="H722" s="83">
        <f t="shared" si="11"/>
        <v>680898.48</v>
      </c>
      <c r="I722" s="83"/>
      <c r="K722" s="54" t="s">
        <v>15</v>
      </c>
    </row>
    <row r="723" spans="2:11" ht="24.75" x14ac:dyDescent="0.2">
      <c r="B723" s="82" t="s">
        <v>4955</v>
      </c>
      <c r="C723" s="82" t="s">
        <v>4776</v>
      </c>
      <c r="D723" s="83">
        <f>SUMIFS(D724:D1496,K724:K1496,"0",B724:B1496,"5 1 1 3 4 12 31111 6 M59 40000 000161 0000E 00001 00134*")-SUMIFS(E724:E1496,K724:K1496,"0",B724:B1496,"5 1 1 3 4 12 31111 6 M59 40000 000161 0000E 00001 00134*")</f>
        <v>0</v>
      </c>
      <c r="E723" s="54"/>
      <c r="F723" s="83">
        <f>SUMIFS(F724:F1496,K724:K1496,"0",B724:B1496,"5 1 1 3 4 12 31111 6 M59 40000 000161 0000E 00001 00134*")</f>
        <v>680898.48</v>
      </c>
      <c r="G723" s="83">
        <f>SUMIFS(G724:G1496,K724:K1496,"0",B724:B1496,"5 1 1 3 4 12 31111 6 M59 40000 000161 0000E 00001 00134*")</f>
        <v>0</v>
      </c>
      <c r="H723" s="83">
        <f t="shared" si="11"/>
        <v>680898.48</v>
      </c>
      <c r="I723" s="83"/>
      <c r="K723" s="54" t="s">
        <v>15</v>
      </c>
    </row>
    <row r="724" spans="2:11" ht="33" x14ac:dyDescent="0.2">
      <c r="B724" s="82" t="s">
        <v>4956</v>
      </c>
      <c r="C724" s="82" t="s">
        <v>656</v>
      </c>
      <c r="D724" s="83">
        <f>SUMIFS(D725:D1496,K725:K1496,"0",B725:B1496,"5 1 1 3 4 12 31111 6 M59 40000 000161 0000E 00001 00134 025*")-SUMIFS(E725:E1496,K725:K1496,"0",B725:B1496,"5 1 1 3 4 12 31111 6 M59 40000 000161 0000E 00001 00134 025*")</f>
        <v>0</v>
      </c>
      <c r="E724" s="54"/>
      <c r="F724" s="83">
        <f>SUMIFS(F725:F1496,K725:K1496,"0",B725:B1496,"5 1 1 3 4 12 31111 6 M59 40000 000161 0000E 00001 00134 025*")</f>
        <v>680898.48</v>
      </c>
      <c r="G724" s="83">
        <f>SUMIFS(G725:G1496,K725:K1496,"0",B725:B1496,"5 1 1 3 4 12 31111 6 M59 40000 000161 0000E 00001 00134 025*")</f>
        <v>0</v>
      </c>
      <c r="H724" s="83">
        <f t="shared" si="11"/>
        <v>680898.48</v>
      </c>
      <c r="I724" s="83"/>
      <c r="K724" s="54" t="s">
        <v>15</v>
      </c>
    </row>
    <row r="725" spans="2:11" ht="33" x14ac:dyDescent="0.2">
      <c r="B725" s="82" t="s">
        <v>4957</v>
      </c>
      <c r="C725" s="82" t="s">
        <v>2927</v>
      </c>
      <c r="D725" s="83">
        <f>SUMIFS(D726:D1496,K726:K1496,"0",B726:B1496,"5 1 1 3 4 12 31111 6 M59 40000 000161 0000E 00001 00134 025 2111100*")-SUMIFS(E726:E1496,K726:K1496,"0",B726:B1496,"5 1 1 3 4 12 31111 6 M59 40000 000161 0000E 00001 00134 025 2111100*")</f>
        <v>0</v>
      </c>
      <c r="E725" s="54"/>
      <c r="F725" s="83">
        <f>SUMIFS(F726:F1496,K726:K1496,"0",B726:B1496,"5 1 1 3 4 12 31111 6 M59 40000 000161 0000E 00001 00134 025 2111100*")</f>
        <v>680898.48</v>
      </c>
      <c r="G725" s="83">
        <f>SUMIFS(G726:G1496,K726:K1496,"0",B726:B1496,"5 1 1 3 4 12 31111 6 M59 40000 000161 0000E 00001 00134 025 2111100*")</f>
        <v>0</v>
      </c>
      <c r="H725" s="83">
        <f t="shared" si="11"/>
        <v>680898.48</v>
      </c>
      <c r="I725" s="83"/>
      <c r="K725" s="54" t="s">
        <v>15</v>
      </c>
    </row>
    <row r="726" spans="2:11" ht="33" x14ac:dyDescent="0.2">
      <c r="B726" s="82" t="s">
        <v>4958</v>
      </c>
      <c r="C726" s="82" t="s">
        <v>660</v>
      </c>
      <c r="D726" s="83">
        <f>SUMIFS(D727:D1496,K727:K1496,"0",B727:B1496,"5 1 1 3 4 12 31111 6 M59 40000 000161 0000E 00001 00134 025 2111100 2024*")-SUMIFS(E727:E1496,K727:K1496,"0",B727:B1496,"5 1 1 3 4 12 31111 6 M59 40000 000161 0000E 00001 00134 025 2111100 2024*")</f>
        <v>0</v>
      </c>
      <c r="E726" s="54"/>
      <c r="F726" s="83">
        <f>SUMIFS(F727:F1496,K727:K1496,"0",B727:B1496,"5 1 1 3 4 12 31111 6 M59 40000 000161 0000E 00001 00134 025 2111100 2024*")</f>
        <v>680898.48</v>
      </c>
      <c r="G726" s="83">
        <f>SUMIFS(G727:G1496,K727:K1496,"0",B727:B1496,"5 1 1 3 4 12 31111 6 M59 40000 000161 0000E 00001 00134 025 2111100 2024*")</f>
        <v>0</v>
      </c>
      <c r="H726" s="83">
        <f t="shared" si="11"/>
        <v>680898.48</v>
      </c>
      <c r="I726" s="83"/>
      <c r="K726" s="54" t="s">
        <v>15</v>
      </c>
    </row>
    <row r="727" spans="2:11" ht="41.25" x14ac:dyDescent="0.2">
      <c r="B727" s="82" t="s">
        <v>4959</v>
      </c>
      <c r="C727" s="82" t="s">
        <v>662</v>
      </c>
      <c r="D727" s="83">
        <f>SUMIFS(D728:D1496,K728:K1496,"0",B728:B1496,"5 1 1 3 4 12 31111 6 M59 40000 000161 0000E 00001 00134 025 2111100 2024 CP4SP372*")-SUMIFS(E728:E1496,K728:K1496,"0",B728:B1496,"5 1 1 3 4 12 31111 6 M59 40000 000161 0000E 00001 00134 025 2111100 2024 CP4SP372*")</f>
        <v>0</v>
      </c>
      <c r="E727" s="54"/>
      <c r="F727" s="83">
        <f>SUMIFS(F728:F1496,K728:K1496,"0",B728:B1496,"5 1 1 3 4 12 31111 6 M59 40000 000161 0000E 00001 00134 025 2111100 2024 CP4SP372*")</f>
        <v>680898.48</v>
      </c>
      <c r="G727" s="83">
        <f>SUMIFS(G728:G1496,K728:K1496,"0",B728:B1496,"5 1 1 3 4 12 31111 6 M59 40000 000161 0000E 00001 00134 025 2111100 2024 CP4SP372*")</f>
        <v>0</v>
      </c>
      <c r="H727" s="83">
        <f t="shared" si="11"/>
        <v>680898.48</v>
      </c>
      <c r="I727" s="83"/>
      <c r="K727" s="54" t="s">
        <v>15</v>
      </c>
    </row>
    <row r="728" spans="2:11" ht="41.25" x14ac:dyDescent="0.2">
      <c r="B728" s="82" t="s">
        <v>4960</v>
      </c>
      <c r="C728" s="82" t="s">
        <v>664</v>
      </c>
      <c r="D728" s="83">
        <f>SUMIFS(D729:D1496,K729:K1496,"0",B729:B1496,"5 1 1 3 4 12 31111 6 M59 40000 000161 0000E 00001 00134 025 2111100 2024 CP4SP372 003*")-SUMIFS(E729:E1496,K729:K1496,"0",B729:B1496,"5 1 1 3 4 12 31111 6 M59 40000 000161 0000E 00001 00134 025 2111100 2024 CP4SP372 003*")</f>
        <v>0</v>
      </c>
      <c r="E728" s="54"/>
      <c r="F728" s="83">
        <f>SUMIFS(F729:F1496,K729:K1496,"0",B729:B1496,"5 1 1 3 4 12 31111 6 M59 40000 000161 0000E 00001 00134 025 2111100 2024 CP4SP372 003*")</f>
        <v>680898.48</v>
      </c>
      <c r="G728" s="83">
        <f>SUMIFS(G729:G1496,K729:K1496,"0",B729:B1496,"5 1 1 3 4 12 31111 6 M59 40000 000161 0000E 00001 00134 025 2111100 2024 CP4SP372 003*")</f>
        <v>0</v>
      </c>
      <c r="H728" s="83">
        <f t="shared" si="11"/>
        <v>680898.48</v>
      </c>
      <c r="I728" s="83"/>
      <c r="K728" s="54" t="s">
        <v>15</v>
      </c>
    </row>
    <row r="729" spans="2:11" ht="33" x14ac:dyDescent="0.2">
      <c r="B729" s="84" t="s">
        <v>4961</v>
      </c>
      <c r="C729" s="84" t="s">
        <v>4783</v>
      </c>
      <c r="D729" s="85">
        <v>0</v>
      </c>
      <c r="E729" s="85"/>
      <c r="F729" s="85">
        <v>680898.48</v>
      </c>
      <c r="G729" s="85">
        <v>0</v>
      </c>
      <c r="H729" s="85">
        <f t="shared" si="11"/>
        <v>680898.48</v>
      </c>
      <c r="I729" s="85"/>
      <c r="K729" s="54" t="s">
        <v>38</v>
      </c>
    </row>
    <row r="730" spans="2:11" ht="16.5" x14ac:dyDescent="0.2">
      <c r="B730" s="82" t="s">
        <v>4962</v>
      </c>
      <c r="C730" s="82" t="s">
        <v>1105</v>
      </c>
      <c r="D730" s="83">
        <f>SUMIFS(D731:D1496,K731:K1496,"0",B731:B1496,"5 1 1 3 4 12 31111 6 M59 40200*")-SUMIFS(E731:E1496,K731:K1496,"0",B731:B1496,"5 1 1 3 4 12 31111 6 M59 40200*")</f>
        <v>0</v>
      </c>
      <c r="E730" s="54"/>
      <c r="F730" s="83">
        <f>SUMIFS(F731:F1496,K731:K1496,"0",B731:B1496,"5 1 1 3 4 12 31111 6 M59 40200*")</f>
        <v>82692.3</v>
      </c>
      <c r="G730" s="83">
        <f>SUMIFS(G731:G1496,K731:K1496,"0",B731:B1496,"5 1 1 3 4 12 31111 6 M59 40200*")</f>
        <v>0</v>
      </c>
      <c r="H730" s="83">
        <f t="shared" si="11"/>
        <v>82692.3</v>
      </c>
      <c r="I730" s="83"/>
      <c r="K730" s="54" t="s">
        <v>15</v>
      </c>
    </row>
    <row r="731" spans="2:11" ht="16.5" x14ac:dyDescent="0.2">
      <c r="B731" s="82" t="s">
        <v>4963</v>
      </c>
      <c r="C731" s="82" t="s">
        <v>1107</v>
      </c>
      <c r="D731" s="83">
        <f>SUMIFS(D732:D1496,K732:K1496,"0",B732:B1496,"5 1 1 3 4 12 31111 6 M59 40200 000172*")-SUMIFS(E732:E1496,K732:K1496,"0",B732:B1496,"5 1 1 3 4 12 31111 6 M59 40200 000172*")</f>
        <v>0</v>
      </c>
      <c r="E731" s="54"/>
      <c r="F731" s="83">
        <f>SUMIFS(F732:F1496,K732:K1496,"0",B732:B1496,"5 1 1 3 4 12 31111 6 M59 40200 000172*")</f>
        <v>82692.3</v>
      </c>
      <c r="G731" s="83">
        <f>SUMIFS(G732:G1496,K732:K1496,"0",B732:B1496,"5 1 1 3 4 12 31111 6 M59 40200 000172*")</f>
        <v>0</v>
      </c>
      <c r="H731" s="83">
        <f t="shared" si="11"/>
        <v>82692.3</v>
      </c>
      <c r="I731" s="83"/>
      <c r="K731" s="54" t="s">
        <v>15</v>
      </c>
    </row>
    <row r="732" spans="2:11" ht="24.75" x14ac:dyDescent="0.2">
      <c r="B732" s="82" t="s">
        <v>4964</v>
      </c>
      <c r="C732" s="82" t="s">
        <v>650</v>
      </c>
      <c r="D732" s="83">
        <f>SUMIFS(D733:D1496,K733:K1496,"0",B733:B1496,"5 1 1 3 4 12 31111 6 M59 40200 000172 0000R*")-SUMIFS(E733:E1496,K733:K1496,"0",B733:B1496,"5 1 1 3 4 12 31111 6 M59 40200 000172 0000R*")</f>
        <v>0</v>
      </c>
      <c r="E732" s="54"/>
      <c r="F732" s="83">
        <f>SUMIFS(F733:F1496,K733:K1496,"0",B733:B1496,"5 1 1 3 4 12 31111 6 M59 40200 000172 0000R*")</f>
        <v>82692.3</v>
      </c>
      <c r="G732" s="83">
        <f>SUMIFS(G733:G1496,K733:K1496,"0",B733:B1496,"5 1 1 3 4 12 31111 6 M59 40200 000172 0000R*")</f>
        <v>0</v>
      </c>
      <c r="H732" s="83">
        <f t="shared" si="11"/>
        <v>82692.3</v>
      </c>
      <c r="I732" s="83"/>
      <c r="K732" s="54" t="s">
        <v>15</v>
      </c>
    </row>
    <row r="733" spans="2:11" ht="24.75" x14ac:dyDescent="0.2">
      <c r="B733" s="82" t="s">
        <v>4965</v>
      </c>
      <c r="C733" s="82" t="s">
        <v>282</v>
      </c>
      <c r="D733" s="83">
        <f>SUMIFS(D734:D1496,K734:K1496,"0",B734:B1496,"5 1 1 3 4 12 31111 6 M59 40200 000172 0000R 00001*")-SUMIFS(E734:E1496,K734:K1496,"0",B734:B1496,"5 1 1 3 4 12 31111 6 M59 40200 000172 0000R 00001*")</f>
        <v>0</v>
      </c>
      <c r="E733" s="54"/>
      <c r="F733" s="83">
        <f>SUMIFS(F734:F1496,K734:K1496,"0",B734:B1496,"5 1 1 3 4 12 31111 6 M59 40200 000172 0000R 00001*")</f>
        <v>82692.3</v>
      </c>
      <c r="G733" s="83">
        <f>SUMIFS(G734:G1496,K734:K1496,"0",B734:B1496,"5 1 1 3 4 12 31111 6 M59 40200 000172 0000R 00001*")</f>
        <v>0</v>
      </c>
      <c r="H733" s="83">
        <f t="shared" si="11"/>
        <v>82692.3</v>
      </c>
      <c r="I733" s="83"/>
      <c r="K733" s="54" t="s">
        <v>15</v>
      </c>
    </row>
    <row r="734" spans="2:11" ht="24.75" x14ac:dyDescent="0.2">
      <c r="B734" s="82" t="s">
        <v>4966</v>
      </c>
      <c r="C734" s="82" t="s">
        <v>4776</v>
      </c>
      <c r="D734" s="83">
        <f>SUMIFS(D735:D1496,K735:K1496,"0",B735:B1496,"5 1 1 3 4 12 31111 6 M59 40200 000172 0000R 00001 00134*")-SUMIFS(E735:E1496,K735:K1496,"0",B735:B1496,"5 1 1 3 4 12 31111 6 M59 40200 000172 0000R 00001 00134*")</f>
        <v>0</v>
      </c>
      <c r="E734" s="54"/>
      <c r="F734" s="83">
        <f>SUMIFS(F735:F1496,K735:K1496,"0",B735:B1496,"5 1 1 3 4 12 31111 6 M59 40200 000172 0000R 00001 00134*")</f>
        <v>82692.3</v>
      </c>
      <c r="G734" s="83">
        <f>SUMIFS(G735:G1496,K735:K1496,"0",B735:B1496,"5 1 1 3 4 12 31111 6 M59 40200 000172 0000R 00001 00134*")</f>
        <v>0</v>
      </c>
      <c r="H734" s="83">
        <f t="shared" si="11"/>
        <v>82692.3</v>
      </c>
      <c r="I734" s="83"/>
      <c r="K734" s="54" t="s">
        <v>15</v>
      </c>
    </row>
    <row r="735" spans="2:11" ht="33" x14ac:dyDescent="0.2">
      <c r="B735" s="82" t="s">
        <v>4967</v>
      </c>
      <c r="C735" s="82" t="s">
        <v>656</v>
      </c>
      <c r="D735" s="83">
        <f>SUMIFS(D736:D1496,K736:K1496,"0",B736:B1496,"5 1 1 3 4 12 31111 6 M59 40200 000172 0000R 00001 00134 025*")-SUMIFS(E736:E1496,K736:K1496,"0",B736:B1496,"5 1 1 3 4 12 31111 6 M59 40200 000172 0000R 00001 00134 025*")</f>
        <v>0</v>
      </c>
      <c r="E735" s="54"/>
      <c r="F735" s="83">
        <f>SUMIFS(F736:F1496,K736:K1496,"0",B736:B1496,"5 1 1 3 4 12 31111 6 M59 40200 000172 0000R 00001 00134 025*")</f>
        <v>82692.3</v>
      </c>
      <c r="G735" s="83">
        <f>SUMIFS(G736:G1496,K736:K1496,"0",B736:B1496,"5 1 1 3 4 12 31111 6 M59 40200 000172 0000R 00001 00134 025*")</f>
        <v>0</v>
      </c>
      <c r="H735" s="83">
        <f t="shared" si="11"/>
        <v>82692.3</v>
      </c>
      <c r="I735" s="83"/>
      <c r="K735" s="54" t="s">
        <v>15</v>
      </c>
    </row>
    <row r="736" spans="2:11" ht="33" x14ac:dyDescent="0.2">
      <c r="B736" s="82" t="s">
        <v>4968</v>
      </c>
      <c r="C736" s="82" t="s">
        <v>2927</v>
      </c>
      <c r="D736" s="83">
        <f>SUMIFS(D737:D1496,K737:K1496,"0",B737:B1496,"5 1 1 3 4 12 31111 6 M59 40200 000172 0000R 00001 00134 025 2111100*")-SUMIFS(E737:E1496,K737:K1496,"0",B737:B1496,"5 1 1 3 4 12 31111 6 M59 40200 000172 0000R 00001 00134 025 2111100*")</f>
        <v>0</v>
      </c>
      <c r="E736" s="54"/>
      <c r="F736" s="83">
        <f>SUMIFS(F737:F1496,K737:K1496,"0",B737:B1496,"5 1 1 3 4 12 31111 6 M59 40200 000172 0000R 00001 00134 025 2111100*")</f>
        <v>82692.3</v>
      </c>
      <c r="G736" s="83">
        <f>SUMIFS(G737:G1496,K737:K1496,"0",B737:B1496,"5 1 1 3 4 12 31111 6 M59 40200 000172 0000R 00001 00134 025 2111100*")</f>
        <v>0</v>
      </c>
      <c r="H736" s="83">
        <f t="shared" si="11"/>
        <v>82692.3</v>
      </c>
      <c r="I736" s="83"/>
      <c r="K736" s="54" t="s">
        <v>15</v>
      </c>
    </row>
    <row r="737" spans="2:11" ht="33" x14ac:dyDescent="0.2">
      <c r="B737" s="82" t="s">
        <v>4969</v>
      </c>
      <c r="C737" s="82" t="s">
        <v>660</v>
      </c>
      <c r="D737" s="83">
        <f>SUMIFS(D738:D1496,K738:K1496,"0",B738:B1496,"5 1 1 3 4 12 31111 6 M59 40200 000172 0000R 00001 00134 025 2111100 2024*")-SUMIFS(E738:E1496,K738:K1496,"0",B738:B1496,"5 1 1 3 4 12 31111 6 M59 40200 000172 0000R 00001 00134 025 2111100 2024*")</f>
        <v>0</v>
      </c>
      <c r="E737" s="54"/>
      <c r="F737" s="83">
        <f>SUMIFS(F738:F1496,K738:K1496,"0",B738:B1496,"5 1 1 3 4 12 31111 6 M59 40200 000172 0000R 00001 00134 025 2111100 2024*")</f>
        <v>82692.3</v>
      </c>
      <c r="G737" s="83">
        <f>SUMIFS(G738:G1496,K738:K1496,"0",B738:B1496,"5 1 1 3 4 12 31111 6 M59 40200 000172 0000R 00001 00134 025 2111100 2024*")</f>
        <v>0</v>
      </c>
      <c r="H737" s="83">
        <f t="shared" si="11"/>
        <v>82692.3</v>
      </c>
      <c r="I737" s="83"/>
      <c r="K737" s="54" t="s">
        <v>15</v>
      </c>
    </row>
    <row r="738" spans="2:11" ht="41.25" x14ac:dyDescent="0.2">
      <c r="B738" s="82" t="s">
        <v>4970</v>
      </c>
      <c r="C738" s="82" t="s">
        <v>1056</v>
      </c>
      <c r="D738" s="83">
        <f>SUMIFS(D739:D1496,K739:K1496,"0",B739:B1496,"5 1 1 3 4 12 31111 6 M59 40200 000172 0000R 00001 00134 025 2111100 2024 CP4PC370*")-SUMIFS(E739:E1496,K739:K1496,"0",B739:B1496,"5 1 1 3 4 12 31111 6 M59 40200 000172 0000R 00001 00134 025 2111100 2024 CP4PC370*")</f>
        <v>0</v>
      </c>
      <c r="E738" s="54"/>
      <c r="F738" s="83">
        <f>SUMIFS(F739:F1496,K739:K1496,"0",B739:B1496,"5 1 1 3 4 12 31111 6 M59 40200 000172 0000R 00001 00134 025 2111100 2024 CP4PC370*")</f>
        <v>82692.3</v>
      </c>
      <c r="G738" s="83">
        <f>SUMIFS(G739:G1496,K739:K1496,"0",B739:B1496,"5 1 1 3 4 12 31111 6 M59 40200 000172 0000R 00001 00134 025 2111100 2024 CP4PC370*")</f>
        <v>0</v>
      </c>
      <c r="H738" s="83">
        <f t="shared" si="11"/>
        <v>82692.3</v>
      </c>
      <c r="I738" s="83"/>
      <c r="K738" s="54" t="s">
        <v>15</v>
      </c>
    </row>
    <row r="739" spans="2:11" ht="41.25" x14ac:dyDescent="0.2">
      <c r="B739" s="82" t="s">
        <v>4971</v>
      </c>
      <c r="C739" s="82" t="s">
        <v>664</v>
      </c>
      <c r="D739" s="83">
        <f>SUMIFS(D740:D1496,K740:K1496,"0",B740:B1496,"5 1 1 3 4 12 31111 6 M59 40200 000172 0000R 00001 00134 025 2111100 2024 CP4PC370 003*")-SUMIFS(E740:E1496,K740:K1496,"0",B740:B1496,"5 1 1 3 4 12 31111 6 M59 40200 000172 0000R 00001 00134 025 2111100 2024 CP4PC370 003*")</f>
        <v>0</v>
      </c>
      <c r="E739" s="54"/>
      <c r="F739" s="83">
        <f>SUMIFS(F740:F1496,K740:K1496,"0",B740:B1496,"5 1 1 3 4 12 31111 6 M59 40200 000172 0000R 00001 00134 025 2111100 2024 CP4PC370 003*")</f>
        <v>82692.3</v>
      </c>
      <c r="G739" s="83">
        <f>SUMIFS(G740:G1496,K740:K1496,"0",B740:B1496,"5 1 1 3 4 12 31111 6 M59 40200 000172 0000R 00001 00134 025 2111100 2024 CP4PC370 003*")</f>
        <v>0</v>
      </c>
      <c r="H739" s="83">
        <f t="shared" ref="H739:H802" si="12">D739 + F739 - G739</f>
        <v>82692.3</v>
      </c>
      <c r="I739" s="83"/>
      <c r="K739" s="54" t="s">
        <v>15</v>
      </c>
    </row>
    <row r="740" spans="2:11" ht="33" x14ac:dyDescent="0.2">
      <c r="B740" s="84" t="s">
        <v>4972</v>
      </c>
      <c r="C740" s="84" t="s">
        <v>4783</v>
      </c>
      <c r="D740" s="85">
        <v>0</v>
      </c>
      <c r="E740" s="85"/>
      <c r="F740" s="85">
        <v>82692.3</v>
      </c>
      <c r="G740" s="85">
        <v>0</v>
      </c>
      <c r="H740" s="85">
        <f t="shared" si="12"/>
        <v>82692.3</v>
      </c>
      <c r="I740" s="85"/>
      <c r="K740" s="54" t="s">
        <v>38</v>
      </c>
    </row>
    <row r="741" spans="2:11" ht="12.75" x14ac:dyDescent="0.2">
      <c r="B741" s="82" t="s">
        <v>5161</v>
      </c>
      <c r="C741" s="82" t="s">
        <v>5162</v>
      </c>
      <c r="D741" s="83">
        <f>SUMIFS(D742:D1496,K742:K1496,"0",B742:B1496,"5 1 1 4*")-SUMIFS(E742:E1496,K742:K1496,"0",B742:B1496,"5 1 1 4*")</f>
        <v>0</v>
      </c>
      <c r="E741" s="54"/>
      <c r="F741" s="83">
        <f>SUMIFS(F742:F1496,K742:K1496,"0",B742:B1496,"5 1 1 4*")</f>
        <v>16014.39</v>
      </c>
      <c r="G741" s="83">
        <f>SUMIFS(G742:G1496,K742:K1496,"0",B742:B1496,"5 1 1 4*")</f>
        <v>0</v>
      </c>
      <c r="H741" s="83">
        <f t="shared" si="12"/>
        <v>16014.39</v>
      </c>
      <c r="I741" s="83"/>
      <c r="K741" s="54" t="s">
        <v>15</v>
      </c>
    </row>
    <row r="742" spans="2:11" ht="16.5" x14ac:dyDescent="0.2">
      <c r="B742" s="82" t="s">
        <v>5163</v>
      </c>
      <c r="C742" s="82" t="s">
        <v>5164</v>
      </c>
      <c r="D742" s="83">
        <f>SUMIFS(D743:D1496,K743:K1496,"0",B743:B1496,"5 1 1 4 1*")-SUMIFS(E743:E1496,K743:K1496,"0",B743:B1496,"5 1 1 4 1*")</f>
        <v>0</v>
      </c>
      <c r="E742" s="54"/>
      <c r="F742" s="83">
        <f>SUMIFS(F743:F1496,K743:K1496,"0",B743:B1496,"5 1 1 4 1*")</f>
        <v>16014.39</v>
      </c>
      <c r="G742" s="83">
        <f>SUMIFS(G743:G1496,K743:K1496,"0",B743:B1496,"5 1 1 4 1*")</f>
        <v>0</v>
      </c>
      <c r="H742" s="83">
        <f t="shared" si="12"/>
        <v>16014.39</v>
      </c>
      <c r="I742" s="83"/>
      <c r="K742" s="54" t="s">
        <v>15</v>
      </c>
    </row>
    <row r="743" spans="2:11" ht="12.75" x14ac:dyDescent="0.2">
      <c r="B743" s="82" t="s">
        <v>5165</v>
      </c>
      <c r="C743" s="82" t="s">
        <v>26</v>
      </c>
      <c r="D743" s="83">
        <f>SUMIFS(D744:D1496,K744:K1496,"0",B744:B1496,"5 1 1 4 1 12*")-SUMIFS(E744:E1496,K744:K1496,"0",B744:B1496,"5 1 1 4 1 12*")</f>
        <v>0</v>
      </c>
      <c r="E743" s="54"/>
      <c r="F743" s="83">
        <f>SUMIFS(F744:F1496,K744:K1496,"0",B744:B1496,"5 1 1 4 1 12*")</f>
        <v>16014.39</v>
      </c>
      <c r="G743" s="83">
        <f>SUMIFS(G744:G1496,K744:K1496,"0",B744:B1496,"5 1 1 4 1 12*")</f>
        <v>0</v>
      </c>
      <c r="H743" s="83">
        <f t="shared" si="12"/>
        <v>16014.39</v>
      </c>
      <c r="I743" s="83"/>
      <c r="K743" s="54" t="s">
        <v>15</v>
      </c>
    </row>
    <row r="744" spans="2:11" ht="16.5" x14ac:dyDescent="0.2">
      <c r="B744" s="82" t="s">
        <v>5166</v>
      </c>
      <c r="C744" s="82" t="s">
        <v>28</v>
      </c>
      <c r="D744" s="83">
        <f>SUMIFS(D745:D1496,K745:K1496,"0",B745:B1496,"5 1 1 4 1 12 31111*")-SUMIFS(E745:E1496,K745:K1496,"0",B745:B1496,"5 1 1 4 1 12 31111*")</f>
        <v>0</v>
      </c>
      <c r="E744" s="54"/>
      <c r="F744" s="83">
        <f>SUMIFS(F745:F1496,K745:K1496,"0",B745:B1496,"5 1 1 4 1 12 31111*")</f>
        <v>16014.39</v>
      </c>
      <c r="G744" s="83">
        <f>SUMIFS(G745:G1496,K745:K1496,"0",B745:B1496,"5 1 1 4 1 12 31111*")</f>
        <v>0</v>
      </c>
      <c r="H744" s="83">
        <f t="shared" si="12"/>
        <v>16014.39</v>
      </c>
      <c r="I744" s="83"/>
      <c r="K744" s="54" t="s">
        <v>15</v>
      </c>
    </row>
    <row r="745" spans="2:11" ht="12.75" x14ac:dyDescent="0.2">
      <c r="B745" s="82" t="s">
        <v>5167</v>
      </c>
      <c r="C745" s="82" t="s">
        <v>30</v>
      </c>
      <c r="D745" s="83">
        <f>SUMIFS(D746:D1496,K746:K1496,"0",B746:B1496,"5 1 1 4 1 12 31111 6*")-SUMIFS(E746:E1496,K746:K1496,"0",B746:B1496,"5 1 1 4 1 12 31111 6*")</f>
        <v>0</v>
      </c>
      <c r="E745" s="54"/>
      <c r="F745" s="83">
        <f>SUMIFS(F746:F1496,K746:K1496,"0",B746:B1496,"5 1 1 4 1 12 31111 6*")</f>
        <v>16014.39</v>
      </c>
      <c r="G745" s="83">
        <f>SUMIFS(G746:G1496,K746:K1496,"0",B746:B1496,"5 1 1 4 1 12 31111 6*")</f>
        <v>0</v>
      </c>
      <c r="H745" s="83">
        <f t="shared" si="12"/>
        <v>16014.39</v>
      </c>
      <c r="I745" s="83"/>
      <c r="K745" s="54" t="s">
        <v>15</v>
      </c>
    </row>
    <row r="746" spans="2:11" ht="16.5" x14ac:dyDescent="0.2">
      <c r="B746" s="82" t="s">
        <v>5168</v>
      </c>
      <c r="C746" s="82" t="s">
        <v>2284</v>
      </c>
      <c r="D746" s="83">
        <f>SUMIFS(D747:D1496,K747:K1496,"0",B747:B1496,"5 1 1 4 1 12 31111 6 M59*")-SUMIFS(E747:E1496,K747:K1496,"0",B747:B1496,"5 1 1 4 1 12 31111 6 M59*")</f>
        <v>0</v>
      </c>
      <c r="E746" s="54"/>
      <c r="F746" s="83">
        <f>SUMIFS(F747:F1496,K747:K1496,"0",B747:B1496,"5 1 1 4 1 12 31111 6 M59*")</f>
        <v>16014.39</v>
      </c>
      <c r="G746" s="83">
        <f>SUMIFS(G747:G1496,K747:K1496,"0",B747:B1496,"5 1 1 4 1 12 31111 6 M59*")</f>
        <v>0</v>
      </c>
      <c r="H746" s="83">
        <f t="shared" si="12"/>
        <v>16014.39</v>
      </c>
      <c r="I746" s="83"/>
      <c r="K746" s="54" t="s">
        <v>15</v>
      </c>
    </row>
    <row r="747" spans="2:11" ht="16.5" x14ac:dyDescent="0.2">
      <c r="B747" s="82" t="s">
        <v>5236</v>
      </c>
      <c r="C747" s="82" t="s">
        <v>1105</v>
      </c>
      <c r="D747" s="83">
        <f>SUMIFS(D748:D1496,K748:K1496,"0",B748:B1496,"5 1 1 4 1 12 31111 6 M59 40200*")-SUMIFS(E748:E1496,K748:K1496,"0",B748:B1496,"5 1 1 4 1 12 31111 6 M59 40200*")</f>
        <v>0</v>
      </c>
      <c r="E747" s="54"/>
      <c r="F747" s="83">
        <f>SUMIFS(F748:F1496,K748:K1496,"0",B748:B1496,"5 1 1 4 1 12 31111 6 M59 40200*")</f>
        <v>16014.39</v>
      </c>
      <c r="G747" s="83">
        <f>SUMIFS(G748:G1496,K748:K1496,"0",B748:B1496,"5 1 1 4 1 12 31111 6 M59 40200*")</f>
        <v>0</v>
      </c>
      <c r="H747" s="83">
        <f t="shared" si="12"/>
        <v>16014.39</v>
      </c>
      <c r="I747" s="83"/>
      <c r="K747" s="54" t="s">
        <v>15</v>
      </c>
    </row>
    <row r="748" spans="2:11" ht="16.5" x14ac:dyDescent="0.2">
      <c r="B748" s="82" t="s">
        <v>5237</v>
      </c>
      <c r="C748" s="82" t="s">
        <v>1107</v>
      </c>
      <c r="D748" s="83">
        <f>SUMIFS(D749:D1496,K749:K1496,"0",B749:B1496,"5 1 1 4 1 12 31111 6 M59 40200 000172*")-SUMIFS(E749:E1496,K749:K1496,"0",B749:B1496,"5 1 1 4 1 12 31111 6 M59 40200 000172*")</f>
        <v>0</v>
      </c>
      <c r="E748" s="54"/>
      <c r="F748" s="83">
        <f>SUMIFS(F749:F1496,K749:K1496,"0",B749:B1496,"5 1 1 4 1 12 31111 6 M59 40200 000172*")</f>
        <v>16014.39</v>
      </c>
      <c r="G748" s="83">
        <f>SUMIFS(G749:G1496,K749:K1496,"0",B749:B1496,"5 1 1 4 1 12 31111 6 M59 40200 000172*")</f>
        <v>0</v>
      </c>
      <c r="H748" s="83">
        <f t="shared" si="12"/>
        <v>16014.39</v>
      </c>
      <c r="I748" s="83"/>
      <c r="K748" s="54" t="s">
        <v>15</v>
      </c>
    </row>
    <row r="749" spans="2:11" ht="16.5" x14ac:dyDescent="0.2">
      <c r="B749" s="82" t="s">
        <v>5238</v>
      </c>
      <c r="C749" s="82" t="s">
        <v>650</v>
      </c>
      <c r="D749" s="83">
        <f>SUMIFS(D750:D1496,K750:K1496,"0",B750:B1496,"5 1 1 4 1 12 31111 6 M59 40200 000172 0000R*")-SUMIFS(E750:E1496,K750:K1496,"0",B750:B1496,"5 1 1 4 1 12 31111 6 M59 40200 000172 0000R*")</f>
        <v>0</v>
      </c>
      <c r="E749" s="54"/>
      <c r="F749" s="83">
        <f>SUMIFS(F750:F1496,K750:K1496,"0",B750:B1496,"5 1 1 4 1 12 31111 6 M59 40200 000172 0000R*")</f>
        <v>16014.39</v>
      </c>
      <c r="G749" s="83">
        <f>SUMIFS(G750:G1496,K750:K1496,"0",B750:B1496,"5 1 1 4 1 12 31111 6 M59 40200 000172 0000R*")</f>
        <v>0</v>
      </c>
      <c r="H749" s="83">
        <f t="shared" si="12"/>
        <v>16014.39</v>
      </c>
      <c r="I749" s="83"/>
      <c r="K749" s="54" t="s">
        <v>15</v>
      </c>
    </row>
    <row r="750" spans="2:11" ht="24.75" x14ac:dyDescent="0.2">
      <c r="B750" s="82" t="s">
        <v>5239</v>
      </c>
      <c r="C750" s="82" t="s">
        <v>282</v>
      </c>
      <c r="D750" s="83">
        <f>SUMIFS(D751:D1496,K751:K1496,"0",B751:B1496,"5 1 1 4 1 12 31111 6 M59 40200 000172 0000R 00001*")-SUMIFS(E751:E1496,K751:K1496,"0",B751:B1496,"5 1 1 4 1 12 31111 6 M59 40200 000172 0000R 00001*")</f>
        <v>0</v>
      </c>
      <c r="E750" s="54"/>
      <c r="F750" s="83">
        <f>SUMIFS(F751:F1496,K751:K1496,"0",B751:B1496,"5 1 1 4 1 12 31111 6 M59 40200 000172 0000R 00001*")</f>
        <v>16014.39</v>
      </c>
      <c r="G750" s="83">
        <f>SUMIFS(G751:G1496,K751:K1496,"0",B751:B1496,"5 1 1 4 1 12 31111 6 M59 40200 000172 0000R 00001*")</f>
        <v>0</v>
      </c>
      <c r="H750" s="83">
        <f t="shared" si="12"/>
        <v>16014.39</v>
      </c>
      <c r="I750" s="83"/>
      <c r="K750" s="54" t="s">
        <v>15</v>
      </c>
    </row>
    <row r="751" spans="2:11" ht="24.75" x14ac:dyDescent="0.2">
      <c r="B751" s="82" t="s">
        <v>5240</v>
      </c>
      <c r="C751" s="82" t="s">
        <v>5174</v>
      </c>
      <c r="D751" s="83">
        <f>SUMIFS(D752:D1496,K752:K1496,"0",B752:B1496,"5 1 1 4 1 12 31111 6 M59 40200 000172 0000R 00001 00141*")-SUMIFS(E752:E1496,K752:K1496,"0",B752:B1496,"5 1 1 4 1 12 31111 6 M59 40200 000172 0000R 00001 00141*")</f>
        <v>0</v>
      </c>
      <c r="E751" s="54"/>
      <c r="F751" s="83">
        <f>SUMIFS(F752:F1496,K752:K1496,"0",B752:B1496,"5 1 1 4 1 12 31111 6 M59 40200 000172 0000R 00001 00141*")</f>
        <v>16014.39</v>
      </c>
      <c r="G751" s="83">
        <f>SUMIFS(G752:G1496,K752:K1496,"0",B752:B1496,"5 1 1 4 1 12 31111 6 M59 40200 000172 0000R 00001 00141*")</f>
        <v>0</v>
      </c>
      <c r="H751" s="83">
        <f t="shared" si="12"/>
        <v>16014.39</v>
      </c>
      <c r="I751" s="83"/>
      <c r="K751" s="54" t="s">
        <v>15</v>
      </c>
    </row>
    <row r="752" spans="2:11" ht="24.75" x14ac:dyDescent="0.2">
      <c r="B752" s="82" t="s">
        <v>5241</v>
      </c>
      <c r="C752" s="82" t="s">
        <v>656</v>
      </c>
      <c r="D752" s="83">
        <f>SUMIFS(D753:D1496,K753:K1496,"0",B753:B1496,"5 1 1 4 1 12 31111 6 M59 40200 000172 0000R 00001 00141 025*")-SUMIFS(E753:E1496,K753:K1496,"0",B753:B1496,"5 1 1 4 1 12 31111 6 M59 40200 000172 0000R 00001 00141 025*")</f>
        <v>0</v>
      </c>
      <c r="E752" s="54"/>
      <c r="F752" s="83">
        <f>SUMIFS(F753:F1496,K753:K1496,"0",B753:B1496,"5 1 1 4 1 12 31111 6 M59 40200 000172 0000R 00001 00141 025*")</f>
        <v>16014.39</v>
      </c>
      <c r="G752" s="83">
        <f>SUMIFS(G753:G1496,K753:K1496,"0",B753:B1496,"5 1 1 4 1 12 31111 6 M59 40200 000172 0000R 00001 00141 025*")</f>
        <v>0</v>
      </c>
      <c r="H752" s="83">
        <f t="shared" si="12"/>
        <v>16014.39</v>
      </c>
      <c r="I752" s="83"/>
      <c r="K752" s="54" t="s">
        <v>15</v>
      </c>
    </row>
    <row r="753" spans="2:11" ht="33" x14ac:dyDescent="0.2">
      <c r="B753" s="82" t="s">
        <v>5242</v>
      </c>
      <c r="C753" s="82" t="s">
        <v>2927</v>
      </c>
      <c r="D753" s="83">
        <f>SUMIFS(D754:D1496,K754:K1496,"0",B754:B1496,"5 1 1 4 1 12 31111 6 M59 40200 000172 0000R 00001 00141 025 2111100*")-SUMIFS(E754:E1496,K754:K1496,"0",B754:B1496,"5 1 1 4 1 12 31111 6 M59 40200 000172 0000R 00001 00141 025 2111100*")</f>
        <v>0</v>
      </c>
      <c r="E753" s="54"/>
      <c r="F753" s="83">
        <f>SUMIFS(F754:F1496,K754:K1496,"0",B754:B1496,"5 1 1 4 1 12 31111 6 M59 40200 000172 0000R 00001 00141 025 2111100*")</f>
        <v>16014.39</v>
      </c>
      <c r="G753" s="83">
        <f>SUMIFS(G754:G1496,K754:K1496,"0",B754:B1496,"5 1 1 4 1 12 31111 6 M59 40200 000172 0000R 00001 00141 025 2111100*")</f>
        <v>0</v>
      </c>
      <c r="H753" s="83">
        <f t="shared" si="12"/>
        <v>16014.39</v>
      </c>
      <c r="I753" s="83"/>
      <c r="K753" s="54" t="s">
        <v>15</v>
      </c>
    </row>
    <row r="754" spans="2:11" ht="33" x14ac:dyDescent="0.2">
      <c r="B754" s="82" t="s">
        <v>5243</v>
      </c>
      <c r="C754" s="82" t="s">
        <v>660</v>
      </c>
      <c r="D754" s="83">
        <f>SUMIFS(D755:D1496,K755:K1496,"0",B755:B1496,"5 1 1 4 1 12 31111 6 M59 40200 000172 0000R 00001 00141 025 2111100 2024*")-SUMIFS(E755:E1496,K755:K1496,"0",B755:B1496,"5 1 1 4 1 12 31111 6 M59 40200 000172 0000R 00001 00141 025 2111100 2024*")</f>
        <v>0</v>
      </c>
      <c r="E754" s="54"/>
      <c r="F754" s="83">
        <f>SUMIFS(F755:F1496,K755:K1496,"0",B755:B1496,"5 1 1 4 1 12 31111 6 M59 40200 000172 0000R 00001 00141 025 2111100 2024*")</f>
        <v>16014.39</v>
      </c>
      <c r="G754" s="83">
        <f>SUMIFS(G755:G1496,K755:K1496,"0",B755:B1496,"5 1 1 4 1 12 31111 6 M59 40200 000172 0000R 00001 00141 025 2111100 2024*")</f>
        <v>0</v>
      </c>
      <c r="H754" s="83">
        <f t="shared" si="12"/>
        <v>16014.39</v>
      </c>
      <c r="I754" s="83"/>
      <c r="K754" s="54" t="s">
        <v>15</v>
      </c>
    </row>
    <row r="755" spans="2:11" ht="41.25" x14ac:dyDescent="0.2">
      <c r="B755" s="82" t="s">
        <v>5244</v>
      </c>
      <c r="C755" s="82" t="s">
        <v>1056</v>
      </c>
      <c r="D755" s="83">
        <f>SUMIFS(D756:D1496,K756:K1496,"0",B756:B1496,"5 1 1 4 1 12 31111 6 M59 40200 000172 0000R 00001 00141 025 2111100 2024 CP4PC370*")-SUMIFS(E756:E1496,K756:K1496,"0",B756:B1496,"5 1 1 4 1 12 31111 6 M59 40200 000172 0000R 00001 00141 025 2111100 2024 CP4PC370*")</f>
        <v>0</v>
      </c>
      <c r="E755" s="54"/>
      <c r="F755" s="83">
        <f>SUMIFS(F756:F1496,K756:K1496,"0",B756:B1496,"5 1 1 4 1 12 31111 6 M59 40200 000172 0000R 00001 00141 025 2111100 2024 CP4PC370*")</f>
        <v>16014.39</v>
      </c>
      <c r="G755" s="83">
        <f>SUMIFS(G756:G1496,K756:K1496,"0",B756:B1496,"5 1 1 4 1 12 31111 6 M59 40200 000172 0000R 00001 00141 025 2111100 2024 CP4PC370*")</f>
        <v>0</v>
      </c>
      <c r="H755" s="83">
        <f t="shared" si="12"/>
        <v>16014.39</v>
      </c>
      <c r="I755" s="83"/>
      <c r="K755" s="54" t="s">
        <v>15</v>
      </c>
    </row>
    <row r="756" spans="2:11" ht="41.25" x14ac:dyDescent="0.2">
      <c r="B756" s="82" t="s">
        <v>5245</v>
      </c>
      <c r="C756" s="82" t="s">
        <v>664</v>
      </c>
      <c r="D756" s="83">
        <f>SUMIFS(D757:D1496,K757:K1496,"0",B757:B1496,"5 1 1 4 1 12 31111 6 M59 40200 000172 0000R 00001 00141 025 2111100 2024 CP4PC370 003*")-SUMIFS(E757:E1496,K757:K1496,"0",B757:B1496,"5 1 1 4 1 12 31111 6 M59 40200 000172 0000R 00001 00141 025 2111100 2024 CP4PC370 003*")</f>
        <v>0</v>
      </c>
      <c r="E756" s="54"/>
      <c r="F756" s="83">
        <f>SUMIFS(F757:F1496,K757:K1496,"0",B757:B1496,"5 1 1 4 1 12 31111 6 M59 40200 000172 0000R 00001 00141 025 2111100 2024 CP4PC370 003*")</f>
        <v>16014.39</v>
      </c>
      <c r="G756" s="83">
        <f>SUMIFS(G757:G1496,K757:K1496,"0",B757:B1496,"5 1 1 4 1 12 31111 6 M59 40200 000172 0000R 00001 00141 025 2111100 2024 CP4PC370 003*")</f>
        <v>0</v>
      </c>
      <c r="H756" s="83">
        <f t="shared" si="12"/>
        <v>16014.39</v>
      </c>
      <c r="I756" s="83"/>
      <c r="K756" s="54" t="s">
        <v>15</v>
      </c>
    </row>
    <row r="757" spans="2:11" ht="33" x14ac:dyDescent="0.2">
      <c r="B757" s="84" t="s">
        <v>5246</v>
      </c>
      <c r="C757" s="84" t="s">
        <v>5164</v>
      </c>
      <c r="D757" s="85">
        <v>0</v>
      </c>
      <c r="E757" s="85"/>
      <c r="F757" s="85">
        <v>16014.39</v>
      </c>
      <c r="G757" s="85">
        <v>0</v>
      </c>
      <c r="H757" s="85">
        <f t="shared" si="12"/>
        <v>16014.39</v>
      </c>
      <c r="I757" s="85"/>
      <c r="K757" s="54" t="s">
        <v>38</v>
      </c>
    </row>
    <row r="758" spans="2:11" ht="16.5" x14ac:dyDescent="0.2">
      <c r="B758" s="82" t="s">
        <v>5390</v>
      </c>
      <c r="C758" s="82" t="s">
        <v>5391</v>
      </c>
      <c r="D758" s="83">
        <f>SUMIFS(D759:D1496,K759:K1496,"0",B759:B1496,"5 1 1 5*")-SUMIFS(E759:E1496,K759:K1496,"0",B759:B1496,"5 1 1 5*")</f>
        <v>0</v>
      </c>
      <c r="E758" s="54"/>
      <c r="F758" s="83">
        <f>SUMIFS(F759:F1496,K759:K1496,"0",B759:B1496,"5 1 1 5*")</f>
        <v>6897.65</v>
      </c>
      <c r="G758" s="83">
        <f>SUMIFS(G759:G1496,K759:K1496,"0",B759:B1496,"5 1 1 5*")</f>
        <v>0</v>
      </c>
      <c r="H758" s="83">
        <f t="shared" si="12"/>
        <v>6897.65</v>
      </c>
      <c r="I758" s="83"/>
      <c r="K758" s="54" t="s">
        <v>15</v>
      </c>
    </row>
    <row r="759" spans="2:11" ht="16.5" x14ac:dyDescent="0.2">
      <c r="B759" s="82" t="s">
        <v>5411</v>
      </c>
      <c r="C759" s="82" t="s">
        <v>5412</v>
      </c>
      <c r="D759" s="83">
        <f>SUMIFS(D760:D1496,K760:K1496,"0",B760:B1496,"5 1 1 5 4*")-SUMIFS(E760:E1496,K760:K1496,"0",B760:B1496,"5 1 1 5 4*")</f>
        <v>0</v>
      </c>
      <c r="E759" s="54"/>
      <c r="F759" s="83">
        <f>SUMIFS(F760:F1496,K760:K1496,"0",B760:B1496,"5 1 1 5 4*")</f>
        <v>6428</v>
      </c>
      <c r="G759" s="83">
        <f>SUMIFS(G760:G1496,K760:K1496,"0",B760:B1496,"5 1 1 5 4*")</f>
        <v>0</v>
      </c>
      <c r="H759" s="83">
        <f t="shared" si="12"/>
        <v>6428</v>
      </c>
      <c r="I759" s="83"/>
      <c r="K759" s="54" t="s">
        <v>15</v>
      </c>
    </row>
    <row r="760" spans="2:11" ht="12.75" x14ac:dyDescent="0.2">
      <c r="B760" s="82" t="s">
        <v>5413</v>
      </c>
      <c r="C760" s="82" t="s">
        <v>26</v>
      </c>
      <c r="D760" s="83">
        <f>SUMIFS(D761:D1496,K761:K1496,"0",B761:B1496,"5 1 1 5 4 12*")-SUMIFS(E761:E1496,K761:K1496,"0",B761:B1496,"5 1 1 5 4 12*")</f>
        <v>0</v>
      </c>
      <c r="E760" s="54"/>
      <c r="F760" s="83">
        <f>SUMIFS(F761:F1496,K761:K1496,"0",B761:B1496,"5 1 1 5 4 12*")</f>
        <v>6428</v>
      </c>
      <c r="G760" s="83">
        <f>SUMIFS(G761:G1496,K761:K1496,"0",B761:B1496,"5 1 1 5 4 12*")</f>
        <v>0</v>
      </c>
      <c r="H760" s="83">
        <f t="shared" si="12"/>
        <v>6428</v>
      </c>
      <c r="I760" s="83"/>
      <c r="K760" s="54" t="s">
        <v>15</v>
      </c>
    </row>
    <row r="761" spans="2:11" ht="16.5" x14ac:dyDescent="0.2">
      <c r="B761" s="82" t="s">
        <v>5414</v>
      </c>
      <c r="C761" s="82" t="s">
        <v>28</v>
      </c>
      <c r="D761" s="83">
        <f>SUMIFS(D762:D1496,K762:K1496,"0",B762:B1496,"5 1 1 5 4 12 31111*")-SUMIFS(E762:E1496,K762:K1496,"0",B762:B1496,"5 1 1 5 4 12 31111*")</f>
        <v>0</v>
      </c>
      <c r="E761" s="54"/>
      <c r="F761" s="83">
        <f>SUMIFS(F762:F1496,K762:K1496,"0",B762:B1496,"5 1 1 5 4 12 31111*")</f>
        <v>6428</v>
      </c>
      <c r="G761" s="83">
        <f>SUMIFS(G762:G1496,K762:K1496,"0",B762:B1496,"5 1 1 5 4 12 31111*")</f>
        <v>0</v>
      </c>
      <c r="H761" s="83">
        <f t="shared" si="12"/>
        <v>6428</v>
      </c>
      <c r="I761" s="83"/>
      <c r="K761" s="54" t="s">
        <v>15</v>
      </c>
    </row>
    <row r="762" spans="2:11" ht="12.75" x14ac:dyDescent="0.2">
      <c r="B762" s="82" t="s">
        <v>5415</v>
      </c>
      <c r="C762" s="82" t="s">
        <v>30</v>
      </c>
      <c r="D762" s="83">
        <f>SUMIFS(D763:D1496,K763:K1496,"0",B763:B1496,"5 1 1 5 4 12 31111 6*")-SUMIFS(E763:E1496,K763:K1496,"0",B763:B1496,"5 1 1 5 4 12 31111 6*")</f>
        <v>0</v>
      </c>
      <c r="E762" s="54"/>
      <c r="F762" s="83">
        <f>SUMIFS(F763:F1496,K763:K1496,"0",B763:B1496,"5 1 1 5 4 12 31111 6*")</f>
        <v>6428</v>
      </c>
      <c r="G762" s="83">
        <f>SUMIFS(G763:G1496,K763:K1496,"0",B763:B1496,"5 1 1 5 4 12 31111 6*")</f>
        <v>0</v>
      </c>
      <c r="H762" s="83">
        <f t="shared" si="12"/>
        <v>6428</v>
      </c>
      <c r="I762" s="83"/>
      <c r="K762" s="54" t="s">
        <v>15</v>
      </c>
    </row>
    <row r="763" spans="2:11" ht="16.5" x14ac:dyDescent="0.2">
      <c r="B763" s="82" t="s">
        <v>5416</v>
      </c>
      <c r="C763" s="82" t="s">
        <v>2284</v>
      </c>
      <c r="D763" s="83">
        <f>SUMIFS(D764:D1496,K764:K1496,"0",B764:B1496,"5 1 1 5 4 12 31111 6 M59*")-SUMIFS(E764:E1496,K764:K1496,"0",B764:B1496,"5 1 1 5 4 12 31111 6 M59*")</f>
        <v>0</v>
      </c>
      <c r="E763" s="54"/>
      <c r="F763" s="83">
        <f>SUMIFS(F764:F1496,K764:K1496,"0",B764:B1496,"5 1 1 5 4 12 31111 6 M59*")</f>
        <v>6428</v>
      </c>
      <c r="G763" s="83">
        <f>SUMIFS(G764:G1496,K764:K1496,"0",B764:B1496,"5 1 1 5 4 12 31111 6 M59*")</f>
        <v>0</v>
      </c>
      <c r="H763" s="83">
        <f t="shared" si="12"/>
        <v>6428</v>
      </c>
      <c r="I763" s="83"/>
      <c r="K763" s="54" t="s">
        <v>15</v>
      </c>
    </row>
    <row r="764" spans="2:11" ht="16.5" x14ac:dyDescent="0.2">
      <c r="B764" s="82" t="s">
        <v>5558</v>
      </c>
      <c r="C764" s="82" t="s">
        <v>1092</v>
      </c>
      <c r="D764" s="83">
        <f>SUMIFS(D765:D1496,K765:K1496,"0",B765:B1496,"5 1 1 5 4 12 31111 6 M59 40000*")-SUMIFS(E765:E1496,K765:K1496,"0",B765:B1496,"5 1 1 5 4 12 31111 6 M59 40000*")</f>
        <v>0</v>
      </c>
      <c r="E764" s="54"/>
      <c r="F764" s="83">
        <f>SUMIFS(F765:F1496,K765:K1496,"0",B765:B1496,"5 1 1 5 4 12 31111 6 M59 40000*")</f>
        <v>6428</v>
      </c>
      <c r="G764" s="83">
        <f>SUMIFS(G765:G1496,K765:K1496,"0",B765:B1496,"5 1 1 5 4 12 31111 6 M59 40000*")</f>
        <v>0</v>
      </c>
      <c r="H764" s="83">
        <f t="shared" si="12"/>
        <v>6428</v>
      </c>
      <c r="I764" s="83"/>
      <c r="K764" s="54" t="s">
        <v>15</v>
      </c>
    </row>
    <row r="765" spans="2:11" ht="16.5" x14ac:dyDescent="0.2">
      <c r="B765" s="82" t="s">
        <v>5559</v>
      </c>
      <c r="C765" s="82" t="s">
        <v>1094</v>
      </c>
      <c r="D765" s="83">
        <f>SUMIFS(D766:D1496,K766:K1496,"0",B766:B1496,"5 1 1 5 4 12 31111 6 M59 40000 000161*")-SUMIFS(E766:E1496,K766:K1496,"0",B766:B1496,"5 1 1 5 4 12 31111 6 M59 40000 000161*")</f>
        <v>0</v>
      </c>
      <c r="E765" s="54"/>
      <c r="F765" s="83">
        <f>SUMIFS(F766:F1496,K766:K1496,"0",B766:B1496,"5 1 1 5 4 12 31111 6 M59 40000 000161*")</f>
        <v>6428</v>
      </c>
      <c r="G765" s="83">
        <f>SUMIFS(G766:G1496,K766:K1496,"0",B766:B1496,"5 1 1 5 4 12 31111 6 M59 40000 000161*")</f>
        <v>0</v>
      </c>
      <c r="H765" s="83">
        <f t="shared" si="12"/>
        <v>6428</v>
      </c>
      <c r="I765" s="83"/>
      <c r="K765" s="54" t="s">
        <v>15</v>
      </c>
    </row>
    <row r="766" spans="2:11" ht="16.5" x14ac:dyDescent="0.2">
      <c r="B766" s="82" t="s">
        <v>5560</v>
      </c>
      <c r="C766" s="82" t="s">
        <v>1065</v>
      </c>
      <c r="D766" s="83">
        <f>SUMIFS(D767:D1496,K767:K1496,"0",B767:B1496,"5 1 1 5 4 12 31111 6 M59 40000 000161 0000E*")-SUMIFS(E767:E1496,K767:K1496,"0",B767:B1496,"5 1 1 5 4 12 31111 6 M59 40000 000161 0000E*")</f>
        <v>0</v>
      </c>
      <c r="E766" s="54"/>
      <c r="F766" s="83">
        <f>SUMIFS(F767:F1496,K767:K1496,"0",B767:B1496,"5 1 1 5 4 12 31111 6 M59 40000 000161 0000E*")</f>
        <v>6428</v>
      </c>
      <c r="G766" s="83">
        <f>SUMIFS(G767:G1496,K767:K1496,"0",B767:B1496,"5 1 1 5 4 12 31111 6 M59 40000 000161 0000E*")</f>
        <v>0</v>
      </c>
      <c r="H766" s="83">
        <f t="shared" si="12"/>
        <v>6428</v>
      </c>
      <c r="I766" s="83"/>
      <c r="K766" s="54" t="s">
        <v>15</v>
      </c>
    </row>
    <row r="767" spans="2:11" ht="24.75" x14ac:dyDescent="0.2">
      <c r="B767" s="82" t="s">
        <v>5561</v>
      </c>
      <c r="C767" s="82" t="s">
        <v>282</v>
      </c>
      <c r="D767" s="83">
        <f>SUMIFS(D768:D1496,K768:K1496,"0",B768:B1496,"5 1 1 5 4 12 31111 6 M59 40000 000161 0000E 00001*")-SUMIFS(E768:E1496,K768:K1496,"0",B768:B1496,"5 1 1 5 4 12 31111 6 M59 40000 000161 0000E 00001*")</f>
        <v>0</v>
      </c>
      <c r="E767" s="54"/>
      <c r="F767" s="83">
        <f>SUMIFS(F768:F1496,K768:K1496,"0",B768:B1496,"5 1 1 5 4 12 31111 6 M59 40000 000161 0000E 00001*")</f>
        <v>6428</v>
      </c>
      <c r="G767" s="83">
        <f>SUMIFS(G768:G1496,K768:K1496,"0",B768:B1496,"5 1 1 5 4 12 31111 6 M59 40000 000161 0000E 00001*")</f>
        <v>0</v>
      </c>
      <c r="H767" s="83">
        <f t="shared" si="12"/>
        <v>6428</v>
      </c>
      <c r="I767" s="83"/>
      <c r="K767" s="54" t="s">
        <v>15</v>
      </c>
    </row>
    <row r="768" spans="2:11" ht="24.75" x14ac:dyDescent="0.2">
      <c r="B768" s="82" t="s">
        <v>5562</v>
      </c>
      <c r="C768" s="82" t="s">
        <v>5422</v>
      </c>
      <c r="D768" s="83">
        <f>SUMIFS(D769:D1496,K769:K1496,"0",B769:B1496,"5 1 1 5 4 12 31111 6 M59 40000 000161 0000E 00001 00154*")-SUMIFS(E769:E1496,K769:K1496,"0",B769:B1496,"5 1 1 5 4 12 31111 6 M59 40000 000161 0000E 00001 00154*")</f>
        <v>0</v>
      </c>
      <c r="E768" s="54"/>
      <c r="F768" s="83">
        <f>SUMIFS(F769:F1496,K769:K1496,"0",B769:B1496,"5 1 1 5 4 12 31111 6 M59 40000 000161 0000E 00001 00154*")</f>
        <v>6428</v>
      </c>
      <c r="G768" s="83">
        <f>SUMIFS(G769:G1496,K769:K1496,"0",B769:B1496,"5 1 1 5 4 12 31111 6 M59 40000 000161 0000E 00001 00154*")</f>
        <v>0</v>
      </c>
      <c r="H768" s="83">
        <f t="shared" si="12"/>
        <v>6428</v>
      </c>
      <c r="I768" s="83"/>
      <c r="K768" s="54" t="s">
        <v>15</v>
      </c>
    </row>
    <row r="769" spans="2:11" ht="24.75" x14ac:dyDescent="0.2">
      <c r="B769" s="82" t="s">
        <v>5563</v>
      </c>
      <c r="C769" s="82" t="s">
        <v>656</v>
      </c>
      <c r="D769" s="83">
        <f>SUMIFS(D770:D1496,K770:K1496,"0",B770:B1496,"5 1 1 5 4 12 31111 6 M59 40000 000161 0000E 00001 00154 025*")-SUMIFS(E770:E1496,K770:K1496,"0",B770:B1496,"5 1 1 5 4 12 31111 6 M59 40000 000161 0000E 00001 00154 025*")</f>
        <v>0</v>
      </c>
      <c r="E769" s="54"/>
      <c r="F769" s="83">
        <f>SUMIFS(F770:F1496,K770:K1496,"0",B770:B1496,"5 1 1 5 4 12 31111 6 M59 40000 000161 0000E 00001 00154 025*")</f>
        <v>6428</v>
      </c>
      <c r="G769" s="83">
        <f>SUMIFS(G770:G1496,K770:K1496,"0",B770:B1496,"5 1 1 5 4 12 31111 6 M59 40000 000161 0000E 00001 00154 025*")</f>
        <v>0</v>
      </c>
      <c r="H769" s="83">
        <f t="shared" si="12"/>
        <v>6428</v>
      </c>
      <c r="I769" s="83"/>
      <c r="K769" s="54" t="s">
        <v>15</v>
      </c>
    </row>
    <row r="770" spans="2:11" ht="33" x14ac:dyDescent="0.2">
      <c r="B770" s="82" t="s">
        <v>5564</v>
      </c>
      <c r="C770" s="82" t="s">
        <v>2927</v>
      </c>
      <c r="D770" s="83">
        <f>SUMIFS(D771:D1496,K771:K1496,"0",B771:B1496,"5 1 1 5 4 12 31111 6 M59 40000 000161 0000E 00001 00154 025 2111100*")-SUMIFS(E771:E1496,K771:K1496,"0",B771:B1496,"5 1 1 5 4 12 31111 6 M59 40000 000161 0000E 00001 00154 025 2111100*")</f>
        <v>0</v>
      </c>
      <c r="E770" s="54"/>
      <c r="F770" s="83">
        <f>SUMIFS(F771:F1496,K771:K1496,"0",B771:B1496,"5 1 1 5 4 12 31111 6 M59 40000 000161 0000E 00001 00154 025 2111100*")</f>
        <v>6428</v>
      </c>
      <c r="G770" s="83">
        <f>SUMIFS(G771:G1496,K771:K1496,"0",B771:B1496,"5 1 1 5 4 12 31111 6 M59 40000 000161 0000E 00001 00154 025 2111100*")</f>
        <v>0</v>
      </c>
      <c r="H770" s="83">
        <f t="shared" si="12"/>
        <v>6428</v>
      </c>
      <c r="I770" s="83"/>
      <c r="K770" s="54" t="s">
        <v>15</v>
      </c>
    </row>
    <row r="771" spans="2:11" ht="33" x14ac:dyDescent="0.2">
      <c r="B771" s="82" t="s">
        <v>5565</v>
      </c>
      <c r="C771" s="82" t="s">
        <v>660</v>
      </c>
      <c r="D771" s="83">
        <f>SUMIFS(D772:D1496,K772:K1496,"0",B772:B1496,"5 1 1 5 4 12 31111 6 M59 40000 000161 0000E 00001 00154 025 2111100 2024*")-SUMIFS(E772:E1496,K772:K1496,"0",B772:B1496,"5 1 1 5 4 12 31111 6 M59 40000 000161 0000E 00001 00154 025 2111100 2024*")</f>
        <v>0</v>
      </c>
      <c r="E771" s="54"/>
      <c r="F771" s="83">
        <f>SUMIFS(F772:F1496,K772:K1496,"0",B772:B1496,"5 1 1 5 4 12 31111 6 M59 40000 000161 0000E 00001 00154 025 2111100 2024*")</f>
        <v>6428</v>
      </c>
      <c r="G771" s="83">
        <f>SUMIFS(G772:G1496,K772:K1496,"0",B772:B1496,"5 1 1 5 4 12 31111 6 M59 40000 000161 0000E 00001 00154 025 2111100 2024*")</f>
        <v>0</v>
      </c>
      <c r="H771" s="83">
        <f t="shared" si="12"/>
        <v>6428</v>
      </c>
      <c r="I771" s="83"/>
      <c r="K771" s="54" t="s">
        <v>15</v>
      </c>
    </row>
    <row r="772" spans="2:11" ht="41.25" x14ac:dyDescent="0.2">
      <c r="B772" s="82" t="s">
        <v>5566</v>
      </c>
      <c r="C772" s="82" t="s">
        <v>662</v>
      </c>
      <c r="D772" s="83">
        <f>SUMIFS(D773:D1496,K773:K1496,"0",B773:B1496,"5 1 1 5 4 12 31111 6 M59 40000 000161 0000E 00001 00154 025 2111100 2024 CP4SP372*")-SUMIFS(E773:E1496,K773:K1496,"0",B773:B1496,"5 1 1 5 4 12 31111 6 M59 40000 000161 0000E 00001 00154 025 2111100 2024 CP4SP372*")</f>
        <v>0</v>
      </c>
      <c r="E772" s="54"/>
      <c r="F772" s="83">
        <f>SUMIFS(F773:F1496,K773:K1496,"0",B773:B1496,"5 1 1 5 4 12 31111 6 M59 40000 000161 0000E 00001 00154 025 2111100 2024 CP4SP372*")</f>
        <v>6428</v>
      </c>
      <c r="G772" s="83">
        <f>SUMIFS(G773:G1496,K773:K1496,"0",B773:B1496,"5 1 1 5 4 12 31111 6 M59 40000 000161 0000E 00001 00154 025 2111100 2024 CP4SP372*")</f>
        <v>0</v>
      </c>
      <c r="H772" s="83">
        <f t="shared" si="12"/>
        <v>6428</v>
      </c>
      <c r="I772" s="83"/>
      <c r="K772" s="54" t="s">
        <v>15</v>
      </c>
    </row>
    <row r="773" spans="2:11" ht="41.25" x14ac:dyDescent="0.2">
      <c r="B773" s="82" t="s">
        <v>5567</v>
      </c>
      <c r="C773" s="82" t="s">
        <v>664</v>
      </c>
      <c r="D773" s="83">
        <f>SUMIFS(D774:D1496,K774:K1496,"0",B774:B1496,"5 1 1 5 4 12 31111 6 M59 40000 000161 0000E 00001 00154 025 2111100 2024 CP4SP372 003*")-SUMIFS(E774:E1496,K774:K1496,"0",B774:B1496,"5 1 1 5 4 12 31111 6 M59 40000 000161 0000E 00001 00154 025 2111100 2024 CP4SP372 003*")</f>
        <v>0</v>
      </c>
      <c r="E773" s="54"/>
      <c r="F773" s="83">
        <f>SUMIFS(F774:F1496,K774:K1496,"0",B774:B1496,"5 1 1 5 4 12 31111 6 M59 40000 000161 0000E 00001 00154 025 2111100 2024 CP4SP372 003*")</f>
        <v>6428</v>
      </c>
      <c r="G773" s="83">
        <f>SUMIFS(G774:G1496,K774:K1496,"0",B774:B1496,"5 1 1 5 4 12 31111 6 M59 40000 000161 0000E 00001 00154 025 2111100 2024 CP4SP372 003*")</f>
        <v>0</v>
      </c>
      <c r="H773" s="83">
        <f t="shared" si="12"/>
        <v>6428</v>
      </c>
      <c r="I773" s="83"/>
      <c r="K773" s="54" t="s">
        <v>15</v>
      </c>
    </row>
    <row r="774" spans="2:11" ht="33" x14ac:dyDescent="0.2">
      <c r="B774" s="84" t="s">
        <v>5568</v>
      </c>
      <c r="C774" s="84" t="s">
        <v>5446</v>
      </c>
      <c r="D774" s="85">
        <v>0</v>
      </c>
      <c r="E774" s="85"/>
      <c r="F774" s="85">
        <v>6428</v>
      </c>
      <c r="G774" s="85">
        <v>0</v>
      </c>
      <c r="H774" s="85">
        <f t="shared" si="12"/>
        <v>6428</v>
      </c>
      <c r="I774" s="85"/>
      <c r="K774" s="54" t="s">
        <v>38</v>
      </c>
    </row>
    <row r="775" spans="2:11" ht="16.5" x14ac:dyDescent="0.2">
      <c r="B775" s="82" t="s">
        <v>5796</v>
      </c>
      <c r="C775" s="82" t="s">
        <v>5391</v>
      </c>
      <c r="D775" s="83">
        <f>SUMIFS(D776:D1496,K776:K1496,"0",B776:B1496,"5 1 1 5 9*")-SUMIFS(E776:E1496,K776:K1496,"0",B776:B1496,"5 1 1 5 9*")</f>
        <v>0</v>
      </c>
      <c r="E775" s="54"/>
      <c r="F775" s="83">
        <f>SUMIFS(F776:F1496,K776:K1496,"0",B776:B1496,"5 1 1 5 9*")</f>
        <v>469.65</v>
      </c>
      <c r="G775" s="83">
        <f>SUMIFS(G776:G1496,K776:K1496,"0",B776:B1496,"5 1 1 5 9*")</f>
        <v>0</v>
      </c>
      <c r="H775" s="83">
        <f t="shared" si="12"/>
        <v>469.65</v>
      </c>
      <c r="I775" s="83"/>
      <c r="K775" s="54" t="s">
        <v>15</v>
      </c>
    </row>
    <row r="776" spans="2:11" ht="12.75" x14ac:dyDescent="0.2">
      <c r="B776" s="82" t="s">
        <v>5797</v>
      </c>
      <c r="C776" s="82" t="s">
        <v>26</v>
      </c>
      <c r="D776" s="83">
        <f>SUMIFS(D777:D1496,K777:K1496,"0",B777:B1496,"5 1 1 5 9 12*")-SUMIFS(E777:E1496,K777:K1496,"0",B777:B1496,"5 1 1 5 9 12*")</f>
        <v>0</v>
      </c>
      <c r="E776" s="54"/>
      <c r="F776" s="83">
        <f>SUMIFS(F777:F1496,K777:K1496,"0",B777:B1496,"5 1 1 5 9 12*")</f>
        <v>469.65</v>
      </c>
      <c r="G776" s="83">
        <f>SUMIFS(G777:G1496,K777:K1496,"0",B777:B1496,"5 1 1 5 9 12*")</f>
        <v>0</v>
      </c>
      <c r="H776" s="83">
        <f t="shared" si="12"/>
        <v>469.65</v>
      </c>
      <c r="I776" s="83"/>
      <c r="K776" s="54" t="s">
        <v>15</v>
      </c>
    </row>
    <row r="777" spans="2:11" ht="16.5" x14ac:dyDescent="0.2">
      <c r="B777" s="82" t="s">
        <v>5798</v>
      </c>
      <c r="C777" s="82" t="s">
        <v>28</v>
      </c>
      <c r="D777" s="83">
        <f>SUMIFS(D778:D1496,K778:K1496,"0",B778:B1496,"5 1 1 5 9 12 31111*")-SUMIFS(E778:E1496,K778:K1496,"0",B778:B1496,"5 1 1 5 9 12 31111*")</f>
        <v>0</v>
      </c>
      <c r="E777" s="54"/>
      <c r="F777" s="83">
        <f>SUMIFS(F778:F1496,K778:K1496,"0",B778:B1496,"5 1 1 5 9 12 31111*")</f>
        <v>469.65</v>
      </c>
      <c r="G777" s="83">
        <f>SUMIFS(G778:G1496,K778:K1496,"0",B778:B1496,"5 1 1 5 9 12 31111*")</f>
        <v>0</v>
      </c>
      <c r="H777" s="83">
        <f t="shared" si="12"/>
        <v>469.65</v>
      </c>
      <c r="I777" s="83"/>
      <c r="K777" s="54" t="s">
        <v>15</v>
      </c>
    </row>
    <row r="778" spans="2:11" ht="12.75" x14ac:dyDescent="0.2">
      <c r="B778" s="82" t="s">
        <v>5799</v>
      </c>
      <c r="C778" s="82" t="s">
        <v>30</v>
      </c>
      <c r="D778" s="83">
        <f>SUMIFS(D779:D1496,K779:K1496,"0",B779:B1496,"5 1 1 5 9 12 31111 6*")-SUMIFS(E779:E1496,K779:K1496,"0",B779:B1496,"5 1 1 5 9 12 31111 6*")</f>
        <v>0</v>
      </c>
      <c r="E778" s="54"/>
      <c r="F778" s="83">
        <f>SUMIFS(F779:F1496,K779:K1496,"0",B779:B1496,"5 1 1 5 9 12 31111 6*")</f>
        <v>469.65</v>
      </c>
      <c r="G778" s="83">
        <f>SUMIFS(G779:G1496,K779:K1496,"0",B779:B1496,"5 1 1 5 9 12 31111 6*")</f>
        <v>0</v>
      </c>
      <c r="H778" s="83">
        <f t="shared" si="12"/>
        <v>469.65</v>
      </c>
      <c r="I778" s="83"/>
      <c r="K778" s="54" t="s">
        <v>15</v>
      </c>
    </row>
    <row r="779" spans="2:11" ht="16.5" x14ac:dyDescent="0.2">
      <c r="B779" s="82" t="s">
        <v>5800</v>
      </c>
      <c r="C779" s="82" t="s">
        <v>2284</v>
      </c>
      <c r="D779" s="83">
        <f>SUMIFS(D780:D1496,K780:K1496,"0",B780:B1496,"5 1 1 5 9 12 31111 6 M59*")-SUMIFS(E780:E1496,K780:K1496,"0",B780:B1496,"5 1 1 5 9 12 31111 6 M59*")</f>
        <v>0</v>
      </c>
      <c r="E779" s="54"/>
      <c r="F779" s="83">
        <f>SUMIFS(F780:F1496,K780:K1496,"0",B780:B1496,"5 1 1 5 9 12 31111 6 M59*")</f>
        <v>469.65</v>
      </c>
      <c r="G779" s="83">
        <f>SUMIFS(G780:G1496,K780:K1496,"0",B780:B1496,"5 1 1 5 9 12 31111 6 M59*")</f>
        <v>0</v>
      </c>
      <c r="H779" s="83">
        <f t="shared" si="12"/>
        <v>469.65</v>
      </c>
      <c r="I779" s="83"/>
      <c r="K779" s="54" t="s">
        <v>15</v>
      </c>
    </row>
    <row r="780" spans="2:11" ht="16.5" x14ac:dyDescent="0.2">
      <c r="B780" s="82" t="s">
        <v>5801</v>
      </c>
      <c r="C780" s="82" t="s">
        <v>1092</v>
      </c>
      <c r="D780" s="83">
        <f>SUMIFS(D781:D1496,K781:K1496,"0",B781:B1496,"5 1 1 5 9 12 31111 6 M59 40000*")-SUMIFS(E781:E1496,K781:K1496,"0",B781:B1496,"5 1 1 5 9 12 31111 6 M59 40000*")</f>
        <v>0</v>
      </c>
      <c r="E780" s="54"/>
      <c r="F780" s="83">
        <f>SUMIFS(F781:F1496,K781:K1496,"0",B781:B1496,"5 1 1 5 9 12 31111 6 M59 40000*")</f>
        <v>469.65</v>
      </c>
      <c r="G780" s="83">
        <f>SUMIFS(G781:G1496,K781:K1496,"0",B781:B1496,"5 1 1 5 9 12 31111 6 M59 40000*")</f>
        <v>0</v>
      </c>
      <c r="H780" s="83">
        <f t="shared" si="12"/>
        <v>469.65</v>
      </c>
      <c r="I780" s="83"/>
      <c r="K780" s="54" t="s">
        <v>15</v>
      </c>
    </row>
    <row r="781" spans="2:11" ht="16.5" x14ac:dyDescent="0.2">
      <c r="B781" s="82" t="s">
        <v>5802</v>
      </c>
      <c r="C781" s="82" t="s">
        <v>1094</v>
      </c>
      <c r="D781" s="83">
        <f>SUMIFS(D782:D1496,K782:K1496,"0",B782:B1496,"5 1 1 5 9 12 31111 6 M59 40000 000161*")-SUMIFS(E782:E1496,K782:K1496,"0",B782:B1496,"5 1 1 5 9 12 31111 6 M59 40000 000161*")</f>
        <v>0</v>
      </c>
      <c r="E781" s="54"/>
      <c r="F781" s="83">
        <f>SUMIFS(F782:F1496,K782:K1496,"0",B782:B1496,"5 1 1 5 9 12 31111 6 M59 40000 000161*")</f>
        <v>469.65</v>
      </c>
      <c r="G781" s="83">
        <f>SUMIFS(G782:G1496,K782:K1496,"0",B782:B1496,"5 1 1 5 9 12 31111 6 M59 40000 000161*")</f>
        <v>0</v>
      </c>
      <c r="H781" s="83">
        <f t="shared" si="12"/>
        <v>469.65</v>
      </c>
      <c r="I781" s="83"/>
      <c r="K781" s="54" t="s">
        <v>15</v>
      </c>
    </row>
    <row r="782" spans="2:11" ht="16.5" x14ac:dyDescent="0.2">
      <c r="B782" s="82" t="s">
        <v>5803</v>
      </c>
      <c r="C782" s="82" t="s">
        <v>1065</v>
      </c>
      <c r="D782" s="83">
        <f>SUMIFS(D783:D1496,K783:K1496,"0",B783:B1496,"5 1 1 5 9 12 31111 6 M59 40000 000161 0000E*")-SUMIFS(E783:E1496,K783:K1496,"0",B783:B1496,"5 1 1 5 9 12 31111 6 M59 40000 000161 0000E*")</f>
        <v>0</v>
      </c>
      <c r="E782" s="54"/>
      <c r="F782" s="83">
        <f>SUMIFS(F783:F1496,K783:K1496,"0",B783:B1496,"5 1 1 5 9 12 31111 6 M59 40000 000161 0000E*")</f>
        <v>469.65</v>
      </c>
      <c r="G782" s="83">
        <f>SUMIFS(G783:G1496,K783:K1496,"0",B783:B1496,"5 1 1 5 9 12 31111 6 M59 40000 000161 0000E*")</f>
        <v>0</v>
      </c>
      <c r="H782" s="83">
        <f t="shared" si="12"/>
        <v>469.65</v>
      </c>
      <c r="I782" s="83"/>
      <c r="K782" s="54" t="s">
        <v>15</v>
      </c>
    </row>
    <row r="783" spans="2:11" ht="24.75" x14ac:dyDescent="0.2">
      <c r="B783" s="82" t="s">
        <v>5804</v>
      </c>
      <c r="C783" s="82" t="s">
        <v>282</v>
      </c>
      <c r="D783" s="83">
        <f>SUMIFS(D784:D1496,K784:K1496,"0",B784:B1496,"5 1 1 5 9 12 31111 6 M59 40000 000161 0000E 00001*")-SUMIFS(E784:E1496,K784:K1496,"0",B784:B1496,"5 1 1 5 9 12 31111 6 M59 40000 000161 0000E 00001*")</f>
        <v>0</v>
      </c>
      <c r="E783" s="54"/>
      <c r="F783" s="83">
        <f>SUMIFS(F784:F1496,K784:K1496,"0",B784:B1496,"5 1 1 5 9 12 31111 6 M59 40000 000161 0000E 00001*")</f>
        <v>469.65</v>
      </c>
      <c r="G783" s="83">
        <f>SUMIFS(G784:G1496,K784:K1496,"0",B784:B1496,"5 1 1 5 9 12 31111 6 M59 40000 000161 0000E 00001*")</f>
        <v>0</v>
      </c>
      <c r="H783" s="83">
        <f t="shared" si="12"/>
        <v>469.65</v>
      </c>
      <c r="I783" s="83"/>
      <c r="K783" s="54" t="s">
        <v>15</v>
      </c>
    </row>
    <row r="784" spans="2:11" ht="24.75" x14ac:dyDescent="0.2">
      <c r="B784" s="82" t="s">
        <v>5805</v>
      </c>
      <c r="C784" s="82" t="s">
        <v>5806</v>
      </c>
      <c r="D784" s="83">
        <f>SUMIFS(D785:D1496,K785:K1496,"0",B785:B1496,"5 1 1 5 9 12 31111 6 M59 40000 000161 0000E 00001 00159*")-SUMIFS(E785:E1496,K785:K1496,"0",B785:B1496,"5 1 1 5 9 12 31111 6 M59 40000 000161 0000E 00001 00159*")</f>
        <v>0</v>
      </c>
      <c r="E784" s="54"/>
      <c r="F784" s="83">
        <f>SUMIFS(F785:F1496,K785:K1496,"0",B785:B1496,"5 1 1 5 9 12 31111 6 M59 40000 000161 0000E 00001 00159*")</f>
        <v>469.65</v>
      </c>
      <c r="G784" s="83">
        <f>SUMIFS(G785:G1496,K785:K1496,"0",B785:B1496,"5 1 1 5 9 12 31111 6 M59 40000 000161 0000E 00001 00159*")</f>
        <v>0</v>
      </c>
      <c r="H784" s="83">
        <f t="shared" si="12"/>
        <v>469.65</v>
      </c>
      <c r="I784" s="83"/>
      <c r="K784" s="54" t="s">
        <v>15</v>
      </c>
    </row>
    <row r="785" spans="2:11" ht="24.75" x14ac:dyDescent="0.2">
      <c r="B785" s="82" t="s">
        <v>5807</v>
      </c>
      <c r="C785" s="82" t="s">
        <v>656</v>
      </c>
      <c r="D785" s="83">
        <f>SUMIFS(D786:D1496,K786:K1496,"0",B786:B1496,"5 1 1 5 9 12 31111 6 M59 40000 000161 0000E 00001 00159 025*")-SUMIFS(E786:E1496,K786:K1496,"0",B786:B1496,"5 1 1 5 9 12 31111 6 M59 40000 000161 0000E 00001 00159 025*")</f>
        <v>0</v>
      </c>
      <c r="E785" s="54"/>
      <c r="F785" s="83">
        <f>SUMIFS(F786:F1496,K786:K1496,"0",B786:B1496,"5 1 1 5 9 12 31111 6 M59 40000 000161 0000E 00001 00159 025*")</f>
        <v>469.65</v>
      </c>
      <c r="G785" s="83">
        <f>SUMIFS(G786:G1496,K786:K1496,"0",B786:B1496,"5 1 1 5 9 12 31111 6 M59 40000 000161 0000E 00001 00159 025*")</f>
        <v>0</v>
      </c>
      <c r="H785" s="83">
        <f t="shared" si="12"/>
        <v>469.65</v>
      </c>
      <c r="I785" s="83"/>
      <c r="K785" s="54" t="s">
        <v>15</v>
      </c>
    </row>
    <row r="786" spans="2:11" ht="33" x14ac:dyDescent="0.2">
      <c r="B786" s="82" t="s">
        <v>5808</v>
      </c>
      <c r="C786" s="82" t="s">
        <v>2927</v>
      </c>
      <c r="D786" s="83">
        <f>SUMIFS(D787:D1496,K787:K1496,"0",B787:B1496,"5 1 1 5 9 12 31111 6 M59 40000 000161 0000E 00001 00159 025 2111100*")-SUMIFS(E787:E1496,K787:K1496,"0",B787:B1496,"5 1 1 5 9 12 31111 6 M59 40000 000161 0000E 00001 00159 025 2111100*")</f>
        <v>0</v>
      </c>
      <c r="E786" s="54"/>
      <c r="F786" s="83">
        <f>SUMIFS(F787:F1496,K787:K1496,"0",B787:B1496,"5 1 1 5 9 12 31111 6 M59 40000 000161 0000E 00001 00159 025 2111100*")</f>
        <v>469.65</v>
      </c>
      <c r="G786" s="83">
        <f>SUMIFS(G787:G1496,K787:K1496,"0",B787:B1496,"5 1 1 5 9 12 31111 6 M59 40000 000161 0000E 00001 00159 025 2111100*")</f>
        <v>0</v>
      </c>
      <c r="H786" s="83">
        <f t="shared" si="12"/>
        <v>469.65</v>
      </c>
      <c r="I786" s="83"/>
      <c r="K786" s="54" t="s">
        <v>15</v>
      </c>
    </row>
    <row r="787" spans="2:11" ht="33" x14ac:dyDescent="0.2">
      <c r="B787" s="82" t="s">
        <v>5809</v>
      </c>
      <c r="C787" s="82" t="s">
        <v>660</v>
      </c>
      <c r="D787" s="83">
        <f>SUMIFS(D788:D1496,K788:K1496,"0",B788:B1496,"5 1 1 5 9 12 31111 6 M59 40000 000161 0000E 00001 00159 025 2111100 2024*")-SUMIFS(E788:E1496,K788:K1496,"0",B788:B1496,"5 1 1 5 9 12 31111 6 M59 40000 000161 0000E 00001 00159 025 2111100 2024*")</f>
        <v>0</v>
      </c>
      <c r="E787" s="54"/>
      <c r="F787" s="83">
        <f>SUMIFS(F788:F1496,K788:K1496,"0",B788:B1496,"5 1 1 5 9 12 31111 6 M59 40000 000161 0000E 00001 00159 025 2111100 2024*")</f>
        <v>469.65</v>
      </c>
      <c r="G787" s="83">
        <f>SUMIFS(G788:G1496,K788:K1496,"0",B788:B1496,"5 1 1 5 9 12 31111 6 M59 40000 000161 0000E 00001 00159 025 2111100 2024*")</f>
        <v>0</v>
      </c>
      <c r="H787" s="83">
        <f t="shared" si="12"/>
        <v>469.65</v>
      </c>
      <c r="I787" s="83"/>
      <c r="K787" s="54" t="s">
        <v>15</v>
      </c>
    </row>
    <row r="788" spans="2:11" ht="41.25" x14ac:dyDescent="0.2">
      <c r="B788" s="82" t="s">
        <v>5810</v>
      </c>
      <c r="C788" s="82" t="s">
        <v>662</v>
      </c>
      <c r="D788" s="83">
        <f>SUMIFS(D789:D1496,K789:K1496,"0",B789:B1496,"5 1 1 5 9 12 31111 6 M59 40000 000161 0000E 00001 00159 025 2111100 2024 CP4SP372*")-SUMIFS(E789:E1496,K789:K1496,"0",B789:B1496,"5 1 1 5 9 12 31111 6 M59 40000 000161 0000E 00001 00159 025 2111100 2024 CP4SP372*")</f>
        <v>0</v>
      </c>
      <c r="E788" s="54"/>
      <c r="F788" s="83">
        <f>SUMIFS(F789:F1496,K789:K1496,"0",B789:B1496,"5 1 1 5 9 12 31111 6 M59 40000 000161 0000E 00001 00159 025 2111100 2024 CP4SP372*")</f>
        <v>469.65</v>
      </c>
      <c r="G788" s="83">
        <f>SUMIFS(G789:G1496,K789:K1496,"0",B789:B1496,"5 1 1 5 9 12 31111 6 M59 40000 000161 0000E 00001 00159 025 2111100 2024 CP4SP372*")</f>
        <v>0</v>
      </c>
      <c r="H788" s="83">
        <f t="shared" si="12"/>
        <v>469.65</v>
      </c>
      <c r="I788" s="83"/>
      <c r="K788" s="54" t="s">
        <v>15</v>
      </c>
    </row>
    <row r="789" spans="2:11" ht="41.25" x14ac:dyDescent="0.2">
      <c r="B789" s="82" t="s">
        <v>5811</v>
      </c>
      <c r="C789" s="82" t="s">
        <v>664</v>
      </c>
      <c r="D789" s="83">
        <f>SUMIFS(D790:D1496,K790:K1496,"0",B790:B1496,"5 1 1 5 9 12 31111 6 M59 40000 000161 0000E 00001 00159 025 2111100 2024 CP4SP372 003*")-SUMIFS(E790:E1496,K790:K1496,"0",B790:B1496,"5 1 1 5 9 12 31111 6 M59 40000 000161 0000E 00001 00159 025 2111100 2024 CP4SP372 003*")</f>
        <v>0</v>
      </c>
      <c r="E789" s="54"/>
      <c r="F789" s="83">
        <f>SUMIFS(F790:F1496,K790:K1496,"0",B790:B1496,"5 1 1 5 9 12 31111 6 M59 40000 000161 0000E 00001 00159 025 2111100 2024 CP4SP372 003*")</f>
        <v>469.65</v>
      </c>
      <c r="G789" s="83">
        <f>SUMIFS(G790:G1496,K790:K1496,"0",B790:B1496,"5 1 1 5 9 12 31111 6 M59 40000 000161 0000E 00001 00159 025 2111100 2024 CP4SP372 003*")</f>
        <v>0</v>
      </c>
      <c r="H789" s="83">
        <f t="shared" si="12"/>
        <v>469.65</v>
      </c>
      <c r="I789" s="83"/>
      <c r="K789" s="54" t="s">
        <v>15</v>
      </c>
    </row>
    <row r="790" spans="2:11" ht="33" x14ac:dyDescent="0.2">
      <c r="B790" s="84" t="s">
        <v>5812</v>
      </c>
      <c r="C790" s="84" t="s">
        <v>5391</v>
      </c>
      <c r="D790" s="85">
        <v>0</v>
      </c>
      <c r="E790" s="85"/>
      <c r="F790" s="85">
        <v>469.65</v>
      </c>
      <c r="G790" s="85">
        <v>0</v>
      </c>
      <c r="H790" s="85">
        <f t="shared" si="12"/>
        <v>469.65</v>
      </c>
      <c r="I790" s="85"/>
      <c r="K790" s="54" t="s">
        <v>38</v>
      </c>
    </row>
    <row r="791" spans="2:11" ht="12.75" x14ac:dyDescent="0.2">
      <c r="B791" s="82" t="s">
        <v>5813</v>
      </c>
      <c r="C791" s="82" t="s">
        <v>5814</v>
      </c>
      <c r="D791" s="83">
        <f>SUMIFS(D792:D1496,K792:K1496,"0",B792:B1496,"5 1 2*")-SUMIFS(E792:E1496,K792:K1496,"0",B792:B1496,"5 1 2*")</f>
        <v>0</v>
      </c>
      <c r="E791" s="54"/>
      <c r="F791" s="83">
        <f>SUMIFS(F792:F1496,K792:K1496,"0",B792:B1496,"5 1 2*")</f>
        <v>19688183.549999997</v>
      </c>
      <c r="G791" s="83">
        <f>SUMIFS(G792:G1496,K792:K1496,"0",B792:B1496,"5 1 2*")</f>
        <v>0</v>
      </c>
      <c r="H791" s="83">
        <f t="shared" si="12"/>
        <v>19688183.549999997</v>
      </c>
      <c r="I791" s="83"/>
      <c r="K791" s="54" t="s">
        <v>15</v>
      </c>
    </row>
    <row r="792" spans="2:11" ht="33" x14ac:dyDescent="0.2">
      <c r="B792" s="82" t="s">
        <v>5815</v>
      </c>
      <c r="C792" s="82" t="s">
        <v>497</v>
      </c>
      <c r="D792" s="83">
        <f>SUMIFS(D793:D1496,K793:K1496,"0",B793:B1496,"5 1 2 1*")-SUMIFS(E793:E1496,K793:K1496,"0",B793:B1496,"5 1 2 1*")</f>
        <v>0</v>
      </c>
      <c r="E792" s="54"/>
      <c r="F792" s="83">
        <f>SUMIFS(F793:F1496,K793:K1496,"0",B793:B1496,"5 1 2 1*")</f>
        <v>13517497.66</v>
      </c>
      <c r="G792" s="83">
        <f>SUMIFS(G793:G1496,K793:K1496,"0",B793:B1496,"5 1 2 1*")</f>
        <v>0</v>
      </c>
      <c r="H792" s="83">
        <f t="shared" si="12"/>
        <v>13517497.66</v>
      </c>
      <c r="I792" s="83"/>
      <c r="K792" s="54" t="s">
        <v>15</v>
      </c>
    </row>
    <row r="793" spans="2:11" ht="24.75" x14ac:dyDescent="0.2">
      <c r="B793" s="82" t="s">
        <v>5816</v>
      </c>
      <c r="C793" s="82" t="s">
        <v>5817</v>
      </c>
      <c r="D793" s="83">
        <f>SUMIFS(D794:D1496,K794:K1496,"0",B794:B1496,"5 1 2 1 1*")-SUMIFS(E794:E1496,K794:K1496,"0",B794:B1496,"5 1 2 1 1*")</f>
        <v>0</v>
      </c>
      <c r="E793" s="54"/>
      <c r="F793" s="83">
        <f>SUMIFS(F794:F1496,K794:K1496,"0",B794:B1496,"5 1 2 1 1*")</f>
        <v>13074777.16</v>
      </c>
      <c r="G793" s="83">
        <f>SUMIFS(G794:G1496,K794:K1496,"0",B794:B1496,"5 1 2 1 1*")</f>
        <v>0</v>
      </c>
      <c r="H793" s="83">
        <f t="shared" si="12"/>
        <v>13074777.16</v>
      </c>
      <c r="I793" s="83"/>
      <c r="K793" s="54" t="s">
        <v>15</v>
      </c>
    </row>
    <row r="794" spans="2:11" ht="12.75" x14ac:dyDescent="0.2">
      <c r="B794" s="82" t="s">
        <v>5818</v>
      </c>
      <c r="C794" s="82" t="s">
        <v>26</v>
      </c>
      <c r="D794" s="83">
        <f>SUMIFS(D795:D1496,K795:K1496,"0",B795:B1496,"5 1 2 1 1 12*")-SUMIFS(E795:E1496,K795:K1496,"0",B795:B1496,"5 1 2 1 1 12*")</f>
        <v>0</v>
      </c>
      <c r="E794" s="54"/>
      <c r="F794" s="83">
        <f>SUMIFS(F795:F1496,K795:K1496,"0",B795:B1496,"5 1 2 1 1 12*")</f>
        <v>13074777.16</v>
      </c>
      <c r="G794" s="83">
        <f>SUMIFS(G795:G1496,K795:K1496,"0",B795:B1496,"5 1 2 1 1 12*")</f>
        <v>0</v>
      </c>
      <c r="H794" s="83">
        <f t="shared" si="12"/>
        <v>13074777.16</v>
      </c>
      <c r="I794" s="83"/>
      <c r="K794" s="54" t="s">
        <v>15</v>
      </c>
    </row>
    <row r="795" spans="2:11" ht="16.5" x14ac:dyDescent="0.2">
      <c r="B795" s="82" t="s">
        <v>5819</v>
      </c>
      <c r="C795" s="82" t="s">
        <v>28</v>
      </c>
      <c r="D795" s="83">
        <f>SUMIFS(D796:D1496,K796:K1496,"0",B796:B1496,"5 1 2 1 1 12 31111*")-SUMIFS(E796:E1496,K796:K1496,"0",B796:B1496,"5 1 2 1 1 12 31111*")</f>
        <v>0</v>
      </c>
      <c r="E795" s="54"/>
      <c r="F795" s="83">
        <f>SUMIFS(F796:F1496,K796:K1496,"0",B796:B1496,"5 1 2 1 1 12 31111*")</f>
        <v>13074777.16</v>
      </c>
      <c r="G795" s="83">
        <f>SUMIFS(G796:G1496,K796:K1496,"0",B796:B1496,"5 1 2 1 1 12 31111*")</f>
        <v>0</v>
      </c>
      <c r="H795" s="83">
        <f t="shared" si="12"/>
        <v>13074777.16</v>
      </c>
      <c r="I795" s="83"/>
      <c r="K795" s="54" t="s">
        <v>15</v>
      </c>
    </row>
    <row r="796" spans="2:11" ht="12.75" x14ac:dyDescent="0.2">
      <c r="B796" s="82" t="s">
        <v>5820</v>
      </c>
      <c r="C796" s="82" t="s">
        <v>30</v>
      </c>
      <c r="D796" s="83">
        <f>SUMIFS(D797:D1496,K797:K1496,"0",B797:B1496,"5 1 2 1 1 12 31111 6*")-SUMIFS(E797:E1496,K797:K1496,"0",B797:B1496,"5 1 2 1 1 12 31111 6*")</f>
        <v>0</v>
      </c>
      <c r="E796" s="54"/>
      <c r="F796" s="83">
        <f>SUMIFS(F797:F1496,K797:K1496,"0",B797:B1496,"5 1 2 1 1 12 31111 6*")</f>
        <v>13074777.16</v>
      </c>
      <c r="G796" s="83">
        <f>SUMIFS(G797:G1496,K797:K1496,"0",B797:B1496,"5 1 2 1 1 12 31111 6*")</f>
        <v>0</v>
      </c>
      <c r="H796" s="83">
        <f t="shared" si="12"/>
        <v>13074777.16</v>
      </c>
      <c r="I796" s="83"/>
      <c r="K796" s="54" t="s">
        <v>15</v>
      </c>
    </row>
    <row r="797" spans="2:11" ht="16.5" x14ac:dyDescent="0.2">
      <c r="B797" s="82" t="s">
        <v>5821</v>
      </c>
      <c r="C797" s="82" t="s">
        <v>2284</v>
      </c>
      <c r="D797" s="83">
        <f>SUMIFS(D798:D1496,K798:K1496,"0",B798:B1496,"5 1 2 1 1 12 31111 6 M59*")-SUMIFS(E798:E1496,K798:K1496,"0",B798:B1496,"5 1 2 1 1 12 31111 6 M59*")</f>
        <v>0</v>
      </c>
      <c r="E797" s="54"/>
      <c r="F797" s="83">
        <f>SUMIFS(F798:F1496,K798:K1496,"0",B798:B1496,"5 1 2 1 1 12 31111 6 M59*")</f>
        <v>13074777.16</v>
      </c>
      <c r="G797" s="83">
        <f>SUMIFS(G798:G1496,K798:K1496,"0",B798:B1496,"5 1 2 1 1 12 31111 6 M59*")</f>
        <v>0</v>
      </c>
      <c r="H797" s="83">
        <f t="shared" si="12"/>
        <v>13074777.16</v>
      </c>
      <c r="I797" s="83"/>
      <c r="K797" s="54" t="s">
        <v>15</v>
      </c>
    </row>
    <row r="798" spans="2:11" ht="16.5" x14ac:dyDescent="0.2">
      <c r="B798" s="82" t="s">
        <v>6062</v>
      </c>
      <c r="C798" s="82" t="s">
        <v>1092</v>
      </c>
      <c r="D798" s="83">
        <f>SUMIFS(D799:D1496,K799:K1496,"0",B799:B1496,"5 1 2 1 1 12 31111 6 M59 40000*")-SUMIFS(E799:E1496,K799:K1496,"0",B799:B1496,"5 1 2 1 1 12 31111 6 M59 40000*")</f>
        <v>0</v>
      </c>
      <c r="E798" s="54"/>
      <c r="F798" s="83">
        <f>SUMIFS(F799:F1496,K799:K1496,"0",B799:B1496,"5 1 2 1 1 12 31111 6 M59 40000*")</f>
        <v>7074777.1600000001</v>
      </c>
      <c r="G798" s="83">
        <f>SUMIFS(G799:G1496,K799:K1496,"0",B799:B1496,"5 1 2 1 1 12 31111 6 M59 40000*")</f>
        <v>0</v>
      </c>
      <c r="H798" s="83">
        <f t="shared" si="12"/>
        <v>7074777.1600000001</v>
      </c>
      <c r="I798" s="83"/>
      <c r="K798" s="54" t="s">
        <v>15</v>
      </c>
    </row>
    <row r="799" spans="2:11" ht="16.5" x14ac:dyDescent="0.2">
      <c r="B799" s="82" t="s">
        <v>6063</v>
      </c>
      <c r="C799" s="82" t="s">
        <v>1094</v>
      </c>
      <c r="D799" s="83">
        <f>SUMIFS(D800:D1496,K800:K1496,"0",B800:B1496,"5 1 2 1 1 12 31111 6 M59 40000 000161*")-SUMIFS(E800:E1496,K800:K1496,"0",B800:B1496,"5 1 2 1 1 12 31111 6 M59 40000 000161*")</f>
        <v>0</v>
      </c>
      <c r="E799" s="54"/>
      <c r="F799" s="83">
        <f>SUMIFS(F800:F1496,K800:K1496,"0",B800:B1496,"5 1 2 1 1 12 31111 6 M59 40000 000161*")</f>
        <v>7074777.1600000001</v>
      </c>
      <c r="G799" s="83">
        <f>SUMIFS(G800:G1496,K800:K1496,"0",B800:B1496,"5 1 2 1 1 12 31111 6 M59 40000 000161*")</f>
        <v>0</v>
      </c>
      <c r="H799" s="83">
        <f t="shared" si="12"/>
        <v>7074777.1600000001</v>
      </c>
      <c r="I799" s="83"/>
      <c r="K799" s="54" t="s">
        <v>15</v>
      </c>
    </row>
    <row r="800" spans="2:11" ht="16.5" x14ac:dyDescent="0.2">
      <c r="B800" s="82" t="s">
        <v>6064</v>
      </c>
      <c r="C800" s="82" t="s">
        <v>1065</v>
      </c>
      <c r="D800" s="83">
        <f>SUMIFS(D801:D1496,K801:K1496,"0",B801:B1496,"5 1 2 1 1 12 31111 6 M59 40000 000161 0000E*")-SUMIFS(E801:E1496,K801:K1496,"0",B801:B1496,"5 1 2 1 1 12 31111 6 M59 40000 000161 0000E*")</f>
        <v>0</v>
      </c>
      <c r="E800" s="54"/>
      <c r="F800" s="83">
        <f>SUMIFS(F801:F1496,K801:K1496,"0",B801:B1496,"5 1 2 1 1 12 31111 6 M59 40000 000161 0000E*")</f>
        <v>7074777.1600000001</v>
      </c>
      <c r="G800" s="83">
        <f>SUMIFS(G801:G1496,K801:K1496,"0",B801:B1496,"5 1 2 1 1 12 31111 6 M59 40000 000161 0000E*")</f>
        <v>0</v>
      </c>
      <c r="H800" s="83">
        <f t="shared" si="12"/>
        <v>7074777.1600000001</v>
      </c>
      <c r="I800" s="83"/>
      <c r="K800" s="54" t="s">
        <v>15</v>
      </c>
    </row>
    <row r="801" spans="2:11" ht="24.75" x14ac:dyDescent="0.2">
      <c r="B801" s="82" t="s">
        <v>6065</v>
      </c>
      <c r="C801" s="82" t="s">
        <v>282</v>
      </c>
      <c r="D801" s="83">
        <f>SUMIFS(D802:D1496,K802:K1496,"0",B802:B1496,"5 1 2 1 1 12 31111 6 M59 40000 000161 0000E 00001*")-SUMIFS(E802:E1496,K802:K1496,"0",B802:B1496,"5 1 2 1 1 12 31111 6 M59 40000 000161 0000E 00001*")</f>
        <v>0</v>
      </c>
      <c r="E801" s="54"/>
      <c r="F801" s="83">
        <f>SUMIFS(F802:F1496,K802:K1496,"0",B802:B1496,"5 1 2 1 1 12 31111 6 M59 40000 000161 0000E 00001*")</f>
        <v>7074777.1600000001</v>
      </c>
      <c r="G801" s="83">
        <f>SUMIFS(G802:G1496,K802:K1496,"0",B802:B1496,"5 1 2 1 1 12 31111 6 M59 40000 000161 0000E 00001*")</f>
        <v>0</v>
      </c>
      <c r="H801" s="83">
        <f t="shared" si="12"/>
        <v>7074777.1600000001</v>
      </c>
      <c r="I801" s="83"/>
      <c r="K801" s="54" t="s">
        <v>15</v>
      </c>
    </row>
    <row r="802" spans="2:11" ht="24.75" x14ac:dyDescent="0.2">
      <c r="B802" s="82" t="s">
        <v>6066</v>
      </c>
      <c r="C802" s="82" t="s">
        <v>5827</v>
      </c>
      <c r="D802" s="83">
        <f>SUMIFS(D803:D1496,K803:K1496,"0",B803:B1496,"5 1 2 1 1 12 31111 6 M59 40000 000161 0000E 00001 00211*")-SUMIFS(E803:E1496,K803:K1496,"0",B803:B1496,"5 1 2 1 1 12 31111 6 M59 40000 000161 0000E 00001 00211*")</f>
        <v>0</v>
      </c>
      <c r="E802" s="54"/>
      <c r="F802" s="83">
        <f>SUMIFS(F803:F1496,K803:K1496,"0",B803:B1496,"5 1 2 1 1 12 31111 6 M59 40000 000161 0000E 00001 00211*")</f>
        <v>7074777.1600000001</v>
      </c>
      <c r="G802" s="83">
        <f>SUMIFS(G803:G1496,K803:K1496,"0",B803:B1496,"5 1 2 1 1 12 31111 6 M59 40000 000161 0000E 00001 00211*")</f>
        <v>0</v>
      </c>
      <c r="H802" s="83">
        <f t="shared" si="12"/>
        <v>7074777.1600000001</v>
      </c>
      <c r="I802" s="83"/>
      <c r="K802" s="54" t="s">
        <v>15</v>
      </c>
    </row>
    <row r="803" spans="2:11" ht="24.75" x14ac:dyDescent="0.2">
      <c r="B803" s="82" t="s">
        <v>6067</v>
      </c>
      <c r="C803" s="82" t="s">
        <v>656</v>
      </c>
      <c r="D803" s="83">
        <f>SUMIFS(D804:D1496,K804:K1496,"0",B804:B1496,"5 1 2 1 1 12 31111 6 M59 40000 000161 0000E 00001 00211 025*")-SUMIFS(E804:E1496,K804:K1496,"0",B804:B1496,"5 1 2 1 1 12 31111 6 M59 40000 000161 0000E 00001 00211 025*")</f>
        <v>0</v>
      </c>
      <c r="E803" s="54"/>
      <c r="F803" s="83">
        <f>SUMIFS(F804:F1496,K804:K1496,"0",B804:B1496,"5 1 2 1 1 12 31111 6 M59 40000 000161 0000E 00001 00211 025*")</f>
        <v>7074777.1600000001</v>
      </c>
      <c r="G803" s="83">
        <f>SUMIFS(G804:G1496,K804:K1496,"0",B804:B1496,"5 1 2 1 1 12 31111 6 M59 40000 000161 0000E 00001 00211 025*")</f>
        <v>0</v>
      </c>
      <c r="H803" s="83">
        <f t="shared" ref="H803:H866" si="13">D803 + F803 - G803</f>
        <v>7074777.1600000001</v>
      </c>
      <c r="I803" s="83"/>
      <c r="K803" s="54" t="s">
        <v>15</v>
      </c>
    </row>
    <row r="804" spans="2:11" ht="33" x14ac:dyDescent="0.2">
      <c r="B804" s="82" t="s">
        <v>6068</v>
      </c>
      <c r="C804" s="82" t="s">
        <v>5830</v>
      </c>
      <c r="D804" s="83">
        <f>SUMIFS(D805:D1496,K805:K1496,"0",B805:B1496,"5 1 2 1 1 12 31111 6 M59 40000 000161 0000E 00001 00211 025 2112000*")-SUMIFS(E805:E1496,K805:K1496,"0",B805:B1496,"5 1 2 1 1 12 31111 6 M59 40000 000161 0000E 00001 00211 025 2112000*")</f>
        <v>0</v>
      </c>
      <c r="E804" s="54"/>
      <c r="F804" s="83">
        <f>SUMIFS(F805:F1496,K805:K1496,"0",B805:B1496,"5 1 2 1 1 12 31111 6 M59 40000 000161 0000E 00001 00211 025 2112000*")</f>
        <v>7074777.1600000001</v>
      </c>
      <c r="G804" s="83">
        <f>SUMIFS(G805:G1496,K805:K1496,"0",B805:B1496,"5 1 2 1 1 12 31111 6 M59 40000 000161 0000E 00001 00211 025 2112000*")</f>
        <v>0</v>
      </c>
      <c r="H804" s="83">
        <f t="shared" si="13"/>
        <v>7074777.1600000001</v>
      </c>
      <c r="I804" s="83"/>
      <c r="K804" s="54" t="s">
        <v>15</v>
      </c>
    </row>
    <row r="805" spans="2:11" ht="33" x14ac:dyDescent="0.2">
      <c r="B805" s="82" t="s">
        <v>6069</v>
      </c>
      <c r="C805" s="82" t="s">
        <v>660</v>
      </c>
      <c r="D805" s="83">
        <f>SUMIFS(D806:D1496,K806:K1496,"0",B806:B1496,"5 1 2 1 1 12 31111 6 M59 40000 000161 0000E 00001 00211 025 2112000 2024*")-SUMIFS(E806:E1496,K806:K1496,"0",B806:B1496,"5 1 2 1 1 12 31111 6 M59 40000 000161 0000E 00001 00211 025 2112000 2024*")</f>
        <v>0</v>
      </c>
      <c r="E805" s="54"/>
      <c r="F805" s="83">
        <f>SUMIFS(F806:F1496,K806:K1496,"0",B806:B1496,"5 1 2 1 1 12 31111 6 M59 40000 000161 0000E 00001 00211 025 2112000 2024*")</f>
        <v>7074777.1600000001</v>
      </c>
      <c r="G805" s="83">
        <f>SUMIFS(G806:G1496,K806:K1496,"0",B806:B1496,"5 1 2 1 1 12 31111 6 M59 40000 000161 0000E 00001 00211 025 2112000 2024*")</f>
        <v>0</v>
      </c>
      <c r="H805" s="83">
        <f t="shared" si="13"/>
        <v>7074777.1600000001</v>
      </c>
      <c r="I805" s="83"/>
      <c r="K805" s="54" t="s">
        <v>15</v>
      </c>
    </row>
    <row r="806" spans="2:11" ht="41.25" x14ac:dyDescent="0.2">
      <c r="B806" s="82" t="s">
        <v>6070</v>
      </c>
      <c r="C806" s="82" t="s">
        <v>662</v>
      </c>
      <c r="D806" s="83">
        <f>SUMIFS(D807:D1496,K807:K1496,"0",B807:B1496,"5 1 2 1 1 12 31111 6 M59 40000 000161 0000E 00001 00211 025 2112000 2024 CP4SP372*")-SUMIFS(E807:E1496,K807:K1496,"0",B807:B1496,"5 1 2 1 1 12 31111 6 M59 40000 000161 0000E 00001 00211 025 2112000 2024 CP4SP372*")</f>
        <v>0</v>
      </c>
      <c r="E806" s="54"/>
      <c r="F806" s="83">
        <f>SUMIFS(F807:F1496,K807:K1496,"0",B807:B1496,"5 1 2 1 1 12 31111 6 M59 40000 000161 0000E 00001 00211 025 2112000 2024 CP4SP372*")</f>
        <v>7074777.1600000001</v>
      </c>
      <c r="G806" s="83">
        <f>SUMIFS(G807:G1496,K807:K1496,"0",B807:B1496,"5 1 2 1 1 12 31111 6 M59 40000 000161 0000E 00001 00211 025 2112000 2024 CP4SP372*")</f>
        <v>0</v>
      </c>
      <c r="H806" s="83">
        <f t="shared" si="13"/>
        <v>7074777.1600000001</v>
      </c>
      <c r="I806" s="83"/>
      <c r="K806" s="54" t="s">
        <v>15</v>
      </c>
    </row>
    <row r="807" spans="2:11" ht="41.25" x14ac:dyDescent="0.2">
      <c r="B807" s="82" t="s">
        <v>6071</v>
      </c>
      <c r="C807" s="82" t="s">
        <v>664</v>
      </c>
      <c r="D807" s="83">
        <f>SUMIFS(D808:D1496,K808:K1496,"0",B808:B1496,"5 1 2 1 1 12 31111 6 M59 40000 000161 0000E 00001 00211 025 2112000 2024 CP4SP372 003*")-SUMIFS(E808:E1496,K808:K1496,"0",B808:B1496,"5 1 2 1 1 12 31111 6 M59 40000 000161 0000E 00001 00211 025 2112000 2024 CP4SP372 003*")</f>
        <v>0</v>
      </c>
      <c r="E807" s="54"/>
      <c r="F807" s="83">
        <f>SUMIFS(F808:F1496,K808:K1496,"0",B808:B1496,"5 1 2 1 1 12 31111 6 M59 40000 000161 0000E 00001 00211 025 2112000 2024 CP4SP372 003*")</f>
        <v>7074777.1600000001</v>
      </c>
      <c r="G807" s="83">
        <f>SUMIFS(G808:G1496,K808:K1496,"0",B808:B1496,"5 1 2 1 1 12 31111 6 M59 40000 000161 0000E 00001 00211 025 2112000 2024 CP4SP372 003*")</f>
        <v>0</v>
      </c>
      <c r="H807" s="83">
        <f t="shared" si="13"/>
        <v>7074777.1600000001</v>
      </c>
      <c r="I807" s="83"/>
      <c r="K807" s="54" t="s">
        <v>15</v>
      </c>
    </row>
    <row r="808" spans="2:11" ht="33" x14ac:dyDescent="0.2">
      <c r="B808" s="84" t="s">
        <v>6072</v>
      </c>
      <c r="C808" s="84" t="s">
        <v>5817</v>
      </c>
      <c r="D808" s="85">
        <v>0</v>
      </c>
      <c r="E808" s="85"/>
      <c r="F808" s="85">
        <v>7074777.1600000001</v>
      </c>
      <c r="G808" s="85">
        <v>0</v>
      </c>
      <c r="H808" s="85">
        <f t="shared" si="13"/>
        <v>7074777.1600000001</v>
      </c>
      <c r="I808" s="85"/>
      <c r="K808" s="54" t="s">
        <v>38</v>
      </c>
    </row>
    <row r="809" spans="2:11" ht="16.5" x14ac:dyDescent="0.2">
      <c r="B809" s="82" t="s">
        <v>6073</v>
      </c>
      <c r="C809" s="82" t="s">
        <v>1105</v>
      </c>
      <c r="D809" s="83">
        <f>SUMIFS(D810:D1496,K810:K1496,"0",B810:B1496,"5 1 2 1 1 12 31111 6 M59 40200*")-SUMIFS(E810:E1496,K810:K1496,"0",B810:B1496,"5 1 2 1 1 12 31111 6 M59 40200*")</f>
        <v>0</v>
      </c>
      <c r="E809" s="54"/>
      <c r="F809" s="83">
        <f>SUMIFS(F810:F1496,K810:K1496,"0",B810:B1496,"5 1 2 1 1 12 31111 6 M59 40200*")</f>
        <v>2200000</v>
      </c>
      <c r="G809" s="83">
        <f>SUMIFS(G810:G1496,K810:K1496,"0",B810:B1496,"5 1 2 1 1 12 31111 6 M59 40200*")</f>
        <v>0</v>
      </c>
      <c r="H809" s="83">
        <f t="shared" si="13"/>
        <v>2200000</v>
      </c>
      <c r="I809" s="83"/>
      <c r="K809" s="54" t="s">
        <v>15</v>
      </c>
    </row>
    <row r="810" spans="2:11" ht="16.5" x14ac:dyDescent="0.2">
      <c r="B810" s="82" t="s">
        <v>6074</v>
      </c>
      <c r="C810" s="82" t="s">
        <v>1107</v>
      </c>
      <c r="D810" s="83">
        <f>SUMIFS(D811:D1496,K811:K1496,"0",B811:B1496,"5 1 2 1 1 12 31111 6 M59 40200 000172*")-SUMIFS(E811:E1496,K811:K1496,"0",B811:B1496,"5 1 2 1 1 12 31111 6 M59 40200 000172*")</f>
        <v>0</v>
      </c>
      <c r="E810" s="54"/>
      <c r="F810" s="83">
        <f>SUMIFS(F811:F1496,K811:K1496,"0",B811:B1496,"5 1 2 1 1 12 31111 6 M59 40200 000172*")</f>
        <v>2200000</v>
      </c>
      <c r="G810" s="83">
        <f>SUMIFS(G811:G1496,K811:K1496,"0",B811:B1496,"5 1 2 1 1 12 31111 6 M59 40200 000172*")</f>
        <v>0</v>
      </c>
      <c r="H810" s="83">
        <f t="shared" si="13"/>
        <v>2200000</v>
      </c>
      <c r="I810" s="83"/>
      <c r="K810" s="54" t="s">
        <v>15</v>
      </c>
    </row>
    <row r="811" spans="2:11" ht="16.5" x14ac:dyDescent="0.2">
      <c r="B811" s="82" t="s">
        <v>6075</v>
      </c>
      <c r="C811" s="82" t="s">
        <v>650</v>
      </c>
      <c r="D811" s="83">
        <f>SUMIFS(D812:D1496,K812:K1496,"0",B812:B1496,"5 1 2 1 1 12 31111 6 M59 40200 000172 0000R*")-SUMIFS(E812:E1496,K812:K1496,"0",B812:B1496,"5 1 2 1 1 12 31111 6 M59 40200 000172 0000R*")</f>
        <v>0</v>
      </c>
      <c r="E811" s="54"/>
      <c r="F811" s="83">
        <f>SUMIFS(F812:F1496,K812:K1496,"0",B812:B1496,"5 1 2 1 1 12 31111 6 M59 40200 000172 0000R*")</f>
        <v>2200000</v>
      </c>
      <c r="G811" s="83">
        <f>SUMIFS(G812:G1496,K812:K1496,"0",B812:B1496,"5 1 2 1 1 12 31111 6 M59 40200 000172 0000R*")</f>
        <v>0</v>
      </c>
      <c r="H811" s="83">
        <f t="shared" si="13"/>
        <v>2200000</v>
      </c>
      <c r="I811" s="83"/>
      <c r="K811" s="54" t="s">
        <v>15</v>
      </c>
    </row>
    <row r="812" spans="2:11" ht="24.75" x14ac:dyDescent="0.2">
      <c r="B812" s="82" t="s">
        <v>6076</v>
      </c>
      <c r="C812" s="82" t="s">
        <v>282</v>
      </c>
      <c r="D812" s="83">
        <f>SUMIFS(D813:D1496,K813:K1496,"0",B813:B1496,"5 1 2 1 1 12 31111 6 M59 40200 000172 0000R 00001*")-SUMIFS(E813:E1496,K813:K1496,"0",B813:B1496,"5 1 2 1 1 12 31111 6 M59 40200 000172 0000R 00001*")</f>
        <v>0</v>
      </c>
      <c r="E812" s="54"/>
      <c r="F812" s="83">
        <f>SUMIFS(F813:F1496,K813:K1496,"0",B813:B1496,"5 1 2 1 1 12 31111 6 M59 40200 000172 0000R 00001*")</f>
        <v>2200000</v>
      </c>
      <c r="G812" s="83">
        <f>SUMIFS(G813:G1496,K813:K1496,"0",B813:B1496,"5 1 2 1 1 12 31111 6 M59 40200 000172 0000R 00001*")</f>
        <v>0</v>
      </c>
      <c r="H812" s="83">
        <f t="shared" si="13"/>
        <v>2200000</v>
      </c>
      <c r="I812" s="83"/>
      <c r="K812" s="54" t="s">
        <v>15</v>
      </c>
    </row>
    <row r="813" spans="2:11" ht="24.75" x14ac:dyDescent="0.2">
      <c r="B813" s="82" t="s">
        <v>6077</v>
      </c>
      <c r="C813" s="82" t="s">
        <v>5827</v>
      </c>
      <c r="D813" s="83">
        <f>SUMIFS(D814:D1496,K814:K1496,"0",B814:B1496,"5 1 2 1 1 12 31111 6 M59 40200 000172 0000R 00001 00211*")-SUMIFS(E814:E1496,K814:K1496,"0",B814:B1496,"5 1 2 1 1 12 31111 6 M59 40200 000172 0000R 00001 00211*")</f>
        <v>0</v>
      </c>
      <c r="E813" s="54"/>
      <c r="F813" s="83">
        <f>SUMIFS(F814:F1496,K814:K1496,"0",B814:B1496,"5 1 2 1 1 12 31111 6 M59 40200 000172 0000R 00001 00211*")</f>
        <v>2200000</v>
      </c>
      <c r="G813" s="83">
        <f>SUMIFS(G814:G1496,K814:K1496,"0",B814:B1496,"5 1 2 1 1 12 31111 6 M59 40200 000172 0000R 00001 00211*")</f>
        <v>0</v>
      </c>
      <c r="H813" s="83">
        <f t="shared" si="13"/>
        <v>2200000</v>
      </c>
      <c r="I813" s="83"/>
      <c r="K813" s="54" t="s">
        <v>15</v>
      </c>
    </row>
    <row r="814" spans="2:11" ht="24.75" x14ac:dyDescent="0.2">
      <c r="B814" s="82" t="s">
        <v>6084</v>
      </c>
      <c r="C814" s="82" t="s">
        <v>656</v>
      </c>
      <c r="D814" s="83">
        <f>SUMIFS(D815:D1496,K815:K1496,"0",B815:B1496,"5 1 2 1 1 12 31111 6 M59 40200 000172 0000R 00001 00211 025*")-SUMIFS(E815:E1496,K815:K1496,"0",B815:B1496,"5 1 2 1 1 12 31111 6 M59 40200 000172 0000R 00001 00211 025*")</f>
        <v>0</v>
      </c>
      <c r="E814" s="54"/>
      <c r="F814" s="83">
        <f>SUMIFS(F815:F1496,K815:K1496,"0",B815:B1496,"5 1 2 1 1 12 31111 6 M59 40200 000172 0000R 00001 00211 025*")</f>
        <v>2200000</v>
      </c>
      <c r="G814" s="83">
        <f>SUMIFS(G815:G1496,K815:K1496,"0",B815:B1496,"5 1 2 1 1 12 31111 6 M59 40200 000172 0000R 00001 00211 025*")</f>
        <v>0</v>
      </c>
      <c r="H814" s="83">
        <f t="shared" si="13"/>
        <v>2200000</v>
      </c>
      <c r="I814" s="83"/>
      <c r="K814" s="54" t="s">
        <v>15</v>
      </c>
    </row>
    <row r="815" spans="2:11" ht="33" x14ac:dyDescent="0.2">
      <c r="B815" s="82" t="s">
        <v>6085</v>
      </c>
      <c r="C815" s="82" t="s">
        <v>5830</v>
      </c>
      <c r="D815" s="83">
        <f>SUMIFS(D816:D1496,K816:K1496,"0",B816:B1496,"5 1 2 1 1 12 31111 6 M59 40200 000172 0000R 00001 00211 025 2112000*")-SUMIFS(E816:E1496,K816:K1496,"0",B816:B1496,"5 1 2 1 1 12 31111 6 M59 40200 000172 0000R 00001 00211 025 2112000*")</f>
        <v>0</v>
      </c>
      <c r="E815" s="54"/>
      <c r="F815" s="83">
        <f>SUMIFS(F816:F1496,K816:K1496,"0",B816:B1496,"5 1 2 1 1 12 31111 6 M59 40200 000172 0000R 00001 00211 025 2112000*")</f>
        <v>2200000</v>
      </c>
      <c r="G815" s="83">
        <f>SUMIFS(G816:G1496,K816:K1496,"0",B816:B1496,"5 1 2 1 1 12 31111 6 M59 40200 000172 0000R 00001 00211 025 2112000*")</f>
        <v>0</v>
      </c>
      <c r="H815" s="83">
        <f t="shared" si="13"/>
        <v>2200000</v>
      </c>
      <c r="I815" s="83"/>
      <c r="K815" s="54" t="s">
        <v>15</v>
      </c>
    </row>
    <row r="816" spans="2:11" ht="33" x14ac:dyDescent="0.2">
      <c r="B816" s="82" t="s">
        <v>6086</v>
      </c>
      <c r="C816" s="82" t="s">
        <v>660</v>
      </c>
      <c r="D816" s="83">
        <f>SUMIFS(D817:D1496,K817:K1496,"0",B817:B1496,"5 1 2 1 1 12 31111 6 M59 40200 000172 0000R 00001 00211 025 2112000 2024*")-SUMIFS(E817:E1496,K817:K1496,"0",B817:B1496,"5 1 2 1 1 12 31111 6 M59 40200 000172 0000R 00001 00211 025 2112000 2024*")</f>
        <v>0</v>
      </c>
      <c r="E816" s="54"/>
      <c r="F816" s="83">
        <f>SUMIFS(F817:F1496,K817:K1496,"0",B817:B1496,"5 1 2 1 1 12 31111 6 M59 40200 000172 0000R 00001 00211 025 2112000 2024*")</f>
        <v>2200000</v>
      </c>
      <c r="G816" s="83">
        <f>SUMIFS(G817:G1496,K817:K1496,"0",B817:B1496,"5 1 2 1 1 12 31111 6 M59 40200 000172 0000R 00001 00211 025 2112000 2024*")</f>
        <v>0</v>
      </c>
      <c r="H816" s="83">
        <f t="shared" si="13"/>
        <v>2200000</v>
      </c>
      <c r="I816" s="83"/>
      <c r="K816" s="54" t="s">
        <v>15</v>
      </c>
    </row>
    <row r="817" spans="2:11" ht="41.25" x14ac:dyDescent="0.2">
      <c r="B817" s="82" t="s">
        <v>6087</v>
      </c>
      <c r="C817" s="82" t="s">
        <v>1056</v>
      </c>
      <c r="D817" s="83">
        <f>SUMIFS(D818:D1496,K818:K1496,"0",B818:B1496,"5 1 2 1 1 12 31111 6 M59 40200 000172 0000R 00001 00211 025 2112000 2024 CP4PC370*")-SUMIFS(E818:E1496,K818:K1496,"0",B818:B1496,"5 1 2 1 1 12 31111 6 M59 40200 000172 0000R 00001 00211 025 2112000 2024 CP4PC370*")</f>
        <v>0</v>
      </c>
      <c r="E817" s="54"/>
      <c r="F817" s="83">
        <f>SUMIFS(F818:F1496,K818:K1496,"0",B818:B1496,"5 1 2 1 1 12 31111 6 M59 40200 000172 0000R 00001 00211 025 2112000 2024 CP4PC370*")</f>
        <v>2200000</v>
      </c>
      <c r="G817" s="83">
        <f>SUMIFS(G818:G1496,K818:K1496,"0",B818:B1496,"5 1 2 1 1 12 31111 6 M59 40200 000172 0000R 00001 00211 025 2112000 2024 CP4PC370*")</f>
        <v>0</v>
      </c>
      <c r="H817" s="83">
        <f t="shared" si="13"/>
        <v>2200000</v>
      </c>
      <c r="I817" s="83"/>
      <c r="K817" s="54" t="s">
        <v>15</v>
      </c>
    </row>
    <row r="818" spans="2:11" ht="41.25" x14ac:dyDescent="0.2">
      <c r="B818" s="82" t="s">
        <v>6088</v>
      </c>
      <c r="C818" s="82" t="s">
        <v>664</v>
      </c>
      <c r="D818" s="83">
        <f>SUMIFS(D819:D1496,K819:K1496,"0",B819:B1496,"5 1 2 1 1 12 31111 6 M59 40200 000172 0000R 00001 00211 025 2112000 2024 CP4PC370 003*")-SUMIFS(E819:E1496,K819:K1496,"0",B819:B1496,"5 1 2 1 1 12 31111 6 M59 40200 000172 0000R 00001 00211 025 2112000 2024 CP4PC370 003*")</f>
        <v>0</v>
      </c>
      <c r="E818" s="54"/>
      <c r="F818" s="83">
        <f>SUMIFS(F819:F1496,K819:K1496,"0",B819:B1496,"5 1 2 1 1 12 31111 6 M59 40200 000172 0000R 00001 00211 025 2112000 2024 CP4PC370 003*")</f>
        <v>2200000</v>
      </c>
      <c r="G818" s="83">
        <f>SUMIFS(G819:G1496,K819:K1496,"0",B819:B1496,"5 1 2 1 1 12 31111 6 M59 40200 000172 0000R 00001 00211 025 2112000 2024 CP4PC370 003*")</f>
        <v>0</v>
      </c>
      <c r="H818" s="83">
        <f t="shared" si="13"/>
        <v>2200000</v>
      </c>
      <c r="I818" s="83"/>
      <c r="K818" s="54" t="s">
        <v>15</v>
      </c>
    </row>
    <row r="819" spans="2:11" ht="33" x14ac:dyDescent="0.2">
      <c r="B819" s="84" t="s">
        <v>6089</v>
      </c>
      <c r="C819" s="84" t="s">
        <v>5817</v>
      </c>
      <c r="D819" s="85">
        <v>0</v>
      </c>
      <c r="E819" s="85"/>
      <c r="F819" s="85">
        <v>2200000</v>
      </c>
      <c r="G819" s="85">
        <v>0</v>
      </c>
      <c r="H819" s="85">
        <f t="shared" si="13"/>
        <v>2200000</v>
      </c>
      <c r="I819" s="85"/>
      <c r="K819" s="54" t="s">
        <v>38</v>
      </c>
    </row>
    <row r="820" spans="2:11" ht="16.5" x14ac:dyDescent="0.2">
      <c r="B820" s="82" t="s">
        <v>6090</v>
      </c>
      <c r="C820" s="82" t="s">
        <v>3256</v>
      </c>
      <c r="D820" s="83">
        <f>SUMIFS(D821:D1496,K821:K1496,"0",B821:B1496,"5 1 2 1 1 12 31111 6 M59 40300*")-SUMIFS(E821:E1496,K821:K1496,"0",B821:B1496,"5 1 2 1 1 12 31111 6 M59 40300*")</f>
        <v>0</v>
      </c>
      <c r="E820" s="54"/>
      <c r="F820" s="83">
        <f>SUMIFS(F821:F1496,K821:K1496,"0",B821:B1496,"5 1 2 1 1 12 31111 6 M59 40300*")</f>
        <v>2300000</v>
      </c>
      <c r="G820" s="83">
        <f>SUMIFS(G821:G1496,K821:K1496,"0",B821:B1496,"5 1 2 1 1 12 31111 6 M59 40300*")</f>
        <v>0</v>
      </c>
      <c r="H820" s="83">
        <f t="shared" si="13"/>
        <v>2300000</v>
      </c>
      <c r="I820" s="83"/>
      <c r="K820" s="54" t="s">
        <v>15</v>
      </c>
    </row>
    <row r="821" spans="2:11" ht="16.5" x14ac:dyDescent="0.2">
      <c r="B821" s="82" t="s">
        <v>6091</v>
      </c>
      <c r="C821" s="82" t="s">
        <v>1063</v>
      </c>
      <c r="D821" s="83">
        <f>SUMIFS(D822:D1496,K822:K1496,"0",B822:B1496,"5 1 2 1 1 12 31111 6 M59 40300 000185*")-SUMIFS(E822:E1496,K822:K1496,"0",B822:B1496,"5 1 2 1 1 12 31111 6 M59 40300 000185*")</f>
        <v>0</v>
      </c>
      <c r="E821" s="54"/>
      <c r="F821" s="83">
        <f>SUMIFS(F822:F1496,K822:K1496,"0",B822:B1496,"5 1 2 1 1 12 31111 6 M59 40300 000185*")</f>
        <v>2300000</v>
      </c>
      <c r="G821" s="83">
        <f>SUMIFS(G822:G1496,K822:K1496,"0",B822:B1496,"5 1 2 1 1 12 31111 6 M59 40300 000185*")</f>
        <v>0</v>
      </c>
      <c r="H821" s="83">
        <f t="shared" si="13"/>
        <v>2300000</v>
      </c>
      <c r="I821" s="83"/>
      <c r="K821" s="54" t="s">
        <v>15</v>
      </c>
    </row>
    <row r="822" spans="2:11" ht="16.5" x14ac:dyDescent="0.2">
      <c r="B822" s="82" t="s">
        <v>6092</v>
      </c>
      <c r="C822" s="82" t="s">
        <v>650</v>
      </c>
      <c r="D822" s="83">
        <f>SUMIFS(D823:D1496,K823:K1496,"0",B823:B1496,"5 1 2 1 1 12 31111 6 M59 40300 000185 0000R*")-SUMIFS(E823:E1496,K823:K1496,"0",B823:B1496,"5 1 2 1 1 12 31111 6 M59 40300 000185 0000R*")</f>
        <v>0</v>
      </c>
      <c r="E822" s="54"/>
      <c r="F822" s="83">
        <f>SUMIFS(F823:F1496,K823:K1496,"0",B823:B1496,"5 1 2 1 1 12 31111 6 M59 40300 000185 0000R*")</f>
        <v>2300000</v>
      </c>
      <c r="G822" s="83">
        <f>SUMIFS(G823:G1496,K823:K1496,"0",B823:B1496,"5 1 2 1 1 12 31111 6 M59 40300 000185 0000R*")</f>
        <v>0</v>
      </c>
      <c r="H822" s="83">
        <f t="shared" si="13"/>
        <v>2300000</v>
      </c>
      <c r="I822" s="83"/>
      <c r="K822" s="54" t="s">
        <v>15</v>
      </c>
    </row>
    <row r="823" spans="2:11" ht="24.75" x14ac:dyDescent="0.2">
      <c r="B823" s="82" t="s">
        <v>6093</v>
      </c>
      <c r="C823" s="82" t="s">
        <v>282</v>
      </c>
      <c r="D823" s="83">
        <f>SUMIFS(D824:D1496,K824:K1496,"0",B824:B1496,"5 1 2 1 1 12 31111 6 M59 40300 000185 0000R 00001*")-SUMIFS(E824:E1496,K824:K1496,"0",B824:B1496,"5 1 2 1 1 12 31111 6 M59 40300 000185 0000R 00001*")</f>
        <v>0</v>
      </c>
      <c r="E823" s="54"/>
      <c r="F823" s="83">
        <f>SUMIFS(F824:F1496,K824:K1496,"0",B824:B1496,"5 1 2 1 1 12 31111 6 M59 40300 000185 0000R 00001*")</f>
        <v>2300000</v>
      </c>
      <c r="G823" s="83">
        <f>SUMIFS(G824:G1496,K824:K1496,"0",B824:B1496,"5 1 2 1 1 12 31111 6 M59 40300 000185 0000R 00001*")</f>
        <v>0</v>
      </c>
      <c r="H823" s="83">
        <f t="shared" si="13"/>
        <v>2300000</v>
      </c>
      <c r="I823" s="83"/>
      <c r="K823" s="54" t="s">
        <v>15</v>
      </c>
    </row>
    <row r="824" spans="2:11" ht="24.75" x14ac:dyDescent="0.2">
      <c r="B824" s="82" t="s">
        <v>6094</v>
      </c>
      <c r="C824" s="82" t="s">
        <v>5827</v>
      </c>
      <c r="D824" s="83">
        <f>SUMIFS(D825:D1496,K825:K1496,"0",B825:B1496,"5 1 2 1 1 12 31111 6 M59 40300 000185 0000R 00001 00211*")-SUMIFS(E825:E1496,K825:K1496,"0",B825:B1496,"5 1 2 1 1 12 31111 6 M59 40300 000185 0000R 00001 00211*")</f>
        <v>0</v>
      </c>
      <c r="E824" s="54"/>
      <c r="F824" s="83">
        <f>SUMIFS(F825:F1496,K825:K1496,"0",B825:B1496,"5 1 2 1 1 12 31111 6 M59 40300 000185 0000R 00001 00211*")</f>
        <v>2300000</v>
      </c>
      <c r="G824" s="83">
        <f>SUMIFS(G825:G1496,K825:K1496,"0",B825:B1496,"5 1 2 1 1 12 31111 6 M59 40300 000185 0000R 00001 00211*")</f>
        <v>0</v>
      </c>
      <c r="H824" s="83">
        <f t="shared" si="13"/>
        <v>2300000</v>
      </c>
      <c r="I824" s="83"/>
      <c r="K824" s="54" t="s">
        <v>15</v>
      </c>
    </row>
    <row r="825" spans="2:11" ht="24.75" x14ac:dyDescent="0.2">
      <c r="B825" s="82" t="s">
        <v>6101</v>
      </c>
      <c r="C825" s="82" t="s">
        <v>656</v>
      </c>
      <c r="D825" s="83">
        <f>SUMIFS(D826:D1496,K826:K1496,"0",B826:B1496,"5 1 2 1 1 12 31111 6 M59 40300 000185 0000R 00001 00211 025*")-SUMIFS(E826:E1496,K826:K1496,"0",B826:B1496,"5 1 2 1 1 12 31111 6 M59 40300 000185 0000R 00001 00211 025*")</f>
        <v>0</v>
      </c>
      <c r="E825" s="54"/>
      <c r="F825" s="83">
        <f>SUMIFS(F826:F1496,K826:K1496,"0",B826:B1496,"5 1 2 1 1 12 31111 6 M59 40300 000185 0000R 00001 00211 025*")</f>
        <v>2300000</v>
      </c>
      <c r="G825" s="83">
        <f>SUMIFS(G826:G1496,K826:K1496,"0",B826:B1496,"5 1 2 1 1 12 31111 6 M59 40300 000185 0000R 00001 00211 025*")</f>
        <v>0</v>
      </c>
      <c r="H825" s="83">
        <f t="shared" si="13"/>
        <v>2300000</v>
      </c>
      <c r="I825" s="83"/>
      <c r="K825" s="54" t="s">
        <v>15</v>
      </c>
    </row>
    <row r="826" spans="2:11" ht="33" x14ac:dyDescent="0.2">
      <c r="B826" s="82" t="s">
        <v>6102</v>
      </c>
      <c r="C826" s="82" t="s">
        <v>5830</v>
      </c>
      <c r="D826" s="83">
        <f>SUMIFS(D827:D1496,K827:K1496,"0",B827:B1496,"5 1 2 1 1 12 31111 6 M59 40300 000185 0000R 00001 00211 025 2112000*")-SUMIFS(E827:E1496,K827:K1496,"0",B827:B1496,"5 1 2 1 1 12 31111 6 M59 40300 000185 0000R 00001 00211 025 2112000*")</f>
        <v>0</v>
      </c>
      <c r="E826" s="54"/>
      <c r="F826" s="83">
        <f>SUMIFS(F827:F1496,K827:K1496,"0",B827:B1496,"5 1 2 1 1 12 31111 6 M59 40300 000185 0000R 00001 00211 025 2112000*")</f>
        <v>2300000</v>
      </c>
      <c r="G826" s="83">
        <f>SUMIFS(G827:G1496,K827:K1496,"0",B827:B1496,"5 1 2 1 1 12 31111 6 M59 40300 000185 0000R 00001 00211 025 2112000*")</f>
        <v>0</v>
      </c>
      <c r="H826" s="83">
        <f t="shared" si="13"/>
        <v>2300000</v>
      </c>
      <c r="I826" s="83"/>
      <c r="K826" s="54" t="s">
        <v>15</v>
      </c>
    </row>
    <row r="827" spans="2:11" ht="33" x14ac:dyDescent="0.2">
      <c r="B827" s="82" t="s">
        <v>6103</v>
      </c>
      <c r="C827" s="82" t="s">
        <v>660</v>
      </c>
      <c r="D827" s="83">
        <f>SUMIFS(D828:D1496,K828:K1496,"0",B828:B1496,"5 1 2 1 1 12 31111 6 M59 40300 000185 0000R 00001 00211 025 2112000 2024*")-SUMIFS(E828:E1496,K828:K1496,"0",B828:B1496,"5 1 2 1 1 12 31111 6 M59 40300 000185 0000R 00001 00211 025 2112000 2024*")</f>
        <v>0</v>
      </c>
      <c r="E827" s="54"/>
      <c r="F827" s="83">
        <f>SUMIFS(F828:F1496,K828:K1496,"0",B828:B1496,"5 1 2 1 1 12 31111 6 M59 40300 000185 0000R 00001 00211 025 2112000 2024*")</f>
        <v>2300000</v>
      </c>
      <c r="G827" s="83">
        <f>SUMIFS(G828:G1496,K828:K1496,"0",B828:B1496,"5 1 2 1 1 12 31111 6 M59 40300 000185 0000R 00001 00211 025 2112000 2024*")</f>
        <v>0</v>
      </c>
      <c r="H827" s="83">
        <f t="shared" si="13"/>
        <v>2300000</v>
      </c>
      <c r="I827" s="83"/>
      <c r="K827" s="54" t="s">
        <v>15</v>
      </c>
    </row>
    <row r="828" spans="2:11" ht="41.25" x14ac:dyDescent="0.2">
      <c r="B828" s="82" t="s">
        <v>6104</v>
      </c>
      <c r="C828" s="82" t="s">
        <v>662</v>
      </c>
      <c r="D828" s="83">
        <f>SUMIFS(D829:D1496,K829:K1496,"0",B829:B1496,"5 1 2 1 1 12 31111 6 M59 40300 000185 0000R 00001 00211 025 2112000 2024 CP4TV371*")-SUMIFS(E829:E1496,K829:K1496,"0",B829:B1496,"5 1 2 1 1 12 31111 6 M59 40300 000185 0000R 00001 00211 025 2112000 2024 CP4TV371*")</f>
        <v>0</v>
      </c>
      <c r="E828" s="54"/>
      <c r="F828" s="83">
        <f>SUMIFS(F829:F1496,K829:K1496,"0",B829:B1496,"5 1 2 1 1 12 31111 6 M59 40300 000185 0000R 00001 00211 025 2112000 2024 CP4TV371*")</f>
        <v>2300000</v>
      </c>
      <c r="G828" s="83">
        <f>SUMIFS(G829:G1496,K829:K1496,"0",B829:B1496,"5 1 2 1 1 12 31111 6 M59 40300 000185 0000R 00001 00211 025 2112000 2024 CP4TV371*")</f>
        <v>0</v>
      </c>
      <c r="H828" s="83">
        <f t="shared" si="13"/>
        <v>2300000</v>
      </c>
      <c r="I828" s="83"/>
      <c r="K828" s="54" t="s">
        <v>15</v>
      </c>
    </row>
    <row r="829" spans="2:11" ht="41.25" x14ac:dyDescent="0.2">
      <c r="B829" s="82" t="s">
        <v>6105</v>
      </c>
      <c r="C829" s="82" t="s">
        <v>664</v>
      </c>
      <c r="D829" s="83">
        <f>SUMIFS(D830:D1496,K830:K1496,"0",B830:B1496,"5 1 2 1 1 12 31111 6 M59 40300 000185 0000R 00001 00211 025 2112000 2024 CP4TV371 003*")-SUMIFS(E830:E1496,K830:K1496,"0",B830:B1496,"5 1 2 1 1 12 31111 6 M59 40300 000185 0000R 00001 00211 025 2112000 2024 CP4TV371 003*")</f>
        <v>0</v>
      </c>
      <c r="E829" s="54"/>
      <c r="F829" s="83">
        <f>SUMIFS(F830:F1496,K830:K1496,"0",B830:B1496,"5 1 2 1 1 12 31111 6 M59 40300 000185 0000R 00001 00211 025 2112000 2024 CP4TV371 003*")</f>
        <v>2300000</v>
      </c>
      <c r="G829" s="83">
        <f>SUMIFS(G830:G1496,K830:K1496,"0",B830:B1496,"5 1 2 1 1 12 31111 6 M59 40300 000185 0000R 00001 00211 025 2112000 2024 CP4TV371 003*")</f>
        <v>0</v>
      </c>
      <c r="H829" s="83">
        <f t="shared" si="13"/>
        <v>2300000</v>
      </c>
      <c r="I829" s="83"/>
      <c r="K829" s="54" t="s">
        <v>15</v>
      </c>
    </row>
    <row r="830" spans="2:11" ht="33" x14ac:dyDescent="0.2">
      <c r="B830" s="84" t="s">
        <v>6106</v>
      </c>
      <c r="C830" s="84" t="s">
        <v>5817</v>
      </c>
      <c r="D830" s="85">
        <v>0</v>
      </c>
      <c r="E830" s="85"/>
      <c r="F830" s="85">
        <v>2300000</v>
      </c>
      <c r="G830" s="85">
        <v>0</v>
      </c>
      <c r="H830" s="85">
        <f t="shared" si="13"/>
        <v>2300000</v>
      </c>
      <c r="I830" s="85"/>
      <c r="K830" s="54" t="s">
        <v>38</v>
      </c>
    </row>
    <row r="831" spans="2:11" ht="16.5" x14ac:dyDescent="0.2">
      <c r="B831" s="82" t="s">
        <v>6107</v>
      </c>
      <c r="C831" s="82" t="s">
        <v>3268</v>
      </c>
      <c r="D831" s="83">
        <f>SUMIFS(D832:D1496,K832:K1496,"0",B832:B1496,"5 1 2 1 1 12 31111 6 M59 40400*")-SUMIFS(E832:E1496,K832:K1496,"0",B832:B1496,"5 1 2 1 1 12 31111 6 M59 40400*")</f>
        <v>0</v>
      </c>
      <c r="E831" s="54"/>
      <c r="F831" s="83">
        <f>SUMIFS(F832:F1496,K832:K1496,"0",B832:B1496,"5 1 2 1 1 12 31111 6 M59 40400*")</f>
        <v>1500000</v>
      </c>
      <c r="G831" s="83">
        <f>SUMIFS(G832:G1496,K832:K1496,"0",B832:B1496,"5 1 2 1 1 12 31111 6 M59 40400*")</f>
        <v>0</v>
      </c>
      <c r="H831" s="83">
        <f t="shared" si="13"/>
        <v>1500000</v>
      </c>
      <c r="I831" s="83"/>
      <c r="K831" s="54" t="s">
        <v>15</v>
      </c>
    </row>
    <row r="832" spans="2:11" ht="16.5" x14ac:dyDescent="0.2">
      <c r="B832" s="82" t="s">
        <v>6108</v>
      </c>
      <c r="C832" s="82" t="s">
        <v>3270</v>
      </c>
      <c r="D832" s="83">
        <f>SUMIFS(D833:D1496,K833:K1496,"0",B833:B1496,"5 1 2 1 1 12 31111 6 M59 40400 000173*")-SUMIFS(E833:E1496,K833:K1496,"0",B833:B1496,"5 1 2 1 1 12 31111 6 M59 40400 000173*")</f>
        <v>0</v>
      </c>
      <c r="E832" s="54"/>
      <c r="F832" s="83">
        <f>SUMIFS(F833:F1496,K833:K1496,"0",B833:B1496,"5 1 2 1 1 12 31111 6 M59 40400 000173*")</f>
        <v>1500000</v>
      </c>
      <c r="G832" s="83">
        <f>SUMIFS(G833:G1496,K833:K1496,"0",B833:B1496,"5 1 2 1 1 12 31111 6 M59 40400 000173*")</f>
        <v>0</v>
      </c>
      <c r="H832" s="83">
        <f t="shared" si="13"/>
        <v>1500000</v>
      </c>
      <c r="I832" s="83"/>
      <c r="K832" s="54" t="s">
        <v>15</v>
      </c>
    </row>
    <row r="833" spans="2:11" ht="16.5" x14ac:dyDescent="0.2">
      <c r="B833" s="82" t="s">
        <v>6109</v>
      </c>
      <c r="C833" s="82" t="s">
        <v>650</v>
      </c>
      <c r="D833" s="83">
        <f>SUMIFS(D834:D1496,K834:K1496,"0",B834:B1496,"5 1 2 1 1 12 31111 6 M59 40400 000173 0000R*")-SUMIFS(E834:E1496,K834:K1496,"0",B834:B1496,"5 1 2 1 1 12 31111 6 M59 40400 000173 0000R*")</f>
        <v>0</v>
      </c>
      <c r="E833" s="54"/>
      <c r="F833" s="83">
        <f>SUMIFS(F834:F1496,K834:K1496,"0",B834:B1496,"5 1 2 1 1 12 31111 6 M59 40400 000173 0000R*")</f>
        <v>1500000</v>
      </c>
      <c r="G833" s="83">
        <f>SUMIFS(G834:G1496,K834:K1496,"0",B834:B1496,"5 1 2 1 1 12 31111 6 M59 40400 000173 0000R*")</f>
        <v>0</v>
      </c>
      <c r="H833" s="83">
        <f t="shared" si="13"/>
        <v>1500000</v>
      </c>
      <c r="I833" s="83"/>
      <c r="K833" s="54" t="s">
        <v>15</v>
      </c>
    </row>
    <row r="834" spans="2:11" ht="24.75" x14ac:dyDescent="0.2">
      <c r="B834" s="82" t="s">
        <v>6110</v>
      </c>
      <c r="C834" s="82" t="s">
        <v>282</v>
      </c>
      <c r="D834" s="83">
        <f>SUMIFS(D835:D1496,K835:K1496,"0",B835:B1496,"5 1 2 1 1 12 31111 6 M59 40400 000173 0000R 00001*")-SUMIFS(E835:E1496,K835:K1496,"0",B835:B1496,"5 1 2 1 1 12 31111 6 M59 40400 000173 0000R 00001*")</f>
        <v>0</v>
      </c>
      <c r="E834" s="54"/>
      <c r="F834" s="83">
        <f>SUMIFS(F835:F1496,K835:K1496,"0",B835:B1496,"5 1 2 1 1 12 31111 6 M59 40400 000173 0000R 00001*")</f>
        <v>1500000</v>
      </c>
      <c r="G834" s="83">
        <f>SUMIFS(G835:G1496,K835:K1496,"0",B835:B1496,"5 1 2 1 1 12 31111 6 M59 40400 000173 0000R 00001*")</f>
        <v>0</v>
      </c>
      <c r="H834" s="83">
        <f t="shared" si="13"/>
        <v>1500000</v>
      </c>
      <c r="I834" s="83"/>
      <c r="K834" s="54" t="s">
        <v>15</v>
      </c>
    </row>
    <row r="835" spans="2:11" ht="24.75" x14ac:dyDescent="0.2">
      <c r="B835" s="82" t="s">
        <v>6111</v>
      </c>
      <c r="C835" s="82" t="s">
        <v>5827</v>
      </c>
      <c r="D835" s="83">
        <f>SUMIFS(D836:D1496,K836:K1496,"0",B836:B1496,"5 1 2 1 1 12 31111 6 M59 40400 000173 0000R 00001 00211*")-SUMIFS(E836:E1496,K836:K1496,"0",B836:B1496,"5 1 2 1 1 12 31111 6 M59 40400 000173 0000R 00001 00211*")</f>
        <v>0</v>
      </c>
      <c r="E835" s="54"/>
      <c r="F835" s="83">
        <f>SUMIFS(F836:F1496,K836:K1496,"0",B836:B1496,"5 1 2 1 1 12 31111 6 M59 40400 000173 0000R 00001 00211*")</f>
        <v>1500000</v>
      </c>
      <c r="G835" s="83">
        <f>SUMIFS(G836:G1496,K836:K1496,"0",B836:B1496,"5 1 2 1 1 12 31111 6 M59 40400 000173 0000R 00001 00211*")</f>
        <v>0</v>
      </c>
      <c r="H835" s="83">
        <f t="shared" si="13"/>
        <v>1500000</v>
      </c>
      <c r="I835" s="83"/>
      <c r="K835" s="54" t="s">
        <v>15</v>
      </c>
    </row>
    <row r="836" spans="2:11" ht="24.75" x14ac:dyDescent="0.2">
      <c r="B836" s="82" t="s">
        <v>6118</v>
      </c>
      <c r="C836" s="82" t="s">
        <v>656</v>
      </c>
      <c r="D836" s="83">
        <f>SUMIFS(D837:D1496,K837:K1496,"0",B837:B1496,"5 1 2 1 1 12 31111 6 M59 40400 000173 0000R 00001 00211 025*")-SUMIFS(E837:E1496,K837:K1496,"0",B837:B1496,"5 1 2 1 1 12 31111 6 M59 40400 000173 0000R 00001 00211 025*")</f>
        <v>0</v>
      </c>
      <c r="E836" s="54"/>
      <c r="F836" s="83">
        <f>SUMIFS(F837:F1496,K837:K1496,"0",B837:B1496,"5 1 2 1 1 12 31111 6 M59 40400 000173 0000R 00001 00211 025*")</f>
        <v>1500000</v>
      </c>
      <c r="G836" s="83">
        <f>SUMIFS(G837:G1496,K837:K1496,"0",B837:B1496,"5 1 2 1 1 12 31111 6 M59 40400 000173 0000R 00001 00211 025*")</f>
        <v>0</v>
      </c>
      <c r="H836" s="83">
        <f t="shared" si="13"/>
        <v>1500000</v>
      </c>
      <c r="I836" s="83"/>
      <c r="K836" s="54" t="s">
        <v>15</v>
      </c>
    </row>
    <row r="837" spans="2:11" ht="33" x14ac:dyDescent="0.2">
      <c r="B837" s="82" t="s">
        <v>6119</v>
      </c>
      <c r="C837" s="82" t="s">
        <v>5830</v>
      </c>
      <c r="D837" s="83">
        <f>SUMIFS(D838:D1496,K838:K1496,"0",B838:B1496,"5 1 2 1 1 12 31111 6 M59 40400 000173 0000R 00001 00211 025 2112000*")-SUMIFS(E838:E1496,K838:K1496,"0",B838:B1496,"5 1 2 1 1 12 31111 6 M59 40400 000173 0000R 00001 00211 025 2112000*")</f>
        <v>0</v>
      </c>
      <c r="E837" s="54"/>
      <c r="F837" s="83">
        <f>SUMIFS(F838:F1496,K838:K1496,"0",B838:B1496,"5 1 2 1 1 12 31111 6 M59 40400 000173 0000R 00001 00211 025 2112000*")</f>
        <v>1500000</v>
      </c>
      <c r="G837" s="83">
        <f>SUMIFS(G838:G1496,K838:K1496,"0",B838:B1496,"5 1 2 1 1 12 31111 6 M59 40400 000173 0000R 00001 00211 025 2112000*")</f>
        <v>0</v>
      </c>
      <c r="H837" s="83">
        <f t="shared" si="13"/>
        <v>1500000</v>
      </c>
      <c r="I837" s="83"/>
      <c r="K837" s="54" t="s">
        <v>15</v>
      </c>
    </row>
    <row r="838" spans="2:11" ht="33" x14ac:dyDescent="0.2">
      <c r="B838" s="82" t="s">
        <v>6120</v>
      </c>
      <c r="C838" s="82" t="s">
        <v>660</v>
      </c>
      <c r="D838" s="83">
        <f>SUMIFS(D839:D1496,K839:K1496,"0",B839:B1496,"5 1 2 1 1 12 31111 6 M59 40400 000173 0000R 00001 00211 025 2112000 2024*")-SUMIFS(E839:E1496,K839:K1496,"0",B839:B1496,"5 1 2 1 1 12 31111 6 M59 40400 000173 0000R 00001 00211 025 2112000 2024*")</f>
        <v>0</v>
      </c>
      <c r="E838" s="54"/>
      <c r="F838" s="83">
        <f>SUMIFS(F839:F1496,K839:K1496,"0",B839:B1496,"5 1 2 1 1 12 31111 6 M59 40400 000173 0000R 00001 00211 025 2112000 2024*")</f>
        <v>1500000</v>
      </c>
      <c r="G838" s="83">
        <f>SUMIFS(G839:G1496,K839:K1496,"0",B839:B1496,"5 1 2 1 1 12 31111 6 M59 40400 000173 0000R 00001 00211 025 2112000 2024*")</f>
        <v>0</v>
      </c>
      <c r="H838" s="83">
        <f t="shared" si="13"/>
        <v>1500000</v>
      </c>
      <c r="I838" s="83"/>
      <c r="K838" s="54" t="s">
        <v>15</v>
      </c>
    </row>
    <row r="839" spans="2:11" ht="41.25" x14ac:dyDescent="0.2">
      <c r="B839" s="82" t="s">
        <v>6121</v>
      </c>
      <c r="C839" s="82" t="s">
        <v>662</v>
      </c>
      <c r="D839" s="83">
        <f>SUMIFS(D840:D1496,K840:K1496,"0",B840:B1496,"5 1 2 1 1 12 31111 6 M59 40400 000173 0000R 00001 00211 025 2112000 2024 CP4PD369*")-SUMIFS(E840:E1496,K840:K1496,"0",B840:B1496,"5 1 2 1 1 12 31111 6 M59 40400 000173 0000R 00001 00211 025 2112000 2024 CP4PD369*")</f>
        <v>0</v>
      </c>
      <c r="E839" s="54"/>
      <c r="F839" s="83">
        <f>SUMIFS(F840:F1496,K840:K1496,"0",B840:B1496,"5 1 2 1 1 12 31111 6 M59 40400 000173 0000R 00001 00211 025 2112000 2024 CP4PD369*")</f>
        <v>1500000</v>
      </c>
      <c r="G839" s="83">
        <f>SUMIFS(G840:G1496,K840:K1496,"0",B840:B1496,"5 1 2 1 1 12 31111 6 M59 40400 000173 0000R 00001 00211 025 2112000 2024 CP4PD369*")</f>
        <v>0</v>
      </c>
      <c r="H839" s="83">
        <f t="shared" si="13"/>
        <v>1500000</v>
      </c>
      <c r="I839" s="83"/>
      <c r="K839" s="54" t="s">
        <v>15</v>
      </c>
    </row>
    <row r="840" spans="2:11" ht="41.25" x14ac:dyDescent="0.2">
      <c r="B840" s="82" t="s">
        <v>6122</v>
      </c>
      <c r="C840" s="82" t="s">
        <v>664</v>
      </c>
      <c r="D840" s="83">
        <f>SUMIFS(D841:D1496,K841:K1496,"0",B841:B1496,"5 1 2 1 1 12 31111 6 M59 40400 000173 0000R 00001 00211 025 2112000 2024 CP4PD369 003*")-SUMIFS(E841:E1496,K841:K1496,"0",B841:B1496,"5 1 2 1 1 12 31111 6 M59 40400 000173 0000R 00001 00211 025 2112000 2024 CP4PD369 003*")</f>
        <v>0</v>
      </c>
      <c r="E840" s="54"/>
      <c r="F840" s="83">
        <f>SUMIFS(F841:F1496,K841:K1496,"0",B841:B1496,"5 1 2 1 1 12 31111 6 M59 40400 000173 0000R 00001 00211 025 2112000 2024 CP4PD369 003*")</f>
        <v>1500000</v>
      </c>
      <c r="G840" s="83">
        <f>SUMIFS(G841:G1496,K841:K1496,"0",B841:B1496,"5 1 2 1 1 12 31111 6 M59 40400 000173 0000R 00001 00211 025 2112000 2024 CP4PD369 003*")</f>
        <v>0</v>
      </c>
      <c r="H840" s="83">
        <f t="shared" si="13"/>
        <v>1500000</v>
      </c>
      <c r="I840" s="83"/>
      <c r="K840" s="54" t="s">
        <v>15</v>
      </c>
    </row>
    <row r="841" spans="2:11" ht="33" x14ac:dyDescent="0.2">
      <c r="B841" s="84" t="s">
        <v>6123</v>
      </c>
      <c r="C841" s="84" t="s">
        <v>5817</v>
      </c>
      <c r="D841" s="85">
        <v>0</v>
      </c>
      <c r="E841" s="85"/>
      <c r="F841" s="85">
        <v>1500000</v>
      </c>
      <c r="G841" s="85">
        <v>0</v>
      </c>
      <c r="H841" s="85">
        <f t="shared" si="13"/>
        <v>1500000</v>
      </c>
      <c r="I841" s="85"/>
      <c r="K841" s="54" t="s">
        <v>38</v>
      </c>
    </row>
    <row r="842" spans="2:11" ht="41.25" x14ac:dyDescent="0.2">
      <c r="B842" s="82" t="s">
        <v>6523</v>
      </c>
      <c r="C842" s="82" t="s">
        <v>6524</v>
      </c>
      <c r="D842" s="83">
        <f>SUMIFS(D843:D1496,K843:K1496,"0",B843:B1496,"5 1 2 1 4*")-SUMIFS(E843:E1496,K843:K1496,"0",B843:B1496,"5 1 2 1 4*")</f>
        <v>0</v>
      </c>
      <c r="E842" s="54"/>
      <c r="F842" s="83">
        <f>SUMIFS(F843:F1496,K843:K1496,"0",B843:B1496,"5 1 2 1 4*")</f>
        <v>235463.5</v>
      </c>
      <c r="G842" s="83">
        <f>SUMIFS(G843:G1496,K843:K1496,"0",B843:B1496,"5 1 2 1 4*")</f>
        <v>0</v>
      </c>
      <c r="H842" s="83">
        <f t="shared" si="13"/>
        <v>235463.5</v>
      </c>
      <c r="I842" s="83"/>
      <c r="K842" s="54" t="s">
        <v>15</v>
      </c>
    </row>
    <row r="843" spans="2:11" ht="12.75" x14ac:dyDescent="0.2">
      <c r="B843" s="82" t="s">
        <v>6525</v>
      </c>
      <c r="C843" s="82" t="s">
        <v>26</v>
      </c>
      <c r="D843" s="83">
        <f>SUMIFS(D844:D1496,K844:K1496,"0",B844:B1496,"5 1 2 1 4 12*")-SUMIFS(E844:E1496,K844:K1496,"0",B844:B1496,"5 1 2 1 4 12*")</f>
        <v>0</v>
      </c>
      <c r="E843" s="54"/>
      <c r="F843" s="83">
        <f>SUMIFS(F844:F1496,K844:K1496,"0",B844:B1496,"5 1 2 1 4 12*")</f>
        <v>235463.5</v>
      </c>
      <c r="G843" s="83">
        <f>SUMIFS(G844:G1496,K844:K1496,"0",B844:B1496,"5 1 2 1 4 12*")</f>
        <v>0</v>
      </c>
      <c r="H843" s="83">
        <f t="shared" si="13"/>
        <v>235463.5</v>
      </c>
      <c r="I843" s="83"/>
      <c r="K843" s="54" t="s">
        <v>15</v>
      </c>
    </row>
    <row r="844" spans="2:11" ht="16.5" x14ac:dyDescent="0.2">
      <c r="B844" s="82" t="s">
        <v>6526</v>
      </c>
      <c r="C844" s="82" t="s">
        <v>28</v>
      </c>
      <c r="D844" s="83">
        <f>SUMIFS(D845:D1496,K845:K1496,"0",B845:B1496,"5 1 2 1 4 12 31111*")-SUMIFS(E845:E1496,K845:K1496,"0",B845:B1496,"5 1 2 1 4 12 31111*")</f>
        <v>0</v>
      </c>
      <c r="E844" s="54"/>
      <c r="F844" s="83">
        <f>SUMIFS(F845:F1496,K845:K1496,"0",B845:B1496,"5 1 2 1 4 12 31111*")</f>
        <v>235463.5</v>
      </c>
      <c r="G844" s="83">
        <f>SUMIFS(G845:G1496,K845:K1496,"0",B845:B1496,"5 1 2 1 4 12 31111*")</f>
        <v>0</v>
      </c>
      <c r="H844" s="83">
        <f t="shared" si="13"/>
        <v>235463.5</v>
      </c>
      <c r="I844" s="83"/>
      <c r="K844" s="54" t="s">
        <v>15</v>
      </c>
    </row>
    <row r="845" spans="2:11" ht="12.75" x14ac:dyDescent="0.2">
      <c r="B845" s="82" t="s">
        <v>6527</v>
      </c>
      <c r="C845" s="82" t="s">
        <v>30</v>
      </c>
      <c r="D845" s="83">
        <f>SUMIFS(D846:D1496,K846:K1496,"0",B846:B1496,"5 1 2 1 4 12 31111 6*")-SUMIFS(E846:E1496,K846:K1496,"0",B846:B1496,"5 1 2 1 4 12 31111 6*")</f>
        <v>0</v>
      </c>
      <c r="E845" s="54"/>
      <c r="F845" s="83">
        <f>SUMIFS(F846:F1496,K846:K1496,"0",B846:B1496,"5 1 2 1 4 12 31111 6*")</f>
        <v>235463.5</v>
      </c>
      <c r="G845" s="83">
        <f>SUMIFS(G846:G1496,K846:K1496,"0",B846:B1496,"5 1 2 1 4 12 31111 6*")</f>
        <v>0</v>
      </c>
      <c r="H845" s="83">
        <f t="shared" si="13"/>
        <v>235463.5</v>
      </c>
      <c r="I845" s="83"/>
      <c r="K845" s="54" t="s">
        <v>15</v>
      </c>
    </row>
    <row r="846" spans="2:11" ht="16.5" x14ac:dyDescent="0.2">
      <c r="B846" s="82" t="s">
        <v>6528</v>
      </c>
      <c r="C846" s="82" t="s">
        <v>2284</v>
      </c>
      <c r="D846" s="83">
        <f>SUMIFS(D847:D1496,K847:K1496,"0",B847:B1496,"5 1 2 1 4 12 31111 6 M59*")-SUMIFS(E847:E1496,K847:K1496,"0",B847:B1496,"5 1 2 1 4 12 31111 6 M59*")</f>
        <v>0</v>
      </c>
      <c r="E846" s="54"/>
      <c r="F846" s="83">
        <f>SUMIFS(F847:F1496,K847:K1496,"0",B847:B1496,"5 1 2 1 4 12 31111 6 M59*")</f>
        <v>235463.5</v>
      </c>
      <c r="G846" s="83">
        <f>SUMIFS(G847:G1496,K847:K1496,"0",B847:B1496,"5 1 2 1 4 12 31111 6 M59*")</f>
        <v>0</v>
      </c>
      <c r="H846" s="83">
        <f t="shared" si="13"/>
        <v>235463.5</v>
      </c>
      <c r="I846" s="83"/>
      <c r="K846" s="54" t="s">
        <v>15</v>
      </c>
    </row>
    <row r="847" spans="2:11" ht="16.5" x14ac:dyDescent="0.2">
      <c r="B847" s="82" t="s">
        <v>6575</v>
      </c>
      <c r="C847" s="82" t="s">
        <v>1092</v>
      </c>
      <c r="D847" s="83">
        <f>SUMIFS(D848:D1496,K848:K1496,"0",B848:B1496,"5 1 2 1 4 12 31111 6 M59 40000*")-SUMIFS(E848:E1496,K848:K1496,"0",B848:B1496,"5 1 2 1 4 12 31111 6 M59 40000*")</f>
        <v>0</v>
      </c>
      <c r="E847" s="54"/>
      <c r="F847" s="83">
        <f>SUMIFS(F848:F1496,K848:K1496,"0",B848:B1496,"5 1 2 1 4 12 31111 6 M59 40000*")</f>
        <v>58484.01</v>
      </c>
      <c r="G847" s="83">
        <f>SUMIFS(G848:G1496,K848:K1496,"0",B848:B1496,"5 1 2 1 4 12 31111 6 M59 40000*")</f>
        <v>0</v>
      </c>
      <c r="H847" s="83">
        <f t="shared" si="13"/>
        <v>58484.01</v>
      </c>
      <c r="I847" s="83"/>
      <c r="K847" s="54" t="s">
        <v>15</v>
      </c>
    </row>
    <row r="848" spans="2:11" ht="16.5" x14ac:dyDescent="0.2">
      <c r="B848" s="82" t="s">
        <v>6576</v>
      </c>
      <c r="C848" s="82" t="s">
        <v>1094</v>
      </c>
      <c r="D848" s="83">
        <f>SUMIFS(D849:D1496,K849:K1496,"0",B849:B1496,"5 1 2 1 4 12 31111 6 M59 40000 000161*")-SUMIFS(E849:E1496,K849:K1496,"0",B849:B1496,"5 1 2 1 4 12 31111 6 M59 40000 000161*")</f>
        <v>0</v>
      </c>
      <c r="E848" s="54"/>
      <c r="F848" s="83">
        <f>SUMIFS(F849:F1496,K849:K1496,"0",B849:B1496,"5 1 2 1 4 12 31111 6 M59 40000 000161*")</f>
        <v>58484.01</v>
      </c>
      <c r="G848" s="83">
        <f>SUMIFS(G849:G1496,K849:K1496,"0",B849:B1496,"5 1 2 1 4 12 31111 6 M59 40000 000161*")</f>
        <v>0</v>
      </c>
      <c r="H848" s="83">
        <f t="shared" si="13"/>
        <v>58484.01</v>
      </c>
      <c r="I848" s="83"/>
      <c r="K848" s="54" t="s">
        <v>15</v>
      </c>
    </row>
    <row r="849" spans="2:11" ht="24.75" x14ac:dyDescent="0.2">
      <c r="B849" s="82" t="s">
        <v>6577</v>
      </c>
      <c r="C849" s="82" t="s">
        <v>1065</v>
      </c>
      <c r="D849" s="83">
        <f>SUMIFS(D850:D1496,K850:K1496,"0",B850:B1496,"5 1 2 1 4 12 31111 6 M59 40000 000161 0000E*")-SUMIFS(E850:E1496,K850:K1496,"0",B850:B1496,"5 1 2 1 4 12 31111 6 M59 40000 000161 0000E*")</f>
        <v>0</v>
      </c>
      <c r="E849" s="54"/>
      <c r="F849" s="83">
        <f>SUMIFS(F850:F1496,K850:K1496,"0",B850:B1496,"5 1 2 1 4 12 31111 6 M59 40000 000161 0000E*")</f>
        <v>58484.01</v>
      </c>
      <c r="G849" s="83">
        <f>SUMIFS(G850:G1496,K850:K1496,"0",B850:B1496,"5 1 2 1 4 12 31111 6 M59 40000 000161 0000E*")</f>
        <v>0</v>
      </c>
      <c r="H849" s="83">
        <f t="shared" si="13"/>
        <v>58484.01</v>
      </c>
      <c r="I849" s="83"/>
      <c r="K849" s="54" t="s">
        <v>15</v>
      </c>
    </row>
    <row r="850" spans="2:11" ht="24.75" x14ac:dyDescent="0.2">
      <c r="B850" s="82" t="s">
        <v>6578</v>
      </c>
      <c r="C850" s="82" t="s">
        <v>282</v>
      </c>
      <c r="D850" s="83">
        <f>SUMIFS(D851:D1496,K851:K1496,"0",B851:B1496,"5 1 2 1 4 12 31111 6 M59 40000 000161 0000E 00001*")-SUMIFS(E851:E1496,K851:K1496,"0",B851:B1496,"5 1 2 1 4 12 31111 6 M59 40000 000161 0000E 00001*")</f>
        <v>0</v>
      </c>
      <c r="E850" s="54"/>
      <c r="F850" s="83">
        <f>SUMIFS(F851:F1496,K851:K1496,"0",B851:B1496,"5 1 2 1 4 12 31111 6 M59 40000 000161 0000E 00001*")</f>
        <v>58484.01</v>
      </c>
      <c r="G850" s="83">
        <f>SUMIFS(G851:G1496,K851:K1496,"0",B851:B1496,"5 1 2 1 4 12 31111 6 M59 40000 000161 0000E 00001*")</f>
        <v>0</v>
      </c>
      <c r="H850" s="83">
        <f t="shared" si="13"/>
        <v>58484.01</v>
      </c>
      <c r="I850" s="83"/>
      <c r="K850" s="54" t="s">
        <v>15</v>
      </c>
    </row>
    <row r="851" spans="2:11" ht="41.25" x14ac:dyDescent="0.2">
      <c r="B851" s="82" t="s">
        <v>6579</v>
      </c>
      <c r="C851" s="82" t="s">
        <v>6534</v>
      </c>
      <c r="D851" s="83">
        <f>SUMIFS(D852:D1496,K852:K1496,"0",B852:B1496,"5 1 2 1 4 12 31111 6 M59 40000 000161 0000E 00001 00214*")-SUMIFS(E852:E1496,K852:K1496,"0",B852:B1496,"5 1 2 1 4 12 31111 6 M59 40000 000161 0000E 00001 00214*")</f>
        <v>0</v>
      </c>
      <c r="E851" s="54"/>
      <c r="F851" s="83">
        <f>SUMIFS(F852:F1496,K852:K1496,"0",B852:B1496,"5 1 2 1 4 12 31111 6 M59 40000 000161 0000E 00001 00214*")</f>
        <v>58484.01</v>
      </c>
      <c r="G851" s="83">
        <f>SUMIFS(G852:G1496,K852:K1496,"0",B852:B1496,"5 1 2 1 4 12 31111 6 M59 40000 000161 0000E 00001 00214*")</f>
        <v>0</v>
      </c>
      <c r="H851" s="83">
        <f t="shared" si="13"/>
        <v>58484.01</v>
      </c>
      <c r="I851" s="83"/>
      <c r="K851" s="54" t="s">
        <v>15</v>
      </c>
    </row>
    <row r="852" spans="2:11" ht="33" x14ac:dyDescent="0.2">
      <c r="B852" s="82" t="s">
        <v>6580</v>
      </c>
      <c r="C852" s="82" t="s">
        <v>656</v>
      </c>
      <c r="D852" s="83">
        <f>SUMIFS(D853:D1496,K853:K1496,"0",B853:B1496,"5 1 2 1 4 12 31111 6 M59 40000 000161 0000E 00001 00214 025*")-SUMIFS(E853:E1496,K853:K1496,"0",B853:B1496,"5 1 2 1 4 12 31111 6 M59 40000 000161 0000E 00001 00214 025*")</f>
        <v>0</v>
      </c>
      <c r="E852" s="54"/>
      <c r="F852" s="83">
        <f>SUMIFS(F853:F1496,K853:K1496,"0",B853:B1496,"5 1 2 1 4 12 31111 6 M59 40000 000161 0000E 00001 00214 025*")</f>
        <v>58484.01</v>
      </c>
      <c r="G852" s="83">
        <f>SUMIFS(G853:G1496,K853:K1496,"0",B853:B1496,"5 1 2 1 4 12 31111 6 M59 40000 000161 0000E 00001 00214 025*")</f>
        <v>0</v>
      </c>
      <c r="H852" s="83">
        <f t="shared" si="13"/>
        <v>58484.01</v>
      </c>
      <c r="I852" s="83"/>
      <c r="K852" s="54" t="s">
        <v>15</v>
      </c>
    </row>
    <row r="853" spans="2:11" ht="33" x14ac:dyDescent="0.2">
      <c r="B853" s="82" t="s">
        <v>6581</v>
      </c>
      <c r="C853" s="82" t="s">
        <v>5830</v>
      </c>
      <c r="D853" s="83">
        <f>SUMIFS(D854:D1496,K854:K1496,"0",B854:B1496,"5 1 2 1 4 12 31111 6 M59 40000 000161 0000E 00001 00214 025 2112000*")-SUMIFS(E854:E1496,K854:K1496,"0",B854:B1496,"5 1 2 1 4 12 31111 6 M59 40000 000161 0000E 00001 00214 025 2112000*")</f>
        <v>0</v>
      </c>
      <c r="E853" s="54"/>
      <c r="F853" s="83">
        <f>SUMIFS(F854:F1496,K854:K1496,"0",B854:B1496,"5 1 2 1 4 12 31111 6 M59 40000 000161 0000E 00001 00214 025 2112000*")</f>
        <v>58484.01</v>
      </c>
      <c r="G853" s="83">
        <f>SUMIFS(G854:G1496,K854:K1496,"0",B854:B1496,"5 1 2 1 4 12 31111 6 M59 40000 000161 0000E 00001 00214 025 2112000*")</f>
        <v>0</v>
      </c>
      <c r="H853" s="83">
        <f t="shared" si="13"/>
        <v>58484.01</v>
      </c>
      <c r="I853" s="83"/>
      <c r="K853" s="54" t="s">
        <v>15</v>
      </c>
    </row>
    <row r="854" spans="2:11" ht="33" x14ac:dyDescent="0.2">
      <c r="B854" s="82" t="s">
        <v>6582</v>
      </c>
      <c r="C854" s="82" t="s">
        <v>660</v>
      </c>
      <c r="D854" s="83">
        <f>SUMIFS(D855:D1496,K855:K1496,"0",B855:B1496,"5 1 2 1 4 12 31111 6 M59 40000 000161 0000E 00001 00214 025 2112000 2024*")-SUMIFS(E855:E1496,K855:K1496,"0",B855:B1496,"5 1 2 1 4 12 31111 6 M59 40000 000161 0000E 00001 00214 025 2112000 2024*")</f>
        <v>0</v>
      </c>
      <c r="E854" s="54"/>
      <c r="F854" s="83">
        <f>SUMIFS(F855:F1496,K855:K1496,"0",B855:B1496,"5 1 2 1 4 12 31111 6 M59 40000 000161 0000E 00001 00214 025 2112000 2024*")</f>
        <v>58484.01</v>
      </c>
      <c r="G854" s="83">
        <f>SUMIFS(G855:G1496,K855:K1496,"0",B855:B1496,"5 1 2 1 4 12 31111 6 M59 40000 000161 0000E 00001 00214 025 2112000 2024*")</f>
        <v>0</v>
      </c>
      <c r="H854" s="83">
        <f t="shared" si="13"/>
        <v>58484.01</v>
      </c>
      <c r="I854" s="83"/>
      <c r="K854" s="54" t="s">
        <v>15</v>
      </c>
    </row>
    <row r="855" spans="2:11" ht="41.25" x14ac:dyDescent="0.2">
      <c r="B855" s="82" t="s">
        <v>6583</v>
      </c>
      <c r="C855" s="82" t="s">
        <v>662</v>
      </c>
      <c r="D855" s="83">
        <f>SUMIFS(D856:D1496,K856:K1496,"0",B856:B1496,"5 1 2 1 4 12 31111 6 M59 40000 000161 0000E 00001 00214 025 2112000 2024 CP4SP372*")-SUMIFS(E856:E1496,K856:K1496,"0",B856:B1496,"5 1 2 1 4 12 31111 6 M59 40000 000161 0000E 00001 00214 025 2112000 2024 CP4SP372*")</f>
        <v>0</v>
      </c>
      <c r="E855" s="54"/>
      <c r="F855" s="83">
        <f>SUMIFS(F856:F1496,K856:K1496,"0",B856:B1496,"5 1 2 1 4 12 31111 6 M59 40000 000161 0000E 00001 00214 025 2112000 2024 CP4SP372*")</f>
        <v>58484.01</v>
      </c>
      <c r="G855" s="83">
        <f>SUMIFS(G856:G1496,K856:K1496,"0",B856:B1496,"5 1 2 1 4 12 31111 6 M59 40000 000161 0000E 00001 00214 025 2112000 2024 CP4SP372*")</f>
        <v>0</v>
      </c>
      <c r="H855" s="83">
        <f t="shared" si="13"/>
        <v>58484.01</v>
      </c>
      <c r="I855" s="83"/>
      <c r="K855" s="54" t="s">
        <v>15</v>
      </c>
    </row>
    <row r="856" spans="2:11" ht="41.25" x14ac:dyDescent="0.2">
      <c r="B856" s="82" t="s">
        <v>6584</v>
      </c>
      <c r="C856" s="82" t="s">
        <v>664</v>
      </c>
      <c r="D856" s="83">
        <f>SUMIFS(D857:D1496,K857:K1496,"0",B857:B1496,"5 1 2 1 4 12 31111 6 M59 40000 000161 0000E 00001 00214 025 2112000 2024 CP4SP372 003*")-SUMIFS(E857:E1496,K857:K1496,"0",B857:B1496,"5 1 2 1 4 12 31111 6 M59 40000 000161 0000E 00001 00214 025 2112000 2024 CP4SP372 003*")</f>
        <v>0</v>
      </c>
      <c r="E856" s="54"/>
      <c r="F856" s="83">
        <f>SUMIFS(F857:F1496,K857:K1496,"0",B857:B1496,"5 1 2 1 4 12 31111 6 M59 40000 000161 0000E 00001 00214 025 2112000 2024 CP4SP372 003*")</f>
        <v>58484.01</v>
      </c>
      <c r="G856" s="83">
        <f>SUMIFS(G857:G1496,K857:K1496,"0",B857:B1496,"5 1 2 1 4 12 31111 6 M59 40000 000161 0000E 00001 00214 025 2112000 2024 CP4SP372 003*")</f>
        <v>0</v>
      </c>
      <c r="H856" s="83">
        <f t="shared" si="13"/>
        <v>58484.01</v>
      </c>
      <c r="I856" s="83"/>
      <c r="K856" s="54" t="s">
        <v>15</v>
      </c>
    </row>
    <row r="857" spans="2:11" ht="33" x14ac:dyDescent="0.2">
      <c r="B857" s="84" t="s">
        <v>6585</v>
      </c>
      <c r="C857" s="84" t="s">
        <v>6534</v>
      </c>
      <c r="D857" s="85">
        <v>0</v>
      </c>
      <c r="E857" s="85"/>
      <c r="F857" s="85">
        <v>58484.01</v>
      </c>
      <c r="G857" s="85">
        <v>0</v>
      </c>
      <c r="H857" s="85">
        <f t="shared" si="13"/>
        <v>58484.01</v>
      </c>
      <c r="I857" s="85"/>
      <c r="K857" s="54" t="s">
        <v>38</v>
      </c>
    </row>
    <row r="858" spans="2:11" ht="16.5" x14ac:dyDescent="0.2">
      <c r="B858" s="82" t="s">
        <v>6586</v>
      </c>
      <c r="C858" s="82" t="s">
        <v>1105</v>
      </c>
      <c r="D858" s="83">
        <f>SUMIFS(D859:D1496,K859:K1496,"0",B859:B1496,"5 1 2 1 4 12 31111 6 M59 40200*")-SUMIFS(E859:E1496,K859:K1496,"0",B859:B1496,"5 1 2 1 4 12 31111 6 M59 40200*")</f>
        <v>0</v>
      </c>
      <c r="E858" s="54"/>
      <c r="F858" s="83">
        <f>SUMIFS(F859:F1496,K859:K1496,"0",B859:B1496,"5 1 2 1 4 12 31111 6 M59 40200*")</f>
        <v>29707</v>
      </c>
      <c r="G858" s="83">
        <f>SUMIFS(G859:G1496,K859:K1496,"0",B859:B1496,"5 1 2 1 4 12 31111 6 M59 40200*")</f>
        <v>0</v>
      </c>
      <c r="H858" s="83">
        <f t="shared" si="13"/>
        <v>29707</v>
      </c>
      <c r="I858" s="83"/>
      <c r="K858" s="54" t="s">
        <v>15</v>
      </c>
    </row>
    <row r="859" spans="2:11" ht="16.5" x14ac:dyDescent="0.2">
      <c r="B859" s="82" t="s">
        <v>6587</v>
      </c>
      <c r="C859" s="82" t="s">
        <v>1107</v>
      </c>
      <c r="D859" s="83">
        <f>SUMIFS(D860:D1496,K860:K1496,"0",B860:B1496,"5 1 2 1 4 12 31111 6 M59 40200 000172*")-SUMIFS(E860:E1496,K860:K1496,"0",B860:B1496,"5 1 2 1 4 12 31111 6 M59 40200 000172*")</f>
        <v>0</v>
      </c>
      <c r="E859" s="54"/>
      <c r="F859" s="83">
        <f>SUMIFS(F860:F1496,K860:K1496,"0",B860:B1496,"5 1 2 1 4 12 31111 6 M59 40200 000172*")</f>
        <v>29707</v>
      </c>
      <c r="G859" s="83">
        <f>SUMIFS(G860:G1496,K860:K1496,"0",B860:B1496,"5 1 2 1 4 12 31111 6 M59 40200 000172*")</f>
        <v>0</v>
      </c>
      <c r="H859" s="83">
        <f t="shared" si="13"/>
        <v>29707</v>
      </c>
      <c r="I859" s="83"/>
      <c r="K859" s="54" t="s">
        <v>15</v>
      </c>
    </row>
    <row r="860" spans="2:11" ht="24.75" x14ac:dyDescent="0.2">
      <c r="B860" s="82" t="s">
        <v>6588</v>
      </c>
      <c r="C860" s="82" t="s">
        <v>650</v>
      </c>
      <c r="D860" s="83">
        <f>SUMIFS(D861:D1496,K861:K1496,"0",B861:B1496,"5 1 2 1 4 12 31111 6 M59 40200 000172 0000R*")-SUMIFS(E861:E1496,K861:K1496,"0",B861:B1496,"5 1 2 1 4 12 31111 6 M59 40200 000172 0000R*")</f>
        <v>0</v>
      </c>
      <c r="E860" s="54"/>
      <c r="F860" s="83">
        <f>SUMIFS(F861:F1496,K861:K1496,"0",B861:B1496,"5 1 2 1 4 12 31111 6 M59 40200 000172 0000R*")</f>
        <v>29707</v>
      </c>
      <c r="G860" s="83">
        <f>SUMIFS(G861:G1496,K861:K1496,"0",B861:B1496,"5 1 2 1 4 12 31111 6 M59 40200 000172 0000R*")</f>
        <v>0</v>
      </c>
      <c r="H860" s="83">
        <f t="shared" si="13"/>
        <v>29707</v>
      </c>
      <c r="I860" s="83"/>
      <c r="K860" s="54" t="s">
        <v>15</v>
      </c>
    </row>
    <row r="861" spans="2:11" ht="24.75" x14ac:dyDescent="0.2">
      <c r="B861" s="82" t="s">
        <v>6589</v>
      </c>
      <c r="C861" s="82" t="s">
        <v>282</v>
      </c>
      <c r="D861" s="83">
        <f>SUMIFS(D862:D1496,K862:K1496,"0",B862:B1496,"5 1 2 1 4 12 31111 6 M59 40200 000172 0000R 00001*")-SUMIFS(E862:E1496,K862:K1496,"0",B862:B1496,"5 1 2 1 4 12 31111 6 M59 40200 000172 0000R 00001*")</f>
        <v>0</v>
      </c>
      <c r="E861" s="54"/>
      <c r="F861" s="83">
        <f>SUMIFS(F862:F1496,K862:K1496,"0",B862:B1496,"5 1 2 1 4 12 31111 6 M59 40200 000172 0000R 00001*")</f>
        <v>29707</v>
      </c>
      <c r="G861" s="83">
        <f>SUMIFS(G862:G1496,K862:K1496,"0",B862:B1496,"5 1 2 1 4 12 31111 6 M59 40200 000172 0000R 00001*")</f>
        <v>0</v>
      </c>
      <c r="H861" s="83">
        <f t="shared" si="13"/>
        <v>29707</v>
      </c>
      <c r="I861" s="83"/>
      <c r="K861" s="54" t="s">
        <v>15</v>
      </c>
    </row>
    <row r="862" spans="2:11" ht="41.25" x14ac:dyDescent="0.2">
      <c r="B862" s="82" t="s">
        <v>6590</v>
      </c>
      <c r="C862" s="82" t="s">
        <v>6534</v>
      </c>
      <c r="D862" s="83">
        <f>SUMIFS(D863:D1496,K863:K1496,"0",B863:B1496,"5 1 2 1 4 12 31111 6 M59 40200 000172 0000R 00001 00214*")-SUMIFS(E863:E1496,K863:K1496,"0",B863:B1496,"5 1 2 1 4 12 31111 6 M59 40200 000172 0000R 00001 00214*")</f>
        <v>0</v>
      </c>
      <c r="E862" s="54"/>
      <c r="F862" s="83">
        <f>SUMIFS(F863:F1496,K863:K1496,"0",B863:B1496,"5 1 2 1 4 12 31111 6 M59 40200 000172 0000R 00001 00214*")</f>
        <v>29707</v>
      </c>
      <c r="G862" s="83">
        <f>SUMIFS(G863:G1496,K863:K1496,"0",B863:B1496,"5 1 2 1 4 12 31111 6 M59 40200 000172 0000R 00001 00214*")</f>
        <v>0</v>
      </c>
      <c r="H862" s="83">
        <f t="shared" si="13"/>
        <v>29707</v>
      </c>
      <c r="I862" s="83"/>
      <c r="K862" s="54" t="s">
        <v>15</v>
      </c>
    </row>
    <row r="863" spans="2:11" ht="33" x14ac:dyDescent="0.2">
      <c r="B863" s="82" t="s">
        <v>6591</v>
      </c>
      <c r="C863" s="82" t="s">
        <v>656</v>
      </c>
      <c r="D863" s="83">
        <f>SUMIFS(D864:D1496,K864:K1496,"0",B864:B1496,"5 1 2 1 4 12 31111 6 M59 40200 000172 0000R 00001 00214 025*")-SUMIFS(E864:E1496,K864:K1496,"0",B864:B1496,"5 1 2 1 4 12 31111 6 M59 40200 000172 0000R 00001 00214 025*")</f>
        <v>0</v>
      </c>
      <c r="E863" s="54"/>
      <c r="F863" s="83">
        <f>SUMIFS(F864:F1496,K864:K1496,"0",B864:B1496,"5 1 2 1 4 12 31111 6 M59 40200 000172 0000R 00001 00214 025*")</f>
        <v>29707</v>
      </c>
      <c r="G863" s="83">
        <f>SUMIFS(G864:G1496,K864:K1496,"0",B864:B1496,"5 1 2 1 4 12 31111 6 M59 40200 000172 0000R 00001 00214 025*")</f>
        <v>0</v>
      </c>
      <c r="H863" s="83">
        <f t="shared" si="13"/>
        <v>29707</v>
      </c>
      <c r="I863" s="83"/>
      <c r="K863" s="54" t="s">
        <v>15</v>
      </c>
    </row>
    <row r="864" spans="2:11" ht="33" x14ac:dyDescent="0.2">
      <c r="B864" s="82" t="s">
        <v>6592</v>
      </c>
      <c r="C864" s="82" t="s">
        <v>5830</v>
      </c>
      <c r="D864" s="83">
        <f>SUMIFS(D865:D1496,K865:K1496,"0",B865:B1496,"5 1 2 1 4 12 31111 6 M59 40200 000172 0000R 00001 00214 025 2112000*")-SUMIFS(E865:E1496,K865:K1496,"0",B865:B1496,"5 1 2 1 4 12 31111 6 M59 40200 000172 0000R 00001 00214 025 2112000*")</f>
        <v>0</v>
      </c>
      <c r="E864" s="54"/>
      <c r="F864" s="83">
        <f>SUMIFS(F865:F1496,K865:K1496,"0",B865:B1496,"5 1 2 1 4 12 31111 6 M59 40200 000172 0000R 00001 00214 025 2112000*")</f>
        <v>29707</v>
      </c>
      <c r="G864" s="83">
        <f>SUMIFS(G865:G1496,K865:K1496,"0",B865:B1496,"5 1 2 1 4 12 31111 6 M59 40200 000172 0000R 00001 00214 025 2112000*")</f>
        <v>0</v>
      </c>
      <c r="H864" s="83">
        <f t="shared" si="13"/>
        <v>29707</v>
      </c>
      <c r="I864" s="83"/>
      <c r="K864" s="54" t="s">
        <v>15</v>
      </c>
    </row>
    <row r="865" spans="2:11" ht="33" x14ac:dyDescent="0.2">
      <c r="B865" s="82" t="s">
        <v>6593</v>
      </c>
      <c r="C865" s="82" t="s">
        <v>660</v>
      </c>
      <c r="D865" s="83">
        <f>SUMIFS(D866:D1496,K866:K1496,"0",B866:B1496,"5 1 2 1 4 12 31111 6 M59 40200 000172 0000R 00001 00214 025 2112000 2024*")-SUMIFS(E866:E1496,K866:K1496,"0",B866:B1496,"5 1 2 1 4 12 31111 6 M59 40200 000172 0000R 00001 00214 025 2112000 2024*")</f>
        <v>0</v>
      </c>
      <c r="E865" s="54"/>
      <c r="F865" s="83">
        <f>SUMIFS(F866:F1496,K866:K1496,"0",B866:B1496,"5 1 2 1 4 12 31111 6 M59 40200 000172 0000R 00001 00214 025 2112000 2024*")</f>
        <v>29707</v>
      </c>
      <c r="G865" s="83">
        <f>SUMIFS(G866:G1496,K866:K1496,"0",B866:B1496,"5 1 2 1 4 12 31111 6 M59 40200 000172 0000R 00001 00214 025 2112000 2024*")</f>
        <v>0</v>
      </c>
      <c r="H865" s="83">
        <f t="shared" si="13"/>
        <v>29707</v>
      </c>
      <c r="I865" s="83"/>
      <c r="K865" s="54" t="s">
        <v>15</v>
      </c>
    </row>
    <row r="866" spans="2:11" ht="41.25" x14ac:dyDescent="0.2">
      <c r="B866" s="82" t="s">
        <v>6594</v>
      </c>
      <c r="C866" s="82" t="s">
        <v>1056</v>
      </c>
      <c r="D866" s="83">
        <f>SUMIFS(D867:D1496,K867:K1496,"0",B867:B1496,"5 1 2 1 4 12 31111 6 M59 40200 000172 0000R 00001 00214 025 2112000 2024 CP4PC370*")-SUMIFS(E867:E1496,K867:K1496,"0",B867:B1496,"5 1 2 1 4 12 31111 6 M59 40200 000172 0000R 00001 00214 025 2112000 2024 CP4PC370*")</f>
        <v>0</v>
      </c>
      <c r="E866" s="54"/>
      <c r="F866" s="83">
        <f>SUMIFS(F867:F1496,K867:K1496,"0",B867:B1496,"5 1 2 1 4 12 31111 6 M59 40200 000172 0000R 00001 00214 025 2112000 2024 CP4PC370*")</f>
        <v>29707</v>
      </c>
      <c r="G866" s="83">
        <f>SUMIFS(G867:G1496,K867:K1496,"0",B867:B1496,"5 1 2 1 4 12 31111 6 M59 40200 000172 0000R 00001 00214 025 2112000 2024 CP4PC370*")</f>
        <v>0</v>
      </c>
      <c r="H866" s="83">
        <f t="shared" si="13"/>
        <v>29707</v>
      </c>
      <c r="I866" s="83"/>
      <c r="K866" s="54" t="s">
        <v>15</v>
      </c>
    </row>
    <row r="867" spans="2:11" ht="41.25" x14ac:dyDescent="0.2">
      <c r="B867" s="82" t="s">
        <v>6595</v>
      </c>
      <c r="C867" s="82" t="s">
        <v>664</v>
      </c>
      <c r="D867" s="83">
        <f>SUMIFS(D868:D1496,K868:K1496,"0",B868:B1496,"5 1 2 1 4 12 31111 6 M59 40200 000172 0000R 00001 00214 025 2112000 2024 CP4PC370 003*")-SUMIFS(E868:E1496,K868:K1496,"0",B868:B1496,"5 1 2 1 4 12 31111 6 M59 40200 000172 0000R 00001 00214 025 2112000 2024 CP4PC370 003*")</f>
        <v>0</v>
      </c>
      <c r="E867" s="54"/>
      <c r="F867" s="83">
        <f>SUMIFS(F868:F1496,K868:K1496,"0",B868:B1496,"5 1 2 1 4 12 31111 6 M59 40200 000172 0000R 00001 00214 025 2112000 2024 CP4PC370 003*")</f>
        <v>29707</v>
      </c>
      <c r="G867" s="83">
        <f>SUMIFS(G868:G1496,K868:K1496,"0",B868:B1496,"5 1 2 1 4 12 31111 6 M59 40200 000172 0000R 00001 00214 025 2112000 2024 CP4PC370 003*")</f>
        <v>0</v>
      </c>
      <c r="H867" s="83">
        <f t="shared" ref="H867:H930" si="14">D867 + F867 - G867</f>
        <v>29707</v>
      </c>
      <c r="I867" s="83"/>
      <c r="K867" s="54" t="s">
        <v>15</v>
      </c>
    </row>
    <row r="868" spans="2:11" ht="33" x14ac:dyDescent="0.2">
      <c r="B868" s="84" t="s">
        <v>6596</v>
      </c>
      <c r="C868" s="84" t="s">
        <v>6534</v>
      </c>
      <c r="D868" s="85">
        <v>0</v>
      </c>
      <c r="E868" s="85"/>
      <c r="F868" s="85">
        <v>29707</v>
      </c>
      <c r="G868" s="85">
        <v>0</v>
      </c>
      <c r="H868" s="85">
        <f t="shared" si="14"/>
        <v>29707</v>
      </c>
      <c r="I868" s="85"/>
      <c r="K868" s="54" t="s">
        <v>38</v>
      </c>
    </row>
    <row r="869" spans="2:11" ht="16.5" x14ac:dyDescent="0.2">
      <c r="B869" s="82" t="s">
        <v>6597</v>
      </c>
      <c r="C869" s="82" t="s">
        <v>3268</v>
      </c>
      <c r="D869" s="83">
        <f>SUMIFS(D870:D1496,K870:K1496,"0",B870:B1496,"5 1 2 1 4 12 31111 6 M59 40400*")-SUMIFS(E870:E1496,K870:K1496,"0",B870:B1496,"5 1 2 1 4 12 31111 6 M59 40400*")</f>
        <v>0</v>
      </c>
      <c r="E869" s="54"/>
      <c r="F869" s="83">
        <f>SUMIFS(F870:F1496,K870:K1496,"0",B870:B1496,"5 1 2 1 4 12 31111 6 M59 40400*")</f>
        <v>147272.49</v>
      </c>
      <c r="G869" s="83">
        <f>SUMIFS(G870:G1496,K870:K1496,"0",B870:B1496,"5 1 2 1 4 12 31111 6 M59 40400*")</f>
        <v>0</v>
      </c>
      <c r="H869" s="83">
        <f t="shared" si="14"/>
        <v>147272.49</v>
      </c>
      <c r="I869" s="83"/>
      <c r="K869" s="54" t="s">
        <v>15</v>
      </c>
    </row>
    <row r="870" spans="2:11" ht="16.5" x14ac:dyDescent="0.2">
      <c r="B870" s="82" t="s">
        <v>6598</v>
      </c>
      <c r="C870" s="82" t="s">
        <v>3270</v>
      </c>
      <c r="D870" s="83">
        <f>SUMIFS(D871:D1496,K871:K1496,"0",B871:B1496,"5 1 2 1 4 12 31111 6 M59 40400 000173*")-SUMIFS(E871:E1496,K871:K1496,"0",B871:B1496,"5 1 2 1 4 12 31111 6 M59 40400 000173*")</f>
        <v>0</v>
      </c>
      <c r="E870" s="54"/>
      <c r="F870" s="83">
        <f>SUMIFS(F871:F1496,K871:K1496,"0",B871:B1496,"5 1 2 1 4 12 31111 6 M59 40400 000173*")</f>
        <v>147272.49</v>
      </c>
      <c r="G870" s="83">
        <f>SUMIFS(G871:G1496,K871:K1496,"0",B871:B1496,"5 1 2 1 4 12 31111 6 M59 40400 000173*")</f>
        <v>0</v>
      </c>
      <c r="H870" s="83">
        <f t="shared" si="14"/>
        <v>147272.49</v>
      </c>
      <c r="I870" s="83"/>
      <c r="K870" s="54" t="s">
        <v>15</v>
      </c>
    </row>
    <row r="871" spans="2:11" ht="24.75" x14ac:dyDescent="0.2">
      <c r="B871" s="82" t="s">
        <v>6599</v>
      </c>
      <c r="C871" s="82" t="s">
        <v>650</v>
      </c>
      <c r="D871" s="83">
        <f>SUMIFS(D872:D1496,K872:K1496,"0",B872:B1496,"5 1 2 1 4 12 31111 6 M59 40400 000173 0000R*")-SUMIFS(E872:E1496,K872:K1496,"0",B872:B1496,"5 1 2 1 4 12 31111 6 M59 40400 000173 0000R*")</f>
        <v>0</v>
      </c>
      <c r="E871" s="54"/>
      <c r="F871" s="83">
        <f>SUMIFS(F872:F1496,K872:K1496,"0",B872:B1496,"5 1 2 1 4 12 31111 6 M59 40400 000173 0000R*")</f>
        <v>147272.49</v>
      </c>
      <c r="G871" s="83">
        <f>SUMIFS(G872:G1496,K872:K1496,"0",B872:B1496,"5 1 2 1 4 12 31111 6 M59 40400 000173 0000R*")</f>
        <v>0</v>
      </c>
      <c r="H871" s="83">
        <f t="shared" si="14"/>
        <v>147272.49</v>
      </c>
      <c r="I871" s="83"/>
      <c r="K871" s="54" t="s">
        <v>15</v>
      </c>
    </row>
    <row r="872" spans="2:11" ht="24.75" x14ac:dyDescent="0.2">
      <c r="B872" s="82" t="s">
        <v>6600</v>
      </c>
      <c r="C872" s="82" t="s">
        <v>282</v>
      </c>
      <c r="D872" s="83">
        <f>SUMIFS(D873:D1496,K873:K1496,"0",B873:B1496,"5 1 2 1 4 12 31111 6 M59 40400 000173 0000R 00001*")-SUMIFS(E873:E1496,K873:K1496,"0",B873:B1496,"5 1 2 1 4 12 31111 6 M59 40400 000173 0000R 00001*")</f>
        <v>0</v>
      </c>
      <c r="E872" s="54"/>
      <c r="F872" s="83">
        <f>SUMIFS(F873:F1496,K873:K1496,"0",B873:B1496,"5 1 2 1 4 12 31111 6 M59 40400 000173 0000R 00001*")</f>
        <v>147272.49</v>
      </c>
      <c r="G872" s="83">
        <f>SUMIFS(G873:G1496,K873:K1496,"0",B873:B1496,"5 1 2 1 4 12 31111 6 M59 40400 000173 0000R 00001*")</f>
        <v>0</v>
      </c>
      <c r="H872" s="83">
        <f t="shared" si="14"/>
        <v>147272.49</v>
      </c>
      <c r="I872" s="83"/>
      <c r="K872" s="54" t="s">
        <v>15</v>
      </c>
    </row>
    <row r="873" spans="2:11" ht="41.25" x14ac:dyDescent="0.2">
      <c r="B873" s="82" t="s">
        <v>6601</v>
      </c>
      <c r="C873" s="82" t="s">
        <v>6534</v>
      </c>
      <c r="D873" s="83">
        <f>SUMIFS(D874:D1496,K874:K1496,"0",B874:B1496,"5 1 2 1 4 12 31111 6 M59 40400 000173 0000R 00001 00214*")-SUMIFS(E874:E1496,K874:K1496,"0",B874:B1496,"5 1 2 1 4 12 31111 6 M59 40400 000173 0000R 00001 00214*")</f>
        <v>0</v>
      </c>
      <c r="E873" s="54"/>
      <c r="F873" s="83">
        <f>SUMIFS(F874:F1496,K874:K1496,"0",B874:B1496,"5 1 2 1 4 12 31111 6 M59 40400 000173 0000R 00001 00214*")</f>
        <v>147272.49</v>
      </c>
      <c r="G873" s="83">
        <f>SUMIFS(G874:G1496,K874:K1496,"0",B874:B1496,"5 1 2 1 4 12 31111 6 M59 40400 000173 0000R 00001 00214*")</f>
        <v>0</v>
      </c>
      <c r="H873" s="83">
        <f t="shared" si="14"/>
        <v>147272.49</v>
      </c>
      <c r="I873" s="83"/>
      <c r="K873" s="54" t="s">
        <v>15</v>
      </c>
    </row>
    <row r="874" spans="2:11" ht="33" x14ac:dyDescent="0.2">
      <c r="B874" s="82" t="s">
        <v>6602</v>
      </c>
      <c r="C874" s="82" t="s">
        <v>656</v>
      </c>
      <c r="D874" s="83">
        <f>SUMIFS(D875:D1496,K875:K1496,"0",B875:B1496,"5 1 2 1 4 12 31111 6 M59 40400 000173 0000R 00001 00214 025*")-SUMIFS(E875:E1496,K875:K1496,"0",B875:B1496,"5 1 2 1 4 12 31111 6 M59 40400 000173 0000R 00001 00214 025*")</f>
        <v>0</v>
      </c>
      <c r="E874" s="54"/>
      <c r="F874" s="83">
        <f>SUMIFS(F875:F1496,K875:K1496,"0",B875:B1496,"5 1 2 1 4 12 31111 6 M59 40400 000173 0000R 00001 00214 025*")</f>
        <v>147272.49</v>
      </c>
      <c r="G874" s="83">
        <f>SUMIFS(G875:G1496,K875:K1496,"0",B875:B1496,"5 1 2 1 4 12 31111 6 M59 40400 000173 0000R 00001 00214 025*")</f>
        <v>0</v>
      </c>
      <c r="H874" s="83">
        <f t="shared" si="14"/>
        <v>147272.49</v>
      </c>
      <c r="I874" s="83"/>
      <c r="K874" s="54" t="s">
        <v>15</v>
      </c>
    </row>
    <row r="875" spans="2:11" ht="33" x14ac:dyDescent="0.2">
      <c r="B875" s="82" t="s">
        <v>6603</v>
      </c>
      <c r="C875" s="82" t="s">
        <v>5830</v>
      </c>
      <c r="D875" s="83">
        <f>SUMIFS(D876:D1496,K876:K1496,"0",B876:B1496,"5 1 2 1 4 12 31111 6 M59 40400 000173 0000R 00001 00214 025 2112000*")-SUMIFS(E876:E1496,K876:K1496,"0",B876:B1496,"5 1 2 1 4 12 31111 6 M59 40400 000173 0000R 00001 00214 025 2112000*")</f>
        <v>0</v>
      </c>
      <c r="E875" s="54"/>
      <c r="F875" s="83">
        <f>SUMIFS(F876:F1496,K876:K1496,"0",B876:B1496,"5 1 2 1 4 12 31111 6 M59 40400 000173 0000R 00001 00214 025 2112000*")</f>
        <v>147272.49</v>
      </c>
      <c r="G875" s="83">
        <f>SUMIFS(G876:G1496,K876:K1496,"0",B876:B1496,"5 1 2 1 4 12 31111 6 M59 40400 000173 0000R 00001 00214 025 2112000*")</f>
        <v>0</v>
      </c>
      <c r="H875" s="83">
        <f t="shared" si="14"/>
        <v>147272.49</v>
      </c>
      <c r="I875" s="83"/>
      <c r="K875" s="54" t="s">
        <v>15</v>
      </c>
    </row>
    <row r="876" spans="2:11" ht="33" x14ac:dyDescent="0.2">
      <c r="B876" s="82" t="s">
        <v>6604</v>
      </c>
      <c r="C876" s="82" t="s">
        <v>660</v>
      </c>
      <c r="D876" s="83">
        <f>SUMIFS(D877:D1496,K877:K1496,"0",B877:B1496,"5 1 2 1 4 12 31111 6 M59 40400 000173 0000R 00001 00214 025 2112000 2024*")-SUMIFS(E877:E1496,K877:K1496,"0",B877:B1496,"5 1 2 1 4 12 31111 6 M59 40400 000173 0000R 00001 00214 025 2112000 2024*")</f>
        <v>0</v>
      </c>
      <c r="E876" s="54"/>
      <c r="F876" s="83">
        <f>SUMIFS(F877:F1496,K877:K1496,"0",B877:B1496,"5 1 2 1 4 12 31111 6 M59 40400 000173 0000R 00001 00214 025 2112000 2024*")</f>
        <v>147272.49</v>
      </c>
      <c r="G876" s="83">
        <f>SUMIFS(G877:G1496,K877:K1496,"0",B877:B1496,"5 1 2 1 4 12 31111 6 M59 40400 000173 0000R 00001 00214 025 2112000 2024*")</f>
        <v>0</v>
      </c>
      <c r="H876" s="83">
        <f t="shared" si="14"/>
        <v>147272.49</v>
      </c>
      <c r="I876" s="83"/>
      <c r="K876" s="54" t="s">
        <v>15</v>
      </c>
    </row>
    <row r="877" spans="2:11" ht="41.25" x14ac:dyDescent="0.2">
      <c r="B877" s="82" t="s">
        <v>6605</v>
      </c>
      <c r="C877" s="82" t="s">
        <v>662</v>
      </c>
      <c r="D877" s="83">
        <f>SUMIFS(D878:D1496,K878:K1496,"0",B878:B1496,"5 1 2 1 4 12 31111 6 M59 40400 000173 0000R 00001 00214 025 2112000 2024 CP4PD369*")-SUMIFS(E878:E1496,K878:K1496,"0",B878:B1496,"5 1 2 1 4 12 31111 6 M59 40400 000173 0000R 00001 00214 025 2112000 2024 CP4PD369*")</f>
        <v>0</v>
      </c>
      <c r="E877" s="54"/>
      <c r="F877" s="83">
        <f>SUMIFS(F878:F1496,K878:K1496,"0",B878:B1496,"5 1 2 1 4 12 31111 6 M59 40400 000173 0000R 00001 00214 025 2112000 2024 CP4PD369*")</f>
        <v>147272.49</v>
      </c>
      <c r="G877" s="83">
        <f>SUMIFS(G878:G1496,K878:K1496,"0",B878:B1496,"5 1 2 1 4 12 31111 6 M59 40400 000173 0000R 00001 00214 025 2112000 2024 CP4PD369*")</f>
        <v>0</v>
      </c>
      <c r="H877" s="83">
        <f t="shared" si="14"/>
        <v>147272.49</v>
      </c>
      <c r="I877" s="83"/>
      <c r="K877" s="54" t="s">
        <v>15</v>
      </c>
    </row>
    <row r="878" spans="2:11" ht="41.25" x14ac:dyDescent="0.2">
      <c r="B878" s="82" t="s">
        <v>6606</v>
      </c>
      <c r="C878" s="82" t="s">
        <v>664</v>
      </c>
      <c r="D878" s="83">
        <f>SUMIFS(D879:D1496,K879:K1496,"0",B879:B1496,"5 1 2 1 4 12 31111 6 M59 40400 000173 0000R 00001 00214 025 2112000 2024 CP4PD369 003*")-SUMIFS(E879:E1496,K879:K1496,"0",B879:B1496,"5 1 2 1 4 12 31111 6 M59 40400 000173 0000R 00001 00214 025 2112000 2024 CP4PD369 003*")</f>
        <v>0</v>
      </c>
      <c r="E878" s="54"/>
      <c r="F878" s="83">
        <f>SUMIFS(F879:F1496,K879:K1496,"0",B879:B1496,"5 1 2 1 4 12 31111 6 M59 40400 000173 0000R 00001 00214 025 2112000 2024 CP4PD369 003*")</f>
        <v>147272.49</v>
      </c>
      <c r="G878" s="83">
        <f>SUMIFS(G879:G1496,K879:K1496,"0",B879:B1496,"5 1 2 1 4 12 31111 6 M59 40400 000173 0000R 00001 00214 025 2112000 2024 CP4PD369 003*")</f>
        <v>0</v>
      </c>
      <c r="H878" s="83">
        <f t="shared" si="14"/>
        <v>147272.49</v>
      </c>
      <c r="I878" s="83"/>
      <c r="K878" s="54" t="s">
        <v>15</v>
      </c>
    </row>
    <row r="879" spans="2:11" ht="33" x14ac:dyDescent="0.2">
      <c r="B879" s="84" t="s">
        <v>6607</v>
      </c>
      <c r="C879" s="84" t="s">
        <v>6524</v>
      </c>
      <c r="D879" s="85">
        <v>0</v>
      </c>
      <c r="E879" s="85"/>
      <c r="F879" s="85">
        <v>147272.49</v>
      </c>
      <c r="G879" s="85">
        <v>0</v>
      </c>
      <c r="H879" s="85">
        <f t="shared" si="14"/>
        <v>147272.49</v>
      </c>
      <c r="I879" s="85"/>
      <c r="K879" s="54" t="s">
        <v>38</v>
      </c>
    </row>
    <row r="880" spans="2:11" ht="12.75" x14ac:dyDescent="0.2">
      <c r="B880" s="82" t="s">
        <v>6637</v>
      </c>
      <c r="C880" s="82" t="s">
        <v>6638</v>
      </c>
      <c r="D880" s="83">
        <f>SUMIFS(D881:D1496,K881:K1496,"0",B881:B1496,"5 1 2 1 6*")-SUMIFS(E881:E1496,K881:K1496,"0",B881:B1496,"5 1 2 1 6*")</f>
        <v>0</v>
      </c>
      <c r="E880" s="54"/>
      <c r="F880" s="83">
        <f>SUMIFS(F881:F1496,K881:K1496,"0",B881:B1496,"5 1 2 1 6*")</f>
        <v>207257</v>
      </c>
      <c r="G880" s="83">
        <f>SUMIFS(G881:G1496,K881:K1496,"0",B881:B1496,"5 1 2 1 6*")</f>
        <v>0</v>
      </c>
      <c r="H880" s="83">
        <f t="shared" si="14"/>
        <v>207257</v>
      </c>
      <c r="I880" s="83"/>
      <c r="K880" s="54" t="s">
        <v>15</v>
      </c>
    </row>
    <row r="881" spans="2:11" ht="12.75" x14ac:dyDescent="0.2">
      <c r="B881" s="82" t="s">
        <v>6639</v>
      </c>
      <c r="C881" s="82" t="s">
        <v>26</v>
      </c>
      <c r="D881" s="83">
        <f>SUMIFS(D882:D1496,K882:K1496,"0",B882:B1496,"5 1 2 1 6 12*")-SUMIFS(E882:E1496,K882:K1496,"0",B882:B1496,"5 1 2 1 6 12*")</f>
        <v>0</v>
      </c>
      <c r="E881" s="54"/>
      <c r="F881" s="83">
        <f>SUMIFS(F882:F1496,K882:K1496,"0",B882:B1496,"5 1 2 1 6 12*")</f>
        <v>207257</v>
      </c>
      <c r="G881" s="83">
        <f>SUMIFS(G882:G1496,K882:K1496,"0",B882:B1496,"5 1 2 1 6 12*")</f>
        <v>0</v>
      </c>
      <c r="H881" s="83">
        <f t="shared" si="14"/>
        <v>207257</v>
      </c>
      <c r="I881" s="83"/>
      <c r="K881" s="54" t="s">
        <v>15</v>
      </c>
    </row>
    <row r="882" spans="2:11" ht="16.5" x14ac:dyDescent="0.2">
      <c r="B882" s="82" t="s">
        <v>6640</v>
      </c>
      <c r="C882" s="82" t="s">
        <v>28</v>
      </c>
      <c r="D882" s="83">
        <f>SUMIFS(D883:D1496,K883:K1496,"0",B883:B1496,"5 1 2 1 6 12 31111*")-SUMIFS(E883:E1496,K883:K1496,"0",B883:B1496,"5 1 2 1 6 12 31111*")</f>
        <v>0</v>
      </c>
      <c r="E882" s="54"/>
      <c r="F882" s="83">
        <f>SUMIFS(F883:F1496,K883:K1496,"0",B883:B1496,"5 1 2 1 6 12 31111*")</f>
        <v>207257</v>
      </c>
      <c r="G882" s="83">
        <f>SUMIFS(G883:G1496,K883:K1496,"0",B883:B1496,"5 1 2 1 6 12 31111*")</f>
        <v>0</v>
      </c>
      <c r="H882" s="83">
        <f t="shared" si="14"/>
        <v>207257</v>
      </c>
      <c r="I882" s="83"/>
      <c r="K882" s="54" t="s">
        <v>15</v>
      </c>
    </row>
    <row r="883" spans="2:11" ht="12.75" x14ac:dyDescent="0.2">
      <c r="B883" s="82" t="s">
        <v>6641</v>
      </c>
      <c r="C883" s="82" t="s">
        <v>30</v>
      </c>
      <c r="D883" s="83">
        <f>SUMIFS(D884:D1496,K884:K1496,"0",B884:B1496,"5 1 2 1 6 12 31111 6*")-SUMIFS(E884:E1496,K884:K1496,"0",B884:B1496,"5 1 2 1 6 12 31111 6*")</f>
        <v>0</v>
      </c>
      <c r="E883" s="54"/>
      <c r="F883" s="83">
        <f>SUMIFS(F884:F1496,K884:K1496,"0",B884:B1496,"5 1 2 1 6 12 31111 6*")</f>
        <v>207257</v>
      </c>
      <c r="G883" s="83">
        <f>SUMIFS(G884:G1496,K884:K1496,"0",B884:B1496,"5 1 2 1 6 12 31111 6*")</f>
        <v>0</v>
      </c>
      <c r="H883" s="83">
        <f t="shared" si="14"/>
        <v>207257</v>
      </c>
      <c r="I883" s="83"/>
      <c r="K883" s="54" t="s">
        <v>15</v>
      </c>
    </row>
    <row r="884" spans="2:11" ht="16.5" x14ac:dyDescent="0.2">
      <c r="B884" s="82" t="s">
        <v>6642</v>
      </c>
      <c r="C884" s="82" t="s">
        <v>2284</v>
      </c>
      <c r="D884" s="83">
        <f>SUMIFS(D885:D1496,K885:K1496,"0",B885:B1496,"5 1 2 1 6 12 31111 6 M59*")-SUMIFS(E885:E1496,K885:K1496,"0",B885:B1496,"5 1 2 1 6 12 31111 6 M59*")</f>
        <v>0</v>
      </c>
      <c r="E884" s="54"/>
      <c r="F884" s="83">
        <f>SUMIFS(F885:F1496,K885:K1496,"0",B885:B1496,"5 1 2 1 6 12 31111 6 M59*")</f>
        <v>207257</v>
      </c>
      <c r="G884" s="83">
        <f>SUMIFS(G885:G1496,K885:K1496,"0",B885:B1496,"5 1 2 1 6 12 31111 6 M59*")</f>
        <v>0</v>
      </c>
      <c r="H884" s="83">
        <f t="shared" si="14"/>
        <v>207257</v>
      </c>
      <c r="I884" s="83"/>
      <c r="K884" s="54" t="s">
        <v>15</v>
      </c>
    </row>
    <row r="885" spans="2:11" ht="16.5" x14ac:dyDescent="0.2">
      <c r="B885" s="82" t="s">
        <v>6704</v>
      </c>
      <c r="C885" s="82" t="s">
        <v>1092</v>
      </c>
      <c r="D885" s="83">
        <f>SUMIFS(D886:D1496,K886:K1496,"0",B886:B1496,"5 1 2 1 6 12 31111 6 M59 40000*")-SUMIFS(E886:E1496,K886:K1496,"0",B886:B1496,"5 1 2 1 6 12 31111 6 M59 40000*")</f>
        <v>0</v>
      </c>
      <c r="E885" s="54"/>
      <c r="F885" s="83">
        <f>SUMIFS(F886:F1496,K886:K1496,"0",B886:B1496,"5 1 2 1 6 12 31111 6 M59 40000*")</f>
        <v>207257</v>
      </c>
      <c r="G885" s="83">
        <f>SUMIFS(G886:G1496,K886:K1496,"0",B886:B1496,"5 1 2 1 6 12 31111 6 M59 40000*")</f>
        <v>0</v>
      </c>
      <c r="H885" s="83">
        <f t="shared" si="14"/>
        <v>207257</v>
      </c>
      <c r="I885" s="83"/>
      <c r="K885" s="54" t="s">
        <v>15</v>
      </c>
    </row>
    <row r="886" spans="2:11" ht="16.5" x14ac:dyDescent="0.2">
      <c r="B886" s="82" t="s">
        <v>6705</v>
      </c>
      <c r="C886" s="82" t="s">
        <v>1094</v>
      </c>
      <c r="D886" s="83">
        <f>SUMIFS(D887:D1496,K887:K1496,"0",B887:B1496,"5 1 2 1 6 12 31111 6 M59 40000 000161*")-SUMIFS(E887:E1496,K887:K1496,"0",B887:B1496,"5 1 2 1 6 12 31111 6 M59 40000 000161*")</f>
        <v>0</v>
      </c>
      <c r="E886" s="54"/>
      <c r="F886" s="83">
        <f>SUMIFS(F887:F1496,K887:K1496,"0",B887:B1496,"5 1 2 1 6 12 31111 6 M59 40000 000161*")</f>
        <v>207257</v>
      </c>
      <c r="G886" s="83">
        <f>SUMIFS(G887:G1496,K887:K1496,"0",B887:B1496,"5 1 2 1 6 12 31111 6 M59 40000 000161*")</f>
        <v>0</v>
      </c>
      <c r="H886" s="83">
        <f t="shared" si="14"/>
        <v>207257</v>
      </c>
      <c r="I886" s="83"/>
      <c r="K886" s="54" t="s">
        <v>15</v>
      </c>
    </row>
    <row r="887" spans="2:11" ht="24.75" x14ac:dyDescent="0.2">
      <c r="B887" s="82" t="s">
        <v>6706</v>
      </c>
      <c r="C887" s="82" t="s">
        <v>1065</v>
      </c>
      <c r="D887" s="83">
        <f>SUMIFS(D888:D1496,K888:K1496,"0",B888:B1496,"5 1 2 1 6 12 31111 6 M59 40000 000161 0000E*")-SUMIFS(E888:E1496,K888:K1496,"0",B888:B1496,"5 1 2 1 6 12 31111 6 M59 40000 000161 0000E*")</f>
        <v>0</v>
      </c>
      <c r="E887" s="54"/>
      <c r="F887" s="83">
        <f>SUMIFS(F888:F1496,K888:K1496,"0",B888:B1496,"5 1 2 1 6 12 31111 6 M59 40000 000161 0000E*")</f>
        <v>207257</v>
      </c>
      <c r="G887" s="83">
        <f>SUMIFS(G888:G1496,K888:K1496,"0",B888:B1496,"5 1 2 1 6 12 31111 6 M59 40000 000161 0000E*")</f>
        <v>0</v>
      </c>
      <c r="H887" s="83">
        <f t="shared" si="14"/>
        <v>207257</v>
      </c>
      <c r="I887" s="83"/>
      <c r="K887" s="54" t="s">
        <v>15</v>
      </c>
    </row>
    <row r="888" spans="2:11" ht="24.75" x14ac:dyDescent="0.2">
      <c r="B888" s="82" t="s">
        <v>6707</v>
      </c>
      <c r="C888" s="82" t="s">
        <v>282</v>
      </c>
      <c r="D888" s="83">
        <f>SUMIFS(D889:D1496,K889:K1496,"0",B889:B1496,"5 1 2 1 6 12 31111 6 M59 40000 000161 0000E 00001*")-SUMIFS(E889:E1496,K889:K1496,"0",B889:B1496,"5 1 2 1 6 12 31111 6 M59 40000 000161 0000E 00001*")</f>
        <v>0</v>
      </c>
      <c r="E888" s="54"/>
      <c r="F888" s="83">
        <f>SUMIFS(F889:F1496,K889:K1496,"0",B889:B1496,"5 1 2 1 6 12 31111 6 M59 40000 000161 0000E 00001*")</f>
        <v>207257</v>
      </c>
      <c r="G888" s="83">
        <f>SUMIFS(G889:G1496,K889:K1496,"0",B889:B1496,"5 1 2 1 6 12 31111 6 M59 40000 000161 0000E 00001*")</f>
        <v>0</v>
      </c>
      <c r="H888" s="83">
        <f t="shared" si="14"/>
        <v>207257</v>
      </c>
      <c r="I888" s="83"/>
      <c r="K888" s="54" t="s">
        <v>15</v>
      </c>
    </row>
    <row r="889" spans="2:11" ht="24.75" x14ac:dyDescent="0.2">
      <c r="B889" s="82" t="s">
        <v>6708</v>
      </c>
      <c r="C889" s="82" t="s">
        <v>6648</v>
      </c>
      <c r="D889" s="83">
        <f>SUMIFS(D890:D1496,K890:K1496,"0",B890:B1496,"5 1 2 1 6 12 31111 6 M59 40000 000161 0000E 00001 00216*")-SUMIFS(E890:E1496,K890:K1496,"0",B890:B1496,"5 1 2 1 6 12 31111 6 M59 40000 000161 0000E 00001 00216*")</f>
        <v>0</v>
      </c>
      <c r="E889" s="54"/>
      <c r="F889" s="83">
        <f>SUMIFS(F890:F1496,K890:K1496,"0",B890:B1496,"5 1 2 1 6 12 31111 6 M59 40000 000161 0000E 00001 00216*")</f>
        <v>207257</v>
      </c>
      <c r="G889" s="83">
        <f>SUMIFS(G890:G1496,K890:K1496,"0",B890:B1496,"5 1 2 1 6 12 31111 6 M59 40000 000161 0000E 00001 00216*")</f>
        <v>0</v>
      </c>
      <c r="H889" s="83">
        <f t="shared" si="14"/>
        <v>207257</v>
      </c>
      <c r="I889" s="83"/>
      <c r="K889" s="54" t="s">
        <v>15</v>
      </c>
    </row>
    <row r="890" spans="2:11" ht="33" x14ac:dyDescent="0.2">
      <c r="B890" s="82" t="s">
        <v>6709</v>
      </c>
      <c r="C890" s="82" t="s">
        <v>656</v>
      </c>
      <c r="D890" s="83">
        <f>SUMIFS(D891:D1496,K891:K1496,"0",B891:B1496,"5 1 2 1 6 12 31111 6 M59 40000 000161 0000E 00001 00216 025*")-SUMIFS(E891:E1496,K891:K1496,"0",B891:B1496,"5 1 2 1 6 12 31111 6 M59 40000 000161 0000E 00001 00216 025*")</f>
        <v>0</v>
      </c>
      <c r="E890" s="54"/>
      <c r="F890" s="83">
        <f>SUMIFS(F891:F1496,K891:K1496,"0",B891:B1496,"5 1 2 1 6 12 31111 6 M59 40000 000161 0000E 00001 00216 025*")</f>
        <v>207257</v>
      </c>
      <c r="G890" s="83">
        <f>SUMIFS(G891:G1496,K891:K1496,"0",B891:B1496,"5 1 2 1 6 12 31111 6 M59 40000 000161 0000E 00001 00216 025*")</f>
        <v>0</v>
      </c>
      <c r="H890" s="83">
        <f t="shared" si="14"/>
        <v>207257</v>
      </c>
      <c r="I890" s="83"/>
      <c r="K890" s="54" t="s">
        <v>15</v>
      </c>
    </row>
    <row r="891" spans="2:11" ht="33" x14ac:dyDescent="0.2">
      <c r="B891" s="82" t="s">
        <v>6710</v>
      </c>
      <c r="C891" s="82" t="s">
        <v>5830</v>
      </c>
      <c r="D891" s="83">
        <f>SUMIFS(D892:D1496,K892:K1496,"0",B892:B1496,"5 1 2 1 6 12 31111 6 M59 40000 000161 0000E 00001 00216 025 2112000*")-SUMIFS(E892:E1496,K892:K1496,"0",B892:B1496,"5 1 2 1 6 12 31111 6 M59 40000 000161 0000E 00001 00216 025 2112000*")</f>
        <v>0</v>
      </c>
      <c r="E891" s="54"/>
      <c r="F891" s="83">
        <f>SUMIFS(F892:F1496,K892:K1496,"0",B892:B1496,"5 1 2 1 6 12 31111 6 M59 40000 000161 0000E 00001 00216 025 2112000*")</f>
        <v>207257</v>
      </c>
      <c r="G891" s="83">
        <f>SUMIFS(G892:G1496,K892:K1496,"0",B892:B1496,"5 1 2 1 6 12 31111 6 M59 40000 000161 0000E 00001 00216 025 2112000*")</f>
        <v>0</v>
      </c>
      <c r="H891" s="83">
        <f t="shared" si="14"/>
        <v>207257</v>
      </c>
      <c r="I891" s="83"/>
      <c r="K891" s="54" t="s">
        <v>15</v>
      </c>
    </row>
    <row r="892" spans="2:11" ht="33" x14ac:dyDescent="0.2">
      <c r="B892" s="82" t="s">
        <v>6711</v>
      </c>
      <c r="C892" s="82" t="s">
        <v>660</v>
      </c>
      <c r="D892" s="83">
        <f>SUMIFS(D893:D1496,K893:K1496,"0",B893:B1496,"5 1 2 1 6 12 31111 6 M59 40000 000161 0000E 00001 00216 025 2112000 2024*")-SUMIFS(E893:E1496,K893:K1496,"0",B893:B1496,"5 1 2 1 6 12 31111 6 M59 40000 000161 0000E 00001 00216 025 2112000 2024*")</f>
        <v>0</v>
      </c>
      <c r="E892" s="54"/>
      <c r="F892" s="83">
        <f>SUMIFS(F893:F1496,K893:K1496,"0",B893:B1496,"5 1 2 1 6 12 31111 6 M59 40000 000161 0000E 00001 00216 025 2112000 2024*")</f>
        <v>207257</v>
      </c>
      <c r="G892" s="83">
        <f>SUMIFS(G893:G1496,K893:K1496,"0",B893:B1496,"5 1 2 1 6 12 31111 6 M59 40000 000161 0000E 00001 00216 025 2112000 2024*")</f>
        <v>0</v>
      </c>
      <c r="H892" s="83">
        <f t="shared" si="14"/>
        <v>207257</v>
      </c>
      <c r="I892" s="83"/>
      <c r="K892" s="54" t="s">
        <v>15</v>
      </c>
    </row>
    <row r="893" spans="2:11" ht="41.25" x14ac:dyDescent="0.2">
      <c r="B893" s="82" t="s">
        <v>6712</v>
      </c>
      <c r="C893" s="82" t="s">
        <v>662</v>
      </c>
      <c r="D893" s="83">
        <f>SUMIFS(D894:D1496,K894:K1496,"0",B894:B1496,"5 1 2 1 6 12 31111 6 M59 40000 000161 0000E 00001 00216 025 2112000 2024 CP4SP372*")-SUMIFS(E894:E1496,K894:K1496,"0",B894:B1496,"5 1 2 1 6 12 31111 6 M59 40000 000161 0000E 00001 00216 025 2112000 2024 CP4SP372*")</f>
        <v>0</v>
      </c>
      <c r="E893" s="54"/>
      <c r="F893" s="83">
        <f>SUMIFS(F894:F1496,K894:K1496,"0",B894:B1496,"5 1 2 1 6 12 31111 6 M59 40000 000161 0000E 00001 00216 025 2112000 2024 CP4SP372*")</f>
        <v>207257</v>
      </c>
      <c r="G893" s="83">
        <f>SUMIFS(G894:G1496,K894:K1496,"0",B894:B1496,"5 1 2 1 6 12 31111 6 M59 40000 000161 0000E 00001 00216 025 2112000 2024 CP4SP372*")</f>
        <v>0</v>
      </c>
      <c r="H893" s="83">
        <f t="shared" si="14"/>
        <v>207257</v>
      </c>
      <c r="I893" s="83"/>
      <c r="K893" s="54" t="s">
        <v>15</v>
      </c>
    </row>
    <row r="894" spans="2:11" ht="41.25" x14ac:dyDescent="0.2">
      <c r="B894" s="82" t="s">
        <v>6713</v>
      </c>
      <c r="C894" s="82" t="s">
        <v>664</v>
      </c>
      <c r="D894" s="83">
        <f>SUMIFS(D895:D1496,K895:K1496,"0",B895:B1496,"5 1 2 1 6 12 31111 6 M59 40000 000161 0000E 00001 00216 025 2112000 2024 CP4SP372 003*")-SUMIFS(E895:E1496,K895:K1496,"0",B895:B1496,"5 1 2 1 6 12 31111 6 M59 40000 000161 0000E 00001 00216 025 2112000 2024 CP4SP372 003*")</f>
        <v>0</v>
      </c>
      <c r="E894" s="54"/>
      <c r="F894" s="83">
        <f>SUMIFS(F895:F1496,K895:K1496,"0",B895:B1496,"5 1 2 1 6 12 31111 6 M59 40000 000161 0000E 00001 00216 025 2112000 2024 CP4SP372 003*")</f>
        <v>207257</v>
      </c>
      <c r="G894" s="83">
        <f>SUMIFS(G895:G1496,K895:K1496,"0",B895:B1496,"5 1 2 1 6 12 31111 6 M59 40000 000161 0000E 00001 00216 025 2112000 2024 CP4SP372 003*")</f>
        <v>0</v>
      </c>
      <c r="H894" s="83">
        <f t="shared" si="14"/>
        <v>207257</v>
      </c>
      <c r="I894" s="83"/>
      <c r="K894" s="54" t="s">
        <v>15</v>
      </c>
    </row>
    <row r="895" spans="2:11" ht="33" x14ac:dyDescent="0.2">
      <c r="B895" s="84" t="s">
        <v>6714</v>
      </c>
      <c r="C895" s="84" t="s">
        <v>6638</v>
      </c>
      <c r="D895" s="85">
        <v>0</v>
      </c>
      <c r="E895" s="85"/>
      <c r="F895" s="85">
        <v>207257</v>
      </c>
      <c r="G895" s="85">
        <v>0</v>
      </c>
      <c r="H895" s="85">
        <f t="shared" si="14"/>
        <v>207257</v>
      </c>
      <c r="I895" s="85"/>
      <c r="K895" s="54" t="s">
        <v>38</v>
      </c>
    </row>
    <row r="896" spans="2:11" ht="12.75" x14ac:dyDescent="0.2">
      <c r="B896" s="82" t="s">
        <v>6796</v>
      </c>
      <c r="C896" s="82" t="s">
        <v>507</v>
      </c>
      <c r="D896" s="83">
        <f>SUMIFS(D897:D1496,K897:K1496,"0",B897:B1496,"5 1 2 2*")-SUMIFS(E897:E1496,K897:K1496,"0",B897:B1496,"5 1 2 2*")</f>
        <v>0</v>
      </c>
      <c r="E896" s="54"/>
      <c r="F896" s="83">
        <f>SUMIFS(F897:F1496,K897:K1496,"0",B897:B1496,"5 1 2 2*")</f>
        <v>2327</v>
      </c>
      <c r="G896" s="83">
        <f>SUMIFS(G897:G1496,K897:K1496,"0",B897:B1496,"5 1 2 2*")</f>
        <v>0</v>
      </c>
      <c r="H896" s="83">
        <f t="shared" si="14"/>
        <v>2327</v>
      </c>
      <c r="I896" s="83"/>
      <c r="K896" s="54" t="s">
        <v>15</v>
      </c>
    </row>
    <row r="897" spans="2:11" ht="16.5" x14ac:dyDescent="0.2">
      <c r="B897" s="82" t="s">
        <v>6797</v>
      </c>
      <c r="C897" s="82" t="s">
        <v>6798</v>
      </c>
      <c r="D897" s="83">
        <f>SUMIFS(D898:D1496,K898:K1496,"0",B898:B1496,"5 1 2 2 1*")-SUMIFS(E898:E1496,K898:K1496,"0",B898:B1496,"5 1 2 2 1*")</f>
        <v>0</v>
      </c>
      <c r="E897" s="54"/>
      <c r="F897" s="83">
        <f>SUMIFS(F898:F1496,K898:K1496,"0",B898:B1496,"5 1 2 2 1*")</f>
        <v>2327</v>
      </c>
      <c r="G897" s="83">
        <f>SUMIFS(G898:G1496,K898:K1496,"0",B898:B1496,"5 1 2 2 1*")</f>
        <v>0</v>
      </c>
      <c r="H897" s="83">
        <f t="shared" si="14"/>
        <v>2327</v>
      </c>
      <c r="I897" s="83"/>
      <c r="K897" s="54" t="s">
        <v>15</v>
      </c>
    </row>
    <row r="898" spans="2:11" ht="12.75" x14ac:dyDescent="0.2">
      <c r="B898" s="82" t="s">
        <v>6799</v>
      </c>
      <c r="C898" s="82" t="s">
        <v>26</v>
      </c>
      <c r="D898" s="83">
        <f>SUMIFS(D899:D1496,K899:K1496,"0",B899:B1496,"5 1 2 2 1 12*")-SUMIFS(E899:E1496,K899:K1496,"0",B899:B1496,"5 1 2 2 1 12*")</f>
        <v>0</v>
      </c>
      <c r="E898" s="54"/>
      <c r="F898" s="83">
        <f>SUMIFS(F899:F1496,K899:K1496,"0",B899:B1496,"5 1 2 2 1 12*")</f>
        <v>2327</v>
      </c>
      <c r="G898" s="83">
        <f>SUMIFS(G899:G1496,K899:K1496,"0",B899:B1496,"5 1 2 2 1 12*")</f>
        <v>0</v>
      </c>
      <c r="H898" s="83">
        <f t="shared" si="14"/>
        <v>2327</v>
      </c>
      <c r="I898" s="83"/>
      <c r="K898" s="54" t="s">
        <v>15</v>
      </c>
    </row>
    <row r="899" spans="2:11" ht="16.5" x14ac:dyDescent="0.2">
      <c r="B899" s="82" t="s">
        <v>6800</v>
      </c>
      <c r="C899" s="82" t="s">
        <v>28</v>
      </c>
      <c r="D899" s="83">
        <f>SUMIFS(D900:D1496,K900:K1496,"0",B900:B1496,"5 1 2 2 1 12 31111*")-SUMIFS(E900:E1496,K900:K1496,"0",B900:B1496,"5 1 2 2 1 12 31111*")</f>
        <v>0</v>
      </c>
      <c r="E899" s="54"/>
      <c r="F899" s="83">
        <f>SUMIFS(F900:F1496,K900:K1496,"0",B900:B1496,"5 1 2 2 1 12 31111*")</f>
        <v>2327</v>
      </c>
      <c r="G899" s="83">
        <f>SUMIFS(G900:G1496,K900:K1496,"0",B900:B1496,"5 1 2 2 1 12 31111*")</f>
        <v>0</v>
      </c>
      <c r="H899" s="83">
        <f t="shared" si="14"/>
        <v>2327</v>
      </c>
      <c r="I899" s="83"/>
      <c r="K899" s="54" t="s">
        <v>15</v>
      </c>
    </row>
    <row r="900" spans="2:11" ht="12.75" x14ac:dyDescent="0.2">
      <c r="B900" s="82" t="s">
        <v>6801</v>
      </c>
      <c r="C900" s="82" t="s">
        <v>30</v>
      </c>
      <c r="D900" s="83">
        <f>SUMIFS(D901:D1496,K901:K1496,"0",B901:B1496,"5 1 2 2 1 12 31111 6*")-SUMIFS(E901:E1496,K901:K1496,"0",B901:B1496,"5 1 2 2 1 12 31111 6*")</f>
        <v>0</v>
      </c>
      <c r="E900" s="54"/>
      <c r="F900" s="83">
        <f>SUMIFS(F901:F1496,K901:K1496,"0",B901:B1496,"5 1 2 2 1 12 31111 6*")</f>
        <v>2327</v>
      </c>
      <c r="G900" s="83">
        <f>SUMIFS(G901:G1496,K901:K1496,"0",B901:B1496,"5 1 2 2 1 12 31111 6*")</f>
        <v>0</v>
      </c>
      <c r="H900" s="83">
        <f t="shared" si="14"/>
        <v>2327</v>
      </c>
      <c r="I900" s="83"/>
      <c r="K900" s="54" t="s">
        <v>15</v>
      </c>
    </row>
    <row r="901" spans="2:11" ht="16.5" x14ac:dyDescent="0.2">
      <c r="B901" s="82" t="s">
        <v>6802</v>
      </c>
      <c r="C901" s="82" t="s">
        <v>2284</v>
      </c>
      <c r="D901" s="83">
        <f>SUMIFS(D902:D1496,K902:K1496,"0",B902:B1496,"5 1 2 2 1 12 31111 6 M59*")-SUMIFS(E902:E1496,K902:K1496,"0",B902:B1496,"5 1 2 2 1 12 31111 6 M59*")</f>
        <v>0</v>
      </c>
      <c r="E901" s="54"/>
      <c r="F901" s="83">
        <f>SUMIFS(F902:F1496,K902:K1496,"0",B902:B1496,"5 1 2 2 1 12 31111 6 M59*")</f>
        <v>2327</v>
      </c>
      <c r="G901" s="83">
        <f>SUMIFS(G902:G1496,K902:K1496,"0",B902:B1496,"5 1 2 2 1 12 31111 6 M59*")</f>
        <v>0</v>
      </c>
      <c r="H901" s="83">
        <f t="shared" si="14"/>
        <v>2327</v>
      </c>
      <c r="I901" s="83"/>
      <c r="K901" s="54" t="s">
        <v>15</v>
      </c>
    </row>
    <row r="902" spans="2:11" ht="16.5" x14ac:dyDescent="0.2">
      <c r="B902" s="82" t="s">
        <v>6836</v>
      </c>
      <c r="C902" s="82" t="s">
        <v>1092</v>
      </c>
      <c r="D902" s="83">
        <f>SUMIFS(D903:D1496,K903:K1496,"0",B903:B1496,"5 1 2 2 1 12 31111 6 M59 40000*")-SUMIFS(E903:E1496,K903:K1496,"0",B903:B1496,"5 1 2 2 1 12 31111 6 M59 40000*")</f>
        <v>0</v>
      </c>
      <c r="E902" s="54"/>
      <c r="F902" s="83">
        <f>SUMIFS(F903:F1496,K903:K1496,"0",B903:B1496,"5 1 2 2 1 12 31111 6 M59 40000*")</f>
        <v>2327</v>
      </c>
      <c r="G902" s="83">
        <f>SUMIFS(G903:G1496,K903:K1496,"0",B903:B1496,"5 1 2 2 1 12 31111 6 M59 40000*")</f>
        <v>0</v>
      </c>
      <c r="H902" s="83">
        <f t="shared" si="14"/>
        <v>2327</v>
      </c>
      <c r="I902" s="83"/>
      <c r="K902" s="54" t="s">
        <v>15</v>
      </c>
    </row>
    <row r="903" spans="2:11" ht="16.5" x14ac:dyDescent="0.2">
      <c r="B903" s="82" t="s">
        <v>6837</v>
      </c>
      <c r="C903" s="82" t="s">
        <v>1094</v>
      </c>
      <c r="D903" s="83">
        <f>SUMIFS(D904:D1496,K904:K1496,"0",B904:B1496,"5 1 2 2 1 12 31111 6 M59 40000 000161*")-SUMIFS(E904:E1496,K904:K1496,"0",B904:B1496,"5 1 2 2 1 12 31111 6 M59 40000 000161*")</f>
        <v>0</v>
      </c>
      <c r="E903" s="54"/>
      <c r="F903" s="83">
        <f>SUMIFS(F904:F1496,K904:K1496,"0",B904:B1496,"5 1 2 2 1 12 31111 6 M59 40000 000161*")</f>
        <v>2327</v>
      </c>
      <c r="G903" s="83">
        <f>SUMIFS(G904:G1496,K904:K1496,"0",B904:B1496,"5 1 2 2 1 12 31111 6 M59 40000 000161*")</f>
        <v>0</v>
      </c>
      <c r="H903" s="83">
        <f t="shared" si="14"/>
        <v>2327</v>
      </c>
      <c r="I903" s="83"/>
      <c r="K903" s="54" t="s">
        <v>15</v>
      </c>
    </row>
    <row r="904" spans="2:11" ht="24.75" x14ac:dyDescent="0.2">
      <c r="B904" s="82" t="s">
        <v>6838</v>
      </c>
      <c r="C904" s="82" t="s">
        <v>1065</v>
      </c>
      <c r="D904" s="83">
        <f>SUMIFS(D905:D1496,K905:K1496,"0",B905:B1496,"5 1 2 2 1 12 31111 6 M59 40000 000161 0000E*")-SUMIFS(E905:E1496,K905:K1496,"0",B905:B1496,"5 1 2 2 1 12 31111 6 M59 40000 000161 0000E*")</f>
        <v>0</v>
      </c>
      <c r="E904" s="54"/>
      <c r="F904" s="83">
        <f>SUMIFS(F905:F1496,K905:K1496,"0",B905:B1496,"5 1 2 2 1 12 31111 6 M59 40000 000161 0000E*")</f>
        <v>2327</v>
      </c>
      <c r="G904" s="83">
        <f>SUMIFS(G905:G1496,K905:K1496,"0",B905:B1496,"5 1 2 2 1 12 31111 6 M59 40000 000161 0000E*")</f>
        <v>0</v>
      </c>
      <c r="H904" s="83">
        <f t="shared" si="14"/>
        <v>2327</v>
      </c>
      <c r="I904" s="83"/>
      <c r="K904" s="54" t="s">
        <v>15</v>
      </c>
    </row>
    <row r="905" spans="2:11" ht="24.75" x14ac:dyDescent="0.2">
      <c r="B905" s="82" t="s">
        <v>6839</v>
      </c>
      <c r="C905" s="82" t="s">
        <v>282</v>
      </c>
      <c r="D905" s="83">
        <f>SUMIFS(D906:D1496,K906:K1496,"0",B906:B1496,"5 1 2 2 1 12 31111 6 M59 40000 000161 0000E 00001*")-SUMIFS(E906:E1496,K906:K1496,"0",B906:B1496,"5 1 2 2 1 12 31111 6 M59 40000 000161 0000E 00001*")</f>
        <v>0</v>
      </c>
      <c r="E905" s="54"/>
      <c r="F905" s="83">
        <f>SUMIFS(F906:F1496,K906:K1496,"0",B906:B1496,"5 1 2 2 1 12 31111 6 M59 40000 000161 0000E 00001*")</f>
        <v>2327</v>
      </c>
      <c r="G905" s="83">
        <f>SUMIFS(G906:G1496,K906:K1496,"0",B906:B1496,"5 1 2 2 1 12 31111 6 M59 40000 000161 0000E 00001*")</f>
        <v>0</v>
      </c>
      <c r="H905" s="83">
        <f t="shared" si="14"/>
        <v>2327</v>
      </c>
      <c r="I905" s="83"/>
      <c r="K905" s="54" t="s">
        <v>15</v>
      </c>
    </row>
    <row r="906" spans="2:11" ht="24.75" x14ac:dyDescent="0.2">
      <c r="B906" s="82" t="s">
        <v>6840</v>
      </c>
      <c r="C906" s="82" t="s">
        <v>6808</v>
      </c>
      <c r="D906" s="83">
        <f>SUMIFS(D907:D1496,K907:K1496,"0",B907:B1496,"5 1 2 2 1 12 31111 6 M59 40000 000161 0000E 00001 00221*")-SUMIFS(E907:E1496,K907:K1496,"0",B907:B1496,"5 1 2 2 1 12 31111 6 M59 40000 000161 0000E 00001 00221*")</f>
        <v>0</v>
      </c>
      <c r="E906" s="54"/>
      <c r="F906" s="83">
        <f>SUMIFS(F907:F1496,K907:K1496,"0",B907:B1496,"5 1 2 2 1 12 31111 6 M59 40000 000161 0000E 00001 00221*")</f>
        <v>2327</v>
      </c>
      <c r="G906" s="83">
        <f>SUMIFS(G907:G1496,K907:K1496,"0",B907:B1496,"5 1 2 2 1 12 31111 6 M59 40000 000161 0000E 00001 00221*")</f>
        <v>0</v>
      </c>
      <c r="H906" s="83">
        <f t="shared" si="14"/>
        <v>2327</v>
      </c>
      <c r="I906" s="83"/>
      <c r="K906" s="54" t="s">
        <v>15</v>
      </c>
    </row>
    <row r="907" spans="2:11" ht="33" x14ac:dyDescent="0.2">
      <c r="B907" s="82" t="s">
        <v>6841</v>
      </c>
      <c r="C907" s="82" t="s">
        <v>656</v>
      </c>
      <c r="D907" s="83">
        <f>SUMIFS(D908:D1496,K908:K1496,"0",B908:B1496,"5 1 2 2 1 12 31111 6 M59 40000 000161 0000E 00001 00221 025*")-SUMIFS(E908:E1496,K908:K1496,"0",B908:B1496,"5 1 2 2 1 12 31111 6 M59 40000 000161 0000E 00001 00221 025*")</f>
        <v>0</v>
      </c>
      <c r="E907" s="54"/>
      <c r="F907" s="83">
        <f>SUMIFS(F908:F1496,K908:K1496,"0",B908:B1496,"5 1 2 2 1 12 31111 6 M59 40000 000161 0000E 00001 00221 025*")</f>
        <v>2327</v>
      </c>
      <c r="G907" s="83">
        <f>SUMIFS(G908:G1496,K908:K1496,"0",B908:B1496,"5 1 2 2 1 12 31111 6 M59 40000 000161 0000E 00001 00221 025*")</f>
        <v>0</v>
      </c>
      <c r="H907" s="83">
        <f t="shared" si="14"/>
        <v>2327</v>
      </c>
      <c r="I907" s="83"/>
      <c r="K907" s="54" t="s">
        <v>15</v>
      </c>
    </row>
    <row r="908" spans="2:11" ht="33" x14ac:dyDescent="0.2">
      <c r="B908" s="82" t="s">
        <v>6842</v>
      </c>
      <c r="C908" s="82" t="s">
        <v>5830</v>
      </c>
      <c r="D908" s="83">
        <f>SUMIFS(D909:D1496,K909:K1496,"0",B909:B1496,"5 1 2 2 1 12 31111 6 M59 40000 000161 0000E 00001 00221 025 2112000*")-SUMIFS(E909:E1496,K909:K1496,"0",B909:B1496,"5 1 2 2 1 12 31111 6 M59 40000 000161 0000E 00001 00221 025 2112000*")</f>
        <v>0</v>
      </c>
      <c r="E908" s="54"/>
      <c r="F908" s="83">
        <f>SUMIFS(F909:F1496,K909:K1496,"0",B909:B1496,"5 1 2 2 1 12 31111 6 M59 40000 000161 0000E 00001 00221 025 2112000*")</f>
        <v>2327</v>
      </c>
      <c r="G908" s="83">
        <f>SUMIFS(G909:G1496,K909:K1496,"0",B909:B1496,"5 1 2 2 1 12 31111 6 M59 40000 000161 0000E 00001 00221 025 2112000*")</f>
        <v>0</v>
      </c>
      <c r="H908" s="83">
        <f t="shared" si="14"/>
        <v>2327</v>
      </c>
      <c r="I908" s="83"/>
      <c r="K908" s="54" t="s">
        <v>15</v>
      </c>
    </row>
    <row r="909" spans="2:11" ht="33" x14ac:dyDescent="0.2">
      <c r="B909" s="82" t="s">
        <v>6843</v>
      </c>
      <c r="C909" s="82" t="s">
        <v>660</v>
      </c>
      <c r="D909" s="83">
        <f>SUMIFS(D910:D1496,K910:K1496,"0",B910:B1496,"5 1 2 2 1 12 31111 6 M59 40000 000161 0000E 00001 00221 025 2112000 2024*")-SUMIFS(E910:E1496,K910:K1496,"0",B910:B1496,"5 1 2 2 1 12 31111 6 M59 40000 000161 0000E 00001 00221 025 2112000 2024*")</f>
        <v>0</v>
      </c>
      <c r="E909" s="54"/>
      <c r="F909" s="83">
        <f>SUMIFS(F910:F1496,K910:K1496,"0",B910:B1496,"5 1 2 2 1 12 31111 6 M59 40000 000161 0000E 00001 00221 025 2112000 2024*")</f>
        <v>2327</v>
      </c>
      <c r="G909" s="83">
        <f>SUMIFS(G910:G1496,K910:K1496,"0",B910:B1496,"5 1 2 2 1 12 31111 6 M59 40000 000161 0000E 00001 00221 025 2112000 2024*")</f>
        <v>0</v>
      </c>
      <c r="H909" s="83">
        <f t="shared" si="14"/>
        <v>2327</v>
      </c>
      <c r="I909" s="83"/>
      <c r="K909" s="54" t="s">
        <v>15</v>
      </c>
    </row>
    <row r="910" spans="2:11" ht="41.25" x14ac:dyDescent="0.2">
      <c r="B910" s="82" t="s">
        <v>6844</v>
      </c>
      <c r="C910" s="82" t="s">
        <v>662</v>
      </c>
      <c r="D910" s="83">
        <f>SUMIFS(D911:D1496,K911:K1496,"0",B911:B1496,"5 1 2 2 1 12 31111 6 M59 40000 000161 0000E 00001 00221 025 2112000 2024 CP4SP372*")-SUMIFS(E911:E1496,K911:K1496,"0",B911:B1496,"5 1 2 2 1 12 31111 6 M59 40000 000161 0000E 00001 00221 025 2112000 2024 CP4SP372*")</f>
        <v>0</v>
      </c>
      <c r="E910" s="54"/>
      <c r="F910" s="83">
        <f>SUMIFS(F911:F1496,K911:K1496,"0",B911:B1496,"5 1 2 2 1 12 31111 6 M59 40000 000161 0000E 00001 00221 025 2112000 2024 CP4SP372*")</f>
        <v>2327</v>
      </c>
      <c r="G910" s="83">
        <f>SUMIFS(G911:G1496,K911:K1496,"0",B911:B1496,"5 1 2 2 1 12 31111 6 M59 40000 000161 0000E 00001 00221 025 2112000 2024 CP4SP372*")</f>
        <v>0</v>
      </c>
      <c r="H910" s="83">
        <f t="shared" si="14"/>
        <v>2327</v>
      </c>
      <c r="I910" s="83"/>
      <c r="K910" s="54" t="s">
        <v>15</v>
      </c>
    </row>
    <row r="911" spans="2:11" ht="41.25" x14ac:dyDescent="0.2">
      <c r="B911" s="82" t="s">
        <v>6845</v>
      </c>
      <c r="C911" s="82" t="s">
        <v>664</v>
      </c>
      <c r="D911" s="83">
        <f>SUMIFS(D912:D1496,K912:K1496,"0",B912:B1496,"5 1 2 2 1 12 31111 6 M59 40000 000161 0000E 00001 00221 025 2112000 2024 CP4SP372 003*")-SUMIFS(E912:E1496,K912:K1496,"0",B912:B1496,"5 1 2 2 1 12 31111 6 M59 40000 000161 0000E 00001 00221 025 2112000 2024 CP4SP372 003*")</f>
        <v>0</v>
      </c>
      <c r="E911" s="54"/>
      <c r="F911" s="83">
        <f>SUMIFS(F912:F1496,K912:K1496,"0",B912:B1496,"5 1 2 2 1 12 31111 6 M59 40000 000161 0000E 00001 00221 025 2112000 2024 CP4SP372 003*")</f>
        <v>2327</v>
      </c>
      <c r="G911" s="83">
        <f>SUMIFS(G912:G1496,K912:K1496,"0",B912:B1496,"5 1 2 2 1 12 31111 6 M59 40000 000161 0000E 00001 00221 025 2112000 2024 CP4SP372 003*")</f>
        <v>0</v>
      </c>
      <c r="H911" s="83">
        <f t="shared" si="14"/>
        <v>2327</v>
      </c>
      <c r="I911" s="83"/>
      <c r="K911" s="54" t="s">
        <v>15</v>
      </c>
    </row>
    <row r="912" spans="2:11" ht="33" x14ac:dyDescent="0.2">
      <c r="B912" s="84" t="s">
        <v>6846</v>
      </c>
      <c r="C912" s="84" t="s">
        <v>6808</v>
      </c>
      <c r="D912" s="85">
        <v>0</v>
      </c>
      <c r="E912" s="85"/>
      <c r="F912" s="85">
        <v>2327</v>
      </c>
      <c r="G912" s="85">
        <v>0</v>
      </c>
      <c r="H912" s="85">
        <f t="shared" si="14"/>
        <v>2327</v>
      </c>
      <c r="I912" s="85"/>
      <c r="K912" s="54" t="s">
        <v>38</v>
      </c>
    </row>
    <row r="913" spans="2:11" ht="24.75" x14ac:dyDescent="0.2">
      <c r="B913" s="82" t="s">
        <v>6897</v>
      </c>
      <c r="C913" s="82" t="s">
        <v>518</v>
      </c>
      <c r="D913" s="83">
        <f>SUMIFS(D914:D1496,K914:K1496,"0",B914:B1496,"5 1 2 4*")-SUMIFS(E914:E1496,K914:K1496,"0",B914:B1496,"5 1 2 4*")</f>
        <v>0</v>
      </c>
      <c r="E913" s="54"/>
      <c r="F913" s="83">
        <f>SUMIFS(F914:F1496,K914:K1496,"0",B914:B1496,"5 1 2 4*")</f>
        <v>27807.940000000002</v>
      </c>
      <c r="G913" s="83">
        <f>SUMIFS(G914:G1496,K914:K1496,"0",B914:B1496,"5 1 2 4*")</f>
        <v>0</v>
      </c>
      <c r="H913" s="83">
        <f t="shared" si="14"/>
        <v>27807.940000000002</v>
      </c>
      <c r="I913" s="83"/>
      <c r="K913" s="54" t="s">
        <v>15</v>
      </c>
    </row>
    <row r="914" spans="2:11" ht="16.5" x14ac:dyDescent="0.2">
      <c r="B914" s="82" t="s">
        <v>6949</v>
      </c>
      <c r="C914" s="82" t="s">
        <v>6950</v>
      </c>
      <c r="D914" s="83">
        <f>SUMIFS(D915:D1496,K915:K1496,"0",B915:B1496,"5 1 2 4 2*")-SUMIFS(E915:E1496,K915:K1496,"0",B915:B1496,"5 1 2 4 2*")</f>
        <v>0</v>
      </c>
      <c r="E914" s="54"/>
      <c r="F914" s="83">
        <f>SUMIFS(F915:F1496,K915:K1496,"0",B915:B1496,"5 1 2 4 2*")</f>
        <v>53.98</v>
      </c>
      <c r="G914" s="83">
        <f>SUMIFS(G915:G1496,K915:K1496,"0",B915:B1496,"5 1 2 4 2*")</f>
        <v>0</v>
      </c>
      <c r="H914" s="83">
        <f t="shared" si="14"/>
        <v>53.98</v>
      </c>
      <c r="I914" s="83"/>
      <c r="K914" s="54" t="s">
        <v>15</v>
      </c>
    </row>
    <row r="915" spans="2:11" ht="12.75" x14ac:dyDescent="0.2">
      <c r="B915" s="82" t="s">
        <v>6951</v>
      </c>
      <c r="C915" s="82" t="s">
        <v>26</v>
      </c>
      <c r="D915" s="83">
        <f>SUMIFS(D916:D1496,K916:K1496,"0",B916:B1496,"5 1 2 4 2 12*")-SUMIFS(E916:E1496,K916:K1496,"0",B916:B1496,"5 1 2 4 2 12*")</f>
        <v>0</v>
      </c>
      <c r="E915" s="54"/>
      <c r="F915" s="83">
        <f>SUMIFS(F916:F1496,K916:K1496,"0",B916:B1496,"5 1 2 4 2 12*")</f>
        <v>53.98</v>
      </c>
      <c r="G915" s="83">
        <f>SUMIFS(G916:G1496,K916:K1496,"0",B916:B1496,"5 1 2 4 2 12*")</f>
        <v>0</v>
      </c>
      <c r="H915" s="83">
        <f t="shared" si="14"/>
        <v>53.98</v>
      </c>
      <c r="I915" s="83"/>
      <c r="K915" s="54" t="s">
        <v>15</v>
      </c>
    </row>
    <row r="916" spans="2:11" ht="16.5" x14ac:dyDescent="0.2">
      <c r="B916" s="82" t="s">
        <v>6952</v>
      </c>
      <c r="C916" s="82" t="s">
        <v>28</v>
      </c>
      <c r="D916" s="83">
        <f>SUMIFS(D917:D1496,K917:K1496,"0",B917:B1496,"5 1 2 4 2 12 31111*")-SUMIFS(E917:E1496,K917:K1496,"0",B917:B1496,"5 1 2 4 2 12 31111*")</f>
        <v>0</v>
      </c>
      <c r="E916" s="54"/>
      <c r="F916" s="83">
        <f>SUMIFS(F917:F1496,K917:K1496,"0",B917:B1496,"5 1 2 4 2 12 31111*")</f>
        <v>53.98</v>
      </c>
      <c r="G916" s="83">
        <f>SUMIFS(G917:G1496,K917:K1496,"0",B917:B1496,"5 1 2 4 2 12 31111*")</f>
        <v>0</v>
      </c>
      <c r="H916" s="83">
        <f t="shared" si="14"/>
        <v>53.98</v>
      </c>
      <c r="I916" s="83"/>
      <c r="K916" s="54" t="s">
        <v>15</v>
      </c>
    </row>
    <row r="917" spans="2:11" ht="12.75" x14ac:dyDescent="0.2">
      <c r="B917" s="82" t="s">
        <v>6953</v>
      </c>
      <c r="C917" s="82" t="s">
        <v>30</v>
      </c>
      <c r="D917" s="83">
        <f>SUMIFS(D918:D1496,K918:K1496,"0",B918:B1496,"5 1 2 4 2 12 31111 6*")-SUMIFS(E918:E1496,K918:K1496,"0",B918:B1496,"5 1 2 4 2 12 31111 6*")</f>
        <v>0</v>
      </c>
      <c r="E917" s="54"/>
      <c r="F917" s="83">
        <f>SUMIFS(F918:F1496,K918:K1496,"0",B918:B1496,"5 1 2 4 2 12 31111 6*")</f>
        <v>53.98</v>
      </c>
      <c r="G917" s="83">
        <f>SUMIFS(G918:G1496,K918:K1496,"0",B918:B1496,"5 1 2 4 2 12 31111 6*")</f>
        <v>0</v>
      </c>
      <c r="H917" s="83">
        <f t="shared" si="14"/>
        <v>53.98</v>
      </c>
      <c r="I917" s="83"/>
      <c r="K917" s="54" t="s">
        <v>15</v>
      </c>
    </row>
    <row r="918" spans="2:11" ht="16.5" x14ac:dyDescent="0.2">
      <c r="B918" s="82" t="s">
        <v>6954</v>
      </c>
      <c r="C918" s="82" t="s">
        <v>2284</v>
      </c>
      <c r="D918" s="83">
        <f>SUMIFS(D919:D1496,K919:K1496,"0",B919:B1496,"5 1 2 4 2 12 31111 6 M59*")-SUMIFS(E919:E1496,K919:K1496,"0",B919:B1496,"5 1 2 4 2 12 31111 6 M59*")</f>
        <v>0</v>
      </c>
      <c r="E918" s="54"/>
      <c r="F918" s="83">
        <f>SUMIFS(F919:F1496,K919:K1496,"0",B919:B1496,"5 1 2 4 2 12 31111 6 M59*")</f>
        <v>53.98</v>
      </c>
      <c r="G918" s="83">
        <f>SUMIFS(G919:G1496,K919:K1496,"0",B919:B1496,"5 1 2 4 2 12 31111 6 M59*")</f>
        <v>0</v>
      </c>
      <c r="H918" s="83">
        <f t="shared" si="14"/>
        <v>53.98</v>
      </c>
      <c r="I918" s="83"/>
      <c r="K918" s="54" t="s">
        <v>15</v>
      </c>
    </row>
    <row r="919" spans="2:11" ht="16.5" x14ac:dyDescent="0.2">
      <c r="B919" s="82" t="s">
        <v>6967</v>
      </c>
      <c r="C919" s="82" t="s">
        <v>1092</v>
      </c>
      <c r="D919" s="83">
        <f>SUMIFS(D920:D1496,K920:K1496,"0",B920:B1496,"5 1 2 4 2 12 31111 6 M59 40000*")-SUMIFS(E920:E1496,K920:K1496,"0",B920:B1496,"5 1 2 4 2 12 31111 6 M59 40000*")</f>
        <v>0</v>
      </c>
      <c r="E919" s="54"/>
      <c r="F919" s="83">
        <f>SUMIFS(F920:F1496,K920:K1496,"0",B920:B1496,"5 1 2 4 2 12 31111 6 M59 40000*")</f>
        <v>53.98</v>
      </c>
      <c r="G919" s="83">
        <f>SUMIFS(G920:G1496,K920:K1496,"0",B920:B1496,"5 1 2 4 2 12 31111 6 M59 40000*")</f>
        <v>0</v>
      </c>
      <c r="H919" s="83">
        <f t="shared" si="14"/>
        <v>53.98</v>
      </c>
      <c r="I919" s="83"/>
      <c r="K919" s="54" t="s">
        <v>15</v>
      </c>
    </row>
    <row r="920" spans="2:11" ht="16.5" x14ac:dyDescent="0.2">
      <c r="B920" s="82" t="s">
        <v>6968</v>
      </c>
      <c r="C920" s="82" t="s">
        <v>1094</v>
      </c>
      <c r="D920" s="83">
        <f>SUMIFS(D921:D1496,K921:K1496,"0",B921:B1496,"5 1 2 4 2 12 31111 6 M59 40000 000161*")-SUMIFS(E921:E1496,K921:K1496,"0",B921:B1496,"5 1 2 4 2 12 31111 6 M59 40000 000161*")</f>
        <v>0</v>
      </c>
      <c r="E920" s="54"/>
      <c r="F920" s="83">
        <f>SUMIFS(F921:F1496,K921:K1496,"0",B921:B1496,"5 1 2 4 2 12 31111 6 M59 40000 000161*")</f>
        <v>53.98</v>
      </c>
      <c r="G920" s="83">
        <f>SUMIFS(G921:G1496,K921:K1496,"0",B921:B1496,"5 1 2 4 2 12 31111 6 M59 40000 000161*")</f>
        <v>0</v>
      </c>
      <c r="H920" s="83">
        <f t="shared" si="14"/>
        <v>53.98</v>
      </c>
      <c r="I920" s="83"/>
      <c r="K920" s="54" t="s">
        <v>15</v>
      </c>
    </row>
    <row r="921" spans="2:11" ht="24.75" x14ac:dyDescent="0.2">
      <c r="B921" s="82" t="s">
        <v>6969</v>
      </c>
      <c r="C921" s="82" t="s">
        <v>1065</v>
      </c>
      <c r="D921" s="83">
        <f>SUMIFS(D922:D1496,K922:K1496,"0",B922:B1496,"5 1 2 4 2 12 31111 6 M59 40000 000161 0000E*")-SUMIFS(E922:E1496,K922:K1496,"0",B922:B1496,"5 1 2 4 2 12 31111 6 M59 40000 000161 0000E*")</f>
        <v>0</v>
      </c>
      <c r="E921" s="54"/>
      <c r="F921" s="83">
        <f>SUMIFS(F922:F1496,K922:K1496,"0",B922:B1496,"5 1 2 4 2 12 31111 6 M59 40000 000161 0000E*")</f>
        <v>53.98</v>
      </c>
      <c r="G921" s="83">
        <f>SUMIFS(G922:G1496,K922:K1496,"0",B922:B1496,"5 1 2 4 2 12 31111 6 M59 40000 000161 0000E*")</f>
        <v>0</v>
      </c>
      <c r="H921" s="83">
        <f t="shared" si="14"/>
        <v>53.98</v>
      </c>
      <c r="I921" s="83"/>
      <c r="K921" s="54" t="s">
        <v>15</v>
      </c>
    </row>
    <row r="922" spans="2:11" ht="24.75" x14ac:dyDescent="0.2">
      <c r="B922" s="82" t="s">
        <v>6970</v>
      </c>
      <c r="C922" s="82" t="s">
        <v>282</v>
      </c>
      <c r="D922" s="83">
        <f>SUMIFS(D923:D1496,K923:K1496,"0",B923:B1496,"5 1 2 4 2 12 31111 6 M59 40000 000161 0000E 00001*")-SUMIFS(E923:E1496,K923:K1496,"0",B923:B1496,"5 1 2 4 2 12 31111 6 M59 40000 000161 0000E 00001*")</f>
        <v>0</v>
      </c>
      <c r="E922" s="54"/>
      <c r="F922" s="83">
        <f>SUMIFS(F923:F1496,K923:K1496,"0",B923:B1496,"5 1 2 4 2 12 31111 6 M59 40000 000161 0000E 00001*")</f>
        <v>53.98</v>
      </c>
      <c r="G922" s="83">
        <f>SUMIFS(G923:G1496,K923:K1496,"0",B923:B1496,"5 1 2 4 2 12 31111 6 M59 40000 000161 0000E 00001*")</f>
        <v>0</v>
      </c>
      <c r="H922" s="83">
        <f t="shared" si="14"/>
        <v>53.98</v>
      </c>
      <c r="I922" s="83"/>
      <c r="K922" s="54" t="s">
        <v>15</v>
      </c>
    </row>
    <row r="923" spans="2:11" ht="24.75" x14ac:dyDescent="0.2">
      <c r="B923" s="82" t="s">
        <v>6971</v>
      </c>
      <c r="C923" s="82" t="s">
        <v>6960</v>
      </c>
      <c r="D923" s="83">
        <f>SUMIFS(D924:D1496,K924:K1496,"0",B924:B1496,"5 1 2 4 2 12 31111 6 M59 40000 000161 0000E 00001 00242*")-SUMIFS(E924:E1496,K924:K1496,"0",B924:B1496,"5 1 2 4 2 12 31111 6 M59 40000 000161 0000E 00001 00242*")</f>
        <v>0</v>
      </c>
      <c r="E923" s="54"/>
      <c r="F923" s="83">
        <f>SUMIFS(F924:F1496,K924:K1496,"0",B924:B1496,"5 1 2 4 2 12 31111 6 M59 40000 000161 0000E 00001 00242*")</f>
        <v>53.98</v>
      </c>
      <c r="G923" s="83">
        <f>SUMIFS(G924:G1496,K924:K1496,"0",B924:B1496,"5 1 2 4 2 12 31111 6 M59 40000 000161 0000E 00001 00242*")</f>
        <v>0</v>
      </c>
      <c r="H923" s="83">
        <f t="shared" si="14"/>
        <v>53.98</v>
      </c>
      <c r="I923" s="83"/>
      <c r="K923" s="54" t="s">
        <v>15</v>
      </c>
    </row>
    <row r="924" spans="2:11" ht="33" x14ac:dyDescent="0.2">
      <c r="B924" s="82" t="s">
        <v>6972</v>
      </c>
      <c r="C924" s="82" t="s">
        <v>656</v>
      </c>
      <c r="D924" s="83">
        <f>SUMIFS(D925:D1496,K925:K1496,"0",B925:B1496,"5 1 2 4 2 12 31111 6 M59 40000 000161 0000E 00001 00242 025*")-SUMIFS(E925:E1496,K925:K1496,"0",B925:B1496,"5 1 2 4 2 12 31111 6 M59 40000 000161 0000E 00001 00242 025*")</f>
        <v>0</v>
      </c>
      <c r="E924" s="54"/>
      <c r="F924" s="83">
        <f>SUMIFS(F925:F1496,K925:K1496,"0",B925:B1496,"5 1 2 4 2 12 31111 6 M59 40000 000161 0000E 00001 00242 025*")</f>
        <v>53.98</v>
      </c>
      <c r="G924" s="83">
        <f>SUMIFS(G925:G1496,K925:K1496,"0",B925:B1496,"5 1 2 4 2 12 31111 6 M59 40000 000161 0000E 00001 00242 025*")</f>
        <v>0</v>
      </c>
      <c r="H924" s="83">
        <f t="shared" si="14"/>
        <v>53.98</v>
      </c>
      <c r="I924" s="83"/>
      <c r="K924" s="54" t="s">
        <v>15</v>
      </c>
    </row>
    <row r="925" spans="2:11" ht="33" x14ac:dyDescent="0.2">
      <c r="B925" s="82" t="s">
        <v>6973</v>
      </c>
      <c r="C925" s="82" t="s">
        <v>5830</v>
      </c>
      <c r="D925" s="83">
        <f>SUMIFS(D926:D1496,K926:K1496,"0",B926:B1496,"5 1 2 4 2 12 31111 6 M59 40000 000161 0000E 00001 00242 025 2112000*")-SUMIFS(E926:E1496,K926:K1496,"0",B926:B1496,"5 1 2 4 2 12 31111 6 M59 40000 000161 0000E 00001 00242 025 2112000*")</f>
        <v>0</v>
      </c>
      <c r="E925" s="54"/>
      <c r="F925" s="83">
        <f>SUMIFS(F926:F1496,K926:K1496,"0",B926:B1496,"5 1 2 4 2 12 31111 6 M59 40000 000161 0000E 00001 00242 025 2112000*")</f>
        <v>53.98</v>
      </c>
      <c r="G925" s="83">
        <f>SUMIFS(G926:G1496,K926:K1496,"0",B926:B1496,"5 1 2 4 2 12 31111 6 M59 40000 000161 0000E 00001 00242 025 2112000*")</f>
        <v>0</v>
      </c>
      <c r="H925" s="83">
        <f t="shared" si="14"/>
        <v>53.98</v>
      </c>
      <c r="I925" s="83"/>
      <c r="K925" s="54" t="s">
        <v>15</v>
      </c>
    </row>
    <row r="926" spans="2:11" ht="33" x14ac:dyDescent="0.2">
      <c r="B926" s="82" t="s">
        <v>6974</v>
      </c>
      <c r="C926" s="82" t="s">
        <v>660</v>
      </c>
      <c r="D926" s="83">
        <f>SUMIFS(D927:D1496,K927:K1496,"0",B927:B1496,"5 1 2 4 2 12 31111 6 M59 40000 000161 0000E 00001 00242 025 2112000 2024*")-SUMIFS(E927:E1496,K927:K1496,"0",B927:B1496,"5 1 2 4 2 12 31111 6 M59 40000 000161 0000E 00001 00242 025 2112000 2024*")</f>
        <v>0</v>
      </c>
      <c r="E926" s="54"/>
      <c r="F926" s="83">
        <f>SUMIFS(F927:F1496,K927:K1496,"0",B927:B1496,"5 1 2 4 2 12 31111 6 M59 40000 000161 0000E 00001 00242 025 2112000 2024*")</f>
        <v>53.98</v>
      </c>
      <c r="G926" s="83">
        <f>SUMIFS(G927:G1496,K927:K1496,"0",B927:B1496,"5 1 2 4 2 12 31111 6 M59 40000 000161 0000E 00001 00242 025 2112000 2024*")</f>
        <v>0</v>
      </c>
      <c r="H926" s="83">
        <f t="shared" si="14"/>
        <v>53.98</v>
      </c>
      <c r="I926" s="83"/>
      <c r="K926" s="54" t="s">
        <v>15</v>
      </c>
    </row>
    <row r="927" spans="2:11" ht="41.25" x14ac:dyDescent="0.2">
      <c r="B927" s="82" t="s">
        <v>6975</v>
      </c>
      <c r="C927" s="82" t="s">
        <v>662</v>
      </c>
      <c r="D927" s="83">
        <f>SUMIFS(D928:D1496,K928:K1496,"0",B928:B1496,"5 1 2 4 2 12 31111 6 M59 40000 000161 0000E 00001 00242 025 2112000 2024 CP4SP372*")-SUMIFS(E928:E1496,K928:K1496,"0",B928:B1496,"5 1 2 4 2 12 31111 6 M59 40000 000161 0000E 00001 00242 025 2112000 2024 CP4SP372*")</f>
        <v>0</v>
      </c>
      <c r="E927" s="54"/>
      <c r="F927" s="83">
        <f>SUMIFS(F928:F1496,K928:K1496,"0",B928:B1496,"5 1 2 4 2 12 31111 6 M59 40000 000161 0000E 00001 00242 025 2112000 2024 CP4SP372*")</f>
        <v>53.98</v>
      </c>
      <c r="G927" s="83">
        <f>SUMIFS(G928:G1496,K928:K1496,"0",B928:B1496,"5 1 2 4 2 12 31111 6 M59 40000 000161 0000E 00001 00242 025 2112000 2024 CP4SP372*")</f>
        <v>0</v>
      </c>
      <c r="H927" s="83">
        <f t="shared" si="14"/>
        <v>53.98</v>
      </c>
      <c r="I927" s="83"/>
      <c r="K927" s="54" t="s">
        <v>15</v>
      </c>
    </row>
    <row r="928" spans="2:11" ht="41.25" x14ac:dyDescent="0.2">
      <c r="B928" s="82" t="s">
        <v>6976</v>
      </c>
      <c r="C928" s="82" t="s">
        <v>664</v>
      </c>
      <c r="D928" s="83">
        <f>SUMIFS(D929:D1496,K929:K1496,"0",B929:B1496,"5 1 2 4 2 12 31111 6 M59 40000 000161 0000E 00001 00242 025 2112000 2024 CP4SP372 003*")-SUMIFS(E929:E1496,K929:K1496,"0",B929:B1496,"5 1 2 4 2 12 31111 6 M59 40000 000161 0000E 00001 00242 025 2112000 2024 CP4SP372 003*")</f>
        <v>0</v>
      </c>
      <c r="E928" s="54"/>
      <c r="F928" s="83">
        <f>SUMIFS(F929:F1496,K929:K1496,"0",B929:B1496,"5 1 2 4 2 12 31111 6 M59 40000 000161 0000E 00001 00242 025 2112000 2024 CP4SP372 003*")</f>
        <v>53.98</v>
      </c>
      <c r="G928" s="83">
        <f>SUMIFS(G929:G1496,K929:K1496,"0",B929:B1496,"5 1 2 4 2 12 31111 6 M59 40000 000161 0000E 00001 00242 025 2112000 2024 CP4SP372 003*")</f>
        <v>0</v>
      </c>
      <c r="H928" s="83">
        <f t="shared" si="14"/>
        <v>53.98</v>
      </c>
      <c r="I928" s="83"/>
      <c r="K928" s="54" t="s">
        <v>15</v>
      </c>
    </row>
    <row r="929" spans="2:11" ht="33" x14ac:dyDescent="0.2">
      <c r="B929" s="84" t="s">
        <v>6977</v>
      </c>
      <c r="C929" s="84" t="s">
        <v>6960</v>
      </c>
      <c r="D929" s="85">
        <v>0</v>
      </c>
      <c r="E929" s="85"/>
      <c r="F929" s="85">
        <v>53.98</v>
      </c>
      <c r="G929" s="85">
        <v>0</v>
      </c>
      <c r="H929" s="85">
        <f t="shared" si="14"/>
        <v>53.98</v>
      </c>
      <c r="I929" s="85"/>
      <c r="K929" s="54" t="s">
        <v>38</v>
      </c>
    </row>
    <row r="930" spans="2:11" ht="16.5" x14ac:dyDescent="0.2">
      <c r="B930" s="82" t="s">
        <v>7039</v>
      </c>
      <c r="C930" s="82" t="s">
        <v>7040</v>
      </c>
      <c r="D930" s="83">
        <f>SUMIFS(D931:D1496,K931:K1496,"0",B931:B1496,"5 1 2 4 6*")-SUMIFS(E931:E1496,K931:K1496,"0",B931:B1496,"5 1 2 4 6*")</f>
        <v>0</v>
      </c>
      <c r="E930" s="54"/>
      <c r="F930" s="83">
        <f>SUMIFS(F931:F1496,K931:K1496,"0",B931:B1496,"5 1 2 4 6*")</f>
        <v>24481.54</v>
      </c>
      <c r="G930" s="83">
        <f>SUMIFS(G931:G1496,K931:K1496,"0",B931:B1496,"5 1 2 4 6*")</f>
        <v>0</v>
      </c>
      <c r="H930" s="83">
        <f t="shared" si="14"/>
        <v>24481.54</v>
      </c>
      <c r="I930" s="83"/>
      <c r="K930" s="54" t="s">
        <v>15</v>
      </c>
    </row>
    <row r="931" spans="2:11" ht="12.75" x14ac:dyDescent="0.2">
      <c r="B931" s="82" t="s">
        <v>7041</v>
      </c>
      <c r="C931" s="82" t="s">
        <v>26</v>
      </c>
      <c r="D931" s="83">
        <f>SUMIFS(D932:D1496,K932:K1496,"0",B932:B1496,"5 1 2 4 6 12*")-SUMIFS(E932:E1496,K932:K1496,"0",B932:B1496,"5 1 2 4 6 12*")</f>
        <v>0</v>
      </c>
      <c r="E931" s="54"/>
      <c r="F931" s="83">
        <f>SUMIFS(F932:F1496,K932:K1496,"0",B932:B1496,"5 1 2 4 6 12*")</f>
        <v>24481.54</v>
      </c>
      <c r="G931" s="83">
        <f>SUMIFS(G932:G1496,K932:K1496,"0",B932:B1496,"5 1 2 4 6 12*")</f>
        <v>0</v>
      </c>
      <c r="H931" s="83">
        <f t="shared" ref="H931:H994" si="15">D931 + F931 - G931</f>
        <v>24481.54</v>
      </c>
      <c r="I931" s="83"/>
      <c r="K931" s="54" t="s">
        <v>15</v>
      </c>
    </row>
    <row r="932" spans="2:11" ht="16.5" x14ac:dyDescent="0.2">
      <c r="B932" s="82" t="s">
        <v>7042</v>
      </c>
      <c r="C932" s="82" t="s">
        <v>28</v>
      </c>
      <c r="D932" s="83">
        <f>SUMIFS(D933:D1496,K933:K1496,"0",B933:B1496,"5 1 2 4 6 12 31111*")-SUMIFS(E933:E1496,K933:K1496,"0",B933:B1496,"5 1 2 4 6 12 31111*")</f>
        <v>0</v>
      </c>
      <c r="E932" s="54"/>
      <c r="F932" s="83">
        <f>SUMIFS(F933:F1496,K933:K1496,"0",B933:B1496,"5 1 2 4 6 12 31111*")</f>
        <v>24481.54</v>
      </c>
      <c r="G932" s="83">
        <f>SUMIFS(G933:G1496,K933:K1496,"0",B933:B1496,"5 1 2 4 6 12 31111*")</f>
        <v>0</v>
      </c>
      <c r="H932" s="83">
        <f t="shared" si="15"/>
        <v>24481.54</v>
      </c>
      <c r="I932" s="83"/>
      <c r="K932" s="54" t="s">
        <v>15</v>
      </c>
    </row>
    <row r="933" spans="2:11" ht="12.75" x14ac:dyDescent="0.2">
      <c r="B933" s="82" t="s">
        <v>7043</v>
      </c>
      <c r="C933" s="82" t="s">
        <v>30</v>
      </c>
      <c r="D933" s="83">
        <f>SUMIFS(D934:D1496,K934:K1496,"0",B934:B1496,"5 1 2 4 6 12 31111 6*")-SUMIFS(E934:E1496,K934:K1496,"0",B934:B1496,"5 1 2 4 6 12 31111 6*")</f>
        <v>0</v>
      </c>
      <c r="E933" s="54"/>
      <c r="F933" s="83">
        <f>SUMIFS(F934:F1496,K934:K1496,"0",B934:B1496,"5 1 2 4 6 12 31111 6*")</f>
        <v>24481.54</v>
      </c>
      <c r="G933" s="83">
        <f>SUMIFS(G934:G1496,K934:K1496,"0",B934:B1496,"5 1 2 4 6 12 31111 6*")</f>
        <v>0</v>
      </c>
      <c r="H933" s="83">
        <f t="shared" si="15"/>
        <v>24481.54</v>
      </c>
      <c r="I933" s="83"/>
      <c r="K933" s="54" t="s">
        <v>15</v>
      </c>
    </row>
    <row r="934" spans="2:11" ht="16.5" x14ac:dyDescent="0.2">
      <c r="B934" s="82" t="s">
        <v>7044</v>
      </c>
      <c r="C934" s="82" t="s">
        <v>2284</v>
      </c>
      <c r="D934" s="83">
        <f>SUMIFS(D935:D1496,K935:K1496,"0",B935:B1496,"5 1 2 4 6 12 31111 6 M59*")-SUMIFS(E935:E1496,K935:K1496,"0",B935:B1496,"5 1 2 4 6 12 31111 6 M59*")</f>
        <v>0</v>
      </c>
      <c r="E934" s="54"/>
      <c r="F934" s="83">
        <f>SUMIFS(F935:F1496,K935:K1496,"0",B935:B1496,"5 1 2 4 6 12 31111 6 M59*")</f>
        <v>24481.54</v>
      </c>
      <c r="G934" s="83">
        <f>SUMIFS(G935:G1496,K935:K1496,"0",B935:B1496,"5 1 2 4 6 12 31111 6 M59*")</f>
        <v>0</v>
      </c>
      <c r="H934" s="83">
        <f t="shared" si="15"/>
        <v>24481.54</v>
      </c>
      <c r="I934" s="83"/>
      <c r="K934" s="54" t="s">
        <v>15</v>
      </c>
    </row>
    <row r="935" spans="2:11" ht="16.5" x14ac:dyDescent="0.2">
      <c r="B935" s="82" t="s">
        <v>7080</v>
      </c>
      <c r="C935" s="82" t="s">
        <v>1092</v>
      </c>
      <c r="D935" s="83">
        <f>SUMIFS(D936:D1496,K936:K1496,"0",B936:B1496,"5 1 2 4 6 12 31111 6 M59 40000*")-SUMIFS(E936:E1496,K936:K1496,"0",B936:B1496,"5 1 2 4 6 12 31111 6 M59 40000*")</f>
        <v>0</v>
      </c>
      <c r="E935" s="54"/>
      <c r="F935" s="83">
        <f>SUMIFS(F936:F1496,K936:K1496,"0",B936:B1496,"5 1 2 4 6 12 31111 6 M59 40000*")</f>
        <v>24481.54</v>
      </c>
      <c r="G935" s="83">
        <f>SUMIFS(G936:G1496,K936:K1496,"0",B936:B1496,"5 1 2 4 6 12 31111 6 M59 40000*")</f>
        <v>0</v>
      </c>
      <c r="H935" s="83">
        <f t="shared" si="15"/>
        <v>24481.54</v>
      </c>
      <c r="I935" s="83"/>
      <c r="K935" s="54" t="s">
        <v>15</v>
      </c>
    </row>
    <row r="936" spans="2:11" ht="16.5" x14ac:dyDescent="0.2">
      <c r="B936" s="82" t="s">
        <v>7081</v>
      </c>
      <c r="C936" s="82" t="s">
        <v>1094</v>
      </c>
      <c r="D936" s="83">
        <f>SUMIFS(D937:D1496,K937:K1496,"0",B937:B1496,"5 1 2 4 6 12 31111 6 M59 40000 000161*")-SUMIFS(E937:E1496,K937:K1496,"0",B937:B1496,"5 1 2 4 6 12 31111 6 M59 40000 000161*")</f>
        <v>0</v>
      </c>
      <c r="E936" s="54"/>
      <c r="F936" s="83">
        <f>SUMIFS(F937:F1496,K937:K1496,"0",B937:B1496,"5 1 2 4 6 12 31111 6 M59 40000 000161*")</f>
        <v>24481.54</v>
      </c>
      <c r="G936" s="83">
        <f>SUMIFS(G937:G1496,K937:K1496,"0",B937:B1496,"5 1 2 4 6 12 31111 6 M59 40000 000161*")</f>
        <v>0</v>
      </c>
      <c r="H936" s="83">
        <f t="shared" si="15"/>
        <v>24481.54</v>
      </c>
      <c r="I936" s="83"/>
      <c r="K936" s="54" t="s">
        <v>15</v>
      </c>
    </row>
    <row r="937" spans="2:11" ht="24.75" x14ac:dyDescent="0.2">
      <c r="B937" s="82" t="s">
        <v>7082</v>
      </c>
      <c r="C937" s="82" t="s">
        <v>1065</v>
      </c>
      <c r="D937" s="83">
        <f>SUMIFS(D938:D1496,K938:K1496,"0",B938:B1496,"5 1 2 4 6 12 31111 6 M59 40000 000161 0000E*")-SUMIFS(E938:E1496,K938:K1496,"0",B938:B1496,"5 1 2 4 6 12 31111 6 M59 40000 000161 0000E*")</f>
        <v>0</v>
      </c>
      <c r="E937" s="54"/>
      <c r="F937" s="83">
        <f>SUMIFS(F938:F1496,K938:K1496,"0",B938:B1496,"5 1 2 4 6 12 31111 6 M59 40000 000161 0000E*")</f>
        <v>24481.54</v>
      </c>
      <c r="G937" s="83">
        <f>SUMIFS(G938:G1496,K938:K1496,"0",B938:B1496,"5 1 2 4 6 12 31111 6 M59 40000 000161 0000E*")</f>
        <v>0</v>
      </c>
      <c r="H937" s="83">
        <f t="shared" si="15"/>
        <v>24481.54</v>
      </c>
      <c r="I937" s="83"/>
      <c r="K937" s="54" t="s">
        <v>15</v>
      </c>
    </row>
    <row r="938" spans="2:11" ht="24.75" x14ac:dyDescent="0.2">
      <c r="B938" s="82" t="s">
        <v>7083</v>
      </c>
      <c r="C938" s="82" t="s">
        <v>282</v>
      </c>
      <c r="D938" s="83">
        <f>SUMIFS(D939:D1496,K939:K1496,"0",B939:B1496,"5 1 2 4 6 12 31111 6 M59 40000 000161 0000E 00001*")-SUMIFS(E939:E1496,K939:K1496,"0",B939:B1496,"5 1 2 4 6 12 31111 6 M59 40000 000161 0000E 00001*")</f>
        <v>0</v>
      </c>
      <c r="E938" s="54"/>
      <c r="F938" s="83">
        <f>SUMIFS(F939:F1496,K939:K1496,"0",B939:B1496,"5 1 2 4 6 12 31111 6 M59 40000 000161 0000E 00001*")</f>
        <v>24481.54</v>
      </c>
      <c r="G938" s="83">
        <f>SUMIFS(G939:G1496,K939:K1496,"0",B939:B1496,"5 1 2 4 6 12 31111 6 M59 40000 000161 0000E 00001*")</f>
        <v>0</v>
      </c>
      <c r="H938" s="83">
        <f t="shared" si="15"/>
        <v>24481.54</v>
      </c>
      <c r="I938" s="83"/>
      <c r="K938" s="54" t="s">
        <v>15</v>
      </c>
    </row>
    <row r="939" spans="2:11" ht="24.75" x14ac:dyDescent="0.2">
      <c r="B939" s="82" t="s">
        <v>7084</v>
      </c>
      <c r="C939" s="82" t="s">
        <v>7050</v>
      </c>
      <c r="D939" s="83">
        <f>SUMIFS(D940:D1496,K940:K1496,"0",B940:B1496,"5 1 2 4 6 12 31111 6 M59 40000 000161 0000E 00001 00246*")-SUMIFS(E940:E1496,K940:K1496,"0",B940:B1496,"5 1 2 4 6 12 31111 6 M59 40000 000161 0000E 00001 00246*")</f>
        <v>0</v>
      </c>
      <c r="E939" s="54"/>
      <c r="F939" s="83">
        <f>SUMIFS(F940:F1496,K940:K1496,"0",B940:B1496,"5 1 2 4 6 12 31111 6 M59 40000 000161 0000E 00001 00246*")</f>
        <v>24481.54</v>
      </c>
      <c r="G939" s="83">
        <f>SUMIFS(G940:G1496,K940:K1496,"0",B940:B1496,"5 1 2 4 6 12 31111 6 M59 40000 000161 0000E 00001 00246*")</f>
        <v>0</v>
      </c>
      <c r="H939" s="83">
        <f t="shared" si="15"/>
        <v>24481.54</v>
      </c>
      <c r="I939" s="83"/>
      <c r="K939" s="54" t="s">
        <v>15</v>
      </c>
    </row>
    <row r="940" spans="2:11" ht="33" x14ac:dyDescent="0.2">
      <c r="B940" s="82" t="s">
        <v>7085</v>
      </c>
      <c r="C940" s="82" t="s">
        <v>656</v>
      </c>
      <c r="D940" s="83">
        <f>SUMIFS(D941:D1496,K941:K1496,"0",B941:B1496,"5 1 2 4 6 12 31111 6 M59 40000 000161 0000E 00001 00246 025*")-SUMIFS(E941:E1496,K941:K1496,"0",B941:B1496,"5 1 2 4 6 12 31111 6 M59 40000 000161 0000E 00001 00246 025*")</f>
        <v>0</v>
      </c>
      <c r="E940" s="54"/>
      <c r="F940" s="83">
        <f>SUMIFS(F941:F1496,K941:K1496,"0",B941:B1496,"5 1 2 4 6 12 31111 6 M59 40000 000161 0000E 00001 00246 025*")</f>
        <v>24481.54</v>
      </c>
      <c r="G940" s="83">
        <f>SUMIFS(G941:G1496,K941:K1496,"0",B941:B1496,"5 1 2 4 6 12 31111 6 M59 40000 000161 0000E 00001 00246 025*")</f>
        <v>0</v>
      </c>
      <c r="H940" s="83">
        <f t="shared" si="15"/>
        <v>24481.54</v>
      </c>
      <c r="I940" s="83"/>
      <c r="K940" s="54" t="s">
        <v>15</v>
      </c>
    </row>
    <row r="941" spans="2:11" ht="33" x14ac:dyDescent="0.2">
      <c r="B941" s="82" t="s">
        <v>7086</v>
      </c>
      <c r="C941" s="82" t="s">
        <v>5830</v>
      </c>
      <c r="D941" s="83">
        <f>SUMIFS(D942:D1496,K942:K1496,"0",B942:B1496,"5 1 2 4 6 12 31111 6 M59 40000 000161 0000E 00001 00246 025 2112000*")-SUMIFS(E942:E1496,K942:K1496,"0",B942:B1496,"5 1 2 4 6 12 31111 6 M59 40000 000161 0000E 00001 00246 025 2112000*")</f>
        <v>0</v>
      </c>
      <c r="E941" s="54"/>
      <c r="F941" s="83">
        <f>SUMIFS(F942:F1496,K942:K1496,"0",B942:B1496,"5 1 2 4 6 12 31111 6 M59 40000 000161 0000E 00001 00246 025 2112000*")</f>
        <v>24481.54</v>
      </c>
      <c r="G941" s="83">
        <f>SUMIFS(G942:G1496,K942:K1496,"0",B942:B1496,"5 1 2 4 6 12 31111 6 M59 40000 000161 0000E 00001 00246 025 2112000*")</f>
        <v>0</v>
      </c>
      <c r="H941" s="83">
        <f t="shared" si="15"/>
        <v>24481.54</v>
      </c>
      <c r="I941" s="83"/>
      <c r="K941" s="54" t="s">
        <v>15</v>
      </c>
    </row>
    <row r="942" spans="2:11" ht="33" x14ac:dyDescent="0.2">
      <c r="B942" s="82" t="s">
        <v>7087</v>
      </c>
      <c r="C942" s="82" t="s">
        <v>660</v>
      </c>
      <c r="D942" s="83">
        <f>SUMIFS(D943:D1496,K943:K1496,"0",B943:B1496,"5 1 2 4 6 12 31111 6 M59 40000 000161 0000E 00001 00246 025 2112000 2024*")-SUMIFS(E943:E1496,K943:K1496,"0",B943:B1496,"5 1 2 4 6 12 31111 6 M59 40000 000161 0000E 00001 00246 025 2112000 2024*")</f>
        <v>0</v>
      </c>
      <c r="E942" s="54"/>
      <c r="F942" s="83">
        <f>SUMIFS(F943:F1496,K943:K1496,"0",B943:B1496,"5 1 2 4 6 12 31111 6 M59 40000 000161 0000E 00001 00246 025 2112000 2024*")</f>
        <v>24481.54</v>
      </c>
      <c r="G942" s="83">
        <f>SUMIFS(G943:G1496,K943:K1496,"0",B943:B1496,"5 1 2 4 6 12 31111 6 M59 40000 000161 0000E 00001 00246 025 2112000 2024*")</f>
        <v>0</v>
      </c>
      <c r="H942" s="83">
        <f t="shared" si="15"/>
        <v>24481.54</v>
      </c>
      <c r="I942" s="83"/>
      <c r="K942" s="54" t="s">
        <v>15</v>
      </c>
    </row>
    <row r="943" spans="2:11" ht="41.25" x14ac:dyDescent="0.2">
      <c r="B943" s="82" t="s">
        <v>7088</v>
      </c>
      <c r="C943" s="82" t="s">
        <v>662</v>
      </c>
      <c r="D943" s="83">
        <f>SUMIFS(D944:D1496,K944:K1496,"0",B944:B1496,"5 1 2 4 6 12 31111 6 M59 40000 000161 0000E 00001 00246 025 2112000 2024 CP4SP372*")-SUMIFS(E944:E1496,K944:K1496,"0",B944:B1496,"5 1 2 4 6 12 31111 6 M59 40000 000161 0000E 00001 00246 025 2112000 2024 CP4SP372*")</f>
        <v>0</v>
      </c>
      <c r="E943" s="54"/>
      <c r="F943" s="83">
        <f>SUMIFS(F944:F1496,K944:K1496,"0",B944:B1496,"5 1 2 4 6 12 31111 6 M59 40000 000161 0000E 00001 00246 025 2112000 2024 CP4SP372*")</f>
        <v>24481.54</v>
      </c>
      <c r="G943" s="83">
        <f>SUMIFS(G944:G1496,K944:K1496,"0",B944:B1496,"5 1 2 4 6 12 31111 6 M59 40000 000161 0000E 00001 00246 025 2112000 2024 CP4SP372*")</f>
        <v>0</v>
      </c>
      <c r="H943" s="83">
        <f t="shared" si="15"/>
        <v>24481.54</v>
      </c>
      <c r="I943" s="83"/>
      <c r="K943" s="54" t="s">
        <v>15</v>
      </c>
    </row>
    <row r="944" spans="2:11" ht="41.25" x14ac:dyDescent="0.2">
      <c r="B944" s="82" t="s">
        <v>7089</v>
      </c>
      <c r="C944" s="82" t="s">
        <v>664</v>
      </c>
      <c r="D944" s="83">
        <f>SUMIFS(D945:D1496,K945:K1496,"0",B945:B1496,"5 1 2 4 6 12 31111 6 M59 40000 000161 0000E 00001 00246 025 2112000 2024 CP4SP372 003*")-SUMIFS(E945:E1496,K945:K1496,"0",B945:B1496,"5 1 2 4 6 12 31111 6 M59 40000 000161 0000E 00001 00246 025 2112000 2024 CP4SP372 003*")</f>
        <v>0</v>
      </c>
      <c r="E944" s="54"/>
      <c r="F944" s="83">
        <f>SUMIFS(F945:F1496,K945:K1496,"0",B945:B1496,"5 1 2 4 6 12 31111 6 M59 40000 000161 0000E 00001 00246 025 2112000 2024 CP4SP372 003*")</f>
        <v>24481.54</v>
      </c>
      <c r="G944" s="83">
        <f>SUMIFS(G945:G1496,K945:K1496,"0",B945:B1496,"5 1 2 4 6 12 31111 6 M59 40000 000161 0000E 00001 00246 025 2112000 2024 CP4SP372 003*")</f>
        <v>0</v>
      </c>
      <c r="H944" s="83">
        <f t="shared" si="15"/>
        <v>24481.54</v>
      </c>
      <c r="I944" s="83"/>
      <c r="K944" s="54" t="s">
        <v>15</v>
      </c>
    </row>
    <row r="945" spans="2:11" ht="33" x14ac:dyDescent="0.2">
      <c r="B945" s="84" t="s">
        <v>7090</v>
      </c>
      <c r="C945" s="84" t="s">
        <v>7050</v>
      </c>
      <c r="D945" s="85">
        <v>0</v>
      </c>
      <c r="E945" s="85"/>
      <c r="F945" s="85">
        <v>24481.54</v>
      </c>
      <c r="G945" s="85">
        <v>0</v>
      </c>
      <c r="H945" s="85">
        <f t="shared" si="15"/>
        <v>24481.54</v>
      </c>
      <c r="I945" s="85"/>
      <c r="K945" s="54" t="s">
        <v>38</v>
      </c>
    </row>
    <row r="946" spans="2:11" ht="33" x14ac:dyDescent="0.2">
      <c r="B946" s="82" t="s">
        <v>7260</v>
      </c>
      <c r="C946" s="82" t="s">
        <v>7261</v>
      </c>
      <c r="D946" s="83">
        <f>SUMIFS(D947:D1496,K947:K1496,"0",B947:B1496,"5 1 2 4 9*")-SUMIFS(E947:E1496,K947:K1496,"0",B947:B1496,"5 1 2 4 9*")</f>
        <v>0</v>
      </c>
      <c r="E946" s="54"/>
      <c r="F946" s="83">
        <f>SUMIFS(F947:F1496,K947:K1496,"0",B947:B1496,"5 1 2 4 9*")</f>
        <v>3272.42</v>
      </c>
      <c r="G946" s="83">
        <f>SUMIFS(G947:G1496,K947:K1496,"0",B947:B1496,"5 1 2 4 9*")</f>
        <v>0</v>
      </c>
      <c r="H946" s="83">
        <f t="shared" si="15"/>
        <v>3272.42</v>
      </c>
      <c r="I946" s="83"/>
      <c r="K946" s="54" t="s">
        <v>15</v>
      </c>
    </row>
    <row r="947" spans="2:11" ht="12.75" x14ac:dyDescent="0.2">
      <c r="B947" s="82" t="s">
        <v>7262</v>
      </c>
      <c r="C947" s="82" t="s">
        <v>26</v>
      </c>
      <c r="D947" s="83">
        <f>SUMIFS(D948:D1496,K948:K1496,"0",B948:B1496,"5 1 2 4 9 12*")-SUMIFS(E948:E1496,K948:K1496,"0",B948:B1496,"5 1 2 4 9 12*")</f>
        <v>0</v>
      </c>
      <c r="E947" s="54"/>
      <c r="F947" s="83">
        <f>SUMIFS(F948:F1496,K948:K1496,"0",B948:B1496,"5 1 2 4 9 12*")</f>
        <v>3272.42</v>
      </c>
      <c r="G947" s="83">
        <f>SUMIFS(G948:G1496,K948:K1496,"0",B948:B1496,"5 1 2 4 9 12*")</f>
        <v>0</v>
      </c>
      <c r="H947" s="83">
        <f t="shared" si="15"/>
        <v>3272.42</v>
      </c>
      <c r="I947" s="83"/>
      <c r="K947" s="54" t="s">
        <v>15</v>
      </c>
    </row>
    <row r="948" spans="2:11" ht="16.5" x14ac:dyDescent="0.2">
      <c r="B948" s="82" t="s">
        <v>7263</v>
      </c>
      <c r="C948" s="82" t="s">
        <v>28</v>
      </c>
      <c r="D948" s="83">
        <f>SUMIFS(D949:D1496,K949:K1496,"0",B949:B1496,"5 1 2 4 9 12 31111*")-SUMIFS(E949:E1496,K949:K1496,"0",B949:B1496,"5 1 2 4 9 12 31111*")</f>
        <v>0</v>
      </c>
      <c r="E948" s="54"/>
      <c r="F948" s="83">
        <f>SUMIFS(F949:F1496,K949:K1496,"0",B949:B1496,"5 1 2 4 9 12 31111*")</f>
        <v>3272.42</v>
      </c>
      <c r="G948" s="83">
        <f>SUMIFS(G949:G1496,K949:K1496,"0",B949:B1496,"5 1 2 4 9 12 31111*")</f>
        <v>0</v>
      </c>
      <c r="H948" s="83">
        <f t="shared" si="15"/>
        <v>3272.42</v>
      </c>
      <c r="I948" s="83"/>
      <c r="K948" s="54" t="s">
        <v>15</v>
      </c>
    </row>
    <row r="949" spans="2:11" ht="12.75" x14ac:dyDescent="0.2">
      <c r="B949" s="82" t="s">
        <v>7264</v>
      </c>
      <c r="C949" s="82" t="s">
        <v>30</v>
      </c>
      <c r="D949" s="83">
        <f>SUMIFS(D950:D1496,K950:K1496,"0",B950:B1496,"5 1 2 4 9 12 31111 6*")-SUMIFS(E950:E1496,K950:K1496,"0",B950:B1496,"5 1 2 4 9 12 31111 6*")</f>
        <v>0</v>
      </c>
      <c r="E949" s="54"/>
      <c r="F949" s="83">
        <f>SUMIFS(F950:F1496,K950:K1496,"0",B950:B1496,"5 1 2 4 9 12 31111 6*")</f>
        <v>3272.42</v>
      </c>
      <c r="G949" s="83">
        <f>SUMIFS(G950:G1496,K950:K1496,"0",B950:B1496,"5 1 2 4 9 12 31111 6*")</f>
        <v>0</v>
      </c>
      <c r="H949" s="83">
        <f t="shared" si="15"/>
        <v>3272.42</v>
      </c>
      <c r="I949" s="83"/>
      <c r="K949" s="54" t="s">
        <v>15</v>
      </c>
    </row>
    <row r="950" spans="2:11" ht="16.5" x14ac:dyDescent="0.2">
      <c r="B950" s="82" t="s">
        <v>7265</v>
      </c>
      <c r="C950" s="82" t="s">
        <v>2284</v>
      </c>
      <c r="D950" s="83">
        <f>SUMIFS(D951:D1496,K951:K1496,"0",B951:B1496,"5 1 2 4 9 12 31111 6 M59*")-SUMIFS(E951:E1496,K951:K1496,"0",B951:B1496,"5 1 2 4 9 12 31111 6 M59*")</f>
        <v>0</v>
      </c>
      <c r="E950" s="54"/>
      <c r="F950" s="83">
        <f>SUMIFS(F951:F1496,K951:K1496,"0",B951:B1496,"5 1 2 4 9 12 31111 6 M59*")</f>
        <v>3272.42</v>
      </c>
      <c r="G950" s="83">
        <f>SUMIFS(G951:G1496,K951:K1496,"0",B951:B1496,"5 1 2 4 9 12 31111 6 M59*")</f>
        <v>0</v>
      </c>
      <c r="H950" s="83">
        <f t="shared" si="15"/>
        <v>3272.42</v>
      </c>
      <c r="I950" s="83"/>
      <c r="K950" s="54" t="s">
        <v>15</v>
      </c>
    </row>
    <row r="951" spans="2:11" ht="16.5" x14ac:dyDescent="0.2">
      <c r="B951" s="82" t="s">
        <v>7311</v>
      </c>
      <c r="C951" s="82" t="s">
        <v>1092</v>
      </c>
      <c r="D951" s="83">
        <f>SUMIFS(D952:D1496,K952:K1496,"0",B952:B1496,"5 1 2 4 9 12 31111 6 M59 40000*")-SUMIFS(E952:E1496,K952:K1496,"0",B952:B1496,"5 1 2 4 9 12 31111 6 M59 40000*")</f>
        <v>0</v>
      </c>
      <c r="E951" s="54"/>
      <c r="F951" s="83">
        <f>SUMIFS(F952:F1496,K952:K1496,"0",B952:B1496,"5 1 2 4 9 12 31111 6 M59 40000*")</f>
        <v>3272.42</v>
      </c>
      <c r="G951" s="83">
        <f>SUMIFS(G952:G1496,K952:K1496,"0",B952:B1496,"5 1 2 4 9 12 31111 6 M59 40000*")</f>
        <v>0</v>
      </c>
      <c r="H951" s="83">
        <f t="shared" si="15"/>
        <v>3272.42</v>
      </c>
      <c r="I951" s="83"/>
      <c r="K951" s="54" t="s">
        <v>15</v>
      </c>
    </row>
    <row r="952" spans="2:11" ht="16.5" x14ac:dyDescent="0.2">
      <c r="B952" s="82" t="s">
        <v>7312</v>
      </c>
      <c r="C952" s="82" t="s">
        <v>1094</v>
      </c>
      <c r="D952" s="83">
        <f>SUMIFS(D953:D1496,K953:K1496,"0",B953:B1496,"5 1 2 4 9 12 31111 6 M59 40000 000161*")-SUMIFS(E953:E1496,K953:K1496,"0",B953:B1496,"5 1 2 4 9 12 31111 6 M59 40000 000161*")</f>
        <v>0</v>
      </c>
      <c r="E952" s="54"/>
      <c r="F952" s="83">
        <f>SUMIFS(F953:F1496,K953:K1496,"0",B953:B1496,"5 1 2 4 9 12 31111 6 M59 40000 000161*")</f>
        <v>3272.42</v>
      </c>
      <c r="G952" s="83">
        <f>SUMIFS(G953:G1496,K953:K1496,"0",B953:B1496,"5 1 2 4 9 12 31111 6 M59 40000 000161*")</f>
        <v>0</v>
      </c>
      <c r="H952" s="83">
        <f t="shared" si="15"/>
        <v>3272.42</v>
      </c>
      <c r="I952" s="83"/>
      <c r="K952" s="54" t="s">
        <v>15</v>
      </c>
    </row>
    <row r="953" spans="2:11" ht="24.75" x14ac:dyDescent="0.2">
      <c r="B953" s="82" t="s">
        <v>7313</v>
      </c>
      <c r="C953" s="82" t="s">
        <v>1065</v>
      </c>
      <c r="D953" s="83">
        <f>SUMIFS(D954:D1496,K954:K1496,"0",B954:B1496,"5 1 2 4 9 12 31111 6 M59 40000 000161 0000E*")-SUMIFS(E954:E1496,K954:K1496,"0",B954:B1496,"5 1 2 4 9 12 31111 6 M59 40000 000161 0000E*")</f>
        <v>0</v>
      </c>
      <c r="E953" s="54"/>
      <c r="F953" s="83">
        <f>SUMIFS(F954:F1496,K954:K1496,"0",B954:B1496,"5 1 2 4 9 12 31111 6 M59 40000 000161 0000E*")</f>
        <v>3272.42</v>
      </c>
      <c r="G953" s="83">
        <f>SUMIFS(G954:G1496,K954:K1496,"0",B954:B1496,"5 1 2 4 9 12 31111 6 M59 40000 000161 0000E*")</f>
        <v>0</v>
      </c>
      <c r="H953" s="83">
        <f t="shared" si="15"/>
        <v>3272.42</v>
      </c>
      <c r="I953" s="83"/>
      <c r="K953" s="54" t="s">
        <v>15</v>
      </c>
    </row>
    <row r="954" spans="2:11" ht="24.75" x14ac:dyDescent="0.2">
      <c r="B954" s="82" t="s">
        <v>7314</v>
      </c>
      <c r="C954" s="82" t="s">
        <v>282</v>
      </c>
      <c r="D954" s="83">
        <f>SUMIFS(D955:D1496,K955:K1496,"0",B955:B1496,"5 1 2 4 9 12 31111 6 M59 40000 000161 0000E 00001*")-SUMIFS(E955:E1496,K955:K1496,"0",B955:B1496,"5 1 2 4 9 12 31111 6 M59 40000 000161 0000E 00001*")</f>
        <v>0</v>
      </c>
      <c r="E954" s="54"/>
      <c r="F954" s="83">
        <f>SUMIFS(F955:F1496,K955:K1496,"0",B955:B1496,"5 1 2 4 9 12 31111 6 M59 40000 000161 0000E 00001*")</f>
        <v>3272.42</v>
      </c>
      <c r="G954" s="83">
        <f>SUMIFS(G955:G1496,K955:K1496,"0",B955:B1496,"5 1 2 4 9 12 31111 6 M59 40000 000161 0000E 00001*")</f>
        <v>0</v>
      </c>
      <c r="H954" s="83">
        <f t="shared" si="15"/>
        <v>3272.42</v>
      </c>
      <c r="I954" s="83"/>
      <c r="K954" s="54" t="s">
        <v>15</v>
      </c>
    </row>
    <row r="955" spans="2:11" ht="33" x14ac:dyDescent="0.2">
      <c r="B955" s="82" t="s">
        <v>7315</v>
      </c>
      <c r="C955" s="82" t="s">
        <v>7271</v>
      </c>
      <c r="D955" s="83">
        <f>SUMIFS(D956:D1496,K956:K1496,"0",B956:B1496,"5 1 2 4 9 12 31111 6 M59 40000 000161 0000E 00001 00249*")-SUMIFS(E956:E1496,K956:K1496,"0",B956:B1496,"5 1 2 4 9 12 31111 6 M59 40000 000161 0000E 00001 00249*")</f>
        <v>0</v>
      </c>
      <c r="E955" s="54"/>
      <c r="F955" s="83">
        <f>SUMIFS(F956:F1496,K956:K1496,"0",B956:B1496,"5 1 2 4 9 12 31111 6 M59 40000 000161 0000E 00001 00249*")</f>
        <v>3272.42</v>
      </c>
      <c r="G955" s="83">
        <f>SUMIFS(G956:G1496,K956:K1496,"0",B956:B1496,"5 1 2 4 9 12 31111 6 M59 40000 000161 0000E 00001 00249*")</f>
        <v>0</v>
      </c>
      <c r="H955" s="83">
        <f t="shared" si="15"/>
        <v>3272.42</v>
      </c>
      <c r="I955" s="83"/>
      <c r="K955" s="54" t="s">
        <v>15</v>
      </c>
    </row>
    <row r="956" spans="2:11" ht="33" x14ac:dyDescent="0.2">
      <c r="B956" s="82" t="s">
        <v>7316</v>
      </c>
      <c r="C956" s="82" t="s">
        <v>656</v>
      </c>
      <c r="D956" s="83">
        <f>SUMIFS(D957:D1496,K957:K1496,"0",B957:B1496,"5 1 2 4 9 12 31111 6 M59 40000 000161 0000E 00001 00249 025*")-SUMIFS(E957:E1496,K957:K1496,"0",B957:B1496,"5 1 2 4 9 12 31111 6 M59 40000 000161 0000E 00001 00249 025*")</f>
        <v>0</v>
      </c>
      <c r="E956" s="54"/>
      <c r="F956" s="83">
        <f>SUMIFS(F957:F1496,K957:K1496,"0",B957:B1496,"5 1 2 4 9 12 31111 6 M59 40000 000161 0000E 00001 00249 025*")</f>
        <v>3272.42</v>
      </c>
      <c r="G956" s="83">
        <f>SUMIFS(G957:G1496,K957:K1496,"0",B957:B1496,"5 1 2 4 9 12 31111 6 M59 40000 000161 0000E 00001 00249 025*")</f>
        <v>0</v>
      </c>
      <c r="H956" s="83">
        <f t="shared" si="15"/>
        <v>3272.42</v>
      </c>
      <c r="I956" s="83"/>
      <c r="K956" s="54" t="s">
        <v>15</v>
      </c>
    </row>
    <row r="957" spans="2:11" ht="33" x14ac:dyDescent="0.2">
      <c r="B957" s="82" t="s">
        <v>7317</v>
      </c>
      <c r="C957" s="82" t="s">
        <v>5830</v>
      </c>
      <c r="D957" s="83">
        <f>SUMIFS(D958:D1496,K958:K1496,"0",B958:B1496,"5 1 2 4 9 12 31111 6 M59 40000 000161 0000E 00001 00249 025 2112000*")-SUMIFS(E958:E1496,K958:K1496,"0",B958:B1496,"5 1 2 4 9 12 31111 6 M59 40000 000161 0000E 00001 00249 025 2112000*")</f>
        <v>0</v>
      </c>
      <c r="E957" s="54"/>
      <c r="F957" s="83">
        <f>SUMIFS(F958:F1496,K958:K1496,"0",B958:B1496,"5 1 2 4 9 12 31111 6 M59 40000 000161 0000E 00001 00249 025 2112000*")</f>
        <v>3272.42</v>
      </c>
      <c r="G957" s="83">
        <f>SUMIFS(G958:G1496,K958:K1496,"0",B958:B1496,"5 1 2 4 9 12 31111 6 M59 40000 000161 0000E 00001 00249 025 2112000*")</f>
        <v>0</v>
      </c>
      <c r="H957" s="83">
        <f t="shared" si="15"/>
        <v>3272.42</v>
      </c>
      <c r="I957" s="83"/>
      <c r="K957" s="54" t="s">
        <v>15</v>
      </c>
    </row>
    <row r="958" spans="2:11" ht="33" x14ac:dyDescent="0.2">
      <c r="B958" s="82" t="s">
        <v>7318</v>
      </c>
      <c r="C958" s="82" t="s">
        <v>660</v>
      </c>
      <c r="D958" s="83">
        <f>SUMIFS(D959:D1496,K959:K1496,"0",B959:B1496,"5 1 2 4 9 12 31111 6 M59 40000 000161 0000E 00001 00249 025 2112000 2024*")-SUMIFS(E959:E1496,K959:K1496,"0",B959:B1496,"5 1 2 4 9 12 31111 6 M59 40000 000161 0000E 00001 00249 025 2112000 2024*")</f>
        <v>0</v>
      </c>
      <c r="E958" s="54"/>
      <c r="F958" s="83">
        <f>SUMIFS(F959:F1496,K959:K1496,"0",B959:B1496,"5 1 2 4 9 12 31111 6 M59 40000 000161 0000E 00001 00249 025 2112000 2024*")</f>
        <v>3272.42</v>
      </c>
      <c r="G958" s="83">
        <f>SUMIFS(G959:G1496,K959:K1496,"0",B959:B1496,"5 1 2 4 9 12 31111 6 M59 40000 000161 0000E 00001 00249 025 2112000 2024*")</f>
        <v>0</v>
      </c>
      <c r="H958" s="83">
        <f t="shared" si="15"/>
        <v>3272.42</v>
      </c>
      <c r="I958" s="83"/>
      <c r="K958" s="54" t="s">
        <v>15</v>
      </c>
    </row>
    <row r="959" spans="2:11" ht="41.25" x14ac:dyDescent="0.2">
      <c r="B959" s="82" t="s">
        <v>7319</v>
      </c>
      <c r="C959" s="82" t="s">
        <v>662</v>
      </c>
      <c r="D959" s="83">
        <f>SUMIFS(D960:D1496,K960:K1496,"0",B960:B1496,"5 1 2 4 9 12 31111 6 M59 40000 000161 0000E 00001 00249 025 2112000 2024 CP4SP372*")-SUMIFS(E960:E1496,K960:K1496,"0",B960:B1496,"5 1 2 4 9 12 31111 6 M59 40000 000161 0000E 00001 00249 025 2112000 2024 CP4SP372*")</f>
        <v>0</v>
      </c>
      <c r="E959" s="54"/>
      <c r="F959" s="83">
        <f>SUMIFS(F960:F1496,K960:K1496,"0",B960:B1496,"5 1 2 4 9 12 31111 6 M59 40000 000161 0000E 00001 00249 025 2112000 2024 CP4SP372*")</f>
        <v>3272.42</v>
      </c>
      <c r="G959" s="83">
        <f>SUMIFS(G960:G1496,K960:K1496,"0",B960:B1496,"5 1 2 4 9 12 31111 6 M59 40000 000161 0000E 00001 00249 025 2112000 2024 CP4SP372*")</f>
        <v>0</v>
      </c>
      <c r="H959" s="83">
        <f t="shared" si="15"/>
        <v>3272.42</v>
      </c>
      <c r="I959" s="83"/>
      <c r="K959" s="54" t="s">
        <v>15</v>
      </c>
    </row>
    <row r="960" spans="2:11" ht="41.25" x14ac:dyDescent="0.2">
      <c r="B960" s="82" t="s">
        <v>7320</v>
      </c>
      <c r="C960" s="82" t="s">
        <v>664</v>
      </c>
      <c r="D960" s="83">
        <f>SUMIFS(D961:D1496,K961:K1496,"0",B961:B1496,"5 1 2 4 9 12 31111 6 M59 40000 000161 0000E 00001 00249 025 2112000 2024 CP4SP372 003*")-SUMIFS(E961:E1496,K961:K1496,"0",B961:B1496,"5 1 2 4 9 12 31111 6 M59 40000 000161 0000E 00001 00249 025 2112000 2024 CP4SP372 003*")</f>
        <v>0</v>
      </c>
      <c r="E960" s="54"/>
      <c r="F960" s="83">
        <f>SUMIFS(F961:F1496,K961:K1496,"0",B961:B1496,"5 1 2 4 9 12 31111 6 M59 40000 000161 0000E 00001 00249 025 2112000 2024 CP4SP372 003*")</f>
        <v>3272.42</v>
      </c>
      <c r="G960" s="83">
        <f>SUMIFS(G961:G1496,K961:K1496,"0",B961:B1496,"5 1 2 4 9 12 31111 6 M59 40000 000161 0000E 00001 00249 025 2112000 2024 CP4SP372 003*")</f>
        <v>0</v>
      </c>
      <c r="H960" s="83">
        <f t="shared" si="15"/>
        <v>3272.42</v>
      </c>
      <c r="I960" s="83"/>
      <c r="K960" s="54" t="s">
        <v>15</v>
      </c>
    </row>
    <row r="961" spans="2:11" ht="33" x14ac:dyDescent="0.2">
      <c r="B961" s="84" t="s">
        <v>7321</v>
      </c>
      <c r="C961" s="84" t="s">
        <v>7322</v>
      </c>
      <c r="D961" s="85">
        <v>0</v>
      </c>
      <c r="E961" s="85"/>
      <c r="F961" s="85">
        <v>3272.42</v>
      </c>
      <c r="G961" s="85">
        <v>0</v>
      </c>
      <c r="H961" s="85">
        <f t="shared" si="15"/>
        <v>3272.42</v>
      </c>
      <c r="I961" s="85"/>
      <c r="K961" s="54" t="s">
        <v>38</v>
      </c>
    </row>
    <row r="962" spans="2:11" ht="24.75" x14ac:dyDescent="0.2">
      <c r="B962" s="82" t="s">
        <v>7400</v>
      </c>
      <c r="C962" s="82" t="s">
        <v>529</v>
      </c>
      <c r="D962" s="83">
        <f>SUMIFS(D963:D1496,K963:K1496,"0",B963:B1496,"5 1 2 5*")-SUMIFS(E963:E1496,K963:K1496,"0",B963:B1496,"5 1 2 5*")</f>
        <v>0</v>
      </c>
      <c r="E962" s="54"/>
      <c r="F962" s="83">
        <f>SUMIFS(F963:F1496,K963:K1496,"0",B963:B1496,"5 1 2 5*")</f>
        <v>1044</v>
      </c>
      <c r="G962" s="83">
        <f>SUMIFS(G963:G1496,K963:K1496,"0",B963:B1496,"5 1 2 5*")</f>
        <v>0</v>
      </c>
      <c r="H962" s="83">
        <f t="shared" si="15"/>
        <v>1044</v>
      </c>
      <c r="I962" s="83"/>
      <c r="K962" s="54" t="s">
        <v>15</v>
      </c>
    </row>
    <row r="963" spans="2:11" ht="16.5" x14ac:dyDescent="0.2">
      <c r="B963" s="82" t="s">
        <v>7459</v>
      </c>
      <c r="C963" s="82" t="s">
        <v>7460</v>
      </c>
      <c r="D963" s="83">
        <f>SUMIFS(D964:D1496,K964:K1496,"0",B964:B1496,"5 1 2 5 6*")-SUMIFS(E964:E1496,K964:K1496,"0",B964:B1496,"5 1 2 5 6*")</f>
        <v>0</v>
      </c>
      <c r="E963" s="54"/>
      <c r="F963" s="83">
        <f>SUMIFS(F964:F1496,K964:K1496,"0",B964:B1496,"5 1 2 5 6*")</f>
        <v>1044</v>
      </c>
      <c r="G963" s="83">
        <f>SUMIFS(G964:G1496,K964:K1496,"0",B964:B1496,"5 1 2 5 6*")</f>
        <v>0</v>
      </c>
      <c r="H963" s="83">
        <f t="shared" si="15"/>
        <v>1044</v>
      </c>
      <c r="I963" s="83"/>
      <c r="K963" s="54" t="s">
        <v>15</v>
      </c>
    </row>
    <row r="964" spans="2:11" ht="12.75" x14ac:dyDescent="0.2">
      <c r="B964" s="82" t="s">
        <v>7461</v>
      </c>
      <c r="C964" s="82" t="s">
        <v>26</v>
      </c>
      <c r="D964" s="83">
        <f>SUMIFS(D965:D1496,K965:K1496,"0",B965:B1496,"5 1 2 5 6 12*")-SUMIFS(E965:E1496,K965:K1496,"0",B965:B1496,"5 1 2 5 6 12*")</f>
        <v>0</v>
      </c>
      <c r="E964" s="54"/>
      <c r="F964" s="83">
        <f>SUMIFS(F965:F1496,K965:K1496,"0",B965:B1496,"5 1 2 5 6 12*")</f>
        <v>1044</v>
      </c>
      <c r="G964" s="83">
        <f>SUMIFS(G965:G1496,K965:K1496,"0",B965:B1496,"5 1 2 5 6 12*")</f>
        <v>0</v>
      </c>
      <c r="H964" s="83">
        <f t="shared" si="15"/>
        <v>1044</v>
      </c>
      <c r="I964" s="83"/>
      <c r="K964" s="54" t="s">
        <v>15</v>
      </c>
    </row>
    <row r="965" spans="2:11" ht="16.5" x14ac:dyDescent="0.2">
      <c r="B965" s="82" t="s">
        <v>7462</v>
      </c>
      <c r="C965" s="82" t="s">
        <v>28</v>
      </c>
      <c r="D965" s="83">
        <f>SUMIFS(D966:D1496,K966:K1496,"0",B966:B1496,"5 1 2 5 6 12 31111*")-SUMIFS(E966:E1496,K966:K1496,"0",B966:B1496,"5 1 2 5 6 12 31111*")</f>
        <v>0</v>
      </c>
      <c r="E965" s="54"/>
      <c r="F965" s="83">
        <f>SUMIFS(F966:F1496,K966:K1496,"0",B966:B1496,"5 1 2 5 6 12 31111*")</f>
        <v>1044</v>
      </c>
      <c r="G965" s="83">
        <f>SUMIFS(G966:G1496,K966:K1496,"0",B966:B1496,"5 1 2 5 6 12 31111*")</f>
        <v>0</v>
      </c>
      <c r="H965" s="83">
        <f t="shared" si="15"/>
        <v>1044</v>
      </c>
      <c r="I965" s="83"/>
      <c r="K965" s="54" t="s">
        <v>15</v>
      </c>
    </row>
    <row r="966" spans="2:11" ht="12.75" x14ac:dyDescent="0.2">
      <c r="B966" s="82" t="s">
        <v>7463</v>
      </c>
      <c r="C966" s="82" t="s">
        <v>30</v>
      </c>
      <c r="D966" s="83">
        <f>SUMIFS(D967:D1496,K967:K1496,"0",B967:B1496,"5 1 2 5 6 12 31111 6*")-SUMIFS(E967:E1496,K967:K1496,"0",B967:B1496,"5 1 2 5 6 12 31111 6*")</f>
        <v>0</v>
      </c>
      <c r="E966" s="54"/>
      <c r="F966" s="83">
        <f>SUMIFS(F967:F1496,K967:K1496,"0",B967:B1496,"5 1 2 5 6 12 31111 6*")</f>
        <v>1044</v>
      </c>
      <c r="G966" s="83">
        <f>SUMIFS(G967:G1496,K967:K1496,"0",B967:B1496,"5 1 2 5 6 12 31111 6*")</f>
        <v>0</v>
      </c>
      <c r="H966" s="83">
        <f t="shared" si="15"/>
        <v>1044</v>
      </c>
      <c r="I966" s="83"/>
      <c r="K966" s="54" t="s">
        <v>15</v>
      </c>
    </row>
    <row r="967" spans="2:11" ht="16.5" x14ac:dyDescent="0.2">
      <c r="B967" s="82" t="s">
        <v>7464</v>
      </c>
      <c r="C967" s="82" t="s">
        <v>2284</v>
      </c>
      <c r="D967" s="83">
        <f>SUMIFS(D968:D1496,K968:K1496,"0",B968:B1496,"5 1 2 5 6 12 31111 6 M59*")-SUMIFS(E968:E1496,K968:K1496,"0",B968:B1496,"5 1 2 5 6 12 31111 6 M59*")</f>
        <v>0</v>
      </c>
      <c r="E967" s="54"/>
      <c r="F967" s="83">
        <f>SUMIFS(F968:F1496,K968:K1496,"0",B968:B1496,"5 1 2 5 6 12 31111 6 M59*")</f>
        <v>1044</v>
      </c>
      <c r="G967" s="83">
        <f>SUMIFS(G968:G1496,K968:K1496,"0",B968:B1496,"5 1 2 5 6 12 31111 6 M59*")</f>
        <v>0</v>
      </c>
      <c r="H967" s="83">
        <f t="shared" si="15"/>
        <v>1044</v>
      </c>
      <c r="I967" s="83"/>
      <c r="K967" s="54" t="s">
        <v>15</v>
      </c>
    </row>
    <row r="968" spans="2:11" ht="16.5" x14ac:dyDescent="0.2">
      <c r="B968" s="82" t="s">
        <v>7478</v>
      </c>
      <c r="C968" s="82" t="s">
        <v>1092</v>
      </c>
      <c r="D968" s="83">
        <f>SUMIFS(D969:D1496,K969:K1496,"0",B969:B1496,"5 1 2 5 6 12 31111 6 M59 40000*")-SUMIFS(E969:E1496,K969:K1496,"0",B969:B1496,"5 1 2 5 6 12 31111 6 M59 40000*")</f>
        <v>0</v>
      </c>
      <c r="E968" s="54"/>
      <c r="F968" s="83">
        <f>SUMIFS(F969:F1496,K969:K1496,"0",B969:B1496,"5 1 2 5 6 12 31111 6 M59 40000*")</f>
        <v>1044</v>
      </c>
      <c r="G968" s="83">
        <f>SUMIFS(G969:G1496,K969:K1496,"0",B969:B1496,"5 1 2 5 6 12 31111 6 M59 40000*")</f>
        <v>0</v>
      </c>
      <c r="H968" s="83">
        <f t="shared" si="15"/>
        <v>1044</v>
      </c>
      <c r="I968" s="83"/>
      <c r="K968" s="54" t="s">
        <v>15</v>
      </c>
    </row>
    <row r="969" spans="2:11" ht="16.5" x14ac:dyDescent="0.2">
      <c r="B969" s="82" t="s">
        <v>7479</v>
      </c>
      <c r="C969" s="82" t="s">
        <v>1094</v>
      </c>
      <c r="D969" s="83">
        <f>SUMIFS(D970:D1496,K970:K1496,"0",B970:B1496,"5 1 2 5 6 12 31111 6 M59 40000 000161*")-SUMIFS(E970:E1496,K970:K1496,"0",B970:B1496,"5 1 2 5 6 12 31111 6 M59 40000 000161*")</f>
        <v>0</v>
      </c>
      <c r="E969" s="54"/>
      <c r="F969" s="83">
        <f>SUMIFS(F970:F1496,K970:K1496,"0",B970:B1496,"5 1 2 5 6 12 31111 6 M59 40000 000161*")</f>
        <v>1044</v>
      </c>
      <c r="G969" s="83">
        <f>SUMIFS(G970:G1496,K970:K1496,"0",B970:B1496,"5 1 2 5 6 12 31111 6 M59 40000 000161*")</f>
        <v>0</v>
      </c>
      <c r="H969" s="83">
        <f t="shared" si="15"/>
        <v>1044</v>
      </c>
      <c r="I969" s="83"/>
      <c r="K969" s="54" t="s">
        <v>15</v>
      </c>
    </row>
    <row r="970" spans="2:11" ht="24.75" x14ac:dyDescent="0.2">
      <c r="B970" s="82" t="s">
        <v>7480</v>
      </c>
      <c r="C970" s="82" t="s">
        <v>1065</v>
      </c>
      <c r="D970" s="83">
        <f>SUMIFS(D971:D1496,K971:K1496,"0",B971:B1496,"5 1 2 5 6 12 31111 6 M59 40000 000161 0000E*")-SUMIFS(E971:E1496,K971:K1496,"0",B971:B1496,"5 1 2 5 6 12 31111 6 M59 40000 000161 0000E*")</f>
        <v>0</v>
      </c>
      <c r="E970" s="54"/>
      <c r="F970" s="83">
        <f>SUMIFS(F971:F1496,K971:K1496,"0",B971:B1496,"5 1 2 5 6 12 31111 6 M59 40000 000161 0000E*")</f>
        <v>1044</v>
      </c>
      <c r="G970" s="83">
        <f>SUMIFS(G971:G1496,K971:K1496,"0",B971:B1496,"5 1 2 5 6 12 31111 6 M59 40000 000161 0000E*")</f>
        <v>0</v>
      </c>
      <c r="H970" s="83">
        <f t="shared" si="15"/>
        <v>1044</v>
      </c>
      <c r="I970" s="83"/>
      <c r="K970" s="54" t="s">
        <v>15</v>
      </c>
    </row>
    <row r="971" spans="2:11" ht="24.75" x14ac:dyDescent="0.2">
      <c r="B971" s="82" t="s">
        <v>7481</v>
      </c>
      <c r="C971" s="82" t="s">
        <v>282</v>
      </c>
      <c r="D971" s="83">
        <f>SUMIFS(D972:D1496,K972:K1496,"0",B972:B1496,"5 1 2 5 6 12 31111 6 M59 40000 000161 0000E 00001*")-SUMIFS(E972:E1496,K972:K1496,"0",B972:B1496,"5 1 2 5 6 12 31111 6 M59 40000 000161 0000E 00001*")</f>
        <v>0</v>
      </c>
      <c r="E971" s="54"/>
      <c r="F971" s="83">
        <f>SUMIFS(F972:F1496,K972:K1496,"0",B972:B1496,"5 1 2 5 6 12 31111 6 M59 40000 000161 0000E 00001*")</f>
        <v>1044</v>
      </c>
      <c r="G971" s="83">
        <f>SUMIFS(G972:G1496,K972:K1496,"0",B972:B1496,"5 1 2 5 6 12 31111 6 M59 40000 000161 0000E 00001*")</f>
        <v>0</v>
      </c>
      <c r="H971" s="83">
        <f t="shared" si="15"/>
        <v>1044</v>
      </c>
      <c r="I971" s="83"/>
      <c r="K971" s="54" t="s">
        <v>15</v>
      </c>
    </row>
    <row r="972" spans="2:11" ht="24.75" x14ac:dyDescent="0.2">
      <c r="B972" s="82" t="s">
        <v>7482</v>
      </c>
      <c r="C972" s="82" t="s">
        <v>7470</v>
      </c>
      <c r="D972" s="83">
        <f>SUMIFS(D973:D1496,K973:K1496,"0",B973:B1496,"5 1 2 5 6 12 31111 6 M59 40000 000161 0000E 00001 00256*")-SUMIFS(E973:E1496,K973:K1496,"0",B973:B1496,"5 1 2 5 6 12 31111 6 M59 40000 000161 0000E 00001 00256*")</f>
        <v>0</v>
      </c>
      <c r="E972" s="54"/>
      <c r="F972" s="83">
        <f>SUMIFS(F973:F1496,K973:K1496,"0",B973:B1496,"5 1 2 5 6 12 31111 6 M59 40000 000161 0000E 00001 00256*")</f>
        <v>1044</v>
      </c>
      <c r="G972" s="83">
        <f>SUMIFS(G973:G1496,K973:K1496,"0",B973:B1496,"5 1 2 5 6 12 31111 6 M59 40000 000161 0000E 00001 00256*")</f>
        <v>0</v>
      </c>
      <c r="H972" s="83">
        <f t="shared" si="15"/>
        <v>1044</v>
      </c>
      <c r="I972" s="83"/>
      <c r="K972" s="54" t="s">
        <v>15</v>
      </c>
    </row>
    <row r="973" spans="2:11" ht="33" x14ac:dyDescent="0.2">
      <c r="B973" s="82" t="s">
        <v>7483</v>
      </c>
      <c r="C973" s="82" t="s">
        <v>656</v>
      </c>
      <c r="D973" s="83">
        <f>SUMIFS(D974:D1496,K974:K1496,"0",B974:B1496,"5 1 2 5 6 12 31111 6 M59 40000 000161 0000E 00001 00256 025*")-SUMIFS(E974:E1496,K974:K1496,"0",B974:B1496,"5 1 2 5 6 12 31111 6 M59 40000 000161 0000E 00001 00256 025*")</f>
        <v>0</v>
      </c>
      <c r="E973" s="54"/>
      <c r="F973" s="83">
        <f>SUMIFS(F974:F1496,K974:K1496,"0",B974:B1496,"5 1 2 5 6 12 31111 6 M59 40000 000161 0000E 00001 00256 025*")</f>
        <v>1044</v>
      </c>
      <c r="G973" s="83">
        <f>SUMIFS(G974:G1496,K974:K1496,"0",B974:B1496,"5 1 2 5 6 12 31111 6 M59 40000 000161 0000E 00001 00256 025*")</f>
        <v>0</v>
      </c>
      <c r="H973" s="83">
        <f t="shared" si="15"/>
        <v>1044</v>
      </c>
      <c r="I973" s="83"/>
      <c r="K973" s="54" t="s">
        <v>15</v>
      </c>
    </row>
    <row r="974" spans="2:11" ht="33" x14ac:dyDescent="0.2">
      <c r="B974" s="82" t="s">
        <v>7484</v>
      </c>
      <c r="C974" s="82" t="s">
        <v>5830</v>
      </c>
      <c r="D974" s="83">
        <f>SUMIFS(D975:D1496,K975:K1496,"0",B975:B1496,"5 1 2 5 6 12 31111 6 M59 40000 000161 0000E 00001 00256 025 2112000*")-SUMIFS(E975:E1496,K975:K1496,"0",B975:B1496,"5 1 2 5 6 12 31111 6 M59 40000 000161 0000E 00001 00256 025 2112000*")</f>
        <v>0</v>
      </c>
      <c r="E974" s="54"/>
      <c r="F974" s="83">
        <f>SUMIFS(F975:F1496,K975:K1496,"0",B975:B1496,"5 1 2 5 6 12 31111 6 M59 40000 000161 0000E 00001 00256 025 2112000*")</f>
        <v>1044</v>
      </c>
      <c r="G974" s="83">
        <f>SUMIFS(G975:G1496,K975:K1496,"0",B975:B1496,"5 1 2 5 6 12 31111 6 M59 40000 000161 0000E 00001 00256 025 2112000*")</f>
        <v>0</v>
      </c>
      <c r="H974" s="83">
        <f t="shared" si="15"/>
        <v>1044</v>
      </c>
      <c r="I974" s="83"/>
      <c r="K974" s="54" t="s">
        <v>15</v>
      </c>
    </row>
    <row r="975" spans="2:11" ht="33" x14ac:dyDescent="0.2">
      <c r="B975" s="82" t="s">
        <v>7485</v>
      </c>
      <c r="C975" s="82" t="s">
        <v>660</v>
      </c>
      <c r="D975" s="83">
        <f>SUMIFS(D976:D1496,K976:K1496,"0",B976:B1496,"5 1 2 5 6 12 31111 6 M59 40000 000161 0000E 00001 00256 025 2112000 2024*")-SUMIFS(E976:E1496,K976:K1496,"0",B976:B1496,"5 1 2 5 6 12 31111 6 M59 40000 000161 0000E 00001 00256 025 2112000 2024*")</f>
        <v>0</v>
      </c>
      <c r="E975" s="54"/>
      <c r="F975" s="83">
        <f>SUMIFS(F976:F1496,K976:K1496,"0",B976:B1496,"5 1 2 5 6 12 31111 6 M59 40000 000161 0000E 00001 00256 025 2112000 2024*")</f>
        <v>1044</v>
      </c>
      <c r="G975" s="83">
        <f>SUMIFS(G976:G1496,K976:K1496,"0",B976:B1496,"5 1 2 5 6 12 31111 6 M59 40000 000161 0000E 00001 00256 025 2112000 2024*")</f>
        <v>0</v>
      </c>
      <c r="H975" s="83">
        <f t="shared" si="15"/>
        <v>1044</v>
      </c>
      <c r="I975" s="83"/>
      <c r="K975" s="54" t="s">
        <v>15</v>
      </c>
    </row>
    <row r="976" spans="2:11" ht="41.25" x14ac:dyDescent="0.2">
      <c r="B976" s="82" t="s">
        <v>7486</v>
      </c>
      <c r="C976" s="82" t="s">
        <v>662</v>
      </c>
      <c r="D976" s="83">
        <f>SUMIFS(D977:D1496,K977:K1496,"0",B977:B1496,"5 1 2 5 6 12 31111 6 M59 40000 000161 0000E 00001 00256 025 2112000 2024 CP4SP372*")-SUMIFS(E977:E1496,K977:K1496,"0",B977:B1496,"5 1 2 5 6 12 31111 6 M59 40000 000161 0000E 00001 00256 025 2112000 2024 CP4SP372*")</f>
        <v>0</v>
      </c>
      <c r="E976" s="54"/>
      <c r="F976" s="83">
        <f>SUMIFS(F977:F1496,K977:K1496,"0",B977:B1496,"5 1 2 5 6 12 31111 6 M59 40000 000161 0000E 00001 00256 025 2112000 2024 CP4SP372*")</f>
        <v>1044</v>
      </c>
      <c r="G976" s="83">
        <f>SUMIFS(G977:G1496,K977:K1496,"0",B977:B1496,"5 1 2 5 6 12 31111 6 M59 40000 000161 0000E 00001 00256 025 2112000 2024 CP4SP372*")</f>
        <v>0</v>
      </c>
      <c r="H976" s="83">
        <f t="shared" si="15"/>
        <v>1044</v>
      </c>
      <c r="I976" s="83"/>
      <c r="K976" s="54" t="s">
        <v>15</v>
      </c>
    </row>
    <row r="977" spans="2:11" ht="41.25" x14ac:dyDescent="0.2">
      <c r="B977" s="82" t="s">
        <v>7487</v>
      </c>
      <c r="C977" s="82" t="s">
        <v>664</v>
      </c>
      <c r="D977" s="83">
        <f>SUMIFS(D978:D1496,K978:K1496,"0",B978:B1496,"5 1 2 5 6 12 31111 6 M59 40000 000161 0000E 00001 00256 025 2112000 2024 CP4SP372 003*")-SUMIFS(E978:E1496,K978:K1496,"0",B978:B1496,"5 1 2 5 6 12 31111 6 M59 40000 000161 0000E 00001 00256 025 2112000 2024 CP4SP372 003*")</f>
        <v>0</v>
      </c>
      <c r="E977" s="54"/>
      <c r="F977" s="83">
        <f>SUMIFS(F978:F1496,K978:K1496,"0",B978:B1496,"5 1 2 5 6 12 31111 6 M59 40000 000161 0000E 00001 00256 025 2112000 2024 CP4SP372 003*")</f>
        <v>1044</v>
      </c>
      <c r="G977" s="83">
        <f>SUMIFS(G978:G1496,K978:K1496,"0",B978:B1496,"5 1 2 5 6 12 31111 6 M59 40000 000161 0000E 00001 00256 025 2112000 2024 CP4SP372 003*")</f>
        <v>0</v>
      </c>
      <c r="H977" s="83">
        <f t="shared" si="15"/>
        <v>1044</v>
      </c>
      <c r="I977" s="83"/>
      <c r="K977" s="54" t="s">
        <v>15</v>
      </c>
    </row>
    <row r="978" spans="2:11" ht="33" x14ac:dyDescent="0.2">
      <c r="B978" s="84" t="s">
        <v>7488</v>
      </c>
      <c r="C978" s="84" t="s">
        <v>7470</v>
      </c>
      <c r="D978" s="85">
        <v>0</v>
      </c>
      <c r="E978" s="85"/>
      <c r="F978" s="85">
        <v>1044</v>
      </c>
      <c r="G978" s="85">
        <v>0</v>
      </c>
      <c r="H978" s="85">
        <f t="shared" si="15"/>
        <v>1044</v>
      </c>
      <c r="I978" s="85"/>
      <c r="K978" s="54" t="s">
        <v>38</v>
      </c>
    </row>
    <row r="979" spans="2:11" ht="16.5" x14ac:dyDescent="0.2">
      <c r="B979" s="82" t="s">
        <v>7500</v>
      </c>
      <c r="C979" s="82" t="s">
        <v>540</v>
      </c>
      <c r="D979" s="83">
        <f>SUMIFS(D980:D1496,K980:K1496,"0",B980:B1496,"5 1 2 6*")-SUMIFS(E980:E1496,K980:K1496,"0",B980:B1496,"5 1 2 6*")</f>
        <v>0</v>
      </c>
      <c r="E979" s="54"/>
      <c r="F979" s="83">
        <f>SUMIFS(F980:F1496,K980:K1496,"0",B980:B1496,"5 1 2 6*")</f>
        <v>2877549.63</v>
      </c>
      <c r="G979" s="83">
        <f>SUMIFS(G980:G1496,K980:K1496,"0",B980:B1496,"5 1 2 6*")</f>
        <v>0</v>
      </c>
      <c r="H979" s="83">
        <f t="shared" si="15"/>
        <v>2877549.63</v>
      </c>
      <c r="I979" s="83"/>
      <c r="K979" s="54" t="s">
        <v>15</v>
      </c>
    </row>
    <row r="980" spans="2:11" ht="16.5" x14ac:dyDescent="0.2">
      <c r="B980" s="82" t="s">
        <v>7501</v>
      </c>
      <c r="C980" s="82" t="s">
        <v>540</v>
      </c>
      <c r="D980" s="83">
        <f>SUMIFS(D981:D1496,K981:K1496,"0",B981:B1496,"5 1 2 6 1*")-SUMIFS(E981:E1496,K981:K1496,"0",B981:B1496,"5 1 2 6 1*")</f>
        <v>0</v>
      </c>
      <c r="E980" s="54"/>
      <c r="F980" s="83">
        <f>SUMIFS(F981:F1496,K981:K1496,"0",B981:B1496,"5 1 2 6 1*")</f>
        <v>2877549.63</v>
      </c>
      <c r="G980" s="83">
        <f>SUMIFS(G981:G1496,K981:K1496,"0",B981:B1496,"5 1 2 6 1*")</f>
        <v>0</v>
      </c>
      <c r="H980" s="83">
        <f t="shared" si="15"/>
        <v>2877549.63</v>
      </c>
      <c r="I980" s="83"/>
      <c r="K980" s="54" t="s">
        <v>15</v>
      </c>
    </row>
    <row r="981" spans="2:11" ht="12.75" x14ac:dyDescent="0.2">
      <c r="B981" s="82" t="s">
        <v>7502</v>
      </c>
      <c r="C981" s="82" t="s">
        <v>26</v>
      </c>
      <c r="D981" s="83">
        <f>SUMIFS(D982:D1496,K982:K1496,"0",B982:B1496,"5 1 2 6 1 12*")-SUMIFS(E982:E1496,K982:K1496,"0",B982:B1496,"5 1 2 6 1 12*")</f>
        <v>0</v>
      </c>
      <c r="E981" s="54"/>
      <c r="F981" s="83">
        <f>SUMIFS(F982:F1496,K982:K1496,"0",B982:B1496,"5 1 2 6 1 12*")</f>
        <v>2877549.63</v>
      </c>
      <c r="G981" s="83">
        <f>SUMIFS(G982:G1496,K982:K1496,"0",B982:B1496,"5 1 2 6 1 12*")</f>
        <v>0</v>
      </c>
      <c r="H981" s="83">
        <f t="shared" si="15"/>
        <v>2877549.63</v>
      </c>
      <c r="I981" s="83"/>
      <c r="K981" s="54" t="s">
        <v>15</v>
      </c>
    </row>
    <row r="982" spans="2:11" ht="16.5" x14ac:dyDescent="0.2">
      <c r="B982" s="82" t="s">
        <v>7503</v>
      </c>
      <c r="C982" s="82" t="s">
        <v>28</v>
      </c>
      <c r="D982" s="83">
        <f>SUMIFS(D983:D1496,K983:K1496,"0",B983:B1496,"5 1 2 6 1 12 31111*")-SUMIFS(E983:E1496,K983:K1496,"0",B983:B1496,"5 1 2 6 1 12 31111*")</f>
        <v>0</v>
      </c>
      <c r="E982" s="54"/>
      <c r="F982" s="83">
        <f>SUMIFS(F983:F1496,K983:K1496,"0",B983:B1496,"5 1 2 6 1 12 31111*")</f>
        <v>2877549.63</v>
      </c>
      <c r="G982" s="83">
        <f>SUMIFS(G983:G1496,K983:K1496,"0",B983:B1496,"5 1 2 6 1 12 31111*")</f>
        <v>0</v>
      </c>
      <c r="H982" s="83">
        <f t="shared" si="15"/>
        <v>2877549.63</v>
      </c>
      <c r="I982" s="83"/>
      <c r="K982" s="54" t="s">
        <v>15</v>
      </c>
    </row>
    <row r="983" spans="2:11" ht="12.75" x14ac:dyDescent="0.2">
      <c r="B983" s="82" t="s">
        <v>7504</v>
      </c>
      <c r="C983" s="82" t="s">
        <v>30</v>
      </c>
      <c r="D983" s="83">
        <f>SUMIFS(D984:D1496,K984:K1496,"0",B984:B1496,"5 1 2 6 1 12 31111 6*")-SUMIFS(E984:E1496,K984:K1496,"0",B984:B1496,"5 1 2 6 1 12 31111 6*")</f>
        <v>0</v>
      </c>
      <c r="E983" s="54"/>
      <c r="F983" s="83">
        <f>SUMIFS(F984:F1496,K984:K1496,"0",B984:B1496,"5 1 2 6 1 12 31111 6*")</f>
        <v>2877549.63</v>
      </c>
      <c r="G983" s="83">
        <f>SUMIFS(G984:G1496,K984:K1496,"0",B984:B1496,"5 1 2 6 1 12 31111 6*")</f>
        <v>0</v>
      </c>
      <c r="H983" s="83">
        <f t="shared" si="15"/>
        <v>2877549.63</v>
      </c>
      <c r="I983" s="83"/>
      <c r="K983" s="54" t="s">
        <v>15</v>
      </c>
    </row>
    <row r="984" spans="2:11" ht="16.5" x14ac:dyDescent="0.2">
      <c r="B984" s="82" t="s">
        <v>7505</v>
      </c>
      <c r="C984" s="82" t="s">
        <v>2284</v>
      </c>
      <c r="D984" s="83">
        <f>SUMIFS(D985:D1496,K985:K1496,"0",B985:B1496,"5 1 2 6 1 12 31111 6 M59*")-SUMIFS(E985:E1496,K985:K1496,"0",B985:B1496,"5 1 2 6 1 12 31111 6 M59*")</f>
        <v>0</v>
      </c>
      <c r="E984" s="54"/>
      <c r="F984" s="83">
        <f>SUMIFS(F985:F1496,K985:K1496,"0",B985:B1496,"5 1 2 6 1 12 31111 6 M59*")</f>
        <v>2877549.63</v>
      </c>
      <c r="G984" s="83">
        <f>SUMIFS(G985:G1496,K985:K1496,"0",B985:B1496,"5 1 2 6 1 12 31111 6 M59*")</f>
        <v>0</v>
      </c>
      <c r="H984" s="83">
        <f t="shared" si="15"/>
        <v>2877549.63</v>
      </c>
      <c r="I984" s="83"/>
      <c r="K984" s="54" t="s">
        <v>15</v>
      </c>
    </row>
    <row r="985" spans="2:11" ht="16.5" x14ac:dyDescent="0.2">
      <c r="B985" s="82" t="s">
        <v>7506</v>
      </c>
      <c r="C985" s="82" t="s">
        <v>1243</v>
      </c>
      <c r="D985" s="83">
        <f>SUMIFS(D986:D1496,K986:K1496,"0",B986:B1496,"5 1 2 6 1 12 31111 6 M59 10000*")-SUMIFS(E986:E1496,K986:K1496,"0",B986:B1496,"5 1 2 6 1 12 31111 6 M59 10000*")</f>
        <v>0</v>
      </c>
      <c r="E985" s="54"/>
      <c r="F985" s="83">
        <f>SUMIFS(F986:F1496,K986:K1496,"0",B986:B1496,"5 1 2 6 1 12 31111 6 M59 10000*")</f>
        <v>119726.72</v>
      </c>
      <c r="G985" s="83">
        <f>SUMIFS(G986:G1496,K986:K1496,"0",B986:B1496,"5 1 2 6 1 12 31111 6 M59 10000*")</f>
        <v>0</v>
      </c>
      <c r="H985" s="83">
        <f t="shared" si="15"/>
        <v>119726.72</v>
      </c>
      <c r="I985" s="83"/>
      <c r="K985" s="54" t="s">
        <v>15</v>
      </c>
    </row>
    <row r="986" spans="2:11" ht="16.5" x14ac:dyDescent="0.2">
      <c r="B986" s="82" t="s">
        <v>7507</v>
      </c>
      <c r="C986" s="82" t="s">
        <v>648</v>
      </c>
      <c r="D986" s="83">
        <f>SUMIFS(D987:D1496,K987:K1496,"0",B987:B1496,"5 1 2 6 1 12 31111 6 M59 10000 000132*")-SUMIFS(E987:E1496,K987:K1496,"0",B987:B1496,"5 1 2 6 1 12 31111 6 M59 10000 000132*")</f>
        <v>0</v>
      </c>
      <c r="E986" s="54"/>
      <c r="F986" s="83">
        <f>SUMIFS(F987:F1496,K987:K1496,"0",B987:B1496,"5 1 2 6 1 12 31111 6 M59 10000 000132*")</f>
        <v>119726.72</v>
      </c>
      <c r="G986" s="83">
        <f>SUMIFS(G987:G1496,K987:K1496,"0",B987:B1496,"5 1 2 6 1 12 31111 6 M59 10000 000132*")</f>
        <v>0</v>
      </c>
      <c r="H986" s="83">
        <f t="shared" si="15"/>
        <v>119726.72</v>
      </c>
      <c r="I986" s="83"/>
      <c r="K986" s="54" t="s">
        <v>15</v>
      </c>
    </row>
    <row r="987" spans="2:11" ht="24.75" x14ac:dyDescent="0.2">
      <c r="B987" s="82" t="s">
        <v>7508</v>
      </c>
      <c r="C987" s="82" t="s">
        <v>650</v>
      </c>
      <c r="D987" s="83">
        <f>SUMIFS(D988:D1496,K988:K1496,"0",B988:B1496,"5 1 2 6 1 12 31111 6 M59 10000 000132 0000R*")-SUMIFS(E988:E1496,K988:K1496,"0",B988:B1496,"5 1 2 6 1 12 31111 6 M59 10000 000132 0000R*")</f>
        <v>0</v>
      </c>
      <c r="E987" s="54"/>
      <c r="F987" s="83">
        <f>SUMIFS(F988:F1496,K988:K1496,"0",B988:B1496,"5 1 2 6 1 12 31111 6 M59 10000 000132 0000R*")</f>
        <v>119726.72</v>
      </c>
      <c r="G987" s="83">
        <f>SUMIFS(G988:G1496,K988:K1496,"0",B988:B1496,"5 1 2 6 1 12 31111 6 M59 10000 000132 0000R*")</f>
        <v>0</v>
      </c>
      <c r="H987" s="83">
        <f t="shared" si="15"/>
        <v>119726.72</v>
      </c>
      <c r="I987" s="83"/>
      <c r="K987" s="54" t="s">
        <v>15</v>
      </c>
    </row>
    <row r="988" spans="2:11" ht="24.75" x14ac:dyDescent="0.2">
      <c r="B988" s="82" t="s">
        <v>7509</v>
      </c>
      <c r="C988" s="82" t="s">
        <v>282</v>
      </c>
      <c r="D988" s="83">
        <f>SUMIFS(D989:D1496,K989:K1496,"0",B989:B1496,"5 1 2 6 1 12 31111 6 M59 10000 000132 0000R 00001*")-SUMIFS(E989:E1496,K989:K1496,"0",B989:B1496,"5 1 2 6 1 12 31111 6 M59 10000 000132 0000R 00001*")</f>
        <v>0</v>
      </c>
      <c r="E988" s="54"/>
      <c r="F988" s="83">
        <f>SUMIFS(F989:F1496,K989:K1496,"0",B989:B1496,"5 1 2 6 1 12 31111 6 M59 10000 000132 0000R 00001*")</f>
        <v>119726.72</v>
      </c>
      <c r="G988" s="83">
        <f>SUMIFS(G989:G1496,K989:K1496,"0",B989:B1496,"5 1 2 6 1 12 31111 6 M59 10000 000132 0000R 00001*")</f>
        <v>0</v>
      </c>
      <c r="H988" s="83">
        <f t="shared" si="15"/>
        <v>119726.72</v>
      </c>
      <c r="I988" s="83"/>
      <c r="K988" s="54" t="s">
        <v>15</v>
      </c>
    </row>
    <row r="989" spans="2:11" ht="24.75" x14ac:dyDescent="0.2">
      <c r="B989" s="82" t="s">
        <v>7510</v>
      </c>
      <c r="C989" s="82" t="s">
        <v>7511</v>
      </c>
      <c r="D989" s="83">
        <f>SUMIFS(D990:D1496,K990:K1496,"0",B990:B1496,"5 1 2 6 1 12 31111 6 M59 10000 000132 0000R 00001 00261*")-SUMIFS(E990:E1496,K990:K1496,"0",B990:B1496,"5 1 2 6 1 12 31111 6 M59 10000 000132 0000R 00001 00261*")</f>
        <v>0</v>
      </c>
      <c r="E989" s="54"/>
      <c r="F989" s="83">
        <f>SUMIFS(F990:F1496,K990:K1496,"0",B990:B1496,"5 1 2 6 1 12 31111 6 M59 10000 000132 0000R 00001 00261*")</f>
        <v>119726.72</v>
      </c>
      <c r="G989" s="83">
        <f>SUMIFS(G990:G1496,K990:K1496,"0",B990:B1496,"5 1 2 6 1 12 31111 6 M59 10000 000132 0000R 00001 00261*")</f>
        <v>0</v>
      </c>
      <c r="H989" s="83">
        <f t="shared" si="15"/>
        <v>119726.72</v>
      </c>
      <c r="I989" s="83"/>
      <c r="K989" s="54" t="s">
        <v>15</v>
      </c>
    </row>
    <row r="990" spans="2:11" ht="33" x14ac:dyDescent="0.2">
      <c r="B990" s="82" t="s">
        <v>7518</v>
      </c>
      <c r="C990" s="82" t="s">
        <v>656</v>
      </c>
      <c r="D990" s="83">
        <f>SUMIFS(D991:D1496,K991:K1496,"0",B991:B1496,"5 1 2 6 1 12 31111 6 M59 10000 000132 0000R 00001 00261 025*")-SUMIFS(E991:E1496,K991:K1496,"0",B991:B1496,"5 1 2 6 1 12 31111 6 M59 10000 000132 0000R 00001 00261 025*")</f>
        <v>0</v>
      </c>
      <c r="E990" s="54"/>
      <c r="F990" s="83">
        <f>SUMIFS(F991:F1496,K991:K1496,"0",B991:B1496,"5 1 2 6 1 12 31111 6 M59 10000 000132 0000R 00001 00261 025*")</f>
        <v>119726.72</v>
      </c>
      <c r="G990" s="83">
        <f>SUMIFS(G991:G1496,K991:K1496,"0",B991:B1496,"5 1 2 6 1 12 31111 6 M59 10000 000132 0000R 00001 00261 025*")</f>
        <v>0</v>
      </c>
      <c r="H990" s="83">
        <f t="shared" si="15"/>
        <v>119726.72</v>
      </c>
      <c r="I990" s="83"/>
      <c r="K990" s="54" t="s">
        <v>15</v>
      </c>
    </row>
    <row r="991" spans="2:11" ht="33" x14ac:dyDescent="0.2">
      <c r="B991" s="82" t="s">
        <v>7519</v>
      </c>
      <c r="C991" s="82" t="s">
        <v>5830</v>
      </c>
      <c r="D991" s="83">
        <f>SUMIFS(D992:D1496,K992:K1496,"0",B992:B1496,"5 1 2 6 1 12 31111 6 M59 10000 000132 0000R 00001 00261 025 2112000*")-SUMIFS(E992:E1496,K992:K1496,"0",B992:B1496,"5 1 2 6 1 12 31111 6 M59 10000 000132 0000R 00001 00261 025 2112000*")</f>
        <v>0</v>
      </c>
      <c r="E991" s="54"/>
      <c r="F991" s="83">
        <f>SUMIFS(F992:F1496,K992:K1496,"0",B992:B1496,"5 1 2 6 1 12 31111 6 M59 10000 000132 0000R 00001 00261 025 2112000*")</f>
        <v>119726.72</v>
      </c>
      <c r="G991" s="83">
        <f>SUMIFS(G992:G1496,K992:K1496,"0",B992:B1496,"5 1 2 6 1 12 31111 6 M59 10000 000132 0000R 00001 00261 025 2112000*")</f>
        <v>0</v>
      </c>
      <c r="H991" s="83">
        <f t="shared" si="15"/>
        <v>119726.72</v>
      </c>
      <c r="I991" s="83"/>
      <c r="K991" s="54" t="s">
        <v>15</v>
      </c>
    </row>
    <row r="992" spans="2:11" ht="33" x14ac:dyDescent="0.2">
      <c r="B992" s="82" t="s">
        <v>7520</v>
      </c>
      <c r="C992" s="82" t="s">
        <v>660</v>
      </c>
      <c r="D992" s="83">
        <f>SUMIFS(D993:D1496,K993:K1496,"0",B993:B1496,"5 1 2 6 1 12 31111 6 M59 10000 000132 0000R 00001 00261 025 2112000 2024*")-SUMIFS(E993:E1496,K993:K1496,"0",B993:B1496,"5 1 2 6 1 12 31111 6 M59 10000 000132 0000R 00001 00261 025 2112000 2024*")</f>
        <v>0</v>
      </c>
      <c r="E992" s="54"/>
      <c r="F992" s="83">
        <f>SUMIFS(F993:F1496,K993:K1496,"0",B993:B1496,"5 1 2 6 1 12 31111 6 M59 10000 000132 0000R 00001 00261 025 2112000 2024*")</f>
        <v>119726.72</v>
      </c>
      <c r="G992" s="83">
        <f>SUMIFS(G993:G1496,K993:K1496,"0",B993:B1496,"5 1 2 6 1 12 31111 6 M59 10000 000132 0000R 00001 00261 025 2112000 2024*")</f>
        <v>0</v>
      </c>
      <c r="H992" s="83">
        <f t="shared" si="15"/>
        <v>119726.72</v>
      </c>
      <c r="I992" s="83"/>
      <c r="K992" s="54" t="s">
        <v>15</v>
      </c>
    </row>
    <row r="993" spans="2:11" ht="41.25" x14ac:dyDescent="0.2">
      <c r="B993" s="82" t="s">
        <v>7521</v>
      </c>
      <c r="C993" s="82" t="s">
        <v>662</v>
      </c>
      <c r="D993" s="83">
        <f>SUMIFS(D994:D1496,K994:K1496,"0",B994:B1496,"5 1 2 6 1 12 31111 6 M59 10000 000132 0000R 00001 00261 025 2112000 2024 CP1PM439*")-SUMIFS(E994:E1496,K994:K1496,"0",B994:B1496,"5 1 2 6 1 12 31111 6 M59 10000 000132 0000R 00001 00261 025 2112000 2024 CP1PM439*")</f>
        <v>0</v>
      </c>
      <c r="E993" s="54"/>
      <c r="F993" s="83">
        <f>SUMIFS(F994:F1496,K994:K1496,"0",B994:B1496,"5 1 2 6 1 12 31111 6 M59 10000 000132 0000R 00001 00261 025 2112000 2024 CP1PM439*")</f>
        <v>119726.72</v>
      </c>
      <c r="G993" s="83">
        <f>SUMIFS(G994:G1496,K994:K1496,"0",B994:B1496,"5 1 2 6 1 12 31111 6 M59 10000 000132 0000R 00001 00261 025 2112000 2024 CP1PM439*")</f>
        <v>0</v>
      </c>
      <c r="H993" s="83">
        <f t="shared" si="15"/>
        <v>119726.72</v>
      </c>
      <c r="I993" s="83"/>
      <c r="K993" s="54" t="s">
        <v>15</v>
      </c>
    </row>
    <row r="994" spans="2:11" ht="41.25" x14ac:dyDescent="0.2">
      <c r="B994" s="82" t="s">
        <v>7522</v>
      </c>
      <c r="C994" s="82" t="s">
        <v>664</v>
      </c>
      <c r="D994" s="83">
        <f>SUMIFS(D995:D1496,K995:K1496,"0",B995:B1496,"5 1 2 6 1 12 31111 6 M59 10000 000132 0000R 00001 00261 025 2112000 2024 CP1PM439 003*")-SUMIFS(E995:E1496,K995:K1496,"0",B995:B1496,"5 1 2 6 1 12 31111 6 M59 10000 000132 0000R 00001 00261 025 2112000 2024 CP1PM439 003*")</f>
        <v>0</v>
      </c>
      <c r="E994" s="54"/>
      <c r="F994" s="83">
        <f>SUMIFS(F995:F1496,K995:K1496,"0",B995:B1496,"5 1 2 6 1 12 31111 6 M59 10000 000132 0000R 00001 00261 025 2112000 2024 CP1PM439 003*")</f>
        <v>119726.72</v>
      </c>
      <c r="G994" s="83">
        <f>SUMIFS(G995:G1496,K995:K1496,"0",B995:B1496,"5 1 2 6 1 12 31111 6 M59 10000 000132 0000R 00001 00261 025 2112000 2024 CP1PM439 003*")</f>
        <v>0</v>
      </c>
      <c r="H994" s="83">
        <f t="shared" si="15"/>
        <v>119726.72</v>
      </c>
      <c r="I994" s="83"/>
      <c r="K994" s="54" t="s">
        <v>15</v>
      </c>
    </row>
    <row r="995" spans="2:11" ht="33" x14ac:dyDescent="0.2">
      <c r="B995" s="84" t="s">
        <v>7523</v>
      </c>
      <c r="C995" s="84" t="s">
        <v>540</v>
      </c>
      <c r="D995" s="85">
        <v>0</v>
      </c>
      <c r="E995" s="85"/>
      <c r="F995" s="85">
        <v>119726.72</v>
      </c>
      <c r="G995" s="85">
        <v>0</v>
      </c>
      <c r="H995" s="85">
        <f t="shared" ref="H995:H1058" si="16">D995 + F995 - G995</f>
        <v>119726.72</v>
      </c>
      <c r="I995" s="85"/>
      <c r="K995" s="54" t="s">
        <v>38</v>
      </c>
    </row>
    <row r="996" spans="2:11" ht="16.5" x14ac:dyDescent="0.2">
      <c r="B996" s="82" t="s">
        <v>7612</v>
      </c>
      <c r="C996" s="82" t="s">
        <v>1092</v>
      </c>
      <c r="D996" s="83">
        <f>SUMIFS(D997:D1496,K997:K1496,"0",B997:B1496,"5 1 2 6 1 12 31111 6 M59 40000*")-SUMIFS(E997:E1496,K997:K1496,"0",B997:B1496,"5 1 2 6 1 12 31111 6 M59 40000*")</f>
        <v>0</v>
      </c>
      <c r="E996" s="54"/>
      <c r="F996" s="83">
        <f>SUMIFS(F997:F1496,K997:K1496,"0",B997:B1496,"5 1 2 6 1 12 31111 6 M59 40000*")</f>
        <v>1059622.94</v>
      </c>
      <c r="G996" s="83">
        <f>SUMIFS(G997:G1496,K997:K1496,"0",B997:B1496,"5 1 2 6 1 12 31111 6 M59 40000*")</f>
        <v>0</v>
      </c>
      <c r="H996" s="83">
        <f t="shared" si="16"/>
        <v>1059622.94</v>
      </c>
      <c r="I996" s="83"/>
      <c r="K996" s="54" t="s">
        <v>15</v>
      </c>
    </row>
    <row r="997" spans="2:11" ht="16.5" x14ac:dyDescent="0.2">
      <c r="B997" s="82" t="s">
        <v>7613</v>
      </c>
      <c r="C997" s="82" t="s">
        <v>1094</v>
      </c>
      <c r="D997" s="83">
        <f>SUMIFS(D998:D1496,K998:K1496,"0",B998:B1496,"5 1 2 6 1 12 31111 6 M59 40000 000161*")-SUMIFS(E998:E1496,K998:K1496,"0",B998:B1496,"5 1 2 6 1 12 31111 6 M59 40000 000161*")</f>
        <v>0</v>
      </c>
      <c r="E997" s="54"/>
      <c r="F997" s="83">
        <f>SUMIFS(F998:F1496,K998:K1496,"0",B998:B1496,"5 1 2 6 1 12 31111 6 M59 40000 000161*")</f>
        <v>1059622.94</v>
      </c>
      <c r="G997" s="83">
        <f>SUMIFS(G998:G1496,K998:K1496,"0",B998:B1496,"5 1 2 6 1 12 31111 6 M59 40000 000161*")</f>
        <v>0</v>
      </c>
      <c r="H997" s="83">
        <f t="shared" si="16"/>
        <v>1059622.94</v>
      </c>
      <c r="I997" s="83"/>
      <c r="K997" s="54" t="s">
        <v>15</v>
      </c>
    </row>
    <row r="998" spans="2:11" ht="24.75" x14ac:dyDescent="0.2">
      <c r="B998" s="82" t="s">
        <v>7614</v>
      </c>
      <c r="C998" s="82" t="s">
        <v>1065</v>
      </c>
      <c r="D998" s="83">
        <f>SUMIFS(D999:D1496,K999:K1496,"0",B999:B1496,"5 1 2 6 1 12 31111 6 M59 40000 000161 0000E*")-SUMIFS(E999:E1496,K999:K1496,"0",B999:B1496,"5 1 2 6 1 12 31111 6 M59 40000 000161 0000E*")</f>
        <v>0</v>
      </c>
      <c r="E998" s="54"/>
      <c r="F998" s="83">
        <f>SUMIFS(F999:F1496,K999:K1496,"0",B999:B1496,"5 1 2 6 1 12 31111 6 M59 40000 000161 0000E*")</f>
        <v>1059622.94</v>
      </c>
      <c r="G998" s="83">
        <f>SUMIFS(G999:G1496,K999:K1496,"0",B999:B1496,"5 1 2 6 1 12 31111 6 M59 40000 000161 0000E*")</f>
        <v>0</v>
      </c>
      <c r="H998" s="83">
        <f t="shared" si="16"/>
        <v>1059622.94</v>
      </c>
      <c r="I998" s="83"/>
      <c r="K998" s="54" t="s">
        <v>15</v>
      </c>
    </row>
    <row r="999" spans="2:11" ht="24.75" x14ac:dyDescent="0.2">
      <c r="B999" s="82" t="s">
        <v>7615</v>
      </c>
      <c r="C999" s="82" t="s">
        <v>282</v>
      </c>
      <c r="D999" s="83">
        <f>SUMIFS(D1000:D1496,K1000:K1496,"0",B1000:B1496,"5 1 2 6 1 12 31111 6 M59 40000 000161 0000E 00001*")-SUMIFS(E1000:E1496,K1000:K1496,"0",B1000:B1496,"5 1 2 6 1 12 31111 6 M59 40000 000161 0000E 00001*")</f>
        <v>0</v>
      </c>
      <c r="E999" s="54"/>
      <c r="F999" s="83">
        <f>SUMIFS(F1000:F1496,K1000:K1496,"0",B1000:B1496,"5 1 2 6 1 12 31111 6 M59 40000 000161 0000E 00001*")</f>
        <v>1059622.94</v>
      </c>
      <c r="G999" s="83">
        <f>SUMIFS(G1000:G1496,K1000:K1496,"0",B1000:B1496,"5 1 2 6 1 12 31111 6 M59 40000 000161 0000E 00001*")</f>
        <v>0</v>
      </c>
      <c r="H999" s="83">
        <f t="shared" si="16"/>
        <v>1059622.94</v>
      </c>
      <c r="I999" s="83"/>
      <c r="K999" s="54" t="s">
        <v>15</v>
      </c>
    </row>
    <row r="1000" spans="2:11" ht="24.75" x14ac:dyDescent="0.2">
      <c r="B1000" s="82" t="s">
        <v>7616</v>
      </c>
      <c r="C1000" s="82" t="s">
        <v>7511</v>
      </c>
      <c r="D1000" s="83">
        <f>SUMIFS(D1001:D1496,K1001:K1496,"0",B1001:B1496,"5 1 2 6 1 12 31111 6 M59 40000 000161 0000E 00001 00261*")-SUMIFS(E1001:E1496,K1001:K1496,"0",B1001:B1496,"5 1 2 6 1 12 31111 6 M59 40000 000161 0000E 00001 00261*")</f>
        <v>0</v>
      </c>
      <c r="E1000" s="54"/>
      <c r="F1000" s="83">
        <f>SUMIFS(F1001:F1496,K1001:K1496,"0",B1001:B1496,"5 1 2 6 1 12 31111 6 M59 40000 000161 0000E 00001 00261*")</f>
        <v>1059622.94</v>
      </c>
      <c r="G1000" s="83">
        <f>SUMIFS(G1001:G1496,K1001:K1496,"0",B1001:B1496,"5 1 2 6 1 12 31111 6 M59 40000 000161 0000E 00001 00261*")</f>
        <v>0</v>
      </c>
      <c r="H1000" s="83">
        <f t="shared" si="16"/>
        <v>1059622.94</v>
      </c>
      <c r="I1000" s="83"/>
      <c r="K1000" s="54" t="s">
        <v>15</v>
      </c>
    </row>
    <row r="1001" spans="2:11" ht="33" x14ac:dyDescent="0.2">
      <c r="B1001" s="82" t="s">
        <v>7617</v>
      </c>
      <c r="C1001" s="82" t="s">
        <v>656</v>
      </c>
      <c r="D1001" s="83">
        <f>SUMIFS(D1002:D1496,K1002:K1496,"0",B1002:B1496,"5 1 2 6 1 12 31111 6 M59 40000 000161 0000E 00001 00261 025*")-SUMIFS(E1002:E1496,K1002:K1496,"0",B1002:B1496,"5 1 2 6 1 12 31111 6 M59 40000 000161 0000E 00001 00261 025*")</f>
        <v>0</v>
      </c>
      <c r="E1001" s="54"/>
      <c r="F1001" s="83">
        <f>SUMIFS(F1002:F1496,K1002:K1496,"0",B1002:B1496,"5 1 2 6 1 12 31111 6 M59 40000 000161 0000E 00001 00261 025*")</f>
        <v>1059622.94</v>
      </c>
      <c r="G1001" s="83">
        <f>SUMIFS(G1002:G1496,K1002:K1496,"0",B1002:B1496,"5 1 2 6 1 12 31111 6 M59 40000 000161 0000E 00001 00261 025*")</f>
        <v>0</v>
      </c>
      <c r="H1001" s="83">
        <f t="shared" si="16"/>
        <v>1059622.94</v>
      </c>
      <c r="I1001" s="83"/>
      <c r="K1001" s="54" t="s">
        <v>15</v>
      </c>
    </row>
    <row r="1002" spans="2:11" ht="33" x14ac:dyDescent="0.2">
      <c r="B1002" s="82" t="s">
        <v>7618</v>
      </c>
      <c r="C1002" s="82" t="s">
        <v>5830</v>
      </c>
      <c r="D1002" s="83">
        <f>SUMIFS(D1003:D1496,K1003:K1496,"0",B1003:B1496,"5 1 2 6 1 12 31111 6 M59 40000 000161 0000E 00001 00261 025 2112000*")-SUMIFS(E1003:E1496,K1003:K1496,"0",B1003:B1496,"5 1 2 6 1 12 31111 6 M59 40000 000161 0000E 00001 00261 025 2112000*")</f>
        <v>0</v>
      </c>
      <c r="E1002" s="54"/>
      <c r="F1002" s="83">
        <f>SUMIFS(F1003:F1496,K1003:K1496,"0",B1003:B1496,"5 1 2 6 1 12 31111 6 M59 40000 000161 0000E 00001 00261 025 2112000*")</f>
        <v>1059622.94</v>
      </c>
      <c r="G1002" s="83">
        <f>SUMIFS(G1003:G1496,K1003:K1496,"0",B1003:B1496,"5 1 2 6 1 12 31111 6 M59 40000 000161 0000E 00001 00261 025 2112000*")</f>
        <v>0</v>
      </c>
      <c r="H1002" s="83">
        <f t="shared" si="16"/>
        <v>1059622.94</v>
      </c>
      <c r="I1002" s="83"/>
      <c r="K1002" s="54" t="s">
        <v>15</v>
      </c>
    </row>
    <row r="1003" spans="2:11" ht="33" x14ac:dyDescent="0.2">
      <c r="B1003" s="82" t="s">
        <v>7619</v>
      </c>
      <c r="C1003" s="82" t="s">
        <v>660</v>
      </c>
      <c r="D1003" s="83">
        <f>SUMIFS(D1004:D1496,K1004:K1496,"0",B1004:B1496,"5 1 2 6 1 12 31111 6 M59 40000 000161 0000E 00001 00261 025 2112000 2024*")-SUMIFS(E1004:E1496,K1004:K1496,"0",B1004:B1496,"5 1 2 6 1 12 31111 6 M59 40000 000161 0000E 00001 00261 025 2112000 2024*")</f>
        <v>0</v>
      </c>
      <c r="E1003" s="54"/>
      <c r="F1003" s="83">
        <f>SUMIFS(F1004:F1496,K1004:K1496,"0",B1004:B1496,"5 1 2 6 1 12 31111 6 M59 40000 000161 0000E 00001 00261 025 2112000 2024*")</f>
        <v>1059622.94</v>
      </c>
      <c r="G1003" s="83">
        <f>SUMIFS(G1004:G1496,K1004:K1496,"0",B1004:B1496,"5 1 2 6 1 12 31111 6 M59 40000 000161 0000E 00001 00261 025 2112000 2024*")</f>
        <v>0</v>
      </c>
      <c r="H1003" s="83">
        <f t="shared" si="16"/>
        <v>1059622.94</v>
      </c>
      <c r="I1003" s="83"/>
      <c r="K1003" s="54" t="s">
        <v>15</v>
      </c>
    </row>
    <row r="1004" spans="2:11" ht="41.25" x14ac:dyDescent="0.2">
      <c r="B1004" s="82" t="s">
        <v>7620</v>
      </c>
      <c r="C1004" s="82" t="s">
        <v>662</v>
      </c>
      <c r="D1004" s="83">
        <f>SUMIFS(D1005:D1496,K1005:K1496,"0",B1005:B1496,"5 1 2 6 1 12 31111 6 M59 40000 000161 0000E 00001 00261 025 2112000 2024 CP4SP372*")-SUMIFS(E1005:E1496,K1005:K1496,"0",B1005:B1496,"5 1 2 6 1 12 31111 6 M59 40000 000161 0000E 00001 00261 025 2112000 2024 CP4SP372*")</f>
        <v>0</v>
      </c>
      <c r="E1004" s="54"/>
      <c r="F1004" s="83">
        <f>SUMIFS(F1005:F1496,K1005:K1496,"0",B1005:B1496,"5 1 2 6 1 12 31111 6 M59 40000 000161 0000E 00001 00261 025 2112000 2024 CP4SP372*")</f>
        <v>1059622.94</v>
      </c>
      <c r="G1004" s="83">
        <f>SUMIFS(G1005:G1496,K1005:K1496,"0",B1005:B1496,"5 1 2 6 1 12 31111 6 M59 40000 000161 0000E 00001 00261 025 2112000 2024 CP4SP372*")</f>
        <v>0</v>
      </c>
      <c r="H1004" s="83">
        <f t="shared" si="16"/>
        <v>1059622.94</v>
      </c>
      <c r="I1004" s="83"/>
      <c r="K1004" s="54" t="s">
        <v>15</v>
      </c>
    </row>
    <row r="1005" spans="2:11" ht="41.25" x14ac:dyDescent="0.2">
      <c r="B1005" s="82" t="s">
        <v>7621</v>
      </c>
      <c r="C1005" s="82" t="s">
        <v>664</v>
      </c>
      <c r="D1005" s="83">
        <f>SUMIFS(D1006:D1496,K1006:K1496,"0",B1006:B1496,"5 1 2 6 1 12 31111 6 M59 40000 000161 0000E 00001 00261 025 2112000 2024 CP4SP372 003*")-SUMIFS(E1006:E1496,K1006:K1496,"0",B1006:B1496,"5 1 2 6 1 12 31111 6 M59 40000 000161 0000E 00001 00261 025 2112000 2024 CP4SP372 003*")</f>
        <v>0</v>
      </c>
      <c r="E1005" s="54"/>
      <c r="F1005" s="83">
        <f>SUMIFS(F1006:F1496,K1006:K1496,"0",B1006:B1496,"5 1 2 6 1 12 31111 6 M59 40000 000161 0000E 00001 00261 025 2112000 2024 CP4SP372 003*")</f>
        <v>1059622.94</v>
      </c>
      <c r="G1005" s="83">
        <f>SUMIFS(G1006:G1496,K1006:K1496,"0",B1006:B1496,"5 1 2 6 1 12 31111 6 M59 40000 000161 0000E 00001 00261 025 2112000 2024 CP4SP372 003*")</f>
        <v>0</v>
      </c>
      <c r="H1005" s="83">
        <f t="shared" si="16"/>
        <v>1059622.94</v>
      </c>
      <c r="I1005" s="83"/>
      <c r="K1005" s="54" t="s">
        <v>15</v>
      </c>
    </row>
    <row r="1006" spans="2:11" ht="33" x14ac:dyDescent="0.2">
      <c r="B1006" s="84" t="s">
        <v>7622</v>
      </c>
      <c r="C1006" s="84" t="s">
        <v>540</v>
      </c>
      <c r="D1006" s="85">
        <v>0</v>
      </c>
      <c r="E1006" s="85"/>
      <c r="F1006" s="85">
        <v>1059622.94</v>
      </c>
      <c r="G1006" s="85">
        <v>0</v>
      </c>
      <c r="H1006" s="85">
        <f t="shared" si="16"/>
        <v>1059622.94</v>
      </c>
      <c r="I1006" s="85"/>
      <c r="K1006" s="54" t="s">
        <v>38</v>
      </c>
    </row>
    <row r="1007" spans="2:11" ht="16.5" x14ac:dyDescent="0.2">
      <c r="B1007" s="82" t="s">
        <v>7623</v>
      </c>
      <c r="C1007" s="82" t="s">
        <v>1105</v>
      </c>
      <c r="D1007" s="83">
        <f>SUMIFS(D1008:D1496,K1008:K1496,"0",B1008:B1496,"5 1 2 6 1 12 31111 6 M59 40200*")-SUMIFS(E1008:E1496,K1008:K1496,"0",B1008:B1496,"5 1 2 6 1 12 31111 6 M59 40200*")</f>
        <v>0</v>
      </c>
      <c r="E1007" s="54"/>
      <c r="F1007" s="83">
        <f>SUMIFS(F1008:F1496,K1008:K1496,"0",B1008:B1496,"5 1 2 6 1 12 31111 6 M59 40200*")</f>
        <v>1239166.56</v>
      </c>
      <c r="G1007" s="83">
        <f>SUMIFS(G1008:G1496,K1008:K1496,"0",B1008:B1496,"5 1 2 6 1 12 31111 6 M59 40200*")</f>
        <v>0</v>
      </c>
      <c r="H1007" s="83">
        <f t="shared" si="16"/>
        <v>1239166.56</v>
      </c>
      <c r="I1007" s="83"/>
      <c r="K1007" s="54" t="s">
        <v>15</v>
      </c>
    </row>
    <row r="1008" spans="2:11" ht="16.5" x14ac:dyDescent="0.2">
      <c r="B1008" s="82" t="s">
        <v>7624</v>
      </c>
      <c r="C1008" s="82" t="s">
        <v>1107</v>
      </c>
      <c r="D1008" s="83">
        <f>SUMIFS(D1009:D1496,K1009:K1496,"0",B1009:B1496,"5 1 2 6 1 12 31111 6 M59 40200 000172*")-SUMIFS(E1009:E1496,K1009:K1496,"0",B1009:B1496,"5 1 2 6 1 12 31111 6 M59 40200 000172*")</f>
        <v>0</v>
      </c>
      <c r="E1008" s="54"/>
      <c r="F1008" s="83">
        <f>SUMIFS(F1009:F1496,K1009:K1496,"0",B1009:B1496,"5 1 2 6 1 12 31111 6 M59 40200 000172*")</f>
        <v>1239166.56</v>
      </c>
      <c r="G1008" s="83">
        <f>SUMIFS(G1009:G1496,K1009:K1496,"0",B1009:B1496,"5 1 2 6 1 12 31111 6 M59 40200 000172*")</f>
        <v>0</v>
      </c>
      <c r="H1008" s="83">
        <f t="shared" si="16"/>
        <v>1239166.56</v>
      </c>
      <c r="I1008" s="83"/>
      <c r="K1008" s="54" t="s">
        <v>15</v>
      </c>
    </row>
    <row r="1009" spans="2:11" ht="24.75" x14ac:dyDescent="0.2">
      <c r="B1009" s="82" t="s">
        <v>7625</v>
      </c>
      <c r="C1009" s="82" t="s">
        <v>650</v>
      </c>
      <c r="D1009" s="83">
        <f>SUMIFS(D1010:D1496,K1010:K1496,"0",B1010:B1496,"5 1 2 6 1 12 31111 6 M59 40200 000172 0000R*")-SUMIFS(E1010:E1496,K1010:K1496,"0",B1010:B1496,"5 1 2 6 1 12 31111 6 M59 40200 000172 0000R*")</f>
        <v>0</v>
      </c>
      <c r="E1009" s="54"/>
      <c r="F1009" s="83">
        <f>SUMIFS(F1010:F1496,K1010:K1496,"0",B1010:B1496,"5 1 2 6 1 12 31111 6 M59 40200 000172 0000R*")</f>
        <v>1239166.56</v>
      </c>
      <c r="G1009" s="83">
        <f>SUMIFS(G1010:G1496,K1010:K1496,"0",B1010:B1496,"5 1 2 6 1 12 31111 6 M59 40200 000172 0000R*")</f>
        <v>0</v>
      </c>
      <c r="H1009" s="83">
        <f t="shared" si="16"/>
        <v>1239166.56</v>
      </c>
      <c r="I1009" s="83"/>
      <c r="K1009" s="54" t="s">
        <v>15</v>
      </c>
    </row>
    <row r="1010" spans="2:11" ht="24.75" x14ac:dyDescent="0.2">
      <c r="B1010" s="82" t="s">
        <v>7626</v>
      </c>
      <c r="C1010" s="82" t="s">
        <v>282</v>
      </c>
      <c r="D1010" s="83">
        <f>SUMIFS(D1011:D1496,K1011:K1496,"0",B1011:B1496,"5 1 2 6 1 12 31111 6 M59 40200 000172 0000R 00001*")-SUMIFS(E1011:E1496,K1011:K1496,"0",B1011:B1496,"5 1 2 6 1 12 31111 6 M59 40200 000172 0000R 00001*")</f>
        <v>0</v>
      </c>
      <c r="E1010" s="54"/>
      <c r="F1010" s="83">
        <f>SUMIFS(F1011:F1496,K1011:K1496,"0",B1011:B1496,"5 1 2 6 1 12 31111 6 M59 40200 000172 0000R 00001*")</f>
        <v>1239166.56</v>
      </c>
      <c r="G1010" s="83">
        <f>SUMIFS(G1011:G1496,K1011:K1496,"0",B1011:B1496,"5 1 2 6 1 12 31111 6 M59 40200 000172 0000R 00001*")</f>
        <v>0</v>
      </c>
      <c r="H1010" s="83">
        <f t="shared" si="16"/>
        <v>1239166.56</v>
      </c>
      <c r="I1010" s="83"/>
      <c r="K1010" s="54" t="s">
        <v>15</v>
      </c>
    </row>
    <row r="1011" spans="2:11" ht="24.75" x14ac:dyDescent="0.2">
      <c r="B1011" s="82" t="s">
        <v>7627</v>
      </c>
      <c r="C1011" s="82" t="s">
        <v>7511</v>
      </c>
      <c r="D1011" s="83">
        <f>SUMIFS(D1012:D1496,K1012:K1496,"0",B1012:B1496,"5 1 2 6 1 12 31111 6 M59 40200 000172 0000R 00001 00261*")-SUMIFS(E1012:E1496,K1012:K1496,"0",B1012:B1496,"5 1 2 6 1 12 31111 6 M59 40200 000172 0000R 00001 00261*")</f>
        <v>0</v>
      </c>
      <c r="E1011" s="54"/>
      <c r="F1011" s="83">
        <f>SUMIFS(F1012:F1496,K1012:K1496,"0",B1012:B1496,"5 1 2 6 1 12 31111 6 M59 40200 000172 0000R 00001 00261*")</f>
        <v>1239166.56</v>
      </c>
      <c r="G1011" s="83">
        <f>SUMIFS(G1012:G1496,K1012:K1496,"0",B1012:B1496,"5 1 2 6 1 12 31111 6 M59 40200 000172 0000R 00001 00261*")</f>
        <v>0</v>
      </c>
      <c r="H1011" s="83">
        <f t="shared" si="16"/>
        <v>1239166.56</v>
      </c>
      <c r="I1011" s="83"/>
      <c r="K1011" s="54" t="s">
        <v>15</v>
      </c>
    </row>
    <row r="1012" spans="2:11" ht="33" x14ac:dyDescent="0.2">
      <c r="B1012" s="82" t="s">
        <v>7628</v>
      </c>
      <c r="C1012" s="82" t="s">
        <v>656</v>
      </c>
      <c r="D1012" s="83">
        <f>SUMIFS(D1013:D1496,K1013:K1496,"0",B1013:B1496,"5 1 2 6 1 12 31111 6 M59 40200 000172 0000R 00001 00261 025*")-SUMIFS(E1013:E1496,K1013:K1496,"0",B1013:B1496,"5 1 2 6 1 12 31111 6 M59 40200 000172 0000R 00001 00261 025*")</f>
        <v>0</v>
      </c>
      <c r="E1012" s="54"/>
      <c r="F1012" s="83">
        <f>SUMIFS(F1013:F1496,K1013:K1496,"0",B1013:B1496,"5 1 2 6 1 12 31111 6 M59 40200 000172 0000R 00001 00261 025*")</f>
        <v>1239166.56</v>
      </c>
      <c r="G1012" s="83">
        <f>SUMIFS(G1013:G1496,K1013:K1496,"0",B1013:B1496,"5 1 2 6 1 12 31111 6 M59 40200 000172 0000R 00001 00261 025*")</f>
        <v>0</v>
      </c>
      <c r="H1012" s="83">
        <f t="shared" si="16"/>
        <v>1239166.56</v>
      </c>
      <c r="I1012" s="83"/>
      <c r="K1012" s="54" t="s">
        <v>15</v>
      </c>
    </row>
    <row r="1013" spans="2:11" ht="33" x14ac:dyDescent="0.2">
      <c r="B1013" s="82" t="s">
        <v>7629</v>
      </c>
      <c r="C1013" s="82" t="s">
        <v>5830</v>
      </c>
      <c r="D1013" s="83">
        <f>SUMIFS(D1014:D1496,K1014:K1496,"0",B1014:B1496,"5 1 2 6 1 12 31111 6 M59 40200 000172 0000R 00001 00261 025 2112000*")-SUMIFS(E1014:E1496,K1014:K1496,"0",B1014:B1496,"5 1 2 6 1 12 31111 6 M59 40200 000172 0000R 00001 00261 025 2112000*")</f>
        <v>0</v>
      </c>
      <c r="E1013" s="54"/>
      <c r="F1013" s="83">
        <f>SUMIFS(F1014:F1496,K1014:K1496,"0",B1014:B1496,"5 1 2 6 1 12 31111 6 M59 40200 000172 0000R 00001 00261 025 2112000*")</f>
        <v>1239166.56</v>
      </c>
      <c r="G1013" s="83">
        <f>SUMIFS(G1014:G1496,K1014:K1496,"0",B1014:B1496,"5 1 2 6 1 12 31111 6 M59 40200 000172 0000R 00001 00261 025 2112000*")</f>
        <v>0</v>
      </c>
      <c r="H1013" s="83">
        <f t="shared" si="16"/>
        <v>1239166.56</v>
      </c>
      <c r="I1013" s="83"/>
      <c r="K1013" s="54" t="s">
        <v>15</v>
      </c>
    </row>
    <row r="1014" spans="2:11" ht="33" x14ac:dyDescent="0.2">
      <c r="B1014" s="82" t="s">
        <v>7630</v>
      </c>
      <c r="C1014" s="82" t="s">
        <v>660</v>
      </c>
      <c r="D1014" s="83">
        <f>SUMIFS(D1015:D1496,K1015:K1496,"0",B1015:B1496,"5 1 2 6 1 12 31111 6 M59 40200 000172 0000R 00001 00261 025 2112000 2024*")-SUMIFS(E1015:E1496,K1015:K1496,"0",B1015:B1496,"5 1 2 6 1 12 31111 6 M59 40200 000172 0000R 00001 00261 025 2112000 2024*")</f>
        <v>0</v>
      </c>
      <c r="E1014" s="54"/>
      <c r="F1014" s="83">
        <f>SUMIFS(F1015:F1496,K1015:K1496,"0",B1015:B1496,"5 1 2 6 1 12 31111 6 M59 40200 000172 0000R 00001 00261 025 2112000 2024*")</f>
        <v>1239166.56</v>
      </c>
      <c r="G1014" s="83">
        <f>SUMIFS(G1015:G1496,K1015:K1496,"0",B1015:B1496,"5 1 2 6 1 12 31111 6 M59 40200 000172 0000R 00001 00261 025 2112000 2024*")</f>
        <v>0</v>
      </c>
      <c r="H1014" s="83">
        <f t="shared" si="16"/>
        <v>1239166.56</v>
      </c>
      <c r="I1014" s="83"/>
      <c r="K1014" s="54" t="s">
        <v>15</v>
      </c>
    </row>
    <row r="1015" spans="2:11" ht="41.25" x14ac:dyDescent="0.2">
      <c r="B1015" s="82" t="s">
        <v>7631</v>
      </c>
      <c r="C1015" s="82" t="s">
        <v>1056</v>
      </c>
      <c r="D1015" s="83">
        <f>SUMIFS(D1016:D1496,K1016:K1496,"0",B1016:B1496,"5 1 2 6 1 12 31111 6 M59 40200 000172 0000R 00001 00261 025 2112000 2024 CP4PC370*")-SUMIFS(E1016:E1496,K1016:K1496,"0",B1016:B1496,"5 1 2 6 1 12 31111 6 M59 40200 000172 0000R 00001 00261 025 2112000 2024 CP4PC370*")</f>
        <v>0</v>
      </c>
      <c r="E1015" s="54"/>
      <c r="F1015" s="83">
        <f>SUMIFS(F1016:F1496,K1016:K1496,"0",B1016:B1496,"5 1 2 6 1 12 31111 6 M59 40200 000172 0000R 00001 00261 025 2112000 2024 CP4PC370*")</f>
        <v>1239166.56</v>
      </c>
      <c r="G1015" s="83">
        <f>SUMIFS(G1016:G1496,K1016:K1496,"0",B1016:B1496,"5 1 2 6 1 12 31111 6 M59 40200 000172 0000R 00001 00261 025 2112000 2024 CP4PC370*")</f>
        <v>0</v>
      </c>
      <c r="H1015" s="83">
        <f t="shared" si="16"/>
        <v>1239166.56</v>
      </c>
      <c r="I1015" s="83"/>
      <c r="K1015" s="54" t="s">
        <v>15</v>
      </c>
    </row>
    <row r="1016" spans="2:11" ht="41.25" x14ac:dyDescent="0.2">
      <c r="B1016" s="82" t="s">
        <v>7632</v>
      </c>
      <c r="C1016" s="82" t="s">
        <v>664</v>
      </c>
      <c r="D1016" s="83">
        <f>SUMIFS(D1017:D1496,K1017:K1496,"0",B1017:B1496,"5 1 2 6 1 12 31111 6 M59 40200 000172 0000R 00001 00261 025 2112000 2024 CP4PC370 003*")-SUMIFS(E1017:E1496,K1017:K1496,"0",B1017:B1496,"5 1 2 6 1 12 31111 6 M59 40200 000172 0000R 00001 00261 025 2112000 2024 CP4PC370 003*")</f>
        <v>0</v>
      </c>
      <c r="E1016" s="54"/>
      <c r="F1016" s="83">
        <f>SUMIFS(F1017:F1496,K1017:K1496,"0",B1017:B1496,"5 1 2 6 1 12 31111 6 M59 40200 000172 0000R 00001 00261 025 2112000 2024 CP4PC370 003*")</f>
        <v>1239166.56</v>
      </c>
      <c r="G1016" s="83">
        <f>SUMIFS(G1017:G1496,K1017:K1496,"0",B1017:B1496,"5 1 2 6 1 12 31111 6 M59 40200 000172 0000R 00001 00261 025 2112000 2024 CP4PC370 003*")</f>
        <v>0</v>
      </c>
      <c r="H1016" s="83">
        <f t="shared" si="16"/>
        <v>1239166.56</v>
      </c>
      <c r="I1016" s="83"/>
      <c r="K1016" s="54" t="s">
        <v>15</v>
      </c>
    </row>
    <row r="1017" spans="2:11" ht="33" x14ac:dyDescent="0.2">
      <c r="B1017" s="84" t="s">
        <v>7633</v>
      </c>
      <c r="C1017" s="84" t="s">
        <v>540</v>
      </c>
      <c r="D1017" s="85">
        <v>0</v>
      </c>
      <c r="E1017" s="85"/>
      <c r="F1017" s="85">
        <v>1239166.56</v>
      </c>
      <c r="G1017" s="85">
        <v>0</v>
      </c>
      <c r="H1017" s="85">
        <f t="shared" si="16"/>
        <v>1239166.56</v>
      </c>
      <c r="I1017" s="85"/>
      <c r="K1017" s="54" t="s">
        <v>38</v>
      </c>
    </row>
    <row r="1018" spans="2:11" ht="16.5" x14ac:dyDescent="0.2">
      <c r="B1018" s="82" t="s">
        <v>7634</v>
      </c>
      <c r="C1018" s="82" t="s">
        <v>3256</v>
      </c>
      <c r="D1018" s="83">
        <f>SUMIFS(D1019:D1496,K1019:K1496,"0",B1019:B1496,"5 1 2 6 1 12 31111 6 M59 40300*")-SUMIFS(E1019:E1496,K1019:K1496,"0",B1019:B1496,"5 1 2 6 1 12 31111 6 M59 40300*")</f>
        <v>0</v>
      </c>
      <c r="E1018" s="54"/>
      <c r="F1018" s="83">
        <f>SUMIFS(F1019:F1496,K1019:K1496,"0",B1019:B1496,"5 1 2 6 1 12 31111 6 M59 40300*")</f>
        <v>459033.41</v>
      </c>
      <c r="G1018" s="83">
        <f>SUMIFS(G1019:G1496,K1019:K1496,"0",B1019:B1496,"5 1 2 6 1 12 31111 6 M59 40300*")</f>
        <v>0</v>
      </c>
      <c r="H1018" s="83">
        <f t="shared" si="16"/>
        <v>459033.41</v>
      </c>
      <c r="I1018" s="83"/>
      <c r="K1018" s="54" t="s">
        <v>15</v>
      </c>
    </row>
    <row r="1019" spans="2:11" ht="16.5" x14ac:dyDescent="0.2">
      <c r="B1019" s="82" t="s">
        <v>7635</v>
      </c>
      <c r="C1019" s="82" t="s">
        <v>1063</v>
      </c>
      <c r="D1019" s="83">
        <f>SUMIFS(D1020:D1496,K1020:K1496,"0",B1020:B1496,"5 1 2 6 1 12 31111 6 M59 40300 000185*")-SUMIFS(E1020:E1496,K1020:K1496,"0",B1020:B1496,"5 1 2 6 1 12 31111 6 M59 40300 000185*")</f>
        <v>0</v>
      </c>
      <c r="E1019" s="54"/>
      <c r="F1019" s="83">
        <f>SUMIFS(F1020:F1496,K1020:K1496,"0",B1020:B1496,"5 1 2 6 1 12 31111 6 M59 40300 000185*")</f>
        <v>459033.41</v>
      </c>
      <c r="G1019" s="83">
        <f>SUMIFS(G1020:G1496,K1020:K1496,"0",B1020:B1496,"5 1 2 6 1 12 31111 6 M59 40300 000185*")</f>
        <v>0</v>
      </c>
      <c r="H1019" s="83">
        <f t="shared" si="16"/>
        <v>459033.41</v>
      </c>
      <c r="I1019" s="83"/>
      <c r="K1019" s="54" t="s">
        <v>15</v>
      </c>
    </row>
    <row r="1020" spans="2:11" ht="24.75" x14ac:dyDescent="0.2">
      <c r="B1020" s="82" t="s">
        <v>7636</v>
      </c>
      <c r="C1020" s="82" t="s">
        <v>650</v>
      </c>
      <c r="D1020" s="83">
        <f>SUMIFS(D1021:D1496,K1021:K1496,"0",B1021:B1496,"5 1 2 6 1 12 31111 6 M59 40300 000185 0000R*")-SUMIFS(E1021:E1496,K1021:K1496,"0",B1021:B1496,"5 1 2 6 1 12 31111 6 M59 40300 000185 0000R*")</f>
        <v>0</v>
      </c>
      <c r="E1020" s="54"/>
      <c r="F1020" s="83">
        <f>SUMIFS(F1021:F1496,K1021:K1496,"0",B1021:B1496,"5 1 2 6 1 12 31111 6 M59 40300 000185 0000R*")</f>
        <v>459033.41</v>
      </c>
      <c r="G1020" s="83">
        <f>SUMIFS(G1021:G1496,K1021:K1496,"0",B1021:B1496,"5 1 2 6 1 12 31111 6 M59 40300 000185 0000R*")</f>
        <v>0</v>
      </c>
      <c r="H1020" s="83">
        <f t="shared" si="16"/>
        <v>459033.41</v>
      </c>
      <c r="I1020" s="83"/>
      <c r="K1020" s="54" t="s">
        <v>15</v>
      </c>
    </row>
    <row r="1021" spans="2:11" ht="24.75" x14ac:dyDescent="0.2">
      <c r="B1021" s="82" t="s">
        <v>7637</v>
      </c>
      <c r="C1021" s="82" t="s">
        <v>282</v>
      </c>
      <c r="D1021" s="83">
        <f>SUMIFS(D1022:D1496,K1022:K1496,"0",B1022:B1496,"5 1 2 6 1 12 31111 6 M59 40300 000185 0000R 00001*")-SUMIFS(E1022:E1496,K1022:K1496,"0",B1022:B1496,"5 1 2 6 1 12 31111 6 M59 40300 000185 0000R 00001*")</f>
        <v>0</v>
      </c>
      <c r="E1021" s="54"/>
      <c r="F1021" s="83">
        <f>SUMIFS(F1022:F1496,K1022:K1496,"0",B1022:B1496,"5 1 2 6 1 12 31111 6 M59 40300 000185 0000R 00001*")</f>
        <v>459033.41</v>
      </c>
      <c r="G1021" s="83">
        <f>SUMIFS(G1022:G1496,K1022:K1496,"0",B1022:B1496,"5 1 2 6 1 12 31111 6 M59 40300 000185 0000R 00001*")</f>
        <v>0</v>
      </c>
      <c r="H1021" s="83">
        <f t="shared" si="16"/>
        <v>459033.41</v>
      </c>
      <c r="I1021" s="83"/>
      <c r="K1021" s="54" t="s">
        <v>15</v>
      </c>
    </row>
    <row r="1022" spans="2:11" ht="24.75" x14ac:dyDescent="0.2">
      <c r="B1022" s="82" t="s">
        <v>7638</v>
      </c>
      <c r="C1022" s="82" t="s">
        <v>7511</v>
      </c>
      <c r="D1022" s="83">
        <f>SUMIFS(D1023:D1496,K1023:K1496,"0",B1023:B1496,"5 1 2 6 1 12 31111 6 M59 40300 000185 0000R 00001 00261*")-SUMIFS(E1023:E1496,K1023:K1496,"0",B1023:B1496,"5 1 2 6 1 12 31111 6 M59 40300 000185 0000R 00001 00261*")</f>
        <v>0</v>
      </c>
      <c r="E1022" s="54"/>
      <c r="F1022" s="83">
        <f>SUMIFS(F1023:F1496,K1023:K1496,"0",B1023:B1496,"5 1 2 6 1 12 31111 6 M59 40300 000185 0000R 00001 00261*")</f>
        <v>459033.41</v>
      </c>
      <c r="G1022" s="83">
        <f>SUMIFS(G1023:G1496,K1023:K1496,"0",B1023:B1496,"5 1 2 6 1 12 31111 6 M59 40300 000185 0000R 00001 00261*")</f>
        <v>0</v>
      </c>
      <c r="H1022" s="83">
        <f t="shared" si="16"/>
        <v>459033.41</v>
      </c>
      <c r="I1022" s="83"/>
      <c r="K1022" s="54" t="s">
        <v>15</v>
      </c>
    </row>
    <row r="1023" spans="2:11" ht="33" x14ac:dyDescent="0.2">
      <c r="B1023" s="82" t="s">
        <v>7639</v>
      </c>
      <c r="C1023" s="82" t="s">
        <v>656</v>
      </c>
      <c r="D1023" s="83">
        <f>SUMIFS(D1024:D1496,K1024:K1496,"0",B1024:B1496,"5 1 2 6 1 12 31111 6 M59 40300 000185 0000R 00001 00261 025*")-SUMIFS(E1024:E1496,K1024:K1496,"0",B1024:B1496,"5 1 2 6 1 12 31111 6 M59 40300 000185 0000R 00001 00261 025*")</f>
        <v>0</v>
      </c>
      <c r="E1023" s="54"/>
      <c r="F1023" s="83">
        <f>SUMIFS(F1024:F1496,K1024:K1496,"0",B1024:B1496,"5 1 2 6 1 12 31111 6 M59 40300 000185 0000R 00001 00261 025*")</f>
        <v>459033.41</v>
      </c>
      <c r="G1023" s="83">
        <f>SUMIFS(G1024:G1496,K1024:K1496,"0",B1024:B1496,"5 1 2 6 1 12 31111 6 M59 40300 000185 0000R 00001 00261 025*")</f>
        <v>0</v>
      </c>
      <c r="H1023" s="83">
        <f t="shared" si="16"/>
        <v>459033.41</v>
      </c>
      <c r="I1023" s="83"/>
      <c r="K1023" s="54" t="s">
        <v>15</v>
      </c>
    </row>
    <row r="1024" spans="2:11" ht="33" x14ac:dyDescent="0.2">
      <c r="B1024" s="82" t="s">
        <v>7640</v>
      </c>
      <c r="C1024" s="82" t="s">
        <v>5830</v>
      </c>
      <c r="D1024" s="83">
        <f>SUMIFS(D1025:D1496,K1025:K1496,"0",B1025:B1496,"5 1 2 6 1 12 31111 6 M59 40300 000185 0000R 00001 00261 025 2112000*")-SUMIFS(E1025:E1496,K1025:K1496,"0",B1025:B1496,"5 1 2 6 1 12 31111 6 M59 40300 000185 0000R 00001 00261 025 2112000*")</f>
        <v>0</v>
      </c>
      <c r="E1024" s="54"/>
      <c r="F1024" s="83">
        <f>SUMIFS(F1025:F1496,K1025:K1496,"0",B1025:B1496,"5 1 2 6 1 12 31111 6 M59 40300 000185 0000R 00001 00261 025 2112000*")</f>
        <v>459033.41</v>
      </c>
      <c r="G1024" s="83">
        <f>SUMIFS(G1025:G1496,K1025:K1496,"0",B1025:B1496,"5 1 2 6 1 12 31111 6 M59 40300 000185 0000R 00001 00261 025 2112000*")</f>
        <v>0</v>
      </c>
      <c r="H1024" s="83">
        <f t="shared" si="16"/>
        <v>459033.41</v>
      </c>
      <c r="I1024" s="83"/>
      <c r="K1024" s="54" t="s">
        <v>15</v>
      </c>
    </row>
    <row r="1025" spans="2:11" ht="33" x14ac:dyDescent="0.2">
      <c r="B1025" s="82" t="s">
        <v>7641</v>
      </c>
      <c r="C1025" s="82" t="s">
        <v>660</v>
      </c>
      <c r="D1025" s="83">
        <f>SUMIFS(D1026:D1496,K1026:K1496,"0",B1026:B1496,"5 1 2 6 1 12 31111 6 M59 40300 000185 0000R 00001 00261 025 2112000 2024*")-SUMIFS(E1026:E1496,K1026:K1496,"0",B1026:B1496,"5 1 2 6 1 12 31111 6 M59 40300 000185 0000R 00001 00261 025 2112000 2024*")</f>
        <v>0</v>
      </c>
      <c r="E1025" s="54"/>
      <c r="F1025" s="83">
        <f>SUMIFS(F1026:F1496,K1026:K1496,"0",B1026:B1496,"5 1 2 6 1 12 31111 6 M59 40300 000185 0000R 00001 00261 025 2112000 2024*")</f>
        <v>459033.41</v>
      </c>
      <c r="G1025" s="83">
        <f>SUMIFS(G1026:G1496,K1026:K1496,"0",B1026:B1496,"5 1 2 6 1 12 31111 6 M59 40300 000185 0000R 00001 00261 025 2112000 2024*")</f>
        <v>0</v>
      </c>
      <c r="H1025" s="83">
        <f t="shared" si="16"/>
        <v>459033.41</v>
      </c>
      <c r="I1025" s="83"/>
      <c r="K1025" s="54" t="s">
        <v>15</v>
      </c>
    </row>
    <row r="1026" spans="2:11" ht="41.25" x14ac:dyDescent="0.2">
      <c r="B1026" s="82" t="s">
        <v>7642</v>
      </c>
      <c r="C1026" s="82" t="s">
        <v>662</v>
      </c>
      <c r="D1026" s="83">
        <f>SUMIFS(D1027:D1496,K1027:K1496,"0",B1027:B1496,"5 1 2 6 1 12 31111 6 M59 40300 000185 0000R 00001 00261 025 2112000 2024 CP4TV371*")-SUMIFS(E1027:E1496,K1027:K1496,"0",B1027:B1496,"5 1 2 6 1 12 31111 6 M59 40300 000185 0000R 00001 00261 025 2112000 2024 CP4TV371*")</f>
        <v>0</v>
      </c>
      <c r="E1026" s="54"/>
      <c r="F1026" s="83">
        <f>SUMIFS(F1027:F1496,K1027:K1496,"0",B1027:B1496,"5 1 2 6 1 12 31111 6 M59 40300 000185 0000R 00001 00261 025 2112000 2024 CP4TV371*")</f>
        <v>459033.41</v>
      </c>
      <c r="G1026" s="83">
        <f>SUMIFS(G1027:G1496,K1027:K1496,"0",B1027:B1496,"5 1 2 6 1 12 31111 6 M59 40300 000185 0000R 00001 00261 025 2112000 2024 CP4TV371*")</f>
        <v>0</v>
      </c>
      <c r="H1026" s="83">
        <f t="shared" si="16"/>
        <v>459033.41</v>
      </c>
      <c r="I1026" s="83"/>
      <c r="K1026" s="54" t="s">
        <v>15</v>
      </c>
    </row>
    <row r="1027" spans="2:11" ht="41.25" x14ac:dyDescent="0.2">
      <c r="B1027" s="82" t="s">
        <v>7643</v>
      </c>
      <c r="C1027" s="82" t="s">
        <v>664</v>
      </c>
      <c r="D1027" s="83">
        <f>SUMIFS(D1028:D1496,K1028:K1496,"0",B1028:B1496,"5 1 2 6 1 12 31111 6 M59 40300 000185 0000R 00001 00261 025 2112000 2024 CP4TV371 003*")-SUMIFS(E1028:E1496,K1028:K1496,"0",B1028:B1496,"5 1 2 6 1 12 31111 6 M59 40300 000185 0000R 00001 00261 025 2112000 2024 CP4TV371 003*")</f>
        <v>0</v>
      </c>
      <c r="E1027" s="54"/>
      <c r="F1027" s="83">
        <f>SUMIFS(F1028:F1496,K1028:K1496,"0",B1028:B1496,"5 1 2 6 1 12 31111 6 M59 40300 000185 0000R 00001 00261 025 2112000 2024 CP4TV371 003*")</f>
        <v>459033.41</v>
      </c>
      <c r="G1027" s="83">
        <f>SUMIFS(G1028:G1496,K1028:K1496,"0",B1028:B1496,"5 1 2 6 1 12 31111 6 M59 40300 000185 0000R 00001 00261 025 2112000 2024 CP4TV371 003*")</f>
        <v>0</v>
      </c>
      <c r="H1027" s="83">
        <f t="shared" si="16"/>
        <v>459033.41</v>
      </c>
      <c r="I1027" s="83"/>
      <c r="K1027" s="54" t="s">
        <v>15</v>
      </c>
    </row>
    <row r="1028" spans="2:11" ht="33" x14ac:dyDescent="0.2">
      <c r="B1028" s="84" t="s">
        <v>7644</v>
      </c>
      <c r="C1028" s="84" t="s">
        <v>540</v>
      </c>
      <c r="D1028" s="85">
        <v>0</v>
      </c>
      <c r="E1028" s="85"/>
      <c r="F1028" s="85">
        <v>459033.41</v>
      </c>
      <c r="G1028" s="85">
        <v>0</v>
      </c>
      <c r="H1028" s="85">
        <f t="shared" si="16"/>
        <v>459033.41</v>
      </c>
      <c r="I1028" s="85"/>
      <c r="K1028" s="54" t="s">
        <v>38</v>
      </c>
    </row>
    <row r="1029" spans="2:11" ht="24.75" x14ac:dyDescent="0.2">
      <c r="B1029" s="82" t="s">
        <v>7717</v>
      </c>
      <c r="C1029" s="82" t="s">
        <v>551</v>
      </c>
      <c r="D1029" s="83">
        <f>SUMIFS(D1030:D1496,K1030:K1496,"0",B1030:B1496,"5 1 2 7*")-SUMIFS(E1030:E1496,K1030:K1496,"0",B1030:B1496,"5 1 2 7*")</f>
        <v>0</v>
      </c>
      <c r="E1029" s="54"/>
      <c r="F1029" s="83">
        <f>SUMIFS(F1030:F1496,K1030:K1496,"0",B1030:B1496,"5 1 2 7*")</f>
        <v>520325.63</v>
      </c>
      <c r="G1029" s="83">
        <f>SUMIFS(G1030:G1496,K1030:K1496,"0",B1030:B1496,"5 1 2 7*")</f>
        <v>0</v>
      </c>
      <c r="H1029" s="83">
        <f t="shared" si="16"/>
        <v>520325.63</v>
      </c>
      <c r="I1029" s="83"/>
      <c r="K1029" s="54" t="s">
        <v>15</v>
      </c>
    </row>
    <row r="1030" spans="2:11" ht="12.75" x14ac:dyDescent="0.2">
      <c r="B1030" s="82" t="s">
        <v>7718</v>
      </c>
      <c r="C1030" s="82" t="s">
        <v>7719</v>
      </c>
      <c r="D1030" s="83">
        <f>SUMIFS(D1031:D1496,K1031:K1496,"0",B1031:B1496,"5 1 2 7 1*")-SUMIFS(E1031:E1496,K1031:K1496,"0",B1031:B1496,"5 1 2 7 1*")</f>
        <v>0</v>
      </c>
      <c r="E1030" s="54"/>
      <c r="F1030" s="83">
        <f>SUMIFS(F1031:F1496,K1031:K1496,"0",B1031:B1496,"5 1 2 7 1*")</f>
        <v>418100.63</v>
      </c>
      <c r="G1030" s="83">
        <f>SUMIFS(G1031:G1496,K1031:K1496,"0",B1031:B1496,"5 1 2 7 1*")</f>
        <v>0</v>
      </c>
      <c r="H1030" s="83">
        <f t="shared" si="16"/>
        <v>418100.63</v>
      </c>
      <c r="I1030" s="83"/>
      <c r="K1030" s="54" t="s">
        <v>15</v>
      </c>
    </row>
    <row r="1031" spans="2:11" ht="12.75" x14ac:dyDescent="0.2">
      <c r="B1031" s="82" t="s">
        <v>7720</v>
      </c>
      <c r="C1031" s="82" t="s">
        <v>26</v>
      </c>
      <c r="D1031" s="83">
        <f>SUMIFS(D1032:D1496,K1032:K1496,"0",B1032:B1496,"5 1 2 7 1 12*")-SUMIFS(E1032:E1496,K1032:K1496,"0",B1032:B1496,"5 1 2 7 1 12*")</f>
        <v>0</v>
      </c>
      <c r="E1031" s="54"/>
      <c r="F1031" s="83">
        <f>SUMIFS(F1032:F1496,K1032:K1496,"0",B1032:B1496,"5 1 2 7 1 12*")</f>
        <v>418100.63</v>
      </c>
      <c r="G1031" s="83">
        <f>SUMIFS(G1032:G1496,K1032:K1496,"0",B1032:B1496,"5 1 2 7 1 12*")</f>
        <v>0</v>
      </c>
      <c r="H1031" s="83">
        <f t="shared" si="16"/>
        <v>418100.63</v>
      </c>
      <c r="I1031" s="83"/>
      <c r="K1031" s="54" t="s">
        <v>15</v>
      </c>
    </row>
    <row r="1032" spans="2:11" ht="16.5" x14ac:dyDescent="0.2">
      <c r="B1032" s="82" t="s">
        <v>7721</v>
      </c>
      <c r="C1032" s="82" t="s">
        <v>28</v>
      </c>
      <c r="D1032" s="83">
        <f>SUMIFS(D1033:D1496,K1033:K1496,"0",B1033:B1496,"5 1 2 7 1 12 31111*")-SUMIFS(E1033:E1496,K1033:K1496,"0",B1033:B1496,"5 1 2 7 1 12 31111*")</f>
        <v>0</v>
      </c>
      <c r="E1032" s="54"/>
      <c r="F1032" s="83">
        <f>SUMIFS(F1033:F1496,K1033:K1496,"0",B1033:B1496,"5 1 2 7 1 12 31111*")</f>
        <v>418100.63</v>
      </c>
      <c r="G1032" s="83">
        <f>SUMIFS(G1033:G1496,K1033:K1496,"0",B1033:B1496,"5 1 2 7 1 12 31111*")</f>
        <v>0</v>
      </c>
      <c r="H1032" s="83">
        <f t="shared" si="16"/>
        <v>418100.63</v>
      </c>
      <c r="I1032" s="83"/>
      <c r="K1032" s="54" t="s">
        <v>15</v>
      </c>
    </row>
    <row r="1033" spans="2:11" ht="12.75" x14ac:dyDescent="0.2">
      <c r="B1033" s="82" t="s">
        <v>7722</v>
      </c>
      <c r="C1033" s="82" t="s">
        <v>30</v>
      </c>
      <c r="D1033" s="83">
        <f>SUMIFS(D1034:D1496,K1034:K1496,"0",B1034:B1496,"5 1 2 7 1 12 31111 6*")-SUMIFS(E1034:E1496,K1034:K1496,"0",B1034:B1496,"5 1 2 7 1 12 31111 6*")</f>
        <v>0</v>
      </c>
      <c r="E1033" s="54"/>
      <c r="F1033" s="83">
        <f>SUMIFS(F1034:F1496,K1034:K1496,"0",B1034:B1496,"5 1 2 7 1 12 31111 6*")</f>
        <v>418100.63</v>
      </c>
      <c r="G1033" s="83">
        <f>SUMIFS(G1034:G1496,K1034:K1496,"0",B1034:B1496,"5 1 2 7 1 12 31111 6*")</f>
        <v>0</v>
      </c>
      <c r="H1033" s="83">
        <f t="shared" si="16"/>
        <v>418100.63</v>
      </c>
      <c r="I1033" s="83"/>
      <c r="K1033" s="54" t="s">
        <v>15</v>
      </c>
    </row>
    <row r="1034" spans="2:11" ht="16.5" x14ac:dyDescent="0.2">
      <c r="B1034" s="82" t="s">
        <v>7723</v>
      </c>
      <c r="C1034" s="82" t="s">
        <v>2284</v>
      </c>
      <c r="D1034" s="83">
        <f>SUMIFS(D1035:D1496,K1035:K1496,"0",B1035:B1496,"5 1 2 7 1 12 31111 6 M59*")-SUMIFS(E1035:E1496,K1035:K1496,"0",B1035:B1496,"5 1 2 7 1 12 31111 6 M59*")</f>
        <v>0</v>
      </c>
      <c r="E1034" s="54"/>
      <c r="F1034" s="83">
        <f>SUMIFS(F1035:F1496,K1035:K1496,"0",B1035:B1496,"5 1 2 7 1 12 31111 6 M59*")</f>
        <v>418100.63</v>
      </c>
      <c r="G1034" s="83">
        <f>SUMIFS(G1035:G1496,K1035:K1496,"0",B1035:B1496,"5 1 2 7 1 12 31111 6 M59*")</f>
        <v>0</v>
      </c>
      <c r="H1034" s="83">
        <f t="shared" si="16"/>
        <v>418100.63</v>
      </c>
      <c r="I1034" s="83"/>
      <c r="K1034" s="54" t="s">
        <v>15</v>
      </c>
    </row>
    <row r="1035" spans="2:11" ht="16.5" x14ac:dyDescent="0.2">
      <c r="B1035" s="82" t="s">
        <v>7724</v>
      </c>
      <c r="C1035" s="82" t="s">
        <v>1092</v>
      </c>
      <c r="D1035" s="83">
        <f>SUMIFS(D1036:D1496,K1036:K1496,"0",B1036:B1496,"5 1 2 7 1 12 31111 6 M59 40000*")-SUMIFS(E1036:E1496,K1036:K1496,"0",B1036:B1496,"5 1 2 7 1 12 31111 6 M59 40000*")</f>
        <v>0</v>
      </c>
      <c r="E1035" s="54"/>
      <c r="F1035" s="83">
        <f>SUMIFS(F1036:F1496,K1036:K1496,"0",B1036:B1496,"5 1 2 7 1 12 31111 6 M59 40000*")</f>
        <v>352785</v>
      </c>
      <c r="G1035" s="83">
        <f>SUMIFS(G1036:G1496,K1036:K1496,"0",B1036:B1496,"5 1 2 7 1 12 31111 6 M59 40000*")</f>
        <v>0</v>
      </c>
      <c r="H1035" s="83">
        <f t="shared" si="16"/>
        <v>352785</v>
      </c>
      <c r="I1035" s="83"/>
      <c r="K1035" s="54" t="s">
        <v>15</v>
      </c>
    </row>
    <row r="1036" spans="2:11" ht="16.5" x14ac:dyDescent="0.2">
      <c r="B1036" s="82" t="s">
        <v>7725</v>
      </c>
      <c r="C1036" s="82" t="s">
        <v>1094</v>
      </c>
      <c r="D1036" s="83">
        <f>SUMIFS(D1037:D1496,K1037:K1496,"0",B1037:B1496,"5 1 2 7 1 12 31111 6 M59 40000 000161*")-SUMIFS(E1037:E1496,K1037:K1496,"0",B1037:B1496,"5 1 2 7 1 12 31111 6 M59 40000 000161*")</f>
        <v>0</v>
      </c>
      <c r="E1036" s="54"/>
      <c r="F1036" s="83">
        <f>SUMIFS(F1037:F1496,K1037:K1496,"0",B1037:B1496,"5 1 2 7 1 12 31111 6 M59 40000 000161*")</f>
        <v>352785</v>
      </c>
      <c r="G1036" s="83">
        <f>SUMIFS(G1037:G1496,K1037:K1496,"0",B1037:B1496,"5 1 2 7 1 12 31111 6 M59 40000 000161*")</f>
        <v>0</v>
      </c>
      <c r="H1036" s="83">
        <f t="shared" si="16"/>
        <v>352785</v>
      </c>
      <c r="I1036" s="83"/>
      <c r="K1036" s="54" t="s">
        <v>15</v>
      </c>
    </row>
    <row r="1037" spans="2:11" ht="16.5" x14ac:dyDescent="0.2">
      <c r="B1037" s="82" t="s">
        <v>7726</v>
      </c>
      <c r="C1037" s="82" t="s">
        <v>1065</v>
      </c>
      <c r="D1037" s="83">
        <f>SUMIFS(D1038:D1496,K1038:K1496,"0",B1038:B1496,"5 1 2 7 1 12 31111 6 M59 40000 000161 0000E*")-SUMIFS(E1038:E1496,K1038:K1496,"0",B1038:B1496,"5 1 2 7 1 12 31111 6 M59 40000 000161 0000E*")</f>
        <v>0</v>
      </c>
      <c r="E1037" s="54"/>
      <c r="F1037" s="83">
        <f>SUMIFS(F1038:F1496,K1038:K1496,"0",B1038:B1496,"5 1 2 7 1 12 31111 6 M59 40000 000161 0000E*")</f>
        <v>352785</v>
      </c>
      <c r="G1037" s="83">
        <f>SUMIFS(G1038:G1496,K1038:K1496,"0",B1038:B1496,"5 1 2 7 1 12 31111 6 M59 40000 000161 0000E*")</f>
        <v>0</v>
      </c>
      <c r="H1037" s="83">
        <f t="shared" si="16"/>
        <v>352785</v>
      </c>
      <c r="I1037" s="83"/>
      <c r="K1037" s="54" t="s">
        <v>15</v>
      </c>
    </row>
    <row r="1038" spans="2:11" ht="24.75" x14ac:dyDescent="0.2">
      <c r="B1038" s="82" t="s">
        <v>7727</v>
      </c>
      <c r="C1038" s="82" t="s">
        <v>282</v>
      </c>
      <c r="D1038" s="83">
        <f>SUMIFS(D1039:D1496,K1039:K1496,"0",B1039:B1496,"5 1 2 7 1 12 31111 6 M59 40000 000161 0000E 00001*")-SUMIFS(E1039:E1496,K1039:K1496,"0",B1039:B1496,"5 1 2 7 1 12 31111 6 M59 40000 000161 0000E 00001*")</f>
        <v>0</v>
      </c>
      <c r="E1038" s="54"/>
      <c r="F1038" s="83">
        <f>SUMIFS(F1039:F1496,K1039:K1496,"0",B1039:B1496,"5 1 2 7 1 12 31111 6 M59 40000 000161 0000E 00001*")</f>
        <v>352785</v>
      </c>
      <c r="G1038" s="83">
        <f>SUMIFS(G1039:G1496,K1039:K1496,"0",B1039:B1496,"5 1 2 7 1 12 31111 6 M59 40000 000161 0000E 00001*")</f>
        <v>0</v>
      </c>
      <c r="H1038" s="83">
        <f t="shared" si="16"/>
        <v>352785</v>
      </c>
      <c r="I1038" s="83"/>
      <c r="K1038" s="54" t="s">
        <v>15</v>
      </c>
    </row>
    <row r="1039" spans="2:11" ht="24.75" x14ac:dyDescent="0.2">
      <c r="B1039" s="82" t="s">
        <v>7728</v>
      </c>
      <c r="C1039" s="82" t="s">
        <v>7729</v>
      </c>
      <c r="D1039" s="83">
        <f>SUMIFS(D1040:D1496,K1040:K1496,"0",B1040:B1496,"5 1 2 7 1 12 31111 6 M59 40000 000161 0000E 00001 00271*")-SUMIFS(E1040:E1496,K1040:K1496,"0",B1040:B1496,"5 1 2 7 1 12 31111 6 M59 40000 000161 0000E 00001 00271*")</f>
        <v>0</v>
      </c>
      <c r="E1039" s="54"/>
      <c r="F1039" s="83">
        <f>SUMIFS(F1040:F1496,K1040:K1496,"0",B1040:B1496,"5 1 2 7 1 12 31111 6 M59 40000 000161 0000E 00001 00271*")</f>
        <v>352785</v>
      </c>
      <c r="G1039" s="83">
        <f>SUMIFS(G1040:G1496,K1040:K1496,"0",B1040:B1496,"5 1 2 7 1 12 31111 6 M59 40000 000161 0000E 00001 00271*")</f>
        <v>0</v>
      </c>
      <c r="H1039" s="83">
        <f t="shared" si="16"/>
        <v>352785</v>
      </c>
      <c r="I1039" s="83"/>
      <c r="K1039" s="54" t="s">
        <v>15</v>
      </c>
    </row>
    <row r="1040" spans="2:11" ht="24.75" x14ac:dyDescent="0.2">
      <c r="B1040" s="82" t="s">
        <v>7730</v>
      </c>
      <c r="C1040" s="82" t="s">
        <v>656</v>
      </c>
      <c r="D1040" s="83">
        <f>SUMIFS(D1041:D1496,K1041:K1496,"0",B1041:B1496,"5 1 2 7 1 12 31111 6 M59 40000 000161 0000E 00001 00271 025*")-SUMIFS(E1041:E1496,K1041:K1496,"0",B1041:B1496,"5 1 2 7 1 12 31111 6 M59 40000 000161 0000E 00001 00271 025*")</f>
        <v>0</v>
      </c>
      <c r="E1040" s="54"/>
      <c r="F1040" s="83">
        <f>SUMIFS(F1041:F1496,K1041:K1496,"0",B1041:B1496,"5 1 2 7 1 12 31111 6 M59 40000 000161 0000E 00001 00271 025*")</f>
        <v>352785</v>
      </c>
      <c r="G1040" s="83">
        <f>SUMIFS(G1041:G1496,K1041:K1496,"0",B1041:B1496,"5 1 2 7 1 12 31111 6 M59 40000 000161 0000E 00001 00271 025*")</f>
        <v>0</v>
      </c>
      <c r="H1040" s="83">
        <f t="shared" si="16"/>
        <v>352785</v>
      </c>
      <c r="I1040" s="83"/>
      <c r="K1040" s="54" t="s">
        <v>15</v>
      </c>
    </row>
    <row r="1041" spans="2:11" ht="33" x14ac:dyDescent="0.2">
      <c r="B1041" s="82" t="s">
        <v>7731</v>
      </c>
      <c r="C1041" s="82" t="s">
        <v>5830</v>
      </c>
      <c r="D1041" s="83">
        <f>SUMIFS(D1042:D1496,K1042:K1496,"0",B1042:B1496,"5 1 2 7 1 12 31111 6 M59 40000 000161 0000E 00001 00271 025 2112000*")-SUMIFS(E1042:E1496,K1042:K1496,"0",B1042:B1496,"5 1 2 7 1 12 31111 6 M59 40000 000161 0000E 00001 00271 025 2112000*")</f>
        <v>0</v>
      </c>
      <c r="E1041" s="54"/>
      <c r="F1041" s="83">
        <f>SUMIFS(F1042:F1496,K1042:K1496,"0",B1042:B1496,"5 1 2 7 1 12 31111 6 M59 40000 000161 0000E 00001 00271 025 2112000*")</f>
        <v>352785</v>
      </c>
      <c r="G1041" s="83">
        <f>SUMIFS(G1042:G1496,K1042:K1496,"0",B1042:B1496,"5 1 2 7 1 12 31111 6 M59 40000 000161 0000E 00001 00271 025 2112000*")</f>
        <v>0</v>
      </c>
      <c r="H1041" s="83">
        <f t="shared" si="16"/>
        <v>352785</v>
      </c>
      <c r="I1041" s="83"/>
      <c r="K1041" s="54" t="s">
        <v>15</v>
      </c>
    </row>
    <row r="1042" spans="2:11" ht="33" x14ac:dyDescent="0.2">
      <c r="B1042" s="82" t="s">
        <v>7732</v>
      </c>
      <c r="C1042" s="82" t="s">
        <v>660</v>
      </c>
      <c r="D1042" s="83">
        <f>SUMIFS(D1043:D1496,K1043:K1496,"0",B1043:B1496,"5 1 2 7 1 12 31111 6 M59 40000 000161 0000E 00001 00271 025 2112000 2024*")-SUMIFS(E1043:E1496,K1043:K1496,"0",B1043:B1496,"5 1 2 7 1 12 31111 6 M59 40000 000161 0000E 00001 00271 025 2112000 2024*")</f>
        <v>0</v>
      </c>
      <c r="E1042" s="54"/>
      <c r="F1042" s="83">
        <f>SUMIFS(F1043:F1496,K1043:K1496,"0",B1043:B1496,"5 1 2 7 1 12 31111 6 M59 40000 000161 0000E 00001 00271 025 2112000 2024*")</f>
        <v>352785</v>
      </c>
      <c r="G1042" s="83">
        <f>SUMIFS(G1043:G1496,K1043:K1496,"0",B1043:B1496,"5 1 2 7 1 12 31111 6 M59 40000 000161 0000E 00001 00271 025 2112000 2024*")</f>
        <v>0</v>
      </c>
      <c r="H1042" s="83">
        <f t="shared" si="16"/>
        <v>352785</v>
      </c>
      <c r="I1042" s="83"/>
      <c r="K1042" s="54" t="s">
        <v>15</v>
      </c>
    </row>
    <row r="1043" spans="2:11" ht="41.25" x14ac:dyDescent="0.2">
      <c r="B1043" s="82" t="s">
        <v>7733</v>
      </c>
      <c r="C1043" s="82" t="s">
        <v>662</v>
      </c>
      <c r="D1043" s="83">
        <f>SUMIFS(D1044:D1496,K1044:K1496,"0",B1044:B1496,"5 1 2 7 1 12 31111 6 M59 40000 000161 0000E 00001 00271 025 2112000 2024 CP4SP372*")-SUMIFS(E1044:E1496,K1044:K1496,"0",B1044:B1496,"5 1 2 7 1 12 31111 6 M59 40000 000161 0000E 00001 00271 025 2112000 2024 CP4SP372*")</f>
        <v>0</v>
      </c>
      <c r="E1043" s="54"/>
      <c r="F1043" s="83">
        <f>SUMIFS(F1044:F1496,K1044:K1496,"0",B1044:B1496,"5 1 2 7 1 12 31111 6 M59 40000 000161 0000E 00001 00271 025 2112000 2024 CP4SP372*")</f>
        <v>352785</v>
      </c>
      <c r="G1043" s="83">
        <f>SUMIFS(G1044:G1496,K1044:K1496,"0",B1044:B1496,"5 1 2 7 1 12 31111 6 M59 40000 000161 0000E 00001 00271 025 2112000 2024 CP4SP372*")</f>
        <v>0</v>
      </c>
      <c r="H1043" s="83">
        <f t="shared" si="16"/>
        <v>352785</v>
      </c>
      <c r="I1043" s="83"/>
      <c r="K1043" s="54" t="s">
        <v>15</v>
      </c>
    </row>
    <row r="1044" spans="2:11" ht="41.25" x14ac:dyDescent="0.2">
      <c r="B1044" s="82" t="s">
        <v>7734</v>
      </c>
      <c r="C1044" s="82" t="s">
        <v>664</v>
      </c>
      <c r="D1044" s="83">
        <f>SUMIFS(D1045:D1496,K1045:K1496,"0",B1045:B1496,"5 1 2 7 1 12 31111 6 M59 40000 000161 0000E 00001 00271 025 2112000 2024 CP4SP372 003*")-SUMIFS(E1045:E1496,K1045:K1496,"0",B1045:B1496,"5 1 2 7 1 12 31111 6 M59 40000 000161 0000E 00001 00271 025 2112000 2024 CP4SP372 003*")</f>
        <v>0</v>
      </c>
      <c r="E1044" s="54"/>
      <c r="F1044" s="83">
        <f>SUMIFS(F1045:F1496,K1045:K1496,"0",B1045:B1496,"5 1 2 7 1 12 31111 6 M59 40000 000161 0000E 00001 00271 025 2112000 2024 CP4SP372 003*")</f>
        <v>352785</v>
      </c>
      <c r="G1044" s="83">
        <f>SUMIFS(G1045:G1496,K1045:K1496,"0",B1045:B1496,"5 1 2 7 1 12 31111 6 M59 40000 000161 0000E 00001 00271 025 2112000 2024 CP4SP372 003*")</f>
        <v>0</v>
      </c>
      <c r="H1044" s="83">
        <f t="shared" si="16"/>
        <v>352785</v>
      </c>
      <c r="I1044" s="83"/>
      <c r="K1044" s="54" t="s">
        <v>15</v>
      </c>
    </row>
    <row r="1045" spans="2:11" ht="33" x14ac:dyDescent="0.2">
      <c r="B1045" s="84" t="s">
        <v>7735</v>
      </c>
      <c r="C1045" s="84" t="s">
        <v>7719</v>
      </c>
      <c r="D1045" s="85">
        <v>0</v>
      </c>
      <c r="E1045" s="85"/>
      <c r="F1045" s="85">
        <v>352785</v>
      </c>
      <c r="G1045" s="85">
        <v>0</v>
      </c>
      <c r="H1045" s="85">
        <f t="shared" si="16"/>
        <v>352785</v>
      </c>
      <c r="I1045" s="85"/>
      <c r="K1045" s="54" t="s">
        <v>38</v>
      </c>
    </row>
    <row r="1046" spans="2:11" ht="16.5" x14ac:dyDescent="0.2">
      <c r="B1046" s="82" t="s">
        <v>7736</v>
      </c>
      <c r="C1046" s="82" t="s">
        <v>3268</v>
      </c>
      <c r="D1046" s="83">
        <f>SUMIFS(D1047:D1496,K1047:K1496,"0",B1047:B1496,"5 1 2 7 1 12 31111 6 M59 40400*")-SUMIFS(E1047:E1496,K1047:K1496,"0",B1047:B1496,"5 1 2 7 1 12 31111 6 M59 40400*")</f>
        <v>0</v>
      </c>
      <c r="E1046" s="54"/>
      <c r="F1046" s="83">
        <f>SUMIFS(F1047:F1496,K1047:K1496,"0",B1047:B1496,"5 1 2 7 1 12 31111 6 M59 40400*")</f>
        <v>65315.63</v>
      </c>
      <c r="G1046" s="83">
        <f>SUMIFS(G1047:G1496,K1047:K1496,"0",B1047:B1496,"5 1 2 7 1 12 31111 6 M59 40400*")</f>
        <v>0</v>
      </c>
      <c r="H1046" s="83">
        <f t="shared" si="16"/>
        <v>65315.63</v>
      </c>
      <c r="I1046" s="83"/>
      <c r="K1046" s="54" t="s">
        <v>15</v>
      </c>
    </row>
    <row r="1047" spans="2:11" ht="16.5" x14ac:dyDescent="0.2">
      <c r="B1047" s="82" t="s">
        <v>7737</v>
      </c>
      <c r="C1047" s="82" t="s">
        <v>3270</v>
      </c>
      <c r="D1047" s="83">
        <f>SUMIFS(D1048:D1496,K1048:K1496,"0",B1048:B1496,"5 1 2 7 1 12 31111 6 M59 40400 000173*")-SUMIFS(E1048:E1496,K1048:K1496,"0",B1048:B1496,"5 1 2 7 1 12 31111 6 M59 40400 000173*")</f>
        <v>0</v>
      </c>
      <c r="E1047" s="54"/>
      <c r="F1047" s="83">
        <f>SUMIFS(F1048:F1496,K1048:K1496,"0",B1048:B1496,"5 1 2 7 1 12 31111 6 M59 40400 000173*")</f>
        <v>65315.63</v>
      </c>
      <c r="G1047" s="83">
        <f>SUMIFS(G1048:G1496,K1048:K1496,"0",B1048:B1496,"5 1 2 7 1 12 31111 6 M59 40400 000173*")</f>
        <v>0</v>
      </c>
      <c r="H1047" s="83">
        <f t="shared" si="16"/>
        <v>65315.63</v>
      </c>
      <c r="I1047" s="83"/>
      <c r="K1047" s="54" t="s">
        <v>15</v>
      </c>
    </row>
    <row r="1048" spans="2:11" ht="16.5" x14ac:dyDescent="0.2">
      <c r="B1048" s="82" t="s">
        <v>7738</v>
      </c>
      <c r="C1048" s="82" t="s">
        <v>650</v>
      </c>
      <c r="D1048" s="83">
        <f>SUMIFS(D1049:D1496,K1049:K1496,"0",B1049:B1496,"5 1 2 7 1 12 31111 6 M59 40400 000173 0000R*")-SUMIFS(E1049:E1496,K1049:K1496,"0",B1049:B1496,"5 1 2 7 1 12 31111 6 M59 40400 000173 0000R*")</f>
        <v>0</v>
      </c>
      <c r="E1048" s="54"/>
      <c r="F1048" s="83">
        <f>SUMIFS(F1049:F1496,K1049:K1496,"0",B1049:B1496,"5 1 2 7 1 12 31111 6 M59 40400 000173 0000R*")</f>
        <v>65315.63</v>
      </c>
      <c r="G1048" s="83">
        <f>SUMIFS(G1049:G1496,K1049:K1496,"0",B1049:B1496,"5 1 2 7 1 12 31111 6 M59 40400 000173 0000R*")</f>
        <v>0</v>
      </c>
      <c r="H1048" s="83">
        <f t="shared" si="16"/>
        <v>65315.63</v>
      </c>
      <c r="I1048" s="83"/>
      <c r="K1048" s="54" t="s">
        <v>15</v>
      </c>
    </row>
    <row r="1049" spans="2:11" ht="24.75" x14ac:dyDescent="0.2">
      <c r="B1049" s="82" t="s">
        <v>7739</v>
      </c>
      <c r="C1049" s="82" t="s">
        <v>282</v>
      </c>
      <c r="D1049" s="83">
        <f>SUMIFS(D1050:D1496,K1050:K1496,"0",B1050:B1496,"5 1 2 7 1 12 31111 6 M59 40400 000173 0000R 00001*")-SUMIFS(E1050:E1496,K1050:K1496,"0",B1050:B1496,"5 1 2 7 1 12 31111 6 M59 40400 000173 0000R 00001*")</f>
        <v>0</v>
      </c>
      <c r="E1049" s="54"/>
      <c r="F1049" s="83">
        <f>SUMIFS(F1050:F1496,K1050:K1496,"0",B1050:B1496,"5 1 2 7 1 12 31111 6 M59 40400 000173 0000R 00001*")</f>
        <v>65315.63</v>
      </c>
      <c r="G1049" s="83">
        <f>SUMIFS(G1050:G1496,K1050:K1496,"0",B1050:B1496,"5 1 2 7 1 12 31111 6 M59 40400 000173 0000R 00001*")</f>
        <v>0</v>
      </c>
      <c r="H1049" s="83">
        <f t="shared" si="16"/>
        <v>65315.63</v>
      </c>
      <c r="I1049" s="83"/>
      <c r="K1049" s="54" t="s">
        <v>15</v>
      </c>
    </row>
    <row r="1050" spans="2:11" ht="24.75" x14ac:dyDescent="0.2">
      <c r="B1050" s="82" t="s">
        <v>7740</v>
      </c>
      <c r="C1050" s="82" t="s">
        <v>7729</v>
      </c>
      <c r="D1050" s="83">
        <f>SUMIFS(D1051:D1496,K1051:K1496,"0",B1051:B1496,"5 1 2 7 1 12 31111 6 M59 40400 000173 0000R 00001 00271*")-SUMIFS(E1051:E1496,K1051:K1496,"0",B1051:B1496,"5 1 2 7 1 12 31111 6 M59 40400 000173 0000R 00001 00271*")</f>
        <v>0</v>
      </c>
      <c r="E1050" s="54"/>
      <c r="F1050" s="83">
        <f>SUMIFS(F1051:F1496,K1051:K1496,"0",B1051:B1496,"5 1 2 7 1 12 31111 6 M59 40400 000173 0000R 00001 00271*")</f>
        <v>65315.63</v>
      </c>
      <c r="G1050" s="83">
        <f>SUMIFS(G1051:G1496,K1051:K1496,"0",B1051:B1496,"5 1 2 7 1 12 31111 6 M59 40400 000173 0000R 00001 00271*")</f>
        <v>0</v>
      </c>
      <c r="H1050" s="83">
        <f t="shared" si="16"/>
        <v>65315.63</v>
      </c>
      <c r="I1050" s="83"/>
      <c r="K1050" s="54" t="s">
        <v>15</v>
      </c>
    </row>
    <row r="1051" spans="2:11" ht="24.75" x14ac:dyDescent="0.2">
      <c r="B1051" s="82" t="s">
        <v>7741</v>
      </c>
      <c r="C1051" s="82" t="s">
        <v>656</v>
      </c>
      <c r="D1051" s="83">
        <f>SUMIFS(D1052:D1496,K1052:K1496,"0",B1052:B1496,"5 1 2 7 1 12 31111 6 M59 40400 000173 0000R 00001 00271 025*")-SUMIFS(E1052:E1496,K1052:K1496,"0",B1052:B1496,"5 1 2 7 1 12 31111 6 M59 40400 000173 0000R 00001 00271 025*")</f>
        <v>0</v>
      </c>
      <c r="E1051" s="54"/>
      <c r="F1051" s="83">
        <f>SUMIFS(F1052:F1496,K1052:K1496,"0",B1052:B1496,"5 1 2 7 1 12 31111 6 M59 40400 000173 0000R 00001 00271 025*")</f>
        <v>65315.63</v>
      </c>
      <c r="G1051" s="83">
        <f>SUMIFS(G1052:G1496,K1052:K1496,"0",B1052:B1496,"5 1 2 7 1 12 31111 6 M59 40400 000173 0000R 00001 00271 025*")</f>
        <v>0</v>
      </c>
      <c r="H1051" s="83">
        <f t="shared" si="16"/>
        <v>65315.63</v>
      </c>
      <c r="I1051" s="83"/>
      <c r="K1051" s="54" t="s">
        <v>15</v>
      </c>
    </row>
    <row r="1052" spans="2:11" ht="33" x14ac:dyDescent="0.2">
      <c r="B1052" s="82" t="s">
        <v>7742</v>
      </c>
      <c r="C1052" s="82" t="s">
        <v>5830</v>
      </c>
      <c r="D1052" s="83">
        <f>SUMIFS(D1053:D1496,K1053:K1496,"0",B1053:B1496,"5 1 2 7 1 12 31111 6 M59 40400 000173 0000R 00001 00271 025 2112000*")-SUMIFS(E1053:E1496,K1053:K1496,"0",B1053:B1496,"5 1 2 7 1 12 31111 6 M59 40400 000173 0000R 00001 00271 025 2112000*")</f>
        <v>0</v>
      </c>
      <c r="E1052" s="54"/>
      <c r="F1052" s="83">
        <f>SUMIFS(F1053:F1496,K1053:K1496,"0",B1053:B1496,"5 1 2 7 1 12 31111 6 M59 40400 000173 0000R 00001 00271 025 2112000*")</f>
        <v>65315.63</v>
      </c>
      <c r="G1052" s="83">
        <f>SUMIFS(G1053:G1496,K1053:K1496,"0",B1053:B1496,"5 1 2 7 1 12 31111 6 M59 40400 000173 0000R 00001 00271 025 2112000*")</f>
        <v>0</v>
      </c>
      <c r="H1052" s="83">
        <f t="shared" si="16"/>
        <v>65315.63</v>
      </c>
      <c r="I1052" s="83"/>
      <c r="K1052" s="54" t="s">
        <v>15</v>
      </c>
    </row>
    <row r="1053" spans="2:11" ht="33" x14ac:dyDescent="0.2">
      <c r="B1053" s="82" t="s">
        <v>7743</v>
      </c>
      <c r="C1053" s="82" t="s">
        <v>660</v>
      </c>
      <c r="D1053" s="83">
        <f>SUMIFS(D1054:D1496,K1054:K1496,"0",B1054:B1496,"5 1 2 7 1 12 31111 6 M59 40400 000173 0000R 00001 00271 025 2112000 2024*")-SUMIFS(E1054:E1496,K1054:K1496,"0",B1054:B1496,"5 1 2 7 1 12 31111 6 M59 40400 000173 0000R 00001 00271 025 2112000 2024*")</f>
        <v>0</v>
      </c>
      <c r="E1053" s="54"/>
      <c r="F1053" s="83">
        <f>SUMIFS(F1054:F1496,K1054:K1496,"0",B1054:B1496,"5 1 2 7 1 12 31111 6 M59 40400 000173 0000R 00001 00271 025 2112000 2024*")</f>
        <v>65315.63</v>
      </c>
      <c r="G1053" s="83">
        <f>SUMIFS(G1054:G1496,K1054:K1496,"0",B1054:B1496,"5 1 2 7 1 12 31111 6 M59 40400 000173 0000R 00001 00271 025 2112000 2024*")</f>
        <v>0</v>
      </c>
      <c r="H1053" s="83">
        <f t="shared" si="16"/>
        <v>65315.63</v>
      </c>
      <c r="I1053" s="83"/>
      <c r="K1053" s="54" t="s">
        <v>15</v>
      </c>
    </row>
    <row r="1054" spans="2:11" ht="41.25" x14ac:dyDescent="0.2">
      <c r="B1054" s="82" t="s">
        <v>7744</v>
      </c>
      <c r="C1054" s="82" t="s">
        <v>662</v>
      </c>
      <c r="D1054" s="83">
        <f>SUMIFS(D1055:D1496,K1055:K1496,"0",B1055:B1496,"5 1 2 7 1 12 31111 6 M59 40400 000173 0000R 00001 00271 025 2112000 2024 CP4PD369*")-SUMIFS(E1055:E1496,K1055:K1496,"0",B1055:B1496,"5 1 2 7 1 12 31111 6 M59 40400 000173 0000R 00001 00271 025 2112000 2024 CP4PD369*")</f>
        <v>0</v>
      </c>
      <c r="E1054" s="54"/>
      <c r="F1054" s="83">
        <f>SUMIFS(F1055:F1496,K1055:K1496,"0",B1055:B1496,"5 1 2 7 1 12 31111 6 M59 40400 000173 0000R 00001 00271 025 2112000 2024 CP4PD369*")</f>
        <v>65315.63</v>
      </c>
      <c r="G1054" s="83">
        <f>SUMIFS(G1055:G1496,K1055:K1496,"0",B1055:B1496,"5 1 2 7 1 12 31111 6 M59 40400 000173 0000R 00001 00271 025 2112000 2024 CP4PD369*")</f>
        <v>0</v>
      </c>
      <c r="H1054" s="83">
        <f t="shared" si="16"/>
        <v>65315.63</v>
      </c>
      <c r="I1054" s="83"/>
      <c r="K1054" s="54" t="s">
        <v>15</v>
      </c>
    </row>
    <row r="1055" spans="2:11" ht="41.25" x14ac:dyDescent="0.2">
      <c r="B1055" s="82" t="s">
        <v>7745</v>
      </c>
      <c r="C1055" s="82" t="s">
        <v>664</v>
      </c>
      <c r="D1055" s="83">
        <f>SUMIFS(D1056:D1496,K1056:K1496,"0",B1056:B1496,"5 1 2 7 1 12 31111 6 M59 40400 000173 0000R 00001 00271 025 2112000 2024 CP4PD369 003*")-SUMIFS(E1056:E1496,K1056:K1496,"0",B1056:B1496,"5 1 2 7 1 12 31111 6 M59 40400 000173 0000R 00001 00271 025 2112000 2024 CP4PD369 003*")</f>
        <v>0</v>
      </c>
      <c r="E1055" s="54"/>
      <c r="F1055" s="83">
        <f>SUMIFS(F1056:F1496,K1056:K1496,"0",B1056:B1496,"5 1 2 7 1 12 31111 6 M59 40400 000173 0000R 00001 00271 025 2112000 2024 CP4PD369 003*")</f>
        <v>65315.63</v>
      </c>
      <c r="G1055" s="83">
        <f>SUMIFS(G1056:G1496,K1056:K1496,"0",B1056:B1496,"5 1 2 7 1 12 31111 6 M59 40400 000173 0000R 00001 00271 025 2112000 2024 CP4PD369 003*")</f>
        <v>0</v>
      </c>
      <c r="H1055" s="83">
        <f t="shared" si="16"/>
        <v>65315.63</v>
      </c>
      <c r="I1055" s="83"/>
      <c r="K1055" s="54" t="s">
        <v>15</v>
      </c>
    </row>
    <row r="1056" spans="2:11" ht="33" x14ac:dyDescent="0.2">
      <c r="B1056" s="84" t="s">
        <v>7746</v>
      </c>
      <c r="C1056" s="84" t="s">
        <v>7719</v>
      </c>
      <c r="D1056" s="85">
        <v>0</v>
      </c>
      <c r="E1056" s="85"/>
      <c r="F1056" s="85">
        <v>65315.63</v>
      </c>
      <c r="G1056" s="85">
        <v>0</v>
      </c>
      <c r="H1056" s="85">
        <f t="shared" si="16"/>
        <v>65315.63</v>
      </c>
      <c r="I1056" s="85"/>
      <c r="K1056" s="54" t="s">
        <v>38</v>
      </c>
    </row>
    <row r="1057" spans="2:11" ht="16.5" x14ac:dyDescent="0.2">
      <c r="B1057" s="82" t="s">
        <v>7758</v>
      </c>
      <c r="C1057" s="82" t="s">
        <v>7759</v>
      </c>
      <c r="D1057" s="83">
        <f>SUMIFS(D1058:D1496,K1058:K1496,"0",B1058:B1496,"5 1 2 7 2*")-SUMIFS(E1058:E1496,K1058:K1496,"0",B1058:B1496,"5 1 2 7 2*")</f>
        <v>0</v>
      </c>
      <c r="E1057" s="54"/>
      <c r="F1057" s="83">
        <f>SUMIFS(F1058:F1496,K1058:K1496,"0",B1058:B1496,"5 1 2 7 2*")</f>
        <v>102225</v>
      </c>
      <c r="G1057" s="83">
        <f>SUMIFS(G1058:G1496,K1058:K1496,"0",B1058:B1496,"5 1 2 7 2*")</f>
        <v>0</v>
      </c>
      <c r="H1057" s="83">
        <f t="shared" si="16"/>
        <v>102225</v>
      </c>
      <c r="I1057" s="83"/>
      <c r="K1057" s="54" t="s">
        <v>15</v>
      </c>
    </row>
    <row r="1058" spans="2:11" ht="12.75" x14ac:dyDescent="0.2">
      <c r="B1058" s="82" t="s">
        <v>7760</v>
      </c>
      <c r="C1058" s="82" t="s">
        <v>26</v>
      </c>
      <c r="D1058" s="83">
        <f>SUMIFS(D1059:D1496,K1059:K1496,"0",B1059:B1496,"5 1 2 7 2 12*")-SUMIFS(E1059:E1496,K1059:K1496,"0",B1059:B1496,"5 1 2 7 2 12*")</f>
        <v>0</v>
      </c>
      <c r="E1058" s="54"/>
      <c r="F1058" s="83">
        <f>SUMIFS(F1059:F1496,K1059:K1496,"0",B1059:B1496,"5 1 2 7 2 12*")</f>
        <v>102225</v>
      </c>
      <c r="G1058" s="83">
        <f>SUMIFS(G1059:G1496,K1059:K1496,"0",B1059:B1496,"5 1 2 7 2 12*")</f>
        <v>0</v>
      </c>
      <c r="H1058" s="83">
        <f t="shared" si="16"/>
        <v>102225</v>
      </c>
      <c r="I1058" s="83"/>
      <c r="K1058" s="54" t="s">
        <v>15</v>
      </c>
    </row>
    <row r="1059" spans="2:11" ht="16.5" x14ac:dyDescent="0.2">
      <c r="B1059" s="82" t="s">
        <v>7761</v>
      </c>
      <c r="C1059" s="82" t="s">
        <v>28</v>
      </c>
      <c r="D1059" s="83">
        <f>SUMIFS(D1060:D1496,K1060:K1496,"0",B1060:B1496,"5 1 2 7 2 12 31111*")-SUMIFS(E1060:E1496,K1060:K1496,"0",B1060:B1496,"5 1 2 7 2 12 31111*")</f>
        <v>0</v>
      </c>
      <c r="E1059" s="54"/>
      <c r="F1059" s="83">
        <f>SUMIFS(F1060:F1496,K1060:K1496,"0",B1060:B1496,"5 1 2 7 2 12 31111*")</f>
        <v>102225</v>
      </c>
      <c r="G1059" s="83">
        <f>SUMIFS(G1060:G1496,K1060:K1496,"0",B1060:B1496,"5 1 2 7 2 12 31111*")</f>
        <v>0</v>
      </c>
      <c r="H1059" s="83">
        <f t="shared" ref="H1059:H1122" si="17">D1059 + F1059 - G1059</f>
        <v>102225</v>
      </c>
      <c r="I1059" s="83"/>
      <c r="K1059" s="54" t="s">
        <v>15</v>
      </c>
    </row>
    <row r="1060" spans="2:11" ht="12.75" x14ac:dyDescent="0.2">
      <c r="B1060" s="82" t="s">
        <v>7762</v>
      </c>
      <c r="C1060" s="82" t="s">
        <v>30</v>
      </c>
      <c r="D1060" s="83">
        <f>SUMIFS(D1061:D1496,K1061:K1496,"0",B1061:B1496,"5 1 2 7 2 12 31111 6*")-SUMIFS(E1061:E1496,K1061:K1496,"0",B1061:B1496,"5 1 2 7 2 12 31111 6*")</f>
        <v>0</v>
      </c>
      <c r="E1060" s="54"/>
      <c r="F1060" s="83">
        <f>SUMIFS(F1061:F1496,K1061:K1496,"0",B1061:B1496,"5 1 2 7 2 12 31111 6*")</f>
        <v>102225</v>
      </c>
      <c r="G1060" s="83">
        <f>SUMIFS(G1061:G1496,K1061:K1496,"0",B1061:B1496,"5 1 2 7 2 12 31111 6*")</f>
        <v>0</v>
      </c>
      <c r="H1060" s="83">
        <f t="shared" si="17"/>
        <v>102225</v>
      </c>
      <c r="I1060" s="83"/>
      <c r="K1060" s="54" t="s">
        <v>15</v>
      </c>
    </row>
    <row r="1061" spans="2:11" ht="16.5" x14ac:dyDescent="0.2">
      <c r="B1061" s="82" t="s">
        <v>7763</v>
      </c>
      <c r="C1061" s="82" t="s">
        <v>2284</v>
      </c>
      <c r="D1061" s="83">
        <f>SUMIFS(D1062:D1496,K1062:K1496,"0",B1062:B1496,"5 1 2 7 2 12 31111 6 M59*")-SUMIFS(E1062:E1496,K1062:K1496,"0",B1062:B1496,"5 1 2 7 2 12 31111 6 M59*")</f>
        <v>0</v>
      </c>
      <c r="E1061" s="54"/>
      <c r="F1061" s="83">
        <f>SUMIFS(F1062:F1496,K1062:K1496,"0",B1062:B1496,"5 1 2 7 2 12 31111 6 M59*")</f>
        <v>102225</v>
      </c>
      <c r="G1061" s="83">
        <f>SUMIFS(G1062:G1496,K1062:K1496,"0",B1062:B1496,"5 1 2 7 2 12 31111 6 M59*")</f>
        <v>0</v>
      </c>
      <c r="H1061" s="83">
        <f t="shared" si="17"/>
        <v>102225</v>
      </c>
      <c r="I1061" s="83"/>
      <c r="K1061" s="54" t="s">
        <v>15</v>
      </c>
    </row>
    <row r="1062" spans="2:11" ht="16.5" x14ac:dyDescent="0.2">
      <c r="B1062" s="82" t="s">
        <v>7776</v>
      </c>
      <c r="C1062" s="82" t="s">
        <v>1092</v>
      </c>
      <c r="D1062" s="83">
        <f>SUMIFS(D1063:D1496,K1063:K1496,"0",B1063:B1496,"5 1 2 7 2 12 31111 6 M59 40000*")-SUMIFS(E1063:E1496,K1063:K1496,"0",B1063:B1496,"5 1 2 7 2 12 31111 6 M59 40000*")</f>
        <v>0</v>
      </c>
      <c r="E1062" s="54"/>
      <c r="F1062" s="83">
        <f>SUMIFS(F1063:F1496,K1063:K1496,"0",B1063:B1496,"5 1 2 7 2 12 31111 6 M59 40000*")</f>
        <v>102225</v>
      </c>
      <c r="G1062" s="83">
        <f>SUMIFS(G1063:G1496,K1063:K1496,"0",B1063:B1496,"5 1 2 7 2 12 31111 6 M59 40000*")</f>
        <v>0</v>
      </c>
      <c r="H1062" s="83">
        <f t="shared" si="17"/>
        <v>102225</v>
      </c>
      <c r="I1062" s="83"/>
      <c r="K1062" s="54" t="s">
        <v>15</v>
      </c>
    </row>
    <row r="1063" spans="2:11" ht="16.5" x14ac:dyDescent="0.2">
      <c r="B1063" s="82" t="s">
        <v>7777</v>
      </c>
      <c r="C1063" s="82" t="s">
        <v>1094</v>
      </c>
      <c r="D1063" s="83">
        <f>SUMIFS(D1064:D1496,K1064:K1496,"0",B1064:B1496,"5 1 2 7 2 12 31111 6 M59 40000 000161*")-SUMIFS(E1064:E1496,K1064:K1496,"0",B1064:B1496,"5 1 2 7 2 12 31111 6 M59 40000 000161*")</f>
        <v>0</v>
      </c>
      <c r="E1063" s="54"/>
      <c r="F1063" s="83">
        <f>SUMIFS(F1064:F1496,K1064:K1496,"0",B1064:B1496,"5 1 2 7 2 12 31111 6 M59 40000 000161*")</f>
        <v>102225</v>
      </c>
      <c r="G1063" s="83">
        <f>SUMIFS(G1064:G1496,K1064:K1496,"0",B1064:B1496,"5 1 2 7 2 12 31111 6 M59 40000 000161*")</f>
        <v>0</v>
      </c>
      <c r="H1063" s="83">
        <f t="shared" si="17"/>
        <v>102225</v>
      </c>
      <c r="I1063" s="83"/>
      <c r="K1063" s="54" t="s">
        <v>15</v>
      </c>
    </row>
    <row r="1064" spans="2:11" ht="24.75" x14ac:dyDescent="0.2">
      <c r="B1064" s="82" t="s">
        <v>7778</v>
      </c>
      <c r="C1064" s="82" t="s">
        <v>1065</v>
      </c>
      <c r="D1064" s="83">
        <f>SUMIFS(D1065:D1496,K1065:K1496,"0",B1065:B1496,"5 1 2 7 2 12 31111 6 M59 40000 000161 0000E*")-SUMIFS(E1065:E1496,K1065:K1496,"0",B1065:B1496,"5 1 2 7 2 12 31111 6 M59 40000 000161 0000E*")</f>
        <v>0</v>
      </c>
      <c r="E1064" s="54"/>
      <c r="F1064" s="83">
        <f>SUMIFS(F1065:F1496,K1065:K1496,"0",B1065:B1496,"5 1 2 7 2 12 31111 6 M59 40000 000161 0000E*")</f>
        <v>102225</v>
      </c>
      <c r="G1064" s="83">
        <f>SUMIFS(G1065:G1496,K1065:K1496,"0",B1065:B1496,"5 1 2 7 2 12 31111 6 M59 40000 000161 0000E*")</f>
        <v>0</v>
      </c>
      <c r="H1064" s="83">
        <f t="shared" si="17"/>
        <v>102225</v>
      </c>
      <c r="I1064" s="83"/>
      <c r="K1064" s="54" t="s">
        <v>15</v>
      </c>
    </row>
    <row r="1065" spans="2:11" ht="24.75" x14ac:dyDescent="0.2">
      <c r="B1065" s="82" t="s">
        <v>7779</v>
      </c>
      <c r="C1065" s="82" t="s">
        <v>282</v>
      </c>
      <c r="D1065" s="83">
        <f>SUMIFS(D1066:D1496,K1066:K1496,"0",B1066:B1496,"5 1 2 7 2 12 31111 6 M59 40000 000161 0000E 00001*")-SUMIFS(E1066:E1496,K1066:K1496,"0",B1066:B1496,"5 1 2 7 2 12 31111 6 M59 40000 000161 0000E 00001*")</f>
        <v>0</v>
      </c>
      <c r="E1065" s="54"/>
      <c r="F1065" s="83">
        <f>SUMIFS(F1066:F1496,K1066:K1496,"0",B1066:B1496,"5 1 2 7 2 12 31111 6 M59 40000 000161 0000E 00001*")</f>
        <v>102225</v>
      </c>
      <c r="G1065" s="83">
        <f>SUMIFS(G1066:G1496,K1066:K1496,"0",B1066:B1496,"5 1 2 7 2 12 31111 6 M59 40000 000161 0000E 00001*")</f>
        <v>0</v>
      </c>
      <c r="H1065" s="83">
        <f t="shared" si="17"/>
        <v>102225</v>
      </c>
      <c r="I1065" s="83"/>
      <c r="K1065" s="54" t="s">
        <v>15</v>
      </c>
    </row>
    <row r="1066" spans="2:11" ht="24.75" x14ac:dyDescent="0.2">
      <c r="B1066" s="82" t="s">
        <v>7780</v>
      </c>
      <c r="C1066" s="82" t="s">
        <v>7769</v>
      </c>
      <c r="D1066" s="83">
        <f>SUMIFS(D1067:D1496,K1067:K1496,"0",B1067:B1496,"5 1 2 7 2 12 31111 6 M59 40000 000161 0000E 00001 00272*")-SUMIFS(E1067:E1496,K1067:K1496,"0",B1067:B1496,"5 1 2 7 2 12 31111 6 M59 40000 000161 0000E 00001 00272*")</f>
        <v>0</v>
      </c>
      <c r="E1066" s="54"/>
      <c r="F1066" s="83">
        <f>SUMIFS(F1067:F1496,K1067:K1496,"0",B1067:B1496,"5 1 2 7 2 12 31111 6 M59 40000 000161 0000E 00001 00272*")</f>
        <v>102225</v>
      </c>
      <c r="G1066" s="83">
        <f>SUMIFS(G1067:G1496,K1067:K1496,"0",B1067:B1496,"5 1 2 7 2 12 31111 6 M59 40000 000161 0000E 00001 00272*")</f>
        <v>0</v>
      </c>
      <c r="H1066" s="83">
        <f t="shared" si="17"/>
        <v>102225</v>
      </c>
      <c r="I1066" s="83"/>
      <c r="K1066" s="54" t="s">
        <v>15</v>
      </c>
    </row>
    <row r="1067" spans="2:11" ht="33" x14ac:dyDescent="0.2">
      <c r="B1067" s="82" t="s">
        <v>7781</v>
      </c>
      <c r="C1067" s="82" t="s">
        <v>656</v>
      </c>
      <c r="D1067" s="83">
        <f>SUMIFS(D1068:D1496,K1068:K1496,"0",B1068:B1496,"5 1 2 7 2 12 31111 6 M59 40000 000161 0000E 00001 00272 025*")-SUMIFS(E1068:E1496,K1068:K1496,"0",B1068:B1496,"5 1 2 7 2 12 31111 6 M59 40000 000161 0000E 00001 00272 025*")</f>
        <v>0</v>
      </c>
      <c r="E1067" s="54"/>
      <c r="F1067" s="83">
        <f>SUMIFS(F1068:F1496,K1068:K1496,"0",B1068:B1496,"5 1 2 7 2 12 31111 6 M59 40000 000161 0000E 00001 00272 025*")</f>
        <v>102225</v>
      </c>
      <c r="G1067" s="83">
        <f>SUMIFS(G1068:G1496,K1068:K1496,"0",B1068:B1496,"5 1 2 7 2 12 31111 6 M59 40000 000161 0000E 00001 00272 025*")</f>
        <v>0</v>
      </c>
      <c r="H1067" s="83">
        <f t="shared" si="17"/>
        <v>102225</v>
      </c>
      <c r="I1067" s="83"/>
      <c r="K1067" s="54" t="s">
        <v>15</v>
      </c>
    </row>
    <row r="1068" spans="2:11" ht="33" x14ac:dyDescent="0.2">
      <c r="B1068" s="82" t="s">
        <v>7782</v>
      </c>
      <c r="C1068" s="82" t="s">
        <v>5830</v>
      </c>
      <c r="D1068" s="83">
        <f>SUMIFS(D1069:D1496,K1069:K1496,"0",B1069:B1496,"5 1 2 7 2 12 31111 6 M59 40000 000161 0000E 00001 00272 025 2112000*")-SUMIFS(E1069:E1496,K1069:K1496,"0",B1069:B1496,"5 1 2 7 2 12 31111 6 M59 40000 000161 0000E 00001 00272 025 2112000*")</f>
        <v>0</v>
      </c>
      <c r="E1068" s="54"/>
      <c r="F1068" s="83">
        <f>SUMIFS(F1069:F1496,K1069:K1496,"0",B1069:B1496,"5 1 2 7 2 12 31111 6 M59 40000 000161 0000E 00001 00272 025 2112000*")</f>
        <v>102225</v>
      </c>
      <c r="G1068" s="83">
        <f>SUMIFS(G1069:G1496,K1069:K1496,"0",B1069:B1496,"5 1 2 7 2 12 31111 6 M59 40000 000161 0000E 00001 00272 025 2112000*")</f>
        <v>0</v>
      </c>
      <c r="H1068" s="83">
        <f t="shared" si="17"/>
        <v>102225</v>
      </c>
      <c r="I1068" s="83"/>
      <c r="K1068" s="54" t="s">
        <v>15</v>
      </c>
    </row>
    <row r="1069" spans="2:11" ht="33" x14ac:dyDescent="0.2">
      <c r="B1069" s="82" t="s">
        <v>7783</v>
      </c>
      <c r="C1069" s="82" t="s">
        <v>660</v>
      </c>
      <c r="D1069" s="83">
        <f>SUMIFS(D1070:D1496,K1070:K1496,"0",B1070:B1496,"5 1 2 7 2 12 31111 6 M59 40000 000161 0000E 00001 00272 025 2112000 2024*")-SUMIFS(E1070:E1496,K1070:K1496,"0",B1070:B1496,"5 1 2 7 2 12 31111 6 M59 40000 000161 0000E 00001 00272 025 2112000 2024*")</f>
        <v>0</v>
      </c>
      <c r="E1069" s="54"/>
      <c r="F1069" s="83">
        <f>SUMIFS(F1070:F1496,K1070:K1496,"0",B1070:B1496,"5 1 2 7 2 12 31111 6 M59 40000 000161 0000E 00001 00272 025 2112000 2024*")</f>
        <v>102225</v>
      </c>
      <c r="G1069" s="83">
        <f>SUMIFS(G1070:G1496,K1070:K1496,"0",B1070:B1496,"5 1 2 7 2 12 31111 6 M59 40000 000161 0000E 00001 00272 025 2112000 2024*")</f>
        <v>0</v>
      </c>
      <c r="H1069" s="83">
        <f t="shared" si="17"/>
        <v>102225</v>
      </c>
      <c r="I1069" s="83"/>
      <c r="K1069" s="54" t="s">
        <v>15</v>
      </c>
    </row>
    <row r="1070" spans="2:11" ht="41.25" x14ac:dyDescent="0.2">
      <c r="B1070" s="82" t="s">
        <v>7784</v>
      </c>
      <c r="C1070" s="82" t="s">
        <v>662</v>
      </c>
      <c r="D1070" s="83">
        <f>SUMIFS(D1071:D1496,K1071:K1496,"0",B1071:B1496,"5 1 2 7 2 12 31111 6 M59 40000 000161 0000E 00001 00272 025 2112000 2024 CP4SP372*")-SUMIFS(E1071:E1496,K1071:K1496,"0",B1071:B1496,"5 1 2 7 2 12 31111 6 M59 40000 000161 0000E 00001 00272 025 2112000 2024 CP4SP372*")</f>
        <v>0</v>
      </c>
      <c r="E1070" s="54"/>
      <c r="F1070" s="83">
        <f>SUMIFS(F1071:F1496,K1071:K1496,"0",B1071:B1496,"5 1 2 7 2 12 31111 6 M59 40000 000161 0000E 00001 00272 025 2112000 2024 CP4SP372*")</f>
        <v>102225</v>
      </c>
      <c r="G1070" s="83">
        <f>SUMIFS(G1071:G1496,K1071:K1496,"0",B1071:B1496,"5 1 2 7 2 12 31111 6 M59 40000 000161 0000E 00001 00272 025 2112000 2024 CP4SP372*")</f>
        <v>0</v>
      </c>
      <c r="H1070" s="83">
        <f t="shared" si="17"/>
        <v>102225</v>
      </c>
      <c r="I1070" s="83"/>
      <c r="K1070" s="54" t="s">
        <v>15</v>
      </c>
    </row>
    <row r="1071" spans="2:11" ht="41.25" x14ac:dyDescent="0.2">
      <c r="B1071" s="82" t="s">
        <v>7785</v>
      </c>
      <c r="C1071" s="82" t="s">
        <v>7786</v>
      </c>
      <c r="D1071" s="83">
        <f>SUMIFS(D1072:D1496,K1072:K1496,"0",B1072:B1496,"5 1 2 7 2 12 31111 6 M59 40000 000161 0000E 00001 00272 025 2112000 2024 CP4SP372 003*")-SUMIFS(E1072:E1496,K1072:K1496,"0",B1072:B1496,"5 1 2 7 2 12 31111 6 M59 40000 000161 0000E 00001 00272 025 2112000 2024 CP4SP372 003*")</f>
        <v>0</v>
      </c>
      <c r="E1071" s="54"/>
      <c r="F1071" s="83">
        <f>SUMIFS(F1072:F1496,K1072:K1496,"0",B1072:B1496,"5 1 2 7 2 12 31111 6 M59 40000 000161 0000E 00001 00272 025 2112000 2024 CP4SP372 003*")</f>
        <v>102225</v>
      </c>
      <c r="G1071" s="83">
        <f>SUMIFS(G1072:G1496,K1072:K1496,"0",B1072:B1496,"5 1 2 7 2 12 31111 6 M59 40000 000161 0000E 00001 00272 025 2112000 2024 CP4SP372 003*")</f>
        <v>0</v>
      </c>
      <c r="H1071" s="83">
        <f t="shared" si="17"/>
        <v>102225</v>
      </c>
      <c r="I1071" s="83"/>
      <c r="K1071" s="54" t="s">
        <v>15</v>
      </c>
    </row>
    <row r="1072" spans="2:11" ht="33" x14ac:dyDescent="0.2">
      <c r="B1072" s="84" t="s">
        <v>7787</v>
      </c>
      <c r="C1072" s="84" t="s">
        <v>7788</v>
      </c>
      <c r="D1072" s="85">
        <v>0</v>
      </c>
      <c r="E1072" s="85"/>
      <c r="F1072" s="85">
        <v>102225</v>
      </c>
      <c r="G1072" s="85">
        <v>0</v>
      </c>
      <c r="H1072" s="85">
        <f t="shared" si="17"/>
        <v>102225</v>
      </c>
      <c r="I1072" s="85"/>
      <c r="K1072" s="54" t="s">
        <v>38</v>
      </c>
    </row>
    <row r="1073" spans="2:11" ht="24.75" x14ac:dyDescent="0.2">
      <c r="B1073" s="82" t="s">
        <v>7829</v>
      </c>
      <c r="C1073" s="82" t="s">
        <v>7830</v>
      </c>
      <c r="D1073" s="83">
        <f>SUMIFS(D1074:D1496,K1074:K1496,"0",B1074:B1496,"5 1 2 9*")-SUMIFS(E1074:E1496,K1074:K1496,"0",B1074:B1496,"5 1 2 9*")</f>
        <v>0</v>
      </c>
      <c r="E1073" s="54"/>
      <c r="F1073" s="83">
        <f>SUMIFS(F1074:F1496,K1074:K1496,"0",B1074:B1496,"5 1 2 9*")</f>
        <v>2741631.69</v>
      </c>
      <c r="G1073" s="83">
        <f>SUMIFS(G1074:G1496,K1074:K1496,"0",B1074:B1496,"5 1 2 9*")</f>
        <v>0</v>
      </c>
      <c r="H1073" s="83">
        <f t="shared" si="17"/>
        <v>2741631.69</v>
      </c>
      <c r="I1073" s="83"/>
      <c r="K1073" s="54" t="s">
        <v>15</v>
      </c>
    </row>
    <row r="1074" spans="2:11" ht="12.75" x14ac:dyDescent="0.2">
      <c r="B1074" s="82" t="s">
        <v>7831</v>
      </c>
      <c r="C1074" s="82" t="s">
        <v>7832</v>
      </c>
      <c r="D1074" s="83">
        <f>SUMIFS(D1075:D1496,K1075:K1496,"0",B1075:B1496,"5 1 2 9 1*")-SUMIFS(E1075:E1496,K1075:K1496,"0",B1075:B1496,"5 1 2 9 1*")</f>
        <v>0</v>
      </c>
      <c r="E1074" s="54"/>
      <c r="F1074" s="83">
        <f>SUMIFS(F1075:F1496,K1075:K1496,"0",B1075:B1496,"5 1 2 9 1*")</f>
        <v>118436.2</v>
      </c>
      <c r="G1074" s="83">
        <f>SUMIFS(G1075:G1496,K1075:K1496,"0",B1075:B1496,"5 1 2 9 1*")</f>
        <v>0</v>
      </c>
      <c r="H1074" s="83">
        <f t="shared" si="17"/>
        <v>118436.2</v>
      </c>
      <c r="I1074" s="83"/>
      <c r="K1074" s="54" t="s">
        <v>15</v>
      </c>
    </row>
    <row r="1075" spans="2:11" ht="12.75" x14ac:dyDescent="0.2">
      <c r="B1075" s="82" t="s">
        <v>7833</v>
      </c>
      <c r="C1075" s="82" t="s">
        <v>26</v>
      </c>
      <c r="D1075" s="83">
        <f>SUMIFS(D1076:D1496,K1076:K1496,"0",B1076:B1496,"5 1 2 9 1 12*")-SUMIFS(E1076:E1496,K1076:K1496,"0",B1076:B1496,"5 1 2 9 1 12*")</f>
        <v>0</v>
      </c>
      <c r="E1075" s="54"/>
      <c r="F1075" s="83">
        <f>SUMIFS(F1076:F1496,K1076:K1496,"0",B1076:B1496,"5 1 2 9 1 12*")</f>
        <v>118436.2</v>
      </c>
      <c r="G1075" s="83">
        <f>SUMIFS(G1076:G1496,K1076:K1496,"0",B1076:B1496,"5 1 2 9 1 12*")</f>
        <v>0</v>
      </c>
      <c r="H1075" s="83">
        <f t="shared" si="17"/>
        <v>118436.2</v>
      </c>
      <c r="I1075" s="83"/>
      <c r="K1075" s="54" t="s">
        <v>15</v>
      </c>
    </row>
    <row r="1076" spans="2:11" ht="16.5" x14ac:dyDescent="0.2">
      <c r="B1076" s="82" t="s">
        <v>7834</v>
      </c>
      <c r="C1076" s="82" t="s">
        <v>28</v>
      </c>
      <c r="D1076" s="83">
        <f>SUMIFS(D1077:D1496,K1077:K1496,"0",B1077:B1496,"5 1 2 9 1 12 31111*")-SUMIFS(E1077:E1496,K1077:K1496,"0",B1077:B1496,"5 1 2 9 1 12 31111*")</f>
        <v>0</v>
      </c>
      <c r="E1076" s="54"/>
      <c r="F1076" s="83">
        <f>SUMIFS(F1077:F1496,K1077:K1496,"0",B1077:B1496,"5 1 2 9 1 12 31111*")</f>
        <v>118436.2</v>
      </c>
      <c r="G1076" s="83">
        <f>SUMIFS(G1077:G1496,K1077:K1496,"0",B1077:B1496,"5 1 2 9 1 12 31111*")</f>
        <v>0</v>
      </c>
      <c r="H1076" s="83">
        <f t="shared" si="17"/>
        <v>118436.2</v>
      </c>
      <c r="I1076" s="83"/>
      <c r="K1076" s="54" t="s">
        <v>15</v>
      </c>
    </row>
    <row r="1077" spans="2:11" ht="12.75" x14ac:dyDescent="0.2">
      <c r="B1077" s="82" t="s">
        <v>7835</v>
      </c>
      <c r="C1077" s="82" t="s">
        <v>30</v>
      </c>
      <c r="D1077" s="83">
        <f>SUMIFS(D1078:D1496,K1078:K1496,"0",B1078:B1496,"5 1 2 9 1 12 31111 6*")-SUMIFS(E1078:E1496,K1078:K1496,"0",B1078:B1496,"5 1 2 9 1 12 31111 6*")</f>
        <v>0</v>
      </c>
      <c r="E1077" s="54"/>
      <c r="F1077" s="83">
        <f>SUMIFS(F1078:F1496,K1078:K1496,"0",B1078:B1496,"5 1 2 9 1 12 31111 6*")</f>
        <v>118436.2</v>
      </c>
      <c r="G1077" s="83">
        <f>SUMIFS(G1078:G1496,K1078:K1496,"0",B1078:B1496,"5 1 2 9 1 12 31111 6*")</f>
        <v>0</v>
      </c>
      <c r="H1077" s="83">
        <f t="shared" si="17"/>
        <v>118436.2</v>
      </c>
      <c r="I1077" s="83"/>
      <c r="K1077" s="54" t="s">
        <v>15</v>
      </c>
    </row>
    <row r="1078" spans="2:11" ht="16.5" x14ac:dyDescent="0.2">
      <c r="B1078" s="82" t="s">
        <v>7836</v>
      </c>
      <c r="C1078" s="82" t="s">
        <v>2284</v>
      </c>
      <c r="D1078" s="83">
        <f>SUMIFS(D1079:D1496,K1079:K1496,"0",B1079:B1496,"5 1 2 9 1 12 31111 6 M59*")-SUMIFS(E1079:E1496,K1079:K1496,"0",B1079:B1496,"5 1 2 9 1 12 31111 6 M59*")</f>
        <v>0</v>
      </c>
      <c r="E1078" s="54"/>
      <c r="F1078" s="83">
        <f>SUMIFS(F1079:F1496,K1079:K1496,"0",B1079:B1496,"5 1 2 9 1 12 31111 6 M59*")</f>
        <v>118436.2</v>
      </c>
      <c r="G1078" s="83">
        <f>SUMIFS(G1079:G1496,K1079:K1496,"0",B1079:B1496,"5 1 2 9 1 12 31111 6 M59*")</f>
        <v>0</v>
      </c>
      <c r="H1078" s="83">
        <f t="shared" si="17"/>
        <v>118436.2</v>
      </c>
      <c r="I1078" s="83"/>
      <c r="K1078" s="54" t="s">
        <v>15</v>
      </c>
    </row>
    <row r="1079" spans="2:11" ht="16.5" x14ac:dyDescent="0.2">
      <c r="B1079" s="82" t="s">
        <v>7882</v>
      </c>
      <c r="C1079" s="82" t="s">
        <v>1092</v>
      </c>
      <c r="D1079" s="83">
        <f>SUMIFS(D1080:D1496,K1080:K1496,"0",B1080:B1496,"5 1 2 9 1 12 31111 6 M59 40000*")-SUMIFS(E1080:E1496,K1080:K1496,"0",B1080:B1496,"5 1 2 9 1 12 31111 6 M59 40000*")</f>
        <v>0</v>
      </c>
      <c r="E1079" s="54"/>
      <c r="F1079" s="83">
        <f>SUMIFS(F1080:F1496,K1080:K1496,"0",B1080:B1496,"5 1 2 9 1 12 31111 6 M59 40000*")</f>
        <v>28436.2</v>
      </c>
      <c r="G1079" s="83">
        <f>SUMIFS(G1080:G1496,K1080:K1496,"0",B1080:B1496,"5 1 2 9 1 12 31111 6 M59 40000*")</f>
        <v>0</v>
      </c>
      <c r="H1079" s="83">
        <f t="shared" si="17"/>
        <v>28436.2</v>
      </c>
      <c r="I1079" s="83"/>
      <c r="K1079" s="54" t="s">
        <v>15</v>
      </c>
    </row>
    <row r="1080" spans="2:11" ht="16.5" x14ac:dyDescent="0.2">
      <c r="B1080" s="82" t="s">
        <v>7883</v>
      </c>
      <c r="C1080" s="82" t="s">
        <v>1094</v>
      </c>
      <c r="D1080" s="83">
        <f>SUMIFS(D1081:D1496,K1081:K1496,"0",B1081:B1496,"5 1 2 9 1 12 31111 6 M59 40000 000161*")-SUMIFS(E1081:E1496,K1081:K1496,"0",B1081:B1496,"5 1 2 9 1 12 31111 6 M59 40000 000161*")</f>
        <v>0</v>
      </c>
      <c r="E1080" s="54"/>
      <c r="F1080" s="83">
        <f>SUMIFS(F1081:F1496,K1081:K1496,"0",B1081:B1496,"5 1 2 9 1 12 31111 6 M59 40000 000161*")</f>
        <v>28436.2</v>
      </c>
      <c r="G1080" s="83">
        <f>SUMIFS(G1081:G1496,K1081:K1496,"0",B1081:B1496,"5 1 2 9 1 12 31111 6 M59 40000 000161*")</f>
        <v>0</v>
      </c>
      <c r="H1080" s="83">
        <f t="shared" si="17"/>
        <v>28436.2</v>
      </c>
      <c r="I1080" s="83"/>
      <c r="K1080" s="54" t="s">
        <v>15</v>
      </c>
    </row>
    <row r="1081" spans="2:11" ht="24.75" x14ac:dyDescent="0.2">
      <c r="B1081" s="82" t="s">
        <v>7884</v>
      </c>
      <c r="C1081" s="82" t="s">
        <v>1065</v>
      </c>
      <c r="D1081" s="83">
        <f>SUMIFS(D1082:D1496,K1082:K1496,"0",B1082:B1496,"5 1 2 9 1 12 31111 6 M59 40000 000161 0000E*")-SUMIFS(E1082:E1496,K1082:K1496,"0",B1082:B1496,"5 1 2 9 1 12 31111 6 M59 40000 000161 0000E*")</f>
        <v>0</v>
      </c>
      <c r="E1081" s="54"/>
      <c r="F1081" s="83">
        <f>SUMIFS(F1082:F1496,K1082:K1496,"0",B1082:B1496,"5 1 2 9 1 12 31111 6 M59 40000 000161 0000E*")</f>
        <v>28436.2</v>
      </c>
      <c r="G1081" s="83">
        <f>SUMIFS(G1082:G1496,K1082:K1496,"0",B1082:B1496,"5 1 2 9 1 12 31111 6 M59 40000 000161 0000E*")</f>
        <v>0</v>
      </c>
      <c r="H1081" s="83">
        <f t="shared" si="17"/>
        <v>28436.2</v>
      </c>
      <c r="I1081" s="83"/>
      <c r="K1081" s="54" t="s">
        <v>15</v>
      </c>
    </row>
    <row r="1082" spans="2:11" ht="24.75" x14ac:dyDescent="0.2">
      <c r="B1082" s="82" t="s">
        <v>7885</v>
      </c>
      <c r="C1082" s="82" t="s">
        <v>282</v>
      </c>
      <c r="D1082" s="83">
        <f>SUMIFS(D1083:D1496,K1083:K1496,"0",B1083:B1496,"5 1 2 9 1 12 31111 6 M59 40000 000161 0000E 00001*")-SUMIFS(E1083:E1496,K1083:K1496,"0",B1083:B1496,"5 1 2 9 1 12 31111 6 M59 40000 000161 0000E 00001*")</f>
        <v>0</v>
      </c>
      <c r="E1082" s="54"/>
      <c r="F1082" s="83">
        <f>SUMIFS(F1083:F1496,K1083:K1496,"0",B1083:B1496,"5 1 2 9 1 12 31111 6 M59 40000 000161 0000E 00001*")</f>
        <v>28436.2</v>
      </c>
      <c r="G1082" s="83">
        <f>SUMIFS(G1083:G1496,K1083:K1496,"0",B1083:B1496,"5 1 2 9 1 12 31111 6 M59 40000 000161 0000E 00001*")</f>
        <v>0</v>
      </c>
      <c r="H1082" s="83">
        <f t="shared" si="17"/>
        <v>28436.2</v>
      </c>
      <c r="I1082" s="83"/>
      <c r="K1082" s="54" t="s">
        <v>15</v>
      </c>
    </row>
    <row r="1083" spans="2:11" ht="24.75" x14ac:dyDescent="0.2">
      <c r="B1083" s="82" t="s">
        <v>7886</v>
      </c>
      <c r="C1083" s="82" t="s">
        <v>7842</v>
      </c>
      <c r="D1083" s="83">
        <f>SUMIFS(D1084:D1496,K1084:K1496,"0",B1084:B1496,"5 1 2 9 1 12 31111 6 M59 40000 000161 0000E 00001 00291*")-SUMIFS(E1084:E1496,K1084:K1496,"0",B1084:B1496,"5 1 2 9 1 12 31111 6 M59 40000 000161 0000E 00001 00291*")</f>
        <v>0</v>
      </c>
      <c r="E1083" s="54"/>
      <c r="F1083" s="83">
        <f>SUMIFS(F1084:F1496,K1084:K1496,"0",B1084:B1496,"5 1 2 9 1 12 31111 6 M59 40000 000161 0000E 00001 00291*")</f>
        <v>28436.2</v>
      </c>
      <c r="G1083" s="83">
        <f>SUMIFS(G1084:G1496,K1084:K1496,"0",B1084:B1496,"5 1 2 9 1 12 31111 6 M59 40000 000161 0000E 00001 00291*")</f>
        <v>0</v>
      </c>
      <c r="H1083" s="83">
        <f t="shared" si="17"/>
        <v>28436.2</v>
      </c>
      <c r="I1083" s="83"/>
      <c r="K1083" s="54" t="s">
        <v>15</v>
      </c>
    </row>
    <row r="1084" spans="2:11" ht="33" x14ac:dyDescent="0.2">
      <c r="B1084" s="82" t="s">
        <v>7887</v>
      </c>
      <c r="C1084" s="82" t="s">
        <v>656</v>
      </c>
      <c r="D1084" s="83">
        <f>SUMIFS(D1085:D1496,K1085:K1496,"0",B1085:B1496,"5 1 2 9 1 12 31111 6 M59 40000 000161 0000E 00001 00291 025*")-SUMIFS(E1085:E1496,K1085:K1496,"0",B1085:B1496,"5 1 2 9 1 12 31111 6 M59 40000 000161 0000E 00001 00291 025*")</f>
        <v>0</v>
      </c>
      <c r="E1084" s="54"/>
      <c r="F1084" s="83">
        <f>SUMIFS(F1085:F1496,K1085:K1496,"0",B1085:B1496,"5 1 2 9 1 12 31111 6 M59 40000 000161 0000E 00001 00291 025*")</f>
        <v>28436.2</v>
      </c>
      <c r="G1084" s="83">
        <f>SUMIFS(G1085:G1496,K1085:K1496,"0",B1085:B1496,"5 1 2 9 1 12 31111 6 M59 40000 000161 0000E 00001 00291 025*")</f>
        <v>0</v>
      </c>
      <c r="H1084" s="83">
        <f t="shared" si="17"/>
        <v>28436.2</v>
      </c>
      <c r="I1084" s="83"/>
      <c r="K1084" s="54" t="s">
        <v>15</v>
      </c>
    </row>
    <row r="1085" spans="2:11" ht="33" x14ac:dyDescent="0.2">
      <c r="B1085" s="82" t="s">
        <v>7888</v>
      </c>
      <c r="C1085" s="82" t="s">
        <v>5830</v>
      </c>
      <c r="D1085" s="83">
        <f>SUMIFS(D1086:D1496,K1086:K1496,"0",B1086:B1496,"5 1 2 9 1 12 31111 6 M59 40000 000161 0000E 00001 00291 025 2112000*")-SUMIFS(E1086:E1496,K1086:K1496,"0",B1086:B1496,"5 1 2 9 1 12 31111 6 M59 40000 000161 0000E 00001 00291 025 2112000*")</f>
        <v>0</v>
      </c>
      <c r="E1085" s="54"/>
      <c r="F1085" s="83">
        <f>SUMIFS(F1086:F1496,K1086:K1496,"0",B1086:B1496,"5 1 2 9 1 12 31111 6 M59 40000 000161 0000E 00001 00291 025 2112000*")</f>
        <v>28436.2</v>
      </c>
      <c r="G1085" s="83">
        <f>SUMIFS(G1086:G1496,K1086:K1496,"0",B1086:B1496,"5 1 2 9 1 12 31111 6 M59 40000 000161 0000E 00001 00291 025 2112000*")</f>
        <v>0</v>
      </c>
      <c r="H1085" s="83">
        <f t="shared" si="17"/>
        <v>28436.2</v>
      </c>
      <c r="I1085" s="83"/>
      <c r="K1085" s="54" t="s">
        <v>15</v>
      </c>
    </row>
    <row r="1086" spans="2:11" ht="33" x14ac:dyDescent="0.2">
      <c r="B1086" s="82" t="s">
        <v>7889</v>
      </c>
      <c r="C1086" s="82" t="s">
        <v>660</v>
      </c>
      <c r="D1086" s="83">
        <f>SUMIFS(D1087:D1496,K1087:K1496,"0",B1087:B1496,"5 1 2 9 1 12 31111 6 M59 40000 000161 0000E 00001 00291 025 2112000 2024*")-SUMIFS(E1087:E1496,K1087:K1496,"0",B1087:B1496,"5 1 2 9 1 12 31111 6 M59 40000 000161 0000E 00001 00291 025 2112000 2024*")</f>
        <v>0</v>
      </c>
      <c r="E1086" s="54"/>
      <c r="F1086" s="83">
        <f>SUMIFS(F1087:F1496,K1087:K1496,"0",B1087:B1496,"5 1 2 9 1 12 31111 6 M59 40000 000161 0000E 00001 00291 025 2112000 2024*")</f>
        <v>28436.2</v>
      </c>
      <c r="G1086" s="83">
        <f>SUMIFS(G1087:G1496,K1087:K1496,"0",B1087:B1496,"5 1 2 9 1 12 31111 6 M59 40000 000161 0000E 00001 00291 025 2112000 2024*")</f>
        <v>0</v>
      </c>
      <c r="H1086" s="83">
        <f t="shared" si="17"/>
        <v>28436.2</v>
      </c>
      <c r="I1086" s="83"/>
      <c r="K1086" s="54" t="s">
        <v>15</v>
      </c>
    </row>
    <row r="1087" spans="2:11" ht="41.25" x14ac:dyDescent="0.2">
      <c r="B1087" s="82" t="s">
        <v>7890</v>
      </c>
      <c r="C1087" s="82" t="s">
        <v>662</v>
      </c>
      <c r="D1087" s="83">
        <f>SUMIFS(D1088:D1496,K1088:K1496,"0",B1088:B1496,"5 1 2 9 1 12 31111 6 M59 40000 000161 0000E 00001 00291 025 2112000 2024 CP4SP372*")-SUMIFS(E1088:E1496,K1088:K1496,"0",B1088:B1496,"5 1 2 9 1 12 31111 6 M59 40000 000161 0000E 00001 00291 025 2112000 2024 CP4SP372*")</f>
        <v>0</v>
      </c>
      <c r="E1087" s="54"/>
      <c r="F1087" s="83">
        <f>SUMIFS(F1088:F1496,K1088:K1496,"0",B1088:B1496,"5 1 2 9 1 12 31111 6 M59 40000 000161 0000E 00001 00291 025 2112000 2024 CP4SP372*")</f>
        <v>28436.2</v>
      </c>
      <c r="G1087" s="83">
        <f>SUMIFS(G1088:G1496,K1088:K1496,"0",B1088:B1496,"5 1 2 9 1 12 31111 6 M59 40000 000161 0000E 00001 00291 025 2112000 2024 CP4SP372*")</f>
        <v>0</v>
      </c>
      <c r="H1087" s="83">
        <f t="shared" si="17"/>
        <v>28436.2</v>
      </c>
      <c r="I1087" s="83"/>
      <c r="K1087" s="54" t="s">
        <v>15</v>
      </c>
    </row>
    <row r="1088" spans="2:11" ht="41.25" x14ac:dyDescent="0.2">
      <c r="B1088" s="82" t="s">
        <v>7891</v>
      </c>
      <c r="C1088" s="82" t="s">
        <v>664</v>
      </c>
      <c r="D1088" s="83">
        <f>SUMIFS(D1089:D1496,K1089:K1496,"0",B1089:B1496,"5 1 2 9 1 12 31111 6 M59 40000 000161 0000E 00001 00291 025 2112000 2024 CP4SP372 003*")-SUMIFS(E1089:E1496,K1089:K1496,"0",B1089:B1496,"5 1 2 9 1 12 31111 6 M59 40000 000161 0000E 00001 00291 025 2112000 2024 CP4SP372 003*")</f>
        <v>0</v>
      </c>
      <c r="E1088" s="54"/>
      <c r="F1088" s="83">
        <f>SUMIFS(F1089:F1496,K1089:K1496,"0",B1089:B1496,"5 1 2 9 1 12 31111 6 M59 40000 000161 0000E 00001 00291 025 2112000 2024 CP4SP372 003*")</f>
        <v>28436.2</v>
      </c>
      <c r="G1088" s="83">
        <f>SUMIFS(G1089:G1496,K1089:K1496,"0",B1089:B1496,"5 1 2 9 1 12 31111 6 M59 40000 000161 0000E 00001 00291 025 2112000 2024 CP4SP372 003*")</f>
        <v>0</v>
      </c>
      <c r="H1088" s="83">
        <f t="shared" si="17"/>
        <v>28436.2</v>
      </c>
      <c r="I1088" s="83"/>
      <c r="K1088" s="54" t="s">
        <v>15</v>
      </c>
    </row>
    <row r="1089" spans="2:11" ht="33" x14ac:dyDescent="0.2">
      <c r="B1089" s="84" t="s">
        <v>7892</v>
      </c>
      <c r="C1089" s="84" t="s">
        <v>7842</v>
      </c>
      <c r="D1089" s="85">
        <v>0</v>
      </c>
      <c r="E1089" s="85"/>
      <c r="F1089" s="85">
        <v>28436.2</v>
      </c>
      <c r="G1089" s="85">
        <v>0</v>
      </c>
      <c r="H1089" s="85">
        <f t="shared" si="17"/>
        <v>28436.2</v>
      </c>
      <c r="I1089" s="85"/>
      <c r="K1089" s="54" t="s">
        <v>38</v>
      </c>
    </row>
    <row r="1090" spans="2:11" ht="16.5" x14ac:dyDescent="0.2">
      <c r="B1090" s="82" t="s">
        <v>7893</v>
      </c>
      <c r="C1090" s="82" t="s">
        <v>1105</v>
      </c>
      <c r="D1090" s="83">
        <f>SUMIFS(D1091:D1496,K1091:K1496,"0",B1091:B1496,"5 1 2 9 1 12 31111 6 M59 40200*")-SUMIFS(E1091:E1496,K1091:K1496,"0",B1091:B1496,"5 1 2 9 1 12 31111 6 M59 40200*")</f>
        <v>0</v>
      </c>
      <c r="E1090" s="54"/>
      <c r="F1090" s="83">
        <f>SUMIFS(F1091:F1496,K1091:K1496,"0",B1091:B1496,"5 1 2 9 1 12 31111 6 M59 40200*")</f>
        <v>90000</v>
      </c>
      <c r="G1090" s="83">
        <f>SUMIFS(G1091:G1496,K1091:K1496,"0",B1091:B1496,"5 1 2 9 1 12 31111 6 M59 40200*")</f>
        <v>0</v>
      </c>
      <c r="H1090" s="83">
        <f t="shared" si="17"/>
        <v>90000</v>
      </c>
      <c r="I1090" s="83"/>
      <c r="K1090" s="54" t="s">
        <v>15</v>
      </c>
    </row>
    <row r="1091" spans="2:11" ht="16.5" x14ac:dyDescent="0.2">
      <c r="B1091" s="82" t="s">
        <v>7894</v>
      </c>
      <c r="C1091" s="82" t="s">
        <v>1107</v>
      </c>
      <c r="D1091" s="83">
        <f>SUMIFS(D1092:D1496,K1092:K1496,"0",B1092:B1496,"5 1 2 9 1 12 31111 6 M59 40200 000172*")-SUMIFS(E1092:E1496,K1092:K1496,"0",B1092:B1496,"5 1 2 9 1 12 31111 6 M59 40200 000172*")</f>
        <v>0</v>
      </c>
      <c r="E1091" s="54"/>
      <c r="F1091" s="83">
        <f>SUMIFS(F1092:F1496,K1092:K1496,"0",B1092:B1496,"5 1 2 9 1 12 31111 6 M59 40200 000172*")</f>
        <v>90000</v>
      </c>
      <c r="G1091" s="83">
        <f>SUMIFS(G1092:G1496,K1092:K1496,"0",B1092:B1496,"5 1 2 9 1 12 31111 6 M59 40200 000172*")</f>
        <v>0</v>
      </c>
      <c r="H1091" s="83">
        <f t="shared" si="17"/>
        <v>90000</v>
      </c>
      <c r="I1091" s="83"/>
      <c r="K1091" s="54" t="s">
        <v>15</v>
      </c>
    </row>
    <row r="1092" spans="2:11" ht="24.75" x14ac:dyDescent="0.2">
      <c r="B1092" s="82" t="s">
        <v>7895</v>
      </c>
      <c r="C1092" s="82" t="s">
        <v>650</v>
      </c>
      <c r="D1092" s="83">
        <f>SUMIFS(D1093:D1496,K1093:K1496,"0",B1093:B1496,"5 1 2 9 1 12 31111 6 M59 40200 000172 0000R*")-SUMIFS(E1093:E1496,K1093:K1496,"0",B1093:B1496,"5 1 2 9 1 12 31111 6 M59 40200 000172 0000R*")</f>
        <v>0</v>
      </c>
      <c r="E1092" s="54"/>
      <c r="F1092" s="83">
        <f>SUMIFS(F1093:F1496,K1093:K1496,"0",B1093:B1496,"5 1 2 9 1 12 31111 6 M59 40200 000172 0000R*")</f>
        <v>90000</v>
      </c>
      <c r="G1092" s="83">
        <f>SUMIFS(G1093:G1496,K1093:K1496,"0",B1093:B1496,"5 1 2 9 1 12 31111 6 M59 40200 000172 0000R*")</f>
        <v>0</v>
      </c>
      <c r="H1092" s="83">
        <f t="shared" si="17"/>
        <v>90000</v>
      </c>
      <c r="I1092" s="83"/>
      <c r="K1092" s="54" t="s">
        <v>15</v>
      </c>
    </row>
    <row r="1093" spans="2:11" ht="24.75" x14ac:dyDescent="0.2">
      <c r="B1093" s="82" t="s">
        <v>7896</v>
      </c>
      <c r="C1093" s="82" t="s">
        <v>282</v>
      </c>
      <c r="D1093" s="83">
        <f>SUMIFS(D1094:D1496,K1094:K1496,"0",B1094:B1496,"5 1 2 9 1 12 31111 6 M59 40200 000172 0000R 00001*")-SUMIFS(E1094:E1496,K1094:K1496,"0",B1094:B1496,"5 1 2 9 1 12 31111 6 M59 40200 000172 0000R 00001*")</f>
        <v>0</v>
      </c>
      <c r="E1093" s="54"/>
      <c r="F1093" s="83">
        <f>SUMIFS(F1094:F1496,K1094:K1496,"0",B1094:B1496,"5 1 2 9 1 12 31111 6 M59 40200 000172 0000R 00001*")</f>
        <v>90000</v>
      </c>
      <c r="G1093" s="83">
        <f>SUMIFS(G1094:G1496,K1094:K1496,"0",B1094:B1496,"5 1 2 9 1 12 31111 6 M59 40200 000172 0000R 00001*")</f>
        <v>0</v>
      </c>
      <c r="H1093" s="83">
        <f t="shared" si="17"/>
        <v>90000</v>
      </c>
      <c r="I1093" s="83"/>
      <c r="K1093" s="54" t="s">
        <v>15</v>
      </c>
    </row>
    <row r="1094" spans="2:11" ht="24.75" x14ac:dyDescent="0.2">
      <c r="B1094" s="82" t="s">
        <v>7897</v>
      </c>
      <c r="C1094" s="82" t="s">
        <v>7842</v>
      </c>
      <c r="D1094" s="83">
        <f>SUMIFS(D1095:D1496,K1095:K1496,"0",B1095:B1496,"5 1 2 9 1 12 31111 6 M59 40200 000172 0000R 00001 00291*")-SUMIFS(E1095:E1496,K1095:K1496,"0",B1095:B1496,"5 1 2 9 1 12 31111 6 M59 40200 000172 0000R 00001 00291*")</f>
        <v>0</v>
      </c>
      <c r="E1094" s="54"/>
      <c r="F1094" s="83">
        <f>SUMIFS(F1095:F1496,K1095:K1496,"0",B1095:B1496,"5 1 2 9 1 12 31111 6 M59 40200 000172 0000R 00001 00291*")</f>
        <v>90000</v>
      </c>
      <c r="G1094" s="83">
        <f>SUMIFS(G1095:G1496,K1095:K1496,"0",B1095:B1496,"5 1 2 9 1 12 31111 6 M59 40200 000172 0000R 00001 00291*")</f>
        <v>0</v>
      </c>
      <c r="H1094" s="83">
        <f t="shared" si="17"/>
        <v>90000</v>
      </c>
      <c r="I1094" s="83"/>
      <c r="K1094" s="54" t="s">
        <v>15</v>
      </c>
    </row>
    <row r="1095" spans="2:11" ht="33" x14ac:dyDescent="0.2">
      <c r="B1095" s="82" t="s">
        <v>7898</v>
      </c>
      <c r="C1095" s="82" t="s">
        <v>656</v>
      </c>
      <c r="D1095" s="83">
        <f>SUMIFS(D1096:D1496,K1096:K1496,"0",B1096:B1496,"5 1 2 9 1 12 31111 6 M59 40200 000172 0000R 00001 00291 025*")-SUMIFS(E1096:E1496,K1096:K1496,"0",B1096:B1496,"5 1 2 9 1 12 31111 6 M59 40200 000172 0000R 00001 00291 025*")</f>
        <v>0</v>
      </c>
      <c r="E1095" s="54"/>
      <c r="F1095" s="83">
        <f>SUMIFS(F1096:F1496,K1096:K1496,"0",B1096:B1496,"5 1 2 9 1 12 31111 6 M59 40200 000172 0000R 00001 00291 025*")</f>
        <v>90000</v>
      </c>
      <c r="G1095" s="83">
        <f>SUMIFS(G1096:G1496,K1096:K1496,"0",B1096:B1496,"5 1 2 9 1 12 31111 6 M59 40200 000172 0000R 00001 00291 025*")</f>
        <v>0</v>
      </c>
      <c r="H1095" s="83">
        <f t="shared" si="17"/>
        <v>90000</v>
      </c>
      <c r="I1095" s="83"/>
      <c r="K1095" s="54" t="s">
        <v>15</v>
      </c>
    </row>
    <row r="1096" spans="2:11" ht="33" x14ac:dyDescent="0.2">
      <c r="B1096" s="82" t="s">
        <v>7899</v>
      </c>
      <c r="C1096" s="82" t="s">
        <v>5830</v>
      </c>
      <c r="D1096" s="83">
        <f>SUMIFS(D1097:D1496,K1097:K1496,"0",B1097:B1496,"5 1 2 9 1 12 31111 6 M59 40200 000172 0000R 00001 00291 025 2112000*")-SUMIFS(E1097:E1496,K1097:K1496,"0",B1097:B1496,"5 1 2 9 1 12 31111 6 M59 40200 000172 0000R 00001 00291 025 2112000*")</f>
        <v>0</v>
      </c>
      <c r="E1096" s="54"/>
      <c r="F1096" s="83">
        <f>SUMIFS(F1097:F1496,K1097:K1496,"0",B1097:B1496,"5 1 2 9 1 12 31111 6 M59 40200 000172 0000R 00001 00291 025 2112000*")</f>
        <v>90000</v>
      </c>
      <c r="G1096" s="83">
        <f>SUMIFS(G1097:G1496,K1097:K1496,"0",B1097:B1496,"5 1 2 9 1 12 31111 6 M59 40200 000172 0000R 00001 00291 025 2112000*")</f>
        <v>0</v>
      </c>
      <c r="H1096" s="83">
        <f t="shared" si="17"/>
        <v>90000</v>
      </c>
      <c r="I1096" s="83"/>
      <c r="K1096" s="54" t="s">
        <v>15</v>
      </c>
    </row>
    <row r="1097" spans="2:11" ht="33" x14ac:dyDescent="0.2">
      <c r="B1097" s="82" t="s">
        <v>7900</v>
      </c>
      <c r="C1097" s="82" t="s">
        <v>660</v>
      </c>
      <c r="D1097" s="83">
        <f>SUMIFS(D1098:D1496,K1098:K1496,"0",B1098:B1496,"5 1 2 9 1 12 31111 6 M59 40200 000172 0000R 00001 00291 025 2112000 2024*")-SUMIFS(E1098:E1496,K1098:K1496,"0",B1098:B1496,"5 1 2 9 1 12 31111 6 M59 40200 000172 0000R 00001 00291 025 2112000 2024*")</f>
        <v>0</v>
      </c>
      <c r="E1097" s="54"/>
      <c r="F1097" s="83">
        <f>SUMIFS(F1098:F1496,K1098:K1496,"0",B1098:B1496,"5 1 2 9 1 12 31111 6 M59 40200 000172 0000R 00001 00291 025 2112000 2024*")</f>
        <v>90000</v>
      </c>
      <c r="G1097" s="83">
        <f>SUMIFS(G1098:G1496,K1098:K1496,"0",B1098:B1496,"5 1 2 9 1 12 31111 6 M59 40200 000172 0000R 00001 00291 025 2112000 2024*")</f>
        <v>0</v>
      </c>
      <c r="H1097" s="83">
        <f t="shared" si="17"/>
        <v>90000</v>
      </c>
      <c r="I1097" s="83"/>
      <c r="K1097" s="54" t="s">
        <v>15</v>
      </c>
    </row>
    <row r="1098" spans="2:11" ht="41.25" x14ac:dyDescent="0.2">
      <c r="B1098" s="82" t="s">
        <v>7901</v>
      </c>
      <c r="C1098" s="82" t="s">
        <v>1056</v>
      </c>
      <c r="D1098" s="83">
        <f>SUMIFS(D1099:D1496,K1099:K1496,"0",B1099:B1496,"5 1 2 9 1 12 31111 6 M59 40200 000172 0000R 00001 00291 025 2112000 2024 CP4PC370*")-SUMIFS(E1099:E1496,K1099:K1496,"0",B1099:B1496,"5 1 2 9 1 12 31111 6 M59 40200 000172 0000R 00001 00291 025 2112000 2024 CP4PC370*")</f>
        <v>0</v>
      </c>
      <c r="E1098" s="54"/>
      <c r="F1098" s="83">
        <f>SUMIFS(F1099:F1496,K1099:K1496,"0",B1099:B1496,"5 1 2 9 1 12 31111 6 M59 40200 000172 0000R 00001 00291 025 2112000 2024 CP4PC370*")</f>
        <v>90000</v>
      </c>
      <c r="G1098" s="83">
        <f>SUMIFS(G1099:G1496,K1099:K1496,"0",B1099:B1496,"5 1 2 9 1 12 31111 6 M59 40200 000172 0000R 00001 00291 025 2112000 2024 CP4PC370*")</f>
        <v>0</v>
      </c>
      <c r="H1098" s="83">
        <f t="shared" si="17"/>
        <v>90000</v>
      </c>
      <c r="I1098" s="83"/>
      <c r="K1098" s="54" t="s">
        <v>15</v>
      </c>
    </row>
    <row r="1099" spans="2:11" ht="41.25" x14ac:dyDescent="0.2">
      <c r="B1099" s="82" t="s">
        <v>7902</v>
      </c>
      <c r="C1099" s="82" t="s">
        <v>664</v>
      </c>
      <c r="D1099" s="83">
        <f>SUMIFS(D1100:D1496,K1100:K1496,"0",B1100:B1496,"5 1 2 9 1 12 31111 6 M59 40200 000172 0000R 00001 00291 025 2112000 2024 CP4PC370 003*")-SUMIFS(E1100:E1496,K1100:K1496,"0",B1100:B1496,"5 1 2 9 1 12 31111 6 M59 40200 000172 0000R 00001 00291 025 2112000 2024 CP4PC370 003*")</f>
        <v>0</v>
      </c>
      <c r="E1099" s="54"/>
      <c r="F1099" s="83">
        <f>SUMIFS(F1100:F1496,K1100:K1496,"0",B1100:B1496,"5 1 2 9 1 12 31111 6 M59 40200 000172 0000R 00001 00291 025 2112000 2024 CP4PC370 003*")</f>
        <v>90000</v>
      </c>
      <c r="G1099" s="83">
        <f>SUMIFS(G1100:G1496,K1100:K1496,"0",B1100:B1496,"5 1 2 9 1 12 31111 6 M59 40200 000172 0000R 00001 00291 025 2112000 2024 CP4PC370 003*")</f>
        <v>0</v>
      </c>
      <c r="H1099" s="83">
        <f t="shared" si="17"/>
        <v>90000</v>
      </c>
      <c r="I1099" s="83"/>
      <c r="K1099" s="54" t="s">
        <v>15</v>
      </c>
    </row>
    <row r="1100" spans="2:11" ht="33" x14ac:dyDescent="0.2">
      <c r="B1100" s="84" t="s">
        <v>7903</v>
      </c>
      <c r="C1100" s="84" t="s">
        <v>7842</v>
      </c>
      <c r="D1100" s="85">
        <v>0</v>
      </c>
      <c r="E1100" s="85"/>
      <c r="F1100" s="85">
        <v>90000</v>
      </c>
      <c r="G1100" s="85">
        <v>0</v>
      </c>
      <c r="H1100" s="85">
        <f t="shared" si="17"/>
        <v>90000</v>
      </c>
      <c r="I1100" s="85"/>
      <c r="K1100" s="54" t="s">
        <v>38</v>
      </c>
    </row>
    <row r="1101" spans="2:11" ht="16.5" x14ac:dyDescent="0.2">
      <c r="B1101" s="82" t="s">
        <v>7992</v>
      </c>
      <c r="C1101" s="82" t="s">
        <v>7993</v>
      </c>
      <c r="D1101" s="83">
        <f>SUMIFS(D1102:D1496,K1102:K1496,"0",B1102:B1496,"5 1 2 9 2*")-SUMIFS(E1102:E1496,K1102:K1496,"0",B1102:B1496,"5 1 2 9 2*")</f>
        <v>0</v>
      </c>
      <c r="E1101" s="54"/>
      <c r="F1101" s="83">
        <f>SUMIFS(F1102:F1496,K1102:K1496,"0",B1102:B1496,"5 1 2 9 2*")</f>
        <v>3072.34</v>
      </c>
      <c r="G1101" s="83">
        <f>SUMIFS(G1102:G1496,K1102:K1496,"0",B1102:B1496,"5 1 2 9 2*")</f>
        <v>0</v>
      </c>
      <c r="H1101" s="83">
        <f t="shared" si="17"/>
        <v>3072.34</v>
      </c>
      <c r="I1101" s="83"/>
      <c r="K1101" s="54" t="s">
        <v>15</v>
      </c>
    </row>
    <row r="1102" spans="2:11" ht="12.75" x14ac:dyDescent="0.2">
      <c r="B1102" s="82" t="s">
        <v>7994</v>
      </c>
      <c r="C1102" s="82" t="s">
        <v>26</v>
      </c>
      <c r="D1102" s="83">
        <f>SUMIFS(D1103:D1496,K1103:K1496,"0",B1103:B1496,"5 1 2 9 2 12*")-SUMIFS(E1103:E1496,K1103:K1496,"0",B1103:B1496,"5 1 2 9 2 12*")</f>
        <v>0</v>
      </c>
      <c r="E1102" s="54"/>
      <c r="F1102" s="83">
        <f>SUMIFS(F1103:F1496,K1103:K1496,"0",B1103:B1496,"5 1 2 9 2 12*")</f>
        <v>3072.34</v>
      </c>
      <c r="G1102" s="83">
        <f>SUMIFS(G1103:G1496,K1103:K1496,"0",B1103:B1496,"5 1 2 9 2 12*")</f>
        <v>0</v>
      </c>
      <c r="H1102" s="83">
        <f t="shared" si="17"/>
        <v>3072.34</v>
      </c>
      <c r="I1102" s="83"/>
      <c r="K1102" s="54" t="s">
        <v>15</v>
      </c>
    </row>
    <row r="1103" spans="2:11" ht="16.5" x14ac:dyDescent="0.2">
      <c r="B1103" s="82" t="s">
        <v>7995</v>
      </c>
      <c r="C1103" s="82" t="s">
        <v>28</v>
      </c>
      <c r="D1103" s="83">
        <f>SUMIFS(D1104:D1496,K1104:K1496,"0",B1104:B1496,"5 1 2 9 2 12 31111*")-SUMIFS(E1104:E1496,K1104:K1496,"0",B1104:B1496,"5 1 2 9 2 12 31111*")</f>
        <v>0</v>
      </c>
      <c r="E1103" s="54"/>
      <c r="F1103" s="83">
        <f>SUMIFS(F1104:F1496,K1104:K1496,"0",B1104:B1496,"5 1 2 9 2 12 31111*")</f>
        <v>3072.34</v>
      </c>
      <c r="G1103" s="83">
        <f>SUMIFS(G1104:G1496,K1104:K1496,"0",B1104:B1496,"5 1 2 9 2 12 31111*")</f>
        <v>0</v>
      </c>
      <c r="H1103" s="83">
        <f t="shared" si="17"/>
        <v>3072.34</v>
      </c>
      <c r="I1103" s="83"/>
      <c r="K1103" s="54" t="s">
        <v>15</v>
      </c>
    </row>
    <row r="1104" spans="2:11" ht="12.75" x14ac:dyDescent="0.2">
      <c r="B1104" s="82" t="s">
        <v>7996</v>
      </c>
      <c r="C1104" s="82" t="s">
        <v>30</v>
      </c>
      <c r="D1104" s="83">
        <f>SUMIFS(D1105:D1496,K1105:K1496,"0",B1105:B1496,"5 1 2 9 2 12 31111 6*")-SUMIFS(E1105:E1496,K1105:K1496,"0",B1105:B1496,"5 1 2 9 2 12 31111 6*")</f>
        <v>0</v>
      </c>
      <c r="E1104" s="54"/>
      <c r="F1104" s="83">
        <f>SUMIFS(F1105:F1496,K1105:K1496,"0",B1105:B1496,"5 1 2 9 2 12 31111 6*")</f>
        <v>3072.34</v>
      </c>
      <c r="G1104" s="83">
        <f>SUMIFS(G1105:G1496,K1105:K1496,"0",B1105:B1496,"5 1 2 9 2 12 31111 6*")</f>
        <v>0</v>
      </c>
      <c r="H1104" s="83">
        <f t="shared" si="17"/>
        <v>3072.34</v>
      </c>
      <c r="I1104" s="83"/>
      <c r="K1104" s="54" t="s">
        <v>15</v>
      </c>
    </row>
    <row r="1105" spans="2:11" ht="16.5" x14ac:dyDescent="0.2">
      <c r="B1105" s="82" t="s">
        <v>7997</v>
      </c>
      <c r="C1105" s="82" t="s">
        <v>2284</v>
      </c>
      <c r="D1105" s="83">
        <f>SUMIFS(D1106:D1496,K1106:K1496,"0",B1106:B1496,"5 1 2 9 2 12 31111 6 M59*")-SUMIFS(E1106:E1496,K1106:K1496,"0",B1106:B1496,"5 1 2 9 2 12 31111 6 M59*")</f>
        <v>0</v>
      </c>
      <c r="E1105" s="54"/>
      <c r="F1105" s="83">
        <f>SUMIFS(F1106:F1496,K1106:K1496,"0",B1106:B1496,"5 1 2 9 2 12 31111 6 M59*")</f>
        <v>3072.34</v>
      </c>
      <c r="G1105" s="83">
        <f>SUMIFS(G1106:G1496,K1106:K1496,"0",B1106:B1496,"5 1 2 9 2 12 31111 6 M59*")</f>
        <v>0</v>
      </c>
      <c r="H1105" s="83">
        <f t="shared" si="17"/>
        <v>3072.34</v>
      </c>
      <c r="I1105" s="83"/>
      <c r="K1105" s="54" t="s">
        <v>15</v>
      </c>
    </row>
    <row r="1106" spans="2:11" ht="16.5" x14ac:dyDescent="0.2">
      <c r="B1106" s="82" t="s">
        <v>8010</v>
      </c>
      <c r="C1106" s="82" t="s">
        <v>1092</v>
      </c>
      <c r="D1106" s="83">
        <f>SUMIFS(D1107:D1496,K1107:K1496,"0",B1107:B1496,"5 1 2 9 2 12 31111 6 M59 40000*")-SUMIFS(E1107:E1496,K1107:K1496,"0",B1107:B1496,"5 1 2 9 2 12 31111 6 M59 40000*")</f>
        <v>0</v>
      </c>
      <c r="E1106" s="54"/>
      <c r="F1106" s="83">
        <f>SUMIFS(F1107:F1496,K1107:K1496,"0",B1107:B1496,"5 1 2 9 2 12 31111 6 M59 40000*")</f>
        <v>3072.34</v>
      </c>
      <c r="G1106" s="83">
        <f>SUMIFS(G1107:G1496,K1107:K1496,"0",B1107:B1496,"5 1 2 9 2 12 31111 6 M59 40000*")</f>
        <v>0</v>
      </c>
      <c r="H1106" s="83">
        <f t="shared" si="17"/>
        <v>3072.34</v>
      </c>
      <c r="I1106" s="83"/>
      <c r="K1106" s="54" t="s">
        <v>15</v>
      </c>
    </row>
    <row r="1107" spans="2:11" ht="16.5" x14ac:dyDescent="0.2">
      <c r="B1107" s="82" t="s">
        <v>8011</v>
      </c>
      <c r="C1107" s="82" t="s">
        <v>1094</v>
      </c>
      <c r="D1107" s="83">
        <f>SUMIFS(D1108:D1496,K1108:K1496,"0",B1108:B1496,"5 1 2 9 2 12 31111 6 M59 40000 000161*")-SUMIFS(E1108:E1496,K1108:K1496,"0",B1108:B1496,"5 1 2 9 2 12 31111 6 M59 40000 000161*")</f>
        <v>0</v>
      </c>
      <c r="E1107" s="54"/>
      <c r="F1107" s="83">
        <f>SUMIFS(F1108:F1496,K1108:K1496,"0",B1108:B1496,"5 1 2 9 2 12 31111 6 M59 40000 000161*")</f>
        <v>3072.34</v>
      </c>
      <c r="G1107" s="83">
        <f>SUMIFS(G1108:G1496,K1108:K1496,"0",B1108:B1496,"5 1 2 9 2 12 31111 6 M59 40000 000161*")</f>
        <v>0</v>
      </c>
      <c r="H1107" s="83">
        <f t="shared" si="17"/>
        <v>3072.34</v>
      </c>
      <c r="I1107" s="83"/>
      <c r="K1107" s="54" t="s">
        <v>15</v>
      </c>
    </row>
    <row r="1108" spans="2:11" ht="24.75" x14ac:dyDescent="0.2">
      <c r="B1108" s="82" t="s">
        <v>8012</v>
      </c>
      <c r="C1108" s="82" t="s">
        <v>1065</v>
      </c>
      <c r="D1108" s="83">
        <f>SUMIFS(D1109:D1496,K1109:K1496,"0",B1109:B1496,"5 1 2 9 2 12 31111 6 M59 40000 000161 0000E*")-SUMIFS(E1109:E1496,K1109:K1496,"0",B1109:B1496,"5 1 2 9 2 12 31111 6 M59 40000 000161 0000E*")</f>
        <v>0</v>
      </c>
      <c r="E1108" s="54"/>
      <c r="F1108" s="83">
        <f>SUMIFS(F1109:F1496,K1109:K1496,"0",B1109:B1496,"5 1 2 9 2 12 31111 6 M59 40000 000161 0000E*")</f>
        <v>3072.34</v>
      </c>
      <c r="G1108" s="83">
        <f>SUMIFS(G1109:G1496,K1109:K1496,"0",B1109:B1496,"5 1 2 9 2 12 31111 6 M59 40000 000161 0000E*")</f>
        <v>0</v>
      </c>
      <c r="H1108" s="83">
        <f t="shared" si="17"/>
        <v>3072.34</v>
      </c>
      <c r="I1108" s="83"/>
      <c r="K1108" s="54" t="s">
        <v>15</v>
      </c>
    </row>
    <row r="1109" spans="2:11" ht="24.75" x14ac:dyDescent="0.2">
      <c r="B1109" s="82" t="s">
        <v>8013</v>
      </c>
      <c r="C1109" s="82" t="s">
        <v>282</v>
      </c>
      <c r="D1109" s="83">
        <f>SUMIFS(D1110:D1496,K1110:K1496,"0",B1110:B1496,"5 1 2 9 2 12 31111 6 M59 40000 000161 0000E 00001*")-SUMIFS(E1110:E1496,K1110:K1496,"0",B1110:B1496,"5 1 2 9 2 12 31111 6 M59 40000 000161 0000E 00001*")</f>
        <v>0</v>
      </c>
      <c r="E1109" s="54"/>
      <c r="F1109" s="83">
        <f>SUMIFS(F1110:F1496,K1110:K1496,"0",B1110:B1496,"5 1 2 9 2 12 31111 6 M59 40000 000161 0000E 00001*")</f>
        <v>3072.34</v>
      </c>
      <c r="G1109" s="83">
        <f>SUMIFS(G1110:G1496,K1110:K1496,"0",B1110:B1496,"5 1 2 9 2 12 31111 6 M59 40000 000161 0000E 00001*")</f>
        <v>0</v>
      </c>
      <c r="H1109" s="83">
        <f t="shared" si="17"/>
        <v>3072.34</v>
      </c>
      <c r="I1109" s="83"/>
      <c r="K1109" s="54" t="s">
        <v>15</v>
      </c>
    </row>
    <row r="1110" spans="2:11" ht="24.75" x14ac:dyDescent="0.2">
      <c r="B1110" s="82" t="s">
        <v>8014</v>
      </c>
      <c r="C1110" s="82" t="s">
        <v>8003</v>
      </c>
      <c r="D1110" s="83">
        <f>SUMIFS(D1111:D1496,K1111:K1496,"0",B1111:B1496,"5 1 2 9 2 12 31111 6 M59 40000 000161 0000E 00001 00292*")-SUMIFS(E1111:E1496,K1111:K1496,"0",B1111:B1496,"5 1 2 9 2 12 31111 6 M59 40000 000161 0000E 00001 00292*")</f>
        <v>0</v>
      </c>
      <c r="E1110" s="54"/>
      <c r="F1110" s="83">
        <f>SUMIFS(F1111:F1496,K1111:K1496,"0",B1111:B1496,"5 1 2 9 2 12 31111 6 M59 40000 000161 0000E 00001 00292*")</f>
        <v>3072.34</v>
      </c>
      <c r="G1110" s="83">
        <f>SUMIFS(G1111:G1496,K1111:K1496,"0",B1111:B1496,"5 1 2 9 2 12 31111 6 M59 40000 000161 0000E 00001 00292*")</f>
        <v>0</v>
      </c>
      <c r="H1110" s="83">
        <f t="shared" si="17"/>
        <v>3072.34</v>
      </c>
      <c r="I1110" s="83"/>
      <c r="K1110" s="54" t="s">
        <v>15</v>
      </c>
    </row>
    <row r="1111" spans="2:11" ht="33" x14ac:dyDescent="0.2">
      <c r="B1111" s="82" t="s">
        <v>8015</v>
      </c>
      <c r="C1111" s="82" t="s">
        <v>656</v>
      </c>
      <c r="D1111" s="83">
        <f>SUMIFS(D1112:D1496,K1112:K1496,"0",B1112:B1496,"5 1 2 9 2 12 31111 6 M59 40000 000161 0000E 00001 00292 025*")-SUMIFS(E1112:E1496,K1112:K1496,"0",B1112:B1496,"5 1 2 9 2 12 31111 6 M59 40000 000161 0000E 00001 00292 025*")</f>
        <v>0</v>
      </c>
      <c r="E1111" s="54"/>
      <c r="F1111" s="83">
        <f>SUMIFS(F1112:F1496,K1112:K1496,"0",B1112:B1496,"5 1 2 9 2 12 31111 6 M59 40000 000161 0000E 00001 00292 025*")</f>
        <v>3072.34</v>
      </c>
      <c r="G1111" s="83">
        <f>SUMIFS(G1112:G1496,K1112:K1496,"0",B1112:B1496,"5 1 2 9 2 12 31111 6 M59 40000 000161 0000E 00001 00292 025*")</f>
        <v>0</v>
      </c>
      <c r="H1111" s="83">
        <f t="shared" si="17"/>
        <v>3072.34</v>
      </c>
      <c r="I1111" s="83"/>
      <c r="K1111" s="54" t="s">
        <v>15</v>
      </c>
    </row>
    <row r="1112" spans="2:11" ht="33" x14ac:dyDescent="0.2">
      <c r="B1112" s="82" t="s">
        <v>8016</v>
      </c>
      <c r="C1112" s="82" t="s">
        <v>5830</v>
      </c>
      <c r="D1112" s="83">
        <f>SUMIFS(D1113:D1496,K1113:K1496,"0",B1113:B1496,"5 1 2 9 2 12 31111 6 M59 40000 000161 0000E 00001 00292 025 2112000*")-SUMIFS(E1113:E1496,K1113:K1496,"0",B1113:B1496,"5 1 2 9 2 12 31111 6 M59 40000 000161 0000E 00001 00292 025 2112000*")</f>
        <v>0</v>
      </c>
      <c r="E1112" s="54"/>
      <c r="F1112" s="83">
        <f>SUMIFS(F1113:F1496,K1113:K1496,"0",B1113:B1496,"5 1 2 9 2 12 31111 6 M59 40000 000161 0000E 00001 00292 025 2112000*")</f>
        <v>3072.34</v>
      </c>
      <c r="G1112" s="83">
        <f>SUMIFS(G1113:G1496,K1113:K1496,"0",B1113:B1496,"5 1 2 9 2 12 31111 6 M59 40000 000161 0000E 00001 00292 025 2112000*")</f>
        <v>0</v>
      </c>
      <c r="H1112" s="83">
        <f t="shared" si="17"/>
        <v>3072.34</v>
      </c>
      <c r="I1112" s="83"/>
      <c r="K1112" s="54" t="s">
        <v>15</v>
      </c>
    </row>
    <row r="1113" spans="2:11" ht="33" x14ac:dyDescent="0.2">
      <c r="B1113" s="82" t="s">
        <v>8017</v>
      </c>
      <c r="C1113" s="82" t="s">
        <v>660</v>
      </c>
      <c r="D1113" s="83">
        <f>SUMIFS(D1114:D1496,K1114:K1496,"0",B1114:B1496,"5 1 2 9 2 12 31111 6 M59 40000 000161 0000E 00001 00292 025 2112000 2024*")-SUMIFS(E1114:E1496,K1114:K1496,"0",B1114:B1496,"5 1 2 9 2 12 31111 6 M59 40000 000161 0000E 00001 00292 025 2112000 2024*")</f>
        <v>0</v>
      </c>
      <c r="E1113" s="54"/>
      <c r="F1113" s="83">
        <f>SUMIFS(F1114:F1496,K1114:K1496,"0",B1114:B1496,"5 1 2 9 2 12 31111 6 M59 40000 000161 0000E 00001 00292 025 2112000 2024*")</f>
        <v>3072.34</v>
      </c>
      <c r="G1113" s="83">
        <f>SUMIFS(G1114:G1496,K1114:K1496,"0",B1114:B1496,"5 1 2 9 2 12 31111 6 M59 40000 000161 0000E 00001 00292 025 2112000 2024*")</f>
        <v>0</v>
      </c>
      <c r="H1113" s="83">
        <f t="shared" si="17"/>
        <v>3072.34</v>
      </c>
      <c r="I1113" s="83"/>
      <c r="K1113" s="54" t="s">
        <v>15</v>
      </c>
    </row>
    <row r="1114" spans="2:11" ht="41.25" x14ac:dyDescent="0.2">
      <c r="B1114" s="82" t="s">
        <v>8018</v>
      </c>
      <c r="C1114" s="82" t="s">
        <v>662</v>
      </c>
      <c r="D1114" s="83">
        <f>SUMIFS(D1115:D1496,K1115:K1496,"0",B1115:B1496,"5 1 2 9 2 12 31111 6 M59 40000 000161 0000E 00001 00292 025 2112000 2024 CP4SP372*")-SUMIFS(E1115:E1496,K1115:K1496,"0",B1115:B1496,"5 1 2 9 2 12 31111 6 M59 40000 000161 0000E 00001 00292 025 2112000 2024 CP4SP372*")</f>
        <v>0</v>
      </c>
      <c r="E1114" s="54"/>
      <c r="F1114" s="83">
        <f>SUMIFS(F1115:F1496,K1115:K1496,"0",B1115:B1496,"5 1 2 9 2 12 31111 6 M59 40000 000161 0000E 00001 00292 025 2112000 2024 CP4SP372*")</f>
        <v>3072.34</v>
      </c>
      <c r="G1114" s="83">
        <f>SUMIFS(G1115:G1496,K1115:K1496,"0",B1115:B1496,"5 1 2 9 2 12 31111 6 M59 40000 000161 0000E 00001 00292 025 2112000 2024 CP4SP372*")</f>
        <v>0</v>
      </c>
      <c r="H1114" s="83">
        <f t="shared" si="17"/>
        <v>3072.34</v>
      </c>
      <c r="I1114" s="83"/>
      <c r="K1114" s="54" t="s">
        <v>15</v>
      </c>
    </row>
    <row r="1115" spans="2:11" ht="41.25" x14ac:dyDescent="0.2">
      <c r="B1115" s="82" t="s">
        <v>8019</v>
      </c>
      <c r="C1115" s="82" t="s">
        <v>664</v>
      </c>
      <c r="D1115" s="83">
        <f>SUMIFS(D1116:D1496,K1116:K1496,"0",B1116:B1496,"5 1 2 9 2 12 31111 6 M59 40000 000161 0000E 00001 00292 025 2112000 2024 CP4SP372 003*")-SUMIFS(E1116:E1496,K1116:K1496,"0",B1116:B1496,"5 1 2 9 2 12 31111 6 M59 40000 000161 0000E 00001 00292 025 2112000 2024 CP4SP372 003*")</f>
        <v>0</v>
      </c>
      <c r="E1115" s="54"/>
      <c r="F1115" s="83">
        <f>SUMIFS(F1116:F1496,K1116:K1496,"0",B1116:B1496,"5 1 2 9 2 12 31111 6 M59 40000 000161 0000E 00001 00292 025 2112000 2024 CP4SP372 003*")</f>
        <v>3072.34</v>
      </c>
      <c r="G1115" s="83">
        <f>SUMIFS(G1116:G1496,K1116:K1496,"0",B1116:B1496,"5 1 2 9 2 12 31111 6 M59 40000 000161 0000E 00001 00292 025 2112000 2024 CP4SP372 003*")</f>
        <v>0</v>
      </c>
      <c r="H1115" s="83">
        <f t="shared" si="17"/>
        <v>3072.34</v>
      </c>
      <c r="I1115" s="83"/>
      <c r="K1115" s="54" t="s">
        <v>15</v>
      </c>
    </row>
    <row r="1116" spans="2:11" ht="33" x14ac:dyDescent="0.2">
      <c r="B1116" s="84" t="s">
        <v>8020</v>
      </c>
      <c r="C1116" s="84" t="s">
        <v>7993</v>
      </c>
      <c r="D1116" s="85">
        <v>0</v>
      </c>
      <c r="E1116" s="85"/>
      <c r="F1116" s="85">
        <v>3072.34</v>
      </c>
      <c r="G1116" s="85">
        <v>0</v>
      </c>
      <c r="H1116" s="85">
        <f t="shared" si="17"/>
        <v>3072.34</v>
      </c>
      <c r="I1116" s="85"/>
      <c r="K1116" s="54" t="s">
        <v>38</v>
      </c>
    </row>
    <row r="1117" spans="2:11" ht="33" x14ac:dyDescent="0.2">
      <c r="B1117" s="82" t="s">
        <v>8050</v>
      </c>
      <c r="C1117" s="82" t="s">
        <v>8051</v>
      </c>
      <c r="D1117" s="83">
        <f>SUMIFS(D1118:D1496,K1118:K1496,"0",B1118:B1496,"5 1 2 9 4*")-SUMIFS(E1118:E1496,K1118:K1496,"0",B1118:B1496,"5 1 2 9 4*")</f>
        <v>0</v>
      </c>
      <c r="E1117" s="54"/>
      <c r="F1117" s="83">
        <f>SUMIFS(F1118:F1496,K1118:K1496,"0",B1118:B1496,"5 1 2 9 4*")</f>
        <v>3462.4</v>
      </c>
      <c r="G1117" s="83">
        <f>SUMIFS(G1118:G1496,K1118:K1496,"0",B1118:B1496,"5 1 2 9 4*")</f>
        <v>0</v>
      </c>
      <c r="H1117" s="83">
        <f t="shared" si="17"/>
        <v>3462.4</v>
      </c>
      <c r="I1117" s="83"/>
      <c r="K1117" s="54" t="s">
        <v>15</v>
      </c>
    </row>
    <row r="1118" spans="2:11" ht="12.75" x14ac:dyDescent="0.2">
      <c r="B1118" s="82" t="s">
        <v>8052</v>
      </c>
      <c r="C1118" s="82" t="s">
        <v>26</v>
      </c>
      <c r="D1118" s="83">
        <f>SUMIFS(D1119:D1496,K1119:K1496,"0",B1119:B1496,"5 1 2 9 4 12*")-SUMIFS(E1119:E1496,K1119:K1496,"0",B1119:B1496,"5 1 2 9 4 12*")</f>
        <v>0</v>
      </c>
      <c r="E1118" s="54"/>
      <c r="F1118" s="83">
        <f>SUMIFS(F1119:F1496,K1119:K1496,"0",B1119:B1496,"5 1 2 9 4 12*")</f>
        <v>3462.4</v>
      </c>
      <c r="G1118" s="83">
        <f>SUMIFS(G1119:G1496,K1119:K1496,"0",B1119:B1496,"5 1 2 9 4 12*")</f>
        <v>0</v>
      </c>
      <c r="H1118" s="83">
        <f t="shared" si="17"/>
        <v>3462.4</v>
      </c>
      <c r="I1118" s="83"/>
      <c r="K1118" s="54" t="s">
        <v>15</v>
      </c>
    </row>
    <row r="1119" spans="2:11" ht="16.5" x14ac:dyDescent="0.2">
      <c r="B1119" s="82" t="s">
        <v>8053</v>
      </c>
      <c r="C1119" s="82" t="s">
        <v>28</v>
      </c>
      <c r="D1119" s="83">
        <f>SUMIFS(D1120:D1496,K1120:K1496,"0",B1120:B1496,"5 1 2 9 4 12 31111*")-SUMIFS(E1120:E1496,K1120:K1496,"0",B1120:B1496,"5 1 2 9 4 12 31111*")</f>
        <v>0</v>
      </c>
      <c r="E1119" s="54"/>
      <c r="F1119" s="83">
        <f>SUMIFS(F1120:F1496,K1120:K1496,"0",B1120:B1496,"5 1 2 9 4 12 31111*")</f>
        <v>3462.4</v>
      </c>
      <c r="G1119" s="83">
        <f>SUMIFS(G1120:G1496,K1120:K1496,"0",B1120:B1496,"5 1 2 9 4 12 31111*")</f>
        <v>0</v>
      </c>
      <c r="H1119" s="83">
        <f t="shared" si="17"/>
        <v>3462.4</v>
      </c>
      <c r="I1119" s="83"/>
      <c r="K1119" s="54" t="s">
        <v>15</v>
      </c>
    </row>
    <row r="1120" spans="2:11" ht="12.75" x14ac:dyDescent="0.2">
      <c r="B1120" s="82" t="s">
        <v>8054</v>
      </c>
      <c r="C1120" s="82" t="s">
        <v>30</v>
      </c>
      <c r="D1120" s="83">
        <f>SUMIFS(D1121:D1496,K1121:K1496,"0",B1121:B1496,"5 1 2 9 4 12 31111 6*")-SUMIFS(E1121:E1496,K1121:K1496,"0",B1121:B1496,"5 1 2 9 4 12 31111 6*")</f>
        <v>0</v>
      </c>
      <c r="E1120" s="54"/>
      <c r="F1120" s="83">
        <f>SUMIFS(F1121:F1496,K1121:K1496,"0",B1121:B1496,"5 1 2 9 4 12 31111 6*")</f>
        <v>3462.4</v>
      </c>
      <c r="G1120" s="83">
        <f>SUMIFS(G1121:G1496,K1121:K1496,"0",B1121:B1496,"5 1 2 9 4 12 31111 6*")</f>
        <v>0</v>
      </c>
      <c r="H1120" s="83">
        <f t="shared" si="17"/>
        <v>3462.4</v>
      </c>
      <c r="I1120" s="83"/>
      <c r="K1120" s="54" t="s">
        <v>15</v>
      </c>
    </row>
    <row r="1121" spans="2:11" ht="16.5" x14ac:dyDescent="0.2">
      <c r="B1121" s="82" t="s">
        <v>8055</v>
      </c>
      <c r="C1121" s="82" t="s">
        <v>2284</v>
      </c>
      <c r="D1121" s="83">
        <f>SUMIFS(D1122:D1496,K1122:K1496,"0",B1122:B1496,"5 1 2 9 4 12 31111 6 M59*")-SUMIFS(E1122:E1496,K1122:K1496,"0",B1122:B1496,"5 1 2 9 4 12 31111 6 M59*")</f>
        <v>0</v>
      </c>
      <c r="E1121" s="54"/>
      <c r="F1121" s="83">
        <f>SUMIFS(F1122:F1496,K1122:K1496,"0",B1122:B1496,"5 1 2 9 4 12 31111 6 M59*")</f>
        <v>3462.4</v>
      </c>
      <c r="G1121" s="83">
        <f>SUMIFS(G1122:G1496,K1122:K1496,"0",B1122:B1496,"5 1 2 9 4 12 31111 6 M59*")</f>
        <v>0</v>
      </c>
      <c r="H1121" s="83">
        <f t="shared" si="17"/>
        <v>3462.4</v>
      </c>
      <c r="I1121" s="83"/>
      <c r="K1121" s="54" t="s">
        <v>15</v>
      </c>
    </row>
    <row r="1122" spans="2:11" ht="16.5" x14ac:dyDescent="0.2">
      <c r="B1122" s="82" t="s">
        <v>8056</v>
      </c>
      <c r="C1122" s="82" t="s">
        <v>1092</v>
      </c>
      <c r="D1122" s="83">
        <f>SUMIFS(D1123:D1496,K1123:K1496,"0",B1123:B1496,"5 1 2 9 4 12 31111 6 M59 40000*")-SUMIFS(E1123:E1496,K1123:K1496,"0",B1123:B1496,"5 1 2 9 4 12 31111 6 M59 40000*")</f>
        <v>0</v>
      </c>
      <c r="E1122" s="54"/>
      <c r="F1122" s="83">
        <f>SUMIFS(F1123:F1496,K1123:K1496,"0",B1123:B1496,"5 1 2 9 4 12 31111 6 M59 40000*")</f>
        <v>3462.4</v>
      </c>
      <c r="G1122" s="83">
        <f>SUMIFS(G1123:G1496,K1123:K1496,"0",B1123:B1496,"5 1 2 9 4 12 31111 6 M59 40000*")</f>
        <v>0</v>
      </c>
      <c r="H1122" s="83">
        <f t="shared" si="17"/>
        <v>3462.4</v>
      </c>
      <c r="I1122" s="83"/>
      <c r="K1122" s="54" t="s">
        <v>15</v>
      </c>
    </row>
    <row r="1123" spans="2:11" ht="16.5" x14ac:dyDescent="0.2">
      <c r="B1123" s="82" t="s">
        <v>8057</v>
      </c>
      <c r="C1123" s="82" t="s">
        <v>1094</v>
      </c>
      <c r="D1123" s="83">
        <f>SUMIFS(D1124:D1496,K1124:K1496,"0",B1124:B1496,"5 1 2 9 4 12 31111 6 M59 40000 000161*")-SUMIFS(E1124:E1496,K1124:K1496,"0",B1124:B1496,"5 1 2 9 4 12 31111 6 M59 40000 000161*")</f>
        <v>0</v>
      </c>
      <c r="E1123" s="54"/>
      <c r="F1123" s="83">
        <f>SUMIFS(F1124:F1496,K1124:K1496,"0",B1124:B1496,"5 1 2 9 4 12 31111 6 M59 40000 000161*")</f>
        <v>3462.4</v>
      </c>
      <c r="G1123" s="83">
        <f>SUMIFS(G1124:G1496,K1124:K1496,"0",B1124:B1496,"5 1 2 9 4 12 31111 6 M59 40000 000161*")</f>
        <v>0</v>
      </c>
      <c r="H1123" s="83">
        <f t="shared" ref="H1123:H1186" si="18">D1123 + F1123 - G1123</f>
        <v>3462.4</v>
      </c>
      <c r="I1123" s="83"/>
      <c r="K1123" s="54" t="s">
        <v>15</v>
      </c>
    </row>
    <row r="1124" spans="2:11" ht="24.75" x14ac:dyDescent="0.2">
      <c r="B1124" s="82" t="s">
        <v>8058</v>
      </c>
      <c r="C1124" s="82" t="s">
        <v>1065</v>
      </c>
      <c r="D1124" s="83">
        <f>SUMIFS(D1125:D1496,K1125:K1496,"0",B1125:B1496,"5 1 2 9 4 12 31111 6 M59 40000 000161 0000E*")-SUMIFS(E1125:E1496,K1125:K1496,"0",B1125:B1496,"5 1 2 9 4 12 31111 6 M59 40000 000161 0000E*")</f>
        <v>0</v>
      </c>
      <c r="E1124" s="54"/>
      <c r="F1124" s="83">
        <f>SUMIFS(F1125:F1496,K1125:K1496,"0",B1125:B1496,"5 1 2 9 4 12 31111 6 M59 40000 000161 0000E*")</f>
        <v>3462.4</v>
      </c>
      <c r="G1124" s="83">
        <f>SUMIFS(G1125:G1496,K1125:K1496,"0",B1125:B1496,"5 1 2 9 4 12 31111 6 M59 40000 000161 0000E*")</f>
        <v>0</v>
      </c>
      <c r="H1124" s="83">
        <f t="shared" si="18"/>
        <v>3462.4</v>
      </c>
      <c r="I1124" s="83"/>
      <c r="K1124" s="54" t="s">
        <v>15</v>
      </c>
    </row>
    <row r="1125" spans="2:11" ht="24.75" x14ac:dyDescent="0.2">
      <c r="B1125" s="82" t="s">
        <v>8059</v>
      </c>
      <c r="C1125" s="82" t="s">
        <v>282</v>
      </c>
      <c r="D1125" s="83">
        <f>SUMIFS(D1126:D1496,K1126:K1496,"0",B1126:B1496,"5 1 2 9 4 12 31111 6 M59 40000 000161 0000E 00001*")-SUMIFS(E1126:E1496,K1126:K1496,"0",B1126:B1496,"5 1 2 9 4 12 31111 6 M59 40000 000161 0000E 00001*")</f>
        <v>0</v>
      </c>
      <c r="E1125" s="54"/>
      <c r="F1125" s="83">
        <f>SUMIFS(F1126:F1496,K1126:K1496,"0",B1126:B1496,"5 1 2 9 4 12 31111 6 M59 40000 000161 0000E 00001*")</f>
        <v>3462.4</v>
      </c>
      <c r="G1125" s="83">
        <f>SUMIFS(G1126:G1496,K1126:K1496,"0",B1126:B1496,"5 1 2 9 4 12 31111 6 M59 40000 000161 0000E 00001*")</f>
        <v>0</v>
      </c>
      <c r="H1125" s="83">
        <f t="shared" si="18"/>
        <v>3462.4</v>
      </c>
      <c r="I1125" s="83"/>
      <c r="K1125" s="54" t="s">
        <v>15</v>
      </c>
    </row>
    <row r="1126" spans="2:11" ht="33" x14ac:dyDescent="0.2">
      <c r="B1126" s="82" t="s">
        <v>8060</v>
      </c>
      <c r="C1126" s="82" t="s">
        <v>8061</v>
      </c>
      <c r="D1126" s="83">
        <f>SUMIFS(D1127:D1496,K1127:K1496,"0",B1127:B1496,"5 1 2 9 4 12 31111 6 M59 40000 000161 0000E 00001 00294*")-SUMIFS(E1127:E1496,K1127:K1496,"0",B1127:B1496,"5 1 2 9 4 12 31111 6 M59 40000 000161 0000E 00001 00294*")</f>
        <v>0</v>
      </c>
      <c r="E1126" s="54"/>
      <c r="F1126" s="83">
        <f>SUMIFS(F1127:F1496,K1127:K1496,"0",B1127:B1496,"5 1 2 9 4 12 31111 6 M59 40000 000161 0000E 00001 00294*")</f>
        <v>3462.4</v>
      </c>
      <c r="G1126" s="83">
        <f>SUMIFS(G1127:G1496,K1127:K1496,"0",B1127:B1496,"5 1 2 9 4 12 31111 6 M59 40000 000161 0000E 00001 00294*")</f>
        <v>0</v>
      </c>
      <c r="H1126" s="83">
        <f t="shared" si="18"/>
        <v>3462.4</v>
      </c>
      <c r="I1126" s="83"/>
      <c r="K1126" s="54" t="s">
        <v>15</v>
      </c>
    </row>
    <row r="1127" spans="2:11" ht="33" x14ac:dyDescent="0.2">
      <c r="B1127" s="82" t="s">
        <v>8062</v>
      </c>
      <c r="C1127" s="82" t="s">
        <v>656</v>
      </c>
      <c r="D1127" s="83">
        <f>SUMIFS(D1128:D1496,K1128:K1496,"0",B1128:B1496,"5 1 2 9 4 12 31111 6 M59 40000 000161 0000E 00001 00294 025*")-SUMIFS(E1128:E1496,K1128:K1496,"0",B1128:B1496,"5 1 2 9 4 12 31111 6 M59 40000 000161 0000E 00001 00294 025*")</f>
        <v>0</v>
      </c>
      <c r="E1127" s="54"/>
      <c r="F1127" s="83">
        <f>SUMIFS(F1128:F1496,K1128:K1496,"0",B1128:B1496,"5 1 2 9 4 12 31111 6 M59 40000 000161 0000E 00001 00294 025*")</f>
        <v>3462.4</v>
      </c>
      <c r="G1127" s="83">
        <f>SUMIFS(G1128:G1496,K1128:K1496,"0",B1128:B1496,"5 1 2 9 4 12 31111 6 M59 40000 000161 0000E 00001 00294 025*")</f>
        <v>0</v>
      </c>
      <c r="H1127" s="83">
        <f t="shared" si="18"/>
        <v>3462.4</v>
      </c>
      <c r="I1127" s="83"/>
      <c r="K1127" s="54" t="s">
        <v>15</v>
      </c>
    </row>
    <row r="1128" spans="2:11" ht="33" x14ac:dyDescent="0.2">
      <c r="B1128" s="82" t="s">
        <v>8063</v>
      </c>
      <c r="C1128" s="82" t="s">
        <v>5830</v>
      </c>
      <c r="D1128" s="83">
        <f>SUMIFS(D1129:D1496,K1129:K1496,"0",B1129:B1496,"5 1 2 9 4 12 31111 6 M59 40000 000161 0000E 00001 00294 025 2112000*")-SUMIFS(E1129:E1496,K1129:K1496,"0",B1129:B1496,"5 1 2 9 4 12 31111 6 M59 40000 000161 0000E 00001 00294 025 2112000*")</f>
        <v>0</v>
      </c>
      <c r="E1128" s="54"/>
      <c r="F1128" s="83">
        <f>SUMIFS(F1129:F1496,K1129:K1496,"0",B1129:B1496,"5 1 2 9 4 12 31111 6 M59 40000 000161 0000E 00001 00294 025 2112000*")</f>
        <v>3462.4</v>
      </c>
      <c r="G1128" s="83">
        <f>SUMIFS(G1129:G1496,K1129:K1496,"0",B1129:B1496,"5 1 2 9 4 12 31111 6 M59 40000 000161 0000E 00001 00294 025 2112000*")</f>
        <v>0</v>
      </c>
      <c r="H1128" s="83">
        <f t="shared" si="18"/>
        <v>3462.4</v>
      </c>
      <c r="I1128" s="83"/>
      <c r="K1128" s="54" t="s">
        <v>15</v>
      </c>
    </row>
    <row r="1129" spans="2:11" ht="33" x14ac:dyDescent="0.2">
      <c r="B1129" s="82" t="s">
        <v>8064</v>
      </c>
      <c r="C1129" s="82" t="s">
        <v>660</v>
      </c>
      <c r="D1129" s="83">
        <f>SUMIFS(D1130:D1496,K1130:K1496,"0",B1130:B1496,"5 1 2 9 4 12 31111 6 M59 40000 000161 0000E 00001 00294 025 2112000 2024*")-SUMIFS(E1130:E1496,K1130:K1496,"0",B1130:B1496,"5 1 2 9 4 12 31111 6 M59 40000 000161 0000E 00001 00294 025 2112000 2024*")</f>
        <v>0</v>
      </c>
      <c r="E1129" s="54"/>
      <c r="F1129" s="83">
        <f>SUMIFS(F1130:F1496,K1130:K1496,"0",B1130:B1496,"5 1 2 9 4 12 31111 6 M59 40000 000161 0000E 00001 00294 025 2112000 2024*")</f>
        <v>3462.4</v>
      </c>
      <c r="G1129" s="83">
        <f>SUMIFS(G1130:G1496,K1130:K1496,"0",B1130:B1496,"5 1 2 9 4 12 31111 6 M59 40000 000161 0000E 00001 00294 025 2112000 2024*")</f>
        <v>0</v>
      </c>
      <c r="H1129" s="83">
        <f t="shared" si="18"/>
        <v>3462.4</v>
      </c>
      <c r="I1129" s="83"/>
      <c r="K1129" s="54" t="s">
        <v>15</v>
      </c>
    </row>
    <row r="1130" spans="2:11" ht="41.25" x14ac:dyDescent="0.2">
      <c r="B1130" s="82" t="s">
        <v>8065</v>
      </c>
      <c r="C1130" s="82" t="s">
        <v>662</v>
      </c>
      <c r="D1130" s="83">
        <f>SUMIFS(D1131:D1496,K1131:K1496,"0",B1131:B1496,"5 1 2 9 4 12 31111 6 M59 40000 000161 0000E 00001 00294 025 2112000 2024 CP4SP372*")-SUMIFS(E1131:E1496,K1131:K1496,"0",B1131:B1496,"5 1 2 9 4 12 31111 6 M59 40000 000161 0000E 00001 00294 025 2112000 2024 CP4SP372*")</f>
        <v>0</v>
      </c>
      <c r="E1130" s="54"/>
      <c r="F1130" s="83">
        <f>SUMIFS(F1131:F1496,K1131:K1496,"0",B1131:B1496,"5 1 2 9 4 12 31111 6 M59 40000 000161 0000E 00001 00294 025 2112000 2024 CP4SP372*")</f>
        <v>3462.4</v>
      </c>
      <c r="G1130" s="83">
        <f>SUMIFS(G1131:G1496,K1131:K1496,"0",B1131:B1496,"5 1 2 9 4 12 31111 6 M59 40000 000161 0000E 00001 00294 025 2112000 2024 CP4SP372*")</f>
        <v>0</v>
      </c>
      <c r="H1130" s="83">
        <f t="shared" si="18"/>
        <v>3462.4</v>
      </c>
      <c r="I1130" s="83"/>
      <c r="K1130" s="54" t="s">
        <v>15</v>
      </c>
    </row>
    <row r="1131" spans="2:11" ht="41.25" x14ac:dyDescent="0.2">
      <c r="B1131" s="82" t="s">
        <v>8066</v>
      </c>
      <c r="C1131" s="82" t="s">
        <v>664</v>
      </c>
      <c r="D1131" s="83">
        <f>SUMIFS(D1132:D1496,K1132:K1496,"0",B1132:B1496,"5 1 2 9 4 12 31111 6 M59 40000 000161 0000E 00001 00294 025 2112000 2024 CP4SP372 003*")-SUMIFS(E1132:E1496,K1132:K1496,"0",B1132:B1496,"5 1 2 9 4 12 31111 6 M59 40000 000161 0000E 00001 00294 025 2112000 2024 CP4SP372 003*")</f>
        <v>0</v>
      </c>
      <c r="E1131" s="54"/>
      <c r="F1131" s="83">
        <f>SUMIFS(F1132:F1496,K1132:K1496,"0",B1132:B1496,"5 1 2 9 4 12 31111 6 M59 40000 000161 0000E 00001 00294 025 2112000 2024 CP4SP372 003*")</f>
        <v>3462.4</v>
      </c>
      <c r="G1131" s="83">
        <f>SUMIFS(G1132:G1496,K1132:K1496,"0",B1132:B1496,"5 1 2 9 4 12 31111 6 M59 40000 000161 0000E 00001 00294 025 2112000 2024 CP4SP372 003*")</f>
        <v>0</v>
      </c>
      <c r="H1131" s="83">
        <f t="shared" si="18"/>
        <v>3462.4</v>
      </c>
      <c r="I1131" s="83"/>
      <c r="K1131" s="54" t="s">
        <v>15</v>
      </c>
    </row>
    <row r="1132" spans="2:11" ht="33" x14ac:dyDescent="0.2">
      <c r="B1132" s="84" t="s">
        <v>8067</v>
      </c>
      <c r="C1132" s="84" t="s">
        <v>8051</v>
      </c>
      <c r="D1132" s="85">
        <v>0</v>
      </c>
      <c r="E1132" s="85"/>
      <c r="F1132" s="85">
        <v>3462.4</v>
      </c>
      <c r="G1132" s="85">
        <v>0</v>
      </c>
      <c r="H1132" s="85">
        <f t="shared" si="18"/>
        <v>3462.4</v>
      </c>
      <c r="I1132" s="85"/>
      <c r="K1132" s="54" t="s">
        <v>38</v>
      </c>
    </row>
    <row r="1133" spans="2:11" ht="24.75" x14ac:dyDescent="0.2">
      <c r="B1133" s="82" t="s">
        <v>8068</v>
      </c>
      <c r="C1133" s="82" t="s">
        <v>8069</v>
      </c>
      <c r="D1133" s="83">
        <f>SUMIFS(D1134:D1496,K1134:K1496,"0",B1134:B1496,"5 1 2 9 6*")-SUMIFS(E1134:E1496,K1134:K1496,"0",B1134:B1496,"5 1 2 9 6*")</f>
        <v>0</v>
      </c>
      <c r="E1133" s="54"/>
      <c r="F1133" s="83">
        <f>SUMIFS(F1134:F1496,K1134:K1496,"0",B1134:B1496,"5 1 2 9 6*")</f>
        <v>2579673.75</v>
      </c>
      <c r="G1133" s="83">
        <f>SUMIFS(G1134:G1496,K1134:K1496,"0",B1134:B1496,"5 1 2 9 6*")</f>
        <v>0</v>
      </c>
      <c r="H1133" s="83">
        <f t="shared" si="18"/>
        <v>2579673.75</v>
      </c>
      <c r="I1133" s="83"/>
      <c r="K1133" s="54" t="s">
        <v>15</v>
      </c>
    </row>
    <row r="1134" spans="2:11" ht="12.75" x14ac:dyDescent="0.2">
      <c r="B1134" s="82" t="s">
        <v>8070</v>
      </c>
      <c r="C1134" s="82" t="s">
        <v>26</v>
      </c>
      <c r="D1134" s="83">
        <f>SUMIFS(D1135:D1496,K1135:K1496,"0",B1135:B1496,"5 1 2 9 6 12*")-SUMIFS(E1135:E1496,K1135:K1496,"0",B1135:B1496,"5 1 2 9 6 12*")</f>
        <v>0</v>
      </c>
      <c r="E1134" s="54"/>
      <c r="F1134" s="83">
        <f>SUMIFS(F1135:F1496,K1135:K1496,"0",B1135:B1496,"5 1 2 9 6 12*")</f>
        <v>2579673.75</v>
      </c>
      <c r="G1134" s="83">
        <f>SUMIFS(G1135:G1496,K1135:K1496,"0",B1135:B1496,"5 1 2 9 6 12*")</f>
        <v>0</v>
      </c>
      <c r="H1134" s="83">
        <f t="shared" si="18"/>
        <v>2579673.75</v>
      </c>
      <c r="I1134" s="83"/>
      <c r="K1134" s="54" t="s">
        <v>15</v>
      </c>
    </row>
    <row r="1135" spans="2:11" ht="16.5" x14ac:dyDescent="0.2">
      <c r="B1135" s="82" t="s">
        <v>8071</v>
      </c>
      <c r="C1135" s="82" t="s">
        <v>28</v>
      </c>
      <c r="D1135" s="83">
        <f>SUMIFS(D1136:D1496,K1136:K1496,"0",B1136:B1496,"5 1 2 9 6 12 31111*")-SUMIFS(E1136:E1496,K1136:K1496,"0",B1136:B1496,"5 1 2 9 6 12 31111*")</f>
        <v>0</v>
      </c>
      <c r="E1135" s="54"/>
      <c r="F1135" s="83">
        <f>SUMIFS(F1136:F1496,K1136:K1496,"0",B1136:B1496,"5 1 2 9 6 12 31111*")</f>
        <v>2579673.75</v>
      </c>
      <c r="G1135" s="83">
        <f>SUMIFS(G1136:G1496,K1136:K1496,"0",B1136:B1496,"5 1 2 9 6 12 31111*")</f>
        <v>0</v>
      </c>
      <c r="H1135" s="83">
        <f t="shared" si="18"/>
        <v>2579673.75</v>
      </c>
      <c r="I1135" s="83"/>
      <c r="K1135" s="54" t="s">
        <v>15</v>
      </c>
    </row>
    <row r="1136" spans="2:11" ht="12.75" x14ac:dyDescent="0.2">
      <c r="B1136" s="82" t="s">
        <v>8072</v>
      </c>
      <c r="C1136" s="82" t="s">
        <v>30</v>
      </c>
      <c r="D1136" s="83">
        <f>SUMIFS(D1137:D1496,K1137:K1496,"0",B1137:B1496,"5 1 2 9 6 12 31111 6*")-SUMIFS(E1137:E1496,K1137:K1496,"0",B1137:B1496,"5 1 2 9 6 12 31111 6*")</f>
        <v>0</v>
      </c>
      <c r="E1136" s="54"/>
      <c r="F1136" s="83">
        <f>SUMIFS(F1137:F1496,K1137:K1496,"0",B1137:B1496,"5 1 2 9 6 12 31111 6*")</f>
        <v>2579673.75</v>
      </c>
      <c r="G1136" s="83">
        <f>SUMIFS(G1137:G1496,K1137:K1496,"0",B1137:B1496,"5 1 2 9 6 12 31111 6*")</f>
        <v>0</v>
      </c>
      <c r="H1136" s="83">
        <f t="shared" si="18"/>
        <v>2579673.75</v>
      </c>
      <c r="I1136" s="83"/>
      <c r="K1136" s="54" t="s">
        <v>15</v>
      </c>
    </row>
    <row r="1137" spans="2:11" ht="16.5" x14ac:dyDescent="0.2">
      <c r="B1137" s="82" t="s">
        <v>8073</v>
      </c>
      <c r="C1137" s="82" t="s">
        <v>2284</v>
      </c>
      <c r="D1137" s="83">
        <f>SUMIFS(D1138:D1496,K1138:K1496,"0",B1138:B1496,"5 1 2 9 6 12 31111 6 M59*")-SUMIFS(E1138:E1496,K1138:K1496,"0",B1138:B1496,"5 1 2 9 6 12 31111 6 M59*")</f>
        <v>0</v>
      </c>
      <c r="E1137" s="54"/>
      <c r="F1137" s="83">
        <f>SUMIFS(F1138:F1496,K1138:K1496,"0",B1138:B1496,"5 1 2 9 6 12 31111 6 M59*")</f>
        <v>2579673.75</v>
      </c>
      <c r="G1137" s="83">
        <f>SUMIFS(G1138:G1496,K1138:K1496,"0",B1138:B1496,"5 1 2 9 6 12 31111 6 M59*")</f>
        <v>0</v>
      </c>
      <c r="H1137" s="83">
        <f t="shared" si="18"/>
        <v>2579673.75</v>
      </c>
      <c r="I1137" s="83"/>
      <c r="K1137" s="54" t="s">
        <v>15</v>
      </c>
    </row>
    <row r="1138" spans="2:11" ht="16.5" x14ac:dyDescent="0.2">
      <c r="B1138" s="82" t="s">
        <v>8129</v>
      </c>
      <c r="C1138" s="82" t="s">
        <v>1092</v>
      </c>
      <c r="D1138" s="83">
        <f>SUMIFS(D1139:D1496,K1139:K1496,"0",B1139:B1496,"5 1 2 9 6 12 31111 6 M59 40000*")-SUMIFS(E1139:E1496,K1139:K1496,"0",B1139:B1496,"5 1 2 9 6 12 31111 6 M59 40000*")</f>
        <v>0</v>
      </c>
      <c r="E1138" s="54"/>
      <c r="F1138" s="83">
        <f>SUMIFS(F1139:F1496,K1139:K1496,"0",B1139:B1496,"5 1 2 9 6 12 31111 6 M59 40000*")</f>
        <v>543976.26</v>
      </c>
      <c r="G1138" s="83">
        <f>SUMIFS(G1139:G1496,K1139:K1496,"0",B1139:B1496,"5 1 2 9 6 12 31111 6 M59 40000*")</f>
        <v>0</v>
      </c>
      <c r="H1138" s="83">
        <f t="shared" si="18"/>
        <v>543976.26</v>
      </c>
      <c r="I1138" s="83"/>
      <c r="K1138" s="54" t="s">
        <v>15</v>
      </c>
    </row>
    <row r="1139" spans="2:11" ht="16.5" x14ac:dyDescent="0.2">
      <c r="B1139" s="82" t="s">
        <v>8130</v>
      </c>
      <c r="C1139" s="82" t="s">
        <v>1094</v>
      </c>
      <c r="D1139" s="83">
        <f>SUMIFS(D1140:D1496,K1140:K1496,"0",B1140:B1496,"5 1 2 9 6 12 31111 6 M59 40000 000161*")-SUMIFS(E1140:E1496,K1140:K1496,"0",B1140:B1496,"5 1 2 9 6 12 31111 6 M59 40000 000161*")</f>
        <v>0</v>
      </c>
      <c r="E1139" s="54"/>
      <c r="F1139" s="83">
        <f>SUMIFS(F1140:F1496,K1140:K1496,"0",B1140:B1496,"5 1 2 9 6 12 31111 6 M59 40000 000161*")</f>
        <v>543976.26</v>
      </c>
      <c r="G1139" s="83">
        <f>SUMIFS(G1140:G1496,K1140:K1496,"0",B1140:B1496,"5 1 2 9 6 12 31111 6 M59 40000 000161*")</f>
        <v>0</v>
      </c>
      <c r="H1139" s="83">
        <f t="shared" si="18"/>
        <v>543976.26</v>
      </c>
      <c r="I1139" s="83"/>
      <c r="K1139" s="54" t="s">
        <v>15</v>
      </c>
    </row>
    <row r="1140" spans="2:11" ht="24.75" x14ac:dyDescent="0.2">
      <c r="B1140" s="82" t="s">
        <v>8131</v>
      </c>
      <c r="C1140" s="82" t="s">
        <v>1065</v>
      </c>
      <c r="D1140" s="83">
        <f>SUMIFS(D1141:D1496,K1141:K1496,"0",B1141:B1496,"5 1 2 9 6 12 31111 6 M59 40000 000161 0000E*")-SUMIFS(E1141:E1496,K1141:K1496,"0",B1141:B1496,"5 1 2 9 6 12 31111 6 M59 40000 000161 0000E*")</f>
        <v>0</v>
      </c>
      <c r="E1140" s="54"/>
      <c r="F1140" s="83">
        <f>SUMIFS(F1141:F1496,K1141:K1496,"0",B1141:B1496,"5 1 2 9 6 12 31111 6 M59 40000 000161 0000E*")</f>
        <v>543976.26</v>
      </c>
      <c r="G1140" s="83">
        <f>SUMIFS(G1141:G1496,K1141:K1496,"0",B1141:B1496,"5 1 2 9 6 12 31111 6 M59 40000 000161 0000E*")</f>
        <v>0</v>
      </c>
      <c r="H1140" s="83">
        <f t="shared" si="18"/>
        <v>543976.26</v>
      </c>
      <c r="I1140" s="83"/>
      <c r="K1140" s="54" t="s">
        <v>15</v>
      </c>
    </row>
    <row r="1141" spans="2:11" ht="24.75" x14ac:dyDescent="0.2">
      <c r="B1141" s="82" t="s">
        <v>8132</v>
      </c>
      <c r="C1141" s="82" t="s">
        <v>282</v>
      </c>
      <c r="D1141" s="83">
        <f>SUMIFS(D1142:D1496,K1142:K1496,"0",B1142:B1496,"5 1 2 9 6 12 31111 6 M59 40000 000161 0000E 00001*")-SUMIFS(E1142:E1496,K1142:K1496,"0",B1142:B1496,"5 1 2 9 6 12 31111 6 M59 40000 000161 0000E 00001*")</f>
        <v>0</v>
      </c>
      <c r="E1141" s="54"/>
      <c r="F1141" s="83">
        <f>SUMIFS(F1142:F1496,K1142:K1496,"0",B1142:B1496,"5 1 2 9 6 12 31111 6 M59 40000 000161 0000E 00001*")</f>
        <v>543976.26</v>
      </c>
      <c r="G1141" s="83">
        <f>SUMIFS(G1142:G1496,K1142:K1496,"0",B1142:B1496,"5 1 2 9 6 12 31111 6 M59 40000 000161 0000E 00001*")</f>
        <v>0</v>
      </c>
      <c r="H1141" s="83">
        <f t="shared" si="18"/>
        <v>543976.26</v>
      </c>
      <c r="I1141" s="83"/>
      <c r="K1141" s="54" t="s">
        <v>15</v>
      </c>
    </row>
    <row r="1142" spans="2:11" ht="24.75" x14ac:dyDescent="0.2">
      <c r="B1142" s="82" t="s">
        <v>8133</v>
      </c>
      <c r="C1142" s="82" t="s">
        <v>8079</v>
      </c>
      <c r="D1142" s="83">
        <f>SUMIFS(D1143:D1496,K1143:K1496,"0",B1143:B1496,"5 1 2 9 6 12 31111 6 M59 40000 000161 0000E 00001 00296*")-SUMIFS(E1143:E1496,K1143:K1496,"0",B1143:B1496,"5 1 2 9 6 12 31111 6 M59 40000 000161 0000E 00001 00296*")</f>
        <v>0</v>
      </c>
      <c r="E1142" s="54"/>
      <c r="F1142" s="83">
        <f>SUMIFS(F1143:F1496,K1143:K1496,"0",B1143:B1496,"5 1 2 9 6 12 31111 6 M59 40000 000161 0000E 00001 00296*")</f>
        <v>543976.26</v>
      </c>
      <c r="G1142" s="83">
        <f>SUMIFS(G1143:G1496,K1143:K1496,"0",B1143:B1496,"5 1 2 9 6 12 31111 6 M59 40000 000161 0000E 00001 00296*")</f>
        <v>0</v>
      </c>
      <c r="H1142" s="83">
        <f t="shared" si="18"/>
        <v>543976.26</v>
      </c>
      <c r="I1142" s="83"/>
      <c r="K1142" s="54" t="s">
        <v>15</v>
      </c>
    </row>
    <row r="1143" spans="2:11" ht="33" x14ac:dyDescent="0.2">
      <c r="B1143" s="82" t="s">
        <v>8134</v>
      </c>
      <c r="C1143" s="82" t="s">
        <v>656</v>
      </c>
      <c r="D1143" s="83">
        <f>SUMIFS(D1144:D1496,K1144:K1496,"0",B1144:B1496,"5 1 2 9 6 12 31111 6 M59 40000 000161 0000E 00001 00296 025*")-SUMIFS(E1144:E1496,K1144:K1496,"0",B1144:B1496,"5 1 2 9 6 12 31111 6 M59 40000 000161 0000E 00001 00296 025*")</f>
        <v>0</v>
      </c>
      <c r="E1143" s="54"/>
      <c r="F1143" s="83">
        <f>SUMIFS(F1144:F1496,K1144:K1496,"0",B1144:B1496,"5 1 2 9 6 12 31111 6 M59 40000 000161 0000E 00001 00296 025*")</f>
        <v>543976.26</v>
      </c>
      <c r="G1143" s="83">
        <f>SUMIFS(G1144:G1496,K1144:K1496,"0",B1144:B1496,"5 1 2 9 6 12 31111 6 M59 40000 000161 0000E 00001 00296 025*")</f>
        <v>0</v>
      </c>
      <c r="H1143" s="83">
        <f t="shared" si="18"/>
        <v>543976.26</v>
      </c>
      <c r="I1143" s="83"/>
      <c r="K1143" s="54" t="s">
        <v>15</v>
      </c>
    </row>
    <row r="1144" spans="2:11" ht="33" x14ac:dyDescent="0.2">
      <c r="B1144" s="82" t="s">
        <v>8135</v>
      </c>
      <c r="C1144" s="82" t="s">
        <v>5830</v>
      </c>
      <c r="D1144" s="83">
        <f>SUMIFS(D1145:D1496,K1145:K1496,"0",B1145:B1496,"5 1 2 9 6 12 31111 6 M59 40000 000161 0000E 00001 00296 025 2112000*")-SUMIFS(E1145:E1496,K1145:K1496,"0",B1145:B1496,"5 1 2 9 6 12 31111 6 M59 40000 000161 0000E 00001 00296 025 2112000*")</f>
        <v>0</v>
      </c>
      <c r="E1144" s="54"/>
      <c r="F1144" s="83">
        <f>SUMIFS(F1145:F1496,K1145:K1496,"0",B1145:B1496,"5 1 2 9 6 12 31111 6 M59 40000 000161 0000E 00001 00296 025 2112000*")</f>
        <v>543976.26</v>
      </c>
      <c r="G1144" s="83">
        <f>SUMIFS(G1145:G1496,K1145:K1496,"0",B1145:B1496,"5 1 2 9 6 12 31111 6 M59 40000 000161 0000E 00001 00296 025 2112000*")</f>
        <v>0</v>
      </c>
      <c r="H1144" s="83">
        <f t="shared" si="18"/>
        <v>543976.26</v>
      </c>
      <c r="I1144" s="83"/>
      <c r="K1144" s="54" t="s">
        <v>15</v>
      </c>
    </row>
    <row r="1145" spans="2:11" ht="33" x14ac:dyDescent="0.2">
      <c r="B1145" s="82" t="s">
        <v>8136</v>
      </c>
      <c r="C1145" s="82" t="s">
        <v>660</v>
      </c>
      <c r="D1145" s="83">
        <f>SUMIFS(D1146:D1496,K1146:K1496,"0",B1146:B1496,"5 1 2 9 6 12 31111 6 M59 40000 000161 0000E 00001 00296 025 2112000 2024*")-SUMIFS(E1146:E1496,K1146:K1496,"0",B1146:B1496,"5 1 2 9 6 12 31111 6 M59 40000 000161 0000E 00001 00296 025 2112000 2024*")</f>
        <v>0</v>
      </c>
      <c r="E1145" s="54"/>
      <c r="F1145" s="83">
        <f>SUMIFS(F1146:F1496,K1146:K1496,"0",B1146:B1496,"5 1 2 9 6 12 31111 6 M59 40000 000161 0000E 00001 00296 025 2112000 2024*")</f>
        <v>543976.26</v>
      </c>
      <c r="G1145" s="83">
        <f>SUMIFS(G1146:G1496,K1146:K1496,"0",B1146:B1496,"5 1 2 9 6 12 31111 6 M59 40000 000161 0000E 00001 00296 025 2112000 2024*")</f>
        <v>0</v>
      </c>
      <c r="H1145" s="83">
        <f t="shared" si="18"/>
        <v>543976.26</v>
      </c>
      <c r="I1145" s="83"/>
      <c r="K1145" s="54" t="s">
        <v>15</v>
      </c>
    </row>
    <row r="1146" spans="2:11" ht="41.25" x14ac:dyDescent="0.2">
      <c r="B1146" s="82" t="s">
        <v>8137</v>
      </c>
      <c r="C1146" s="82" t="s">
        <v>662</v>
      </c>
      <c r="D1146" s="83">
        <f>SUMIFS(D1147:D1496,K1147:K1496,"0",B1147:B1496,"5 1 2 9 6 12 31111 6 M59 40000 000161 0000E 00001 00296 025 2112000 2024 CP4SP372*")-SUMIFS(E1147:E1496,K1147:K1496,"0",B1147:B1496,"5 1 2 9 6 12 31111 6 M59 40000 000161 0000E 00001 00296 025 2112000 2024 CP4SP372*")</f>
        <v>0</v>
      </c>
      <c r="E1146" s="54"/>
      <c r="F1146" s="83">
        <f>SUMIFS(F1147:F1496,K1147:K1496,"0",B1147:B1496,"5 1 2 9 6 12 31111 6 M59 40000 000161 0000E 00001 00296 025 2112000 2024 CP4SP372*")</f>
        <v>543976.26</v>
      </c>
      <c r="G1146" s="83">
        <f>SUMIFS(G1147:G1496,K1147:K1496,"0",B1147:B1496,"5 1 2 9 6 12 31111 6 M59 40000 000161 0000E 00001 00296 025 2112000 2024 CP4SP372*")</f>
        <v>0</v>
      </c>
      <c r="H1146" s="83">
        <f t="shared" si="18"/>
        <v>543976.26</v>
      </c>
      <c r="I1146" s="83"/>
      <c r="K1146" s="54" t="s">
        <v>15</v>
      </c>
    </row>
    <row r="1147" spans="2:11" ht="41.25" x14ac:dyDescent="0.2">
      <c r="B1147" s="82" t="s">
        <v>8138</v>
      </c>
      <c r="C1147" s="82" t="s">
        <v>664</v>
      </c>
      <c r="D1147" s="83">
        <f>SUMIFS(D1148:D1496,K1148:K1496,"0",B1148:B1496,"5 1 2 9 6 12 31111 6 M59 40000 000161 0000E 00001 00296 025 2112000 2024 CP4SP372 003*")-SUMIFS(E1148:E1496,K1148:K1496,"0",B1148:B1496,"5 1 2 9 6 12 31111 6 M59 40000 000161 0000E 00001 00296 025 2112000 2024 CP4SP372 003*")</f>
        <v>0</v>
      </c>
      <c r="E1147" s="54"/>
      <c r="F1147" s="83">
        <f>SUMIFS(F1148:F1496,K1148:K1496,"0",B1148:B1496,"5 1 2 9 6 12 31111 6 M59 40000 000161 0000E 00001 00296 025 2112000 2024 CP4SP372 003*")</f>
        <v>543976.26</v>
      </c>
      <c r="G1147" s="83">
        <f>SUMIFS(G1148:G1496,K1148:K1496,"0",B1148:B1496,"5 1 2 9 6 12 31111 6 M59 40000 000161 0000E 00001 00296 025 2112000 2024 CP4SP372 003*")</f>
        <v>0</v>
      </c>
      <c r="H1147" s="83">
        <f t="shared" si="18"/>
        <v>543976.26</v>
      </c>
      <c r="I1147" s="83"/>
      <c r="K1147" s="54" t="s">
        <v>15</v>
      </c>
    </row>
    <row r="1148" spans="2:11" ht="33" x14ac:dyDescent="0.2">
      <c r="B1148" s="84" t="s">
        <v>8139</v>
      </c>
      <c r="C1148" s="84" t="s">
        <v>8069</v>
      </c>
      <c r="D1148" s="85">
        <v>0</v>
      </c>
      <c r="E1148" s="85"/>
      <c r="F1148" s="85">
        <v>543976.26</v>
      </c>
      <c r="G1148" s="85">
        <v>0</v>
      </c>
      <c r="H1148" s="85">
        <f t="shared" si="18"/>
        <v>543976.26</v>
      </c>
      <c r="I1148" s="85"/>
      <c r="K1148" s="54" t="s">
        <v>38</v>
      </c>
    </row>
    <row r="1149" spans="2:11" ht="16.5" x14ac:dyDescent="0.2">
      <c r="B1149" s="82" t="s">
        <v>8140</v>
      </c>
      <c r="C1149" s="82" t="s">
        <v>1105</v>
      </c>
      <c r="D1149" s="83">
        <f>SUMIFS(D1150:D1496,K1150:K1496,"0",B1150:B1496,"5 1 2 9 6 12 31111 6 M59 40200*")-SUMIFS(E1150:E1496,K1150:K1496,"0",B1150:B1496,"5 1 2 9 6 12 31111 6 M59 40200*")</f>
        <v>0</v>
      </c>
      <c r="E1149" s="54"/>
      <c r="F1149" s="83">
        <f>SUMIFS(F1150:F1496,K1150:K1496,"0",B1150:B1496,"5 1 2 9 6 12 31111 6 M59 40200*")</f>
        <v>677931.22</v>
      </c>
      <c r="G1149" s="83">
        <f>SUMIFS(G1150:G1496,K1150:K1496,"0",B1150:B1496,"5 1 2 9 6 12 31111 6 M59 40200*")</f>
        <v>0</v>
      </c>
      <c r="H1149" s="83">
        <f t="shared" si="18"/>
        <v>677931.22</v>
      </c>
      <c r="I1149" s="83"/>
      <c r="K1149" s="54" t="s">
        <v>15</v>
      </c>
    </row>
    <row r="1150" spans="2:11" ht="16.5" x14ac:dyDescent="0.2">
      <c r="B1150" s="82" t="s">
        <v>8141</v>
      </c>
      <c r="C1150" s="82" t="s">
        <v>1107</v>
      </c>
      <c r="D1150" s="83">
        <f>SUMIFS(D1151:D1496,K1151:K1496,"0",B1151:B1496,"5 1 2 9 6 12 31111 6 M59 40200 000172*")-SUMIFS(E1151:E1496,K1151:K1496,"0",B1151:B1496,"5 1 2 9 6 12 31111 6 M59 40200 000172*")</f>
        <v>0</v>
      </c>
      <c r="E1150" s="54"/>
      <c r="F1150" s="83">
        <f>SUMIFS(F1151:F1496,K1151:K1496,"0",B1151:B1496,"5 1 2 9 6 12 31111 6 M59 40200 000172*")</f>
        <v>677931.22</v>
      </c>
      <c r="G1150" s="83">
        <f>SUMIFS(G1151:G1496,K1151:K1496,"0",B1151:B1496,"5 1 2 9 6 12 31111 6 M59 40200 000172*")</f>
        <v>0</v>
      </c>
      <c r="H1150" s="83">
        <f t="shared" si="18"/>
        <v>677931.22</v>
      </c>
      <c r="I1150" s="83"/>
      <c r="K1150" s="54" t="s">
        <v>15</v>
      </c>
    </row>
    <row r="1151" spans="2:11" ht="24.75" x14ac:dyDescent="0.2">
      <c r="B1151" s="82" t="s">
        <v>8142</v>
      </c>
      <c r="C1151" s="82" t="s">
        <v>650</v>
      </c>
      <c r="D1151" s="83">
        <f>SUMIFS(D1152:D1496,K1152:K1496,"0",B1152:B1496,"5 1 2 9 6 12 31111 6 M59 40200 000172 0000R*")-SUMIFS(E1152:E1496,K1152:K1496,"0",B1152:B1496,"5 1 2 9 6 12 31111 6 M59 40200 000172 0000R*")</f>
        <v>0</v>
      </c>
      <c r="E1151" s="54"/>
      <c r="F1151" s="83">
        <f>SUMIFS(F1152:F1496,K1152:K1496,"0",B1152:B1496,"5 1 2 9 6 12 31111 6 M59 40200 000172 0000R*")</f>
        <v>677931.22</v>
      </c>
      <c r="G1151" s="83">
        <f>SUMIFS(G1152:G1496,K1152:K1496,"0",B1152:B1496,"5 1 2 9 6 12 31111 6 M59 40200 000172 0000R*")</f>
        <v>0</v>
      </c>
      <c r="H1151" s="83">
        <f t="shared" si="18"/>
        <v>677931.22</v>
      </c>
      <c r="I1151" s="83"/>
      <c r="K1151" s="54" t="s">
        <v>15</v>
      </c>
    </row>
    <row r="1152" spans="2:11" ht="24.75" x14ac:dyDescent="0.2">
      <c r="B1152" s="82" t="s">
        <v>8143</v>
      </c>
      <c r="C1152" s="82" t="s">
        <v>282</v>
      </c>
      <c r="D1152" s="83">
        <f>SUMIFS(D1153:D1496,K1153:K1496,"0",B1153:B1496,"5 1 2 9 6 12 31111 6 M59 40200 000172 0000R 00001*")-SUMIFS(E1153:E1496,K1153:K1496,"0",B1153:B1496,"5 1 2 9 6 12 31111 6 M59 40200 000172 0000R 00001*")</f>
        <v>0</v>
      </c>
      <c r="E1152" s="54"/>
      <c r="F1152" s="83">
        <f>SUMIFS(F1153:F1496,K1153:K1496,"0",B1153:B1496,"5 1 2 9 6 12 31111 6 M59 40200 000172 0000R 00001*")</f>
        <v>677931.22</v>
      </c>
      <c r="G1152" s="83">
        <f>SUMIFS(G1153:G1496,K1153:K1496,"0",B1153:B1496,"5 1 2 9 6 12 31111 6 M59 40200 000172 0000R 00001*")</f>
        <v>0</v>
      </c>
      <c r="H1152" s="83">
        <f t="shared" si="18"/>
        <v>677931.22</v>
      </c>
      <c r="I1152" s="83"/>
      <c r="K1152" s="54" t="s">
        <v>15</v>
      </c>
    </row>
    <row r="1153" spans="2:11" ht="24.75" x14ac:dyDescent="0.2">
      <c r="B1153" s="82" t="s">
        <v>8144</v>
      </c>
      <c r="C1153" s="82" t="s">
        <v>8079</v>
      </c>
      <c r="D1153" s="83">
        <f>SUMIFS(D1154:D1496,K1154:K1496,"0",B1154:B1496,"5 1 2 9 6 12 31111 6 M59 40200 000172 0000R 00001 00296*")-SUMIFS(E1154:E1496,K1154:K1496,"0",B1154:B1496,"5 1 2 9 6 12 31111 6 M59 40200 000172 0000R 00001 00296*")</f>
        <v>0</v>
      </c>
      <c r="E1153" s="54"/>
      <c r="F1153" s="83">
        <f>SUMIFS(F1154:F1496,K1154:K1496,"0",B1154:B1496,"5 1 2 9 6 12 31111 6 M59 40200 000172 0000R 00001 00296*")</f>
        <v>677931.22</v>
      </c>
      <c r="G1153" s="83">
        <f>SUMIFS(G1154:G1496,K1154:K1496,"0",B1154:B1496,"5 1 2 9 6 12 31111 6 M59 40200 000172 0000R 00001 00296*")</f>
        <v>0</v>
      </c>
      <c r="H1153" s="83">
        <f t="shared" si="18"/>
        <v>677931.22</v>
      </c>
      <c r="I1153" s="83"/>
      <c r="K1153" s="54" t="s">
        <v>15</v>
      </c>
    </row>
    <row r="1154" spans="2:11" ht="33" x14ac:dyDescent="0.2">
      <c r="B1154" s="82" t="s">
        <v>8145</v>
      </c>
      <c r="C1154" s="82" t="s">
        <v>656</v>
      </c>
      <c r="D1154" s="83">
        <f>SUMIFS(D1155:D1496,K1155:K1496,"0",B1155:B1496,"5 1 2 9 6 12 31111 6 M59 40200 000172 0000R 00001 00296 025*")-SUMIFS(E1155:E1496,K1155:K1496,"0",B1155:B1496,"5 1 2 9 6 12 31111 6 M59 40200 000172 0000R 00001 00296 025*")</f>
        <v>0</v>
      </c>
      <c r="E1154" s="54"/>
      <c r="F1154" s="83">
        <f>SUMIFS(F1155:F1496,K1155:K1496,"0",B1155:B1496,"5 1 2 9 6 12 31111 6 M59 40200 000172 0000R 00001 00296 025*")</f>
        <v>677931.22</v>
      </c>
      <c r="G1154" s="83">
        <f>SUMIFS(G1155:G1496,K1155:K1496,"0",B1155:B1496,"5 1 2 9 6 12 31111 6 M59 40200 000172 0000R 00001 00296 025*")</f>
        <v>0</v>
      </c>
      <c r="H1154" s="83">
        <f t="shared" si="18"/>
        <v>677931.22</v>
      </c>
      <c r="I1154" s="83"/>
      <c r="K1154" s="54" t="s">
        <v>15</v>
      </c>
    </row>
    <row r="1155" spans="2:11" ht="33" x14ac:dyDescent="0.2">
      <c r="B1155" s="82" t="s">
        <v>8146</v>
      </c>
      <c r="C1155" s="82" t="s">
        <v>5830</v>
      </c>
      <c r="D1155" s="83">
        <f>SUMIFS(D1156:D1496,K1156:K1496,"0",B1156:B1496,"5 1 2 9 6 12 31111 6 M59 40200 000172 0000R 00001 00296 025 2112000*")-SUMIFS(E1156:E1496,K1156:K1496,"0",B1156:B1496,"5 1 2 9 6 12 31111 6 M59 40200 000172 0000R 00001 00296 025 2112000*")</f>
        <v>0</v>
      </c>
      <c r="E1155" s="54"/>
      <c r="F1155" s="83">
        <f>SUMIFS(F1156:F1496,K1156:K1496,"0",B1156:B1496,"5 1 2 9 6 12 31111 6 M59 40200 000172 0000R 00001 00296 025 2112000*")</f>
        <v>677931.22</v>
      </c>
      <c r="G1155" s="83">
        <f>SUMIFS(G1156:G1496,K1156:K1496,"0",B1156:B1496,"5 1 2 9 6 12 31111 6 M59 40200 000172 0000R 00001 00296 025 2112000*")</f>
        <v>0</v>
      </c>
      <c r="H1155" s="83">
        <f t="shared" si="18"/>
        <v>677931.22</v>
      </c>
      <c r="I1155" s="83"/>
      <c r="K1155" s="54" t="s">
        <v>15</v>
      </c>
    </row>
    <row r="1156" spans="2:11" ht="33" x14ac:dyDescent="0.2">
      <c r="B1156" s="82" t="s">
        <v>8147</v>
      </c>
      <c r="C1156" s="82" t="s">
        <v>660</v>
      </c>
      <c r="D1156" s="83">
        <f>SUMIFS(D1157:D1496,K1157:K1496,"0",B1157:B1496,"5 1 2 9 6 12 31111 6 M59 40200 000172 0000R 00001 00296 025 2112000 2024*")-SUMIFS(E1157:E1496,K1157:K1496,"0",B1157:B1496,"5 1 2 9 6 12 31111 6 M59 40200 000172 0000R 00001 00296 025 2112000 2024*")</f>
        <v>0</v>
      </c>
      <c r="E1156" s="54"/>
      <c r="F1156" s="83">
        <f>SUMIFS(F1157:F1496,K1157:K1496,"0",B1157:B1496,"5 1 2 9 6 12 31111 6 M59 40200 000172 0000R 00001 00296 025 2112000 2024*")</f>
        <v>677931.22</v>
      </c>
      <c r="G1156" s="83">
        <f>SUMIFS(G1157:G1496,K1157:K1496,"0",B1157:B1496,"5 1 2 9 6 12 31111 6 M59 40200 000172 0000R 00001 00296 025 2112000 2024*")</f>
        <v>0</v>
      </c>
      <c r="H1156" s="83">
        <f t="shared" si="18"/>
        <v>677931.22</v>
      </c>
      <c r="I1156" s="83"/>
      <c r="K1156" s="54" t="s">
        <v>15</v>
      </c>
    </row>
    <row r="1157" spans="2:11" ht="41.25" x14ac:dyDescent="0.2">
      <c r="B1157" s="82" t="s">
        <v>8148</v>
      </c>
      <c r="C1157" s="82" t="s">
        <v>1056</v>
      </c>
      <c r="D1157" s="83">
        <f>SUMIFS(D1158:D1496,K1158:K1496,"0",B1158:B1496,"5 1 2 9 6 12 31111 6 M59 40200 000172 0000R 00001 00296 025 2112000 2024 CP4PC370*")-SUMIFS(E1158:E1496,K1158:K1496,"0",B1158:B1496,"5 1 2 9 6 12 31111 6 M59 40200 000172 0000R 00001 00296 025 2112000 2024 CP4PC370*")</f>
        <v>0</v>
      </c>
      <c r="E1157" s="54"/>
      <c r="F1157" s="83">
        <f>SUMIFS(F1158:F1496,K1158:K1496,"0",B1158:B1496,"5 1 2 9 6 12 31111 6 M59 40200 000172 0000R 00001 00296 025 2112000 2024 CP4PC370*")</f>
        <v>677931.22</v>
      </c>
      <c r="G1157" s="83">
        <f>SUMIFS(G1158:G1496,K1158:K1496,"0",B1158:B1496,"5 1 2 9 6 12 31111 6 M59 40200 000172 0000R 00001 00296 025 2112000 2024 CP4PC370*")</f>
        <v>0</v>
      </c>
      <c r="H1157" s="83">
        <f t="shared" si="18"/>
        <v>677931.22</v>
      </c>
      <c r="I1157" s="83"/>
      <c r="K1157" s="54" t="s">
        <v>15</v>
      </c>
    </row>
    <row r="1158" spans="2:11" ht="41.25" x14ac:dyDescent="0.2">
      <c r="B1158" s="82" t="s">
        <v>8149</v>
      </c>
      <c r="C1158" s="82" t="s">
        <v>664</v>
      </c>
      <c r="D1158" s="83">
        <f>SUMIFS(D1159:D1496,K1159:K1496,"0",B1159:B1496,"5 1 2 9 6 12 31111 6 M59 40200 000172 0000R 00001 00296 025 2112000 2024 CP4PC370 003*")-SUMIFS(E1159:E1496,K1159:K1496,"0",B1159:B1496,"5 1 2 9 6 12 31111 6 M59 40200 000172 0000R 00001 00296 025 2112000 2024 CP4PC370 003*")</f>
        <v>0</v>
      </c>
      <c r="E1158" s="54"/>
      <c r="F1158" s="83">
        <f>SUMIFS(F1159:F1496,K1159:K1496,"0",B1159:B1496,"5 1 2 9 6 12 31111 6 M59 40200 000172 0000R 00001 00296 025 2112000 2024 CP4PC370 003*")</f>
        <v>677931.22</v>
      </c>
      <c r="G1158" s="83">
        <f>SUMIFS(G1159:G1496,K1159:K1496,"0",B1159:B1496,"5 1 2 9 6 12 31111 6 M59 40200 000172 0000R 00001 00296 025 2112000 2024 CP4PC370 003*")</f>
        <v>0</v>
      </c>
      <c r="H1158" s="83">
        <f t="shared" si="18"/>
        <v>677931.22</v>
      </c>
      <c r="I1158" s="83"/>
      <c r="K1158" s="54" t="s">
        <v>15</v>
      </c>
    </row>
    <row r="1159" spans="2:11" ht="33" x14ac:dyDescent="0.2">
      <c r="B1159" s="84" t="s">
        <v>8150</v>
      </c>
      <c r="C1159" s="84" t="s">
        <v>8069</v>
      </c>
      <c r="D1159" s="85">
        <v>0</v>
      </c>
      <c r="E1159" s="85"/>
      <c r="F1159" s="85">
        <v>677931.22</v>
      </c>
      <c r="G1159" s="85">
        <v>0</v>
      </c>
      <c r="H1159" s="85">
        <f t="shared" si="18"/>
        <v>677931.22</v>
      </c>
      <c r="I1159" s="85"/>
      <c r="K1159" s="54" t="s">
        <v>38</v>
      </c>
    </row>
    <row r="1160" spans="2:11" ht="16.5" x14ac:dyDescent="0.2">
      <c r="B1160" s="82" t="s">
        <v>8151</v>
      </c>
      <c r="C1160" s="82" t="s">
        <v>3256</v>
      </c>
      <c r="D1160" s="83">
        <f>SUMIFS(D1161:D1496,K1161:K1496,"0",B1161:B1496,"5 1 2 9 6 12 31111 6 M59 40300*")-SUMIFS(E1161:E1496,K1161:K1496,"0",B1161:B1496,"5 1 2 9 6 12 31111 6 M59 40300*")</f>
        <v>0</v>
      </c>
      <c r="E1160" s="54"/>
      <c r="F1160" s="83">
        <f>SUMIFS(F1161:F1496,K1161:K1496,"0",B1161:B1496,"5 1 2 9 6 12 31111 6 M59 40300*")</f>
        <v>897766.27</v>
      </c>
      <c r="G1160" s="83">
        <f>SUMIFS(G1161:G1496,K1161:K1496,"0",B1161:B1496,"5 1 2 9 6 12 31111 6 M59 40300*")</f>
        <v>0</v>
      </c>
      <c r="H1160" s="83">
        <f t="shared" si="18"/>
        <v>897766.27</v>
      </c>
      <c r="I1160" s="83"/>
      <c r="K1160" s="54" t="s">
        <v>15</v>
      </c>
    </row>
    <row r="1161" spans="2:11" ht="16.5" x14ac:dyDescent="0.2">
      <c r="B1161" s="82" t="s">
        <v>8152</v>
      </c>
      <c r="C1161" s="82" t="s">
        <v>1063</v>
      </c>
      <c r="D1161" s="83">
        <f>SUMIFS(D1162:D1496,K1162:K1496,"0",B1162:B1496,"5 1 2 9 6 12 31111 6 M59 40300 000185*")-SUMIFS(E1162:E1496,K1162:K1496,"0",B1162:B1496,"5 1 2 9 6 12 31111 6 M59 40300 000185*")</f>
        <v>0</v>
      </c>
      <c r="E1161" s="54"/>
      <c r="F1161" s="83">
        <f>SUMIFS(F1162:F1496,K1162:K1496,"0",B1162:B1496,"5 1 2 9 6 12 31111 6 M59 40300 000185*")</f>
        <v>897766.27</v>
      </c>
      <c r="G1161" s="83">
        <f>SUMIFS(G1162:G1496,K1162:K1496,"0",B1162:B1496,"5 1 2 9 6 12 31111 6 M59 40300 000185*")</f>
        <v>0</v>
      </c>
      <c r="H1161" s="83">
        <f t="shared" si="18"/>
        <v>897766.27</v>
      </c>
      <c r="I1161" s="83"/>
      <c r="K1161" s="54" t="s">
        <v>15</v>
      </c>
    </row>
    <row r="1162" spans="2:11" ht="24.75" x14ac:dyDescent="0.2">
      <c r="B1162" s="82" t="s">
        <v>8153</v>
      </c>
      <c r="C1162" s="82" t="s">
        <v>650</v>
      </c>
      <c r="D1162" s="83">
        <f>SUMIFS(D1163:D1496,K1163:K1496,"0",B1163:B1496,"5 1 2 9 6 12 31111 6 M59 40300 000185 0000R*")-SUMIFS(E1163:E1496,K1163:K1496,"0",B1163:B1496,"5 1 2 9 6 12 31111 6 M59 40300 000185 0000R*")</f>
        <v>0</v>
      </c>
      <c r="E1162" s="54"/>
      <c r="F1162" s="83">
        <f>SUMIFS(F1163:F1496,K1163:K1496,"0",B1163:B1496,"5 1 2 9 6 12 31111 6 M59 40300 000185 0000R*")</f>
        <v>897766.27</v>
      </c>
      <c r="G1162" s="83">
        <f>SUMIFS(G1163:G1496,K1163:K1496,"0",B1163:B1496,"5 1 2 9 6 12 31111 6 M59 40300 000185 0000R*")</f>
        <v>0</v>
      </c>
      <c r="H1162" s="83">
        <f t="shared" si="18"/>
        <v>897766.27</v>
      </c>
      <c r="I1162" s="83"/>
      <c r="K1162" s="54" t="s">
        <v>15</v>
      </c>
    </row>
    <row r="1163" spans="2:11" ht="24.75" x14ac:dyDescent="0.2">
      <c r="B1163" s="82" t="s">
        <v>8154</v>
      </c>
      <c r="C1163" s="82" t="s">
        <v>282</v>
      </c>
      <c r="D1163" s="83">
        <f>SUMIFS(D1164:D1496,K1164:K1496,"0",B1164:B1496,"5 1 2 9 6 12 31111 6 M59 40300 000185 0000R 00001*")-SUMIFS(E1164:E1496,K1164:K1496,"0",B1164:B1496,"5 1 2 9 6 12 31111 6 M59 40300 000185 0000R 00001*")</f>
        <v>0</v>
      </c>
      <c r="E1163" s="54"/>
      <c r="F1163" s="83">
        <f>SUMIFS(F1164:F1496,K1164:K1496,"0",B1164:B1496,"5 1 2 9 6 12 31111 6 M59 40300 000185 0000R 00001*")</f>
        <v>897766.27</v>
      </c>
      <c r="G1163" s="83">
        <f>SUMIFS(G1164:G1496,K1164:K1496,"0",B1164:B1496,"5 1 2 9 6 12 31111 6 M59 40300 000185 0000R 00001*")</f>
        <v>0</v>
      </c>
      <c r="H1163" s="83">
        <f t="shared" si="18"/>
        <v>897766.27</v>
      </c>
      <c r="I1163" s="83"/>
      <c r="K1163" s="54" t="s">
        <v>15</v>
      </c>
    </row>
    <row r="1164" spans="2:11" ht="24.75" x14ac:dyDescent="0.2">
      <c r="B1164" s="82" t="s">
        <v>8155</v>
      </c>
      <c r="C1164" s="82" t="s">
        <v>8079</v>
      </c>
      <c r="D1164" s="83">
        <f>SUMIFS(D1165:D1496,K1165:K1496,"0",B1165:B1496,"5 1 2 9 6 12 31111 6 M59 40300 000185 0000R 00001 00296*")-SUMIFS(E1165:E1496,K1165:K1496,"0",B1165:B1496,"5 1 2 9 6 12 31111 6 M59 40300 000185 0000R 00001 00296*")</f>
        <v>0</v>
      </c>
      <c r="E1164" s="54"/>
      <c r="F1164" s="83">
        <f>SUMIFS(F1165:F1496,K1165:K1496,"0",B1165:B1496,"5 1 2 9 6 12 31111 6 M59 40300 000185 0000R 00001 00296*")</f>
        <v>897766.27</v>
      </c>
      <c r="G1164" s="83">
        <f>SUMIFS(G1165:G1496,K1165:K1496,"0",B1165:B1496,"5 1 2 9 6 12 31111 6 M59 40300 000185 0000R 00001 00296*")</f>
        <v>0</v>
      </c>
      <c r="H1164" s="83">
        <f t="shared" si="18"/>
        <v>897766.27</v>
      </c>
      <c r="I1164" s="83"/>
      <c r="K1164" s="54" t="s">
        <v>15</v>
      </c>
    </row>
    <row r="1165" spans="2:11" ht="33" x14ac:dyDescent="0.2">
      <c r="B1165" s="82" t="s">
        <v>8156</v>
      </c>
      <c r="C1165" s="82" t="s">
        <v>656</v>
      </c>
      <c r="D1165" s="83">
        <f>SUMIFS(D1166:D1496,K1166:K1496,"0",B1166:B1496,"5 1 2 9 6 12 31111 6 M59 40300 000185 0000R 00001 00296 025*")-SUMIFS(E1166:E1496,K1166:K1496,"0",B1166:B1496,"5 1 2 9 6 12 31111 6 M59 40300 000185 0000R 00001 00296 025*")</f>
        <v>0</v>
      </c>
      <c r="E1165" s="54"/>
      <c r="F1165" s="83">
        <f>SUMIFS(F1166:F1496,K1166:K1496,"0",B1166:B1496,"5 1 2 9 6 12 31111 6 M59 40300 000185 0000R 00001 00296 025*")</f>
        <v>897766.27</v>
      </c>
      <c r="G1165" s="83">
        <f>SUMIFS(G1166:G1496,K1166:K1496,"0",B1166:B1496,"5 1 2 9 6 12 31111 6 M59 40300 000185 0000R 00001 00296 025*")</f>
        <v>0</v>
      </c>
      <c r="H1165" s="83">
        <f t="shared" si="18"/>
        <v>897766.27</v>
      </c>
      <c r="I1165" s="83"/>
      <c r="K1165" s="54" t="s">
        <v>15</v>
      </c>
    </row>
    <row r="1166" spans="2:11" ht="33" x14ac:dyDescent="0.2">
      <c r="B1166" s="82" t="s">
        <v>8157</v>
      </c>
      <c r="C1166" s="82" t="s">
        <v>5830</v>
      </c>
      <c r="D1166" s="83">
        <f>SUMIFS(D1167:D1496,K1167:K1496,"0",B1167:B1496,"5 1 2 9 6 12 31111 6 M59 40300 000185 0000R 00001 00296 025 2112000*")-SUMIFS(E1167:E1496,K1167:K1496,"0",B1167:B1496,"5 1 2 9 6 12 31111 6 M59 40300 000185 0000R 00001 00296 025 2112000*")</f>
        <v>0</v>
      </c>
      <c r="E1166" s="54"/>
      <c r="F1166" s="83">
        <f>SUMIFS(F1167:F1496,K1167:K1496,"0",B1167:B1496,"5 1 2 9 6 12 31111 6 M59 40300 000185 0000R 00001 00296 025 2112000*")</f>
        <v>897766.27</v>
      </c>
      <c r="G1166" s="83">
        <f>SUMIFS(G1167:G1496,K1167:K1496,"0",B1167:B1496,"5 1 2 9 6 12 31111 6 M59 40300 000185 0000R 00001 00296 025 2112000*")</f>
        <v>0</v>
      </c>
      <c r="H1166" s="83">
        <f t="shared" si="18"/>
        <v>897766.27</v>
      </c>
      <c r="I1166" s="83"/>
      <c r="K1166" s="54" t="s">
        <v>15</v>
      </c>
    </row>
    <row r="1167" spans="2:11" ht="33" x14ac:dyDescent="0.2">
      <c r="B1167" s="82" t="s">
        <v>8158</v>
      </c>
      <c r="C1167" s="82" t="s">
        <v>660</v>
      </c>
      <c r="D1167" s="83">
        <f>SUMIFS(D1168:D1496,K1168:K1496,"0",B1168:B1496,"5 1 2 9 6 12 31111 6 M59 40300 000185 0000R 00001 00296 025 2112000 2024*")-SUMIFS(E1168:E1496,K1168:K1496,"0",B1168:B1496,"5 1 2 9 6 12 31111 6 M59 40300 000185 0000R 00001 00296 025 2112000 2024*")</f>
        <v>0</v>
      </c>
      <c r="E1167" s="54"/>
      <c r="F1167" s="83">
        <f>SUMIFS(F1168:F1496,K1168:K1496,"0",B1168:B1496,"5 1 2 9 6 12 31111 6 M59 40300 000185 0000R 00001 00296 025 2112000 2024*")</f>
        <v>897766.27</v>
      </c>
      <c r="G1167" s="83">
        <f>SUMIFS(G1168:G1496,K1168:K1496,"0",B1168:B1496,"5 1 2 9 6 12 31111 6 M59 40300 000185 0000R 00001 00296 025 2112000 2024*")</f>
        <v>0</v>
      </c>
      <c r="H1167" s="83">
        <f t="shared" si="18"/>
        <v>897766.27</v>
      </c>
      <c r="I1167" s="83"/>
      <c r="K1167" s="54" t="s">
        <v>15</v>
      </c>
    </row>
    <row r="1168" spans="2:11" ht="41.25" x14ac:dyDescent="0.2">
      <c r="B1168" s="82" t="s">
        <v>8159</v>
      </c>
      <c r="C1168" s="82" t="s">
        <v>662</v>
      </c>
      <c r="D1168" s="83">
        <f>SUMIFS(D1169:D1496,K1169:K1496,"0",B1169:B1496,"5 1 2 9 6 12 31111 6 M59 40300 000185 0000R 00001 00296 025 2112000 2024 CP4TV371*")-SUMIFS(E1169:E1496,K1169:K1496,"0",B1169:B1496,"5 1 2 9 6 12 31111 6 M59 40300 000185 0000R 00001 00296 025 2112000 2024 CP4TV371*")</f>
        <v>0</v>
      </c>
      <c r="E1168" s="54"/>
      <c r="F1168" s="83">
        <f>SUMIFS(F1169:F1496,K1169:K1496,"0",B1169:B1496,"5 1 2 9 6 12 31111 6 M59 40300 000185 0000R 00001 00296 025 2112000 2024 CP4TV371*")</f>
        <v>897766.27</v>
      </c>
      <c r="G1168" s="83">
        <f>SUMIFS(G1169:G1496,K1169:K1496,"0",B1169:B1496,"5 1 2 9 6 12 31111 6 M59 40300 000185 0000R 00001 00296 025 2112000 2024 CP4TV371*")</f>
        <v>0</v>
      </c>
      <c r="H1168" s="83">
        <f t="shared" si="18"/>
        <v>897766.27</v>
      </c>
      <c r="I1168" s="83"/>
      <c r="K1168" s="54" t="s">
        <v>15</v>
      </c>
    </row>
    <row r="1169" spans="2:11" ht="41.25" x14ac:dyDescent="0.2">
      <c r="B1169" s="82" t="s">
        <v>8160</v>
      </c>
      <c r="C1169" s="82" t="s">
        <v>664</v>
      </c>
      <c r="D1169" s="83">
        <f>SUMIFS(D1170:D1496,K1170:K1496,"0",B1170:B1496,"5 1 2 9 6 12 31111 6 M59 40300 000185 0000R 00001 00296 025 2112000 2024 CP4TV371 003*")-SUMIFS(E1170:E1496,K1170:K1496,"0",B1170:B1496,"5 1 2 9 6 12 31111 6 M59 40300 000185 0000R 00001 00296 025 2112000 2024 CP4TV371 003*")</f>
        <v>0</v>
      </c>
      <c r="E1169" s="54"/>
      <c r="F1169" s="83">
        <f>SUMIFS(F1170:F1496,K1170:K1496,"0",B1170:B1496,"5 1 2 9 6 12 31111 6 M59 40300 000185 0000R 00001 00296 025 2112000 2024 CP4TV371 003*")</f>
        <v>897766.27</v>
      </c>
      <c r="G1169" s="83">
        <f>SUMIFS(G1170:G1496,K1170:K1496,"0",B1170:B1496,"5 1 2 9 6 12 31111 6 M59 40300 000185 0000R 00001 00296 025 2112000 2024 CP4TV371 003*")</f>
        <v>0</v>
      </c>
      <c r="H1169" s="83">
        <f t="shared" si="18"/>
        <v>897766.27</v>
      </c>
      <c r="I1169" s="83"/>
      <c r="K1169" s="54" t="s">
        <v>15</v>
      </c>
    </row>
    <row r="1170" spans="2:11" ht="33" x14ac:dyDescent="0.2">
      <c r="B1170" s="84" t="s">
        <v>8161</v>
      </c>
      <c r="C1170" s="84" t="s">
        <v>8069</v>
      </c>
      <c r="D1170" s="85">
        <v>0</v>
      </c>
      <c r="E1170" s="85"/>
      <c r="F1170" s="85">
        <v>897766.27</v>
      </c>
      <c r="G1170" s="85">
        <v>0</v>
      </c>
      <c r="H1170" s="85">
        <f t="shared" si="18"/>
        <v>897766.27</v>
      </c>
      <c r="I1170" s="85"/>
      <c r="K1170" s="54" t="s">
        <v>38</v>
      </c>
    </row>
    <row r="1171" spans="2:11" ht="16.5" x14ac:dyDescent="0.2">
      <c r="B1171" s="82" t="s">
        <v>8162</v>
      </c>
      <c r="C1171" s="82" t="s">
        <v>3268</v>
      </c>
      <c r="D1171" s="83">
        <f>SUMIFS(D1172:D1496,K1172:K1496,"0",B1172:B1496,"5 1 2 9 6 12 31111 6 M59 40400*")-SUMIFS(E1172:E1496,K1172:K1496,"0",B1172:B1496,"5 1 2 9 6 12 31111 6 M59 40400*")</f>
        <v>0</v>
      </c>
      <c r="E1171" s="54"/>
      <c r="F1171" s="83">
        <f>SUMIFS(F1172:F1496,K1172:K1496,"0",B1172:B1496,"5 1 2 9 6 12 31111 6 M59 40400*")</f>
        <v>460000</v>
      </c>
      <c r="G1171" s="83">
        <f>SUMIFS(G1172:G1496,K1172:K1496,"0",B1172:B1496,"5 1 2 9 6 12 31111 6 M59 40400*")</f>
        <v>0</v>
      </c>
      <c r="H1171" s="83">
        <f t="shared" si="18"/>
        <v>460000</v>
      </c>
      <c r="I1171" s="83"/>
      <c r="K1171" s="54" t="s">
        <v>15</v>
      </c>
    </row>
    <row r="1172" spans="2:11" ht="16.5" x14ac:dyDescent="0.2">
      <c r="B1172" s="82" t="s">
        <v>8163</v>
      </c>
      <c r="C1172" s="82" t="s">
        <v>3270</v>
      </c>
      <c r="D1172" s="83">
        <f>SUMIFS(D1173:D1496,K1173:K1496,"0",B1173:B1496,"5 1 2 9 6 12 31111 6 M59 40400 000173*")-SUMIFS(E1173:E1496,K1173:K1496,"0",B1173:B1496,"5 1 2 9 6 12 31111 6 M59 40400 000173*")</f>
        <v>0</v>
      </c>
      <c r="E1172" s="54"/>
      <c r="F1172" s="83">
        <f>SUMIFS(F1173:F1496,K1173:K1496,"0",B1173:B1496,"5 1 2 9 6 12 31111 6 M59 40400 000173*")</f>
        <v>460000</v>
      </c>
      <c r="G1172" s="83">
        <f>SUMIFS(G1173:G1496,K1173:K1496,"0",B1173:B1496,"5 1 2 9 6 12 31111 6 M59 40400 000173*")</f>
        <v>0</v>
      </c>
      <c r="H1172" s="83">
        <f t="shared" si="18"/>
        <v>460000</v>
      </c>
      <c r="I1172" s="83"/>
      <c r="K1172" s="54" t="s">
        <v>15</v>
      </c>
    </row>
    <row r="1173" spans="2:11" ht="24.75" x14ac:dyDescent="0.2">
      <c r="B1173" s="82" t="s">
        <v>8164</v>
      </c>
      <c r="C1173" s="82" t="s">
        <v>650</v>
      </c>
      <c r="D1173" s="83">
        <f>SUMIFS(D1174:D1496,K1174:K1496,"0",B1174:B1496,"5 1 2 9 6 12 31111 6 M59 40400 000173 0000R*")-SUMIFS(E1174:E1496,K1174:K1496,"0",B1174:B1496,"5 1 2 9 6 12 31111 6 M59 40400 000173 0000R*")</f>
        <v>0</v>
      </c>
      <c r="E1173" s="54"/>
      <c r="F1173" s="83">
        <f>SUMIFS(F1174:F1496,K1174:K1496,"0",B1174:B1496,"5 1 2 9 6 12 31111 6 M59 40400 000173 0000R*")</f>
        <v>460000</v>
      </c>
      <c r="G1173" s="83">
        <f>SUMIFS(G1174:G1496,K1174:K1496,"0",B1174:B1496,"5 1 2 9 6 12 31111 6 M59 40400 000173 0000R*")</f>
        <v>0</v>
      </c>
      <c r="H1173" s="83">
        <f t="shared" si="18"/>
        <v>460000</v>
      </c>
      <c r="I1173" s="83"/>
      <c r="K1173" s="54" t="s">
        <v>15</v>
      </c>
    </row>
    <row r="1174" spans="2:11" ht="24.75" x14ac:dyDescent="0.2">
      <c r="B1174" s="82" t="s">
        <v>8165</v>
      </c>
      <c r="C1174" s="82" t="s">
        <v>282</v>
      </c>
      <c r="D1174" s="83">
        <f>SUMIFS(D1175:D1496,K1175:K1496,"0",B1175:B1496,"5 1 2 9 6 12 31111 6 M59 40400 000173 0000R 00001*")-SUMIFS(E1175:E1496,K1175:K1496,"0",B1175:B1496,"5 1 2 9 6 12 31111 6 M59 40400 000173 0000R 00001*")</f>
        <v>0</v>
      </c>
      <c r="E1174" s="54"/>
      <c r="F1174" s="83">
        <f>SUMIFS(F1175:F1496,K1175:K1496,"0",B1175:B1496,"5 1 2 9 6 12 31111 6 M59 40400 000173 0000R 00001*")</f>
        <v>460000</v>
      </c>
      <c r="G1174" s="83">
        <f>SUMIFS(G1175:G1496,K1175:K1496,"0",B1175:B1496,"5 1 2 9 6 12 31111 6 M59 40400 000173 0000R 00001*")</f>
        <v>0</v>
      </c>
      <c r="H1174" s="83">
        <f t="shared" si="18"/>
        <v>460000</v>
      </c>
      <c r="I1174" s="83"/>
      <c r="K1174" s="54" t="s">
        <v>15</v>
      </c>
    </row>
    <row r="1175" spans="2:11" ht="24.75" x14ac:dyDescent="0.2">
      <c r="B1175" s="82" t="s">
        <v>8166</v>
      </c>
      <c r="C1175" s="82" t="s">
        <v>8079</v>
      </c>
      <c r="D1175" s="83">
        <f>SUMIFS(D1176:D1496,K1176:K1496,"0",B1176:B1496,"5 1 2 9 6 12 31111 6 M59 40400 000173 0000R 00001 00296*")-SUMIFS(E1176:E1496,K1176:K1496,"0",B1176:B1496,"5 1 2 9 6 12 31111 6 M59 40400 000173 0000R 00001 00296*")</f>
        <v>0</v>
      </c>
      <c r="E1175" s="54"/>
      <c r="F1175" s="83">
        <f>SUMIFS(F1176:F1496,K1176:K1496,"0",B1176:B1496,"5 1 2 9 6 12 31111 6 M59 40400 000173 0000R 00001 00296*")</f>
        <v>460000</v>
      </c>
      <c r="G1175" s="83">
        <f>SUMIFS(G1176:G1496,K1176:K1496,"0",B1176:B1496,"5 1 2 9 6 12 31111 6 M59 40400 000173 0000R 00001 00296*")</f>
        <v>0</v>
      </c>
      <c r="H1175" s="83">
        <f t="shared" si="18"/>
        <v>460000</v>
      </c>
      <c r="I1175" s="83"/>
      <c r="K1175" s="54" t="s">
        <v>15</v>
      </c>
    </row>
    <row r="1176" spans="2:11" ht="33" x14ac:dyDescent="0.2">
      <c r="B1176" s="82" t="s">
        <v>8167</v>
      </c>
      <c r="C1176" s="82" t="s">
        <v>656</v>
      </c>
      <c r="D1176" s="83">
        <f>SUMIFS(D1177:D1496,K1177:K1496,"0",B1177:B1496,"5 1 2 9 6 12 31111 6 M59 40400 000173 0000R 00001 00296 025*")-SUMIFS(E1177:E1496,K1177:K1496,"0",B1177:B1496,"5 1 2 9 6 12 31111 6 M59 40400 000173 0000R 00001 00296 025*")</f>
        <v>0</v>
      </c>
      <c r="E1176" s="54"/>
      <c r="F1176" s="83">
        <f>SUMIFS(F1177:F1496,K1177:K1496,"0",B1177:B1496,"5 1 2 9 6 12 31111 6 M59 40400 000173 0000R 00001 00296 025*")</f>
        <v>460000</v>
      </c>
      <c r="G1176" s="83">
        <f>SUMIFS(G1177:G1496,K1177:K1496,"0",B1177:B1496,"5 1 2 9 6 12 31111 6 M59 40400 000173 0000R 00001 00296 025*")</f>
        <v>0</v>
      </c>
      <c r="H1176" s="83">
        <f t="shared" si="18"/>
        <v>460000</v>
      </c>
      <c r="I1176" s="83"/>
      <c r="K1176" s="54" t="s">
        <v>15</v>
      </c>
    </row>
    <row r="1177" spans="2:11" ht="33" x14ac:dyDescent="0.2">
      <c r="B1177" s="82" t="s">
        <v>8168</v>
      </c>
      <c r="C1177" s="82" t="s">
        <v>5830</v>
      </c>
      <c r="D1177" s="83">
        <f>SUMIFS(D1178:D1496,K1178:K1496,"0",B1178:B1496,"5 1 2 9 6 12 31111 6 M59 40400 000173 0000R 00001 00296 025 2112000*")-SUMIFS(E1178:E1496,K1178:K1496,"0",B1178:B1496,"5 1 2 9 6 12 31111 6 M59 40400 000173 0000R 00001 00296 025 2112000*")</f>
        <v>0</v>
      </c>
      <c r="E1177" s="54"/>
      <c r="F1177" s="83">
        <f>SUMIFS(F1178:F1496,K1178:K1496,"0",B1178:B1496,"5 1 2 9 6 12 31111 6 M59 40400 000173 0000R 00001 00296 025 2112000*")</f>
        <v>460000</v>
      </c>
      <c r="G1177" s="83">
        <f>SUMIFS(G1178:G1496,K1178:K1496,"0",B1178:B1496,"5 1 2 9 6 12 31111 6 M59 40400 000173 0000R 00001 00296 025 2112000*")</f>
        <v>0</v>
      </c>
      <c r="H1177" s="83">
        <f t="shared" si="18"/>
        <v>460000</v>
      </c>
      <c r="I1177" s="83"/>
      <c r="K1177" s="54" t="s">
        <v>15</v>
      </c>
    </row>
    <row r="1178" spans="2:11" ht="33" x14ac:dyDescent="0.2">
      <c r="B1178" s="82" t="s">
        <v>8169</v>
      </c>
      <c r="C1178" s="82" t="s">
        <v>660</v>
      </c>
      <c r="D1178" s="83">
        <f>SUMIFS(D1179:D1496,K1179:K1496,"0",B1179:B1496,"5 1 2 9 6 12 31111 6 M59 40400 000173 0000R 00001 00296 025 2112000 2024*")-SUMIFS(E1179:E1496,K1179:K1496,"0",B1179:B1496,"5 1 2 9 6 12 31111 6 M59 40400 000173 0000R 00001 00296 025 2112000 2024*")</f>
        <v>0</v>
      </c>
      <c r="E1178" s="54"/>
      <c r="F1178" s="83">
        <f>SUMIFS(F1179:F1496,K1179:K1496,"0",B1179:B1496,"5 1 2 9 6 12 31111 6 M59 40400 000173 0000R 00001 00296 025 2112000 2024*")</f>
        <v>460000</v>
      </c>
      <c r="G1178" s="83">
        <f>SUMIFS(G1179:G1496,K1179:K1496,"0",B1179:B1496,"5 1 2 9 6 12 31111 6 M59 40400 000173 0000R 00001 00296 025 2112000 2024*")</f>
        <v>0</v>
      </c>
      <c r="H1178" s="83">
        <f t="shared" si="18"/>
        <v>460000</v>
      </c>
      <c r="I1178" s="83"/>
      <c r="K1178" s="54" t="s">
        <v>15</v>
      </c>
    </row>
    <row r="1179" spans="2:11" ht="41.25" x14ac:dyDescent="0.2">
      <c r="B1179" s="82" t="s">
        <v>8170</v>
      </c>
      <c r="C1179" s="82" t="s">
        <v>662</v>
      </c>
      <c r="D1179" s="83">
        <f>SUMIFS(D1180:D1496,K1180:K1496,"0",B1180:B1496,"5 1 2 9 6 12 31111 6 M59 40400 000173 0000R 00001 00296 025 2112000 2024 CP4PD369*")-SUMIFS(E1180:E1496,K1180:K1496,"0",B1180:B1496,"5 1 2 9 6 12 31111 6 M59 40400 000173 0000R 00001 00296 025 2112000 2024 CP4PD369*")</f>
        <v>0</v>
      </c>
      <c r="E1179" s="54"/>
      <c r="F1179" s="83">
        <f>SUMIFS(F1180:F1496,K1180:K1496,"0",B1180:B1496,"5 1 2 9 6 12 31111 6 M59 40400 000173 0000R 00001 00296 025 2112000 2024 CP4PD369*")</f>
        <v>460000</v>
      </c>
      <c r="G1179" s="83">
        <f>SUMIFS(G1180:G1496,K1180:K1496,"0",B1180:B1496,"5 1 2 9 6 12 31111 6 M59 40400 000173 0000R 00001 00296 025 2112000 2024 CP4PD369*")</f>
        <v>0</v>
      </c>
      <c r="H1179" s="83">
        <f t="shared" si="18"/>
        <v>460000</v>
      </c>
      <c r="I1179" s="83"/>
      <c r="K1179" s="54" t="s">
        <v>15</v>
      </c>
    </row>
    <row r="1180" spans="2:11" ht="41.25" x14ac:dyDescent="0.2">
      <c r="B1180" s="82" t="s">
        <v>8171</v>
      </c>
      <c r="C1180" s="82" t="s">
        <v>664</v>
      </c>
      <c r="D1180" s="83">
        <f>SUMIFS(D1181:D1496,K1181:K1496,"0",B1181:B1496,"5 1 2 9 6 12 31111 6 M59 40400 000173 0000R 00001 00296 025 2112000 2024 CP4PD369 003*")-SUMIFS(E1181:E1496,K1181:K1496,"0",B1181:B1496,"5 1 2 9 6 12 31111 6 M59 40400 000173 0000R 00001 00296 025 2112000 2024 CP4PD369 003*")</f>
        <v>0</v>
      </c>
      <c r="E1180" s="54"/>
      <c r="F1180" s="83">
        <f>SUMIFS(F1181:F1496,K1181:K1496,"0",B1181:B1496,"5 1 2 9 6 12 31111 6 M59 40400 000173 0000R 00001 00296 025 2112000 2024 CP4PD369 003*")</f>
        <v>460000</v>
      </c>
      <c r="G1180" s="83">
        <f>SUMIFS(G1181:G1496,K1181:K1496,"0",B1181:B1496,"5 1 2 9 6 12 31111 6 M59 40400 000173 0000R 00001 00296 025 2112000 2024 CP4PD369 003*")</f>
        <v>0</v>
      </c>
      <c r="H1180" s="83">
        <f t="shared" si="18"/>
        <v>460000</v>
      </c>
      <c r="I1180" s="83"/>
      <c r="K1180" s="54" t="s">
        <v>15</v>
      </c>
    </row>
    <row r="1181" spans="2:11" ht="33" x14ac:dyDescent="0.2">
      <c r="B1181" s="84" t="s">
        <v>8172</v>
      </c>
      <c r="C1181" s="84" t="s">
        <v>8069</v>
      </c>
      <c r="D1181" s="85">
        <v>0</v>
      </c>
      <c r="E1181" s="85"/>
      <c r="F1181" s="85">
        <v>460000</v>
      </c>
      <c r="G1181" s="85">
        <v>0</v>
      </c>
      <c r="H1181" s="85">
        <f t="shared" si="18"/>
        <v>460000</v>
      </c>
      <c r="I1181" s="85"/>
      <c r="K1181" s="54" t="s">
        <v>38</v>
      </c>
    </row>
    <row r="1182" spans="2:11" ht="24.75" x14ac:dyDescent="0.2">
      <c r="B1182" s="82" t="s">
        <v>8234</v>
      </c>
      <c r="C1182" s="82" t="s">
        <v>8235</v>
      </c>
      <c r="D1182" s="83">
        <f>SUMIFS(D1183:D1496,K1183:K1496,"0",B1183:B1496,"5 1 2 9 8*")-SUMIFS(E1183:E1496,K1183:K1496,"0",B1183:B1496,"5 1 2 9 8*")</f>
        <v>0</v>
      </c>
      <c r="E1182" s="54"/>
      <c r="F1182" s="83">
        <f>SUMIFS(F1183:F1496,K1183:K1496,"0",B1183:B1496,"5 1 2 9 8*")</f>
        <v>36987</v>
      </c>
      <c r="G1182" s="83">
        <f>SUMIFS(G1183:G1496,K1183:K1496,"0",B1183:B1496,"5 1 2 9 8*")</f>
        <v>0</v>
      </c>
      <c r="H1182" s="83">
        <f t="shared" si="18"/>
        <v>36987</v>
      </c>
      <c r="I1182" s="83"/>
      <c r="K1182" s="54" t="s">
        <v>15</v>
      </c>
    </row>
    <row r="1183" spans="2:11" ht="12.75" x14ac:dyDescent="0.2">
      <c r="B1183" s="82" t="s">
        <v>8236</v>
      </c>
      <c r="C1183" s="82" t="s">
        <v>26</v>
      </c>
      <c r="D1183" s="83">
        <f>SUMIFS(D1184:D1496,K1184:K1496,"0",B1184:B1496,"5 1 2 9 8 12*")-SUMIFS(E1184:E1496,K1184:K1496,"0",B1184:B1496,"5 1 2 9 8 12*")</f>
        <v>0</v>
      </c>
      <c r="E1183" s="54"/>
      <c r="F1183" s="83">
        <f>SUMIFS(F1184:F1496,K1184:K1496,"0",B1184:B1496,"5 1 2 9 8 12*")</f>
        <v>36987</v>
      </c>
      <c r="G1183" s="83">
        <f>SUMIFS(G1184:G1496,K1184:K1496,"0",B1184:B1496,"5 1 2 9 8 12*")</f>
        <v>0</v>
      </c>
      <c r="H1183" s="83">
        <f t="shared" si="18"/>
        <v>36987</v>
      </c>
      <c r="I1183" s="83"/>
      <c r="K1183" s="54" t="s">
        <v>15</v>
      </c>
    </row>
    <row r="1184" spans="2:11" ht="16.5" x14ac:dyDescent="0.2">
      <c r="B1184" s="82" t="s">
        <v>8237</v>
      </c>
      <c r="C1184" s="82" t="s">
        <v>28</v>
      </c>
      <c r="D1184" s="83">
        <f>SUMIFS(D1185:D1496,K1185:K1496,"0",B1185:B1496,"5 1 2 9 8 12 31111*")-SUMIFS(E1185:E1496,K1185:K1496,"0",B1185:B1496,"5 1 2 9 8 12 31111*")</f>
        <v>0</v>
      </c>
      <c r="E1184" s="54"/>
      <c r="F1184" s="83">
        <f>SUMIFS(F1185:F1496,K1185:K1496,"0",B1185:B1496,"5 1 2 9 8 12 31111*")</f>
        <v>36987</v>
      </c>
      <c r="G1184" s="83">
        <f>SUMIFS(G1185:G1496,K1185:K1496,"0",B1185:B1496,"5 1 2 9 8 12 31111*")</f>
        <v>0</v>
      </c>
      <c r="H1184" s="83">
        <f t="shared" si="18"/>
        <v>36987</v>
      </c>
      <c r="I1184" s="83"/>
      <c r="K1184" s="54" t="s">
        <v>15</v>
      </c>
    </row>
    <row r="1185" spans="2:11" ht="12.75" x14ac:dyDescent="0.2">
      <c r="B1185" s="82" t="s">
        <v>8238</v>
      </c>
      <c r="C1185" s="82" t="s">
        <v>30</v>
      </c>
      <c r="D1185" s="83">
        <f>SUMIFS(D1186:D1496,K1186:K1496,"0",B1186:B1496,"5 1 2 9 8 12 31111 6*")-SUMIFS(E1186:E1496,K1186:K1496,"0",B1186:B1496,"5 1 2 9 8 12 31111 6*")</f>
        <v>0</v>
      </c>
      <c r="E1185" s="54"/>
      <c r="F1185" s="83">
        <f>SUMIFS(F1186:F1496,K1186:K1496,"0",B1186:B1496,"5 1 2 9 8 12 31111 6*")</f>
        <v>36987</v>
      </c>
      <c r="G1185" s="83">
        <f>SUMIFS(G1186:G1496,K1186:K1496,"0",B1186:B1496,"5 1 2 9 8 12 31111 6*")</f>
        <v>0</v>
      </c>
      <c r="H1185" s="83">
        <f t="shared" si="18"/>
        <v>36987</v>
      </c>
      <c r="I1185" s="83"/>
      <c r="K1185" s="54" t="s">
        <v>15</v>
      </c>
    </row>
    <row r="1186" spans="2:11" ht="16.5" x14ac:dyDescent="0.2">
      <c r="B1186" s="82" t="s">
        <v>8239</v>
      </c>
      <c r="C1186" s="82" t="s">
        <v>2284</v>
      </c>
      <c r="D1186" s="83">
        <f>SUMIFS(D1187:D1496,K1187:K1496,"0",B1187:B1496,"5 1 2 9 8 12 31111 6 M59*")-SUMIFS(E1187:E1496,K1187:K1496,"0",B1187:B1496,"5 1 2 9 8 12 31111 6 M59*")</f>
        <v>0</v>
      </c>
      <c r="E1186" s="54"/>
      <c r="F1186" s="83">
        <f>SUMIFS(F1187:F1496,K1187:K1496,"0",B1187:B1496,"5 1 2 9 8 12 31111 6 M59*")</f>
        <v>36987</v>
      </c>
      <c r="G1186" s="83">
        <f>SUMIFS(G1187:G1496,K1187:K1496,"0",B1187:B1496,"5 1 2 9 8 12 31111 6 M59*")</f>
        <v>0</v>
      </c>
      <c r="H1186" s="83">
        <f t="shared" si="18"/>
        <v>36987</v>
      </c>
      <c r="I1186" s="83"/>
      <c r="K1186" s="54" t="s">
        <v>15</v>
      </c>
    </row>
    <row r="1187" spans="2:11" ht="16.5" x14ac:dyDescent="0.2">
      <c r="B1187" s="82" t="s">
        <v>8240</v>
      </c>
      <c r="C1187" s="82" t="s">
        <v>1092</v>
      </c>
      <c r="D1187" s="83">
        <f>SUMIFS(D1188:D1496,K1188:K1496,"0",B1188:B1496,"5 1 2 9 8 12 31111 6 M59 40000*")-SUMIFS(E1188:E1496,K1188:K1496,"0",B1188:B1496,"5 1 2 9 8 12 31111 6 M59 40000*")</f>
        <v>0</v>
      </c>
      <c r="E1187" s="54"/>
      <c r="F1187" s="83">
        <f>SUMIFS(F1188:F1496,K1188:K1496,"0",B1188:B1496,"5 1 2 9 8 12 31111 6 M59 40000*")</f>
        <v>685</v>
      </c>
      <c r="G1187" s="83">
        <f>SUMIFS(G1188:G1496,K1188:K1496,"0",B1188:B1496,"5 1 2 9 8 12 31111 6 M59 40000*")</f>
        <v>0</v>
      </c>
      <c r="H1187" s="83">
        <f t="shared" ref="H1187:H1250" si="19">D1187 + F1187 - G1187</f>
        <v>685</v>
      </c>
      <c r="I1187" s="83"/>
      <c r="K1187" s="54" t="s">
        <v>15</v>
      </c>
    </row>
    <row r="1188" spans="2:11" ht="16.5" x14ac:dyDescent="0.2">
      <c r="B1188" s="82" t="s">
        <v>8241</v>
      </c>
      <c r="C1188" s="82" t="s">
        <v>1094</v>
      </c>
      <c r="D1188" s="83">
        <f>SUMIFS(D1189:D1496,K1189:K1496,"0",B1189:B1496,"5 1 2 9 8 12 31111 6 M59 40000 000161*")-SUMIFS(E1189:E1496,K1189:K1496,"0",B1189:B1496,"5 1 2 9 8 12 31111 6 M59 40000 000161*")</f>
        <v>0</v>
      </c>
      <c r="E1188" s="54"/>
      <c r="F1188" s="83">
        <f>SUMIFS(F1189:F1496,K1189:K1496,"0",B1189:B1496,"5 1 2 9 8 12 31111 6 M59 40000 000161*")</f>
        <v>685</v>
      </c>
      <c r="G1188" s="83">
        <f>SUMIFS(G1189:G1496,K1189:K1496,"0",B1189:B1496,"5 1 2 9 8 12 31111 6 M59 40000 000161*")</f>
        <v>0</v>
      </c>
      <c r="H1188" s="83">
        <f t="shared" si="19"/>
        <v>685</v>
      </c>
      <c r="I1188" s="83"/>
      <c r="K1188" s="54" t="s">
        <v>15</v>
      </c>
    </row>
    <row r="1189" spans="2:11" ht="24.75" x14ac:dyDescent="0.2">
      <c r="B1189" s="82" t="s">
        <v>8242</v>
      </c>
      <c r="C1189" s="82" t="s">
        <v>1065</v>
      </c>
      <c r="D1189" s="83">
        <f>SUMIFS(D1190:D1496,K1190:K1496,"0",B1190:B1496,"5 1 2 9 8 12 31111 6 M59 40000 000161 0000E*")-SUMIFS(E1190:E1496,K1190:K1496,"0",B1190:B1496,"5 1 2 9 8 12 31111 6 M59 40000 000161 0000E*")</f>
        <v>0</v>
      </c>
      <c r="E1189" s="54"/>
      <c r="F1189" s="83">
        <f>SUMIFS(F1190:F1496,K1190:K1496,"0",B1190:B1496,"5 1 2 9 8 12 31111 6 M59 40000 000161 0000E*")</f>
        <v>685</v>
      </c>
      <c r="G1189" s="83">
        <f>SUMIFS(G1190:G1496,K1190:K1496,"0",B1190:B1496,"5 1 2 9 8 12 31111 6 M59 40000 000161 0000E*")</f>
        <v>0</v>
      </c>
      <c r="H1189" s="83">
        <f t="shared" si="19"/>
        <v>685</v>
      </c>
      <c r="I1189" s="83"/>
      <c r="K1189" s="54" t="s">
        <v>15</v>
      </c>
    </row>
    <row r="1190" spans="2:11" ht="24.75" x14ac:dyDescent="0.2">
      <c r="B1190" s="82" t="s">
        <v>8243</v>
      </c>
      <c r="C1190" s="82" t="s">
        <v>282</v>
      </c>
      <c r="D1190" s="83">
        <f>SUMIFS(D1191:D1496,K1191:K1496,"0",B1191:B1496,"5 1 2 9 8 12 31111 6 M59 40000 000161 0000E 00001*")-SUMIFS(E1191:E1496,K1191:K1496,"0",B1191:B1496,"5 1 2 9 8 12 31111 6 M59 40000 000161 0000E 00001*")</f>
        <v>0</v>
      </c>
      <c r="E1190" s="54"/>
      <c r="F1190" s="83">
        <f>SUMIFS(F1191:F1496,K1191:K1496,"0",B1191:B1496,"5 1 2 9 8 12 31111 6 M59 40000 000161 0000E 00001*")</f>
        <v>685</v>
      </c>
      <c r="G1190" s="83">
        <f>SUMIFS(G1191:G1496,K1191:K1496,"0",B1191:B1496,"5 1 2 9 8 12 31111 6 M59 40000 000161 0000E 00001*")</f>
        <v>0</v>
      </c>
      <c r="H1190" s="83">
        <f t="shared" si="19"/>
        <v>685</v>
      </c>
      <c r="I1190" s="83"/>
      <c r="K1190" s="54" t="s">
        <v>15</v>
      </c>
    </row>
    <row r="1191" spans="2:11" ht="24.75" x14ac:dyDescent="0.2">
      <c r="B1191" s="82" t="s">
        <v>8244</v>
      </c>
      <c r="C1191" s="82" t="s">
        <v>8245</v>
      </c>
      <c r="D1191" s="83">
        <f>SUMIFS(D1192:D1496,K1192:K1496,"0",B1192:B1496,"5 1 2 9 8 12 31111 6 M59 40000 000161 0000E 00001 00298*")-SUMIFS(E1192:E1496,K1192:K1496,"0",B1192:B1496,"5 1 2 9 8 12 31111 6 M59 40000 000161 0000E 00001 00298*")</f>
        <v>0</v>
      </c>
      <c r="E1191" s="54"/>
      <c r="F1191" s="83">
        <f>SUMIFS(F1192:F1496,K1192:K1496,"0",B1192:B1496,"5 1 2 9 8 12 31111 6 M59 40000 000161 0000E 00001 00298*")</f>
        <v>685</v>
      </c>
      <c r="G1191" s="83">
        <f>SUMIFS(G1192:G1496,K1192:K1496,"0",B1192:B1496,"5 1 2 9 8 12 31111 6 M59 40000 000161 0000E 00001 00298*")</f>
        <v>0</v>
      </c>
      <c r="H1191" s="83">
        <f t="shared" si="19"/>
        <v>685</v>
      </c>
      <c r="I1191" s="83"/>
      <c r="K1191" s="54" t="s">
        <v>15</v>
      </c>
    </row>
    <row r="1192" spans="2:11" ht="33" x14ac:dyDescent="0.2">
      <c r="B1192" s="82" t="s">
        <v>8246</v>
      </c>
      <c r="C1192" s="82" t="s">
        <v>656</v>
      </c>
      <c r="D1192" s="83">
        <f>SUMIFS(D1193:D1496,K1193:K1496,"0",B1193:B1496,"5 1 2 9 8 12 31111 6 M59 40000 000161 0000E 00001 00298 025*")-SUMIFS(E1193:E1496,K1193:K1496,"0",B1193:B1496,"5 1 2 9 8 12 31111 6 M59 40000 000161 0000E 00001 00298 025*")</f>
        <v>0</v>
      </c>
      <c r="E1192" s="54"/>
      <c r="F1192" s="83">
        <f>SUMIFS(F1193:F1496,K1193:K1496,"0",B1193:B1496,"5 1 2 9 8 12 31111 6 M59 40000 000161 0000E 00001 00298 025*")</f>
        <v>685</v>
      </c>
      <c r="G1192" s="83">
        <f>SUMIFS(G1193:G1496,K1193:K1496,"0",B1193:B1496,"5 1 2 9 8 12 31111 6 M59 40000 000161 0000E 00001 00298 025*")</f>
        <v>0</v>
      </c>
      <c r="H1192" s="83">
        <f t="shared" si="19"/>
        <v>685</v>
      </c>
      <c r="I1192" s="83"/>
      <c r="K1192" s="54" t="s">
        <v>15</v>
      </c>
    </row>
    <row r="1193" spans="2:11" ht="33" x14ac:dyDescent="0.2">
      <c r="B1193" s="82" t="s">
        <v>8247</v>
      </c>
      <c r="C1193" s="82" t="s">
        <v>5830</v>
      </c>
      <c r="D1193" s="83">
        <f>SUMIFS(D1194:D1496,K1194:K1496,"0",B1194:B1496,"5 1 2 9 8 12 31111 6 M59 40000 000161 0000E 00001 00298 025 2112000*")-SUMIFS(E1194:E1496,K1194:K1496,"0",B1194:B1496,"5 1 2 9 8 12 31111 6 M59 40000 000161 0000E 00001 00298 025 2112000*")</f>
        <v>0</v>
      </c>
      <c r="E1193" s="54"/>
      <c r="F1193" s="83">
        <f>SUMIFS(F1194:F1496,K1194:K1496,"0",B1194:B1496,"5 1 2 9 8 12 31111 6 M59 40000 000161 0000E 00001 00298 025 2112000*")</f>
        <v>685</v>
      </c>
      <c r="G1193" s="83">
        <f>SUMIFS(G1194:G1496,K1194:K1496,"0",B1194:B1496,"5 1 2 9 8 12 31111 6 M59 40000 000161 0000E 00001 00298 025 2112000*")</f>
        <v>0</v>
      </c>
      <c r="H1193" s="83">
        <f t="shared" si="19"/>
        <v>685</v>
      </c>
      <c r="I1193" s="83"/>
      <c r="K1193" s="54" t="s">
        <v>15</v>
      </c>
    </row>
    <row r="1194" spans="2:11" ht="33" x14ac:dyDescent="0.2">
      <c r="B1194" s="82" t="s">
        <v>8248</v>
      </c>
      <c r="C1194" s="82" t="s">
        <v>660</v>
      </c>
      <c r="D1194" s="83">
        <f>SUMIFS(D1195:D1496,K1195:K1496,"0",B1195:B1496,"5 1 2 9 8 12 31111 6 M59 40000 000161 0000E 00001 00298 025 2112000 2024*")-SUMIFS(E1195:E1496,K1195:K1496,"0",B1195:B1496,"5 1 2 9 8 12 31111 6 M59 40000 000161 0000E 00001 00298 025 2112000 2024*")</f>
        <v>0</v>
      </c>
      <c r="E1194" s="54"/>
      <c r="F1194" s="83">
        <f>SUMIFS(F1195:F1496,K1195:K1496,"0",B1195:B1496,"5 1 2 9 8 12 31111 6 M59 40000 000161 0000E 00001 00298 025 2112000 2024*")</f>
        <v>685</v>
      </c>
      <c r="G1194" s="83">
        <f>SUMIFS(G1195:G1496,K1195:K1496,"0",B1195:B1496,"5 1 2 9 8 12 31111 6 M59 40000 000161 0000E 00001 00298 025 2112000 2024*")</f>
        <v>0</v>
      </c>
      <c r="H1194" s="83">
        <f t="shared" si="19"/>
        <v>685</v>
      </c>
      <c r="I1194" s="83"/>
      <c r="K1194" s="54" t="s">
        <v>15</v>
      </c>
    </row>
    <row r="1195" spans="2:11" ht="41.25" x14ac:dyDescent="0.2">
      <c r="B1195" s="82" t="s">
        <v>8249</v>
      </c>
      <c r="C1195" s="82" t="s">
        <v>662</v>
      </c>
      <c r="D1195" s="83">
        <f>SUMIFS(D1196:D1496,K1196:K1496,"0",B1196:B1496,"5 1 2 9 8 12 31111 6 M59 40000 000161 0000E 00001 00298 025 2112000 2024 CP4SP372*")-SUMIFS(E1196:E1496,K1196:K1496,"0",B1196:B1496,"5 1 2 9 8 12 31111 6 M59 40000 000161 0000E 00001 00298 025 2112000 2024 CP4SP372*")</f>
        <v>0</v>
      </c>
      <c r="E1195" s="54"/>
      <c r="F1195" s="83">
        <f>SUMIFS(F1196:F1496,K1196:K1496,"0",B1196:B1496,"5 1 2 9 8 12 31111 6 M59 40000 000161 0000E 00001 00298 025 2112000 2024 CP4SP372*")</f>
        <v>685</v>
      </c>
      <c r="G1195" s="83">
        <f>SUMIFS(G1196:G1496,K1196:K1496,"0",B1196:B1496,"5 1 2 9 8 12 31111 6 M59 40000 000161 0000E 00001 00298 025 2112000 2024 CP4SP372*")</f>
        <v>0</v>
      </c>
      <c r="H1195" s="83">
        <f t="shared" si="19"/>
        <v>685</v>
      </c>
      <c r="I1195" s="83"/>
      <c r="K1195" s="54" t="s">
        <v>15</v>
      </c>
    </row>
    <row r="1196" spans="2:11" ht="41.25" x14ac:dyDescent="0.2">
      <c r="B1196" s="82" t="s">
        <v>8250</v>
      </c>
      <c r="C1196" s="82" t="s">
        <v>664</v>
      </c>
      <c r="D1196" s="83">
        <f>SUMIFS(D1197:D1496,K1197:K1496,"0",B1197:B1496,"5 1 2 9 8 12 31111 6 M59 40000 000161 0000E 00001 00298 025 2112000 2024 CP4SP372 003*")-SUMIFS(E1197:E1496,K1197:K1496,"0",B1197:B1496,"5 1 2 9 8 12 31111 6 M59 40000 000161 0000E 00001 00298 025 2112000 2024 CP4SP372 003*")</f>
        <v>0</v>
      </c>
      <c r="E1196" s="54"/>
      <c r="F1196" s="83">
        <f>SUMIFS(F1197:F1496,K1197:K1496,"0",B1197:B1496,"5 1 2 9 8 12 31111 6 M59 40000 000161 0000E 00001 00298 025 2112000 2024 CP4SP372 003*")</f>
        <v>685</v>
      </c>
      <c r="G1196" s="83">
        <f>SUMIFS(G1197:G1496,K1197:K1496,"0",B1197:B1496,"5 1 2 9 8 12 31111 6 M59 40000 000161 0000E 00001 00298 025 2112000 2024 CP4SP372 003*")</f>
        <v>0</v>
      </c>
      <c r="H1196" s="83">
        <f t="shared" si="19"/>
        <v>685</v>
      </c>
      <c r="I1196" s="83"/>
      <c r="K1196" s="54" t="s">
        <v>15</v>
      </c>
    </row>
    <row r="1197" spans="2:11" ht="33" x14ac:dyDescent="0.2">
      <c r="B1197" s="84" t="s">
        <v>8251</v>
      </c>
      <c r="C1197" s="84" t="s">
        <v>8235</v>
      </c>
      <c r="D1197" s="85">
        <v>0</v>
      </c>
      <c r="E1197" s="85"/>
      <c r="F1197" s="85">
        <v>685</v>
      </c>
      <c r="G1197" s="85">
        <v>0</v>
      </c>
      <c r="H1197" s="85">
        <f t="shared" si="19"/>
        <v>685</v>
      </c>
      <c r="I1197" s="85"/>
      <c r="K1197" s="54" t="s">
        <v>38</v>
      </c>
    </row>
    <row r="1198" spans="2:11" ht="16.5" x14ac:dyDescent="0.2">
      <c r="B1198" s="82" t="s">
        <v>8252</v>
      </c>
      <c r="C1198" s="82" t="s">
        <v>1105</v>
      </c>
      <c r="D1198" s="83">
        <f>SUMIFS(D1199:D1496,K1199:K1496,"0",B1199:B1496,"5 1 2 9 8 12 31111 6 M59 40200*")-SUMIFS(E1199:E1496,K1199:K1496,"0",B1199:B1496,"5 1 2 9 8 12 31111 6 M59 40200*")</f>
        <v>0</v>
      </c>
      <c r="E1198" s="54"/>
      <c r="F1198" s="83">
        <f>SUMIFS(F1199:F1496,K1199:K1496,"0",B1199:B1496,"5 1 2 9 8 12 31111 6 M59 40200*")</f>
        <v>285</v>
      </c>
      <c r="G1198" s="83">
        <f>SUMIFS(G1199:G1496,K1199:K1496,"0",B1199:B1496,"5 1 2 9 8 12 31111 6 M59 40200*")</f>
        <v>0</v>
      </c>
      <c r="H1198" s="83">
        <f t="shared" si="19"/>
        <v>285</v>
      </c>
      <c r="I1198" s="83"/>
      <c r="K1198" s="54" t="s">
        <v>15</v>
      </c>
    </row>
    <row r="1199" spans="2:11" ht="16.5" x14ac:dyDescent="0.2">
      <c r="B1199" s="82" t="s">
        <v>8253</v>
      </c>
      <c r="C1199" s="82" t="s">
        <v>1107</v>
      </c>
      <c r="D1199" s="83">
        <f>SUMIFS(D1200:D1496,K1200:K1496,"0",B1200:B1496,"5 1 2 9 8 12 31111 6 M59 40200 000172*")-SUMIFS(E1200:E1496,K1200:K1496,"0",B1200:B1496,"5 1 2 9 8 12 31111 6 M59 40200 000172*")</f>
        <v>0</v>
      </c>
      <c r="E1199" s="54"/>
      <c r="F1199" s="83">
        <f>SUMIFS(F1200:F1496,K1200:K1496,"0",B1200:B1496,"5 1 2 9 8 12 31111 6 M59 40200 000172*")</f>
        <v>285</v>
      </c>
      <c r="G1199" s="83">
        <f>SUMIFS(G1200:G1496,K1200:K1496,"0",B1200:B1496,"5 1 2 9 8 12 31111 6 M59 40200 000172*")</f>
        <v>0</v>
      </c>
      <c r="H1199" s="83">
        <f t="shared" si="19"/>
        <v>285</v>
      </c>
      <c r="I1199" s="83"/>
      <c r="K1199" s="54" t="s">
        <v>15</v>
      </c>
    </row>
    <row r="1200" spans="2:11" ht="24.75" x14ac:dyDescent="0.2">
      <c r="B1200" s="82" t="s">
        <v>8254</v>
      </c>
      <c r="C1200" s="82" t="s">
        <v>650</v>
      </c>
      <c r="D1200" s="83">
        <f>SUMIFS(D1201:D1496,K1201:K1496,"0",B1201:B1496,"5 1 2 9 8 12 31111 6 M59 40200 000172 0000R*")-SUMIFS(E1201:E1496,K1201:K1496,"0",B1201:B1496,"5 1 2 9 8 12 31111 6 M59 40200 000172 0000R*")</f>
        <v>0</v>
      </c>
      <c r="E1200" s="54"/>
      <c r="F1200" s="83">
        <f>SUMIFS(F1201:F1496,K1201:K1496,"0",B1201:B1496,"5 1 2 9 8 12 31111 6 M59 40200 000172 0000R*")</f>
        <v>285</v>
      </c>
      <c r="G1200" s="83">
        <f>SUMIFS(G1201:G1496,K1201:K1496,"0",B1201:B1496,"5 1 2 9 8 12 31111 6 M59 40200 000172 0000R*")</f>
        <v>0</v>
      </c>
      <c r="H1200" s="83">
        <f t="shared" si="19"/>
        <v>285</v>
      </c>
      <c r="I1200" s="83"/>
      <c r="K1200" s="54" t="s">
        <v>15</v>
      </c>
    </row>
    <row r="1201" spans="2:11" ht="24.75" x14ac:dyDescent="0.2">
      <c r="B1201" s="82" t="s">
        <v>8255</v>
      </c>
      <c r="C1201" s="82" t="s">
        <v>282</v>
      </c>
      <c r="D1201" s="83">
        <f>SUMIFS(D1202:D1496,K1202:K1496,"0",B1202:B1496,"5 1 2 9 8 12 31111 6 M59 40200 000172 0000R 00001*")-SUMIFS(E1202:E1496,K1202:K1496,"0",B1202:B1496,"5 1 2 9 8 12 31111 6 M59 40200 000172 0000R 00001*")</f>
        <v>0</v>
      </c>
      <c r="E1201" s="54"/>
      <c r="F1201" s="83">
        <f>SUMIFS(F1202:F1496,K1202:K1496,"0",B1202:B1496,"5 1 2 9 8 12 31111 6 M59 40200 000172 0000R 00001*")</f>
        <v>285</v>
      </c>
      <c r="G1201" s="83">
        <f>SUMIFS(G1202:G1496,K1202:K1496,"0",B1202:B1496,"5 1 2 9 8 12 31111 6 M59 40200 000172 0000R 00001*")</f>
        <v>0</v>
      </c>
      <c r="H1201" s="83">
        <f t="shared" si="19"/>
        <v>285</v>
      </c>
      <c r="I1201" s="83"/>
      <c r="K1201" s="54" t="s">
        <v>15</v>
      </c>
    </row>
    <row r="1202" spans="2:11" ht="24.75" x14ac:dyDescent="0.2">
      <c r="B1202" s="82" t="s">
        <v>8256</v>
      </c>
      <c r="C1202" s="82" t="s">
        <v>8245</v>
      </c>
      <c r="D1202" s="83">
        <f>SUMIFS(D1203:D1496,K1203:K1496,"0",B1203:B1496,"5 1 2 9 8 12 31111 6 M59 40200 000172 0000R 00001 00298*")-SUMIFS(E1203:E1496,K1203:K1496,"0",B1203:B1496,"5 1 2 9 8 12 31111 6 M59 40200 000172 0000R 00001 00298*")</f>
        <v>0</v>
      </c>
      <c r="E1202" s="54"/>
      <c r="F1202" s="83">
        <f>SUMIFS(F1203:F1496,K1203:K1496,"0",B1203:B1496,"5 1 2 9 8 12 31111 6 M59 40200 000172 0000R 00001 00298*")</f>
        <v>285</v>
      </c>
      <c r="G1202" s="83">
        <f>SUMIFS(G1203:G1496,K1203:K1496,"0",B1203:B1496,"5 1 2 9 8 12 31111 6 M59 40200 000172 0000R 00001 00298*")</f>
        <v>0</v>
      </c>
      <c r="H1202" s="83">
        <f t="shared" si="19"/>
        <v>285</v>
      </c>
      <c r="I1202" s="83"/>
      <c r="K1202" s="54" t="s">
        <v>15</v>
      </c>
    </row>
    <row r="1203" spans="2:11" ht="33" x14ac:dyDescent="0.2">
      <c r="B1203" s="82" t="s">
        <v>8257</v>
      </c>
      <c r="C1203" s="82" t="s">
        <v>656</v>
      </c>
      <c r="D1203" s="83">
        <f>SUMIFS(D1204:D1496,K1204:K1496,"0",B1204:B1496,"5 1 2 9 8 12 31111 6 M59 40200 000172 0000R 00001 00298 025*")-SUMIFS(E1204:E1496,K1204:K1496,"0",B1204:B1496,"5 1 2 9 8 12 31111 6 M59 40200 000172 0000R 00001 00298 025*")</f>
        <v>0</v>
      </c>
      <c r="E1203" s="54"/>
      <c r="F1203" s="83">
        <f>SUMIFS(F1204:F1496,K1204:K1496,"0",B1204:B1496,"5 1 2 9 8 12 31111 6 M59 40200 000172 0000R 00001 00298 025*")</f>
        <v>285</v>
      </c>
      <c r="G1203" s="83">
        <f>SUMIFS(G1204:G1496,K1204:K1496,"0",B1204:B1496,"5 1 2 9 8 12 31111 6 M59 40200 000172 0000R 00001 00298 025*")</f>
        <v>0</v>
      </c>
      <c r="H1203" s="83">
        <f t="shared" si="19"/>
        <v>285</v>
      </c>
      <c r="I1203" s="83"/>
      <c r="K1203" s="54" t="s">
        <v>15</v>
      </c>
    </row>
    <row r="1204" spans="2:11" ht="33" x14ac:dyDescent="0.2">
      <c r="B1204" s="82" t="s">
        <v>8258</v>
      </c>
      <c r="C1204" s="82" t="s">
        <v>5830</v>
      </c>
      <c r="D1204" s="83">
        <f>SUMIFS(D1205:D1496,K1205:K1496,"0",B1205:B1496,"5 1 2 9 8 12 31111 6 M59 40200 000172 0000R 00001 00298 025 2112000*")-SUMIFS(E1205:E1496,K1205:K1496,"0",B1205:B1496,"5 1 2 9 8 12 31111 6 M59 40200 000172 0000R 00001 00298 025 2112000*")</f>
        <v>0</v>
      </c>
      <c r="E1204" s="54"/>
      <c r="F1204" s="83">
        <f>SUMIFS(F1205:F1496,K1205:K1496,"0",B1205:B1496,"5 1 2 9 8 12 31111 6 M59 40200 000172 0000R 00001 00298 025 2112000*")</f>
        <v>285</v>
      </c>
      <c r="G1204" s="83">
        <f>SUMIFS(G1205:G1496,K1205:K1496,"0",B1205:B1496,"5 1 2 9 8 12 31111 6 M59 40200 000172 0000R 00001 00298 025 2112000*")</f>
        <v>0</v>
      </c>
      <c r="H1204" s="83">
        <f t="shared" si="19"/>
        <v>285</v>
      </c>
      <c r="I1204" s="83"/>
      <c r="K1204" s="54" t="s">
        <v>15</v>
      </c>
    </row>
    <row r="1205" spans="2:11" ht="33" x14ac:dyDescent="0.2">
      <c r="B1205" s="82" t="s">
        <v>8259</v>
      </c>
      <c r="C1205" s="82" t="s">
        <v>660</v>
      </c>
      <c r="D1205" s="83">
        <f>SUMIFS(D1206:D1496,K1206:K1496,"0",B1206:B1496,"5 1 2 9 8 12 31111 6 M59 40200 000172 0000R 00001 00298 025 2112000 2024*")-SUMIFS(E1206:E1496,K1206:K1496,"0",B1206:B1496,"5 1 2 9 8 12 31111 6 M59 40200 000172 0000R 00001 00298 025 2112000 2024*")</f>
        <v>0</v>
      </c>
      <c r="E1205" s="54"/>
      <c r="F1205" s="83">
        <f>SUMIFS(F1206:F1496,K1206:K1496,"0",B1206:B1496,"5 1 2 9 8 12 31111 6 M59 40200 000172 0000R 00001 00298 025 2112000 2024*")</f>
        <v>285</v>
      </c>
      <c r="G1205" s="83">
        <f>SUMIFS(G1206:G1496,K1206:K1496,"0",B1206:B1496,"5 1 2 9 8 12 31111 6 M59 40200 000172 0000R 00001 00298 025 2112000 2024*")</f>
        <v>0</v>
      </c>
      <c r="H1205" s="83">
        <f t="shared" si="19"/>
        <v>285</v>
      </c>
      <c r="I1205" s="83"/>
      <c r="K1205" s="54" t="s">
        <v>15</v>
      </c>
    </row>
    <row r="1206" spans="2:11" ht="41.25" x14ac:dyDescent="0.2">
      <c r="B1206" s="82" t="s">
        <v>8260</v>
      </c>
      <c r="C1206" s="82" t="s">
        <v>1056</v>
      </c>
      <c r="D1206" s="83">
        <f>SUMIFS(D1207:D1496,K1207:K1496,"0",B1207:B1496,"5 1 2 9 8 12 31111 6 M59 40200 000172 0000R 00001 00298 025 2112000 2024 CP4PC370*")-SUMIFS(E1207:E1496,K1207:K1496,"0",B1207:B1496,"5 1 2 9 8 12 31111 6 M59 40200 000172 0000R 00001 00298 025 2112000 2024 CP4PC370*")</f>
        <v>0</v>
      </c>
      <c r="E1206" s="54"/>
      <c r="F1206" s="83">
        <f>SUMIFS(F1207:F1496,K1207:K1496,"0",B1207:B1496,"5 1 2 9 8 12 31111 6 M59 40200 000172 0000R 00001 00298 025 2112000 2024 CP4PC370*")</f>
        <v>285</v>
      </c>
      <c r="G1206" s="83">
        <f>SUMIFS(G1207:G1496,K1207:K1496,"0",B1207:B1496,"5 1 2 9 8 12 31111 6 M59 40200 000172 0000R 00001 00298 025 2112000 2024 CP4PC370*")</f>
        <v>0</v>
      </c>
      <c r="H1206" s="83">
        <f t="shared" si="19"/>
        <v>285</v>
      </c>
      <c r="I1206" s="83"/>
      <c r="K1206" s="54" t="s">
        <v>15</v>
      </c>
    </row>
    <row r="1207" spans="2:11" ht="41.25" x14ac:dyDescent="0.2">
      <c r="B1207" s="82" t="s">
        <v>8261</v>
      </c>
      <c r="C1207" s="82" t="s">
        <v>664</v>
      </c>
      <c r="D1207" s="83">
        <f>SUMIFS(D1208:D1496,K1208:K1496,"0",B1208:B1496,"5 1 2 9 8 12 31111 6 M59 40200 000172 0000R 00001 00298 025 2112000 2024 CP4PC370 003*")-SUMIFS(E1208:E1496,K1208:K1496,"0",B1208:B1496,"5 1 2 9 8 12 31111 6 M59 40200 000172 0000R 00001 00298 025 2112000 2024 CP4PC370 003*")</f>
        <v>0</v>
      </c>
      <c r="E1207" s="54"/>
      <c r="F1207" s="83">
        <f>SUMIFS(F1208:F1496,K1208:K1496,"0",B1208:B1496,"5 1 2 9 8 12 31111 6 M59 40200 000172 0000R 00001 00298 025 2112000 2024 CP4PC370 003*")</f>
        <v>285</v>
      </c>
      <c r="G1207" s="83">
        <f>SUMIFS(G1208:G1496,K1208:K1496,"0",B1208:B1496,"5 1 2 9 8 12 31111 6 M59 40200 000172 0000R 00001 00298 025 2112000 2024 CP4PC370 003*")</f>
        <v>0</v>
      </c>
      <c r="H1207" s="83">
        <f t="shared" si="19"/>
        <v>285</v>
      </c>
      <c r="I1207" s="83"/>
      <c r="K1207" s="54" t="s">
        <v>15</v>
      </c>
    </row>
    <row r="1208" spans="2:11" ht="33" x14ac:dyDescent="0.2">
      <c r="B1208" s="84" t="s">
        <v>8262</v>
      </c>
      <c r="C1208" s="84" t="s">
        <v>8245</v>
      </c>
      <c r="D1208" s="85">
        <v>0</v>
      </c>
      <c r="E1208" s="85"/>
      <c r="F1208" s="85">
        <v>285</v>
      </c>
      <c r="G1208" s="85">
        <v>0</v>
      </c>
      <c r="H1208" s="85">
        <f t="shared" si="19"/>
        <v>285</v>
      </c>
      <c r="I1208" s="85"/>
      <c r="K1208" s="54" t="s">
        <v>38</v>
      </c>
    </row>
    <row r="1209" spans="2:11" ht="16.5" x14ac:dyDescent="0.2">
      <c r="B1209" s="82" t="s">
        <v>8263</v>
      </c>
      <c r="C1209" s="82" t="s">
        <v>3256</v>
      </c>
      <c r="D1209" s="83">
        <f>SUMIFS(D1210:D1496,K1210:K1496,"0",B1210:B1496,"5 1 2 9 8 12 31111 6 M59 40300*")-SUMIFS(E1210:E1496,K1210:K1496,"0",B1210:B1496,"5 1 2 9 8 12 31111 6 M59 40300*")</f>
        <v>0</v>
      </c>
      <c r="E1209" s="54"/>
      <c r="F1209" s="83">
        <f>SUMIFS(F1210:F1496,K1210:K1496,"0",B1210:B1496,"5 1 2 9 8 12 31111 6 M59 40300*")</f>
        <v>36017</v>
      </c>
      <c r="G1209" s="83">
        <f>SUMIFS(G1210:G1496,K1210:K1496,"0",B1210:B1496,"5 1 2 9 8 12 31111 6 M59 40300*")</f>
        <v>0</v>
      </c>
      <c r="H1209" s="83">
        <f t="shared" si="19"/>
        <v>36017</v>
      </c>
      <c r="I1209" s="83"/>
      <c r="K1209" s="54" t="s">
        <v>15</v>
      </c>
    </row>
    <row r="1210" spans="2:11" ht="16.5" x14ac:dyDescent="0.2">
      <c r="B1210" s="82" t="s">
        <v>8264</v>
      </c>
      <c r="C1210" s="82" t="s">
        <v>1063</v>
      </c>
      <c r="D1210" s="83">
        <f>SUMIFS(D1211:D1496,K1211:K1496,"0",B1211:B1496,"5 1 2 9 8 12 31111 6 M59 40300 000185*")-SUMIFS(E1211:E1496,K1211:K1496,"0",B1211:B1496,"5 1 2 9 8 12 31111 6 M59 40300 000185*")</f>
        <v>0</v>
      </c>
      <c r="E1210" s="54"/>
      <c r="F1210" s="83">
        <f>SUMIFS(F1211:F1496,K1211:K1496,"0",B1211:B1496,"5 1 2 9 8 12 31111 6 M59 40300 000185*")</f>
        <v>36017</v>
      </c>
      <c r="G1210" s="83">
        <f>SUMIFS(G1211:G1496,K1211:K1496,"0",B1211:B1496,"5 1 2 9 8 12 31111 6 M59 40300 000185*")</f>
        <v>0</v>
      </c>
      <c r="H1210" s="83">
        <f t="shared" si="19"/>
        <v>36017</v>
      </c>
      <c r="I1210" s="83"/>
      <c r="K1210" s="54" t="s">
        <v>15</v>
      </c>
    </row>
    <row r="1211" spans="2:11" ht="24.75" x14ac:dyDescent="0.2">
      <c r="B1211" s="82" t="s">
        <v>8265</v>
      </c>
      <c r="C1211" s="82" t="s">
        <v>650</v>
      </c>
      <c r="D1211" s="83">
        <f>SUMIFS(D1212:D1496,K1212:K1496,"0",B1212:B1496,"5 1 2 9 8 12 31111 6 M59 40300 000185 0000R*")-SUMIFS(E1212:E1496,K1212:K1496,"0",B1212:B1496,"5 1 2 9 8 12 31111 6 M59 40300 000185 0000R*")</f>
        <v>0</v>
      </c>
      <c r="E1211" s="54"/>
      <c r="F1211" s="83">
        <f>SUMIFS(F1212:F1496,K1212:K1496,"0",B1212:B1496,"5 1 2 9 8 12 31111 6 M59 40300 000185 0000R*")</f>
        <v>36017</v>
      </c>
      <c r="G1211" s="83">
        <f>SUMIFS(G1212:G1496,K1212:K1496,"0",B1212:B1496,"5 1 2 9 8 12 31111 6 M59 40300 000185 0000R*")</f>
        <v>0</v>
      </c>
      <c r="H1211" s="83">
        <f t="shared" si="19"/>
        <v>36017</v>
      </c>
      <c r="I1211" s="83"/>
      <c r="K1211" s="54" t="s">
        <v>15</v>
      </c>
    </row>
    <row r="1212" spans="2:11" ht="24.75" x14ac:dyDescent="0.2">
      <c r="B1212" s="82" t="s">
        <v>8266</v>
      </c>
      <c r="C1212" s="82" t="s">
        <v>282</v>
      </c>
      <c r="D1212" s="83">
        <f>SUMIFS(D1213:D1496,K1213:K1496,"0",B1213:B1496,"5 1 2 9 8 12 31111 6 M59 40300 000185 0000R 00001*")-SUMIFS(E1213:E1496,K1213:K1496,"0",B1213:B1496,"5 1 2 9 8 12 31111 6 M59 40300 000185 0000R 00001*")</f>
        <v>0</v>
      </c>
      <c r="E1212" s="54"/>
      <c r="F1212" s="83">
        <f>SUMIFS(F1213:F1496,K1213:K1496,"0",B1213:B1496,"5 1 2 9 8 12 31111 6 M59 40300 000185 0000R 00001*")</f>
        <v>36017</v>
      </c>
      <c r="G1212" s="83">
        <f>SUMIFS(G1213:G1496,K1213:K1496,"0",B1213:B1496,"5 1 2 9 8 12 31111 6 M59 40300 000185 0000R 00001*")</f>
        <v>0</v>
      </c>
      <c r="H1212" s="83">
        <f t="shared" si="19"/>
        <v>36017</v>
      </c>
      <c r="I1212" s="83"/>
      <c r="K1212" s="54" t="s">
        <v>15</v>
      </c>
    </row>
    <row r="1213" spans="2:11" ht="24.75" x14ac:dyDescent="0.2">
      <c r="B1213" s="82" t="s">
        <v>8267</v>
      </c>
      <c r="C1213" s="82" t="s">
        <v>8245</v>
      </c>
      <c r="D1213" s="83">
        <f>SUMIFS(D1214:D1496,K1214:K1496,"0",B1214:B1496,"5 1 2 9 8 12 31111 6 M59 40300 000185 0000R 00001 00298*")-SUMIFS(E1214:E1496,K1214:K1496,"0",B1214:B1496,"5 1 2 9 8 12 31111 6 M59 40300 000185 0000R 00001 00298*")</f>
        <v>0</v>
      </c>
      <c r="E1213" s="54"/>
      <c r="F1213" s="83">
        <f>SUMIFS(F1214:F1496,K1214:K1496,"0",B1214:B1496,"5 1 2 9 8 12 31111 6 M59 40300 000185 0000R 00001 00298*")</f>
        <v>36017</v>
      </c>
      <c r="G1213" s="83">
        <f>SUMIFS(G1214:G1496,K1214:K1496,"0",B1214:B1496,"5 1 2 9 8 12 31111 6 M59 40300 000185 0000R 00001 00298*")</f>
        <v>0</v>
      </c>
      <c r="H1213" s="83">
        <f t="shared" si="19"/>
        <v>36017</v>
      </c>
      <c r="I1213" s="83"/>
      <c r="K1213" s="54" t="s">
        <v>15</v>
      </c>
    </row>
    <row r="1214" spans="2:11" ht="33" x14ac:dyDescent="0.2">
      <c r="B1214" s="82" t="s">
        <v>8268</v>
      </c>
      <c r="C1214" s="82" t="s">
        <v>656</v>
      </c>
      <c r="D1214" s="83">
        <f>SUMIFS(D1215:D1496,K1215:K1496,"0",B1215:B1496,"5 1 2 9 8 12 31111 6 M59 40300 000185 0000R 00001 00298 025*")-SUMIFS(E1215:E1496,K1215:K1496,"0",B1215:B1496,"5 1 2 9 8 12 31111 6 M59 40300 000185 0000R 00001 00298 025*")</f>
        <v>0</v>
      </c>
      <c r="E1214" s="54"/>
      <c r="F1214" s="83">
        <f>SUMIFS(F1215:F1496,K1215:K1496,"0",B1215:B1496,"5 1 2 9 8 12 31111 6 M59 40300 000185 0000R 00001 00298 025*")</f>
        <v>36017</v>
      </c>
      <c r="G1214" s="83">
        <f>SUMIFS(G1215:G1496,K1215:K1496,"0",B1215:B1496,"5 1 2 9 8 12 31111 6 M59 40300 000185 0000R 00001 00298 025*")</f>
        <v>0</v>
      </c>
      <c r="H1214" s="83">
        <f t="shared" si="19"/>
        <v>36017</v>
      </c>
      <c r="I1214" s="83"/>
      <c r="K1214" s="54" t="s">
        <v>15</v>
      </c>
    </row>
    <row r="1215" spans="2:11" ht="33" x14ac:dyDescent="0.2">
      <c r="B1215" s="82" t="s">
        <v>8269</v>
      </c>
      <c r="C1215" s="82" t="s">
        <v>5830</v>
      </c>
      <c r="D1215" s="83">
        <f>SUMIFS(D1216:D1496,K1216:K1496,"0",B1216:B1496,"5 1 2 9 8 12 31111 6 M59 40300 000185 0000R 00001 00298 025 2112000*")-SUMIFS(E1216:E1496,K1216:K1496,"0",B1216:B1496,"5 1 2 9 8 12 31111 6 M59 40300 000185 0000R 00001 00298 025 2112000*")</f>
        <v>0</v>
      </c>
      <c r="E1215" s="54"/>
      <c r="F1215" s="83">
        <f>SUMIFS(F1216:F1496,K1216:K1496,"0",B1216:B1496,"5 1 2 9 8 12 31111 6 M59 40300 000185 0000R 00001 00298 025 2112000*")</f>
        <v>36017</v>
      </c>
      <c r="G1215" s="83">
        <f>SUMIFS(G1216:G1496,K1216:K1496,"0",B1216:B1496,"5 1 2 9 8 12 31111 6 M59 40300 000185 0000R 00001 00298 025 2112000*")</f>
        <v>0</v>
      </c>
      <c r="H1215" s="83">
        <f t="shared" si="19"/>
        <v>36017</v>
      </c>
      <c r="I1215" s="83"/>
      <c r="K1215" s="54" t="s">
        <v>15</v>
      </c>
    </row>
    <row r="1216" spans="2:11" ht="33" x14ac:dyDescent="0.2">
      <c r="B1216" s="82" t="s">
        <v>8270</v>
      </c>
      <c r="C1216" s="82" t="s">
        <v>660</v>
      </c>
      <c r="D1216" s="83">
        <f>SUMIFS(D1217:D1496,K1217:K1496,"0",B1217:B1496,"5 1 2 9 8 12 31111 6 M59 40300 000185 0000R 00001 00298 025 2112000 2024*")-SUMIFS(E1217:E1496,K1217:K1496,"0",B1217:B1496,"5 1 2 9 8 12 31111 6 M59 40300 000185 0000R 00001 00298 025 2112000 2024*")</f>
        <v>0</v>
      </c>
      <c r="E1216" s="54"/>
      <c r="F1216" s="83">
        <f>SUMIFS(F1217:F1496,K1217:K1496,"0",B1217:B1496,"5 1 2 9 8 12 31111 6 M59 40300 000185 0000R 00001 00298 025 2112000 2024*")</f>
        <v>36017</v>
      </c>
      <c r="G1216" s="83">
        <f>SUMIFS(G1217:G1496,K1217:K1496,"0",B1217:B1496,"5 1 2 9 8 12 31111 6 M59 40300 000185 0000R 00001 00298 025 2112000 2024*")</f>
        <v>0</v>
      </c>
      <c r="H1216" s="83">
        <f t="shared" si="19"/>
        <v>36017</v>
      </c>
      <c r="I1216" s="83"/>
      <c r="K1216" s="54" t="s">
        <v>15</v>
      </c>
    </row>
    <row r="1217" spans="2:11" ht="41.25" x14ac:dyDescent="0.2">
      <c r="B1217" s="82" t="s">
        <v>8271</v>
      </c>
      <c r="C1217" s="82" t="s">
        <v>662</v>
      </c>
      <c r="D1217" s="83">
        <f>SUMIFS(D1218:D1496,K1218:K1496,"0",B1218:B1496,"5 1 2 9 8 12 31111 6 M59 40300 000185 0000R 00001 00298 025 2112000 2024 CP4TV371*")-SUMIFS(E1218:E1496,K1218:K1496,"0",B1218:B1496,"5 1 2 9 8 12 31111 6 M59 40300 000185 0000R 00001 00298 025 2112000 2024 CP4TV371*")</f>
        <v>0</v>
      </c>
      <c r="E1217" s="54"/>
      <c r="F1217" s="83">
        <f>SUMIFS(F1218:F1496,K1218:K1496,"0",B1218:B1496,"5 1 2 9 8 12 31111 6 M59 40300 000185 0000R 00001 00298 025 2112000 2024 CP4TV371*")</f>
        <v>36017</v>
      </c>
      <c r="G1217" s="83">
        <f>SUMIFS(G1218:G1496,K1218:K1496,"0",B1218:B1496,"5 1 2 9 8 12 31111 6 M59 40300 000185 0000R 00001 00298 025 2112000 2024 CP4TV371*")</f>
        <v>0</v>
      </c>
      <c r="H1217" s="83">
        <f t="shared" si="19"/>
        <v>36017</v>
      </c>
      <c r="I1217" s="83"/>
      <c r="K1217" s="54" t="s">
        <v>15</v>
      </c>
    </row>
    <row r="1218" spans="2:11" ht="41.25" x14ac:dyDescent="0.2">
      <c r="B1218" s="82" t="s">
        <v>8272</v>
      </c>
      <c r="C1218" s="82" t="s">
        <v>664</v>
      </c>
      <c r="D1218" s="83">
        <f>SUMIFS(D1219:D1496,K1219:K1496,"0",B1219:B1496,"5 1 2 9 8 12 31111 6 M59 40300 000185 0000R 00001 00298 025 2112000 2024 CP4TV371 003*")-SUMIFS(E1219:E1496,K1219:K1496,"0",B1219:B1496,"5 1 2 9 8 12 31111 6 M59 40300 000185 0000R 00001 00298 025 2112000 2024 CP4TV371 003*")</f>
        <v>0</v>
      </c>
      <c r="E1218" s="54"/>
      <c r="F1218" s="83">
        <f>SUMIFS(F1219:F1496,K1219:K1496,"0",B1219:B1496,"5 1 2 9 8 12 31111 6 M59 40300 000185 0000R 00001 00298 025 2112000 2024 CP4TV371 003*")</f>
        <v>36017</v>
      </c>
      <c r="G1218" s="83">
        <f>SUMIFS(G1219:G1496,K1219:K1496,"0",B1219:B1496,"5 1 2 9 8 12 31111 6 M59 40300 000185 0000R 00001 00298 025 2112000 2024 CP4TV371 003*")</f>
        <v>0</v>
      </c>
      <c r="H1218" s="83">
        <f t="shared" si="19"/>
        <v>36017</v>
      </c>
      <c r="I1218" s="83"/>
      <c r="K1218" s="54" t="s">
        <v>15</v>
      </c>
    </row>
    <row r="1219" spans="2:11" ht="33" x14ac:dyDescent="0.2">
      <c r="B1219" s="84" t="s">
        <v>8273</v>
      </c>
      <c r="C1219" s="84" t="s">
        <v>8235</v>
      </c>
      <c r="D1219" s="85">
        <v>0</v>
      </c>
      <c r="E1219" s="85"/>
      <c r="F1219" s="85">
        <v>36017</v>
      </c>
      <c r="G1219" s="85">
        <v>0</v>
      </c>
      <c r="H1219" s="85">
        <f t="shared" si="19"/>
        <v>36017</v>
      </c>
      <c r="I1219" s="85"/>
      <c r="K1219" s="54" t="s">
        <v>38</v>
      </c>
    </row>
    <row r="1220" spans="2:11" ht="12.75" x14ac:dyDescent="0.2">
      <c r="B1220" s="82" t="s">
        <v>8324</v>
      </c>
      <c r="C1220" s="82" t="s">
        <v>8325</v>
      </c>
      <c r="D1220" s="83">
        <f>SUMIFS(D1221:D1496,K1221:K1496,"0",B1221:B1496,"5 1 3*")-SUMIFS(E1221:E1496,K1221:K1496,"0",B1221:B1496,"5 1 3*")</f>
        <v>0</v>
      </c>
      <c r="E1220" s="54"/>
      <c r="F1220" s="83">
        <f>SUMIFS(F1221:F1496,K1221:K1496,"0",B1221:B1496,"5 1 3*")</f>
        <v>4257705.47</v>
      </c>
      <c r="G1220" s="83">
        <f>SUMIFS(G1221:G1496,K1221:K1496,"0",B1221:B1496,"5 1 3*")</f>
        <v>0</v>
      </c>
      <c r="H1220" s="83">
        <f t="shared" si="19"/>
        <v>4257705.47</v>
      </c>
      <c r="I1220" s="83"/>
      <c r="K1220" s="54" t="s">
        <v>15</v>
      </c>
    </row>
    <row r="1221" spans="2:11" ht="12.75" x14ac:dyDescent="0.2">
      <c r="B1221" s="82" t="s">
        <v>8326</v>
      </c>
      <c r="C1221" s="82" t="s">
        <v>8327</v>
      </c>
      <c r="D1221" s="83">
        <f>SUMIFS(D1222:D1496,K1222:K1496,"0",B1222:B1496,"5 1 3 1*")-SUMIFS(E1222:E1496,K1222:K1496,"0",B1222:B1496,"5 1 3 1*")</f>
        <v>0</v>
      </c>
      <c r="E1221" s="54"/>
      <c r="F1221" s="83">
        <f>SUMIFS(F1222:F1496,K1222:K1496,"0",B1222:B1496,"5 1 3 1*")</f>
        <v>117633.27</v>
      </c>
      <c r="G1221" s="83">
        <f>SUMIFS(G1222:G1496,K1222:K1496,"0",B1222:B1496,"5 1 3 1*")</f>
        <v>0</v>
      </c>
      <c r="H1221" s="83">
        <f t="shared" si="19"/>
        <v>117633.27</v>
      </c>
      <c r="I1221" s="83"/>
      <c r="K1221" s="54" t="s">
        <v>15</v>
      </c>
    </row>
    <row r="1222" spans="2:11" ht="12.75" x14ac:dyDescent="0.2">
      <c r="B1222" s="82" t="s">
        <v>8328</v>
      </c>
      <c r="C1222" s="82" t="s">
        <v>8329</v>
      </c>
      <c r="D1222" s="83">
        <f>SUMIFS(D1223:D1496,K1223:K1496,"0",B1223:B1496,"5 1 3 1 1*")-SUMIFS(E1223:E1496,K1223:K1496,"0",B1223:B1496,"5 1 3 1 1*")</f>
        <v>0</v>
      </c>
      <c r="E1222" s="54"/>
      <c r="F1222" s="83">
        <f>SUMIFS(F1223:F1496,K1223:K1496,"0",B1223:B1496,"5 1 3 1 1*")</f>
        <v>117633.27</v>
      </c>
      <c r="G1222" s="83">
        <f>SUMIFS(G1223:G1496,K1223:K1496,"0",B1223:B1496,"5 1 3 1 1*")</f>
        <v>0</v>
      </c>
      <c r="H1222" s="83">
        <f t="shared" si="19"/>
        <v>117633.27</v>
      </c>
      <c r="I1222" s="83"/>
      <c r="K1222" s="54" t="s">
        <v>15</v>
      </c>
    </row>
    <row r="1223" spans="2:11" ht="12.75" x14ac:dyDescent="0.2">
      <c r="B1223" s="82" t="s">
        <v>8330</v>
      </c>
      <c r="C1223" s="82" t="s">
        <v>26</v>
      </c>
      <c r="D1223" s="83">
        <f>SUMIFS(D1224:D1496,K1224:K1496,"0",B1224:B1496,"5 1 3 1 1 12*")-SUMIFS(E1224:E1496,K1224:K1496,"0",B1224:B1496,"5 1 3 1 1 12*")</f>
        <v>0</v>
      </c>
      <c r="E1223" s="54"/>
      <c r="F1223" s="83">
        <f>SUMIFS(F1224:F1496,K1224:K1496,"0",B1224:B1496,"5 1 3 1 1 12*")</f>
        <v>117633.27</v>
      </c>
      <c r="G1223" s="83">
        <f>SUMIFS(G1224:G1496,K1224:K1496,"0",B1224:B1496,"5 1 3 1 1 12*")</f>
        <v>0</v>
      </c>
      <c r="H1223" s="83">
        <f t="shared" si="19"/>
        <v>117633.27</v>
      </c>
      <c r="I1223" s="83"/>
      <c r="K1223" s="54" t="s">
        <v>15</v>
      </c>
    </row>
    <row r="1224" spans="2:11" ht="16.5" x14ac:dyDescent="0.2">
      <c r="B1224" s="82" t="s">
        <v>8331</v>
      </c>
      <c r="C1224" s="82" t="s">
        <v>28</v>
      </c>
      <c r="D1224" s="83">
        <f>SUMIFS(D1225:D1496,K1225:K1496,"0",B1225:B1496,"5 1 3 1 1 12 31111*")-SUMIFS(E1225:E1496,K1225:K1496,"0",B1225:B1496,"5 1 3 1 1 12 31111*")</f>
        <v>0</v>
      </c>
      <c r="E1224" s="54"/>
      <c r="F1224" s="83">
        <f>SUMIFS(F1225:F1496,K1225:K1496,"0",B1225:B1496,"5 1 3 1 1 12 31111*")</f>
        <v>117633.27</v>
      </c>
      <c r="G1224" s="83">
        <f>SUMIFS(G1225:G1496,K1225:K1496,"0",B1225:B1496,"5 1 3 1 1 12 31111*")</f>
        <v>0</v>
      </c>
      <c r="H1224" s="83">
        <f t="shared" si="19"/>
        <v>117633.27</v>
      </c>
      <c r="I1224" s="83"/>
      <c r="K1224" s="54" t="s">
        <v>15</v>
      </c>
    </row>
    <row r="1225" spans="2:11" ht="12.75" x14ac:dyDescent="0.2">
      <c r="B1225" s="82" t="s">
        <v>8332</v>
      </c>
      <c r="C1225" s="82" t="s">
        <v>30</v>
      </c>
      <c r="D1225" s="83">
        <f>SUMIFS(D1226:D1496,K1226:K1496,"0",B1226:B1496,"5 1 3 1 1 12 31111 6*")-SUMIFS(E1226:E1496,K1226:K1496,"0",B1226:B1496,"5 1 3 1 1 12 31111 6*")</f>
        <v>0</v>
      </c>
      <c r="E1225" s="54"/>
      <c r="F1225" s="83">
        <f>SUMIFS(F1226:F1496,K1226:K1496,"0",B1226:B1496,"5 1 3 1 1 12 31111 6*")</f>
        <v>117633.27</v>
      </c>
      <c r="G1225" s="83">
        <f>SUMIFS(G1226:G1496,K1226:K1496,"0",B1226:B1496,"5 1 3 1 1 12 31111 6*")</f>
        <v>0</v>
      </c>
      <c r="H1225" s="83">
        <f t="shared" si="19"/>
        <v>117633.27</v>
      </c>
      <c r="I1225" s="83"/>
      <c r="K1225" s="54" t="s">
        <v>15</v>
      </c>
    </row>
    <row r="1226" spans="2:11" ht="16.5" x14ac:dyDescent="0.2">
      <c r="B1226" s="82" t="s">
        <v>8333</v>
      </c>
      <c r="C1226" s="82" t="s">
        <v>2284</v>
      </c>
      <c r="D1226" s="83">
        <f>SUMIFS(D1227:D1496,K1227:K1496,"0",B1227:B1496,"5 1 3 1 1 12 31111 6 M59*")-SUMIFS(E1227:E1496,K1227:K1496,"0",B1227:B1496,"5 1 3 1 1 12 31111 6 M59*")</f>
        <v>0</v>
      </c>
      <c r="E1226" s="54"/>
      <c r="F1226" s="83">
        <f>SUMIFS(F1227:F1496,K1227:K1496,"0",B1227:B1496,"5 1 3 1 1 12 31111 6 M59*")</f>
        <v>117633.27</v>
      </c>
      <c r="G1226" s="83">
        <f>SUMIFS(G1227:G1496,K1227:K1496,"0",B1227:B1496,"5 1 3 1 1 12 31111 6 M59*")</f>
        <v>0</v>
      </c>
      <c r="H1226" s="83">
        <f t="shared" si="19"/>
        <v>117633.27</v>
      </c>
      <c r="I1226" s="83"/>
      <c r="K1226" s="54" t="s">
        <v>15</v>
      </c>
    </row>
    <row r="1227" spans="2:11" ht="16.5" x14ac:dyDescent="0.2">
      <c r="B1227" s="82" t="s">
        <v>8359</v>
      </c>
      <c r="C1227" s="82" t="s">
        <v>1092</v>
      </c>
      <c r="D1227" s="83">
        <f>SUMIFS(D1228:D1496,K1228:K1496,"0",B1228:B1496,"5 1 3 1 1 12 31111 6 M59 40000*")-SUMIFS(E1228:E1496,K1228:K1496,"0",B1228:B1496,"5 1 3 1 1 12 31111 6 M59 40000*")</f>
        <v>0</v>
      </c>
      <c r="E1227" s="54"/>
      <c r="F1227" s="83">
        <f>SUMIFS(F1228:F1496,K1228:K1496,"0",B1228:B1496,"5 1 3 1 1 12 31111 6 M59 40000*")</f>
        <v>117633.27</v>
      </c>
      <c r="G1227" s="83">
        <f>SUMIFS(G1228:G1496,K1228:K1496,"0",B1228:B1496,"5 1 3 1 1 12 31111 6 M59 40000*")</f>
        <v>0</v>
      </c>
      <c r="H1227" s="83">
        <f t="shared" si="19"/>
        <v>117633.27</v>
      </c>
      <c r="I1227" s="83"/>
      <c r="K1227" s="54" t="s">
        <v>15</v>
      </c>
    </row>
    <row r="1228" spans="2:11" ht="16.5" x14ac:dyDescent="0.2">
      <c r="B1228" s="82" t="s">
        <v>8360</v>
      </c>
      <c r="C1228" s="82" t="s">
        <v>1094</v>
      </c>
      <c r="D1228" s="83">
        <f>SUMIFS(D1229:D1496,K1229:K1496,"0",B1229:B1496,"5 1 3 1 1 12 31111 6 M59 40000 000161*")-SUMIFS(E1229:E1496,K1229:K1496,"0",B1229:B1496,"5 1 3 1 1 12 31111 6 M59 40000 000161*")</f>
        <v>0</v>
      </c>
      <c r="E1228" s="54"/>
      <c r="F1228" s="83">
        <f>SUMIFS(F1229:F1496,K1229:K1496,"0",B1229:B1496,"5 1 3 1 1 12 31111 6 M59 40000 000161*")</f>
        <v>117633.27</v>
      </c>
      <c r="G1228" s="83">
        <f>SUMIFS(G1229:G1496,K1229:K1496,"0",B1229:B1496,"5 1 3 1 1 12 31111 6 M59 40000 000161*")</f>
        <v>0</v>
      </c>
      <c r="H1228" s="83">
        <f t="shared" si="19"/>
        <v>117633.27</v>
      </c>
      <c r="I1228" s="83"/>
      <c r="K1228" s="54" t="s">
        <v>15</v>
      </c>
    </row>
    <row r="1229" spans="2:11" ht="16.5" x14ac:dyDescent="0.2">
      <c r="B1229" s="82" t="s">
        <v>8361</v>
      </c>
      <c r="C1229" s="82" t="s">
        <v>1065</v>
      </c>
      <c r="D1229" s="83">
        <f>SUMIFS(D1230:D1496,K1230:K1496,"0",B1230:B1496,"5 1 3 1 1 12 31111 6 M59 40000 000161 0000E*")-SUMIFS(E1230:E1496,K1230:K1496,"0",B1230:B1496,"5 1 3 1 1 12 31111 6 M59 40000 000161 0000E*")</f>
        <v>0</v>
      </c>
      <c r="E1229" s="54"/>
      <c r="F1229" s="83">
        <f>SUMIFS(F1230:F1496,K1230:K1496,"0",B1230:B1496,"5 1 3 1 1 12 31111 6 M59 40000 000161 0000E*")</f>
        <v>117633.27</v>
      </c>
      <c r="G1229" s="83">
        <f>SUMIFS(G1230:G1496,K1230:K1496,"0",B1230:B1496,"5 1 3 1 1 12 31111 6 M59 40000 000161 0000E*")</f>
        <v>0</v>
      </c>
      <c r="H1229" s="83">
        <f t="shared" si="19"/>
        <v>117633.27</v>
      </c>
      <c r="I1229" s="83"/>
      <c r="K1229" s="54" t="s">
        <v>15</v>
      </c>
    </row>
    <row r="1230" spans="2:11" ht="24.75" x14ac:dyDescent="0.2">
      <c r="B1230" s="82" t="s">
        <v>8362</v>
      </c>
      <c r="C1230" s="82" t="s">
        <v>282</v>
      </c>
      <c r="D1230" s="83">
        <f>SUMIFS(D1231:D1496,K1231:K1496,"0",B1231:B1496,"5 1 3 1 1 12 31111 6 M59 40000 000161 0000E 00001*")-SUMIFS(E1231:E1496,K1231:K1496,"0",B1231:B1496,"5 1 3 1 1 12 31111 6 M59 40000 000161 0000E 00001*")</f>
        <v>0</v>
      </c>
      <c r="E1230" s="54"/>
      <c r="F1230" s="83">
        <f>SUMIFS(F1231:F1496,K1231:K1496,"0",B1231:B1496,"5 1 3 1 1 12 31111 6 M59 40000 000161 0000E 00001*")</f>
        <v>117633.27</v>
      </c>
      <c r="G1230" s="83">
        <f>SUMIFS(G1231:G1496,K1231:K1496,"0",B1231:B1496,"5 1 3 1 1 12 31111 6 M59 40000 000161 0000E 00001*")</f>
        <v>0</v>
      </c>
      <c r="H1230" s="83">
        <f t="shared" si="19"/>
        <v>117633.27</v>
      </c>
      <c r="I1230" s="83"/>
      <c r="K1230" s="54" t="s">
        <v>15</v>
      </c>
    </row>
    <row r="1231" spans="2:11" ht="24.75" x14ac:dyDescent="0.2">
      <c r="B1231" s="82" t="s">
        <v>8363</v>
      </c>
      <c r="C1231" s="82" t="s">
        <v>8339</v>
      </c>
      <c r="D1231" s="83">
        <f>SUMIFS(D1232:D1496,K1232:K1496,"0",B1232:B1496,"5 1 3 1 1 12 31111 6 M59 40000 000161 0000E 00001 00311*")-SUMIFS(E1232:E1496,K1232:K1496,"0",B1232:B1496,"5 1 3 1 1 12 31111 6 M59 40000 000161 0000E 00001 00311*")</f>
        <v>0</v>
      </c>
      <c r="E1231" s="54"/>
      <c r="F1231" s="83">
        <f>SUMIFS(F1232:F1496,K1232:K1496,"0",B1232:B1496,"5 1 3 1 1 12 31111 6 M59 40000 000161 0000E 00001 00311*")</f>
        <v>117633.27</v>
      </c>
      <c r="G1231" s="83">
        <f>SUMIFS(G1232:G1496,K1232:K1496,"0",B1232:B1496,"5 1 3 1 1 12 31111 6 M59 40000 000161 0000E 00001 00311*")</f>
        <v>0</v>
      </c>
      <c r="H1231" s="83">
        <f t="shared" si="19"/>
        <v>117633.27</v>
      </c>
      <c r="I1231" s="83"/>
      <c r="K1231" s="54" t="s">
        <v>15</v>
      </c>
    </row>
    <row r="1232" spans="2:11" ht="24.75" x14ac:dyDescent="0.2">
      <c r="B1232" s="82" t="s">
        <v>8364</v>
      </c>
      <c r="C1232" s="82" t="s">
        <v>656</v>
      </c>
      <c r="D1232" s="83">
        <f>SUMIFS(D1233:D1496,K1233:K1496,"0",B1233:B1496,"5 1 3 1 1 12 31111 6 M59 40000 000161 0000E 00001 00311 025*")-SUMIFS(E1233:E1496,K1233:K1496,"0",B1233:B1496,"5 1 3 1 1 12 31111 6 M59 40000 000161 0000E 00001 00311 025*")</f>
        <v>0</v>
      </c>
      <c r="E1232" s="54"/>
      <c r="F1232" s="83">
        <f>SUMIFS(F1233:F1496,K1233:K1496,"0",B1233:B1496,"5 1 3 1 1 12 31111 6 M59 40000 000161 0000E 00001 00311 025*")</f>
        <v>117633.27</v>
      </c>
      <c r="G1232" s="83">
        <f>SUMIFS(G1233:G1496,K1233:K1496,"0",B1233:B1496,"5 1 3 1 1 12 31111 6 M59 40000 000161 0000E 00001 00311 025*")</f>
        <v>0</v>
      </c>
      <c r="H1232" s="83">
        <f t="shared" si="19"/>
        <v>117633.27</v>
      </c>
      <c r="I1232" s="83"/>
      <c r="K1232" s="54" t="s">
        <v>15</v>
      </c>
    </row>
    <row r="1233" spans="2:11" ht="33" x14ac:dyDescent="0.2">
      <c r="B1233" s="82" t="s">
        <v>8365</v>
      </c>
      <c r="C1233" s="82" t="s">
        <v>5830</v>
      </c>
      <c r="D1233" s="83">
        <f>SUMIFS(D1234:D1496,K1234:K1496,"0",B1234:B1496,"5 1 3 1 1 12 31111 6 M59 40000 000161 0000E 00001 00311 025 2112000*")-SUMIFS(E1234:E1496,K1234:K1496,"0",B1234:B1496,"5 1 3 1 1 12 31111 6 M59 40000 000161 0000E 00001 00311 025 2112000*")</f>
        <v>0</v>
      </c>
      <c r="E1233" s="54"/>
      <c r="F1233" s="83">
        <f>SUMIFS(F1234:F1496,K1234:K1496,"0",B1234:B1496,"5 1 3 1 1 12 31111 6 M59 40000 000161 0000E 00001 00311 025 2112000*")</f>
        <v>117633.27</v>
      </c>
      <c r="G1233" s="83">
        <f>SUMIFS(G1234:G1496,K1234:K1496,"0",B1234:B1496,"5 1 3 1 1 12 31111 6 M59 40000 000161 0000E 00001 00311 025 2112000*")</f>
        <v>0</v>
      </c>
      <c r="H1233" s="83">
        <f t="shared" si="19"/>
        <v>117633.27</v>
      </c>
      <c r="I1233" s="83"/>
      <c r="K1233" s="54" t="s">
        <v>15</v>
      </c>
    </row>
    <row r="1234" spans="2:11" ht="33" x14ac:dyDescent="0.2">
      <c r="B1234" s="82" t="s">
        <v>8366</v>
      </c>
      <c r="C1234" s="82" t="s">
        <v>660</v>
      </c>
      <c r="D1234" s="83">
        <f>SUMIFS(D1235:D1496,K1235:K1496,"0",B1235:B1496,"5 1 3 1 1 12 31111 6 M59 40000 000161 0000E 00001 00311 025 2112000 2024*")-SUMIFS(E1235:E1496,K1235:K1496,"0",B1235:B1496,"5 1 3 1 1 12 31111 6 M59 40000 000161 0000E 00001 00311 025 2112000 2024*")</f>
        <v>0</v>
      </c>
      <c r="E1234" s="54"/>
      <c r="F1234" s="83">
        <f>SUMIFS(F1235:F1496,K1235:K1496,"0",B1235:B1496,"5 1 3 1 1 12 31111 6 M59 40000 000161 0000E 00001 00311 025 2112000 2024*")</f>
        <v>117633.27</v>
      </c>
      <c r="G1234" s="83">
        <f>SUMIFS(G1235:G1496,K1235:K1496,"0",B1235:B1496,"5 1 3 1 1 12 31111 6 M59 40000 000161 0000E 00001 00311 025 2112000 2024*")</f>
        <v>0</v>
      </c>
      <c r="H1234" s="83">
        <f t="shared" si="19"/>
        <v>117633.27</v>
      </c>
      <c r="I1234" s="83"/>
      <c r="K1234" s="54" t="s">
        <v>15</v>
      </c>
    </row>
    <row r="1235" spans="2:11" ht="41.25" x14ac:dyDescent="0.2">
      <c r="B1235" s="82" t="s">
        <v>8367</v>
      </c>
      <c r="C1235" s="82" t="s">
        <v>662</v>
      </c>
      <c r="D1235" s="83">
        <f>SUMIFS(D1236:D1496,K1236:K1496,"0",B1236:B1496,"5 1 3 1 1 12 31111 6 M59 40000 000161 0000E 00001 00311 025 2112000 2024 CP4SP372*")-SUMIFS(E1236:E1496,K1236:K1496,"0",B1236:B1496,"5 1 3 1 1 12 31111 6 M59 40000 000161 0000E 00001 00311 025 2112000 2024 CP4SP372*")</f>
        <v>0</v>
      </c>
      <c r="E1235" s="54"/>
      <c r="F1235" s="83">
        <f>SUMIFS(F1236:F1496,K1236:K1496,"0",B1236:B1496,"5 1 3 1 1 12 31111 6 M59 40000 000161 0000E 00001 00311 025 2112000 2024 CP4SP372*")</f>
        <v>117633.27</v>
      </c>
      <c r="G1235" s="83">
        <f>SUMIFS(G1236:G1496,K1236:K1496,"0",B1236:B1496,"5 1 3 1 1 12 31111 6 M59 40000 000161 0000E 00001 00311 025 2112000 2024 CP4SP372*")</f>
        <v>0</v>
      </c>
      <c r="H1235" s="83">
        <f t="shared" si="19"/>
        <v>117633.27</v>
      </c>
      <c r="I1235" s="83"/>
      <c r="K1235" s="54" t="s">
        <v>15</v>
      </c>
    </row>
    <row r="1236" spans="2:11" ht="41.25" x14ac:dyDescent="0.2">
      <c r="B1236" s="82" t="s">
        <v>8368</v>
      </c>
      <c r="C1236" s="82" t="s">
        <v>664</v>
      </c>
      <c r="D1236" s="83">
        <f>SUMIFS(D1237:D1496,K1237:K1496,"0",B1237:B1496,"5 1 3 1 1 12 31111 6 M59 40000 000161 0000E 00001 00311 025 2112000 2024 CP4SP372 003*")-SUMIFS(E1237:E1496,K1237:K1496,"0",B1237:B1496,"5 1 3 1 1 12 31111 6 M59 40000 000161 0000E 00001 00311 025 2112000 2024 CP4SP372 003*")</f>
        <v>0</v>
      </c>
      <c r="E1236" s="54"/>
      <c r="F1236" s="83">
        <f>SUMIFS(F1237:F1496,K1237:K1496,"0",B1237:B1496,"5 1 3 1 1 12 31111 6 M59 40000 000161 0000E 00001 00311 025 2112000 2024 CP4SP372 003*")</f>
        <v>117633.27</v>
      </c>
      <c r="G1236" s="83">
        <f>SUMIFS(G1237:G1496,K1237:K1496,"0",B1237:B1496,"5 1 3 1 1 12 31111 6 M59 40000 000161 0000E 00001 00311 025 2112000 2024 CP4SP372 003*")</f>
        <v>0</v>
      </c>
      <c r="H1236" s="83">
        <f t="shared" si="19"/>
        <v>117633.27</v>
      </c>
      <c r="I1236" s="83"/>
      <c r="K1236" s="54" t="s">
        <v>15</v>
      </c>
    </row>
    <row r="1237" spans="2:11" ht="33" x14ac:dyDescent="0.2">
      <c r="B1237" s="84" t="s">
        <v>8369</v>
      </c>
      <c r="C1237" s="84" t="s">
        <v>8370</v>
      </c>
      <c r="D1237" s="85">
        <v>0</v>
      </c>
      <c r="E1237" s="85"/>
      <c r="F1237" s="85">
        <v>117633.27</v>
      </c>
      <c r="G1237" s="85">
        <v>0</v>
      </c>
      <c r="H1237" s="85">
        <f t="shared" si="19"/>
        <v>117633.27</v>
      </c>
      <c r="I1237" s="85"/>
      <c r="K1237" s="54" t="s">
        <v>38</v>
      </c>
    </row>
    <row r="1238" spans="2:11" ht="24.75" x14ac:dyDescent="0.2">
      <c r="B1238" s="82" t="s">
        <v>8578</v>
      </c>
      <c r="C1238" s="82" t="s">
        <v>8579</v>
      </c>
      <c r="D1238" s="83">
        <f>SUMIFS(D1239:D1496,K1239:K1496,"0",B1239:B1496,"5 1 3 3*")-SUMIFS(E1239:E1496,K1239:K1496,"0",B1239:B1496,"5 1 3 3*")</f>
        <v>0</v>
      </c>
      <c r="E1238" s="54"/>
      <c r="F1238" s="83">
        <f>SUMIFS(F1239:F1496,K1239:K1496,"0",B1239:B1496,"5 1 3 3*")</f>
        <v>689052</v>
      </c>
      <c r="G1238" s="83">
        <f>SUMIFS(G1239:G1496,K1239:K1496,"0",B1239:B1496,"5 1 3 3*")</f>
        <v>0</v>
      </c>
      <c r="H1238" s="83">
        <f t="shared" si="19"/>
        <v>689052</v>
      </c>
      <c r="I1238" s="83"/>
      <c r="K1238" s="54" t="s">
        <v>15</v>
      </c>
    </row>
    <row r="1239" spans="2:11" ht="33" x14ac:dyDescent="0.2">
      <c r="B1239" s="82" t="s">
        <v>8580</v>
      </c>
      <c r="C1239" s="82" t="s">
        <v>8581</v>
      </c>
      <c r="D1239" s="83">
        <f>SUMIFS(D1240:D1496,K1240:K1496,"0",B1240:B1496,"5 1 3 3 3*")-SUMIFS(E1240:E1496,K1240:K1496,"0",B1240:B1496,"5 1 3 3 3*")</f>
        <v>0</v>
      </c>
      <c r="E1239" s="54"/>
      <c r="F1239" s="83">
        <f>SUMIFS(F1240:F1496,K1240:K1496,"0",B1240:B1496,"5 1 3 3 3*")</f>
        <v>689052</v>
      </c>
      <c r="G1239" s="83">
        <f>SUMIFS(G1240:G1496,K1240:K1496,"0",B1240:B1496,"5 1 3 3 3*")</f>
        <v>0</v>
      </c>
      <c r="H1239" s="83">
        <f t="shared" si="19"/>
        <v>689052</v>
      </c>
      <c r="I1239" s="83"/>
      <c r="K1239" s="54" t="s">
        <v>15</v>
      </c>
    </row>
    <row r="1240" spans="2:11" ht="12.75" x14ac:dyDescent="0.2">
      <c r="B1240" s="82" t="s">
        <v>8582</v>
      </c>
      <c r="C1240" s="82" t="s">
        <v>26</v>
      </c>
      <c r="D1240" s="83">
        <f>SUMIFS(D1241:D1496,K1241:K1496,"0",B1241:B1496,"5 1 3 3 3 12*")-SUMIFS(E1241:E1496,K1241:K1496,"0",B1241:B1496,"5 1 3 3 3 12*")</f>
        <v>0</v>
      </c>
      <c r="E1240" s="54"/>
      <c r="F1240" s="83">
        <f>SUMIFS(F1241:F1496,K1241:K1496,"0",B1241:B1496,"5 1 3 3 3 12*")</f>
        <v>689052</v>
      </c>
      <c r="G1240" s="83">
        <f>SUMIFS(G1241:G1496,K1241:K1496,"0",B1241:B1496,"5 1 3 3 3 12*")</f>
        <v>0</v>
      </c>
      <c r="H1240" s="83">
        <f t="shared" si="19"/>
        <v>689052</v>
      </c>
      <c r="I1240" s="83"/>
      <c r="K1240" s="54" t="s">
        <v>15</v>
      </c>
    </row>
    <row r="1241" spans="2:11" ht="16.5" x14ac:dyDescent="0.2">
      <c r="B1241" s="82" t="s">
        <v>8583</v>
      </c>
      <c r="C1241" s="82" t="s">
        <v>28</v>
      </c>
      <c r="D1241" s="83">
        <f>SUMIFS(D1242:D1496,K1242:K1496,"0",B1242:B1496,"5 1 3 3 3 12 31111*")-SUMIFS(E1242:E1496,K1242:K1496,"0",B1242:B1496,"5 1 3 3 3 12 31111*")</f>
        <v>0</v>
      </c>
      <c r="E1241" s="54"/>
      <c r="F1241" s="83">
        <f>SUMIFS(F1242:F1496,K1242:K1496,"0",B1242:B1496,"5 1 3 3 3 12 31111*")</f>
        <v>689052</v>
      </c>
      <c r="G1241" s="83">
        <f>SUMIFS(G1242:G1496,K1242:K1496,"0",B1242:B1496,"5 1 3 3 3 12 31111*")</f>
        <v>0</v>
      </c>
      <c r="H1241" s="83">
        <f t="shared" si="19"/>
        <v>689052</v>
      </c>
      <c r="I1241" s="83"/>
      <c r="K1241" s="54" t="s">
        <v>15</v>
      </c>
    </row>
    <row r="1242" spans="2:11" ht="12.75" x14ac:dyDescent="0.2">
      <c r="B1242" s="82" t="s">
        <v>8584</v>
      </c>
      <c r="C1242" s="82" t="s">
        <v>30</v>
      </c>
      <c r="D1242" s="83">
        <f>SUMIFS(D1243:D1496,K1243:K1496,"0",B1243:B1496,"5 1 3 3 3 12 31111 6*")-SUMIFS(E1243:E1496,K1243:K1496,"0",B1243:B1496,"5 1 3 3 3 12 31111 6*")</f>
        <v>0</v>
      </c>
      <c r="E1242" s="54"/>
      <c r="F1242" s="83">
        <f>SUMIFS(F1243:F1496,K1243:K1496,"0",B1243:B1496,"5 1 3 3 3 12 31111 6*")</f>
        <v>689052</v>
      </c>
      <c r="G1242" s="83">
        <f>SUMIFS(G1243:G1496,K1243:K1496,"0",B1243:B1496,"5 1 3 3 3 12 31111 6*")</f>
        <v>0</v>
      </c>
      <c r="H1242" s="83">
        <f t="shared" si="19"/>
        <v>689052</v>
      </c>
      <c r="I1242" s="83"/>
      <c r="K1242" s="54" t="s">
        <v>15</v>
      </c>
    </row>
    <row r="1243" spans="2:11" ht="16.5" x14ac:dyDescent="0.2">
      <c r="B1243" s="82" t="s">
        <v>8585</v>
      </c>
      <c r="C1243" s="82" t="s">
        <v>2284</v>
      </c>
      <c r="D1243" s="83">
        <f>SUMIFS(D1244:D1496,K1244:K1496,"0",B1244:B1496,"5 1 3 3 3 12 31111 6 M59*")-SUMIFS(E1244:E1496,K1244:K1496,"0",B1244:B1496,"5 1 3 3 3 12 31111 6 M59*")</f>
        <v>0</v>
      </c>
      <c r="E1243" s="54"/>
      <c r="F1243" s="83">
        <f>SUMIFS(F1244:F1496,K1244:K1496,"0",B1244:B1496,"5 1 3 3 3 12 31111 6 M59*")</f>
        <v>689052</v>
      </c>
      <c r="G1243" s="83">
        <f>SUMIFS(G1244:G1496,K1244:K1496,"0",B1244:B1496,"5 1 3 3 3 12 31111 6 M59*")</f>
        <v>0</v>
      </c>
      <c r="H1243" s="83">
        <f t="shared" si="19"/>
        <v>689052</v>
      </c>
      <c r="I1243" s="83"/>
      <c r="K1243" s="54" t="s">
        <v>15</v>
      </c>
    </row>
    <row r="1244" spans="2:11" ht="16.5" x14ac:dyDescent="0.2">
      <c r="B1244" s="82" t="s">
        <v>8586</v>
      </c>
      <c r="C1244" s="82" t="s">
        <v>1044</v>
      </c>
      <c r="D1244" s="83">
        <f>SUMIFS(D1245:D1496,K1245:K1496,"0",B1245:B1496,"5 1 3 3 3 12 31111 6 M59 19000*")-SUMIFS(E1245:E1496,K1245:K1496,"0",B1245:B1496,"5 1 3 3 3 12 31111 6 M59 19000*")</f>
        <v>0</v>
      </c>
      <c r="E1244" s="54"/>
      <c r="F1244" s="83">
        <f>SUMIFS(F1245:F1496,K1245:K1496,"0",B1245:B1496,"5 1 3 3 3 12 31111 6 M59 19000*")</f>
        <v>689052</v>
      </c>
      <c r="G1244" s="83">
        <f>SUMIFS(G1245:G1496,K1245:K1496,"0",B1245:B1496,"5 1 3 3 3 12 31111 6 M59 19000*")</f>
        <v>0</v>
      </c>
      <c r="H1244" s="83">
        <f t="shared" si="19"/>
        <v>689052</v>
      </c>
      <c r="I1244" s="83"/>
      <c r="K1244" s="54" t="s">
        <v>15</v>
      </c>
    </row>
    <row r="1245" spans="2:11" ht="16.5" x14ac:dyDescent="0.2">
      <c r="B1245" s="82" t="s">
        <v>8598</v>
      </c>
      <c r="C1245" s="82" t="s">
        <v>8599</v>
      </c>
      <c r="D1245" s="83">
        <f>SUMIFS(D1246:D1496,K1246:K1496,"0",B1246:B1496,"5 1 3 3 3 12 31111 6 M59 19000 000271*")-SUMIFS(E1246:E1496,K1246:K1496,"0",B1246:B1496,"5 1 3 3 3 12 31111 6 M59 19000 000271*")</f>
        <v>0</v>
      </c>
      <c r="E1245" s="54"/>
      <c r="F1245" s="83">
        <f>SUMIFS(F1246:F1496,K1246:K1496,"0",B1246:B1496,"5 1 3 3 3 12 31111 6 M59 19000 000271*")</f>
        <v>689052</v>
      </c>
      <c r="G1245" s="83">
        <f>SUMIFS(G1246:G1496,K1246:K1496,"0",B1246:B1496,"5 1 3 3 3 12 31111 6 M59 19000 000271*")</f>
        <v>0</v>
      </c>
      <c r="H1245" s="83">
        <f t="shared" si="19"/>
        <v>689052</v>
      </c>
      <c r="I1245" s="83"/>
      <c r="K1245" s="54" t="s">
        <v>15</v>
      </c>
    </row>
    <row r="1246" spans="2:11" ht="24.75" x14ac:dyDescent="0.2">
      <c r="B1246" s="82" t="s">
        <v>8600</v>
      </c>
      <c r="C1246" s="82" t="s">
        <v>8601</v>
      </c>
      <c r="D1246" s="83">
        <f>SUMIFS(D1247:D1496,K1247:K1496,"0",B1247:B1496,"5 1 3 3 3 12 31111 6 M59 19000 000271 0000F*")-SUMIFS(E1247:E1496,K1247:K1496,"0",B1247:B1496,"5 1 3 3 3 12 31111 6 M59 19000 000271 0000F*")</f>
        <v>0</v>
      </c>
      <c r="E1246" s="54"/>
      <c r="F1246" s="83">
        <f>SUMIFS(F1247:F1496,K1247:K1496,"0",B1247:B1496,"5 1 3 3 3 12 31111 6 M59 19000 000271 0000F*")</f>
        <v>689052</v>
      </c>
      <c r="G1246" s="83">
        <f>SUMIFS(G1247:G1496,K1247:K1496,"0",B1247:B1496,"5 1 3 3 3 12 31111 6 M59 19000 000271 0000F*")</f>
        <v>0</v>
      </c>
      <c r="H1246" s="83">
        <f t="shared" si="19"/>
        <v>689052</v>
      </c>
      <c r="I1246" s="83"/>
      <c r="K1246" s="54" t="s">
        <v>15</v>
      </c>
    </row>
    <row r="1247" spans="2:11" ht="24.75" x14ac:dyDescent="0.2">
      <c r="B1247" s="82" t="s">
        <v>8602</v>
      </c>
      <c r="C1247" s="82" t="s">
        <v>282</v>
      </c>
      <c r="D1247" s="83">
        <f>SUMIFS(D1248:D1496,K1248:K1496,"0",B1248:B1496,"5 1 3 3 3 12 31111 6 M59 19000 000271 0000F 00001*")-SUMIFS(E1248:E1496,K1248:K1496,"0",B1248:B1496,"5 1 3 3 3 12 31111 6 M59 19000 000271 0000F 00001*")</f>
        <v>0</v>
      </c>
      <c r="E1247" s="54"/>
      <c r="F1247" s="83">
        <f>SUMIFS(F1248:F1496,K1248:K1496,"0",B1248:B1496,"5 1 3 3 3 12 31111 6 M59 19000 000271 0000F 00001*")</f>
        <v>689052</v>
      </c>
      <c r="G1247" s="83">
        <f>SUMIFS(G1248:G1496,K1248:K1496,"0",B1248:B1496,"5 1 3 3 3 12 31111 6 M59 19000 000271 0000F 00001*")</f>
        <v>0</v>
      </c>
      <c r="H1247" s="83">
        <f t="shared" si="19"/>
        <v>689052</v>
      </c>
      <c r="I1247" s="83"/>
      <c r="K1247" s="54" t="s">
        <v>15</v>
      </c>
    </row>
    <row r="1248" spans="2:11" ht="33" x14ac:dyDescent="0.2">
      <c r="B1248" s="82" t="s">
        <v>8603</v>
      </c>
      <c r="C1248" s="82" t="s">
        <v>8591</v>
      </c>
      <c r="D1248" s="83">
        <f>SUMIFS(D1249:D1496,K1249:K1496,"0",B1249:B1496,"5 1 3 3 3 12 31111 6 M59 19000 000271 0000F 00001 00333*")-SUMIFS(E1249:E1496,K1249:K1496,"0",B1249:B1496,"5 1 3 3 3 12 31111 6 M59 19000 000271 0000F 00001 00333*")</f>
        <v>0</v>
      </c>
      <c r="E1248" s="54"/>
      <c r="F1248" s="83">
        <f>SUMIFS(F1249:F1496,K1249:K1496,"0",B1249:B1496,"5 1 3 3 3 12 31111 6 M59 19000 000271 0000F 00001 00333*")</f>
        <v>689052</v>
      </c>
      <c r="G1248" s="83">
        <f>SUMIFS(G1249:G1496,K1249:K1496,"0",B1249:B1496,"5 1 3 3 3 12 31111 6 M59 19000 000271 0000F 00001 00333*")</f>
        <v>0</v>
      </c>
      <c r="H1248" s="83">
        <f t="shared" si="19"/>
        <v>689052</v>
      </c>
      <c r="I1248" s="83"/>
      <c r="K1248" s="54" t="s">
        <v>15</v>
      </c>
    </row>
    <row r="1249" spans="2:11" ht="33" x14ac:dyDescent="0.2">
      <c r="B1249" s="82" t="s">
        <v>8604</v>
      </c>
      <c r="C1249" s="82" t="s">
        <v>656</v>
      </c>
      <c r="D1249" s="83">
        <f>SUMIFS(D1250:D1496,K1250:K1496,"0",B1250:B1496,"5 1 3 3 3 12 31111 6 M59 19000 000271 0000F 00001 00333 025*")-SUMIFS(E1250:E1496,K1250:K1496,"0",B1250:B1496,"5 1 3 3 3 12 31111 6 M59 19000 000271 0000F 00001 00333 025*")</f>
        <v>0</v>
      </c>
      <c r="E1249" s="54"/>
      <c r="F1249" s="83">
        <f>SUMIFS(F1250:F1496,K1250:K1496,"0",B1250:B1496,"5 1 3 3 3 12 31111 6 M59 19000 000271 0000F 00001 00333 025*")</f>
        <v>689052</v>
      </c>
      <c r="G1249" s="83">
        <f>SUMIFS(G1250:G1496,K1250:K1496,"0",B1250:B1496,"5 1 3 3 3 12 31111 6 M59 19000 000271 0000F 00001 00333 025*")</f>
        <v>0</v>
      </c>
      <c r="H1249" s="83">
        <f t="shared" si="19"/>
        <v>689052</v>
      </c>
      <c r="I1249" s="83"/>
      <c r="K1249" s="54" t="s">
        <v>15</v>
      </c>
    </row>
    <row r="1250" spans="2:11" ht="33" x14ac:dyDescent="0.2">
      <c r="B1250" s="82" t="s">
        <v>8605</v>
      </c>
      <c r="C1250" s="82" t="s">
        <v>5830</v>
      </c>
      <c r="D1250" s="83">
        <f>SUMIFS(D1251:D1496,K1251:K1496,"0",B1251:B1496,"5 1 3 3 3 12 31111 6 M59 19000 000271 0000F 00001 00333 025 2112000*")-SUMIFS(E1251:E1496,K1251:K1496,"0",B1251:B1496,"5 1 3 3 3 12 31111 6 M59 19000 000271 0000F 00001 00333 025 2112000*")</f>
        <v>0</v>
      </c>
      <c r="E1250" s="54"/>
      <c r="F1250" s="83">
        <f>SUMIFS(F1251:F1496,K1251:K1496,"0",B1251:B1496,"5 1 3 3 3 12 31111 6 M59 19000 000271 0000F 00001 00333 025 2112000*")</f>
        <v>689052</v>
      </c>
      <c r="G1250" s="83">
        <f>SUMIFS(G1251:G1496,K1251:K1496,"0",B1251:B1496,"5 1 3 3 3 12 31111 6 M59 19000 000271 0000F 00001 00333 025 2112000*")</f>
        <v>0</v>
      </c>
      <c r="H1250" s="83">
        <f t="shared" si="19"/>
        <v>689052</v>
      </c>
      <c r="I1250" s="83"/>
      <c r="K1250" s="54" t="s">
        <v>15</v>
      </c>
    </row>
    <row r="1251" spans="2:11" ht="33" x14ac:dyDescent="0.2">
      <c r="B1251" s="82" t="s">
        <v>8606</v>
      </c>
      <c r="C1251" s="82" t="s">
        <v>660</v>
      </c>
      <c r="D1251" s="83">
        <f>SUMIFS(D1252:D1496,K1252:K1496,"0",B1252:B1496,"5 1 3 3 3 12 31111 6 M59 19000 000271 0000F 00001 00333 025 2112000 2024*")-SUMIFS(E1252:E1496,K1252:K1496,"0",B1252:B1496,"5 1 3 3 3 12 31111 6 M59 19000 000271 0000F 00001 00333 025 2112000 2024*")</f>
        <v>0</v>
      </c>
      <c r="E1251" s="54"/>
      <c r="F1251" s="83">
        <f>SUMIFS(F1252:F1496,K1252:K1496,"0",B1252:B1496,"5 1 3 3 3 12 31111 6 M59 19000 000271 0000F 00001 00333 025 2112000 2024*")</f>
        <v>689052</v>
      </c>
      <c r="G1251" s="83">
        <f>SUMIFS(G1252:G1496,K1252:K1496,"0",B1252:B1496,"5 1 3 3 3 12 31111 6 M59 19000 000271 0000F 00001 00333 025 2112000 2024*")</f>
        <v>0</v>
      </c>
      <c r="H1251" s="83">
        <f t="shared" ref="H1251:H1314" si="20">D1251 + F1251 - G1251</f>
        <v>689052</v>
      </c>
      <c r="I1251" s="83"/>
      <c r="K1251" s="54" t="s">
        <v>15</v>
      </c>
    </row>
    <row r="1252" spans="2:11" ht="41.25" x14ac:dyDescent="0.2">
      <c r="B1252" s="82" t="s">
        <v>8607</v>
      </c>
      <c r="C1252" s="82" t="s">
        <v>8608</v>
      </c>
      <c r="D1252" s="83">
        <f>SUMIFS(D1253:D1496,K1253:K1496,"0",B1253:B1496,"5 1 3 3 3 12 31111 6 M59 19000 000271 0000F 00001 00333 025 2112000 2024 CP4TM511*")-SUMIFS(E1253:E1496,K1253:K1496,"0",B1253:B1496,"5 1 3 3 3 12 31111 6 M59 19000 000271 0000F 00001 00333 025 2112000 2024 CP4TM511*")</f>
        <v>0</v>
      </c>
      <c r="E1252" s="54"/>
      <c r="F1252" s="83">
        <f>SUMIFS(F1253:F1496,K1253:K1496,"0",B1253:B1496,"5 1 3 3 3 12 31111 6 M59 19000 000271 0000F 00001 00333 025 2112000 2024 CP4TM511*")</f>
        <v>689052</v>
      </c>
      <c r="G1252" s="83">
        <f>SUMIFS(G1253:G1496,K1253:K1496,"0",B1253:B1496,"5 1 3 3 3 12 31111 6 M59 19000 000271 0000F 00001 00333 025 2112000 2024 CP4TM511*")</f>
        <v>0</v>
      </c>
      <c r="H1252" s="83">
        <f t="shared" si="20"/>
        <v>689052</v>
      </c>
      <c r="I1252" s="83"/>
      <c r="K1252" s="54" t="s">
        <v>15</v>
      </c>
    </row>
    <row r="1253" spans="2:11" ht="41.25" x14ac:dyDescent="0.2">
      <c r="B1253" s="82" t="s">
        <v>8609</v>
      </c>
      <c r="C1253" s="82" t="s">
        <v>664</v>
      </c>
      <c r="D1253" s="83">
        <f>SUMIFS(D1254:D1496,K1254:K1496,"0",B1254:B1496,"5 1 3 3 3 12 31111 6 M59 19000 000271 0000F 00001 00333 025 2112000 2024 CP4TM511 003*")-SUMIFS(E1254:E1496,K1254:K1496,"0",B1254:B1496,"5 1 3 3 3 12 31111 6 M59 19000 000271 0000F 00001 00333 025 2112000 2024 CP4TM511 003*")</f>
        <v>0</v>
      </c>
      <c r="E1253" s="54"/>
      <c r="F1253" s="83">
        <f>SUMIFS(F1254:F1496,K1254:K1496,"0",B1254:B1496,"5 1 3 3 3 12 31111 6 M59 19000 000271 0000F 00001 00333 025 2112000 2024 CP4TM511 003*")</f>
        <v>689052</v>
      </c>
      <c r="G1253" s="83">
        <f>SUMIFS(G1254:G1496,K1254:K1496,"0",B1254:B1496,"5 1 3 3 3 12 31111 6 M59 19000 000271 0000F 00001 00333 025 2112000 2024 CP4TM511 003*")</f>
        <v>0</v>
      </c>
      <c r="H1253" s="83">
        <f t="shared" si="20"/>
        <v>689052</v>
      </c>
      <c r="I1253" s="83"/>
      <c r="K1253" s="54" t="s">
        <v>15</v>
      </c>
    </row>
    <row r="1254" spans="2:11" ht="33" x14ac:dyDescent="0.2">
      <c r="B1254" s="84" t="s">
        <v>8610</v>
      </c>
      <c r="C1254" s="84" t="s">
        <v>8581</v>
      </c>
      <c r="D1254" s="85">
        <v>0</v>
      </c>
      <c r="E1254" s="85"/>
      <c r="F1254" s="85">
        <v>689052</v>
      </c>
      <c r="G1254" s="85">
        <v>0</v>
      </c>
      <c r="H1254" s="85">
        <f t="shared" si="20"/>
        <v>689052</v>
      </c>
      <c r="I1254" s="85"/>
      <c r="K1254" s="54" t="s">
        <v>38</v>
      </c>
    </row>
    <row r="1255" spans="2:11" ht="16.5" x14ac:dyDescent="0.2">
      <c r="B1255" s="82" t="s">
        <v>8692</v>
      </c>
      <c r="C1255" s="82" t="s">
        <v>8693</v>
      </c>
      <c r="D1255" s="83">
        <f>SUMIFS(D1256:D1496,K1256:K1496,"0",B1256:B1496,"5 1 3 4*")-SUMIFS(E1256:E1496,K1256:K1496,"0",B1256:B1496,"5 1 3 4*")</f>
        <v>0</v>
      </c>
      <c r="E1255" s="54"/>
      <c r="F1255" s="83">
        <f>SUMIFS(F1256:F1496,K1256:K1496,"0",B1256:B1496,"5 1 3 4*")</f>
        <v>38887.300000000003</v>
      </c>
      <c r="G1255" s="83">
        <f>SUMIFS(G1256:G1496,K1256:K1496,"0",B1256:B1496,"5 1 3 4*")</f>
        <v>0</v>
      </c>
      <c r="H1255" s="83">
        <f t="shared" si="20"/>
        <v>38887.300000000003</v>
      </c>
      <c r="I1255" s="83"/>
      <c r="K1255" s="54" t="s">
        <v>15</v>
      </c>
    </row>
    <row r="1256" spans="2:11" ht="16.5" x14ac:dyDescent="0.2">
      <c r="B1256" s="82" t="s">
        <v>8694</v>
      </c>
      <c r="C1256" s="82" t="s">
        <v>8695</v>
      </c>
      <c r="D1256" s="83">
        <f>SUMIFS(D1257:D1496,K1257:K1496,"0",B1257:B1496,"5 1 3 4 1*")-SUMIFS(E1257:E1496,K1257:K1496,"0",B1257:B1496,"5 1 3 4 1*")</f>
        <v>0</v>
      </c>
      <c r="E1256" s="54"/>
      <c r="F1256" s="83">
        <f>SUMIFS(F1257:F1496,K1257:K1496,"0",B1257:B1496,"5 1 3 4 1*")</f>
        <v>1888.75</v>
      </c>
      <c r="G1256" s="83">
        <f>SUMIFS(G1257:G1496,K1257:K1496,"0",B1257:B1496,"5 1 3 4 1*")</f>
        <v>0</v>
      </c>
      <c r="H1256" s="83">
        <f t="shared" si="20"/>
        <v>1888.75</v>
      </c>
      <c r="I1256" s="83"/>
      <c r="K1256" s="54" t="s">
        <v>15</v>
      </c>
    </row>
    <row r="1257" spans="2:11" ht="12.75" x14ac:dyDescent="0.2">
      <c r="B1257" s="82" t="s">
        <v>8696</v>
      </c>
      <c r="C1257" s="82" t="s">
        <v>26</v>
      </c>
      <c r="D1257" s="83">
        <f>SUMIFS(D1258:D1496,K1258:K1496,"0",B1258:B1496,"5 1 3 4 1 12*")-SUMIFS(E1258:E1496,K1258:K1496,"0",B1258:B1496,"5 1 3 4 1 12*")</f>
        <v>0</v>
      </c>
      <c r="E1257" s="54"/>
      <c r="F1257" s="83">
        <f>SUMIFS(F1258:F1496,K1258:K1496,"0",B1258:B1496,"5 1 3 4 1 12*")</f>
        <v>1888.75</v>
      </c>
      <c r="G1257" s="83">
        <f>SUMIFS(G1258:G1496,K1258:K1496,"0",B1258:B1496,"5 1 3 4 1 12*")</f>
        <v>0</v>
      </c>
      <c r="H1257" s="83">
        <f t="shared" si="20"/>
        <v>1888.75</v>
      </c>
      <c r="I1257" s="83"/>
      <c r="K1257" s="54" t="s">
        <v>15</v>
      </c>
    </row>
    <row r="1258" spans="2:11" ht="16.5" x14ac:dyDescent="0.2">
      <c r="B1258" s="82" t="s">
        <v>8697</v>
      </c>
      <c r="C1258" s="82" t="s">
        <v>28</v>
      </c>
      <c r="D1258" s="83">
        <f>SUMIFS(D1259:D1496,K1259:K1496,"0",B1259:B1496,"5 1 3 4 1 12 31111*")-SUMIFS(E1259:E1496,K1259:K1496,"0",B1259:B1496,"5 1 3 4 1 12 31111*")</f>
        <v>0</v>
      </c>
      <c r="E1258" s="54"/>
      <c r="F1258" s="83">
        <f>SUMIFS(F1259:F1496,K1259:K1496,"0",B1259:B1496,"5 1 3 4 1 12 31111*")</f>
        <v>1888.75</v>
      </c>
      <c r="G1258" s="83">
        <f>SUMIFS(G1259:G1496,K1259:K1496,"0",B1259:B1496,"5 1 3 4 1 12 31111*")</f>
        <v>0</v>
      </c>
      <c r="H1258" s="83">
        <f t="shared" si="20"/>
        <v>1888.75</v>
      </c>
      <c r="I1258" s="83"/>
      <c r="K1258" s="54" t="s">
        <v>15</v>
      </c>
    </row>
    <row r="1259" spans="2:11" ht="12.75" x14ac:dyDescent="0.2">
      <c r="B1259" s="82" t="s">
        <v>8698</v>
      </c>
      <c r="C1259" s="82" t="s">
        <v>30</v>
      </c>
      <c r="D1259" s="83">
        <f>SUMIFS(D1260:D1496,K1260:K1496,"0",B1260:B1496,"5 1 3 4 1 12 31111 6*")-SUMIFS(E1260:E1496,K1260:K1496,"0",B1260:B1496,"5 1 3 4 1 12 31111 6*")</f>
        <v>0</v>
      </c>
      <c r="E1259" s="54"/>
      <c r="F1259" s="83">
        <f>SUMIFS(F1260:F1496,K1260:K1496,"0",B1260:B1496,"5 1 3 4 1 12 31111 6*")</f>
        <v>1888.75</v>
      </c>
      <c r="G1259" s="83">
        <f>SUMIFS(G1260:G1496,K1260:K1496,"0",B1260:B1496,"5 1 3 4 1 12 31111 6*")</f>
        <v>0</v>
      </c>
      <c r="H1259" s="83">
        <f t="shared" si="20"/>
        <v>1888.75</v>
      </c>
      <c r="I1259" s="83"/>
      <c r="K1259" s="54" t="s">
        <v>15</v>
      </c>
    </row>
    <row r="1260" spans="2:11" ht="16.5" x14ac:dyDescent="0.2">
      <c r="B1260" s="82" t="s">
        <v>8699</v>
      </c>
      <c r="C1260" s="82" t="s">
        <v>2284</v>
      </c>
      <c r="D1260" s="83">
        <f>SUMIFS(D1261:D1496,K1261:K1496,"0",B1261:B1496,"5 1 3 4 1 12 31111 6 M59*")-SUMIFS(E1261:E1496,K1261:K1496,"0",B1261:B1496,"5 1 3 4 1 12 31111 6 M59*")</f>
        <v>0</v>
      </c>
      <c r="E1260" s="54"/>
      <c r="F1260" s="83">
        <f>SUMIFS(F1261:F1496,K1261:K1496,"0",B1261:B1496,"5 1 3 4 1 12 31111 6 M59*")</f>
        <v>1888.75</v>
      </c>
      <c r="G1260" s="83">
        <f>SUMIFS(G1261:G1496,K1261:K1496,"0",B1261:B1496,"5 1 3 4 1 12 31111 6 M59*")</f>
        <v>0</v>
      </c>
      <c r="H1260" s="83">
        <f t="shared" si="20"/>
        <v>1888.75</v>
      </c>
      <c r="I1260" s="83"/>
      <c r="K1260" s="54" t="s">
        <v>15</v>
      </c>
    </row>
    <row r="1261" spans="2:11" ht="16.5" x14ac:dyDescent="0.2">
      <c r="B1261" s="82" t="s">
        <v>8700</v>
      </c>
      <c r="C1261" s="82" t="s">
        <v>1044</v>
      </c>
      <c r="D1261" s="83">
        <f>SUMIFS(D1262:D1496,K1262:K1496,"0",B1262:B1496,"5 1 3 4 1 12 31111 6 M59 19000*")-SUMIFS(E1262:E1496,K1262:K1496,"0",B1262:B1496,"5 1 3 4 1 12 31111 6 M59 19000*")</f>
        <v>0</v>
      </c>
      <c r="E1261" s="54"/>
      <c r="F1261" s="83">
        <f>SUMIFS(F1262:F1496,K1262:K1496,"0",B1262:B1496,"5 1 3 4 1 12 31111 6 M59 19000*")</f>
        <v>1422.46</v>
      </c>
      <c r="G1261" s="83">
        <f>SUMIFS(G1262:G1496,K1262:K1496,"0",B1262:B1496,"5 1 3 4 1 12 31111 6 M59 19000*")</f>
        <v>0</v>
      </c>
      <c r="H1261" s="83">
        <f t="shared" si="20"/>
        <v>1422.46</v>
      </c>
      <c r="I1261" s="83"/>
      <c r="K1261" s="54" t="s">
        <v>15</v>
      </c>
    </row>
    <row r="1262" spans="2:11" ht="16.5" x14ac:dyDescent="0.2">
      <c r="B1262" s="82" t="s">
        <v>8720</v>
      </c>
      <c r="C1262" s="82" t="s">
        <v>8599</v>
      </c>
      <c r="D1262" s="83">
        <f>SUMIFS(D1263:D1496,K1263:K1496,"0",B1263:B1496,"5 1 3 4 1 12 31111 6 M59 19000 000271*")-SUMIFS(E1263:E1496,K1263:K1496,"0",B1263:B1496,"5 1 3 4 1 12 31111 6 M59 19000 000271*")</f>
        <v>0</v>
      </c>
      <c r="E1262" s="54"/>
      <c r="F1262" s="83">
        <f>SUMIFS(F1263:F1496,K1263:K1496,"0",B1263:B1496,"5 1 3 4 1 12 31111 6 M59 19000 000271*")</f>
        <v>1422.46</v>
      </c>
      <c r="G1262" s="83">
        <f>SUMIFS(G1263:G1496,K1263:K1496,"0",B1263:B1496,"5 1 3 4 1 12 31111 6 M59 19000 000271*")</f>
        <v>0</v>
      </c>
      <c r="H1262" s="83">
        <f t="shared" si="20"/>
        <v>1422.46</v>
      </c>
      <c r="I1262" s="83"/>
      <c r="K1262" s="54" t="s">
        <v>15</v>
      </c>
    </row>
    <row r="1263" spans="2:11" ht="24.75" x14ac:dyDescent="0.2">
      <c r="B1263" s="82" t="s">
        <v>8721</v>
      </c>
      <c r="C1263" s="82" t="s">
        <v>8601</v>
      </c>
      <c r="D1263" s="83">
        <f>SUMIFS(D1264:D1496,K1264:K1496,"0",B1264:B1496,"5 1 3 4 1 12 31111 6 M59 19000 000271 0000F*")-SUMIFS(E1264:E1496,K1264:K1496,"0",B1264:B1496,"5 1 3 4 1 12 31111 6 M59 19000 000271 0000F*")</f>
        <v>0</v>
      </c>
      <c r="E1263" s="54"/>
      <c r="F1263" s="83">
        <f>SUMIFS(F1264:F1496,K1264:K1496,"0",B1264:B1496,"5 1 3 4 1 12 31111 6 M59 19000 000271 0000F*")</f>
        <v>1422.46</v>
      </c>
      <c r="G1263" s="83">
        <f>SUMIFS(G1264:G1496,K1264:K1496,"0",B1264:B1496,"5 1 3 4 1 12 31111 6 M59 19000 000271 0000F*")</f>
        <v>0</v>
      </c>
      <c r="H1263" s="83">
        <f t="shared" si="20"/>
        <v>1422.46</v>
      </c>
      <c r="I1263" s="83"/>
      <c r="K1263" s="54" t="s">
        <v>15</v>
      </c>
    </row>
    <row r="1264" spans="2:11" ht="24.75" x14ac:dyDescent="0.2">
      <c r="B1264" s="82" t="s">
        <v>8722</v>
      </c>
      <c r="C1264" s="82" t="s">
        <v>282</v>
      </c>
      <c r="D1264" s="83">
        <f>SUMIFS(D1265:D1496,K1265:K1496,"0",B1265:B1496,"5 1 3 4 1 12 31111 6 M59 19000 000271 0000F 00001*")-SUMIFS(E1265:E1496,K1265:K1496,"0",B1265:B1496,"5 1 3 4 1 12 31111 6 M59 19000 000271 0000F 00001*")</f>
        <v>0</v>
      </c>
      <c r="E1264" s="54"/>
      <c r="F1264" s="83">
        <f>SUMIFS(F1265:F1496,K1265:K1496,"0",B1265:B1496,"5 1 3 4 1 12 31111 6 M59 19000 000271 0000F 00001*")</f>
        <v>1422.46</v>
      </c>
      <c r="G1264" s="83">
        <f>SUMIFS(G1265:G1496,K1265:K1496,"0",B1265:B1496,"5 1 3 4 1 12 31111 6 M59 19000 000271 0000F 00001*")</f>
        <v>0</v>
      </c>
      <c r="H1264" s="83">
        <f t="shared" si="20"/>
        <v>1422.46</v>
      </c>
      <c r="I1264" s="83"/>
      <c r="K1264" s="54" t="s">
        <v>15</v>
      </c>
    </row>
    <row r="1265" spans="2:11" ht="24.75" x14ac:dyDescent="0.2">
      <c r="B1265" s="82" t="s">
        <v>8723</v>
      </c>
      <c r="C1265" s="82" t="s">
        <v>8705</v>
      </c>
      <c r="D1265" s="83">
        <f>SUMIFS(D1266:D1496,K1266:K1496,"0",B1266:B1496,"5 1 3 4 1 12 31111 6 M59 19000 000271 0000F 00001 00341*")-SUMIFS(E1266:E1496,K1266:K1496,"0",B1266:B1496,"5 1 3 4 1 12 31111 6 M59 19000 000271 0000F 00001 00341*")</f>
        <v>0</v>
      </c>
      <c r="E1265" s="54"/>
      <c r="F1265" s="83">
        <f>SUMIFS(F1266:F1496,K1266:K1496,"0",B1266:B1496,"5 1 3 4 1 12 31111 6 M59 19000 000271 0000F 00001 00341*")</f>
        <v>1422.46</v>
      </c>
      <c r="G1265" s="83">
        <f>SUMIFS(G1266:G1496,K1266:K1496,"0",B1266:B1496,"5 1 3 4 1 12 31111 6 M59 19000 000271 0000F 00001 00341*")</f>
        <v>0</v>
      </c>
      <c r="H1265" s="83">
        <f t="shared" si="20"/>
        <v>1422.46</v>
      </c>
      <c r="I1265" s="83"/>
      <c r="K1265" s="54" t="s">
        <v>15</v>
      </c>
    </row>
    <row r="1266" spans="2:11" ht="33" x14ac:dyDescent="0.2">
      <c r="B1266" s="82" t="s">
        <v>8724</v>
      </c>
      <c r="C1266" s="82" t="s">
        <v>656</v>
      </c>
      <c r="D1266" s="83">
        <f>SUMIFS(D1267:D1496,K1267:K1496,"0",B1267:B1496,"5 1 3 4 1 12 31111 6 M59 19000 000271 0000F 00001 00341 025*")-SUMIFS(E1267:E1496,K1267:K1496,"0",B1267:B1496,"5 1 3 4 1 12 31111 6 M59 19000 000271 0000F 00001 00341 025*")</f>
        <v>0</v>
      </c>
      <c r="E1266" s="54"/>
      <c r="F1266" s="83">
        <f>SUMIFS(F1267:F1496,K1267:K1496,"0",B1267:B1496,"5 1 3 4 1 12 31111 6 M59 19000 000271 0000F 00001 00341 025*")</f>
        <v>1422.46</v>
      </c>
      <c r="G1266" s="83">
        <f>SUMIFS(G1267:G1496,K1267:K1496,"0",B1267:B1496,"5 1 3 4 1 12 31111 6 M59 19000 000271 0000F 00001 00341 025*")</f>
        <v>0</v>
      </c>
      <c r="H1266" s="83">
        <f t="shared" si="20"/>
        <v>1422.46</v>
      </c>
      <c r="I1266" s="83"/>
      <c r="K1266" s="54" t="s">
        <v>15</v>
      </c>
    </row>
    <row r="1267" spans="2:11" ht="33" x14ac:dyDescent="0.2">
      <c r="B1267" s="82" t="s">
        <v>8725</v>
      </c>
      <c r="C1267" s="82" t="s">
        <v>5830</v>
      </c>
      <c r="D1267" s="83">
        <f>SUMIFS(D1268:D1496,K1268:K1496,"0",B1268:B1496,"5 1 3 4 1 12 31111 6 M59 19000 000271 0000F 00001 00341 025 2112000*")-SUMIFS(E1268:E1496,K1268:K1496,"0",B1268:B1496,"5 1 3 4 1 12 31111 6 M59 19000 000271 0000F 00001 00341 025 2112000*")</f>
        <v>0</v>
      </c>
      <c r="E1267" s="54"/>
      <c r="F1267" s="83">
        <f>SUMIFS(F1268:F1496,K1268:K1496,"0",B1268:B1496,"5 1 3 4 1 12 31111 6 M59 19000 000271 0000F 00001 00341 025 2112000*")</f>
        <v>1422.46</v>
      </c>
      <c r="G1267" s="83">
        <f>SUMIFS(G1268:G1496,K1268:K1496,"0",B1268:B1496,"5 1 3 4 1 12 31111 6 M59 19000 000271 0000F 00001 00341 025 2112000*")</f>
        <v>0</v>
      </c>
      <c r="H1267" s="83">
        <f t="shared" si="20"/>
        <v>1422.46</v>
      </c>
      <c r="I1267" s="83"/>
      <c r="K1267" s="54" t="s">
        <v>15</v>
      </c>
    </row>
    <row r="1268" spans="2:11" ht="33" x14ac:dyDescent="0.2">
      <c r="B1268" s="82" t="s">
        <v>8726</v>
      </c>
      <c r="C1268" s="82" t="s">
        <v>660</v>
      </c>
      <c r="D1268" s="83">
        <f>SUMIFS(D1269:D1496,K1269:K1496,"0",B1269:B1496,"5 1 3 4 1 12 31111 6 M59 19000 000271 0000F 00001 00341 025 2112000 2024*")-SUMIFS(E1269:E1496,K1269:K1496,"0",B1269:B1496,"5 1 3 4 1 12 31111 6 M59 19000 000271 0000F 00001 00341 025 2112000 2024*")</f>
        <v>0</v>
      </c>
      <c r="E1268" s="54"/>
      <c r="F1268" s="83">
        <f>SUMIFS(F1269:F1496,K1269:K1496,"0",B1269:B1496,"5 1 3 4 1 12 31111 6 M59 19000 000271 0000F 00001 00341 025 2112000 2024*")</f>
        <v>1422.46</v>
      </c>
      <c r="G1268" s="83">
        <f>SUMIFS(G1269:G1496,K1269:K1496,"0",B1269:B1496,"5 1 3 4 1 12 31111 6 M59 19000 000271 0000F 00001 00341 025 2112000 2024*")</f>
        <v>0</v>
      </c>
      <c r="H1268" s="83">
        <f t="shared" si="20"/>
        <v>1422.46</v>
      </c>
      <c r="I1268" s="83"/>
      <c r="K1268" s="54" t="s">
        <v>15</v>
      </c>
    </row>
    <row r="1269" spans="2:11" ht="41.25" x14ac:dyDescent="0.2">
      <c r="B1269" s="82" t="s">
        <v>8727</v>
      </c>
      <c r="C1269" s="82" t="s">
        <v>8608</v>
      </c>
      <c r="D1269" s="83">
        <f>SUMIFS(D1270:D1496,K1270:K1496,"0",B1270:B1496,"5 1 3 4 1 12 31111 6 M59 19000 000271 0000F 00001 00341 025 2112000 2024 CP4TM511*")-SUMIFS(E1270:E1496,K1270:K1496,"0",B1270:B1496,"5 1 3 4 1 12 31111 6 M59 19000 000271 0000F 00001 00341 025 2112000 2024 CP4TM511*")</f>
        <v>0</v>
      </c>
      <c r="E1269" s="54"/>
      <c r="F1269" s="83">
        <f>SUMIFS(F1270:F1496,K1270:K1496,"0",B1270:B1496,"5 1 3 4 1 12 31111 6 M59 19000 000271 0000F 00001 00341 025 2112000 2024 CP4TM511*")</f>
        <v>1422.46</v>
      </c>
      <c r="G1269" s="83">
        <f>SUMIFS(G1270:G1496,K1270:K1496,"0",B1270:B1496,"5 1 3 4 1 12 31111 6 M59 19000 000271 0000F 00001 00341 025 2112000 2024 CP4TM511*")</f>
        <v>0</v>
      </c>
      <c r="H1269" s="83">
        <f t="shared" si="20"/>
        <v>1422.46</v>
      </c>
      <c r="I1269" s="83"/>
      <c r="K1269" s="54" t="s">
        <v>15</v>
      </c>
    </row>
    <row r="1270" spans="2:11" ht="41.25" x14ac:dyDescent="0.2">
      <c r="B1270" s="82" t="s">
        <v>8728</v>
      </c>
      <c r="C1270" s="82" t="s">
        <v>664</v>
      </c>
      <c r="D1270" s="83">
        <f>SUMIFS(D1271:D1496,K1271:K1496,"0",B1271:B1496,"5 1 3 4 1 12 31111 6 M59 19000 000271 0000F 00001 00341 025 2112000 2024 CP4TM511 003*")-SUMIFS(E1271:E1496,K1271:K1496,"0",B1271:B1496,"5 1 3 4 1 12 31111 6 M59 19000 000271 0000F 00001 00341 025 2112000 2024 CP4TM511 003*")</f>
        <v>0</v>
      </c>
      <c r="E1270" s="54"/>
      <c r="F1270" s="83">
        <f>SUMIFS(F1271:F1496,K1271:K1496,"0",B1271:B1496,"5 1 3 4 1 12 31111 6 M59 19000 000271 0000F 00001 00341 025 2112000 2024 CP4TM511 003*")</f>
        <v>1422.46</v>
      </c>
      <c r="G1270" s="83">
        <f>SUMIFS(G1271:G1496,K1271:K1496,"0",B1271:B1496,"5 1 3 4 1 12 31111 6 M59 19000 000271 0000F 00001 00341 025 2112000 2024 CP4TM511 003*")</f>
        <v>0</v>
      </c>
      <c r="H1270" s="83">
        <f t="shared" si="20"/>
        <v>1422.46</v>
      </c>
      <c r="I1270" s="83"/>
      <c r="K1270" s="54" t="s">
        <v>15</v>
      </c>
    </row>
    <row r="1271" spans="2:11" ht="33" x14ac:dyDescent="0.2">
      <c r="B1271" s="84" t="s">
        <v>8729</v>
      </c>
      <c r="C1271" s="84" t="s">
        <v>8730</v>
      </c>
      <c r="D1271" s="85">
        <v>0</v>
      </c>
      <c r="E1271" s="85"/>
      <c r="F1271" s="85">
        <v>1422.46</v>
      </c>
      <c r="G1271" s="85">
        <v>0</v>
      </c>
      <c r="H1271" s="85">
        <f t="shared" si="20"/>
        <v>1422.46</v>
      </c>
      <c r="I1271" s="85"/>
      <c r="K1271" s="54" t="s">
        <v>38</v>
      </c>
    </row>
    <row r="1272" spans="2:11" ht="16.5" x14ac:dyDescent="0.2">
      <c r="B1272" s="82" t="s">
        <v>8763</v>
      </c>
      <c r="C1272" s="82" t="s">
        <v>1061</v>
      </c>
      <c r="D1272" s="83">
        <f>SUMIFS(D1273:D1496,K1273:K1496,"0",B1273:B1496,"5 1 3 4 1 12 31111 6 M59 23000*")-SUMIFS(E1273:E1496,K1273:K1496,"0",B1273:B1496,"5 1 3 4 1 12 31111 6 M59 23000*")</f>
        <v>0</v>
      </c>
      <c r="E1272" s="54"/>
      <c r="F1272" s="83">
        <f>SUMIFS(F1273:F1496,K1273:K1496,"0",B1273:B1496,"5 1 3 4 1 12 31111 6 M59 23000*")</f>
        <v>466.29</v>
      </c>
      <c r="G1272" s="83">
        <f>SUMIFS(G1273:G1496,K1273:K1496,"0",B1273:B1496,"5 1 3 4 1 12 31111 6 M59 23000*")</f>
        <v>0</v>
      </c>
      <c r="H1272" s="83">
        <f t="shared" si="20"/>
        <v>466.29</v>
      </c>
      <c r="I1272" s="83"/>
      <c r="K1272" s="54" t="s">
        <v>15</v>
      </c>
    </row>
    <row r="1273" spans="2:11" ht="16.5" x14ac:dyDescent="0.2">
      <c r="B1273" s="82" t="s">
        <v>8764</v>
      </c>
      <c r="C1273" s="82" t="s">
        <v>8765</v>
      </c>
      <c r="D1273" s="83">
        <f>SUMIFS(D1274:D1496,K1274:K1496,"0",B1274:B1496,"5 1 3 4 1 12 31111 6 M59 23000 000134*")-SUMIFS(E1274:E1496,K1274:K1496,"0",B1274:B1496,"5 1 3 4 1 12 31111 6 M59 23000 000134*")</f>
        <v>0</v>
      </c>
      <c r="E1273" s="54"/>
      <c r="F1273" s="83">
        <f>SUMIFS(F1274:F1496,K1274:K1496,"0",B1274:B1496,"5 1 3 4 1 12 31111 6 M59 23000 000134*")</f>
        <v>466.29</v>
      </c>
      <c r="G1273" s="83">
        <f>SUMIFS(G1274:G1496,K1274:K1496,"0",B1274:B1496,"5 1 3 4 1 12 31111 6 M59 23000 000134*")</f>
        <v>0</v>
      </c>
      <c r="H1273" s="83">
        <f t="shared" si="20"/>
        <v>466.29</v>
      </c>
      <c r="I1273" s="83"/>
      <c r="K1273" s="54" t="s">
        <v>15</v>
      </c>
    </row>
    <row r="1274" spans="2:11" ht="24.75" x14ac:dyDescent="0.2">
      <c r="B1274" s="82" t="s">
        <v>8766</v>
      </c>
      <c r="C1274" s="82" t="s">
        <v>8767</v>
      </c>
      <c r="D1274" s="83">
        <f>SUMIFS(D1275:D1496,K1275:K1496,"0",B1275:B1496,"5 1 3 4 1 12 31111 6 M59 23000 000134 0000B*")-SUMIFS(E1275:E1496,K1275:K1496,"0",B1275:B1496,"5 1 3 4 1 12 31111 6 M59 23000 000134 0000B*")</f>
        <v>0</v>
      </c>
      <c r="E1274" s="54"/>
      <c r="F1274" s="83">
        <f>SUMIFS(F1275:F1496,K1275:K1496,"0",B1275:B1496,"5 1 3 4 1 12 31111 6 M59 23000 000134 0000B*")</f>
        <v>466.29</v>
      </c>
      <c r="G1274" s="83">
        <f>SUMIFS(G1275:G1496,K1275:K1496,"0",B1275:B1496,"5 1 3 4 1 12 31111 6 M59 23000 000134 0000B*")</f>
        <v>0</v>
      </c>
      <c r="H1274" s="83">
        <f t="shared" si="20"/>
        <v>466.29</v>
      </c>
      <c r="I1274" s="83"/>
      <c r="K1274" s="54" t="s">
        <v>15</v>
      </c>
    </row>
    <row r="1275" spans="2:11" ht="24.75" x14ac:dyDescent="0.2">
      <c r="B1275" s="82" t="s">
        <v>8768</v>
      </c>
      <c r="C1275" s="82" t="s">
        <v>282</v>
      </c>
      <c r="D1275" s="83">
        <f>SUMIFS(D1276:D1496,K1276:K1496,"0",B1276:B1496,"5 1 3 4 1 12 31111 6 M59 23000 000134 0000B 00001*")-SUMIFS(E1276:E1496,K1276:K1496,"0",B1276:B1496,"5 1 3 4 1 12 31111 6 M59 23000 000134 0000B 00001*")</f>
        <v>0</v>
      </c>
      <c r="E1275" s="54"/>
      <c r="F1275" s="83">
        <f>SUMIFS(F1276:F1496,K1276:K1496,"0",B1276:B1496,"5 1 3 4 1 12 31111 6 M59 23000 000134 0000B 00001*")</f>
        <v>466.29</v>
      </c>
      <c r="G1275" s="83">
        <f>SUMIFS(G1276:G1496,K1276:K1496,"0",B1276:B1496,"5 1 3 4 1 12 31111 6 M59 23000 000134 0000B 00001*")</f>
        <v>0</v>
      </c>
      <c r="H1275" s="83">
        <f t="shared" si="20"/>
        <v>466.29</v>
      </c>
      <c r="I1275" s="83"/>
      <c r="K1275" s="54" t="s">
        <v>15</v>
      </c>
    </row>
    <row r="1276" spans="2:11" ht="24.75" x14ac:dyDescent="0.2">
      <c r="B1276" s="82" t="s">
        <v>8769</v>
      </c>
      <c r="C1276" s="82" t="s">
        <v>8705</v>
      </c>
      <c r="D1276" s="83">
        <f>SUMIFS(D1277:D1496,K1277:K1496,"0",B1277:B1496,"5 1 3 4 1 12 31111 6 M59 23000 000134 0000B 00001 00341*")-SUMIFS(E1277:E1496,K1277:K1496,"0",B1277:B1496,"5 1 3 4 1 12 31111 6 M59 23000 000134 0000B 00001 00341*")</f>
        <v>0</v>
      </c>
      <c r="E1276" s="54"/>
      <c r="F1276" s="83">
        <f>SUMIFS(F1277:F1496,K1277:K1496,"0",B1277:B1496,"5 1 3 4 1 12 31111 6 M59 23000 000134 0000B 00001 00341*")</f>
        <v>466.29</v>
      </c>
      <c r="G1276" s="83">
        <f>SUMIFS(G1277:G1496,K1277:K1496,"0",B1277:B1496,"5 1 3 4 1 12 31111 6 M59 23000 000134 0000B 00001 00341*")</f>
        <v>0</v>
      </c>
      <c r="H1276" s="83">
        <f t="shared" si="20"/>
        <v>466.29</v>
      </c>
      <c r="I1276" s="83"/>
      <c r="K1276" s="54" t="s">
        <v>15</v>
      </c>
    </row>
    <row r="1277" spans="2:11" ht="33" x14ac:dyDescent="0.2">
      <c r="B1277" s="82" t="s">
        <v>8770</v>
      </c>
      <c r="C1277" s="82" t="s">
        <v>656</v>
      </c>
      <c r="D1277" s="83">
        <f>SUMIFS(D1278:D1496,K1278:K1496,"0",B1278:B1496,"5 1 3 4 1 12 31111 6 M59 23000 000134 0000B 00001 00341 025*")-SUMIFS(E1278:E1496,K1278:K1496,"0",B1278:B1496,"5 1 3 4 1 12 31111 6 M59 23000 000134 0000B 00001 00341 025*")</f>
        <v>0</v>
      </c>
      <c r="E1277" s="54"/>
      <c r="F1277" s="83">
        <f>SUMIFS(F1278:F1496,K1278:K1496,"0",B1278:B1496,"5 1 3 4 1 12 31111 6 M59 23000 000134 0000B 00001 00341 025*")</f>
        <v>466.29</v>
      </c>
      <c r="G1277" s="83">
        <f>SUMIFS(G1278:G1496,K1278:K1496,"0",B1278:B1496,"5 1 3 4 1 12 31111 6 M59 23000 000134 0000B 00001 00341 025*")</f>
        <v>0</v>
      </c>
      <c r="H1277" s="83">
        <f t="shared" si="20"/>
        <v>466.29</v>
      </c>
      <c r="I1277" s="83"/>
      <c r="K1277" s="54" t="s">
        <v>15</v>
      </c>
    </row>
    <row r="1278" spans="2:11" ht="33" x14ac:dyDescent="0.2">
      <c r="B1278" s="82" t="s">
        <v>8771</v>
      </c>
      <c r="C1278" s="82" t="s">
        <v>5830</v>
      </c>
      <c r="D1278" s="83">
        <f>SUMIFS(D1279:D1496,K1279:K1496,"0",B1279:B1496,"5 1 3 4 1 12 31111 6 M59 23000 000134 0000B 00001 00341 025 2112000*")-SUMIFS(E1279:E1496,K1279:K1496,"0",B1279:B1496,"5 1 3 4 1 12 31111 6 M59 23000 000134 0000B 00001 00341 025 2112000*")</f>
        <v>0</v>
      </c>
      <c r="E1278" s="54"/>
      <c r="F1278" s="83">
        <f>SUMIFS(F1279:F1496,K1279:K1496,"0",B1279:B1496,"5 1 3 4 1 12 31111 6 M59 23000 000134 0000B 00001 00341 025 2112000*")</f>
        <v>466.29</v>
      </c>
      <c r="G1278" s="83">
        <f>SUMIFS(G1279:G1496,K1279:K1496,"0",B1279:B1496,"5 1 3 4 1 12 31111 6 M59 23000 000134 0000B 00001 00341 025 2112000*")</f>
        <v>0</v>
      </c>
      <c r="H1278" s="83">
        <f t="shared" si="20"/>
        <v>466.29</v>
      </c>
      <c r="I1278" s="83"/>
      <c r="K1278" s="54" t="s">
        <v>15</v>
      </c>
    </row>
    <row r="1279" spans="2:11" ht="33" x14ac:dyDescent="0.2">
      <c r="B1279" s="82" t="s">
        <v>8772</v>
      </c>
      <c r="C1279" s="82" t="s">
        <v>660</v>
      </c>
      <c r="D1279" s="83">
        <f>SUMIFS(D1280:D1496,K1280:K1496,"0",B1280:B1496,"5 1 3 4 1 12 31111 6 M59 23000 000134 0000B 00001 00341 025 2112000 2024*")-SUMIFS(E1280:E1496,K1280:K1496,"0",B1280:B1496,"5 1 3 4 1 12 31111 6 M59 23000 000134 0000B 00001 00341 025 2112000 2024*")</f>
        <v>0</v>
      </c>
      <c r="E1279" s="54"/>
      <c r="F1279" s="83">
        <f>SUMIFS(F1280:F1496,K1280:K1496,"0",B1280:B1496,"5 1 3 4 1 12 31111 6 M59 23000 000134 0000B 00001 00341 025 2112000 2024*")</f>
        <v>466.29</v>
      </c>
      <c r="G1279" s="83">
        <f>SUMIFS(G1280:G1496,K1280:K1496,"0",B1280:B1496,"5 1 3 4 1 12 31111 6 M59 23000 000134 0000B 00001 00341 025 2112000 2024*")</f>
        <v>0</v>
      </c>
      <c r="H1279" s="83">
        <f t="shared" si="20"/>
        <v>466.29</v>
      </c>
      <c r="I1279" s="83"/>
      <c r="K1279" s="54" t="s">
        <v>15</v>
      </c>
    </row>
    <row r="1280" spans="2:11" ht="41.25" x14ac:dyDescent="0.2">
      <c r="B1280" s="82" t="s">
        <v>8773</v>
      </c>
      <c r="C1280" s="82" t="s">
        <v>8774</v>
      </c>
      <c r="D1280" s="83">
        <f>SUMIFS(D1281:D1496,K1281:K1496,"0",B1281:B1496,"5 1 3 4 1 12 31111 6 M59 23000 000134 0000B 00001 00341 025 2112000 2024 CP4DE526*")-SUMIFS(E1281:E1496,K1281:K1496,"0",B1281:B1496,"5 1 3 4 1 12 31111 6 M59 23000 000134 0000B 00001 00341 025 2112000 2024 CP4DE526*")</f>
        <v>0</v>
      </c>
      <c r="E1280" s="54"/>
      <c r="F1280" s="83">
        <f>SUMIFS(F1281:F1496,K1281:K1496,"0",B1281:B1496,"5 1 3 4 1 12 31111 6 M59 23000 000134 0000B 00001 00341 025 2112000 2024 CP4DE526*")</f>
        <v>466.29</v>
      </c>
      <c r="G1280" s="83">
        <f>SUMIFS(G1281:G1496,K1281:K1496,"0",B1281:B1496,"5 1 3 4 1 12 31111 6 M59 23000 000134 0000B 00001 00341 025 2112000 2024 CP4DE526*")</f>
        <v>0</v>
      </c>
      <c r="H1280" s="83">
        <f t="shared" si="20"/>
        <v>466.29</v>
      </c>
      <c r="I1280" s="83"/>
      <c r="K1280" s="54" t="s">
        <v>15</v>
      </c>
    </row>
    <row r="1281" spans="2:11" ht="41.25" x14ac:dyDescent="0.2">
      <c r="B1281" s="82" t="s">
        <v>8775</v>
      </c>
      <c r="C1281" s="82" t="s">
        <v>664</v>
      </c>
      <c r="D1281" s="83">
        <f>SUMIFS(D1282:D1496,K1282:K1496,"0",B1282:B1496,"5 1 3 4 1 12 31111 6 M59 23000 000134 0000B 00001 00341 025 2112000 2024 CP4DE526 003*")-SUMIFS(E1282:E1496,K1282:K1496,"0",B1282:B1496,"5 1 3 4 1 12 31111 6 M59 23000 000134 0000B 00001 00341 025 2112000 2024 CP4DE526 003*")</f>
        <v>0</v>
      </c>
      <c r="E1281" s="54"/>
      <c r="F1281" s="83">
        <f>SUMIFS(F1282:F1496,K1282:K1496,"0",B1282:B1496,"5 1 3 4 1 12 31111 6 M59 23000 000134 0000B 00001 00341 025 2112000 2024 CP4DE526 003*")</f>
        <v>466.29</v>
      </c>
      <c r="G1281" s="83">
        <f>SUMIFS(G1282:G1496,K1282:K1496,"0",B1282:B1496,"5 1 3 4 1 12 31111 6 M59 23000 000134 0000B 00001 00341 025 2112000 2024 CP4DE526 003*")</f>
        <v>0</v>
      </c>
      <c r="H1281" s="83">
        <f t="shared" si="20"/>
        <v>466.29</v>
      </c>
      <c r="I1281" s="83"/>
      <c r="K1281" s="54" t="s">
        <v>15</v>
      </c>
    </row>
    <row r="1282" spans="2:11" ht="41.25" x14ac:dyDescent="0.2">
      <c r="B1282" s="84" t="s">
        <v>8776</v>
      </c>
      <c r="C1282" s="84" t="s">
        <v>8695</v>
      </c>
      <c r="D1282" s="85">
        <v>0</v>
      </c>
      <c r="E1282" s="85"/>
      <c r="F1282" s="85">
        <v>466.29</v>
      </c>
      <c r="G1282" s="85">
        <v>0</v>
      </c>
      <c r="H1282" s="85">
        <f t="shared" si="20"/>
        <v>466.29</v>
      </c>
      <c r="I1282" s="85"/>
      <c r="K1282" s="54" t="s">
        <v>38</v>
      </c>
    </row>
    <row r="1283" spans="2:11" ht="24.75" x14ac:dyDescent="0.2">
      <c r="B1283" s="82" t="s">
        <v>8777</v>
      </c>
      <c r="C1283" s="82" t="s">
        <v>8778</v>
      </c>
      <c r="D1283" s="83">
        <f>SUMIFS(D1284:D1496,K1284:K1496,"0",B1284:B1496,"5 1 3 4 4*")-SUMIFS(E1284:E1496,K1284:K1496,"0",B1284:B1496,"5 1 3 4 4*")</f>
        <v>0</v>
      </c>
      <c r="E1283" s="54"/>
      <c r="F1283" s="83">
        <f>SUMIFS(F1284:F1496,K1284:K1496,"0",B1284:B1496,"5 1 3 4 4*")</f>
        <v>31482.400000000001</v>
      </c>
      <c r="G1283" s="83">
        <f>SUMIFS(G1284:G1496,K1284:K1496,"0",B1284:B1496,"5 1 3 4 4*")</f>
        <v>0</v>
      </c>
      <c r="H1283" s="83">
        <f t="shared" si="20"/>
        <v>31482.400000000001</v>
      </c>
      <c r="I1283" s="83"/>
      <c r="K1283" s="54" t="s">
        <v>15</v>
      </c>
    </row>
    <row r="1284" spans="2:11" ht="12.75" x14ac:dyDescent="0.2">
      <c r="B1284" s="82" t="s">
        <v>8779</v>
      </c>
      <c r="C1284" s="82" t="s">
        <v>26</v>
      </c>
      <c r="D1284" s="83">
        <f>SUMIFS(D1285:D1496,K1285:K1496,"0",B1285:B1496,"5 1 3 4 4 12*")-SUMIFS(E1285:E1496,K1285:K1496,"0",B1285:B1496,"5 1 3 4 4 12*")</f>
        <v>0</v>
      </c>
      <c r="E1284" s="54"/>
      <c r="F1284" s="83">
        <f>SUMIFS(F1285:F1496,K1285:K1496,"0",B1285:B1496,"5 1 3 4 4 12*")</f>
        <v>31482.400000000001</v>
      </c>
      <c r="G1284" s="83">
        <f>SUMIFS(G1285:G1496,K1285:K1496,"0",B1285:B1496,"5 1 3 4 4 12*")</f>
        <v>0</v>
      </c>
      <c r="H1284" s="83">
        <f t="shared" si="20"/>
        <v>31482.400000000001</v>
      </c>
      <c r="I1284" s="83"/>
      <c r="K1284" s="54" t="s">
        <v>15</v>
      </c>
    </row>
    <row r="1285" spans="2:11" ht="16.5" x14ac:dyDescent="0.2">
      <c r="B1285" s="82" t="s">
        <v>8780</v>
      </c>
      <c r="C1285" s="82" t="s">
        <v>28</v>
      </c>
      <c r="D1285" s="83">
        <f>SUMIFS(D1286:D1496,K1286:K1496,"0",B1286:B1496,"5 1 3 4 4 12 31111*")-SUMIFS(E1286:E1496,K1286:K1496,"0",B1286:B1496,"5 1 3 4 4 12 31111*")</f>
        <v>0</v>
      </c>
      <c r="E1285" s="54"/>
      <c r="F1285" s="83">
        <f>SUMIFS(F1286:F1496,K1286:K1496,"0",B1286:B1496,"5 1 3 4 4 12 31111*")</f>
        <v>31482.400000000001</v>
      </c>
      <c r="G1285" s="83">
        <f>SUMIFS(G1286:G1496,K1286:K1496,"0",B1286:B1496,"5 1 3 4 4 12 31111*")</f>
        <v>0</v>
      </c>
      <c r="H1285" s="83">
        <f t="shared" si="20"/>
        <v>31482.400000000001</v>
      </c>
      <c r="I1285" s="83"/>
      <c r="K1285" s="54" t="s">
        <v>15</v>
      </c>
    </row>
    <row r="1286" spans="2:11" ht="12.75" x14ac:dyDescent="0.2">
      <c r="B1286" s="82" t="s">
        <v>8781</v>
      </c>
      <c r="C1286" s="82" t="s">
        <v>30</v>
      </c>
      <c r="D1286" s="83">
        <f>SUMIFS(D1287:D1496,K1287:K1496,"0",B1287:B1496,"5 1 3 4 4 12 31111 6*")-SUMIFS(E1287:E1496,K1287:K1496,"0",B1287:B1496,"5 1 3 4 4 12 31111 6*")</f>
        <v>0</v>
      </c>
      <c r="E1286" s="54"/>
      <c r="F1286" s="83">
        <f>SUMIFS(F1287:F1496,K1287:K1496,"0",B1287:B1496,"5 1 3 4 4 12 31111 6*")</f>
        <v>31482.400000000001</v>
      </c>
      <c r="G1286" s="83">
        <f>SUMIFS(G1287:G1496,K1287:K1496,"0",B1287:B1496,"5 1 3 4 4 12 31111 6*")</f>
        <v>0</v>
      </c>
      <c r="H1286" s="83">
        <f t="shared" si="20"/>
        <v>31482.400000000001</v>
      </c>
      <c r="I1286" s="83"/>
      <c r="K1286" s="54" t="s">
        <v>15</v>
      </c>
    </row>
    <row r="1287" spans="2:11" ht="16.5" x14ac:dyDescent="0.2">
      <c r="B1287" s="82" t="s">
        <v>8782</v>
      </c>
      <c r="C1287" s="82" t="s">
        <v>2284</v>
      </c>
      <c r="D1287" s="83">
        <f>SUMIFS(D1288:D1496,K1288:K1496,"0",B1288:B1496,"5 1 3 4 4 12 31111 6 M59*")-SUMIFS(E1288:E1496,K1288:K1496,"0",B1288:B1496,"5 1 3 4 4 12 31111 6 M59*")</f>
        <v>0</v>
      </c>
      <c r="E1287" s="54"/>
      <c r="F1287" s="83">
        <f>SUMIFS(F1288:F1496,K1288:K1496,"0",B1288:B1496,"5 1 3 4 4 12 31111 6 M59*")</f>
        <v>31482.400000000001</v>
      </c>
      <c r="G1287" s="83">
        <f>SUMIFS(G1288:G1496,K1288:K1496,"0",B1288:B1496,"5 1 3 4 4 12 31111 6 M59*")</f>
        <v>0</v>
      </c>
      <c r="H1287" s="83">
        <f t="shared" si="20"/>
        <v>31482.400000000001</v>
      </c>
      <c r="I1287" s="83"/>
      <c r="K1287" s="54" t="s">
        <v>15</v>
      </c>
    </row>
    <row r="1288" spans="2:11" ht="16.5" x14ac:dyDescent="0.2">
      <c r="B1288" s="82" t="s">
        <v>8783</v>
      </c>
      <c r="C1288" s="82" t="s">
        <v>1061</v>
      </c>
      <c r="D1288" s="83">
        <f>SUMIFS(D1289:D1496,K1289:K1496,"0",B1289:B1496,"5 1 3 4 4 12 31111 6 M59 23000*")-SUMIFS(E1289:E1496,K1289:K1496,"0",B1289:B1496,"5 1 3 4 4 12 31111 6 M59 23000*")</f>
        <v>0</v>
      </c>
      <c r="E1288" s="54"/>
      <c r="F1288" s="83">
        <f>SUMIFS(F1289:F1496,K1289:K1496,"0",B1289:B1496,"5 1 3 4 4 12 31111 6 M59 23000*")</f>
        <v>31482.400000000001</v>
      </c>
      <c r="G1288" s="83">
        <f>SUMIFS(G1289:G1496,K1289:K1496,"0",B1289:B1496,"5 1 3 4 4 12 31111 6 M59 23000*")</f>
        <v>0</v>
      </c>
      <c r="H1288" s="83">
        <f t="shared" si="20"/>
        <v>31482.400000000001</v>
      </c>
      <c r="I1288" s="83"/>
      <c r="K1288" s="54" t="s">
        <v>15</v>
      </c>
    </row>
    <row r="1289" spans="2:11" ht="16.5" x14ac:dyDescent="0.2">
      <c r="B1289" s="82" t="s">
        <v>8784</v>
      </c>
      <c r="C1289" s="82" t="s">
        <v>8765</v>
      </c>
      <c r="D1289" s="83">
        <f>SUMIFS(D1290:D1496,K1290:K1496,"0",B1290:B1496,"5 1 3 4 4 12 31111 6 M59 23000 000134*")-SUMIFS(E1290:E1496,K1290:K1496,"0",B1290:B1496,"5 1 3 4 4 12 31111 6 M59 23000 000134*")</f>
        <v>0</v>
      </c>
      <c r="E1289" s="54"/>
      <c r="F1289" s="83">
        <f>SUMIFS(F1290:F1496,K1290:K1496,"0",B1290:B1496,"5 1 3 4 4 12 31111 6 M59 23000 000134*")</f>
        <v>31482.400000000001</v>
      </c>
      <c r="G1289" s="83">
        <f>SUMIFS(G1290:G1496,K1290:K1496,"0",B1290:B1496,"5 1 3 4 4 12 31111 6 M59 23000 000134*")</f>
        <v>0</v>
      </c>
      <c r="H1289" s="83">
        <f t="shared" si="20"/>
        <v>31482.400000000001</v>
      </c>
      <c r="I1289" s="83"/>
      <c r="K1289" s="54" t="s">
        <v>15</v>
      </c>
    </row>
    <row r="1290" spans="2:11" ht="24.75" x14ac:dyDescent="0.2">
      <c r="B1290" s="82" t="s">
        <v>8785</v>
      </c>
      <c r="C1290" s="82" t="s">
        <v>8767</v>
      </c>
      <c r="D1290" s="83">
        <f>SUMIFS(D1291:D1496,K1291:K1496,"0",B1291:B1496,"5 1 3 4 4 12 31111 6 M59 23000 000134 0000B*")-SUMIFS(E1291:E1496,K1291:K1496,"0",B1291:B1496,"5 1 3 4 4 12 31111 6 M59 23000 000134 0000B*")</f>
        <v>0</v>
      </c>
      <c r="E1290" s="54"/>
      <c r="F1290" s="83">
        <f>SUMIFS(F1291:F1496,K1291:K1496,"0",B1291:B1496,"5 1 3 4 4 12 31111 6 M59 23000 000134 0000B*")</f>
        <v>31482.400000000001</v>
      </c>
      <c r="G1290" s="83">
        <f>SUMIFS(G1291:G1496,K1291:K1496,"0",B1291:B1496,"5 1 3 4 4 12 31111 6 M59 23000 000134 0000B*")</f>
        <v>0</v>
      </c>
      <c r="H1290" s="83">
        <f t="shared" si="20"/>
        <v>31482.400000000001</v>
      </c>
      <c r="I1290" s="83"/>
      <c r="K1290" s="54" t="s">
        <v>15</v>
      </c>
    </row>
    <row r="1291" spans="2:11" ht="24.75" x14ac:dyDescent="0.2">
      <c r="B1291" s="82" t="s">
        <v>8786</v>
      </c>
      <c r="C1291" s="82" t="s">
        <v>282</v>
      </c>
      <c r="D1291" s="83">
        <f>SUMIFS(D1292:D1496,K1292:K1496,"0",B1292:B1496,"5 1 3 4 4 12 31111 6 M59 23000 000134 0000B 00001*")-SUMIFS(E1292:E1496,K1292:K1496,"0",B1292:B1496,"5 1 3 4 4 12 31111 6 M59 23000 000134 0000B 00001*")</f>
        <v>0</v>
      </c>
      <c r="E1291" s="54"/>
      <c r="F1291" s="83">
        <f>SUMIFS(F1292:F1496,K1292:K1496,"0",B1292:B1496,"5 1 3 4 4 12 31111 6 M59 23000 000134 0000B 00001*")</f>
        <v>31482.400000000001</v>
      </c>
      <c r="G1291" s="83">
        <f>SUMIFS(G1292:G1496,K1292:K1496,"0",B1292:B1496,"5 1 3 4 4 12 31111 6 M59 23000 000134 0000B 00001*")</f>
        <v>0</v>
      </c>
      <c r="H1291" s="83">
        <f t="shared" si="20"/>
        <v>31482.400000000001</v>
      </c>
      <c r="I1291" s="83"/>
      <c r="K1291" s="54" t="s">
        <v>15</v>
      </c>
    </row>
    <row r="1292" spans="2:11" ht="24.75" x14ac:dyDescent="0.2">
      <c r="B1292" s="82" t="s">
        <v>8787</v>
      </c>
      <c r="C1292" s="82" t="s">
        <v>8788</v>
      </c>
      <c r="D1292" s="83">
        <f>SUMIFS(D1293:D1496,K1293:K1496,"0",B1293:B1496,"5 1 3 4 4 12 31111 6 M59 23000 000134 0000B 00001 00344*")-SUMIFS(E1293:E1496,K1293:K1496,"0",B1293:B1496,"5 1 3 4 4 12 31111 6 M59 23000 000134 0000B 00001 00344*")</f>
        <v>0</v>
      </c>
      <c r="E1292" s="54"/>
      <c r="F1292" s="83">
        <f>SUMIFS(F1293:F1496,K1293:K1496,"0",B1293:B1496,"5 1 3 4 4 12 31111 6 M59 23000 000134 0000B 00001 00344*")</f>
        <v>31482.400000000001</v>
      </c>
      <c r="G1292" s="83">
        <f>SUMIFS(G1293:G1496,K1293:K1496,"0",B1293:B1496,"5 1 3 4 4 12 31111 6 M59 23000 000134 0000B 00001 00344*")</f>
        <v>0</v>
      </c>
      <c r="H1292" s="83">
        <f t="shared" si="20"/>
        <v>31482.400000000001</v>
      </c>
      <c r="I1292" s="83"/>
      <c r="K1292" s="54" t="s">
        <v>15</v>
      </c>
    </row>
    <row r="1293" spans="2:11" ht="33" x14ac:dyDescent="0.2">
      <c r="B1293" s="82" t="s">
        <v>8789</v>
      </c>
      <c r="C1293" s="82" t="s">
        <v>656</v>
      </c>
      <c r="D1293" s="83">
        <f>SUMIFS(D1294:D1496,K1294:K1496,"0",B1294:B1496,"5 1 3 4 4 12 31111 6 M59 23000 000134 0000B 00001 00344 025*")-SUMIFS(E1294:E1496,K1294:K1496,"0",B1294:B1496,"5 1 3 4 4 12 31111 6 M59 23000 000134 0000B 00001 00344 025*")</f>
        <v>0</v>
      </c>
      <c r="E1293" s="54"/>
      <c r="F1293" s="83">
        <f>SUMIFS(F1294:F1496,K1294:K1496,"0",B1294:B1496,"5 1 3 4 4 12 31111 6 M59 23000 000134 0000B 00001 00344 025*")</f>
        <v>31482.400000000001</v>
      </c>
      <c r="G1293" s="83">
        <f>SUMIFS(G1294:G1496,K1294:K1496,"0",B1294:B1496,"5 1 3 4 4 12 31111 6 M59 23000 000134 0000B 00001 00344 025*")</f>
        <v>0</v>
      </c>
      <c r="H1293" s="83">
        <f t="shared" si="20"/>
        <v>31482.400000000001</v>
      </c>
      <c r="I1293" s="83"/>
      <c r="K1293" s="54" t="s">
        <v>15</v>
      </c>
    </row>
    <row r="1294" spans="2:11" ht="33" x14ac:dyDescent="0.2">
      <c r="B1294" s="82" t="s">
        <v>8790</v>
      </c>
      <c r="C1294" s="82" t="s">
        <v>5830</v>
      </c>
      <c r="D1294" s="83">
        <f>SUMIFS(D1295:D1496,K1295:K1496,"0",B1295:B1496,"5 1 3 4 4 12 31111 6 M59 23000 000134 0000B 00001 00344 025 2112000*")-SUMIFS(E1295:E1496,K1295:K1496,"0",B1295:B1496,"5 1 3 4 4 12 31111 6 M59 23000 000134 0000B 00001 00344 025 2112000*")</f>
        <v>0</v>
      </c>
      <c r="E1294" s="54"/>
      <c r="F1294" s="83">
        <f>SUMIFS(F1295:F1496,K1295:K1496,"0",B1295:B1496,"5 1 3 4 4 12 31111 6 M59 23000 000134 0000B 00001 00344 025 2112000*")</f>
        <v>31482.400000000001</v>
      </c>
      <c r="G1294" s="83">
        <f>SUMIFS(G1295:G1496,K1295:K1496,"0",B1295:B1496,"5 1 3 4 4 12 31111 6 M59 23000 000134 0000B 00001 00344 025 2112000*")</f>
        <v>0</v>
      </c>
      <c r="H1294" s="83">
        <f t="shared" si="20"/>
        <v>31482.400000000001</v>
      </c>
      <c r="I1294" s="83"/>
      <c r="K1294" s="54" t="s">
        <v>15</v>
      </c>
    </row>
    <row r="1295" spans="2:11" ht="33" x14ac:dyDescent="0.2">
      <c r="B1295" s="82" t="s">
        <v>8791</v>
      </c>
      <c r="C1295" s="82" t="s">
        <v>660</v>
      </c>
      <c r="D1295" s="83">
        <f>SUMIFS(D1296:D1496,K1296:K1496,"0",B1296:B1496,"5 1 3 4 4 12 31111 6 M59 23000 000134 0000B 00001 00344 025 2112000 2024*")-SUMIFS(E1296:E1496,K1296:K1496,"0",B1296:B1496,"5 1 3 4 4 12 31111 6 M59 23000 000134 0000B 00001 00344 025 2112000 2024*")</f>
        <v>0</v>
      </c>
      <c r="E1295" s="54"/>
      <c r="F1295" s="83">
        <f>SUMIFS(F1296:F1496,K1296:K1496,"0",B1296:B1496,"5 1 3 4 4 12 31111 6 M59 23000 000134 0000B 00001 00344 025 2112000 2024*")</f>
        <v>31482.400000000001</v>
      </c>
      <c r="G1295" s="83">
        <f>SUMIFS(G1296:G1496,K1296:K1496,"0",B1296:B1496,"5 1 3 4 4 12 31111 6 M59 23000 000134 0000B 00001 00344 025 2112000 2024*")</f>
        <v>0</v>
      </c>
      <c r="H1295" s="83">
        <f t="shared" si="20"/>
        <v>31482.400000000001</v>
      </c>
      <c r="I1295" s="83"/>
      <c r="K1295" s="54" t="s">
        <v>15</v>
      </c>
    </row>
    <row r="1296" spans="2:11" ht="41.25" x14ac:dyDescent="0.2">
      <c r="B1296" s="82" t="s">
        <v>8792</v>
      </c>
      <c r="C1296" s="82" t="s">
        <v>8774</v>
      </c>
      <c r="D1296" s="83">
        <f>SUMIFS(D1297:D1496,K1297:K1496,"0",B1297:B1496,"5 1 3 4 4 12 31111 6 M59 23000 000134 0000B 00001 00344 025 2112000 2024 CP4DE526*")-SUMIFS(E1297:E1496,K1297:K1496,"0",B1297:B1496,"5 1 3 4 4 12 31111 6 M59 23000 000134 0000B 00001 00344 025 2112000 2024 CP4DE526*")</f>
        <v>0</v>
      </c>
      <c r="E1296" s="54"/>
      <c r="F1296" s="83">
        <f>SUMIFS(F1297:F1496,K1297:K1496,"0",B1297:B1496,"5 1 3 4 4 12 31111 6 M59 23000 000134 0000B 00001 00344 025 2112000 2024 CP4DE526*")</f>
        <v>31482.400000000001</v>
      </c>
      <c r="G1296" s="83">
        <f>SUMIFS(G1297:G1496,K1297:K1496,"0",B1297:B1496,"5 1 3 4 4 12 31111 6 M59 23000 000134 0000B 00001 00344 025 2112000 2024 CP4DE526*")</f>
        <v>0</v>
      </c>
      <c r="H1296" s="83">
        <f t="shared" si="20"/>
        <v>31482.400000000001</v>
      </c>
      <c r="I1296" s="83"/>
      <c r="K1296" s="54" t="s">
        <v>15</v>
      </c>
    </row>
    <row r="1297" spans="2:11" ht="41.25" x14ac:dyDescent="0.2">
      <c r="B1297" s="82" t="s">
        <v>8793</v>
      </c>
      <c r="C1297" s="82" t="s">
        <v>664</v>
      </c>
      <c r="D1297" s="83">
        <f>SUMIFS(D1298:D1496,K1298:K1496,"0",B1298:B1496,"5 1 3 4 4 12 31111 6 M59 23000 000134 0000B 00001 00344 025 2112000 2024 CP4DE526 003*")-SUMIFS(E1298:E1496,K1298:K1496,"0",B1298:B1496,"5 1 3 4 4 12 31111 6 M59 23000 000134 0000B 00001 00344 025 2112000 2024 CP4DE526 003*")</f>
        <v>0</v>
      </c>
      <c r="E1297" s="54"/>
      <c r="F1297" s="83">
        <f>SUMIFS(F1298:F1496,K1298:K1496,"0",B1298:B1496,"5 1 3 4 4 12 31111 6 M59 23000 000134 0000B 00001 00344 025 2112000 2024 CP4DE526 003*")</f>
        <v>31482.400000000001</v>
      </c>
      <c r="G1297" s="83">
        <f>SUMIFS(G1298:G1496,K1298:K1496,"0",B1298:B1496,"5 1 3 4 4 12 31111 6 M59 23000 000134 0000B 00001 00344 025 2112000 2024 CP4DE526 003*")</f>
        <v>0</v>
      </c>
      <c r="H1297" s="83">
        <f t="shared" si="20"/>
        <v>31482.400000000001</v>
      </c>
      <c r="I1297" s="83"/>
      <c r="K1297" s="54" t="s">
        <v>15</v>
      </c>
    </row>
    <row r="1298" spans="2:11" ht="41.25" x14ac:dyDescent="0.2">
      <c r="B1298" s="84" t="s">
        <v>8794</v>
      </c>
      <c r="C1298" s="84" t="s">
        <v>8778</v>
      </c>
      <c r="D1298" s="85">
        <v>0</v>
      </c>
      <c r="E1298" s="85"/>
      <c r="F1298" s="85">
        <v>31482.400000000001</v>
      </c>
      <c r="G1298" s="85">
        <v>0</v>
      </c>
      <c r="H1298" s="85">
        <f t="shared" si="20"/>
        <v>31482.400000000001</v>
      </c>
      <c r="I1298" s="85"/>
      <c r="K1298" s="54" t="s">
        <v>38</v>
      </c>
    </row>
    <row r="1299" spans="2:11" ht="24.75" x14ac:dyDescent="0.2">
      <c r="B1299" s="82" t="s">
        <v>8813</v>
      </c>
      <c r="C1299" s="82" t="s">
        <v>8814</v>
      </c>
      <c r="D1299" s="83">
        <f>SUMIFS(D1300:D1496,K1300:K1496,"0",B1300:B1496,"5 1 3 4 9*")-SUMIFS(E1300:E1496,K1300:K1496,"0",B1300:B1496,"5 1 3 4 9*")</f>
        <v>0</v>
      </c>
      <c r="E1299" s="54"/>
      <c r="F1299" s="83">
        <f>SUMIFS(F1300:F1496,K1300:K1496,"0",B1300:B1496,"5 1 3 4 9*")</f>
        <v>5516.15</v>
      </c>
      <c r="G1299" s="83">
        <f>SUMIFS(G1300:G1496,K1300:K1496,"0",B1300:B1496,"5 1 3 4 9*")</f>
        <v>0</v>
      </c>
      <c r="H1299" s="83">
        <f t="shared" si="20"/>
        <v>5516.15</v>
      </c>
      <c r="I1299" s="83"/>
      <c r="K1299" s="54" t="s">
        <v>15</v>
      </c>
    </row>
    <row r="1300" spans="2:11" ht="12.75" x14ac:dyDescent="0.2">
      <c r="B1300" s="82" t="s">
        <v>8815</v>
      </c>
      <c r="C1300" s="82" t="s">
        <v>26</v>
      </c>
      <c r="D1300" s="83">
        <f>SUMIFS(D1301:D1496,K1301:K1496,"0",B1301:B1496,"5 1 3 4 9 12*")-SUMIFS(E1301:E1496,K1301:K1496,"0",B1301:B1496,"5 1 3 4 9 12*")</f>
        <v>0</v>
      </c>
      <c r="E1300" s="54"/>
      <c r="F1300" s="83">
        <f>SUMIFS(F1301:F1496,K1301:K1496,"0",B1301:B1496,"5 1 3 4 9 12*")</f>
        <v>5516.15</v>
      </c>
      <c r="G1300" s="83">
        <f>SUMIFS(G1301:G1496,K1301:K1496,"0",B1301:B1496,"5 1 3 4 9 12*")</f>
        <v>0</v>
      </c>
      <c r="H1300" s="83">
        <f t="shared" si="20"/>
        <v>5516.15</v>
      </c>
      <c r="I1300" s="83"/>
      <c r="K1300" s="54" t="s">
        <v>15</v>
      </c>
    </row>
    <row r="1301" spans="2:11" ht="16.5" x14ac:dyDescent="0.2">
      <c r="B1301" s="82" t="s">
        <v>8816</v>
      </c>
      <c r="C1301" s="82" t="s">
        <v>28</v>
      </c>
      <c r="D1301" s="83">
        <f>SUMIFS(D1302:D1496,K1302:K1496,"0",B1302:B1496,"5 1 3 4 9 12 31111*")-SUMIFS(E1302:E1496,K1302:K1496,"0",B1302:B1496,"5 1 3 4 9 12 31111*")</f>
        <v>0</v>
      </c>
      <c r="E1301" s="54"/>
      <c r="F1301" s="83">
        <f>SUMIFS(F1302:F1496,K1302:K1496,"0",B1302:B1496,"5 1 3 4 9 12 31111*")</f>
        <v>5516.15</v>
      </c>
      <c r="G1301" s="83">
        <f>SUMIFS(G1302:G1496,K1302:K1496,"0",B1302:B1496,"5 1 3 4 9 12 31111*")</f>
        <v>0</v>
      </c>
      <c r="H1301" s="83">
        <f t="shared" si="20"/>
        <v>5516.15</v>
      </c>
      <c r="I1301" s="83"/>
      <c r="K1301" s="54" t="s">
        <v>15</v>
      </c>
    </row>
    <row r="1302" spans="2:11" ht="12.75" x14ac:dyDescent="0.2">
      <c r="B1302" s="82" t="s">
        <v>8817</v>
      </c>
      <c r="C1302" s="82" t="s">
        <v>30</v>
      </c>
      <c r="D1302" s="83">
        <f>SUMIFS(D1303:D1496,K1303:K1496,"0",B1303:B1496,"5 1 3 4 9 12 31111 6*")-SUMIFS(E1303:E1496,K1303:K1496,"0",B1303:B1496,"5 1 3 4 9 12 31111 6*")</f>
        <v>0</v>
      </c>
      <c r="E1302" s="54"/>
      <c r="F1302" s="83">
        <f>SUMIFS(F1303:F1496,K1303:K1496,"0",B1303:B1496,"5 1 3 4 9 12 31111 6*")</f>
        <v>5516.15</v>
      </c>
      <c r="G1302" s="83">
        <f>SUMIFS(G1303:G1496,K1303:K1496,"0",B1303:B1496,"5 1 3 4 9 12 31111 6*")</f>
        <v>0</v>
      </c>
      <c r="H1302" s="83">
        <f t="shared" si="20"/>
        <v>5516.15</v>
      </c>
      <c r="I1302" s="83"/>
      <c r="K1302" s="54" t="s">
        <v>15</v>
      </c>
    </row>
    <row r="1303" spans="2:11" ht="16.5" x14ac:dyDescent="0.2">
      <c r="B1303" s="82" t="s">
        <v>8818</v>
      </c>
      <c r="C1303" s="82" t="s">
        <v>2284</v>
      </c>
      <c r="D1303" s="83">
        <f>SUMIFS(D1304:D1496,K1304:K1496,"0",B1304:B1496,"5 1 3 4 9 12 31111 6 M59*")-SUMIFS(E1304:E1496,K1304:K1496,"0",B1304:B1496,"5 1 3 4 9 12 31111 6 M59*")</f>
        <v>0</v>
      </c>
      <c r="E1303" s="54"/>
      <c r="F1303" s="83">
        <f>SUMIFS(F1304:F1496,K1304:K1496,"0",B1304:B1496,"5 1 3 4 9 12 31111 6 M59*")</f>
        <v>5516.15</v>
      </c>
      <c r="G1303" s="83">
        <f>SUMIFS(G1304:G1496,K1304:K1496,"0",B1304:B1496,"5 1 3 4 9 12 31111 6 M59*")</f>
        <v>0</v>
      </c>
      <c r="H1303" s="83">
        <f t="shared" si="20"/>
        <v>5516.15</v>
      </c>
      <c r="I1303" s="83"/>
      <c r="K1303" s="54" t="s">
        <v>15</v>
      </c>
    </row>
    <row r="1304" spans="2:11" ht="16.5" x14ac:dyDescent="0.2">
      <c r="B1304" s="82" t="s">
        <v>8819</v>
      </c>
      <c r="C1304" s="82" t="s">
        <v>1044</v>
      </c>
      <c r="D1304" s="83">
        <f>SUMIFS(D1305:D1496,K1305:K1496,"0",B1305:B1496,"5 1 3 4 9 12 31111 6 M59 19000*")-SUMIFS(E1305:E1496,K1305:K1496,"0",B1305:B1496,"5 1 3 4 9 12 31111 6 M59 19000*")</f>
        <v>0</v>
      </c>
      <c r="E1304" s="54"/>
      <c r="F1304" s="83">
        <f>SUMIFS(F1305:F1496,K1305:K1496,"0",B1305:B1496,"5 1 3 4 9 12 31111 6 M59 19000*")</f>
        <v>5516.15</v>
      </c>
      <c r="G1304" s="83">
        <f>SUMIFS(G1305:G1496,K1305:K1496,"0",B1305:B1496,"5 1 3 4 9 12 31111 6 M59 19000*")</f>
        <v>0</v>
      </c>
      <c r="H1304" s="83">
        <f t="shared" si="20"/>
        <v>5516.15</v>
      </c>
      <c r="I1304" s="83"/>
      <c r="K1304" s="54" t="s">
        <v>15</v>
      </c>
    </row>
    <row r="1305" spans="2:11" ht="16.5" x14ac:dyDescent="0.2">
      <c r="B1305" s="82" t="s">
        <v>8831</v>
      </c>
      <c r="C1305" s="82" t="s">
        <v>8599</v>
      </c>
      <c r="D1305" s="83">
        <f>SUMIFS(D1306:D1496,K1306:K1496,"0",B1306:B1496,"5 1 3 4 9 12 31111 6 M59 19000 000271*")-SUMIFS(E1306:E1496,K1306:K1496,"0",B1306:B1496,"5 1 3 4 9 12 31111 6 M59 19000 000271*")</f>
        <v>0</v>
      </c>
      <c r="E1305" s="54"/>
      <c r="F1305" s="83">
        <f>SUMIFS(F1306:F1496,K1306:K1496,"0",B1306:B1496,"5 1 3 4 9 12 31111 6 M59 19000 000271*")</f>
        <v>5516.15</v>
      </c>
      <c r="G1305" s="83">
        <f>SUMIFS(G1306:G1496,K1306:K1496,"0",B1306:B1496,"5 1 3 4 9 12 31111 6 M59 19000 000271*")</f>
        <v>0</v>
      </c>
      <c r="H1305" s="83">
        <f t="shared" si="20"/>
        <v>5516.15</v>
      </c>
      <c r="I1305" s="83"/>
      <c r="K1305" s="54" t="s">
        <v>15</v>
      </c>
    </row>
    <row r="1306" spans="2:11" ht="24.75" x14ac:dyDescent="0.2">
      <c r="B1306" s="82" t="s">
        <v>8832</v>
      </c>
      <c r="C1306" s="82" t="s">
        <v>8601</v>
      </c>
      <c r="D1306" s="83">
        <f>SUMIFS(D1307:D1496,K1307:K1496,"0",B1307:B1496,"5 1 3 4 9 12 31111 6 M59 19000 000271 0000F*")-SUMIFS(E1307:E1496,K1307:K1496,"0",B1307:B1496,"5 1 3 4 9 12 31111 6 M59 19000 000271 0000F*")</f>
        <v>0</v>
      </c>
      <c r="E1306" s="54"/>
      <c r="F1306" s="83">
        <f>SUMIFS(F1307:F1496,K1307:K1496,"0",B1307:B1496,"5 1 3 4 9 12 31111 6 M59 19000 000271 0000F*")</f>
        <v>5516.15</v>
      </c>
      <c r="G1306" s="83">
        <f>SUMIFS(G1307:G1496,K1307:K1496,"0",B1307:B1496,"5 1 3 4 9 12 31111 6 M59 19000 000271 0000F*")</f>
        <v>0</v>
      </c>
      <c r="H1306" s="83">
        <f t="shared" si="20"/>
        <v>5516.15</v>
      </c>
      <c r="I1306" s="83"/>
      <c r="K1306" s="54" t="s">
        <v>15</v>
      </c>
    </row>
    <row r="1307" spans="2:11" ht="24.75" x14ac:dyDescent="0.2">
      <c r="B1307" s="82" t="s">
        <v>8833</v>
      </c>
      <c r="C1307" s="82" t="s">
        <v>282</v>
      </c>
      <c r="D1307" s="83">
        <f>SUMIFS(D1308:D1496,K1308:K1496,"0",B1308:B1496,"5 1 3 4 9 12 31111 6 M59 19000 000271 0000F 00001*")-SUMIFS(E1308:E1496,K1308:K1496,"0",B1308:B1496,"5 1 3 4 9 12 31111 6 M59 19000 000271 0000F 00001*")</f>
        <v>0</v>
      </c>
      <c r="E1307" s="54"/>
      <c r="F1307" s="83">
        <f>SUMIFS(F1308:F1496,K1308:K1496,"0",B1308:B1496,"5 1 3 4 9 12 31111 6 M59 19000 000271 0000F 00001*")</f>
        <v>5516.15</v>
      </c>
      <c r="G1307" s="83">
        <f>SUMIFS(G1308:G1496,K1308:K1496,"0",B1308:B1496,"5 1 3 4 9 12 31111 6 M59 19000 000271 0000F 00001*")</f>
        <v>0</v>
      </c>
      <c r="H1307" s="83">
        <f t="shared" si="20"/>
        <v>5516.15</v>
      </c>
      <c r="I1307" s="83"/>
      <c r="K1307" s="54" t="s">
        <v>15</v>
      </c>
    </row>
    <row r="1308" spans="2:11" ht="24.75" x14ac:dyDescent="0.2">
      <c r="B1308" s="82" t="s">
        <v>8834</v>
      </c>
      <c r="C1308" s="82" t="s">
        <v>8824</v>
      </c>
      <c r="D1308" s="83">
        <f>SUMIFS(D1309:D1496,K1309:K1496,"0",B1309:B1496,"5 1 3 4 9 12 31111 6 M59 19000 000271 0000F 00001 00349*")-SUMIFS(E1309:E1496,K1309:K1496,"0",B1309:B1496,"5 1 3 4 9 12 31111 6 M59 19000 000271 0000F 00001 00349*")</f>
        <v>0</v>
      </c>
      <c r="E1308" s="54"/>
      <c r="F1308" s="83">
        <f>SUMIFS(F1309:F1496,K1309:K1496,"0",B1309:B1496,"5 1 3 4 9 12 31111 6 M59 19000 000271 0000F 00001 00349*")</f>
        <v>5516.15</v>
      </c>
      <c r="G1308" s="83">
        <f>SUMIFS(G1309:G1496,K1309:K1496,"0",B1309:B1496,"5 1 3 4 9 12 31111 6 M59 19000 000271 0000F 00001 00349*")</f>
        <v>0</v>
      </c>
      <c r="H1308" s="83">
        <f t="shared" si="20"/>
        <v>5516.15</v>
      </c>
      <c r="I1308" s="83"/>
      <c r="K1308" s="54" t="s">
        <v>15</v>
      </c>
    </row>
    <row r="1309" spans="2:11" ht="33" x14ac:dyDescent="0.2">
      <c r="B1309" s="82" t="s">
        <v>8835</v>
      </c>
      <c r="C1309" s="82" t="s">
        <v>656</v>
      </c>
      <c r="D1309" s="83">
        <f>SUMIFS(D1310:D1496,K1310:K1496,"0",B1310:B1496,"5 1 3 4 9 12 31111 6 M59 19000 000271 0000F 00001 00349 025*")-SUMIFS(E1310:E1496,K1310:K1496,"0",B1310:B1496,"5 1 3 4 9 12 31111 6 M59 19000 000271 0000F 00001 00349 025*")</f>
        <v>0</v>
      </c>
      <c r="E1309" s="54"/>
      <c r="F1309" s="83">
        <f>SUMIFS(F1310:F1496,K1310:K1496,"0",B1310:B1496,"5 1 3 4 9 12 31111 6 M59 19000 000271 0000F 00001 00349 025*")</f>
        <v>5516.15</v>
      </c>
      <c r="G1309" s="83">
        <f>SUMIFS(G1310:G1496,K1310:K1496,"0",B1310:B1496,"5 1 3 4 9 12 31111 6 M59 19000 000271 0000F 00001 00349 025*")</f>
        <v>0</v>
      </c>
      <c r="H1309" s="83">
        <f t="shared" si="20"/>
        <v>5516.15</v>
      </c>
      <c r="I1309" s="83"/>
      <c r="K1309" s="54" t="s">
        <v>15</v>
      </c>
    </row>
    <row r="1310" spans="2:11" ht="33" x14ac:dyDescent="0.2">
      <c r="B1310" s="82" t="s">
        <v>8836</v>
      </c>
      <c r="C1310" s="82" t="s">
        <v>5830</v>
      </c>
      <c r="D1310" s="83">
        <f>SUMIFS(D1311:D1496,K1311:K1496,"0",B1311:B1496,"5 1 3 4 9 12 31111 6 M59 19000 000271 0000F 00001 00349 025 2112000*")-SUMIFS(E1311:E1496,K1311:K1496,"0",B1311:B1496,"5 1 3 4 9 12 31111 6 M59 19000 000271 0000F 00001 00349 025 2112000*")</f>
        <v>0</v>
      </c>
      <c r="E1310" s="54"/>
      <c r="F1310" s="83">
        <f>SUMIFS(F1311:F1496,K1311:K1496,"0",B1311:B1496,"5 1 3 4 9 12 31111 6 M59 19000 000271 0000F 00001 00349 025 2112000*")</f>
        <v>5516.15</v>
      </c>
      <c r="G1310" s="83">
        <f>SUMIFS(G1311:G1496,K1311:K1496,"0",B1311:B1496,"5 1 3 4 9 12 31111 6 M59 19000 000271 0000F 00001 00349 025 2112000*")</f>
        <v>0</v>
      </c>
      <c r="H1310" s="83">
        <f t="shared" si="20"/>
        <v>5516.15</v>
      </c>
      <c r="I1310" s="83"/>
      <c r="K1310" s="54" t="s">
        <v>15</v>
      </c>
    </row>
    <row r="1311" spans="2:11" ht="33" x14ac:dyDescent="0.2">
      <c r="B1311" s="82" t="s">
        <v>8837</v>
      </c>
      <c r="C1311" s="82" t="s">
        <v>660</v>
      </c>
      <c r="D1311" s="83">
        <f>SUMIFS(D1312:D1496,K1312:K1496,"0",B1312:B1496,"5 1 3 4 9 12 31111 6 M59 19000 000271 0000F 00001 00349 025 2112000 2024*")-SUMIFS(E1312:E1496,K1312:K1496,"0",B1312:B1496,"5 1 3 4 9 12 31111 6 M59 19000 000271 0000F 00001 00349 025 2112000 2024*")</f>
        <v>0</v>
      </c>
      <c r="E1311" s="54"/>
      <c r="F1311" s="83">
        <f>SUMIFS(F1312:F1496,K1312:K1496,"0",B1312:B1496,"5 1 3 4 9 12 31111 6 M59 19000 000271 0000F 00001 00349 025 2112000 2024*")</f>
        <v>5516.15</v>
      </c>
      <c r="G1311" s="83">
        <f>SUMIFS(G1312:G1496,K1312:K1496,"0",B1312:B1496,"5 1 3 4 9 12 31111 6 M59 19000 000271 0000F 00001 00349 025 2112000 2024*")</f>
        <v>0</v>
      </c>
      <c r="H1311" s="83">
        <f t="shared" si="20"/>
        <v>5516.15</v>
      </c>
      <c r="I1311" s="83"/>
      <c r="K1311" s="54" t="s">
        <v>15</v>
      </c>
    </row>
    <row r="1312" spans="2:11" ht="41.25" x14ac:dyDescent="0.2">
      <c r="B1312" s="82" t="s">
        <v>8838</v>
      </c>
      <c r="C1312" s="82" t="s">
        <v>8608</v>
      </c>
      <c r="D1312" s="83">
        <f>SUMIFS(D1313:D1496,K1313:K1496,"0",B1313:B1496,"5 1 3 4 9 12 31111 6 M59 19000 000271 0000F 00001 00349 025 2112000 2024 CP4TM511*")-SUMIFS(E1313:E1496,K1313:K1496,"0",B1313:B1496,"5 1 3 4 9 12 31111 6 M59 19000 000271 0000F 00001 00349 025 2112000 2024 CP4TM511*")</f>
        <v>0</v>
      </c>
      <c r="E1312" s="54"/>
      <c r="F1312" s="83">
        <f>SUMIFS(F1313:F1496,K1313:K1496,"0",B1313:B1496,"5 1 3 4 9 12 31111 6 M59 19000 000271 0000F 00001 00349 025 2112000 2024 CP4TM511*")</f>
        <v>5516.15</v>
      </c>
      <c r="G1312" s="83">
        <f>SUMIFS(G1313:G1496,K1313:K1496,"0",B1313:B1496,"5 1 3 4 9 12 31111 6 M59 19000 000271 0000F 00001 00349 025 2112000 2024 CP4TM511*")</f>
        <v>0</v>
      </c>
      <c r="H1312" s="83">
        <f t="shared" si="20"/>
        <v>5516.15</v>
      </c>
      <c r="I1312" s="83"/>
      <c r="K1312" s="54" t="s">
        <v>15</v>
      </c>
    </row>
    <row r="1313" spans="2:11" ht="41.25" x14ac:dyDescent="0.2">
      <c r="B1313" s="82" t="s">
        <v>8839</v>
      </c>
      <c r="C1313" s="82" t="s">
        <v>664</v>
      </c>
      <c r="D1313" s="83">
        <f>SUMIFS(D1314:D1496,K1314:K1496,"0",B1314:B1496,"5 1 3 4 9 12 31111 6 M59 19000 000271 0000F 00001 00349 025 2112000 2024 CP4TM511 003*")-SUMIFS(E1314:E1496,K1314:K1496,"0",B1314:B1496,"5 1 3 4 9 12 31111 6 M59 19000 000271 0000F 00001 00349 025 2112000 2024 CP4TM511 003*")</f>
        <v>0</v>
      </c>
      <c r="E1313" s="54"/>
      <c r="F1313" s="83">
        <f>SUMIFS(F1314:F1496,K1314:K1496,"0",B1314:B1496,"5 1 3 4 9 12 31111 6 M59 19000 000271 0000F 00001 00349 025 2112000 2024 CP4TM511 003*")</f>
        <v>5516.15</v>
      </c>
      <c r="G1313" s="83">
        <f>SUMIFS(G1314:G1496,K1314:K1496,"0",B1314:B1496,"5 1 3 4 9 12 31111 6 M59 19000 000271 0000F 00001 00349 025 2112000 2024 CP4TM511 003*")</f>
        <v>0</v>
      </c>
      <c r="H1313" s="83">
        <f t="shared" si="20"/>
        <v>5516.15</v>
      </c>
      <c r="I1313" s="83"/>
      <c r="K1313" s="54" t="s">
        <v>15</v>
      </c>
    </row>
    <row r="1314" spans="2:11" ht="33" x14ac:dyDescent="0.2">
      <c r="B1314" s="84" t="s">
        <v>8840</v>
      </c>
      <c r="C1314" s="84" t="s">
        <v>8814</v>
      </c>
      <c r="D1314" s="85">
        <v>0</v>
      </c>
      <c r="E1314" s="85"/>
      <c r="F1314" s="85">
        <v>5516.15</v>
      </c>
      <c r="G1314" s="85">
        <v>0</v>
      </c>
      <c r="H1314" s="85">
        <f t="shared" si="20"/>
        <v>5516.15</v>
      </c>
      <c r="I1314" s="85"/>
      <c r="K1314" s="54" t="s">
        <v>38</v>
      </c>
    </row>
    <row r="1315" spans="2:11" ht="33" x14ac:dyDescent="0.2">
      <c r="B1315" s="82" t="s">
        <v>8841</v>
      </c>
      <c r="C1315" s="82" t="s">
        <v>8842</v>
      </c>
      <c r="D1315" s="83">
        <f>SUMIFS(D1316:D1496,K1316:K1496,"0",B1316:B1496,"5 1 3 5*")-SUMIFS(E1316:E1496,K1316:K1496,"0",B1316:B1496,"5 1 3 5*")</f>
        <v>0</v>
      </c>
      <c r="E1315" s="54"/>
      <c r="F1315" s="83">
        <f>SUMIFS(F1316:F1496,K1316:K1496,"0",B1316:B1496,"5 1 3 5*")</f>
        <v>366215.19</v>
      </c>
      <c r="G1315" s="83">
        <f>SUMIFS(G1316:G1496,K1316:K1496,"0",B1316:B1496,"5 1 3 5*")</f>
        <v>0</v>
      </c>
      <c r="H1315" s="83">
        <f t="shared" ref="H1315:H1378" si="21">D1315 + F1315 - G1315</f>
        <v>366215.19</v>
      </c>
      <c r="I1315" s="83"/>
      <c r="K1315" s="54" t="s">
        <v>15</v>
      </c>
    </row>
    <row r="1316" spans="2:11" ht="24.75" x14ac:dyDescent="0.2">
      <c r="B1316" s="82" t="s">
        <v>8881</v>
      </c>
      <c r="C1316" s="82" t="s">
        <v>8882</v>
      </c>
      <c r="D1316" s="83">
        <f>SUMIFS(D1317:D1496,K1317:K1496,"0",B1317:B1496,"5 1 3 5 5*")-SUMIFS(E1317:E1496,K1317:K1496,"0",B1317:B1496,"5 1 3 5 5*")</f>
        <v>0</v>
      </c>
      <c r="E1316" s="54"/>
      <c r="F1316" s="83">
        <f>SUMIFS(F1317:F1496,K1317:K1496,"0",B1317:B1496,"5 1 3 5 5*")</f>
        <v>366215.19</v>
      </c>
      <c r="G1316" s="83">
        <f>SUMIFS(G1317:G1496,K1317:K1496,"0",B1317:B1496,"5 1 3 5 5*")</f>
        <v>0</v>
      </c>
      <c r="H1316" s="83">
        <f t="shared" si="21"/>
        <v>366215.19</v>
      </c>
      <c r="I1316" s="83"/>
      <c r="K1316" s="54" t="s">
        <v>15</v>
      </c>
    </row>
    <row r="1317" spans="2:11" ht="12.75" x14ac:dyDescent="0.2">
      <c r="B1317" s="82" t="s">
        <v>8883</v>
      </c>
      <c r="C1317" s="82" t="s">
        <v>26</v>
      </c>
      <c r="D1317" s="83">
        <f>SUMIFS(D1318:D1496,K1318:K1496,"0",B1318:B1496,"5 1 3 5 5 12*")-SUMIFS(E1318:E1496,K1318:K1496,"0",B1318:B1496,"5 1 3 5 5 12*")</f>
        <v>0</v>
      </c>
      <c r="E1317" s="54"/>
      <c r="F1317" s="83">
        <f>SUMIFS(F1318:F1496,K1318:K1496,"0",B1318:B1496,"5 1 3 5 5 12*")</f>
        <v>366215.19</v>
      </c>
      <c r="G1317" s="83">
        <f>SUMIFS(G1318:G1496,K1318:K1496,"0",B1318:B1496,"5 1 3 5 5 12*")</f>
        <v>0</v>
      </c>
      <c r="H1317" s="83">
        <f t="shared" si="21"/>
        <v>366215.19</v>
      </c>
      <c r="I1317" s="83"/>
      <c r="K1317" s="54" t="s">
        <v>15</v>
      </c>
    </row>
    <row r="1318" spans="2:11" ht="16.5" x14ac:dyDescent="0.2">
      <c r="B1318" s="82" t="s">
        <v>8884</v>
      </c>
      <c r="C1318" s="82" t="s">
        <v>28</v>
      </c>
      <c r="D1318" s="83">
        <f>SUMIFS(D1319:D1496,K1319:K1496,"0",B1319:B1496,"5 1 3 5 5 12 31111*")-SUMIFS(E1319:E1496,K1319:K1496,"0",B1319:B1496,"5 1 3 5 5 12 31111*")</f>
        <v>0</v>
      </c>
      <c r="E1318" s="54"/>
      <c r="F1318" s="83">
        <f>SUMIFS(F1319:F1496,K1319:K1496,"0",B1319:B1496,"5 1 3 5 5 12 31111*")</f>
        <v>366215.19</v>
      </c>
      <c r="G1318" s="83">
        <f>SUMIFS(G1319:G1496,K1319:K1496,"0",B1319:B1496,"5 1 3 5 5 12 31111*")</f>
        <v>0</v>
      </c>
      <c r="H1318" s="83">
        <f t="shared" si="21"/>
        <v>366215.19</v>
      </c>
      <c r="I1318" s="83"/>
      <c r="K1318" s="54" t="s">
        <v>15</v>
      </c>
    </row>
    <row r="1319" spans="2:11" ht="12.75" x14ac:dyDescent="0.2">
      <c r="B1319" s="82" t="s">
        <v>8885</v>
      </c>
      <c r="C1319" s="82" t="s">
        <v>30</v>
      </c>
      <c r="D1319" s="83">
        <f>SUMIFS(D1320:D1496,K1320:K1496,"0",B1320:B1496,"5 1 3 5 5 12 31111 6*")-SUMIFS(E1320:E1496,K1320:K1496,"0",B1320:B1496,"5 1 3 5 5 12 31111 6*")</f>
        <v>0</v>
      </c>
      <c r="E1319" s="54"/>
      <c r="F1319" s="83">
        <f>SUMIFS(F1320:F1496,K1320:K1496,"0",B1320:B1496,"5 1 3 5 5 12 31111 6*")</f>
        <v>366215.19</v>
      </c>
      <c r="G1319" s="83">
        <f>SUMIFS(G1320:G1496,K1320:K1496,"0",B1320:B1496,"5 1 3 5 5 12 31111 6*")</f>
        <v>0</v>
      </c>
      <c r="H1319" s="83">
        <f t="shared" si="21"/>
        <v>366215.19</v>
      </c>
      <c r="I1319" s="83"/>
      <c r="K1319" s="54" t="s">
        <v>15</v>
      </c>
    </row>
    <row r="1320" spans="2:11" ht="16.5" x14ac:dyDescent="0.2">
      <c r="B1320" s="82" t="s">
        <v>8886</v>
      </c>
      <c r="C1320" s="82" t="s">
        <v>2284</v>
      </c>
      <c r="D1320" s="83">
        <f>SUMIFS(D1321:D1496,K1321:K1496,"0",B1321:B1496,"5 1 3 5 5 12 31111 6 M59*")-SUMIFS(E1321:E1496,K1321:K1496,"0",B1321:B1496,"5 1 3 5 5 12 31111 6 M59*")</f>
        <v>0</v>
      </c>
      <c r="E1320" s="54"/>
      <c r="F1320" s="83">
        <f>SUMIFS(F1321:F1496,K1321:K1496,"0",B1321:B1496,"5 1 3 5 5 12 31111 6 M59*")</f>
        <v>366215.19</v>
      </c>
      <c r="G1320" s="83">
        <f>SUMIFS(G1321:G1496,K1321:K1496,"0",B1321:B1496,"5 1 3 5 5 12 31111 6 M59*")</f>
        <v>0</v>
      </c>
      <c r="H1320" s="83">
        <f t="shared" si="21"/>
        <v>366215.19</v>
      </c>
      <c r="I1320" s="83"/>
      <c r="K1320" s="54" t="s">
        <v>15</v>
      </c>
    </row>
    <row r="1321" spans="2:11" ht="16.5" x14ac:dyDescent="0.2">
      <c r="B1321" s="82" t="s">
        <v>8899</v>
      </c>
      <c r="C1321" s="82" t="s">
        <v>1092</v>
      </c>
      <c r="D1321" s="83">
        <f>SUMIFS(D1322:D1496,K1322:K1496,"0",B1322:B1496,"5 1 3 5 5 12 31111 6 M59 40000*")-SUMIFS(E1322:E1496,K1322:K1496,"0",B1322:B1496,"5 1 3 5 5 12 31111 6 M59 40000*")</f>
        <v>0</v>
      </c>
      <c r="E1321" s="54"/>
      <c r="F1321" s="83">
        <f>SUMIFS(F1322:F1496,K1322:K1496,"0",B1322:B1496,"5 1 3 5 5 12 31111 6 M59 40000*")</f>
        <v>120000</v>
      </c>
      <c r="G1321" s="83">
        <f>SUMIFS(G1322:G1496,K1322:K1496,"0",B1322:B1496,"5 1 3 5 5 12 31111 6 M59 40000*")</f>
        <v>0</v>
      </c>
      <c r="H1321" s="83">
        <f t="shared" si="21"/>
        <v>120000</v>
      </c>
      <c r="I1321" s="83"/>
      <c r="K1321" s="54" t="s">
        <v>15</v>
      </c>
    </row>
    <row r="1322" spans="2:11" ht="16.5" x14ac:dyDescent="0.2">
      <c r="B1322" s="82" t="s">
        <v>8900</v>
      </c>
      <c r="C1322" s="82" t="s">
        <v>1094</v>
      </c>
      <c r="D1322" s="83">
        <f>SUMIFS(D1323:D1496,K1323:K1496,"0",B1323:B1496,"5 1 3 5 5 12 31111 6 M59 40000 000161*")-SUMIFS(E1323:E1496,K1323:K1496,"0",B1323:B1496,"5 1 3 5 5 12 31111 6 M59 40000 000161*")</f>
        <v>0</v>
      </c>
      <c r="E1322" s="54"/>
      <c r="F1322" s="83">
        <f>SUMIFS(F1323:F1496,K1323:K1496,"0",B1323:B1496,"5 1 3 5 5 12 31111 6 M59 40000 000161*")</f>
        <v>120000</v>
      </c>
      <c r="G1322" s="83">
        <f>SUMIFS(G1323:G1496,K1323:K1496,"0",B1323:B1496,"5 1 3 5 5 12 31111 6 M59 40000 000161*")</f>
        <v>0</v>
      </c>
      <c r="H1322" s="83">
        <f t="shared" si="21"/>
        <v>120000</v>
      </c>
      <c r="I1322" s="83"/>
      <c r="K1322" s="54" t="s">
        <v>15</v>
      </c>
    </row>
    <row r="1323" spans="2:11" ht="24.75" x14ac:dyDescent="0.2">
      <c r="B1323" s="82" t="s">
        <v>8901</v>
      </c>
      <c r="C1323" s="82" t="s">
        <v>1065</v>
      </c>
      <c r="D1323" s="83">
        <f>SUMIFS(D1324:D1496,K1324:K1496,"0",B1324:B1496,"5 1 3 5 5 12 31111 6 M59 40000 000161 0000E*")-SUMIFS(E1324:E1496,K1324:K1496,"0",B1324:B1496,"5 1 3 5 5 12 31111 6 M59 40000 000161 0000E*")</f>
        <v>0</v>
      </c>
      <c r="E1323" s="54"/>
      <c r="F1323" s="83">
        <f>SUMIFS(F1324:F1496,K1324:K1496,"0",B1324:B1496,"5 1 3 5 5 12 31111 6 M59 40000 000161 0000E*")</f>
        <v>120000</v>
      </c>
      <c r="G1323" s="83">
        <f>SUMIFS(G1324:G1496,K1324:K1496,"0",B1324:B1496,"5 1 3 5 5 12 31111 6 M59 40000 000161 0000E*")</f>
        <v>0</v>
      </c>
      <c r="H1323" s="83">
        <f t="shared" si="21"/>
        <v>120000</v>
      </c>
      <c r="I1323" s="83"/>
      <c r="K1323" s="54" t="s">
        <v>15</v>
      </c>
    </row>
    <row r="1324" spans="2:11" ht="24.75" x14ac:dyDescent="0.2">
      <c r="B1324" s="82" t="s">
        <v>8902</v>
      </c>
      <c r="C1324" s="82" t="s">
        <v>282</v>
      </c>
      <c r="D1324" s="83">
        <f>SUMIFS(D1325:D1496,K1325:K1496,"0",B1325:B1496,"5 1 3 5 5 12 31111 6 M59 40000 000161 0000E 00001*")-SUMIFS(E1325:E1496,K1325:K1496,"0",B1325:B1496,"5 1 3 5 5 12 31111 6 M59 40000 000161 0000E 00001*")</f>
        <v>0</v>
      </c>
      <c r="E1324" s="54"/>
      <c r="F1324" s="83">
        <f>SUMIFS(F1325:F1496,K1325:K1496,"0",B1325:B1496,"5 1 3 5 5 12 31111 6 M59 40000 000161 0000E 00001*")</f>
        <v>120000</v>
      </c>
      <c r="G1324" s="83">
        <f>SUMIFS(G1325:G1496,K1325:K1496,"0",B1325:B1496,"5 1 3 5 5 12 31111 6 M59 40000 000161 0000E 00001*")</f>
        <v>0</v>
      </c>
      <c r="H1324" s="83">
        <f t="shared" si="21"/>
        <v>120000</v>
      </c>
      <c r="I1324" s="83"/>
      <c r="K1324" s="54" t="s">
        <v>15</v>
      </c>
    </row>
    <row r="1325" spans="2:11" ht="24.75" x14ac:dyDescent="0.2">
      <c r="B1325" s="82" t="s">
        <v>8903</v>
      </c>
      <c r="C1325" s="82" t="s">
        <v>8892</v>
      </c>
      <c r="D1325" s="83">
        <f>SUMIFS(D1326:D1496,K1326:K1496,"0",B1326:B1496,"5 1 3 5 5 12 31111 6 M59 40000 000161 0000E 00001 00355*")-SUMIFS(E1326:E1496,K1326:K1496,"0",B1326:B1496,"5 1 3 5 5 12 31111 6 M59 40000 000161 0000E 00001 00355*")</f>
        <v>0</v>
      </c>
      <c r="E1325" s="54"/>
      <c r="F1325" s="83">
        <f>SUMIFS(F1326:F1496,K1326:K1496,"0",B1326:B1496,"5 1 3 5 5 12 31111 6 M59 40000 000161 0000E 00001 00355*")</f>
        <v>120000</v>
      </c>
      <c r="G1325" s="83">
        <f>SUMIFS(G1326:G1496,K1326:K1496,"0",B1326:B1496,"5 1 3 5 5 12 31111 6 M59 40000 000161 0000E 00001 00355*")</f>
        <v>0</v>
      </c>
      <c r="H1325" s="83">
        <f t="shared" si="21"/>
        <v>120000</v>
      </c>
      <c r="I1325" s="83"/>
      <c r="K1325" s="54" t="s">
        <v>15</v>
      </c>
    </row>
    <row r="1326" spans="2:11" ht="33" x14ac:dyDescent="0.2">
      <c r="B1326" s="82" t="s">
        <v>8904</v>
      </c>
      <c r="C1326" s="82" t="s">
        <v>656</v>
      </c>
      <c r="D1326" s="83">
        <f>SUMIFS(D1327:D1496,K1327:K1496,"0",B1327:B1496,"5 1 3 5 5 12 31111 6 M59 40000 000161 0000E 00001 00355 025*")-SUMIFS(E1327:E1496,K1327:K1496,"0",B1327:B1496,"5 1 3 5 5 12 31111 6 M59 40000 000161 0000E 00001 00355 025*")</f>
        <v>0</v>
      </c>
      <c r="E1326" s="54"/>
      <c r="F1326" s="83">
        <f>SUMIFS(F1327:F1496,K1327:K1496,"0",B1327:B1496,"5 1 3 5 5 12 31111 6 M59 40000 000161 0000E 00001 00355 025*")</f>
        <v>120000</v>
      </c>
      <c r="G1326" s="83">
        <f>SUMIFS(G1327:G1496,K1327:K1496,"0",B1327:B1496,"5 1 3 5 5 12 31111 6 M59 40000 000161 0000E 00001 00355 025*")</f>
        <v>0</v>
      </c>
      <c r="H1326" s="83">
        <f t="shared" si="21"/>
        <v>120000</v>
      </c>
      <c r="I1326" s="83"/>
      <c r="K1326" s="54" t="s">
        <v>15</v>
      </c>
    </row>
    <row r="1327" spans="2:11" ht="33" x14ac:dyDescent="0.2">
      <c r="B1327" s="82" t="s">
        <v>8905</v>
      </c>
      <c r="C1327" s="82" t="s">
        <v>5830</v>
      </c>
      <c r="D1327" s="83">
        <f>SUMIFS(D1328:D1496,K1328:K1496,"0",B1328:B1496,"5 1 3 5 5 12 31111 6 M59 40000 000161 0000E 00001 00355 025 2112000*")-SUMIFS(E1328:E1496,K1328:K1496,"0",B1328:B1496,"5 1 3 5 5 12 31111 6 M59 40000 000161 0000E 00001 00355 025 2112000*")</f>
        <v>0</v>
      </c>
      <c r="E1327" s="54"/>
      <c r="F1327" s="83">
        <f>SUMIFS(F1328:F1496,K1328:K1496,"0",B1328:B1496,"5 1 3 5 5 12 31111 6 M59 40000 000161 0000E 00001 00355 025 2112000*")</f>
        <v>120000</v>
      </c>
      <c r="G1327" s="83">
        <f>SUMIFS(G1328:G1496,K1328:K1496,"0",B1328:B1496,"5 1 3 5 5 12 31111 6 M59 40000 000161 0000E 00001 00355 025 2112000*")</f>
        <v>0</v>
      </c>
      <c r="H1327" s="83">
        <f t="shared" si="21"/>
        <v>120000</v>
      </c>
      <c r="I1327" s="83"/>
      <c r="K1327" s="54" t="s">
        <v>15</v>
      </c>
    </row>
    <row r="1328" spans="2:11" ht="33" x14ac:dyDescent="0.2">
      <c r="B1328" s="82" t="s">
        <v>8906</v>
      </c>
      <c r="C1328" s="82" t="s">
        <v>660</v>
      </c>
      <c r="D1328" s="83">
        <f>SUMIFS(D1329:D1496,K1329:K1496,"0",B1329:B1496,"5 1 3 5 5 12 31111 6 M59 40000 000161 0000E 00001 00355 025 2112000 2024*")-SUMIFS(E1329:E1496,K1329:K1496,"0",B1329:B1496,"5 1 3 5 5 12 31111 6 M59 40000 000161 0000E 00001 00355 025 2112000 2024*")</f>
        <v>0</v>
      </c>
      <c r="E1328" s="54"/>
      <c r="F1328" s="83">
        <f>SUMIFS(F1329:F1496,K1329:K1496,"0",B1329:B1496,"5 1 3 5 5 12 31111 6 M59 40000 000161 0000E 00001 00355 025 2112000 2024*")</f>
        <v>120000</v>
      </c>
      <c r="G1328" s="83">
        <f>SUMIFS(G1329:G1496,K1329:K1496,"0",B1329:B1496,"5 1 3 5 5 12 31111 6 M59 40000 000161 0000E 00001 00355 025 2112000 2024*")</f>
        <v>0</v>
      </c>
      <c r="H1328" s="83">
        <f t="shared" si="21"/>
        <v>120000</v>
      </c>
      <c r="I1328" s="83"/>
      <c r="K1328" s="54" t="s">
        <v>15</v>
      </c>
    </row>
    <row r="1329" spans="2:11" ht="41.25" x14ac:dyDescent="0.2">
      <c r="B1329" s="82" t="s">
        <v>8907</v>
      </c>
      <c r="C1329" s="82" t="s">
        <v>662</v>
      </c>
      <c r="D1329" s="83">
        <f>SUMIFS(D1330:D1496,K1330:K1496,"0",B1330:B1496,"5 1 3 5 5 12 31111 6 M59 40000 000161 0000E 00001 00355 025 2112000 2024 CP4SP372*")-SUMIFS(E1330:E1496,K1330:K1496,"0",B1330:B1496,"5 1 3 5 5 12 31111 6 M59 40000 000161 0000E 00001 00355 025 2112000 2024 CP4SP372*")</f>
        <v>0</v>
      </c>
      <c r="E1329" s="54"/>
      <c r="F1329" s="83">
        <f>SUMIFS(F1330:F1496,K1330:K1496,"0",B1330:B1496,"5 1 3 5 5 12 31111 6 M59 40000 000161 0000E 00001 00355 025 2112000 2024 CP4SP372*")</f>
        <v>120000</v>
      </c>
      <c r="G1329" s="83">
        <f>SUMIFS(G1330:G1496,K1330:K1496,"0",B1330:B1496,"5 1 3 5 5 12 31111 6 M59 40000 000161 0000E 00001 00355 025 2112000 2024 CP4SP372*")</f>
        <v>0</v>
      </c>
      <c r="H1329" s="83">
        <f t="shared" si="21"/>
        <v>120000</v>
      </c>
      <c r="I1329" s="83"/>
      <c r="K1329" s="54" t="s">
        <v>15</v>
      </c>
    </row>
    <row r="1330" spans="2:11" ht="41.25" x14ac:dyDescent="0.2">
      <c r="B1330" s="82" t="s">
        <v>8908</v>
      </c>
      <c r="C1330" s="82" t="s">
        <v>664</v>
      </c>
      <c r="D1330" s="83">
        <f>SUMIFS(D1331:D1496,K1331:K1496,"0",B1331:B1496,"5 1 3 5 5 12 31111 6 M59 40000 000161 0000E 00001 00355 025 2112000 2024 CP4SP372 003*")-SUMIFS(E1331:E1496,K1331:K1496,"0",B1331:B1496,"5 1 3 5 5 12 31111 6 M59 40000 000161 0000E 00001 00355 025 2112000 2024 CP4SP372 003*")</f>
        <v>0</v>
      </c>
      <c r="E1330" s="54"/>
      <c r="F1330" s="83">
        <f>SUMIFS(F1331:F1496,K1331:K1496,"0",B1331:B1496,"5 1 3 5 5 12 31111 6 M59 40000 000161 0000E 00001 00355 025 2112000 2024 CP4SP372 003*")</f>
        <v>120000</v>
      </c>
      <c r="G1330" s="83">
        <f>SUMIFS(G1331:G1496,K1331:K1496,"0",B1331:B1496,"5 1 3 5 5 12 31111 6 M59 40000 000161 0000E 00001 00355 025 2112000 2024 CP4SP372 003*")</f>
        <v>0</v>
      </c>
      <c r="H1330" s="83">
        <f t="shared" si="21"/>
        <v>120000</v>
      </c>
      <c r="I1330" s="83"/>
      <c r="K1330" s="54" t="s">
        <v>15</v>
      </c>
    </row>
    <row r="1331" spans="2:11" ht="33" x14ac:dyDescent="0.2">
      <c r="B1331" s="84" t="s">
        <v>8909</v>
      </c>
      <c r="C1331" s="84" t="s">
        <v>8882</v>
      </c>
      <c r="D1331" s="85">
        <v>0</v>
      </c>
      <c r="E1331" s="85"/>
      <c r="F1331" s="85">
        <v>120000</v>
      </c>
      <c r="G1331" s="85">
        <v>0</v>
      </c>
      <c r="H1331" s="85">
        <f t="shared" si="21"/>
        <v>120000</v>
      </c>
      <c r="I1331" s="85"/>
      <c r="K1331" s="54" t="s">
        <v>38</v>
      </c>
    </row>
    <row r="1332" spans="2:11" ht="16.5" x14ac:dyDescent="0.2">
      <c r="B1332" s="82" t="s">
        <v>8910</v>
      </c>
      <c r="C1332" s="82" t="s">
        <v>1105</v>
      </c>
      <c r="D1332" s="83">
        <f>SUMIFS(D1333:D1496,K1333:K1496,"0",B1333:B1496,"5 1 3 5 5 12 31111 6 M59 40200*")-SUMIFS(E1333:E1496,K1333:K1496,"0",B1333:B1496,"5 1 3 5 5 12 31111 6 M59 40200*")</f>
        <v>0</v>
      </c>
      <c r="E1332" s="54"/>
      <c r="F1332" s="83">
        <f>SUMIFS(F1333:F1496,K1333:K1496,"0",B1333:B1496,"5 1 3 5 5 12 31111 6 M59 40200*")</f>
        <v>140000</v>
      </c>
      <c r="G1332" s="83">
        <f>SUMIFS(G1333:G1496,K1333:K1496,"0",B1333:B1496,"5 1 3 5 5 12 31111 6 M59 40200*")</f>
        <v>0</v>
      </c>
      <c r="H1332" s="83">
        <f t="shared" si="21"/>
        <v>140000</v>
      </c>
      <c r="I1332" s="83"/>
      <c r="K1332" s="54" t="s">
        <v>15</v>
      </c>
    </row>
    <row r="1333" spans="2:11" ht="16.5" x14ac:dyDescent="0.2">
      <c r="B1333" s="82" t="s">
        <v>8911</v>
      </c>
      <c r="C1333" s="82" t="s">
        <v>1107</v>
      </c>
      <c r="D1333" s="83">
        <f>SUMIFS(D1334:D1496,K1334:K1496,"0",B1334:B1496,"5 1 3 5 5 12 31111 6 M59 40200 000172*")-SUMIFS(E1334:E1496,K1334:K1496,"0",B1334:B1496,"5 1 3 5 5 12 31111 6 M59 40200 000172*")</f>
        <v>0</v>
      </c>
      <c r="E1333" s="54"/>
      <c r="F1333" s="83">
        <f>SUMIFS(F1334:F1496,K1334:K1496,"0",B1334:B1496,"5 1 3 5 5 12 31111 6 M59 40200 000172*")</f>
        <v>140000</v>
      </c>
      <c r="G1333" s="83">
        <f>SUMIFS(G1334:G1496,K1334:K1496,"0",B1334:B1496,"5 1 3 5 5 12 31111 6 M59 40200 000172*")</f>
        <v>0</v>
      </c>
      <c r="H1333" s="83">
        <f t="shared" si="21"/>
        <v>140000</v>
      </c>
      <c r="I1333" s="83"/>
      <c r="K1333" s="54" t="s">
        <v>15</v>
      </c>
    </row>
    <row r="1334" spans="2:11" ht="24.75" x14ac:dyDescent="0.2">
      <c r="B1334" s="82" t="s">
        <v>8912</v>
      </c>
      <c r="C1334" s="82" t="s">
        <v>650</v>
      </c>
      <c r="D1334" s="83">
        <f>SUMIFS(D1335:D1496,K1335:K1496,"0",B1335:B1496,"5 1 3 5 5 12 31111 6 M59 40200 000172 0000R*")-SUMIFS(E1335:E1496,K1335:K1496,"0",B1335:B1496,"5 1 3 5 5 12 31111 6 M59 40200 000172 0000R*")</f>
        <v>0</v>
      </c>
      <c r="E1334" s="54"/>
      <c r="F1334" s="83">
        <f>SUMIFS(F1335:F1496,K1335:K1496,"0",B1335:B1496,"5 1 3 5 5 12 31111 6 M59 40200 000172 0000R*")</f>
        <v>140000</v>
      </c>
      <c r="G1334" s="83">
        <f>SUMIFS(G1335:G1496,K1335:K1496,"0",B1335:B1496,"5 1 3 5 5 12 31111 6 M59 40200 000172 0000R*")</f>
        <v>0</v>
      </c>
      <c r="H1334" s="83">
        <f t="shared" si="21"/>
        <v>140000</v>
      </c>
      <c r="I1334" s="83"/>
      <c r="K1334" s="54" t="s">
        <v>15</v>
      </c>
    </row>
    <row r="1335" spans="2:11" ht="24.75" x14ac:dyDescent="0.2">
      <c r="B1335" s="82" t="s">
        <v>8913</v>
      </c>
      <c r="C1335" s="82" t="s">
        <v>282</v>
      </c>
      <c r="D1335" s="83">
        <f>SUMIFS(D1336:D1496,K1336:K1496,"0",B1336:B1496,"5 1 3 5 5 12 31111 6 M59 40200 000172 0000R 00001*")-SUMIFS(E1336:E1496,K1336:K1496,"0",B1336:B1496,"5 1 3 5 5 12 31111 6 M59 40200 000172 0000R 00001*")</f>
        <v>0</v>
      </c>
      <c r="E1335" s="54"/>
      <c r="F1335" s="83">
        <f>SUMIFS(F1336:F1496,K1336:K1496,"0",B1336:B1496,"5 1 3 5 5 12 31111 6 M59 40200 000172 0000R 00001*")</f>
        <v>140000</v>
      </c>
      <c r="G1335" s="83">
        <f>SUMIFS(G1336:G1496,K1336:K1496,"0",B1336:B1496,"5 1 3 5 5 12 31111 6 M59 40200 000172 0000R 00001*")</f>
        <v>0</v>
      </c>
      <c r="H1335" s="83">
        <f t="shared" si="21"/>
        <v>140000</v>
      </c>
      <c r="I1335" s="83"/>
      <c r="K1335" s="54" t="s">
        <v>15</v>
      </c>
    </row>
    <row r="1336" spans="2:11" ht="24.75" x14ac:dyDescent="0.2">
      <c r="B1336" s="82" t="s">
        <v>8914</v>
      </c>
      <c r="C1336" s="82" t="s">
        <v>8892</v>
      </c>
      <c r="D1336" s="83">
        <f>SUMIFS(D1337:D1496,K1337:K1496,"0",B1337:B1496,"5 1 3 5 5 12 31111 6 M59 40200 000172 0000R 00001 00355*")-SUMIFS(E1337:E1496,K1337:K1496,"0",B1337:B1496,"5 1 3 5 5 12 31111 6 M59 40200 000172 0000R 00001 00355*")</f>
        <v>0</v>
      </c>
      <c r="E1336" s="54"/>
      <c r="F1336" s="83">
        <f>SUMIFS(F1337:F1496,K1337:K1496,"0",B1337:B1496,"5 1 3 5 5 12 31111 6 M59 40200 000172 0000R 00001 00355*")</f>
        <v>140000</v>
      </c>
      <c r="G1336" s="83">
        <f>SUMIFS(G1337:G1496,K1337:K1496,"0",B1337:B1496,"5 1 3 5 5 12 31111 6 M59 40200 000172 0000R 00001 00355*")</f>
        <v>0</v>
      </c>
      <c r="H1336" s="83">
        <f t="shared" si="21"/>
        <v>140000</v>
      </c>
      <c r="I1336" s="83"/>
      <c r="K1336" s="54" t="s">
        <v>15</v>
      </c>
    </row>
    <row r="1337" spans="2:11" ht="33" x14ac:dyDescent="0.2">
      <c r="B1337" s="82" t="s">
        <v>8915</v>
      </c>
      <c r="C1337" s="82" t="s">
        <v>656</v>
      </c>
      <c r="D1337" s="83">
        <f>SUMIFS(D1338:D1496,K1338:K1496,"0",B1338:B1496,"5 1 3 5 5 12 31111 6 M59 40200 000172 0000R 00001 00355 025*")-SUMIFS(E1338:E1496,K1338:K1496,"0",B1338:B1496,"5 1 3 5 5 12 31111 6 M59 40200 000172 0000R 00001 00355 025*")</f>
        <v>0</v>
      </c>
      <c r="E1337" s="54"/>
      <c r="F1337" s="83">
        <f>SUMIFS(F1338:F1496,K1338:K1496,"0",B1338:B1496,"5 1 3 5 5 12 31111 6 M59 40200 000172 0000R 00001 00355 025*")</f>
        <v>140000</v>
      </c>
      <c r="G1337" s="83">
        <f>SUMIFS(G1338:G1496,K1338:K1496,"0",B1338:B1496,"5 1 3 5 5 12 31111 6 M59 40200 000172 0000R 00001 00355 025*")</f>
        <v>0</v>
      </c>
      <c r="H1337" s="83">
        <f t="shared" si="21"/>
        <v>140000</v>
      </c>
      <c r="I1337" s="83"/>
      <c r="K1337" s="54" t="s">
        <v>15</v>
      </c>
    </row>
    <row r="1338" spans="2:11" ht="33" x14ac:dyDescent="0.2">
      <c r="B1338" s="82" t="s">
        <v>8916</v>
      </c>
      <c r="C1338" s="82" t="s">
        <v>5830</v>
      </c>
      <c r="D1338" s="83">
        <f>SUMIFS(D1339:D1496,K1339:K1496,"0",B1339:B1496,"5 1 3 5 5 12 31111 6 M59 40200 000172 0000R 00001 00355 025 2112000*")-SUMIFS(E1339:E1496,K1339:K1496,"0",B1339:B1496,"5 1 3 5 5 12 31111 6 M59 40200 000172 0000R 00001 00355 025 2112000*")</f>
        <v>0</v>
      </c>
      <c r="E1338" s="54"/>
      <c r="F1338" s="83">
        <f>SUMIFS(F1339:F1496,K1339:K1496,"0",B1339:B1496,"5 1 3 5 5 12 31111 6 M59 40200 000172 0000R 00001 00355 025 2112000*")</f>
        <v>140000</v>
      </c>
      <c r="G1338" s="83">
        <f>SUMIFS(G1339:G1496,K1339:K1496,"0",B1339:B1496,"5 1 3 5 5 12 31111 6 M59 40200 000172 0000R 00001 00355 025 2112000*")</f>
        <v>0</v>
      </c>
      <c r="H1338" s="83">
        <f t="shared" si="21"/>
        <v>140000</v>
      </c>
      <c r="I1338" s="83"/>
      <c r="K1338" s="54" t="s">
        <v>15</v>
      </c>
    </row>
    <row r="1339" spans="2:11" ht="33" x14ac:dyDescent="0.2">
      <c r="B1339" s="82" t="s">
        <v>8917</v>
      </c>
      <c r="C1339" s="82" t="s">
        <v>660</v>
      </c>
      <c r="D1339" s="83">
        <f>SUMIFS(D1340:D1496,K1340:K1496,"0",B1340:B1496,"5 1 3 5 5 12 31111 6 M59 40200 000172 0000R 00001 00355 025 2112000 2024*")-SUMIFS(E1340:E1496,K1340:K1496,"0",B1340:B1496,"5 1 3 5 5 12 31111 6 M59 40200 000172 0000R 00001 00355 025 2112000 2024*")</f>
        <v>0</v>
      </c>
      <c r="E1339" s="54"/>
      <c r="F1339" s="83">
        <f>SUMIFS(F1340:F1496,K1340:K1496,"0",B1340:B1496,"5 1 3 5 5 12 31111 6 M59 40200 000172 0000R 00001 00355 025 2112000 2024*")</f>
        <v>140000</v>
      </c>
      <c r="G1339" s="83">
        <f>SUMIFS(G1340:G1496,K1340:K1496,"0",B1340:B1496,"5 1 3 5 5 12 31111 6 M59 40200 000172 0000R 00001 00355 025 2112000 2024*")</f>
        <v>0</v>
      </c>
      <c r="H1339" s="83">
        <f t="shared" si="21"/>
        <v>140000</v>
      </c>
      <c r="I1339" s="83"/>
      <c r="K1339" s="54" t="s">
        <v>15</v>
      </c>
    </row>
    <row r="1340" spans="2:11" ht="41.25" x14ac:dyDescent="0.2">
      <c r="B1340" s="82" t="s">
        <v>8918</v>
      </c>
      <c r="C1340" s="82" t="s">
        <v>1056</v>
      </c>
      <c r="D1340" s="83">
        <f>SUMIFS(D1341:D1496,K1341:K1496,"0",B1341:B1496,"5 1 3 5 5 12 31111 6 M59 40200 000172 0000R 00001 00355 025 2112000 2024 CP4PC370*")-SUMIFS(E1341:E1496,K1341:K1496,"0",B1341:B1496,"5 1 3 5 5 12 31111 6 M59 40200 000172 0000R 00001 00355 025 2112000 2024 CP4PC370*")</f>
        <v>0</v>
      </c>
      <c r="E1340" s="54"/>
      <c r="F1340" s="83">
        <f>SUMIFS(F1341:F1496,K1341:K1496,"0",B1341:B1496,"5 1 3 5 5 12 31111 6 M59 40200 000172 0000R 00001 00355 025 2112000 2024 CP4PC370*")</f>
        <v>140000</v>
      </c>
      <c r="G1340" s="83">
        <f>SUMIFS(G1341:G1496,K1341:K1496,"0",B1341:B1496,"5 1 3 5 5 12 31111 6 M59 40200 000172 0000R 00001 00355 025 2112000 2024 CP4PC370*")</f>
        <v>0</v>
      </c>
      <c r="H1340" s="83">
        <f t="shared" si="21"/>
        <v>140000</v>
      </c>
      <c r="I1340" s="83"/>
      <c r="K1340" s="54" t="s">
        <v>15</v>
      </c>
    </row>
    <row r="1341" spans="2:11" ht="41.25" x14ac:dyDescent="0.2">
      <c r="B1341" s="82" t="s">
        <v>8919</v>
      </c>
      <c r="C1341" s="82" t="s">
        <v>664</v>
      </c>
      <c r="D1341" s="83">
        <f>SUMIFS(D1342:D1496,K1342:K1496,"0",B1342:B1496,"5 1 3 5 5 12 31111 6 M59 40200 000172 0000R 00001 00355 025 2112000 2024 CP4PC370 003*")-SUMIFS(E1342:E1496,K1342:K1496,"0",B1342:B1496,"5 1 3 5 5 12 31111 6 M59 40200 000172 0000R 00001 00355 025 2112000 2024 CP4PC370 003*")</f>
        <v>0</v>
      </c>
      <c r="E1341" s="54"/>
      <c r="F1341" s="83">
        <f>SUMIFS(F1342:F1496,K1342:K1496,"0",B1342:B1496,"5 1 3 5 5 12 31111 6 M59 40200 000172 0000R 00001 00355 025 2112000 2024 CP4PC370 003*")</f>
        <v>140000</v>
      </c>
      <c r="G1341" s="83">
        <f>SUMIFS(G1342:G1496,K1342:K1496,"0",B1342:B1496,"5 1 3 5 5 12 31111 6 M59 40200 000172 0000R 00001 00355 025 2112000 2024 CP4PC370 003*")</f>
        <v>0</v>
      </c>
      <c r="H1341" s="83">
        <f t="shared" si="21"/>
        <v>140000</v>
      </c>
      <c r="I1341" s="83"/>
      <c r="K1341" s="54" t="s">
        <v>15</v>
      </c>
    </row>
    <row r="1342" spans="2:11" ht="33" x14ac:dyDescent="0.2">
      <c r="B1342" s="84" t="s">
        <v>8920</v>
      </c>
      <c r="C1342" s="84" t="s">
        <v>8882</v>
      </c>
      <c r="D1342" s="85">
        <v>0</v>
      </c>
      <c r="E1342" s="85"/>
      <c r="F1342" s="85">
        <v>140000</v>
      </c>
      <c r="G1342" s="85">
        <v>0</v>
      </c>
      <c r="H1342" s="85">
        <f t="shared" si="21"/>
        <v>140000</v>
      </c>
      <c r="I1342" s="85"/>
      <c r="K1342" s="54" t="s">
        <v>38</v>
      </c>
    </row>
    <row r="1343" spans="2:11" ht="16.5" x14ac:dyDescent="0.2">
      <c r="B1343" s="82" t="s">
        <v>8921</v>
      </c>
      <c r="C1343" s="82" t="s">
        <v>3268</v>
      </c>
      <c r="D1343" s="83">
        <f>SUMIFS(D1344:D1496,K1344:K1496,"0",B1344:B1496,"5 1 3 5 5 12 31111 6 M59 40400*")-SUMIFS(E1344:E1496,K1344:K1496,"0",B1344:B1496,"5 1 3 5 5 12 31111 6 M59 40400*")</f>
        <v>0</v>
      </c>
      <c r="E1343" s="54"/>
      <c r="F1343" s="83">
        <f>SUMIFS(F1344:F1496,K1344:K1496,"0",B1344:B1496,"5 1 3 5 5 12 31111 6 M59 40400*")</f>
        <v>106215.19</v>
      </c>
      <c r="G1343" s="83">
        <f>SUMIFS(G1344:G1496,K1344:K1496,"0",B1344:B1496,"5 1 3 5 5 12 31111 6 M59 40400*")</f>
        <v>0</v>
      </c>
      <c r="H1343" s="83">
        <f t="shared" si="21"/>
        <v>106215.19</v>
      </c>
      <c r="I1343" s="83"/>
      <c r="K1343" s="54" t="s">
        <v>15</v>
      </c>
    </row>
    <row r="1344" spans="2:11" ht="16.5" x14ac:dyDescent="0.2">
      <c r="B1344" s="82" t="s">
        <v>8922</v>
      </c>
      <c r="C1344" s="82" t="s">
        <v>3270</v>
      </c>
      <c r="D1344" s="83">
        <f>SUMIFS(D1345:D1496,K1345:K1496,"0",B1345:B1496,"5 1 3 5 5 12 31111 6 M59 40400 000173*")-SUMIFS(E1345:E1496,K1345:K1496,"0",B1345:B1496,"5 1 3 5 5 12 31111 6 M59 40400 000173*")</f>
        <v>0</v>
      </c>
      <c r="E1344" s="54"/>
      <c r="F1344" s="83">
        <f>SUMIFS(F1345:F1496,K1345:K1496,"0",B1345:B1496,"5 1 3 5 5 12 31111 6 M59 40400 000173*")</f>
        <v>106215.19</v>
      </c>
      <c r="G1344" s="83">
        <f>SUMIFS(G1345:G1496,K1345:K1496,"0",B1345:B1496,"5 1 3 5 5 12 31111 6 M59 40400 000173*")</f>
        <v>0</v>
      </c>
      <c r="H1344" s="83">
        <f t="shared" si="21"/>
        <v>106215.19</v>
      </c>
      <c r="I1344" s="83"/>
      <c r="K1344" s="54" t="s">
        <v>15</v>
      </c>
    </row>
    <row r="1345" spans="2:11" ht="24.75" x14ac:dyDescent="0.2">
      <c r="B1345" s="82" t="s">
        <v>8923</v>
      </c>
      <c r="C1345" s="82" t="s">
        <v>650</v>
      </c>
      <c r="D1345" s="83">
        <f>SUMIFS(D1346:D1496,K1346:K1496,"0",B1346:B1496,"5 1 3 5 5 12 31111 6 M59 40400 000173 0000R*")-SUMIFS(E1346:E1496,K1346:K1496,"0",B1346:B1496,"5 1 3 5 5 12 31111 6 M59 40400 000173 0000R*")</f>
        <v>0</v>
      </c>
      <c r="E1345" s="54"/>
      <c r="F1345" s="83">
        <f>SUMIFS(F1346:F1496,K1346:K1496,"0",B1346:B1496,"5 1 3 5 5 12 31111 6 M59 40400 000173 0000R*")</f>
        <v>106215.19</v>
      </c>
      <c r="G1345" s="83">
        <f>SUMIFS(G1346:G1496,K1346:K1496,"0",B1346:B1496,"5 1 3 5 5 12 31111 6 M59 40400 000173 0000R*")</f>
        <v>0</v>
      </c>
      <c r="H1345" s="83">
        <f t="shared" si="21"/>
        <v>106215.19</v>
      </c>
      <c r="I1345" s="83"/>
      <c r="K1345" s="54" t="s">
        <v>15</v>
      </c>
    </row>
    <row r="1346" spans="2:11" ht="24.75" x14ac:dyDescent="0.2">
      <c r="B1346" s="82" t="s">
        <v>8924</v>
      </c>
      <c r="C1346" s="82" t="s">
        <v>282</v>
      </c>
      <c r="D1346" s="83">
        <f>SUMIFS(D1347:D1496,K1347:K1496,"0",B1347:B1496,"5 1 3 5 5 12 31111 6 M59 40400 000173 0000R 00001*")-SUMIFS(E1347:E1496,K1347:K1496,"0",B1347:B1496,"5 1 3 5 5 12 31111 6 M59 40400 000173 0000R 00001*")</f>
        <v>0</v>
      </c>
      <c r="E1346" s="54"/>
      <c r="F1346" s="83">
        <f>SUMIFS(F1347:F1496,K1347:K1496,"0",B1347:B1496,"5 1 3 5 5 12 31111 6 M59 40400 000173 0000R 00001*")</f>
        <v>106215.19</v>
      </c>
      <c r="G1346" s="83">
        <f>SUMIFS(G1347:G1496,K1347:K1496,"0",B1347:B1496,"5 1 3 5 5 12 31111 6 M59 40400 000173 0000R 00001*")</f>
        <v>0</v>
      </c>
      <c r="H1346" s="83">
        <f t="shared" si="21"/>
        <v>106215.19</v>
      </c>
      <c r="I1346" s="83"/>
      <c r="K1346" s="54" t="s">
        <v>15</v>
      </c>
    </row>
    <row r="1347" spans="2:11" ht="24.75" x14ac:dyDescent="0.2">
      <c r="B1347" s="82" t="s">
        <v>8925</v>
      </c>
      <c r="C1347" s="82" t="s">
        <v>8892</v>
      </c>
      <c r="D1347" s="83">
        <f>SUMIFS(D1348:D1496,K1348:K1496,"0",B1348:B1496,"5 1 3 5 5 12 31111 6 M59 40400 000173 0000R 00001 00355*")-SUMIFS(E1348:E1496,K1348:K1496,"0",B1348:B1496,"5 1 3 5 5 12 31111 6 M59 40400 000173 0000R 00001 00355*")</f>
        <v>0</v>
      </c>
      <c r="E1347" s="54"/>
      <c r="F1347" s="83">
        <f>SUMIFS(F1348:F1496,K1348:K1496,"0",B1348:B1496,"5 1 3 5 5 12 31111 6 M59 40400 000173 0000R 00001 00355*")</f>
        <v>106215.19</v>
      </c>
      <c r="G1347" s="83">
        <f>SUMIFS(G1348:G1496,K1348:K1496,"0",B1348:B1496,"5 1 3 5 5 12 31111 6 M59 40400 000173 0000R 00001 00355*")</f>
        <v>0</v>
      </c>
      <c r="H1347" s="83">
        <f t="shared" si="21"/>
        <v>106215.19</v>
      </c>
      <c r="I1347" s="83"/>
      <c r="K1347" s="54" t="s">
        <v>15</v>
      </c>
    </row>
    <row r="1348" spans="2:11" ht="33" x14ac:dyDescent="0.2">
      <c r="B1348" s="82" t="s">
        <v>8926</v>
      </c>
      <c r="C1348" s="82" t="s">
        <v>656</v>
      </c>
      <c r="D1348" s="83">
        <f>SUMIFS(D1349:D1496,K1349:K1496,"0",B1349:B1496,"5 1 3 5 5 12 31111 6 M59 40400 000173 0000R 00001 00355 025*")-SUMIFS(E1349:E1496,K1349:K1496,"0",B1349:B1496,"5 1 3 5 5 12 31111 6 M59 40400 000173 0000R 00001 00355 025*")</f>
        <v>0</v>
      </c>
      <c r="E1348" s="54"/>
      <c r="F1348" s="83">
        <f>SUMIFS(F1349:F1496,K1349:K1496,"0",B1349:B1496,"5 1 3 5 5 12 31111 6 M59 40400 000173 0000R 00001 00355 025*")</f>
        <v>106215.19</v>
      </c>
      <c r="G1348" s="83">
        <f>SUMIFS(G1349:G1496,K1349:K1496,"0",B1349:B1496,"5 1 3 5 5 12 31111 6 M59 40400 000173 0000R 00001 00355 025*")</f>
        <v>0</v>
      </c>
      <c r="H1348" s="83">
        <f t="shared" si="21"/>
        <v>106215.19</v>
      </c>
      <c r="I1348" s="83"/>
      <c r="K1348" s="54" t="s">
        <v>15</v>
      </c>
    </row>
    <row r="1349" spans="2:11" ht="33" x14ac:dyDescent="0.2">
      <c r="B1349" s="82" t="s">
        <v>8927</v>
      </c>
      <c r="C1349" s="82" t="s">
        <v>5830</v>
      </c>
      <c r="D1349" s="83">
        <f>SUMIFS(D1350:D1496,K1350:K1496,"0",B1350:B1496,"5 1 3 5 5 12 31111 6 M59 40400 000173 0000R 00001 00355 025 2112000*")-SUMIFS(E1350:E1496,K1350:K1496,"0",B1350:B1496,"5 1 3 5 5 12 31111 6 M59 40400 000173 0000R 00001 00355 025 2112000*")</f>
        <v>0</v>
      </c>
      <c r="E1349" s="54"/>
      <c r="F1349" s="83">
        <f>SUMIFS(F1350:F1496,K1350:K1496,"0",B1350:B1496,"5 1 3 5 5 12 31111 6 M59 40400 000173 0000R 00001 00355 025 2112000*")</f>
        <v>106215.19</v>
      </c>
      <c r="G1349" s="83">
        <f>SUMIFS(G1350:G1496,K1350:K1496,"0",B1350:B1496,"5 1 3 5 5 12 31111 6 M59 40400 000173 0000R 00001 00355 025 2112000*")</f>
        <v>0</v>
      </c>
      <c r="H1349" s="83">
        <f t="shared" si="21"/>
        <v>106215.19</v>
      </c>
      <c r="I1349" s="83"/>
      <c r="K1349" s="54" t="s">
        <v>15</v>
      </c>
    </row>
    <row r="1350" spans="2:11" ht="33" x14ac:dyDescent="0.2">
      <c r="B1350" s="82" t="s">
        <v>8928</v>
      </c>
      <c r="C1350" s="82" t="s">
        <v>660</v>
      </c>
      <c r="D1350" s="83">
        <f>SUMIFS(D1351:D1496,K1351:K1496,"0",B1351:B1496,"5 1 3 5 5 12 31111 6 M59 40400 000173 0000R 00001 00355 025 2112000 2024*")-SUMIFS(E1351:E1496,K1351:K1496,"0",B1351:B1496,"5 1 3 5 5 12 31111 6 M59 40400 000173 0000R 00001 00355 025 2112000 2024*")</f>
        <v>0</v>
      </c>
      <c r="E1350" s="54"/>
      <c r="F1350" s="83">
        <f>SUMIFS(F1351:F1496,K1351:K1496,"0",B1351:B1496,"5 1 3 5 5 12 31111 6 M59 40400 000173 0000R 00001 00355 025 2112000 2024*")</f>
        <v>106215.19</v>
      </c>
      <c r="G1350" s="83">
        <f>SUMIFS(G1351:G1496,K1351:K1496,"0",B1351:B1496,"5 1 3 5 5 12 31111 6 M59 40400 000173 0000R 00001 00355 025 2112000 2024*")</f>
        <v>0</v>
      </c>
      <c r="H1350" s="83">
        <f t="shared" si="21"/>
        <v>106215.19</v>
      </c>
      <c r="I1350" s="83"/>
      <c r="K1350" s="54" t="s">
        <v>15</v>
      </c>
    </row>
    <row r="1351" spans="2:11" ht="41.25" x14ac:dyDescent="0.2">
      <c r="B1351" s="82" t="s">
        <v>8929</v>
      </c>
      <c r="C1351" s="82" t="s">
        <v>662</v>
      </c>
      <c r="D1351" s="83">
        <f>SUMIFS(D1352:D1496,K1352:K1496,"0",B1352:B1496,"5 1 3 5 5 12 31111 6 M59 40400 000173 0000R 00001 00355 025 2112000 2024 CP4PD369*")-SUMIFS(E1352:E1496,K1352:K1496,"0",B1352:B1496,"5 1 3 5 5 12 31111 6 M59 40400 000173 0000R 00001 00355 025 2112000 2024 CP4PD369*")</f>
        <v>0</v>
      </c>
      <c r="E1351" s="54"/>
      <c r="F1351" s="83">
        <f>SUMIFS(F1352:F1496,K1352:K1496,"0",B1352:B1496,"5 1 3 5 5 12 31111 6 M59 40400 000173 0000R 00001 00355 025 2112000 2024 CP4PD369*")</f>
        <v>106215.19</v>
      </c>
      <c r="G1351" s="83">
        <f>SUMIFS(G1352:G1496,K1352:K1496,"0",B1352:B1496,"5 1 3 5 5 12 31111 6 M59 40400 000173 0000R 00001 00355 025 2112000 2024 CP4PD369*")</f>
        <v>0</v>
      </c>
      <c r="H1351" s="83">
        <f t="shared" si="21"/>
        <v>106215.19</v>
      </c>
      <c r="I1351" s="83"/>
      <c r="K1351" s="54" t="s">
        <v>15</v>
      </c>
    </row>
    <row r="1352" spans="2:11" ht="41.25" x14ac:dyDescent="0.2">
      <c r="B1352" s="82" t="s">
        <v>8930</v>
      </c>
      <c r="C1352" s="82" t="s">
        <v>664</v>
      </c>
      <c r="D1352" s="83">
        <f>SUMIFS(D1353:D1496,K1353:K1496,"0",B1353:B1496,"5 1 3 5 5 12 31111 6 M59 40400 000173 0000R 00001 00355 025 2112000 2024 CP4PD369 003*")-SUMIFS(E1353:E1496,K1353:K1496,"0",B1353:B1496,"5 1 3 5 5 12 31111 6 M59 40400 000173 0000R 00001 00355 025 2112000 2024 CP4PD369 003*")</f>
        <v>0</v>
      </c>
      <c r="E1352" s="54"/>
      <c r="F1352" s="83">
        <f>SUMIFS(F1353:F1496,K1353:K1496,"0",B1353:B1496,"5 1 3 5 5 12 31111 6 M59 40400 000173 0000R 00001 00355 025 2112000 2024 CP4PD369 003*")</f>
        <v>106215.19</v>
      </c>
      <c r="G1352" s="83">
        <f>SUMIFS(G1353:G1496,K1353:K1496,"0",B1353:B1496,"5 1 3 5 5 12 31111 6 M59 40400 000173 0000R 00001 00355 025 2112000 2024 CP4PD369 003*")</f>
        <v>0</v>
      </c>
      <c r="H1352" s="83">
        <f t="shared" si="21"/>
        <v>106215.19</v>
      </c>
      <c r="I1352" s="83"/>
      <c r="K1352" s="54" t="s">
        <v>15</v>
      </c>
    </row>
    <row r="1353" spans="2:11" ht="33" x14ac:dyDescent="0.2">
      <c r="B1353" s="84" t="s">
        <v>8931</v>
      </c>
      <c r="C1353" s="84" t="s">
        <v>8882</v>
      </c>
      <c r="D1353" s="85">
        <v>0</v>
      </c>
      <c r="E1353" s="85"/>
      <c r="F1353" s="85">
        <v>106215.19</v>
      </c>
      <c r="G1353" s="85">
        <v>0</v>
      </c>
      <c r="H1353" s="85">
        <f t="shared" si="21"/>
        <v>106215.19</v>
      </c>
      <c r="I1353" s="85"/>
      <c r="K1353" s="54" t="s">
        <v>38</v>
      </c>
    </row>
    <row r="1354" spans="2:11" ht="16.5" x14ac:dyDescent="0.2">
      <c r="B1354" s="82" t="s">
        <v>9021</v>
      </c>
      <c r="C1354" s="82" t="s">
        <v>9022</v>
      </c>
      <c r="D1354" s="83">
        <f>SUMIFS(D1355:D1496,K1355:K1496,"0",B1355:B1496,"5 1 3 7*")-SUMIFS(E1355:E1496,K1355:K1496,"0",B1355:B1496,"5 1 3 7*")</f>
        <v>0</v>
      </c>
      <c r="E1354" s="54"/>
      <c r="F1354" s="83">
        <f>SUMIFS(F1355:F1496,K1355:K1496,"0",B1355:B1496,"5 1 3 7*")</f>
        <v>54288.49</v>
      </c>
      <c r="G1354" s="83">
        <f>SUMIFS(G1355:G1496,K1355:K1496,"0",B1355:B1496,"5 1 3 7*")</f>
        <v>0</v>
      </c>
      <c r="H1354" s="83">
        <f t="shared" si="21"/>
        <v>54288.49</v>
      </c>
      <c r="I1354" s="83"/>
      <c r="K1354" s="54" t="s">
        <v>15</v>
      </c>
    </row>
    <row r="1355" spans="2:11" ht="12.75" x14ac:dyDescent="0.2">
      <c r="B1355" s="82" t="s">
        <v>9023</v>
      </c>
      <c r="C1355" s="82" t="s">
        <v>9024</v>
      </c>
      <c r="D1355" s="83">
        <f>SUMIFS(D1356:D1496,K1356:K1496,"0",B1356:B1496,"5 1 3 7 5*")-SUMIFS(E1356:E1496,K1356:K1496,"0",B1356:B1496,"5 1 3 7 5*")</f>
        <v>0</v>
      </c>
      <c r="E1355" s="54"/>
      <c r="F1355" s="83">
        <f>SUMIFS(F1356:F1496,K1356:K1496,"0",B1356:B1496,"5 1 3 7 5*")</f>
        <v>47684.5</v>
      </c>
      <c r="G1355" s="83">
        <f>SUMIFS(G1356:G1496,K1356:K1496,"0",B1356:B1496,"5 1 3 7 5*")</f>
        <v>0</v>
      </c>
      <c r="H1355" s="83">
        <f t="shared" si="21"/>
        <v>47684.5</v>
      </c>
      <c r="I1355" s="83"/>
      <c r="K1355" s="54" t="s">
        <v>15</v>
      </c>
    </row>
    <row r="1356" spans="2:11" ht="12.75" x14ac:dyDescent="0.2">
      <c r="B1356" s="82" t="s">
        <v>9025</v>
      </c>
      <c r="C1356" s="82" t="s">
        <v>26</v>
      </c>
      <c r="D1356" s="83">
        <f>SUMIFS(D1357:D1496,K1357:K1496,"0",B1357:B1496,"5 1 3 7 5 12*")-SUMIFS(E1357:E1496,K1357:K1496,"0",B1357:B1496,"5 1 3 7 5 12*")</f>
        <v>0</v>
      </c>
      <c r="E1356" s="54"/>
      <c r="F1356" s="83">
        <f>SUMIFS(F1357:F1496,K1357:K1496,"0",B1357:B1496,"5 1 3 7 5 12*")</f>
        <v>47684.5</v>
      </c>
      <c r="G1356" s="83">
        <f>SUMIFS(G1357:G1496,K1357:K1496,"0",B1357:B1496,"5 1 3 7 5 12*")</f>
        <v>0</v>
      </c>
      <c r="H1356" s="83">
        <f t="shared" si="21"/>
        <v>47684.5</v>
      </c>
      <c r="I1356" s="83"/>
      <c r="K1356" s="54" t="s">
        <v>15</v>
      </c>
    </row>
    <row r="1357" spans="2:11" ht="16.5" x14ac:dyDescent="0.2">
      <c r="B1357" s="82" t="s">
        <v>9026</v>
      </c>
      <c r="C1357" s="82" t="s">
        <v>28</v>
      </c>
      <c r="D1357" s="83">
        <f>SUMIFS(D1358:D1496,K1358:K1496,"0",B1358:B1496,"5 1 3 7 5 12 31111*")-SUMIFS(E1358:E1496,K1358:K1496,"0",B1358:B1496,"5 1 3 7 5 12 31111*")</f>
        <v>0</v>
      </c>
      <c r="E1357" s="54"/>
      <c r="F1357" s="83">
        <f>SUMIFS(F1358:F1496,K1358:K1496,"0",B1358:B1496,"5 1 3 7 5 12 31111*")</f>
        <v>47684.5</v>
      </c>
      <c r="G1357" s="83">
        <f>SUMIFS(G1358:G1496,K1358:K1496,"0",B1358:B1496,"5 1 3 7 5 12 31111*")</f>
        <v>0</v>
      </c>
      <c r="H1357" s="83">
        <f t="shared" si="21"/>
        <v>47684.5</v>
      </c>
      <c r="I1357" s="83"/>
      <c r="K1357" s="54" t="s">
        <v>15</v>
      </c>
    </row>
    <row r="1358" spans="2:11" ht="12.75" x14ac:dyDescent="0.2">
      <c r="B1358" s="82" t="s">
        <v>9027</v>
      </c>
      <c r="C1358" s="82" t="s">
        <v>30</v>
      </c>
      <c r="D1358" s="83">
        <f>SUMIFS(D1359:D1496,K1359:K1496,"0",B1359:B1496,"5 1 3 7 5 12 31111 6*")-SUMIFS(E1359:E1496,K1359:K1496,"0",B1359:B1496,"5 1 3 7 5 12 31111 6*")</f>
        <v>0</v>
      </c>
      <c r="E1358" s="54"/>
      <c r="F1358" s="83">
        <f>SUMIFS(F1359:F1496,K1359:K1496,"0",B1359:B1496,"5 1 3 7 5 12 31111 6*")</f>
        <v>47684.5</v>
      </c>
      <c r="G1358" s="83">
        <f>SUMIFS(G1359:G1496,K1359:K1496,"0",B1359:B1496,"5 1 3 7 5 12 31111 6*")</f>
        <v>0</v>
      </c>
      <c r="H1358" s="83">
        <f t="shared" si="21"/>
        <v>47684.5</v>
      </c>
      <c r="I1358" s="83"/>
      <c r="K1358" s="54" t="s">
        <v>15</v>
      </c>
    </row>
    <row r="1359" spans="2:11" ht="16.5" x14ac:dyDescent="0.2">
      <c r="B1359" s="82" t="s">
        <v>9028</v>
      </c>
      <c r="C1359" s="82" t="s">
        <v>2284</v>
      </c>
      <c r="D1359" s="83">
        <f>SUMIFS(D1360:D1496,K1360:K1496,"0",B1360:B1496,"5 1 3 7 5 12 31111 6 M59*")-SUMIFS(E1360:E1496,K1360:K1496,"0",B1360:B1496,"5 1 3 7 5 12 31111 6 M59*")</f>
        <v>0</v>
      </c>
      <c r="E1359" s="54"/>
      <c r="F1359" s="83">
        <f>SUMIFS(F1360:F1496,K1360:K1496,"0",B1360:B1496,"5 1 3 7 5 12 31111 6 M59*")</f>
        <v>47684.5</v>
      </c>
      <c r="G1359" s="83">
        <f>SUMIFS(G1360:G1496,K1360:K1496,"0",B1360:B1496,"5 1 3 7 5 12 31111 6 M59*")</f>
        <v>0</v>
      </c>
      <c r="H1359" s="83">
        <f t="shared" si="21"/>
        <v>47684.5</v>
      </c>
      <c r="I1359" s="83"/>
      <c r="K1359" s="54" t="s">
        <v>15</v>
      </c>
    </row>
    <row r="1360" spans="2:11" ht="16.5" x14ac:dyDescent="0.2">
      <c r="B1360" s="82" t="s">
        <v>9064</v>
      </c>
      <c r="C1360" s="82" t="s">
        <v>1092</v>
      </c>
      <c r="D1360" s="83">
        <f>SUMIFS(D1361:D1496,K1361:K1496,"0",B1361:B1496,"5 1 3 7 5 12 31111 6 M59 40000*")-SUMIFS(E1361:E1496,K1361:K1496,"0",B1361:B1496,"5 1 3 7 5 12 31111 6 M59 40000*")</f>
        <v>0</v>
      </c>
      <c r="E1360" s="54"/>
      <c r="F1360" s="83">
        <f>SUMIFS(F1361:F1496,K1361:K1496,"0",B1361:B1496,"5 1 3 7 5 12 31111 6 M59 40000*")</f>
        <v>47684.5</v>
      </c>
      <c r="G1360" s="83">
        <f>SUMIFS(G1361:G1496,K1361:K1496,"0",B1361:B1496,"5 1 3 7 5 12 31111 6 M59 40000*")</f>
        <v>0</v>
      </c>
      <c r="H1360" s="83">
        <f t="shared" si="21"/>
        <v>47684.5</v>
      </c>
      <c r="I1360" s="83"/>
      <c r="K1360" s="54" t="s">
        <v>15</v>
      </c>
    </row>
    <row r="1361" spans="2:11" ht="16.5" x14ac:dyDescent="0.2">
      <c r="B1361" s="82" t="s">
        <v>9065</v>
      </c>
      <c r="C1361" s="82" t="s">
        <v>1094</v>
      </c>
      <c r="D1361" s="83">
        <f>SUMIFS(D1362:D1496,K1362:K1496,"0",B1362:B1496,"5 1 3 7 5 12 31111 6 M59 40000 000161*")-SUMIFS(E1362:E1496,K1362:K1496,"0",B1362:B1496,"5 1 3 7 5 12 31111 6 M59 40000 000161*")</f>
        <v>0</v>
      </c>
      <c r="E1361" s="54"/>
      <c r="F1361" s="83">
        <f>SUMIFS(F1362:F1496,K1362:K1496,"0",B1362:B1496,"5 1 3 7 5 12 31111 6 M59 40000 000161*")</f>
        <v>47684.5</v>
      </c>
      <c r="G1361" s="83">
        <f>SUMIFS(G1362:G1496,K1362:K1496,"0",B1362:B1496,"5 1 3 7 5 12 31111 6 M59 40000 000161*")</f>
        <v>0</v>
      </c>
      <c r="H1361" s="83">
        <f t="shared" si="21"/>
        <v>47684.5</v>
      </c>
      <c r="I1361" s="83"/>
      <c r="K1361" s="54" t="s">
        <v>15</v>
      </c>
    </row>
    <row r="1362" spans="2:11" ht="24.75" x14ac:dyDescent="0.2">
      <c r="B1362" s="82" t="s">
        <v>9066</v>
      </c>
      <c r="C1362" s="82" t="s">
        <v>1065</v>
      </c>
      <c r="D1362" s="83">
        <f>SUMIFS(D1363:D1496,K1363:K1496,"0",B1363:B1496,"5 1 3 7 5 12 31111 6 M59 40000 000161 0000E*")-SUMIFS(E1363:E1496,K1363:K1496,"0",B1363:B1496,"5 1 3 7 5 12 31111 6 M59 40000 000161 0000E*")</f>
        <v>0</v>
      </c>
      <c r="E1362" s="54"/>
      <c r="F1362" s="83">
        <f>SUMIFS(F1363:F1496,K1363:K1496,"0",B1363:B1496,"5 1 3 7 5 12 31111 6 M59 40000 000161 0000E*")</f>
        <v>47684.5</v>
      </c>
      <c r="G1362" s="83">
        <f>SUMIFS(G1363:G1496,K1363:K1496,"0",B1363:B1496,"5 1 3 7 5 12 31111 6 M59 40000 000161 0000E*")</f>
        <v>0</v>
      </c>
      <c r="H1362" s="83">
        <f t="shared" si="21"/>
        <v>47684.5</v>
      </c>
      <c r="I1362" s="83"/>
      <c r="K1362" s="54" t="s">
        <v>15</v>
      </c>
    </row>
    <row r="1363" spans="2:11" ht="24.75" x14ac:dyDescent="0.2">
      <c r="B1363" s="82" t="s">
        <v>9067</v>
      </c>
      <c r="C1363" s="82" t="s">
        <v>282</v>
      </c>
      <c r="D1363" s="83">
        <f>SUMIFS(D1364:D1496,K1364:K1496,"0",B1364:B1496,"5 1 3 7 5 12 31111 6 M59 40000 000161 0000E 00001*")-SUMIFS(E1364:E1496,K1364:K1496,"0",B1364:B1496,"5 1 3 7 5 12 31111 6 M59 40000 000161 0000E 00001*")</f>
        <v>0</v>
      </c>
      <c r="E1363" s="54"/>
      <c r="F1363" s="83">
        <f>SUMIFS(F1364:F1496,K1364:K1496,"0",B1364:B1496,"5 1 3 7 5 12 31111 6 M59 40000 000161 0000E 00001*")</f>
        <v>47684.5</v>
      </c>
      <c r="G1363" s="83">
        <f>SUMIFS(G1364:G1496,K1364:K1496,"0",B1364:B1496,"5 1 3 7 5 12 31111 6 M59 40000 000161 0000E 00001*")</f>
        <v>0</v>
      </c>
      <c r="H1363" s="83">
        <f t="shared" si="21"/>
        <v>47684.5</v>
      </c>
      <c r="I1363" s="83"/>
      <c r="K1363" s="54" t="s">
        <v>15</v>
      </c>
    </row>
    <row r="1364" spans="2:11" ht="24.75" x14ac:dyDescent="0.2">
      <c r="B1364" s="82" t="s">
        <v>9068</v>
      </c>
      <c r="C1364" s="82" t="s">
        <v>9034</v>
      </c>
      <c r="D1364" s="83">
        <f>SUMIFS(D1365:D1496,K1365:K1496,"0",B1365:B1496,"5 1 3 7 5 12 31111 6 M59 40000 000161 0000E 00001 00375*")-SUMIFS(E1365:E1496,K1365:K1496,"0",B1365:B1496,"5 1 3 7 5 12 31111 6 M59 40000 000161 0000E 00001 00375*")</f>
        <v>0</v>
      </c>
      <c r="E1364" s="54"/>
      <c r="F1364" s="83">
        <f>SUMIFS(F1365:F1496,K1365:K1496,"0",B1365:B1496,"5 1 3 7 5 12 31111 6 M59 40000 000161 0000E 00001 00375*")</f>
        <v>47684.5</v>
      </c>
      <c r="G1364" s="83">
        <f>SUMIFS(G1365:G1496,K1365:K1496,"0",B1365:B1496,"5 1 3 7 5 12 31111 6 M59 40000 000161 0000E 00001 00375*")</f>
        <v>0</v>
      </c>
      <c r="H1364" s="83">
        <f t="shared" si="21"/>
        <v>47684.5</v>
      </c>
      <c r="I1364" s="83"/>
      <c r="K1364" s="54" t="s">
        <v>15</v>
      </c>
    </row>
    <row r="1365" spans="2:11" ht="33" x14ac:dyDescent="0.2">
      <c r="B1365" s="82" t="s">
        <v>9069</v>
      </c>
      <c r="C1365" s="82" t="s">
        <v>656</v>
      </c>
      <c r="D1365" s="83">
        <f>SUMIFS(D1366:D1496,K1366:K1496,"0",B1366:B1496,"5 1 3 7 5 12 31111 6 M59 40000 000161 0000E 00001 00375 025*")-SUMIFS(E1366:E1496,K1366:K1496,"0",B1366:B1496,"5 1 3 7 5 12 31111 6 M59 40000 000161 0000E 00001 00375 025*")</f>
        <v>0</v>
      </c>
      <c r="E1365" s="54"/>
      <c r="F1365" s="83">
        <f>SUMIFS(F1366:F1496,K1366:K1496,"0",B1366:B1496,"5 1 3 7 5 12 31111 6 M59 40000 000161 0000E 00001 00375 025*")</f>
        <v>47684.5</v>
      </c>
      <c r="G1365" s="83">
        <f>SUMIFS(G1366:G1496,K1366:K1496,"0",B1366:B1496,"5 1 3 7 5 12 31111 6 M59 40000 000161 0000E 00001 00375 025*")</f>
        <v>0</v>
      </c>
      <c r="H1365" s="83">
        <f t="shared" si="21"/>
        <v>47684.5</v>
      </c>
      <c r="I1365" s="83"/>
      <c r="K1365" s="54" t="s">
        <v>15</v>
      </c>
    </row>
    <row r="1366" spans="2:11" ht="33" x14ac:dyDescent="0.2">
      <c r="B1366" s="82" t="s">
        <v>9070</v>
      </c>
      <c r="C1366" s="82" t="s">
        <v>5830</v>
      </c>
      <c r="D1366" s="83">
        <f>SUMIFS(D1367:D1496,K1367:K1496,"0",B1367:B1496,"5 1 3 7 5 12 31111 6 M59 40000 000161 0000E 00001 00375 025 2112000*")-SUMIFS(E1367:E1496,K1367:K1496,"0",B1367:B1496,"5 1 3 7 5 12 31111 6 M59 40000 000161 0000E 00001 00375 025 2112000*")</f>
        <v>0</v>
      </c>
      <c r="E1366" s="54"/>
      <c r="F1366" s="83">
        <f>SUMIFS(F1367:F1496,K1367:K1496,"0",B1367:B1496,"5 1 3 7 5 12 31111 6 M59 40000 000161 0000E 00001 00375 025 2112000*")</f>
        <v>47684.5</v>
      </c>
      <c r="G1366" s="83">
        <f>SUMIFS(G1367:G1496,K1367:K1496,"0",B1367:B1496,"5 1 3 7 5 12 31111 6 M59 40000 000161 0000E 00001 00375 025 2112000*")</f>
        <v>0</v>
      </c>
      <c r="H1366" s="83">
        <f t="shared" si="21"/>
        <v>47684.5</v>
      </c>
      <c r="I1366" s="83"/>
      <c r="K1366" s="54" t="s">
        <v>15</v>
      </c>
    </row>
    <row r="1367" spans="2:11" ht="33" x14ac:dyDescent="0.2">
      <c r="B1367" s="82" t="s">
        <v>9071</v>
      </c>
      <c r="C1367" s="82" t="s">
        <v>660</v>
      </c>
      <c r="D1367" s="83">
        <f>SUMIFS(D1368:D1496,K1368:K1496,"0",B1368:B1496,"5 1 3 7 5 12 31111 6 M59 40000 000161 0000E 00001 00375 025 2112000 2024*")-SUMIFS(E1368:E1496,K1368:K1496,"0",B1368:B1496,"5 1 3 7 5 12 31111 6 M59 40000 000161 0000E 00001 00375 025 2112000 2024*")</f>
        <v>0</v>
      </c>
      <c r="E1367" s="54"/>
      <c r="F1367" s="83">
        <f>SUMIFS(F1368:F1496,K1368:K1496,"0",B1368:B1496,"5 1 3 7 5 12 31111 6 M59 40000 000161 0000E 00001 00375 025 2112000 2024*")</f>
        <v>47684.5</v>
      </c>
      <c r="G1367" s="83">
        <f>SUMIFS(G1368:G1496,K1368:K1496,"0",B1368:B1496,"5 1 3 7 5 12 31111 6 M59 40000 000161 0000E 00001 00375 025 2112000 2024*")</f>
        <v>0</v>
      </c>
      <c r="H1367" s="83">
        <f t="shared" si="21"/>
        <v>47684.5</v>
      </c>
      <c r="I1367" s="83"/>
      <c r="K1367" s="54" t="s">
        <v>15</v>
      </c>
    </row>
    <row r="1368" spans="2:11" ht="41.25" x14ac:dyDescent="0.2">
      <c r="B1368" s="82" t="s">
        <v>9072</v>
      </c>
      <c r="C1368" s="82" t="s">
        <v>662</v>
      </c>
      <c r="D1368" s="83">
        <f>SUMIFS(D1369:D1496,K1369:K1496,"0",B1369:B1496,"5 1 3 7 5 12 31111 6 M59 40000 000161 0000E 00001 00375 025 2112000 2024 CP4SP372*")-SUMIFS(E1369:E1496,K1369:K1496,"0",B1369:B1496,"5 1 3 7 5 12 31111 6 M59 40000 000161 0000E 00001 00375 025 2112000 2024 CP4SP372*")</f>
        <v>0</v>
      </c>
      <c r="E1368" s="54"/>
      <c r="F1368" s="83">
        <f>SUMIFS(F1369:F1496,K1369:K1496,"0",B1369:B1496,"5 1 3 7 5 12 31111 6 M59 40000 000161 0000E 00001 00375 025 2112000 2024 CP4SP372*")</f>
        <v>47684.5</v>
      </c>
      <c r="G1368" s="83">
        <f>SUMIFS(G1369:G1496,K1369:K1496,"0",B1369:B1496,"5 1 3 7 5 12 31111 6 M59 40000 000161 0000E 00001 00375 025 2112000 2024 CP4SP372*")</f>
        <v>0</v>
      </c>
      <c r="H1368" s="83">
        <f t="shared" si="21"/>
        <v>47684.5</v>
      </c>
      <c r="I1368" s="83"/>
      <c r="K1368" s="54" t="s">
        <v>15</v>
      </c>
    </row>
    <row r="1369" spans="2:11" ht="41.25" x14ac:dyDescent="0.2">
      <c r="B1369" s="82" t="s">
        <v>9073</v>
      </c>
      <c r="C1369" s="82" t="s">
        <v>664</v>
      </c>
      <c r="D1369" s="83">
        <f>SUMIFS(D1370:D1496,K1370:K1496,"0",B1370:B1496,"5 1 3 7 5 12 31111 6 M59 40000 000161 0000E 00001 00375 025 2112000 2024 CP4SP372 003*")-SUMIFS(E1370:E1496,K1370:K1496,"0",B1370:B1496,"5 1 3 7 5 12 31111 6 M59 40000 000161 0000E 00001 00375 025 2112000 2024 CP4SP372 003*")</f>
        <v>0</v>
      </c>
      <c r="E1369" s="54"/>
      <c r="F1369" s="83">
        <f>SUMIFS(F1370:F1496,K1370:K1496,"0",B1370:B1496,"5 1 3 7 5 12 31111 6 M59 40000 000161 0000E 00001 00375 025 2112000 2024 CP4SP372 003*")</f>
        <v>47684.5</v>
      </c>
      <c r="G1369" s="83">
        <f>SUMIFS(G1370:G1496,K1370:K1496,"0",B1370:B1496,"5 1 3 7 5 12 31111 6 M59 40000 000161 0000E 00001 00375 025 2112000 2024 CP4SP372 003*")</f>
        <v>0</v>
      </c>
      <c r="H1369" s="83">
        <f t="shared" si="21"/>
        <v>47684.5</v>
      </c>
      <c r="I1369" s="83"/>
      <c r="K1369" s="54" t="s">
        <v>15</v>
      </c>
    </row>
    <row r="1370" spans="2:11" ht="33" x14ac:dyDescent="0.2">
      <c r="B1370" s="84" t="s">
        <v>9074</v>
      </c>
      <c r="C1370" s="84" t="s">
        <v>9024</v>
      </c>
      <c r="D1370" s="85">
        <v>0</v>
      </c>
      <c r="E1370" s="85"/>
      <c r="F1370" s="85">
        <v>47684.5</v>
      </c>
      <c r="G1370" s="85">
        <v>0</v>
      </c>
      <c r="H1370" s="85">
        <f t="shared" si="21"/>
        <v>47684.5</v>
      </c>
      <c r="I1370" s="85"/>
      <c r="K1370" s="54" t="s">
        <v>38</v>
      </c>
    </row>
    <row r="1371" spans="2:11" ht="16.5" x14ac:dyDescent="0.2">
      <c r="B1371" s="82" t="s">
        <v>9075</v>
      </c>
      <c r="C1371" s="82" t="s">
        <v>9076</v>
      </c>
      <c r="D1371" s="83">
        <f>SUMIFS(D1372:D1496,K1372:K1496,"0",B1372:B1496,"5 1 3 7 8*")-SUMIFS(E1372:E1496,K1372:K1496,"0",B1372:B1496,"5 1 3 7 8*")</f>
        <v>0</v>
      </c>
      <c r="E1371" s="54"/>
      <c r="F1371" s="83">
        <f>SUMIFS(F1372:F1496,K1372:K1496,"0",B1372:B1496,"5 1 3 7 8*")</f>
        <v>6603.99</v>
      </c>
      <c r="G1371" s="83">
        <f>SUMIFS(G1372:G1496,K1372:K1496,"0",B1372:B1496,"5 1 3 7 8*")</f>
        <v>0</v>
      </c>
      <c r="H1371" s="83">
        <f t="shared" si="21"/>
        <v>6603.99</v>
      </c>
      <c r="I1371" s="83"/>
      <c r="K1371" s="54" t="s">
        <v>15</v>
      </c>
    </row>
    <row r="1372" spans="2:11" ht="12.75" x14ac:dyDescent="0.2">
      <c r="B1372" s="82" t="s">
        <v>9077</v>
      </c>
      <c r="C1372" s="82" t="s">
        <v>26</v>
      </c>
      <c r="D1372" s="83">
        <f>SUMIFS(D1373:D1496,K1373:K1496,"0",B1373:B1496,"5 1 3 7 8 12*")-SUMIFS(E1373:E1496,K1373:K1496,"0",B1373:B1496,"5 1 3 7 8 12*")</f>
        <v>0</v>
      </c>
      <c r="E1372" s="54"/>
      <c r="F1372" s="83">
        <f>SUMIFS(F1373:F1496,K1373:K1496,"0",B1373:B1496,"5 1 3 7 8 12*")</f>
        <v>6603.99</v>
      </c>
      <c r="G1372" s="83">
        <f>SUMIFS(G1373:G1496,K1373:K1496,"0",B1373:B1496,"5 1 3 7 8 12*")</f>
        <v>0</v>
      </c>
      <c r="H1372" s="83">
        <f t="shared" si="21"/>
        <v>6603.99</v>
      </c>
      <c r="I1372" s="83"/>
      <c r="K1372" s="54" t="s">
        <v>15</v>
      </c>
    </row>
    <row r="1373" spans="2:11" ht="16.5" x14ac:dyDescent="0.2">
      <c r="B1373" s="82" t="s">
        <v>9078</v>
      </c>
      <c r="C1373" s="82" t="s">
        <v>28</v>
      </c>
      <c r="D1373" s="83">
        <f>SUMIFS(D1374:D1496,K1374:K1496,"0",B1374:B1496,"5 1 3 7 8 12 31111*")-SUMIFS(E1374:E1496,K1374:K1496,"0",B1374:B1496,"5 1 3 7 8 12 31111*")</f>
        <v>0</v>
      </c>
      <c r="E1373" s="54"/>
      <c r="F1373" s="83">
        <f>SUMIFS(F1374:F1496,K1374:K1496,"0",B1374:B1496,"5 1 3 7 8 12 31111*")</f>
        <v>6603.99</v>
      </c>
      <c r="G1373" s="83">
        <f>SUMIFS(G1374:G1496,K1374:K1496,"0",B1374:B1496,"5 1 3 7 8 12 31111*")</f>
        <v>0</v>
      </c>
      <c r="H1373" s="83">
        <f t="shared" si="21"/>
        <v>6603.99</v>
      </c>
      <c r="I1373" s="83"/>
      <c r="K1373" s="54" t="s">
        <v>15</v>
      </c>
    </row>
    <row r="1374" spans="2:11" ht="12.75" x14ac:dyDescent="0.2">
      <c r="B1374" s="82" t="s">
        <v>9079</v>
      </c>
      <c r="C1374" s="82" t="s">
        <v>30</v>
      </c>
      <c r="D1374" s="83">
        <f>SUMIFS(D1375:D1496,K1375:K1496,"0",B1375:B1496,"5 1 3 7 8 12 31111 6*")-SUMIFS(E1375:E1496,K1375:K1496,"0",B1375:B1496,"5 1 3 7 8 12 31111 6*")</f>
        <v>0</v>
      </c>
      <c r="E1374" s="54"/>
      <c r="F1374" s="83">
        <f>SUMIFS(F1375:F1496,K1375:K1496,"0",B1375:B1496,"5 1 3 7 8 12 31111 6*")</f>
        <v>6603.99</v>
      </c>
      <c r="G1374" s="83">
        <f>SUMIFS(G1375:G1496,K1375:K1496,"0",B1375:B1496,"5 1 3 7 8 12 31111 6*")</f>
        <v>0</v>
      </c>
      <c r="H1374" s="83">
        <f t="shared" si="21"/>
        <v>6603.99</v>
      </c>
      <c r="I1374" s="83"/>
      <c r="K1374" s="54" t="s">
        <v>15</v>
      </c>
    </row>
    <row r="1375" spans="2:11" ht="16.5" x14ac:dyDescent="0.2">
      <c r="B1375" s="82" t="s">
        <v>9080</v>
      </c>
      <c r="C1375" s="82" t="s">
        <v>2284</v>
      </c>
      <c r="D1375" s="83">
        <f>SUMIFS(D1376:D1496,K1376:K1496,"0",B1376:B1496,"5 1 3 7 8 12 31111 6 M59*")-SUMIFS(E1376:E1496,K1376:K1496,"0",B1376:B1496,"5 1 3 7 8 12 31111 6 M59*")</f>
        <v>0</v>
      </c>
      <c r="E1375" s="54"/>
      <c r="F1375" s="83">
        <f>SUMIFS(F1376:F1496,K1376:K1496,"0",B1376:B1496,"5 1 3 7 8 12 31111 6 M59*")</f>
        <v>6603.99</v>
      </c>
      <c r="G1375" s="83">
        <f>SUMIFS(G1376:G1496,K1376:K1496,"0",B1376:B1496,"5 1 3 7 8 12 31111 6 M59*")</f>
        <v>0</v>
      </c>
      <c r="H1375" s="83">
        <f t="shared" si="21"/>
        <v>6603.99</v>
      </c>
      <c r="I1375" s="83"/>
      <c r="K1375" s="54" t="s">
        <v>15</v>
      </c>
    </row>
    <row r="1376" spans="2:11" ht="16.5" x14ac:dyDescent="0.2">
      <c r="B1376" s="82" t="s">
        <v>9081</v>
      </c>
      <c r="C1376" s="82" t="s">
        <v>1092</v>
      </c>
      <c r="D1376" s="83">
        <f>SUMIFS(D1377:D1496,K1377:K1496,"0",B1377:B1496,"5 1 3 7 8 12 31111 6 M59 40000*")-SUMIFS(E1377:E1496,K1377:K1496,"0",B1377:B1496,"5 1 3 7 8 12 31111 6 M59 40000*")</f>
        <v>0</v>
      </c>
      <c r="E1376" s="54"/>
      <c r="F1376" s="83">
        <f>SUMIFS(F1377:F1496,K1377:K1496,"0",B1377:B1496,"5 1 3 7 8 12 31111 6 M59 40000*")</f>
        <v>6603.99</v>
      </c>
      <c r="G1376" s="83">
        <f>SUMIFS(G1377:G1496,K1377:K1496,"0",B1377:B1496,"5 1 3 7 8 12 31111 6 M59 40000*")</f>
        <v>0</v>
      </c>
      <c r="H1376" s="83">
        <f t="shared" si="21"/>
        <v>6603.99</v>
      </c>
      <c r="I1376" s="83"/>
      <c r="K1376" s="54" t="s">
        <v>15</v>
      </c>
    </row>
    <row r="1377" spans="2:11" ht="16.5" x14ac:dyDescent="0.2">
      <c r="B1377" s="82" t="s">
        <v>9082</v>
      </c>
      <c r="C1377" s="82" t="s">
        <v>1094</v>
      </c>
      <c r="D1377" s="83">
        <f>SUMIFS(D1378:D1496,K1378:K1496,"0",B1378:B1496,"5 1 3 7 8 12 31111 6 M59 40000 000161*")-SUMIFS(E1378:E1496,K1378:K1496,"0",B1378:B1496,"5 1 3 7 8 12 31111 6 M59 40000 000161*")</f>
        <v>0</v>
      </c>
      <c r="E1377" s="54"/>
      <c r="F1377" s="83">
        <f>SUMIFS(F1378:F1496,K1378:K1496,"0",B1378:B1496,"5 1 3 7 8 12 31111 6 M59 40000 000161*")</f>
        <v>6603.99</v>
      </c>
      <c r="G1377" s="83">
        <f>SUMIFS(G1378:G1496,K1378:K1496,"0",B1378:B1496,"5 1 3 7 8 12 31111 6 M59 40000 000161*")</f>
        <v>0</v>
      </c>
      <c r="H1377" s="83">
        <f t="shared" si="21"/>
        <v>6603.99</v>
      </c>
      <c r="I1377" s="83"/>
      <c r="K1377" s="54" t="s">
        <v>15</v>
      </c>
    </row>
    <row r="1378" spans="2:11" ht="24.75" x14ac:dyDescent="0.2">
      <c r="B1378" s="82" t="s">
        <v>9083</v>
      </c>
      <c r="C1378" s="82" t="s">
        <v>1065</v>
      </c>
      <c r="D1378" s="83">
        <f>SUMIFS(D1379:D1496,K1379:K1496,"0",B1379:B1496,"5 1 3 7 8 12 31111 6 M59 40000 000161 0000E*")-SUMIFS(E1379:E1496,K1379:K1496,"0",B1379:B1496,"5 1 3 7 8 12 31111 6 M59 40000 000161 0000E*")</f>
        <v>0</v>
      </c>
      <c r="E1378" s="54"/>
      <c r="F1378" s="83">
        <f>SUMIFS(F1379:F1496,K1379:K1496,"0",B1379:B1496,"5 1 3 7 8 12 31111 6 M59 40000 000161 0000E*")</f>
        <v>6603.99</v>
      </c>
      <c r="G1378" s="83">
        <f>SUMIFS(G1379:G1496,K1379:K1496,"0",B1379:B1496,"5 1 3 7 8 12 31111 6 M59 40000 000161 0000E*")</f>
        <v>0</v>
      </c>
      <c r="H1378" s="83">
        <f t="shared" si="21"/>
        <v>6603.99</v>
      </c>
      <c r="I1378" s="83"/>
      <c r="K1378" s="54" t="s">
        <v>15</v>
      </c>
    </row>
    <row r="1379" spans="2:11" ht="24.75" x14ac:dyDescent="0.2">
      <c r="B1379" s="82" t="s">
        <v>9084</v>
      </c>
      <c r="C1379" s="82" t="s">
        <v>282</v>
      </c>
      <c r="D1379" s="83">
        <f>SUMIFS(D1380:D1496,K1380:K1496,"0",B1380:B1496,"5 1 3 7 8 12 31111 6 M59 40000 000161 0000E 00001*")-SUMIFS(E1380:E1496,K1380:K1496,"0",B1380:B1496,"5 1 3 7 8 12 31111 6 M59 40000 000161 0000E 00001*")</f>
        <v>0</v>
      </c>
      <c r="E1379" s="54"/>
      <c r="F1379" s="83">
        <f>SUMIFS(F1380:F1496,K1380:K1496,"0",B1380:B1496,"5 1 3 7 8 12 31111 6 M59 40000 000161 0000E 00001*")</f>
        <v>6603.99</v>
      </c>
      <c r="G1379" s="83">
        <f>SUMIFS(G1380:G1496,K1380:K1496,"0",B1380:B1496,"5 1 3 7 8 12 31111 6 M59 40000 000161 0000E 00001*")</f>
        <v>0</v>
      </c>
      <c r="H1379" s="83">
        <f t="shared" ref="H1379:H1442" si="22">D1379 + F1379 - G1379</f>
        <v>6603.99</v>
      </c>
      <c r="I1379" s="83"/>
      <c r="K1379" s="54" t="s">
        <v>15</v>
      </c>
    </row>
    <row r="1380" spans="2:11" ht="24.75" x14ac:dyDescent="0.2">
      <c r="B1380" s="82" t="s">
        <v>9085</v>
      </c>
      <c r="C1380" s="82" t="s">
        <v>9086</v>
      </c>
      <c r="D1380" s="83">
        <f>SUMIFS(D1381:D1496,K1381:K1496,"0",B1381:B1496,"5 1 3 7 8 12 31111 6 M59 40000 000161 0000E 00001 00378*")-SUMIFS(E1381:E1496,K1381:K1496,"0",B1381:B1496,"5 1 3 7 8 12 31111 6 M59 40000 000161 0000E 00001 00378*")</f>
        <v>0</v>
      </c>
      <c r="E1380" s="54"/>
      <c r="F1380" s="83">
        <f>SUMIFS(F1381:F1496,K1381:K1496,"0",B1381:B1496,"5 1 3 7 8 12 31111 6 M59 40000 000161 0000E 00001 00378*")</f>
        <v>6603.99</v>
      </c>
      <c r="G1380" s="83">
        <f>SUMIFS(G1381:G1496,K1381:K1496,"0",B1381:B1496,"5 1 3 7 8 12 31111 6 M59 40000 000161 0000E 00001 00378*")</f>
        <v>0</v>
      </c>
      <c r="H1380" s="83">
        <f t="shared" si="22"/>
        <v>6603.99</v>
      </c>
      <c r="I1380" s="83"/>
      <c r="K1380" s="54" t="s">
        <v>15</v>
      </c>
    </row>
    <row r="1381" spans="2:11" ht="33" x14ac:dyDescent="0.2">
      <c r="B1381" s="82" t="s">
        <v>9087</v>
      </c>
      <c r="C1381" s="82" t="s">
        <v>656</v>
      </c>
      <c r="D1381" s="83">
        <f>SUMIFS(D1382:D1496,K1382:K1496,"0",B1382:B1496,"5 1 3 7 8 12 31111 6 M59 40000 000161 0000E 00001 00378 025*")-SUMIFS(E1382:E1496,K1382:K1496,"0",B1382:B1496,"5 1 3 7 8 12 31111 6 M59 40000 000161 0000E 00001 00378 025*")</f>
        <v>0</v>
      </c>
      <c r="E1381" s="54"/>
      <c r="F1381" s="83">
        <f>SUMIFS(F1382:F1496,K1382:K1496,"0",B1382:B1496,"5 1 3 7 8 12 31111 6 M59 40000 000161 0000E 00001 00378 025*")</f>
        <v>6603.99</v>
      </c>
      <c r="G1381" s="83">
        <f>SUMIFS(G1382:G1496,K1382:K1496,"0",B1382:B1496,"5 1 3 7 8 12 31111 6 M59 40000 000161 0000E 00001 00378 025*")</f>
        <v>0</v>
      </c>
      <c r="H1381" s="83">
        <f t="shared" si="22"/>
        <v>6603.99</v>
      </c>
      <c r="I1381" s="83"/>
      <c r="K1381" s="54" t="s">
        <v>15</v>
      </c>
    </row>
    <row r="1382" spans="2:11" ht="33" x14ac:dyDescent="0.2">
      <c r="B1382" s="82" t="s">
        <v>9088</v>
      </c>
      <c r="C1382" s="82" t="s">
        <v>5830</v>
      </c>
      <c r="D1382" s="83">
        <f>SUMIFS(D1383:D1496,K1383:K1496,"0",B1383:B1496,"5 1 3 7 8 12 31111 6 M59 40000 000161 0000E 00001 00378 025 2112000*")-SUMIFS(E1383:E1496,K1383:K1496,"0",B1383:B1496,"5 1 3 7 8 12 31111 6 M59 40000 000161 0000E 00001 00378 025 2112000*")</f>
        <v>0</v>
      </c>
      <c r="E1382" s="54"/>
      <c r="F1382" s="83">
        <f>SUMIFS(F1383:F1496,K1383:K1496,"0",B1383:B1496,"5 1 3 7 8 12 31111 6 M59 40000 000161 0000E 00001 00378 025 2112000*")</f>
        <v>6603.99</v>
      </c>
      <c r="G1382" s="83">
        <f>SUMIFS(G1383:G1496,K1383:K1496,"0",B1383:B1496,"5 1 3 7 8 12 31111 6 M59 40000 000161 0000E 00001 00378 025 2112000*")</f>
        <v>0</v>
      </c>
      <c r="H1382" s="83">
        <f t="shared" si="22"/>
        <v>6603.99</v>
      </c>
      <c r="I1382" s="83"/>
      <c r="K1382" s="54" t="s">
        <v>15</v>
      </c>
    </row>
    <row r="1383" spans="2:11" ht="33" x14ac:dyDescent="0.2">
      <c r="B1383" s="82" t="s">
        <v>9089</v>
      </c>
      <c r="C1383" s="82" t="s">
        <v>660</v>
      </c>
      <c r="D1383" s="83">
        <f>SUMIFS(D1384:D1496,K1384:K1496,"0",B1384:B1496,"5 1 3 7 8 12 31111 6 M59 40000 000161 0000E 00001 00378 025 2112000 2024*")-SUMIFS(E1384:E1496,K1384:K1496,"0",B1384:B1496,"5 1 3 7 8 12 31111 6 M59 40000 000161 0000E 00001 00378 025 2112000 2024*")</f>
        <v>0</v>
      </c>
      <c r="E1383" s="54"/>
      <c r="F1383" s="83">
        <f>SUMIFS(F1384:F1496,K1384:K1496,"0",B1384:B1496,"5 1 3 7 8 12 31111 6 M59 40000 000161 0000E 00001 00378 025 2112000 2024*")</f>
        <v>6603.99</v>
      </c>
      <c r="G1383" s="83">
        <f>SUMIFS(G1384:G1496,K1384:K1496,"0",B1384:B1496,"5 1 3 7 8 12 31111 6 M59 40000 000161 0000E 00001 00378 025 2112000 2024*")</f>
        <v>0</v>
      </c>
      <c r="H1383" s="83">
        <f t="shared" si="22"/>
        <v>6603.99</v>
      </c>
      <c r="I1383" s="83"/>
      <c r="K1383" s="54" t="s">
        <v>15</v>
      </c>
    </row>
    <row r="1384" spans="2:11" ht="41.25" x14ac:dyDescent="0.2">
      <c r="B1384" s="82" t="s">
        <v>9090</v>
      </c>
      <c r="C1384" s="82" t="s">
        <v>662</v>
      </c>
      <c r="D1384" s="83">
        <f>SUMIFS(D1385:D1496,K1385:K1496,"0",B1385:B1496,"5 1 3 7 8 12 31111 6 M59 40000 000161 0000E 00001 00378 025 2112000 2024 CP4SP372*")-SUMIFS(E1385:E1496,K1385:K1496,"0",B1385:B1496,"5 1 3 7 8 12 31111 6 M59 40000 000161 0000E 00001 00378 025 2112000 2024 CP4SP372*")</f>
        <v>0</v>
      </c>
      <c r="E1384" s="54"/>
      <c r="F1384" s="83">
        <f>SUMIFS(F1385:F1496,K1385:K1496,"0",B1385:B1496,"5 1 3 7 8 12 31111 6 M59 40000 000161 0000E 00001 00378 025 2112000 2024 CP4SP372*")</f>
        <v>6603.99</v>
      </c>
      <c r="G1384" s="83">
        <f>SUMIFS(G1385:G1496,K1385:K1496,"0",B1385:B1496,"5 1 3 7 8 12 31111 6 M59 40000 000161 0000E 00001 00378 025 2112000 2024 CP4SP372*")</f>
        <v>0</v>
      </c>
      <c r="H1384" s="83">
        <f t="shared" si="22"/>
        <v>6603.99</v>
      </c>
      <c r="I1384" s="83"/>
      <c r="K1384" s="54" t="s">
        <v>15</v>
      </c>
    </row>
    <row r="1385" spans="2:11" ht="41.25" x14ac:dyDescent="0.2">
      <c r="B1385" s="82" t="s">
        <v>9091</v>
      </c>
      <c r="C1385" s="82" t="s">
        <v>664</v>
      </c>
      <c r="D1385" s="83">
        <f>SUMIFS(D1386:D1496,K1386:K1496,"0",B1386:B1496,"5 1 3 7 8 12 31111 6 M59 40000 000161 0000E 00001 00378 025 2112000 2024 CP4SP372 003*")-SUMIFS(E1386:E1496,K1386:K1496,"0",B1386:B1496,"5 1 3 7 8 12 31111 6 M59 40000 000161 0000E 00001 00378 025 2112000 2024 CP4SP372 003*")</f>
        <v>0</v>
      </c>
      <c r="E1385" s="54"/>
      <c r="F1385" s="83">
        <f>SUMIFS(F1386:F1496,K1386:K1496,"0",B1386:B1496,"5 1 3 7 8 12 31111 6 M59 40000 000161 0000E 00001 00378 025 2112000 2024 CP4SP372 003*")</f>
        <v>6603.99</v>
      </c>
      <c r="G1385" s="83">
        <f>SUMIFS(G1386:G1496,K1386:K1496,"0",B1386:B1496,"5 1 3 7 8 12 31111 6 M59 40000 000161 0000E 00001 00378 025 2112000 2024 CP4SP372 003*")</f>
        <v>0</v>
      </c>
      <c r="H1385" s="83">
        <f t="shared" si="22"/>
        <v>6603.99</v>
      </c>
      <c r="I1385" s="83"/>
      <c r="K1385" s="54" t="s">
        <v>15</v>
      </c>
    </row>
    <row r="1386" spans="2:11" ht="33" x14ac:dyDescent="0.2">
      <c r="B1386" s="84" t="s">
        <v>9092</v>
      </c>
      <c r="C1386" s="84" t="s">
        <v>9086</v>
      </c>
      <c r="D1386" s="85">
        <v>0</v>
      </c>
      <c r="E1386" s="85"/>
      <c r="F1386" s="85">
        <v>6603.99</v>
      </c>
      <c r="G1386" s="85">
        <v>0</v>
      </c>
      <c r="H1386" s="85">
        <f t="shared" si="22"/>
        <v>6603.99</v>
      </c>
      <c r="I1386" s="85"/>
      <c r="K1386" s="54" t="s">
        <v>38</v>
      </c>
    </row>
    <row r="1387" spans="2:11" ht="12.75" x14ac:dyDescent="0.2">
      <c r="B1387" s="82" t="s">
        <v>9152</v>
      </c>
      <c r="C1387" s="82" t="s">
        <v>9153</v>
      </c>
      <c r="D1387" s="83">
        <f>SUMIFS(D1388:D1496,K1388:K1496,"0",B1388:B1496,"5 1 3 9*")-SUMIFS(E1388:E1496,K1388:K1496,"0",B1388:B1496,"5 1 3 9*")</f>
        <v>0</v>
      </c>
      <c r="E1387" s="54"/>
      <c r="F1387" s="83">
        <f>SUMIFS(F1388:F1496,K1388:K1496,"0",B1388:B1496,"5 1 3 9*")</f>
        <v>2991629.2199999997</v>
      </c>
      <c r="G1387" s="83">
        <f>SUMIFS(G1388:G1496,K1388:K1496,"0",B1388:B1496,"5 1 3 9*")</f>
        <v>0</v>
      </c>
      <c r="H1387" s="83">
        <f t="shared" si="22"/>
        <v>2991629.2199999997</v>
      </c>
      <c r="I1387" s="83"/>
      <c r="K1387" s="54" t="s">
        <v>15</v>
      </c>
    </row>
    <row r="1388" spans="2:11" ht="12.75" x14ac:dyDescent="0.2">
      <c r="B1388" s="82" t="s">
        <v>9154</v>
      </c>
      <c r="C1388" s="82" t="s">
        <v>9155</v>
      </c>
      <c r="D1388" s="83">
        <f>SUMIFS(D1389:D1496,K1389:K1496,"0",B1389:B1496,"5 1 3 9 2*")-SUMIFS(E1389:E1496,K1389:K1496,"0",B1389:B1496,"5 1 3 9 2*")</f>
        <v>0</v>
      </c>
      <c r="E1388" s="54"/>
      <c r="F1388" s="83">
        <f>SUMIFS(F1389:F1496,K1389:K1496,"0",B1389:B1496,"5 1 3 9 2*")</f>
        <v>2580421.61</v>
      </c>
      <c r="G1388" s="83">
        <f>SUMIFS(G1389:G1496,K1389:K1496,"0",B1389:B1496,"5 1 3 9 2*")</f>
        <v>0</v>
      </c>
      <c r="H1388" s="83">
        <f t="shared" si="22"/>
        <v>2580421.61</v>
      </c>
      <c r="I1388" s="83"/>
      <c r="K1388" s="54" t="s">
        <v>15</v>
      </c>
    </row>
    <row r="1389" spans="2:11" ht="12.75" x14ac:dyDescent="0.2">
      <c r="B1389" s="82" t="s">
        <v>9156</v>
      </c>
      <c r="C1389" s="82" t="s">
        <v>26</v>
      </c>
      <c r="D1389" s="83">
        <f>SUMIFS(D1390:D1496,K1390:K1496,"0",B1390:B1496,"5 1 3 9 2 12*")-SUMIFS(E1390:E1496,K1390:K1496,"0",B1390:B1496,"5 1 3 9 2 12*")</f>
        <v>0</v>
      </c>
      <c r="E1389" s="54"/>
      <c r="F1389" s="83">
        <f>SUMIFS(F1390:F1496,K1390:K1496,"0",B1390:B1496,"5 1 3 9 2 12*")</f>
        <v>2580421.61</v>
      </c>
      <c r="G1389" s="83">
        <f>SUMIFS(G1390:G1496,K1390:K1496,"0",B1390:B1496,"5 1 3 9 2 12*")</f>
        <v>0</v>
      </c>
      <c r="H1389" s="83">
        <f t="shared" si="22"/>
        <v>2580421.61</v>
      </c>
      <c r="I1389" s="83"/>
      <c r="K1389" s="54" t="s">
        <v>15</v>
      </c>
    </row>
    <row r="1390" spans="2:11" ht="16.5" x14ac:dyDescent="0.2">
      <c r="B1390" s="82" t="s">
        <v>9157</v>
      </c>
      <c r="C1390" s="82" t="s">
        <v>28</v>
      </c>
      <c r="D1390" s="83">
        <f>SUMIFS(D1391:D1496,K1391:K1496,"0",B1391:B1496,"5 1 3 9 2 12 31111*")-SUMIFS(E1391:E1496,K1391:K1496,"0",B1391:B1496,"5 1 3 9 2 12 31111*")</f>
        <v>0</v>
      </c>
      <c r="E1390" s="54"/>
      <c r="F1390" s="83">
        <f>SUMIFS(F1391:F1496,K1391:K1496,"0",B1391:B1496,"5 1 3 9 2 12 31111*")</f>
        <v>2580421.61</v>
      </c>
      <c r="G1390" s="83">
        <f>SUMIFS(G1391:G1496,K1391:K1496,"0",B1391:B1496,"5 1 3 9 2 12 31111*")</f>
        <v>0</v>
      </c>
      <c r="H1390" s="83">
        <f t="shared" si="22"/>
        <v>2580421.61</v>
      </c>
      <c r="I1390" s="83"/>
      <c r="K1390" s="54" t="s">
        <v>15</v>
      </c>
    </row>
    <row r="1391" spans="2:11" ht="12.75" x14ac:dyDescent="0.2">
      <c r="B1391" s="82" t="s">
        <v>9158</v>
      </c>
      <c r="C1391" s="82" t="s">
        <v>30</v>
      </c>
      <c r="D1391" s="83">
        <f>SUMIFS(D1392:D1496,K1392:K1496,"0",B1392:B1496,"5 1 3 9 2 12 31111 6*")-SUMIFS(E1392:E1496,K1392:K1496,"0",B1392:B1496,"5 1 3 9 2 12 31111 6*")</f>
        <v>0</v>
      </c>
      <c r="E1391" s="54"/>
      <c r="F1391" s="83">
        <f>SUMIFS(F1392:F1496,K1392:K1496,"0",B1392:B1496,"5 1 3 9 2 12 31111 6*")</f>
        <v>2580421.61</v>
      </c>
      <c r="G1391" s="83">
        <f>SUMIFS(G1392:G1496,K1392:K1496,"0",B1392:B1496,"5 1 3 9 2 12 31111 6*")</f>
        <v>0</v>
      </c>
      <c r="H1391" s="83">
        <f t="shared" si="22"/>
        <v>2580421.61</v>
      </c>
      <c r="I1391" s="83"/>
      <c r="K1391" s="54" t="s">
        <v>15</v>
      </c>
    </row>
    <row r="1392" spans="2:11" ht="16.5" x14ac:dyDescent="0.2">
      <c r="B1392" s="82" t="s">
        <v>9159</v>
      </c>
      <c r="C1392" s="82" t="s">
        <v>2284</v>
      </c>
      <c r="D1392" s="83">
        <f>SUMIFS(D1393:D1496,K1393:K1496,"0",B1393:B1496,"5 1 3 9 2 12 31111 6 M59*")-SUMIFS(E1393:E1496,K1393:K1496,"0",B1393:B1496,"5 1 3 9 2 12 31111 6 M59*")</f>
        <v>0</v>
      </c>
      <c r="E1392" s="54"/>
      <c r="F1392" s="83">
        <f>SUMIFS(F1393:F1496,K1393:K1496,"0",B1393:B1496,"5 1 3 9 2 12 31111 6 M59*")</f>
        <v>2580421.61</v>
      </c>
      <c r="G1392" s="83">
        <f>SUMIFS(G1393:G1496,K1393:K1496,"0",B1393:B1496,"5 1 3 9 2 12 31111 6 M59*")</f>
        <v>0</v>
      </c>
      <c r="H1392" s="83">
        <f t="shared" si="22"/>
        <v>2580421.61</v>
      </c>
      <c r="I1392" s="83"/>
      <c r="K1392" s="54" t="s">
        <v>15</v>
      </c>
    </row>
    <row r="1393" spans="2:11" ht="16.5" x14ac:dyDescent="0.2">
      <c r="B1393" s="82" t="s">
        <v>9160</v>
      </c>
      <c r="C1393" s="82" t="s">
        <v>1044</v>
      </c>
      <c r="D1393" s="83">
        <f>SUMIFS(D1394:D1496,K1394:K1496,"0",B1394:B1496,"5 1 3 9 2 12 31111 6 M59 19000*")-SUMIFS(E1394:E1496,K1394:K1496,"0",B1394:B1496,"5 1 3 9 2 12 31111 6 M59 19000*")</f>
        <v>0</v>
      </c>
      <c r="E1393" s="54"/>
      <c r="F1393" s="83">
        <f>SUMIFS(F1394:F1496,K1394:K1496,"0",B1394:B1496,"5 1 3 9 2 12 31111 6 M59 19000*")</f>
        <v>2308532.61</v>
      </c>
      <c r="G1393" s="83">
        <f>SUMIFS(G1394:G1496,K1394:K1496,"0",B1394:B1496,"5 1 3 9 2 12 31111 6 M59 19000*")</f>
        <v>0</v>
      </c>
      <c r="H1393" s="83">
        <f t="shared" si="22"/>
        <v>2308532.61</v>
      </c>
      <c r="I1393" s="83"/>
      <c r="K1393" s="54" t="s">
        <v>15</v>
      </c>
    </row>
    <row r="1394" spans="2:11" ht="16.5" x14ac:dyDescent="0.2">
      <c r="B1394" s="82" t="s">
        <v>9172</v>
      </c>
      <c r="C1394" s="82" t="s">
        <v>8599</v>
      </c>
      <c r="D1394" s="83">
        <f>SUMIFS(D1395:D1496,K1395:K1496,"0",B1395:B1496,"5 1 3 9 2 12 31111 6 M59 19000 000271*")-SUMIFS(E1395:E1496,K1395:K1496,"0",B1395:B1496,"5 1 3 9 2 12 31111 6 M59 19000 000271*")</f>
        <v>0</v>
      </c>
      <c r="E1394" s="54"/>
      <c r="F1394" s="83">
        <f>SUMIFS(F1395:F1496,K1395:K1496,"0",B1395:B1496,"5 1 3 9 2 12 31111 6 M59 19000 000271*")</f>
        <v>2308532.61</v>
      </c>
      <c r="G1394" s="83">
        <f>SUMIFS(G1395:G1496,K1395:K1496,"0",B1395:B1496,"5 1 3 9 2 12 31111 6 M59 19000 000271*")</f>
        <v>0</v>
      </c>
      <c r="H1394" s="83">
        <f t="shared" si="22"/>
        <v>2308532.61</v>
      </c>
      <c r="I1394" s="83"/>
      <c r="K1394" s="54" t="s">
        <v>15</v>
      </c>
    </row>
    <row r="1395" spans="2:11" ht="24.75" x14ac:dyDescent="0.2">
      <c r="B1395" s="82" t="s">
        <v>9173</v>
      </c>
      <c r="C1395" s="82" t="s">
        <v>8601</v>
      </c>
      <c r="D1395" s="83">
        <f>SUMIFS(D1396:D1496,K1396:K1496,"0",B1396:B1496,"5 1 3 9 2 12 31111 6 M59 19000 000271 0000F*")-SUMIFS(E1396:E1496,K1396:K1496,"0",B1396:B1496,"5 1 3 9 2 12 31111 6 M59 19000 000271 0000F*")</f>
        <v>0</v>
      </c>
      <c r="E1395" s="54"/>
      <c r="F1395" s="83">
        <f>SUMIFS(F1396:F1496,K1396:K1496,"0",B1396:B1496,"5 1 3 9 2 12 31111 6 M59 19000 000271 0000F*")</f>
        <v>2308532.61</v>
      </c>
      <c r="G1395" s="83">
        <f>SUMIFS(G1396:G1496,K1396:K1496,"0",B1396:B1496,"5 1 3 9 2 12 31111 6 M59 19000 000271 0000F*")</f>
        <v>0</v>
      </c>
      <c r="H1395" s="83">
        <f t="shared" si="22"/>
        <v>2308532.61</v>
      </c>
      <c r="I1395" s="83"/>
      <c r="K1395" s="54" t="s">
        <v>15</v>
      </c>
    </row>
    <row r="1396" spans="2:11" ht="24.75" x14ac:dyDescent="0.2">
      <c r="B1396" s="82" t="s">
        <v>9174</v>
      </c>
      <c r="C1396" s="82" t="s">
        <v>282</v>
      </c>
      <c r="D1396" s="83">
        <f>SUMIFS(D1397:D1496,K1397:K1496,"0",B1397:B1496,"5 1 3 9 2 12 31111 6 M59 19000 000271 0000F 00001*")-SUMIFS(E1397:E1496,K1397:K1496,"0",B1397:B1496,"5 1 3 9 2 12 31111 6 M59 19000 000271 0000F 00001*")</f>
        <v>0</v>
      </c>
      <c r="E1396" s="54"/>
      <c r="F1396" s="83">
        <f>SUMIFS(F1397:F1496,K1397:K1496,"0",B1397:B1496,"5 1 3 9 2 12 31111 6 M59 19000 000271 0000F 00001*")</f>
        <v>2308532.61</v>
      </c>
      <c r="G1396" s="83">
        <f>SUMIFS(G1397:G1496,K1397:K1496,"0",B1397:B1496,"5 1 3 9 2 12 31111 6 M59 19000 000271 0000F 00001*")</f>
        <v>0</v>
      </c>
      <c r="H1396" s="83">
        <f t="shared" si="22"/>
        <v>2308532.61</v>
      </c>
      <c r="I1396" s="83"/>
      <c r="K1396" s="54" t="s">
        <v>15</v>
      </c>
    </row>
    <row r="1397" spans="2:11" ht="24.75" x14ac:dyDescent="0.2">
      <c r="B1397" s="82" t="s">
        <v>9175</v>
      </c>
      <c r="C1397" s="82" t="s">
        <v>9165</v>
      </c>
      <c r="D1397" s="83">
        <f>SUMIFS(D1398:D1496,K1398:K1496,"0",B1398:B1496,"5 1 3 9 2 12 31111 6 M59 19000 000271 0000F 00001 00392*")-SUMIFS(E1398:E1496,K1398:K1496,"0",B1398:B1496,"5 1 3 9 2 12 31111 6 M59 19000 000271 0000F 00001 00392*")</f>
        <v>0</v>
      </c>
      <c r="E1397" s="54"/>
      <c r="F1397" s="83">
        <f>SUMIFS(F1398:F1496,K1398:K1496,"0",B1398:B1496,"5 1 3 9 2 12 31111 6 M59 19000 000271 0000F 00001 00392*")</f>
        <v>2308532.61</v>
      </c>
      <c r="G1397" s="83">
        <f>SUMIFS(G1398:G1496,K1398:K1496,"0",B1398:B1496,"5 1 3 9 2 12 31111 6 M59 19000 000271 0000F 00001 00392*")</f>
        <v>0</v>
      </c>
      <c r="H1397" s="83">
        <f t="shared" si="22"/>
        <v>2308532.61</v>
      </c>
      <c r="I1397" s="83"/>
      <c r="K1397" s="54" t="s">
        <v>15</v>
      </c>
    </row>
    <row r="1398" spans="2:11" ht="33" x14ac:dyDescent="0.2">
      <c r="B1398" s="82" t="s">
        <v>9176</v>
      </c>
      <c r="C1398" s="82" t="s">
        <v>656</v>
      </c>
      <c r="D1398" s="83">
        <f>SUMIFS(D1399:D1496,K1399:K1496,"0",B1399:B1496,"5 1 3 9 2 12 31111 6 M59 19000 000271 0000F 00001 00392 025*")-SUMIFS(E1399:E1496,K1399:K1496,"0",B1399:B1496,"5 1 3 9 2 12 31111 6 M59 19000 000271 0000F 00001 00392 025*")</f>
        <v>0</v>
      </c>
      <c r="E1398" s="54"/>
      <c r="F1398" s="83">
        <f>SUMIFS(F1399:F1496,K1399:K1496,"0",B1399:B1496,"5 1 3 9 2 12 31111 6 M59 19000 000271 0000F 00001 00392 025*")</f>
        <v>2308532.61</v>
      </c>
      <c r="G1398" s="83">
        <f>SUMIFS(G1399:G1496,K1399:K1496,"0",B1399:B1496,"5 1 3 9 2 12 31111 6 M59 19000 000271 0000F 00001 00392 025*")</f>
        <v>0</v>
      </c>
      <c r="H1398" s="83">
        <f t="shared" si="22"/>
        <v>2308532.61</v>
      </c>
      <c r="I1398" s="83"/>
      <c r="K1398" s="54" t="s">
        <v>15</v>
      </c>
    </row>
    <row r="1399" spans="2:11" ht="33" x14ac:dyDescent="0.2">
      <c r="B1399" s="82" t="s">
        <v>9177</v>
      </c>
      <c r="C1399" s="82" t="s">
        <v>5830</v>
      </c>
      <c r="D1399" s="83">
        <f>SUMIFS(D1400:D1496,K1400:K1496,"0",B1400:B1496,"5 1 3 9 2 12 31111 6 M59 19000 000271 0000F 00001 00392 025 2112000*")-SUMIFS(E1400:E1496,K1400:K1496,"0",B1400:B1496,"5 1 3 9 2 12 31111 6 M59 19000 000271 0000F 00001 00392 025 2112000*")</f>
        <v>0</v>
      </c>
      <c r="E1399" s="54"/>
      <c r="F1399" s="83">
        <f>SUMIFS(F1400:F1496,K1400:K1496,"0",B1400:B1496,"5 1 3 9 2 12 31111 6 M59 19000 000271 0000F 00001 00392 025 2112000*")</f>
        <v>2308532.61</v>
      </c>
      <c r="G1399" s="83">
        <f>SUMIFS(G1400:G1496,K1400:K1496,"0",B1400:B1496,"5 1 3 9 2 12 31111 6 M59 19000 000271 0000F 00001 00392 025 2112000*")</f>
        <v>0</v>
      </c>
      <c r="H1399" s="83">
        <f t="shared" si="22"/>
        <v>2308532.61</v>
      </c>
      <c r="I1399" s="83"/>
      <c r="K1399" s="54" t="s">
        <v>15</v>
      </c>
    </row>
    <row r="1400" spans="2:11" ht="33" x14ac:dyDescent="0.2">
      <c r="B1400" s="82" t="s">
        <v>9178</v>
      </c>
      <c r="C1400" s="82" t="s">
        <v>660</v>
      </c>
      <c r="D1400" s="83">
        <f>SUMIFS(D1401:D1496,K1401:K1496,"0",B1401:B1496,"5 1 3 9 2 12 31111 6 M59 19000 000271 0000F 00001 00392 025 2112000 2024*")-SUMIFS(E1401:E1496,K1401:K1496,"0",B1401:B1496,"5 1 3 9 2 12 31111 6 M59 19000 000271 0000F 00001 00392 025 2112000 2024*")</f>
        <v>0</v>
      </c>
      <c r="E1400" s="54"/>
      <c r="F1400" s="83">
        <f>SUMIFS(F1401:F1496,K1401:K1496,"0",B1401:B1496,"5 1 3 9 2 12 31111 6 M59 19000 000271 0000F 00001 00392 025 2112000 2024*")</f>
        <v>2308532.61</v>
      </c>
      <c r="G1400" s="83">
        <f>SUMIFS(G1401:G1496,K1401:K1496,"0",B1401:B1496,"5 1 3 9 2 12 31111 6 M59 19000 000271 0000F 00001 00392 025 2112000 2024*")</f>
        <v>0</v>
      </c>
      <c r="H1400" s="83">
        <f t="shared" si="22"/>
        <v>2308532.61</v>
      </c>
      <c r="I1400" s="83"/>
      <c r="K1400" s="54" t="s">
        <v>15</v>
      </c>
    </row>
    <row r="1401" spans="2:11" ht="41.25" x14ac:dyDescent="0.2">
      <c r="B1401" s="82" t="s">
        <v>9179</v>
      </c>
      <c r="C1401" s="82" t="s">
        <v>8608</v>
      </c>
      <c r="D1401" s="83">
        <f>SUMIFS(D1402:D1496,K1402:K1496,"0",B1402:B1496,"5 1 3 9 2 12 31111 6 M59 19000 000271 0000F 00001 00392 025 2112000 2024 CP4TM511*")-SUMIFS(E1402:E1496,K1402:K1496,"0",B1402:B1496,"5 1 3 9 2 12 31111 6 M59 19000 000271 0000F 00001 00392 025 2112000 2024 CP4TM511*")</f>
        <v>0</v>
      </c>
      <c r="E1401" s="54"/>
      <c r="F1401" s="83">
        <f>SUMIFS(F1402:F1496,K1402:K1496,"0",B1402:B1496,"5 1 3 9 2 12 31111 6 M59 19000 000271 0000F 00001 00392 025 2112000 2024 CP4TM511*")</f>
        <v>2308532.61</v>
      </c>
      <c r="G1401" s="83">
        <f>SUMIFS(G1402:G1496,K1402:K1496,"0",B1402:B1496,"5 1 3 9 2 12 31111 6 M59 19000 000271 0000F 00001 00392 025 2112000 2024 CP4TM511*")</f>
        <v>0</v>
      </c>
      <c r="H1401" s="83">
        <f t="shared" si="22"/>
        <v>2308532.61</v>
      </c>
      <c r="I1401" s="83"/>
      <c r="K1401" s="54" t="s">
        <v>15</v>
      </c>
    </row>
    <row r="1402" spans="2:11" ht="41.25" x14ac:dyDescent="0.2">
      <c r="B1402" s="82" t="s">
        <v>9180</v>
      </c>
      <c r="C1402" s="82" t="s">
        <v>664</v>
      </c>
      <c r="D1402" s="83">
        <f>SUMIFS(D1403:D1496,K1403:K1496,"0",B1403:B1496,"5 1 3 9 2 12 31111 6 M59 19000 000271 0000F 00001 00392 025 2112000 2024 CP4TM511 003*")-SUMIFS(E1403:E1496,K1403:K1496,"0",B1403:B1496,"5 1 3 9 2 12 31111 6 M59 19000 000271 0000F 00001 00392 025 2112000 2024 CP4TM511 003*")</f>
        <v>0</v>
      </c>
      <c r="E1402" s="54"/>
      <c r="F1402" s="83">
        <f>SUMIFS(F1403:F1496,K1403:K1496,"0",B1403:B1496,"5 1 3 9 2 12 31111 6 M59 19000 000271 0000F 00001 00392 025 2112000 2024 CP4TM511 003*")</f>
        <v>2308532.61</v>
      </c>
      <c r="G1402" s="83">
        <f>SUMIFS(G1403:G1496,K1403:K1496,"0",B1403:B1496,"5 1 3 9 2 12 31111 6 M59 19000 000271 0000F 00001 00392 025 2112000 2024 CP4TM511 003*")</f>
        <v>0</v>
      </c>
      <c r="H1402" s="83">
        <f t="shared" si="22"/>
        <v>2308532.61</v>
      </c>
      <c r="I1402" s="83"/>
      <c r="K1402" s="54" t="s">
        <v>15</v>
      </c>
    </row>
    <row r="1403" spans="2:11" ht="33" x14ac:dyDescent="0.2">
      <c r="B1403" s="84" t="s">
        <v>9181</v>
      </c>
      <c r="C1403" s="84" t="s">
        <v>9182</v>
      </c>
      <c r="D1403" s="85">
        <v>0</v>
      </c>
      <c r="E1403" s="85"/>
      <c r="F1403" s="85">
        <v>1400000</v>
      </c>
      <c r="G1403" s="85">
        <v>0</v>
      </c>
      <c r="H1403" s="85">
        <f t="shared" si="22"/>
        <v>1400000</v>
      </c>
      <c r="I1403" s="85"/>
      <c r="K1403" s="54" t="s">
        <v>38</v>
      </c>
    </row>
    <row r="1404" spans="2:11" ht="33" x14ac:dyDescent="0.2">
      <c r="B1404" s="84" t="s">
        <v>9183</v>
      </c>
      <c r="C1404" s="84" t="s">
        <v>9184</v>
      </c>
      <c r="D1404" s="85">
        <v>0</v>
      </c>
      <c r="E1404" s="85"/>
      <c r="F1404" s="85">
        <v>908532.61</v>
      </c>
      <c r="G1404" s="85">
        <v>0</v>
      </c>
      <c r="H1404" s="85">
        <f t="shared" si="22"/>
        <v>908532.61</v>
      </c>
      <c r="I1404" s="85"/>
      <c r="K1404" s="54" t="s">
        <v>38</v>
      </c>
    </row>
    <row r="1405" spans="2:11" ht="16.5" x14ac:dyDescent="0.2">
      <c r="B1405" s="82" t="s">
        <v>9185</v>
      </c>
      <c r="C1405" s="82" t="s">
        <v>646</v>
      </c>
      <c r="D1405" s="83">
        <f>SUMIFS(D1406:D1496,K1406:K1496,"0",B1406:B1496,"5 1 3 9 2 12 31111 6 M59 30100*")-SUMIFS(E1406:E1496,K1406:K1496,"0",B1406:B1496,"5 1 3 9 2 12 31111 6 M59 30100*")</f>
        <v>0</v>
      </c>
      <c r="E1405" s="54"/>
      <c r="F1405" s="83">
        <f>SUMIFS(F1406:F1496,K1406:K1496,"0",B1406:B1496,"5 1 3 9 2 12 31111 6 M59 30100*")</f>
        <v>271889</v>
      </c>
      <c r="G1405" s="83">
        <f>SUMIFS(G1406:G1496,K1406:K1496,"0",B1406:B1496,"5 1 3 9 2 12 31111 6 M59 30100*")</f>
        <v>0</v>
      </c>
      <c r="H1405" s="83">
        <f t="shared" si="22"/>
        <v>271889</v>
      </c>
      <c r="I1405" s="83"/>
      <c r="K1405" s="54" t="s">
        <v>15</v>
      </c>
    </row>
    <row r="1406" spans="2:11" ht="16.5" x14ac:dyDescent="0.2">
      <c r="B1406" s="82" t="s">
        <v>9186</v>
      </c>
      <c r="C1406" s="82" t="s">
        <v>648</v>
      </c>
      <c r="D1406" s="83">
        <f>SUMIFS(D1407:D1496,K1407:K1496,"0",B1407:B1496,"5 1 3 9 2 12 31111 6 M59 30100 000132*")-SUMIFS(E1407:E1496,K1407:K1496,"0",B1407:B1496,"5 1 3 9 2 12 31111 6 M59 30100 000132*")</f>
        <v>0</v>
      </c>
      <c r="E1406" s="54"/>
      <c r="F1406" s="83">
        <f>SUMIFS(F1407:F1496,K1407:K1496,"0",B1407:B1496,"5 1 3 9 2 12 31111 6 M59 30100 000132*")</f>
        <v>271889</v>
      </c>
      <c r="G1406" s="83">
        <f>SUMIFS(G1407:G1496,K1407:K1496,"0",B1407:B1496,"5 1 3 9 2 12 31111 6 M59 30100 000132*")</f>
        <v>0</v>
      </c>
      <c r="H1406" s="83">
        <f t="shared" si="22"/>
        <v>271889</v>
      </c>
      <c r="I1406" s="83"/>
      <c r="K1406" s="54" t="s">
        <v>15</v>
      </c>
    </row>
    <row r="1407" spans="2:11" ht="24.75" x14ac:dyDescent="0.2">
      <c r="B1407" s="82" t="s">
        <v>9187</v>
      </c>
      <c r="C1407" s="82" t="s">
        <v>650</v>
      </c>
      <c r="D1407" s="83">
        <f>SUMIFS(D1408:D1496,K1408:K1496,"0",B1408:B1496,"5 1 3 9 2 12 31111 6 M59 30100 000132 0000R*")-SUMIFS(E1408:E1496,K1408:K1496,"0",B1408:B1496,"5 1 3 9 2 12 31111 6 M59 30100 000132 0000R*")</f>
        <v>0</v>
      </c>
      <c r="E1407" s="54"/>
      <c r="F1407" s="83">
        <f>SUMIFS(F1408:F1496,K1408:K1496,"0",B1408:B1496,"5 1 3 9 2 12 31111 6 M59 30100 000132 0000R*")</f>
        <v>271889</v>
      </c>
      <c r="G1407" s="83">
        <f>SUMIFS(G1408:G1496,K1408:K1496,"0",B1408:B1496,"5 1 3 9 2 12 31111 6 M59 30100 000132 0000R*")</f>
        <v>0</v>
      </c>
      <c r="H1407" s="83">
        <f t="shared" si="22"/>
        <v>271889</v>
      </c>
      <c r="I1407" s="83"/>
      <c r="K1407" s="54" t="s">
        <v>15</v>
      </c>
    </row>
    <row r="1408" spans="2:11" ht="24.75" x14ac:dyDescent="0.2">
      <c r="B1408" s="82" t="s">
        <v>9188</v>
      </c>
      <c r="C1408" s="82" t="s">
        <v>652</v>
      </c>
      <c r="D1408" s="83">
        <f>SUMIFS(D1409:D1496,K1409:K1496,"0",B1409:B1496,"5 1 3 9 2 12 31111 6 M59 30100 000132 0000R 00002*")-SUMIFS(E1409:E1496,K1409:K1496,"0",B1409:B1496,"5 1 3 9 2 12 31111 6 M59 30100 000132 0000R 00002*")</f>
        <v>0</v>
      </c>
      <c r="E1408" s="54"/>
      <c r="F1408" s="83">
        <f>SUMIFS(F1409:F1496,K1409:K1496,"0",B1409:B1496,"5 1 3 9 2 12 31111 6 M59 30100 000132 0000R 00002*")</f>
        <v>271889</v>
      </c>
      <c r="G1408" s="83">
        <f>SUMIFS(G1409:G1496,K1409:K1496,"0",B1409:B1496,"5 1 3 9 2 12 31111 6 M59 30100 000132 0000R 00002*")</f>
        <v>0</v>
      </c>
      <c r="H1408" s="83">
        <f t="shared" si="22"/>
        <v>271889</v>
      </c>
      <c r="I1408" s="83"/>
      <c r="K1408" s="54" t="s">
        <v>15</v>
      </c>
    </row>
    <row r="1409" spans="2:11" ht="24.75" x14ac:dyDescent="0.2">
      <c r="B1409" s="82" t="s">
        <v>9189</v>
      </c>
      <c r="C1409" s="82" t="s">
        <v>9165</v>
      </c>
      <c r="D1409" s="83">
        <f>SUMIFS(D1410:D1496,K1410:K1496,"0",B1410:B1496,"5 1 3 9 2 12 31111 6 M59 30100 000132 0000R 00002 00392*")-SUMIFS(E1410:E1496,K1410:K1496,"0",B1410:B1496,"5 1 3 9 2 12 31111 6 M59 30100 000132 0000R 00002 00392*")</f>
        <v>0</v>
      </c>
      <c r="E1409" s="54"/>
      <c r="F1409" s="83">
        <f>SUMIFS(F1410:F1496,K1410:K1496,"0",B1410:B1496,"5 1 3 9 2 12 31111 6 M59 30100 000132 0000R 00002 00392*")</f>
        <v>271889</v>
      </c>
      <c r="G1409" s="83">
        <f>SUMIFS(G1410:G1496,K1410:K1496,"0",B1410:B1496,"5 1 3 9 2 12 31111 6 M59 30100 000132 0000R 00002 00392*")</f>
        <v>0</v>
      </c>
      <c r="H1409" s="83">
        <f t="shared" si="22"/>
        <v>271889</v>
      </c>
      <c r="I1409" s="83"/>
      <c r="K1409" s="54" t="s">
        <v>15</v>
      </c>
    </row>
    <row r="1410" spans="2:11" ht="33" x14ac:dyDescent="0.2">
      <c r="B1410" s="82" t="s">
        <v>9190</v>
      </c>
      <c r="C1410" s="82" t="s">
        <v>656</v>
      </c>
      <c r="D1410" s="83">
        <f>SUMIFS(D1411:D1496,K1411:K1496,"0",B1411:B1496,"5 1 3 9 2 12 31111 6 M59 30100 000132 0000R 00002 00392 025*")-SUMIFS(E1411:E1496,K1411:K1496,"0",B1411:B1496,"5 1 3 9 2 12 31111 6 M59 30100 000132 0000R 00002 00392 025*")</f>
        <v>0</v>
      </c>
      <c r="E1410" s="54"/>
      <c r="F1410" s="83">
        <f>SUMIFS(F1411:F1496,K1411:K1496,"0",B1411:B1496,"5 1 3 9 2 12 31111 6 M59 30100 000132 0000R 00002 00392 025*")</f>
        <v>271889</v>
      </c>
      <c r="G1410" s="83">
        <f>SUMIFS(G1411:G1496,K1411:K1496,"0",B1411:B1496,"5 1 3 9 2 12 31111 6 M59 30100 000132 0000R 00002 00392 025*")</f>
        <v>0</v>
      </c>
      <c r="H1410" s="83">
        <f t="shared" si="22"/>
        <v>271889</v>
      </c>
      <c r="I1410" s="83"/>
      <c r="K1410" s="54" t="s">
        <v>15</v>
      </c>
    </row>
    <row r="1411" spans="2:11" ht="33" x14ac:dyDescent="0.2">
      <c r="B1411" s="82" t="s">
        <v>9191</v>
      </c>
      <c r="C1411" s="82" t="s">
        <v>658</v>
      </c>
      <c r="D1411" s="83">
        <f>SUMIFS(D1412:D1496,K1412:K1496,"0",B1412:B1496,"5 1 3 9 2 12 31111 6 M59 30100 000132 0000R 00002 00392 025 2210000*")-SUMIFS(E1412:E1496,K1412:K1496,"0",B1412:B1496,"5 1 3 9 2 12 31111 6 M59 30100 000132 0000R 00002 00392 025 2210000*")</f>
        <v>0</v>
      </c>
      <c r="E1411" s="54"/>
      <c r="F1411" s="83">
        <f>SUMIFS(F1412:F1496,K1412:K1496,"0",B1412:B1496,"5 1 3 9 2 12 31111 6 M59 30100 000132 0000R 00002 00392 025 2210000*")</f>
        <v>271889</v>
      </c>
      <c r="G1411" s="83">
        <f>SUMIFS(G1412:G1496,K1412:K1496,"0",B1412:B1496,"5 1 3 9 2 12 31111 6 M59 30100 000132 0000R 00002 00392 025 2210000*")</f>
        <v>0</v>
      </c>
      <c r="H1411" s="83">
        <f t="shared" si="22"/>
        <v>271889</v>
      </c>
      <c r="I1411" s="83"/>
      <c r="K1411" s="54" t="s">
        <v>15</v>
      </c>
    </row>
    <row r="1412" spans="2:11" ht="33" x14ac:dyDescent="0.2">
      <c r="B1412" s="82" t="s">
        <v>9192</v>
      </c>
      <c r="C1412" s="82" t="s">
        <v>660</v>
      </c>
      <c r="D1412" s="83">
        <f>SUMIFS(D1413:D1496,K1413:K1496,"0",B1413:B1496,"5 1 3 9 2 12 31111 6 M59 30100 000132 0000R 00002 00392 025 2210000 2024*")-SUMIFS(E1413:E1496,K1413:K1496,"0",B1413:B1496,"5 1 3 9 2 12 31111 6 M59 30100 000132 0000R 00002 00392 025 2210000 2024*")</f>
        <v>0</v>
      </c>
      <c r="E1412" s="54"/>
      <c r="F1412" s="83">
        <f>SUMIFS(F1413:F1496,K1413:K1496,"0",B1413:B1496,"5 1 3 9 2 12 31111 6 M59 30100 000132 0000R 00002 00392 025 2210000 2024*")</f>
        <v>271889</v>
      </c>
      <c r="G1412" s="83">
        <f>SUMIFS(G1413:G1496,K1413:K1496,"0",B1413:B1496,"5 1 3 9 2 12 31111 6 M59 30100 000132 0000R 00002 00392 025 2210000 2024*")</f>
        <v>0</v>
      </c>
      <c r="H1412" s="83">
        <f t="shared" si="22"/>
        <v>271889</v>
      </c>
      <c r="I1412" s="83"/>
      <c r="K1412" s="54" t="s">
        <v>15</v>
      </c>
    </row>
    <row r="1413" spans="2:11" ht="41.25" x14ac:dyDescent="0.2">
      <c r="B1413" s="82" t="s">
        <v>9193</v>
      </c>
      <c r="C1413" s="82" t="s">
        <v>662</v>
      </c>
      <c r="D1413" s="83">
        <f>SUMIFS(D1414:D1496,K1414:K1496,"0",B1414:B1496,"5 1 3 9 2 12 31111 6 M59 30100 000132 0000R 00002 00392 025 2210000 2024 CP1OP405*")-SUMIFS(E1414:E1496,K1414:K1496,"0",B1414:B1496,"5 1 3 9 2 12 31111 6 M59 30100 000132 0000R 00002 00392 025 2210000 2024 CP1OP405*")</f>
        <v>0</v>
      </c>
      <c r="E1413" s="54"/>
      <c r="F1413" s="83">
        <f>SUMIFS(F1414:F1496,K1414:K1496,"0",B1414:B1496,"5 1 3 9 2 12 31111 6 M59 30100 000132 0000R 00002 00392 025 2210000 2024 CP1OP405*")</f>
        <v>271889</v>
      </c>
      <c r="G1413" s="83">
        <f>SUMIFS(G1414:G1496,K1414:K1496,"0",B1414:B1496,"5 1 3 9 2 12 31111 6 M59 30100 000132 0000R 00002 00392 025 2210000 2024 CP1OP405*")</f>
        <v>0</v>
      </c>
      <c r="H1413" s="83">
        <f t="shared" si="22"/>
        <v>271889</v>
      </c>
      <c r="I1413" s="83"/>
      <c r="K1413" s="54" t="s">
        <v>15</v>
      </c>
    </row>
    <row r="1414" spans="2:11" ht="41.25" x14ac:dyDescent="0.2">
      <c r="B1414" s="82" t="s">
        <v>9194</v>
      </c>
      <c r="C1414" s="82" t="s">
        <v>664</v>
      </c>
      <c r="D1414" s="83">
        <f>SUMIFS(D1415:D1496,K1415:K1496,"0",B1415:B1496,"5 1 3 9 2 12 31111 6 M59 30100 000132 0000R 00002 00392 025 2210000 2024 CP1OP405 003*")-SUMIFS(E1415:E1496,K1415:K1496,"0",B1415:B1496,"5 1 3 9 2 12 31111 6 M59 30100 000132 0000R 00002 00392 025 2210000 2024 CP1OP405 003*")</f>
        <v>0</v>
      </c>
      <c r="E1414" s="54"/>
      <c r="F1414" s="83">
        <f>SUMIFS(F1415:F1496,K1415:K1496,"0",B1415:B1496,"5 1 3 9 2 12 31111 6 M59 30100 000132 0000R 00002 00392 025 2210000 2024 CP1OP405 003*")</f>
        <v>271889</v>
      </c>
      <c r="G1414" s="83">
        <f>SUMIFS(G1415:G1496,K1415:K1496,"0",B1415:B1496,"5 1 3 9 2 12 31111 6 M59 30100 000132 0000R 00002 00392 025 2210000 2024 CP1OP405 003*")</f>
        <v>0</v>
      </c>
      <c r="H1414" s="83">
        <f t="shared" si="22"/>
        <v>271889</v>
      </c>
      <c r="I1414" s="83"/>
      <c r="K1414" s="54" t="s">
        <v>15</v>
      </c>
    </row>
    <row r="1415" spans="2:11" ht="41.25" x14ac:dyDescent="0.2">
      <c r="B1415" s="84" t="s">
        <v>9195</v>
      </c>
      <c r="C1415" s="84" t="s">
        <v>9196</v>
      </c>
      <c r="D1415" s="85">
        <v>0</v>
      </c>
      <c r="E1415" s="85"/>
      <c r="F1415" s="85">
        <v>271889</v>
      </c>
      <c r="G1415" s="85">
        <v>0</v>
      </c>
      <c r="H1415" s="85">
        <f t="shared" si="22"/>
        <v>271889</v>
      </c>
      <c r="I1415" s="85"/>
      <c r="K1415" s="54" t="s">
        <v>38</v>
      </c>
    </row>
    <row r="1416" spans="2:11" ht="24.75" x14ac:dyDescent="0.2">
      <c r="B1416" s="82" t="s">
        <v>9236</v>
      </c>
      <c r="C1416" s="82" t="s">
        <v>9237</v>
      </c>
      <c r="D1416" s="83">
        <f>SUMIFS(D1417:D1496,K1417:K1496,"0",B1417:B1496,"5 1 3 9 8*")-SUMIFS(E1417:E1496,K1417:K1496,"0",B1417:B1496,"5 1 3 9 8*")</f>
        <v>0</v>
      </c>
      <c r="E1416" s="54"/>
      <c r="F1416" s="83">
        <f>SUMIFS(F1417:F1496,K1417:K1496,"0",B1417:B1496,"5 1 3 9 8*")</f>
        <v>411207.61</v>
      </c>
      <c r="G1416" s="83">
        <f>SUMIFS(G1417:G1496,K1417:K1496,"0",B1417:B1496,"5 1 3 9 8*")</f>
        <v>0</v>
      </c>
      <c r="H1416" s="83">
        <f t="shared" si="22"/>
        <v>411207.61</v>
      </c>
      <c r="I1416" s="83"/>
      <c r="K1416" s="54" t="s">
        <v>15</v>
      </c>
    </row>
    <row r="1417" spans="2:11" ht="12.75" x14ac:dyDescent="0.2">
      <c r="B1417" s="82" t="s">
        <v>9238</v>
      </c>
      <c r="C1417" s="82" t="s">
        <v>26</v>
      </c>
      <c r="D1417" s="83">
        <f>SUMIFS(D1418:D1496,K1418:K1496,"0",B1418:B1496,"5 1 3 9 8 12*")-SUMIFS(E1418:E1496,K1418:K1496,"0",B1418:B1496,"5 1 3 9 8 12*")</f>
        <v>0</v>
      </c>
      <c r="E1417" s="54"/>
      <c r="F1417" s="83">
        <f>SUMIFS(F1418:F1496,K1418:K1496,"0",B1418:B1496,"5 1 3 9 8 12*")</f>
        <v>411207.61</v>
      </c>
      <c r="G1417" s="83">
        <f>SUMIFS(G1418:G1496,K1418:K1496,"0",B1418:B1496,"5 1 3 9 8 12*")</f>
        <v>0</v>
      </c>
      <c r="H1417" s="83">
        <f t="shared" si="22"/>
        <v>411207.61</v>
      </c>
      <c r="I1417" s="83"/>
      <c r="K1417" s="54" t="s">
        <v>15</v>
      </c>
    </row>
    <row r="1418" spans="2:11" ht="16.5" x14ac:dyDescent="0.2">
      <c r="B1418" s="82" t="s">
        <v>9239</v>
      </c>
      <c r="C1418" s="82" t="s">
        <v>28</v>
      </c>
      <c r="D1418" s="83">
        <f>SUMIFS(D1419:D1496,K1419:K1496,"0",B1419:B1496,"5 1 3 9 8 12 31111*")-SUMIFS(E1419:E1496,K1419:K1496,"0",B1419:B1496,"5 1 3 9 8 12 31111*")</f>
        <v>0</v>
      </c>
      <c r="E1418" s="54"/>
      <c r="F1418" s="83">
        <f>SUMIFS(F1419:F1496,K1419:K1496,"0",B1419:B1496,"5 1 3 9 8 12 31111*")</f>
        <v>411207.61</v>
      </c>
      <c r="G1418" s="83">
        <f>SUMIFS(G1419:G1496,K1419:K1496,"0",B1419:B1496,"5 1 3 9 8 12 31111*")</f>
        <v>0</v>
      </c>
      <c r="H1418" s="83">
        <f t="shared" si="22"/>
        <v>411207.61</v>
      </c>
      <c r="I1418" s="83"/>
      <c r="K1418" s="54" t="s">
        <v>15</v>
      </c>
    </row>
    <row r="1419" spans="2:11" ht="12.75" x14ac:dyDescent="0.2">
      <c r="B1419" s="82" t="s">
        <v>9240</v>
      </c>
      <c r="C1419" s="82" t="s">
        <v>30</v>
      </c>
      <c r="D1419" s="83">
        <f>SUMIFS(D1420:D1496,K1420:K1496,"0",B1420:B1496,"5 1 3 9 8 12 31111 6*")-SUMIFS(E1420:E1496,K1420:K1496,"0",B1420:B1496,"5 1 3 9 8 12 31111 6*")</f>
        <v>0</v>
      </c>
      <c r="E1419" s="54"/>
      <c r="F1419" s="83">
        <f>SUMIFS(F1420:F1496,K1420:K1496,"0",B1420:B1496,"5 1 3 9 8 12 31111 6*")</f>
        <v>411207.61</v>
      </c>
      <c r="G1419" s="83">
        <f>SUMIFS(G1420:G1496,K1420:K1496,"0",B1420:B1496,"5 1 3 9 8 12 31111 6*")</f>
        <v>0</v>
      </c>
      <c r="H1419" s="83">
        <f t="shared" si="22"/>
        <v>411207.61</v>
      </c>
      <c r="I1419" s="83"/>
      <c r="K1419" s="54" t="s">
        <v>15</v>
      </c>
    </row>
    <row r="1420" spans="2:11" ht="16.5" x14ac:dyDescent="0.2">
      <c r="B1420" s="82" t="s">
        <v>9241</v>
      </c>
      <c r="C1420" s="82" t="s">
        <v>2284</v>
      </c>
      <c r="D1420" s="83">
        <f>SUMIFS(D1421:D1496,K1421:K1496,"0",B1421:B1496,"5 1 3 9 8 12 31111 6 M59*")-SUMIFS(E1421:E1496,K1421:K1496,"0",B1421:B1496,"5 1 3 9 8 12 31111 6 M59*")</f>
        <v>0</v>
      </c>
      <c r="E1420" s="54"/>
      <c r="F1420" s="83">
        <f>SUMIFS(F1421:F1496,K1421:K1496,"0",B1421:B1496,"5 1 3 9 8 12 31111 6 M59*")</f>
        <v>411207.61</v>
      </c>
      <c r="G1420" s="83">
        <f>SUMIFS(G1421:G1496,K1421:K1496,"0",B1421:B1496,"5 1 3 9 8 12 31111 6 M59*")</f>
        <v>0</v>
      </c>
      <c r="H1420" s="83">
        <f t="shared" si="22"/>
        <v>411207.61</v>
      </c>
      <c r="I1420" s="83"/>
      <c r="K1420" s="54" t="s">
        <v>15</v>
      </c>
    </row>
    <row r="1421" spans="2:11" ht="16.5" x14ac:dyDescent="0.2">
      <c r="B1421" s="82" t="s">
        <v>9486</v>
      </c>
      <c r="C1421" s="82" t="s">
        <v>1092</v>
      </c>
      <c r="D1421" s="83">
        <f>SUMIFS(D1422:D1496,K1422:K1496,"0",B1422:B1496,"5 1 3 9 8 12 31111 6 M59 40000*")-SUMIFS(E1422:E1496,K1422:K1496,"0",B1422:B1496,"5 1 3 9 8 12 31111 6 M59 40000*")</f>
        <v>0</v>
      </c>
      <c r="E1421" s="54"/>
      <c r="F1421" s="83">
        <f>SUMIFS(F1422:F1496,K1422:K1496,"0",B1422:B1496,"5 1 3 9 8 12 31111 6 M59 40000*")</f>
        <v>411207.61</v>
      </c>
      <c r="G1421" s="83">
        <f>SUMIFS(G1422:G1496,K1422:K1496,"0",B1422:B1496,"5 1 3 9 8 12 31111 6 M59 40000*")</f>
        <v>0</v>
      </c>
      <c r="H1421" s="83">
        <f t="shared" si="22"/>
        <v>411207.61</v>
      </c>
      <c r="I1421" s="83"/>
      <c r="K1421" s="54" t="s">
        <v>15</v>
      </c>
    </row>
    <row r="1422" spans="2:11" ht="16.5" x14ac:dyDescent="0.2">
      <c r="B1422" s="82" t="s">
        <v>9487</v>
      </c>
      <c r="C1422" s="82" t="s">
        <v>1094</v>
      </c>
      <c r="D1422" s="83">
        <f>SUMIFS(D1423:D1496,K1423:K1496,"0",B1423:B1496,"5 1 3 9 8 12 31111 6 M59 40000 000161*")-SUMIFS(E1423:E1496,K1423:K1496,"0",B1423:B1496,"5 1 3 9 8 12 31111 6 M59 40000 000161*")</f>
        <v>0</v>
      </c>
      <c r="E1422" s="54"/>
      <c r="F1422" s="83">
        <f>SUMIFS(F1423:F1496,K1423:K1496,"0",B1423:B1496,"5 1 3 9 8 12 31111 6 M59 40000 000161*")</f>
        <v>411207.61</v>
      </c>
      <c r="G1422" s="83">
        <f>SUMIFS(G1423:G1496,K1423:K1496,"0",B1423:B1496,"5 1 3 9 8 12 31111 6 M59 40000 000161*")</f>
        <v>0</v>
      </c>
      <c r="H1422" s="83">
        <f t="shared" si="22"/>
        <v>411207.61</v>
      </c>
      <c r="I1422" s="83"/>
      <c r="K1422" s="54" t="s">
        <v>15</v>
      </c>
    </row>
    <row r="1423" spans="2:11" ht="24.75" x14ac:dyDescent="0.2">
      <c r="B1423" s="82" t="s">
        <v>9488</v>
      </c>
      <c r="C1423" s="82" t="s">
        <v>1065</v>
      </c>
      <c r="D1423" s="83">
        <f>SUMIFS(D1424:D1496,K1424:K1496,"0",B1424:B1496,"5 1 3 9 8 12 31111 6 M59 40000 000161 0000E*")-SUMIFS(E1424:E1496,K1424:K1496,"0",B1424:B1496,"5 1 3 9 8 12 31111 6 M59 40000 000161 0000E*")</f>
        <v>0</v>
      </c>
      <c r="E1423" s="54"/>
      <c r="F1423" s="83">
        <f>SUMIFS(F1424:F1496,K1424:K1496,"0",B1424:B1496,"5 1 3 9 8 12 31111 6 M59 40000 000161 0000E*")</f>
        <v>411207.61</v>
      </c>
      <c r="G1423" s="83">
        <f>SUMIFS(G1424:G1496,K1424:K1496,"0",B1424:B1496,"5 1 3 9 8 12 31111 6 M59 40000 000161 0000E*")</f>
        <v>0</v>
      </c>
      <c r="H1423" s="83">
        <f t="shared" si="22"/>
        <v>411207.61</v>
      </c>
      <c r="I1423" s="83"/>
      <c r="K1423" s="54" t="s">
        <v>15</v>
      </c>
    </row>
    <row r="1424" spans="2:11" ht="24.75" x14ac:dyDescent="0.2">
      <c r="B1424" s="82" t="s">
        <v>9489</v>
      </c>
      <c r="C1424" s="82" t="s">
        <v>282</v>
      </c>
      <c r="D1424" s="83">
        <f>SUMIFS(D1425:D1496,K1425:K1496,"0",B1425:B1496,"5 1 3 9 8 12 31111 6 M59 40000 000161 0000E 00001*")-SUMIFS(E1425:E1496,K1425:K1496,"0",B1425:B1496,"5 1 3 9 8 12 31111 6 M59 40000 000161 0000E 00001*")</f>
        <v>0</v>
      </c>
      <c r="E1424" s="54"/>
      <c r="F1424" s="83">
        <f>SUMIFS(F1425:F1496,K1425:K1496,"0",B1425:B1496,"5 1 3 9 8 12 31111 6 M59 40000 000161 0000E 00001*")</f>
        <v>411207.61</v>
      </c>
      <c r="G1424" s="83">
        <f>SUMIFS(G1425:G1496,K1425:K1496,"0",B1425:B1496,"5 1 3 9 8 12 31111 6 M59 40000 000161 0000E 00001*")</f>
        <v>0</v>
      </c>
      <c r="H1424" s="83">
        <f t="shared" si="22"/>
        <v>411207.61</v>
      </c>
      <c r="I1424" s="83"/>
      <c r="K1424" s="54" t="s">
        <v>15</v>
      </c>
    </row>
    <row r="1425" spans="2:11" ht="24.75" x14ac:dyDescent="0.2">
      <c r="B1425" s="82" t="s">
        <v>9490</v>
      </c>
      <c r="C1425" s="82" t="s">
        <v>9247</v>
      </c>
      <c r="D1425" s="83">
        <f>SUMIFS(D1426:D1496,K1426:K1496,"0",B1426:B1496,"5 1 3 9 8 12 31111 6 M59 40000 000161 0000E 00001 00398*")-SUMIFS(E1426:E1496,K1426:K1496,"0",B1426:B1496,"5 1 3 9 8 12 31111 6 M59 40000 000161 0000E 00001 00398*")</f>
        <v>0</v>
      </c>
      <c r="E1425" s="54"/>
      <c r="F1425" s="83">
        <f>SUMIFS(F1426:F1496,K1426:K1496,"0",B1426:B1496,"5 1 3 9 8 12 31111 6 M59 40000 000161 0000E 00001 00398*")</f>
        <v>411207.61</v>
      </c>
      <c r="G1425" s="83">
        <f>SUMIFS(G1426:G1496,K1426:K1496,"0",B1426:B1496,"5 1 3 9 8 12 31111 6 M59 40000 000161 0000E 00001 00398*")</f>
        <v>0</v>
      </c>
      <c r="H1425" s="83">
        <f t="shared" si="22"/>
        <v>411207.61</v>
      </c>
      <c r="I1425" s="83"/>
      <c r="K1425" s="54" t="s">
        <v>15</v>
      </c>
    </row>
    <row r="1426" spans="2:11" ht="33" x14ac:dyDescent="0.2">
      <c r="B1426" s="82" t="s">
        <v>9491</v>
      </c>
      <c r="C1426" s="82" t="s">
        <v>656</v>
      </c>
      <c r="D1426" s="83">
        <f>SUMIFS(D1427:D1496,K1427:K1496,"0",B1427:B1496,"5 1 3 9 8 12 31111 6 M59 40000 000161 0000E 00001 00398 025*")-SUMIFS(E1427:E1496,K1427:K1496,"0",B1427:B1496,"5 1 3 9 8 12 31111 6 M59 40000 000161 0000E 00001 00398 025*")</f>
        <v>0</v>
      </c>
      <c r="E1426" s="54"/>
      <c r="F1426" s="83">
        <f>SUMIFS(F1427:F1496,K1427:K1496,"0",B1427:B1496,"5 1 3 9 8 12 31111 6 M59 40000 000161 0000E 00001 00398 025*")</f>
        <v>411207.61</v>
      </c>
      <c r="G1426" s="83">
        <f>SUMIFS(G1427:G1496,K1427:K1496,"0",B1427:B1496,"5 1 3 9 8 12 31111 6 M59 40000 000161 0000E 00001 00398 025*")</f>
        <v>0</v>
      </c>
      <c r="H1426" s="83">
        <f t="shared" si="22"/>
        <v>411207.61</v>
      </c>
      <c r="I1426" s="83"/>
      <c r="K1426" s="54" t="s">
        <v>15</v>
      </c>
    </row>
    <row r="1427" spans="2:11" ht="33" x14ac:dyDescent="0.2">
      <c r="B1427" s="82" t="s">
        <v>9492</v>
      </c>
      <c r="C1427" s="82" t="s">
        <v>8550</v>
      </c>
      <c r="D1427" s="83">
        <f>SUMIFS(D1428:D1496,K1428:K1496,"0",B1428:B1496,"5 1 3 9 8 12 31111 6 M59 40000 000161 0000E 00001 00398 025 2111300*")-SUMIFS(E1428:E1496,K1428:K1496,"0",B1428:B1496,"5 1 3 9 8 12 31111 6 M59 40000 000161 0000E 00001 00398 025 2111300*")</f>
        <v>0</v>
      </c>
      <c r="E1427" s="54"/>
      <c r="F1427" s="83">
        <f>SUMIFS(F1428:F1496,K1428:K1496,"0",B1428:B1496,"5 1 3 9 8 12 31111 6 M59 40000 000161 0000E 00001 00398 025 2111300*")</f>
        <v>411207.61</v>
      </c>
      <c r="G1427" s="83">
        <f>SUMIFS(G1428:G1496,K1428:K1496,"0",B1428:B1496,"5 1 3 9 8 12 31111 6 M59 40000 000161 0000E 00001 00398 025 2111300*")</f>
        <v>0</v>
      </c>
      <c r="H1427" s="83">
        <f t="shared" si="22"/>
        <v>411207.61</v>
      </c>
      <c r="I1427" s="83"/>
      <c r="K1427" s="54" t="s">
        <v>15</v>
      </c>
    </row>
    <row r="1428" spans="2:11" ht="33" x14ac:dyDescent="0.2">
      <c r="B1428" s="82" t="s">
        <v>9493</v>
      </c>
      <c r="C1428" s="82" t="s">
        <v>660</v>
      </c>
      <c r="D1428" s="83">
        <f>SUMIFS(D1429:D1496,K1429:K1496,"0",B1429:B1496,"5 1 3 9 8 12 31111 6 M59 40000 000161 0000E 00001 00398 025 2111300 2024*")-SUMIFS(E1429:E1496,K1429:K1496,"0",B1429:B1496,"5 1 3 9 8 12 31111 6 M59 40000 000161 0000E 00001 00398 025 2111300 2024*")</f>
        <v>0</v>
      </c>
      <c r="E1428" s="54"/>
      <c r="F1428" s="83">
        <f>SUMIFS(F1429:F1496,K1429:K1496,"0",B1429:B1496,"5 1 3 9 8 12 31111 6 M59 40000 000161 0000E 00001 00398 025 2111300 2024*")</f>
        <v>411207.61</v>
      </c>
      <c r="G1428" s="83">
        <f>SUMIFS(G1429:G1496,K1429:K1496,"0",B1429:B1496,"5 1 3 9 8 12 31111 6 M59 40000 000161 0000E 00001 00398 025 2111300 2024*")</f>
        <v>0</v>
      </c>
      <c r="H1428" s="83">
        <f t="shared" si="22"/>
        <v>411207.61</v>
      </c>
      <c r="I1428" s="83"/>
      <c r="K1428" s="54" t="s">
        <v>15</v>
      </c>
    </row>
    <row r="1429" spans="2:11" ht="41.25" x14ac:dyDescent="0.2">
      <c r="B1429" s="82" t="s">
        <v>9494</v>
      </c>
      <c r="C1429" s="82" t="s">
        <v>662</v>
      </c>
      <c r="D1429" s="83">
        <f>SUMIFS(D1430:D1496,K1430:K1496,"0",B1430:B1496,"5 1 3 9 8 12 31111 6 M59 40000 000161 0000E 00001 00398 025 2111300 2024 CP4SP372*")-SUMIFS(E1430:E1496,K1430:K1496,"0",B1430:B1496,"5 1 3 9 8 12 31111 6 M59 40000 000161 0000E 00001 00398 025 2111300 2024 CP4SP372*")</f>
        <v>0</v>
      </c>
      <c r="E1429" s="54"/>
      <c r="F1429" s="83">
        <f>SUMIFS(F1430:F1496,K1430:K1496,"0",B1430:B1496,"5 1 3 9 8 12 31111 6 M59 40000 000161 0000E 00001 00398 025 2111300 2024 CP4SP372*")</f>
        <v>411207.61</v>
      </c>
      <c r="G1429" s="83">
        <f>SUMIFS(G1430:G1496,K1430:K1496,"0",B1430:B1496,"5 1 3 9 8 12 31111 6 M59 40000 000161 0000E 00001 00398 025 2111300 2024 CP4SP372*")</f>
        <v>0</v>
      </c>
      <c r="H1429" s="83">
        <f t="shared" si="22"/>
        <v>411207.61</v>
      </c>
      <c r="I1429" s="83"/>
      <c r="K1429" s="54" t="s">
        <v>15</v>
      </c>
    </row>
    <row r="1430" spans="2:11" ht="41.25" x14ac:dyDescent="0.2">
      <c r="B1430" s="82" t="s">
        <v>9495</v>
      </c>
      <c r="C1430" s="82" t="s">
        <v>664</v>
      </c>
      <c r="D1430" s="83">
        <f>SUMIFS(D1431:D1496,K1431:K1496,"0",B1431:B1496,"5 1 3 9 8 12 31111 6 M59 40000 000161 0000E 00001 00398 025 2111300 2024 CP4SP372 003*")-SUMIFS(E1431:E1496,K1431:K1496,"0",B1431:B1496,"5 1 3 9 8 12 31111 6 M59 40000 000161 0000E 00001 00398 025 2111300 2024 CP4SP372 003*")</f>
        <v>0</v>
      </c>
      <c r="E1430" s="54"/>
      <c r="F1430" s="83">
        <f>SUMIFS(F1431:F1496,K1431:K1496,"0",B1431:B1496,"5 1 3 9 8 12 31111 6 M59 40000 000161 0000E 00001 00398 025 2111300 2024 CP4SP372 003*")</f>
        <v>411207.61</v>
      </c>
      <c r="G1430" s="83">
        <f>SUMIFS(G1431:G1496,K1431:K1496,"0",B1431:B1496,"5 1 3 9 8 12 31111 6 M59 40000 000161 0000E 00001 00398 025 2111300 2024 CP4SP372 003*")</f>
        <v>0</v>
      </c>
      <c r="H1430" s="83">
        <f t="shared" si="22"/>
        <v>411207.61</v>
      </c>
      <c r="I1430" s="83"/>
      <c r="K1430" s="54" t="s">
        <v>15</v>
      </c>
    </row>
    <row r="1431" spans="2:11" ht="33" x14ac:dyDescent="0.2">
      <c r="B1431" s="84" t="s">
        <v>9496</v>
      </c>
      <c r="C1431" s="84" t="s">
        <v>9254</v>
      </c>
      <c r="D1431" s="85">
        <v>0</v>
      </c>
      <c r="E1431" s="85"/>
      <c r="F1431" s="85">
        <v>411207.61</v>
      </c>
      <c r="G1431" s="85">
        <v>0</v>
      </c>
      <c r="H1431" s="85">
        <f t="shared" si="22"/>
        <v>411207.61</v>
      </c>
      <c r="I1431" s="85"/>
      <c r="K1431" s="54" t="s">
        <v>38</v>
      </c>
    </row>
    <row r="1432" spans="2:11" ht="24.75" x14ac:dyDescent="0.2">
      <c r="B1432" s="82" t="s">
        <v>9988</v>
      </c>
      <c r="C1432" s="82" t="s">
        <v>9989</v>
      </c>
      <c r="D1432" s="83">
        <f>SUMIFS(D1433:D1496,K1433:K1496,"0",B1433:B1496,"5 2*")-SUMIFS(E1433:E1496,K1433:K1496,"0",B1433:B1496,"5 2*")</f>
        <v>0</v>
      </c>
      <c r="E1432" s="54"/>
      <c r="F1432" s="83">
        <f>SUMIFS(F1433:F1496,K1433:K1496,"0",B1433:B1496,"5 2*")</f>
        <v>589059.98</v>
      </c>
      <c r="G1432" s="83">
        <f>SUMIFS(G1433:G1496,K1433:K1496,"0",B1433:B1496,"5 2*")</f>
        <v>0</v>
      </c>
      <c r="H1432" s="83">
        <f t="shared" si="22"/>
        <v>589059.98</v>
      </c>
      <c r="I1432" s="83"/>
      <c r="K1432" s="54" t="s">
        <v>15</v>
      </c>
    </row>
    <row r="1433" spans="2:11" ht="16.5" x14ac:dyDescent="0.2">
      <c r="B1433" s="82" t="s">
        <v>9990</v>
      </c>
      <c r="C1433" s="82" t="s">
        <v>9991</v>
      </c>
      <c r="D1433" s="83">
        <f>SUMIFS(D1434:D1496,K1434:K1496,"0",B1434:B1496,"5 2 2*")-SUMIFS(E1434:E1496,K1434:K1496,"0",B1434:B1496,"5 2 2*")</f>
        <v>0</v>
      </c>
      <c r="E1433" s="54"/>
      <c r="F1433" s="83">
        <f>SUMIFS(F1434:F1496,K1434:K1496,"0",B1434:B1496,"5 2 2*")</f>
        <v>480000</v>
      </c>
      <c r="G1433" s="83">
        <f>SUMIFS(G1434:G1496,K1434:K1496,"0",B1434:B1496,"5 2 2*")</f>
        <v>0</v>
      </c>
      <c r="H1433" s="83">
        <f t="shared" si="22"/>
        <v>480000</v>
      </c>
      <c r="I1433" s="83"/>
      <c r="K1433" s="54" t="s">
        <v>15</v>
      </c>
    </row>
    <row r="1434" spans="2:11" ht="24.75" x14ac:dyDescent="0.2">
      <c r="B1434" s="82" t="s">
        <v>9992</v>
      </c>
      <c r="C1434" s="82" t="s">
        <v>9993</v>
      </c>
      <c r="D1434" s="83">
        <f>SUMIFS(D1435:D1496,K1435:K1496,"0",B1435:B1496,"5 2 2 2*")-SUMIFS(E1435:E1496,K1435:K1496,"0",B1435:B1496,"5 2 2 2*")</f>
        <v>0</v>
      </c>
      <c r="E1434" s="54"/>
      <c r="F1434" s="83">
        <f>SUMIFS(F1435:F1496,K1435:K1496,"0",B1435:B1496,"5 2 2 2*")</f>
        <v>480000</v>
      </c>
      <c r="G1434" s="83">
        <f>SUMIFS(G1435:G1496,K1435:K1496,"0",B1435:B1496,"5 2 2 2*")</f>
        <v>0</v>
      </c>
      <c r="H1434" s="83">
        <f t="shared" si="22"/>
        <v>480000</v>
      </c>
      <c r="I1434" s="83"/>
      <c r="K1434" s="54" t="s">
        <v>15</v>
      </c>
    </row>
    <row r="1435" spans="2:11" ht="24.75" x14ac:dyDescent="0.2">
      <c r="B1435" s="82" t="s">
        <v>9994</v>
      </c>
      <c r="C1435" s="82" t="s">
        <v>9995</v>
      </c>
      <c r="D1435" s="83">
        <f>SUMIFS(D1436:D1496,K1436:K1496,"0",B1436:B1496,"5 2 2 2 4*")-SUMIFS(E1436:E1496,K1436:K1496,"0",B1436:B1496,"5 2 2 2 4*")</f>
        <v>0</v>
      </c>
      <c r="E1435" s="54"/>
      <c r="F1435" s="83">
        <f>SUMIFS(F1436:F1496,K1436:K1496,"0",B1436:B1496,"5 2 2 2 4*")</f>
        <v>480000</v>
      </c>
      <c r="G1435" s="83">
        <f>SUMIFS(G1436:G1496,K1436:K1496,"0",B1436:B1496,"5 2 2 2 4*")</f>
        <v>0</v>
      </c>
      <c r="H1435" s="83">
        <f t="shared" si="22"/>
        <v>480000</v>
      </c>
      <c r="I1435" s="83"/>
      <c r="K1435" s="54" t="s">
        <v>15</v>
      </c>
    </row>
    <row r="1436" spans="2:11" ht="12.75" x14ac:dyDescent="0.2">
      <c r="B1436" s="82" t="s">
        <v>9996</v>
      </c>
      <c r="C1436" s="82" t="s">
        <v>26</v>
      </c>
      <c r="D1436" s="83">
        <f>SUMIFS(D1437:D1496,K1437:K1496,"0",B1437:B1496,"5 2 2 2 4 12*")-SUMIFS(E1437:E1496,K1437:K1496,"0",B1437:B1496,"5 2 2 2 4 12*")</f>
        <v>0</v>
      </c>
      <c r="E1436" s="54"/>
      <c r="F1436" s="83">
        <f>SUMIFS(F1437:F1496,K1437:K1496,"0",B1437:B1496,"5 2 2 2 4 12*")</f>
        <v>480000</v>
      </c>
      <c r="G1436" s="83">
        <f>SUMIFS(G1437:G1496,K1437:K1496,"0",B1437:B1496,"5 2 2 2 4 12*")</f>
        <v>0</v>
      </c>
      <c r="H1436" s="83">
        <f t="shared" si="22"/>
        <v>480000</v>
      </c>
      <c r="I1436" s="83"/>
      <c r="K1436" s="54" t="s">
        <v>15</v>
      </c>
    </row>
    <row r="1437" spans="2:11" ht="16.5" x14ac:dyDescent="0.2">
      <c r="B1437" s="82" t="s">
        <v>9997</v>
      </c>
      <c r="C1437" s="82" t="s">
        <v>28</v>
      </c>
      <c r="D1437" s="83">
        <f>SUMIFS(D1438:D1496,K1438:K1496,"0",B1438:B1496,"5 2 2 2 4 12 31111*")-SUMIFS(E1438:E1496,K1438:K1496,"0",B1438:B1496,"5 2 2 2 4 12 31111*")</f>
        <v>0</v>
      </c>
      <c r="E1437" s="54"/>
      <c r="F1437" s="83">
        <f>SUMIFS(F1438:F1496,K1438:K1496,"0",B1438:B1496,"5 2 2 2 4 12 31111*")</f>
        <v>480000</v>
      </c>
      <c r="G1437" s="83">
        <f>SUMIFS(G1438:G1496,K1438:K1496,"0",B1438:B1496,"5 2 2 2 4 12 31111*")</f>
        <v>0</v>
      </c>
      <c r="H1437" s="83">
        <f t="shared" si="22"/>
        <v>480000</v>
      </c>
      <c r="I1437" s="83"/>
      <c r="K1437" s="54" t="s">
        <v>15</v>
      </c>
    </row>
    <row r="1438" spans="2:11" ht="12.75" x14ac:dyDescent="0.2">
      <c r="B1438" s="82" t="s">
        <v>9998</v>
      </c>
      <c r="C1438" s="82" t="s">
        <v>30</v>
      </c>
      <c r="D1438" s="83">
        <f>SUMIFS(D1439:D1496,K1439:K1496,"0",B1439:B1496,"5 2 2 2 4 12 31111 6*")-SUMIFS(E1439:E1496,K1439:K1496,"0",B1439:B1496,"5 2 2 2 4 12 31111 6*")</f>
        <v>0</v>
      </c>
      <c r="E1438" s="54"/>
      <c r="F1438" s="83">
        <f>SUMIFS(F1439:F1496,K1439:K1496,"0",B1439:B1496,"5 2 2 2 4 12 31111 6*")</f>
        <v>480000</v>
      </c>
      <c r="G1438" s="83">
        <f>SUMIFS(G1439:G1496,K1439:K1496,"0",B1439:B1496,"5 2 2 2 4 12 31111 6*")</f>
        <v>0</v>
      </c>
      <c r="H1438" s="83">
        <f t="shared" si="22"/>
        <v>480000</v>
      </c>
      <c r="I1438" s="83"/>
      <c r="K1438" s="54" t="s">
        <v>15</v>
      </c>
    </row>
    <row r="1439" spans="2:11" ht="16.5" x14ac:dyDescent="0.2">
      <c r="B1439" s="82" t="s">
        <v>9999</v>
      </c>
      <c r="C1439" s="82" t="s">
        <v>2284</v>
      </c>
      <c r="D1439" s="83">
        <f>SUMIFS(D1440:D1496,K1440:K1496,"0",B1440:B1496,"5 2 2 2 4 12 31111 6 M59*")-SUMIFS(E1440:E1496,K1440:K1496,"0",B1440:B1496,"5 2 2 2 4 12 31111 6 M59*")</f>
        <v>0</v>
      </c>
      <c r="E1439" s="54"/>
      <c r="F1439" s="83">
        <f>SUMIFS(F1440:F1496,K1440:K1496,"0",B1440:B1496,"5 2 2 2 4 12 31111 6 M59*")</f>
        <v>480000</v>
      </c>
      <c r="G1439" s="83">
        <f>SUMIFS(G1440:G1496,K1440:K1496,"0",B1440:B1496,"5 2 2 2 4 12 31111 6 M59*")</f>
        <v>0</v>
      </c>
      <c r="H1439" s="83">
        <f t="shared" si="22"/>
        <v>480000</v>
      </c>
      <c r="I1439" s="83"/>
      <c r="K1439" s="54" t="s">
        <v>15</v>
      </c>
    </row>
    <row r="1440" spans="2:11" ht="16.5" x14ac:dyDescent="0.2">
      <c r="B1440" s="82" t="s">
        <v>10000</v>
      </c>
      <c r="C1440" s="82" t="s">
        <v>1044</v>
      </c>
      <c r="D1440" s="83">
        <f>SUMIFS(D1441:D1496,K1441:K1496,"0",B1441:B1496,"5 2 2 2 4 12 31111 6 M59 19000*")-SUMIFS(E1441:E1496,K1441:K1496,"0",B1441:B1496,"5 2 2 2 4 12 31111 6 M59 19000*")</f>
        <v>0</v>
      </c>
      <c r="E1440" s="54"/>
      <c r="F1440" s="83">
        <f>SUMIFS(F1441:F1496,K1441:K1496,"0",B1441:B1496,"5 2 2 2 4 12 31111 6 M59 19000*")</f>
        <v>480000</v>
      </c>
      <c r="G1440" s="83">
        <f>SUMIFS(G1441:G1496,K1441:K1496,"0",B1441:B1496,"5 2 2 2 4 12 31111 6 M59 19000*")</f>
        <v>0</v>
      </c>
      <c r="H1440" s="83">
        <f t="shared" si="22"/>
        <v>480000</v>
      </c>
      <c r="I1440" s="83"/>
      <c r="K1440" s="54" t="s">
        <v>15</v>
      </c>
    </row>
    <row r="1441" spans="2:11" ht="16.5" x14ac:dyDescent="0.2">
      <c r="B1441" s="82" t="s">
        <v>10001</v>
      </c>
      <c r="C1441" s="82" t="s">
        <v>8599</v>
      </c>
      <c r="D1441" s="83">
        <f>SUMIFS(D1442:D1496,K1442:K1496,"0",B1442:B1496,"5 2 2 2 4 12 31111 6 M59 19000 000271*")-SUMIFS(E1442:E1496,K1442:K1496,"0",B1442:B1496,"5 2 2 2 4 12 31111 6 M59 19000 000271*")</f>
        <v>0</v>
      </c>
      <c r="E1441" s="54"/>
      <c r="F1441" s="83">
        <f>SUMIFS(F1442:F1496,K1442:K1496,"0",B1442:B1496,"5 2 2 2 4 12 31111 6 M59 19000 000271*")</f>
        <v>480000</v>
      </c>
      <c r="G1441" s="83">
        <f>SUMIFS(G1442:G1496,K1442:K1496,"0",B1442:B1496,"5 2 2 2 4 12 31111 6 M59 19000 000271*")</f>
        <v>0</v>
      </c>
      <c r="H1441" s="83">
        <f t="shared" si="22"/>
        <v>480000</v>
      </c>
      <c r="I1441" s="83"/>
      <c r="K1441" s="54" t="s">
        <v>15</v>
      </c>
    </row>
    <row r="1442" spans="2:11" ht="24.75" x14ac:dyDescent="0.2">
      <c r="B1442" s="82" t="s">
        <v>10002</v>
      </c>
      <c r="C1442" s="82" t="s">
        <v>8601</v>
      </c>
      <c r="D1442" s="83">
        <f>SUMIFS(D1443:D1496,K1443:K1496,"0",B1443:B1496,"5 2 2 2 4 12 31111 6 M59 19000 000271 0000F*")-SUMIFS(E1443:E1496,K1443:K1496,"0",B1443:B1496,"5 2 2 2 4 12 31111 6 M59 19000 000271 0000F*")</f>
        <v>0</v>
      </c>
      <c r="E1442" s="54"/>
      <c r="F1442" s="83">
        <f>SUMIFS(F1443:F1496,K1443:K1496,"0",B1443:B1496,"5 2 2 2 4 12 31111 6 M59 19000 000271 0000F*")</f>
        <v>480000</v>
      </c>
      <c r="G1442" s="83">
        <f>SUMIFS(G1443:G1496,K1443:K1496,"0",B1443:B1496,"5 2 2 2 4 12 31111 6 M59 19000 000271 0000F*")</f>
        <v>0</v>
      </c>
      <c r="H1442" s="83">
        <f t="shared" si="22"/>
        <v>480000</v>
      </c>
      <c r="I1442" s="83"/>
      <c r="K1442" s="54" t="s">
        <v>15</v>
      </c>
    </row>
    <row r="1443" spans="2:11" ht="24.75" x14ac:dyDescent="0.2">
      <c r="B1443" s="82" t="s">
        <v>10003</v>
      </c>
      <c r="C1443" s="82" t="s">
        <v>282</v>
      </c>
      <c r="D1443" s="83">
        <f>SUMIFS(D1444:D1496,K1444:K1496,"0",B1444:B1496,"5 2 2 2 4 12 31111 6 M59 19000 000271 0000F 00001*")-SUMIFS(E1444:E1496,K1444:K1496,"0",B1444:B1496,"5 2 2 2 4 12 31111 6 M59 19000 000271 0000F 00001*")</f>
        <v>0</v>
      </c>
      <c r="E1443" s="54"/>
      <c r="F1443" s="83">
        <f>SUMIFS(F1444:F1496,K1444:K1496,"0",B1444:B1496,"5 2 2 2 4 12 31111 6 M59 19000 000271 0000F 00001*")</f>
        <v>480000</v>
      </c>
      <c r="G1443" s="83">
        <f>SUMIFS(G1444:G1496,K1444:K1496,"0",B1444:B1496,"5 2 2 2 4 12 31111 6 M59 19000 000271 0000F 00001*")</f>
        <v>0</v>
      </c>
      <c r="H1443" s="83">
        <f t="shared" ref="H1443:H1484" si="23">D1443 + F1443 - G1443</f>
        <v>480000</v>
      </c>
      <c r="I1443" s="83"/>
      <c r="K1443" s="54" t="s">
        <v>15</v>
      </c>
    </row>
    <row r="1444" spans="2:11" ht="24.75" x14ac:dyDescent="0.2">
      <c r="B1444" s="82" t="s">
        <v>10004</v>
      </c>
      <c r="C1444" s="82" t="s">
        <v>10005</v>
      </c>
      <c r="D1444" s="83">
        <f>SUMIFS(D1445:D1496,K1445:K1496,"0",B1445:B1496,"5 2 2 2 4 12 31111 6 M59 19000 000271 0000F 00001 00424*")-SUMIFS(E1445:E1496,K1445:K1496,"0",B1445:B1496,"5 2 2 2 4 12 31111 6 M59 19000 000271 0000F 00001 00424*")</f>
        <v>0</v>
      </c>
      <c r="E1444" s="54"/>
      <c r="F1444" s="83">
        <f>SUMIFS(F1445:F1496,K1445:K1496,"0",B1445:B1496,"5 2 2 2 4 12 31111 6 M59 19000 000271 0000F 00001 00424*")</f>
        <v>480000</v>
      </c>
      <c r="G1444" s="83">
        <f>SUMIFS(G1445:G1496,K1445:K1496,"0",B1445:B1496,"5 2 2 2 4 12 31111 6 M59 19000 000271 0000F 00001 00424*")</f>
        <v>0</v>
      </c>
      <c r="H1444" s="83">
        <f t="shared" si="23"/>
        <v>480000</v>
      </c>
      <c r="I1444" s="83"/>
      <c r="K1444" s="54" t="s">
        <v>15</v>
      </c>
    </row>
    <row r="1445" spans="2:11" ht="33" x14ac:dyDescent="0.2">
      <c r="B1445" s="82" t="s">
        <v>10006</v>
      </c>
      <c r="C1445" s="82" t="s">
        <v>656</v>
      </c>
      <c r="D1445" s="83">
        <f>SUMIFS(D1446:D1496,K1446:K1496,"0",B1446:B1496,"5 2 2 2 4 12 31111 6 M59 19000 000271 0000F 00001 00424 025*")-SUMIFS(E1446:E1496,K1446:K1496,"0",B1446:B1496,"5 2 2 2 4 12 31111 6 M59 19000 000271 0000F 00001 00424 025*")</f>
        <v>0</v>
      </c>
      <c r="E1445" s="54"/>
      <c r="F1445" s="83">
        <f>SUMIFS(F1446:F1496,K1446:K1496,"0",B1446:B1496,"5 2 2 2 4 12 31111 6 M59 19000 000271 0000F 00001 00424 025*")</f>
        <v>480000</v>
      </c>
      <c r="G1445" s="83">
        <f>SUMIFS(G1446:G1496,K1446:K1496,"0",B1446:B1496,"5 2 2 2 4 12 31111 6 M59 19000 000271 0000F 00001 00424 025*")</f>
        <v>0</v>
      </c>
      <c r="H1445" s="83">
        <f t="shared" si="23"/>
        <v>480000</v>
      </c>
      <c r="I1445" s="83"/>
      <c r="K1445" s="54" t="s">
        <v>15</v>
      </c>
    </row>
    <row r="1446" spans="2:11" ht="33" x14ac:dyDescent="0.2">
      <c r="B1446" s="82" t="s">
        <v>10007</v>
      </c>
      <c r="C1446" s="82" t="s">
        <v>10008</v>
      </c>
      <c r="D1446" s="83">
        <f>SUMIFS(D1447:D1496,K1447:K1496,"0",B1447:B1496,"5 2 2 2 4 12 31111 6 M59 19000 000271 0000F 00001 00424 025 2152120*")-SUMIFS(E1447:E1496,K1447:K1496,"0",B1447:B1496,"5 2 2 2 4 12 31111 6 M59 19000 000271 0000F 00001 00424 025 2152120*")</f>
        <v>0</v>
      </c>
      <c r="E1446" s="54"/>
      <c r="F1446" s="83">
        <f>SUMIFS(F1447:F1496,K1447:K1496,"0",B1447:B1496,"5 2 2 2 4 12 31111 6 M59 19000 000271 0000F 00001 00424 025 2152120*")</f>
        <v>480000</v>
      </c>
      <c r="G1446" s="83">
        <f>SUMIFS(G1447:G1496,K1447:K1496,"0",B1447:B1496,"5 2 2 2 4 12 31111 6 M59 19000 000271 0000F 00001 00424 025 2152120*")</f>
        <v>0</v>
      </c>
      <c r="H1446" s="83">
        <f t="shared" si="23"/>
        <v>480000</v>
      </c>
      <c r="I1446" s="83"/>
      <c r="K1446" s="54" t="s">
        <v>15</v>
      </c>
    </row>
    <row r="1447" spans="2:11" ht="33" x14ac:dyDescent="0.2">
      <c r="B1447" s="82" t="s">
        <v>10009</v>
      </c>
      <c r="C1447" s="82" t="s">
        <v>660</v>
      </c>
      <c r="D1447" s="83">
        <f>SUMIFS(D1448:D1496,K1448:K1496,"0",B1448:B1496,"5 2 2 2 4 12 31111 6 M59 19000 000271 0000F 00001 00424 025 2152120 2024*")-SUMIFS(E1448:E1496,K1448:K1496,"0",B1448:B1496,"5 2 2 2 4 12 31111 6 M59 19000 000271 0000F 00001 00424 025 2152120 2024*")</f>
        <v>0</v>
      </c>
      <c r="E1447" s="54"/>
      <c r="F1447" s="83">
        <f>SUMIFS(F1448:F1496,K1448:K1496,"0",B1448:B1496,"5 2 2 2 4 12 31111 6 M59 19000 000271 0000F 00001 00424 025 2152120 2024*")</f>
        <v>480000</v>
      </c>
      <c r="G1447" s="83">
        <f>SUMIFS(G1448:G1496,K1448:K1496,"0",B1448:B1496,"5 2 2 2 4 12 31111 6 M59 19000 000271 0000F 00001 00424 025 2152120 2024*")</f>
        <v>0</v>
      </c>
      <c r="H1447" s="83">
        <f t="shared" si="23"/>
        <v>480000</v>
      </c>
      <c r="I1447" s="83"/>
      <c r="K1447" s="54" t="s">
        <v>15</v>
      </c>
    </row>
    <row r="1448" spans="2:11" ht="41.25" x14ac:dyDescent="0.2">
      <c r="B1448" s="82" t="s">
        <v>10010</v>
      </c>
      <c r="C1448" s="82" t="s">
        <v>8608</v>
      </c>
      <c r="D1448" s="83">
        <f>SUMIFS(D1449:D1496,K1449:K1496,"0",B1449:B1496,"5 2 2 2 4 12 31111 6 M59 19000 000271 0000F 00001 00424 025 2152120 2024 CP4TM511*")-SUMIFS(E1449:E1496,K1449:K1496,"0",B1449:B1496,"5 2 2 2 4 12 31111 6 M59 19000 000271 0000F 00001 00424 025 2152120 2024 CP4TM511*")</f>
        <v>0</v>
      </c>
      <c r="E1448" s="54"/>
      <c r="F1448" s="83">
        <f>SUMIFS(F1449:F1496,K1449:K1496,"0",B1449:B1496,"5 2 2 2 4 12 31111 6 M59 19000 000271 0000F 00001 00424 025 2152120 2024 CP4TM511*")</f>
        <v>480000</v>
      </c>
      <c r="G1448" s="83">
        <f>SUMIFS(G1449:G1496,K1449:K1496,"0",B1449:B1496,"5 2 2 2 4 12 31111 6 M59 19000 000271 0000F 00001 00424 025 2152120 2024 CP4TM511*")</f>
        <v>0</v>
      </c>
      <c r="H1448" s="83">
        <f t="shared" si="23"/>
        <v>480000</v>
      </c>
      <c r="I1448" s="83"/>
      <c r="K1448" s="54" t="s">
        <v>15</v>
      </c>
    </row>
    <row r="1449" spans="2:11" ht="41.25" x14ac:dyDescent="0.2">
      <c r="B1449" s="82" t="s">
        <v>10011</v>
      </c>
      <c r="C1449" s="82" t="s">
        <v>664</v>
      </c>
      <c r="D1449" s="83">
        <f>SUMIFS(D1450:D1496,K1450:K1496,"0",B1450:B1496,"5 2 2 2 4 12 31111 6 M59 19000 000271 0000F 00001 00424 025 2152120 2024 CP4TM511 003*")-SUMIFS(E1450:E1496,K1450:K1496,"0",B1450:B1496,"5 2 2 2 4 12 31111 6 M59 19000 000271 0000F 00001 00424 025 2152120 2024 CP4TM511 003*")</f>
        <v>0</v>
      </c>
      <c r="E1449" s="54"/>
      <c r="F1449" s="83">
        <f>SUMIFS(F1450:F1496,K1450:K1496,"0",B1450:B1496,"5 2 2 2 4 12 31111 6 M59 19000 000271 0000F 00001 00424 025 2152120 2024 CP4TM511 003*")</f>
        <v>480000</v>
      </c>
      <c r="G1449" s="83">
        <f>SUMIFS(G1450:G1496,K1450:K1496,"0",B1450:B1496,"5 2 2 2 4 12 31111 6 M59 19000 000271 0000F 00001 00424 025 2152120 2024 CP4TM511 003*")</f>
        <v>0</v>
      </c>
      <c r="H1449" s="83">
        <f t="shared" si="23"/>
        <v>480000</v>
      </c>
      <c r="I1449" s="83"/>
      <c r="K1449" s="54" t="s">
        <v>15</v>
      </c>
    </row>
    <row r="1450" spans="2:11" ht="33" x14ac:dyDescent="0.2">
      <c r="B1450" s="84" t="s">
        <v>10012</v>
      </c>
      <c r="C1450" s="84" t="s">
        <v>9995</v>
      </c>
      <c r="D1450" s="85">
        <v>0</v>
      </c>
      <c r="E1450" s="85"/>
      <c r="F1450" s="85">
        <v>480000</v>
      </c>
      <c r="G1450" s="85">
        <v>0</v>
      </c>
      <c r="H1450" s="85">
        <f t="shared" si="23"/>
        <v>480000</v>
      </c>
      <c r="I1450" s="85"/>
      <c r="K1450" s="54" t="s">
        <v>38</v>
      </c>
    </row>
    <row r="1451" spans="2:11" ht="12.75" x14ac:dyDescent="0.2">
      <c r="B1451" s="82" t="s">
        <v>10043</v>
      </c>
      <c r="C1451" s="82" t="s">
        <v>1804</v>
      </c>
      <c r="D1451" s="83">
        <f>SUMIFS(D1452:D1496,K1452:K1496,"0",B1452:B1496,"5 2 4*")-SUMIFS(E1452:E1496,K1452:K1496,"0",B1452:B1496,"5 2 4*")</f>
        <v>0</v>
      </c>
      <c r="E1451" s="54"/>
      <c r="F1451" s="83">
        <f>SUMIFS(F1452:F1496,K1452:K1496,"0",B1452:B1496,"5 2 4*")</f>
        <v>109059.98</v>
      </c>
      <c r="G1451" s="83">
        <f>SUMIFS(G1452:G1496,K1452:K1496,"0",B1452:B1496,"5 2 4*")</f>
        <v>0</v>
      </c>
      <c r="H1451" s="83">
        <f t="shared" si="23"/>
        <v>109059.98</v>
      </c>
      <c r="I1451" s="83"/>
      <c r="K1451" s="54" t="s">
        <v>15</v>
      </c>
    </row>
    <row r="1452" spans="2:11" ht="16.5" x14ac:dyDescent="0.2">
      <c r="B1452" s="82" t="s">
        <v>10044</v>
      </c>
      <c r="C1452" s="82" t="s">
        <v>10045</v>
      </c>
      <c r="D1452" s="83">
        <f>SUMIFS(D1453:D1496,K1453:K1496,"0",B1453:B1496,"5 2 4 1*")-SUMIFS(E1453:E1496,K1453:K1496,"0",B1453:B1496,"5 2 4 1*")</f>
        <v>0</v>
      </c>
      <c r="E1452" s="54"/>
      <c r="F1452" s="83">
        <f>SUMIFS(F1453:F1496,K1453:K1496,"0",B1453:B1496,"5 2 4 1*")</f>
        <v>109059.98</v>
      </c>
      <c r="G1452" s="83">
        <f>SUMIFS(G1453:G1496,K1453:K1496,"0",B1453:B1496,"5 2 4 1*")</f>
        <v>0</v>
      </c>
      <c r="H1452" s="83">
        <f t="shared" si="23"/>
        <v>109059.98</v>
      </c>
      <c r="I1452" s="83"/>
      <c r="K1452" s="54" t="s">
        <v>15</v>
      </c>
    </row>
    <row r="1453" spans="2:11" ht="16.5" x14ac:dyDescent="0.2">
      <c r="B1453" s="82" t="s">
        <v>10046</v>
      </c>
      <c r="C1453" s="82" t="s">
        <v>10045</v>
      </c>
      <c r="D1453" s="83">
        <f>SUMIFS(D1454:D1496,K1454:K1496,"0",B1454:B1496,"5 2 4 1 1*")-SUMIFS(E1454:E1496,K1454:K1496,"0",B1454:B1496,"5 2 4 1 1*")</f>
        <v>0</v>
      </c>
      <c r="E1453" s="54"/>
      <c r="F1453" s="83">
        <f>SUMIFS(F1454:F1496,K1454:K1496,"0",B1454:B1496,"5 2 4 1 1*")</f>
        <v>109059.98</v>
      </c>
      <c r="G1453" s="83">
        <f>SUMIFS(G1454:G1496,K1454:K1496,"0",B1454:B1496,"5 2 4 1 1*")</f>
        <v>0</v>
      </c>
      <c r="H1453" s="83">
        <f t="shared" si="23"/>
        <v>109059.98</v>
      </c>
      <c r="I1453" s="83"/>
      <c r="K1453" s="54" t="s">
        <v>15</v>
      </c>
    </row>
    <row r="1454" spans="2:11" ht="12.75" x14ac:dyDescent="0.2">
      <c r="B1454" s="82" t="s">
        <v>10047</v>
      </c>
      <c r="C1454" s="82" t="s">
        <v>26</v>
      </c>
      <c r="D1454" s="83">
        <f>SUMIFS(D1455:D1496,K1455:K1496,"0",B1455:B1496,"5 2 4 1 1 12*")-SUMIFS(E1455:E1496,K1455:K1496,"0",B1455:B1496,"5 2 4 1 1 12*")</f>
        <v>0</v>
      </c>
      <c r="E1454" s="54"/>
      <c r="F1454" s="83">
        <f>SUMIFS(F1455:F1496,K1455:K1496,"0",B1455:B1496,"5 2 4 1 1 12*")</f>
        <v>109059.98</v>
      </c>
      <c r="G1454" s="83">
        <f>SUMIFS(G1455:G1496,K1455:K1496,"0",B1455:B1496,"5 2 4 1 1 12*")</f>
        <v>0</v>
      </c>
      <c r="H1454" s="83">
        <f t="shared" si="23"/>
        <v>109059.98</v>
      </c>
      <c r="I1454" s="83"/>
      <c r="K1454" s="54" t="s">
        <v>15</v>
      </c>
    </row>
    <row r="1455" spans="2:11" ht="16.5" x14ac:dyDescent="0.2">
      <c r="B1455" s="82" t="s">
        <v>10048</v>
      </c>
      <c r="C1455" s="82" t="s">
        <v>28</v>
      </c>
      <c r="D1455" s="83">
        <f>SUMIFS(D1456:D1496,K1456:K1496,"0",B1456:B1496,"5 2 4 1 1 12 31111*")-SUMIFS(E1456:E1496,K1456:K1496,"0",B1456:B1496,"5 2 4 1 1 12 31111*")</f>
        <v>0</v>
      </c>
      <c r="E1455" s="54"/>
      <c r="F1455" s="83">
        <f>SUMIFS(F1456:F1496,K1456:K1496,"0",B1456:B1496,"5 2 4 1 1 12 31111*")</f>
        <v>109059.98</v>
      </c>
      <c r="G1455" s="83">
        <f>SUMIFS(G1456:G1496,K1456:K1496,"0",B1456:B1496,"5 2 4 1 1 12 31111*")</f>
        <v>0</v>
      </c>
      <c r="H1455" s="83">
        <f t="shared" si="23"/>
        <v>109059.98</v>
      </c>
      <c r="I1455" s="83"/>
      <c r="K1455" s="54" t="s">
        <v>15</v>
      </c>
    </row>
    <row r="1456" spans="2:11" ht="12.75" x14ac:dyDescent="0.2">
      <c r="B1456" s="82" t="s">
        <v>10049</v>
      </c>
      <c r="C1456" s="82" t="s">
        <v>30</v>
      </c>
      <c r="D1456" s="83">
        <f>SUMIFS(D1457:D1496,K1457:K1496,"0",B1457:B1496,"5 2 4 1 1 12 31111 6*")-SUMIFS(E1457:E1496,K1457:K1496,"0",B1457:B1496,"5 2 4 1 1 12 31111 6*")</f>
        <v>0</v>
      </c>
      <c r="E1456" s="54"/>
      <c r="F1456" s="83">
        <f>SUMIFS(F1457:F1496,K1457:K1496,"0",B1457:B1496,"5 2 4 1 1 12 31111 6*")</f>
        <v>109059.98</v>
      </c>
      <c r="G1456" s="83">
        <f>SUMIFS(G1457:G1496,K1457:K1496,"0",B1457:B1496,"5 2 4 1 1 12 31111 6*")</f>
        <v>0</v>
      </c>
      <c r="H1456" s="83">
        <f t="shared" si="23"/>
        <v>109059.98</v>
      </c>
      <c r="I1456" s="83"/>
      <c r="K1456" s="54" t="s">
        <v>15</v>
      </c>
    </row>
    <row r="1457" spans="2:11" ht="16.5" x14ac:dyDescent="0.2">
      <c r="B1457" s="82" t="s">
        <v>10050</v>
      </c>
      <c r="C1457" s="82" t="s">
        <v>2284</v>
      </c>
      <c r="D1457" s="83">
        <f>SUMIFS(D1458:D1496,K1458:K1496,"0",B1458:B1496,"5 2 4 1 1 12 31111 6 M59*")-SUMIFS(E1458:E1496,K1458:K1496,"0",B1458:B1496,"5 2 4 1 1 12 31111 6 M59*")</f>
        <v>0</v>
      </c>
      <c r="E1457" s="54"/>
      <c r="F1457" s="83">
        <f>SUMIFS(F1458:F1496,K1458:K1496,"0",B1458:B1496,"5 2 4 1 1 12 31111 6 M59*")</f>
        <v>109059.98</v>
      </c>
      <c r="G1457" s="83">
        <f>SUMIFS(G1458:G1496,K1458:K1496,"0",B1458:B1496,"5 2 4 1 1 12 31111 6 M59*")</f>
        <v>0</v>
      </c>
      <c r="H1457" s="83">
        <f t="shared" si="23"/>
        <v>109059.98</v>
      </c>
      <c r="I1457" s="83"/>
      <c r="K1457" s="54" t="s">
        <v>15</v>
      </c>
    </row>
    <row r="1458" spans="2:11" ht="16.5" x14ac:dyDescent="0.2">
      <c r="B1458" s="82" t="s">
        <v>10051</v>
      </c>
      <c r="C1458" s="82" t="s">
        <v>1243</v>
      </c>
      <c r="D1458" s="83">
        <f>SUMIFS(D1459:D1496,K1459:K1496,"0",B1459:B1496,"5 2 4 1 1 12 31111 6 M59 10000*")-SUMIFS(E1459:E1496,K1459:K1496,"0",B1459:B1496,"5 2 4 1 1 12 31111 6 M59 10000*")</f>
        <v>0</v>
      </c>
      <c r="E1458" s="54"/>
      <c r="F1458" s="83">
        <f>SUMIFS(F1459:F1496,K1459:K1496,"0",B1459:B1496,"5 2 4 1 1 12 31111 6 M59 10000*")</f>
        <v>109059.98</v>
      </c>
      <c r="G1458" s="83">
        <f>SUMIFS(G1459:G1496,K1459:K1496,"0",B1459:B1496,"5 2 4 1 1 12 31111 6 M59 10000*")</f>
        <v>0</v>
      </c>
      <c r="H1458" s="83">
        <f t="shared" si="23"/>
        <v>109059.98</v>
      </c>
      <c r="I1458" s="83"/>
      <c r="K1458" s="54" t="s">
        <v>15</v>
      </c>
    </row>
    <row r="1459" spans="2:11" ht="16.5" x14ac:dyDescent="0.2">
      <c r="B1459" s="82" t="s">
        <v>10052</v>
      </c>
      <c r="C1459" s="82" t="s">
        <v>648</v>
      </c>
      <c r="D1459" s="83">
        <f>SUMIFS(D1460:D1496,K1460:K1496,"0",B1460:B1496,"5 2 4 1 1 12 31111 6 M59 10000 000132*")-SUMIFS(E1460:E1496,K1460:K1496,"0",B1460:B1496,"5 2 4 1 1 12 31111 6 M59 10000 000132*")</f>
        <v>0</v>
      </c>
      <c r="E1459" s="54"/>
      <c r="F1459" s="83">
        <f>SUMIFS(F1460:F1496,K1460:K1496,"0",B1460:B1496,"5 2 4 1 1 12 31111 6 M59 10000 000132*")</f>
        <v>109059.98</v>
      </c>
      <c r="G1459" s="83">
        <f>SUMIFS(G1460:G1496,K1460:K1496,"0",B1460:B1496,"5 2 4 1 1 12 31111 6 M59 10000 000132*")</f>
        <v>0</v>
      </c>
      <c r="H1459" s="83">
        <f t="shared" si="23"/>
        <v>109059.98</v>
      </c>
      <c r="I1459" s="83"/>
      <c r="K1459" s="54" t="s">
        <v>15</v>
      </c>
    </row>
    <row r="1460" spans="2:11" ht="24.75" x14ac:dyDescent="0.2">
      <c r="B1460" s="82" t="s">
        <v>10053</v>
      </c>
      <c r="C1460" s="82" t="s">
        <v>650</v>
      </c>
      <c r="D1460" s="83">
        <f>SUMIFS(D1461:D1496,K1461:K1496,"0",B1461:B1496,"5 2 4 1 1 12 31111 6 M59 10000 000132 0000R*")-SUMIFS(E1461:E1496,K1461:K1496,"0",B1461:B1496,"5 2 4 1 1 12 31111 6 M59 10000 000132 0000R*")</f>
        <v>0</v>
      </c>
      <c r="E1460" s="54"/>
      <c r="F1460" s="83">
        <f>SUMIFS(F1461:F1496,K1461:K1496,"0",B1461:B1496,"5 2 4 1 1 12 31111 6 M59 10000 000132 0000R*")</f>
        <v>109059.98</v>
      </c>
      <c r="G1460" s="83">
        <f>SUMIFS(G1461:G1496,K1461:K1496,"0",B1461:B1496,"5 2 4 1 1 12 31111 6 M59 10000 000132 0000R*")</f>
        <v>0</v>
      </c>
      <c r="H1460" s="83">
        <f t="shared" si="23"/>
        <v>109059.98</v>
      </c>
      <c r="I1460" s="83"/>
      <c r="K1460" s="54" t="s">
        <v>15</v>
      </c>
    </row>
    <row r="1461" spans="2:11" ht="24.75" x14ac:dyDescent="0.2">
      <c r="B1461" s="82" t="s">
        <v>10054</v>
      </c>
      <c r="C1461" s="82" t="s">
        <v>282</v>
      </c>
      <c r="D1461" s="83">
        <f>SUMIFS(D1462:D1496,K1462:K1496,"0",B1462:B1496,"5 2 4 1 1 12 31111 6 M59 10000 000132 0000R 00001*")-SUMIFS(E1462:E1496,K1462:K1496,"0",B1462:B1496,"5 2 4 1 1 12 31111 6 M59 10000 000132 0000R 00001*")</f>
        <v>0</v>
      </c>
      <c r="E1461" s="54"/>
      <c r="F1461" s="83">
        <f>SUMIFS(F1462:F1496,K1462:K1496,"0",B1462:B1496,"5 2 4 1 1 12 31111 6 M59 10000 000132 0000R 00001*")</f>
        <v>109059.98</v>
      </c>
      <c r="G1461" s="83">
        <f>SUMIFS(G1462:G1496,K1462:K1496,"0",B1462:B1496,"5 2 4 1 1 12 31111 6 M59 10000 000132 0000R 00001*")</f>
        <v>0</v>
      </c>
      <c r="H1461" s="83">
        <f t="shared" si="23"/>
        <v>109059.98</v>
      </c>
      <c r="I1461" s="83"/>
      <c r="K1461" s="54" t="s">
        <v>15</v>
      </c>
    </row>
    <row r="1462" spans="2:11" ht="24.75" x14ac:dyDescent="0.2">
      <c r="B1462" s="82" t="s">
        <v>10055</v>
      </c>
      <c r="C1462" s="82" t="s">
        <v>10056</v>
      </c>
      <c r="D1462" s="83">
        <f>SUMIFS(D1463:D1496,K1463:K1496,"0",B1463:B1496,"5 2 4 1 1 12 31111 6 M59 10000 000132 0000R 00001 00441*")-SUMIFS(E1463:E1496,K1463:K1496,"0",B1463:B1496,"5 2 4 1 1 12 31111 6 M59 10000 000132 0000R 00001 00441*")</f>
        <v>0</v>
      </c>
      <c r="E1462" s="54"/>
      <c r="F1462" s="83">
        <f>SUMIFS(F1463:F1496,K1463:K1496,"0",B1463:B1496,"5 2 4 1 1 12 31111 6 M59 10000 000132 0000R 00001 00441*")</f>
        <v>109059.98</v>
      </c>
      <c r="G1462" s="83">
        <f>SUMIFS(G1463:G1496,K1463:K1496,"0",B1463:B1496,"5 2 4 1 1 12 31111 6 M59 10000 000132 0000R 00001 00441*")</f>
        <v>0</v>
      </c>
      <c r="H1462" s="83">
        <f t="shared" si="23"/>
        <v>109059.98</v>
      </c>
      <c r="I1462" s="83"/>
      <c r="K1462" s="54" t="s">
        <v>15</v>
      </c>
    </row>
    <row r="1463" spans="2:11" ht="33" x14ac:dyDescent="0.2">
      <c r="B1463" s="82" t="s">
        <v>10057</v>
      </c>
      <c r="C1463" s="82" t="s">
        <v>656</v>
      </c>
      <c r="D1463" s="83">
        <f>SUMIFS(D1464:D1496,K1464:K1496,"0",B1464:B1496,"5 2 4 1 1 12 31111 6 M59 10000 000132 0000R 00001 00441 025*")-SUMIFS(E1464:E1496,K1464:K1496,"0",B1464:B1496,"5 2 4 1 1 12 31111 6 M59 10000 000132 0000R 00001 00441 025*")</f>
        <v>0</v>
      </c>
      <c r="E1463" s="54"/>
      <c r="F1463" s="83">
        <f>SUMIFS(F1464:F1496,K1464:K1496,"0",B1464:B1496,"5 2 4 1 1 12 31111 6 M59 10000 000132 0000R 00001 00441 025*")</f>
        <v>109059.98</v>
      </c>
      <c r="G1463" s="83">
        <f>SUMIFS(G1464:G1496,K1464:K1496,"0",B1464:B1496,"5 2 4 1 1 12 31111 6 M59 10000 000132 0000R 00001 00441 025*")</f>
        <v>0</v>
      </c>
      <c r="H1463" s="83">
        <f t="shared" si="23"/>
        <v>109059.98</v>
      </c>
      <c r="I1463" s="83"/>
      <c r="K1463" s="54" t="s">
        <v>15</v>
      </c>
    </row>
    <row r="1464" spans="2:11" ht="33" x14ac:dyDescent="0.2">
      <c r="B1464" s="82" t="s">
        <v>10058</v>
      </c>
      <c r="C1464" s="82" t="s">
        <v>10059</v>
      </c>
      <c r="D1464" s="83">
        <f>SUMIFS(D1465:D1496,K1465:K1496,"0",B1465:B1496,"5 2 4 1 1 12 31111 6 M59 10000 000132 0000R 00001 00441 025 2151100*")-SUMIFS(E1465:E1496,K1465:K1496,"0",B1465:B1496,"5 2 4 1 1 12 31111 6 M59 10000 000132 0000R 00001 00441 025 2151100*")</f>
        <v>0</v>
      </c>
      <c r="E1464" s="54"/>
      <c r="F1464" s="83">
        <f>SUMIFS(F1465:F1496,K1465:K1496,"0",B1465:B1496,"5 2 4 1 1 12 31111 6 M59 10000 000132 0000R 00001 00441 025 2151100*")</f>
        <v>109059.98</v>
      </c>
      <c r="G1464" s="83">
        <f>SUMIFS(G1465:G1496,K1465:K1496,"0",B1465:B1496,"5 2 4 1 1 12 31111 6 M59 10000 000132 0000R 00001 00441 025 2151100*")</f>
        <v>0</v>
      </c>
      <c r="H1464" s="83">
        <f t="shared" si="23"/>
        <v>109059.98</v>
      </c>
      <c r="I1464" s="83"/>
      <c r="K1464" s="54" t="s">
        <v>15</v>
      </c>
    </row>
    <row r="1465" spans="2:11" ht="33" x14ac:dyDescent="0.2">
      <c r="B1465" s="82" t="s">
        <v>10060</v>
      </c>
      <c r="C1465" s="82" t="s">
        <v>660</v>
      </c>
      <c r="D1465" s="83">
        <f>SUMIFS(D1466:D1496,K1466:K1496,"0",B1466:B1496,"5 2 4 1 1 12 31111 6 M59 10000 000132 0000R 00001 00441 025 2151100 2024*")-SUMIFS(E1466:E1496,K1466:K1496,"0",B1466:B1496,"5 2 4 1 1 12 31111 6 M59 10000 000132 0000R 00001 00441 025 2151100 2024*")</f>
        <v>0</v>
      </c>
      <c r="E1465" s="54"/>
      <c r="F1465" s="83">
        <f>SUMIFS(F1466:F1496,K1466:K1496,"0",B1466:B1496,"5 2 4 1 1 12 31111 6 M59 10000 000132 0000R 00001 00441 025 2151100 2024*")</f>
        <v>109059.98</v>
      </c>
      <c r="G1465" s="83">
        <f>SUMIFS(G1466:G1496,K1466:K1496,"0",B1466:B1496,"5 2 4 1 1 12 31111 6 M59 10000 000132 0000R 00001 00441 025 2151100 2024*")</f>
        <v>0</v>
      </c>
      <c r="H1465" s="83">
        <f t="shared" si="23"/>
        <v>109059.98</v>
      </c>
      <c r="I1465" s="83"/>
      <c r="K1465" s="54" t="s">
        <v>15</v>
      </c>
    </row>
    <row r="1466" spans="2:11" ht="41.25" x14ac:dyDescent="0.2">
      <c r="B1466" s="82" t="s">
        <v>10061</v>
      </c>
      <c r="C1466" s="82" t="s">
        <v>662</v>
      </c>
      <c r="D1466" s="83">
        <f>SUMIFS(D1467:D1496,K1467:K1496,"0",B1467:B1496,"5 2 4 1 1 12 31111 6 M59 10000 000132 0000R 00001 00441 025 2151100 2024 CP1PM439*")-SUMIFS(E1467:E1496,K1467:K1496,"0",B1467:B1496,"5 2 4 1 1 12 31111 6 M59 10000 000132 0000R 00001 00441 025 2151100 2024 CP1PM439*")</f>
        <v>0</v>
      </c>
      <c r="E1466" s="54"/>
      <c r="F1466" s="83">
        <f>SUMIFS(F1467:F1496,K1467:K1496,"0",B1467:B1496,"5 2 4 1 1 12 31111 6 M59 10000 000132 0000R 00001 00441 025 2151100 2024 CP1PM439*")</f>
        <v>109059.98</v>
      </c>
      <c r="G1466" s="83">
        <f>SUMIFS(G1467:G1496,K1467:K1496,"0",B1467:B1496,"5 2 4 1 1 12 31111 6 M59 10000 000132 0000R 00001 00441 025 2151100 2024 CP1PM439*")</f>
        <v>0</v>
      </c>
      <c r="H1466" s="83">
        <f t="shared" si="23"/>
        <v>109059.98</v>
      </c>
      <c r="I1466" s="83"/>
      <c r="K1466" s="54" t="s">
        <v>15</v>
      </c>
    </row>
    <row r="1467" spans="2:11" ht="41.25" x14ac:dyDescent="0.2">
      <c r="B1467" s="82" t="s">
        <v>10062</v>
      </c>
      <c r="C1467" s="82" t="s">
        <v>664</v>
      </c>
      <c r="D1467" s="83">
        <f>SUMIFS(D1468:D1496,K1468:K1496,"0",B1468:B1496,"5 2 4 1 1 12 31111 6 M59 10000 000132 0000R 00001 00441 025 2151100 2024 CP1PM439 003*")-SUMIFS(E1468:E1496,K1468:K1496,"0",B1468:B1496,"5 2 4 1 1 12 31111 6 M59 10000 000132 0000R 00001 00441 025 2151100 2024 CP1PM439 003*")</f>
        <v>0</v>
      </c>
      <c r="E1467" s="54"/>
      <c r="F1467" s="83">
        <f>SUMIFS(F1468:F1496,K1468:K1496,"0",B1468:B1496,"5 2 4 1 1 12 31111 6 M59 10000 000132 0000R 00001 00441 025 2151100 2024 CP1PM439 003*")</f>
        <v>109059.98</v>
      </c>
      <c r="G1467" s="83">
        <f>SUMIFS(G1468:G1496,K1468:K1496,"0",B1468:B1496,"5 2 4 1 1 12 31111 6 M59 10000 000132 0000R 00001 00441 025 2151100 2024 CP1PM439 003*")</f>
        <v>0</v>
      </c>
      <c r="H1467" s="83">
        <f t="shared" si="23"/>
        <v>109059.98</v>
      </c>
      <c r="I1467" s="83"/>
      <c r="K1467" s="54" t="s">
        <v>15</v>
      </c>
    </row>
    <row r="1468" spans="2:11" ht="33" x14ac:dyDescent="0.2">
      <c r="B1468" s="84" t="s">
        <v>10063</v>
      </c>
      <c r="C1468" s="84" t="s">
        <v>10064</v>
      </c>
      <c r="D1468" s="85">
        <v>0</v>
      </c>
      <c r="E1468" s="85"/>
      <c r="F1468" s="85">
        <v>94425</v>
      </c>
      <c r="G1468" s="85">
        <v>0</v>
      </c>
      <c r="H1468" s="85">
        <f t="shared" si="23"/>
        <v>94425</v>
      </c>
      <c r="I1468" s="85"/>
      <c r="K1468" s="54" t="s">
        <v>38</v>
      </c>
    </row>
    <row r="1469" spans="2:11" ht="33" x14ac:dyDescent="0.2">
      <c r="B1469" s="84" t="s">
        <v>10065</v>
      </c>
      <c r="C1469" s="84" t="s">
        <v>10066</v>
      </c>
      <c r="D1469" s="85">
        <v>0</v>
      </c>
      <c r="E1469" s="85"/>
      <c r="F1469" s="85">
        <v>14634.98</v>
      </c>
      <c r="G1469" s="85">
        <v>0</v>
      </c>
      <c r="H1469" s="85">
        <f t="shared" si="23"/>
        <v>14634.98</v>
      </c>
      <c r="I1469" s="85"/>
      <c r="K1469" s="54" t="s">
        <v>38</v>
      </c>
    </row>
    <row r="1470" spans="2:11" ht="12.75" x14ac:dyDescent="0.2">
      <c r="B1470" s="82" t="s">
        <v>10103</v>
      </c>
      <c r="C1470" s="82" t="s">
        <v>10104</v>
      </c>
      <c r="D1470" s="83">
        <f>SUMIFS(D1471:D1496,K1471:K1496,"0",B1471:B1496,"5 6*")-SUMIFS(E1471:E1496,K1471:K1496,"0",B1471:B1496,"5 6*")</f>
        <v>0</v>
      </c>
      <c r="E1470" s="54"/>
      <c r="F1470" s="83">
        <f>SUMIFS(F1471:F1496,K1471:K1496,"0",B1471:B1496,"5 6*")</f>
        <v>380000</v>
      </c>
      <c r="G1470" s="83">
        <f>SUMIFS(G1471:G1496,K1471:K1496,"0",B1471:B1496,"5 6*")</f>
        <v>0</v>
      </c>
      <c r="H1470" s="83">
        <f t="shared" si="23"/>
        <v>380000</v>
      </c>
      <c r="I1470" s="83"/>
      <c r="K1470" s="54" t="s">
        <v>15</v>
      </c>
    </row>
    <row r="1471" spans="2:11" ht="16.5" x14ac:dyDescent="0.2">
      <c r="B1471" s="82" t="s">
        <v>10105</v>
      </c>
      <c r="C1471" s="82" t="s">
        <v>10106</v>
      </c>
      <c r="D1471" s="83">
        <f>SUMIFS(D1472:D1496,K1472:K1496,"0",B1472:B1496,"5 6 1*")-SUMIFS(E1472:E1496,K1472:K1496,"0",B1472:B1496,"5 6 1*")</f>
        <v>0</v>
      </c>
      <c r="E1471" s="54"/>
      <c r="F1471" s="83">
        <f>SUMIFS(F1472:F1496,K1472:K1496,"0",B1472:B1496,"5 6 1*")</f>
        <v>380000</v>
      </c>
      <c r="G1471" s="83">
        <f>SUMIFS(G1472:G1496,K1472:K1496,"0",B1472:B1496,"5 6 1*")</f>
        <v>0</v>
      </c>
      <c r="H1471" s="83">
        <f t="shared" si="23"/>
        <v>380000</v>
      </c>
      <c r="I1471" s="83"/>
      <c r="K1471" s="54" t="s">
        <v>15</v>
      </c>
    </row>
    <row r="1472" spans="2:11" ht="16.5" x14ac:dyDescent="0.2">
      <c r="B1472" s="82" t="s">
        <v>10107</v>
      </c>
      <c r="C1472" s="82" t="s">
        <v>10108</v>
      </c>
      <c r="D1472" s="83">
        <f>SUMIFS(D1473:D1496,K1473:K1496,"0",B1473:B1496,"5 6 1 1*")-SUMIFS(E1473:E1496,K1473:K1496,"0",B1473:B1496,"5 6 1 1*")</f>
        <v>0</v>
      </c>
      <c r="E1472" s="54"/>
      <c r="F1472" s="83">
        <f>SUMIFS(F1473:F1496,K1473:K1496,"0",B1473:B1496,"5 6 1 1*")</f>
        <v>380000</v>
      </c>
      <c r="G1472" s="83">
        <f>SUMIFS(G1473:G1496,K1473:K1496,"0",B1473:B1496,"5 6 1 1*")</f>
        <v>0</v>
      </c>
      <c r="H1472" s="83">
        <f t="shared" si="23"/>
        <v>380000</v>
      </c>
      <c r="I1472" s="83"/>
      <c r="K1472" s="54" t="s">
        <v>15</v>
      </c>
    </row>
    <row r="1473" spans="2:11" ht="16.5" x14ac:dyDescent="0.2">
      <c r="B1473" s="82" t="s">
        <v>10109</v>
      </c>
      <c r="C1473" s="82" t="s">
        <v>10110</v>
      </c>
      <c r="D1473" s="83">
        <f>SUMIFS(D1474:D1496,K1474:K1496,"0",B1474:B1496,"5 6 1 1 2*")-SUMIFS(E1474:E1496,K1474:K1496,"0",B1474:B1496,"5 6 1 1 2*")</f>
        <v>0</v>
      </c>
      <c r="E1473" s="54"/>
      <c r="F1473" s="83">
        <f>SUMIFS(F1474:F1496,K1474:K1496,"0",B1474:B1496,"5 6 1 1 2*")</f>
        <v>380000</v>
      </c>
      <c r="G1473" s="83">
        <f>SUMIFS(G1474:G1496,K1474:K1496,"0",B1474:B1496,"5 6 1 1 2*")</f>
        <v>0</v>
      </c>
      <c r="H1473" s="83">
        <f t="shared" si="23"/>
        <v>380000</v>
      </c>
      <c r="I1473" s="83"/>
      <c r="K1473" s="54" t="s">
        <v>15</v>
      </c>
    </row>
    <row r="1474" spans="2:11" ht="12.75" x14ac:dyDescent="0.2">
      <c r="B1474" s="82" t="s">
        <v>10111</v>
      </c>
      <c r="C1474" s="82" t="s">
        <v>26</v>
      </c>
      <c r="D1474" s="83">
        <f>SUMIFS(D1475:D1496,K1475:K1496,"0",B1475:B1496,"5 6 1 1 2 12*")-SUMIFS(E1475:E1496,K1475:K1496,"0",B1475:B1496,"5 6 1 1 2 12*")</f>
        <v>0</v>
      </c>
      <c r="E1474" s="54"/>
      <c r="F1474" s="83">
        <f>SUMIFS(F1475:F1496,K1475:K1496,"0",B1475:B1496,"5 6 1 1 2 12*")</f>
        <v>380000</v>
      </c>
      <c r="G1474" s="83">
        <f>SUMIFS(G1475:G1496,K1475:K1496,"0",B1475:B1496,"5 6 1 1 2 12*")</f>
        <v>0</v>
      </c>
      <c r="H1474" s="83">
        <f t="shared" si="23"/>
        <v>380000</v>
      </c>
      <c r="I1474" s="83"/>
      <c r="K1474" s="54" t="s">
        <v>15</v>
      </c>
    </row>
    <row r="1475" spans="2:11" ht="16.5" x14ac:dyDescent="0.2">
      <c r="B1475" s="82" t="s">
        <v>10112</v>
      </c>
      <c r="C1475" s="82" t="s">
        <v>28</v>
      </c>
      <c r="D1475" s="83">
        <f>SUMIFS(D1476:D1496,K1476:K1496,"0",B1476:B1496,"5 6 1 1 2 12 31111*")-SUMIFS(E1476:E1496,K1476:K1496,"0",B1476:B1496,"5 6 1 1 2 12 31111*")</f>
        <v>0</v>
      </c>
      <c r="E1475" s="54"/>
      <c r="F1475" s="83">
        <f>SUMIFS(F1476:F1496,K1476:K1496,"0",B1476:B1496,"5 6 1 1 2 12 31111*")</f>
        <v>380000</v>
      </c>
      <c r="G1475" s="83">
        <f>SUMIFS(G1476:G1496,K1476:K1496,"0",B1476:B1496,"5 6 1 1 2 12 31111*")</f>
        <v>0</v>
      </c>
      <c r="H1475" s="83">
        <f t="shared" si="23"/>
        <v>380000</v>
      </c>
      <c r="I1475" s="83"/>
      <c r="K1475" s="54" t="s">
        <v>15</v>
      </c>
    </row>
    <row r="1476" spans="2:11" ht="12.75" x14ac:dyDescent="0.2">
      <c r="B1476" s="82" t="s">
        <v>10113</v>
      </c>
      <c r="C1476" s="82" t="s">
        <v>30</v>
      </c>
      <c r="D1476" s="83">
        <f>SUMIFS(D1477:D1496,K1477:K1496,"0",B1477:B1496,"5 6 1 1 2 12 31111 6*")-SUMIFS(E1477:E1496,K1477:K1496,"0",B1477:B1496,"5 6 1 1 2 12 31111 6*")</f>
        <v>0</v>
      </c>
      <c r="E1476" s="54"/>
      <c r="F1476" s="83">
        <f>SUMIFS(F1477:F1496,K1477:K1496,"0",B1477:B1496,"5 6 1 1 2 12 31111 6*")</f>
        <v>380000</v>
      </c>
      <c r="G1476" s="83">
        <f>SUMIFS(G1477:G1496,K1477:K1496,"0",B1477:B1496,"5 6 1 1 2 12 31111 6*")</f>
        <v>0</v>
      </c>
      <c r="H1476" s="83">
        <f t="shared" si="23"/>
        <v>380000</v>
      </c>
      <c r="I1476" s="83"/>
      <c r="K1476" s="54" t="s">
        <v>15</v>
      </c>
    </row>
    <row r="1477" spans="2:11" ht="16.5" x14ac:dyDescent="0.2">
      <c r="B1477" s="82" t="s">
        <v>10114</v>
      </c>
      <c r="C1477" s="82" t="s">
        <v>32</v>
      </c>
      <c r="D1477" s="83">
        <f>SUMIFS(D1478:D1496,K1478:K1496,"0",B1478:B1496,"5 6 1 1 2 12 31111 6 M59*")-SUMIFS(E1478:E1496,K1478:K1496,"0",B1478:B1496,"5 6 1 1 2 12 31111 6 M59*")</f>
        <v>0</v>
      </c>
      <c r="E1477" s="54"/>
      <c r="F1477" s="83">
        <f>SUMIFS(F1478:F1496,K1478:K1496,"0",B1478:B1496,"5 6 1 1 2 12 31111 6 M59*")</f>
        <v>380000</v>
      </c>
      <c r="G1477" s="83">
        <f>SUMIFS(G1478:G1496,K1478:K1496,"0",B1478:B1496,"5 6 1 1 2 12 31111 6 M59*")</f>
        <v>0</v>
      </c>
      <c r="H1477" s="83">
        <f t="shared" si="23"/>
        <v>380000</v>
      </c>
      <c r="I1477" s="83"/>
      <c r="K1477" s="54" t="s">
        <v>15</v>
      </c>
    </row>
    <row r="1478" spans="2:11" ht="16.5" x14ac:dyDescent="0.2">
      <c r="B1478" s="82" t="s">
        <v>10115</v>
      </c>
      <c r="C1478" s="82" t="s">
        <v>664</v>
      </c>
      <c r="D1478" s="83">
        <f>SUMIFS(D1479:D1496,K1479:K1496,"0",B1479:B1496,"5 6 1 1 2 12 31111 6 M59 00003*")-SUMIFS(E1479:E1496,K1479:K1496,"0",B1479:B1496,"5 6 1 1 2 12 31111 6 M59 00003*")</f>
        <v>0</v>
      </c>
      <c r="E1478" s="54"/>
      <c r="F1478" s="83">
        <f>SUMIFS(F1479:F1496,K1479:K1496,"0",B1479:B1496,"5 6 1 1 2 12 31111 6 M59 00003*")</f>
        <v>380000</v>
      </c>
      <c r="G1478" s="83">
        <f>SUMIFS(G1479:G1496,K1479:K1496,"0",B1479:B1496,"5 6 1 1 2 12 31111 6 M59 00003*")</f>
        <v>0</v>
      </c>
      <c r="H1478" s="83">
        <f t="shared" si="23"/>
        <v>380000</v>
      </c>
      <c r="I1478" s="83"/>
      <c r="K1478" s="54" t="s">
        <v>15</v>
      </c>
    </row>
    <row r="1479" spans="2:11" ht="16.5" x14ac:dyDescent="0.2">
      <c r="B1479" s="82" t="s">
        <v>10116</v>
      </c>
      <c r="C1479" s="82" t="s">
        <v>10117</v>
      </c>
      <c r="D1479" s="83">
        <f>SUMIFS(D1480:D1496,K1480:K1496,"0",B1480:B1496,"5 6 1 1 2 12 31111 6 M59 00003 000001*")-SUMIFS(E1480:E1496,K1480:K1496,"0",B1480:B1496,"5 6 1 1 2 12 31111 6 M59 00003 000001*")</f>
        <v>0</v>
      </c>
      <c r="E1479" s="54"/>
      <c r="F1479" s="83">
        <f>SUMIFS(F1480:F1496,K1480:K1496,"0",B1480:B1496,"5 6 1 1 2 12 31111 6 M59 00003 000001*")</f>
        <v>380000</v>
      </c>
      <c r="G1479" s="83">
        <f>SUMIFS(G1480:G1496,K1480:K1496,"0",B1480:B1496,"5 6 1 1 2 12 31111 6 M59 00003 000001*")</f>
        <v>0</v>
      </c>
      <c r="H1479" s="83">
        <f t="shared" si="23"/>
        <v>380000</v>
      </c>
      <c r="I1479" s="83"/>
      <c r="K1479" s="54" t="s">
        <v>15</v>
      </c>
    </row>
    <row r="1480" spans="2:11" ht="24.75" x14ac:dyDescent="0.2">
      <c r="B1480" s="82" t="s">
        <v>10118</v>
      </c>
      <c r="C1480" s="82" t="s">
        <v>666</v>
      </c>
      <c r="D1480" s="83">
        <f>SUMIFS(D1481:D1496,K1481:K1496,"0",B1481:B1496,"5 6 1 1 2 12 31111 6 M59 00003 000001 00001*")-SUMIFS(E1481:E1496,K1481:K1496,"0",B1481:B1496,"5 6 1 1 2 12 31111 6 M59 00003 000001 00001*")</f>
        <v>0</v>
      </c>
      <c r="E1480" s="54"/>
      <c r="F1480" s="83">
        <f>SUMIFS(F1481:F1496,K1481:K1496,"0",B1481:B1496,"5 6 1 1 2 12 31111 6 M59 00003 000001 00001*")</f>
        <v>380000</v>
      </c>
      <c r="G1480" s="83">
        <f>SUMIFS(G1481:G1496,K1481:K1496,"0",B1481:B1496,"5 6 1 1 2 12 31111 6 M59 00003 000001 00001*")</f>
        <v>0</v>
      </c>
      <c r="H1480" s="83">
        <f t="shared" si="23"/>
        <v>380000</v>
      </c>
      <c r="I1480" s="83"/>
      <c r="K1480" s="54" t="s">
        <v>15</v>
      </c>
    </row>
    <row r="1481" spans="2:11" ht="33" x14ac:dyDescent="0.2">
      <c r="B1481" s="84" t="s">
        <v>10119</v>
      </c>
      <c r="C1481" s="84" t="s">
        <v>668</v>
      </c>
      <c r="D1481" s="85">
        <v>0</v>
      </c>
      <c r="E1481" s="85"/>
      <c r="F1481" s="85">
        <v>380000</v>
      </c>
      <c r="G1481" s="85">
        <v>0</v>
      </c>
      <c r="H1481" s="85">
        <f t="shared" si="23"/>
        <v>380000</v>
      </c>
      <c r="I1481" s="85"/>
      <c r="K1481" s="54" t="s">
        <v>38</v>
      </c>
    </row>
    <row r="1482" spans="2:11" ht="16.5" x14ac:dyDescent="0.2">
      <c r="B1482" s="82" t="s">
        <v>10160</v>
      </c>
      <c r="C1482" s="82" t="s">
        <v>10161</v>
      </c>
      <c r="D1482" s="83">
        <f>SUMIFS(D1483:D1496,K1483:K1496,"0",B1483:B1496,"8*")-SUMIFS(E1483:E1496,K1483:K1496,"0",B1483:B1496,"8*")</f>
        <v>0</v>
      </c>
      <c r="E1482" s="54"/>
      <c r="F1482" s="83">
        <f>SUMIFS(F1483:F1496,K1483:K1496,"0",B1483:B1496,"8*")</f>
        <v>485754454.41000009</v>
      </c>
      <c r="G1482" s="83">
        <f>SUMIFS(G1483:G1496,K1483:K1496,"0",B1483:B1496,"8*")</f>
        <v>485754454.41000009</v>
      </c>
      <c r="H1482" s="83">
        <f t="shared" si="23"/>
        <v>0</v>
      </c>
      <c r="I1482" s="83"/>
      <c r="K1482" s="54" t="s">
        <v>15</v>
      </c>
    </row>
    <row r="1483" spans="2:11" ht="12.75" x14ac:dyDescent="0.2">
      <c r="B1483" s="82" t="s">
        <v>10162</v>
      </c>
      <c r="C1483" s="82" t="s">
        <v>10163</v>
      </c>
      <c r="D1483" s="83">
        <f>SUMIFS(D1484:D1496,K1484:K1496,"0",B1484:B1496,"8 1*")-SUMIFS(E1484:E1496,K1484:K1496,"0",B1484:B1496,"8 1*")</f>
        <v>0</v>
      </c>
      <c r="E1483" s="54"/>
      <c r="F1483" s="83">
        <f>SUMIFS(F1484:F1496,K1484:K1496,"0",B1484:B1496,"8 1*")</f>
        <v>178272540.21000001</v>
      </c>
      <c r="G1483" s="83">
        <f>SUMIFS(G1484:G1496,K1484:K1496,"0",B1484:B1496,"8 1*")</f>
        <v>178272540.21000001</v>
      </c>
      <c r="H1483" s="83">
        <f t="shared" si="23"/>
        <v>0</v>
      </c>
      <c r="I1483" s="83"/>
      <c r="K1483" s="54" t="s">
        <v>15</v>
      </c>
    </row>
    <row r="1484" spans="2:11" ht="12.75" x14ac:dyDescent="0.2">
      <c r="B1484" s="84" t="s">
        <v>10164</v>
      </c>
      <c r="C1484" s="84" t="s">
        <v>10165</v>
      </c>
      <c r="D1484" s="85">
        <v>0</v>
      </c>
      <c r="E1484" s="85"/>
      <c r="F1484" s="85">
        <v>57931145.829999998</v>
      </c>
      <c r="G1484" s="85">
        <v>0</v>
      </c>
      <c r="H1484" s="85">
        <f t="shared" si="23"/>
        <v>57931145.829999998</v>
      </c>
      <c r="I1484" s="85"/>
      <c r="K1484" s="54" t="s">
        <v>38</v>
      </c>
    </row>
    <row r="1485" spans="2:11" ht="12.75" x14ac:dyDescent="0.2">
      <c r="B1485" s="84" t="s">
        <v>10166</v>
      </c>
      <c r="C1485" s="84" t="s">
        <v>10167</v>
      </c>
      <c r="D1485" s="85"/>
      <c r="E1485" s="85">
        <v>0</v>
      </c>
      <c r="F1485" s="85">
        <v>59424180.07</v>
      </c>
      <c r="G1485" s="85">
        <v>59424180.07</v>
      </c>
      <c r="H1485" s="85"/>
      <c r="I1485" s="85">
        <f>E1485 - F1485 + G1485</f>
        <v>0</v>
      </c>
      <c r="K1485" s="54" t="s">
        <v>38</v>
      </c>
    </row>
    <row r="1486" spans="2:11" ht="16.5" x14ac:dyDescent="0.2">
      <c r="B1486" s="84" t="s">
        <v>10168</v>
      </c>
      <c r="C1486" s="84" t="s">
        <v>10169</v>
      </c>
      <c r="D1486" s="85">
        <v>0</v>
      </c>
      <c r="E1486" s="85"/>
      <c r="F1486" s="85">
        <v>1493034.24</v>
      </c>
      <c r="G1486" s="85">
        <v>0</v>
      </c>
      <c r="H1486" s="85">
        <f>D1486 + F1486 - G1486</f>
        <v>1493034.24</v>
      </c>
      <c r="I1486" s="85"/>
      <c r="K1486" s="54" t="s">
        <v>38</v>
      </c>
    </row>
    <row r="1487" spans="2:11" ht="12.75" x14ac:dyDescent="0.2">
      <c r="B1487" s="84" t="s">
        <v>10170</v>
      </c>
      <c r="C1487" s="84" t="s">
        <v>10171</v>
      </c>
      <c r="D1487" s="85"/>
      <c r="E1487" s="85">
        <v>0</v>
      </c>
      <c r="F1487" s="85">
        <v>59424180.07</v>
      </c>
      <c r="G1487" s="85">
        <v>59424180.07</v>
      </c>
      <c r="H1487" s="85"/>
      <c r="I1487" s="85">
        <f>E1487 - F1487 + G1487</f>
        <v>0</v>
      </c>
      <c r="K1487" s="54" t="s">
        <v>38</v>
      </c>
    </row>
    <row r="1488" spans="2:11" ht="12.75" x14ac:dyDescent="0.2">
      <c r="B1488" s="84" t="s">
        <v>10172</v>
      </c>
      <c r="C1488" s="84" t="s">
        <v>10173</v>
      </c>
      <c r="D1488" s="85"/>
      <c r="E1488" s="85">
        <v>0</v>
      </c>
      <c r="F1488" s="85">
        <v>0</v>
      </c>
      <c r="G1488" s="85">
        <v>59424180.07</v>
      </c>
      <c r="H1488" s="85"/>
      <c r="I1488" s="85">
        <f>E1488 - F1488 + G1488</f>
        <v>59424180.07</v>
      </c>
      <c r="K1488" s="54" t="s">
        <v>38</v>
      </c>
    </row>
    <row r="1489" spans="2:11" ht="12.75" x14ac:dyDescent="0.2">
      <c r="B1489" s="82" t="s">
        <v>10174</v>
      </c>
      <c r="C1489" s="82" t="s">
        <v>10175</v>
      </c>
      <c r="D1489" s="54"/>
      <c r="E1489" s="83">
        <f>SUMIFS(E1490:E1496,K1490:K1496,"0",B1490:B1496,"8 2*")-SUMIFS(D1490:D1496,K1490:K1496,"0",B1490:B1496,"8 2*")</f>
        <v>0</v>
      </c>
      <c r="F1489" s="83">
        <f>SUMIFS(F1490:F1496,K1490:K1496,"0",B1490:B1496,"8 2*")</f>
        <v>307481914.20000005</v>
      </c>
      <c r="G1489" s="83">
        <f>SUMIFS(G1490:G1496,K1490:K1496,"0",B1490:B1496,"8 2*")</f>
        <v>307481914.20000005</v>
      </c>
      <c r="H1489" s="83"/>
      <c r="I1489" s="83">
        <f>E1489 - F1489 + G1489</f>
        <v>0</v>
      </c>
      <c r="K1489" s="54" t="s">
        <v>15</v>
      </c>
    </row>
    <row r="1490" spans="2:11" ht="16.5" x14ac:dyDescent="0.2">
      <c r="B1490" s="84" t="s">
        <v>10176</v>
      </c>
      <c r="C1490" s="84" t="s">
        <v>10177</v>
      </c>
      <c r="D1490" s="85"/>
      <c r="E1490" s="85">
        <v>0</v>
      </c>
      <c r="F1490" s="85">
        <v>0</v>
      </c>
      <c r="G1490" s="85">
        <v>57931145.829999998</v>
      </c>
      <c r="H1490" s="85"/>
      <c r="I1490" s="85">
        <f>E1490 - F1490 + G1490</f>
        <v>57931145.829999998</v>
      </c>
      <c r="K1490" s="54" t="s">
        <v>38</v>
      </c>
    </row>
    <row r="1491" spans="2:11" ht="16.5" x14ac:dyDescent="0.2">
      <c r="B1491" s="84" t="s">
        <v>10178</v>
      </c>
      <c r="C1491" s="84" t="s">
        <v>10179</v>
      </c>
      <c r="D1491" s="85">
        <v>0</v>
      </c>
      <c r="E1491" s="85"/>
      <c r="F1491" s="85">
        <v>61496382.840000004</v>
      </c>
      <c r="G1491" s="85">
        <v>61496382.840000004</v>
      </c>
      <c r="H1491" s="85">
        <f>D1491 + F1491 - G1491</f>
        <v>0</v>
      </c>
      <c r="I1491" s="85"/>
      <c r="K1491" s="54" t="s">
        <v>38</v>
      </c>
    </row>
    <row r="1492" spans="2:11" ht="16.5" x14ac:dyDescent="0.2">
      <c r="B1492" s="84" t="s">
        <v>10180</v>
      </c>
      <c r="C1492" s="84" t="s">
        <v>10181</v>
      </c>
      <c r="D1492" s="85"/>
      <c r="E1492" s="85">
        <v>0</v>
      </c>
      <c r="F1492" s="85">
        <v>0</v>
      </c>
      <c r="G1492" s="85">
        <v>3565237.01</v>
      </c>
      <c r="H1492" s="85"/>
      <c r="I1492" s="85">
        <f>E1492 - F1492 + G1492</f>
        <v>3565237.01</v>
      </c>
      <c r="K1492" s="54" t="s">
        <v>38</v>
      </c>
    </row>
    <row r="1493" spans="2:11" ht="16.5" x14ac:dyDescent="0.2">
      <c r="B1493" s="84" t="s">
        <v>10182</v>
      </c>
      <c r="C1493" s="84" t="s">
        <v>10183</v>
      </c>
      <c r="D1493" s="85">
        <v>0</v>
      </c>
      <c r="E1493" s="85"/>
      <c r="F1493" s="85">
        <v>61496382.840000004</v>
      </c>
      <c r="G1493" s="85">
        <v>61496382.840000004</v>
      </c>
      <c r="H1493" s="85">
        <f>D1493 + F1493 - G1493</f>
        <v>0</v>
      </c>
      <c r="I1493" s="85"/>
      <c r="K1493" s="54" t="s">
        <v>38</v>
      </c>
    </row>
    <row r="1494" spans="2:11" ht="16.5" x14ac:dyDescent="0.2">
      <c r="B1494" s="84" t="s">
        <v>10184</v>
      </c>
      <c r="C1494" s="84" t="s">
        <v>10185</v>
      </c>
      <c r="D1494" s="85">
        <v>0</v>
      </c>
      <c r="E1494" s="85"/>
      <c r="F1494" s="85">
        <v>61496382.840000004</v>
      </c>
      <c r="G1494" s="85">
        <v>61496382.840000004</v>
      </c>
      <c r="H1494" s="85">
        <f>D1494 + F1494 - G1494</f>
        <v>0</v>
      </c>
      <c r="I1494" s="85"/>
      <c r="K1494" s="54" t="s">
        <v>38</v>
      </c>
    </row>
    <row r="1495" spans="2:11" ht="16.5" x14ac:dyDescent="0.2">
      <c r="B1495" s="84" t="s">
        <v>10186</v>
      </c>
      <c r="C1495" s="84" t="s">
        <v>10187</v>
      </c>
      <c r="D1495" s="85">
        <v>0</v>
      </c>
      <c r="E1495" s="85"/>
      <c r="F1495" s="85">
        <v>61496382.840000004</v>
      </c>
      <c r="G1495" s="85">
        <v>61496382.840000004</v>
      </c>
      <c r="H1495" s="85">
        <f>D1495 + F1495 - G1495</f>
        <v>0</v>
      </c>
      <c r="I1495" s="85"/>
      <c r="K1495" s="54" t="s">
        <v>38</v>
      </c>
    </row>
    <row r="1496" spans="2:11" ht="12.75" x14ac:dyDescent="0.2">
      <c r="B1496" s="84" t="s">
        <v>10188</v>
      </c>
      <c r="C1496" s="84" t="s">
        <v>10189</v>
      </c>
      <c r="D1496" s="85">
        <v>0</v>
      </c>
      <c r="E1496" s="85"/>
      <c r="F1496" s="85">
        <v>61496382.840000004</v>
      </c>
      <c r="G1496" s="85">
        <v>0</v>
      </c>
      <c r="H1496" s="85">
        <f>D1496 + F1496 - G1496</f>
        <v>61496382.840000004</v>
      </c>
      <c r="I1496" s="85"/>
      <c r="K1496" s="54" t="s">
        <v>38</v>
      </c>
    </row>
    <row r="1498" spans="2:11" x14ac:dyDescent="0.2">
      <c r="D1498" s="87">
        <f>SUMIF(K12:K1496,"=0",D12:D1496)</f>
        <v>10664297.680000002</v>
      </c>
      <c r="E1498" s="87">
        <f>SUMIF(K12:K1496,"=0",E12:E1496)</f>
        <v>10664297.680000002</v>
      </c>
      <c r="F1498" s="87">
        <f>SUMIF(K12:K1496,"=0",F12:F1496)</f>
        <v>742818596.36000013</v>
      </c>
      <c r="G1498" s="87">
        <f>SUMIF(K12:K1496,"=0",G12:G1496)</f>
        <v>742818596.36000001</v>
      </c>
      <c r="H1498" s="87">
        <f>SUMIF(K12:K1496,"=0",H12:H1496)</f>
        <v>193810216.70999998</v>
      </c>
      <c r="I1498" s="87">
        <f>SUMIF(K12:K1496,"=0",I12:I1496)</f>
        <v>193810216.70999998</v>
      </c>
    </row>
    <row r="1502" spans="2:11" x14ac:dyDescent="0.2">
      <c r="B1502" s="88" t="str">
        <f>IF(AND(ROUND(D1498, 2)=ROUND(E1498, 2), ROUND(F1498, 2)=ROUND(G1498, 2), ROUND(H1498,2)=ROUND(I1498,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9:E9"/>
    <mergeCell ref="F9:G9"/>
    <mergeCell ref="H9:I9"/>
    <mergeCell ref="D10:E10"/>
    <mergeCell ref="F10:G10"/>
    <mergeCell ref="H10:I10"/>
    <mergeCell ref="B2:I2"/>
    <mergeCell ref="B3:I3"/>
    <mergeCell ref="B4:I4"/>
    <mergeCell ref="B5:I5"/>
    <mergeCell ref="B6:I6"/>
    <mergeCell ref="B7:I7"/>
  </mergeCells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AB4D9-7D88-4B67-8AC6-35DDFCAAE69F}">
  <dimension ref="A1:K1480"/>
  <sheetViews>
    <sheetView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81" customWidth="1" collapsed="1"/>
    <col min="2" max="2" width="16.42578125" style="81" customWidth="1" collapsed="1"/>
    <col min="3" max="3" width="23" style="86" customWidth="1" collapsed="1"/>
    <col min="4" max="6" width="13.28515625" style="89" customWidth="1" collapsed="1"/>
    <col min="7" max="7" width="13.28515625" style="81" customWidth="1" collapsed="1"/>
    <col min="8" max="8" width="13.28515625" style="86" customWidth="1" collapsed="1"/>
    <col min="9" max="9" width="13.28515625" style="89" customWidth="1" collapsed="1"/>
    <col min="10" max="10" width="0.7109375" style="81" customWidth="1" collapsed="1"/>
    <col min="11" max="11" width="13.7109375" style="81" hidden="1" customWidth="1" collapsed="1"/>
    <col min="12" max="13" width="0" style="81" hidden="1" customWidth="1" collapsed="1"/>
    <col min="14" max="16384" width="9.140625" style="81" collapsed="1"/>
  </cols>
  <sheetData>
    <row r="1" spans="1:11" s="51" customFormat="1" ht="5.25" customHeight="1" x14ac:dyDescent="0.2">
      <c r="A1" s="47"/>
      <c r="B1" s="48"/>
      <c r="C1" s="49"/>
      <c r="D1" s="50"/>
      <c r="E1" s="50"/>
      <c r="F1" s="50"/>
      <c r="G1" s="48"/>
      <c r="H1" s="49"/>
      <c r="I1" s="50"/>
      <c r="J1" s="47"/>
    </row>
    <row r="2" spans="1:11" s="54" customFormat="1" ht="13.5" customHeight="1" x14ac:dyDescent="0.2">
      <c r="A2" s="52"/>
      <c r="B2" s="53" t="s">
        <v>7</v>
      </c>
      <c r="C2" s="53"/>
      <c r="D2" s="53"/>
      <c r="E2" s="53"/>
      <c r="F2" s="53"/>
      <c r="G2" s="53"/>
      <c r="H2" s="53"/>
      <c r="I2" s="53"/>
      <c r="J2" s="52"/>
    </row>
    <row r="3" spans="1:11" s="57" customFormat="1" ht="13.5" customHeight="1" x14ac:dyDescent="0.2">
      <c r="A3" s="55"/>
      <c r="B3" s="56" t="s">
        <v>8</v>
      </c>
      <c r="C3" s="56"/>
      <c r="D3" s="56"/>
      <c r="E3" s="56"/>
      <c r="F3" s="56"/>
      <c r="G3" s="56"/>
      <c r="H3" s="56"/>
      <c r="I3" s="56"/>
      <c r="J3" s="55"/>
    </row>
    <row r="4" spans="1:11" s="57" customFormat="1" ht="13.5" customHeight="1" x14ac:dyDescent="0.2">
      <c r="A4" s="55"/>
      <c r="B4" s="58" t="s">
        <v>1364</v>
      </c>
      <c r="C4" s="58"/>
      <c r="D4" s="58"/>
      <c r="E4" s="58"/>
      <c r="F4" s="58"/>
      <c r="G4" s="58"/>
      <c r="H4" s="58"/>
      <c r="I4" s="58"/>
      <c r="J4" s="55"/>
    </row>
    <row r="5" spans="1:11" s="57" customFormat="1" ht="13.5" customHeight="1" x14ac:dyDescent="0.2">
      <c r="A5" s="55"/>
      <c r="B5" s="58" t="s">
        <v>10</v>
      </c>
      <c r="C5" s="58"/>
      <c r="D5" s="58"/>
      <c r="E5" s="58"/>
      <c r="F5" s="58"/>
      <c r="G5" s="58"/>
      <c r="H5" s="58"/>
      <c r="I5" s="58"/>
      <c r="J5" s="55"/>
    </row>
    <row r="6" spans="1:11" s="54" customFormat="1" ht="13.5" customHeight="1" x14ac:dyDescent="0.2">
      <c r="A6" s="52"/>
      <c r="B6" s="59" t="s">
        <v>10192</v>
      </c>
      <c r="C6" s="59"/>
      <c r="D6" s="59"/>
      <c r="E6" s="59"/>
      <c r="F6" s="59"/>
      <c r="G6" s="59"/>
      <c r="H6" s="59"/>
      <c r="I6" s="59"/>
      <c r="J6" s="52"/>
    </row>
    <row r="7" spans="1:11" s="54" customFormat="1" ht="13.5" customHeight="1" x14ac:dyDescent="0.2">
      <c r="A7" s="52"/>
      <c r="B7" s="58"/>
      <c r="C7" s="58"/>
      <c r="D7" s="58"/>
      <c r="E7" s="58"/>
      <c r="F7" s="58"/>
      <c r="G7" s="58"/>
      <c r="H7" s="58"/>
      <c r="I7" s="58"/>
      <c r="J7" s="52"/>
    </row>
    <row r="8" spans="1:11" s="54" customFormat="1" ht="8.25" customHeight="1" x14ac:dyDescent="0.2">
      <c r="B8" s="60"/>
      <c r="C8" s="60"/>
      <c r="D8" s="60"/>
      <c r="E8" s="60"/>
      <c r="F8" s="60"/>
      <c r="G8" s="60"/>
      <c r="H8" s="60"/>
      <c r="I8" s="60"/>
    </row>
    <row r="9" spans="1:11" s="54" customFormat="1" ht="12.75" x14ac:dyDescent="0.2">
      <c r="A9" s="61"/>
      <c r="B9" s="62"/>
      <c r="C9" s="62"/>
      <c r="D9" s="63" t="s">
        <v>6</v>
      </c>
      <c r="E9" s="64"/>
      <c r="F9" s="63" t="s">
        <v>5</v>
      </c>
      <c r="G9" s="64"/>
      <c r="H9" s="65" t="s">
        <v>4</v>
      </c>
      <c r="I9" s="65"/>
      <c r="J9" s="66"/>
    </row>
    <row r="10" spans="1:11" s="54" customFormat="1" ht="12.75" x14ac:dyDescent="0.2">
      <c r="A10" s="67"/>
      <c r="B10" s="68" t="s">
        <v>2</v>
      </c>
      <c r="C10" s="69" t="s">
        <v>3</v>
      </c>
      <c r="D10" s="70" t="s">
        <v>10193</v>
      </c>
      <c r="E10" s="71"/>
      <c r="F10" s="70" t="s">
        <v>10194</v>
      </c>
      <c r="G10" s="71"/>
      <c r="H10" s="72" t="s">
        <v>14</v>
      </c>
      <c r="I10" s="72"/>
      <c r="J10" s="73"/>
    </row>
    <row r="11" spans="1:11" x14ac:dyDescent="0.15">
      <c r="A11" s="74"/>
      <c r="B11" s="75"/>
      <c r="C11" s="76"/>
      <c r="D11" s="77" t="s">
        <v>0</v>
      </c>
      <c r="E11" s="78" t="s">
        <v>1</v>
      </c>
      <c r="F11" s="77" t="s">
        <v>0</v>
      </c>
      <c r="G11" s="78" t="s">
        <v>1</v>
      </c>
      <c r="H11" s="79" t="s">
        <v>0</v>
      </c>
      <c r="I11" s="79" t="s">
        <v>1</v>
      </c>
      <c r="J11" s="80"/>
    </row>
    <row r="12" spans="1:11" ht="12.75" x14ac:dyDescent="0.2">
      <c r="B12" s="82" t="s">
        <v>15</v>
      </c>
      <c r="C12" s="82" t="s">
        <v>16</v>
      </c>
      <c r="D12" s="83">
        <f>SUMIFS(D13:D1474,K13:K1474,"0",B13:B1474,"1*")-SUMIFS(E13:E1474,K13:K1474,"0",B13:B1474,"1*")</f>
        <v>13725791.189999998</v>
      </c>
      <c r="E12" s="54"/>
      <c r="F12" s="83">
        <f>SUMIFS(F13:F1474,K13:K1474,"0",B13:B1474,"1*")</f>
        <v>5003962.63</v>
      </c>
      <c r="G12" s="83">
        <f>SUMIFS(G13:G1474,K13:K1474,"0",B13:B1474,"1*")</f>
        <v>5862354.0899999999</v>
      </c>
      <c r="H12" s="83">
        <f t="shared" ref="H12:H75" si="0">D12 + F12 - G12</f>
        <v>12867399.729999997</v>
      </c>
      <c r="I12" s="83"/>
      <c r="K12" s="54" t="s">
        <v>15</v>
      </c>
    </row>
    <row r="13" spans="1:11" ht="12.75" x14ac:dyDescent="0.2">
      <c r="B13" s="82" t="s">
        <v>17</v>
      </c>
      <c r="C13" s="82" t="s">
        <v>18</v>
      </c>
      <c r="D13" s="83">
        <f>SUMIFS(D14:D1474,K14:K1474,"0",B14:B1474,"1 1*")-SUMIFS(E14:E1474,K14:K1474,"0",B14:B1474,"1 1*")</f>
        <v>12241809.409999998</v>
      </c>
      <c r="E13" s="54"/>
      <c r="F13" s="83">
        <f>SUMIFS(F14:F1474,K14:K1474,"0",B14:B1474,"1 1*")</f>
        <v>3623399.63</v>
      </c>
      <c r="G13" s="83">
        <f>SUMIFS(G14:G1474,K14:K1474,"0",B14:B1474,"1 1*")</f>
        <v>4481791.09</v>
      </c>
      <c r="H13" s="83">
        <f t="shared" si="0"/>
        <v>11383417.949999999</v>
      </c>
      <c r="I13" s="83"/>
      <c r="K13" s="54" t="s">
        <v>15</v>
      </c>
    </row>
    <row r="14" spans="1:11" ht="12.75" x14ac:dyDescent="0.2">
      <c r="B14" s="82" t="s">
        <v>19</v>
      </c>
      <c r="C14" s="82" t="s">
        <v>20</v>
      </c>
      <c r="D14" s="83">
        <f>SUMIFS(D15:D1474,K15:K1474,"0",B15:B1474,"1 1 1*")-SUMIFS(E15:E1474,K15:K1474,"0",B15:B1474,"1 1 1*")</f>
        <v>1120343.4600000002</v>
      </c>
      <c r="E14" s="54"/>
      <c r="F14" s="83">
        <f>SUMIFS(F15:F1474,K15:K1474,"0",B15:B1474,"1 1 1*")</f>
        <v>3133645.25</v>
      </c>
      <c r="G14" s="83">
        <f>SUMIFS(G15:G1474,K15:K1474,"0",B15:B1474,"1 1 1*")</f>
        <v>4068531.51</v>
      </c>
      <c r="H14" s="83">
        <f t="shared" si="0"/>
        <v>185457.20000000019</v>
      </c>
      <c r="I14" s="83"/>
      <c r="K14" s="54" t="s">
        <v>15</v>
      </c>
    </row>
    <row r="15" spans="1:11" ht="12.75" x14ac:dyDescent="0.2">
      <c r="B15" s="82" t="s">
        <v>21</v>
      </c>
      <c r="C15" s="82" t="s">
        <v>22</v>
      </c>
      <c r="D15" s="83">
        <f>SUMIFS(D16:D1474,K16:K1474,"0",B16:B1474,"1 1 1 1*")-SUMIFS(E16:E1474,K16:K1474,"0",B16:B1474,"1 1 1 1*")</f>
        <v>-3059.19</v>
      </c>
      <c r="E15" s="54"/>
      <c r="F15" s="83">
        <f>SUMIFS(F16:F1474,K16:K1474,"0",B16:B1474,"1 1 1 1*")</f>
        <v>412868.57</v>
      </c>
      <c r="G15" s="83">
        <f>SUMIFS(G16:G1474,K16:K1474,"0",B16:B1474,"1 1 1 1*")</f>
        <v>409074.57</v>
      </c>
      <c r="H15" s="83">
        <f t="shared" si="0"/>
        <v>734.80999999999767</v>
      </c>
      <c r="I15" s="83"/>
      <c r="K15" s="54" t="s">
        <v>15</v>
      </c>
    </row>
    <row r="16" spans="1:11" ht="12.75" x14ac:dyDescent="0.2">
      <c r="B16" s="82" t="s">
        <v>23</v>
      </c>
      <c r="C16" s="82" t="s">
        <v>24</v>
      </c>
      <c r="D16" s="83">
        <f>SUMIFS(D17:D1474,K17:K1474,"0",B17:B1474,"1 1 1 1 1*")-SUMIFS(E17:E1474,K17:K1474,"0",B17:B1474,"1 1 1 1 1*")</f>
        <v>-3059.19</v>
      </c>
      <c r="E16" s="54"/>
      <c r="F16" s="83">
        <f>SUMIFS(F17:F1474,K17:K1474,"0",B17:B1474,"1 1 1 1 1*")</f>
        <v>412868.57</v>
      </c>
      <c r="G16" s="83">
        <f>SUMIFS(G17:G1474,K17:K1474,"0",B17:B1474,"1 1 1 1 1*")</f>
        <v>409074.57</v>
      </c>
      <c r="H16" s="83">
        <f t="shared" si="0"/>
        <v>734.80999999999767</v>
      </c>
      <c r="I16" s="83"/>
      <c r="K16" s="54" t="s">
        <v>15</v>
      </c>
    </row>
    <row r="17" spans="2:11" ht="12.75" x14ac:dyDescent="0.2">
      <c r="B17" s="82" t="s">
        <v>25</v>
      </c>
      <c r="C17" s="82" t="s">
        <v>26</v>
      </c>
      <c r="D17" s="83">
        <f>SUMIFS(D18:D1474,K18:K1474,"0",B18:B1474,"1 1 1 1 1 12*")-SUMIFS(E18:E1474,K18:K1474,"0",B18:B1474,"1 1 1 1 1 12*")</f>
        <v>-3059.19</v>
      </c>
      <c r="E17" s="54"/>
      <c r="F17" s="83">
        <f>SUMIFS(F18:F1474,K18:K1474,"0",B18:B1474,"1 1 1 1 1 12*")</f>
        <v>412868.57</v>
      </c>
      <c r="G17" s="83">
        <f>SUMIFS(G18:G1474,K18:K1474,"0",B18:B1474,"1 1 1 1 1 12*")</f>
        <v>409074.57</v>
      </c>
      <c r="H17" s="83">
        <f t="shared" si="0"/>
        <v>734.80999999999767</v>
      </c>
      <c r="I17" s="83"/>
      <c r="K17" s="54" t="s">
        <v>15</v>
      </c>
    </row>
    <row r="18" spans="2:11" ht="16.5" x14ac:dyDescent="0.2">
      <c r="B18" s="82" t="s">
        <v>27</v>
      </c>
      <c r="C18" s="82" t="s">
        <v>28</v>
      </c>
      <c r="D18" s="83">
        <f>SUMIFS(D19:D1474,K19:K1474,"0",B19:B1474,"1 1 1 1 1 12 31111*")-SUMIFS(E19:E1474,K19:K1474,"0",B19:B1474,"1 1 1 1 1 12 31111*")</f>
        <v>-3059.19</v>
      </c>
      <c r="E18" s="54"/>
      <c r="F18" s="83">
        <f>SUMIFS(F19:F1474,K19:K1474,"0",B19:B1474,"1 1 1 1 1 12 31111*")</f>
        <v>412868.57</v>
      </c>
      <c r="G18" s="83">
        <f>SUMIFS(G19:G1474,K19:K1474,"0",B19:B1474,"1 1 1 1 1 12 31111*")</f>
        <v>409074.57</v>
      </c>
      <c r="H18" s="83">
        <f t="shared" si="0"/>
        <v>734.80999999999767</v>
      </c>
      <c r="I18" s="83"/>
      <c r="K18" s="54" t="s">
        <v>15</v>
      </c>
    </row>
    <row r="19" spans="2:11" ht="12.75" x14ac:dyDescent="0.2">
      <c r="B19" s="82" t="s">
        <v>29</v>
      </c>
      <c r="C19" s="82" t="s">
        <v>30</v>
      </c>
      <c r="D19" s="83">
        <f>SUMIFS(D20:D1474,K20:K1474,"0",B20:B1474,"1 1 1 1 1 12 31111 6*")-SUMIFS(E20:E1474,K20:K1474,"0",B20:B1474,"1 1 1 1 1 12 31111 6*")</f>
        <v>-3059.19</v>
      </c>
      <c r="E19" s="54"/>
      <c r="F19" s="83">
        <f>SUMIFS(F20:F1474,K20:K1474,"0",B20:B1474,"1 1 1 1 1 12 31111 6*")</f>
        <v>412868.57</v>
      </c>
      <c r="G19" s="83">
        <f>SUMIFS(G20:G1474,K20:K1474,"0",B20:B1474,"1 1 1 1 1 12 31111 6*")</f>
        <v>409074.57</v>
      </c>
      <c r="H19" s="83">
        <f t="shared" si="0"/>
        <v>734.80999999999767</v>
      </c>
      <c r="I19" s="83"/>
      <c r="K19" s="54" t="s">
        <v>15</v>
      </c>
    </row>
    <row r="20" spans="2:11" ht="12.75" x14ac:dyDescent="0.2">
      <c r="B20" s="82" t="s">
        <v>31</v>
      </c>
      <c r="C20" s="82" t="s">
        <v>32</v>
      </c>
      <c r="D20" s="83">
        <f>SUMIFS(D21:D1474,K21:K1474,"0",B21:B1474,"1 1 1 1 1 12 31111 6 M59*")-SUMIFS(E21:E1474,K21:K1474,"0",B21:B1474,"1 1 1 1 1 12 31111 6 M59*")</f>
        <v>-3059.19</v>
      </c>
      <c r="E20" s="54"/>
      <c r="F20" s="83">
        <f>SUMIFS(F21:F1474,K21:K1474,"0",B21:B1474,"1 1 1 1 1 12 31111 6 M59*")</f>
        <v>412868.57</v>
      </c>
      <c r="G20" s="83">
        <f>SUMIFS(G21:G1474,K21:K1474,"0",B21:B1474,"1 1 1 1 1 12 31111 6 M59*")</f>
        <v>409074.57</v>
      </c>
      <c r="H20" s="83">
        <f t="shared" si="0"/>
        <v>734.80999999999767</v>
      </c>
      <c r="I20" s="83"/>
      <c r="K20" s="54" t="s">
        <v>15</v>
      </c>
    </row>
    <row r="21" spans="2:11" ht="16.5" x14ac:dyDescent="0.2">
      <c r="B21" s="82" t="s">
        <v>45</v>
      </c>
      <c r="C21" s="82" t="s">
        <v>46</v>
      </c>
      <c r="D21" s="83">
        <f>SUMIFS(D22:D1474,K22:K1474,"0",B22:B1474,"1 1 1 1 1 12 31111 6 M59 00004*")-SUMIFS(E22:E1474,K22:K1474,"0",B22:B1474,"1 1 1 1 1 12 31111 6 M59 00004*")</f>
        <v>-3059.19</v>
      </c>
      <c r="E21" s="54"/>
      <c r="F21" s="83">
        <f>SUMIFS(F22:F1474,K22:K1474,"0",B22:B1474,"1 1 1 1 1 12 31111 6 M59 00004*")</f>
        <v>412868.57</v>
      </c>
      <c r="G21" s="83">
        <f>SUMIFS(G22:G1474,K22:K1474,"0",B22:B1474,"1 1 1 1 1 12 31111 6 M59 00004*")</f>
        <v>409074.57</v>
      </c>
      <c r="H21" s="83">
        <f t="shared" si="0"/>
        <v>734.80999999999767</v>
      </c>
      <c r="I21" s="83"/>
      <c r="K21" s="54" t="s">
        <v>15</v>
      </c>
    </row>
    <row r="22" spans="2:11" ht="16.5" x14ac:dyDescent="0.2">
      <c r="B22" s="82" t="s">
        <v>47</v>
      </c>
      <c r="C22" s="82" t="s">
        <v>42</v>
      </c>
      <c r="D22" s="83">
        <f>SUMIFS(D23:D1474,K23:K1474,"0",B23:B1474,"1 1 1 1 1 12 31111 6 M59 00004 000001*")-SUMIFS(E23:E1474,K23:K1474,"0",B23:B1474,"1 1 1 1 1 12 31111 6 M59 00004 000001*")</f>
        <v>-3059.19</v>
      </c>
      <c r="E22" s="54"/>
      <c r="F22" s="83">
        <f>SUMIFS(F23:F1474,K23:K1474,"0",B23:B1474,"1 1 1 1 1 12 31111 6 M59 00004 000001*")</f>
        <v>412868.57</v>
      </c>
      <c r="G22" s="83">
        <f>SUMIFS(G23:G1474,K23:K1474,"0",B23:B1474,"1 1 1 1 1 12 31111 6 M59 00004 000001*")</f>
        <v>409074.57</v>
      </c>
      <c r="H22" s="83">
        <f t="shared" si="0"/>
        <v>734.80999999999767</v>
      </c>
      <c r="I22" s="83"/>
      <c r="K22" s="54" t="s">
        <v>15</v>
      </c>
    </row>
    <row r="23" spans="2:11" ht="16.5" x14ac:dyDescent="0.2">
      <c r="B23" s="84" t="s">
        <v>48</v>
      </c>
      <c r="C23" s="84" t="s">
        <v>49</v>
      </c>
      <c r="D23" s="85">
        <v>-3059.19</v>
      </c>
      <c r="E23" s="85"/>
      <c r="F23" s="85">
        <v>412868.57</v>
      </c>
      <c r="G23" s="85">
        <v>409074.57</v>
      </c>
      <c r="H23" s="85">
        <f t="shared" si="0"/>
        <v>734.80999999999767</v>
      </c>
      <c r="I23" s="85"/>
      <c r="K23" s="54" t="s">
        <v>38</v>
      </c>
    </row>
    <row r="24" spans="2:11" ht="12.75" x14ac:dyDescent="0.2">
      <c r="B24" s="82" t="s">
        <v>50</v>
      </c>
      <c r="C24" s="82" t="s">
        <v>51</v>
      </c>
      <c r="D24" s="83">
        <f>SUMIFS(D25:D1474,K25:K1474,"0",B25:B1474,"1 1 1 2*")-SUMIFS(E25:E1474,K25:K1474,"0",B25:B1474,"1 1 1 2*")</f>
        <v>1123402.6500000001</v>
      </c>
      <c r="E24" s="54"/>
      <c r="F24" s="83">
        <f>SUMIFS(F25:F1474,K25:K1474,"0",B25:B1474,"1 1 1 2*")</f>
        <v>1774937.6800000002</v>
      </c>
      <c r="G24" s="83">
        <f>SUMIFS(G25:G1474,K25:K1474,"0",B25:B1474,"1 1 1 2*")</f>
        <v>2713617.94</v>
      </c>
      <c r="H24" s="83">
        <f t="shared" si="0"/>
        <v>184722.39000000013</v>
      </c>
      <c r="I24" s="83"/>
      <c r="K24" s="54" t="s">
        <v>15</v>
      </c>
    </row>
    <row r="25" spans="2:11" ht="12.75" x14ac:dyDescent="0.2">
      <c r="B25" s="82" t="s">
        <v>52</v>
      </c>
      <c r="C25" s="82" t="s">
        <v>53</v>
      </c>
      <c r="D25" s="83">
        <f>SUMIFS(D26:D1474,K26:K1474,"0",B26:B1474,"1 1 1 2 1*")-SUMIFS(E26:E1474,K26:K1474,"0",B26:B1474,"1 1 1 2 1*")</f>
        <v>1123402.6500000001</v>
      </c>
      <c r="E25" s="54"/>
      <c r="F25" s="83">
        <f>SUMIFS(F26:F1474,K26:K1474,"0",B26:B1474,"1 1 1 2 1*")</f>
        <v>1774937.6800000002</v>
      </c>
      <c r="G25" s="83">
        <f>SUMIFS(G26:G1474,K26:K1474,"0",B26:B1474,"1 1 1 2 1*")</f>
        <v>2713617.94</v>
      </c>
      <c r="H25" s="83">
        <f t="shared" si="0"/>
        <v>184722.39000000013</v>
      </c>
      <c r="I25" s="83"/>
      <c r="K25" s="54" t="s">
        <v>15</v>
      </c>
    </row>
    <row r="26" spans="2:11" ht="12.75" x14ac:dyDescent="0.2">
      <c r="B26" s="82" t="s">
        <v>54</v>
      </c>
      <c r="C26" s="82" t="s">
        <v>26</v>
      </c>
      <c r="D26" s="83">
        <f>SUMIFS(D27:D1474,K27:K1474,"0",B27:B1474,"1 1 1 2 1 12*")-SUMIFS(E27:E1474,K27:K1474,"0",B27:B1474,"1 1 1 2 1 12*")</f>
        <v>1123402.6500000001</v>
      </c>
      <c r="E26" s="54"/>
      <c r="F26" s="83">
        <f>SUMIFS(F27:F1474,K27:K1474,"0",B27:B1474,"1 1 1 2 1 12*")</f>
        <v>1774937.6800000002</v>
      </c>
      <c r="G26" s="83">
        <f>SUMIFS(G27:G1474,K27:K1474,"0",B27:B1474,"1 1 1 2 1 12*")</f>
        <v>2713617.94</v>
      </c>
      <c r="H26" s="83">
        <f t="shared" si="0"/>
        <v>184722.39000000013</v>
      </c>
      <c r="I26" s="83"/>
      <c r="K26" s="54" t="s">
        <v>15</v>
      </c>
    </row>
    <row r="27" spans="2:11" ht="16.5" x14ac:dyDescent="0.2">
      <c r="B27" s="82" t="s">
        <v>55</v>
      </c>
      <c r="C27" s="82" t="s">
        <v>28</v>
      </c>
      <c r="D27" s="83">
        <f>SUMIFS(D28:D1474,K28:K1474,"0",B28:B1474,"1 1 1 2 1 12 31111*")-SUMIFS(E28:E1474,K28:K1474,"0",B28:B1474,"1 1 1 2 1 12 31111*")</f>
        <v>1123402.6500000001</v>
      </c>
      <c r="E27" s="54"/>
      <c r="F27" s="83">
        <f>SUMIFS(F28:F1474,K28:K1474,"0",B28:B1474,"1 1 1 2 1 12 31111*")</f>
        <v>1774937.6800000002</v>
      </c>
      <c r="G27" s="83">
        <f>SUMIFS(G28:G1474,K28:K1474,"0",B28:B1474,"1 1 1 2 1 12 31111*")</f>
        <v>2713617.94</v>
      </c>
      <c r="H27" s="83">
        <f t="shared" si="0"/>
        <v>184722.39000000013</v>
      </c>
      <c r="I27" s="83"/>
      <c r="K27" s="54" t="s">
        <v>15</v>
      </c>
    </row>
    <row r="28" spans="2:11" ht="12.75" x14ac:dyDescent="0.2">
      <c r="B28" s="82" t="s">
        <v>56</v>
      </c>
      <c r="C28" s="82" t="s">
        <v>30</v>
      </c>
      <c r="D28" s="83">
        <f>SUMIFS(D29:D1474,K29:K1474,"0",B29:B1474,"1 1 1 2 1 12 31111 6*")-SUMIFS(E29:E1474,K29:K1474,"0",B29:B1474,"1 1 1 2 1 12 31111 6*")</f>
        <v>1123402.6500000001</v>
      </c>
      <c r="E28" s="54"/>
      <c r="F28" s="83">
        <f>SUMIFS(F29:F1474,K29:K1474,"0",B29:B1474,"1 1 1 2 1 12 31111 6*")</f>
        <v>1774937.6800000002</v>
      </c>
      <c r="G28" s="83">
        <f>SUMIFS(G29:G1474,K29:K1474,"0",B29:B1474,"1 1 1 2 1 12 31111 6*")</f>
        <v>2713617.94</v>
      </c>
      <c r="H28" s="83">
        <f t="shared" si="0"/>
        <v>184722.39000000013</v>
      </c>
      <c r="I28" s="83"/>
      <c r="K28" s="54" t="s">
        <v>15</v>
      </c>
    </row>
    <row r="29" spans="2:11" ht="12.75" x14ac:dyDescent="0.2">
      <c r="B29" s="82" t="s">
        <v>57</v>
      </c>
      <c r="C29" s="82" t="s">
        <v>32</v>
      </c>
      <c r="D29" s="83">
        <f>SUMIFS(D30:D1474,K30:K1474,"0",B30:B1474,"1 1 1 2 1 12 31111 6 M59*")-SUMIFS(E30:E1474,K30:K1474,"0",B30:B1474,"1 1 1 2 1 12 31111 6 M59*")</f>
        <v>1123402.6500000001</v>
      </c>
      <c r="E29" s="54"/>
      <c r="F29" s="83">
        <f>SUMIFS(F30:F1474,K30:K1474,"0",B30:B1474,"1 1 1 2 1 12 31111 6 M59*")</f>
        <v>1774937.6800000002</v>
      </c>
      <c r="G29" s="83">
        <f>SUMIFS(G30:G1474,K30:K1474,"0",B30:B1474,"1 1 1 2 1 12 31111 6 M59*")</f>
        <v>2713617.94</v>
      </c>
      <c r="H29" s="83">
        <f t="shared" si="0"/>
        <v>184722.39000000013</v>
      </c>
      <c r="I29" s="83"/>
      <c r="K29" s="54" t="s">
        <v>15</v>
      </c>
    </row>
    <row r="30" spans="2:11" ht="16.5" x14ac:dyDescent="0.2">
      <c r="B30" s="82" t="s">
        <v>90</v>
      </c>
      <c r="C30" s="82" t="s">
        <v>46</v>
      </c>
      <c r="D30" s="83">
        <f>SUMIFS(D31:D1474,K31:K1474,"0",B31:B1474,"1 1 1 2 1 12 31111 6 M59 00004*")-SUMIFS(E31:E1474,K31:K1474,"0",B31:B1474,"1 1 1 2 1 12 31111 6 M59 00004*")</f>
        <v>1123402.6500000001</v>
      </c>
      <c r="E30" s="54"/>
      <c r="F30" s="83">
        <f>SUMIFS(F31:F1474,K31:K1474,"0",B31:B1474,"1 1 1 2 1 12 31111 6 M59 00004*")</f>
        <v>1774937.6800000002</v>
      </c>
      <c r="G30" s="83">
        <f>SUMIFS(G31:G1474,K31:K1474,"0",B31:B1474,"1 1 1 2 1 12 31111 6 M59 00004*")</f>
        <v>2713617.94</v>
      </c>
      <c r="H30" s="83">
        <f t="shared" si="0"/>
        <v>184722.39000000013</v>
      </c>
      <c r="I30" s="83"/>
      <c r="K30" s="54" t="s">
        <v>15</v>
      </c>
    </row>
    <row r="31" spans="2:11" ht="16.5" x14ac:dyDescent="0.2">
      <c r="B31" s="82" t="s">
        <v>92</v>
      </c>
      <c r="C31" s="82" t="s">
        <v>53</v>
      </c>
      <c r="D31" s="83">
        <f>SUMIFS(D32:D1474,K32:K1474,"0",B32:B1474,"1 1 1 2 1 12 31111 6 M59 00004 000001*")-SUMIFS(E32:E1474,K32:K1474,"0",B32:B1474,"1 1 1 2 1 12 31111 6 M59 00004 000001*")</f>
        <v>1099808.08</v>
      </c>
      <c r="E31" s="54"/>
      <c r="F31" s="83">
        <f>SUMIFS(F32:F1474,K32:K1474,"0",B32:B1474,"1 1 1 2 1 12 31111 6 M59 00004 000001*")</f>
        <v>1774937.6800000002</v>
      </c>
      <c r="G31" s="83">
        <f>SUMIFS(G32:G1474,K32:K1474,"0",B32:B1474,"1 1 1 2 1 12 31111 6 M59 00004 000001*")</f>
        <v>2713617.94</v>
      </c>
      <c r="H31" s="83">
        <f t="shared" si="0"/>
        <v>161127.8200000003</v>
      </c>
      <c r="I31" s="83"/>
      <c r="K31" s="54" t="s">
        <v>15</v>
      </c>
    </row>
    <row r="32" spans="2:11" ht="16.5" x14ac:dyDescent="0.2">
      <c r="B32" s="84" t="s">
        <v>93</v>
      </c>
      <c r="C32" s="84" t="s">
        <v>94</v>
      </c>
      <c r="D32" s="85">
        <v>55281.440000000002</v>
      </c>
      <c r="E32" s="85"/>
      <c r="F32" s="85">
        <v>0</v>
      </c>
      <c r="G32" s="85">
        <v>0</v>
      </c>
      <c r="H32" s="85">
        <f t="shared" si="0"/>
        <v>55281.440000000002</v>
      </c>
      <c r="I32" s="85"/>
      <c r="K32" s="54" t="s">
        <v>38</v>
      </c>
    </row>
    <row r="33" spans="2:11" ht="16.5" x14ac:dyDescent="0.2">
      <c r="B33" s="84" t="s">
        <v>95</v>
      </c>
      <c r="C33" s="84" t="s">
        <v>96</v>
      </c>
      <c r="D33" s="85">
        <v>0.27</v>
      </c>
      <c r="E33" s="85"/>
      <c r="F33" s="85">
        <v>0</v>
      </c>
      <c r="G33" s="85">
        <v>0.27</v>
      </c>
      <c r="H33" s="85">
        <f t="shared" si="0"/>
        <v>0</v>
      </c>
      <c r="I33" s="85"/>
      <c r="K33" s="54" t="s">
        <v>38</v>
      </c>
    </row>
    <row r="34" spans="2:11" ht="16.5" x14ac:dyDescent="0.2">
      <c r="B34" s="84" t="s">
        <v>97</v>
      </c>
      <c r="C34" s="84" t="s">
        <v>98</v>
      </c>
      <c r="D34" s="85">
        <v>153490.29999999999</v>
      </c>
      <c r="E34" s="85"/>
      <c r="F34" s="85">
        <v>1078753.54</v>
      </c>
      <c r="G34" s="85">
        <v>1232243.8400000001</v>
      </c>
      <c r="H34" s="85">
        <f t="shared" si="0"/>
        <v>0</v>
      </c>
      <c r="I34" s="85"/>
      <c r="K34" s="54" t="s">
        <v>38</v>
      </c>
    </row>
    <row r="35" spans="2:11" ht="16.5" x14ac:dyDescent="0.2">
      <c r="B35" s="84" t="s">
        <v>99</v>
      </c>
      <c r="C35" s="84" t="s">
        <v>100</v>
      </c>
      <c r="D35" s="85">
        <v>807.77</v>
      </c>
      <c r="E35" s="85"/>
      <c r="F35" s="85">
        <v>0</v>
      </c>
      <c r="G35" s="85">
        <v>807.89</v>
      </c>
      <c r="H35" s="85">
        <f t="shared" si="0"/>
        <v>-0.12000000000000455</v>
      </c>
      <c r="I35" s="85"/>
      <c r="K35" s="54" t="s">
        <v>38</v>
      </c>
    </row>
    <row r="36" spans="2:11" ht="16.5" x14ac:dyDescent="0.2">
      <c r="B36" s="84" t="s">
        <v>101</v>
      </c>
      <c r="C36" s="84" t="s">
        <v>102</v>
      </c>
      <c r="D36" s="85">
        <v>684380.05</v>
      </c>
      <c r="E36" s="85"/>
      <c r="F36" s="85">
        <v>696184.14</v>
      </c>
      <c r="G36" s="85">
        <v>1380564.19</v>
      </c>
      <c r="H36" s="85">
        <f t="shared" si="0"/>
        <v>0</v>
      </c>
      <c r="I36" s="85"/>
      <c r="K36" s="54" t="s">
        <v>38</v>
      </c>
    </row>
    <row r="37" spans="2:11" ht="16.5" x14ac:dyDescent="0.2">
      <c r="B37" s="84" t="s">
        <v>103</v>
      </c>
      <c r="C37" s="84" t="s">
        <v>104</v>
      </c>
      <c r="D37" s="85">
        <v>205848.25</v>
      </c>
      <c r="E37" s="85"/>
      <c r="F37" s="85">
        <v>0</v>
      </c>
      <c r="G37" s="85">
        <v>100001.75</v>
      </c>
      <c r="H37" s="85">
        <f t="shared" si="0"/>
        <v>105846.5</v>
      </c>
      <c r="I37" s="85"/>
      <c r="K37" s="54" t="s">
        <v>38</v>
      </c>
    </row>
    <row r="38" spans="2:11" ht="16.5" x14ac:dyDescent="0.2">
      <c r="B38" s="82" t="s">
        <v>105</v>
      </c>
      <c r="C38" s="82" t="s">
        <v>42</v>
      </c>
      <c r="D38" s="83">
        <f>SUMIFS(D39:D1474,K39:K1474,"0",B39:B1474,"1 1 1 2 1 12 31111 6 M59 00004 000003*")-SUMIFS(E39:E1474,K39:K1474,"0",B39:B1474,"1 1 1 2 1 12 31111 6 M59 00004 000003*")</f>
        <v>23594.57</v>
      </c>
      <c r="E38" s="54"/>
      <c r="F38" s="83">
        <f>SUMIFS(F39:F1474,K39:K1474,"0",B39:B1474,"1 1 1 2 1 12 31111 6 M59 00004 000003*")</f>
        <v>0</v>
      </c>
      <c r="G38" s="83">
        <f>SUMIFS(G39:G1474,K39:K1474,"0",B39:B1474,"1 1 1 2 1 12 31111 6 M59 00004 000003*")</f>
        <v>0</v>
      </c>
      <c r="H38" s="83">
        <f t="shared" si="0"/>
        <v>23594.57</v>
      </c>
      <c r="I38" s="83"/>
      <c r="K38" s="54" t="s">
        <v>15</v>
      </c>
    </row>
    <row r="39" spans="2:11" ht="16.5" x14ac:dyDescent="0.2">
      <c r="B39" s="84" t="s">
        <v>106</v>
      </c>
      <c r="C39" s="84" t="s">
        <v>107</v>
      </c>
      <c r="D39" s="85">
        <v>23594.57</v>
      </c>
      <c r="E39" s="85"/>
      <c r="F39" s="85">
        <v>0</v>
      </c>
      <c r="G39" s="85">
        <v>0</v>
      </c>
      <c r="H39" s="85">
        <f t="shared" si="0"/>
        <v>23594.57</v>
      </c>
      <c r="I39" s="85"/>
      <c r="K39" s="54" t="s">
        <v>38</v>
      </c>
    </row>
    <row r="40" spans="2:11" ht="24.75" x14ac:dyDescent="0.2">
      <c r="B40" s="82" t="s">
        <v>114</v>
      </c>
      <c r="C40" s="82" t="s">
        <v>115</v>
      </c>
      <c r="D40" s="83">
        <f>SUMIFS(D41:D1474,K41:K1474,"0",B41:B1474,"1 1 1 6*")-SUMIFS(E41:E1474,K41:K1474,"0",B41:B1474,"1 1 1 6*")</f>
        <v>0</v>
      </c>
      <c r="E40" s="54"/>
      <c r="F40" s="83">
        <f>SUMIFS(F41:F1474,K41:K1474,"0",B41:B1474,"1 1 1 6*")</f>
        <v>945839</v>
      </c>
      <c r="G40" s="83">
        <f>SUMIFS(G41:G1474,K41:K1474,"0",B41:B1474,"1 1 1 6*")</f>
        <v>945839</v>
      </c>
      <c r="H40" s="83">
        <f t="shared" si="0"/>
        <v>0</v>
      </c>
      <c r="I40" s="83"/>
      <c r="K40" s="54" t="s">
        <v>15</v>
      </c>
    </row>
    <row r="41" spans="2:11" ht="24.75" x14ac:dyDescent="0.2">
      <c r="B41" s="84" t="s">
        <v>116</v>
      </c>
      <c r="C41" s="84" t="s">
        <v>117</v>
      </c>
      <c r="D41" s="85">
        <v>0</v>
      </c>
      <c r="E41" s="85"/>
      <c r="F41" s="85">
        <v>945839</v>
      </c>
      <c r="G41" s="85">
        <v>945839</v>
      </c>
      <c r="H41" s="85">
        <f t="shared" si="0"/>
        <v>0</v>
      </c>
      <c r="I41" s="85"/>
      <c r="K41" s="54" t="s">
        <v>38</v>
      </c>
    </row>
    <row r="42" spans="2:11" ht="16.5" x14ac:dyDescent="0.2">
      <c r="B42" s="82" t="s">
        <v>118</v>
      </c>
      <c r="C42" s="82" t="s">
        <v>119</v>
      </c>
      <c r="D42" s="83">
        <f>SUMIFS(D43:D1474,K43:K1474,"0",B43:B1474,"1 1 2*")-SUMIFS(E43:E1474,K43:K1474,"0",B43:B1474,"1 1 2*")</f>
        <v>9609772.5599999987</v>
      </c>
      <c r="E42" s="54"/>
      <c r="F42" s="83">
        <f>SUMIFS(F43:F1474,K43:K1474,"0",B43:B1474,"1 1 2*")</f>
        <v>489754.38</v>
      </c>
      <c r="G42" s="83">
        <f>SUMIFS(G43:G1474,K43:K1474,"0",B43:B1474,"1 1 2*")</f>
        <v>413259.58</v>
      </c>
      <c r="H42" s="83">
        <f t="shared" si="0"/>
        <v>9686267.3599999994</v>
      </c>
      <c r="I42" s="83"/>
      <c r="K42" s="54" t="s">
        <v>15</v>
      </c>
    </row>
    <row r="43" spans="2:11" ht="16.5" x14ac:dyDescent="0.2">
      <c r="B43" s="82" t="s">
        <v>169</v>
      </c>
      <c r="C43" s="82" t="s">
        <v>170</v>
      </c>
      <c r="D43" s="83">
        <f>SUMIFS(D44:D1474,K44:K1474,"0",B44:B1474,"1 1 2 3*")-SUMIFS(E44:E1474,K44:K1474,"0",B44:B1474,"1 1 2 3*")</f>
        <v>25555.79</v>
      </c>
      <c r="E43" s="54"/>
      <c r="F43" s="83">
        <f>SUMIFS(F44:F1474,K44:K1474,"0",B44:B1474,"1 1 2 3*")</f>
        <v>76494.8</v>
      </c>
      <c r="G43" s="83">
        <f>SUMIFS(G44:G1474,K44:K1474,"0",B44:B1474,"1 1 2 3*")</f>
        <v>0</v>
      </c>
      <c r="H43" s="83">
        <f t="shared" si="0"/>
        <v>102050.59</v>
      </c>
      <c r="I43" s="83"/>
      <c r="K43" s="54" t="s">
        <v>15</v>
      </c>
    </row>
    <row r="44" spans="2:11" ht="16.5" x14ac:dyDescent="0.2">
      <c r="B44" s="82" t="s">
        <v>171</v>
      </c>
      <c r="C44" s="82" t="s">
        <v>172</v>
      </c>
      <c r="D44" s="83">
        <f>SUMIFS(D45:D1474,K45:K1474,"0",B45:B1474,"1 1 2 3 1*")-SUMIFS(E45:E1474,K45:K1474,"0",B45:B1474,"1 1 2 3 1*")</f>
        <v>25555.79</v>
      </c>
      <c r="E44" s="54"/>
      <c r="F44" s="83">
        <f>SUMIFS(F45:F1474,K45:K1474,"0",B45:B1474,"1 1 2 3 1*")</f>
        <v>76494.8</v>
      </c>
      <c r="G44" s="83">
        <f>SUMIFS(G45:G1474,K45:K1474,"0",B45:B1474,"1 1 2 3 1*")</f>
        <v>0</v>
      </c>
      <c r="H44" s="83">
        <f t="shared" si="0"/>
        <v>102050.59</v>
      </c>
      <c r="I44" s="83"/>
      <c r="K44" s="54" t="s">
        <v>15</v>
      </c>
    </row>
    <row r="45" spans="2:11" ht="12.75" x14ac:dyDescent="0.2">
      <c r="B45" s="82" t="s">
        <v>173</v>
      </c>
      <c r="C45" s="82" t="s">
        <v>26</v>
      </c>
      <c r="D45" s="83">
        <f>SUMIFS(D46:D1474,K46:K1474,"0",B46:B1474,"1 1 2 3 1 12*")-SUMIFS(E46:E1474,K46:K1474,"0",B46:B1474,"1 1 2 3 1 12*")</f>
        <v>25555.79</v>
      </c>
      <c r="E45" s="54"/>
      <c r="F45" s="83">
        <f>SUMIFS(F46:F1474,K46:K1474,"0",B46:B1474,"1 1 2 3 1 12*")</f>
        <v>76494.8</v>
      </c>
      <c r="G45" s="83">
        <f>SUMIFS(G46:G1474,K46:K1474,"0",B46:B1474,"1 1 2 3 1 12*")</f>
        <v>0</v>
      </c>
      <c r="H45" s="83">
        <f t="shared" si="0"/>
        <v>102050.59</v>
      </c>
      <c r="I45" s="83"/>
      <c r="K45" s="54" t="s">
        <v>15</v>
      </c>
    </row>
    <row r="46" spans="2:11" ht="16.5" x14ac:dyDescent="0.2">
      <c r="B46" s="82" t="s">
        <v>174</v>
      </c>
      <c r="C46" s="82" t="s">
        <v>28</v>
      </c>
      <c r="D46" s="83">
        <f>SUMIFS(D47:D1474,K47:K1474,"0",B47:B1474,"1 1 2 3 1 12 31111*")-SUMIFS(E47:E1474,K47:K1474,"0",B47:B1474,"1 1 2 3 1 12 31111*")</f>
        <v>25555.79</v>
      </c>
      <c r="E46" s="54"/>
      <c r="F46" s="83">
        <f>SUMIFS(F47:F1474,K47:K1474,"0",B47:B1474,"1 1 2 3 1 12 31111*")</f>
        <v>76494.8</v>
      </c>
      <c r="G46" s="83">
        <f>SUMIFS(G47:G1474,K47:K1474,"0",B47:B1474,"1 1 2 3 1 12 31111*")</f>
        <v>0</v>
      </c>
      <c r="H46" s="83">
        <f t="shared" si="0"/>
        <v>102050.59</v>
      </c>
      <c r="I46" s="83"/>
      <c r="K46" s="54" t="s">
        <v>15</v>
      </c>
    </row>
    <row r="47" spans="2:11" ht="12.75" x14ac:dyDescent="0.2">
      <c r="B47" s="82" t="s">
        <v>175</v>
      </c>
      <c r="C47" s="82" t="s">
        <v>30</v>
      </c>
      <c r="D47" s="83">
        <f>SUMIFS(D48:D1474,K48:K1474,"0",B48:B1474,"1 1 2 3 1 12 31111 6*")-SUMIFS(E48:E1474,K48:K1474,"0",B48:B1474,"1 1 2 3 1 12 31111 6*")</f>
        <v>25555.79</v>
      </c>
      <c r="E47" s="54"/>
      <c r="F47" s="83">
        <f>SUMIFS(F48:F1474,K48:K1474,"0",B48:B1474,"1 1 2 3 1 12 31111 6*")</f>
        <v>76494.8</v>
      </c>
      <c r="G47" s="83">
        <f>SUMIFS(G48:G1474,K48:K1474,"0",B48:B1474,"1 1 2 3 1 12 31111 6*")</f>
        <v>0</v>
      </c>
      <c r="H47" s="83">
        <f t="shared" si="0"/>
        <v>102050.59</v>
      </c>
      <c r="I47" s="83"/>
      <c r="K47" s="54" t="s">
        <v>15</v>
      </c>
    </row>
    <row r="48" spans="2:11" ht="12.75" x14ac:dyDescent="0.2">
      <c r="B48" s="82" t="s">
        <v>176</v>
      </c>
      <c r="C48" s="82" t="s">
        <v>32</v>
      </c>
      <c r="D48" s="83">
        <f>SUMIFS(D49:D1474,K49:K1474,"0",B49:B1474,"1 1 2 3 1 12 31111 6 M59*")-SUMIFS(E49:E1474,K49:K1474,"0",B49:B1474,"1 1 2 3 1 12 31111 6 M59*")</f>
        <v>25555.79</v>
      </c>
      <c r="E48" s="54"/>
      <c r="F48" s="83">
        <f>SUMIFS(F49:F1474,K49:K1474,"0",B49:B1474,"1 1 2 3 1 12 31111 6 M59*")</f>
        <v>76494.8</v>
      </c>
      <c r="G48" s="83">
        <f>SUMIFS(G49:G1474,K49:K1474,"0",B49:B1474,"1 1 2 3 1 12 31111 6 M59*")</f>
        <v>0</v>
      </c>
      <c r="H48" s="83">
        <f t="shared" si="0"/>
        <v>102050.59</v>
      </c>
      <c r="I48" s="83"/>
      <c r="K48" s="54" t="s">
        <v>15</v>
      </c>
    </row>
    <row r="49" spans="2:11" ht="16.5" x14ac:dyDescent="0.2">
      <c r="B49" s="82" t="s">
        <v>201</v>
      </c>
      <c r="C49" s="82" t="s">
        <v>46</v>
      </c>
      <c r="D49" s="83">
        <f>SUMIFS(D50:D1474,K50:K1474,"0",B50:B1474,"1 1 2 3 1 12 31111 6 M59 00004*")-SUMIFS(E50:E1474,K50:K1474,"0",B50:B1474,"1 1 2 3 1 12 31111 6 M59 00004*")</f>
        <v>25555.79</v>
      </c>
      <c r="E49" s="54"/>
      <c r="F49" s="83">
        <f>SUMIFS(F50:F1474,K50:K1474,"0",B50:B1474,"1 1 2 3 1 12 31111 6 M59 00004*")</f>
        <v>76494.8</v>
      </c>
      <c r="G49" s="83">
        <f>SUMIFS(G50:G1474,K50:K1474,"0",B50:B1474,"1 1 2 3 1 12 31111 6 M59 00004*")</f>
        <v>0</v>
      </c>
      <c r="H49" s="83">
        <f t="shared" si="0"/>
        <v>102050.59</v>
      </c>
      <c r="I49" s="83"/>
      <c r="K49" s="54" t="s">
        <v>15</v>
      </c>
    </row>
    <row r="50" spans="2:11" ht="16.5" x14ac:dyDescent="0.2">
      <c r="B50" s="82" t="s">
        <v>202</v>
      </c>
      <c r="C50" s="82" t="s">
        <v>170</v>
      </c>
      <c r="D50" s="83">
        <f>SUMIFS(D51:D1474,K51:K1474,"0",B51:B1474,"1 1 2 3 1 12 31111 6 M59 00004 000001*")-SUMIFS(E51:E1474,K51:K1474,"0",B51:B1474,"1 1 2 3 1 12 31111 6 M59 00004 000001*")</f>
        <v>25555.79</v>
      </c>
      <c r="E50" s="54"/>
      <c r="F50" s="83">
        <f>SUMIFS(F51:F1474,K51:K1474,"0",B51:B1474,"1 1 2 3 1 12 31111 6 M59 00004 000001*")</f>
        <v>76494.8</v>
      </c>
      <c r="G50" s="83">
        <f>SUMIFS(G51:G1474,K51:K1474,"0",B51:B1474,"1 1 2 3 1 12 31111 6 M59 00004 000001*")</f>
        <v>0</v>
      </c>
      <c r="H50" s="83">
        <f t="shared" si="0"/>
        <v>102050.59</v>
      </c>
      <c r="I50" s="83"/>
      <c r="K50" s="54" t="s">
        <v>15</v>
      </c>
    </row>
    <row r="51" spans="2:11" ht="16.5" x14ac:dyDescent="0.2">
      <c r="B51" s="84" t="s">
        <v>204</v>
      </c>
      <c r="C51" s="84" t="s">
        <v>205</v>
      </c>
      <c r="D51" s="85">
        <v>18471</v>
      </c>
      <c r="E51" s="85"/>
      <c r="F51" s="85">
        <v>0</v>
      </c>
      <c r="G51" s="85">
        <v>0</v>
      </c>
      <c r="H51" s="85">
        <f t="shared" si="0"/>
        <v>18471</v>
      </c>
      <c r="I51" s="85"/>
      <c r="K51" s="54" t="s">
        <v>38</v>
      </c>
    </row>
    <row r="52" spans="2:11" ht="16.5" x14ac:dyDescent="0.2">
      <c r="B52" s="84" t="s">
        <v>206</v>
      </c>
      <c r="C52" s="84" t="s">
        <v>185</v>
      </c>
      <c r="D52" s="85">
        <v>7084.79</v>
      </c>
      <c r="E52" s="85"/>
      <c r="F52" s="85">
        <v>76494.8</v>
      </c>
      <c r="G52" s="85">
        <v>0</v>
      </c>
      <c r="H52" s="85">
        <f t="shared" si="0"/>
        <v>83579.59</v>
      </c>
      <c r="I52" s="85"/>
      <c r="K52" s="54" t="s">
        <v>38</v>
      </c>
    </row>
    <row r="53" spans="2:11" ht="16.5" x14ac:dyDescent="0.2">
      <c r="B53" s="82" t="s">
        <v>207</v>
      </c>
      <c r="C53" s="82" t="s">
        <v>208</v>
      </c>
      <c r="D53" s="83">
        <f>SUMIFS(D54:D1474,K54:K1474,"0",B54:B1474,"1 1 2 4*")-SUMIFS(E54:E1474,K54:K1474,"0",B54:B1474,"1 1 2 4*")</f>
        <v>9582677.5899999999</v>
      </c>
      <c r="E53" s="54"/>
      <c r="F53" s="83">
        <f>SUMIFS(F54:F1474,K54:K1474,"0",B54:B1474,"1 1 2 4*")</f>
        <v>413259.58</v>
      </c>
      <c r="G53" s="83">
        <f>SUMIFS(G54:G1474,K54:K1474,"0",B54:B1474,"1 1 2 4*")</f>
        <v>413259.58</v>
      </c>
      <c r="H53" s="83">
        <f t="shared" si="0"/>
        <v>9582677.5899999999</v>
      </c>
      <c r="I53" s="83"/>
      <c r="K53" s="54" t="s">
        <v>15</v>
      </c>
    </row>
    <row r="54" spans="2:11" ht="16.5" x14ac:dyDescent="0.2">
      <c r="B54" s="82" t="s">
        <v>209</v>
      </c>
      <c r="C54" s="82" t="s">
        <v>210</v>
      </c>
      <c r="D54" s="83">
        <f>SUMIFS(D55:D1474,K55:K1474,"0",B55:B1474,"1 1 2 4 1*")-SUMIFS(E55:E1474,K55:K1474,"0",B55:B1474,"1 1 2 4 1*")</f>
        <v>24163.39</v>
      </c>
      <c r="E54" s="54"/>
      <c r="F54" s="83">
        <f>SUMIFS(F55:F1474,K55:K1474,"0",B55:B1474,"1 1 2 4 1*")</f>
        <v>111428.85</v>
      </c>
      <c r="G54" s="83">
        <f>SUMIFS(G55:G1474,K55:K1474,"0",B55:B1474,"1 1 2 4 1*")</f>
        <v>111428.85</v>
      </c>
      <c r="H54" s="83">
        <f t="shared" si="0"/>
        <v>24163.389999999985</v>
      </c>
      <c r="I54" s="83"/>
      <c r="K54" s="54" t="s">
        <v>15</v>
      </c>
    </row>
    <row r="55" spans="2:11" ht="12.75" x14ac:dyDescent="0.2">
      <c r="B55" s="82" t="s">
        <v>211</v>
      </c>
      <c r="C55" s="82" t="s">
        <v>26</v>
      </c>
      <c r="D55" s="83">
        <f>SUMIFS(D56:D1474,K56:K1474,"0",B56:B1474,"1 1 2 4 1 12*")-SUMIFS(E56:E1474,K56:K1474,"0",B56:B1474,"1 1 2 4 1 12*")</f>
        <v>24163.39</v>
      </c>
      <c r="E55" s="54"/>
      <c r="F55" s="83">
        <f>SUMIFS(F56:F1474,K56:K1474,"0",B56:B1474,"1 1 2 4 1 12*")</f>
        <v>111428.85</v>
      </c>
      <c r="G55" s="83">
        <f>SUMIFS(G56:G1474,K56:K1474,"0",B56:B1474,"1 1 2 4 1 12*")</f>
        <v>111428.85</v>
      </c>
      <c r="H55" s="83">
        <f t="shared" si="0"/>
        <v>24163.389999999985</v>
      </c>
      <c r="I55" s="83"/>
      <c r="K55" s="54" t="s">
        <v>15</v>
      </c>
    </row>
    <row r="56" spans="2:11" ht="16.5" x14ac:dyDescent="0.2">
      <c r="B56" s="82" t="s">
        <v>212</v>
      </c>
      <c r="C56" s="82" t="s">
        <v>28</v>
      </c>
      <c r="D56" s="83">
        <f>SUMIFS(D57:D1474,K57:K1474,"0",B57:B1474,"1 1 2 4 1 12 31111*")-SUMIFS(E57:E1474,K57:K1474,"0",B57:B1474,"1 1 2 4 1 12 31111*")</f>
        <v>24163.39</v>
      </c>
      <c r="E56" s="54"/>
      <c r="F56" s="83">
        <f>SUMIFS(F57:F1474,K57:K1474,"0",B57:B1474,"1 1 2 4 1 12 31111*")</f>
        <v>111428.85</v>
      </c>
      <c r="G56" s="83">
        <f>SUMIFS(G57:G1474,K57:K1474,"0",B57:B1474,"1 1 2 4 1 12 31111*")</f>
        <v>111428.85</v>
      </c>
      <c r="H56" s="83">
        <f t="shared" si="0"/>
        <v>24163.389999999985</v>
      </c>
      <c r="I56" s="83"/>
      <c r="K56" s="54" t="s">
        <v>15</v>
      </c>
    </row>
    <row r="57" spans="2:11" ht="12.75" x14ac:dyDescent="0.2">
      <c r="B57" s="82" t="s">
        <v>213</v>
      </c>
      <c r="C57" s="82" t="s">
        <v>30</v>
      </c>
      <c r="D57" s="83">
        <f>SUMIFS(D58:D1474,K58:K1474,"0",B58:B1474,"1 1 2 4 1 12 31111 6*")-SUMIFS(E58:E1474,K58:K1474,"0",B58:B1474,"1 1 2 4 1 12 31111 6*")</f>
        <v>24163.39</v>
      </c>
      <c r="E57" s="54"/>
      <c r="F57" s="83">
        <f>SUMIFS(F58:F1474,K58:K1474,"0",B58:B1474,"1 1 2 4 1 12 31111 6*")</f>
        <v>111428.85</v>
      </c>
      <c r="G57" s="83">
        <f>SUMIFS(G58:G1474,K58:K1474,"0",B58:B1474,"1 1 2 4 1 12 31111 6*")</f>
        <v>111428.85</v>
      </c>
      <c r="H57" s="83">
        <f t="shared" si="0"/>
        <v>24163.389999999985</v>
      </c>
      <c r="I57" s="83"/>
      <c r="K57" s="54" t="s">
        <v>15</v>
      </c>
    </row>
    <row r="58" spans="2:11" ht="12.75" x14ac:dyDescent="0.2">
      <c r="B58" s="82" t="s">
        <v>214</v>
      </c>
      <c r="C58" s="82" t="s">
        <v>32</v>
      </c>
      <c r="D58" s="83">
        <f>SUMIFS(D59:D1474,K59:K1474,"0",B59:B1474,"1 1 2 4 1 12 31111 6 M59*")-SUMIFS(E59:E1474,K59:K1474,"0",B59:B1474,"1 1 2 4 1 12 31111 6 M59*")</f>
        <v>24163.39</v>
      </c>
      <c r="E58" s="54"/>
      <c r="F58" s="83">
        <f>SUMIFS(F59:F1474,K59:K1474,"0",B59:B1474,"1 1 2 4 1 12 31111 6 M59*")</f>
        <v>111428.85</v>
      </c>
      <c r="G58" s="83">
        <f>SUMIFS(G59:G1474,K59:K1474,"0",B59:B1474,"1 1 2 4 1 12 31111 6 M59*")</f>
        <v>111428.85</v>
      </c>
      <c r="H58" s="83">
        <f t="shared" si="0"/>
        <v>24163.389999999985</v>
      </c>
      <c r="I58" s="83"/>
      <c r="K58" s="54" t="s">
        <v>15</v>
      </c>
    </row>
    <row r="59" spans="2:11" ht="16.5" x14ac:dyDescent="0.2">
      <c r="B59" s="82" t="s">
        <v>220</v>
      </c>
      <c r="C59" s="82" t="s">
        <v>1364</v>
      </c>
      <c r="D59" s="83">
        <f>SUMIFS(D60:D1474,K60:K1474,"0",B60:B1474,"1 1 2 4 1 12 31111 6 M59 00004*")-SUMIFS(E60:E1474,K60:K1474,"0",B60:B1474,"1 1 2 4 1 12 31111 6 M59 00004*")</f>
        <v>24163.39</v>
      </c>
      <c r="E59" s="54"/>
      <c r="F59" s="83">
        <f>SUMIFS(F60:F1474,K60:K1474,"0",B60:B1474,"1 1 2 4 1 12 31111 6 M59 00004*")</f>
        <v>111428.85</v>
      </c>
      <c r="G59" s="83">
        <f>SUMIFS(G60:G1474,K60:K1474,"0",B60:B1474,"1 1 2 4 1 12 31111 6 M59 00004*")</f>
        <v>111428.85</v>
      </c>
      <c r="H59" s="83">
        <f t="shared" si="0"/>
        <v>24163.389999999985</v>
      </c>
      <c r="I59" s="83"/>
      <c r="K59" s="54" t="s">
        <v>15</v>
      </c>
    </row>
    <row r="60" spans="2:11" ht="16.5" x14ac:dyDescent="0.2">
      <c r="B60" s="82" t="s">
        <v>221</v>
      </c>
      <c r="C60" s="82" t="s">
        <v>42</v>
      </c>
      <c r="D60" s="83">
        <f>SUMIFS(D61:D1474,K61:K1474,"0",B61:B1474,"1 1 2 4 1 12 31111 6 M59 00004 000001*")-SUMIFS(E61:E1474,K61:K1474,"0",B61:B1474,"1 1 2 4 1 12 31111 6 M59 00004 000001*")</f>
        <v>24163.39</v>
      </c>
      <c r="E60" s="54"/>
      <c r="F60" s="83">
        <f>SUMIFS(F61:F1474,K61:K1474,"0",B61:B1474,"1 1 2 4 1 12 31111 6 M59 00004 000001*")</f>
        <v>111428.85</v>
      </c>
      <c r="G60" s="83">
        <f>SUMIFS(G61:G1474,K61:K1474,"0",B61:B1474,"1 1 2 4 1 12 31111 6 M59 00004 000001*")</f>
        <v>111428.85</v>
      </c>
      <c r="H60" s="83">
        <f t="shared" si="0"/>
        <v>24163.389999999985</v>
      </c>
      <c r="I60" s="83"/>
      <c r="K60" s="54" t="s">
        <v>15</v>
      </c>
    </row>
    <row r="61" spans="2:11" ht="16.5" x14ac:dyDescent="0.2">
      <c r="B61" s="84" t="s">
        <v>223</v>
      </c>
      <c r="C61" s="84" t="s">
        <v>224</v>
      </c>
      <c r="D61" s="85">
        <v>24163.39</v>
      </c>
      <c r="E61" s="85"/>
      <c r="F61" s="85">
        <v>111428.85</v>
      </c>
      <c r="G61" s="85">
        <v>111428.85</v>
      </c>
      <c r="H61" s="85">
        <f t="shared" si="0"/>
        <v>24163.389999999985</v>
      </c>
      <c r="I61" s="85"/>
      <c r="K61" s="54" t="s">
        <v>38</v>
      </c>
    </row>
    <row r="62" spans="2:11" ht="12.75" x14ac:dyDescent="0.2">
      <c r="B62" s="82" t="s">
        <v>225</v>
      </c>
      <c r="C62" s="82" t="s">
        <v>226</v>
      </c>
      <c r="D62" s="83">
        <f>SUMIFS(D63:D1474,K63:K1474,"0",B63:B1474,"1 1 2 4 3*")-SUMIFS(E63:E1474,K63:K1474,"0",B63:B1474,"1 1 2 4 3*")</f>
        <v>9277158.1999999993</v>
      </c>
      <c r="E62" s="54"/>
      <c r="F62" s="83">
        <f>SUMIFS(F63:F1474,K63:K1474,"0",B63:B1474,"1 1 2 4 3*")</f>
        <v>250203.72</v>
      </c>
      <c r="G62" s="83">
        <f>SUMIFS(G63:G1474,K63:K1474,"0",B63:B1474,"1 1 2 4 3*")</f>
        <v>250203.72</v>
      </c>
      <c r="H62" s="83">
        <f t="shared" si="0"/>
        <v>9277158.1999999993</v>
      </c>
      <c r="I62" s="83"/>
      <c r="K62" s="54" t="s">
        <v>15</v>
      </c>
    </row>
    <row r="63" spans="2:11" ht="12.75" x14ac:dyDescent="0.2">
      <c r="B63" s="82" t="s">
        <v>227</v>
      </c>
      <c r="C63" s="82" t="s">
        <v>26</v>
      </c>
      <c r="D63" s="83">
        <f>SUMIFS(D64:D1474,K64:K1474,"0",B64:B1474,"1 1 2 4 3 12*")-SUMIFS(E64:E1474,K64:K1474,"0",B64:B1474,"1 1 2 4 3 12*")</f>
        <v>9277158.1999999993</v>
      </c>
      <c r="E63" s="54"/>
      <c r="F63" s="83">
        <f>SUMIFS(F64:F1474,K64:K1474,"0",B64:B1474,"1 1 2 4 3 12*")</f>
        <v>250203.72</v>
      </c>
      <c r="G63" s="83">
        <f>SUMIFS(G64:G1474,K64:K1474,"0",B64:B1474,"1 1 2 4 3 12*")</f>
        <v>250203.72</v>
      </c>
      <c r="H63" s="83">
        <f t="shared" si="0"/>
        <v>9277158.1999999993</v>
      </c>
      <c r="I63" s="83"/>
      <c r="K63" s="54" t="s">
        <v>15</v>
      </c>
    </row>
    <row r="64" spans="2:11" ht="16.5" x14ac:dyDescent="0.2">
      <c r="B64" s="82" t="s">
        <v>228</v>
      </c>
      <c r="C64" s="82" t="s">
        <v>28</v>
      </c>
      <c r="D64" s="83">
        <f>SUMIFS(D65:D1474,K65:K1474,"0",B65:B1474,"1 1 2 4 3 12 31111*")-SUMIFS(E65:E1474,K65:K1474,"0",B65:B1474,"1 1 2 4 3 12 31111*")</f>
        <v>9277158.1999999993</v>
      </c>
      <c r="E64" s="54"/>
      <c r="F64" s="83">
        <f>SUMIFS(F65:F1474,K65:K1474,"0",B65:B1474,"1 1 2 4 3 12 31111*")</f>
        <v>250203.72</v>
      </c>
      <c r="G64" s="83">
        <f>SUMIFS(G65:G1474,K65:K1474,"0",B65:B1474,"1 1 2 4 3 12 31111*")</f>
        <v>250203.72</v>
      </c>
      <c r="H64" s="83">
        <f t="shared" si="0"/>
        <v>9277158.1999999993</v>
      </c>
      <c r="I64" s="83"/>
      <c r="K64" s="54" t="s">
        <v>15</v>
      </c>
    </row>
    <row r="65" spans="2:11" ht="12.75" x14ac:dyDescent="0.2">
      <c r="B65" s="82" t="s">
        <v>229</v>
      </c>
      <c r="C65" s="82" t="s">
        <v>30</v>
      </c>
      <c r="D65" s="83">
        <f>SUMIFS(D66:D1474,K66:K1474,"0",B66:B1474,"1 1 2 4 3 12 31111 6*")-SUMIFS(E66:E1474,K66:K1474,"0",B66:B1474,"1 1 2 4 3 12 31111 6*")</f>
        <v>9277158.1999999993</v>
      </c>
      <c r="E65" s="54"/>
      <c r="F65" s="83">
        <f>SUMIFS(F66:F1474,K66:K1474,"0",B66:B1474,"1 1 2 4 3 12 31111 6*")</f>
        <v>250203.72</v>
      </c>
      <c r="G65" s="83">
        <f>SUMIFS(G66:G1474,K66:K1474,"0",B66:B1474,"1 1 2 4 3 12 31111 6*")</f>
        <v>250203.72</v>
      </c>
      <c r="H65" s="83">
        <f t="shared" si="0"/>
        <v>9277158.1999999993</v>
      </c>
      <c r="I65" s="83"/>
      <c r="K65" s="54" t="s">
        <v>15</v>
      </c>
    </row>
    <row r="66" spans="2:11" ht="16.5" x14ac:dyDescent="0.2">
      <c r="B66" s="82" t="s">
        <v>230</v>
      </c>
      <c r="C66" s="82" t="s">
        <v>32</v>
      </c>
      <c r="D66" s="83">
        <f>SUMIFS(D67:D1474,K67:K1474,"0",B67:B1474,"1 1 2 4 3 12 31111 6 M59*")-SUMIFS(E67:E1474,K67:K1474,"0",B67:B1474,"1 1 2 4 3 12 31111 6 M59*")</f>
        <v>9277158.1999999993</v>
      </c>
      <c r="E66" s="54"/>
      <c r="F66" s="83">
        <f>SUMIFS(F67:F1474,K67:K1474,"0",B67:B1474,"1 1 2 4 3 12 31111 6 M59*")</f>
        <v>250203.72</v>
      </c>
      <c r="G66" s="83">
        <f>SUMIFS(G67:G1474,K67:K1474,"0",B67:B1474,"1 1 2 4 3 12 31111 6 M59*")</f>
        <v>250203.72</v>
      </c>
      <c r="H66" s="83">
        <f t="shared" si="0"/>
        <v>9277158.1999999993</v>
      </c>
      <c r="I66" s="83"/>
      <c r="K66" s="54" t="s">
        <v>15</v>
      </c>
    </row>
    <row r="67" spans="2:11" ht="16.5" x14ac:dyDescent="0.2">
      <c r="B67" s="82" t="s">
        <v>231</v>
      </c>
      <c r="C67" s="82" t="s">
        <v>1364</v>
      </c>
      <c r="D67" s="83">
        <f>SUMIFS(D68:D1474,K68:K1474,"0",B68:B1474,"1 1 2 4 3 12 31111 6 M59 00004*")-SUMIFS(E68:E1474,K68:K1474,"0",B68:B1474,"1 1 2 4 3 12 31111 6 M59 00004*")</f>
        <v>9277158.1999999993</v>
      </c>
      <c r="E67" s="54"/>
      <c r="F67" s="83">
        <f>SUMIFS(F68:F1474,K68:K1474,"0",B68:B1474,"1 1 2 4 3 12 31111 6 M59 00004*")</f>
        <v>250203.72</v>
      </c>
      <c r="G67" s="83">
        <f>SUMIFS(G68:G1474,K68:K1474,"0",B68:B1474,"1 1 2 4 3 12 31111 6 M59 00004*")</f>
        <v>250203.72</v>
      </c>
      <c r="H67" s="83">
        <f t="shared" si="0"/>
        <v>9277158.1999999993</v>
      </c>
      <c r="I67" s="83"/>
      <c r="K67" s="54" t="s">
        <v>15</v>
      </c>
    </row>
    <row r="68" spans="2:11" ht="16.5" x14ac:dyDescent="0.2">
      <c r="B68" s="82" t="s">
        <v>232</v>
      </c>
      <c r="C68" s="82" t="s">
        <v>42</v>
      </c>
      <c r="D68" s="83">
        <f>SUMIFS(D69:D1474,K69:K1474,"0",B69:B1474,"1 1 2 4 3 12 31111 6 M59 00004 000001*")-SUMIFS(E69:E1474,K69:K1474,"0",B69:B1474,"1 1 2 4 3 12 31111 6 M59 00004 000001*")</f>
        <v>9277158.1999999993</v>
      </c>
      <c r="E68" s="54"/>
      <c r="F68" s="83">
        <f>SUMIFS(F69:F1474,K69:K1474,"0",B69:B1474,"1 1 2 4 3 12 31111 6 M59 00004 000001*")</f>
        <v>250203.72</v>
      </c>
      <c r="G68" s="83">
        <f>SUMIFS(G69:G1474,K69:K1474,"0",B69:B1474,"1 1 2 4 3 12 31111 6 M59 00004 000001*")</f>
        <v>250203.72</v>
      </c>
      <c r="H68" s="83">
        <f t="shared" si="0"/>
        <v>9277158.1999999993</v>
      </c>
      <c r="I68" s="83"/>
      <c r="K68" s="54" t="s">
        <v>15</v>
      </c>
    </row>
    <row r="69" spans="2:11" ht="16.5" x14ac:dyDescent="0.2">
      <c r="B69" s="84" t="s">
        <v>234</v>
      </c>
      <c r="C69" s="84" t="s">
        <v>226</v>
      </c>
      <c r="D69" s="85">
        <v>9277158.1999999993</v>
      </c>
      <c r="E69" s="85"/>
      <c r="F69" s="85">
        <v>250203.72</v>
      </c>
      <c r="G69" s="85">
        <v>250203.72</v>
      </c>
      <c r="H69" s="85">
        <f t="shared" si="0"/>
        <v>9277158.1999999993</v>
      </c>
      <c r="I69" s="85"/>
      <c r="K69" s="54" t="s">
        <v>38</v>
      </c>
    </row>
    <row r="70" spans="2:11" ht="12.75" x14ac:dyDescent="0.2">
      <c r="B70" s="82" t="s">
        <v>235</v>
      </c>
      <c r="C70" s="82" t="s">
        <v>236</v>
      </c>
      <c r="D70" s="83">
        <f>SUMIFS(D71:D1474,K71:K1474,"0",B71:B1474,"1 1 2 4 4*")-SUMIFS(E71:E1474,K71:K1474,"0",B71:B1474,"1 1 2 4 4*")</f>
        <v>280656</v>
      </c>
      <c r="E70" s="54"/>
      <c r="F70" s="83">
        <f>SUMIFS(F71:F1474,K71:K1474,"0",B71:B1474,"1 1 2 4 4*")</f>
        <v>50327.01</v>
      </c>
      <c r="G70" s="83">
        <f>SUMIFS(G71:G1474,K71:K1474,"0",B71:B1474,"1 1 2 4 4*")</f>
        <v>50327.01</v>
      </c>
      <c r="H70" s="83">
        <f t="shared" si="0"/>
        <v>280656</v>
      </c>
      <c r="I70" s="83"/>
      <c r="K70" s="54" t="s">
        <v>15</v>
      </c>
    </row>
    <row r="71" spans="2:11" ht="12.75" x14ac:dyDescent="0.2">
      <c r="B71" s="82" t="s">
        <v>237</v>
      </c>
      <c r="C71" s="82" t="s">
        <v>26</v>
      </c>
      <c r="D71" s="83">
        <f>SUMIFS(D72:D1474,K72:K1474,"0",B72:B1474,"1 1 2 4 4 12*")-SUMIFS(E72:E1474,K72:K1474,"0",B72:B1474,"1 1 2 4 4 12*")</f>
        <v>280656</v>
      </c>
      <c r="E71" s="54"/>
      <c r="F71" s="83">
        <f>SUMIFS(F72:F1474,K72:K1474,"0",B72:B1474,"1 1 2 4 4 12*")</f>
        <v>50327.01</v>
      </c>
      <c r="G71" s="83">
        <f>SUMIFS(G72:G1474,K72:K1474,"0",B72:B1474,"1 1 2 4 4 12*")</f>
        <v>50327.01</v>
      </c>
      <c r="H71" s="83">
        <f t="shared" si="0"/>
        <v>280656</v>
      </c>
      <c r="I71" s="83"/>
      <c r="K71" s="54" t="s">
        <v>15</v>
      </c>
    </row>
    <row r="72" spans="2:11" ht="16.5" x14ac:dyDescent="0.2">
      <c r="B72" s="82" t="s">
        <v>238</v>
      </c>
      <c r="C72" s="82" t="s">
        <v>28</v>
      </c>
      <c r="D72" s="83">
        <f>SUMIFS(D73:D1474,K73:K1474,"0",B73:B1474,"1 1 2 4 4 12 31111*")-SUMIFS(E73:E1474,K73:K1474,"0",B73:B1474,"1 1 2 4 4 12 31111*")</f>
        <v>280656</v>
      </c>
      <c r="E72" s="54"/>
      <c r="F72" s="83">
        <f>SUMIFS(F73:F1474,K73:K1474,"0",B73:B1474,"1 1 2 4 4 12 31111*")</f>
        <v>50327.01</v>
      </c>
      <c r="G72" s="83">
        <f>SUMIFS(G73:G1474,K73:K1474,"0",B73:B1474,"1 1 2 4 4 12 31111*")</f>
        <v>50327.01</v>
      </c>
      <c r="H72" s="83">
        <f t="shared" si="0"/>
        <v>280656</v>
      </c>
      <c r="I72" s="83"/>
      <c r="K72" s="54" t="s">
        <v>15</v>
      </c>
    </row>
    <row r="73" spans="2:11" ht="12.75" x14ac:dyDescent="0.2">
      <c r="B73" s="82" t="s">
        <v>239</v>
      </c>
      <c r="C73" s="82" t="s">
        <v>30</v>
      </c>
      <c r="D73" s="83">
        <f>SUMIFS(D74:D1474,K74:K1474,"0",B74:B1474,"1 1 2 4 4 12 31111 6*")-SUMIFS(E74:E1474,K74:K1474,"0",B74:B1474,"1 1 2 4 4 12 31111 6*")</f>
        <v>280656</v>
      </c>
      <c r="E73" s="54"/>
      <c r="F73" s="83">
        <f>SUMIFS(F74:F1474,K74:K1474,"0",B74:B1474,"1 1 2 4 4 12 31111 6*")</f>
        <v>50327.01</v>
      </c>
      <c r="G73" s="83">
        <f>SUMIFS(G74:G1474,K74:K1474,"0",B74:B1474,"1 1 2 4 4 12 31111 6*")</f>
        <v>50327.01</v>
      </c>
      <c r="H73" s="83">
        <f t="shared" si="0"/>
        <v>280656</v>
      </c>
      <c r="I73" s="83"/>
      <c r="K73" s="54" t="s">
        <v>15</v>
      </c>
    </row>
    <row r="74" spans="2:11" ht="16.5" x14ac:dyDescent="0.2">
      <c r="B74" s="82" t="s">
        <v>240</v>
      </c>
      <c r="C74" s="82" t="s">
        <v>140</v>
      </c>
      <c r="D74" s="83">
        <f>SUMIFS(D75:D1474,K75:K1474,"0",B75:B1474,"1 1 2 4 4 12 31111 6 M59*")-SUMIFS(E75:E1474,K75:K1474,"0",B75:B1474,"1 1 2 4 4 12 31111 6 M59*")</f>
        <v>280656</v>
      </c>
      <c r="E74" s="54"/>
      <c r="F74" s="83">
        <f>SUMIFS(F75:F1474,K75:K1474,"0",B75:B1474,"1 1 2 4 4 12 31111 6 M59*")</f>
        <v>50327.01</v>
      </c>
      <c r="G74" s="83">
        <f>SUMIFS(G75:G1474,K75:K1474,"0",B75:B1474,"1 1 2 4 4 12 31111 6 M59*")</f>
        <v>50327.01</v>
      </c>
      <c r="H74" s="83">
        <f t="shared" si="0"/>
        <v>280656</v>
      </c>
      <c r="I74" s="83"/>
      <c r="K74" s="54" t="s">
        <v>15</v>
      </c>
    </row>
    <row r="75" spans="2:11" ht="16.5" x14ac:dyDescent="0.2">
      <c r="B75" s="82" t="s">
        <v>246</v>
      </c>
      <c r="C75" s="82" t="s">
        <v>1364</v>
      </c>
      <c r="D75" s="83">
        <f>SUMIFS(D76:D1474,K76:K1474,"0",B76:B1474,"1 1 2 4 4 12 31111 6 M59 00004*")-SUMIFS(E76:E1474,K76:K1474,"0",B76:B1474,"1 1 2 4 4 12 31111 6 M59 00004*")</f>
        <v>280656</v>
      </c>
      <c r="E75" s="54"/>
      <c r="F75" s="83">
        <f>SUMIFS(F76:F1474,K76:K1474,"0",B76:B1474,"1 1 2 4 4 12 31111 6 M59 00004*")</f>
        <v>50327.01</v>
      </c>
      <c r="G75" s="83">
        <f>SUMIFS(G76:G1474,K76:K1474,"0",B76:B1474,"1 1 2 4 4 12 31111 6 M59 00004*")</f>
        <v>50327.01</v>
      </c>
      <c r="H75" s="83">
        <f t="shared" si="0"/>
        <v>280656</v>
      </c>
      <c r="I75" s="83"/>
      <c r="K75" s="54" t="s">
        <v>15</v>
      </c>
    </row>
    <row r="76" spans="2:11" ht="16.5" x14ac:dyDescent="0.2">
      <c r="B76" s="82" t="s">
        <v>247</v>
      </c>
      <c r="C76" s="82" t="s">
        <v>42</v>
      </c>
      <c r="D76" s="83">
        <f>SUMIFS(D77:D1474,K77:K1474,"0",B77:B1474,"1 1 2 4 4 12 31111 6 M59 00004 000001*")-SUMIFS(E77:E1474,K77:K1474,"0",B77:B1474,"1 1 2 4 4 12 31111 6 M59 00004 000001*")</f>
        <v>280656</v>
      </c>
      <c r="E76" s="54"/>
      <c r="F76" s="83">
        <f>SUMIFS(F77:F1474,K77:K1474,"0",B77:B1474,"1 1 2 4 4 12 31111 6 M59 00004 000001*")</f>
        <v>50327.01</v>
      </c>
      <c r="G76" s="83">
        <f>SUMIFS(G77:G1474,K77:K1474,"0",B77:B1474,"1 1 2 4 4 12 31111 6 M59 00004 000001*")</f>
        <v>50327.01</v>
      </c>
      <c r="H76" s="83">
        <f t="shared" ref="H76:H139" si="1">D76 + F76 - G76</f>
        <v>280656</v>
      </c>
      <c r="I76" s="83"/>
      <c r="K76" s="54" t="s">
        <v>15</v>
      </c>
    </row>
    <row r="77" spans="2:11" ht="16.5" x14ac:dyDescent="0.2">
      <c r="B77" s="84" t="s">
        <v>248</v>
      </c>
      <c r="C77" s="84" t="s">
        <v>236</v>
      </c>
      <c r="D77" s="85">
        <v>280656</v>
      </c>
      <c r="E77" s="85"/>
      <c r="F77" s="85">
        <v>50327.01</v>
      </c>
      <c r="G77" s="85">
        <v>50327.01</v>
      </c>
      <c r="H77" s="85">
        <f t="shared" si="1"/>
        <v>280656</v>
      </c>
      <c r="I77" s="85"/>
      <c r="K77" s="54" t="s">
        <v>38</v>
      </c>
    </row>
    <row r="78" spans="2:11" ht="16.5" x14ac:dyDescent="0.2">
      <c r="B78" s="82" t="s">
        <v>253</v>
      </c>
      <c r="C78" s="82" t="s">
        <v>254</v>
      </c>
      <c r="D78" s="83">
        <f>SUMIFS(D79:D1474,K79:K1474,"0",B79:B1474,"1 1 2 4 5*")-SUMIFS(E79:E1474,K79:K1474,"0",B79:B1474,"1 1 2 4 5*")</f>
        <v>700</v>
      </c>
      <c r="E78" s="54"/>
      <c r="F78" s="83">
        <f>SUMIFS(F79:F1474,K79:K1474,"0",B79:B1474,"1 1 2 4 5*")</f>
        <v>1300</v>
      </c>
      <c r="G78" s="83">
        <f>SUMIFS(G79:G1474,K79:K1474,"0",B79:B1474,"1 1 2 4 5*")</f>
        <v>1300</v>
      </c>
      <c r="H78" s="83">
        <f t="shared" si="1"/>
        <v>700</v>
      </c>
      <c r="I78" s="83"/>
      <c r="K78" s="54" t="s">
        <v>15</v>
      </c>
    </row>
    <row r="79" spans="2:11" ht="12.75" x14ac:dyDescent="0.2">
      <c r="B79" s="82" t="s">
        <v>255</v>
      </c>
      <c r="C79" s="82" t="s">
        <v>26</v>
      </c>
      <c r="D79" s="83">
        <f>SUMIFS(D80:D1474,K80:K1474,"0",B80:B1474,"1 1 2 4 5 12*")-SUMIFS(E80:E1474,K80:K1474,"0",B80:B1474,"1 1 2 4 5 12*")</f>
        <v>700</v>
      </c>
      <c r="E79" s="54"/>
      <c r="F79" s="83">
        <f>SUMIFS(F80:F1474,K80:K1474,"0",B80:B1474,"1 1 2 4 5 12*")</f>
        <v>1300</v>
      </c>
      <c r="G79" s="83">
        <f>SUMIFS(G80:G1474,K80:K1474,"0",B80:B1474,"1 1 2 4 5 12*")</f>
        <v>1300</v>
      </c>
      <c r="H79" s="83">
        <f t="shared" si="1"/>
        <v>700</v>
      </c>
      <c r="I79" s="83"/>
      <c r="K79" s="54" t="s">
        <v>15</v>
      </c>
    </row>
    <row r="80" spans="2:11" ht="16.5" x14ac:dyDescent="0.2">
      <c r="B80" s="82" t="s">
        <v>256</v>
      </c>
      <c r="C80" s="82" t="s">
        <v>28</v>
      </c>
      <c r="D80" s="83">
        <f>SUMIFS(D81:D1474,K81:K1474,"0",B81:B1474,"1 1 2 4 5 12 31111*")-SUMIFS(E81:E1474,K81:K1474,"0",B81:B1474,"1 1 2 4 5 12 31111*")</f>
        <v>700</v>
      </c>
      <c r="E80" s="54"/>
      <c r="F80" s="83">
        <f>SUMIFS(F81:F1474,K81:K1474,"0",B81:B1474,"1 1 2 4 5 12 31111*")</f>
        <v>1300</v>
      </c>
      <c r="G80" s="83">
        <f>SUMIFS(G81:G1474,K81:K1474,"0",B81:B1474,"1 1 2 4 5 12 31111*")</f>
        <v>1300</v>
      </c>
      <c r="H80" s="83">
        <f t="shared" si="1"/>
        <v>700</v>
      </c>
      <c r="I80" s="83"/>
      <c r="K80" s="54" t="s">
        <v>15</v>
      </c>
    </row>
    <row r="81" spans="2:11" ht="12.75" x14ac:dyDescent="0.2">
      <c r="B81" s="82" t="s">
        <v>257</v>
      </c>
      <c r="C81" s="82" t="s">
        <v>30</v>
      </c>
      <c r="D81" s="83">
        <f>SUMIFS(D82:D1474,K82:K1474,"0",B82:B1474,"1 1 2 4 5 12 31111 6*")-SUMIFS(E82:E1474,K82:K1474,"0",B82:B1474,"1 1 2 4 5 12 31111 6*")</f>
        <v>700</v>
      </c>
      <c r="E81" s="54"/>
      <c r="F81" s="83">
        <f>SUMIFS(F82:F1474,K82:K1474,"0",B82:B1474,"1 1 2 4 5 12 31111 6*")</f>
        <v>1300</v>
      </c>
      <c r="G81" s="83">
        <f>SUMIFS(G82:G1474,K82:K1474,"0",B82:B1474,"1 1 2 4 5 12 31111 6*")</f>
        <v>1300</v>
      </c>
      <c r="H81" s="83">
        <f t="shared" si="1"/>
        <v>700</v>
      </c>
      <c r="I81" s="83"/>
      <c r="K81" s="54" t="s">
        <v>15</v>
      </c>
    </row>
    <row r="82" spans="2:11" ht="16.5" x14ac:dyDescent="0.2">
      <c r="B82" s="82" t="s">
        <v>258</v>
      </c>
      <c r="C82" s="82" t="s">
        <v>1990</v>
      </c>
      <c r="D82" s="83">
        <f>SUMIFS(D83:D1474,K83:K1474,"0",B83:B1474,"1 1 2 4 5 12 31111 6 M59*")-SUMIFS(E83:E1474,K83:K1474,"0",B83:B1474,"1 1 2 4 5 12 31111 6 M59*")</f>
        <v>700</v>
      </c>
      <c r="E82" s="54"/>
      <c r="F82" s="83">
        <f>SUMIFS(F83:F1474,K83:K1474,"0",B83:B1474,"1 1 2 4 5 12 31111 6 M59*")</f>
        <v>1300</v>
      </c>
      <c r="G82" s="83">
        <f>SUMIFS(G83:G1474,K83:K1474,"0",B83:B1474,"1 1 2 4 5 12 31111 6 M59*")</f>
        <v>1300</v>
      </c>
      <c r="H82" s="83">
        <f t="shared" si="1"/>
        <v>700</v>
      </c>
      <c r="I82" s="83"/>
      <c r="K82" s="54" t="s">
        <v>15</v>
      </c>
    </row>
    <row r="83" spans="2:11" ht="16.5" x14ac:dyDescent="0.2">
      <c r="B83" s="82" t="s">
        <v>259</v>
      </c>
      <c r="C83" s="82" t="s">
        <v>1364</v>
      </c>
      <c r="D83" s="83">
        <f>SUMIFS(D84:D1474,K84:K1474,"0",B84:B1474,"1 1 2 4 5 12 31111 6 M59 00004*")-SUMIFS(E84:E1474,K84:K1474,"0",B84:B1474,"1 1 2 4 5 12 31111 6 M59 00004*")</f>
        <v>700</v>
      </c>
      <c r="E83" s="54"/>
      <c r="F83" s="83">
        <f>SUMIFS(F84:F1474,K84:K1474,"0",B84:B1474,"1 1 2 4 5 12 31111 6 M59 00004*")</f>
        <v>1300</v>
      </c>
      <c r="G83" s="83">
        <f>SUMIFS(G84:G1474,K84:K1474,"0",B84:B1474,"1 1 2 4 5 12 31111 6 M59 00004*")</f>
        <v>1300</v>
      </c>
      <c r="H83" s="83">
        <f t="shared" si="1"/>
        <v>700</v>
      </c>
      <c r="I83" s="83"/>
      <c r="K83" s="54" t="s">
        <v>15</v>
      </c>
    </row>
    <row r="84" spans="2:11" ht="16.5" x14ac:dyDescent="0.2">
      <c r="B84" s="82" t="s">
        <v>260</v>
      </c>
      <c r="C84" s="82" t="s">
        <v>42</v>
      </c>
      <c r="D84" s="83">
        <f>SUMIFS(D85:D1474,K85:K1474,"0",B85:B1474,"1 1 2 4 5 12 31111 6 M59 00004 000001*")-SUMIFS(E85:E1474,K85:K1474,"0",B85:B1474,"1 1 2 4 5 12 31111 6 M59 00004 000001*")</f>
        <v>700</v>
      </c>
      <c r="E84" s="54"/>
      <c r="F84" s="83">
        <f>SUMIFS(F85:F1474,K85:K1474,"0",B85:B1474,"1 1 2 4 5 12 31111 6 M59 00004 000001*")</f>
        <v>1300</v>
      </c>
      <c r="G84" s="83">
        <f>SUMIFS(G85:G1474,K85:K1474,"0",B85:B1474,"1 1 2 4 5 12 31111 6 M59 00004 000001*")</f>
        <v>1300</v>
      </c>
      <c r="H84" s="83">
        <f t="shared" si="1"/>
        <v>700</v>
      </c>
      <c r="I84" s="83"/>
      <c r="K84" s="54" t="s">
        <v>15</v>
      </c>
    </row>
    <row r="85" spans="2:11" ht="16.5" x14ac:dyDescent="0.2">
      <c r="B85" s="84" t="s">
        <v>262</v>
      </c>
      <c r="C85" s="84" t="s">
        <v>254</v>
      </c>
      <c r="D85" s="85">
        <v>700</v>
      </c>
      <c r="E85" s="85"/>
      <c r="F85" s="85">
        <v>1300</v>
      </c>
      <c r="G85" s="85">
        <v>1300</v>
      </c>
      <c r="H85" s="85">
        <f t="shared" si="1"/>
        <v>700</v>
      </c>
      <c r="I85" s="85"/>
      <c r="K85" s="54" t="s">
        <v>38</v>
      </c>
    </row>
    <row r="86" spans="2:11" ht="24.75" x14ac:dyDescent="0.2">
      <c r="B86" s="82" t="s">
        <v>355</v>
      </c>
      <c r="C86" s="82" t="s">
        <v>356</v>
      </c>
      <c r="D86" s="83">
        <f>SUMIFS(D87:D1474,K87:K1474,"0",B87:B1474,"1 1 2 9*")-SUMIFS(E87:E1474,K87:K1474,"0",B87:B1474,"1 1 2 9*")</f>
        <v>1539.18</v>
      </c>
      <c r="E86" s="54"/>
      <c r="F86" s="83">
        <f>SUMIFS(F87:F1474,K87:K1474,"0",B87:B1474,"1 1 2 9*")</f>
        <v>0</v>
      </c>
      <c r="G86" s="83">
        <f>SUMIFS(G87:G1474,K87:K1474,"0",B87:B1474,"1 1 2 9*")</f>
        <v>0</v>
      </c>
      <c r="H86" s="83">
        <f t="shared" si="1"/>
        <v>1539.18</v>
      </c>
      <c r="I86" s="83"/>
      <c r="K86" s="54" t="s">
        <v>15</v>
      </c>
    </row>
    <row r="87" spans="2:11" ht="24.75" x14ac:dyDescent="0.2">
      <c r="B87" s="82" t="s">
        <v>357</v>
      </c>
      <c r="C87" s="82" t="s">
        <v>356</v>
      </c>
      <c r="D87" s="83">
        <f>SUMIFS(D88:D1474,K88:K1474,"0",B88:B1474,"1 1 2 9 1*")-SUMIFS(E88:E1474,K88:K1474,"0",B88:B1474,"1 1 2 9 1*")</f>
        <v>1539.18</v>
      </c>
      <c r="E87" s="54"/>
      <c r="F87" s="83">
        <f>SUMIFS(F88:F1474,K88:K1474,"0",B88:B1474,"1 1 2 9 1*")</f>
        <v>0</v>
      </c>
      <c r="G87" s="83">
        <f>SUMIFS(G88:G1474,K88:K1474,"0",B88:B1474,"1 1 2 9 1*")</f>
        <v>0</v>
      </c>
      <c r="H87" s="83">
        <f t="shared" si="1"/>
        <v>1539.18</v>
      </c>
      <c r="I87" s="83"/>
      <c r="K87" s="54" t="s">
        <v>15</v>
      </c>
    </row>
    <row r="88" spans="2:11" ht="12.75" x14ac:dyDescent="0.2">
      <c r="B88" s="82" t="s">
        <v>358</v>
      </c>
      <c r="C88" s="82" t="s">
        <v>26</v>
      </c>
      <c r="D88" s="83">
        <f>SUMIFS(D89:D1474,K89:K1474,"0",B89:B1474,"1 1 2 9 1 12*")-SUMIFS(E89:E1474,K89:K1474,"0",B89:B1474,"1 1 2 9 1 12*")</f>
        <v>1539.18</v>
      </c>
      <c r="E88" s="54"/>
      <c r="F88" s="83">
        <f>SUMIFS(F89:F1474,K89:K1474,"0",B89:B1474,"1 1 2 9 1 12*")</f>
        <v>0</v>
      </c>
      <c r="G88" s="83">
        <f>SUMIFS(G89:G1474,K89:K1474,"0",B89:B1474,"1 1 2 9 1 12*")</f>
        <v>0</v>
      </c>
      <c r="H88" s="83">
        <f t="shared" si="1"/>
        <v>1539.18</v>
      </c>
      <c r="I88" s="83"/>
      <c r="K88" s="54" t="s">
        <v>15</v>
      </c>
    </row>
    <row r="89" spans="2:11" ht="16.5" x14ac:dyDescent="0.2">
      <c r="B89" s="82" t="s">
        <v>359</v>
      </c>
      <c r="C89" s="82" t="s">
        <v>28</v>
      </c>
      <c r="D89" s="83">
        <f>SUMIFS(D90:D1474,K90:K1474,"0",B90:B1474,"1 1 2 9 1 12 31111*")-SUMIFS(E90:E1474,K90:K1474,"0",B90:B1474,"1 1 2 9 1 12 31111*")</f>
        <v>1539.18</v>
      </c>
      <c r="E89" s="54"/>
      <c r="F89" s="83">
        <f>SUMIFS(F90:F1474,K90:K1474,"0",B90:B1474,"1 1 2 9 1 12 31111*")</f>
        <v>0</v>
      </c>
      <c r="G89" s="83">
        <f>SUMIFS(G90:G1474,K90:K1474,"0",B90:B1474,"1 1 2 9 1 12 31111*")</f>
        <v>0</v>
      </c>
      <c r="H89" s="83">
        <f t="shared" si="1"/>
        <v>1539.18</v>
      </c>
      <c r="I89" s="83"/>
      <c r="K89" s="54" t="s">
        <v>15</v>
      </c>
    </row>
    <row r="90" spans="2:11" ht="12.75" x14ac:dyDescent="0.2">
      <c r="B90" s="82" t="s">
        <v>360</v>
      </c>
      <c r="C90" s="82" t="s">
        <v>30</v>
      </c>
      <c r="D90" s="83">
        <f>SUMIFS(D91:D1474,K91:K1474,"0",B91:B1474,"1 1 2 9 1 12 31111 6*")-SUMIFS(E91:E1474,K91:K1474,"0",B91:B1474,"1 1 2 9 1 12 31111 6*")</f>
        <v>1539.18</v>
      </c>
      <c r="E90" s="54"/>
      <c r="F90" s="83">
        <f>SUMIFS(F91:F1474,K91:K1474,"0",B91:B1474,"1 1 2 9 1 12 31111 6*")</f>
        <v>0</v>
      </c>
      <c r="G90" s="83">
        <f>SUMIFS(G91:G1474,K91:K1474,"0",B91:B1474,"1 1 2 9 1 12 31111 6*")</f>
        <v>0</v>
      </c>
      <c r="H90" s="83">
        <f t="shared" si="1"/>
        <v>1539.18</v>
      </c>
      <c r="I90" s="83"/>
      <c r="K90" s="54" t="s">
        <v>15</v>
      </c>
    </row>
    <row r="91" spans="2:11" ht="12.75" x14ac:dyDescent="0.2">
      <c r="B91" s="82" t="s">
        <v>361</v>
      </c>
      <c r="C91" s="82" t="s">
        <v>1990</v>
      </c>
      <c r="D91" s="83">
        <f>SUMIFS(D92:D1474,K92:K1474,"0",B92:B1474,"1 1 2 9 1 12 31111 6 M59*")-SUMIFS(E92:E1474,K92:K1474,"0",B92:B1474,"1 1 2 9 1 12 31111 6 M59*")</f>
        <v>1539.18</v>
      </c>
      <c r="E91" s="54"/>
      <c r="F91" s="83">
        <f>SUMIFS(F92:F1474,K92:K1474,"0",B92:B1474,"1 1 2 9 1 12 31111 6 M59*")</f>
        <v>0</v>
      </c>
      <c r="G91" s="83">
        <f>SUMIFS(G92:G1474,K92:K1474,"0",B92:B1474,"1 1 2 9 1 12 31111 6 M59*")</f>
        <v>0</v>
      </c>
      <c r="H91" s="83">
        <f t="shared" si="1"/>
        <v>1539.18</v>
      </c>
      <c r="I91" s="83"/>
      <c r="K91" s="54" t="s">
        <v>15</v>
      </c>
    </row>
    <row r="92" spans="2:11" ht="16.5" x14ac:dyDescent="0.2">
      <c r="B92" s="82" t="s">
        <v>372</v>
      </c>
      <c r="C92" s="82" t="s">
        <v>1364</v>
      </c>
      <c r="D92" s="83">
        <f>SUMIFS(D93:D1474,K93:K1474,"0",B93:B1474,"1 1 2 9 1 12 31111 6 M59 00004*")-SUMIFS(E93:E1474,K93:K1474,"0",B93:B1474,"1 1 2 9 1 12 31111 6 M59 00004*")</f>
        <v>1539.18</v>
      </c>
      <c r="E92" s="54"/>
      <c r="F92" s="83">
        <f>SUMIFS(F93:F1474,K93:K1474,"0",B93:B1474,"1 1 2 9 1 12 31111 6 M59 00004*")</f>
        <v>0</v>
      </c>
      <c r="G92" s="83">
        <f>SUMIFS(G93:G1474,K93:K1474,"0",B93:B1474,"1 1 2 9 1 12 31111 6 M59 00004*")</f>
        <v>0</v>
      </c>
      <c r="H92" s="83">
        <f t="shared" si="1"/>
        <v>1539.18</v>
      </c>
      <c r="I92" s="83"/>
      <c r="K92" s="54" t="s">
        <v>15</v>
      </c>
    </row>
    <row r="93" spans="2:11" ht="16.5" x14ac:dyDescent="0.2">
      <c r="B93" s="82" t="s">
        <v>373</v>
      </c>
      <c r="C93" s="82" t="s">
        <v>42</v>
      </c>
      <c r="D93" s="83">
        <f>SUMIFS(D94:D1474,K94:K1474,"0",B94:B1474,"1 1 2 9 1 12 31111 6 M59 00004 000001*")-SUMIFS(E94:E1474,K94:K1474,"0",B94:B1474,"1 1 2 9 1 12 31111 6 M59 00004 000001*")</f>
        <v>1539.18</v>
      </c>
      <c r="E93" s="54"/>
      <c r="F93" s="83">
        <f>SUMIFS(F94:F1474,K94:K1474,"0",B94:B1474,"1 1 2 9 1 12 31111 6 M59 00004 000001*")</f>
        <v>0</v>
      </c>
      <c r="G93" s="83">
        <f>SUMIFS(G94:G1474,K94:K1474,"0",B94:B1474,"1 1 2 9 1 12 31111 6 M59 00004 000001*")</f>
        <v>0</v>
      </c>
      <c r="H93" s="83">
        <f t="shared" si="1"/>
        <v>1539.18</v>
      </c>
      <c r="I93" s="83"/>
      <c r="K93" s="54" t="s">
        <v>15</v>
      </c>
    </row>
    <row r="94" spans="2:11" ht="24.75" x14ac:dyDescent="0.2">
      <c r="B94" s="84" t="s">
        <v>374</v>
      </c>
      <c r="C94" s="84" t="s">
        <v>375</v>
      </c>
      <c r="D94" s="85">
        <v>1539.18</v>
      </c>
      <c r="E94" s="85"/>
      <c r="F94" s="85">
        <v>0</v>
      </c>
      <c r="G94" s="85">
        <v>0</v>
      </c>
      <c r="H94" s="85">
        <f t="shared" si="1"/>
        <v>1539.18</v>
      </c>
      <c r="I94" s="85"/>
      <c r="K94" s="54" t="s">
        <v>38</v>
      </c>
    </row>
    <row r="95" spans="2:11" ht="16.5" x14ac:dyDescent="0.2">
      <c r="B95" s="82" t="s">
        <v>376</v>
      </c>
      <c r="C95" s="82" t="s">
        <v>377</v>
      </c>
      <c r="D95" s="83">
        <f>SUMIFS(D96:D1474,K96:K1474,"0",B96:B1474,"1 1 3*")-SUMIFS(E96:E1474,K96:K1474,"0",B96:B1474,"1 1 3*")</f>
        <v>1511693.39</v>
      </c>
      <c r="E95" s="54"/>
      <c r="F95" s="83">
        <f>SUMIFS(F96:F1474,K96:K1474,"0",B96:B1474,"1 1 3*")</f>
        <v>0</v>
      </c>
      <c r="G95" s="83">
        <f>SUMIFS(G96:G1474,K96:K1474,"0",B96:B1474,"1 1 3*")</f>
        <v>0</v>
      </c>
      <c r="H95" s="83">
        <f t="shared" si="1"/>
        <v>1511693.39</v>
      </c>
      <c r="I95" s="83"/>
      <c r="K95" s="54" t="s">
        <v>15</v>
      </c>
    </row>
    <row r="96" spans="2:11" ht="33" x14ac:dyDescent="0.2">
      <c r="B96" s="82" t="s">
        <v>378</v>
      </c>
      <c r="C96" s="82" t="s">
        <v>379</v>
      </c>
      <c r="D96" s="83">
        <f>SUMIFS(D97:D1474,K97:K1474,"0",B97:B1474,"1 1 3 1*")-SUMIFS(E97:E1474,K97:K1474,"0",B97:B1474,"1 1 3 1*")</f>
        <v>88978.37999999999</v>
      </c>
      <c r="E96" s="54"/>
      <c r="F96" s="83">
        <f>SUMIFS(F97:F1474,K97:K1474,"0",B97:B1474,"1 1 3 1*")</f>
        <v>0</v>
      </c>
      <c r="G96" s="83">
        <f>SUMIFS(G97:G1474,K97:K1474,"0",B97:B1474,"1 1 3 1*")</f>
        <v>0</v>
      </c>
      <c r="H96" s="83">
        <f t="shared" si="1"/>
        <v>88978.37999999999</v>
      </c>
      <c r="I96" s="83"/>
      <c r="K96" s="54" t="s">
        <v>15</v>
      </c>
    </row>
    <row r="97" spans="2:11" ht="33" x14ac:dyDescent="0.2">
      <c r="B97" s="82" t="s">
        <v>380</v>
      </c>
      <c r="C97" s="82" t="s">
        <v>379</v>
      </c>
      <c r="D97" s="83">
        <f>SUMIFS(D98:D1474,K98:K1474,"0",B98:B1474,"1 1 3 1 1*")-SUMIFS(E98:E1474,K98:K1474,"0",B98:B1474,"1 1 3 1 1*")</f>
        <v>88978.37999999999</v>
      </c>
      <c r="E97" s="54"/>
      <c r="F97" s="83">
        <f>SUMIFS(F98:F1474,K98:K1474,"0",B98:B1474,"1 1 3 1 1*")</f>
        <v>0</v>
      </c>
      <c r="G97" s="83">
        <f>SUMIFS(G98:G1474,K98:K1474,"0",B98:B1474,"1 1 3 1 1*")</f>
        <v>0</v>
      </c>
      <c r="H97" s="83">
        <f t="shared" si="1"/>
        <v>88978.37999999999</v>
      </c>
      <c r="I97" s="83"/>
      <c r="K97" s="54" t="s">
        <v>15</v>
      </c>
    </row>
    <row r="98" spans="2:11" ht="12.75" x14ac:dyDescent="0.2">
      <c r="B98" s="82" t="s">
        <v>381</v>
      </c>
      <c r="C98" s="82" t="s">
        <v>26</v>
      </c>
      <c r="D98" s="83">
        <f>SUMIFS(D99:D1474,K99:K1474,"0",B99:B1474,"1 1 3 1 1 12*")-SUMIFS(E99:E1474,K99:K1474,"0",B99:B1474,"1 1 3 1 1 12*")</f>
        <v>88978.37999999999</v>
      </c>
      <c r="E98" s="54"/>
      <c r="F98" s="83">
        <f>SUMIFS(F99:F1474,K99:K1474,"0",B99:B1474,"1 1 3 1 1 12*")</f>
        <v>0</v>
      </c>
      <c r="G98" s="83">
        <f>SUMIFS(G99:G1474,K99:K1474,"0",B99:B1474,"1 1 3 1 1 12*")</f>
        <v>0</v>
      </c>
      <c r="H98" s="83">
        <f t="shared" si="1"/>
        <v>88978.37999999999</v>
      </c>
      <c r="I98" s="83"/>
      <c r="K98" s="54" t="s">
        <v>15</v>
      </c>
    </row>
    <row r="99" spans="2:11" ht="16.5" x14ac:dyDescent="0.2">
      <c r="B99" s="82" t="s">
        <v>382</v>
      </c>
      <c r="C99" s="82" t="s">
        <v>28</v>
      </c>
      <c r="D99" s="83">
        <f>SUMIFS(D100:D1474,K100:K1474,"0",B100:B1474,"1 1 3 1 1 12 31111*")-SUMIFS(E100:E1474,K100:K1474,"0",B100:B1474,"1 1 3 1 1 12 31111*")</f>
        <v>88978.37999999999</v>
      </c>
      <c r="E99" s="54"/>
      <c r="F99" s="83">
        <f>SUMIFS(F100:F1474,K100:K1474,"0",B100:B1474,"1 1 3 1 1 12 31111*")</f>
        <v>0</v>
      </c>
      <c r="G99" s="83">
        <f>SUMIFS(G100:G1474,K100:K1474,"0",B100:B1474,"1 1 3 1 1 12 31111*")</f>
        <v>0</v>
      </c>
      <c r="H99" s="83">
        <f t="shared" si="1"/>
        <v>88978.37999999999</v>
      </c>
      <c r="I99" s="83"/>
      <c r="K99" s="54" t="s">
        <v>15</v>
      </c>
    </row>
    <row r="100" spans="2:11" ht="12.75" x14ac:dyDescent="0.2">
      <c r="B100" s="82" t="s">
        <v>383</v>
      </c>
      <c r="C100" s="82" t="s">
        <v>30</v>
      </c>
      <c r="D100" s="83">
        <f>SUMIFS(D101:D1474,K101:K1474,"0",B101:B1474,"1 1 3 1 1 12 31111 6*")-SUMIFS(E101:E1474,K101:K1474,"0",B101:B1474,"1 1 3 1 1 12 31111 6*")</f>
        <v>88978.37999999999</v>
      </c>
      <c r="E100" s="54"/>
      <c r="F100" s="83">
        <f>SUMIFS(F101:F1474,K101:K1474,"0",B101:B1474,"1 1 3 1 1 12 31111 6*")</f>
        <v>0</v>
      </c>
      <c r="G100" s="83">
        <f>SUMIFS(G101:G1474,K101:K1474,"0",B101:B1474,"1 1 3 1 1 12 31111 6*")</f>
        <v>0</v>
      </c>
      <c r="H100" s="83">
        <f t="shared" si="1"/>
        <v>88978.37999999999</v>
      </c>
      <c r="I100" s="83"/>
      <c r="K100" s="54" t="s">
        <v>15</v>
      </c>
    </row>
    <row r="101" spans="2:11" ht="12.75" x14ac:dyDescent="0.2">
      <c r="B101" s="82" t="s">
        <v>384</v>
      </c>
      <c r="C101" s="82" t="s">
        <v>32</v>
      </c>
      <c r="D101" s="83">
        <f>SUMIFS(D102:D1474,K102:K1474,"0",B102:B1474,"1 1 3 1 1 12 31111 6 M59*")-SUMIFS(E102:E1474,K102:K1474,"0",B102:B1474,"1 1 3 1 1 12 31111 6 M59*")</f>
        <v>88978.37999999999</v>
      </c>
      <c r="E101" s="54"/>
      <c r="F101" s="83">
        <f>SUMIFS(F102:F1474,K102:K1474,"0",B102:B1474,"1 1 3 1 1 12 31111 6 M59*")</f>
        <v>0</v>
      </c>
      <c r="G101" s="83">
        <f>SUMIFS(G102:G1474,K102:K1474,"0",B102:B1474,"1 1 3 1 1 12 31111 6 M59*")</f>
        <v>0</v>
      </c>
      <c r="H101" s="83">
        <f t="shared" si="1"/>
        <v>88978.37999999999</v>
      </c>
      <c r="I101" s="83"/>
      <c r="K101" s="54" t="s">
        <v>15</v>
      </c>
    </row>
    <row r="102" spans="2:11" ht="16.5" x14ac:dyDescent="0.2">
      <c r="B102" s="82" t="s">
        <v>452</v>
      </c>
      <c r="C102" s="82" t="s">
        <v>1364</v>
      </c>
      <c r="D102" s="83">
        <f>SUMIFS(D103:D1474,K103:K1474,"0",B103:B1474,"1 1 3 1 1 12 31111 6 M59 00004*")-SUMIFS(E103:E1474,K103:K1474,"0",B103:B1474,"1 1 3 1 1 12 31111 6 M59 00004*")</f>
        <v>88978.37999999999</v>
      </c>
      <c r="E102" s="54"/>
      <c r="F102" s="83">
        <f>SUMIFS(F103:F1474,K103:K1474,"0",B103:B1474,"1 1 3 1 1 12 31111 6 M59 00004*")</f>
        <v>0</v>
      </c>
      <c r="G102" s="83">
        <f>SUMIFS(G103:G1474,K103:K1474,"0",B103:B1474,"1 1 3 1 1 12 31111 6 M59 00004*")</f>
        <v>0</v>
      </c>
      <c r="H102" s="83">
        <f t="shared" si="1"/>
        <v>88978.37999999999</v>
      </c>
      <c r="I102" s="83"/>
      <c r="K102" s="54" t="s">
        <v>15</v>
      </c>
    </row>
    <row r="103" spans="2:11" ht="16.5" x14ac:dyDescent="0.2">
      <c r="B103" s="82" t="s">
        <v>453</v>
      </c>
      <c r="C103" s="82" t="s">
        <v>42</v>
      </c>
      <c r="D103" s="83">
        <f>SUMIFS(D104:D1474,K104:K1474,"0",B104:B1474,"1 1 3 1 1 12 31111 6 M59 00004 000001*")-SUMIFS(E104:E1474,K104:K1474,"0",B104:B1474,"1 1 3 1 1 12 31111 6 M59 00004 000001*")</f>
        <v>75664.509999999995</v>
      </c>
      <c r="E103" s="54"/>
      <c r="F103" s="83">
        <f>SUMIFS(F104:F1474,K104:K1474,"0",B104:B1474,"1 1 3 1 1 12 31111 6 M59 00004 000001*")</f>
        <v>0</v>
      </c>
      <c r="G103" s="83">
        <f>SUMIFS(G104:G1474,K104:K1474,"0",B104:B1474,"1 1 3 1 1 12 31111 6 M59 00004 000001*")</f>
        <v>0</v>
      </c>
      <c r="H103" s="83">
        <f t="shared" si="1"/>
        <v>75664.509999999995</v>
      </c>
      <c r="I103" s="83"/>
      <c r="K103" s="54" t="s">
        <v>15</v>
      </c>
    </row>
    <row r="104" spans="2:11" ht="16.5" x14ac:dyDescent="0.2">
      <c r="B104" s="84" t="s">
        <v>454</v>
      </c>
      <c r="C104" s="84" t="s">
        <v>413</v>
      </c>
      <c r="D104" s="85">
        <v>75664.509999999995</v>
      </c>
      <c r="E104" s="85"/>
      <c r="F104" s="85">
        <v>0</v>
      </c>
      <c r="G104" s="85">
        <v>0</v>
      </c>
      <c r="H104" s="85">
        <f t="shared" si="1"/>
        <v>75664.509999999995</v>
      </c>
      <c r="I104" s="85"/>
      <c r="K104" s="54" t="s">
        <v>38</v>
      </c>
    </row>
    <row r="105" spans="2:11" ht="16.5" x14ac:dyDescent="0.2">
      <c r="B105" s="84" t="s">
        <v>456</v>
      </c>
      <c r="C105" s="84" t="s">
        <v>457</v>
      </c>
      <c r="D105" s="85">
        <v>4602.01</v>
      </c>
      <c r="E105" s="85"/>
      <c r="F105" s="85">
        <v>0</v>
      </c>
      <c r="G105" s="85">
        <v>0</v>
      </c>
      <c r="H105" s="85">
        <f t="shared" si="1"/>
        <v>4602.01</v>
      </c>
      <c r="I105" s="85"/>
      <c r="K105" s="54" t="s">
        <v>38</v>
      </c>
    </row>
    <row r="106" spans="2:11" ht="16.5" x14ac:dyDescent="0.2">
      <c r="B106" s="84" t="s">
        <v>458</v>
      </c>
      <c r="C106" s="84" t="s">
        <v>459</v>
      </c>
      <c r="D106" s="85">
        <v>7141.86</v>
      </c>
      <c r="E106" s="85"/>
      <c r="F106" s="85">
        <v>0</v>
      </c>
      <c r="G106" s="85">
        <v>0</v>
      </c>
      <c r="H106" s="85">
        <f t="shared" si="1"/>
        <v>7141.86</v>
      </c>
      <c r="I106" s="85"/>
      <c r="K106" s="54" t="s">
        <v>38</v>
      </c>
    </row>
    <row r="107" spans="2:11" ht="16.5" x14ac:dyDescent="0.2">
      <c r="B107" s="84" t="s">
        <v>460</v>
      </c>
      <c r="C107" s="84" t="s">
        <v>461</v>
      </c>
      <c r="D107" s="85">
        <v>1570</v>
      </c>
      <c r="E107" s="85"/>
      <c r="F107" s="85">
        <v>0</v>
      </c>
      <c r="G107" s="85">
        <v>0</v>
      </c>
      <c r="H107" s="85">
        <f t="shared" si="1"/>
        <v>1570</v>
      </c>
      <c r="I107" s="85"/>
      <c r="K107" s="54" t="s">
        <v>38</v>
      </c>
    </row>
    <row r="108" spans="2:11" ht="24.75" x14ac:dyDescent="0.2">
      <c r="B108" s="82" t="s">
        <v>475</v>
      </c>
      <c r="C108" s="82" t="s">
        <v>476</v>
      </c>
      <c r="D108" s="83">
        <f>SUMIFS(D109:D1474,K109:K1474,"0",B109:B1474,"1 1 3 9*")-SUMIFS(E109:E1474,K109:K1474,"0",B109:B1474,"1 1 3 9*")</f>
        <v>1422715.01</v>
      </c>
      <c r="E108" s="54"/>
      <c r="F108" s="83">
        <f>SUMIFS(F109:F1474,K109:K1474,"0",B109:B1474,"1 1 3 9*")</f>
        <v>0</v>
      </c>
      <c r="G108" s="83">
        <f>SUMIFS(G109:G1474,K109:K1474,"0",B109:B1474,"1 1 3 9*")</f>
        <v>0</v>
      </c>
      <c r="H108" s="83">
        <f t="shared" si="1"/>
        <v>1422715.01</v>
      </c>
      <c r="I108" s="83"/>
      <c r="K108" s="54" t="s">
        <v>15</v>
      </c>
    </row>
    <row r="109" spans="2:11" ht="24.75" x14ac:dyDescent="0.2">
      <c r="B109" s="82" t="s">
        <v>477</v>
      </c>
      <c r="C109" s="82" t="s">
        <v>476</v>
      </c>
      <c r="D109" s="83">
        <f>SUMIFS(D110:D1474,K110:K1474,"0",B110:B1474,"1 1 3 9 1*")-SUMIFS(E110:E1474,K110:K1474,"0",B110:B1474,"1 1 3 9 1*")</f>
        <v>1422715.01</v>
      </c>
      <c r="E109" s="54"/>
      <c r="F109" s="83">
        <f>SUMIFS(F110:F1474,K110:K1474,"0",B110:B1474,"1 1 3 9 1*")</f>
        <v>0</v>
      </c>
      <c r="G109" s="83">
        <f>SUMIFS(G110:G1474,K110:K1474,"0",B110:B1474,"1 1 3 9 1*")</f>
        <v>0</v>
      </c>
      <c r="H109" s="83">
        <f t="shared" si="1"/>
        <v>1422715.01</v>
      </c>
      <c r="I109" s="83"/>
      <c r="K109" s="54" t="s">
        <v>15</v>
      </c>
    </row>
    <row r="110" spans="2:11" ht="12.75" x14ac:dyDescent="0.2">
      <c r="B110" s="82" t="s">
        <v>478</v>
      </c>
      <c r="C110" s="82" t="s">
        <v>26</v>
      </c>
      <c r="D110" s="83">
        <f>SUMIFS(D111:D1474,K111:K1474,"0",B111:B1474,"1 1 3 9 1 12*")-SUMIFS(E111:E1474,K111:K1474,"0",B111:B1474,"1 1 3 9 1 12*")</f>
        <v>1422715.01</v>
      </c>
      <c r="E110" s="54"/>
      <c r="F110" s="83">
        <f>SUMIFS(F111:F1474,K111:K1474,"0",B111:B1474,"1 1 3 9 1 12*")</f>
        <v>0</v>
      </c>
      <c r="G110" s="83">
        <f>SUMIFS(G111:G1474,K111:K1474,"0",B111:B1474,"1 1 3 9 1 12*")</f>
        <v>0</v>
      </c>
      <c r="H110" s="83">
        <f t="shared" si="1"/>
        <v>1422715.01</v>
      </c>
      <c r="I110" s="83"/>
      <c r="K110" s="54" t="s">
        <v>15</v>
      </c>
    </row>
    <row r="111" spans="2:11" ht="16.5" x14ac:dyDescent="0.2">
      <c r="B111" s="82" t="s">
        <v>479</v>
      </c>
      <c r="C111" s="82" t="s">
        <v>28</v>
      </c>
      <c r="D111" s="83">
        <f>SUMIFS(D112:D1474,K112:K1474,"0",B112:B1474,"1 1 3 9 1 12 31111*")-SUMIFS(E112:E1474,K112:K1474,"0",B112:B1474,"1 1 3 9 1 12 31111*")</f>
        <v>1422715.01</v>
      </c>
      <c r="E111" s="54"/>
      <c r="F111" s="83">
        <f>SUMIFS(F112:F1474,K112:K1474,"0",B112:B1474,"1 1 3 9 1 12 31111*")</f>
        <v>0</v>
      </c>
      <c r="G111" s="83">
        <f>SUMIFS(G112:G1474,K112:K1474,"0",B112:B1474,"1 1 3 9 1 12 31111*")</f>
        <v>0</v>
      </c>
      <c r="H111" s="83">
        <f t="shared" si="1"/>
        <v>1422715.01</v>
      </c>
      <c r="I111" s="83"/>
      <c r="K111" s="54" t="s">
        <v>15</v>
      </c>
    </row>
    <row r="112" spans="2:11" ht="12.75" x14ac:dyDescent="0.2">
      <c r="B112" s="82" t="s">
        <v>480</v>
      </c>
      <c r="C112" s="82" t="s">
        <v>30</v>
      </c>
      <c r="D112" s="83">
        <f>SUMIFS(D113:D1474,K113:K1474,"0",B113:B1474,"1 1 3 9 1 12 31111 6*")-SUMIFS(E113:E1474,K113:K1474,"0",B113:B1474,"1 1 3 9 1 12 31111 6*")</f>
        <v>1422715.01</v>
      </c>
      <c r="E112" s="54"/>
      <c r="F112" s="83">
        <f>SUMIFS(F113:F1474,K113:K1474,"0",B113:B1474,"1 1 3 9 1 12 31111 6*")</f>
        <v>0</v>
      </c>
      <c r="G112" s="83">
        <f>SUMIFS(G113:G1474,K113:K1474,"0",B113:B1474,"1 1 3 9 1 12 31111 6*")</f>
        <v>0</v>
      </c>
      <c r="H112" s="83">
        <f t="shared" si="1"/>
        <v>1422715.01</v>
      </c>
      <c r="I112" s="83"/>
      <c r="K112" s="54" t="s">
        <v>15</v>
      </c>
    </row>
    <row r="113" spans="2:11" ht="12.75" x14ac:dyDescent="0.2">
      <c r="B113" s="82" t="s">
        <v>481</v>
      </c>
      <c r="C113" s="82" t="s">
        <v>1990</v>
      </c>
      <c r="D113" s="83">
        <f>SUMIFS(D114:D1474,K114:K1474,"0",B114:B1474,"1 1 3 9 1 12 31111 6 M59*")-SUMIFS(E114:E1474,K114:K1474,"0",B114:B1474,"1 1 3 9 1 12 31111 6 M59*")</f>
        <v>1422715.01</v>
      </c>
      <c r="E113" s="54"/>
      <c r="F113" s="83">
        <f>SUMIFS(F114:F1474,K114:K1474,"0",B114:B1474,"1 1 3 9 1 12 31111 6 M59*")</f>
        <v>0</v>
      </c>
      <c r="G113" s="83">
        <f>SUMIFS(G114:G1474,K114:K1474,"0",B114:B1474,"1 1 3 9 1 12 31111 6 M59*")</f>
        <v>0</v>
      </c>
      <c r="H113" s="83">
        <f t="shared" si="1"/>
        <v>1422715.01</v>
      </c>
      <c r="I113" s="83"/>
      <c r="K113" s="54" t="s">
        <v>15</v>
      </c>
    </row>
    <row r="114" spans="2:11" ht="16.5" x14ac:dyDescent="0.2">
      <c r="B114" s="82" t="s">
        <v>488</v>
      </c>
      <c r="C114" s="82" t="s">
        <v>1364</v>
      </c>
      <c r="D114" s="83">
        <f>SUMIFS(D115:D1474,K115:K1474,"0",B115:B1474,"1 1 3 9 1 12 31111 6 M59 00004*")-SUMIFS(E115:E1474,K115:K1474,"0",B115:B1474,"1 1 3 9 1 12 31111 6 M59 00004*")</f>
        <v>1422715.01</v>
      </c>
      <c r="E114" s="54"/>
      <c r="F114" s="83">
        <f>SUMIFS(F115:F1474,K115:K1474,"0",B115:B1474,"1 1 3 9 1 12 31111 6 M59 00004*")</f>
        <v>0</v>
      </c>
      <c r="G114" s="83">
        <f>SUMIFS(G115:G1474,K115:K1474,"0",B115:B1474,"1 1 3 9 1 12 31111 6 M59 00004*")</f>
        <v>0</v>
      </c>
      <c r="H114" s="83">
        <f t="shared" si="1"/>
        <v>1422715.01</v>
      </c>
      <c r="I114" s="83"/>
      <c r="K114" s="54" t="s">
        <v>15</v>
      </c>
    </row>
    <row r="115" spans="2:11" ht="16.5" x14ac:dyDescent="0.2">
      <c r="B115" s="82" t="s">
        <v>489</v>
      </c>
      <c r="C115" s="82" t="s">
        <v>42</v>
      </c>
      <c r="D115" s="83">
        <f>SUMIFS(D116:D1474,K116:K1474,"0",B116:B1474,"1 1 3 9 1 12 31111 6 M59 00004 000001*")-SUMIFS(E116:E1474,K116:K1474,"0",B116:B1474,"1 1 3 9 1 12 31111 6 M59 00004 000001*")</f>
        <v>1422715.01</v>
      </c>
      <c r="E115" s="54"/>
      <c r="F115" s="83">
        <f>SUMIFS(F116:F1474,K116:K1474,"0",B116:B1474,"1 1 3 9 1 12 31111 6 M59 00004 000001*")</f>
        <v>0</v>
      </c>
      <c r="G115" s="83">
        <f>SUMIFS(G116:G1474,K116:K1474,"0",B116:B1474,"1 1 3 9 1 12 31111 6 M59 00004 000001*")</f>
        <v>0</v>
      </c>
      <c r="H115" s="83">
        <f t="shared" si="1"/>
        <v>1422715.01</v>
      </c>
      <c r="I115" s="83"/>
      <c r="K115" s="54" t="s">
        <v>15</v>
      </c>
    </row>
    <row r="116" spans="2:11" ht="16.5" x14ac:dyDescent="0.2">
      <c r="B116" s="84" t="s">
        <v>490</v>
      </c>
      <c r="C116" s="84" t="s">
        <v>491</v>
      </c>
      <c r="D116" s="85">
        <v>1422715.01</v>
      </c>
      <c r="E116" s="85"/>
      <c r="F116" s="85">
        <v>0</v>
      </c>
      <c r="G116" s="85">
        <v>0</v>
      </c>
      <c r="H116" s="85">
        <f t="shared" si="1"/>
        <v>1422715.01</v>
      </c>
      <c r="I116" s="85"/>
      <c r="K116" s="54" t="s">
        <v>38</v>
      </c>
    </row>
    <row r="117" spans="2:11" ht="12.75" x14ac:dyDescent="0.2">
      <c r="B117" s="82" t="s">
        <v>585</v>
      </c>
      <c r="C117" s="82" t="s">
        <v>586</v>
      </c>
      <c r="D117" s="83">
        <f>SUMIFS(D118:D1474,K118:K1474,"0",B118:B1474,"1 2*")-SUMIFS(E118:E1474,K118:K1474,"0",B118:B1474,"1 2*")</f>
        <v>1483981.7799999996</v>
      </c>
      <c r="E117" s="54"/>
      <c r="F117" s="83">
        <f>SUMIFS(F118:F1474,K118:K1474,"0",B118:B1474,"1 2*")</f>
        <v>1380563</v>
      </c>
      <c r="G117" s="83">
        <f>SUMIFS(G118:G1474,K118:K1474,"0",B118:B1474,"1 2*")</f>
        <v>1380563</v>
      </c>
      <c r="H117" s="83">
        <f t="shared" si="1"/>
        <v>1483981.7799999993</v>
      </c>
      <c r="I117" s="83"/>
      <c r="K117" s="54" t="s">
        <v>15</v>
      </c>
    </row>
    <row r="118" spans="2:11" ht="33" x14ac:dyDescent="0.2">
      <c r="B118" s="82" t="s">
        <v>587</v>
      </c>
      <c r="C118" s="82" t="s">
        <v>588</v>
      </c>
      <c r="D118" s="83">
        <f>SUMIFS(D119:D1474,K119:K1474,"0",B119:B1474,"1 2 3*")-SUMIFS(E119:E1474,K119:K1474,"0",B119:B1474,"1 2 3*")</f>
        <v>883428.11</v>
      </c>
      <c r="E118" s="54"/>
      <c r="F118" s="83">
        <f>SUMIFS(F119:F1474,K119:K1474,"0",B119:B1474,"1 2 3*")</f>
        <v>1380563</v>
      </c>
      <c r="G118" s="83">
        <f>SUMIFS(G119:G1474,K119:K1474,"0",B119:B1474,"1 2 3*")</f>
        <v>1380563</v>
      </c>
      <c r="H118" s="83">
        <f t="shared" si="1"/>
        <v>883428.10999999987</v>
      </c>
      <c r="I118" s="83"/>
      <c r="K118" s="54" t="s">
        <v>15</v>
      </c>
    </row>
    <row r="119" spans="2:11" ht="12.75" x14ac:dyDescent="0.2">
      <c r="B119" s="82" t="s">
        <v>612</v>
      </c>
      <c r="C119" s="82" t="s">
        <v>613</v>
      </c>
      <c r="D119" s="83">
        <f>SUMIFS(D120:D1474,K120:K1474,"0",B120:B1474,"1 2 3 4*")-SUMIFS(E120:E1474,K120:K1474,"0",B120:B1474,"1 2 3 4*")</f>
        <v>883428.11</v>
      </c>
      <c r="E119" s="54"/>
      <c r="F119" s="83">
        <f>SUMIFS(F120:F1474,K120:K1474,"0",B120:B1474,"1 2 3 4*")</f>
        <v>0</v>
      </c>
      <c r="G119" s="83">
        <f>SUMIFS(G120:G1474,K120:K1474,"0",B120:B1474,"1 2 3 4*")</f>
        <v>0</v>
      </c>
      <c r="H119" s="83">
        <f t="shared" si="1"/>
        <v>883428.11</v>
      </c>
      <c r="I119" s="83"/>
      <c r="K119" s="54" t="s">
        <v>15</v>
      </c>
    </row>
    <row r="120" spans="2:11" ht="16.5" x14ac:dyDescent="0.2">
      <c r="B120" s="82" t="s">
        <v>614</v>
      </c>
      <c r="C120" s="82" t="s">
        <v>615</v>
      </c>
      <c r="D120" s="83">
        <f>SUMIFS(D121:D1474,K121:K1474,"0",B121:B1474,"1 2 3 4 1*")-SUMIFS(E121:E1474,K121:K1474,"0",B121:B1474,"1 2 3 4 1*")</f>
        <v>883428.11</v>
      </c>
      <c r="E120" s="54"/>
      <c r="F120" s="83">
        <f>SUMIFS(F121:F1474,K121:K1474,"0",B121:B1474,"1 2 3 4 1*")</f>
        <v>0</v>
      </c>
      <c r="G120" s="83">
        <f>SUMIFS(G121:G1474,K121:K1474,"0",B121:B1474,"1 2 3 4 1*")</f>
        <v>0</v>
      </c>
      <c r="H120" s="83">
        <f t="shared" si="1"/>
        <v>883428.11</v>
      </c>
      <c r="I120" s="83"/>
      <c r="K120" s="54" t="s">
        <v>15</v>
      </c>
    </row>
    <row r="121" spans="2:11" ht="12.75" x14ac:dyDescent="0.2">
      <c r="B121" s="82" t="s">
        <v>616</v>
      </c>
      <c r="C121" s="82" t="s">
        <v>26</v>
      </c>
      <c r="D121" s="83">
        <f>SUMIFS(D122:D1474,K122:K1474,"0",B122:B1474,"1 2 3 4 1 12*")-SUMIFS(E122:E1474,K122:K1474,"0",B122:B1474,"1 2 3 4 1 12*")</f>
        <v>883428.11</v>
      </c>
      <c r="E121" s="54"/>
      <c r="F121" s="83">
        <f>SUMIFS(F122:F1474,K122:K1474,"0",B122:B1474,"1 2 3 4 1 12*")</f>
        <v>0</v>
      </c>
      <c r="G121" s="83">
        <f>SUMIFS(G122:G1474,K122:K1474,"0",B122:B1474,"1 2 3 4 1 12*")</f>
        <v>0</v>
      </c>
      <c r="H121" s="83">
        <f t="shared" si="1"/>
        <v>883428.11</v>
      </c>
      <c r="I121" s="83"/>
      <c r="K121" s="54" t="s">
        <v>15</v>
      </c>
    </row>
    <row r="122" spans="2:11" ht="16.5" x14ac:dyDescent="0.2">
      <c r="B122" s="82" t="s">
        <v>617</v>
      </c>
      <c r="C122" s="82" t="s">
        <v>28</v>
      </c>
      <c r="D122" s="83">
        <f>SUMIFS(D123:D1474,K123:K1474,"0",B123:B1474,"1 2 3 4 1 12 31111*")-SUMIFS(E123:E1474,K123:K1474,"0",B123:B1474,"1 2 3 4 1 12 31111*")</f>
        <v>883428.11</v>
      </c>
      <c r="E122" s="54"/>
      <c r="F122" s="83">
        <f>SUMIFS(F123:F1474,K123:K1474,"0",B123:B1474,"1 2 3 4 1 12 31111*")</f>
        <v>0</v>
      </c>
      <c r="G122" s="83">
        <f>SUMIFS(G123:G1474,K123:K1474,"0",B123:B1474,"1 2 3 4 1 12 31111*")</f>
        <v>0</v>
      </c>
      <c r="H122" s="83">
        <f t="shared" si="1"/>
        <v>883428.11</v>
      </c>
      <c r="I122" s="83"/>
      <c r="K122" s="54" t="s">
        <v>15</v>
      </c>
    </row>
    <row r="123" spans="2:11" ht="12.75" x14ac:dyDescent="0.2">
      <c r="B123" s="82" t="s">
        <v>618</v>
      </c>
      <c r="C123" s="82" t="s">
        <v>30</v>
      </c>
      <c r="D123" s="83">
        <f>SUMIFS(D124:D1474,K124:K1474,"0",B124:B1474,"1 2 3 4 1 12 31111 6*")-SUMIFS(E124:E1474,K124:K1474,"0",B124:B1474,"1 2 3 4 1 12 31111 6*")</f>
        <v>883428.11</v>
      </c>
      <c r="E123" s="54"/>
      <c r="F123" s="83">
        <f>SUMIFS(F124:F1474,K124:K1474,"0",B124:B1474,"1 2 3 4 1 12 31111 6*")</f>
        <v>0</v>
      </c>
      <c r="G123" s="83">
        <f>SUMIFS(G124:G1474,K124:K1474,"0",B124:B1474,"1 2 3 4 1 12 31111 6*")</f>
        <v>0</v>
      </c>
      <c r="H123" s="83">
        <f t="shared" si="1"/>
        <v>883428.11</v>
      </c>
      <c r="I123" s="83"/>
      <c r="K123" s="54" t="s">
        <v>15</v>
      </c>
    </row>
    <row r="124" spans="2:11" ht="16.5" x14ac:dyDescent="0.2">
      <c r="B124" s="82" t="s">
        <v>619</v>
      </c>
      <c r="C124" s="82" t="s">
        <v>32</v>
      </c>
      <c r="D124" s="83">
        <f>SUMIFS(D125:D1474,K125:K1474,"0",B125:B1474,"1 2 3 4 1 12 31111 6 M59*")-SUMIFS(E125:E1474,K125:K1474,"0",B125:B1474,"1 2 3 4 1 12 31111 6 M59*")</f>
        <v>883428.11</v>
      </c>
      <c r="E124" s="54"/>
      <c r="F124" s="83">
        <f>SUMIFS(F125:F1474,K125:K1474,"0",B125:B1474,"1 2 3 4 1 12 31111 6 M59*")</f>
        <v>0</v>
      </c>
      <c r="G124" s="83">
        <f>SUMIFS(G125:G1474,K125:K1474,"0",B125:B1474,"1 2 3 4 1 12 31111 6 M59*")</f>
        <v>0</v>
      </c>
      <c r="H124" s="83">
        <f t="shared" si="1"/>
        <v>883428.11</v>
      </c>
      <c r="I124" s="83"/>
      <c r="K124" s="54" t="s">
        <v>15</v>
      </c>
    </row>
    <row r="125" spans="2:11" ht="16.5" x14ac:dyDescent="0.2">
      <c r="B125" s="82" t="s">
        <v>624</v>
      </c>
      <c r="C125" s="82" t="s">
        <v>1364</v>
      </c>
      <c r="D125" s="83">
        <f>SUMIFS(D126:D1474,K126:K1474,"0",B126:B1474,"1 2 3 4 1 12 31111 6 M59 00004*")-SUMIFS(E126:E1474,K126:K1474,"0",B126:B1474,"1 2 3 4 1 12 31111 6 M59 00004*")</f>
        <v>883428.11</v>
      </c>
      <c r="E125" s="54"/>
      <c r="F125" s="83">
        <f>SUMIFS(F126:F1474,K126:K1474,"0",B126:B1474,"1 2 3 4 1 12 31111 6 M59 00004*")</f>
        <v>0</v>
      </c>
      <c r="G125" s="83">
        <f>SUMIFS(G126:G1474,K126:K1474,"0",B126:B1474,"1 2 3 4 1 12 31111 6 M59 00004*")</f>
        <v>0</v>
      </c>
      <c r="H125" s="83">
        <f t="shared" si="1"/>
        <v>883428.11</v>
      </c>
      <c r="I125" s="83"/>
      <c r="K125" s="54" t="s">
        <v>15</v>
      </c>
    </row>
    <row r="126" spans="2:11" ht="16.5" x14ac:dyDescent="0.2">
      <c r="B126" s="82" t="s">
        <v>625</v>
      </c>
      <c r="C126" s="82" t="s">
        <v>42</v>
      </c>
      <c r="D126" s="83">
        <f>SUMIFS(D127:D1474,K127:K1474,"0",B127:B1474,"1 2 3 4 1 12 31111 6 M59 00004 000001*")-SUMIFS(E127:E1474,K127:K1474,"0",B127:B1474,"1 2 3 4 1 12 31111 6 M59 00004 000001*")</f>
        <v>883428.11</v>
      </c>
      <c r="E126" s="54"/>
      <c r="F126" s="83">
        <f>SUMIFS(F127:F1474,K127:K1474,"0",B127:B1474,"1 2 3 4 1 12 31111 6 M59 00004 000001*")</f>
        <v>0</v>
      </c>
      <c r="G126" s="83">
        <f>SUMIFS(G127:G1474,K127:K1474,"0",B127:B1474,"1 2 3 4 1 12 31111 6 M59 00004 000001*")</f>
        <v>0</v>
      </c>
      <c r="H126" s="83">
        <f t="shared" si="1"/>
        <v>883428.11</v>
      </c>
      <c r="I126" s="83"/>
      <c r="K126" s="54" t="s">
        <v>15</v>
      </c>
    </row>
    <row r="127" spans="2:11" ht="16.5" x14ac:dyDescent="0.2">
      <c r="B127" s="84" t="s">
        <v>626</v>
      </c>
      <c r="C127" s="84" t="s">
        <v>274</v>
      </c>
      <c r="D127" s="85">
        <v>883428.11</v>
      </c>
      <c r="E127" s="85"/>
      <c r="F127" s="85">
        <v>0</v>
      </c>
      <c r="G127" s="85">
        <v>0</v>
      </c>
      <c r="H127" s="85">
        <f t="shared" si="1"/>
        <v>883428.11</v>
      </c>
      <c r="I127" s="85"/>
      <c r="K127" s="54" t="s">
        <v>38</v>
      </c>
    </row>
    <row r="128" spans="2:11" ht="24.75" x14ac:dyDescent="0.2">
      <c r="B128" s="82" t="s">
        <v>637</v>
      </c>
      <c r="C128" s="82" t="s">
        <v>638</v>
      </c>
      <c r="D128" s="83">
        <f>SUMIFS(D129:D1474,K129:K1474,"0",B129:B1474,"1 2 3 5*")-SUMIFS(E129:E1474,K129:K1474,"0",B129:B1474,"1 2 3 5*")</f>
        <v>0</v>
      </c>
      <c r="E128" s="54"/>
      <c r="F128" s="83">
        <f>SUMIFS(F129:F1474,K129:K1474,"0",B129:B1474,"1 2 3 5*")</f>
        <v>1380563</v>
      </c>
      <c r="G128" s="83">
        <f>SUMIFS(G129:G1474,K129:K1474,"0",B129:B1474,"1 2 3 5*")</f>
        <v>1380563</v>
      </c>
      <c r="H128" s="83">
        <f t="shared" si="1"/>
        <v>0</v>
      </c>
      <c r="I128" s="83"/>
      <c r="K128" s="54" t="s">
        <v>15</v>
      </c>
    </row>
    <row r="129" spans="2:11" ht="49.5" x14ac:dyDescent="0.2">
      <c r="B129" s="82" t="s">
        <v>686</v>
      </c>
      <c r="C129" s="82" t="s">
        <v>687</v>
      </c>
      <c r="D129" s="83">
        <f>SUMIFS(D130:D1474,K130:K1474,"0",B130:B1474,"1 2 3 5 3*")-SUMIFS(E130:E1474,K130:K1474,"0",B130:B1474,"1 2 3 5 3*")</f>
        <v>0</v>
      </c>
      <c r="E129" s="54"/>
      <c r="F129" s="83">
        <f>SUMIFS(F130:F1474,K130:K1474,"0",B130:B1474,"1 2 3 5 3*")</f>
        <v>1380563</v>
      </c>
      <c r="G129" s="83">
        <f>SUMIFS(G130:G1474,K130:K1474,"0",B130:B1474,"1 2 3 5 3*")</f>
        <v>1380563</v>
      </c>
      <c r="H129" s="83">
        <f t="shared" si="1"/>
        <v>0</v>
      </c>
      <c r="I129" s="83"/>
      <c r="K129" s="54" t="s">
        <v>15</v>
      </c>
    </row>
    <row r="130" spans="2:11" ht="12.75" x14ac:dyDescent="0.2">
      <c r="B130" s="82" t="s">
        <v>688</v>
      </c>
      <c r="C130" s="82" t="s">
        <v>26</v>
      </c>
      <c r="D130" s="83">
        <f>SUMIFS(D131:D1474,K131:K1474,"0",B131:B1474,"1 2 3 5 3 12*")-SUMIFS(E131:E1474,K131:K1474,"0",B131:B1474,"1 2 3 5 3 12*")</f>
        <v>0</v>
      </c>
      <c r="E130" s="54"/>
      <c r="F130" s="83">
        <f>SUMIFS(F131:F1474,K131:K1474,"0",B131:B1474,"1 2 3 5 3 12*")</f>
        <v>1380563</v>
      </c>
      <c r="G130" s="83">
        <f>SUMIFS(G131:G1474,K131:K1474,"0",B131:B1474,"1 2 3 5 3 12*")</f>
        <v>1380563</v>
      </c>
      <c r="H130" s="83">
        <f t="shared" si="1"/>
        <v>0</v>
      </c>
      <c r="I130" s="83"/>
      <c r="K130" s="54" t="s">
        <v>15</v>
      </c>
    </row>
    <row r="131" spans="2:11" ht="16.5" x14ac:dyDescent="0.2">
      <c r="B131" s="82" t="s">
        <v>689</v>
      </c>
      <c r="C131" s="82" t="s">
        <v>28</v>
      </c>
      <c r="D131" s="83">
        <f>SUMIFS(D132:D1474,K132:K1474,"0",B132:B1474,"1 2 3 5 3 12 31111*")-SUMIFS(E132:E1474,K132:K1474,"0",B132:B1474,"1 2 3 5 3 12 31111*")</f>
        <v>0</v>
      </c>
      <c r="E131" s="54"/>
      <c r="F131" s="83">
        <f>SUMIFS(F132:F1474,K132:K1474,"0",B132:B1474,"1 2 3 5 3 12 31111*")</f>
        <v>1380563</v>
      </c>
      <c r="G131" s="83">
        <f>SUMIFS(G132:G1474,K132:K1474,"0",B132:B1474,"1 2 3 5 3 12 31111*")</f>
        <v>1380563</v>
      </c>
      <c r="H131" s="83">
        <f t="shared" si="1"/>
        <v>0</v>
      </c>
      <c r="I131" s="83"/>
      <c r="K131" s="54" t="s">
        <v>15</v>
      </c>
    </row>
    <row r="132" spans="2:11" ht="12.75" x14ac:dyDescent="0.2">
      <c r="B132" s="82" t="s">
        <v>690</v>
      </c>
      <c r="C132" s="82" t="s">
        <v>30</v>
      </c>
      <c r="D132" s="83">
        <f>SUMIFS(D133:D1474,K133:K1474,"0",B133:B1474,"1 2 3 5 3 12 31111 6*")-SUMIFS(E133:E1474,K133:K1474,"0",B133:B1474,"1 2 3 5 3 12 31111 6*")</f>
        <v>0</v>
      </c>
      <c r="E132" s="54"/>
      <c r="F132" s="83">
        <f>SUMIFS(F133:F1474,K133:K1474,"0",B133:B1474,"1 2 3 5 3 12 31111 6*")</f>
        <v>1380563</v>
      </c>
      <c r="G132" s="83">
        <f>SUMIFS(G133:G1474,K133:K1474,"0",B133:B1474,"1 2 3 5 3 12 31111 6*")</f>
        <v>1380563</v>
      </c>
      <c r="H132" s="83">
        <f t="shared" si="1"/>
        <v>0</v>
      </c>
      <c r="I132" s="83"/>
      <c r="K132" s="54" t="s">
        <v>15</v>
      </c>
    </row>
    <row r="133" spans="2:11" ht="16.5" x14ac:dyDescent="0.2">
      <c r="B133" s="82" t="s">
        <v>691</v>
      </c>
      <c r="C133" s="82" t="s">
        <v>32</v>
      </c>
      <c r="D133" s="83">
        <f>SUMIFS(D134:D1474,K134:K1474,"0",B134:B1474,"1 2 3 5 3 12 31111 6 M59*")-SUMIFS(E134:E1474,K134:K1474,"0",B134:B1474,"1 2 3 5 3 12 31111 6 M59*")</f>
        <v>0</v>
      </c>
      <c r="E133" s="54"/>
      <c r="F133" s="83">
        <f>SUMIFS(F134:F1474,K134:K1474,"0",B134:B1474,"1 2 3 5 3 12 31111 6 M59*")</f>
        <v>1380563</v>
      </c>
      <c r="G133" s="83">
        <f>SUMIFS(G134:G1474,K134:K1474,"0",B134:B1474,"1 2 3 5 3 12 31111 6 M59*")</f>
        <v>1380563</v>
      </c>
      <c r="H133" s="83">
        <f t="shared" si="1"/>
        <v>0</v>
      </c>
      <c r="I133" s="83"/>
      <c r="K133" s="54" t="s">
        <v>15</v>
      </c>
    </row>
    <row r="134" spans="2:11" ht="16.5" x14ac:dyDescent="0.2">
      <c r="B134" s="82" t="s">
        <v>692</v>
      </c>
      <c r="C134" s="82" t="s">
        <v>646</v>
      </c>
      <c r="D134" s="83">
        <f>SUMIFS(D135:D1474,K135:K1474,"0",B135:B1474,"1 2 3 5 3 12 31111 6 M59 30100*")-SUMIFS(E135:E1474,K135:K1474,"0",B135:B1474,"1 2 3 5 3 12 31111 6 M59 30100*")</f>
        <v>0</v>
      </c>
      <c r="E134" s="54"/>
      <c r="F134" s="83">
        <f>SUMIFS(F135:F1474,K135:K1474,"0",B135:B1474,"1 2 3 5 3 12 31111 6 M59 30100*")</f>
        <v>1380563</v>
      </c>
      <c r="G134" s="83">
        <f>SUMIFS(G135:G1474,K135:K1474,"0",B135:B1474,"1 2 3 5 3 12 31111 6 M59 30100*")</f>
        <v>1380563</v>
      </c>
      <c r="H134" s="83">
        <f t="shared" si="1"/>
        <v>0</v>
      </c>
      <c r="I134" s="83"/>
      <c r="K134" s="54" t="s">
        <v>15</v>
      </c>
    </row>
    <row r="135" spans="2:11" ht="16.5" x14ac:dyDescent="0.2">
      <c r="B135" s="82" t="s">
        <v>693</v>
      </c>
      <c r="C135" s="82" t="s">
        <v>648</v>
      </c>
      <c r="D135" s="83">
        <f>SUMIFS(D136:D1474,K136:K1474,"0",B136:B1474,"1 2 3 5 3 12 31111 6 M59 30100 000132*")-SUMIFS(E136:E1474,K136:K1474,"0",B136:B1474,"1 2 3 5 3 12 31111 6 M59 30100 000132*")</f>
        <v>0</v>
      </c>
      <c r="E135" s="54"/>
      <c r="F135" s="83">
        <f>SUMIFS(F136:F1474,K136:K1474,"0",B136:B1474,"1 2 3 5 3 12 31111 6 M59 30100 000132*")</f>
        <v>1380563</v>
      </c>
      <c r="G135" s="83">
        <f>SUMIFS(G136:G1474,K136:K1474,"0",B136:B1474,"1 2 3 5 3 12 31111 6 M59 30100 000132*")</f>
        <v>1380563</v>
      </c>
      <c r="H135" s="83">
        <f t="shared" si="1"/>
        <v>0</v>
      </c>
      <c r="I135" s="83"/>
      <c r="K135" s="54" t="s">
        <v>15</v>
      </c>
    </row>
    <row r="136" spans="2:11" ht="24.75" x14ac:dyDescent="0.2">
      <c r="B136" s="82" t="s">
        <v>694</v>
      </c>
      <c r="C136" s="82" t="s">
        <v>650</v>
      </c>
      <c r="D136" s="83">
        <f>SUMIFS(D137:D1474,K137:K1474,"0",B137:B1474,"1 2 3 5 3 12 31111 6 M59 30100 000132 0000R*")-SUMIFS(E137:E1474,K137:K1474,"0",B137:B1474,"1 2 3 5 3 12 31111 6 M59 30100 000132 0000R*")</f>
        <v>0</v>
      </c>
      <c r="E136" s="54"/>
      <c r="F136" s="83">
        <f>SUMIFS(F137:F1474,K137:K1474,"0",B137:B1474,"1 2 3 5 3 12 31111 6 M59 30100 000132 0000R*")</f>
        <v>1380563</v>
      </c>
      <c r="G136" s="83">
        <f>SUMIFS(G137:G1474,K137:K1474,"0",B137:B1474,"1 2 3 5 3 12 31111 6 M59 30100 000132 0000R*")</f>
        <v>1380563</v>
      </c>
      <c r="H136" s="83">
        <f t="shared" si="1"/>
        <v>0</v>
      </c>
      <c r="I136" s="83"/>
      <c r="K136" s="54" t="s">
        <v>15</v>
      </c>
    </row>
    <row r="137" spans="2:11" ht="24.75" x14ac:dyDescent="0.2">
      <c r="B137" s="82" t="s">
        <v>695</v>
      </c>
      <c r="C137" s="82" t="s">
        <v>652</v>
      </c>
      <c r="D137" s="83">
        <f>SUMIFS(D138:D1474,K138:K1474,"0",B138:B1474,"1 2 3 5 3 12 31111 6 M59 30100 000132 0000R 00002*")-SUMIFS(E138:E1474,K138:K1474,"0",B138:B1474,"1 2 3 5 3 12 31111 6 M59 30100 000132 0000R 00002*")</f>
        <v>0</v>
      </c>
      <c r="E137" s="54"/>
      <c r="F137" s="83">
        <f>SUMIFS(F138:F1474,K138:K1474,"0",B138:B1474,"1 2 3 5 3 12 31111 6 M59 30100 000132 0000R 00002*")</f>
        <v>1380563</v>
      </c>
      <c r="G137" s="83">
        <f>SUMIFS(G138:G1474,K138:K1474,"0",B138:B1474,"1 2 3 5 3 12 31111 6 M59 30100 000132 0000R 00002*")</f>
        <v>1380563</v>
      </c>
      <c r="H137" s="83">
        <f t="shared" si="1"/>
        <v>0</v>
      </c>
      <c r="I137" s="83"/>
      <c r="K137" s="54" t="s">
        <v>15</v>
      </c>
    </row>
    <row r="138" spans="2:11" ht="41.25" x14ac:dyDescent="0.2">
      <c r="B138" s="82" t="s">
        <v>696</v>
      </c>
      <c r="C138" s="82" t="s">
        <v>697</v>
      </c>
      <c r="D138" s="83">
        <f>SUMIFS(D139:D1474,K139:K1474,"0",B139:B1474,"1 2 3 5 3 12 31111 6 M59 30100 000132 0000R 00002 00613*")-SUMIFS(E139:E1474,K139:K1474,"0",B139:B1474,"1 2 3 5 3 12 31111 6 M59 30100 000132 0000R 00002 00613*")</f>
        <v>0</v>
      </c>
      <c r="E138" s="54"/>
      <c r="F138" s="83">
        <f>SUMIFS(F139:F1474,K139:K1474,"0",B139:B1474,"1 2 3 5 3 12 31111 6 M59 30100 000132 0000R 00002 00613*")</f>
        <v>1380563</v>
      </c>
      <c r="G138" s="83">
        <f>SUMIFS(G139:G1474,K139:K1474,"0",B139:B1474,"1 2 3 5 3 12 31111 6 M59 30100 000132 0000R 00002 00613*")</f>
        <v>1380563</v>
      </c>
      <c r="H138" s="83">
        <f t="shared" si="1"/>
        <v>0</v>
      </c>
      <c r="I138" s="83"/>
      <c r="K138" s="54" t="s">
        <v>15</v>
      </c>
    </row>
    <row r="139" spans="2:11" ht="33" x14ac:dyDescent="0.2">
      <c r="B139" s="82" t="s">
        <v>698</v>
      </c>
      <c r="C139" s="82" t="s">
        <v>699</v>
      </c>
      <c r="D139" s="83">
        <f>SUMIFS(D140:D1474,K140:K1474,"0",B140:B1474,"1 2 3 5 3 12 31111 6 M59 30100 000132 0000R 00002 00613 011*")-SUMIFS(E140:E1474,K140:K1474,"0",B140:B1474,"1 2 3 5 3 12 31111 6 M59 30100 000132 0000R 00002 00613 011*")</f>
        <v>0</v>
      </c>
      <c r="E139" s="54"/>
      <c r="F139" s="83">
        <f>SUMIFS(F140:F1474,K140:K1474,"0",B140:B1474,"1 2 3 5 3 12 31111 6 M59 30100 000132 0000R 00002 00613 011*")</f>
        <v>1380563</v>
      </c>
      <c r="G139" s="83">
        <f>SUMIFS(G140:G1474,K140:K1474,"0",B140:B1474,"1 2 3 5 3 12 31111 6 M59 30100 000132 0000R 00002 00613 011*")</f>
        <v>1380563</v>
      </c>
      <c r="H139" s="83">
        <f t="shared" si="1"/>
        <v>0</v>
      </c>
      <c r="I139" s="83"/>
      <c r="K139" s="54" t="s">
        <v>15</v>
      </c>
    </row>
    <row r="140" spans="2:11" ht="33" x14ac:dyDescent="0.2">
      <c r="B140" s="82" t="s">
        <v>700</v>
      </c>
      <c r="C140" s="82" t="s">
        <v>658</v>
      </c>
      <c r="D140" s="83">
        <f>SUMIFS(D141:D1474,K141:K1474,"0",B141:B1474,"1 2 3 5 3 12 31111 6 M59 30100 000132 0000R 00002 00613 011 2210000*")-SUMIFS(E141:E1474,K141:K1474,"0",B141:B1474,"1 2 3 5 3 12 31111 6 M59 30100 000132 0000R 00002 00613 011 2210000*")</f>
        <v>0</v>
      </c>
      <c r="E140" s="54"/>
      <c r="F140" s="83">
        <f>SUMIFS(F141:F1474,K141:K1474,"0",B141:B1474,"1 2 3 5 3 12 31111 6 M59 30100 000132 0000R 00002 00613 011 2210000*")</f>
        <v>1380563</v>
      </c>
      <c r="G140" s="83">
        <f>SUMIFS(G141:G1474,K141:K1474,"0",B141:B1474,"1 2 3 5 3 12 31111 6 M59 30100 000132 0000R 00002 00613 011 2210000*")</f>
        <v>1380563</v>
      </c>
      <c r="H140" s="83">
        <f t="shared" ref="H140:H203" si="2">D140 + F140 - G140</f>
        <v>0</v>
      </c>
      <c r="I140" s="83"/>
      <c r="K140" s="54" t="s">
        <v>15</v>
      </c>
    </row>
    <row r="141" spans="2:11" ht="33" x14ac:dyDescent="0.2">
      <c r="B141" s="82" t="s">
        <v>701</v>
      </c>
      <c r="C141" s="82" t="s">
        <v>660</v>
      </c>
      <c r="D141" s="83">
        <f>SUMIFS(D142:D1474,K142:K1474,"0",B142:B1474,"1 2 3 5 3 12 31111 6 M59 30100 000132 0000R 00002 00613 011 2210000 2024*")-SUMIFS(E142:E1474,K142:K1474,"0",B142:B1474,"1 2 3 5 3 12 31111 6 M59 30100 000132 0000R 00002 00613 011 2210000 2024*")</f>
        <v>0</v>
      </c>
      <c r="E141" s="54"/>
      <c r="F141" s="83">
        <f>SUMIFS(F142:F1474,K142:K1474,"0",B142:B1474,"1 2 3 5 3 12 31111 6 M59 30100 000132 0000R 00002 00613 011 2210000 2024*")</f>
        <v>1380563</v>
      </c>
      <c r="G141" s="83">
        <f>SUMIFS(G142:G1474,K142:K1474,"0",B142:B1474,"1 2 3 5 3 12 31111 6 M59 30100 000132 0000R 00002 00613 011 2210000 2024*")</f>
        <v>1380563</v>
      </c>
      <c r="H141" s="83">
        <f t="shared" si="2"/>
        <v>0</v>
      </c>
      <c r="I141" s="83"/>
      <c r="K141" s="54" t="s">
        <v>15</v>
      </c>
    </row>
    <row r="142" spans="2:11" ht="41.25" x14ac:dyDescent="0.2">
      <c r="B142" s="82" t="s">
        <v>702</v>
      </c>
      <c r="C142" s="82" t="s">
        <v>662</v>
      </c>
      <c r="D142" s="83">
        <f>SUMIFS(D143:D1474,K143:K1474,"0",B143:B1474,"1 2 3 5 3 12 31111 6 M59 30100 000132 0000R 00002 00613 011 2210000 2024 CP1TM440*")-SUMIFS(E143:E1474,K143:K1474,"0",B143:B1474,"1 2 3 5 3 12 31111 6 M59 30100 000132 0000R 00002 00613 011 2210000 2024 CP1TM440*")</f>
        <v>0</v>
      </c>
      <c r="E142" s="54"/>
      <c r="F142" s="83">
        <f>SUMIFS(F143:F1474,K143:K1474,"0",B143:B1474,"1 2 3 5 3 12 31111 6 M59 30100 000132 0000R 00002 00613 011 2210000 2024 CP1TM440*")</f>
        <v>1380563</v>
      </c>
      <c r="G142" s="83">
        <f>SUMIFS(G143:G1474,K143:K1474,"0",B143:B1474,"1 2 3 5 3 12 31111 6 M59 30100 000132 0000R 00002 00613 011 2210000 2024 CP1TM440*")</f>
        <v>1380563</v>
      </c>
      <c r="H142" s="83">
        <f t="shared" si="2"/>
        <v>0</v>
      </c>
      <c r="I142" s="83"/>
      <c r="K142" s="54" t="s">
        <v>15</v>
      </c>
    </row>
    <row r="143" spans="2:11" ht="41.25" x14ac:dyDescent="0.2">
      <c r="B143" s="82" t="s">
        <v>703</v>
      </c>
      <c r="C143" s="82" t="s">
        <v>704</v>
      </c>
      <c r="D143" s="83">
        <f>SUMIFS(D144:D1474,K144:K1474,"0",B144:B1474,"1 2 3 5 3 12 31111 6 M59 30100 000132 0000R 00002 00613 011 2210000 2024 CP1TM440 006*")-SUMIFS(E144:E1474,K144:K1474,"0",B144:B1474,"1 2 3 5 3 12 31111 6 M59 30100 000132 0000R 00002 00613 011 2210000 2024 CP1TM440 006*")</f>
        <v>0</v>
      </c>
      <c r="E143" s="54"/>
      <c r="F143" s="83">
        <f>SUMIFS(F144:F1474,K144:K1474,"0",B144:B1474,"1 2 3 5 3 12 31111 6 M59 30100 000132 0000R 00002 00613 011 2210000 2024 CP1TM440 006*")</f>
        <v>1380563</v>
      </c>
      <c r="G143" s="83">
        <f>SUMIFS(G144:G1474,K144:K1474,"0",B144:B1474,"1 2 3 5 3 12 31111 6 M59 30100 000132 0000R 00002 00613 011 2210000 2024 CP1TM440 006*")</f>
        <v>1380563</v>
      </c>
      <c r="H143" s="83">
        <f t="shared" si="2"/>
        <v>0</v>
      </c>
      <c r="I143" s="83"/>
      <c r="K143" s="54" t="s">
        <v>15</v>
      </c>
    </row>
    <row r="144" spans="2:11" ht="41.25" x14ac:dyDescent="0.2">
      <c r="B144" s="84" t="s">
        <v>705</v>
      </c>
      <c r="C144" s="84" t="s">
        <v>706</v>
      </c>
      <c r="D144" s="85">
        <v>0</v>
      </c>
      <c r="E144" s="85"/>
      <c r="F144" s="85">
        <v>780000</v>
      </c>
      <c r="G144" s="85">
        <v>780000</v>
      </c>
      <c r="H144" s="85">
        <f t="shared" si="2"/>
        <v>0</v>
      </c>
      <c r="I144" s="85"/>
      <c r="K144" s="54" t="s">
        <v>38</v>
      </c>
    </row>
    <row r="145" spans="2:11" ht="41.25" x14ac:dyDescent="0.2">
      <c r="B145" s="84" t="s">
        <v>707</v>
      </c>
      <c r="C145" s="84" t="s">
        <v>708</v>
      </c>
      <c r="D145" s="85">
        <v>0</v>
      </c>
      <c r="E145" s="85"/>
      <c r="F145" s="85">
        <v>600563</v>
      </c>
      <c r="G145" s="85">
        <v>600563</v>
      </c>
      <c r="H145" s="85">
        <f t="shared" si="2"/>
        <v>0</v>
      </c>
      <c r="I145" s="85"/>
      <c r="K145" s="54" t="s">
        <v>38</v>
      </c>
    </row>
    <row r="146" spans="2:11" ht="12.75" x14ac:dyDescent="0.2">
      <c r="B146" s="82" t="s">
        <v>971</v>
      </c>
      <c r="C146" s="82" t="s">
        <v>972</v>
      </c>
      <c r="D146" s="83">
        <f>SUMIFS(D147:D1474,K147:K1474,"0",B147:B1474,"1 2 4*")-SUMIFS(E147:E1474,K147:K1474,"0",B147:B1474,"1 2 4*")</f>
        <v>1264569.97</v>
      </c>
      <c r="E146" s="54"/>
      <c r="F146" s="83">
        <f>SUMIFS(F147:F1474,K147:K1474,"0",B147:B1474,"1 2 4*")</f>
        <v>0</v>
      </c>
      <c r="G146" s="83">
        <f>SUMIFS(G147:G1474,K147:K1474,"0",B147:B1474,"1 2 4*")</f>
        <v>0</v>
      </c>
      <c r="H146" s="83">
        <f t="shared" si="2"/>
        <v>1264569.97</v>
      </c>
      <c r="I146" s="83"/>
      <c r="K146" s="54" t="s">
        <v>15</v>
      </c>
    </row>
    <row r="147" spans="2:11" ht="16.5" x14ac:dyDescent="0.2">
      <c r="B147" s="82" t="s">
        <v>973</v>
      </c>
      <c r="C147" s="82" t="s">
        <v>974</v>
      </c>
      <c r="D147" s="83">
        <f>SUMIFS(D148:D1474,K148:K1474,"0",B148:B1474,"1 2 4 1*")-SUMIFS(E148:E1474,K148:K1474,"0",B148:B1474,"1 2 4 1*")</f>
        <v>18915.96</v>
      </c>
      <c r="E147" s="54"/>
      <c r="F147" s="83">
        <f>SUMIFS(F148:F1474,K148:K1474,"0",B148:B1474,"1 2 4 1*")</f>
        <v>0</v>
      </c>
      <c r="G147" s="83">
        <f>SUMIFS(G148:G1474,K148:K1474,"0",B148:B1474,"1 2 4 1*")</f>
        <v>0</v>
      </c>
      <c r="H147" s="83">
        <f t="shared" si="2"/>
        <v>18915.96</v>
      </c>
      <c r="I147" s="83"/>
      <c r="K147" s="54" t="s">
        <v>15</v>
      </c>
    </row>
    <row r="148" spans="2:11" ht="16.5" x14ac:dyDescent="0.2">
      <c r="B148" s="82" t="s">
        <v>975</v>
      </c>
      <c r="C148" s="82" t="s">
        <v>976</v>
      </c>
      <c r="D148" s="83">
        <f>SUMIFS(D149:D1474,K149:K1474,"0",B149:B1474,"1 2 4 1 1*")-SUMIFS(E149:E1474,K149:K1474,"0",B149:B1474,"1 2 4 1 1*")</f>
        <v>260</v>
      </c>
      <c r="E148" s="54"/>
      <c r="F148" s="83">
        <f>SUMIFS(F149:F1474,K149:K1474,"0",B149:B1474,"1 2 4 1 1*")</f>
        <v>0</v>
      </c>
      <c r="G148" s="83">
        <f>SUMIFS(G149:G1474,K149:K1474,"0",B149:B1474,"1 2 4 1 1*")</f>
        <v>0</v>
      </c>
      <c r="H148" s="83">
        <f t="shared" si="2"/>
        <v>260</v>
      </c>
      <c r="I148" s="83"/>
      <c r="K148" s="54" t="s">
        <v>15</v>
      </c>
    </row>
    <row r="149" spans="2:11" ht="12.75" x14ac:dyDescent="0.2">
      <c r="B149" s="82" t="s">
        <v>977</v>
      </c>
      <c r="C149" s="82" t="s">
        <v>26</v>
      </c>
      <c r="D149" s="83">
        <f>SUMIFS(D150:D1474,K150:K1474,"0",B150:B1474,"1 2 4 1 1 12*")-SUMIFS(E150:E1474,K150:K1474,"0",B150:B1474,"1 2 4 1 1 12*")</f>
        <v>260</v>
      </c>
      <c r="E149" s="54"/>
      <c r="F149" s="83">
        <f>SUMIFS(F150:F1474,K150:K1474,"0",B150:B1474,"1 2 4 1 1 12*")</f>
        <v>0</v>
      </c>
      <c r="G149" s="83">
        <f>SUMIFS(G150:G1474,K150:K1474,"0",B150:B1474,"1 2 4 1 1 12*")</f>
        <v>0</v>
      </c>
      <c r="H149" s="83">
        <f t="shared" si="2"/>
        <v>260</v>
      </c>
      <c r="I149" s="83"/>
      <c r="K149" s="54" t="s">
        <v>15</v>
      </c>
    </row>
    <row r="150" spans="2:11" ht="16.5" x14ac:dyDescent="0.2">
      <c r="B150" s="82" t="s">
        <v>978</v>
      </c>
      <c r="C150" s="82" t="s">
        <v>28</v>
      </c>
      <c r="D150" s="83">
        <f>SUMIFS(D151:D1474,K151:K1474,"0",B151:B1474,"1 2 4 1 1 12 31111*")-SUMIFS(E151:E1474,K151:K1474,"0",B151:B1474,"1 2 4 1 1 12 31111*")</f>
        <v>260</v>
      </c>
      <c r="E150" s="54"/>
      <c r="F150" s="83">
        <f>SUMIFS(F151:F1474,K151:K1474,"0",B151:B1474,"1 2 4 1 1 12 31111*")</f>
        <v>0</v>
      </c>
      <c r="G150" s="83">
        <f>SUMIFS(G151:G1474,K151:K1474,"0",B151:B1474,"1 2 4 1 1 12 31111*")</f>
        <v>0</v>
      </c>
      <c r="H150" s="83">
        <f t="shared" si="2"/>
        <v>260</v>
      </c>
      <c r="I150" s="83"/>
      <c r="K150" s="54" t="s">
        <v>15</v>
      </c>
    </row>
    <row r="151" spans="2:11" ht="12.75" x14ac:dyDescent="0.2">
      <c r="B151" s="82" t="s">
        <v>979</v>
      </c>
      <c r="C151" s="82" t="s">
        <v>30</v>
      </c>
      <c r="D151" s="83">
        <f>SUMIFS(D152:D1474,K152:K1474,"0",B152:B1474,"1 2 4 1 1 12 31111 6*")-SUMIFS(E152:E1474,K152:K1474,"0",B152:B1474,"1 2 4 1 1 12 31111 6*")</f>
        <v>260</v>
      </c>
      <c r="E151" s="54"/>
      <c r="F151" s="83">
        <f>SUMIFS(F152:F1474,K152:K1474,"0",B152:B1474,"1 2 4 1 1 12 31111 6*")</f>
        <v>0</v>
      </c>
      <c r="G151" s="83">
        <f>SUMIFS(G152:G1474,K152:K1474,"0",B152:B1474,"1 2 4 1 1 12 31111 6*")</f>
        <v>0</v>
      </c>
      <c r="H151" s="83">
        <f t="shared" si="2"/>
        <v>260</v>
      </c>
      <c r="I151" s="83"/>
      <c r="K151" s="54" t="s">
        <v>15</v>
      </c>
    </row>
    <row r="152" spans="2:11" ht="12.75" x14ac:dyDescent="0.2">
      <c r="B152" s="82" t="s">
        <v>980</v>
      </c>
      <c r="C152" s="82" t="s">
        <v>32</v>
      </c>
      <c r="D152" s="83">
        <f>SUMIFS(D153:D1474,K153:K1474,"0",B153:B1474,"1 2 4 1 1 12 31111 6 M59*")-SUMIFS(E153:E1474,K153:K1474,"0",B153:B1474,"1 2 4 1 1 12 31111 6 M59*")</f>
        <v>260</v>
      </c>
      <c r="E152" s="54"/>
      <c r="F152" s="83">
        <f>SUMIFS(F153:F1474,K153:K1474,"0",B153:B1474,"1 2 4 1 1 12 31111 6 M59*")</f>
        <v>0</v>
      </c>
      <c r="G152" s="83">
        <f>SUMIFS(G153:G1474,K153:K1474,"0",B153:B1474,"1 2 4 1 1 12 31111 6 M59*")</f>
        <v>0</v>
      </c>
      <c r="H152" s="83">
        <f t="shared" si="2"/>
        <v>260</v>
      </c>
      <c r="I152" s="83"/>
      <c r="K152" s="54" t="s">
        <v>15</v>
      </c>
    </row>
    <row r="153" spans="2:11" ht="16.5" x14ac:dyDescent="0.2">
      <c r="B153" s="82" t="s">
        <v>992</v>
      </c>
      <c r="C153" s="82" t="s">
        <v>1364</v>
      </c>
      <c r="D153" s="83">
        <f>SUMIFS(D154:D1474,K154:K1474,"0",B154:B1474,"1 2 4 1 1 12 31111 6 M59 00004*")-SUMIFS(E154:E1474,K154:K1474,"0",B154:B1474,"1 2 4 1 1 12 31111 6 M59 00004*")</f>
        <v>260</v>
      </c>
      <c r="E153" s="54"/>
      <c r="F153" s="83">
        <f>SUMIFS(F154:F1474,K154:K1474,"0",B154:B1474,"1 2 4 1 1 12 31111 6 M59 00004*")</f>
        <v>0</v>
      </c>
      <c r="G153" s="83">
        <f>SUMIFS(G154:G1474,K154:K1474,"0",B154:B1474,"1 2 4 1 1 12 31111 6 M59 00004*")</f>
        <v>0</v>
      </c>
      <c r="H153" s="83">
        <f t="shared" si="2"/>
        <v>260</v>
      </c>
      <c r="I153" s="83"/>
      <c r="K153" s="54" t="s">
        <v>15</v>
      </c>
    </row>
    <row r="154" spans="2:11" ht="16.5" x14ac:dyDescent="0.2">
      <c r="B154" s="82" t="s">
        <v>993</v>
      </c>
      <c r="C154" s="82" t="s">
        <v>42</v>
      </c>
      <c r="D154" s="83">
        <f>SUMIFS(D155:D1474,K155:K1474,"0",B155:B1474,"1 2 4 1 1 12 31111 6 M59 00004 000001*")-SUMIFS(E155:E1474,K155:K1474,"0",B155:B1474,"1 2 4 1 1 12 31111 6 M59 00004 000001*")</f>
        <v>260</v>
      </c>
      <c r="E154" s="54"/>
      <c r="F154" s="83">
        <f>SUMIFS(F155:F1474,K155:K1474,"0",B155:B1474,"1 2 4 1 1 12 31111 6 M59 00004 000001*")</f>
        <v>0</v>
      </c>
      <c r="G154" s="83">
        <f>SUMIFS(G155:G1474,K155:K1474,"0",B155:B1474,"1 2 4 1 1 12 31111 6 M59 00004 000001*")</f>
        <v>0</v>
      </c>
      <c r="H154" s="83">
        <f t="shared" si="2"/>
        <v>260</v>
      </c>
      <c r="I154" s="83"/>
      <c r="K154" s="54" t="s">
        <v>15</v>
      </c>
    </row>
    <row r="155" spans="2:11" ht="16.5" x14ac:dyDescent="0.2">
      <c r="B155" s="84" t="s">
        <v>994</v>
      </c>
      <c r="C155" s="84" t="s">
        <v>274</v>
      </c>
      <c r="D155" s="85">
        <v>260</v>
      </c>
      <c r="E155" s="85"/>
      <c r="F155" s="85">
        <v>0</v>
      </c>
      <c r="G155" s="85">
        <v>0</v>
      </c>
      <c r="H155" s="85">
        <f t="shared" si="2"/>
        <v>260</v>
      </c>
      <c r="I155" s="85"/>
      <c r="K155" s="54" t="s">
        <v>38</v>
      </c>
    </row>
    <row r="156" spans="2:11" ht="16.5" x14ac:dyDescent="0.2">
      <c r="B156" s="82" t="s">
        <v>995</v>
      </c>
      <c r="C156" s="82" t="s">
        <v>996</v>
      </c>
      <c r="D156" s="83">
        <f>SUMIFS(D157:D1474,K157:K1474,"0",B157:B1474,"1 2 4 1 2*")-SUMIFS(E157:E1474,K157:K1474,"0",B157:B1474,"1 2 4 1 2*")</f>
        <v>5754</v>
      </c>
      <c r="E156" s="54"/>
      <c r="F156" s="83">
        <f>SUMIFS(F157:F1474,K157:K1474,"0",B157:B1474,"1 2 4 1 2*")</f>
        <v>0</v>
      </c>
      <c r="G156" s="83">
        <f>SUMIFS(G157:G1474,K157:K1474,"0",B157:B1474,"1 2 4 1 2*")</f>
        <v>0</v>
      </c>
      <c r="H156" s="83">
        <f t="shared" si="2"/>
        <v>5754</v>
      </c>
      <c r="I156" s="83"/>
      <c r="K156" s="54" t="s">
        <v>15</v>
      </c>
    </row>
    <row r="157" spans="2:11" ht="12.75" x14ac:dyDescent="0.2">
      <c r="B157" s="82" t="s">
        <v>997</v>
      </c>
      <c r="C157" s="82" t="s">
        <v>26</v>
      </c>
      <c r="D157" s="83">
        <f>SUMIFS(D158:D1474,K158:K1474,"0",B158:B1474,"1 2 4 1 2 12*")-SUMIFS(E158:E1474,K158:K1474,"0",B158:B1474,"1 2 4 1 2 12*")</f>
        <v>5754</v>
      </c>
      <c r="E157" s="54"/>
      <c r="F157" s="83">
        <f>SUMIFS(F158:F1474,K158:K1474,"0",B158:B1474,"1 2 4 1 2 12*")</f>
        <v>0</v>
      </c>
      <c r="G157" s="83">
        <f>SUMIFS(G158:G1474,K158:K1474,"0",B158:B1474,"1 2 4 1 2 12*")</f>
        <v>0</v>
      </c>
      <c r="H157" s="83">
        <f t="shared" si="2"/>
        <v>5754</v>
      </c>
      <c r="I157" s="83"/>
      <c r="K157" s="54" t="s">
        <v>15</v>
      </c>
    </row>
    <row r="158" spans="2:11" ht="16.5" x14ac:dyDescent="0.2">
      <c r="B158" s="82" t="s">
        <v>998</v>
      </c>
      <c r="C158" s="82" t="s">
        <v>28</v>
      </c>
      <c r="D158" s="83">
        <f>SUMIFS(D159:D1474,K159:K1474,"0",B159:B1474,"1 2 4 1 2 12 31111*")-SUMIFS(E159:E1474,K159:K1474,"0",B159:B1474,"1 2 4 1 2 12 31111*")</f>
        <v>5754</v>
      </c>
      <c r="E158" s="54"/>
      <c r="F158" s="83">
        <f>SUMIFS(F159:F1474,K159:K1474,"0",B159:B1474,"1 2 4 1 2 12 31111*")</f>
        <v>0</v>
      </c>
      <c r="G158" s="83">
        <f>SUMIFS(G159:G1474,K159:K1474,"0",B159:B1474,"1 2 4 1 2 12 31111*")</f>
        <v>0</v>
      </c>
      <c r="H158" s="83">
        <f t="shared" si="2"/>
        <v>5754</v>
      </c>
      <c r="I158" s="83"/>
      <c r="K158" s="54" t="s">
        <v>15</v>
      </c>
    </row>
    <row r="159" spans="2:11" ht="12.75" x14ac:dyDescent="0.2">
      <c r="B159" s="82" t="s">
        <v>999</v>
      </c>
      <c r="C159" s="82" t="s">
        <v>30</v>
      </c>
      <c r="D159" s="83">
        <f>SUMIFS(D160:D1474,K160:K1474,"0",B160:B1474,"1 2 4 1 2 12 31111 6*")-SUMIFS(E160:E1474,K160:K1474,"0",B160:B1474,"1 2 4 1 2 12 31111 6*")</f>
        <v>5754</v>
      </c>
      <c r="E159" s="54"/>
      <c r="F159" s="83">
        <f>SUMIFS(F160:F1474,K160:K1474,"0",B160:B1474,"1 2 4 1 2 12 31111 6*")</f>
        <v>0</v>
      </c>
      <c r="G159" s="83">
        <f>SUMIFS(G160:G1474,K160:K1474,"0",B160:B1474,"1 2 4 1 2 12 31111 6*")</f>
        <v>0</v>
      </c>
      <c r="H159" s="83">
        <f t="shared" si="2"/>
        <v>5754</v>
      </c>
      <c r="I159" s="83"/>
      <c r="K159" s="54" t="s">
        <v>15</v>
      </c>
    </row>
    <row r="160" spans="2:11" ht="16.5" x14ac:dyDescent="0.2">
      <c r="B160" s="82" t="s">
        <v>1000</v>
      </c>
      <c r="C160" s="82" t="s">
        <v>32</v>
      </c>
      <c r="D160" s="83">
        <f>SUMIFS(D161:D1474,K161:K1474,"0",B161:B1474,"1 2 4 1 2 12 31111 6 M59*")-SUMIFS(E161:E1474,K161:K1474,"0",B161:B1474,"1 2 4 1 2 12 31111 6 M59*")</f>
        <v>5754</v>
      </c>
      <c r="E160" s="54"/>
      <c r="F160" s="83">
        <f>SUMIFS(F161:F1474,K161:K1474,"0",B161:B1474,"1 2 4 1 2 12 31111 6 M59*")</f>
        <v>0</v>
      </c>
      <c r="G160" s="83">
        <f>SUMIFS(G161:G1474,K161:K1474,"0",B161:B1474,"1 2 4 1 2 12 31111 6 M59*")</f>
        <v>0</v>
      </c>
      <c r="H160" s="83">
        <f t="shared" si="2"/>
        <v>5754</v>
      </c>
      <c r="I160" s="83"/>
      <c r="K160" s="54" t="s">
        <v>15</v>
      </c>
    </row>
    <row r="161" spans="2:11" ht="16.5" x14ac:dyDescent="0.2">
      <c r="B161" s="82" t="s">
        <v>1009</v>
      </c>
      <c r="C161" s="82" t="s">
        <v>1364</v>
      </c>
      <c r="D161" s="83">
        <f>SUMIFS(D162:D1474,K162:K1474,"0",B162:B1474,"1 2 4 1 2 12 31111 6 M59 00004*")-SUMIFS(E162:E1474,K162:K1474,"0",B162:B1474,"1 2 4 1 2 12 31111 6 M59 00004*")</f>
        <v>5754</v>
      </c>
      <c r="E161" s="54"/>
      <c r="F161" s="83">
        <f>SUMIFS(F162:F1474,K162:K1474,"0",B162:B1474,"1 2 4 1 2 12 31111 6 M59 00004*")</f>
        <v>0</v>
      </c>
      <c r="G161" s="83">
        <f>SUMIFS(G162:G1474,K162:K1474,"0",B162:B1474,"1 2 4 1 2 12 31111 6 M59 00004*")</f>
        <v>0</v>
      </c>
      <c r="H161" s="83">
        <f t="shared" si="2"/>
        <v>5754</v>
      </c>
      <c r="I161" s="83"/>
      <c r="K161" s="54" t="s">
        <v>15</v>
      </c>
    </row>
    <row r="162" spans="2:11" ht="16.5" x14ac:dyDescent="0.2">
      <c r="B162" s="82" t="s">
        <v>1010</v>
      </c>
      <c r="C162" s="82" t="s">
        <v>42</v>
      </c>
      <c r="D162" s="83">
        <f>SUMIFS(D163:D1474,K163:K1474,"0",B163:B1474,"1 2 4 1 2 12 31111 6 M59 00004 000001*")-SUMIFS(E163:E1474,K163:K1474,"0",B163:B1474,"1 2 4 1 2 12 31111 6 M59 00004 000001*")</f>
        <v>5754</v>
      </c>
      <c r="E162" s="54"/>
      <c r="F162" s="83">
        <f>SUMIFS(F163:F1474,K163:K1474,"0",B163:B1474,"1 2 4 1 2 12 31111 6 M59 00004 000001*")</f>
        <v>0</v>
      </c>
      <c r="G162" s="83">
        <f>SUMIFS(G163:G1474,K163:K1474,"0",B163:B1474,"1 2 4 1 2 12 31111 6 M59 00004 000001*")</f>
        <v>0</v>
      </c>
      <c r="H162" s="83">
        <f t="shared" si="2"/>
        <v>5754</v>
      </c>
      <c r="I162" s="83"/>
      <c r="K162" s="54" t="s">
        <v>15</v>
      </c>
    </row>
    <row r="163" spans="2:11" ht="16.5" x14ac:dyDescent="0.2">
      <c r="B163" s="84" t="s">
        <v>1011</v>
      </c>
      <c r="C163" s="84" t="s">
        <v>1012</v>
      </c>
      <c r="D163" s="85">
        <v>5754</v>
      </c>
      <c r="E163" s="85"/>
      <c r="F163" s="85">
        <v>0</v>
      </c>
      <c r="G163" s="85">
        <v>0</v>
      </c>
      <c r="H163" s="85">
        <f t="shared" si="2"/>
        <v>5754</v>
      </c>
      <c r="I163" s="85"/>
      <c r="K163" s="54" t="s">
        <v>38</v>
      </c>
    </row>
    <row r="164" spans="2:11" ht="24.75" x14ac:dyDescent="0.2">
      <c r="B164" s="82" t="s">
        <v>1013</v>
      </c>
      <c r="C164" s="82" t="s">
        <v>1014</v>
      </c>
      <c r="D164" s="83">
        <f>SUMIFS(D165:D1474,K165:K1474,"0",B165:B1474,"1 2 4 1 3*")-SUMIFS(E165:E1474,K165:K1474,"0",B165:B1474,"1 2 4 1 3*")</f>
        <v>8820</v>
      </c>
      <c r="E164" s="54"/>
      <c r="F164" s="83">
        <f>SUMIFS(F165:F1474,K165:K1474,"0",B165:B1474,"1 2 4 1 3*")</f>
        <v>0</v>
      </c>
      <c r="G164" s="83">
        <f>SUMIFS(G165:G1474,K165:K1474,"0",B165:B1474,"1 2 4 1 3*")</f>
        <v>0</v>
      </c>
      <c r="H164" s="83">
        <f t="shared" si="2"/>
        <v>8820</v>
      </c>
      <c r="I164" s="83"/>
      <c r="K164" s="54" t="s">
        <v>15</v>
      </c>
    </row>
    <row r="165" spans="2:11" ht="12.75" x14ac:dyDescent="0.2">
      <c r="B165" s="82" t="s">
        <v>1015</v>
      </c>
      <c r="C165" s="82" t="s">
        <v>26</v>
      </c>
      <c r="D165" s="83">
        <f>SUMIFS(D166:D1474,K166:K1474,"0",B166:B1474,"1 2 4 1 3 12*")-SUMIFS(E166:E1474,K166:K1474,"0",B166:B1474,"1 2 4 1 3 12*")</f>
        <v>8820</v>
      </c>
      <c r="E165" s="54"/>
      <c r="F165" s="83">
        <f>SUMIFS(F166:F1474,K166:K1474,"0",B166:B1474,"1 2 4 1 3 12*")</f>
        <v>0</v>
      </c>
      <c r="G165" s="83">
        <f>SUMIFS(G166:G1474,K166:K1474,"0",B166:B1474,"1 2 4 1 3 12*")</f>
        <v>0</v>
      </c>
      <c r="H165" s="83">
        <f t="shared" si="2"/>
        <v>8820</v>
      </c>
      <c r="I165" s="83"/>
      <c r="K165" s="54" t="s">
        <v>15</v>
      </c>
    </row>
    <row r="166" spans="2:11" ht="16.5" x14ac:dyDescent="0.2">
      <c r="B166" s="82" t="s">
        <v>1016</v>
      </c>
      <c r="C166" s="82" t="s">
        <v>28</v>
      </c>
      <c r="D166" s="83">
        <f>SUMIFS(D167:D1474,K167:K1474,"0",B167:B1474,"1 2 4 1 3 12 31111*")-SUMIFS(E167:E1474,K167:K1474,"0",B167:B1474,"1 2 4 1 3 12 31111*")</f>
        <v>8820</v>
      </c>
      <c r="E166" s="54"/>
      <c r="F166" s="83">
        <f>SUMIFS(F167:F1474,K167:K1474,"0",B167:B1474,"1 2 4 1 3 12 31111*")</f>
        <v>0</v>
      </c>
      <c r="G166" s="83">
        <f>SUMIFS(G167:G1474,K167:K1474,"0",B167:B1474,"1 2 4 1 3 12 31111*")</f>
        <v>0</v>
      </c>
      <c r="H166" s="83">
        <f t="shared" si="2"/>
        <v>8820</v>
      </c>
      <c r="I166" s="83"/>
      <c r="K166" s="54" t="s">
        <v>15</v>
      </c>
    </row>
    <row r="167" spans="2:11" ht="12.75" x14ac:dyDescent="0.2">
      <c r="B167" s="82" t="s">
        <v>1017</v>
      </c>
      <c r="C167" s="82" t="s">
        <v>30</v>
      </c>
      <c r="D167" s="83">
        <f>SUMIFS(D168:D1474,K168:K1474,"0",B168:B1474,"1 2 4 1 3 12 31111 6*")-SUMIFS(E168:E1474,K168:K1474,"0",B168:B1474,"1 2 4 1 3 12 31111 6*")</f>
        <v>8820</v>
      </c>
      <c r="E167" s="54"/>
      <c r="F167" s="83">
        <f>SUMIFS(F168:F1474,K168:K1474,"0",B168:B1474,"1 2 4 1 3 12 31111 6*")</f>
        <v>0</v>
      </c>
      <c r="G167" s="83">
        <f>SUMIFS(G168:G1474,K168:K1474,"0",B168:B1474,"1 2 4 1 3 12 31111 6*")</f>
        <v>0</v>
      </c>
      <c r="H167" s="83">
        <f t="shared" si="2"/>
        <v>8820</v>
      </c>
      <c r="I167" s="83"/>
      <c r="K167" s="54" t="s">
        <v>15</v>
      </c>
    </row>
    <row r="168" spans="2:11" ht="16.5" x14ac:dyDescent="0.2">
      <c r="B168" s="82" t="s">
        <v>1018</v>
      </c>
      <c r="C168" s="82" t="s">
        <v>1990</v>
      </c>
      <c r="D168" s="83">
        <f>SUMIFS(D169:D1474,K169:K1474,"0",B169:B1474,"1 2 4 1 3 12 31111 6 M59*")-SUMIFS(E169:E1474,K169:K1474,"0",B169:B1474,"1 2 4 1 3 12 31111 6 M59*")</f>
        <v>8820</v>
      </c>
      <c r="E168" s="54"/>
      <c r="F168" s="83">
        <f>SUMIFS(F169:F1474,K169:K1474,"0",B169:B1474,"1 2 4 1 3 12 31111 6 M59*")</f>
        <v>0</v>
      </c>
      <c r="G168" s="83">
        <f>SUMIFS(G169:G1474,K169:K1474,"0",B169:B1474,"1 2 4 1 3 12 31111 6 M59*")</f>
        <v>0</v>
      </c>
      <c r="H168" s="83">
        <f t="shared" si="2"/>
        <v>8820</v>
      </c>
      <c r="I168" s="83"/>
      <c r="K168" s="54" t="s">
        <v>15</v>
      </c>
    </row>
    <row r="169" spans="2:11" ht="16.5" x14ac:dyDescent="0.2">
      <c r="B169" s="82" t="s">
        <v>1039</v>
      </c>
      <c r="C169" s="82" t="s">
        <v>1364</v>
      </c>
      <c r="D169" s="83">
        <f>SUMIFS(D170:D1474,K170:K1474,"0",B170:B1474,"1 2 4 1 3 12 31111 6 M59 00004*")-SUMIFS(E170:E1474,K170:K1474,"0",B170:B1474,"1 2 4 1 3 12 31111 6 M59 00004*")</f>
        <v>8820</v>
      </c>
      <c r="E169" s="54"/>
      <c r="F169" s="83">
        <f>SUMIFS(F170:F1474,K170:K1474,"0",B170:B1474,"1 2 4 1 3 12 31111 6 M59 00004*")</f>
        <v>0</v>
      </c>
      <c r="G169" s="83">
        <f>SUMIFS(G170:G1474,K170:K1474,"0",B170:B1474,"1 2 4 1 3 12 31111 6 M59 00004*")</f>
        <v>0</v>
      </c>
      <c r="H169" s="83">
        <f t="shared" si="2"/>
        <v>8820</v>
      </c>
      <c r="I169" s="83"/>
      <c r="K169" s="54" t="s">
        <v>15</v>
      </c>
    </row>
    <row r="170" spans="2:11" ht="24.75" x14ac:dyDescent="0.2">
      <c r="B170" s="82" t="s">
        <v>1040</v>
      </c>
      <c r="C170" s="82" t="s">
        <v>1014</v>
      </c>
      <c r="D170" s="83">
        <f>SUMIFS(D171:D1474,K171:K1474,"0",B171:B1474,"1 2 4 1 3 12 31111 6 M59 00004 000001*")-SUMIFS(E171:E1474,K171:K1474,"0",B171:B1474,"1 2 4 1 3 12 31111 6 M59 00004 000001*")</f>
        <v>8820</v>
      </c>
      <c r="E170" s="54"/>
      <c r="F170" s="83">
        <f>SUMIFS(F171:F1474,K171:K1474,"0",B171:B1474,"1 2 4 1 3 12 31111 6 M59 00004 000001*")</f>
        <v>0</v>
      </c>
      <c r="G170" s="83">
        <f>SUMIFS(G171:G1474,K171:K1474,"0",B171:B1474,"1 2 4 1 3 12 31111 6 M59 00004 000001*")</f>
        <v>0</v>
      </c>
      <c r="H170" s="83">
        <f t="shared" si="2"/>
        <v>8820</v>
      </c>
      <c r="I170" s="83"/>
      <c r="K170" s="54" t="s">
        <v>15</v>
      </c>
    </row>
    <row r="171" spans="2:11" ht="16.5" x14ac:dyDescent="0.2">
      <c r="B171" s="84" t="s">
        <v>1041</v>
      </c>
      <c r="C171" s="84" t="s">
        <v>1037</v>
      </c>
      <c r="D171" s="85">
        <v>5742</v>
      </c>
      <c r="E171" s="85"/>
      <c r="F171" s="85">
        <v>0</v>
      </c>
      <c r="G171" s="85">
        <v>0</v>
      </c>
      <c r="H171" s="85">
        <f t="shared" si="2"/>
        <v>5742</v>
      </c>
      <c r="I171" s="85"/>
      <c r="K171" s="54" t="s">
        <v>38</v>
      </c>
    </row>
    <row r="172" spans="2:11" ht="16.5" x14ac:dyDescent="0.2">
      <c r="B172" s="84" t="s">
        <v>1042</v>
      </c>
      <c r="C172" s="84" t="s">
        <v>274</v>
      </c>
      <c r="D172" s="85">
        <v>3078</v>
      </c>
      <c r="E172" s="85"/>
      <c r="F172" s="85">
        <v>0</v>
      </c>
      <c r="G172" s="85">
        <v>0</v>
      </c>
      <c r="H172" s="85">
        <f t="shared" si="2"/>
        <v>3078</v>
      </c>
      <c r="I172" s="85"/>
      <c r="K172" s="54" t="s">
        <v>38</v>
      </c>
    </row>
    <row r="173" spans="2:11" ht="16.5" x14ac:dyDescent="0.2">
      <c r="B173" s="82" t="s">
        <v>1117</v>
      </c>
      <c r="C173" s="82" t="s">
        <v>1118</v>
      </c>
      <c r="D173" s="83">
        <f>SUMIFS(D174:D1474,K174:K1474,"0",B174:B1474,"1 2 4 1 9*")-SUMIFS(E174:E1474,K174:K1474,"0",B174:B1474,"1 2 4 1 9*")</f>
        <v>4081.96</v>
      </c>
      <c r="E173" s="54"/>
      <c r="F173" s="83">
        <f>SUMIFS(F174:F1474,K174:K1474,"0",B174:B1474,"1 2 4 1 9*")</f>
        <v>0</v>
      </c>
      <c r="G173" s="83">
        <f>SUMIFS(G174:G1474,K174:K1474,"0",B174:B1474,"1 2 4 1 9*")</f>
        <v>0</v>
      </c>
      <c r="H173" s="83">
        <f t="shared" si="2"/>
        <v>4081.96</v>
      </c>
      <c r="I173" s="83"/>
      <c r="K173" s="54" t="s">
        <v>15</v>
      </c>
    </row>
    <row r="174" spans="2:11" ht="12.75" x14ac:dyDescent="0.2">
      <c r="B174" s="82" t="s">
        <v>1119</v>
      </c>
      <c r="C174" s="82" t="s">
        <v>26</v>
      </c>
      <c r="D174" s="83">
        <f>SUMIFS(D175:D1474,K175:K1474,"0",B175:B1474,"1 2 4 1 9 12*")-SUMIFS(E175:E1474,K175:K1474,"0",B175:B1474,"1 2 4 1 9 12*")</f>
        <v>4081.96</v>
      </c>
      <c r="E174" s="54"/>
      <c r="F174" s="83">
        <f>SUMIFS(F175:F1474,K175:K1474,"0",B175:B1474,"1 2 4 1 9 12*")</f>
        <v>0</v>
      </c>
      <c r="G174" s="83">
        <f>SUMIFS(G175:G1474,K175:K1474,"0",B175:B1474,"1 2 4 1 9 12*")</f>
        <v>0</v>
      </c>
      <c r="H174" s="83">
        <f t="shared" si="2"/>
        <v>4081.96</v>
      </c>
      <c r="I174" s="83"/>
      <c r="K174" s="54" t="s">
        <v>15</v>
      </c>
    </row>
    <row r="175" spans="2:11" ht="16.5" x14ac:dyDescent="0.2">
      <c r="B175" s="82" t="s">
        <v>1120</v>
      </c>
      <c r="C175" s="82" t="s">
        <v>28</v>
      </c>
      <c r="D175" s="83">
        <f>SUMIFS(D176:D1474,K176:K1474,"0",B176:B1474,"1 2 4 1 9 12 31111*")-SUMIFS(E176:E1474,K176:K1474,"0",B176:B1474,"1 2 4 1 9 12 31111*")</f>
        <v>4081.96</v>
      </c>
      <c r="E175" s="54"/>
      <c r="F175" s="83">
        <f>SUMIFS(F176:F1474,K176:K1474,"0",B176:B1474,"1 2 4 1 9 12 31111*")</f>
        <v>0</v>
      </c>
      <c r="G175" s="83">
        <f>SUMIFS(G176:G1474,K176:K1474,"0",B176:B1474,"1 2 4 1 9 12 31111*")</f>
        <v>0</v>
      </c>
      <c r="H175" s="83">
        <f t="shared" si="2"/>
        <v>4081.96</v>
      </c>
      <c r="I175" s="83"/>
      <c r="K175" s="54" t="s">
        <v>15</v>
      </c>
    </row>
    <row r="176" spans="2:11" ht="12.75" x14ac:dyDescent="0.2">
      <c r="B176" s="82" t="s">
        <v>1121</v>
      </c>
      <c r="C176" s="82" t="s">
        <v>30</v>
      </c>
      <c r="D176" s="83">
        <f>SUMIFS(D177:D1474,K177:K1474,"0",B177:B1474,"1 2 4 1 9 12 31111 6*")-SUMIFS(E177:E1474,K177:K1474,"0",B177:B1474,"1 2 4 1 9 12 31111 6*")</f>
        <v>4081.96</v>
      </c>
      <c r="E176" s="54"/>
      <c r="F176" s="83">
        <f>SUMIFS(F177:F1474,K177:K1474,"0",B177:B1474,"1 2 4 1 9 12 31111 6*")</f>
        <v>0</v>
      </c>
      <c r="G176" s="83">
        <f>SUMIFS(G177:G1474,K177:K1474,"0",B177:B1474,"1 2 4 1 9 12 31111 6*")</f>
        <v>0</v>
      </c>
      <c r="H176" s="83">
        <f t="shared" si="2"/>
        <v>4081.96</v>
      </c>
      <c r="I176" s="83"/>
      <c r="K176" s="54" t="s">
        <v>15</v>
      </c>
    </row>
    <row r="177" spans="2:11" ht="16.5" x14ac:dyDescent="0.2">
      <c r="B177" s="82" t="s">
        <v>1122</v>
      </c>
      <c r="C177" s="82" t="s">
        <v>1990</v>
      </c>
      <c r="D177" s="83">
        <f>SUMIFS(D178:D1474,K178:K1474,"0",B178:B1474,"1 2 4 1 9 12 31111 6 M59*")-SUMIFS(E178:E1474,K178:K1474,"0",B178:B1474,"1 2 4 1 9 12 31111 6 M59*")</f>
        <v>4081.96</v>
      </c>
      <c r="E177" s="54"/>
      <c r="F177" s="83">
        <f>SUMIFS(F178:F1474,K178:K1474,"0",B178:B1474,"1 2 4 1 9 12 31111 6 M59*")</f>
        <v>0</v>
      </c>
      <c r="G177" s="83">
        <f>SUMIFS(G178:G1474,K178:K1474,"0",B178:B1474,"1 2 4 1 9 12 31111 6 M59*")</f>
        <v>0</v>
      </c>
      <c r="H177" s="83">
        <f t="shared" si="2"/>
        <v>4081.96</v>
      </c>
      <c r="I177" s="83"/>
      <c r="K177" s="54" t="s">
        <v>15</v>
      </c>
    </row>
    <row r="178" spans="2:11" ht="16.5" x14ac:dyDescent="0.2">
      <c r="B178" s="82" t="s">
        <v>1134</v>
      </c>
      <c r="C178" s="82" t="s">
        <v>46</v>
      </c>
      <c r="D178" s="83">
        <f>SUMIFS(D179:D1474,K179:K1474,"0",B179:B1474,"1 2 4 1 9 12 31111 6 M59 00004*")-SUMIFS(E179:E1474,K179:K1474,"0",B179:B1474,"1 2 4 1 9 12 31111 6 M59 00004*")</f>
        <v>4081.96</v>
      </c>
      <c r="E178" s="54"/>
      <c r="F178" s="83">
        <f>SUMIFS(F179:F1474,K179:K1474,"0",B179:B1474,"1 2 4 1 9 12 31111 6 M59 00004*")</f>
        <v>0</v>
      </c>
      <c r="G178" s="83">
        <f>SUMIFS(G179:G1474,K179:K1474,"0",B179:B1474,"1 2 4 1 9 12 31111 6 M59 00004*")</f>
        <v>0</v>
      </c>
      <c r="H178" s="83">
        <f t="shared" si="2"/>
        <v>4081.96</v>
      </c>
      <c r="I178" s="83"/>
      <c r="K178" s="54" t="s">
        <v>15</v>
      </c>
    </row>
    <row r="179" spans="2:11" ht="16.5" x14ac:dyDescent="0.2">
      <c r="B179" s="82" t="s">
        <v>1135</v>
      </c>
      <c r="C179" s="82" t="s">
        <v>1118</v>
      </c>
      <c r="D179" s="83">
        <f>SUMIFS(D180:D1474,K180:K1474,"0",B180:B1474,"1 2 4 1 9 12 31111 6 M59 00004 000001*")-SUMIFS(E180:E1474,K180:K1474,"0",B180:B1474,"1 2 4 1 9 12 31111 6 M59 00004 000001*")</f>
        <v>4081.96</v>
      </c>
      <c r="E179" s="54"/>
      <c r="F179" s="83">
        <f>SUMIFS(F180:F1474,K180:K1474,"0",B180:B1474,"1 2 4 1 9 12 31111 6 M59 00004 000001*")</f>
        <v>0</v>
      </c>
      <c r="G179" s="83">
        <f>SUMIFS(G180:G1474,K180:K1474,"0",B180:B1474,"1 2 4 1 9 12 31111 6 M59 00004 000001*")</f>
        <v>0</v>
      </c>
      <c r="H179" s="83">
        <f t="shared" si="2"/>
        <v>4081.96</v>
      </c>
      <c r="I179" s="83"/>
      <c r="K179" s="54" t="s">
        <v>15</v>
      </c>
    </row>
    <row r="180" spans="2:11" ht="16.5" x14ac:dyDescent="0.2">
      <c r="B180" s="84" t="s">
        <v>1136</v>
      </c>
      <c r="C180" s="84" t="s">
        <v>1012</v>
      </c>
      <c r="D180" s="85">
        <v>1128.96</v>
      </c>
      <c r="E180" s="85"/>
      <c r="F180" s="85">
        <v>0</v>
      </c>
      <c r="G180" s="85">
        <v>0</v>
      </c>
      <c r="H180" s="85">
        <f t="shared" si="2"/>
        <v>1128.96</v>
      </c>
      <c r="I180" s="85"/>
      <c r="K180" s="54" t="s">
        <v>38</v>
      </c>
    </row>
    <row r="181" spans="2:11" ht="16.5" x14ac:dyDescent="0.2">
      <c r="B181" s="84" t="s">
        <v>1137</v>
      </c>
      <c r="C181" s="84" t="s">
        <v>1138</v>
      </c>
      <c r="D181" s="85">
        <v>1245</v>
      </c>
      <c r="E181" s="85"/>
      <c r="F181" s="85">
        <v>0</v>
      </c>
      <c r="G181" s="85">
        <v>0</v>
      </c>
      <c r="H181" s="85">
        <f t="shared" si="2"/>
        <v>1245</v>
      </c>
      <c r="I181" s="85"/>
      <c r="K181" s="54" t="s">
        <v>38</v>
      </c>
    </row>
    <row r="182" spans="2:11" ht="16.5" x14ac:dyDescent="0.2">
      <c r="B182" s="84" t="s">
        <v>1139</v>
      </c>
      <c r="C182" s="84" t="s">
        <v>274</v>
      </c>
      <c r="D182" s="85">
        <v>1708</v>
      </c>
      <c r="E182" s="85"/>
      <c r="F182" s="85">
        <v>0</v>
      </c>
      <c r="G182" s="85">
        <v>0</v>
      </c>
      <c r="H182" s="85">
        <f t="shared" si="2"/>
        <v>1708</v>
      </c>
      <c r="I182" s="85"/>
      <c r="K182" s="54" t="s">
        <v>38</v>
      </c>
    </row>
    <row r="183" spans="2:11" ht="16.5" x14ac:dyDescent="0.2">
      <c r="B183" s="82" t="s">
        <v>1140</v>
      </c>
      <c r="C183" s="82" t="s">
        <v>1141</v>
      </c>
      <c r="D183" s="83">
        <f>SUMIFS(D184:D1474,K184:K1474,"0",B184:B1474,"1 2 4 2*")-SUMIFS(E184:E1474,K184:K1474,"0",B184:B1474,"1 2 4 2*")</f>
        <v>304</v>
      </c>
      <c r="E183" s="54"/>
      <c r="F183" s="83">
        <f>SUMIFS(F184:F1474,K184:K1474,"0",B184:B1474,"1 2 4 2*")</f>
        <v>0</v>
      </c>
      <c r="G183" s="83">
        <f>SUMIFS(G184:G1474,K184:K1474,"0",B184:B1474,"1 2 4 2*")</f>
        <v>0</v>
      </c>
      <c r="H183" s="83">
        <f t="shared" si="2"/>
        <v>304</v>
      </c>
      <c r="I183" s="83"/>
      <c r="K183" s="54" t="s">
        <v>15</v>
      </c>
    </row>
    <row r="184" spans="2:11" ht="16.5" x14ac:dyDescent="0.2">
      <c r="B184" s="82" t="s">
        <v>1173</v>
      </c>
      <c r="C184" s="82" t="s">
        <v>1174</v>
      </c>
      <c r="D184" s="83">
        <f>SUMIFS(D185:D1474,K185:K1474,"0",B185:B1474,"1 2 4 2 9*")-SUMIFS(E185:E1474,K185:K1474,"0",B185:B1474,"1 2 4 2 9*")</f>
        <v>304</v>
      </c>
      <c r="E184" s="54"/>
      <c r="F184" s="83">
        <f>SUMIFS(F185:F1474,K185:K1474,"0",B185:B1474,"1 2 4 2 9*")</f>
        <v>0</v>
      </c>
      <c r="G184" s="83">
        <f>SUMIFS(G185:G1474,K185:K1474,"0",B185:B1474,"1 2 4 2 9*")</f>
        <v>0</v>
      </c>
      <c r="H184" s="83">
        <f t="shared" si="2"/>
        <v>304</v>
      </c>
      <c r="I184" s="83"/>
      <c r="K184" s="54" t="s">
        <v>15</v>
      </c>
    </row>
    <row r="185" spans="2:11" ht="12.75" x14ac:dyDescent="0.2">
      <c r="B185" s="82" t="s">
        <v>1175</v>
      </c>
      <c r="C185" s="82" t="s">
        <v>26</v>
      </c>
      <c r="D185" s="83">
        <f>SUMIFS(D186:D1474,K186:K1474,"0",B186:B1474,"1 2 4 2 9 12*")-SUMIFS(E186:E1474,K186:K1474,"0",B186:B1474,"1 2 4 2 9 12*")</f>
        <v>304</v>
      </c>
      <c r="E185" s="54"/>
      <c r="F185" s="83">
        <f>SUMIFS(F186:F1474,K186:K1474,"0",B186:B1474,"1 2 4 2 9 12*")</f>
        <v>0</v>
      </c>
      <c r="G185" s="83">
        <f>SUMIFS(G186:G1474,K186:K1474,"0",B186:B1474,"1 2 4 2 9 12*")</f>
        <v>0</v>
      </c>
      <c r="H185" s="83">
        <f t="shared" si="2"/>
        <v>304</v>
      </c>
      <c r="I185" s="83"/>
      <c r="K185" s="54" t="s">
        <v>15</v>
      </c>
    </row>
    <row r="186" spans="2:11" ht="16.5" x14ac:dyDescent="0.2">
      <c r="B186" s="82" t="s">
        <v>1176</v>
      </c>
      <c r="C186" s="82" t="s">
        <v>28</v>
      </c>
      <c r="D186" s="83">
        <f>SUMIFS(D187:D1474,K187:K1474,"0",B187:B1474,"1 2 4 2 9 12 31111*")-SUMIFS(E187:E1474,K187:K1474,"0",B187:B1474,"1 2 4 2 9 12 31111*")</f>
        <v>304</v>
      </c>
      <c r="E186" s="54"/>
      <c r="F186" s="83">
        <f>SUMIFS(F187:F1474,K187:K1474,"0",B187:B1474,"1 2 4 2 9 12 31111*")</f>
        <v>0</v>
      </c>
      <c r="G186" s="83">
        <f>SUMIFS(G187:G1474,K187:K1474,"0",B187:B1474,"1 2 4 2 9 12 31111*")</f>
        <v>0</v>
      </c>
      <c r="H186" s="83">
        <f t="shared" si="2"/>
        <v>304</v>
      </c>
      <c r="I186" s="83"/>
      <c r="K186" s="54" t="s">
        <v>15</v>
      </c>
    </row>
    <row r="187" spans="2:11" ht="12.75" x14ac:dyDescent="0.2">
      <c r="B187" s="82" t="s">
        <v>1177</v>
      </c>
      <c r="C187" s="82" t="s">
        <v>30</v>
      </c>
      <c r="D187" s="83">
        <f>SUMIFS(D188:D1474,K188:K1474,"0",B188:B1474,"1 2 4 2 9 12 31111 6*")-SUMIFS(E188:E1474,K188:K1474,"0",B188:B1474,"1 2 4 2 9 12 31111 6*")</f>
        <v>304</v>
      </c>
      <c r="E187" s="54"/>
      <c r="F187" s="83">
        <f>SUMIFS(F188:F1474,K188:K1474,"0",B188:B1474,"1 2 4 2 9 12 31111 6*")</f>
        <v>0</v>
      </c>
      <c r="G187" s="83">
        <f>SUMIFS(G188:G1474,K188:K1474,"0",B188:B1474,"1 2 4 2 9 12 31111 6*")</f>
        <v>0</v>
      </c>
      <c r="H187" s="83">
        <f t="shared" si="2"/>
        <v>304</v>
      </c>
      <c r="I187" s="83"/>
      <c r="K187" s="54" t="s">
        <v>15</v>
      </c>
    </row>
    <row r="188" spans="2:11" ht="16.5" x14ac:dyDescent="0.2">
      <c r="B188" s="82" t="s">
        <v>1178</v>
      </c>
      <c r="C188" s="82" t="s">
        <v>32</v>
      </c>
      <c r="D188" s="83">
        <f>SUMIFS(D189:D1474,K189:K1474,"0",B189:B1474,"1 2 4 2 9 12 31111 6 M59*")-SUMIFS(E189:E1474,K189:K1474,"0",B189:B1474,"1 2 4 2 9 12 31111 6 M59*")</f>
        <v>304</v>
      </c>
      <c r="E188" s="54"/>
      <c r="F188" s="83">
        <f>SUMIFS(F189:F1474,K189:K1474,"0",B189:B1474,"1 2 4 2 9 12 31111 6 M59*")</f>
        <v>0</v>
      </c>
      <c r="G188" s="83">
        <f>SUMIFS(G189:G1474,K189:K1474,"0",B189:B1474,"1 2 4 2 9 12 31111 6 M59*")</f>
        <v>0</v>
      </c>
      <c r="H188" s="83">
        <f t="shared" si="2"/>
        <v>304</v>
      </c>
      <c r="I188" s="83"/>
      <c r="K188" s="54" t="s">
        <v>15</v>
      </c>
    </row>
    <row r="189" spans="2:11" ht="16.5" x14ac:dyDescent="0.2">
      <c r="B189" s="82" t="s">
        <v>1184</v>
      </c>
      <c r="C189" s="82" t="s">
        <v>1364</v>
      </c>
      <c r="D189" s="83">
        <f>SUMIFS(D190:D1474,K190:K1474,"0",B190:B1474,"1 2 4 2 9 12 31111 6 M59 00004*")-SUMIFS(E190:E1474,K190:K1474,"0",B190:B1474,"1 2 4 2 9 12 31111 6 M59 00004*")</f>
        <v>304</v>
      </c>
      <c r="E189" s="54"/>
      <c r="F189" s="83">
        <f>SUMIFS(F190:F1474,K190:K1474,"0",B190:B1474,"1 2 4 2 9 12 31111 6 M59 00004*")</f>
        <v>0</v>
      </c>
      <c r="G189" s="83">
        <f>SUMIFS(G190:G1474,K190:K1474,"0",B190:B1474,"1 2 4 2 9 12 31111 6 M59 00004*")</f>
        <v>0</v>
      </c>
      <c r="H189" s="83">
        <f t="shared" si="2"/>
        <v>304</v>
      </c>
      <c r="I189" s="83"/>
      <c r="K189" s="54" t="s">
        <v>15</v>
      </c>
    </row>
    <row r="190" spans="2:11" ht="16.5" x14ac:dyDescent="0.2">
      <c r="B190" s="82" t="s">
        <v>1185</v>
      </c>
      <c r="C190" s="82" t="s">
        <v>42</v>
      </c>
      <c r="D190" s="83">
        <f>SUMIFS(D191:D1474,K191:K1474,"0",B191:B1474,"1 2 4 2 9 12 31111 6 M59 00004 000001*")-SUMIFS(E191:E1474,K191:K1474,"0",B191:B1474,"1 2 4 2 9 12 31111 6 M59 00004 000001*")</f>
        <v>304</v>
      </c>
      <c r="E190" s="54"/>
      <c r="F190" s="83">
        <f>SUMIFS(F191:F1474,K191:K1474,"0",B191:B1474,"1 2 4 2 9 12 31111 6 M59 00004 000001*")</f>
        <v>0</v>
      </c>
      <c r="G190" s="83">
        <f>SUMIFS(G191:G1474,K191:K1474,"0",B191:B1474,"1 2 4 2 9 12 31111 6 M59 00004 000001*")</f>
        <v>0</v>
      </c>
      <c r="H190" s="83">
        <f t="shared" si="2"/>
        <v>304</v>
      </c>
      <c r="I190" s="83"/>
      <c r="K190" s="54" t="s">
        <v>15</v>
      </c>
    </row>
    <row r="191" spans="2:11" ht="16.5" x14ac:dyDescent="0.2">
      <c r="B191" s="84" t="s">
        <v>1186</v>
      </c>
      <c r="C191" s="84" t="s">
        <v>274</v>
      </c>
      <c r="D191" s="85">
        <v>304</v>
      </c>
      <c r="E191" s="85"/>
      <c r="F191" s="85">
        <v>0</v>
      </c>
      <c r="G191" s="85">
        <v>0</v>
      </c>
      <c r="H191" s="85">
        <f t="shared" si="2"/>
        <v>304</v>
      </c>
      <c r="I191" s="85"/>
      <c r="K191" s="54" t="s">
        <v>38</v>
      </c>
    </row>
    <row r="192" spans="2:11" ht="16.5" x14ac:dyDescent="0.2">
      <c r="B192" s="82" t="s">
        <v>1213</v>
      </c>
      <c r="C192" s="82" t="s">
        <v>1214</v>
      </c>
      <c r="D192" s="83">
        <f>SUMIFS(D193:D1474,K193:K1474,"0",B193:B1474,"1 2 4 4*")-SUMIFS(E193:E1474,K193:K1474,"0",B193:B1474,"1 2 4 4*")</f>
        <v>1202050</v>
      </c>
      <c r="E192" s="54"/>
      <c r="F192" s="83">
        <f>SUMIFS(F193:F1474,K193:K1474,"0",B193:B1474,"1 2 4 4*")</f>
        <v>0</v>
      </c>
      <c r="G192" s="83">
        <f>SUMIFS(G193:G1474,K193:K1474,"0",B193:B1474,"1 2 4 4*")</f>
        <v>0</v>
      </c>
      <c r="H192" s="83">
        <f t="shared" si="2"/>
        <v>1202050</v>
      </c>
      <c r="I192" s="83"/>
      <c r="K192" s="54" t="s">
        <v>15</v>
      </c>
    </row>
    <row r="193" spans="2:11" ht="16.5" x14ac:dyDescent="0.2">
      <c r="B193" s="82" t="s">
        <v>1215</v>
      </c>
      <c r="C193" s="82" t="s">
        <v>1216</v>
      </c>
      <c r="D193" s="83">
        <f>SUMIFS(D194:D1474,K194:K1474,"0",B194:B1474,"1 2 4 4 1*")-SUMIFS(E194:E1474,K194:K1474,"0",B194:B1474,"1 2 4 4 1*")</f>
        <v>1202050</v>
      </c>
      <c r="E193" s="54"/>
      <c r="F193" s="83">
        <f>SUMIFS(F194:F1474,K194:K1474,"0",B194:B1474,"1 2 4 4 1*")</f>
        <v>0</v>
      </c>
      <c r="G193" s="83">
        <f>SUMIFS(G194:G1474,K194:K1474,"0",B194:B1474,"1 2 4 4 1*")</f>
        <v>0</v>
      </c>
      <c r="H193" s="83">
        <f t="shared" si="2"/>
        <v>1202050</v>
      </c>
      <c r="I193" s="83"/>
      <c r="K193" s="54" t="s">
        <v>15</v>
      </c>
    </row>
    <row r="194" spans="2:11" ht="12.75" x14ac:dyDescent="0.2">
      <c r="B194" s="82" t="s">
        <v>1217</v>
      </c>
      <c r="C194" s="82" t="s">
        <v>26</v>
      </c>
      <c r="D194" s="83">
        <f>SUMIFS(D195:D1474,K195:K1474,"0",B195:B1474,"1 2 4 4 1 12*")-SUMIFS(E195:E1474,K195:K1474,"0",B195:B1474,"1 2 4 4 1 12*")</f>
        <v>1202050</v>
      </c>
      <c r="E194" s="54"/>
      <c r="F194" s="83">
        <f>SUMIFS(F195:F1474,K195:K1474,"0",B195:B1474,"1 2 4 4 1 12*")</f>
        <v>0</v>
      </c>
      <c r="G194" s="83">
        <f>SUMIFS(G195:G1474,K195:K1474,"0",B195:B1474,"1 2 4 4 1 12*")</f>
        <v>0</v>
      </c>
      <c r="H194" s="83">
        <f t="shared" si="2"/>
        <v>1202050</v>
      </c>
      <c r="I194" s="83"/>
      <c r="K194" s="54" t="s">
        <v>15</v>
      </c>
    </row>
    <row r="195" spans="2:11" ht="16.5" x14ac:dyDescent="0.2">
      <c r="B195" s="82" t="s">
        <v>1218</v>
      </c>
      <c r="C195" s="82" t="s">
        <v>28</v>
      </c>
      <c r="D195" s="83">
        <f>SUMIFS(D196:D1474,K196:K1474,"0",B196:B1474,"1 2 4 4 1 12 31111*")-SUMIFS(E196:E1474,K196:K1474,"0",B196:B1474,"1 2 4 4 1 12 31111*")</f>
        <v>1202050</v>
      </c>
      <c r="E195" s="54"/>
      <c r="F195" s="83">
        <f>SUMIFS(F196:F1474,K196:K1474,"0",B196:B1474,"1 2 4 4 1 12 31111*")</f>
        <v>0</v>
      </c>
      <c r="G195" s="83">
        <f>SUMIFS(G196:G1474,K196:K1474,"0",B196:B1474,"1 2 4 4 1 12 31111*")</f>
        <v>0</v>
      </c>
      <c r="H195" s="83">
        <f t="shared" si="2"/>
        <v>1202050</v>
      </c>
      <c r="I195" s="83"/>
      <c r="K195" s="54" t="s">
        <v>15</v>
      </c>
    </row>
    <row r="196" spans="2:11" ht="12.75" x14ac:dyDescent="0.2">
      <c r="B196" s="82" t="s">
        <v>1219</v>
      </c>
      <c r="C196" s="82" t="s">
        <v>30</v>
      </c>
      <c r="D196" s="83">
        <f>SUMIFS(D197:D1474,K197:K1474,"0",B197:B1474,"1 2 4 4 1 12 31111 6*")-SUMIFS(E197:E1474,K197:K1474,"0",B197:B1474,"1 2 4 4 1 12 31111 6*")</f>
        <v>1202050</v>
      </c>
      <c r="E196" s="54"/>
      <c r="F196" s="83">
        <f>SUMIFS(F197:F1474,K197:K1474,"0",B197:B1474,"1 2 4 4 1 12 31111 6*")</f>
        <v>0</v>
      </c>
      <c r="G196" s="83">
        <f>SUMIFS(G197:G1474,K197:K1474,"0",B197:B1474,"1 2 4 4 1 12 31111 6*")</f>
        <v>0</v>
      </c>
      <c r="H196" s="83">
        <f t="shared" si="2"/>
        <v>1202050</v>
      </c>
      <c r="I196" s="83"/>
      <c r="K196" s="54" t="s">
        <v>15</v>
      </c>
    </row>
    <row r="197" spans="2:11" ht="16.5" x14ac:dyDescent="0.2">
      <c r="B197" s="82" t="s">
        <v>1220</v>
      </c>
      <c r="C197" s="82" t="s">
        <v>1990</v>
      </c>
      <c r="D197" s="83">
        <f>SUMIFS(D198:D1474,K198:K1474,"0",B198:B1474,"1 2 4 4 1 12 31111 6 M59*")-SUMIFS(E198:E1474,K198:K1474,"0",B198:B1474,"1 2 4 4 1 12 31111 6 M59*")</f>
        <v>1202050</v>
      </c>
      <c r="E197" s="54"/>
      <c r="F197" s="83">
        <f>SUMIFS(F198:F1474,K198:K1474,"0",B198:B1474,"1 2 4 4 1 12 31111 6 M59*")</f>
        <v>0</v>
      </c>
      <c r="G197" s="83">
        <f>SUMIFS(G198:G1474,K198:K1474,"0",B198:B1474,"1 2 4 4 1 12 31111 6 M59*")</f>
        <v>0</v>
      </c>
      <c r="H197" s="83">
        <f t="shared" si="2"/>
        <v>1202050</v>
      </c>
      <c r="I197" s="83"/>
      <c r="K197" s="54" t="s">
        <v>15</v>
      </c>
    </row>
    <row r="198" spans="2:11" ht="16.5" x14ac:dyDescent="0.2">
      <c r="B198" s="82" t="s">
        <v>1238</v>
      </c>
      <c r="C198" s="82" t="s">
        <v>1364</v>
      </c>
      <c r="D198" s="83">
        <f>SUMIFS(D199:D1474,K199:K1474,"0",B199:B1474,"1 2 4 4 1 12 31111 6 M59 00004*")-SUMIFS(E199:E1474,K199:K1474,"0",B199:B1474,"1 2 4 4 1 12 31111 6 M59 00004*")</f>
        <v>1202050</v>
      </c>
      <c r="E198" s="54"/>
      <c r="F198" s="83">
        <f>SUMIFS(F199:F1474,K199:K1474,"0",B199:B1474,"1 2 4 4 1 12 31111 6 M59 00004*")</f>
        <v>0</v>
      </c>
      <c r="G198" s="83">
        <f>SUMIFS(G199:G1474,K199:K1474,"0",B199:B1474,"1 2 4 4 1 12 31111 6 M59 00004*")</f>
        <v>0</v>
      </c>
      <c r="H198" s="83">
        <f t="shared" si="2"/>
        <v>1202050</v>
      </c>
      <c r="I198" s="83"/>
      <c r="K198" s="54" t="s">
        <v>15</v>
      </c>
    </row>
    <row r="199" spans="2:11" ht="16.5" x14ac:dyDescent="0.2">
      <c r="B199" s="82" t="s">
        <v>1239</v>
      </c>
      <c r="C199" s="82" t="s">
        <v>42</v>
      </c>
      <c r="D199" s="83">
        <f>SUMIFS(D200:D1474,K200:K1474,"0",B200:B1474,"1 2 4 4 1 12 31111 6 M59 00004 000001*")-SUMIFS(E200:E1474,K200:K1474,"0",B200:B1474,"1 2 4 4 1 12 31111 6 M59 00004 000001*")</f>
        <v>1202050</v>
      </c>
      <c r="E199" s="54"/>
      <c r="F199" s="83">
        <f>SUMIFS(F200:F1474,K200:K1474,"0",B200:B1474,"1 2 4 4 1 12 31111 6 M59 00004 000001*")</f>
        <v>0</v>
      </c>
      <c r="G199" s="83">
        <f>SUMIFS(G200:G1474,K200:K1474,"0",B200:B1474,"1 2 4 4 1 12 31111 6 M59 00004 000001*")</f>
        <v>0</v>
      </c>
      <c r="H199" s="83">
        <f t="shared" si="2"/>
        <v>1202050</v>
      </c>
      <c r="I199" s="83"/>
      <c r="K199" s="54" t="s">
        <v>15</v>
      </c>
    </row>
    <row r="200" spans="2:11" ht="16.5" x14ac:dyDescent="0.2">
      <c r="B200" s="84" t="s">
        <v>1240</v>
      </c>
      <c r="C200" s="84" t="s">
        <v>441</v>
      </c>
      <c r="D200" s="85">
        <v>-807950</v>
      </c>
      <c r="E200" s="85"/>
      <c r="F200" s="85">
        <v>0</v>
      </c>
      <c r="G200" s="85">
        <v>0</v>
      </c>
      <c r="H200" s="85">
        <f t="shared" si="2"/>
        <v>-807950</v>
      </c>
      <c r="I200" s="85"/>
      <c r="K200" s="54" t="s">
        <v>38</v>
      </c>
    </row>
    <row r="201" spans="2:11" ht="16.5" x14ac:dyDescent="0.2">
      <c r="B201" s="84" t="s">
        <v>1241</v>
      </c>
      <c r="C201" s="84" t="s">
        <v>1236</v>
      </c>
      <c r="D201" s="85">
        <v>2010000</v>
      </c>
      <c r="E201" s="85"/>
      <c r="F201" s="85">
        <v>0</v>
      </c>
      <c r="G201" s="85">
        <v>0</v>
      </c>
      <c r="H201" s="85">
        <f t="shared" si="2"/>
        <v>2010000</v>
      </c>
      <c r="I201" s="85"/>
      <c r="K201" s="54" t="s">
        <v>38</v>
      </c>
    </row>
    <row r="202" spans="2:11" ht="16.5" x14ac:dyDescent="0.2">
      <c r="B202" s="82" t="s">
        <v>1292</v>
      </c>
      <c r="C202" s="82" t="s">
        <v>1293</v>
      </c>
      <c r="D202" s="83">
        <f>SUMIFS(D203:D1474,K203:K1474,"0",B203:B1474,"1 2 4 6*")-SUMIFS(E203:E1474,K203:K1474,"0",B203:B1474,"1 2 4 6*")</f>
        <v>43300.009999999995</v>
      </c>
      <c r="E202" s="54"/>
      <c r="F202" s="83">
        <f>SUMIFS(F203:F1474,K203:K1474,"0",B203:B1474,"1 2 4 6*")</f>
        <v>0</v>
      </c>
      <c r="G202" s="83">
        <f>SUMIFS(G203:G1474,K203:K1474,"0",B203:B1474,"1 2 4 6*")</f>
        <v>0</v>
      </c>
      <c r="H202" s="83">
        <f t="shared" si="2"/>
        <v>43300.009999999995</v>
      </c>
      <c r="I202" s="83"/>
      <c r="K202" s="54" t="s">
        <v>15</v>
      </c>
    </row>
    <row r="203" spans="2:11" ht="41.25" x14ac:dyDescent="0.2">
      <c r="B203" s="82" t="s">
        <v>1349</v>
      </c>
      <c r="C203" s="82" t="s">
        <v>1350</v>
      </c>
      <c r="D203" s="83">
        <f>SUMIFS(D204:D1474,K204:K1474,"0",B204:B1474,"1 2 4 6 4*")-SUMIFS(E204:E1474,K204:K1474,"0",B204:B1474,"1 2 4 6 4*")</f>
        <v>43300.009999999995</v>
      </c>
      <c r="E203" s="54"/>
      <c r="F203" s="83">
        <f>SUMIFS(F204:F1474,K204:K1474,"0",B204:B1474,"1 2 4 6 4*")</f>
        <v>0</v>
      </c>
      <c r="G203" s="83">
        <f>SUMIFS(G204:G1474,K204:K1474,"0",B204:B1474,"1 2 4 6 4*")</f>
        <v>0</v>
      </c>
      <c r="H203" s="83">
        <f t="shared" si="2"/>
        <v>43300.009999999995</v>
      </c>
      <c r="I203" s="83"/>
      <c r="K203" s="54" t="s">
        <v>15</v>
      </c>
    </row>
    <row r="204" spans="2:11" ht="12.75" x14ac:dyDescent="0.2">
      <c r="B204" s="82" t="s">
        <v>1351</v>
      </c>
      <c r="C204" s="82" t="s">
        <v>26</v>
      </c>
      <c r="D204" s="83">
        <f>SUMIFS(D205:D1474,K205:K1474,"0",B205:B1474,"1 2 4 6 4 12*")-SUMIFS(E205:E1474,K205:K1474,"0",B205:B1474,"1 2 4 6 4 12*")</f>
        <v>43300.009999999995</v>
      </c>
      <c r="E204" s="54"/>
      <c r="F204" s="83">
        <f>SUMIFS(F205:F1474,K205:K1474,"0",B205:B1474,"1 2 4 6 4 12*")</f>
        <v>0</v>
      </c>
      <c r="G204" s="83">
        <f>SUMIFS(G205:G1474,K205:K1474,"0",B205:B1474,"1 2 4 6 4 12*")</f>
        <v>0</v>
      </c>
      <c r="H204" s="83">
        <f t="shared" ref="H204:H211" si="3">D204 + F204 - G204</f>
        <v>43300.009999999995</v>
      </c>
      <c r="I204" s="83"/>
      <c r="K204" s="54" t="s">
        <v>15</v>
      </c>
    </row>
    <row r="205" spans="2:11" ht="16.5" x14ac:dyDescent="0.2">
      <c r="B205" s="82" t="s">
        <v>1352</v>
      </c>
      <c r="C205" s="82" t="s">
        <v>28</v>
      </c>
      <c r="D205" s="83">
        <f>SUMIFS(D206:D1474,K206:K1474,"0",B206:B1474,"1 2 4 6 4 12 31111*")-SUMIFS(E206:E1474,K206:K1474,"0",B206:B1474,"1 2 4 6 4 12 31111*")</f>
        <v>43300.009999999995</v>
      </c>
      <c r="E205" s="54"/>
      <c r="F205" s="83">
        <f>SUMIFS(F206:F1474,K206:K1474,"0",B206:B1474,"1 2 4 6 4 12 31111*")</f>
        <v>0</v>
      </c>
      <c r="G205" s="83">
        <f>SUMIFS(G206:G1474,K206:K1474,"0",B206:B1474,"1 2 4 6 4 12 31111*")</f>
        <v>0</v>
      </c>
      <c r="H205" s="83">
        <f t="shared" si="3"/>
        <v>43300.009999999995</v>
      </c>
      <c r="I205" s="83"/>
      <c r="K205" s="54" t="s">
        <v>15</v>
      </c>
    </row>
    <row r="206" spans="2:11" ht="12.75" x14ac:dyDescent="0.2">
      <c r="B206" s="82" t="s">
        <v>1353</v>
      </c>
      <c r="C206" s="82" t="s">
        <v>30</v>
      </c>
      <c r="D206" s="83">
        <f>SUMIFS(D207:D1474,K207:K1474,"0",B207:B1474,"1 2 4 6 4 12 31111 6*")-SUMIFS(E207:E1474,K207:K1474,"0",B207:B1474,"1 2 4 6 4 12 31111 6*")</f>
        <v>43300.009999999995</v>
      </c>
      <c r="E206" s="54"/>
      <c r="F206" s="83">
        <f>SUMIFS(F207:F1474,K207:K1474,"0",B207:B1474,"1 2 4 6 4 12 31111 6*")</f>
        <v>0</v>
      </c>
      <c r="G206" s="83">
        <f>SUMIFS(G207:G1474,K207:K1474,"0",B207:B1474,"1 2 4 6 4 12 31111 6*")</f>
        <v>0</v>
      </c>
      <c r="H206" s="83">
        <f t="shared" si="3"/>
        <v>43300.009999999995</v>
      </c>
      <c r="I206" s="83"/>
      <c r="K206" s="54" t="s">
        <v>15</v>
      </c>
    </row>
    <row r="207" spans="2:11" ht="16.5" x14ac:dyDescent="0.2">
      <c r="B207" s="82" t="s">
        <v>1354</v>
      </c>
      <c r="C207" s="82" t="s">
        <v>1990</v>
      </c>
      <c r="D207" s="83">
        <f>SUMIFS(D208:D1474,K208:K1474,"0",B208:B1474,"1 2 4 6 4 12 31111 6 M59*")-SUMIFS(E208:E1474,K208:K1474,"0",B208:B1474,"1 2 4 6 4 12 31111 6 M59*")</f>
        <v>43300.009999999995</v>
      </c>
      <c r="E207" s="54"/>
      <c r="F207" s="83">
        <f>SUMIFS(F208:F1474,K208:K1474,"0",B208:B1474,"1 2 4 6 4 12 31111 6 M59*")</f>
        <v>0</v>
      </c>
      <c r="G207" s="83">
        <f>SUMIFS(G208:G1474,K208:K1474,"0",B208:B1474,"1 2 4 6 4 12 31111 6 M59*")</f>
        <v>0</v>
      </c>
      <c r="H207" s="83">
        <f t="shared" si="3"/>
        <v>43300.009999999995</v>
      </c>
      <c r="I207" s="83"/>
      <c r="K207" s="54" t="s">
        <v>15</v>
      </c>
    </row>
    <row r="208" spans="2:11" ht="16.5" x14ac:dyDescent="0.2">
      <c r="B208" s="82" t="s">
        <v>1363</v>
      </c>
      <c r="C208" s="82" t="s">
        <v>1364</v>
      </c>
      <c r="D208" s="83">
        <f>SUMIFS(D209:D1474,K209:K1474,"0",B209:B1474,"1 2 4 6 4 12 31111 6 M59 00004*")-SUMIFS(E209:E1474,K209:K1474,"0",B209:B1474,"1 2 4 6 4 12 31111 6 M59 00004*")</f>
        <v>43300.009999999995</v>
      </c>
      <c r="E208" s="54"/>
      <c r="F208" s="83">
        <f>SUMIFS(F209:F1474,K209:K1474,"0",B209:B1474,"1 2 4 6 4 12 31111 6 M59 00004*")</f>
        <v>0</v>
      </c>
      <c r="G208" s="83">
        <f>SUMIFS(G209:G1474,K209:K1474,"0",B209:B1474,"1 2 4 6 4 12 31111 6 M59 00004*")</f>
        <v>0</v>
      </c>
      <c r="H208" s="83">
        <f t="shared" si="3"/>
        <v>43300.009999999995</v>
      </c>
      <c r="I208" s="83"/>
      <c r="K208" s="54" t="s">
        <v>15</v>
      </c>
    </row>
    <row r="209" spans="2:11" ht="16.5" x14ac:dyDescent="0.2">
      <c r="B209" s="82" t="s">
        <v>1365</v>
      </c>
      <c r="C209" s="82" t="s">
        <v>42</v>
      </c>
      <c r="D209" s="83">
        <f>SUMIFS(D210:D1474,K210:K1474,"0",B210:B1474,"1 2 4 6 4 12 31111 6 M59 00004 000001*")-SUMIFS(E210:E1474,K210:K1474,"0",B210:B1474,"1 2 4 6 4 12 31111 6 M59 00004 000001*")</f>
        <v>43300.009999999995</v>
      </c>
      <c r="E209" s="54"/>
      <c r="F209" s="83">
        <f>SUMIFS(F210:F1474,K210:K1474,"0",B210:B1474,"1 2 4 6 4 12 31111 6 M59 00004 000001*")</f>
        <v>0</v>
      </c>
      <c r="G209" s="83">
        <f>SUMIFS(G210:G1474,K210:K1474,"0",B210:B1474,"1 2 4 6 4 12 31111 6 M59 00004 000001*")</f>
        <v>0</v>
      </c>
      <c r="H209" s="83">
        <f t="shared" si="3"/>
        <v>43300.009999999995</v>
      </c>
      <c r="I209" s="83"/>
      <c r="K209" s="54" t="s">
        <v>15</v>
      </c>
    </row>
    <row r="210" spans="2:11" ht="16.5" x14ac:dyDescent="0.2">
      <c r="B210" s="84" t="s">
        <v>1366</v>
      </c>
      <c r="C210" s="84" t="s">
        <v>1359</v>
      </c>
      <c r="D210" s="85">
        <v>17900.009999999998</v>
      </c>
      <c r="E210" s="85"/>
      <c r="F210" s="85">
        <v>0</v>
      </c>
      <c r="G210" s="85">
        <v>0</v>
      </c>
      <c r="H210" s="85">
        <f t="shared" si="3"/>
        <v>17900.009999999998</v>
      </c>
      <c r="I210" s="85"/>
      <c r="K210" s="54" t="s">
        <v>38</v>
      </c>
    </row>
    <row r="211" spans="2:11" ht="16.5" x14ac:dyDescent="0.2">
      <c r="B211" s="84" t="s">
        <v>1367</v>
      </c>
      <c r="C211" s="84" t="s">
        <v>274</v>
      </c>
      <c r="D211" s="85">
        <v>25400</v>
      </c>
      <c r="E211" s="85"/>
      <c r="F211" s="85">
        <v>0</v>
      </c>
      <c r="G211" s="85">
        <v>0</v>
      </c>
      <c r="H211" s="85">
        <f t="shared" si="3"/>
        <v>25400</v>
      </c>
      <c r="I211" s="85"/>
      <c r="K211" s="54" t="s">
        <v>38</v>
      </c>
    </row>
    <row r="212" spans="2:11" ht="24.75" x14ac:dyDescent="0.2">
      <c r="B212" s="82" t="s">
        <v>1446</v>
      </c>
      <c r="C212" s="82" t="s">
        <v>1447</v>
      </c>
      <c r="D212" s="54"/>
      <c r="E212" s="83">
        <f>SUMIFS(E213:E1474,K213:K1474,"0",B213:B1474,"1 2 6*")-SUMIFS(D213:D1474,K213:K1474,"0",B213:B1474,"1 2 6*")</f>
        <v>664016.30000000005</v>
      </c>
      <c r="F212" s="83">
        <f>SUMIFS(F213:F1474,K213:K1474,"0",B213:B1474,"1 2 6*")</f>
        <v>0</v>
      </c>
      <c r="G212" s="83">
        <f>SUMIFS(G213:G1474,K213:K1474,"0",B213:B1474,"1 2 6*")</f>
        <v>0</v>
      </c>
      <c r="H212" s="83"/>
      <c r="I212" s="83">
        <f t="shared" ref="I212:I275" si="4">E212 - F212 + G212</f>
        <v>664016.30000000005</v>
      </c>
      <c r="K212" s="54" t="s">
        <v>15</v>
      </c>
    </row>
    <row r="213" spans="2:11" ht="16.5" x14ac:dyDescent="0.2">
      <c r="B213" s="82" t="s">
        <v>1448</v>
      </c>
      <c r="C213" s="82" t="s">
        <v>1449</v>
      </c>
      <c r="D213" s="54"/>
      <c r="E213" s="83">
        <f>SUMIFS(E214:E1474,K214:K1474,"0",B214:B1474,"1 2 6 3*")-SUMIFS(D214:D1474,K214:K1474,"0",B214:B1474,"1 2 6 3*")</f>
        <v>664016.30000000005</v>
      </c>
      <c r="F213" s="83">
        <f>SUMIFS(F214:F1474,K214:K1474,"0",B214:B1474,"1 2 6 3*")</f>
        <v>0</v>
      </c>
      <c r="G213" s="83">
        <f>SUMIFS(G214:G1474,K214:K1474,"0",B214:B1474,"1 2 6 3*")</f>
        <v>0</v>
      </c>
      <c r="H213" s="83"/>
      <c r="I213" s="83">
        <f t="shared" si="4"/>
        <v>664016.30000000005</v>
      </c>
      <c r="K213" s="54" t="s">
        <v>15</v>
      </c>
    </row>
    <row r="214" spans="2:11" ht="24.75" x14ac:dyDescent="0.2">
      <c r="B214" s="82" t="s">
        <v>1450</v>
      </c>
      <c r="C214" s="82" t="s">
        <v>1451</v>
      </c>
      <c r="D214" s="54"/>
      <c r="E214" s="83">
        <f>SUMIFS(E215:E1474,K215:K1474,"0",B215:B1474,"1 2 6 3 1*")-SUMIFS(D215:D1474,K215:K1474,"0",B215:B1474,"1 2 6 3 1*")</f>
        <v>664016.30000000005</v>
      </c>
      <c r="F214" s="83">
        <f>SUMIFS(F215:F1474,K215:K1474,"0",B215:B1474,"1 2 6 3 1*")</f>
        <v>0</v>
      </c>
      <c r="G214" s="83">
        <f>SUMIFS(G215:G1474,K215:K1474,"0",B215:B1474,"1 2 6 3 1*")</f>
        <v>0</v>
      </c>
      <c r="H214" s="83"/>
      <c r="I214" s="83">
        <f t="shared" si="4"/>
        <v>664016.30000000005</v>
      </c>
      <c r="K214" s="54" t="s">
        <v>15</v>
      </c>
    </row>
    <row r="215" spans="2:11" ht="12.75" x14ac:dyDescent="0.2">
      <c r="B215" s="82" t="s">
        <v>1452</v>
      </c>
      <c r="C215" s="82" t="s">
        <v>26</v>
      </c>
      <c r="D215" s="54"/>
      <c r="E215" s="83">
        <f>SUMIFS(E216:E1474,K216:K1474,"0",B216:B1474,"1 2 6 3 1 12*")-SUMIFS(D216:D1474,K216:K1474,"0",B216:B1474,"1 2 6 3 1 12*")</f>
        <v>664016.30000000005</v>
      </c>
      <c r="F215" s="83">
        <f>SUMIFS(F216:F1474,K216:K1474,"0",B216:B1474,"1 2 6 3 1 12*")</f>
        <v>0</v>
      </c>
      <c r="G215" s="83">
        <f>SUMIFS(G216:G1474,K216:K1474,"0",B216:B1474,"1 2 6 3 1 12*")</f>
        <v>0</v>
      </c>
      <c r="H215" s="83"/>
      <c r="I215" s="83">
        <f t="shared" si="4"/>
        <v>664016.30000000005</v>
      </c>
      <c r="K215" s="54" t="s">
        <v>15</v>
      </c>
    </row>
    <row r="216" spans="2:11" ht="16.5" x14ac:dyDescent="0.2">
      <c r="B216" s="82" t="s">
        <v>1453</v>
      </c>
      <c r="C216" s="82" t="s">
        <v>28</v>
      </c>
      <c r="D216" s="54"/>
      <c r="E216" s="83">
        <f>SUMIFS(E217:E1474,K217:K1474,"0",B217:B1474,"1 2 6 3 1 12 31111*")-SUMIFS(D217:D1474,K217:K1474,"0",B217:B1474,"1 2 6 3 1 12 31111*")</f>
        <v>664016.30000000005</v>
      </c>
      <c r="F216" s="83">
        <f>SUMIFS(F217:F1474,K217:K1474,"0",B217:B1474,"1 2 6 3 1 12 31111*")</f>
        <v>0</v>
      </c>
      <c r="G216" s="83">
        <f>SUMIFS(G217:G1474,K217:K1474,"0",B217:B1474,"1 2 6 3 1 12 31111*")</f>
        <v>0</v>
      </c>
      <c r="H216" s="83"/>
      <c r="I216" s="83">
        <f t="shared" si="4"/>
        <v>664016.30000000005</v>
      </c>
      <c r="K216" s="54" t="s">
        <v>15</v>
      </c>
    </row>
    <row r="217" spans="2:11" ht="12.75" x14ac:dyDescent="0.2">
      <c r="B217" s="82" t="s">
        <v>1454</v>
      </c>
      <c r="C217" s="82" t="s">
        <v>30</v>
      </c>
      <c r="D217" s="54"/>
      <c r="E217" s="83">
        <f>SUMIFS(E218:E1474,K218:K1474,"0",B218:B1474,"1 2 6 3 1 12 31111 6*")-SUMIFS(D218:D1474,K218:K1474,"0",B218:B1474,"1 2 6 3 1 12 31111 6*")</f>
        <v>664016.30000000005</v>
      </c>
      <c r="F217" s="83">
        <f>SUMIFS(F218:F1474,K218:K1474,"0",B218:B1474,"1 2 6 3 1 12 31111 6*")</f>
        <v>0</v>
      </c>
      <c r="G217" s="83">
        <f>SUMIFS(G218:G1474,K218:K1474,"0",B218:B1474,"1 2 6 3 1 12 31111 6*")</f>
        <v>0</v>
      </c>
      <c r="H217" s="83"/>
      <c r="I217" s="83">
        <f t="shared" si="4"/>
        <v>664016.30000000005</v>
      </c>
      <c r="K217" s="54" t="s">
        <v>15</v>
      </c>
    </row>
    <row r="218" spans="2:11" ht="16.5" x14ac:dyDescent="0.2">
      <c r="B218" s="82" t="s">
        <v>1455</v>
      </c>
      <c r="C218" s="82" t="s">
        <v>1990</v>
      </c>
      <c r="D218" s="54"/>
      <c r="E218" s="83">
        <f>SUMIFS(E219:E1474,K219:K1474,"0",B219:B1474,"1 2 6 3 1 12 31111 6 M59*")-SUMIFS(D219:D1474,K219:K1474,"0",B219:B1474,"1 2 6 3 1 12 31111 6 M59*")</f>
        <v>664016.30000000005</v>
      </c>
      <c r="F218" s="83">
        <f>SUMIFS(F219:F1474,K219:K1474,"0",B219:B1474,"1 2 6 3 1 12 31111 6 M59*")</f>
        <v>0</v>
      </c>
      <c r="G218" s="83">
        <f>SUMIFS(G219:G1474,K219:K1474,"0",B219:B1474,"1 2 6 3 1 12 31111 6 M59*")</f>
        <v>0</v>
      </c>
      <c r="H218" s="83"/>
      <c r="I218" s="83">
        <f t="shared" si="4"/>
        <v>664016.30000000005</v>
      </c>
      <c r="K218" s="54" t="s">
        <v>15</v>
      </c>
    </row>
    <row r="219" spans="2:11" ht="16.5" x14ac:dyDescent="0.2">
      <c r="B219" s="82" t="s">
        <v>1489</v>
      </c>
      <c r="C219" s="82" t="s">
        <v>1364</v>
      </c>
      <c r="D219" s="54"/>
      <c r="E219" s="83">
        <f>SUMIFS(E220:E1474,K220:K1474,"0",B220:B1474,"1 2 6 3 1 12 31111 6 M59 00004*")-SUMIFS(D220:D1474,K220:K1474,"0",B220:B1474,"1 2 6 3 1 12 31111 6 M59 00004*")</f>
        <v>664016.30000000005</v>
      </c>
      <c r="F219" s="83">
        <f>SUMIFS(F220:F1474,K220:K1474,"0",B220:B1474,"1 2 6 3 1 12 31111 6 M59 00004*")</f>
        <v>0</v>
      </c>
      <c r="G219" s="83">
        <f>SUMIFS(G220:G1474,K220:K1474,"0",B220:B1474,"1 2 6 3 1 12 31111 6 M59 00004*")</f>
        <v>0</v>
      </c>
      <c r="H219" s="83"/>
      <c r="I219" s="83">
        <f t="shared" si="4"/>
        <v>664016.30000000005</v>
      </c>
      <c r="K219" s="54" t="s">
        <v>15</v>
      </c>
    </row>
    <row r="220" spans="2:11" ht="24.75" x14ac:dyDescent="0.2">
      <c r="B220" s="82" t="s">
        <v>1490</v>
      </c>
      <c r="C220" s="82" t="s">
        <v>1451</v>
      </c>
      <c r="D220" s="54"/>
      <c r="E220" s="83">
        <f>SUMIFS(E221:E1474,K221:K1474,"0",B221:B1474,"1 2 6 3 1 12 31111 6 M59 00004 000001*")-SUMIFS(D221:D1474,K221:K1474,"0",B221:B1474,"1 2 6 3 1 12 31111 6 M59 00004 000001*")</f>
        <v>664016.30000000005</v>
      </c>
      <c r="F220" s="83">
        <f>SUMIFS(F221:F1474,K221:K1474,"0",B221:B1474,"1 2 6 3 1 12 31111 6 M59 00004 000001*")</f>
        <v>0</v>
      </c>
      <c r="G220" s="83">
        <f>SUMIFS(G221:G1474,K221:K1474,"0",B221:B1474,"1 2 6 3 1 12 31111 6 M59 00004 000001*")</f>
        <v>0</v>
      </c>
      <c r="H220" s="83"/>
      <c r="I220" s="83">
        <f t="shared" si="4"/>
        <v>664016.30000000005</v>
      </c>
      <c r="K220" s="54" t="s">
        <v>15</v>
      </c>
    </row>
    <row r="221" spans="2:11" ht="16.5" x14ac:dyDescent="0.2">
      <c r="B221" s="84" t="s">
        <v>1491</v>
      </c>
      <c r="C221" s="84" t="s">
        <v>441</v>
      </c>
      <c r="D221" s="85"/>
      <c r="E221" s="85">
        <v>-357950</v>
      </c>
      <c r="F221" s="85">
        <v>0</v>
      </c>
      <c r="G221" s="85">
        <v>0</v>
      </c>
      <c r="H221" s="85"/>
      <c r="I221" s="85">
        <f t="shared" si="4"/>
        <v>-357950</v>
      </c>
      <c r="K221" s="54" t="s">
        <v>38</v>
      </c>
    </row>
    <row r="222" spans="2:11" ht="16.5" x14ac:dyDescent="0.2">
      <c r="B222" s="84" t="s">
        <v>1492</v>
      </c>
      <c r="C222" s="84" t="s">
        <v>1012</v>
      </c>
      <c r="D222" s="85"/>
      <c r="E222" s="85">
        <v>2828.2</v>
      </c>
      <c r="F222" s="85">
        <v>0</v>
      </c>
      <c r="G222" s="85">
        <v>0</v>
      </c>
      <c r="H222" s="85"/>
      <c r="I222" s="85">
        <f t="shared" si="4"/>
        <v>2828.2</v>
      </c>
      <c r="K222" s="54" t="s">
        <v>38</v>
      </c>
    </row>
    <row r="223" spans="2:11" ht="16.5" x14ac:dyDescent="0.2">
      <c r="B223" s="84" t="s">
        <v>1493</v>
      </c>
      <c r="C223" s="84" t="s">
        <v>1037</v>
      </c>
      <c r="D223" s="85"/>
      <c r="E223" s="85">
        <v>5167.8</v>
      </c>
      <c r="F223" s="85">
        <v>0</v>
      </c>
      <c r="G223" s="85">
        <v>0</v>
      </c>
      <c r="H223" s="85"/>
      <c r="I223" s="85">
        <f t="shared" si="4"/>
        <v>5167.8</v>
      </c>
      <c r="K223" s="54" t="s">
        <v>38</v>
      </c>
    </row>
    <row r="224" spans="2:11" ht="16.5" x14ac:dyDescent="0.2">
      <c r="B224" s="84" t="s">
        <v>1494</v>
      </c>
      <c r="C224" s="84" t="s">
        <v>1236</v>
      </c>
      <c r="D224" s="85"/>
      <c r="E224" s="85">
        <v>502500</v>
      </c>
      <c r="F224" s="85">
        <v>0</v>
      </c>
      <c r="G224" s="85">
        <v>0</v>
      </c>
      <c r="H224" s="85"/>
      <c r="I224" s="85">
        <f t="shared" si="4"/>
        <v>502500</v>
      </c>
      <c r="K224" s="54" t="s">
        <v>38</v>
      </c>
    </row>
    <row r="225" spans="2:11" ht="16.5" x14ac:dyDescent="0.2">
      <c r="B225" s="84" t="s">
        <v>1495</v>
      </c>
      <c r="C225" s="84" t="s">
        <v>274</v>
      </c>
      <c r="D225" s="85"/>
      <c r="E225" s="85">
        <v>511470.3</v>
      </c>
      <c r="F225" s="85">
        <v>0</v>
      </c>
      <c r="G225" s="85">
        <v>0</v>
      </c>
      <c r="H225" s="85"/>
      <c r="I225" s="85">
        <f t="shared" si="4"/>
        <v>511470.3</v>
      </c>
      <c r="K225" s="54" t="s">
        <v>38</v>
      </c>
    </row>
    <row r="226" spans="2:11" ht="12.75" x14ac:dyDescent="0.2">
      <c r="B226" s="82" t="s">
        <v>1496</v>
      </c>
      <c r="C226" s="82" t="s">
        <v>1497</v>
      </c>
      <c r="D226" s="54"/>
      <c r="E226" s="83">
        <f>SUMIFS(E227:E1474,K227:K1474,"0",B227:B1474,"2*")-SUMIFS(D227:D1474,K227:K1474,"0",B227:B1474,"2*")</f>
        <v>3672895.44</v>
      </c>
      <c r="F226" s="83">
        <f>SUMIFS(F227:F1474,K227:K1474,"0",B227:B1474,"2*")</f>
        <v>2217490.04</v>
      </c>
      <c r="G226" s="83">
        <f>SUMIFS(G227:G1474,K227:K1474,"0",B227:B1474,"2*")</f>
        <v>2217490.04</v>
      </c>
      <c r="H226" s="83"/>
      <c r="I226" s="83">
        <f t="shared" si="4"/>
        <v>3672895.44</v>
      </c>
      <c r="K226" s="54" t="s">
        <v>15</v>
      </c>
    </row>
    <row r="227" spans="2:11" ht="12.75" x14ac:dyDescent="0.2">
      <c r="B227" s="82" t="s">
        <v>1498</v>
      </c>
      <c r="C227" s="82" t="s">
        <v>1499</v>
      </c>
      <c r="D227" s="54"/>
      <c r="E227" s="83">
        <f>SUMIFS(E228:E1474,K228:K1474,"0",B228:B1474,"2 1*")-SUMIFS(D228:D1474,K228:K1474,"0",B228:B1474,"2 1*")</f>
        <v>3672895.44</v>
      </c>
      <c r="F227" s="83">
        <f>SUMIFS(F228:F1474,K228:K1474,"0",B228:B1474,"2 1*")</f>
        <v>2217490.04</v>
      </c>
      <c r="G227" s="83">
        <f>SUMIFS(G228:G1474,K228:K1474,"0",B228:B1474,"2 1*")</f>
        <v>2217490.04</v>
      </c>
      <c r="H227" s="83"/>
      <c r="I227" s="83">
        <f t="shared" si="4"/>
        <v>3672895.44</v>
      </c>
      <c r="K227" s="54" t="s">
        <v>15</v>
      </c>
    </row>
    <row r="228" spans="2:11" ht="16.5" x14ac:dyDescent="0.2">
      <c r="B228" s="82" t="s">
        <v>1500</v>
      </c>
      <c r="C228" s="82" t="s">
        <v>1501</v>
      </c>
      <c r="D228" s="54"/>
      <c r="E228" s="83">
        <f>SUMIFS(E229:E1474,K229:K1474,"0",B229:B1474,"2 1 1*")-SUMIFS(D229:D1474,K229:K1474,"0",B229:B1474,"2 1 1*")</f>
        <v>2893102.88</v>
      </c>
      <c r="F228" s="83">
        <f>SUMIFS(F229:F1474,K229:K1474,"0",B229:B1474,"2 1 1*")</f>
        <v>2217490.04</v>
      </c>
      <c r="G228" s="83">
        <f>SUMIFS(G229:G1474,K229:K1474,"0",B229:B1474,"2 1 1*")</f>
        <v>2217490.04</v>
      </c>
      <c r="H228" s="83"/>
      <c r="I228" s="83">
        <f t="shared" si="4"/>
        <v>2893102.88</v>
      </c>
      <c r="K228" s="54" t="s">
        <v>15</v>
      </c>
    </row>
    <row r="229" spans="2:11" ht="16.5" x14ac:dyDescent="0.2">
      <c r="B229" s="82" t="s">
        <v>1522</v>
      </c>
      <c r="C229" s="82" t="s">
        <v>1523</v>
      </c>
      <c r="D229" s="54"/>
      <c r="E229" s="83">
        <f>SUMIFS(E230:E1474,K230:K1474,"0",B230:B1474,"2 1 1 2*")-SUMIFS(D230:D1474,K230:K1474,"0",B230:B1474,"2 1 1 2*")</f>
        <v>1094401.6999999997</v>
      </c>
      <c r="F229" s="83">
        <f>SUMIFS(F230:F1474,K230:K1474,"0",B230:B1474,"2 1 1 2*")</f>
        <v>821927.04</v>
      </c>
      <c r="G229" s="83">
        <f>SUMIFS(G230:G1474,K230:K1474,"0",B230:B1474,"2 1 1 2*")</f>
        <v>821927.04</v>
      </c>
      <c r="H229" s="83"/>
      <c r="I229" s="83">
        <f t="shared" si="4"/>
        <v>1094401.6999999997</v>
      </c>
      <c r="K229" s="54" t="s">
        <v>15</v>
      </c>
    </row>
    <row r="230" spans="2:11" ht="24.75" x14ac:dyDescent="0.2">
      <c r="B230" s="82" t="s">
        <v>1524</v>
      </c>
      <c r="C230" s="82" t="s">
        <v>1525</v>
      </c>
      <c r="D230" s="54"/>
      <c r="E230" s="83">
        <f>SUMIFS(E231:E1474,K231:K1474,"0",B231:B1474,"2 1 1 2 1*")-SUMIFS(D231:D1474,K231:K1474,"0",B231:B1474,"2 1 1 2 1*")</f>
        <v>1094401.6999999997</v>
      </c>
      <c r="F230" s="83">
        <f>SUMIFS(F231:F1474,K231:K1474,"0",B231:B1474,"2 1 1 2 1*")</f>
        <v>821927.04</v>
      </c>
      <c r="G230" s="83">
        <f>SUMIFS(G231:G1474,K231:K1474,"0",B231:B1474,"2 1 1 2 1*")</f>
        <v>821927.04</v>
      </c>
      <c r="H230" s="83"/>
      <c r="I230" s="83">
        <f t="shared" si="4"/>
        <v>1094401.6999999997</v>
      </c>
      <c r="K230" s="54" t="s">
        <v>15</v>
      </c>
    </row>
    <row r="231" spans="2:11" ht="12.75" x14ac:dyDescent="0.2">
      <c r="B231" s="82" t="s">
        <v>1526</v>
      </c>
      <c r="C231" s="82" t="s">
        <v>26</v>
      </c>
      <c r="D231" s="54"/>
      <c r="E231" s="83">
        <f>SUMIFS(E232:E1474,K232:K1474,"0",B232:B1474,"2 1 1 2 1 12*")-SUMIFS(D232:D1474,K232:K1474,"0",B232:B1474,"2 1 1 2 1 12*")</f>
        <v>1094401.6999999997</v>
      </c>
      <c r="F231" s="83">
        <f>SUMIFS(F232:F1474,K232:K1474,"0",B232:B1474,"2 1 1 2 1 12*")</f>
        <v>821927.04</v>
      </c>
      <c r="G231" s="83">
        <f>SUMIFS(G232:G1474,K232:K1474,"0",B232:B1474,"2 1 1 2 1 12*")</f>
        <v>821927.04</v>
      </c>
      <c r="H231" s="83"/>
      <c r="I231" s="83">
        <f t="shared" si="4"/>
        <v>1094401.6999999997</v>
      </c>
      <c r="K231" s="54" t="s">
        <v>15</v>
      </c>
    </row>
    <row r="232" spans="2:11" ht="16.5" x14ac:dyDescent="0.2">
      <c r="B232" s="82" t="s">
        <v>1527</v>
      </c>
      <c r="C232" s="82" t="s">
        <v>28</v>
      </c>
      <c r="D232" s="54"/>
      <c r="E232" s="83">
        <f>SUMIFS(E233:E1474,K233:K1474,"0",B233:B1474,"2 1 1 2 1 12 31111*")-SUMIFS(D233:D1474,K233:K1474,"0",B233:B1474,"2 1 1 2 1 12 31111*")</f>
        <v>1094401.6999999997</v>
      </c>
      <c r="F232" s="83">
        <f>SUMIFS(F233:F1474,K233:K1474,"0",B233:B1474,"2 1 1 2 1 12 31111*")</f>
        <v>821927.04</v>
      </c>
      <c r="G232" s="83">
        <f>SUMIFS(G233:G1474,K233:K1474,"0",B233:B1474,"2 1 1 2 1 12 31111*")</f>
        <v>821927.04</v>
      </c>
      <c r="H232" s="83"/>
      <c r="I232" s="83">
        <f t="shared" si="4"/>
        <v>1094401.6999999997</v>
      </c>
      <c r="K232" s="54" t="s">
        <v>15</v>
      </c>
    </row>
    <row r="233" spans="2:11" ht="12.75" x14ac:dyDescent="0.2">
      <c r="B233" s="82" t="s">
        <v>1528</v>
      </c>
      <c r="C233" s="82" t="s">
        <v>30</v>
      </c>
      <c r="D233" s="54"/>
      <c r="E233" s="83">
        <f>SUMIFS(E234:E1474,K234:K1474,"0",B234:B1474,"2 1 1 2 1 12 31111 6*")-SUMIFS(D234:D1474,K234:K1474,"0",B234:B1474,"2 1 1 2 1 12 31111 6*")</f>
        <v>1094401.6999999997</v>
      </c>
      <c r="F233" s="83">
        <f>SUMIFS(F234:F1474,K234:K1474,"0",B234:B1474,"2 1 1 2 1 12 31111 6*")</f>
        <v>821927.04</v>
      </c>
      <c r="G233" s="83">
        <f>SUMIFS(G234:G1474,K234:K1474,"0",B234:B1474,"2 1 1 2 1 12 31111 6*")</f>
        <v>821927.04</v>
      </c>
      <c r="H233" s="83"/>
      <c r="I233" s="83">
        <f t="shared" si="4"/>
        <v>1094401.6999999997</v>
      </c>
      <c r="K233" s="54" t="s">
        <v>15</v>
      </c>
    </row>
    <row r="234" spans="2:11" ht="12.75" x14ac:dyDescent="0.2">
      <c r="B234" s="82" t="s">
        <v>1529</v>
      </c>
      <c r="C234" s="82" t="s">
        <v>1990</v>
      </c>
      <c r="D234" s="54"/>
      <c r="E234" s="83">
        <f>SUMIFS(E235:E1474,K235:K1474,"0",B235:B1474,"2 1 1 2 1 12 31111 6 M59*")-SUMIFS(D235:D1474,K235:K1474,"0",B235:B1474,"2 1 1 2 1 12 31111 6 M59*")</f>
        <v>1094401.6999999997</v>
      </c>
      <c r="F234" s="83">
        <f>SUMIFS(F235:F1474,K235:K1474,"0",B235:B1474,"2 1 1 2 1 12 31111 6 M59*")</f>
        <v>821927.04</v>
      </c>
      <c r="G234" s="83">
        <f>SUMIFS(G235:G1474,K235:K1474,"0",B235:B1474,"2 1 1 2 1 12 31111 6 M59*")</f>
        <v>821927.04</v>
      </c>
      <c r="H234" s="83"/>
      <c r="I234" s="83">
        <f t="shared" si="4"/>
        <v>1094401.6999999997</v>
      </c>
      <c r="K234" s="54" t="s">
        <v>15</v>
      </c>
    </row>
    <row r="235" spans="2:11" ht="16.5" x14ac:dyDescent="0.2">
      <c r="B235" s="82" t="s">
        <v>1669</v>
      </c>
      <c r="C235" s="82" t="s">
        <v>1364</v>
      </c>
      <c r="D235" s="54"/>
      <c r="E235" s="83">
        <f>SUMIFS(E236:E1474,K236:K1474,"0",B236:B1474,"2 1 1 2 1 12 31111 6 M59 00004*")-SUMIFS(D236:D1474,K236:K1474,"0",B236:B1474,"2 1 1 2 1 12 31111 6 M59 00004*")</f>
        <v>1094401.6999999997</v>
      </c>
      <c r="F235" s="83">
        <f>SUMIFS(F236:F1474,K236:K1474,"0",B236:B1474,"2 1 1 2 1 12 31111 6 M59 00004*")</f>
        <v>821927.04</v>
      </c>
      <c r="G235" s="83">
        <f>SUMIFS(G236:G1474,K236:K1474,"0",B236:B1474,"2 1 1 2 1 12 31111 6 M59 00004*")</f>
        <v>821927.04</v>
      </c>
      <c r="H235" s="83"/>
      <c r="I235" s="83">
        <f t="shared" si="4"/>
        <v>1094401.6999999997</v>
      </c>
      <c r="K235" s="54" t="s">
        <v>15</v>
      </c>
    </row>
    <row r="236" spans="2:11" ht="16.5" x14ac:dyDescent="0.2">
      <c r="B236" s="82" t="s">
        <v>1670</v>
      </c>
      <c r="C236" s="82" t="s">
        <v>42</v>
      </c>
      <c r="D236" s="54"/>
      <c r="E236" s="83">
        <f>SUMIFS(E237:E1474,K237:K1474,"0",B237:B1474,"2 1 1 2 1 12 31111 6 M59 00004 000001*")-SUMIFS(D237:D1474,K237:K1474,"0",B237:B1474,"2 1 1 2 1 12 31111 6 M59 00004 000001*")</f>
        <v>1094401.6999999997</v>
      </c>
      <c r="F236" s="83">
        <f>SUMIFS(F237:F1474,K237:K1474,"0",B237:B1474,"2 1 1 2 1 12 31111 6 M59 00004 000001*")</f>
        <v>821927.04</v>
      </c>
      <c r="G236" s="83">
        <f>SUMIFS(G237:G1474,K237:K1474,"0",B237:B1474,"2 1 1 2 1 12 31111 6 M59 00004 000001*")</f>
        <v>821927.04</v>
      </c>
      <c r="H236" s="83"/>
      <c r="I236" s="83">
        <f t="shared" si="4"/>
        <v>1094401.6999999997</v>
      </c>
      <c r="K236" s="54" t="s">
        <v>15</v>
      </c>
    </row>
    <row r="237" spans="2:11" ht="16.5" x14ac:dyDescent="0.2">
      <c r="B237" s="82" t="s">
        <v>1671</v>
      </c>
      <c r="C237" s="82" t="s">
        <v>42</v>
      </c>
      <c r="D237" s="54"/>
      <c r="E237" s="83">
        <f>SUMIFS(E238:E1474,K238:K1474,"0",B238:B1474,"2 1 1 2 1 12 31111 6 M59 00004 000001 00001*")-SUMIFS(D238:D1474,K238:K1474,"0",B238:B1474,"2 1 1 2 1 12 31111 6 M59 00004 000001 00001*")</f>
        <v>1094401.6999999997</v>
      </c>
      <c r="F237" s="83">
        <f>SUMIFS(F238:F1474,K238:K1474,"0",B238:B1474,"2 1 1 2 1 12 31111 6 M59 00004 000001 00001*")</f>
        <v>821927.04</v>
      </c>
      <c r="G237" s="83">
        <f>SUMIFS(G238:G1474,K238:K1474,"0",B238:B1474,"2 1 1 2 1 12 31111 6 M59 00004 000001 00001*")</f>
        <v>821927.04</v>
      </c>
      <c r="H237" s="83"/>
      <c r="I237" s="83">
        <f t="shared" si="4"/>
        <v>1094401.6999999997</v>
      </c>
      <c r="K237" s="54" t="s">
        <v>15</v>
      </c>
    </row>
    <row r="238" spans="2:11" ht="16.5" x14ac:dyDescent="0.2">
      <c r="B238" s="84" t="s">
        <v>1672</v>
      </c>
      <c r="C238" s="84" t="s">
        <v>1532</v>
      </c>
      <c r="D238" s="85"/>
      <c r="E238" s="85">
        <v>0</v>
      </c>
      <c r="F238" s="85">
        <v>115922.44</v>
      </c>
      <c r="G238" s="85">
        <v>115922.44</v>
      </c>
      <c r="H238" s="85"/>
      <c r="I238" s="85">
        <f t="shared" si="4"/>
        <v>0</v>
      </c>
      <c r="K238" s="54" t="s">
        <v>38</v>
      </c>
    </row>
    <row r="239" spans="2:11" ht="16.5" x14ac:dyDescent="0.2">
      <c r="B239" s="84" t="s">
        <v>1673</v>
      </c>
      <c r="C239" s="84" t="s">
        <v>1653</v>
      </c>
      <c r="D239" s="85"/>
      <c r="E239" s="85">
        <v>153.88999999999999</v>
      </c>
      <c r="F239" s="85">
        <v>0</v>
      </c>
      <c r="G239" s="85">
        <v>0</v>
      </c>
      <c r="H239" s="85"/>
      <c r="I239" s="85">
        <f t="shared" si="4"/>
        <v>153.88999999999999</v>
      </c>
      <c r="K239" s="54" t="s">
        <v>38</v>
      </c>
    </row>
    <row r="240" spans="2:11" ht="24.75" x14ac:dyDescent="0.2">
      <c r="B240" s="84" t="s">
        <v>1674</v>
      </c>
      <c r="C240" s="84" t="s">
        <v>1675</v>
      </c>
      <c r="D240" s="85"/>
      <c r="E240" s="85">
        <v>1078971.26</v>
      </c>
      <c r="F240" s="85">
        <v>0</v>
      </c>
      <c r="G240" s="85">
        <v>0</v>
      </c>
      <c r="H240" s="85"/>
      <c r="I240" s="85">
        <f t="shared" si="4"/>
        <v>1078971.26</v>
      </c>
      <c r="K240" s="54" t="s">
        <v>38</v>
      </c>
    </row>
    <row r="241" spans="2:11" ht="16.5" x14ac:dyDescent="0.2">
      <c r="B241" s="84" t="s">
        <v>1676</v>
      </c>
      <c r="C241" s="84" t="s">
        <v>1677</v>
      </c>
      <c r="D241" s="85"/>
      <c r="E241" s="85">
        <v>693</v>
      </c>
      <c r="F241" s="85">
        <v>0</v>
      </c>
      <c r="G241" s="85">
        <v>0</v>
      </c>
      <c r="H241" s="85"/>
      <c r="I241" s="85">
        <f t="shared" si="4"/>
        <v>693</v>
      </c>
      <c r="K241" s="54" t="s">
        <v>38</v>
      </c>
    </row>
    <row r="242" spans="2:11" ht="16.5" x14ac:dyDescent="0.2">
      <c r="B242" s="84" t="s">
        <v>1678</v>
      </c>
      <c r="C242" s="84" t="s">
        <v>1679</v>
      </c>
      <c r="D242" s="85"/>
      <c r="E242" s="85">
        <v>318.95999999999998</v>
      </c>
      <c r="F242" s="85">
        <v>0</v>
      </c>
      <c r="G242" s="85">
        <v>0</v>
      </c>
      <c r="H242" s="85"/>
      <c r="I242" s="85">
        <f t="shared" si="4"/>
        <v>318.95999999999998</v>
      </c>
      <c r="K242" s="54" t="s">
        <v>38</v>
      </c>
    </row>
    <row r="243" spans="2:11" ht="16.5" x14ac:dyDescent="0.2">
      <c r="B243" s="84" t="s">
        <v>1680</v>
      </c>
      <c r="C243" s="84" t="s">
        <v>1681</v>
      </c>
      <c r="D243" s="85"/>
      <c r="E243" s="85">
        <v>173.01</v>
      </c>
      <c r="F243" s="85">
        <v>0</v>
      </c>
      <c r="G243" s="85">
        <v>0</v>
      </c>
      <c r="H243" s="85"/>
      <c r="I243" s="85">
        <f t="shared" si="4"/>
        <v>173.01</v>
      </c>
      <c r="K243" s="54" t="s">
        <v>38</v>
      </c>
    </row>
    <row r="244" spans="2:11" ht="16.5" x14ac:dyDescent="0.2">
      <c r="B244" s="84" t="s">
        <v>1682</v>
      </c>
      <c r="C244" s="84" t="s">
        <v>1683</v>
      </c>
      <c r="D244" s="85"/>
      <c r="E244" s="85">
        <v>337.48</v>
      </c>
      <c r="F244" s="85">
        <v>0</v>
      </c>
      <c r="G244" s="85">
        <v>0</v>
      </c>
      <c r="H244" s="85"/>
      <c r="I244" s="85">
        <f t="shared" si="4"/>
        <v>337.48</v>
      </c>
      <c r="K244" s="54" t="s">
        <v>38</v>
      </c>
    </row>
    <row r="245" spans="2:11" ht="16.5" x14ac:dyDescent="0.2">
      <c r="B245" s="84" t="s">
        <v>1684</v>
      </c>
      <c r="C245" s="84" t="s">
        <v>1685</v>
      </c>
      <c r="D245" s="85"/>
      <c r="E245" s="85">
        <v>64.66</v>
      </c>
      <c r="F245" s="85">
        <v>0</v>
      </c>
      <c r="G245" s="85">
        <v>0</v>
      </c>
      <c r="H245" s="85"/>
      <c r="I245" s="85">
        <f t="shared" si="4"/>
        <v>64.66</v>
      </c>
      <c r="K245" s="54" t="s">
        <v>38</v>
      </c>
    </row>
    <row r="246" spans="2:11" ht="16.5" x14ac:dyDescent="0.2">
      <c r="B246" s="84" t="s">
        <v>1686</v>
      </c>
      <c r="C246" s="84" t="s">
        <v>1687</v>
      </c>
      <c r="D246" s="85"/>
      <c r="E246" s="85">
        <v>560.34</v>
      </c>
      <c r="F246" s="85">
        <v>0</v>
      </c>
      <c r="G246" s="85">
        <v>0</v>
      </c>
      <c r="H246" s="85"/>
      <c r="I246" s="85">
        <f t="shared" si="4"/>
        <v>560.34</v>
      </c>
      <c r="K246" s="54" t="s">
        <v>38</v>
      </c>
    </row>
    <row r="247" spans="2:11" ht="16.5" x14ac:dyDescent="0.2">
      <c r="B247" s="84" t="s">
        <v>1688</v>
      </c>
      <c r="C247" s="84" t="s">
        <v>1689</v>
      </c>
      <c r="D247" s="85"/>
      <c r="E247" s="85">
        <v>4000</v>
      </c>
      <c r="F247" s="85">
        <v>0</v>
      </c>
      <c r="G247" s="85">
        <v>0</v>
      </c>
      <c r="H247" s="85"/>
      <c r="I247" s="85">
        <f t="shared" si="4"/>
        <v>4000</v>
      </c>
      <c r="K247" s="54" t="s">
        <v>38</v>
      </c>
    </row>
    <row r="248" spans="2:11" ht="16.5" x14ac:dyDescent="0.2">
      <c r="B248" s="84" t="s">
        <v>1690</v>
      </c>
      <c r="C248" s="84" t="s">
        <v>1691</v>
      </c>
      <c r="D248" s="85"/>
      <c r="E248" s="85">
        <v>8652.3799999999992</v>
      </c>
      <c r="F248" s="85">
        <v>0</v>
      </c>
      <c r="G248" s="85">
        <v>0</v>
      </c>
      <c r="H248" s="85"/>
      <c r="I248" s="85">
        <f t="shared" si="4"/>
        <v>8652.3799999999992</v>
      </c>
      <c r="K248" s="54" t="s">
        <v>38</v>
      </c>
    </row>
    <row r="249" spans="2:11" ht="16.5" x14ac:dyDescent="0.2">
      <c r="B249" s="84" t="s">
        <v>1692</v>
      </c>
      <c r="C249" s="84" t="s">
        <v>1693</v>
      </c>
      <c r="D249" s="85"/>
      <c r="E249" s="85">
        <v>476.72</v>
      </c>
      <c r="F249" s="85">
        <v>0</v>
      </c>
      <c r="G249" s="85">
        <v>0</v>
      </c>
      <c r="H249" s="85"/>
      <c r="I249" s="85">
        <f t="shared" si="4"/>
        <v>476.72</v>
      </c>
      <c r="K249" s="54" t="s">
        <v>38</v>
      </c>
    </row>
    <row r="250" spans="2:11" ht="24.75" x14ac:dyDescent="0.2">
      <c r="B250" s="84" t="s">
        <v>1694</v>
      </c>
      <c r="C250" s="84" t="s">
        <v>1695</v>
      </c>
      <c r="D250" s="85"/>
      <c r="E250" s="85">
        <v>0</v>
      </c>
      <c r="F250" s="85">
        <v>19.72</v>
      </c>
      <c r="G250" s="85">
        <v>19.72</v>
      </c>
      <c r="H250" s="85"/>
      <c r="I250" s="85">
        <f t="shared" si="4"/>
        <v>0</v>
      </c>
      <c r="K250" s="54" t="s">
        <v>38</v>
      </c>
    </row>
    <row r="251" spans="2:11" ht="24.75" x14ac:dyDescent="0.2">
      <c r="B251" s="84" t="s">
        <v>1696</v>
      </c>
      <c r="C251" s="84" t="s">
        <v>375</v>
      </c>
      <c r="D251" s="85"/>
      <c r="E251" s="85">
        <v>0</v>
      </c>
      <c r="F251" s="85">
        <v>3800</v>
      </c>
      <c r="G251" s="85">
        <v>3800</v>
      </c>
      <c r="H251" s="85"/>
      <c r="I251" s="85">
        <f t="shared" si="4"/>
        <v>0</v>
      </c>
      <c r="K251" s="54" t="s">
        <v>38</v>
      </c>
    </row>
    <row r="252" spans="2:11" ht="16.5" x14ac:dyDescent="0.2">
      <c r="B252" s="84" t="s">
        <v>1697</v>
      </c>
      <c r="C252" s="84" t="s">
        <v>1698</v>
      </c>
      <c r="D252" s="85"/>
      <c r="E252" s="85">
        <v>0</v>
      </c>
      <c r="F252" s="85">
        <v>30298.99</v>
      </c>
      <c r="G252" s="85">
        <v>30298.99</v>
      </c>
      <c r="H252" s="85"/>
      <c r="I252" s="85">
        <f t="shared" si="4"/>
        <v>0</v>
      </c>
      <c r="K252" s="54" t="s">
        <v>38</v>
      </c>
    </row>
    <row r="253" spans="2:11" ht="16.5" x14ac:dyDescent="0.2">
      <c r="B253" s="84" t="s">
        <v>1703</v>
      </c>
      <c r="C253" s="84" t="s">
        <v>1576</v>
      </c>
      <c r="D253" s="85"/>
      <c r="E253" s="85">
        <v>0</v>
      </c>
      <c r="F253" s="85">
        <v>37056.370000000003</v>
      </c>
      <c r="G253" s="85">
        <v>37056.370000000003</v>
      </c>
      <c r="H253" s="85"/>
      <c r="I253" s="85">
        <f t="shared" si="4"/>
        <v>0</v>
      </c>
      <c r="K253" s="54" t="s">
        <v>38</v>
      </c>
    </row>
    <row r="254" spans="2:11" ht="16.5" x14ac:dyDescent="0.2">
      <c r="B254" s="84" t="s">
        <v>1704</v>
      </c>
      <c r="C254" s="84" t="s">
        <v>1705</v>
      </c>
      <c r="D254" s="85"/>
      <c r="E254" s="85">
        <v>0</v>
      </c>
      <c r="F254" s="85">
        <v>20998.78</v>
      </c>
      <c r="G254" s="85">
        <v>20998.78</v>
      </c>
      <c r="H254" s="85"/>
      <c r="I254" s="85">
        <f t="shared" si="4"/>
        <v>0</v>
      </c>
      <c r="K254" s="54" t="s">
        <v>38</v>
      </c>
    </row>
    <row r="255" spans="2:11" ht="16.5" x14ac:dyDescent="0.2">
      <c r="B255" s="84" t="s">
        <v>1706</v>
      </c>
      <c r="C255" s="84" t="s">
        <v>1543</v>
      </c>
      <c r="D255" s="85"/>
      <c r="E255" s="85">
        <v>0</v>
      </c>
      <c r="F255" s="85">
        <v>48898.32</v>
      </c>
      <c r="G255" s="85">
        <v>48898.32</v>
      </c>
      <c r="H255" s="85"/>
      <c r="I255" s="85">
        <f t="shared" si="4"/>
        <v>0</v>
      </c>
      <c r="K255" s="54" t="s">
        <v>38</v>
      </c>
    </row>
    <row r="256" spans="2:11" ht="16.5" x14ac:dyDescent="0.2">
      <c r="B256" s="84" t="s">
        <v>1707</v>
      </c>
      <c r="C256" s="84" t="s">
        <v>1708</v>
      </c>
      <c r="D256" s="85"/>
      <c r="E256" s="85">
        <v>0</v>
      </c>
      <c r="F256" s="85">
        <v>5000</v>
      </c>
      <c r="G256" s="85">
        <v>5000</v>
      </c>
      <c r="H256" s="85"/>
      <c r="I256" s="85">
        <f t="shared" si="4"/>
        <v>0</v>
      </c>
      <c r="K256" s="54" t="s">
        <v>38</v>
      </c>
    </row>
    <row r="257" spans="2:11" ht="16.5" x14ac:dyDescent="0.2">
      <c r="B257" s="84" t="s">
        <v>1709</v>
      </c>
      <c r="C257" s="84" t="s">
        <v>1710</v>
      </c>
      <c r="D257" s="85"/>
      <c r="E257" s="85">
        <v>0</v>
      </c>
      <c r="F257" s="85">
        <v>15200</v>
      </c>
      <c r="G257" s="85">
        <v>15200</v>
      </c>
      <c r="H257" s="85"/>
      <c r="I257" s="85">
        <f t="shared" si="4"/>
        <v>0</v>
      </c>
      <c r="K257" s="54" t="s">
        <v>38</v>
      </c>
    </row>
    <row r="258" spans="2:11" ht="16.5" x14ac:dyDescent="0.2">
      <c r="B258" s="84" t="s">
        <v>1711</v>
      </c>
      <c r="C258" s="84" t="s">
        <v>1638</v>
      </c>
      <c r="D258" s="85"/>
      <c r="E258" s="85">
        <v>0</v>
      </c>
      <c r="F258" s="85">
        <v>204097.01</v>
      </c>
      <c r="G258" s="85">
        <v>204097.01</v>
      </c>
      <c r="H258" s="85"/>
      <c r="I258" s="85">
        <f t="shared" si="4"/>
        <v>0</v>
      </c>
      <c r="K258" s="54" t="s">
        <v>38</v>
      </c>
    </row>
    <row r="259" spans="2:11" ht="16.5" x14ac:dyDescent="0.2">
      <c r="B259" s="84" t="s">
        <v>1712</v>
      </c>
      <c r="C259" s="84" t="s">
        <v>1713</v>
      </c>
      <c r="D259" s="85"/>
      <c r="E259" s="85">
        <v>0</v>
      </c>
      <c r="F259" s="85">
        <v>263088</v>
      </c>
      <c r="G259" s="85">
        <v>263088</v>
      </c>
      <c r="H259" s="85"/>
      <c r="I259" s="85">
        <f t="shared" si="4"/>
        <v>0</v>
      </c>
      <c r="K259" s="54" t="s">
        <v>38</v>
      </c>
    </row>
    <row r="260" spans="2:11" ht="16.5" x14ac:dyDescent="0.2">
      <c r="B260" s="84" t="s">
        <v>1714</v>
      </c>
      <c r="C260" s="84" t="s">
        <v>1715</v>
      </c>
      <c r="D260" s="85"/>
      <c r="E260" s="85">
        <v>0</v>
      </c>
      <c r="F260" s="85">
        <v>29874.41</v>
      </c>
      <c r="G260" s="85">
        <v>29874.41</v>
      </c>
      <c r="H260" s="85"/>
      <c r="I260" s="85">
        <f t="shared" si="4"/>
        <v>0</v>
      </c>
      <c r="K260" s="54" t="s">
        <v>38</v>
      </c>
    </row>
    <row r="261" spans="2:11" ht="16.5" x14ac:dyDescent="0.2">
      <c r="B261" s="84" t="s">
        <v>1716</v>
      </c>
      <c r="C261" s="84" t="s">
        <v>1717</v>
      </c>
      <c r="D261" s="85"/>
      <c r="E261" s="85">
        <v>0</v>
      </c>
      <c r="F261" s="85">
        <v>24644</v>
      </c>
      <c r="G261" s="85">
        <v>24644</v>
      </c>
      <c r="H261" s="85"/>
      <c r="I261" s="85">
        <f t="shared" si="4"/>
        <v>0</v>
      </c>
      <c r="K261" s="54" t="s">
        <v>38</v>
      </c>
    </row>
    <row r="262" spans="2:11" ht="16.5" x14ac:dyDescent="0.2">
      <c r="B262" s="84" t="s">
        <v>1718</v>
      </c>
      <c r="C262" s="84" t="s">
        <v>1719</v>
      </c>
      <c r="D262" s="85"/>
      <c r="E262" s="85">
        <v>0</v>
      </c>
      <c r="F262" s="85">
        <v>17864</v>
      </c>
      <c r="G262" s="85">
        <v>17864</v>
      </c>
      <c r="H262" s="85"/>
      <c r="I262" s="85">
        <f t="shared" si="4"/>
        <v>0</v>
      </c>
      <c r="K262" s="54" t="s">
        <v>38</v>
      </c>
    </row>
    <row r="263" spans="2:11" ht="16.5" x14ac:dyDescent="0.2">
      <c r="B263" s="84" t="s">
        <v>1720</v>
      </c>
      <c r="C263" s="84" t="s">
        <v>1558</v>
      </c>
      <c r="D263" s="85"/>
      <c r="E263" s="85">
        <v>0</v>
      </c>
      <c r="F263" s="85">
        <v>5165</v>
      </c>
      <c r="G263" s="85">
        <v>5165</v>
      </c>
      <c r="H263" s="85"/>
      <c r="I263" s="85">
        <f t="shared" si="4"/>
        <v>0</v>
      </c>
      <c r="K263" s="54" t="s">
        <v>38</v>
      </c>
    </row>
    <row r="264" spans="2:11" ht="24.75" x14ac:dyDescent="0.2">
      <c r="B264" s="82" t="s">
        <v>1738</v>
      </c>
      <c r="C264" s="82" t="s">
        <v>1739</v>
      </c>
      <c r="D264" s="54"/>
      <c r="E264" s="83">
        <f>SUMIFS(E265:E1474,K265:K1474,"0",B265:B1474,"2 1 1 3*")-SUMIFS(D265:D1474,K265:K1474,"0",B265:B1474,"2 1 1 3*")</f>
        <v>0</v>
      </c>
      <c r="F264" s="83">
        <f>SUMIFS(F265:F1474,K265:K1474,"0",B265:B1474,"2 1 1 3*")</f>
        <v>1380563</v>
      </c>
      <c r="G264" s="83">
        <f>SUMIFS(G265:G1474,K265:K1474,"0",B265:B1474,"2 1 1 3*")</f>
        <v>1380563</v>
      </c>
      <c r="H264" s="83"/>
      <c r="I264" s="83">
        <f t="shared" si="4"/>
        <v>0</v>
      </c>
      <c r="K264" s="54" t="s">
        <v>15</v>
      </c>
    </row>
    <row r="265" spans="2:11" ht="33" x14ac:dyDescent="0.2">
      <c r="B265" s="82" t="s">
        <v>1740</v>
      </c>
      <c r="C265" s="82" t="s">
        <v>1741</v>
      </c>
      <c r="D265" s="54"/>
      <c r="E265" s="83">
        <f>SUMIFS(E266:E1474,K266:K1474,"0",B266:B1474,"2 1 1 3 1*")-SUMIFS(D266:D1474,K266:K1474,"0",B266:B1474,"2 1 1 3 1*")</f>
        <v>0</v>
      </c>
      <c r="F265" s="83">
        <f>SUMIFS(F266:F1474,K266:K1474,"0",B266:B1474,"2 1 1 3 1*")</f>
        <v>1380563</v>
      </c>
      <c r="G265" s="83">
        <f>SUMIFS(G266:G1474,K266:K1474,"0",B266:B1474,"2 1 1 3 1*")</f>
        <v>1380563</v>
      </c>
      <c r="H265" s="83"/>
      <c r="I265" s="83">
        <f t="shared" si="4"/>
        <v>0</v>
      </c>
      <c r="K265" s="54" t="s">
        <v>15</v>
      </c>
    </row>
    <row r="266" spans="2:11" ht="12.75" x14ac:dyDescent="0.2">
      <c r="B266" s="82" t="s">
        <v>1742</v>
      </c>
      <c r="C266" s="82" t="s">
        <v>26</v>
      </c>
      <c r="D266" s="54"/>
      <c r="E266" s="83">
        <f>SUMIFS(E267:E1474,K267:K1474,"0",B267:B1474,"2 1 1 3 1 12*")-SUMIFS(D267:D1474,K267:K1474,"0",B267:B1474,"2 1 1 3 1 12*")</f>
        <v>0</v>
      </c>
      <c r="F266" s="83">
        <f>SUMIFS(F267:F1474,K267:K1474,"0",B267:B1474,"2 1 1 3 1 12*")</f>
        <v>1380563</v>
      </c>
      <c r="G266" s="83">
        <f>SUMIFS(G267:G1474,K267:K1474,"0",B267:B1474,"2 1 1 3 1 12*")</f>
        <v>1380563</v>
      </c>
      <c r="H266" s="83"/>
      <c r="I266" s="83">
        <f t="shared" si="4"/>
        <v>0</v>
      </c>
      <c r="K266" s="54" t="s">
        <v>15</v>
      </c>
    </row>
    <row r="267" spans="2:11" ht="16.5" x14ac:dyDescent="0.2">
      <c r="B267" s="82" t="s">
        <v>1743</v>
      </c>
      <c r="C267" s="82" t="s">
        <v>28</v>
      </c>
      <c r="D267" s="54"/>
      <c r="E267" s="83">
        <f>SUMIFS(E268:E1474,K268:K1474,"0",B268:B1474,"2 1 1 3 1 12 31111*")-SUMIFS(D268:D1474,K268:K1474,"0",B268:B1474,"2 1 1 3 1 12 31111*")</f>
        <v>0</v>
      </c>
      <c r="F267" s="83">
        <f>SUMIFS(F268:F1474,K268:K1474,"0",B268:B1474,"2 1 1 3 1 12 31111*")</f>
        <v>1380563</v>
      </c>
      <c r="G267" s="83">
        <f>SUMIFS(G268:G1474,K268:K1474,"0",B268:B1474,"2 1 1 3 1 12 31111*")</f>
        <v>1380563</v>
      </c>
      <c r="H267" s="83"/>
      <c r="I267" s="83">
        <f t="shared" si="4"/>
        <v>0</v>
      </c>
      <c r="K267" s="54" t="s">
        <v>15</v>
      </c>
    </row>
    <row r="268" spans="2:11" ht="12.75" x14ac:dyDescent="0.2">
      <c r="B268" s="82" t="s">
        <v>1744</v>
      </c>
      <c r="C268" s="82" t="s">
        <v>30</v>
      </c>
      <c r="D268" s="54"/>
      <c r="E268" s="83">
        <f>SUMIFS(E269:E1474,K269:K1474,"0",B269:B1474,"2 1 1 3 1 12 31111 6*")-SUMIFS(D269:D1474,K269:K1474,"0",B269:B1474,"2 1 1 3 1 12 31111 6*")</f>
        <v>0</v>
      </c>
      <c r="F268" s="83">
        <f>SUMIFS(F269:F1474,K269:K1474,"0",B269:B1474,"2 1 1 3 1 12 31111 6*")</f>
        <v>1380563</v>
      </c>
      <c r="G268" s="83">
        <f>SUMIFS(G269:G1474,K269:K1474,"0",B269:B1474,"2 1 1 3 1 12 31111 6*")</f>
        <v>1380563</v>
      </c>
      <c r="H268" s="83"/>
      <c r="I268" s="83">
        <f t="shared" si="4"/>
        <v>0</v>
      </c>
      <c r="K268" s="54" t="s">
        <v>15</v>
      </c>
    </row>
    <row r="269" spans="2:11" ht="12.75" x14ac:dyDescent="0.2">
      <c r="B269" s="82" t="s">
        <v>1745</v>
      </c>
      <c r="C269" s="82" t="s">
        <v>32</v>
      </c>
      <c r="D269" s="54"/>
      <c r="E269" s="83">
        <f>SUMIFS(E270:E1474,K270:K1474,"0",B270:B1474,"2 1 1 3 1 12 31111 6 M59*")-SUMIFS(D270:D1474,K270:K1474,"0",B270:B1474,"2 1 1 3 1 12 31111 6 M59*")</f>
        <v>0</v>
      </c>
      <c r="F269" s="83">
        <f>SUMIFS(F270:F1474,K270:K1474,"0",B270:B1474,"2 1 1 3 1 12 31111 6 M59*")</f>
        <v>1380563</v>
      </c>
      <c r="G269" s="83">
        <f>SUMIFS(G270:G1474,K270:K1474,"0",B270:B1474,"2 1 1 3 1 12 31111 6 M59*")</f>
        <v>1380563</v>
      </c>
      <c r="H269" s="83"/>
      <c r="I269" s="83">
        <f t="shared" si="4"/>
        <v>0</v>
      </c>
      <c r="K269" s="54" t="s">
        <v>15</v>
      </c>
    </row>
    <row r="270" spans="2:11" ht="16.5" x14ac:dyDescent="0.2">
      <c r="B270" s="84" t="s">
        <v>1755</v>
      </c>
      <c r="C270" s="84" t="s">
        <v>1756</v>
      </c>
      <c r="D270" s="85"/>
      <c r="E270" s="85">
        <v>0</v>
      </c>
      <c r="F270" s="85">
        <v>1380563</v>
      </c>
      <c r="G270" s="85">
        <v>1380563</v>
      </c>
      <c r="H270" s="85"/>
      <c r="I270" s="85">
        <f t="shared" si="4"/>
        <v>0</v>
      </c>
      <c r="K270" s="54" t="s">
        <v>38</v>
      </c>
    </row>
    <row r="271" spans="2:11" ht="24.75" x14ac:dyDescent="0.2">
      <c r="B271" s="82" t="s">
        <v>1781</v>
      </c>
      <c r="C271" s="82" t="s">
        <v>1782</v>
      </c>
      <c r="D271" s="54"/>
      <c r="E271" s="83">
        <f>SUMIFS(E272:E1474,K272:K1474,"0",B272:B1474,"2 1 1 5*")-SUMIFS(D272:D1474,K272:K1474,"0",B272:B1474,"2 1 1 5*")</f>
        <v>10750</v>
      </c>
      <c r="F271" s="83">
        <f>SUMIFS(F272:F1474,K272:K1474,"0",B272:B1474,"2 1 1 5*")</f>
        <v>15000</v>
      </c>
      <c r="G271" s="83">
        <f>SUMIFS(G272:G1474,K272:K1474,"0",B272:B1474,"2 1 1 5*")</f>
        <v>15000</v>
      </c>
      <c r="H271" s="83"/>
      <c r="I271" s="83">
        <f t="shared" si="4"/>
        <v>10750</v>
      </c>
      <c r="K271" s="54" t="s">
        <v>15</v>
      </c>
    </row>
    <row r="272" spans="2:11" ht="24.75" x14ac:dyDescent="0.2">
      <c r="B272" s="82" t="s">
        <v>1783</v>
      </c>
      <c r="C272" s="82" t="s">
        <v>1784</v>
      </c>
      <c r="D272" s="54"/>
      <c r="E272" s="83">
        <f>SUMIFS(E273:E1474,K273:K1474,"0",B273:B1474,"2 1 1 5 1*")-SUMIFS(D273:D1474,K273:K1474,"0",B273:B1474,"2 1 1 5 1*")</f>
        <v>10750</v>
      </c>
      <c r="F272" s="83">
        <f>SUMIFS(F273:F1474,K273:K1474,"0",B273:B1474,"2 1 1 5 1*")</f>
        <v>0</v>
      </c>
      <c r="G272" s="83">
        <f>SUMIFS(G273:G1474,K273:K1474,"0",B273:B1474,"2 1 1 5 1*")</f>
        <v>0</v>
      </c>
      <c r="H272" s="83"/>
      <c r="I272" s="83">
        <f t="shared" si="4"/>
        <v>10750</v>
      </c>
      <c r="K272" s="54" t="s">
        <v>15</v>
      </c>
    </row>
    <row r="273" spans="2:11" ht="12.75" x14ac:dyDescent="0.2">
      <c r="B273" s="82" t="s">
        <v>1785</v>
      </c>
      <c r="C273" s="82" t="s">
        <v>26</v>
      </c>
      <c r="D273" s="54"/>
      <c r="E273" s="83">
        <f>SUMIFS(E274:E1474,K274:K1474,"0",B274:B1474,"2 1 1 5 1 12*")-SUMIFS(D274:D1474,K274:K1474,"0",B274:B1474,"2 1 1 5 1 12*")</f>
        <v>10750</v>
      </c>
      <c r="F273" s="83">
        <f>SUMIFS(F274:F1474,K274:K1474,"0",B274:B1474,"2 1 1 5 1 12*")</f>
        <v>0</v>
      </c>
      <c r="G273" s="83">
        <f>SUMIFS(G274:G1474,K274:K1474,"0",B274:B1474,"2 1 1 5 1 12*")</f>
        <v>0</v>
      </c>
      <c r="H273" s="83"/>
      <c r="I273" s="83">
        <f t="shared" si="4"/>
        <v>10750</v>
      </c>
      <c r="K273" s="54" t="s">
        <v>15</v>
      </c>
    </row>
    <row r="274" spans="2:11" ht="16.5" x14ac:dyDescent="0.2">
      <c r="B274" s="82" t="s">
        <v>1786</v>
      </c>
      <c r="C274" s="82" t="s">
        <v>28</v>
      </c>
      <c r="D274" s="54"/>
      <c r="E274" s="83">
        <f>SUMIFS(E275:E1474,K275:K1474,"0",B275:B1474,"2 1 1 5 1 12 31111*")-SUMIFS(D275:D1474,K275:K1474,"0",B275:B1474,"2 1 1 5 1 12 31111*")</f>
        <v>10750</v>
      </c>
      <c r="F274" s="83">
        <f>SUMIFS(F275:F1474,K275:K1474,"0",B275:B1474,"2 1 1 5 1 12 31111*")</f>
        <v>0</v>
      </c>
      <c r="G274" s="83">
        <f>SUMIFS(G275:G1474,K275:K1474,"0",B275:B1474,"2 1 1 5 1 12 31111*")</f>
        <v>0</v>
      </c>
      <c r="H274" s="83"/>
      <c r="I274" s="83">
        <f t="shared" si="4"/>
        <v>10750</v>
      </c>
      <c r="K274" s="54" t="s">
        <v>15</v>
      </c>
    </row>
    <row r="275" spans="2:11" ht="12.75" x14ac:dyDescent="0.2">
      <c r="B275" s="82" t="s">
        <v>1787</v>
      </c>
      <c r="C275" s="82" t="s">
        <v>30</v>
      </c>
      <c r="D275" s="54"/>
      <c r="E275" s="83">
        <f>SUMIFS(E276:E1474,K276:K1474,"0",B276:B1474,"2 1 1 5 1 12 31111 6*")-SUMIFS(D276:D1474,K276:K1474,"0",B276:B1474,"2 1 1 5 1 12 31111 6*")</f>
        <v>10750</v>
      </c>
      <c r="F275" s="83">
        <f>SUMIFS(F276:F1474,K276:K1474,"0",B276:B1474,"2 1 1 5 1 12 31111 6*")</f>
        <v>0</v>
      </c>
      <c r="G275" s="83">
        <f>SUMIFS(G276:G1474,K276:K1474,"0",B276:B1474,"2 1 1 5 1 12 31111 6*")</f>
        <v>0</v>
      </c>
      <c r="H275" s="83"/>
      <c r="I275" s="83">
        <f t="shared" si="4"/>
        <v>10750</v>
      </c>
      <c r="K275" s="54" t="s">
        <v>15</v>
      </c>
    </row>
    <row r="276" spans="2:11" ht="12.75" x14ac:dyDescent="0.2">
      <c r="B276" s="82" t="s">
        <v>1788</v>
      </c>
      <c r="C276" s="82" t="s">
        <v>32</v>
      </c>
      <c r="D276" s="54"/>
      <c r="E276" s="83">
        <f>SUMIFS(E277:E1474,K277:K1474,"0",B277:B1474,"2 1 1 5 1 12 31111 6 M59*")-SUMIFS(D277:D1474,K277:K1474,"0",B277:B1474,"2 1 1 5 1 12 31111 6 M59*")</f>
        <v>10750</v>
      </c>
      <c r="F276" s="83">
        <f>SUMIFS(F277:F1474,K277:K1474,"0",B277:B1474,"2 1 1 5 1 12 31111 6 M59*")</f>
        <v>0</v>
      </c>
      <c r="G276" s="83">
        <f>SUMIFS(G277:G1474,K277:K1474,"0",B277:B1474,"2 1 1 5 1 12 31111 6 M59*")</f>
        <v>0</v>
      </c>
      <c r="H276" s="83"/>
      <c r="I276" s="83">
        <f t="shared" ref="I276:I339" si="5">E276 - F276 + G276</f>
        <v>10750</v>
      </c>
      <c r="K276" s="54" t="s">
        <v>15</v>
      </c>
    </row>
    <row r="277" spans="2:11" ht="16.5" x14ac:dyDescent="0.2">
      <c r="B277" s="82" t="s">
        <v>1799</v>
      </c>
      <c r="C277" s="82" t="s">
        <v>1364</v>
      </c>
      <c r="D277" s="54"/>
      <c r="E277" s="83">
        <f>SUMIFS(E278:E1474,K278:K1474,"0",B278:B1474,"2 1 1 5 1 12 31111 6 M59 00004*")-SUMIFS(D278:D1474,K278:K1474,"0",B278:B1474,"2 1 1 5 1 12 31111 6 M59 00004*")</f>
        <v>10750</v>
      </c>
      <c r="F277" s="83">
        <f>SUMIFS(F278:F1474,K278:K1474,"0",B278:B1474,"2 1 1 5 1 12 31111 6 M59 00004*")</f>
        <v>0</v>
      </c>
      <c r="G277" s="83">
        <f>SUMIFS(G278:G1474,K278:K1474,"0",B278:B1474,"2 1 1 5 1 12 31111 6 M59 00004*")</f>
        <v>0</v>
      </c>
      <c r="H277" s="83"/>
      <c r="I277" s="83">
        <f t="shared" si="5"/>
        <v>10750</v>
      </c>
      <c r="K277" s="54" t="s">
        <v>15</v>
      </c>
    </row>
    <row r="278" spans="2:11" ht="16.5" x14ac:dyDescent="0.2">
      <c r="B278" s="82" t="s">
        <v>1800</v>
      </c>
      <c r="C278" s="82" t="s">
        <v>42</v>
      </c>
      <c r="D278" s="54"/>
      <c r="E278" s="83">
        <f>SUMIFS(E279:E1474,K279:K1474,"0",B279:B1474,"2 1 1 5 1 12 31111 6 M59 00004 000001*")-SUMIFS(D279:D1474,K279:K1474,"0",B279:B1474,"2 1 1 5 1 12 31111 6 M59 00004 000001*")</f>
        <v>10750</v>
      </c>
      <c r="F278" s="83">
        <f>SUMIFS(F279:F1474,K279:K1474,"0",B279:B1474,"2 1 1 5 1 12 31111 6 M59 00004 000001*")</f>
        <v>0</v>
      </c>
      <c r="G278" s="83">
        <f>SUMIFS(G279:G1474,K279:K1474,"0",B279:B1474,"2 1 1 5 1 12 31111 6 M59 00004 000001*")</f>
        <v>0</v>
      </c>
      <c r="H278" s="83"/>
      <c r="I278" s="83">
        <f t="shared" si="5"/>
        <v>10750</v>
      </c>
      <c r="K278" s="54" t="s">
        <v>15</v>
      </c>
    </row>
    <row r="279" spans="2:11" ht="16.5" x14ac:dyDescent="0.2">
      <c r="B279" s="84" t="s">
        <v>1801</v>
      </c>
      <c r="C279" s="84" t="s">
        <v>1802</v>
      </c>
      <c r="D279" s="85"/>
      <c r="E279" s="85">
        <v>10750</v>
      </c>
      <c r="F279" s="85">
        <v>0</v>
      </c>
      <c r="G279" s="85">
        <v>0</v>
      </c>
      <c r="H279" s="85"/>
      <c r="I279" s="85">
        <f t="shared" si="5"/>
        <v>10750</v>
      </c>
      <c r="K279" s="54" t="s">
        <v>38</v>
      </c>
    </row>
    <row r="280" spans="2:11" ht="12.75" x14ac:dyDescent="0.2">
      <c r="B280" s="82" t="s">
        <v>1803</v>
      </c>
      <c r="C280" s="82" t="s">
        <v>1804</v>
      </c>
      <c r="D280" s="54"/>
      <c r="E280" s="83">
        <f>SUMIFS(E281:E1474,K281:K1474,"0",B281:B1474,"2 1 1 5 6*")-SUMIFS(D281:D1474,K281:K1474,"0",B281:B1474,"2 1 1 5 6*")</f>
        <v>0</v>
      </c>
      <c r="F280" s="83">
        <f>SUMIFS(F281:F1474,K281:K1474,"0",B281:B1474,"2 1 1 5 6*")</f>
        <v>15000</v>
      </c>
      <c r="G280" s="83">
        <f>SUMIFS(G281:G1474,K281:K1474,"0",B281:B1474,"2 1 1 5 6*")</f>
        <v>15000</v>
      </c>
      <c r="H280" s="83"/>
      <c r="I280" s="83">
        <f t="shared" si="5"/>
        <v>0</v>
      </c>
      <c r="K280" s="54" t="s">
        <v>15</v>
      </c>
    </row>
    <row r="281" spans="2:11" ht="12.75" x14ac:dyDescent="0.2">
      <c r="B281" s="82" t="s">
        <v>1805</v>
      </c>
      <c r="C281" s="82" t="s">
        <v>26</v>
      </c>
      <c r="D281" s="54"/>
      <c r="E281" s="83">
        <f>SUMIFS(E282:E1474,K282:K1474,"0",B282:B1474,"2 1 1 5 6 12*")-SUMIFS(D282:D1474,K282:K1474,"0",B282:B1474,"2 1 1 5 6 12*")</f>
        <v>0</v>
      </c>
      <c r="F281" s="83">
        <f>SUMIFS(F282:F1474,K282:K1474,"0",B282:B1474,"2 1 1 5 6 12*")</f>
        <v>15000</v>
      </c>
      <c r="G281" s="83">
        <f>SUMIFS(G282:G1474,K282:K1474,"0",B282:B1474,"2 1 1 5 6 12*")</f>
        <v>15000</v>
      </c>
      <c r="H281" s="83"/>
      <c r="I281" s="83">
        <f t="shared" si="5"/>
        <v>0</v>
      </c>
      <c r="K281" s="54" t="s">
        <v>15</v>
      </c>
    </row>
    <row r="282" spans="2:11" ht="16.5" x14ac:dyDescent="0.2">
      <c r="B282" s="82" t="s">
        <v>1806</v>
      </c>
      <c r="C282" s="82" t="s">
        <v>28</v>
      </c>
      <c r="D282" s="54"/>
      <c r="E282" s="83">
        <f>SUMIFS(E283:E1474,K283:K1474,"0",B283:B1474,"2 1 1 5 6 12 31111*")-SUMIFS(D283:D1474,K283:K1474,"0",B283:B1474,"2 1 1 5 6 12 31111*")</f>
        <v>0</v>
      </c>
      <c r="F282" s="83">
        <f>SUMIFS(F283:F1474,K283:K1474,"0",B283:B1474,"2 1 1 5 6 12 31111*")</f>
        <v>15000</v>
      </c>
      <c r="G282" s="83">
        <f>SUMIFS(G283:G1474,K283:K1474,"0",B283:B1474,"2 1 1 5 6 12 31111*")</f>
        <v>15000</v>
      </c>
      <c r="H282" s="83"/>
      <c r="I282" s="83">
        <f t="shared" si="5"/>
        <v>0</v>
      </c>
      <c r="K282" s="54" t="s">
        <v>15</v>
      </c>
    </row>
    <row r="283" spans="2:11" ht="12.75" x14ac:dyDescent="0.2">
      <c r="B283" s="82" t="s">
        <v>1807</v>
      </c>
      <c r="C283" s="82" t="s">
        <v>30</v>
      </c>
      <c r="D283" s="54"/>
      <c r="E283" s="83">
        <f>SUMIFS(E284:E1474,K284:K1474,"0",B284:B1474,"2 1 1 5 6 12 31111 6*")-SUMIFS(D284:D1474,K284:K1474,"0",B284:B1474,"2 1 1 5 6 12 31111 6*")</f>
        <v>0</v>
      </c>
      <c r="F283" s="83">
        <f>SUMIFS(F284:F1474,K284:K1474,"0",B284:B1474,"2 1 1 5 6 12 31111 6*")</f>
        <v>15000</v>
      </c>
      <c r="G283" s="83">
        <f>SUMIFS(G284:G1474,K284:K1474,"0",B284:B1474,"2 1 1 5 6 12 31111 6*")</f>
        <v>15000</v>
      </c>
      <c r="H283" s="83"/>
      <c r="I283" s="83">
        <f t="shared" si="5"/>
        <v>0</v>
      </c>
      <c r="K283" s="54" t="s">
        <v>15</v>
      </c>
    </row>
    <row r="284" spans="2:11" ht="16.5" x14ac:dyDescent="0.2">
      <c r="B284" s="82" t="s">
        <v>1808</v>
      </c>
      <c r="C284" s="82" t="s">
        <v>32</v>
      </c>
      <c r="D284" s="54"/>
      <c r="E284" s="83">
        <f>SUMIFS(E285:E1474,K285:K1474,"0",B285:B1474,"2 1 1 5 6 12 31111 6 M59*")-SUMIFS(D285:D1474,K285:K1474,"0",B285:B1474,"2 1 1 5 6 12 31111 6 M59*")</f>
        <v>0</v>
      </c>
      <c r="F284" s="83">
        <f>SUMIFS(F285:F1474,K285:K1474,"0",B285:B1474,"2 1 1 5 6 12 31111 6 M59*")</f>
        <v>15000</v>
      </c>
      <c r="G284" s="83">
        <f>SUMIFS(G285:G1474,K285:K1474,"0",B285:B1474,"2 1 1 5 6 12 31111 6 M59*")</f>
        <v>15000</v>
      </c>
      <c r="H284" s="83"/>
      <c r="I284" s="83">
        <f t="shared" si="5"/>
        <v>0</v>
      </c>
      <c r="K284" s="54" t="s">
        <v>15</v>
      </c>
    </row>
    <row r="285" spans="2:11" ht="16.5" x14ac:dyDescent="0.2">
      <c r="B285" s="82" t="s">
        <v>1812</v>
      </c>
      <c r="C285" s="82" t="s">
        <v>1364</v>
      </c>
      <c r="D285" s="54"/>
      <c r="E285" s="83">
        <f>SUMIFS(E286:E1474,K286:K1474,"0",B286:B1474,"2 1 1 5 6 12 31111 6 M59 00004*")-SUMIFS(D286:D1474,K286:K1474,"0",B286:B1474,"2 1 1 5 6 12 31111 6 M59 00004*")</f>
        <v>0</v>
      </c>
      <c r="F285" s="83">
        <f>SUMIFS(F286:F1474,K286:K1474,"0",B286:B1474,"2 1 1 5 6 12 31111 6 M59 00004*")</f>
        <v>15000</v>
      </c>
      <c r="G285" s="83">
        <f>SUMIFS(G286:G1474,K286:K1474,"0",B286:B1474,"2 1 1 5 6 12 31111 6 M59 00004*")</f>
        <v>15000</v>
      </c>
      <c r="H285" s="83"/>
      <c r="I285" s="83">
        <f t="shared" si="5"/>
        <v>0</v>
      </c>
      <c r="K285" s="54" t="s">
        <v>15</v>
      </c>
    </row>
    <row r="286" spans="2:11" ht="16.5" x14ac:dyDescent="0.2">
      <c r="B286" s="84" t="s">
        <v>1813</v>
      </c>
      <c r="C286" s="84" t="s">
        <v>1804</v>
      </c>
      <c r="D286" s="85"/>
      <c r="E286" s="85">
        <v>0</v>
      </c>
      <c r="F286" s="85">
        <v>15000</v>
      </c>
      <c r="G286" s="85">
        <v>15000</v>
      </c>
      <c r="H286" s="85"/>
      <c r="I286" s="85">
        <f t="shared" si="5"/>
        <v>0</v>
      </c>
      <c r="K286" s="54" t="s">
        <v>38</v>
      </c>
    </row>
    <row r="287" spans="2:11" ht="24.75" x14ac:dyDescent="0.2">
      <c r="B287" s="82" t="s">
        <v>1814</v>
      </c>
      <c r="C287" s="82" t="s">
        <v>1815</v>
      </c>
      <c r="D287" s="54"/>
      <c r="E287" s="83">
        <f>SUMIFS(E288:E1474,K288:K1474,"0",B288:B1474,"2 1 1 7*")-SUMIFS(D288:D1474,K288:K1474,"0",B288:B1474,"2 1 1 7*")</f>
        <v>1787951.18</v>
      </c>
      <c r="F287" s="83">
        <f>SUMIFS(F288:F1474,K288:K1474,"0",B288:B1474,"2 1 1 7*")</f>
        <v>0</v>
      </c>
      <c r="G287" s="83">
        <f>SUMIFS(G288:G1474,K288:K1474,"0",B288:B1474,"2 1 1 7*")</f>
        <v>0</v>
      </c>
      <c r="H287" s="83"/>
      <c r="I287" s="83">
        <f t="shared" si="5"/>
        <v>1787951.18</v>
      </c>
      <c r="K287" s="54" t="s">
        <v>15</v>
      </c>
    </row>
    <row r="288" spans="2:11" ht="16.5" x14ac:dyDescent="0.2">
      <c r="B288" s="82" t="s">
        <v>1816</v>
      </c>
      <c r="C288" s="82" t="s">
        <v>1817</v>
      </c>
      <c r="D288" s="54"/>
      <c r="E288" s="83">
        <f>SUMIFS(E289:E1474,K289:K1474,"0",B289:B1474,"2 1 1 7 1*")-SUMIFS(D289:D1474,K289:K1474,"0",B289:B1474,"2 1 1 7 1*")</f>
        <v>1787951.18</v>
      </c>
      <c r="F288" s="83">
        <f>SUMIFS(F289:F1474,K289:K1474,"0",B289:B1474,"2 1 1 7 1*")</f>
        <v>0</v>
      </c>
      <c r="G288" s="83">
        <f>SUMIFS(G289:G1474,K289:K1474,"0",B289:B1474,"2 1 1 7 1*")</f>
        <v>0</v>
      </c>
      <c r="H288" s="83"/>
      <c r="I288" s="83">
        <f t="shared" si="5"/>
        <v>1787951.18</v>
      </c>
      <c r="K288" s="54" t="s">
        <v>15</v>
      </c>
    </row>
    <row r="289" spans="2:11" ht="12.75" x14ac:dyDescent="0.2">
      <c r="B289" s="82" t="s">
        <v>1818</v>
      </c>
      <c r="C289" s="82" t="s">
        <v>26</v>
      </c>
      <c r="D289" s="54"/>
      <c r="E289" s="83">
        <f>SUMIFS(E290:E1474,K290:K1474,"0",B290:B1474,"2 1 1 7 1 12*")-SUMIFS(D290:D1474,K290:K1474,"0",B290:B1474,"2 1 1 7 1 12*")</f>
        <v>1787951.18</v>
      </c>
      <c r="F289" s="83">
        <f>SUMIFS(F290:F1474,K290:K1474,"0",B290:B1474,"2 1 1 7 1 12*")</f>
        <v>0</v>
      </c>
      <c r="G289" s="83">
        <f>SUMIFS(G290:G1474,K290:K1474,"0",B290:B1474,"2 1 1 7 1 12*")</f>
        <v>0</v>
      </c>
      <c r="H289" s="83"/>
      <c r="I289" s="83">
        <f t="shared" si="5"/>
        <v>1787951.18</v>
      </c>
      <c r="K289" s="54" t="s">
        <v>15</v>
      </c>
    </row>
    <row r="290" spans="2:11" ht="16.5" x14ac:dyDescent="0.2">
      <c r="B290" s="82" t="s">
        <v>1819</v>
      </c>
      <c r="C290" s="82" t="s">
        <v>28</v>
      </c>
      <c r="D290" s="54"/>
      <c r="E290" s="83">
        <f>SUMIFS(E291:E1474,K291:K1474,"0",B291:B1474,"2 1 1 7 1 12 31111*")-SUMIFS(D291:D1474,K291:K1474,"0",B291:B1474,"2 1 1 7 1 12 31111*")</f>
        <v>1787951.18</v>
      </c>
      <c r="F290" s="83">
        <f>SUMIFS(F291:F1474,K291:K1474,"0",B291:B1474,"2 1 1 7 1 12 31111*")</f>
        <v>0</v>
      </c>
      <c r="G290" s="83">
        <f>SUMIFS(G291:G1474,K291:K1474,"0",B291:B1474,"2 1 1 7 1 12 31111*")</f>
        <v>0</v>
      </c>
      <c r="H290" s="83"/>
      <c r="I290" s="83">
        <f t="shared" si="5"/>
        <v>1787951.18</v>
      </c>
      <c r="K290" s="54" t="s">
        <v>15</v>
      </c>
    </row>
    <row r="291" spans="2:11" ht="12.75" x14ac:dyDescent="0.2">
      <c r="B291" s="82" t="s">
        <v>1820</v>
      </c>
      <c r="C291" s="82" t="s">
        <v>30</v>
      </c>
      <c r="D291" s="54"/>
      <c r="E291" s="83">
        <f>SUMIFS(E292:E1474,K292:K1474,"0",B292:B1474,"2 1 1 7 1 12 31111 6*")-SUMIFS(D292:D1474,K292:K1474,"0",B292:B1474,"2 1 1 7 1 12 31111 6*")</f>
        <v>1787951.18</v>
      </c>
      <c r="F291" s="83">
        <f>SUMIFS(F292:F1474,K292:K1474,"0",B292:B1474,"2 1 1 7 1 12 31111 6*")</f>
        <v>0</v>
      </c>
      <c r="G291" s="83">
        <f>SUMIFS(G292:G1474,K292:K1474,"0",B292:B1474,"2 1 1 7 1 12 31111 6*")</f>
        <v>0</v>
      </c>
      <c r="H291" s="83"/>
      <c r="I291" s="83">
        <f t="shared" si="5"/>
        <v>1787951.18</v>
      </c>
      <c r="K291" s="54" t="s">
        <v>15</v>
      </c>
    </row>
    <row r="292" spans="2:11" ht="12.75" x14ac:dyDescent="0.2">
      <c r="B292" s="82" t="s">
        <v>1821</v>
      </c>
      <c r="C292" s="82" t="s">
        <v>32</v>
      </c>
      <c r="D292" s="54"/>
      <c r="E292" s="83">
        <f>SUMIFS(E293:E1474,K293:K1474,"0",B293:B1474,"2 1 1 7 1 12 31111 6 M59*")-SUMIFS(D293:D1474,K293:K1474,"0",B293:B1474,"2 1 1 7 1 12 31111 6 M59*")</f>
        <v>1787951.18</v>
      </c>
      <c r="F292" s="83">
        <f>SUMIFS(F293:F1474,K293:K1474,"0",B293:B1474,"2 1 1 7 1 12 31111 6 M59*")</f>
        <v>0</v>
      </c>
      <c r="G292" s="83">
        <f>SUMIFS(G293:G1474,K293:K1474,"0",B293:B1474,"2 1 1 7 1 12 31111 6 M59*")</f>
        <v>0</v>
      </c>
      <c r="H292" s="83"/>
      <c r="I292" s="83">
        <f t="shared" si="5"/>
        <v>1787951.18</v>
      </c>
      <c r="K292" s="54" t="s">
        <v>15</v>
      </c>
    </row>
    <row r="293" spans="2:11" ht="16.5" x14ac:dyDescent="0.2">
      <c r="B293" s="82" t="s">
        <v>1878</v>
      </c>
      <c r="C293" s="82" t="s">
        <v>1364</v>
      </c>
      <c r="D293" s="54"/>
      <c r="E293" s="83">
        <f>SUMIFS(E294:E1474,K294:K1474,"0",B294:B1474,"2 1 1 7 1 12 31111 6 M59 00004*")-SUMIFS(D294:D1474,K294:K1474,"0",B294:B1474,"2 1 1 7 1 12 31111 6 M59 00004*")</f>
        <v>1787951.18</v>
      </c>
      <c r="F293" s="83">
        <f>SUMIFS(F294:F1474,K294:K1474,"0",B294:B1474,"2 1 1 7 1 12 31111 6 M59 00004*")</f>
        <v>0</v>
      </c>
      <c r="G293" s="83">
        <f>SUMIFS(G294:G1474,K294:K1474,"0",B294:B1474,"2 1 1 7 1 12 31111 6 M59 00004*")</f>
        <v>0</v>
      </c>
      <c r="H293" s="83"/>
      <c r="I293" s="83">
        <f t="shared" si="5"/>
        <v>1787951.18</v>
      </c>
      <c r="K293" s="54" t="s">
        <v>15</v>
      </c>
    </row>
    <row r="294" spans="2:11" ht="16.5" x14ac:dyDescent="0.2">
      <c r="B294" s="82" t="s">
        <v>1879</v>
      </c>
      <c r="C294" s="82" t="s">
        <v>42</v>
      </c>
      <c r="D294" s="54"/>
      <c r="E294" s="83">
        <f>SUMIFS(E295:E1474,K295:K1474,"0",B295:B1474,"2 1 1 7 1 12 31111 6 M59 00004 000001*")-SUMIFS(D295:D1474,K295:K1474,"0",B295:B1474,"2 1 1 7 1 12 31111 6 M59 00004 000001*")</f>
        <v>1472888.9000000001</v>
      </c>
      <c r="F294" s="83">
        <f>SUMIFS(F295:F1474,K295:K1474,"0",B295:B1474,"2 1 1 7 1 12 31111 6 M59 00004 000001*")</f>
        <v>0</v>
      </c>
      <c r="G294" s="83">
        <f>SUMIFS(G295:G1474,K295:K1474,"0",B295:B1474,"2 1 1 7 1 12 31111 6 M59 00004 000001*")</f>
        <v>0</v>
      </c>
      <c r="H294" s="83"/>
      <c r="I294" s="83">
        <f t="shared" si="5"/>
        <v>1472888.9000000001</v>
      </c>
      <c r="K294" s="54" t="s">
        <v>15</v>
      </c>
    </row>
    <row r="295" spans="2:11" ht="16.5" x14ac:dyDescent="0.2">
      <c r="B295" s="84" t="s">
        <v>1880</v>
      </c>
      <c r="C295" s="84" t="s">
        <v>1881</v>
      </c>
      <c r="D295" s="85"/>
      <c r="E295" s="85">
        <v>864897.91</v>
      </c>
      <c r="F295" s="85">
        <v>0</v>
      </c>
      <c r="G295" s="85">
        <v>0</v>
      </c>
      <c r="H295" s="85"/>
      <c r="I295" s="85">
        <f t="shared" si="5"/>
        <v>864897.91</v>
      </c>
      <c r="K295" s="54" t="s">
        <v>38</v>
      </c>
    </row>
    <row r="296" spans="2:11" ht="16.5" x14ac:dyDescent="0.2">
      <c r="B296" s="82" t="s">
        <v>1882</v>
      </c>
      <c r="C296" s="82" t="s">
        <v>42</v>
      </c>
      <c r="D296" s="54"/>
      <c r="E296" s="83">
        <f>SUMIFS(E297:E1474,K297:K1474,"0",B297:B1474,"2 1 1 7 1 12 31111 6 M59 00004 000001 00002*")-SUMIFS(D297:D1474,K297:K1474,"0",B297:B1474,"2 1 1 7 1 12 31111 6 M59 00004 000001 00002*")</f>
        <v>606797.32999999996</v>
      </c>
      <c r="F296" s="83">
        <f>SUMIFS(F297:F1474,K297:K1474,"0",B297:B1474,"2 1 1 7 1 12 31111 6 M59 00004 000001 00002*")</f>
        <v>0</v>
      </c>
      <c r="G296" s="83">
        <f>SUMIFS(G297:G1474,K297:K1474,"0",B297:B1474,"2 1 1 7 1 12 31111 6 M59 00004 000001 00002*")</f>
        <v>0</v>
      </c>
      <c r="H296" s="83"/>
      <c r="I296" s="83">
        <f t="shared" si="5"/>
        <v>606797.32999999996</v>
      </c>
      <c r="K296" s="54" t="s">
        <v>15</v>
      </c>
    </row>
    <row r="297" spans="2:11" ht="16.5" x14ac:dyDescent="0.2">
      <c r="B297" s="84" t="s">
        <v>1883</v>
      </c>
      <c r="C297" s="84" t="s">
        <v>1884</v>
      </c>
      <c r="D297" s="85"/>
      <c r="E297" s="85">
        <v>148093.97</v>
      </c>
      <c r="F297" s="85">
        <v>0</v>
      </c>
      <c r="G297" s="85">
        <v>0</v>
      </c>
      <c r="H297" s="85"/>
      <c r="I297" s="85">
        <f t="shared" si="5"/>
        <v>148093.97</v>
      </c>
      <c r="K297" s="54" t="s">
        <v>38</v>
      </c>
    </row>
    <row r="298" spans="2:11" ht="24.75" x14ac:dyDescent="0.2">
      <c r="B298" s="84" t="s">
        <v>1885</v>
      </c>
      <c r="C298" s="84" t="s">
        <v>1886</v>
      </c>
      <c r="D298" s="85"/>
      <c r="E298" s="85">
        <v>114675.84</v>
      </c>
      <c r="F298" s="85">
        <v>0</v>
      </c>
      <c r="G298" s="85">
        <v>0</v>
      </c>
      <c r="H298" s="85"/>
      <c r="I298" s="85">
        <f t="shared" si="5"/>
        <v>114675.84</v>
      </c>
      <c r="K298" s="54" t="s">
        <v>38</v>
      </c>
    </row>
    <row r="299" spans="2:11" ht="24.75" x14ac:dyDescent="0.2">
      <c r="B299" s="84" t="s">
        <v>1887</v>
      </c>
      <c r="C299" s="84" t="s">
        <v>1888</v>
      </c>
      <c r="D299" s="85"/>
      <c r="E299" s="85">
        <v>114675.84</v>
      </c>
      <c r="F299" s="85">
        <v>0</v>
      </c>
      <c r="G299" s="85">
        <v>0</v>
      </c>
      <c r="H299" s="85"/>
      <c r="I299" s="85">
        <f t="shared" si="5"/>
        <v>114675.84</v>
      </c>
      <c r="K299" s="54" t="s">
        <v>38</v>
      </c>
    </row>
    <row r="300" spans="2:11" ht="24.75" x14ac:dyDescent="0.2">
      <c r="B300" s="84" t="s">
        <v>1889</v>
      </c>
      <c r="C300" s="84" t="s">
        <v>1890</v>
      </c>
      <c r="D300" s="85"/>
      <c r="E300" s="85">
        <v>114675.84</v>
      </c>
      <c r="F300" s="85">
        <v>0</v>
      </c>
      <c r="G300" s="85">
        <v>0</v>
      </c>
      <c r="H300" s="85"/>
      <c r="I300" s="85">
        <f t="shared" si="5"/>
        <v>114675.84</v>
      </c>
      <c r="K300" s="54" t="s">
        <v>38</v>
      </c>
    </row>
    <row r="301" spans="2:11" ht="24.75" x14ac:dyDescent="0.2">
      <c r="B301" s="84" t="s">
        <v>1891</v>
      </c>
      <c r="C301" s="84" t="s">
        <v>1892</v>
      </c>
      <c r="D301" s="85"/>
      <c r="E301" s="85">
        <v>114675.84</v>
      </c>
      <c r="F301" s="85">
        <v>0</v>
      </c>
      <c r="G301" s="85">
        <v>0</v>
      </c>
      <c r="H301" s="85"/>
      <c r="I301" s="85">
        <f t="shared" si="5"/>
        <v>114675.84</v>
      </c>
      <c r="K301" s="54" t="s">
        <v>38</v>
      </c>
    </row>
    <row r="302" spans="2:11" ht="16.5" x14ac:dyDescent="0.2">
      <c r="B302" s="82" t="s">
        <v>1893</v>
      </c>
      <c r="C302" s="82" t="s">
        <v>42</v>
      </c>
      <c r="D302" s="54"/>
      <c r="E302" s="83">
        <f>SUMIFS(E303:E1474,K303:K1474,"0",B303:B1474,"2 1 1 7 1 12 31111 6 M59 00004 000001 00003*")-SUMIFS(D303:D1474,K303:K1474,"0",B303:B1474,"2 1 1 7 1 12 31111 6 M59 00004 000001 00003*")</f>
        <v>1193.6600000000001</v>
      </c>
      <c r="F302" s="83">
        <f>SUMIFS(F303:F1474,K303:K1474,"0",B303:B1474,"2 1 1 7 1 12 31111 6 M59 00004 000001 00003*")</f>
        <v>0</v>
      </c>
      <c r="G302" s="83">
        <f>SUMIFS(G303:G1474,K303:K1474,"0",B303:B1474,"2 1 1 7 1 12 31111 6 M59 00004 000001 00003*")</f>
        <v>0</v>
      </c>
      <c r="H302" s="83"/>
      <c r="I302" s="83">
        <f t="shared" si="5"/>
        <v>1193.6600000000001</v>
      </c>
      <c r="K302" s="54" t="s">
        <v>15</v>
      </c>
    </row>
    <row r="303" spans="2:11" ht="24.75" x14ac:dyDescent="0.2">
      <c r="B303" s="84" t="s">
        <v>1894</v>
      </c>
      <c r="C303" s="84" t="s">
        <v>375</v>
      </c>
      <c r="D303" s="85"/>
      <c r="E303" s="85">
        <v>1193.6600000000001</v>
      </c>
      <c r="F303" s="85">
        <v>0</v>
      </c>
      <c r="G303" s="85">
        <v>0</v>
      </c>
      <c r="H303" s="85"/>
      <c r="I303" s="85">
        <f t="shared" si="5"/>
        <v>1193.6600000000001</v>
      </c>
      <c r="K303" s="54" t="s">
        <v>38</v>
      </c>
    </row>
    <row r="304" spans="2:11" ht="16.5" x14ac:dyDescent="0.2">
      <c r="B304" s="82" t="s">
        <v>1895</v>
      </c>
      <c r="C304" s="82" t="s">
        <v>42</v>
      </c>
      <c r="D304" s="54"/>
      <c r="E304" s="83">
        <f>SUMIFS(E305:E1474,K305:K1474,"0",B305:B1474,"2 1 1 7 1 12 31111 6 M59 00004 000002*")-SUMIFS(D305:D1474,K305:K1474,"0",B305:B1474,"2 1 1 7 1 12 31111 6 M59 00004 000002*")</f>
        <v>315062.28000000003</v>
      </c>
      <c r="F304" s="83">
        <f>SUMIFS(F305:F1474,K305:K1474,"0",B305:B1474,"2 1 1 7 1 12 31111 6 M59 00004 000002*")</f>
        <v>0</v>
      </c>
      <c r="G304" s="83">
        <f>SUMIFS(G305:G1474,K305:K1474,"0",B305:B1474,"2 1 1 7 1 12 31111 6 M59 00004 000002*")</f>
        <v>0</v>
      </c>
      <c r="H304" s="83"/>
      <c r="I304" s="83">
        <f t="shared" si="5"/>
        <v>315062.28000000003</v>
      </c>
      <c r="K304" s="54" t="s">
        <v>15</v>
      </c>
    </row>
    <row r="305" spans="2:11" ht="16.5" x14ac:dyDescent="0.2">
      <c r="B305" s="82" t="s">
        <v>1896</v>
      </c>
      <c r="C305" s="82" t="s">
        <v>42</v>
      </c>
      <c r="D305" s="54"/>
      <c r="E305" s="83">
        <f>SUMIFS(E306:E1474,K306:K1474,"0",B306:B1474,"2 1 1 7 1 12 31111 6 M59 00004 000002 00001*")-SUMIFS(D306:D1474,K306:K1474,"0",B306:B1474,"2 1 1 7 1 12 31111 6 M59 00004 000002 00001*")</f>
        <v>16432.57</v>
      </c>
      <c r="F305" s="83">
        <f>SUMIFS(F306:F1474,K306:K1474,"0",B306:B1474,"2 1 1 7 1 12 31111 6 M59 00004 000002 00001*")</f>
        <v>0</v>
      </c>
      <c r="G305" s="83">
        <f>SUMIFS(G306:G1474,K306:K1474,"0",B306:B1474,"2 1 1 7 1 12 31111 6 M59 00004 000002 00001*")</f>
        <v>0</v>
      </c>
      <c r="H305" s="83"/>
      <c r="I305" s="83">
        <f t="shared" si="5"/>
        <v>16432.57</v>
      </c>
      <c r="K305" s="54" t="s">
        <v>15</v>
      </c>
    </row>
    <row r="306" spans="2:11" ht="16.5" x14ac:dyDescent="0.2">
      <c r="B306" s="84" t="s">
        <v>1897</v>
      </c>
      <c r="C306" s="84" t="s">
        <v>1899</v>
      </c>
      <c r="D306" s="85"/>
      <c r="E306" s="85">
        <v>660.38</v>
      </c>
      <c r="F306" s="85">
        <v>0</v>
      </c>
      <c r="G306" s="85">
        <v>0</v>
      </c>
      <c r="H306" s="85"/>
      <c r="I306" s="85">
        <f t="shared" si="5"/>
        <v>660.38</v>
      </c>
      <c r="K306" s="54" t="s">
        <v>38</v>
      </c>
    </row>
    <row r="307" spans="2:11" ht="24.75" x14ac:dyDescent="0.2">
      <c r="B307" s="84" t="s">
        <v>1898</v>
      </c>
      <c r="C307" s="84" t="s">
        <v>1899</v>
      </c>
      <c r="D307" s="85"/>
      <c r="E307" s="85">
        <v>13899.97</v>
      </c>
      <c r="F307" s="85">
        <v>0</v>
      </c>
      <c r="G307" s="85">
        <v>0</v>
      </c>
      <c r="H307" s="85"/>
      <c r="I307" s="85">
        <f t="shared" si="5"/>
        <v>13899.97</v>
      </c>
      <c r="K307" s="54" t="s">
        <v>38</v>
      </c>
    </row>
    <row r="308" spans="2:11" ht="24.75" x14ac:dyDescent="0.2">
      <c r="B308" s="84" t="s">
        <v>1900</v>
      </c>
      <c r="C308" s="84" t="s">
        <v>1901</v>
      </c>
      <c r="D308" s="85"/>
      <c r="E308" s="85">
        <v>1872.22</v>
      </c>
      <c r="F308" s="85">
        <v>0</v>
      </c>
      <c r="G308" s="85">
        <v>0</v>
      </c>
      <c r="H308" s="85"/>
      <c r="I308" s="85">
        <f t="shared" si="5"/>
        <v>1872.22</v>
      </c>
      <c r="K308" s="54" t="s">
        <v>38</v>
      </c>
    </row>
    <row r="309" spans="2:11" ht="16.5" x14ac:dyDescent="0.2">
      <c r="B309" s="82" t="s">
        <v>1902</v>
      </c>
      <c r="C309" s="82" t="s">
        <v>42</v>
      </c>
      <c r="D309" s="54"/>
      <c r="E309" s="83">
        <f>SUMIFS(E310:E1474,K310:K1474,"0",B310:B1474,"2 1 1 7 1 12 31111 6 M59 00004 000002 00002*")-SUMIFS(D310:D1474,K310:K1474,"0",B310:B1474,"2 1 1 7 1 12 31111 6 M59 00004 000002 00002*")</f>
        <v>278511.19</v>
      </c>
      <c r="F309" s="83">
        <f>SUMIFS(F310:F1474,K310:K1474,"0",B310:B1474,"2 1 1 7 1 12 31111 6 M59 00004 000002 00002*")</f>
        <v>0</v>
      </c>
      <c r="G309" s="83">
        <f>SUMIFS(G310:G1474,K310:K1474,"0",B310:B1474,"2 1 1 7 1 12 31111 6 M59 00004 000002 00002*")</f>
        <v>0</v>
      </c>
      <c r="H309" s="83"/>
      <c r="I309" s="83">
        <f t="shared" si="5"/>
        <v>278511.19</v>
      </c>
      <c r="K309" s="54" t="s">
        <v>15</v>
      </c>
    </row>
    <row r="310" spans="2:11" ht="24.75" x14ac:dyDescent="0.2">
      <c r="B310" s="84" t="s">
        <v>1903</v>
      </c>
      <c r="C310" s="84" t="s">
        <v>1875</v>
      </c>
      <c r="D310" s="85"/>
      <c r="E310" s="85">
        <v>275258.21000000002</v>
      </c>
      <c r="F310" s="85">
        <v>0</v>
      </c>
      <c r="G310" s="85">
        <v>0</v>
      </c>
      <c r="H310" s="85"/>
      <c r="I310" s="85">
        <f t="shared" si="5"/>
        <v>275258.21000000002</v>
      </c>
      <c r="K310" s="54" t="s">
        <v>38</v>
      </c>
    </row>
    <row r="311" spans="2:11" ht="24.75" x14ac:dyDescent="0.2">
      <c r="B311" s="84" t="s">
        <v>1904</v>
      </c>
      <c r="C311" s="84" t="s">
        <v>1905</v>
      </c>
      <c r="D311" s="85"/>
      <c r="E311" s="85">
        <v>660.38</v>
      </c>
      <c r="F311" s="85">
        <v>0</v>
      </c>
      <c r="G311" s="85">
        <v>0</v>
      </c>
      <c r="H311" s="85"/>
      <c r="I311" s="85">
        <f t="shared" si="5"/>
        <v>660.38</v>
      </c>
      <c r="K311" s="54" t="s">
        <v>38</v>
      </c>
    </row>
    <row r="312" spans="2:11" ht="24.75" x14ac:dyDescent="0.2">
      <c r="B312" s="84" t="s">
        <v>1906</v>
      </c>
      <c r="C312" s="84" t="s">
        <v>1907</v>
      </c>
      <c r="D312" s="85"/>
      <c r="E312" s="85">
        <v>2592.6</v>
      </c>
      <c r="F312" s="85">
        <v>0</v>
      </c>
      <c r="G312" s="85">
        <v>0</v>
      </c>
      <c r="H312" s="85"/>
      <c r="I312" s="85">
        <f t="shared" si="5"/>
        <v>2592.6</v>
      </c>
      <c r="K312" s="54" t="s">
        <v>38</v>
      </c>
    </row>
    <row r="313" spans="2:11" ht="24.75" x14ac:dyDescent="0.2">
      <c r="B313" s="84" t="s">
        <v>1908</v>
      </c>
      <c r="C313" s="84" t="s">
        <v>1909</v>
      </c>
      <c r="D313" s="85"/>
      <c r="E313" s="85">
        <v>20118.52</v>
      </c>
      <c r="F313" s="85">
        <v>0</v>
      </c>
      <c r="G313" s="85">
        <v>0</v>
      </c>
      <c r="H313" s="85"/>
      <c r="I313" s="85">
        <f t="shared" si="5"/>
        <v>20118.52</v>
      </c>
      <c r="K313" s="54" t="s">
        <v>38</v>
      </c>
    </row>
    <row r="314" spans="2:11" ht="16.5" x14ac:dyDescent="0.2">
      <c r="B314" s="82" t="s">
        <v>2090</v>
      </c>
      <c r="C314" s="82" t="s">
        <v>2091</v>
      </c>
      <c r="D314" s="54"/>
      <c r="E314" s="83">
        <f>SUMIFS(E315:E1474,K315:K1474,"0",B315:B1474,"2 1 5*")-SUMIFS(D315:D1474,K315:K1474,"0",B315:B1474,"2 1 5*")</f>
        <v>36736.15</v>
      </c>
      <c r="F314" s="83">
        <f>SUMIFS(F315:F1474,K315:K1474,"0",B315:B1474,"2 1 5*")</f>
        <v>0</v>
      </c>
      <c r="G314" s="83">
        <f>SUMIFS(G315:G1474,K315:K1474,"0",B315:B1474,"2 1 5*")</f>
        <v>0</v>
      </c>
      <c r="H314" s="83"/>
      <c r="I314" s="83">
        <f t="shared" si="5"/>
        <v>36736.15</v>
      </c>
      <c r="K314" s="54" t="s">
        <v>15</v>
      </c>
    </row>
    <row r="315" spans="2:11" ht="16.5" x14ac:dyDescent="0.2">
      <c r="B315" s="82" t="s">
        <v>2092</v>
      </c>
      <c r="C315" s="82" t="s">
        <v>2093</v>
      </c>
      <c r="D315" s="54"/>
      <c r="E315" s="83">
        <f>SUMIFS(E316:E1474,K316:K1474,"0",B316:B1474,"2 1 5 1*")-SUMIFS(D316:D1474,K316:K1474,"0",B316:B1474,"2 1 5 1*")</f>
        <v>36736.15</v>
      </c>
      <c r="F315" s="83">
        <f>SUMIFS(F316:F1474,K316:K1474,"0",B316:B1474,"2 1 5 1*")</f>
        <v>0</v>
      </c>
      <c r="G315" s="83">
        <f>SUMIFS(G316:G1474,K316:K1474,"0",B316:B1474,"2 1 5 1*")</f>
        <v>0</v>
      </c>
      <c r="H315" s="83"/>
      <c r="I315" s="83">
        <f t="shared" si="5"/>
        <v>36736.15</v>
      </c>
      <c r="K315" s="54" t="s">
        <v>15</v>
      </c>
    </row>
    <row r="316" spans="2:11" ht="16.5" x14ac:dyDescent="0.2">
      <c r="B316" s="82" t="s">
        <v>2094</v>
      </c>
      <c r="C316" s="82" t="s">
        <v>2093</v>
      </c>
      <c r="D316" s="54"/>
      <c r="E316" s="83">
        <f>SUMIFS(E317:E1474,K317:K1474,"0",B317:B1474,"2 1 5 1 1*")-SUMIFS(D317:D1474,K317:K1474,"0",B317:B1474,"2 1 5 1 1*")</f>
        <v>36736.15</v>
      </c>
      <c r="F316" s="83">
        <f>SUMIFS(F317:F1474,K317:K1474,"0",B317:B1474,"2 1 5 1 1*")</f>
        <v>0</v>
      </c>
      <c r="G316" s="83">
        <f>SUMIFS(G317:G1474,K317:K1474,"0",B317:B1474,"2 1 5 1 1*")</f>
        <v>0</v>
      </c>
      <c r="H316" s="83"/>
      <c r="I316" s="83">
        <f t="shared" si="5"/>
        <v>36736.15</v>
      </c>
      <c r="K316" s="54" t="s">
        <v>15</v>
      </c>
    </row>
    <row r="317" spans="2:11" ht="12.75" x14ac:dyDescent="0.2">
      <c r="B317" s="82" t="s">
        <v>2095</v>
      </c>
      <c r="C317" s="82" t="s">
        <v>26</v>
      </c>
      <c r="D317" s="54"/>
      <c r="E317" s="83">
        <f>SUMIFS(E318:E1474,K318:K1474,"0",B318:B1474,"2 1 5 1 1 12*")-SUMIFS(D318:D1474,K318:K1474,"0",B318:B1474,"2 1 5 1 1 12*")</f>
        <v>36736.15</v>
      </c>
      <c r="F317" s="83">
        <f>SUMIFS(F318:F1474,K318:K1474,"0",B318:B1474,"2 1 5 1 1 12*")</f>
        <v>0</v>
      </c>
      <c r="G317" s="83">
        <f>SUMIFS(G318:G1474,K318:K1474,"0",B318:B1474,"2 1 5 1 1 12*")</f>
        <v>0</v>
      </c>
      <c r="H317" s="83"/>
      <c r="I317" s="83">
        <f t="shared" si="5"/>
        <v>36736.15</v>
      </c>
      <c r="K317" s="54" t="s">
        <v>15</v>
      </c>
    </row>
    <row r="318" spans="2:11" ht="16.5" x14ac:dyDescent="0.2">
      <c r="B318" s="82" t="s">
        <v>2096</v>
      </c>
      <c r="C318" s="82" t="s">
        <v>28</v>
      </c>
      <c r="D318" s="54"/>
      <c r="E318" s="83">
        <f>SUMIFS(E319:E1474,K319:K1474,"0",B319:B1474,"2 1 5 1 1 12 31111*")-SUMIFS(D319:D1474,K319:K1474,"0",B319:B1474,"2 1 5 1 1 12 31111*")</f>
        <v>36736.15</v>
      </c>
      <c r="F318" s="83">
        <f>SUMIFS(F319:F1474,K319:K1474,"0",B319:B1474,"2 1 5 1 1 12 31111*")</f>
        <v>0</v>
      </c>
      <c r="G318" s="83">
        <f>SUMIFS(G319:G1474,K319:K1474,"0",B319:B1474,"2 1 5 1 1 12 31111*")</f>
        <v>0</v>
      </c>
      <c r="H318" s="83"/>
      <c r="I318" s="83">
        <f t="shared" si="5"/>
        <v>36736.15</v>
      </c>
      <c r="K318" s="54" t="s">
        <v>15</v>
      </c>
    </row>
    <row r="319" spans="2:11" ht="12.75" x14ac:dyDescent="0.2">
      <c r="B319" s="82" t="s">
        <v>2097</v>
      </c>
      <c r="C319" s="82" t="s">
        <v>30</v>
      </c>
      <c r="D319" s="54"/>
      <c r="E319" s="83">
        <f>SUMIFS(E320:E1474,K320:K1474,"0",B320:B1474,"2 1 5 1 1 12 31111 6*")-SUMIFS(D320:D1474,K320:K1474,"0",B320:B1474,"2 1 5 1 1 12 31111 6*")</f>
        <v>36736.15</v>
      </c>
      <c r="F319" s="83">
        <f>SUMIFS(F320:F1474,K320:K1474,"0",B320:B1474,"2 1 5 1 1 12 31111 6*")</f>
        <v>0</v>
      </c>
      <c r="G319" s="83">
        <f>SUMIFS(G320:G1474,K320:K1474,"0",B320:B1474,"2 1 5 1 1 12 31111 6*")</f>
        <v>0</v>
      </c>
      <c r="H319" s="83"/>
      <c r="I319" s="83">
        <f t="shared" si="5"/>
        <v>36736.15</v>
      </c>
      <c r="K319" s="54" t="s">
        <v>15</v>
      </c>
    </row>
    <row r="320" spans="2:11" ht="12.75" x14ac:dyDescent="0.2">
      <c r="B320" s="82" t="s">
        <v>2098</v>
      </c>
      <c r="C320" s="82" t="s">
        <v>1990</v>
      </c>
      <c r="D320" s="54"/>
      <c r="E320" s="83">
        <f>SUMIFS(E321:E1474,K321:K1474,"0",B321:B1474,"2 1 5 1 1 12 31111 6 M59*")-SUMIFS(D321:D1474,K321:K1474,"0",B321:B1474,"2 1 5 1 1 12 31111 6 M59*")</f>
        <v>36736.15</v>
      </c>
      <c r="F320" s="83">
        <f>SUMIFS(F321:F1474,K321:K1474,"0",B321:B1474,"2 1 5 1 1 12 31111 6 M59*")</f>
        <v>0</v>
      </c>
      <c r="G320" s="83">
        <f>SUMIFS(G321:G1474,K321:K1474,"0",B321:B1474,"2 1 5 1 1 12 31111 6 M59*")</f>
        <v>0</v>
      </c>
      <c r="H320" s="83"/>
      <c r="I320" s="83">
        <f t="shared" si="5"/>
        <v>36736.15</v>
      </c>
      <c r="K320" s="54" t="s">
        <v>15</v>
      </c>
    </row>
    <row r="321" spans="2:11" ht="16.5" x14ac:dyDescent="0.2">
      <c r="B321" s="82" t="s">
        <v>2100</v>
      </c>
      <c r="C321" s="82" t="s">
        <v>46</v>
      </c>
      <c r="D321" s="54"/>
      <c r="E321" s="83">
        <f>SUMIFS(E322:E1474,K322:K1474,"0",B322:B1474,"2 1 5 1 1 12 31111 6 M59 00004*")-SUMIFS(D322:D1474,K322:K1474,"0",B322:B1474,"2 1 5 1 1 12 31111 6 M59 00004*")</f>
        <v>36736.15</v>
      </c>
      <c r="F321" s="83">
        <f>SUMIFS(F322:F1474,K322:K1474,"0",B322:B1474,"2 1 5 1 1 12 31111 6 M59 00004*")</f>
        <v>0</v>
      </c>
      <c r="G321" s="83">
        <f>SUMIFS(G322:G1474,K322:K1474,"0",B322:B1474,"2 1 5 1 1 12 31111 6 M59 00004*")</f>
        <v>0</v>
      </c>
      <c r="H321" s="83"/>
      <c r="I321" s="83">
        <f t="shared" si="5"/>
        <v>36736.15</v>
      </c>
      <c r="K321" s="54" t="s">
        <v>15</v>
      </c>
    </row>
    <row r="322" spans="2:11" ht="16.5" x14ac:dyDescent="0.2">
      <c r="B322" s="82" t="s">
        <v>2101</v>
      </c>
      <c r="C322" s="82" t="s">
        <v>42</v>
      </c>
      <c r="D322" s="54"/>
      <c r="E322" s="83">
        <f>SUMIFS(E323:E1474,K323:K1474,"0",B323:B1474,"2 1 5 1 1 12 31111 6 M59 00004 000001*")-SUMIFS(D323:D1474,K323:K1474,"0",B323:B1474,"2 1 5 1 1 12 31111 6 M59 00004 000001*")</f>
        <v>36736.15</v>
      </c>
      <c r="F322" s="83">
        <f>SUMIFS(F323:F1474,K323:K1474,"0",B323:B1474,"2 1 5 1 1 12 31111 6 M59 00004 000001*")</f>
        <v>0</v>
      </c>
      <c r="G322" s="83">
        <f>SUMIFS(G323:G1474,K323:K1474,"0",B323:B1474,"2 1 5 1 1 12 31111 6 M59 00004 000001*")</f>
        <v>0</v>
      </c>
      <c r="H322" s="83"/>
      <c r="I322" s="83">
        <f t="shared" si="5"/>
        <v>36736.15</v>
      </c>
      <c r="K322" s="54" t="s">
        <v>15</v>
      </c>
    </row>
    <row r="323" spans="2:11" ht="16.5" x14ac:dyDescent="0.2">
      <c r="B323" s="84" t="s">
        <v>2102</v>
      </c>
      <c r="C323" s="84" t="s">
        <v>2103</v>
      </c>
      <c r="D323" s="85"/>
      <c r="E323" s="85">
        <v>36736.15</v>
      </c>
      <c r="F323" s="85">
        <v>0</v>
      </c>
      <c r="G323" s="85">
        <v>0</v>
      </c>
      <c r="H323" s="85"/>
      <c r="I323" s="85">
        <f t="shared" si="5"/>
        <v>36736.15</v>
      </c>
      <c r="K323" s="54" t="s">
        <v>38</v>
      </c>
    </row>
    <row r="324" spans="2:11" ht="16.5" x14ac:dyDescent="0.2">
      <c r="B324" s="82" t="s">
        <v>2104</v>
      </c>
      <c r="C324" s="82" t="s">
        <v>2105</v>
      </c>
      <c r="D324" s="54"/>
      <c r="E324" s="83">
        <f>SUMIFS(E325:E1474,K325:K1474,"0",B325:B1474,"2 1 9*")-SUMIFS(D325:D1474,K325:K1474,"0",B325:B1474,"2 1 9*")</f>
        <v>743056.41</v>
      </c>
      <c r="F324" s="83">
        <f>SUMIFS(F325:F1474,K325:K1474,"0",B325:B1474,"2 1 9*")</f>
        <v>0</v>
      </c>
      <c r="G324" s="83">
        <f>SUMIFS(G325:G1474,K325:K1474,"0",B325:B1474,"2 1 9*")</f>
        <v>0</v>
      </c>
      <c r="H324" s="83"/>
      <c r="I324" s="83">
        <f t="shared" si="5"/>
        <v>743056.41</v>
      </c>
      <c r="K324" s="54" t="s">
        <v>15</v>
      </c>
    </row>
    <row r="325" spans="2:11" ht="12.75" x14ac:dyDescent="0.2">
      <c r="B325" s="82" t="s">
        <v>2106</v>
      </c>
      <c r="C325" s="82" t="s">
        <v>2107</v>
      </c>
      <c r="D325" s="54"/>
      <c r="E325" s="83">
        <f>SUMIFS(E326:E1474,K326:K1474,"0",B326:B1474,"2 1 9 1*")-SUMIFS(D326:D1474,K326:K1474,"0",B326:B1474,"2 1 9 1*")</f>
        <v>743056.41</v>
      </c>
      <c r="F325" s="83">
        <f>SUMIFS(F326:F1474,K326:K1474,"0",B326:B1474,"2 1 9 1*")</f>
        <v>0</v>
      </c>
      <c r="G325" s="83">
        <f>SUMIFS(G326:G1474,K326:K1474,"0",B326:B1474,"2 1 9 1*")</f>
        <v>0</v>
      </c>
      <c r="H325" s="83"/>
      <c r="I325" s="83">
        <f t="shared" si="5"/>
        <v>743056.41</v>
      </c>
      <c r="K325" s="54" t="s">
        <v>15</v>
      </c>
    </row>
    <row r="326" spans="2:11" ht="12.75" x14ac:dyDescent="0.2">
      <c r="B326" s="82" t="s">
        <v>2108</v>
      </c>
      <c r="C326" s="82" t="s">
        <v>2107</v>
      </c>
      <c r="D326" s="54"/>
      <c r="E326" s="83">
        <f>SUMIFS(E327:E1474,K327:K1474,"0",B327:B1474,"2 1 9 1 1*")-SUMIFS(D327:D1474,K327:K1474,"0",B327:B1474,"2 1 9 1 1*")</f>
        <v>743056.41</v>
      </c>
      <c r="F326" s="83">
        <f>SUMIFS(F327:F1474,K327:K1474,"0",B327:B1474,"2 1 9 1 1*")</f>
        <v>0</v>
      </c>
      <c r="G326" s="83">
        <f>SUMIFS(G327:G1474,K327:K1474,"0",B327:B1474,"2 1 9 1 1*")</f>
        <v>0</v>
      </c>
      <c r="H326" s="83"/>
      <c r="I326" s="83">
        <f t="shared" si="5"/>
        <v>743056.41</v>
      </c>
      <c r="K326" s="54" t="s">
        <v>15</v>
      </c>
    </row>
    <row r="327" spans="2:11" ht="12.75" x14ac:dyDescent="0.2">
      <c r="B327" s="82" t="s">
        <v>2109</v>
      </c>
      <c r="C327" s="82" t="s">
        <v>26</v>
      </c>
      <c r="D327" s="54"/>
      <c r="E327" s="83">
        <f>SUMIFS(E328:E1474,K328:K1474,"0",B328:B1474,"2 1 9 1 1 12*")-SUMIFS(D328:D1474,K328:K1474,"0",B328:B1474,"2 1 9 1 1 12*")</f>
        <v>743056.41</v>
      </c>
      <c r="F327" s="83">
        <f>SUMIFS(F328:F1474,K328:K1474,"0",B328:B1474,"2 1 9 1 1 12*")</f>
        <v>0</v>
      </c>
      <c r="G327" s="83">
        <f>SUMIFS(G328:G1474,K328:K1474,"0",B328:B1474,"2 1 9 1 1 12*")</f>
        <v>0</v>
      </c>
      <c r="H327" s="83"/>
      <c r="I327" s="83">
        <f t="shared" si="5"/>
        <v>743056.41</v>
      </c>
      <c r="K327" s="54" t="s">
        <v>15</v>
      </c>
    </row>
    <row r="328" spans="2:11" ht="16.5" x14ac:dyDescent="0.2">
      <c r="B328" s="82" t="s">
        <v>2110</v>
      </c>
      <c r="C328" s="82" t="s">
        <v>28</v>
      </c>
      <c r="D328" s="54"/>
      <c r="E328" s="83">
        <f>SUMIFS(E329:E1474,K329:K1474,"0",B329:B1474,"2 1 9 1 1 12 31111*")-SUMIFS(D329:D1474,K329:K1474,"0",B329:B1474,"2 1 9 1 1 12 31111*")</f>
        <v>743056.41</v>
      </c>
      <c r="F328" s="83">
        <f>SUMIFS(F329:F1474,K329:K1474,"0",B329:B1474,"2 1 9 1 1 12 31111*")</f>
        <v>0</v>
      </c>
      <c r="G328" s="83">
        <f>SUMIFS(G329:G1474,K329:K1474,"0",B329:B1474,"2 1 9 1 1 12 31111*")</f>
        <v>0</v>
      </c>
      <c r="H328" s="83"/>
      <c r="I328" s="83">
        <f t="shared" si="5"/>
        <v>743056.41</v>
      </c>
      <c r="K328" s="54" t="s">
        <v>15</v>
      </c>
    </row>
    <row r="329" spans="2:11" ht="12.75" x14ac:dyDescent="0.2">
      <c r="B329" s="82" t="s">
        <v>2111</v>
      </c>
      <c r="C329" s="82" t="s">
        <v>30</v>
      </c>
      <c r="D329" s="54"/>
      <c r="E329" s="83">
        <f>SUMIFS(E330:E1474,K330:K1474,"0",B330:B1474,"2 1 9 1 1 12 31111 6*")-SUMIFS(D330:D1474,K330:K1474,"0",B330:B1474,"2 1 9 1 1 12 31111 6*")</f>
        <v>743056.41</v>
      </c>
      <c r="F329" s="83">
        <f>SUMIFS(F330:F1474,K330:K1474,"0",B330:B1474,"2 1 9 1 1 12 31111 6*")</f>
        <v>0</v>
      </c>
      <c r="G329" s="83">
        <f>SUMIFS(G330:G1474,K330:K1474,"0",B330:B1474,"2 1 9 1 1 12 31111 6*")</f>
        <v>0</v>
      </c>
      <c r="H329" s="83"/>
      <c r="I329" s="83">
        <f t="shared" si="5"/>
        <v>743056.41</v>
      </c>
      <c r="K329" s="54" t="s">
        <v>15</v>
      </c>
    </row>
    <row r="330" spans="2:11" ht="12.75" x14ac:dyDescent="0.2">
      <c r="B330" s="82" t="s">
        <v>2112</v>
      </c>
      <c r="C330" s="82" t="s">
        <v>32</v>
      </c>
      <c r="D330" s="54"/>
      <c r="E330" s="83">
        <f>SUMIFS(E331:E1474,K331:K1474,"0",B331:B1474,"2 1 9 1 1 12 31111 6 M59*")-SUMIFS(D331:D1474,K331:K1474,"0",B331:B1474,"2 1 9 1 1 12 31111 6 M59*")</f>
        <v>743056.41</v>
      </c>
      <c r="F330" s="83">
        <f>SUMIFS(F331:F1474,K331:K1474,"0",B331:B1474,"2 1 9 1 1 12 31111 6 M59*")</f>
        <v>0</v>
      </c>
      <c r="G330" s="83">
        <f>SUMIFS(G331:G1474,K331:K1474,"0",B331:B1474,"2 1 9 1 1 12 31111 6 M59*")</f>
        <v>0</v>
      </c>
      <c r="H330" s="83"/>
      <c r="I330" s="83">
        <f t="shared" si="5"/>
        <v>743056.41</v>
      </c>
      <c r="K330" s="54" t="s">
        <v>15</v>
      </c>
    </row>
    <row r="331" spans="2:11" ht="16.5" x14ac:dyDescent="0.2">
      <c r="B331" s="82" t="s">
        <v>2120</v>
      </c>
      <c r="C331" s="82" t="s">
        <v>1364</v>
      </c>
      <c r="D331" s="54"/>
      <c r="E331" s="83">
        <f>SUMIFS(E332:E1474,K332:K1474,"0",B332:B1474,"2 1 9 1 1 12 31111 6 M59 00004*")-SUMIFS(D332:D1474,K332:K1474,"0",B332:B1474,"2 1 9 1 1 12 31111 6 M59 00004*")</f>
        <v>743056.41</v>
      </c>
      <c r="F331" s="83">
        <f>SUMIFS(F332:F1474,K332:K1474,"0",B332:B1474,"2 1 9 1 1 12 31111 6 M59 00004*")</f>
        <v>0</v>
      </c>
      <c r="G331" s="83">
        <f>SUMIFS(G332:G1474,K332:K1474,"0",B332:B1474,"2 1 9 1 1 12 31111 6 M59 00004*")</f>
        <v>0</v>
      </c>
      <c r="H331" s="83"/>
      <c r="I331" s="83">
        <f t="shared" si="5"/>
        <v>743056.41</v>
      </c>
      <c r="K331" s="54" t="s">
        <v>15</v>
      </c>
    </row>
    <row r="332" spans="2:11" ht="16.5" x14ac:dyDescent="0.2">
      <c r="B332" s="82" t="s">
        <v>2121</v>
      </c>
      <c r="C332" s="82" t="s">
        <v>42</v>
      </c>
      <c r="D332" s="54"/>
      <c r="E332" s="83">
        <f>SUMIFS(E333:E1474,K333:K1474,"0",B333:B1474,"2 1 9 1 1 12 31111 6 M59 00004 000001*")-SUMIFS(D333:D1474,K333:K1474,"0",B333:B1474,"2 1 9 1 1 12 31111 6 M59 00004 000001*")</f>
        <v>743056.41</v>
      </c>
      <c r="F332" s="83">
        <f>SUMIFS(F333:F1474,K333:K1474,"0",B333:B1474,"2 1 9 1 1 12 31111 6 M59 00004 000001*")</f>
        <v>0</v>
      </c>
      <c r="G332" s="83">
        <f>SUMIFS(G333:G1474,K333:K1474,"0",B333:B1474,"2 1 9 1 1 12 31111 6 M59 00004 000001*")</f>
        <v>0</v>
      </c>
      <c r="H332" s="83"/>
      <c r="I332" s="83">
        <f t="shared" si="5"/>
        <v>743056.41</v>
      </c>
      <c r="K332" s="54" t="s">
        <v>15</v>
      </c>
    </row>
    <row r="333" spans="2:11" ht="16.5" x14ac:dyDescent="0.2">
      <c r="B333" s="84" t="s">
        <v>2122</v>
      </c>
      <c r="C333" s="84" t="s">
        <v>2107</v>
      </c>
      <c r="D333" s="85"/>
      <c r="E333" s="85">
        <v>743056.41</v>
      </c>
      <c r="F333" s="85">
        <v>0</v>
      </c>
      <c r="G333" s="85">
        <v>0</v>
      </c>
      <c r="H333" s="85"/>
      <c r="I333" s="85">
        <f t="shared" si="5"/>
        <v>743056.41</v>
      </c>
      <c r="K333" s="54" t="s">
        <v>38</v>
      </c>
    </row>
    <row r="334" spans="2:11" ht="16.5" x14ac:dyDescent="0.2">
      <c r="B334" s="82" t="s">
        <v>2126</v>
      </c>
      <c r="C334" s="82" t="s">
        <v>2127</v>
      </c>
      <c r="D334" s="54"/>
      <c r="E334" s="83">
        <f>SUMIFS(E335:E1474,K335:K1474,"0",B335:B1474,"3*")-SUMIFS(D335:D1474,K335:K1474,"0",B335:B1474,"3*")</f>
        <v>5985813.2400000002</v>
      </c>
      <c r="F334" s="83">
        <f>SUMIFS(F335:F1474,K335:K1474,"0",B335:B1474,"3*")</f>
        <v>0</v>
      </c>
      <c r="G334" s="83">
        <f>SUMIFS(G335:G1474,K335:K1474,"0",B335:B1474,"3*")</f>
        <v>0</v>
      </c>
      <c r="H334" s="83"/>
      <c r="I334" s="83">
        <f t="shared" si="5"/>
        <v>5985813.2400000002</v>
      </c>
      <c r="K334" s="54" t="s">
        <v>15</v>
      </c>
    </row>
    <row r="335" spans="2:11" ht="24.75" x14ac:dyDescent="0.2">
      <c r="B335" s="82" t="s">
        <v>2128</v>
      </c>
      <c r="C335" s="82" t="s">
        <v>2129</v>
      </c>
      <c r="D335" s="54"/>
      <c r="E335" s="83">
        <f>SUMIFS(E336:E1474,K336:K1474,"0",B336:B1474,"3 1*")-SUMIFS(D336:D1474,K336:K1474,"0",B336:B1474,"3 1*")</f>
        <v>255750</v>
      </c>
      <c r="F335" s="83">
        <f>SUMIFS(F336:F1474,K336:K1474,"0",B336:B1474,"3 1*")</f>
        <v>0</v>
      </c>
      <c r="G335" s="83">
        <f>SUMIFS(G336:G1474,K336:K1474,"0",B336:B1474,"3 1*")</f>
        <v>0</v>
      </c>
      <c r="H335" s="83"/>
      <c r="I335" s="83">
        <f t="shared" si="5"/>
        <v>255750</v>
      </c>
      <c r="K335" s="54" t="s">
        <v>15</v>
      </c>
    </row>
    <row r="336" spans="2:11" ht="12.75" x14ac:dyDescent="0.2">
      <c r="B336" s="82" t="s">
        <v>2130</v>
      </c>
      <c r="C336" s="82" t="s">
        <v>2131</v>
      </c>
      <c r="D336" s="54"/>
      <c r="E336" s="83">
        <f>SUMIFS(E337:E1474,K337:K1474,"0",B337:B1474,"3 1 1*")-SUMIFS(D337:D1474,K337:K1474,"0",B337:B1474,"3 1 1*")</f>
        <v>255750</v>
      </c>
      <c r="F336" s="83">
        <f>SUMIFS(F337:F1474,K337:K1474,"0",B337:B1474,"3 1 1*")</f>
        <v>0</v>
      </c>
      <c r="G336" s="83">
        <f>SUMIFS(G337:G1474,K337:K1474,"0",B337:B1474,"3 1 1*")</f>
        <v>0</v>
      </c>
      <c r="H336" s="83"/>
      <c r="I336" s="83">
        <f t="shared" si="5"/>
        <v>255750</v>
      </c>
      <c r="K336" s="54" t="s">
        <v>15</v>
      </c>
    </row>
    <row r="337" spans="2:11" ht="12.75" x14ac:dyDescent="0.2">
      <c r="B337" s="82" t="s">
        <v>2132</v>
      </c>
      <c r="C337" s="82" t="s">
        <v>2131</v>
      </c>
      <c r="D337" s="54"/>
      <c r="E337" s="83">
        <f>SUMIFS(E338:E1474,K338:K1474,"0",B338:B1474,"3 1 1 1*")-SUMIFS(D338:D1474,K338:K1474,"0",B338:B1474,"3 1 1 1*")</f>
        <v>255750</v>
      </c>
      <c r="F337" s="83">
        <f>SUMIFS(F338:F1474,K338:K1474,"0",B338:B1474,"3 1 1 1*")</f>
        <v>0</v>
      </c>
      <c r="G337" s="83">
        <f>SUMIFS(G338:G1474,K338:K1474,"0",B338:B1474,"3 1 1 1*")</f>
        <v>0</v>
      </c>
      <c r="H337" s="83"/>
      <c r="I337" s="83">
        <f t="shared" si="5"/>
        <v>255750</v>
      </c>
      <c r="K337" s="54" t="s">
        <v>15</v>
      </c>
    </row>
    <row r="338" spans="2:11" ht="12.75" x14ac:dyDescent="0.2">
      <c r="B338" s="82" t="s">
        <v>2133</v>
      </c>
      <c r="C338" s="82" t="s">
        <v>2131</v>
      </c>
      <c r="D338" s="54"/>
      <c r="E338" s="83">
        <f>SUMIFS(E339:E1474,K339:K1474,"0",B339:B1474,"3 1 1 1 1*")-SUMIFS(D339:D1474,K339:K1474,"0",B339:B1474,"3 1 1 1 1*")</f>
        <v>255750</v>
      </c>
      <c r="F338" s="83">
        <f>SUMIFS(F339:F1474,K339:K1474,"0",B339:B1474,"3 1 1 1 1*")</f>
        <v>0</v>
      </c>
      <c r="G338" s="83">
        <f>SUMIFS(G339:G1474,K339:K1474,"0",B339:B1474,"3 1 1 1 1*")</f>
        <v>0</v>
      </c>
      <c r="H338" s="83"/>
      <c r="I338" s="83">
        <f t="shared" si="5"/>
        <v>255750</v>
      </c>
      <c r="K338" s="54" t="s">
        <v>15</v>
      </c>
    </row>
    <row r="339" spans="2:11" ht="12.75" x14ac:dyDescent="0.2">
      <c r="B339" s="82" t="s">
        <v>2134</v>
      </c>
      <c r="C339" s="82" t="s">
        <v>26</v>
      </c>
      <c r="D339" s="54"/>
      <c r="E339" s="83">
        <f>SUMIFS(E340:E1474,K340:K1474,"0",B340:B1474,"3 1 1 1 1 12*")-SUMIFS(D340:D1474,K340:K1474,"0",B340:B1474,"3 1 1 1 1 12*")</f>
        <v>255750</v>
      </c>
      <c r="F339" s="83">
        <f>SUMIFS(F340:F1474,K340:K1474,"0",B340:B1474,"3 1 1 1 1 12*")</f>
        <v>0</v>
      </c>
      <c r="G339" s="83">
        <f>SUMIFS(G340:G1474,K340:K1474,"0",B340:B1474,"3 1 1 1 1 12*")</f>
        <v>0</v>
      </c>
      <c r="H339" s="83"/>
      <c r="I339" s="83">
        <f t="shared" si="5"/>
        <v>255750</v>
      </c>
      <c r="K339" s="54" t="s">
        <v>15</v>
      </c>
    </row>
    <row r="340" spans="2:11" ht="16.5" x14ac:dyDescent="0.2">
      <c r="B340" s="82" t="s">
        <v>2135</v>
      </c>
      <c r="C340" s="82" t="s">
        <v>28</v>
      </c>
      <c r="D340" s="54"/>
      <c r="E340" s="83">
        <f>SUMIFS(E341:E1474,K341:K1474,"0",B341:B1474,"3 1 1 1 1 12 31111*")-SUMIFS(D341:D1474,K341:K1474,"0",B341:B1474,"3 1 1 1 1 12 31111*")</f>
        <v>255750</v>
      </c>
      <c r="F340" s="83">
        <f>SUMIFS(F341:F1474,K341:K1474,"0",B341:B1474,"3 1 1 1 1 12 31111*")</f>
        <v>0</v>
      </c>
      <c r="G340" s="83">
        <f>SUMIFS(G341:G1474,K341:K1474,"0",B341:B1474,"3 1 1 1 1 12 31111*")</f>
        <v>0</v>
      </c>
      <c r="H340" s="83"/>
      <c r="I340" s="83">
        <f t="shared" ref="I340:I403" si="6">E340 - F340 + G340</f>
        <v>255750</v>
      </c>
      <c r="K340" s="54" t="s">
        <v>15</v>
      </c>
    </row>
    <row r="341" spans="2:11" ht="12.75" x14ac:dyDescent="0.2">
      <c r="B341" s="82" t="s">
        <v>2136</v>
      </c>
      <c r="C341" s="82" t="s">
        <v>30</v>
      </c>
      <c r="D341" s="54"/>
      <c r="E341" s="83">
        <f>SUMIFS(E342:E1474,K342:K1474,"0",B342:B1474,"3 1 1 1 1 12 31111 6*")-SUMIFS(D342:D1474,K342:K1474,"0",B342:B1474,"3 1 1 1 1 12 31111 6*")</f>
        <v>255750</v>
      </c>
      <c r="F341" s="83">
        <f>SUMIFS(F342:F1474,K342:K1474,"0",B342:B1474,"3 1 1 1 1 12 31111 6*")</f>
        <v>0</v>
      </c>
      <c r="G341" s="83">
        <f>SUMIFS(G342:G1474,K342:K1474,"0",B342:B1474,"3 1 1 1 1 12 31111 6*")</f>
        <v>0</v>
      </c>
      <c r="H341" s="83"/>
      <c r="I341" s="83">
        <f t="shared" si="6"/>
        <v>255750</v>
      </c>
      <c r="K341" s="54" t="s">
        <v>15</v>
      </c>
    </row>
    <row r="342" spans="2:11" ht="12.75" x14ac:dyDescent="0.2">
      <c r="B342" s="82" t="s">
        <v>2137</v>
      </c>
      <c r="C342" s="82" t="s">
        <v>32</v>
      </c>
      <c r="D342" s="54"/>
      <c r="E342" s="83">
        <f>SUMIFS(E343:E1474,K343:K1474,"0",B343:B1474,"3 1 1 1 1 12 31111 6 M59*")-SUMIFS(D343:D1474,K343:K1474,"0",B343:B1474,"3 1 1 1 1 12 31111 6 M59*")</f>
        <v>255750</v>
      </c>
      <c r="F342" s="83">
        <f>SUMIFS(F343:F1474,K343:K1474,"0",B343:B1474,"3 1 1 1 1 12 31111 6 M59*")</f>
        <v>0</v>
      </c>
      <c r="G342" s="83">
        <f>SUMIFS(G343:G1474,K343:K1474,"0",B343:B1474,"3 1 1 1 1 12 31111 6 M59*")</f>
        <v>0</v>
      </c>
      <c r="H342" s="83"/>
      <c r="I342" s="83">
        <f t="shared" si="6"/>
        <v>255750</v>
      </c>
      <c r="K342" s="54" t="s">
        <v>15</v>
      </c>
    </row>
    <row r="343" spans="2:11" ht="16.5" x14ac:dyDescent="0.2">
      <c r="B343" s="82" t="s">
        <v>2143</v>
      </c>
      <c r="C343" s="82" t="s">
        <v>1364</v>
      </c>
      <c r="D343" s="54"/>
      <c r="E343" s="83">
        <f>SUMIFS(E344:E1474,K344:K1474,"0",B344:B1474,"3 1 1 1 1 12 31111 6 M59 00004*")-SUMIFS(D344:D1474,K344:K1474,"0",B344:B1474,"3 1 1 1 1 12 31111 6 M59 00004*")</f>
        <v>255750</v>
      </c>
      <c r="F343" s="83">
        <f>SUMIFS(F344:F1474,K344:K1474,"0",B344:B1474,"3 1 1 1 1 12 31111 6 M59 00004*")</f>
        <v>0</v>
      </c>
      <c r="G343" s="83">
        <f>SUMIFS(G344:G1474,K344:K1474,"0",B344:B1474,"3 1 1 1 1 12 31111 6 M59 00004*")</f>
        <v>0</v>
      </c>
      <c r="H343" s="83"/>
      <c r="I343" s="83">
        <f t="shared" si="6"/>
        <v>255750</v>
      </c>
      <c r="K343" s="54" t="s">
        <v>15</v>
      </c>
    </row>
    <row r="344" spans="2:11" ht="16.5" x14ac:dyDescent="0.2">
      <c r="B344" s="82" t="s">
        <v>2144</v>
      </c>
      <c r="C344" s="82" t="s">
        <v>2131</v>
      </c>
      <c r="D344" s="54"/>
      <c r="E344" s="83">
        <f>SUMIFS(E345:E1474,K345:K1474,"0",B345:B1474,"3 1 1 1 1 12 31111 6 M59 00004 000001*")-SUMIFS(D345:D1474,K345:K1474,"0",B345:B1474,"3 1 1 1 1 12 31111 6 M59 00004 000001*")</f>
        <v>255750</v>
      </c>
      <c r="F344" s="83">
        <f>SUMIFS(F345:F1474,K345:K1474,"0",B345:B1474,"3 1 1 1 1 12 31111 6 M59 00004 000001*")</f>
        <v>0</v>
      </c>
      <c r="G344" s="83">
        <f>SUMIFS(G345:G1474,K345:K1474,"0",B345:B1474,"3 1 1 1 1 12 31111 6 M59 00004 000001*")</f>
        <v>0</v>
      </c>
      <c r="H344" s="83"/>
      <c r="I344" s="83">
        <f t="shared" si="6"/>
        <v>255750</v>
      </c>
      <c r="K344" s="54" t="s">
        <v>15</v>
      </c>
    </row>
    <row r="345" spans="2:11" ht="16.5" x14ac:dyDescent="0.2">
      <c r="B345" s="84" t="s">
        <v>2145</v>
      </c>
      <c r="C345" s="84" t="s">
        <v>274</v>
      </c>
      <c r="D345" s="85"/>
      <c r="E345" s="85">
        <v>255750</v>
      </c>
      <c r="F345" s="85">
        <v>0</v>
      </c>
      <c r="G345" s="85">
        <v>0</v>
      </c>
      <c r="H345" s="85"/>
      <c r="I345" s="85">
        <f t="shared" si="6"/>
        <v>255750</v>
      </c>
      <c r="K345" s="54" t="s">
        <v>38</v>
      </c>
    </row>
    <row r="346" spans="2:11" ht="16.5" x14ac:dyDescent="0.2">
      <c r="B346" s="82" t="s">
        <v>2146</v>
      </c>
      <c r="C346" s="82" t="s">
        <v>2147</v>
      </c>
      <c r="D346" s="54"/>
      <c r="E346" s="83">
        <f>SUMIFS(E347:E1474,K347:K1474,"0",B347:B1474,"3 2*")-SUMIFS(D347:D1474,K347:K1474,"0",B347:B1474,"3 2*")</f>
        <v>5730063.2400000002</v>
      </c>
      <c r="F346" s="83">
        <f>SUMIFS(F347:F1474,K347:K1474,"0",B347:B1474,"3 2*")</f>
        <v>0</v>
      </c>
      <c r="G346" s="83">
        <f>SUMIFS(G347:G1474,K347:K1474,"0",B347:B1474,"3 2*")</f>
        <v>0</v>
      </c>
      <c r="H346" s="83"/>
      <c r="I346" s="83">
        <f t="shared" si="6"/>
        <v>5730063.2400000002</v>
      </c>
      <c r="K346" s="54" t="s">
        <v>15</v>
      </c>
    </row>
    <row r="347" spans="2:11" ht="16.5" x14ac:dyDescent="0.2">
      <c r="B347" s="82" t="s">
        <v>2148</v>
      </c>
      <c r="C347" s="82" t="s">
        <v>2149</v>
      </c>
      <c r="D347" s="54"/>
      <c r="E347" s="83">
        <f>SUMIFS(E348:E1474,K348:K1474,"0",B348:B1474,"3 2 1*")-SUMIFS(D348:D1474,K348:K1474,"0",B348:B1474,"3 2 1*")</f>
        <v>-2557428.92</v>
      </c>
      <c r="F347" s="83">
        <f>SUMIFS(F348:F1474,K348:K1474,"0",B348:B1474,"3 2 1*")</f>
        <v>0</v>
      </c>
      <c r="G347" s="83">
        <f>SUMIFS(G348:G1474,K348:K1474,"0",B348:B1474,"3 2 1*")</f>
        <v>0</v>
      </c>
      <c r="H347" s="83"/>
      <c r="I347" s="83">
        <f t="shared" si="6"/>
        <v>-2557428.92</v>
      </c>
      <c r="K347" s="54" t="s">
        <v>15</v>
      </c>
    </row>
    <row r="348" spans="2:11" ht="16.5" x14ac:dyDescent="0.2">
      <c r="B348" s="82" t="s">
        <v>2150</v>
      </c>
      <c r="C348" s="82" t="s">
        <v>2149</v>
      </c>
      <c r="D348" s="54"/>
      <c r="E348" s="83">
        <f>SUMIFS(E349:E1474,K349:K1474,"0",B349:B1474,"3 2 1 1*")-SUMIFS(D349:D1474,K349:K1474,"0",B349:B1474,"3 2 1 1*")</f>
        <v>-2557428.92</v>
      </c>
      <c r="F348" s="83">
        <f>SUMIFS(F349:F1474,K349:K1474,"0",B349:B1474,"3 2 1 1*")</f>
        <v>0</v>
      </c>
      <c r="G348" s="83">
        <f>SUMIFS(G349:G1474,K349:K1474,"0",B349:B1474,"3 2 1 1*")</f>
        <v>0</v>
      </c>
      <c r="H348" s="83"/>
      <c r="I348" s="83">
        <f t="shared" si="6"/>
        <v>-2557428.92</v>
      </c>
      <c r="K348" s="54" t="s">
        <v>15</v>
      </c>
    </row>
    <row r="349" spans="2:11" ht="16.5" x14ac:dyDescent="0.2">
      <c r="B349" s="82" t="s">
        <v>2151</v>
      </c>
      <c r="C349" s="82" t="s">
        <v>2149</v>
      </c>
      <c r="D349" s="54"/>
      <c r="E349" s="83">
        <f>SUMIFS(E350:E1474,K350:K1474,"0",B350:B1474,"3 2 1 1 1*")-SUMIFS(D350:D1474,K350:K1474,"0",B350:B1474,"3 2 1 1 1*")</f>
        <v>-2557428.92</v>
      </c>
      <c r="F349" s="83">
        <f>SUMIFS(F350:F1474,K350:K1474,"0",B350:B1474,"3 2 1 1 1*")</f>
        <v>0</v>
      </c>
      <c r="G349" s="83">
        <f>SUMIFS(G350:G1474,K350:K1474,"0",B350:B1474,"3 2 1 1 1*")</f>
        <v>0</v>
      </c>
      <c r="H349" s="83"/>
      <c r="I349" s="83">
        <f t="shared" si="6"/>
        <v>-2557428.92</v>
      </c>
      <c r="K349" s="54" t="s">
        <v>15</v>
      </c>
    </row>
    <row r="350" spans="2:11" ht="12.75" x14ac:dyDescent="0.2">
      <c r="B350" s="82" t="s">
        <v>2152</v>
      </c>
      <c r="C350" s="82" t="s">
        <v>26</v>
      </c>
      <c r="D350" s="54"/>
      <c r="E350" s="83">
        <f>SUMIFS(E351:E1474,K351:K1474,"0",B351:B1474,"3 2 1 1 1 12*")-SUMIFS(D351:D1474,K351:K1474,"0",B351:B1474,"3 2 1 1 1 12*")</f>
        <v>-2557428.92</v>
      </c>
      <c r="F350" s="83">
        <f>SUMIFS(F351:F1474,K351:K1474,"0",B351:B1474,"3 2 1 1 1 12*")</f>
        <v>0</v>
      </c>
      <c r="G350" s="83">
        <f>SUMIFS(G351:G1474,K351:K1474,"0",B351:B1474,"3 2 1 1 1 12*")</f>
        <v>0</v>
      </c>
      <c r="H350" s="83"/>
      <c r="I350" s="83">
        <f t="shared" si="6"/>
        <v>-2557428.92</v>
      </c>
      <c r="K350" s="54" t="s">
        <v>15</v>
      </c>
    </row>
    <row r="351" spans="2:11" ht="16.5" x14ac:dyDescent="0.2">
      <c r="B351" s="82" t="s">
        <v>2153</v>
      </c>
      <c r="C351" s="82" t="s">
        <v>28</v>
      </c>
      <c r="D351" s="54"/>
      <c r="E351" s="83">
        <f>SUMIFS(E352:E1474,K352:K1474,"0",B352:B1474,"3 2 1 1 1 12 31111*")-SUMIFS(D352:D1474,K352:K1474,"0",B352:B1474,"3 2 1 1 1 12 31111*")</f>
        <v>-2557428.92</v>
      </c>
      <c r="F351" s="83">
        <f>SUMIFS(F352:F1474,K352:K1474,"0",B352:B1474,"3 2 1 1 1 12 31111*")</f>
        <v>0</v>
      </c>
      <c r="G351" s="83">
        <f>SUMIFS(G352:G1474,K352:K1474,"0",B352:B1474,"3 2 1 1 1 12 31111*")</f>
        <v>0</v>
      </c>
      <c r="H351" s="83"/>
      <c r="I351" s="83">
        <f t="shared" si="6"/>
        <v>-2557428.92</v>
      </c>
      <c r="K351" s="54" t="s">
        <v>15</v>
      </c>
    </row>
    <row r="352" spans="2:11" ht="12.75" x14ac:dyDescent="0.2">
      <c r="B352" s="82" t="s">
        <v>2154</v>
      </c>
      <c r="C352" s="82" t="s">
        <v>30</v>
      </c>
      <c r="D352" s="54"/>
      <c r="E352" s="83">
        <f>SUMIFS(E353:E1474,K353:K1474,"0",B353:B1474,"3 2 1 1 1 12 31111 6*")-SUMIFS(D353:D1474,K353:K1474,"0",B353:B1474,"3 2 1 1 1 12 31111 6*")</f>
        <v>-2557428.92</v>
      </c>
      <c r="F352" s="83">
        <f>SUMIFS(F353:F1474,K353:K1474,"0",B353:B1474,"3 2 1 1 1 12 31111 6*")</f>
        <v>0</v>
      </c>
      <c r="G352" s="83">
        <f>SUMIFS(G353:G1474,K353:K1474,"0",B353:B1474,"3 2 1 1 1 12 31111 6*")</f>
        <v>0</v>
      </c>
      <c r="H352" s="83"/>
      <c r="I352" s="83">
        <f t="shared" si="6"/>
        <v>-2557428.92</v>
      </c>
      <c r="K352" s="54" t="s">
        <v>15</v>
      </c>
    </row>
    <row r="353" spans="2:11" ht="12.75" x14ac:dyDescent="0.2">
      <c r="B353" s="82" t="s">
        <v>2155</v>
      </c>
      <c r="C353" s="82" t="s">
        <v>32</v>
      </c>
      <c r="D353" s="54"/>
      <c r="E353" s="83">
        <f>SUMIFS(E354:E1474,K354:K1474,"0",B354:B1474,"3 2 1 1 1 12 31111 6 M59*")-SUMIFS(D354:D1474,K354:K1474,"0",B354:B1474,"3 2 1 1 1 12 31111 6 M59*")</f>
        <v>-2557428.92</v>
      </c>
      <c r="F353" s="83">
        <f>SUMIFS(F354:F1474,K354:K1474,"0",B354:B1474,"3 2 1 1 1 12 31111 6 M59*")</f>
        <v>0</v>
      </c>
      <c r="G353" s="83">
        <f>SUMIFS(G354:G1474,K354:K1474,"0",B354:B1474,"3 2 1 1 1 12 31111 6 M59*")</f>
        <v>0</v>
      </c>
      <c r="H353" s="83"/>
      <c r="I353" s="83">
        <f t="shared" si="6"/>
        <v>-2557428.92</v>
      </c>
      <c r="K353" s="54" t="s">
        <v>15</v>
      </c>
    </row>
    <row r="354" spans="2:11" ht="16.5" x14ac:dyDescent="0.2">
      <c r="B354" s="82" t="s">
        <v>2171</v>
      </c>
      <c r="C354" s="82" t="s">
        <v>1364</v>
      </c>
      <c r="D354" s="54"/>
      <c r="E354" s="83">
        <f>SUMIFS(E355:E1474,K355:K1474,"0",B355:B1474,"3 2 1 1 1 12 31111 6 M59 00004*")-SUMIFS(D355:D1474,K355:K1474,"0",B355:B1474,"3 2 1 1 1 12 31111 6 M59 00004*")</f>
        <v>-2557428.92</v>
      </c>
      <c r="F354" s="83">
        <f>SUMIFS(F355:F1474,K355:K1474,"0",B355:B1474,"3 2 1 1 1 12 31111 6 M59 00004*")</f>
        <v>0</v>
      </c>
      <c r="G354" s="83">
        <f>SUMIFS(G355:G1474,K355:K1474,"0",B355:B1474,"3 2 1 1 1 12 31111 6 M59 00004*")</f>
        <v>0</v>
      </c>
      <c r="H354" s="83"/>
      <c r="I354" s="83">
        <f t="shared" si="6"/>
        <v>-2557428.92</v>
      </c>
      <c r="K354" s="54" t="s">
        <v>15</v>
      </c>
    </row>
    <row r="355" spans="2:11" ht="16.5" x14ac:dyDescent="0.2">
      <c r="B355" s="82" t="s">
        <v>2172</v>
      </c>
      <c r="C355" s="82" t="s">
        <v>42</v>
      </c>
      <c r="D355" s="54"/>
      <c r="E355" s="83">
        <f>SUMIFS(E356:E1474,K356:K1474,"0",B356:B1474,"3 2 1 1 1 12 31111 6 M59 00004 000001*")-SUMIFS(D356:D1474,K356:K1474,"0",B356:B1474,"3 2 1 1 1 12 31111 6 M59 00004 000001*")</f>
        <v>-2557428.92</v>
      </c>
      <c r="F355" s="83">
        <f>SUMIFS(F356:F1474,K356:K1474,"0",B356:B1474,"3 2 1 1 1 12 31111 6 M59 00004 000001*")</f>
        <v>0</v>
      </c>
      <c r="G355" s="83">
        <f>SUMIFS(G356:G1474,K356:K1474,"0",B356:B1474,"3 2 1 1 1 12 31111 6 M59 00004 000001*")</f>
        <v>0</v>
      </c>
      <c r="H355" s="83"/>
      <c r="I355" s="83">
        <f t="shared" si="6"/>
        <v>-2557428.92</v>
      </c>
      <c r="K355" s="54" t="s">
        <v>15</v>
      </c>
    </row>
    <row r="356" spans="2:11" ht="16.5" x14ac:dyDescent="0.2">
      <c r="B356" s="84" t="s">
        <v>2173</v>
      </c>
      <c r="C356" s="84" t="s">
        <v>274</v>
      </c>
      <c r="D356" s="85"/>
      <c r="E356" s="85">
        <v>-2557428.92</v>
      </c>
      <c r="F356" s="85">
        <v>0</v>
      </c>
      <c r="G356" s="85">
        <v>0</v>
      </c>
      <c r="H356" s="85"/>
      <c r="I356" s="85">
        <f t="shared" si="6"/>
        <v>-2557428.92</v>
      </c>
      <c r="K356" s="54" t="s">
        <v>38</v>
      </c>
    </row>
    <row r="357" spans="2:11" ht="16.5" x14ac:dyDescent="0.2">
      <c r="B357" s="82" t="s">
        <v>2177</v>
      </c>
      <c r="C357" s="82" t="s">
        <v>2178</v>
      </c>
      <c r="D357" s="54"/>
      <c r="E357" s="83">
        <f>SUMIFS(E358:E1474,K358:K1474,"0",B358:B1474,"3 2 2*")-SUMIFS(D358:D1474,K358:K1474,"0",B358:B1474,"3 2 2*")</f>
        <v>8880410.5700000003</v>
      </c>
      <c r="F357" s="83">
        <f>SUMIFS(F358:F1474,K358:K1474,"0",B358:B1474,"3 2 2*")</f>
        <v>0</v>
      </c>
      <c r="G357" s="83">
        <f>SUMIFS(G358:G1474,K358:K1474,"0",B358:B1474,"3 2 2*")</f>
        <v>0</v>
      </c>
      <c r="H357" s="83"/>
      <c r="I357" s="83">
        <f t="shared" si="6"/>
        <v>8880410.5700000003</v>
      </c>
      <c r="K357" s="54" t="s">
        <v>15</v>
      </c>
    </row>
    <row r="358" spans="2:11" ht="16.5" x14ac:dyDescent="0.2">
      <c r="B358" s="82" t="s">
        <v>2179</v>
      </c>
      <c r="C358" s="82" t="s">
        <v>2178</v>
      </c>
      <c r="D358" s="54"/>
      <c r="E358" s="83">
        <f>SUMIFS(E359:E1474,K359:K1474,"0",B359:B1474,"3 2 2 1*")-SUMIFS(D359:D1474,K359:K1474,"0",B359:B1474,"3 2 2 1*")</f>
        <v>8880410.5700000003</v>
      </c>
      <c r="F358" s="83">
        <f>SUMIFS(F359:F1474,K359:K1474,"0",B359:B1474,"3 2 2 1*")</f>
        <v>0</v>
      </c>
      <c r="G358" s="83">
        <f>SUMIFS(G359:G1474,K359:K1474,"0",B359:B1474,"3 2 2 1*")</f>
        <v>0</v>
      </c>
      <c r="H358" s="83"/>
      <c r="I358" s="83">
        <f t="shared" si="6"/>
        <v>8880410.5700000003</v>
      </c>
      <c r="K358" s="54" t="s">
        <v>15</v>
      </c>
    </row>
    <row r="359" spans="2:11" ht="16.5" x14ac:dyDescent="0.2">
      <c r="B359" s="82" t="s">
        <v>2180</v>
      </c>
      <c r="C359" s="82" t="s">
        <v>2181</v>
      </c>
      <c r="D359" s="54"/>
      <c r="E359" s="83">
        <f>SUMIFS(E360:E1474,K360:K1474,"0",B360:B1474,"3 2 2 1 1*")-SUMIFS(D360:D1474,K360:K1474,"0",B360:B1474,"3 2 2 1 1*")</f>
        <v>8880410.5700000003</v>
      </c>
      <c r="F359" s="83">
        <f>SUMIFS(F360:F1474,K360:K1474,"0",B360:B1474,"3 2 2 1 1*")</f>
        <v>0</v>
      </c>
      <c r="G359" s="83">
        <f>SUMIFS(G360:G1474,K360:K1474,"0",B360:B1474,"3 2 2 1 1*")</f>
        <v>0</v>
      </c>
      <c r="H359" s="83"/>
      <c r="I359" s="83">
        <f t="shared" si="6"/>
        <v>8880410.5700000003</v>
      </c>
      <c r="K359" s="54" t="s">
        <v>15</v>
      </c>
    </row>
    <row r="360" spans="2:11" ht="12.75" x14ac:dyDescent="0.2">
      <c r="B360" s="82" t="s">
        <v>2182</v>
      </c>
      <c r="C360" s="82" t="s">
        <v>26</v>
      </c>
      <c r="D360" s="54"/>
      <c r="E360" s="83">
        <f>SUMIFS(E361:E1474,K361:K1474,"0",B361:B1474,"3 2 2 1 1 12*")-SUMIFS(D361:D1474,K361:K1474,"0",B361:B1474,"3 2 2 1 1 12*")</f>
        <v>8880410.5700000003</v>
      </c>
      <c r="F360" s="83">
        <f>SUMIFS(F361:F1474,K361:K1474,"0",B361:B1474,"3 2 2 1 1 12*")</f>
        <v>0</v>
      </c>
      <c r="G360" s="83">
        <f>SUMIFS(G361:G1474,K361:K1474,"0",B361:B1474,"3 2 2 1 1 12*")</f>
        <v>0</v>
      </c>
      <c r="H360" s="83"/>
      <c r="I360" s="83">
        <f t="shared" si="6"/>
        <v>8880410.5700000003</v>
      </c>
      <c r="K360" s="54" t="s">
        <v>15</v>
      </c>
    </row>
    <row r="361" spans="2:11" ht="16.5" x14ac:dyDescent="0.2">
      <c r="B361" s="82" t="s">
        <v>2183</v>
      </c>
      <c r="C361" s="82" t="s">
        <v>28</v>
      </c>
      <c r="D361" s="54"/>
      <c r="E361" s="83">
        <f>SUMIFS(E362:E1474,K362:K1474,"0",B362:B1474,"3 2 2 1 1 12 31111*")-SUMIFS(D362:D1474,K362:K1474,"0",B362:B1474,"3 2 2 1 1 12 31111*")</f>
        <v>8880410.5700000003</v>
      </c>
      <c r="F361" s="83">
        <f>SUMIFS(F362:F1474,K362:K1474,"0",B362:B1474,"3 2 2 1 1 12 31111*")</f>
        <v>0</v>
      </c>
      <c r="G361" s="83">
        <f>SUMIFS(G362:G1474,K362:K1474,"0",B362:B1474,"3 2 2 1 1 12 31111*")</f>
        <v>0</v>
      </c>
      <c r="H361" s="83"/>
      <c r="I361" s="83">
        <f t="shared" si="6"/>
        <v>8880410.5700000003</v>
      </c>
      <c r="K361" s="54" t="s">
        <v>15</v>
      </c>
    </row>
    <row r="362" spans="2:11" ht="12.75" x14ac:dyDescent="0.2">
      <c r="B362" s="82" t="s">
        <v>2184</v>
      </c>
      <c r="C362" s="82" t="s">
        <v>30</v>
      </c>
      <c r="D362" s="54"/>
      <c r="E362" s="83">
        <f>SUMIFS(E363:E1474,K363:K1474,"0",B363:B1474,"3 2 2 1 1 12 31111 6*")-SUMIFS(D363:D1474,K363:K1474,"0",B363:B1474,"3 2 2 1 1 12 31111 6*")</f>
        <v>8880410.5700000003</v>
      </c>
      <c r="F362" s="83">
        <f>SUMIFS(F363:F1474,K363:K1474,"0",B363:B1474,"3 2 2 1 1 12 31111 6*")</f>
        <v>0</v>
      </c>
      <c r="G362" s="83">
        <f>SUMIFS(G363:G1474,K363:K1474,"0",B363:B1474,"3 2 2 1 1 12 31111 6*")</f>
        <v>0</v>
      </c>
      <c r="H362" s="83"/>
      <c r="I362" s="83">
        <f t="shared" si="6"/>
        <v>8880410.5700000003</v>
      </c>
      <c r="K362" s="54" t="s">
        <v>15</v>
      </c>
    </row>
    <row r="363" spans="2:11" ht="16.5" x14ac:dyDescent="0.2">
      <c r="B363" s="82" t="s">
        <v>2185</v>
      </c>
      <c r="C363" s="82" t="s">
        <v>32</v>
      </c>
      <c r="D363" s="54"/>
      <c r="E363" s="83">
        <f>SUMIFS(E364:E1474,K364:K1474,"0",B364:B1474,"3 2 2 1 1 12 31111 6 M59*")-SUMIFS(D364:D1474,K364:K1474,"0",B364:B1474,"3 2 2 1 1 12 31111 6 M59*")</f>
        <v>8880410.5700000003</v>
      </c>
      <c r="F363" s="83">
        <f>SUMIFS(F364:F1474,K364:K1474,"0",B364:B1474,"3 2 2 1 1 12 31111 6 M59*")</f>
        <v>0</v>
      </c>
      <c r="G363" s="83">
        <f>SUMIFS(G364:G1474,K364:K1474,"0",B364:B1474,"3 2 2 1 1 12 31111 6 M59*")</f>
        <v>0</v>
      </c>
      <c r="H363" s="83"/>
      <c r="I363" s="83">
        <f t="shared" si="6"/>
        <v>8880410.5700000003</v>
      </c>
      <c r="K363" s="54" t="s">
        <v>15</v>
      </c>
    </row>
    <row r="364" spans="2:11" ht="16.5" x14ac:dyDescent="0.2">
      <c r="B364" s="82" t="s">
        <v>2202</v>
      </c>
      <c r="C364" s="82" t="s">
        <v>1364</v>
      </c>
      <c r="D364" s="54"/>
      <c r="E364" s="83">
        <f>SUMIFS(E365:E1474,K365:K1474,"0",B365:B1474,"3 2 2 1 1 12 31111 6 M59 00004*")-SUMIFS(D365:D1474,K365:K1474,"0",B365:B1474,"3 2 2 1 1 12 31111 6 M59 00004*")</f>
        <v>8880410.5700000003</v>
      </c>
      <c r="F364" s="83">
        <f>SUMIFS(F365:F1474,K365:K1474,"0",B365:B1474,"3 2 2 1 1 12 31111 6 M59 00004*")</f>
        <v>0</v>
      </c>
      <c r="G364" s="83">
        <f>SUMIFS(G365:G1474,K365:K1474,"0",B365:B1474,"3 2 2 1 1 12 31111 6 M59 00004*")</f>
        <v>0</v>
      </c>
      <c r="H364" s="83"/>
      <c r="I364" s="83">
        <f t="shared" si="6"/>
        <v>8880410.5700000003</v>
      </c>
      <c r="K364" s="54" t="s">
        <v>15</v>
      </c>
    </row>
    <row r="365" spans="2:11" ht="16.5" x14ac:dyDescent="0.2">
      <c r="B365" s="84" t="s">
        <v>2203</v>
      </c>
      <c r="C365" s="84" t="s">
        <v>2170</v>
      </c>
      <c r="D365" s="85"/>
      <c r="E365" s="85">
        <v>944780.2</v>
      </c>
      <c r="F365" s="85">
        <v>0</v>
      </c>
      <c r="G365" s="85">
        <v>0</v>
      </c>
      <c r="H365" s="85"/>
      <c r="I365" s="85">
        <f t="shared" si="6"/>
        <v>944780.2</v>
      </c>
      <c r="K365" s="54" t="s">
        <v>38</v>
      </c>
    </row>
    <row r="366" spans="2:11" ht="16.5" x14ac:dyDescent="0.2">
      <c r="B366" s="84" t="s">
        <v>2204</v>
      </c>
      <c r="C366" s="84" t="s">
        <v>2165</v>
      </c>
      <c r="D366" s="85"/>
      <c r="E366" s="85">
        <v>7935630.3700000001</v>
      </c>
      <c r="F366" s="85">
        <v>0</v>
      </c>
      <c r="G366" s="85">
        <v>0</v>
      </c>
      <c r="H366" s="85"/>
      <c r="I366" s="85">
        <f t="shared" si="6"/>
        <v>7935630.3700000001</v>
      </c>
      <c r="K366" s="54" t="s">
        <v>38</v>
      </c>
    </row>
    <row r="367" spans="2:11" ht="24.75" x14ac:dyDescent="0.2">
      <c r="B367" s="82" t="s">
        <v>2250</v>
      </c>
      <c r="C367" s="82" t="s">
        <v>2251</v>
      </c>
      <c r="D367" s="54"/>
      <c r="E367" s="83">
        <f>SUMIFS(E368:E1474,K368:K1474,"0",B368:B1474,"3 2 5*")-SUMIFS(D368:D1474,K368:K1474,"0",B368:B1474,"3 2 5*")</f>
        <v>-592918.41</v>
      </c>
      <c r="F367" s="83">
        <f>SUMIFS(F368:F1474,K368:K1474,"0",B368:B1474,"3 2 5*")</f>
        <v>0</v>
      </c>
      <c r="G367" s="83">
        <f>SUMIFS(G368:G1474,K368:K1474,"0",B368:B1474,"3 2 5*")</f>
        <v>0</v>
      </c>
      <c r="H367" s="83"/>
      <c r="I367" s="83">
        <f t="shared" si="6"/>
        <v>-592918.41</v>
      </c>
      <c r="K367" s="54" t="s">
        <v>15</v>
      </c>
    </row>
    <row r="368" spans="2:11" ht="16.5" x14ac:dyDescent="0.2">
      <c r="B368" s="82" t="s">
        <v>2252</v>
      </c>
      <c r="C368" s="82" t="s">
        <v>2253</v>
      </c>
      <c r="D368" s="54"/>
      <c r="E368" s="83">
        <f>SUMIFS(E369:E1474,K369:K1474,"0",B369:B1474,"3 2 5 2*")-SUMIFS(D369:D1474,K369:K1474,"0",B369:B1474,"3 2 5 2*")</f>
        <v>-592918.41</v>
      </c>
      <c r="F368" s="83">
        <f>SUMIFS(F369:F1474,K369:K1474,"0",B369:B1474,"3 2 5 2*")</f>
        <v>0</v>
      </c>
      <c r="G368" s="83">
        <f>SUMIFS(G369:G1474,K369:K1474,"0",B369:B1474,"3 2 5 2*")</f>
        <v>0</v>
      </c>
      <c r="H368" s="83"/>
      <c r="I368" s="83">
        <f t="shared" si="6"/>
        <v>-592918.41</v>
      </c>
      <c r="K368" s="54" t="s">
        <v>15</v>
      </c>
    </row>
    <row r="369" spans="2:11" ht="16.5" x14ac:dyDescent="0.2">
      <c r="B369" s="82" t="s">
        <v>2254</v>
      </c>
      <c r="C369" s="82" t="s">
        <v>2253</v>
      </c>
      <c r="D369" s="54"/>
      <c r="E369" s="83">
        <f>SUMIFS(E370:E1474,K370:K1474,"0",B370:B1474,"3 2 5 2 1*")-SUMIFS(D370:D1474,K370:K1474,"0",B370:B1474,"3 2 5 2 1*")</f>
        <v>-592918.41</v>
      </c>
      <c r="F369" s="83">
        <f>SUMIFS(F370:F1474,K370:K1474,"0",B370:B1474,"3 2 5 2 1*")</f>
        <v>0</v>
      </c>
      <c r="G369" s="83">
        <f>SUMIFS(G370:G1474,K370:K1474,"0",B370:B1474,"3 2 5 2 1*")</f>
        <v>0</v>
      </c>
      <c r="H369" s="83"/>
      <c r="I369" s="83">
        <f t="shared" si="6"/>
        <v>-592918.41</v>
      </c>
      <c r="K369" s="54" t="s">
        <v>15</v>
      </c>
    </row>
    <row r="370" spans="2:11" ht="12.75" x14ac:dyDescent="0.2">
      <c r="B370" s="82" t="s">
        <v>2255</v>
      </c>
      <c r="C370" s="82" t="s">
        <v>26</v>
      </c>
      <c r="D370" s="54"/>
      <c r="E370" s="83">
        <f>SUMIFS(E371:E1474,K371:K1474,"0",B371:B1474,"3 2 5 2 1 12*")-SUMIFS(D371:D1474,K371:K1474,"0",B371:B1474,"3 2 5 2 1 12*")</f>
        <v>-592918.41</v>
      </c>
      <c r="F370" s="83">
        <f>SUMIFS(F371:F1474,K371:K1474,"0",B371:B1474,"3 2 5 2 1 12*")</f>
        <v>0</v>
      </c>
      <c r="G370" s="83">
        <f>SUMIFS(G371:G1474,K371:K1474,"0",B371:B1474,"3 2 5 2 1 12*")</f>
        <v>0</v>
      </c>
      <c r="H370" s="83"/>
      <c r="I370" s="83">
        <f t="shared" si="6"/>
        <v>-592918.41</v>
      </c>
      <c r="K370" s="54" t="s">
        <v>15</v>
      </c>
    </row>
    <row r="371" spans="2:11" ht="16.5" x14ac:dyDescent="0.2">
      <c r="B371" s="82" t="s">
        <v>2256</v>
      </c>
      <c r="C371" s="82" t="s">
        <v>28</v>
      </c>
      <c r="D371" s="54"/>
      <c r="E371" s="83">
        <f>SUMIFS(E372:E1474,K372:K1474,"0",B372:B1474,"3 2 5 2 1 12 31111*")-SUMIFS(D372:D1474,K372:K1474,"0",B372:B1474,"3 2 5 2 1 12 31111*")</f>
        <v>-592918.41</v>
      </c>
      <c r="F371" s="83">
        <f>SUMIFS(F372:F1474,K372:K1474,"0",B372:B1474,"3 2 5 2 1 12 31111*")</f>
        <v>0</v>
      </c>
      <c r="G371" s="83">
        <f>SUMIFS(G372:G1474,K372:K1474,"0",B372:B1474,"3 2 5 2 1 12 31111*")</f>
        <v>0</v>
      </c>
      <c r="H371" s="83"/>
      <c r="I371" s="83">
        <f t="shared" si="6"/>
        <v>-592918.41</v>
      </c>
      <c r="K371" s="54" t="s">
        <v>15</v>
      </c>
    </row>
    <row r="372" spans="2:11" ht="12.75" x14ac:dyDescent="0.2">
      <c r="B372" s="82" t="s">
        <v>2257</v>
      </c>
      <c r="C372" s="82" t="s">
        <v>30</v>
      </c>
      <c r="D372" s="54"/>
      <c r="E372" s="83">
        <f>SUMIFS(E373:E1474,K373:K1474,"0",B373:B1474,"3 2 5 2 1 12 31111 6*")-SUMIFS(D373:D1474,K373:K1474,"0",B373:B1474,"3 2 5 2 1 12 31111 6*")</f>
        <v>-592918.41</v>
      </c>
      <c r="F372" s="83">
        <f>SUMIFS(F373:F1474,K373:K1474,"0",B373:B1474,"3 2 5 2 1 12 31111 6*")</f>
        <v>0</v>
      </c>
      <c r="G372" s="83">
        <f>SUMIFS(G373:G1474,K373:K1474,"0",B373:B1474,"3 2 5 2 1 12 31111 6*")</f>
        <v>0</v>
      </c>
      <c r="H372" s="83"/>
      <c r="I372" s="83">
        <f t="shared" si="6"/>
        <v>-592918.41</v>
      </c>
      <c r="K372" s="54" t="s">
        <v>15</v>
      </c>
    </row>
    <row r="373" spans="2:11" ht="16.5" x14ac:dyDescent="0.2">
      <c r="B373" s="82" t="s">
        <v>2258</v>
      </c>
      <c r="C373" s="82" t="s">
        <v>32</v>
      </c>
      <c r="D373" s="54"/>
      <c r="E373" s="83">
        <f>SUMIFS(E374:E1474,K374:K1474,"0",B374:B1474,"3 2 5 2 1 12 31111 6 M59*")-SUMIFS(D374:D1474,K374:K1474,"0",B374:B1474,"3 2 5 2 1 12 31111 6 M59*")</f>
        <v>-592918.41</v>
      </c>
      <c r="F373" s="83">
        <f>SUMIFS(F374:F1474,K374:K1474,"0",B374:B1474,"3 2 5 2 1 12 31111 6 M59*")</f>
        <v>0</v>
      </c>
      <c r="G373" s="83">
        <f>SUMIFS(G374:G1474,K374:K1474,"0",B374:B1474,"3 2 5 2 1 12 31111 6 M59*")</f>
        <v>0</v>
      </c>
      <c r="H373" s="83"/>
      <c r="I373" s="83">
        <f t="shared" si="6"/>
        <v>-592918.41</v>
      </c>
      <c r="K373" s="54" t="s">
        <v>15</v>
      </c>
    </row>
    <row r="374" spans="2:11" ht="16.5" x14ac:dyDescent="0.2">
      <c r="B374" s="82" t="s">
        <v>2265</v>
      </c>
      <c r="C374" s="82" t="s">
        <v>1364</v>
      </c>
      <c r="D374" s="54"/>
      <c r="E374" s="83">
        <f>SUMIFS(E375:E1474,K375:K1474,"0",B375:B1474,"3 2 5 2 1 12 31111 6 M59 00004*")-SUMIFS(D375:D1474,K375:K1474,"0",B375:B1474,"3 2 5 2 1 12 31111 6 M59 00004*")</f>
        <v>-592918.41</v>
      </c>
      <c r="F374" s="83">
        <f>SUMIFS(F375:F1474,K375:K1474,"0",B375:B1474,"3 2 5 2 1 12 31111 6 M59 00004*")</f>
        <v>0</v>
      </c>
      <c r="G374" s="83">
        <f>SUMIFS(G375:G1474,K375:K1474,"0",B375:B1474,"3 2 5 2 1 12 31111 6 M59 00004*")</f>
        <v>0</v>
      </c>
      <c r="H374" s="83"/>
      <c r="I374" s="83">
        <f t="shared" si="6"/>
        <v>-592918.41</v>
      </c>
      <c r="K374" s="54" t="s">
        <v>15</v>
      </c>
    </row>
    <row r="375" spans="2:11" ht="16.5" x14ac:dyDescent="0.2">
      <c r="B375" s="82" t="s">
        <v>2266</v>
      </c>
      <c r="C375" s="82" t="s">
        <v>42</v>
      </c>
      <c r="D375" s="54"/>
      <c r="E375" s="83">
        <f>SUMIFS(E376:E1474,K376:K1474,"0",B376:B1474,"3 2 5 2 1 12 31111 6 M59 00004 000001*")-SUMIFS(D376:D1474,K376:K1474,"0",B376:B1474,"3 2 5 2 1 12 31111 6 M59 00004 000001*")</f>
        <v>-592918.41</v>
      </c>
      <c r="F375" s="83">
        <f>SUMIFS(F376:F1474,K376:K1474,"0",B376:B1474,"3 2 5 2 1 12 31111 6 M59 00004 000001*")</f>
        <v>0</v>
      </c>
      <c r="G375" s="83">
        <f>SUMIFS(G376:G1474,K376:K1474,"0",B376:B1474,"3 2 5 2 1 12 31111 6 M59 00004 000001*")</f>
        <v>0</v>
      </c>
      <c r="H375" s="83"/>
      <c r="I375" s="83">
        <f t="shared" si="6"/>
        <v>-592918.41</v>
      </c>
      <c r="K375" s="54" t="s">
        <v>15</v>
      </c>
    </row>
    <row r="376" spans="2:11" ht="16.5" x14ac:dyDescent="0.2">
      <c r="B376" s="84" t="s">
        <v>2267</v>
      </c>
      <c r="C376" s="84" t="s">
        <v>2268</v>
      </c>
      <c r="D376" s="85"/>
      <c r="E376" s="85">
        <v>-592918.41</v>
      </c>
      <c r="F376" s="85">
        <v>0</v>
      </c>
      <c r="G376" s="85">
        <v>0</v>
      </c>
      <c r="H376" s="85"/>
      <c r="I376" s="85">
        <f t="shared" si="6"/>
        <v>-592918.41</v>
      </c>
      <c r="K376" s="54" t="s">
        <v>38</v>
      </c>
    </row>
    <row r="377" spans="2:11" ht="16.5" x14ac:dyDescent="0.2">
      <c r="B377" s="82" t="s">
        <v>2271</v>
      </c>
      <c r="C377" s="82" t="s">
        <v>2272</v>
      </c>
      <c r="D377" s="54"/>
      <c r="E377" s="83">
        <f>SUMIFS(E378:E1474,K378:K1474,"0",B378:B1474,"4*")-SUMIFS(D378:D1474,K378:K1474,"0",B378:B1474,"4*")</f>
        <v>22459653.539999995</v>
      </c>
      <c r="F377" s="83">
        <f>SUMIFS(F378:F1474,K378:K1474,"0",B378:B1474,"4*")</f>
        <v>3607.5</v>
      </c>
      <c r="G377" s="83">
        <f>SUMIFS(G378:G1474,K378:K1474,"0",B378:B1474,"4*")</f>
        <v>1362706.08</v>
      </c>
      <c r="H377" s="83"/>
      <c r="I377" s="83">
        <f t="shared" si="6"/>
        <v>23818752.119999997</v>
      </c>
      <c r="K377" s="54" t="s">
        <v>15</v>
      </c>
    </row>
    <row r="378" spans="2:11" ht="12.75" x14ac:dyDescent="0.2">
      <c r="B378" s="82" t="s">
        <v>2273</v>
      </c>
      <c r="C378" s="82" t="s">
        <v>2274</v>
      </c>
      <c r="D378" s="54"/>
      <c r="E378" s="83">
        <f>SUMIFS(E379:E1474,K379:K1474,"0",B379:B1474,"4 1*")-SUMIFS(D379:D1474,K379:K1474,"0",B379:B1474,"4 1*")</f>
        <v>21295273.539999995</v>
      </c>
      <c r="F378" s="83">
        <f>SUMIFS(F379:F1474,K379:K1474,"0",B379:B1474,"4 1*")</f>
        <v>3607.5</v>
      </c>
      <c r="G378" s="83">
        <f>SUMIFS(G379:G1474,K379:K1474,"0",B379:B1474,"4 1*")</f>
        <v>416867.08</v>
      </c>
      <c r="H378" s="83"/>
      <c r="I378" s="83">
        <f t="shared" si="6"/>
        <v>21708533.119999994</v>
      </c>
      <c r="K378" s="54" t="s">
        <v>15</v>
      </c>
    </row>
    <row r="379" spans="2:11" ht="12.75" x14ac:dyDescent="0.2">
      <c r="B379" s="82" t="s">
        <v>2275</v>
      </c>
      <c r="C379" s="82" t="s">
        <v>2276</v>
      </c>
      <c r="D379" s="54"/>
      <c r="E379" s="83">
        <f>SUMIFS(E380:E1474,K380:K1474,"0",B380:B1474,"4 1 1*")-SUMIFS(D380:D1474,K380:K1474,"0",B380:B1474,"4 1 1*")</f>
        <v>497321.66</v>
      </c>
      <c r="F379" s="83">
        <f>SUMIFS(F380:F1474,K380:K1474,"0",B380:B1474,"4 1 1*")</f>
        <v>0</v>
      </c>
      <c r="G379" s="83">
        <f>SUMIFS(G380:G1474,K380:K1474,"0",B380:B1474,"4 1 1*")</f>
        <v>111428.85</v>
      </c>
      <c r="H379" s="83"/>
      <c r="I379" s="83">
        <f t="shared" si="6"/>
        <v>608750.51</v>
      </c>
      <c r="K379" s="54" t="s">
        <v>15</v>
      </c>
    </row>
    <row r="380" spans="2:11" ht="16.5" x14ac:dyDescent="0.2">
      <c r="B380" s="82" t="s">
        <v>2277</v>
      </c>
      <c r="C380" s="82" t="s">
        <v>2278</v>
      </c>
      <c r="D380" s="54"/>
      <c r="E380" s="83">
        <f>SUMIFS(E381:E1474,K381:K1474,"0",B381:B1474,"4 1 1 1*")-SUMIFS(D381:D1474,K381:K1474,"0",B381:B1474,"4 1 1 1*")</f>
        <v>0</v>
      </c>
      <c r="F380" s="83">
        <f>SUMIFS(F381:F1474,K381:K1474,"0",B381:B1474,"4 1 1 1*")</f>
        <v>0</v>
      </c>
      <c r="G380" s="83">
        <f>SUMIFS(G381:G1474,K381:K1474,"0",B381:B1474,"4 1 1 1*")</f>
        <v>300</v>
      </c>
      <c r="H380" s="83"/>
      <c r="I380" s="83">
        <f t="shared" si="6"/>
        <v>300</v>
      </c>
      <c r="K380" s="54" t="s">
        <v>15</v>
      </c>
    </row>
    <row r="381" spans="2:11" ht="16.5" x14ac:dyDescent="0.2">
      <c r="B381" s="82" t="s">
        <v>2279</v>
      </c>
      <c r="C381" s="82" t="s">
        <v>2278</v>
      </c>
      <c r="D381" s="54"/>
      <c r="E381" s="83">
        <f>SUMIFS(E382:E1474,K382:K1474,"0",B382:B1474,"4 1 1 1 1*")-SUMIFS(D382:D1474,K382:K1474,"0",B382:B1474,"4 1 1 1 1*")</f>
        <v>0</v>
      </c>
      <c r="F381" s="83">
        <f>SUMIFS(F382:F1474,K382:K1474,"0",B382:B1474,"4 1 1 1 1*")</f>
        <v>0</v>
      </c>
      <c r="G381" s="83">
        <f>SUMIFS(G382:G1474,K382:K1474,"0",B382:B1474,"4 1 1 1 1*")</f>
        <v>300</v>
      </c>
      <c r="H381" s="83"/>
      <c r="I381" s="83">
        <f t="shared" si="6"/>
        <v>300</v>
      </c>
      <c r="K381" s="54" t="s">
        <v>15</v>
      </c>
    </row>
    <row r="382" spans="2:11" ht="12.75" x14ac:dyDescent="0.2">
      <c r="B382" s="82" t="s">
        <v>2280</v>
      </c>
      <c r="C382" s="82" t="s">
        <v>26</v>
      </c>
      <c r="D382" s="54"/>
      <c r="E382" s="83">
        <f>SUMIFS(E383:E1474,K383:K1474,"0",B383:B1474,"4 1 1 1 1 12*")-SUMIFS(D383:D1474,K383:K1474,"0",B383:B1474,"4 1 1 1 1 12*")</f>
        <v>0</v>
      </c>
      <c r="F382" s="83">
        <f>SUMIFS(F383:F1474,K383:K1474,"0",B383:B1474,"4 1 1 1 1 12*")</f>
        <v>0</v>
      </c>
      <c r="G382" s="83">
        <f>SUMIFS(G383:G1474,K383:K1474,"0",B383:B1474,"4 1 1 1 1 12*")</f>
        <v>300</v>
      </c>
      <c r="H382" s="83"/>
      <c r="I382" s="83">
        <f t="shared" si="6"/>
        <v>300</v>
      </c>
      <c r="K382" s="54" t="s">
        <v>15</v>
      </c>
    </row>
    <row r="383" spans="2:11" ht="16.5" x14ac:dyDescent="0.2">
      <c r="B383" s="82" t="s">
        <v>2281</v>
      </c>
      <c r="C383" s="82" t="s">
        <v>28</v>
      </c>
      <c r="D383" s="54"/>
      <c r="E383" s="83">
        <f>SUMIFS(E384:E1474,K384:K1474,"0",B384:B1474,"4 1 1 1 1 12 31111*")-SUMIFS(D384:D1474,K384:K1474,"0",B384:B1474,"4 1 1 1 1 12 31111*")</f>
        <v>0</v>
      </c>
      <c r="F383" s="83">
        <f>SUMIFS(F384:F1474,K384:K1474,"0",B384:B1474,"4 1 1 1 1 12 31111*")</f>
        <v>0</v>
      </c>
      <c r="G383" s="83">
        <f>SUMIFS(G384:G1474,K384:K1474,"0",B384:B1474,"4 1 1 1 1 12 31111*")</f>
        <v>300</v>
      </c>
      <c r="H383" s="83"/>
      <c r="I383" s="83">
        <f t="shared" si="6"/>
        <v>300</v>
      </c>
      <c r="K383" s="54" t="s">
        <v>15</v>
      </c>
    </row>
    <row r="384" spans="2:11" ht="12.75" x14ac:dyDescent="0.2">
      <c r="B384" s="82" t="s">
        <v>2282</v>
      </c>
      <c r="C384" s="82" t="s">
        <v>30</v>
      </c>
      <c r="D384" s="54"/>
      <c r="E384" s="83">
        <f>SUMIFS(E385:E1474,K385:K1474,"0",B385:B1474,"4 1 1 1 1 12 31111 6*")-SUMIFS(D385:D1474,K385:K1474,"0",B385:B1474,"4 1 1 1 1 12 31111 6*")</f>
        <v>0</v>
      </c>
      <c r="F384" s="83">
        <f>SUMIFS(F385:F1474,K385:K1474,"0",B385:B1474,"4 1 1 1 1 12 31111 6*")</f>
        <v>0</v>
      </c>
      <c r="G384" s="83">
        <f>SUMIFS(G385:G1474,K385:K1474,"0",B385:B1474,"4 1 1 1 1 12 31111 6*")</f>
        <v>300</v>
      </c>
      <c r="H384" s="83"/>
      <c r="I384" s="83">
        <f t="shared" si="6"/>
        <v>300</v>
      </c>
      <c r="K384" s="54" t="s">
        <v>15</v>
      </c>
    </row>
    <row r="385" spans="2:11" ht="16.5" x14ac:dyDescent="0.2">
      <c r="B385" s="82" t="s">
        <v>2283</v>
      </c>
      <c r="C385" s="82" t="s">
        <v>2284</v>
      </c>
      <c r="D385" s="54"/>
      <c r="E385" s="83">
        <f>SUMIFS(E386:E1474,K386:K1474,"0",B386:B1474,"4 1 1 1 1 12 31111 6 M59*")-SUMIFS(D386:D1474,K386:K1474,"0",B386:B1474,"4 1 1 1 1 12 31111 6 M59*")</f>
        <v>0</v>
      </c>
      <c r="F385" s="83">
        <f>SUMIFS(F386:F1474,K386:K1474,"0",B386:B1474,"4 1 1 1 1 12 31111 6 M59*")</f>
        <v>0</v>
      </c>
      <c r="G385" s="83">
        <f>SUMIFS(G386:G1474,K386:K1474,"0",B386:B1474,"4 1 1 1 1 12 31111 6 M59*")</f>
        <v>300</v>
      </c>
      <c r="H385" s="83"/>
      <c r="I385" s="83">
        <f t="shared" si="6"/>
        <v>300</v>
      </c>
      <c r="K385" s="54" t="s">
        <v>15</v>
      </c>
    </row>
    <row r="386" spans="2:11" ht="16.5" x14ac:dyDescent="0.2">
      <c r="B386" s="82" t="s">
        <v>2285</v>
      </c>
      <c r="C386" s="82" t="s">
        <v>1044</v>
      </c>
      <c r="D386" s="54"/>
      <c r="E386" s="83">
        <f>SUMIFS(E387:E1474,K387:K1474,"0",B387:B1474,"4 1 1 1 1 12 31111 6 M59 19000*")-SUMIFS(D387:D1474,K387:K1474,"0",B387:B1474,"4 1 1 1 1 12 31111 6 M59 19000*")</f>
        <v>0</v>
      </c>
      <c r="F386" s="83">
        <f>SUMIFS(F387:F1474,K387:K1474,"0",B387:B1474,"4 1 1 1 1 12 31111 6 M59 19000*")</f>
        <v>0</v>
      </c>
      <c r="G386" s="83">
        <f>SUMIFS(G387:G1474,K387:K1474,"0",B387:B1474,"4 1 1 1 1 12 31111 6 M59 19000*")</f>
        <v>300</v>
      </c>
      <c r="H386" s="83"/>
      <c r="I386" s="83">
        <f t="shared" si="6"/>
        <v>300</v>
      </c>
      <c r="K386" s="54" t="s">
        <v>15</v>
      </c>
    </row>
    <row r="387" spans="2:11" ht="16.5" x14ac:dyDescent="0.2">
      <c r="B387" s="82" t="s">
        <v>2286</v>
      </c>
      <c r="C387" s="82" t="s">
        <v>2287</v>
      </c>
      <c r="D387" s="54"/>
      <c r="E387" s="83">
        <f>SUMIFS(E388:E1474,K388:K1474,"0",B388:B1474,"4 1 1 1 1 12 31111 6 M59 19000 000000*")-SUMIFS(D388:D1474,K388:K1474,"0",B388:B1474,"4 1 1 1 1 12 31111 6 M59 19000 000000*")</f>
        <v>0</v>
      </c>
      <c r="F387" s="83">
        <f>SUMIFS(F388:F1474,K388:K1474,"0",B388:B1474,"4 1 1 1 1 12 31111 6 M59 19000 000000*")</f>
        <v>0</v>
      </c>
      <c r="G387" s="83">
        <f>SUMIFS(G388:G1474,K388:K1474,"0",B388:B1474,"4 1 1 1 1 12 31111 6 M59 19000 000000*")</f>
        <v>300</v>
      </c>
      <c r="H387" s="83"/>
      <c r="I387" s="83">
        <f t="shared" si="6"/>
        <v>300</v>
      </c>
      <c r="K387" s="54" t="s">
        <v>15</v>
      </c>
    </row>
    <row r="388" spans="2:11" ht="16.5" x14ac:dyDescent="0.2">
      <c r="B388" s="82" t="s">
        <v>2288</v>
      </c>
      <c r="C388" s="82" t="s">
        <v>2289</v>
      </c>
      <c r="D388" s="54"/>
      <c r="E388" s="83">
        <f>SUMIFS(E389:E1474,K389:K1474,"0",B389:B1474,"4 1 1 1 1 12 31111 6 M59 19000 000000 00000*")-SUMIFS(D389:D1474,K389:K1474,"0",B389:B1474,"4 1 1 1 1 12 31111 6 M59 19000 000000 00000*")</f>
        <v>0</v>
      </c>
      <c r="F388" s="83">
        <f>SUMIFS(F389:F1474,K389:K1474,"0",B389:B1474,"4 1 1 1 1 12 31111 6 M59 19000 000000 00000*")</f>
        <v>0</v>
      </c>
      <c r="G388" s="83">
        <f>SUMIFS(G389:G1474,K389:K1474,"0",B389:B1474,"4 1 1 1 1 12 31111 6 M59 19000 000000 00000*")</f>
        <v>300</v>
      </c>
      <c r="H388" s="83"/>
      <c r="I388" s="83">
        <f t="shared" si="6"/>
        <v>300</v>
      </c>
      <c r="K388" s="54" t="s">
        <v>15</v>
      </c>
    </row>
    <row r="389" spans="2:11" ht="24.75" x14ac:dyDescent="0.2">
      <c r="B389" s="82" t="s">
        <v>2290</v>
      </c>
      <c r="C389" s="82" t="s">
        <v>2291</v>
      </c>
      <c r="D389" s="54"/>
      <c r="E389" s="83">
        <f>SUMIFS(E390:E1474,K390:K1474,"0",B390:B1474,"4 1 1 1 1 12 31111 6 M59 19000 000000 00000 00000*")-SUMIFS(D390:D1474,K390:K1474,"0",B390:B1474,"4 1 1 1 1 12 31111 6 M59 19000 000000 00000 00000*")</f>
        <v>0</v>
      </c>
      <c r="F389" s="83">
        <f>SUMIFS(F390:F1474,K390:K1474,"0",B390:B1474,"4 1 1 1 1 12 31111 6 M59 19000 000000 00000 00000*")</f>
        <v>0</v>
      </c>
      <c r="G389" s="83">
        <f>SUMIFS(G390:G1474,K390:K1474,"0",B390:B1474,"4 1 1 1 1 12 31111 6 M59 19000 000000 00000 00000*")</f>
        <v>300</v>
      </c>
      <c r="H389" s="83"/>
      <c r="I389" s="83">
        <f t="shared" si="6"/>
        <v>300</v>
      </c>
      <c r="K389" s="54" t="s">
        <v>15</v>
      </c>
    </row>
    <row r="390" spans="2:11" ht="24.75" x14ac:dyDescent="0.2">
      <c r="B390" s="82" t="s">
        <v>2292</v>
      </c>
      <c r="C390" s="82" t="s">
        <v>2278</v>
      </c>
      <c r="D390" s="54"/>
      <c r="E390" s="83">
        <f>SUMIFS(E391:E1474,K391:K1474,"0",B391:B1474,"4 1 1 1 1 12 31111 6 M59 19000 000000 00000 00000 00011*")-SUMIFS(D391:D1474,K391:K1474,"0",B391:B1474,"4 1 1 1 1 12 31111 6 M59 19000 000000 00000 00000 00011*")</f>
        <v>0</v>
      </c>
      <c r="F390" s="83">
        <f>SUMIFS(F391:F1474,K391:K1474,"0",B391:B1474,"4 1 1 1 1 12 31111 6 M59 19000 000000 00000 00000 00011*")</f>
        <v>0</v>
      </c>
      <c r="G390" s="83">
        <f>SUMIFS(G391:G1474,K391:K1474,"0",B391:B1474,"4 1 1 1 1 12 31111 6 M59 19000 000000 00000 00000 00011*")</f>
        <v>300</v>
      </c>
      <c r="H390" s="83"/>
      <c r="I390" s="83">
        <f t="shared" si="6"/>
        <v>300</v>
      </c>
      <c r="K390" s="54" t="s">
        <v>15</v>
      </c>
    </row>
    <row r="391" spans="2:11" ht="24.75" x14ac:dyDescent="0.2">
      <c r="B391" s="82" t="s">
        <v>2293</v>
      </c>
      <c r="C391" s="82" t="s">
        <v>699</v>
      </c>
      <c r="D391" s="54"/>
      <c r="E391" s="83">
        <f>SUMIFS(E392:E1474,K392:K1474,"0",B392:B1474,"4 1 1 1 1 12 31111 6 M59 19000 000000 00000 00000 00011 011*")-SUMIFS(D392:D1474,K392:K1474,"0",B392:B1474,"4 1 1 1 1 12 31111 6 M59 19000 000000 00000 00000 00011 011*")</f>
        <v>0</v>
      </c>
      <c r="F391" s="83">
        <f>SUMIFS(F392:F1474,K392:K1474,"0",B392:B1474,"4 1 1 1 1 12 31111 6 M59 19000 000000 00000 00000 00011 011*")</f>
        <v>0</v>
      </c>
      <c r="G391" s="83">
        <f>SUMIFS(G392:G1474,K392:K1474,"0",B392:B1474,"4 1 1 1 1 12 31111 6 M59 19000 000000 00000 00000 00011 011*")</f>
        <v>300</v>
      </c>
      <c r="H391" s="83"/>
      <c r="I391" s="83">
        <f t="shared" si="6"/>
        <v>300</v>
      </c>
      <c r="K391" s="54" t="s">
        <v>15</v>
      </c>
    </row>
    <row r="392" spans="2:11" ht="33" x14ac:dyDescent="0.2">
      <c r="B392" s="82" t="s">
        <v>2294</v>
      </c>
      <c r="C392" s="82" t="s">
        <v>2295</v>
      </c>
      <c r="D392" s="54"/>
      <c r="E392" s="83">
        <f>SUMIFS(E393:E1474,K393:K1474,"0",B393:B1474,"4 1 1 1 1 12 31111 6 M59 19000 000000 00000 00000 00011 011 1111110*")-SUMIFS(D393:D1474,K393:K1474,"0",B393:B1474,"4 1 1 1 1 12 31111 6 M59 19000 000000 00000 00000 00011 011 1111110*")</f>
        <v>0</v>
      </c>
      <c r="F392" s="83">
        <f>SUMIFS(F393:F1474,K393:K1474,"0",B393:B1474,"4 1 1 1 1 12 31111 6 M59 19000 000000 00000 00000 00011 011 1111110*")</f>
        <v>0</v>
      </c>
      <c r="G392" s="83">
        <f>SUMIFS(G393:G1474,K393:K1474,"0",B393:B1474,"4 1 1 1 1 12 31111 6 M59 19000 000000 00000 00000 00011 011 1111110*")</f>
        <v>300</v>
      </c>
      <c r="H392" s="83"/>
      <c r="I392" s="83">
        <f t="shared" si="6"/>
        <v>300</v>
      </c>
      <c r="K392" s="54" t="s">
        <v>15</v>
      </c>
    </row>
    <row r="393" spans="2:11" ht="33" x14ac:dyDescent="0.2">
      <c r="B393" s="82" t="s">
        <v>2296</v>
      </c>
      <c r="C393" s="82" t="s">
        <v>660</v>
      </c>
      <c r="D393" s="54"/>
      <c r="E393" s="83">
        <f>SUMIFS(E394:E1474,K394:K1474,"0",B394:B1474,"4 1 1 1 1 12 31111 6 M59 19000 000000 00000 00000 00011 011 1111110 2024*")-SUMIFS(D394:D1474,K394:K1474,"0",B394:B1474,"4 1 1 1 1 12 31111 6 M59 19000 000000 00000 00000 00011 011 1111110 2024*")</f>
        <v>0</v>
      </c>
      <c r="F393" s="83">
        <f>SUMIFS(F394:F1474,K394:K1474,"0",B394:B1474,"4 1 1 1 1 12 31111 6 M59 19000 000000 00000 00000 00011 011 1111110 2024*")</f>
        <v>0</v>
      </c>
      <c r="G393" s="83">
        <f>SUMIFS(G394:G1474,K394:K1474,"0",B394:B1474,"4 1 1 1 1 12 31111 6 M59 19000 000000 00000 00000 00011 011 1111110 2024*")</f>
        <v>300</v>
      </c>
      <c r="H393" s="83"/>
      <c r="I393" s="83">
        <f t="shared" si="6"/>
        <v>300</v>
      </c>
      <c r="K393" s="54" t="s">
        <v>15</v>
      </c>
    </row>
    <row r="394" spans="2:11" ht="41.25" x14ac:dyDescent="0.2">
      <c r="B394" s="82" t="s">
        <v>2297</v>
      </c>
      <c r="C394" s="82" t="s">
        <v>2298</v>
      </c>
      <c r="D394" s="54"/>
      <c r="E394" s="83">
        <f>SUMIFS(E395:E1474,K395:K1474,"0",B395:B1474,"4 1 1 1 1 12 31111 6 M59 19000 000000 00000 00000 00011 011 1111110 2024 00000000*")-SUMIFS(D395:D1474,K395:K1474,"0",B395:B1474,"4 1 1 1 1 12 31111 6 M59 19000 000000 00000 00000 00011 011 1111110 2024 00000000*")</f>
        <v>0</v>
      </c>
      <c r="F394" s="83">
        <f>SUMIFS(F395:F1474,K395:K1474,"0",B395:B1474,"4 1 1 1 1 12 31111 6 M59 19000 000000 00000 00000 00011 011 1111110 2024 00000000*")</f>
        <v>0</v>
      </c>
      <c r="G394" s="83">
        <f>SUMIFS(G395:G1474,K395:K1474,"0",B395:B1474,"4 1 1 1 1 12 31111 6 M59 19000 000000 00000 00000 00011 011 1111110 2024 00000000*")</f>
        <v>300</v>
      </c>
      <c r="H394" s="83"/>
      <c r="I394" s="83">
        <f t="shared" si="6"/>
        <v>300</v>
      </c>
      <c r="K394" s="54" t="s">
        <v>15</v>
      </c>
    </row>
    <row r="395" spans="2:11" ht="41.25" x14ac:dyDescent="0.2">
      <c r="B395" s="82" t="s">
        <v>2299</v>
      </c>
      <c r="C395" s="82" t="s">
        <v>2300</v>
      </c>
      <c r="D395" s="54"/>
      <c r="E395" s="83">
        <f>SUMIFS(E396:E1474,K396:K1474,"0",B396:B1474,"4 1 1 1 1 12 31111 6 M59 19000 000000 00000 00000 00011 011 1111110 2024 00000000 004*")-SUMIFS(D396:D1474,K396:K1474,"0",B396:B1474,"4 1 1 1 1 12 31111 6 M59 19000 000000 00000 00000 00011 011 1111110 2024 00000000 004*")</f>
        <v>0</v>
      </c>
      <c r="F395" s="83">
        <f>SUMIFS(F396:F1474,K396:K1474,"0",B396:B1474,"4 1 1 1 1 12 31111 6 M59 19000 000000 00000 00000 00011 011 1111110 2024 00000000 004*")</f>
        <v>0</v>
      </c>
      <c r="G395" s="83">
        <f>SUMIFS(G396:G1474,K396:K1474,"0",B396:B1474,"4 1 1 1 1 12 31111 6 M59 19000 000000 00000 00000 00011 011 1111110 2024 00000000 004*")</f>
        <v>300</v>
      </c>
      <c r="H395" s="83"/>
      <c r="I395" s="83">
        <f t="shared" si="6"/>
        <v>300</v>
      </c>
      <c r="K395" s="54" t="s">
        <v>15</v>
      </c>
    </row>
    <row r="396" spans="2:11" ht="49.5" x14ac:dyDescent="0.2">
      <c r="B396" s="82" t="s">
        <v>2301</v>
      </c>
      <c r="C396" s="82" t="s">
        <v>2278</v>
      </c>
      <c r="D396" s="54"/>
      <c r="E396" s="83">
        <f>SUMIFS(E397:E1474,K397:K1474,"0",B397:B1474,"4 1 1 1 1 12 31111 6 M59 19000 000000 00000 00000 00011 011 1111110 2024 00000000 004 0000001*")-SUMIFS(D397:D1474,K397:K1474,"0",B397:B1474,"4 1 1 1 1 12 31111 6 M59 19000 000000 00000 00000 00011 011 1111110 2024 00000000 004 0000001*")</f>
        <v>0</v>
      </c>
      <c r="F396" s="83">
        <f>SUMIFS(F397:F1474,K397:K1474,"0",B397:B1474,"4 1 1 1 1 12 31111 6 M59 19000 000000 00000 00000 00011 011 1111110 2024 00000000 004 0000001*")</f>
        <v>0</v>
      </c>
      <c r="G396" s="83">
        <f>SUMIFS(G397:G1474,K397:K1474,"0",B397:B1474,"4 1 1 1 1 12 31111 6 M59 19000 000000 00000 00000 00011 011 1111110 2024 00000000 004 0000001*")</f>
        <v>300</v>
      </c>
      <c r="H396" s="83"/>
      <c r="I396" s="83">
        <f t="shared" si="6"/>
        <v>300</v>
      </c>
      <c r="K396" s="54" t="s">
        <v>15</v>
      </c>
    </row>
    <row r="397" spans="2:11" ht="49.5" x14ac:dyDescent="0.2">
      <c r="B397" s="82" t="s">
        <v>2302</v>
      </c>
      <c r="C397" s="82" t="s">
        <v>2303</v>
      </c>
      <c r="D397" s="54"/>
      <c r="E397" s="83">
        <f>SUMIFS(E398:E1474,K398:K1474,"0",B398:B1474,"4 1 1 1 1 12 31111 6 M59 19000 000000 00000 00000 00011 011 1111110 2024 00000000 004 0000001 00001*")-SUMIFS(D398:D1474,K398:K1474,"0",B398:B1474,"4 1 1 1 1 12 31111 6 M59 19000 000000 00000 00000 00011 011 1111110 2024 00000000 004 0000001 00001*")</f>
        <v>0</v>
      </c>
      <c r="F397" s="83">
        <f>SUMIFS(F398:F1474,K398:K1474,"0",B398:B1474,"4 1 1 1 1 12 31111 6 M59 19000 000000 00000 00000 00011 011 1111110 2024 00000000 004 0000001 00001*")</f>
        <v>0</v>
      </c>
      <c r="G397" s="83">
        <f>SUMIFS(G398:G1474,K398:K1474,"0",B398:B1474,"4 1 1 1 1 12 31111 6 M59 19000 000000 00000 00000 00011 011 1111110 2024 00000000 004 0000001 00001*")</f>
        <v>300</v>
      </c>
      <c r="H397" s="83"/>
      <c r="I397" s="83">
        <f t="shared" si="6"/>
        <v>300</v>
      </c>
      <c r="K397" s="54" t="s">
        <v>15</v>
      </c>
    </row>
    <row r="398" spans="2:11" ht="33" x14ac:dyDescent="0.2">
      <c r="B398" s="84" t="s">
        <v>2304</v>
      </c>
      <c r="C398" s="84" t="s">
        <v>2305</v>
      </c>
      <c r="D398" s="85"/>
      <c r="E398" s="85">
        <v>0</v>
      </c>
      <c r="F398" s="85">
        <v>0</v>
      </c>
      <c r="G398" s="85">
        <v>300</v>
      </c>
      <c r="H398" s="85"/>
      <c r="I398" s="85">
        <f t="shared" si="6"/>
        <v>300</v>
      </c>
      <c r="K398" s="54" t="s">
        <v>38</v>
      </c>
    </row>
    <row r="399" spans="2:11" ht="16.5" x14ac:dyDescent="0.2">
      <c r="B399" s="82" t="s">
        <v>2306</v>
      </c>
      <c r="C399" s="82" t="s">
        <v>2307</v>
      </c>
      <c r="D399" s="54"/>
      <c r="E399" s="83">
        <f>SUMIFS(E400:E1474,K400:K1474,"0",B400:B1474,"4 1 1 2*")-SUMIFS(D400:D1474,K400:K1474,"0",B400:B1474,"4 1 1 2*")</f>
        <v>2079690.02</v>
      </c>
      <c r="F399" s="83">
        <f>SUMIFS(F400:F1474,K400:K1474,"0",B400:B1474,"4 1 1 2*")</f>
        <v>0</v>
      </c>
      <c r="G399" s="83">
        <f>SUMIFS(G400:G1474,K400:K1474,"0",B400:B1474,"4 1 1 2*")</f>
        <v>16972</v>
      </c>
      <c r="H399" s="83"/>
      <c r="I399" s="83">
        <f t="shared" si="6"/>
        <v>2096662.02</v>
      </c>
      <c r="K399" s="54" t="s">
        <v>15</v>
      </c>
    </row>
    <row r="400" spans="2:11" ht="16.5" x14ac:dyDescent="0.2">
      <c r="B400" s="82" t="s">
        <v>2308</v>
      </c>
      <c r="C400" s="82" t="s">
        <v>2307</v>
      </c>
      <c r="D400" s="54"/>
      <c r="E400" s="83">
        <f>SUMIFS(E401:E1474,K401:K1474,"0",B401:B1474,"4 1 1 2 1*")-SUMIFS(D401:D1474,K401:K1474,"0",B401:B1474,"4 1 1 2 1*")</f>
        <v>2079690.02</v>
      </c>
      <c r="F400" s="83">
        <f>SUMIFS(F401:F1474,K401:K1474,"0",B401:B1474,"4 1 1 2 1*")</f>
        <v>0</v>
      </c>
      <c r="G400" s="83">
        <f>SUMIFS(G401:G1474,K401:K1474,"0",B401:B1474,"4 1 1 2 1*")</f>
        <v>16972</v>
      </c>
      <c r="H400" s="83"/>
      <c r="I400" s="83">
        <f t="shared" si="6"/>
        <v>2096662.02</v>
      </c>
      <c r="K400" s="54" t="s">
        <v>15</v>
      </c>
    </row>
    <row r="401" spans="2:11" ht="12.75" x14ac:dyDescent="0.2">
      <c r="B401" s="82" t="s">
        <v>2309</v>
      </c>
      <c r="C401" s="82" t="s">
        <v>26</v>
      </c>
      <c r="D401" s="54"/>
      <c r="E401" s="83">
        <f>SUMIFS(E402:E1474,K402:K1474,"0",B402:B1474,"4 1 1 2 1 12*")-SUMIFS(D402:D1474,K402:K1474,"0",B402:B1474,"4 1 1 2 1 12*")</f>
        <v>2079690.02</v>
      </c>
      <c r="F401" s="83">
        <f>SUMIFS(F402:F1474,K402:K1474,"0",B402:B1474,"4 1 1 2 1 12*")</f>
        <v>0</v>
      </c>
      <c r="G401" s="83">
        <f>SUMIFS(G402:G1474,K402:K1474,"0",B402:B1474,"4 1 1 2 1 12*")</f>
        <v>16972</v>
      </c>
      <c r="H401" s="83"/>
      <c r="I401" s="83">
        <f t="shared" si="6"/>
        <v>2096662.02</v>
      </c>
      <c r="K401" s="54" t="s">
        <v>15</v>
      </c>
    </row>
    <row r="402" spans="2:11" ht="16.5" x14ac:dyDescent="0.2">
      <c r="B402" s="82" t="s">
        <v>2310</v>
      </c>
      <c r="C402" s="82" t="s">
        <v>28</v>
      </c>
      <c r="D402" s="54"/>
      <c r="E402" s="83">
        <f>SUMIFS(E403:E1474,K403:K1474,"0",B403:B1474,"4 1 1 2 1 12 31111*")-SUMIFS(D403:D1474,K403:K1474,"0",B403:B1474,"4 1 1 2 1 12 31111*")</f>
        <v>2079690.02</v>
      </c>
      <c r="F402" s="83">
        <f>SUMIFS(F403:F1474,K403:K1474,"0",B403:B1474,"4 1 1 2 1 12 31111*")</f>
        <v>0</v>
      </c>
      <c r="G402" s="83">
        <f>SUMIFS(G403:G1474,K403:K1474,"0",B403:B1474,"4 1 1 2 1 12 31111*")</f>
        <v>16972</v>
      </c>
      <c r="H402" s="83"/>
      <c r="I402" s="83">
        <f t="shared" si="6"/>
        <v>2096662.02</v>
      </c>
      <c r="K402" s="54" t="s">
        <v>15</v>
      </c>
    </row>
    <row r="403" spans="2:11" ht="12.75" x14ac:dyDescent="0.2">
      <c r="B403" s="82" t="s">
        <v>2311</v>
      </c>
      <c r="C403" s="82" t="s">
        <v>30</v>
      </c>
      <c r="D403" s="54"/>
      <c r="E403" s="83">
        <f>SUMIFS(E404:E1474,K404:K1474,"0",B404:B1474,"4 1 1 2 1 12 31111 6*")-SUMIFS(D404:D1474,K404:K1474,"0",B404:B1474,"4 1 1 2 1 12 31111 6*")</f>
        <v>2079690.02</v>
      </c>
      <c r="F403" s="83">
        <f>SUMIFS(F404:F1474,K404:K1474,"0",B404:B1474,"4 1 1 2 1 12 31111 6*")</f>
        <v>0</v>
      </c>
      <c r="G403" s="83">
        <f>SUMIFS(G404:G1474,K404:K1474,"0",B404:B1474,"4 1 1 2 1 12 31111 6*")</f>
        <v>16972</v>
      </c>
      <c r="H403" s="83"/>
      <c r="I403" s="83">
        <f t="shared" si="6"/>
        <v>2096662.02</v>
      </c>
      <c r="K403" s="54" t="s">
        <v>15</v>
      </c>
    </row>
    <row r="404" spans="2:11" ht="16.5" x14ac:dyDescent="0.2">
      <c r="B404" s="82" t="s">
        <v>2312</v>
      </c>
      <c r="C404" s="82" t="s">
        <v>2284</v>
      </c>
      <c r="D404" s="54"/>
      <c r="E404" s="83">
        <f>SUMIFS(E405:E1474,K405:K1474,"0",B405:B1474,"4 1 1 2 1 12 31111 6 M59*")-SUMIFS(D405:D1474,K405:K1474,"0",B405:B1474,"4 1 1 2 1 12 31111 6 M59*")</f>
        <v>2079690.02</v>
      </c>
      <c r="F404" s="83">
        <f>SUMIFS(F405:F1474,K405:K1474,"0",B405:B1474,"4 1 1 2 1 12 31111 6 M59*")</f>
        <v>0</v>
      </c>
      <c r="G404" s="83">
        <f>SUMIFS(G405:G1474,K405:K1474,"0",B405:B1474,"4 1 1 2 1 12 31111 6 M59*")</f>
        <v>16972</v>
      </c>
      <c r="H404" s="83"/>
      <c r="I404" s="83">
        <f t="shared" ref="I404:I467" si="7">E404 - F404 + G404</f>
        <v>2096662.02</v>
      </c>
      <c r="K404" s="54" t="s">
        <v>15</v>
      </c>
    </row>
    <row r="405" spans="2:11" ht="16.5" x14ac:dyDescent="0.2">
      <c r="B405" s="82" t="s">
        <v>2313</v>
      </c>
      <c r="C405" s="82" t="s">
        <v>1044</v>
      </c>
      <c r="D405" s="54"/>
      <c r="E405" s="83">
        <f>SUMIFS(E406:E1474,K406:K1474,"0",B406:B1474,"4 1 1 2 1 12 31111 6 M59 19000*")-SUMIFS(D406:D1474,K406:K1474,"0",B406:B1474,"4 1 1 2 1 12 31111 6 M59 19000*")</f>
        <v>2079690.02</v>
      </c>
      <c r="F405" s="83">
        <f>SUMIFS(F406:F1474,K406:K1474,"0",B406:B1474,"4 1 1 2 1 12 31111 6 M59 19000*")</f>
        <v>0</v>
      </c>
      <c r="G405" s="83">
        <f>SUMIFS(G406:G1474,K406:K1474,"0",B406:B1474,"4 1 1 2 1 12 31111 6 M59 19000*")</f>
        <v>16972</v>
      </c>
      <c r="H405" s="83"/>
      <c r="I405" s="83">
        <f t="shared" si="7"/>
        <v>2096662.02</v>
      </c>
      <c r="K405" s="54" t="s">
        <v>15</v>
      </c>
    </row>
    <row r="406" spans="2:11" ht="16.5" x14ac:dyDescent="0.2">
      <c r="B406" s="82" t="s">
        <v>2314</v>
      </c>
      <c r="C406" s="82" t="s">
        <v>2287</v>
      </c>
      <c r="D406" s="54"/>
      <c r="E406" s="83">
        <f>SUMIFS(E407:E1474,K407:K1474,"0",B407:B1474,"4 1 1 2 1 12 31111 6 M59 19000 000000*")-SUMIFS(D407:D1474,K407:K1474,"0",B407:B1474,"4 1 1 2 1 12 31111 6 M59 19000 000000*")</f>
        <v>2079690.02</v>
      </c>
      <c r="F406" s="83">
        <f>SUMIFS(F407:F1474,K407:K1474,"0",B407:B1474,"4 1 1 2 1 12 31111 6 M59 19000 000000*")</f>
        <v>0</v>
      </c>
      <c r="G406" s="83">
        <f>SUMIFS(G407:G1474,K407:K1474,"0",B407:B1474,"4 1 1 2 1 12 31111 6 M59 19000 000000*")</f>
        <v>16972</v>
      </c>
      <c r="H406" s="83"/>
      <c r="I406" s="83">
        <f t="shared" si="7"/>
        <v>2096662.02</v>
      </c>
      <c r="K406" s="54" t="s">
        <v>15</v>
      </c>
    </row>
    <row r="407" spans="2:11" ht="16.5" x14ac:dyDescent="0.2">
      <c r="B407" s="82" t="s">
        <v>2315</v>
      </c>
      <c r="C407" s="82" t="s">
        <v>2289</v>
      </c>
      <c r="D407" s="54"/>
      <c r="E407" s="83">
        <f>SUMIFS(E408:E1474,K408:K1474,"0",B408:B1474,"4 1 1 2 1 12 31111 6 M59 19000 000000 00000*")-SUMIFS(D408:D1474,K408:K1474,"0",B408:B1474,"4 1 1 2 1 12 31111 6 M59 19000 000000 00000*")</f>
        <v>2079690.02</v>
      </c>
      <c r="F407" s="83">
        <f>SUMIFS(F408:F1474,K408:K1474,"0",B408:B1474,"4 1 1 2 1 12 31111 6 M59 19000 000000 00000*")</f>
        <v>0</v>
      </c>
      <c r="G407" s="83">
        <f>SUMIFS(G408:G1474,K408:K1474,"0",B408:B1474,"4 1 1 2 1 12 31111 6 M59 19000 000000 00000*")</f>
        <v>16972</v>
      </c>
      <c r="H407" s="83"/>
      <c r="I407" s="83">
        <f t="shared" si="7"/>
        <v>2096662.02</v>
      </c>
      <c r="K407" s="54" t="s">
        <v>15</v>
      </c>
    </row>
    <row r="408" spans="2:11" ht="24.75" x14ac:dyDescent="0.2">
      <c r="B408" s="82" t="s">
        <v>2316</v>
      </c>
      <c r="C408" s="82" t="s">
        <v>2291</v>
      </c>
      <c r="D408" s="54"/>
      <c r="E408" s="83">
        <f>SUMIFS(E409:E1474,K409:K1474,"0",B409:B1474,"4 1 1 2 1 12 31111 6 M59 19000 000000 00000 00000*")-SUMIFS(D409:D1474,K409:K1474,"0",B409:B1474,"4 1 1 2 1 12 31111 6 M59 19000 000000 00000 00000*")</f>
        <v>2079690.02</v>
      </c>
      <c r="F408" s="83">
        <f>SUMIFS(F409:F1474,K409:K1474,"0",B409:B1474,"4 1 1 2 1 12 31111 6 M59 19000 000000 00000 00000*")</f>
        <v>0</v>
      </c>
      <c r="G408" s="83">
        <f>SUMIFS(G409:G1474,K409:K1474,"0",B409:B1474,"4 1 1 2 1 12 31111 6 M59 19000 000000 00000 00000*")</f>
        <v>16972</v>
      </c>
      <c r="H408" s="83"/>
      <c r="I408" s="83">
        <f t="shared" si="7"/>
        <v>2096662.02</v>
      </c>
      <c r="K408" s="54" t="s">
        <v>15</v>
      </c>
    </row>
    <row r="409" spans="2:11" ht="24.75" x14ac:dyDescent="0.2">
      <c r="B409" s="82" t="s">
        <v>2317</v>
      </c>
      <c r="C409" s="82" t="s">
        <v>2307</v>
      </c>
      <c r="D409" s="54"/>
      <c r="E409" s="83">
        <f>SUMIFS(E410:E1474,K410:K1474,"0",B410:B1474,"4 1 1 2 1 12 31111 6 M59 19000 000000 00000 00000 00012*")-SUMIFS(D410:D1474,K410:K1474,"0",B410:B1474,"4 1 1 2 1 12 31111 6 M59 19000 000000 00000 00000 00012*")</f>
        <v>2079690.02</v>
      </c>
      <c r="F409" s="83">
        <f>SUMIFS(F410:F1474,K410:K1474,"0",B410:B1474,"4 1 1 2 1 12 31111 6 M59 19000 000000 00000 00000 00012*")</f>
        <v>0</v>
      </c>
      <c r="G409" s="83">
        <f>SUMIFS(G410:G1474,K410:K1474,"0",B410:B1474,"4 1 1 2 1 12 31111 6 M59 19000 000000 00000 00000 00012*")</f>
        <v>16972</v>
      </c>
      <c r="H409" s="83"/>
      <c r="I409" s="83">
        <f t="shared" si="7"/>
        <v>2096662.02</v>
      </c>
      <c r="K409" s="54" t="s">
        <v>15</v>
      </c>
    </row>
    <row r="410" spans="2:11" ht="24.75" x14ac:dyDescent="0.2">
      <c r="B410" s="82" t="s">
        <v>2318</v>
      </c>
      <c r="C410" s="82" t="s">
        <v>699</v>
      </c>
      <c r="D410" s="54"/>
      <c r="E410" s="83">
        <f>SUMIFS(E411:E1474,K411:K1474,"0",B411:B1474,"4 1 1 2 1 12 31111 6 M59 19000 000000 00000 00000 00012 011*")-SUMIFS(D411:D1474,K411:K1474,"0",B411:B1474,"4 1 1 2 1 12 31111 6 M59 19000 000000 00000 00000 00012 011*")</f>
        <v>2079690.02</v>
      </c>
      <c r="F410" s="83">
        <f>SUMIFS(F411:F1474,K411:K1474,"0",B411:B1474,"4 1 1 2 1 12 31111 6 M59 19000 000000 00000 00000 00012 011*")</f>
        <v>0</v>
      </c>
      <c r="G410" s="83">
        <f>SUMIFS(G411:G1474,K411:K1474,"0",B411:B1474,"4 1 1 2 1 12 31111 6 M59 19000 000000 00000 00000 00012 011*")</f>
        <v>16972</v>
      </c>
      <c r="H410" s="83"/>
      <c r="I410" s="83">
        <f t="shared" si="7"/>
        <v>2096662.02</v>
      </c>
      <c r="K410" s="54" t="s">
        <v>15</v>
      </c>
    </row>
    <row r="411" spans="2:11" ht="33" x14ac:dyDescent="0.2">
      <c r="B411" s="82" t="s">
        <v>2319</v>
      </c>
      <c r="C411" s="82" t="s">
        <v>2320</v>
      </c>
      <c r="D411" s="54"/>
      <c r="E411" s="83">
        <f>SUMIFS(E412:E1474,K412:K1474,"0",B412:B1474,"4 1 1 2 1 12 31111 6 M59 19000 000000 00000 00000 00012 011 1113000*")-SUMIFS(D412:D1474,K412:K1474,"0",B412:B1474,"4 1 1 2 1 12 31111 6 M59 19000 000000 00000 00000 00012 011 1113000*")</f>
        <v>2079690.02</v>
      </c>
      <c r="F411" s="83">
        <f>SUMIFS(F412:F1474,K412:K1474,"0",B412:B1474,"4 1 1 2 1 12 31111 6 M59 19000 000000 00000 00000 00012 011 1113000*")</f>
        <v>0</v>
      </c>
      <c r="G411" s="83">
        <f>SUMIFS(G412:G1474,K412:K1474,"0",B412:B1474,"4 1 1 2 1 12 31111 6 M59 19000 000000 00000 00000 00012 011 1113000*")</f>
        <v>16972</v>
      </c>
      <c r="H411" s="83"/>
      <c r="I411" s="83">
        <f t="shared" si="7"/>
        <v>2096662.02</v>
      </c>
      <c r="K411" s="54" t="s">
        <v>15</v>
      </c>
    </row>
    <row r="412" spans="2:11" ht="33" x14ac:dyDescent="0.2">
      <c r="B412" s="82" t="s">
        <v>2321</v>
      </c>
      <c r="C412" s="82" t="s">
        <v>660</v>
      </c>
      <c r="D412" s="54"/>
      <c r="E412" s="83">
        <f>SUMIFS(E413:E1474,K413:K1474,"0",B413:B1474,"4 1 1 2 1 12 31111 6 M59 19000 000000 00000 00000 00012 011 1113000 2024*")-SUMIFS(D413:D1474,K413:K1474,"0",B413:B1474,"4 1 1 2 1 12 31111 6 M59 19000 000000 00000 00000 00012 011 1113000 2024*")</f>
        <v>2079690.02</v>
      </c>
      <c r="F412" s="83">
        <f>SUMIFS(F413:F1474,K413:K1474,"0",B413:B1474,"4 1 1 2 1 12 31111 6 M59 19000 000000 00000 00000 00012 011 1113000 2024*")</f>
        <v>0</v>
      </c>
      <c r="G412" s="83">
        <f>SUMIFS(G413:G1474,K413:K1474,"0",B413:B1474,"4 1 1 2 1 12 31111 6 M59 19000 000000 00000 00000 00012 011 1113000 2024*")</f>
        <v>16972</v>
      </c>
      <c r="H412" s="83"/>
      <c r="I412" s="83">
        <f t="shared" si="7"/>
        <v>2096662.02</v>
      </c>
      <c r="K412" s="54" t="s">
        <v>15</v>
      </c>
    </row>
    <row r="413" spans="2:11" ht="41.25" x14ac:dyDescent="0.2">
      <c r="B413" s="82" t="s">
        <v>2322</v>
      </c>
      <c r="C413" s="82" t="s">
        <v>2298</v>
      </c>
      <c r="D413" s="54"/>
      <c r="E413" s="83">
        <f>SUMIFS(E414:E1474,K414:K1474,"0",B414:B1474,"4 1 1 2 1 12 31111 6 M59 19000 000000 00000 00000 00012 011 1113000 2024 00000000*")-SUMIFS(D414:D1474,K414:K1474,"0",B414:B1474,"4 1 1 2 1 12 31111 6 M59 19000 000000 00000 00000 00012 011 1113000 2024 00000000*")</f>
        <v>2079690.02</v>
      </c>
      <c r="F413" s="83">
        <f>SUMIFS(F414:F1474,K414:K1474,"0",B414:B1474,"4 1 1 2 1 12 31111 6 M59 19000 000000 00000 00000 00012 011 1113000 2024 00000000*")</f>
        <v>0</v>
      </c>
      <c r="G413" s="83">
        <f>SUMIFS(G414:G1474,K414:K1474,"0",B414:B1474,"4 1 1 2 1 12 31111 6 M59 19000 000000 00000 00000 00012 011 1113000 2024 00000000*")</f>
        <v>16972</v>
      </c>
      <c r="H413" s="83"/>
      <c r="I413" s="83">
        <f t="shared" si="7"/>
        <v>2096662.02</v>
      </c>
      <c r="K413" s="54" t="s">
        <v>15</v>
      </c>
    </row>
    <row r="414" spans="2:11" ht="41.25" x14ac:dyDescent="0.2">
      <c r="B414" s="82" t="s">
        <v>2323</v>
      </c>
      <c r="C414" s="82" t="s">
        <v>2300</v>
      </c>
      <c r="D414" s="54"/>
      <c r="E414" s="83">
        <f>SUMIFS(E415:E1474,K415:K1474,"0",B415:B1474,"4 1 1 2 1 12 31111 6 M59 19000 000000 00000 00000 00012 011 1113000 2024 00000000 004*")-SUMIFS(D415:D1474,K415:K1474,"0",B415:B1474,"4 1 1 2 1 12 31111 6 M59 19000 000000 00000 00000 00012 011 1113000 2024 00000000 004*")</f>
        <v>2079690.02</v>
      </c>
      <c r="F414" s="83">
        <f>SUMIFS(F415:F1474,K415:K1474,"0",B415:B1474,"4 1 1 2 1 12 31111 6 M59 19000 000000 00000 00000 00012 011 1113000 2024 00000000 004*")</f>
        <v>0</v>
      </c>
      <c r="G414" s="83">
        <f>SUMIFS(G415:G1474,K415:K1474,"0",B415:B1474,"4 1 1 2 1 12 31111 6 M59 19000 000000 00000 00000 00012 011 1113000 2024 00000000 004*")</f>
        <v>16972</v>
      </c>
      <c r="H414" s="83"/>
      <c r="I414" s="83">
        <f t="shared" si="7"/>
        <v>2096662.02</v>
      </c>
      <c r="K414" s="54" t="s">
        <v>15</v>
      </c>
    </row>
    <row r="415" spans="2:11" ht="49.5" x14ac:dyDescent="0.2">
      <c r="B415" s="82" t="s">
        <v>2324</v>
      </c>
      <c r="C415" s="82" t="s">
        <v>2307</v>
      </c>
      <c r="D415" s="54"/>
      <c r="E415" s="83">
        <f>SUMIFS(E416:E1474,K416:K1474,"0",B416:B1474,"4 1 1 2 1 12 31111 6 M59 19000 000000 00000 00000 00012 011 1113000 2024 00000000 004 0000001*")-SUMIFS(D416:D1474,K416:K1474,"0",B416:B1474,"4 1 1 2 1 12 31111 6 M59 19000 000000 00000 00000 00012 011 1113000 2024 00000000 004 0000001*")</f>
        <v>2079690.02</v>
      </c>
      <c r="F415" s="83">
        <f>SUMIFS(F416:F1474,K416:K1474,"0",B416:B1474,"4 1 1 2 1 12 31111 6 M59 19000 000000 00000 00000 00012 011 1113000 2024 00000000 004 0000001*")</f>
        <v>0</v>
      </c>
      <c r="G415" s="83">
        <f>SUMIFS(G416:G1474,K416:K1474,"0",B416:B1474,"4 1 1 2 1 12 31111 6 M59 19000 000000 00000 00000 00012 011 1113000 2024 00000000 004 0000001*")</f>
        <v>16972</v>
      </c>
      <c r="H415" s="83"/>
      <c r="I415" s="83">
        <f t="shared" si="7"/>
        <v>2096662.02</v>
      </c>
      <c r="K415" s="54" t="s">
        <v>15</v>
      </c>
    </row>
    <row r="416" spans="2:11" ht="49.5" x14ac:dyDescent="0.2">
      <c r="B416" s="82" t="s">
        <v>2325</v>
      </c>
      <c r="C416" s="82" t="s">
        <v>2326</v>
      </c>
      <c r="D416" s="54"/>
      <c r="E416" s="83">
        <f>SUMIFS(E417:E1474,K417:K1474,"0",B417:B1474,"4 1 1 2 1 12 31111 6 M59 19000 000000 00000 00000 00012 011 1113000 2024 00000000 004 0000001 00001*")-SUMIFS(D417:D1474,K417:K1474,"0",B417:B1474,"4 1 1 2 1 12 31111 6 M59 19000 000000 00000 00000 00012 011 1113000 2024 00000000 004 0000001 00001*")</f>
        <v>2079690.02</v>
      </c>
      <c r="F416" s="83">
        <f>SUMIFS(F417:F1474,K417:K1474,"0",B417:B1474,"4 1 1 2 1 12 31111 6 M59 19000 000000 00000 00000 00012 011 1113000 2024 00000000 004 0000001 00001*")</f>
        <v>0</v>
      </c>
      <c r="G416" s="83">
        <f>SUMIFS(G417:G1474,K417:K1474,"0",B417:B1474,"4 1 1 2 1 12 31111 6 M59 19000 000000 00000 00000 00012 011 1113000 2024 00000000 004 0000001 00001*")</f>
        <v>16972</v>
      </c>
      <c r="H416" s="83"/>
      <c r="I416" s="83">
        <f t="shared" si="7"/>
        <v>2096662.02</v>
      </c>
      <c r="K416" s="54" t="s">
        <v>15</v>
      </c>
    </row>
    <row r="417" spans="2:11" ht="41.25" x14ac:dyDescent="0.2">
      <c r="B417" s="84" t="s">
        <v>2327</v>
      </c>
      <c r="C417" s="84" t="s">
        <v>2328</v>
      </c>
      <c r="D417" s="85"/>
      <c r="E417" s="85">
        <v>2059230.02</v>
      </c>
      <c r="F417" s="85">
        <v>0</v>
      </c>
      <c r="G417" s="85">
        <v>546</v>
      </c>
      <c r="H417" s="85"/>
      <c r="I417" s="85">
        <f t="shared" si="7"/>
        <v>2059776.02</v>
      </c>
      <c r="K417" s="54" t="s">
        <v>38</v>
      </c>
    </row>
    <row r="418" spans="2:11" ht="41.25" x14ac:dyDescent="0.2">
      <c r="B418" s="84" t="s">
        <v>2329</v>
      </c>
      <c r="C418" s="84" t="s">
        <v>2330</v>
      </c>
      <c r="D418" s="85"/>
      <c r="E418" s="85">
        <v>7462</v>
      </c>
      <c r="F418" s="85">
        <v>0</v>
      </c>
      <c r="G418" s="85">
        <v>5174</v>
      </c>
      <c r="H418" s="85"/>
      <c r="I418" s="85">
        <f t="shared" si="7"/>
        <v>12636</v>
      </c>
      <c r="K418" s="54" t="s">
        <v>38</v>
      </c>
    </row>
    <row r="419" spans="2:11" ht="41.25" x14ac:dyDescent="0.2">
      <c r="B419" s="84" t="s">
        <v>2331</v>
      </c>
      <c r="C419" s="84" t="s">
        <v>2332</v>
      </c>
      <c r="D419" s="85"/>
      <c r="E419" s="85">
        <v>11479</v>
      </c>
      <c r="F419" s="85">
        <v>0</v>
      </c>
      <c r="G419" s="85">
        <v>9516</v>
      </c>
      <c r="H419" s="85"/>
      <c r="I419" s="85">
        <f t="shared" si="7"/>
        <v>20995</v>
      </c>
      <c r="K419" s="54" t="s">
        <v>38</v>
      </c>
    </row>
    <row r="420" spans="2:11" ht="41.25" x14ac:dyDescent="0.2">
      <c r="B420" s="84" t="s">
        <v>2333</v>
      </c>
      <c r="C420" s="84" t="s">
        <v>2334</v>
      </c>
      <c r="D420" s="85"/>
      <c r="E420" s="85">
        <v>1519</v>
      </c>
      <c r="F420" s="85">
        <v>0</v>
      </c>
      <c r="G420" s="85">
        <v>1736</v>
      </c>
      <c r="H420" s="85"/>
      <c r="I420" s="85">
        <f t="shared" si="7"/>
        <v>3255</v>
      </c>
      <c r="K420" s="54" t="s">
        <v>38</v>
      </c>
    </row>
    <row r="421" spans="2:11" ht="24.75" x14ac:dyDescent="0.2">
      <c r="B421" s="82" t="s">
        <v>2335</v>
      </c>
      <c r="C421" s="82" t="s">
        <v>2336</v>
      </c>
      <c r="D421" s="54"/>
      <c r="E421" s="83">
        <f>SUMIFS(E422:E1474,K422:K1474,"0",B422:B1474,"4 1 1 3*")-SUMIFS(D422:D1474,K422:K1474,"0",B422:B1474,"4 1 1 3*")</f>
        <v>106976.09</v>
      </c>
      <c r="F421" s="83">
        <f>SUMIFS(F422:F1474,K422:K1474,"0",B422:B1474,"4 1 1 3*")</f>
        <v>0</v>
      </c>
      <c r="G421" s="83">
        <f>SUMIFS(G422:G1474,K422:K1474,"0",B422:B1474,"4 1 1 3*")</f>
        <v>33458.85</v>
      </c>
      <c r="H421" s="83"/>
      <c r="I421" s="83">
        <f t="shared" si="7"/>
        <v>140434.94</v>
      </c>
      <c r="K421" s="54" t="s">
        <v>15</v>
      </c>
    </row>
    <row r="422" spans="2:11" ht="24.75" x14ac:dyDescent="0.2">
      <c r="B422" s="82" t="s">
        <v>2337</v>
      </c>
      <c r="C422" s="82" t="s">
        <v>2338</v>
      </c>
      <c r="D422" s="54"/>
      <c r="E422" s="83">
        <f>SUMIFS(E423:E1474,K423:K1474,"0",B423:B1474,"4 1 1 3 1*")-SUMIFS(D423:D1474,K423:K1474,"0",B423:B1474,"4 1 1 3 1*")</f>
        <v>106976.09</v>
      </c>
      <c r="F422" s="83">
        <f>SUMIFS(F423:F1474,K423:K1474,"0",B423:B1474,"4 1 1 3 1*")</f>
        <v>0</v>
      </c>
      <c r="G422" s="83">
        <f>SUMIFS(G423:G1474,K423:K1474,"0",B423:B1474,"4 1 1 3 1*")</f>
        <v>33458.85</v>
      </c>
      <c r="H422" s="83"/>
      <c r="I422" s="83">
        <f t="shared" si="7"/>
        <v>140434.94</v>
      </c>
      <c r="K422" s="54" t="s">
        <v>15</v>
      </c>
    </row>
    <row r="423" spans="2:11" ht="12.75" x14ac:dyDescent="0.2">
      <c r="B423" s="82" t="s">
        <v>2339</v>
      </c>
      <c r="C423" s="82" t="s">
        <v>26</v>
      </c>
      <c r="D423" s="54"/>
      <c r="E423" s="83">
        <f>SUMIFS(E424:E1474,K424:K1474,"0",B424:B1474,"4 1 1 3 1 12*")-SUMIFS(D424:D1474,K424:K1474,"0",B424:B1474,"4 1 1 3 1 12*")</f>
        <v>106976.09</v>
      </c>
      <c r="F423" s="83">
        <f>SUMIFS(F424:F1474,K424:K1474,"0",B424:B1474,"4 1 1 3 1 12*")</f>
        <v>0</v>
      </c>
      <c r="G423" s="83">
        <f>SUMIFS(G424:G1474,K424:K1474,"0",B424:B1474,"4 1 1 3 1 12*")</f>
        <v>33458.85</v>
      </c>
      <c r="H423" s="83"/>
      <c r="I423" s="83">
        <f t="shared" si="7"/>
        <v>140434.94</v>
      </c>
      <c r="K423" s="54" t="s">
        <v>15</v>
      </c>
    </row>
    <row r="424" spans="2:11" ht="16.5" x14ac:dyDescent="0.2">
      <c r="B424" s="82" t="s">
        <v>2340</v>
      </c>
      <c r="C424" s="82" t="s">
        <v>28</v>
      </c>
      <c r="D424" s="54"/>
      <c r="E424" s="83">
        <f>SUMIFS(E425:E1474,K425:K1474,"0",B425:B1474,"4 1 1 3 1 12 31111*")-SUMIFS(D425:D1474,K425:K1474,"0",B425:B1474,"4 1 1 3 1 12 31111*")</f>
        <v>106976.09</v>
      </c>
      <c r="F424" s="83">
        <f>SUMIFS(F425:F1474,K425:K1474,"0",B425:B1474,"4 1 1 3 1 12 31111*")</f>
        <v>0</v>
      </c>
      <c r="G424" s="83">
        <f>SUMIFS(G425:G1474,K425:K1474,"0",B425:B1474,"4 1 1 3 1 12 31111*")</f>
        <v>33458.85</v>
      </c>
      <c r="H424" s="83"/>
      <c r="I424" s="83">
        <f t="shared" si="7"/>
        <v>140434.94</v>
      </c>
      <c r="K424" s="54" t="s">
        <v>15</v>
      </c>
    </row>
    <row r="425" spans="2:11" ht="12.75" x14ac:dyDescent="0.2">
      <c r="B425" s="82" t="s">
        <v>2341</v>
      </c>
      <c r="C425" s="82" t="s">
        <v>30</v>
      </c>
      <c r="D425" s="54"/>
      <c r="E425" s="83">
        <f>SUMIFS(E426:E1474,K426:K1474,"0",B426:B1474,"4 1 1 3 1 12 31111 6*")-SUMIFS(D426:D1474,K426:K1474,"0",B426:B1474,"4 1 1 3 1 12 31111 6*")</f>
        <v>106976.09</v>
      </c>
      <c r="F425" s="83">
        <f>SUMIFS(F426:F1474,K426:K1474,"0",B426:B1474,"4 1 1 3 1 12 31111 6*")</f>
        <v>0</v>
      </c>
      <c r="G425" s="83">
        <f>SUMIFS(G426:G1474,K426:K1474,"0",B426:B1474,"4 1 1 3 1 12 31111 6*")</f>
        <v>33458.85</v>
      </c>
      <c r="H425" s="83"/>
      <c r="I425" s="83">
        <f t="shared" si="7"/>
        <v>140434.94</v>
      </c>
      <c r="K425" s="54" t="s">
        <v>15</v>
      </c>
    </row>
    <row r="426" spans="2:11" ht="16.5" x14ac:dyDescent="0.2">
      <c r="B426" s="82" t="s">
        <v>2342</v>
      </c>
      <c r="C426" s="82" t="s">
        <v>2284</v>
      </c>
      <c r="D426" s="54"/>
      <c r="E426" s="83">
        <f>SUMIFS(E427:E1474,K427:K1474,"0",B427:B1474,"4 1 1 3 1 12 31111 6 M59*")-SUMIFS(D427:D1474,K427:K1474,"0",B427:B1474,"4 1 1 3 1 12 31111 6 M59*")</f>
        <v>106976.09</v>
      </c>
      <c r="F426" s="83">
        <f>SUMIFS(F427:F1474,K427:K1474,"0",B427:B1474,"4 1 1 3 1 12 31111 6 M59*")</f>
        <v>0</v>
      </c>
      <c r="G426" s="83">
        <f>SUMIFS(G427:G1474,K427:K1474,"0",B427:B1474,"4 1 1 3 1 12 31111 6 M59*")</f>
        <v>33458.85</v>
      </c>
      <c r="H426" s="83"/>
      <c r="I426" s="83">
        <f t="shared" si="7"/>
        <v>140434.94</v>
      </c>
      <c r="K426" s="54" t="s">
        <v>15</v>
      </c>
    </row>
    <row r="427" spans="2:11" ht="16.5" x14ac:dyDescent="0.2">
      <c r="B427" s="82" t="s">
        <v>2343</v>
      </c>
      <c r="C427" s="82" t="s">
        <v>1044</v>
      </c>
      <c r="D427" s="54"/>
      <c r="E427" s="83">
        <f>SUMIFS(E428:E1474,K428:K1474,"0",B428:B1474,"4 1 1 3 1 12 31111 6 M59 19000*")-SUMIFS(D428:D1474,K428:K1474,"0",B428:B1474,"4 1 1 3 1 12 31111 6 M59 19000*")</f>
        <v>106976.09</v>
      </c>
      <c r="F427" s="83">
        <f>SUMIFS(F428:F1474,K428:K1474,"0",B428:B1474,"4 1 1 3 1 12 31111 6 M59 19000*")</f>
        <v>0</v>
      </c>
      <c r="G427" s="83">
        <f>SUMIFS(G428:G1474,K428:K1474,"0",B428:B1474,"4 1 1 3 1 12 31111 6 M59 19000*")</f>
        <v>33458.85</v>
      </c>
      <c r="H427" s="83"/>
      <c r="I427" s="83">
        <f t="shared" si="7"/>
        <v>140434.94</v>
      </c>
      <c r="K427" s="54" t="s">
        <v>15</v>
      </c>
    </row>
    <row r="428" spans="2:11" ht="16.5" x14ac:dyDescent="0.2">
      <c r="B428" s="82" t="s">
        <v>2344</v>
      </c>
      <c r="C428" s="82" t="s">
        <v>2287</v>
      </c>
      <c r="D428" s="54"/>
      <c r="E428" s="83">
        <f>SUMIFS(E429:E1474,K429:K1474,"0",B429:B1474,"4 1 1 3 1 12 31111 6 M59 19000 000000*")-SUMIFS(D429:D1474,K429:K1474,"0",B429:B1474,"4 1 1 3 1 12 31111 6 M59 19000 000000*")</f>
        <v>106976.09</v>
      </c>
      <c r="F428" s="83">
        <f>SUMIFS(F429:F1474,K429:K1474,"0",B429:B1474,"4 1 1 3 1 12 31111 6 M59 19000 000000*")</f>
        <v>0</v>
      </c>
      <c r="G428" s="83">
        <f>SUMIFS(G429:G1474,K429:K1474,"0",B429:B1474,"4 1 1 3 1 12 31111 6 M59 19000 000000*")</f>
        <v>33458.85</v>
      </c>
      <c r="H428" s="83"/>
      <c r="I428" s="83">
        <f t="shared" si="7"/>
        <v>140434.94</v>
      </c>
      <c r="K428" s="54" t="s">
        <v>15</v>
      </c>
    </row>
    <row r="429" spans="2:11" ht="16.5" x14ac:dyDescent="0.2">
      <c r="B429" s="82" t="s">
        <v>2345</v>
      </c>
      <c r="C429" s="82" t="s">
        <v>2289</v>
      </c>
      <c r="D429" s="54"/>
      <c r="E429" s="83">
        <f>SUMIFS(E430:E1474,K430:K1474,"0",B430:B1474,"4 1 1 3 1 12 31111 6 M59 19000 000000 00000*")-SUMIFS(D430:D1474,K430:K1474,"0",B430:B1474,"4 1 1 3 1 12 31111 6 M59 19000 000000 00000*")</f>
        <v>106976.09</v>
      </c>
      <c r="F429" s="83">
        <f>SUMIFS(F430:F1474,K430:K1474,"0",B430:B1474,"4 1 1 3 1 12 31111 6 M59 19000 000000 00000*")</f>
        <v>0</v>
      </c>
      <c r="G429" s="83">
        <f>SUMIFS(G430:G1474,K430:K1474,"0",B430:B1474,"4 1 1 3 1 12 31111 6 M59 19000 000000 00000*")</f>
        <v>33458.85</v>
      </c>
      <c r="H429" s="83"/>
      <c r="I429" s="83">
        <f t="shared" si="7"/>
        <v>140434.94</v>
      </c>
      <c r="K429" s="54" t="s">
        <v>15</v>
      </c>
    </row>
    <row r="430" spans="2:11" ht="24.75" x14ac:dyDescent="0.2">
      <c r="B430" s="82" t="s">
        <v>2346</v>
      </c>
      <c r="C430" s="82" t="s">
        <v>2291</v>
      </c>
      <c r="D430" s="54"/>
      <c r="E430" s="83">
        <f>SUMIFS(E431:E1474,K431:K1474,"0",B431:B1474,"4 1 1 3 1 12 31111 6 M59 19000 000000 00000 00000*")-SUMIFS(D431:D1474,K431:K1474,"0",B431:B1474,"4 1 1 3 1 12 31111 6 M59 19000 000000 00000 00000*")</f>
        <v>106976.09</v>
      </c>
      <c r="F430" s="83">
        <f>SUMIFS(F431:F1474,K431:K1474,"0",B431:B1474,"4 1 1 3 1 12 31111 6 M59 19000 000000 00000 00000*")</f>
        <v>0</v>
      </c>
      <c r="G430" s="83">
        <f>SUMIFS(G431:G1474,K431:K1474,"0",B431:B1474,"4 1 1 3 1 12 31111 6 M59 19000 000000 00000 00000*")</f>
        <v>33458.85</v>
      </c>
      <c r="H430" s="83"/>
      <c r="I430" s="83">
        <f t="shared" si="7"/>
        <v>140434.94</v>
      </c>
      <c r="K430" s="54" t="s">
        <v>15</v>
      </c>
    </row>
    <row r="431" spans="2:11" ht="24.75" x14ac:dyDescent="0.2">
      <c r="B431" s="82" t="s">
        <v>2347</v>
      </c>
      <c r="C431" s="82" t="s">
        <v>2336</v>
      </c>
      <c r="D431" s="54"/>
      <c r="E431" s="83">
        <f>SUMIFS(E432:E1474,K432:K1474,"0",B432:B1474,"4 1 1 3 1 12 31111 6 M59 19000 000000 00000 00000 00013*")-SUMIFS(D432:D1474,K432:K1474,"0",B432:B1474,"4 1 1 3 1 12 31111 6 M59 19000 000000 00000 00000 00013*")</f>
        <v>106976.09</v>
      </c>
      <c r="F431" s="83">
        <f>SUMIFS(F432:F1474,K432:K1474,"0",B432:B1474,"4 1 1 3 1 12 31111 6 M59 19000 000000 00000 00000 00013*")</f>
        <v>0</v>
      </c>
      <c r="G431" s="83">
        <f>SUMIFS(G432:G1474,K432:K1474,"0",B432:B1474,"4 1 1 3 1 12 31111 6 M59 19000 000000 00000 00000 00013*")</f>
        <v>33458.85</v>
      </c>
      <c r="H431" s="83"/>
      <c r="I431" s="83">
        <f t="shared" si="7"/>
        <v>140434.94</v>
      </c>
      <c r="K431" s="54" t="s">
        <v>15</v>
      </c>
    </row>
    <row r="432" spans="2:11" ht="24.75" x14ac:dyDescent="0.2">
      <c r="B432" s="82" t="s">
        <v>2348</v>
      </c>
      <c r="C432" s="82" t="s">
        <v>699</v>
      </c>
      <c r="D432" s="54"/>
      <c r="E432" s="83">
        <f>SUMIFS(E433:E1474,K433:K1474,"0",B433:B1474,"4 1 1 3 1 12 31111 6 M59 19000 000000 00000 00000 00013 011*")-SUMIFS(D433:D1474,K433:K1474,"0",B433:B1474,"4 1 1 3 1 12 31111 6 M59 19000 000000 00000 00000 00013 011*")</f>
        <v>106976.09</v>
      </c>
      <c r="F432" s="83">
        <f>SUMIFS(F433:F1474,K433:K1474,"0",B433:B1474,"4 1 1 3 1 12 31111 6 M59 19000 000000 00000 00000 00013 011*")</f>
        <v>0</v>
      </c>
      <c r="G432" s="83">
        <f>SUMIFS(G433:G1474,K433:K1474,"0",B433:B1474,"4 1 1 3 1 12 31111 6 M59 19000 000000 00000 00000 00013 011*")</f>
        <v>33458.85</v>
      </c>
      <c r="H432" s="83"/>
      <c r="I432" s="83">
        <f t="shared" si="7"/>
        <v>140434.94</v>
      </c>
      <c r="K432" s="54" t="s">
        <v>15</v>
      </c>
    </row>
    <row r="433" spans="2:11" ht="33" x14ac:dyDescent="0.2">
      <c r="B433" s="82" t="s">
        <v>2349</v>
      </c>
      <c r="C433" s="82" t="s">
        <v>2320</v>
      </c>
      <c r="D433" s="54"/>
      <c r="E433" s="83">
        <f>SUMIFS(E434:E1474,K434:K1474,"0",B434:B1474,"4 1 1 3 1 12 31111 6 M59 19000 000000 00000 00000 00013 011 1113000*")-SUMIFS(D434:D1474,K434:K1474,"0",B434:B1474,"4 1 1 3 1 12 31111 6 M59 19000 000000 00000 00000 00013 011 1113000*")</f>
        <v>106976.09</v>
      </c>
      <c r="F433" s="83">
        <f>SUMIFS(F434:F1474,K434:K1474,"0",B434:B1474,"4 1 1 3 1 12 31111 6 M59 19000 000000 00000 00000 00013 011 1113000*")</f>
        <v>0</v>
      </c>
      <c r="G433" s="83">
        <f>SUMIFS(G434:G1474,K434:K1474,"0",B434:B1474,"4 1 1 3 1 12 31111 6 M59 19000 000000 00000 00000 00013 011 1113000*")</f>
        <v>33458.85</v>
      </c>
      <c r="H433" s="83"/>
      <c r="I433" s="83">
        <f t="shared" si="7"/>
        <v>140434.94</v>
      </c>
      <c r="K433" s="54" t="s">
        <v>15</v>
      </c>
    </row>
    <row r="434" spans="2:11" ht="33" x14ac:dyDescent="0.2">
      <c r="B434" s="82" t="s">
        <v>2350</v>
      </c>
      <c r="C434" s="82" t="s">
        <v>660</v>
      </c>
      <c r="D434" s="54"/>
      <c r="E434" s="83">
        <f>SUMIFS(E435:E1474,K435:K1474,"0",B435:B1474,"4 1 1 3 1 12 31111 6 M59 19000 000000 00000 00000 00013 011 1113000 2024*")-SUMIFS(D435:D1474,K435:K1474,"0",B435:B1474,"4 1 1 3 1 12 31111 6 M59 19000 000000 00000 00000 00013 011 1113000 2024*")</f>
        <v>106976.09</v>
      </c>
      <c r="F434" s="83">
        <f>SUMIFS(F435:F1474,K435:K1474,"0",B435:B1474,"4 1 1 3 1 12 31111 6 M59 19000 000000 00000 00000 00013 011 1113000 2024*")</f>
        <v>0</v>
      </c>
      <c r="G434" s="83">
        <f>SUMIFS(G435:G1474,K435:K1474,"0",B435:B1474,"4 1 1 3 1 12 31111 6 M59 19000 000000 00000 00000 00013 011 1113000 2024*")</f>
        <v>33458.85</v>
      </c>
      <c r="H434" s="83"/>
      <c r="I434" s="83">
        <f t="shared" si="7"/>
        <v>140434.94</v>
      </c>
      <c r="K434" s="54" t="s">
        <v>15</v>
      </c>
    </row>
    <row r="435" spans="2:11" ht="41.25" x14ac:dyDescent="0.2">
      <c r="B435" s="82" t="s">
        <v>2351</v>
      </c>
      <c r="C435" s="82" t="s">
        <v>2298</v>
      </c>
      <c r="D435" s="54"/>
      <c r="E435" s="83">
        <f>SUMIFS(E436:E1474,K436:K1474,"0",B436:B1474,"4 1 1 3 1 12 31111 6 M59 19000 000000 00000 00000 00013 011 1113000 2024 00000000*")-SUMIFS(D436:D1474,K436:K1474,"0",B436:B1474,"4 1 1 3 1 12 31111 6 M59 19000 000000 00000 00000 00013 011 1113000 2024 00000000*")</f>
        <v>106976.09</v>
      </c>
      <c r="F435" s="83">
        <f>SUMIFS(F436:F1474,K436:K1474,"0",B436:B1474,"4 1 1 3 1 12 31111 6 M59 19000 000000 00000 00000 00013 011 1113000 2024 00000000*")</f>
        <v>0</v>
      </c>
      <c r="G435" s="83">
        <f>SUMIFS(G436:G1474,K436:K1474,"0",B436:B1474,"4 1 1 3 1 12 31111 6 M59 19000 000000 00000 00000 00013 011 1113000 2024 00000000*")</f>
        <v>33458.85</v>
      </c>
      <c r="H435" s="83"/>
      <c r="I435" s="83">
        <f t="shared" si="7"/>
        <v>140434.94</v>
      </c>
      <c r="K435" s="54" t="s">
        <v>15</v>
      </c>
    </row>
    <row r="436" spans="2:11" ht="41.25" x14ac:dyDescent="0.2">
      <c r="B436" s="82" t="s">
        <v>2352</v>
      </c>
      <c r="C436" s="82" t="s">
        <v>2300</v>
      </c>
      <c r="D436" s="54"/>
      <c r="E436" s="83">
        <f>SUMIFS(E437:E1474,K437:K1474,"0",B437:B1474,"4 1 1 3 1 12 31111 6 M59 19000 000000 00000 00000 00013 011 1113000 2024 00000000 004*")-SUMIFS(D437:D1474,K437:K1474,"0",B437:B1474,"4 1 1 3 1 12 31111 6 M59 19000 000000 00000 00000 00013 011 1113000 2024 00000000 004*")</f>
        <v>106976.09</v>
      </c>
      <c r="F436" s="83">
        <f>SUMIFS(F437:F1474,K437:K1474,"0",B437:B1474,"4 1 1 3 1 12 31111 6 M59 19000 000000 00000 00000 00013 011 1113000 2024 00000000 004*")</f>
        <v>0</v>
      </c>
      <c r="G436" s="83">
        <f>SUMIFS(G437:G1474,K437:K1474,"0",B437:B1474,"4 1 1 3 1 12 31111 6 M59 19000 000000 00000 00000 00013 011 1113000 2024 00000000 004*")</f>
        <v>33458.85</v>
      </c>
      <c r="H436" s="83"/>
      <c r="I436" s="83">
        <f t="shared" si="7"/>
        <v>140434.94</v>
      </c>
      <c r="K436" s="54" t="s">
        <v>15</v>
      </c>
    </row>
    <row r="437" spans="2:11" ht="49.5" x14ac:dyDescent="0.2">
      <c r="B437" s="82" t="s">
        <v>2353</v>
      </c>
      <c r="C437" s="82" t="s">
        <v>2336</v>
      </c>
      <c r="D437" s="54"/>
      <c r="E437" s="83">
        <f>SUMIFS(E438:E1474,K438:K1474,"0",B438:B1474,"4 1 1 3 1 12 31111 6 M59 19000 000000 00000 00000 00013 011 1113000 2024 00000000 004 0000001*")-SUMIFS(D438:D1474,K438:K1474,"0",B438:B1474,"4 1 1 3 1 12 31111 6 M59 19000 000000 00000 00000 00013 011 1113000 2024 00000000 004 0000001*")</f>
        <v>105393</v>
      </c>
      <c r="F437" s="83">
        <f>SUMIFS(F438:F1474,K438:K1474,"0",B438:B1474,"4 1 1 3 1 12 31111 6 M59 19000 000000 00000 00000 00013 011 1113000 2024 00000000 004 0000001*")</f>
        <v>0</v>
      </c>
      <c r="G437" s="83">
        <f>SUMIFS(G438:G1474,K438:K1474,"0",B438:B1474,"4 1 1 3 1 12 31111 6 M59 19000 000000 00000 00000 00013 011 1113000 2024 00000000 004 0000001*")</f>
        <v>33195</v>
      </c>
      <c r="H437" s="83"/>
      <c r="I437" s="83">
        <f t="shared" si="7"/>
        <v>138588</v>
      </c>
      <c r="K437" s="54" t="s">
        <v>15</v>
      </c>
    </row>
    <row r="438" spans="2:11" ht="49.5" x14ac:dyDescent="0.2">
      <c r="B438" s="82" t="s">
        <v>2354</v>
      </c>
      <c r="C438" s="82" t="s">
        <v>2355</v>
      </c>
      <c r="D438" s="54"/>
      <c r="E438" s="83">
        <f>SUMIFS(E439:E1474,K439:K1474,"0",B439:B1474,"4 1 1 3 1 12 31111 6 M59 19000 000000 00000 00000 00013 011 1113000 2024 00000000 004 0000001 00001*")-SUMIFS(D439:D1474,K439:K1474,"0",B439:B1474,"4 1 1 3 1 12 31111 6 M59 19000 000000 00000 00000 00013 011 1113000 2024 00000000 004 0000001 00001*")</f>
        <v>105393</v>
      </c>
      <c r="F438" s="83">
        <f>SUMIFS(F439:F1474,K439:K1474,"0",B439:B1474,"4 1 1 3 1 12 31111 6 M59 19000 000000 00000 00000 00013 011 1113000 2024 00000000 004 0000001 00001*")</f>
        <v>0</v>
      </c>
      <c r="G438" s="83">
        <f>SUMIFS(G439:G1474,K439:K1474,"0",B439:B1474,"4 1 1 3 1 12 31111 6 M59 19000 000000 00000 00000 00013 011 1113000 2024 00000000 004 0000001 00001*")</f>
        <v>33195</v>
      </c>
      <c r="H438" s="83"/>
      <c r="I438" s="83">
        <f t="shared" si="7"/>
        <v>138588</v>
      </c>
      <c r="K438" s="54" t="s">
        <v>15</v>
      </c>
    </row>
    <row r="439" spans="2:11" ht="41.25" x14ac:dyDescent="0.2">
      <c r="B439" s="84" t="s">
        <v>2356</v>
      </c>
      <c r="C439" s="84" t="s">
        <v>2357</v>
      </c>
      <c r="D439" s="85"/>
      <c r="E439" s="85">
        <v>105393</v>
      </c>
      <c r="F439" s="85">
        <v>0</v>
      </c>
      <c r="G439" s="85">
        <v>33195</v>
      </c>
      <c r="H439" s="85"/>
      <c r="I439" s="85">
        <f t="shared" si="7"/>
        <v>138588</v>
      </c>
      <c r="K439" s="54" t="s">
        <v>38</v>
      </c>
    </row>
    <row r="440" spans="2:11" ht="49.5" x14ac:dyDescent="0.2">
      <c r="B440" s="82" t="s">
        <v>2358</v>
      </c>
      <c r="C440" s="82" t="s">
        <v>2359</v>
      </c>
      <c r="D440" s="54"/>
      <c r="E440" s="83">
        <f>SUMIFS(E441:E1474,K441:K1474,"0",B441:B1474,"4 1 1 3 1 12 31111 6 M59 19000 000000 00000 00000 00013 011 1113000 2024 00000000 004 0000013*")-SUMIFS(D441:D1474,K441:K1474,"0",B441:B1474,"4 1 1 3 1 12 31111 6 M59 19000 000000 00000 00000 00013 011 1113000 2024 00000000 004 0000013*")</f>
        <v>1583.09</v>
      </c>
      <c r="F440" s="83">
        <f>SUMIFS(F441:F1474,K441:K1474,"0",B441:B1474,"4 1 1 3 1 12 31111 6 M59 19000 000000 00000 00000 00013 011 1113000 2024 00000000 004 0000013*")</f>
        <v>0</v>
      </c>
      <c r="G440" s="83">
        <f>SUMIFS(G441:G1474,K441:K1474,"0",B441:B1474,"4 1 1 3 1 12 31111 6 M59 19000 000000 00000 00000 00013 011 1113000 2024 00000000 004 0000013*")</f>
        <v>263.85000000000002</v>
      </c>
      <c r="H440" s="83"/>
      <c r="I440" s="83">
        <f t="shared" si="7"/>
        <v>1846.94</v>
      </c>
      <c r="K440" s="54" t="s">
        <v>15</v>
      </c>
    </row>
    <row r="441" spans="2:11" ht="49.5" x14ac:dyDescent="0.2">
      <c r="B441" s="82" t="s">
        <v>2360</v>
      </c>
      <c r="C441" s="82" t="s">
        <v>2361</v>
      </c>
      <c r="D441" s="54"/>
      <c r="E441" s="83">
        <f>SUMIFS(E442:E1474,K442:K1474,"0",B442:B1474,"4 1 1 3 1 12 31111 6 M59 19000 000000 00000 00000 00013 011 1113000 2024 00000000 004 0000013 00001*")-SUMIFS(D442:D1474,K442:K1474,"0",B442:B1474,"4 1 1 3 1 12 31111 6 M59 19000 000000 00000 00000 00013 011 1113000 2024 00000000 004 0000013 00001*")</f>
        <v>1583.09</v>
      </c>
      <c r="F441" s="83">
        <f>SUMIFS(F442:F1474,K442:K1474,"0",B442:B1474,"4 1 1 3 1 12 31111 6 M59 19000 000000 00000 00000 00013 011 1113000 2024 00000000 004 0000013 00001*")</f>
        <v>0</v>
      </c>
      <c r="G441" s="83">
        <f>SUMIFS(G442:G1474,K442:K1474,"0",B442:B1474,"4 1 1 3 1 12 31111 6 M59 19000 000000 00000 00000 00013 011 1113000 2024 00000000 004 0000013 00001*")</f>
        <v>263.85000000000002</v>
      </c>
      <c r="H441" s="83"/>
      <c r="I441" s="83">
        <f t="shared" si="7"/>
        <v>1846.94</v>
      </c>
      <c r="K441" s="54" t="s">
        <v>15</v>
      </c>
    </row>
    <row r="442" spans="2:11" ht="41.25" x14ac:dyDescent="0.2">
      <c r="B442" s="84" t="s">
        <v>2362</v>
      </c>
      <c r="C442" s="84" t="s">
        <v>2363</v>
      </c>
      <c r="D442" s="85"/>
      <c r="E442" s="85">
        <v>1583.09</v>
      </c>
      <c r="F442" s="85">
        <v>0</v>
      </c>
      <c r="G442" s="85">
        <v>263.85000000000002</v>
      </c>
      <c r="H442" s="85"/>
      <c r="I442" s="85">
        <f t="shared" si="7"/>
        <v>1846.94</v>
      </c>
      <c r="K442" s="54" t="s">
        <v>38</v>
      </c>
    </row>
    <row r="443" spans="2:11" ht="12.75" x14ac:dyDescent="0.2">
      <c r="B443" s="82" t="s">
        <v>2364</v>
      </c>
      <c r="C443" s="82" t="s">
        <v>2365</v>
      </c>
      <c r="D443" s="54"/>
      <c r="E443" s="83">
        <f>SUMIFS(E444:E1474,K444:K1474,"0",B444:B1474,"4 1 1 6*")-SUMIFS(D444:D1474,K444:K1474,"0",B444:B1474,"4 1 1 6*")</f>
        <v>-2113602.0699999998</v>
      </c>
      <c r="F443" s="83">
        <f>SUMIFS(F444:F1474,K444:K1474,"0",B444:B1474,"4 1 1 6*")</f>
        <v>0</v>
      </c>
      <c r="G443" s="83">
        <f>SUMIFS(G444:G1474,K444:K1474,"0",B444:B1474,"4 1 1 6*")</f>
        <v>0</v>
      </c>
      <c r="H443" s="83"/>
      <c r="I443" s="83">
        <f t="shared" si="7"/>
        <v>-2113602.0699999998</v>
      </c>
      <c r="K443" s="54" t="s">
        <v>15</v>
      </c>
    </row>
    <row r="444" spans="2:11" ht="12.75" x14ac:dyDescent="0.2">
      <c r="B444" s="82" t="s">
        <v>2366</v>
      </c>
      <c r="C444" s="82" t="s">
        <v>2367</v>
      </c>
      <c r="D444" s="54"/>
      <c r="E444" s="83">
        <f>SUMIFS(E445:E1474,K445:K1474,"0",B445:B1474,"4 1 1 6 1*")-SUMIFS(D445:D1474,K445:K1474,"0",B445:B1474,"4 1 1 6 1*")</f>
        <v>-2113602.0699999998</v>
      </c>
      <c r="F444" s="83">
        <f>SUMIFS(F445:F1474,K445:K1474,"0",B445:B1474,"4 1 1 6 1*")</f>
        <v>0</v>
      </c>
      <c r="G444" s="83">
        <f>SUMIFS(G445:G1474,K445:K1474,"0",B445:B1474,"4 1 1 6 1*")</f>
        <v>0</v>
      </c>
      <c r="H444" s="83"/>
      <c r="I444" s="83">
        <f t="shared" si="7"/>
        <v>-2113602.0699999998</v>
      </c>
      <c r="K444" s="54" t="s">
        <v>15</v>
      </c>
    </row>
    <row r="445" spans="2:11" ht="12.75" x14ac:dyDescent="0.2">
      <c r="B445" s="82" t="s">
        <v>2368</v>
      </c>
      <c r="C445" s="82" t="s">
        <v>26</v>
      </c>
      <c r="D445" s="54"/>
      <c r="E445" s="83">
        <f>SUMIFS(E446:E1474,K446:K1474,"0",B446:B1474,"4 1 1 6 1 12*")-SUMIFS(D446:D1474,K446:K1474,"0",B446:B1474,"4 1 1 6 1 12*")</f>
        <v>-2113602.0699999998</v>
      </c>
      <c r="F445" s="83">
        <f>SUMIFS(F446:F1474,K446:K1474,"0",B446:B1474,"4 1 1 6 1 12*")</f>
        <v>0</v>
      </c>
      <c r="G445" s="83">
        <f>SUMIFS(G446:G1474,K446:K1474,"0",B446:B1474,"4 1 1 6 1 12*")</f>
        <v>0</v>
      </c>
      <c r="H445" s="83"/>
      <c r="I445" s="83">
        <f t="shared" si="7"/>
        <v>-2113602.0699999998</v>
      </c>
      <c r="K445" s="54" t="s">
        <v>15</v>
      </c>
    </row>
    <row r="446" spans="2:11" ht="16.5" x14ac:dyDescent="0.2">
      <c r="B446" s="82" t="s">
        <v>2369</v>
      </c>
      <c r="C446" s="82" t="s">
        <v>28</v>
      </c>
      <c r="D446" s="54"/>
      <c r="E446" s="83">
        <f>SUMIFS(E447:E1474,K447:K1474,"0",B447:B1474,"4 1 1 6 1 12 31111*")-SUMIFS(D447:D1474,K447:K1474,"0",B447:B1474,"4 1 1 6 1 12 31111*")</f>
        <v>-2113602.0699999998</v>
      </c>
      <c r="F446" s="83">
        <f>SUMIFS(F447:F1474,K447:K1474,"0",B447:B1474,"4 1 1 6 1 12 31111*")</f>
        <v>0</v>
      </c>
      <c r="G446" s="83">
        <f>SUMIFS(G447:G1474,K447:K1474,"0",B447:B1474,"4 1 1 6 1 12 31111*")</f>
        <v>0</v>
      </c>
      <c r="H446" s="83"/>
      <c r="I446" s="83">
        <f t="shared" si="7"/>
        <v>-2113602.0699999998</v>
      </c>
      <c r="K446" s="54" t="s">
        <v>15</v>
      </c>
    </row>
    <row r="447" spans="2:11" ht="12.75" x14ac:dyDescent="0.2">
      <c r="B447" s="82" t="s">
        <v>2370</v>
      </c>
      <c r="C447" s="82" t="s">
        <v>30</v>
      </c>
      <c r="D447" s="54"/>
      <c r="E447" s="83">
        <f>SUMIFS(E448:E1474,K448:K1474,"0",B448:B1474,"4 1 1 6 1 12 31111 6*")-SUMIFS(D448:D1474,K448:K1474,"0",B448:B1474,"4 1 1 6 1 12 31111 6*")</f>
        <v>-2113602.0699999998</v>
      </c>
      <c r="F447" s="83">
        <f>SUMIFS(F448:F1474,K448:K1474,"0",B448:B1474,"4 1 1 6 1 12 31111 6*")</f>
        <v>0</v>
      </c>
      <c r="G447" s="83">
        <f>SUMIFS(G448:G1474,K448:K1474,"0",B448:B1474,"4 1 1 6 1 12 31111 6*")</f>
        <v>0</v>
      </c>
      <c r="H447" s="83"/>
      <c r="I447" s="83">
        <f t="shared" si="7"/>
        <v>-2113602.0699999998</v>
      </c>
      <c r="K447" s="54" t="s">
        <v>15</v>
      </c>
    </row>
    <row r="448" spans="2:11" ht="16.5" x14ac:dyDescent="0.2">
      <c r="B448" s="82" t="s">
        <v>2371</v>
      </c>
      <c r="C448" s="82" t="s">
        <v>2284</v>
      </c>
      <c r="D448" s="54"/>
      <c r="E448" s="83">
        <f>SUMIFS(E449:E1474,K449:K1474,"0",B449:B1474,"4 1 1 6 1 12 31111 6 M59*")-SUMIFS(D449:D1474,K449:K1474,"0",B449:B1474,"4 1 1 6 1 12 31111 6 M59*")</f>
        <v>-2113602.0699999998</v>
      </c>
      <c r="F448" s="83">
        <f>SUMIFS(F449:F1474,K449:K1474,"0",B449:B1474,"4 1 1 6 1 12 31111 6 M59*")</f>
        <v>0</v>
      </c>
      <c r="G448" s="83">
        <f>SUMIFS(G449:G1474,K449:K1474,"0",B449:B1474,"4 1 1 6 1 12 31111 6 M59*")</f>
        <v>0</v>
      </c>
      <c r="H448" s="83"/>
      <c r="I448" s="83">
        <f t="shared" si="7"/>
        <v>-2113602.0699999998</v>
      </c>
      <c r="K448" s="54" t="s">
        <v>15</v>
      </c>
    </row>
    <row r="449" spans="2:11" ht="16.5" x14ac:dyDescent="0.2">
      <c r="B449" s="82" t="s">
        <v>2372</v>
      </c>
      <c r="C449" s="82" t="s">
        <v>1044</v>
      </c>
      <c r="D449" s="54"/>
      <c r="E449" s="83">
        <f>SUMIFS(E450:E1474,K450:K1474,"0",B450:B1474,"4 1 1 6 1 12 31111 6 M59 19000*")-SUMIFS(D450:D1474,K450:K1474,"0",B450:B1474,"4 1 1 6 1 12 31111 6 M59 19000*")</f>
        <v>-2113602.0699999998</v>
      </c>
      <c r="F449" s="83">
        <f>SUMIFS(F450:F1474,K450:K1474,"0",B450:B1474,"4 1 1 6 1 12 31111 6 M59 19000*")</f>
        <v>0</v>
      </c>
      <c r="G449" s="83">
        <f>SUMIFS(G450:G1474,K450:K1474,"0",B450:B1474,"4 1 1 6 1 12 31111 6 M59 19000*")</f>
        <v>0</v>
      </c>
      <c r="H449" s="83"/>
      <c r="I449" s="83">
        <f t="shared" si="7"/>
        <v>-2113602.0699999998</v>
      </c>
      <c r="K449" s="54" t="s">
        <v>15</v>
      </c>
    </row>
    <row r="450" spans="2:11" ht="16.5" x14ac:dyDescent="0.2">
      <c r="B450" s="82" t="s">
        <v>2373</v>
      </c>
      <c r="C450" s="82" t="s">
        <v>2287</v>
      </c>
      <c r="D450" s="54"/>
      <c r="E450" s="83">
        <f>SUMIFS(E451:E1474,K451:K1474,"0",B451:B1474,"4 1 1 6 1 12 31111 6 M59 19000 000000*")-SUMIFS(D451:D1474,K451:K1474,"0",B451:B1474,"4 1 1 6 1 12 31111 6 M59 19000 000000*")</f>
        <v>-2113602.0699999998</v>
      </c>
      <c r="F450" s="83">
        <f>SUMIFS(F451:F1474,K451:K1474,"0",B451:B1474,"4 1 1 6 1 12 31111 6 M59 19000 000000*")</f>
        <v>0</v>
      </c>
      <c r="G450" s="83">
        <f>SUMIFS(G451:G1474,K451:K1474,"0",B451:B1474,"4 1 1 6 1 12 31111 6 M59 19000 000000*")</f>
        <v>0</v>
      </c>
      <c r="H450" s="83"/>
      <c r="I450" s="83">
        <f t="shared" si="7"/>
        <v>-2113602.0699999998</v>
      </c>
      <c r="K450" s="54" t="s">
        <v>15</v>
      </c>
    </row>
    <row r="451" spans="2:11" ht="16.5" x14ac:dyDescent="0.2">
      <c r="B451" s="82" t="s">
        <v>2374</v>
      </c>
      <c r="C451" s="82" t="s">
        <v>2289</v>
      </c>
      <c r="D451" s="54"/>
      <c r="E451" s="83">
        <f>SUMIFS(E452:E1474,K452:K1474,"0",B452:B1474,"4 1 1 6 1 12 31111 6 M59 19000 000000 00000*")-SUMIFS(D452:D1474,K452:K1474,"0",B452:B1474,"4 1 1 6 1 12 31111 6 M59 19000 000000 00000*")</f>
        <v>-2113602.0699999998</v>
      </c>
      <c r="F451" s="83">
        <f>SUMIFS(F452:F1474,K452:K1474,"0",B452:B1474,"4 1 1 6 1 12 31111 6 M59 19000 000000 00000*")</f>
        <v>0</v>
      </c>
      <c r="G451" s="83">
        <f>SUMIFS(G452:G1474,K452:K1474,"0",B452:B1474,"4 1 1 6 1 12 31111 6 M59 19000 000000 00000*")</f>
        <v>0</v>
      </c>
      <c r="H451" s="83"/>
      <c r="I451" s="83">
        <f t="shared" si="7"/>
        <v>-2113602.0699999998</v>
      </c>
      <c r="K451" s="54" t="s">
        <v>15</v>
      </c>
    </row>
    <row r="452" spans="2:11" ht="24.75" x14ac:dyDescent="0.2">
      <c r="B452" s="82" t="s">
        <v>2375</v>
      </c>
      <c r="C452" s="82" t="s">
        <v>2291</v>
      </c>
      <c r="D452" s="54"/>
      <c r="E452" s="83">
        <f>SUMIFS(E453:E1474,K453:K1474,"0",B453:B1474,"4 1 1 6 1 12 31111 6 M59 19000 000000 00000 00000*")-SUMIFS(D453:D1474,K453:K1474,"0",B453:B1474,"4 1 1 6 1 12 31111 6 M59 19000 000000 00000 00000*")</f>
        <v>-2113602.0699999998</v>
      </c>
      <c r="F452" s="83">
        <f>SUMIFS(F453:F1474,K453:K1474,"0",B453:B1474,"4 1 1 6 1 12 31111 6 M59 19000 000000 00000 00000*")</f>
        <v>0</v>
      </c>
      <c r="G452" s="83">
        <f>SUMIFS(G453:G1474,K453:K1474,"0",B453:B1474,"4 1 1 6 1 12 31111 6 M59 19000 000000 00000 00000*")</f>
        <v>0</v>
      </c>
      <c r="H452" s="83"/>
      <c r="I452" s="83">
        <f t="shared" si="7"/>
        <v>-2113602.0699999998</v>
      </c>
      <c r="K452" s="54" t="s">
        <v>15</v>
      </c>
    </row>
    <row r="453" spans="2:11" ht="24.75" x14ac:dyDescent="0.2">
      <c r="B453" s="82" t="s">
        <v>2376</v>
      </c>
      <c r="C453" s="82" t="s">
        <v>2365</v>
      </c>
      <c r="D453" s="54"/>
      <c r="E453" s="83">
        <f>SUMIFS(E454:E1474,K454:K1474,"0",B454:B1474,"4 1 1 6 1 12 31111 6 M59 19000 000000 00000 00000 00016*")-SUMIFS(D454:D1474,K454:K1474,"0",B454:B1474,"4 1 1 6 1 12 31111 6 M59 19000 000000 00000 00000 00016*")</f>
        <v>-2113602.0699999998</v>
      </c>
      <c r="F453" s="83">
        <f>SUMIFS(F454:F1474,K454:K1474,"0",B454:B1474,"4 1 1 6 1 12 31111 6 M59 19000 000000 00000 00000 00016*")</f>
        <v>0</v>
      </c>
      <c r="G453" s="83">
        <f>SUMIFS(G454:G1474,K454:K1474,"0",B454:B1474,"4 1 1 6 1 12 31111 6 M59 19000 000000 00000 00000 00016*")</f>
        <v>0</v>
      </c>
      <c r="H453" s="83"/>
      <c r="I453" s="83">
        <f t="shared" si="7"/>
        <v>-2113602.0699999998</v>
      </c>
      <c r="K453" s="54" t="s">
        <v>15</v>
      </c>
    </row>
    <row r="454" spans="2:11" ht="24.75" x14ac:dyDescent="0.2">
      <c r="B454" s="82" t="s">
        <v>2377</v>
      </c>
      <c r="C454" s="82" t="s">
        <v>699</v>
      </c>
      <c r="D454" s="54"/>
      <c r="E454" s="83">
        <f>SUMIFS(E455:E1474,K455:K1474,"0",B455:B1474,"4 1 1 6 1 12 31111 6 M59 19000 000000 00000 00000 00016 011*")-SUMIFS(D455:D1474,K455:K1474,"0",B455:B1474,"4 1 1 6 1 12 31111 6 M59 19000 000000 00000 00000 00016 011*")</f>
        <v>-2113602.0699999998</v>
      </c>
      <c r="F454" s="83">
        <f>SUMIFS(F455:F1474,K455:K1474,"0",B455:B1474,"4 1 1 6 1 12 31111 6 M59 19000 000000 00000 00000 00016 011*")</f>
        <v>0</v>
      </c>
      <c r="G454" s="83">
        <f>SUMIFS(G455:G1474,K455:K1474,"0",B455:B1474,"4 1 1 6 1 12 31111 6 M59 19000 000000 00000 00000 00016 011*")</f>
        <v>0</v>
      </c>
      <c r="H454" s="83"/>
      <c r="I454" s="83">
        <f t="shared" si="7"/>
        <v>-2113602.0699999998</v>
      </c>
      <c r="K454" s="54" t="s">
        <v>15</v>
      </c>
    </row>
    <row r="455" spans="2:11" ht="33" x14ac:dyDescent="0.2">
      <c r="B455" s="82" t="s">
        <v>2378</v>
      </c>
      <c r="C455" s="82" t="s">
        <v>2365</v>
      </c>
      <c r="D455" s="54"/>
      <c r="E455" s="83">
        <f>SUMIFS(E456:E1474,K456:K1474,"0",B456:B1474,"4 1 1 6 1 12 31111 6 M59 19000 000000 00000 00000 00016 011 1116000*")-SUMIFS(D456:D1474,K456:K1474,"0",B456:B1474,"4 1 1 6 1 12 31111 6 M59 19000 000000 00000 00000 00016 011 1116000*")</f>
        <v>-2113602.0699999998</v>
      </c>
      <c r="F455" s="83">
        <f>SUMIFS(F456:F1474,K456:K1474,"0",B456:B1474,"4 1 1 6 1 12 31111 6 M59 19000 000000 00000 00000 00016 011 1116000*")</f>
        <v>0</v>
      </c>
      <c r="G455" s="83">
        <f>SUMIFS(G456:G1474,K456:K1474,"0",B456:B1474,"4 1 1 6 1 12 31111 6 M59 19000 000000 00000 00000 00016 011 1116000*")</f>
        <v>0</v>
      </c>
      <c r="H455" s="83"/>
      <c r="I455" s="83">
        <f t="shared" si="7"/>
        <v>-2113602.0699999998</v>
      </c>
      <c r="K455" s="54" t="s">
        <v>15</v>
      </c>
    </row>
    <row r="456" spans="2:11" ht="33" x14ac:dyDescent="0.2">
      <c r="B456" s="82" t="s">
        <v>2379</v>
      </c>
      <c r="C456" s="82" t="s">
        <v>660</v>
      </c>
      <c r="D456" s="54"/>
      <c r="E456" s="83">
        <f>SUMIFS(E457:E1474,K457:K1474,"0",B457:B1474,"4 1 1 6 1 12 31111 6 M59 19000 000000 00000 00000 00016 011 1116000 2024*")-SUMIFS(D457:D1474,K457:K1474,"0",B457:B1474,"4 1 1 6 1 12 31111 6 M59 19000 000000 00000 00000 00016 011 1116000 2024*")</f>
        <v>-2113602.0699999998</v>
      </c>
      <c r="F456" s="83">
        <f>SUMIFS(F457:F1474,K457:K1474,"0",B457:B1474,"4 1 1 6 1 12 31111 6 M59 19000 000000 00000 00000 00016 011 1116000 2024*")</f>
        <v>0</v>
      </c>
      <c r="G456" s="83">
        <f>SUMIFS(G457:G1474,K457:K1474,"0",B457:B1474,"4 1 1 6 1 12 31111 6 M59 19000 000000 00000 00000 00016 011 1116000 2024*")</f>
        <v>0</v>
      </c>
      <c r="H456" s="83"/>
      <c r="I456" s="83">
        <f t="shared" si="7"/>
        <v>-2113602.0699999998</v>
      </c>
      <c r="K456" s="54" t="s">
        <v>15</v>
      </c>
    </row>
    <row r="457" spans="2:11" ht="41.25" x14ac:dyDescent="0.2">
      <c r="B457" s="82" t="s">
        <v>2380</v>
      </c>
      <c r="C457" s="82" t="s">
        <v>2298</v>
      </c>
      <c r="D457" s="54"/>
      <c r="E457" s="83">
        <f>SUMIFS(E458:E1474,K458:K1474,"0",B458:B1474,"4 1 1 6 1 12 31111 6 M59 19000 000000 00000 00000 00016 011 1116000 2024 00000000*")-SUMIFS(D458:D1474,K458:K1474,"0",B458:B1474,"4 1 1 6 1 12 31111 6 M59 19000 000000 00000 00000 00016 011 1116000 2024 00000000*")</f>
        <v>-2113602.0699999998</v>
      </c>
      <c r="F457" s="83">
        <f>SUMIFS(F458:F1474,K458:K1474,"0",B458:B1474,"4 1 1 6 1 12 31111 6 M59 19000 000000 00000 00000 00016 011 1116000 2024 00000000*")</f>
        <v>0</v>
      </c>
      <c r="G457" s="83">
        <f>SUMIFS(G458:G1474,K458:K1474,"0",B458:B1474,"4 1 1 6 1 12 31111 6 M59 19000 000000 00000 00000 00016 011 1116000 2024 00000000*")</f>
        <v>0</v>
      </c>
      <c r="H457" s="83"/>
      <c r="I457" s="83">
        <f t="shared" si="7"/>
        <v>-2113602.0699999998</v>
      </c>
      <c r="K457" s="54" t="s">
        <v>15</v>
      </c>
    </row>
    <row r="458" spans="2:11" ht="41.25" x14ac:dyDescent="0.2">
      <c r="B458" s="82" t="s">
        <v>2381</v>
      </c>
      <c r="C458" s="82" t="s">
        <v>2300</v>
      </c>
      <c r="D458" s="54"/>
      <c r="E458" s="83">
        <f>SUMIFS(E459:E1474,K459:K1474,"0",B459:B1474,"4 1 1 6 1 12 31111 6 M59 19000 000000 00000 00000 00016 011 1116000 2024 00000000 004*")-SUMIFS(D459:D1474,K459:K1474,"0",B459:B1474,"4 1 1 6 1 12 31111 6 M59 19000 000000 00000 00000 00016 011 1116000 2024 00000000 004*")</f>
        <v>-2113602.0699999998</v>
      </c>
      <c r="F458" s="83">
        <f>SUMIFS(F459:F1474,K459:K1474,"0",B459:B1474,"4 1 1 6 1 12 31111 6 M59 19000 000000 00000 00000 00016 011 1116000 2024 00000000 004*")</f>
        <v>0</v>
      </c>
      <c r="G458" s="83">
        <f>SUMIFS(G459:G1474,K459:K1474,"0",B459:B1474,"4 1 1 6 1 12 31111 6 M59 19000 000000 00000 00000 00016 011 1116000 2024 00000000 004*")</f>
        <v>0</v>
      </c>
      <c r="H458" s="83"/>
      <c r="I458" s="83">
        <f t="shared" si="7"/>
        <v>-2113602.0699999998</v>
      </c>
      <c r="K458" s="54" t="s">
        <v>15</v>
      </c>
    </row>
    <row r="459" spans="2:11" ht="49.5" x14ac:dyDescent="0.2">
      <c r="B459" s="82" t="s">
        <v>2382</v>
      </c>
      <c r="C459" s="82" t="s">
        <v>2367</v>
      </c>
      <c r="D459" s="54"/>
      <c r="E459" s="83">
        <f>SUMIFS(E460:E1474,K460:K1474,"0",B460:B1474,"4 1 1 6 1 12 31111 6 M59 19000 000000 00000 00000 00016 011 1116000 2024 00000000 004 0000001*")-SUMIFS(D460:D1474,K460:K1474,"0",B460:B1474,"4 1 1 6 1 12 31111 6 M59 19000 000000 00000 00000 00016 011 1116000 2024 00000000 004 0000001*")</f>
        <v>-2113723.67</v>
      </c>
      <c r="F459" s="83">
        <f>SUMIFS(F460:F1474,K460:K1474,"0",B460:B1474,"4 1 1 6 1 12 31111 6 M59 19000 000000 00000 00000 00016 011 1116000 2024 00000000 004 0000001*")</f>
        <v>0</v>
      </c>
      <c r="G459" s="83">
        <f>SUMIFS(G460:G1474,K460:K1474,"0",B460:B1474,"4 1 1 6 1 12 31111 6 M59 19000 000000 00000 00000 00016 011 1116000 2024 00000000 004 0000001*")</f>
        <v>0</v>
      </c>
      <c r="H459" s="83"/>
      <c r="I459" s="83">
        <f t="shared" si="7"/>
        <v>-2113723.67</v>
      </c>
      <c r="K459" s="54" t="s">
        <v>15</v>
      </c>
    </row>
    <row r="460" spans="2:11" ht="49.5" x14ac:dyDescent="0.2">
      <c r="B460" s="82" t="s">
        <v>2383</v>
      </c>
      <c r="C460" s="82" t="s">
        <v>2384</v>
      </c>
      <c r="D460" s="54"/>
      <c r="E460" s="83">
        <f>SUMIFS(E461:E1474,K461:K1474,"0",B461:B1474,"4 1 1 6 1 12 31111 6 M59 19000 000000 00000 00000 00016 011 1116000 2024 00000000 004 0000001 00001*")-SUMIFS(D461:D1474,K461:K1474,"0",B461:B1474,"4 1 1 6 1 12 31111 6 M59 19000 000000 00000 00000 00016 011 1116000 2024 00000000 004 0000001 00001*")</f>
        <v>14531.08</v>
      </c>
      <c r="F460" s="83">
        <f>SUMIFS(F461:F1474,K461:K1474,"0",B461:B1474,"4 1 1 6 1 12 31111 6 M59 19000 000000 00000 00000 00016 011 1116000 2024 00000000 004 0000001 00001*")</f>
        <v>0</v>
      </c>
      <c r="G460" s="83">
        <f>SUMIFS(G461:G1474,K461:K1474,"0",B461:B1474,"4 1 1 6 1 12 31111 6 M59 19000 000000 00000 00000 00016 011 1116000 2024 00000000 004 0000001 00001*")</f>
        <v>0</v>
      </c>
      <c r="H460" s="83"/>
      <c r="I460" s="83">
        <f t="shared" si="7"/>
        <v>14531.08</v>
      </c>
      <c r="K460" s="54" t="s">
        <v>15</v>
      </c>
    </row>
    <row r="461" spans="2:11" ht="41.25" x14ac:dyDescent="0.2">
      <c r="B461" s="84" t="s">
        <v>2385</v>
      </c>
      <c r="C461" s="84" t="s">
        <v>2386</v>
      </c>
      <c r="D461" s="85"/>
      <c r="E461" s="85">
        <v>9090.6</v>
      </c>
      <c r="F461" s="85">
        <v>0</v>
      </c>
      <c r="G461" s="85">
        <v>0</v>
      </c>
      <c r="H461" s="85"/>
      <c r="I461" s="85">
        <f t="shared" si="7"/>
        <v>9090.6</v>
      </c>
      <c r="K461" s="54" t="s">
        <v>38</v>
      </c>
    </row>
    <row r="462" spans="2:11" ht="41.25" x14ac:dyDescent="0.2">
      <c r="B462" s="84" t="s">
        <v>2387</v>
      </c>
      <c r="C462" s="84" t="s">
        <v>2388</v>
      </c>
      <c r="D462" s="85"/>
      <c r="E462" s="85">
        <v>5440.48</v>
      </c>
      <c r="F462" s="85">
        <v>0</v>
      </c>
      <c r="G462" s="85">
        <v>0</v>
      </c>
      <c r="H462" s="85"/>
      <c r="I462" s="85">
        <f t="shared" si="7"/>
        <v>5440.48</v>
      </c>
      <c r="K462" s="54" t="s">
        <v>38</v>
      </c>
    </row>
    <row r="463" spans="2:11" ht="41.25" x14ac:dyDescent="0.2">
      <c r="B463" s="84" t="s">
        <v>2389</v>
      </c>
      <c r="C463" s="84" t="s">
        <v>2284</v>
      </c>
      <c r="D463" s="85"/>
      <c r="E463" s="85">
        <v>-2128254.75</v>
      </c>
      <c r="F463" s="85">
        <v>0</v>
      </c>
      <c r="G463" s="85">
        <v>0</v>
      </c>
      <c r="H463" s="85"/>
      <c r="I463" s="85">
        <f t="shared" si="7"/>
        <v>-2128254.75</v>
      </c>
      <c r="K463" s="54" t="s">
        <v>38</v>
      </c>
    </row>
    <row r="464" spans="2:11" ht="49.5" x14ac:dyDescent="0.2">
      <c r="B464" s="82" t="s">
        <v>2390</v>
      </c>
      <c r="C464" s="82" t="s">
        <v>2391</v>
      </c>
      <c r="D464" s="54"/>
      <c r="E464" s="83">
        <f>SUMIFS(E465:E1474,K465:K1474,"0",B465:B1474,"4 1 1 6 1 12 31111 6 M59 19000 000000 00000 00000 00016 011 1116000 2024 00000000 004 0000002*")-SUMIFS(D465:D1474,K465:K1474,"0",B465:B1474,"4 1 1 6 1 12 31111 6 M59 19000 000000 00000 00000 00016 011 1116000 2024 00000000 004 0000002*")</f>
        <v>121.6</v>
      </c>
      <c r="F464" s="83">
        <f>SUMIFS(F465:F1474,K465:K1474,"0",B465:B1474,"4 1 1 6 1 12 31111 6 M59 19000 000000 00000 00000 00016 011 1116000 2024 00000000 004 0000002*")</f>
        <v>0</v>
      </c>
      <c r="G464" s="83">
        <f>SUMIFS(G465:G1474,K465:K1474,"0",B465:B1474,"4 1 1 6 1 12 31111 6 M59 19000 000000 00000 00000 00016 011 1116000 2024 00000000 004 0000002*")</f>
        <v>0</v>
      </c>
      <c r="H464" s="83"/>
      <c r="I464" s="83">
        <f t="shared" si="7"/>
        <v>121.6</v>
      </c>
      <c r="K464" s="54" t="s">
        <v>15</v>
      </c>
    </row>
    <row r="465" spans="2:11" ht="49.5" x14ac:dyDescent="0.2">
      <c r="B465" s="82" t="s">
        <v>2392</v>
      </c>
      <c r="C465" s="82" t="s">
        <v>2391</v>
      </c>
      <c r="D465" s="54"/>
      <c r="E465" s="83">
        <f>SUMIFS(E466:E1474,K466:K1474,"0",B466:B1474,"4 1 1 6 1 12 31111 6 M59 19000 000000 00000 00000 00016 011 1116000 2024 00000000 004 0000002 00001*")-SUMIFS(D466:D1474,K466:K1474,"0",B466:B1474,"4 1 1 6 1 12 31111 6 M59 19000 000000 00000 00000 00016 011 1116000 2024 00000000 004 0000002 00001*")</f>
        <v>121.6</v>
      </c>
      <c r="F465" s="83">
        <f>SUMIFS(F466:F1474,K466:K1474,"0",B466:B1474,"4 1 1 6 1 12 31111 6 M59 19000 000000 00000 00000 00016 011 1116000 2024 00000000 004 0000002 00001*")</f>
        <v>0</v>
      </c>
      <c r="G465" s="83">
        <f>SUMIFS(G466:G1474,K466:K1474,"0",B466:B1474,"4 1 1 6 1 12 31111 6 M59 19000 000000 00000 00000 00016 011 1116000 2024 00000000 004 0000002 00001*")</f>
        <v>0</v>
      </c>
      <c r="H465" s="83"/>
      <c r="I465" s="83">
        <f t="shared" si="7"/>
        <v>121.6</v>
      </c>
      <c r="K465" s="54" t="s">
        <v>15</v>
      </c>
    </row>
    <row r="466" spans="2:11" ht="41.25" x14ac:dyDescent="0.2">
      <c r="B466" s="84" t="s">
        <v>2393</v>
      </c>
      <c r="C466" s="84" t="s">
        <v>2394</v>
      </c>
      <c r="D466" s="85"/>
      <c r="E466" s="85">
        <v>121.6</v>
      </c>
      <c r="F466" s="85">
        <v>0</v>
      </c>
      <c r="G466" s="85">
        <v>0</v>
      </c>
      <c r="H466" s="85"/>
      <c r="I466" s="85">
        <f t="shared" si="7"/>
        <v>121.6</v>
      </c>
      <c r="K466" s="54" t="s">
        <v>38</v>
      </c>
    </row>
    <row r="467" spans="2:11" ht="12.75" x14ac:dyDescent="0.2">
      <c r="B467" s="82" t="s">
        <v>2395</v>
      </c>
      <c r="C467" s="82" t="s">
        <v>2396</v>
      </c>
      <c r="D467" s="54"/>
      <c r="E467" s="83">
        <f>SUMIFS(E468:E1474,K468:K1474,"0",B468:B1474,"4 1 1 7*")-SUMIFS(D468:D1474,K468:K1474,"0",B468:B1474,"4 1 1 7*")</f>
        <v>295524.76</v>
      </c>
      <c r="F467" s="83">
        <f>SUMIFS(F468:F1474,K468:K1474,"0",B468:B1474,"4 1 1 7*")</f>
        <v>0</v>
      </c>
      <c r="G467" s="83">
        <f>SUMIFS(G468:G1474,K468:K1474,"0",B468:B1474,"4 1 1 7*")</f>
        <v>10019</v>
      </c>
      <c r="H467" s="83"/>
      <c r="I467" s="83">
        <f t="shared" si="7"/>
        <v>305543.76</v>
      </c>
      <c r="K467" s="54" t="s">
        <v>15</v>
      </c>
    </row>
    <row r="468" spans="2:11" ht="12.75" x14ac:dyDescent="0.2">
      <c r="B468" s="82" t="s">
        <v>2397</v>
      </c>
      <c r="C468" s="82" t="s">
        <v>2396</v>
      </c>
      <c r="D468" s="54"/>
      <c r="E468" s="83">
        <f>SUMIFS(E469:E1474,K469:K1474,"0",B469:B1474,"4 1 1 7 1*")-SUMIFS(D469:D1474,K469:K1474,"0",B469:B1474,"4 1 1 7 1*")</f>
        <v>295524.76</v>
      </c>
      <c r="F468" s="83">
        <f>SUMIFS(F469:F1474,K469:K1474,"0",B469:B1474,"4 1 1 7 1*")</f>
        <v>0</v>
      </c>
      <c r="G468" s="83">
        <f>SUMIFS(G469:G1474,K469:K1474,"0",B469:B1474,"4 1 1 7 1*")</f>
        <v>10019</v>
      </c>
      <c r="H468" s="83"/>
      <c r="I468" s="83">
        <f t="shared" ref="I468:I531" si="8">E468 - F468 + G468</f>
        <v>305543.76</v>
      </c>
      <c r="K468" s="54" t="s">
        <v>15</v>
      </c>
    </row>
    <row r="469" spans="2:11" ht="12.75" x14ac:dyDescent="0.2">
      <c r="B469" s="82" t="s">
        <v>2398</v>
      </c>
      <c r="C469" s="82" t="s">
        <v>26</v>
      </c>
      <c r="D469" s="54"/>
      <c r="E469" s="83">
        <f>SUMIFS(E470:E1474,K470:K1474,"0",B470:B1474,"4 1 1 7 1 12*")-SUMIFS(D470:D1474,K470:K1474,"0",B470:B1474,"4 1 1 7 1 12*")</f>
        <v>295524.76</v>
      </c>
      <c r="F469" s="83">
        <f>SUMIFS(F470:F1474,K470:K1474,"0",B470:B1474,"4 1 1 7 1 12*")</f>
        <v>0</v>
      </c>
      <c r="G469" s="83">
        <f>SUMIFS(G470:G1474,K470:K1474,"0",B470:B1474,"4 1 1 7 1 12*")</f>
        <v>10019</v>
      </c>
      <c r="H469" s="83"/>
      <c r="I469" s="83">
        <f t="shared" si="8"/>
        <v>305543.76</v>
      </c>
      <c r="K469" s="54" t="s">
        <v>15</v>
      </c>
    </row>
    <row r="470" spans="2:11" ht="16.5" x14ac:dyDescent="0.2">
      <c r="B470" s="82" t="s">
        <v>2399</v>
      </c>
      <c r="C470" s="82" t="s">
        <v>28</v>
      </c>
      <c r="D470" s="54"/>
      <c r="E470" s="83">
        <f>SUMIFS(E471:E1474,K471:K1474,"0",B471:B1474,"4 1 1 7 1 12 31111*")-SUMIFS(D471:D1474,K471:K1474,"0",B471:B1474,"4 1 1 7 1 12 31111*")</f>
        <v>295524.76</v>
      </c>
      <c r="F470" s="83">
        <f>SUMIFS(F471:F1474,K471:K1474,"0",B471:B1474,"4 1 1 7 1 12 31111*")</f>
        <v>0</v>
      </c>
      <c r="G470" s="83">
        <f>SUMIFS(G471:G1474,K471:K1474,"0",B471:B1474,"4 1 1 7 1 12 31111*")</f>
        <v>10019</v>
      </c>
      <c r="H470" s="83"/>
      <c r="I470" s="83">
        <f t="shared" si="8"/>
        <v>305543.76</v>
      </c>
      <c r="K470" s="54" t="s">
        <v>15</v>
      </c>
    </row>
    <row r="471" spans="2:11" ht="12.75" x14ac:dyDescent="0.2">
      <c r="B471" s="82" t="s">
        <v>2400</v>
      </c>
      <c r="C471" s="82" t="s">
        <v>30</v>
      </c>
      <c r="D471" s="54"/>
      <c r="E471" s="83">
        <f>SUMIFS(E472:E1474,K472:K1474,"0",B472:B1474,"4 1 1 7 1 12 31111 6*")-SUMIFS(D472:D1474,K472:K1474,"0",B472:B1474,"4 1 1 7 1 12 31111 6*")</f>
        <v>295524.76</v>
      </c>
      <c r="F471" s="83">
        <f>SUMIFS(F472:F1474,K472:K1474,"0",B472:B1474,"4 1 1 7 1 12 31111 6*")</f>
        <v>0</v>
      </c>
      <c r="G471" s="83">
        <f>SUMIFS(G472:G1474,K472:K1474,"0",B472:B1474,"4 1 1 7 1 12 31111 6*")</f>
        <v>10019</v>
      </c>
      <c r="H471" s="83"/>
      <c r="I471" s="83">
        <f t="shared" si="8"/>
        <v>305543.76</v>
      </c>
      <c r="K471" s="54" t="s">
        <v>15</v>
      </c>
    </row>
    <row r="472" spans="2:11" ht="16.5" x14ac:dyDescent="0.2">
      <c r="B472" s="82" t="s">
        <v>2401</v>
      </c>
      <c r="C472" s="82" t="s">
        <v>2284</v>
      </c>
      <c r="D472" s="54"/>
      <c r="E472" s="83">
        <f>SUMIFS(E473:E1474,K473:K1474,"0",B473:B1474,"4 1 1 7 1 12 31111 6 M59*")-SUMIFS(D473:D1474,K473:K1474,"0",B473:B1474,"4 1 1 7 1 12 31111 6 M59*")</f>
        <v>295524.76</v>
      </c>
      <c r="F472" s="83">
        <f>SUMIFS(F473:F1474,K473:K1474,"0",B473:B1474,"4 1 1 7 1 12 31111 6 M59*")</f>
        <v>0</v>
      </c>
      <c r="G472" s="83">
        <f>SUMIFS(G473:G1474,K473:K1474,"0",B473:B1474,"4 1 1 7 1 12 31111 6 M59*")</f>
        <v>10019</v>
      </c>
      <c r="H472" s="83"/>
      <c r="I472" s="83">
        <f t="shared" si="8"/>
        <v>305543.76</v>
      </c>
      <c r="K472" s="54" t="s">
        <v>15</v>
      </c>
    </row>
    <row r="473" spans="2:11" ht="16.5" x14ac:dyDescent="0.2">
      <c r="B473" s="82" t="s">
        <v>2402</v>
      </c>
      <c r="C473" s="82" t="s">
        <v>1044</v>
      </c>
      <c r="D473" s="54"/>
      <c r="E473" s="83">
        <f>SUMIFS(E474:E1474,K474:K1474,"0",B474:B1474,"4 1 1 7 1 12 31111 6 M59 19000*")-SUMIFS(D474:D1474,K474:K1474,"0",B474:B1474,"4 1 1 7 1 12 31111 6 M59 19000*")</f>
        <v>295524.76</v>
      </c>
      <c r="F473" s="83">
        <f>SUMIFS(F474:F1474,K474:K1474,"0",B474:B1474,"4 1 1 7 1 12 31111 6 M59 19000*")</f>
        <v>0</v>
      </c>
      <c r="G473" s="83">
        <f>SUMIFS(G474:G1474,K474:K1474,"0",B474:B1474,"4 1 1 7 1 12 31111 6 M59 19000*")</f>
        <v>10019</v>
      </c>
      <c r="H473" s="83"/>
      <c r="I473" s="83">
        <f t="shared" si="8"/>
        <v>305543.76</v>
      </c>
      <c r="K473" s="54" t="s">
        <v>15</v>
      </c>
    </row>
    <row r="474" spans="2:11" ht="16.5" x14ac:dyDescent="0.2">
      <c r="B474" s="82" t="s">
        <v>2403</v>
      </c>
      <c r="C474" s="82" t="s">
        <v>2287</v>
      </c>
      <c r="D474" s="54"/>
      <c r="E474" s="83">
        <f>SUMIFS(E475:E1474,K475:K1474,"0",B475:B1474,"4 1 1 7 1 12 31111 6 M59 19000 000000*")-SUMIFS(D475:D1474,K475:K1474,"0",B475:B1474,"4 1 1 7 1 12 31111 6 M59 19000 000000*")</f>
        <v>295524.76</v>
      </c>
      <c r="F474" s="83">
        <f>SUMIFS(F475:F1474,K475:K1474,"0",B475:B1474,"4 1 1 7 1 12 31111 6 M59 19000 000000*")</f>
        <v>0</v>
      </c>
      <c r="G474" s="83">
        <f>SUMIFS(G475:G1474,K475:K1474,"0",B475:B1474,"4 1 1 7 1 12 31111 6 M59 19000 000000*")</f>
        <v>10019</v>
      </c>
      <c r="H474" s="83"/>
      <c r="I474" s="83">
        <f t="shared" si="8"/>
        <v>305543.76</v>
      </c>
      <c r="K474" s="54" t="s">
        <v>15</v>
      </c>
    </row>
    <row r="475" spans="2:11" ht="16.5" x14ac:dyDescent="0.2">
      <c r="B475" s="82" t="s">
        <v>2404</v>
      </c>
      <c r="C475" s="82" t="s">
        <v>2289</v>
      </c>
      <c r="D475" s="54"/>
      <c r="E475" s="83">
        <f>SUMIFS(E476:E1474,K476:K1474,"0",B476:B1474,"4 1 1 7 1 12 31111 6 M59 19000 000000 00000*")-SUMIFS(D476:D1474,K476:K1474,"0",B476:B1474,"4 1 1 7 1 12 31111 6 M59 19000 000000 00000*")</f>
        <v>295524.76</v>
      </c>
      <c r="F475" s="83">
        <f>SUMIFS(F476:F1474,K476:K1474,"0",B476:B1474,"4 1 1 7 1 12 31111 6 M59 19000 000000 00000*")</f>
        <v>0</v>
      </c>
      <c r="G475" s="83">
        <f>SUMIFS(G476:G1474,K476:K1474,"0",B476:B1474,"4 1 1 7 1 12 31111 6 M59 19000 000000 00000*")</f>
        <v>10019</v>
      </c>
      <c r="H475" s="83"/>
      <c r="I475" s="83">
        <f t="shared" si="8"/>
        <v>305543.76</v>
      </c>
      <c r="K475" s="54" t="s">
        <v>15</v>
      </c>
    </row>
    <row r="476" spans="2:11" ht="24.75" x14ac:dyDescent="0.2">
      <c r="B476" s="82" t="s">
        <v>2405</v>
      </c>
      <c r="C476" s="82" t="s">
        <v>2291</v>
      </c>
      <c r="D476" s="54"/>
      <c r="E476" s="83">
        <f>SUMIFS(E477:E1474,K477:K1474,"0",B477:B1474,"4 1 1 7 1 12 31111 6 M59 19000 000000 00000 00000*")-SUMIFS(D477:D1474,K477:K1474,"0",B477:B1474,"4 1 1 7 1 12 31111 6 M59 19000 000000 00000 00000*")</f>
        <v>295524.76</v>
      </c>
      <c r="F476" s="83">
        <f>SUMIFS(F477:F1474,K477:K1474,"0",B477:B1474,"4 1 1 7 1 12 31111 6 M59 19000 000000 00000 00000*")</f>
        <v>0</v>
      </c>
      <c r="G476" s="83">
        <f>SUMIFS(G477:G1474,K477:K1474,"0",B477:B1474,"4 1 1 7 1 12 31111 6 M59 19000 000000 00000 00000*")</f>
        <v>10019</v>
      </c>
      <c r="H476" s="83"/>
      <c r="I476" s="83">
        <f t="shared" si="8"/>
        <v>305543.76</v>
      </c>
      <c r="K476" s="54" t="s">
        <v>15</v>
      </c>
    </row>
    <row r="477" spans="2:11" ht="24.75" x14ac:dyDescent="0.2">
      <c r="B477" s="82" t="s">
        <v>2406</v>
      </c>
      <c r="C477" s="82" t="s">
        <v>2396</v>
      </c>
      <c r="D477" s="54"/>
      <c r="E477" s="83">
        <f>SUMIFS(E478:E1474,K478:K1474,"0",B478:B1474,"4 1 1 7 1 12 31111 6 M59 19000 000000 00000 00000 00017*")-SUMIFS(D478:D1474,K478:K1474,"0",B478:B1474,"4 1 1 7 1 12 31111 6 M59 19000 000000 00000 00000 00017*")</f>
        <v>295524.76</v>
      </c>
      <c r="F477" s="83">
        <f>SUMIFS(F478:F1474,K478:K1474,"0",B478:B1474,"4 1 1 7 1 12 31111 6 M59 19000 000000 00000 00000 00017*")</f>
        <v>0</v>
      </c>
      <c r="G477" s="83">
        <f>SUMIFS(G478:G1474,K478:K1474,"0",B478:B1474,"4 1 1 7 1 12 31111 6 M59 19000 000000 00000 00000 00017*")</f>
        <v>10019</v>
      </c>
      <c r="H477" s="83"/>
      <c r="I477" s="83">
        <f t="shared" si="8"/>
        <v>305543.76</v>
      </c>
      <c r="K477" s="54" t="s">
        <v>15</v>
      </c>
    </row>
    <row r="478" spans="2:11" ht="24.75" x14ac:dyDescent="0.2">
      <c r="B478" s="82" t="s">
        <v>2408</v>
      </c>
      <c r="C478" s="82" t="s">
        <v>699</v>
      </c>
      <c r="D478" s="54"/>
      <c r="E478" s="83">
        <f>SUMIFS(E479:E1474,K479:K1474,"0",B479:B1474,"4 1 1 7 1 12 31111 6 M59 19000 000000 00000 00000 00017 011*")-SUMIFS(D479:D1474,K479:K1474,"0",B479:B1474,"4 1 1 7 1 12 31111 6 M59 19000 000000 00000 00000 00017 011*")</f>
        <v>295524.76</v>
      </c>
      <c r="F478" s="83">
        <f>SUMIFS(F479:F1474,K479:K1474,"0",B479:B1474,"4 1 1 7 1 12 31111 6 M59 19000 000000 00000 00000 00017 011*")</f>
        <v>0</v>
      </c>
      <c r="G478" s="83">
        <f>SUMIFS(G479:G1474,K479:K1474,"0",B479:B1474,"4 1 1 7 1 12 31111 6 M59 19000 000000 00000 00000 00017 011*")</f>
        <v>10019</v>
      </c>
      <c r="H478" s="83"/>
      <c r="I478" s="83">
        <f t="shared" si="8"/>
        <v>305543.76</v>
      </c>
      <c r="K478" s="54" t="s">
        <v>15</v>
      </c>
    </row>
    <row r="479" spans="2:11" ht="33" x14ac:dyDescent="0.2">
      <c r="B479" s="82" t="s">
        <v>2409</v>
      </c>
      <c r="C479" s="82" t="s">
        <v>2320</v>
      </c>
      <c r="D479" s="54"/>
      <c r="E479" s="83">
        <f>SUMIFS(E480:E1474,K480:K1474,"0",B480:B1474,"4 1 1 7 1 12 31111 6 M59 19000 000000 00000 00000 00017 011 1113000*")-SUMIFS(D480:D1474,K480:K1474,"0",B480:B1474,"4 1 1 7 1 12 31111 6 M59 19000 000000 00000 00000 00017 011 1113000*")</f>
        <v>295524.76</v>
      </c>
      <c r="F479" s="83">
        <f>SUMIFS(F480:F1474,K480:K1474,"0",B480:B1474,"4 1 1 7 1 12 31111 6 M59 19000 000000 00000 00000 00017 011 1113000*")</f>
        <v>0</v>
      </c>
      <c r="G479" s="83">
        <f>SUMIFS(G480:G1474,K480:K1474,"0",B480:B1474,"4 1 1 7 1 12 31111 6 M59 19000 000000 00000 00000 00017 011 1113000*")</f>
        <v>10019</v>
      </c>
      <c r="H479" s="83"/>
      <c r="I479" s="83">
        <f t="shared" si="8"/>
        <v>305543.76</v>
      </c>
      <c r="K479" s="54" t="s">
        <v>15</v>
      </c>
    </row>
    <row r="480" spans="2:11" ht="33" x14ac:dyDescent="0.2">
      <c r="B480" s="82" t="s">
        <v>2410</v>
      </c>
      <c r="C480" s="82" t="s">
        <v>660</v>
      </c>
      <c r="D480" s="54"/>
      <c r="E480" s="83">
        <f>SUMIFS(E481:E1474,K481:K1474,"0",B481:B1474,"4 1 1 7 1 12 31111 6 M59 19000 000000 00000 00000 00017 011 1113000 2024*")-SUMIFS(D481:D1474,K481:K1474,"0",B481:B1474,"4 1 1 7 1 12 31111 6 M59 19000 000000 00000 00000 00017 011 1113000 2024*")</f>
        <v>295524.76</v>
      </c>
      <c r="F480" s="83">
        <f>SUMIFS(F481:F1474,K481:K1474,"0",B481:B1474,"4 1 1 7 1 12 31111 6 M59 19000 000000 00000 00000 00017 011 1113000 2024*")</f>
        <v>0</v>
      </c>
      <c r="G480" s="83">
        <f>SUMIFS(G481:G1474,K481:K1474,"0",B481:B1474,"4 1 1 7 1 12 31111 6 M59 19000 000000 00000 00000 00017 011 1113000 2024*")</f>
        <v>10019</v>
      </c>
      <c r="H480" s="83"/>
      <c r="I480" s="83">
        <f t="shared" si="8"/>
        <v>305543.76</v>
      </c>
      <c r="K480" s="54" t="s">
        <v>15</v>
      </c>
    </row>
    <row r="481" spans="2:11" ht="41.25" x14ac:dyDescent="0.2">
      <c r="B481" s="82" t="s">
        <v>2411</v>
      </c>
      <c r="C481" s="82" t="s">
        <v>2298</v>
      </c>
      <c r="D481" s="54"/>
      <c r="E481" s="83">
        <f>SUMIFS(E482:E1474,K482:K1474,"0",B482:B1474,"4 1 1 7 1 12 31111 6 M59 19000 000000 00000 00000 00017 011 1113000 2024 00000000*")-SUMIFS(D482:D1474,K482:K1474,"0",B482:B1474,"4 1 1 7 1 12 31111 6 M59 19000 000000 00000 00000 00017 011 1113000 2024 00000000*")</f>
        <v>295524.76</v>
      </c>
      <c r="F481" s="83">
        <f>SUMIFS(F482:F1474,K482:K1474,"0",B482:B1474,"4 1 1 7 1 12 31111 6 M59 19000 000000 00000 00000 00017 011 1113000 2024 00000000*")</f>
        <v>0</v>
      </c>
      <c r="G481" s="83">
        <f>SUMIFS(G482:G1474,K482:K1474,"0",B482:B1474,"4 1 1 7 1 12 31111 6 M59 19000 000000 00000 00000 00017 011 1113000 2024 00000000*")</f>
        <v>10019</v>
      </c>
      <c r="H481" s="83"/>
      <c r="I481" s="83">
        <f t="shared" si="8"/>
        <v>305543.76</v>
      </c>
      <c r="K481" s="54" t="s">
        <v>15</v>
      </c>
    </row>
    <row r="482" spans="2:11" ht="41.25" x14ac:dyDescent="0.2">
      <c r="B482" s="82" t="s">
        <v>2412</v>
      </c>
      <c r="C482" s="82" t="s">
        <v>2300</v>
      </c>
      <c r="D482" s="54"/>
      <c r="E482" s="83">
        <f>SUMIFS(E483:E1474,K483:K1474,"0",B483:B1474,"4 1 1 7 1 12 31111 6 M59 19000 000000 00000 00000 00017 011 1113000 2024 00000000 004*")-SUMIFS(D483:D1474,K483:K1474,"0",B483:B1474,"4 1 1 7 1 12 31111 6 M59 19000 000000 00000 00000 00017 011 1113000 2024 00000000 004*")</f>
        <v>295524.76</v>
      </c>
      <c r="F482" s="83">
        <f>SUMIFS(F483:F1474,K483:K1474,"0",B483:B1474,"4 1 1 7 1 12 31111 6 M59 19000 000000 00000 00000 00017 011 1113000 2024 00000000 004*")</f>
        <v>0</v>
      </c>
      <c r="G482" s="83">
        <f>SUMIFS(G483:G1474,K483:K1474,"0",B483:B1474,"4 1 1 7 1 12 31111 6 M59 19000 000000 00000 00000 00017 011 1113000 2024 00000000 004*")</f>
        <v>10019</v>
      </c>
      <c r="H482" s="83"/>
      <c r="I482" s="83">
        <f t="shared" si="8"/>
        <v>305543.76</v>
      </c>
      <c r="K482" s="54" t="s">
        <v>15</v>
      </c>
    </row>
    <row r="483" spans="2:11" ht="49.5" x14ac:dyDescent="0.2">
      <c r="B483" s="82" t="s">
        <v>2413</v>
      </c>
      <c r="C483" s="82" t="s">
        <v>2396</v>
      </c>
      <c r="D483" s="54"/>
      <c r="E483" s="83">
        <f>SUMIFS(E484:E1474,K484:K1474,"0",B484:B1474,"4 1 1 7 1 12 31111 6 M59 19000 000000 00000 00000 00017 011 1113000 2024 00000000 004 0000001*")-SUMIFS(D484:D1474,K484:K1474,"0",B484:B1474,"4 1 1 7 1 12 31111 6 M59 19000 000000 00000 00000 00017 011 1113000 2024 00000000 004 0000001*")</f>
        <v>295524.76</v>
      </c>
      <c r="F483" s="83">
        <f>SUMIFS(F484:F1474,K484:K1474,"0",B484:B1474,"4 1 1 7 1 12 31111 6 M59 19000 000000 00000 00000 00017 011 1113000 2024 00000000 004 0000001*")</f>
        <v>0</v>
      </c>
      <c r="G483" s="83">
        <f>SUMIFS(G484:G1474,K484:K1474,"0",B484:B1474,"4 1 1 7 1 12 31111 6 M59 19000 000000 00000 00000 00017 011 1113000 2024 00000000 004 0000001*")</f>
        <v>10019</v>
      </c>
      <c r="H483" s="83"/>
      <c r="I483" s="83">
        <f t="shared" si="8"/>
        <v>305543.76</v>
      </c>
      <c r="K483" s="54" t="s">
        <v>15</v>
      </c>
    </row>
    <row r="484" spans="2:11" ht="49.5" x14ac:dyDescent="0.2">
      <c r="B484" s="82" t="s">
        <v>2414</v>
      </c>
      <c r="C484" s="82" t="s">
        <v>2415</v>
      </c>
      <c r="D484" s="54"/>
      <c r="E484" s="83">
        <f>SUMIFS(E485:E1474,K485:K1474,"0",B485:B1474,"4 1 1 7 1 12 31111 6 M59 19000 000000 00000 00000 00017 011 1113000 2024 00000000 004 0000001 00001*")-SUMIFS(D485:D1474,K485:K1474,"0",B485:B1474,"4 1 1 7 1 12 31111 6 M59 19000 000000 00000 00000 00017 011 1113000 2024 00000000 004 0000001 00001*")</f>
        <v>295524.76</v>
      </c>
      <c r="F484" s="83">
        <f>SUMIFS(F485:F1474,K485:K1474,"0",B485:B1474,"4 1 1 7 1 12 31111 6 M59 19000 000000 00000 00000 00017 011 1113000 2024 00000000 004 0000001 00001*")</f>
        <v>0</v>
      </c>
      <c r="G484" s="83">
        <f>SUMIFS(G485:G1474,K485:K1474,"0",B485:B1474,"4 1 1 7 1 12 31111 6 M59 19000 000000 00000 00000 00017 011 1113000 2024 00000000 004 0000001 00001*")</f>
        <v>10019</v>
      </c>
      <c r="H484" s="83"/>
      <c r="I484" s="83">
        <f t="shared" si="8"/>
        <v>305543.76</v>
      </c>
      <c r="K484" s="54" t="s">
        <v>15</v>
      </c>
    </row>
    <row r="485" spans="2:11" ht="41.25" x14ac:dyDescent="0.2">
      <c r="B485" s="84" t="s">
        <v>2416</v>
      </c>
      <c r="C485" s="84" t="s">
        <v>2417</v>
      </c>
      <c r="D485" s="85"/>
      <c r="E485" s="85">
        <v>295524.76</v>
      </c>
      <c r="F485" s="85">
        <v>0</v>
      </c>
      <c r="G485" s="85">
        <v>7460</v>
      </c>
      <c r="H485" s="85"/>
      <c r="I485" s="85">
        <f t="shared" si="8"/>
        <v>302984.76</v>
      </c>
      <c r="K485" s="54" t="s">
        <v>38</v>
      </c>
    </row>
    <row r="486" spans="2:11" ht="41.25" x14ac:dyDescent="0.2">
      <c r="B486" s="84" t="s">
        <v>2418</v>
      </c>
      <c r="C486" s="84" t="s">
        <v>2419</v>
      </c>
      <c r="D486" s="85"/>
      <c r="E486" s="85">
        <v>0</v>
      </c>
      <c r="F486" s="85">
        <v>0</v>
      </c>
      <c r="G486" s="85">
        <v>2559</v>
      </c>
      <c r="H486" s="85"/>
      <c r="I486" s="85">
        <f t="shared" si="8"/>
        <v>2559</v>
      </c>
      <c r="K486" s="54" t="s">
        <v>38</v>
      </c>
    </row>
    <row r="487" spans="2:11" ht="57.75" x14ac:dyDescent="0.2">
      <c r="B487" s="82" t="s">
        <v>2420</v>
      </c>
      <c r="C487" s="82" t="s">
        <v>2421</v>
      </c>
      <c r="D487" s="54"/>
      <c r="E487" s="83">
        <f>SUMIFS(E488:E1474,K488:K1474,"0",B488:B1474,"4 1 1 8*")-SUMIFS(D488:D1474,K488:K1474,"0",B488:B1474,"4 1 1 8*")</f>
        <v>66463.399999999994</v>
      </c>
      <c r="F487" s="83">
        <f>SUMIFS(F488:F1474,K488:K1474,"0",B488:B1474,"4 1 1 8*")</f>
        <v>0</v>
      </c>
      <c r="G487" s="83">
        <f>SUMIFS(G488:G1474,K488:K1474,"0",B488:B1474,"4 1 1 8*")</f>
        <v>50679</v>
      </c>
      <c r="H487" s="83"/>
      <c r="I487" s="83">
        <f t="shared" si="8"/>
        <v>117142.39999999999</v>
      </c>
      <c r="K487" s="54" t="s">
        <v>15</v>
      </c>
    </row>
    <row r="488" spans="2:11" ht="57.75" x14ac:dyDescent="0.2">
      <c r="B488" s="82" t="s">
        <v>2422</v>
      </c>
      <c r="C488" s="82" t="s">
        <v>2423</v>
      </c>
      <c r="D488" s="54"/>
      <c r="E488" s="83">
        <f>SUMIFS(E489:E1474,K489:K1474,"0",B489:B1474,"4 1 1 8 1*")-SUMIFS(D489:D1474,K489:K1474,"0",B489:B1474,"4 1 1 8 1*")</f>
        <v>66463.399999999994</v>
      </c>
      <c r="F488" s="83">
        <f>SUMIFS(F489:F1474,K489:K1474,"0",B489:B1474,"4 1 1 8 1*")</f>
        <v>0</v>
      </c>
      <c r="G488" s="83">
        <f>SUMIFS(G489:G1474,K489:K1474,"0",B489:B1474,"4 1 1 8 1*")</f>
        <v>50679</v>
      </c>
      <c r="H488" s="83"/>
      <c r="I488" s="83">
        <f t="shared" si="8"/>
        <v>117142.39999999999</v>
      </c>
      <c r="K488" s="54" t="s">
        <v>15</v>
      </c>
    </row>
    <row r="489" spans="2:11" ht="12.75" x14ac:dyDescent="0.2">
      <c r="B489" s="82" t="s">
        <v>2424</v>
      </c>
      <c r="C489" s="82" t="s">
        <v>26</v>
      </c>
      <c r="D489" s="54"/>
      <c r="E489" s="83">
        <f>SUMIFS(E490:E1474,K490:K1474,"0",B490:B1474,"4 1 1 8 1 12*")-SUMIFS(D490:D1474,K490:K1474,"0",B490:B1474,"4 1 1 8 1 12*")</f>
        <v>66463.399999999994</v>
      </c>
      <c r="F489" s="83">
        <f>SUMIFS(F490:F1474,K490:K1474,"0",B490:B1474,"4 1 1 8 1 12*")</f>
        <v>0</v>
      </c>
      <c r="G489" s="83">
        <f>SUMIFS(G490:G1474,K490:K1474,"0",B490:B1474,"4 1 1 8 1 12*")</f>
        <v>50679</v>
      </c>
      <c r="H489" s="83"/>
      <c r="I489" s="83">
        <f t="shared" si="8"/>
        <v>117142.39999999999</v>
      </c>
      <c r="K489" s="54" t="s">
        <v>15</v>
      </c>
    </row>
    <row r="490" spans="2:11" ht="16.5" x14ac:dyDescent="0.2">
      <c r="B490" s="82" t="s">
        <v>2425</v>
      </c>
      <c r="C490" s="82" t="s">
        <v>28</v>
      </c>
      <c r="D490" s="54"/>
      <c r="E490" s="83">
        <f>SUMIFS(E491:E1474,K491:K1474,"0",B491:B1474,"4 1 1 8 1 12 31111*")-SUMIFS(D491:D1474,K491:K1474,"0",B491:B1474,"4 1 1 8 1 12 31111*")</f>
        <v>66463.399999999994</v>
      </c>
      <c r="F490" s="83">
        <f>SUMIFS(F491:F1474,K491:K1474,"0",B491:B1474,"4 1 1 8 1 12 31111*")</f>
        <v>0</v>
      </c>
      <c r="G490" s="83">
        <f>SUMIFS(G491:G1474,K491:K1474,"0",B491:B1474,"4 1 1 8 1 12 31111*")</f>
        <v>50679</v>
      </c>
      <c r="H490" s="83"/>
      <c r="I490" s="83">
        <f t="shared" si="8"/>
        <v>117142.39999999999</v>
      </c>
      <c r="K490" s="54" t="s">
        <v>15</v>
      </c>
    </row>
    <row r="491" spans="2:11" ht="12.75" x14ac:dyDescent="0.2">
      <c r="B491" s="82" t="s">
        <v>2426</v>
      </c>
      <c r="C491" s="82" t="s">
        <v>30</v>
      </c>
      <c r="D491" s="54"/>
      <c r="E491" s="83">
        <f>SUMIFS(E492:E1474,K492:K1474,"0",B492:B1474,"4 1 1 8 1 12 31111 6*")-SUMIFS(D492:D1474,K492:K1474,"0",B492:B1474,"4 1 1 8 1 12 31111 6*")</f>
        <v>66463.399999999994</v>
      </c>
      <c r="F491" s="83">
        <f>SUMIFS(F492:F1474,K492:K1474,"0",B492:B1474,"4 1 1 8 1 12 31111 6*")</f>
        <v>0</v>
      </c>
      <c r="G491" s="83">
        <f>SUMIFS(G492:G1474,K492:K1474,"0",B492:B1474,"4 1 1 8 1 12 31111 6*")</f>
        <v>50679</v>
      </c>
      <c r="H491" s="83"/>
      <c r="I491" s="83">
        <f t="shared" si="8"/>
        <v>117142.39999999999</v>
      </c>
      <c r="K491" s="54" t="s">
        <v>15</v>
      </c>
    </row>
    <row r="492" spans="2:11" ht="16.5" x14ac:dyDescent="0.2">
      <c r="B492" s="82" t="s">
        <v>2427</v>
      </c>
      <c r="C492" s="82" t="s">
        <v>2284</v>
      </c>
      <c r="D492" s="54"/>
      <c r="E492" s="83">
        <f>SUMIFS(E493:E1474,K493:K1474,"0",B493:B1474,"4 1 1 8 1 12 31111 6 M59*")-SUMIFS(D493:D1474,K493:K1474,"0",B493:B1474,"4 1 1 8 1 12 31111 6 M59*")</f>
        <v>66463.399999999994</v>
      </c>
      <c r="F492" s="83">
        <f>SUMIFS(F493:F1474,K493:K1474,"0",B493:B1474,"4 1 1 8 1 12 31111 6 M59*")</f>
        <v>0</v>
      </c>
      <c r="G492" s="83">
        <f>SUMIFS(G493:G1474,K493:K1474,"0",B493:B1474,"4 1 1 8 1 12 31111 6 M59*")</f>
        <v>50679</v>
      </c>
      <c r="H492" s="83"/>
      <c r="I492" s="83">
        <f t="shared" si="8"/>
        <v>117142.39999999999</v>
      </c>
      <c r="K492" s="54" t="s">
        <v>15</v>
      </c>
    </row>
    <row r="493" spans="2:11" ht="16.5" x14ac:dyDescent="0.2">
      <c r="B493" s="82" t="s">
        <v>2428</v>
      </c>
      <c r="C493" s="82" t="s">
        <v>1044</v>
      </c>
      <c r="D493" s="54"/>
      <c r="E493" s="83">
        <f>SUMIFS(E494:E1474,K494:K1474,"0",B494:B1474,"4 1 1 8 1 12 31111 6 M59 19000*")-SUMIFS(D494:D1474,K494:K1474,"0",B494:B1474,"4 1 1 8 1 12 31111 6 M59 19000*")</f>
        <v>66463.399999999994</v>
      </c>
      <c r="F493" s="83">
        <f>SUMIFS(F494:F1474,K494:K1474,"0",B494:B1474,"4 1 1 8 1 12 31111 6 M59 19000*")</f>
        <v>0</v>
      </c>
      <c r="G493" s="83">
        <f>SUMIFS(G494:G1474,K494:K1474,"0",B494:B1474,"4 1 1 8 1 12 31111 6 M59 19000*")</f>
        <v>50679</v>
      </c>
      <c r="H493" s="83"/>
      <c r="I493" s="83">
        <f t="shared" si="8"/>
        <v>117142.39999999999</v>
      </c>
      <c r="K493" s="54" t="s">
        <v>15</v>
      </c>
    </row>
    <row r="494" spans="2:11" ht="16.5" x14ac:dyDescent="0.2">
      <c r="B494" s="82" t="s">
        <v>2429</v>
      </c>
      <c r="C494" s="82" t="s">
        <v>2287</v>
      </c>
      <c r="D494" s="54"/>
      <c r="E494" s="83">
        <f>SUMIFS(E495:E1474,K495:K1474,"0",B495:B1474,"4 1 1 8 1 12 31111 6 M59 19000 000000*")-SUMIFS(D495:D1474,K495:K1474,"0",B495:B1474,"4 1 1 8 1 12 31111 6 M59 19000 000000*")</f>
        <v>66463.399999999994</v>
      </c>
      <c r="F494" s="83">
        <f>SUMIFS(F495:F1474,K495:K1474,"0",B495:B1474,"4 1 1 8 1 12 31111 6 M59 19000 000000*")</f>
        <v>0</v>
      </c>
      <c r="G494" s="83">
        <f>SUMIFS(G495:G1474,K495:K1474,"0",B495:B1474,"4 1 1 8 1 12 31111 6 M59 19000 000000*")</f>
        <v>50679</v>
      </c>
      <c r="H494" s="83"/>
      <c r="I494" s="83">
        <f t="shared" si="8"/>
        <v>117142.39999999999</v>
      </c>
      <c r="K494" s="54" t="s">
        <v>15</v>
      </c>
    </row>
    <row r="495" spans="2:11" ht="16.5" x14ac:dyDescent="0.2">
      <c r="B495" s="82" t="s">
        <v>2430</v>
      </c>
      <c r="C495" s="82" t="s">
        <v>2289</v>
      </c>
      <c r="D495" s="54"/>
      <c r="E495" s="83">
        <f>SUMIFS(E496:E1474,K496:K1474,"0",B496:B1474,"4 1 1 8 1 12 31111 6 M59 19000 000000 00000*")-SUMIFS(D496:D1474,K496:K1474,"0",B496:B1474,"4 1 1 8 1 12 31111 6 M59 19000 000000 00000*")</f>
        <v>66463.399999999994</v>
      </c>
      <c r="F495" s="83">
        <f>SUMIFS(F496:F1474,K496:K1474,"0",B496:B1474,"4 1 1 8 1 12 31111 6 M59 19000 000000 00000*")</f>
        <v>0</v>
      </c>
      <c r="G495" s="83">
        <f>SUMIFS(G496:G1474,K496:K1474,"0",B496:B1474,"4 1 1 8 1 12 31111 6 M59 19000 000000 00000*")</f>
        <v>50679</v>
      </c>
      <c r="H495" s="83"/>
      <c r="I495" s="83">
        <f t="shared" si="8"/>
        <v>117142.39999999999</v>
      </c>
      <c r="K495" s="54" t="s">
        <v>15</v>
      </c>
    </row>
    <row r="496" spans="2:11" ht="24.75" x14ac:dyDescent="0.2">
      <c r="B496" s="82" t="s">
        <v>2431</v>
      </c>
      <c r="C496" s="82" t="s">
        <v>2291</v>
      </c>
      <c r="D496" s="54"/>
      <c r="E496" s="83">
        <f>SUMIFS(E497:E1474,K497:K1474,"0",B497:B1474,"4 1 1 8 1 12 31111 6 M59 19000 000000 00000 00000*")-SUMIFS(D497:D1474,K497:K1474,"0",B497:B1474,"4 1 1 8 1 12 31111 6 M59 19000 000000 00000 00000*")</f>
        <v>66463.399999999994</v>
      </c>
      <c r="F496" s="83">
        <f>SUMIFS(F497:F1474,K497:K1474,"0",B497:B1474,"4 1 1 8 1 12 31111 6 M59 19000 000000 00000 00000*")</f>
        <v>0</v>
      </c>
      <c r="G496" s="83">
        <f>SUMIFS(G497:G1474,K497:K1474,"0",B497:B1474,"4 1 1 8 1 12 31111 6 M59 19000 000000 00000 00000*")</f>
        <v>50679</v>
      </c>
      <c r="H496" s="83"/>
      <c r="I496" s="83">
        <f t="shared" si="8"/>
        <v>117142.39999999999</v>
      </c>
      <c r="K496" s="54" t="s">
        <v>15</v>
      </c>
    </row>
    <row r="497" spans="2:11" ht="57.75" x14ac:dyDescent="0.2">
      <c r="B497" s="82" t="s">
        <v>2432</v>
      </c>
      <c r="C497" s="82" t="s">
        <v>2433</v>
      </c>
      <c r="D497" s="54"/>
      <c r="E497" s="83">
        <f>SUMIFS(E498:E1474,K498:K1474,"0",B498:B1474,"4 1 1 8 1 12 31111 6 M59 19000 000000 00000 00000 00019*")-SUMIFS(D498:D1474,K498:K1474,"0",B498:B1474,"4 1 1 8 1 12 31111 6 M59 19000 000000 00000 00000 00019*")</f>
        <v>66463.399999999994</v>
      </c>
      <c r="F497" s="83">
        <f>SUMIFS(F498:F1474,K498:K1474,"0",B498:B1474,"4 1 1 8 1 12 31111 6 M59 19000 000000 00000 00000 00019*")</f>
        <v>0</v>
      </c>
      <c r="G497" s="83">
        <f>SUMIFS(G498:G1474,K498:K1474,"0",B498:B1474,"4 1 1 8 1 12 31111 6 M59 19000 000000 00000 00000 00019*")</f>
        <v>50679</v>
      </c>
      <c r="H497" s="83"/>
      <c r="I497" s="83">
        <f t="shared" si="8"/>
        <v>117142.39999999999</v>
      </c>
      <c r="K497" s="54" t="s">
        <v>15</v>
      </c>
    </row>
    <row r="498" spans="2:11" ht="24.75" x14ac:dyDescent="0.2">
      <c r="B498" s="82" t="s">
        <v>2434</v>
      </c>
      <c r="C498" s="82" t="s">
        <v>699</v>
      </c>
      <c r="D498" s="54"/>
      <c r="E498" s="83">
        <f>SUMIFS(E499:E1474,K499:K1474,"0",B499:B1474,"4 1 1 8 1 12 31111 6 M59 19000 000000 00000 00000 00019 011*")-SUMIFS(D499:D1474,K499:K1474,"0",B499:B1474,"4 1 1 8 1 12 31111 6 M59 19000 000000 00000 00000 00019 011*")</f>
        <v>66463.399999999994</v>
      </c>
      <c r="F498" s="83">
        <f>SUMIFS(F499:F1474,K499:K1474,"0",B499:B1474,"4 1 1 8 1 12 31111 6 M59 19000 000000 00000 00000 00019 011*")</f>
        <v>0</v>
      </c>
      <c r="G498" s="83">
        <f>SUMIFS(G499:G1474,K499:K1474,"0",B499:B1474,"4 1 1 8 1 12 31111 6 M59 19000 000000 00000 00000 00019 011*")</f>
        <v>50679</v>
      </c>
      <c r="H498" s="83"/>
      <c r="I498" s="83">
        <f t="shared" si="8"/>
        <v>117142.39999999999</v>
      </c>
      <c r="K498" s="54" t="s">
        <v>15</v>
      </c>
    </row>
    <row r="499" spans="2:11" ht="33" x14ac:dyDescent="0.2">
      <c r="B499" s="82" t="s">
        <v>2435</v>
      </c>
      <c r="C499" s="82" t="s">
        <v>2436</v>
      </c>
      <c r="D499" s="54"/>
      <c r="E499" s="83">
        <f>SUMIFS(E500:E1474,K500:K1474,"0",B500:B1474,"4 1 1 8 1 12 31111 6 M59 19000 000000 00000 00000 00019 011 0000000*")-SUMIFS(D500:D1474,K500:K1474,"0",B500:B1474,"4 1 1 8 1 12 31111 6 M59 19000 000000 00000 00000 00019 011 0000000*")</f>
        <v>66463.399999999994</v>
      </c>
      <c r="F499" s="83">
        <f>SUMIFS(F500:F1474,K500:K1474,"0",B500:B1474,"4 1 1 8 1 12 31111 6 M59 19000 000000 00000 00000 00019 011 0000000*")</f>
        <v>0</v>
      </c>
      <c r="G499" s="83">
        <f>SUMIFS(G500:G1474,K500:K1474,"0",B500:B1474,"4 1 1 8 1 12 31111 6 M59 19000 000000 00000 00000 00019 011 0000000*")</f>
        <v>50679</v>
      </c>
      <c r="H499" s="83"/>
      <c r="I499" s="83">
        <f t="shared" si="8"/>
        <v>117142.39999999999</v>
      </c>
      <c r="K499" s="54" t="s">
        <v>15</v>
      </c>
    </row>
    <row r="500" spans="2:11" ht="33" x14ac:dyDescent="0.2">
      <c r="B500" s="82" t="s">
        <v>2437</v>
      </c>
      <c r="C500" s="82" t="s">
        <v>660</v>
      </c>
      <c r="D500" s="54"/>
      <c r="E500" s="83">
        <f>SUMIFS(E501:E1474,K501:K1474,"0",B501:B1474,"4 1 1 8 1 12 31111 6 M59 19000 000000 00000 00000 00019 011 0000000 2024*")-SUMIFS(D501:D1474,K501:K1474,"0",B501:B1474,"4 1 1 8 1 12 31111 6 M59 19000 000000 00000 00000 00019 011 0000000 2024*")</f>
        <v>66463.399999999994</v>
      </c>
      <c r="F500" s="83">
        <f>SUMIFS(F501:F1474,K501:K1474,"0",B501:B1474,"4 1 1 8 1 12 31111 6 M59 19000 000000 00000 00000 00019 011 0000000 2024*")</f>
        <v>0</v>
      </c>
      <c r="G500" s="83">
        <f>SUMIFS(G501:G1474,K501:K1474,"0",B501:B1474,"4 1 1 8 1 12 31111 6 M59 19000 000000 00000 00000 00019 011 0000000 2024*")</f>
        <v>50679</v>
      </c>
      <c r="H500" s="83"/>
      <c r="I500" s="83">
        <f t="shared" si="8"/>
        <v>117142.39999999999</v>
      </c>
      <c r="K500" s="54" t="s">
        <v>15</v>
      </c>
    </row>
    <row r="501" spans="2:11" ht="41.25" x14ac:dyDescent="0.2">
      <c r="B501" s="82" t="s">
        <v>2438</v>
      </c>
      <c r="C501" s="82" t="s">
        <v>2298</v>
      </c>
      <c r="D501" s="54"/>
      <c r="E501" s="83">
        <f>SUMIFS(E502:E1474,K502:K1474,"0",B502:B1474,"4 1 1 8 1 12 31111 6 M59 19000 000000 00000 00000 00019 011 0000000 2024 00000000*")-SUMIFS(D502:D1474,K502:K1474,"0",B502:B1474,"4 1 1 8 1 12 31111 6 M59 19000 000000 00000 00000 00019 011 0000000 2024 00000000*")</f>
        <v>66463.399999999994</v>
      </c>
      <c r="F501" s="83">
        <f>SUMIFS(F502:F1474,K502:K1474,"0",B502:B1474,"4 1 1 8 1 12 31111 6 M59 19000 000000 00000 00000 00019 011 0000000 2024 00000000*")</f>
        <v>0</v>
      </c>
      <c r="G501" s="83">
        <f>SUMIFS(G502:G1474,K502:K1474,"0",B502:B1474,"4 1 1 8 1 12 31111 6 M59 19000 000000 00000 00000 00019 011 0000000 2024 00000000*")</f>
        <v>50679</v>
      </c>
      <c r="H501" s="83"/>
      <c r="I501" s="83">
        <f t="shared" si="8"/>
        <v>117142.39999999999</v>
      </c>
      <c r="K501" s="54" t="s">
        <v>15</v>
      </c>
    </row>
    <row r="502" spans="2:11" ht="41.25" x14ac:dyDescent="0.2">
      <c r="B502" s="82" t="s">
        <v>2439</v>
      </c>
      <c r="C502" s="82" t="s">
        <v>46</v>
      </c>
      <c r="D502" s="54"/>
      <c r="E502" s="83">
        <f>SUMIFS(E503:E1474,K503:K1474,"0",B503:B1474,"4 1 1 8 1 12 31111 6 M59 19000 000000 00000 00000 00019 011 0000000 2024 00000000 004*")-SUMIFS(D503:D1474,K503:K1474,"0",B503:B1474,"4 1 1 8 1 12 31111 6 M59 19000 000000 00000 00000 00019 011 0000000 2024 00000000 004*")</f>
        <v>66463.399999999994</v>
      </c>
      <c r="F502" s="83">
        <f>SUMIFS(F503:F1474,K503:K1474,"0",B503:B1474,"4 1 1 8 1 12 31111 6 M59 19000 000000 00000 00000 00019 011 0000000 2024 00000000 004*")</f>
        <v>0</v>
      </c>
      <c r="G502" s="83">
        <f>SUMIFS(G503:G1474,K503:K1474,"0",B503:B1474,"4 1 1 8 1 12 31111 6 M59 19000 000000 00000 00000 00019 011 0000000 2024 00000000 004*")</f>
        <v>50679</v>
      </c>
      <c r="H502" s="83"/>
      <c r="I502" s="83">
        <f t="shared" si="8"/>
        <v>117142.39999999999</v>
      </c>
      <c r="K502" s="54" t="s">
        <v>15</v>
      </c>
    </row>
    <row r="503" spans="2:11" ht="49.5" x14ac:dyDescent="0.2">
      <c r="B503" s="82" t="s">
        <v>2440</v>
      </c>
      <c r="C503" s="82" t="s">
        <v>2441</v>
      </c>
      <c r="D503" s="54"/>
      <c r="E503" s="83">
        <f>SUMIFS(E504:E1474,K504:K1474,"0",B504:B1474,"4 1 1 8 1 12 31111 6 M59 19000 000000 00000 00000 00019 011 0000000 2024 00000000 004 0000001*")-SUMIFS(D504:D1474,K504:K1474,"0",B504:B1474,"4 1 1 8 1 12 31111 6 M59 19000 000000 00000 00000 00019 011 0000000 2024 00000000 004 0000001*")</f>
        <v>66463.399999999994</v>
      </c>
      <c r="F503" s="83">
        <f>SUMIFS(F504:F1474,K504:K1474,"0",B504:B1474,"4 1 1 8 1 12 31111 6 M59 19000 000000 00000 00000 00019 011 0000000 2024 00000000 004 0000001*")</f>
        <v>0</v>
      </c>
      <c r="G503" s="83">
        <f>SUMIFS(G504:G1474,K504:K1474,"0",B504:B1474,"4 1 1 8 1 12 31111 6 M59 19000 000000 00000 00000 00019 011 0000000 2024 00000000 004 0000001*")</f>
        <v>50679</v>
      </c>
      <c r="H503" s="83"/>
      <c r="I503" s="83">
        <f t="shared" si="8"/>
        <v>117142.39999999999</v>
      </c>
      <c r="K503" s="54" t="s">
        <v>15</v>
      </c>
    </row>
    <row r="504" spans="2:11" ht="41.25" x14ac:dyDescent="0.2">
      <c r="B504" s="84" t="s">
        <v>2442</v>
      </c>
      <c r="C504" s="84" t="s">
        <v>2441</v>
      </c>
      <c r="D504" s="85"/>
      <c r="E504" s="85">
        <v>66463.399999999994</v>
      </c>
      <c r="F504" s="85">
        <v>0</v>
      </c>
      <c r="G504" s="85">
        <v>50679</v>
      </c>
      <c r="H504" s="85"/>
      <c r="I504" s="85">
        <f t="shared" si="8"/>
        <v>117142.39999999999</v>
      </c>
      <c r="K504" s="54" t="s">
        <v>38</v>
      </c>
    </row>
    <row r="505" spans="2:11" ht="12.75" x14ac:dyDescent="0.2">
      <c r="B505" s="82" t="s">
        <v>2443</v>
      </c>
      <c r="C505" s="82" t="s">
        <v>2444</v>
      </c>
      <c r="D505" s="54"/>
      <c r="E505" s="83">
        <f>SUMIFS(E506:E1474,K506:K1474,"0",B506:B1474,"4 1 1 9*")-SUMIFS(D506:D1474,K506:K1474,"0",B506:B1474,"4 1 1 9*")</f>
        <v>62269.46</v>
      </c>
      <c r="F505" s="83">
        <f>SUMIFS(F506:F1474,K506:K1474,"0",B506:B1474,"4 1 1 9*")</f>
        <v>0</v>
      </c>
      <c r="G505" s="83">
        <f>SUMIFS(G506:G1474,K506:K1474,"0",B506:B1474,"4 1 1 9*")</f>
        <v>0</v>
      </c>
      <c r="H505" s="83"/>
      <c r="I505" s="83">
        <f t="shared" si="8"/>
        <v>62269.46</v>
      </c>
      <c r="K505" s="54" t="s">
        <v>15</v>
      </c>
    </row>
    <row r="506" spans="2:11" ht="12.75" x14ac:dyDescent="0.2">
      <c r="B506" s="82" t="s">
        <v>2445</v>
      </c>
      <c r="C506" s="82" t="s">
        <v>2444</v>
      </c>
      <c r="D506" s="54"/>
      <c r="E506" s="83">
        <f>SUMIFS(E507:E1474,K507:K1474,"0",B507:B1474,"4 1 1 9 1*")-SUMIFS(D507:D1474,K507:K1474,"0",B507:B1474,"4 1 1 9 1*")</f>
        <v>62269.46</v>
      </c>
      <c r="F506" s="83">
        <f>SUMIFS(F507:F1474,K507:K1474,"0",B507:B1474,"4 1 1 9 1*")</f>
        <v>0</v>
      </c>
      <c r="G506" s="83">
        <f>SUMIFS(G507:G1474,K507:K1474,"0",B507:B1474,"4 1 1 9 1*")</f>
        <v>0</v>
      </c>
      <c r="H506" s="83"/>
      <c r="I506" s="83">
        <f t="shared" si="8"/>
        <v>62269.46</v>
      </c>
      <c r="K506" s="54" t="s">
        <v>15</v>
      </c>
    </row>
    <row r="507" spans="2:11" ht="12.75" x14ac:dyDescent="0.2">
      <c r="B507" s="82" t="s">
        <v>2446</v>
      </c>
      <c r="C507" s="82" t="s">
        <v>26</v>
      </c>
      <c r="D507" s="54"/>
      <c r="E507" s="83">
        <f>SUMIFS(E508:E1474,K508:K1474,"0",B508:B1474,"4 1 1 9 1 12*")-SUMIFS(D508:D1474,K508:K1474,"0",B508:B1474,"4 1 1 9 1 12*")</f>
        <v>62269.46</v>
      </c>
      <c r="F507" s="83">
        <f>SUMIFS(F508:F1474,K508:K1474,"0",B508:B1474,"4 1 1 9 1 12*")</f>
        <v>0</v>
      </c>
      <c r="G507" s="83">
        <f>SUMIFS(G508:G1474,K508:K1474,"0",B508:B1474,"4 1 1 9 1 12*")</f>
        <v>0</v>
      </c>
      <c r="H507" s="83"/>
      <c r="I507" s="83">
        <f t="shared" si="8"/>
        <v>62269.46</v>
      </c>
      <c r="K507" s="54" t="s">
        <v>15</v>
      </c>
    </row>
    <row r="508" spans="2:11" ht="16.5" x14ac:dyDescent="0.2">
      <c r="B508" s="82" t="s">
        <v>2447</v>
      </c>
      <c r="C508" s="82" t="s">
        <v>28</v>
      </c>
      <c r="D508" s="54"/>
      <c r="E508" s="83">
        <f>SUMIFS(E509:E1474,K509:K1474,"0",B509:B1474,"4 1 1 9 1 12 31111*")-SUMIFS(D509:D1474,K509:K1474,"0",B509:B1474,"4 1 1 9 1 12 31111*")</f>
        <v>62269.46</v>
      </c>
      <c r="F508" s="83">
        <f>SUMIFS(F509:F1474,K509:K1474,"0",B509:B1474,"4 1 1 9 1 12 31111*")</f>
        <v>0</v>
      </c>
      <c r="G508" s="83">
        <f>SUMIFS(G509:G1474,K509:K1474,"0",B509:B1474,"4 1 1 9 1 12 31111*")</f>
        <v>0</v>
      </c>
      <c r="H508" s="83"/>
      <c r="I508" s="83">
        <f t="shared" si="8"/>
        <v>62269.46</v>
      </c>
      <c r="K508" s="54" t="s">
        <v>15</v>
      </c>
    </row>
    <row r="509" spans="2:11" ht="12.75" x14ac:dyDescent="0.2">
      <c r="B509" s="82" t="s">
        <v>2448</v>
      </c>
      <c r="C509" s="82" t="s">
        <v>30</v>
      </c>
      <c r="D509" s="54"/>
      <c r="E509" s="83">
        <f>SUMIFS(E510:E1474,K510:K1474,"0",B510:B1474,"4 1 1 9 1 12 31111 6*")-SUMIFS(D510:D1474,K510:K1474,"0",B510:B1474,"4 1 1 9 1 12 31111 6*")</f>
        <v>62269.46</v>
      </c>
      <c r="F509" s="83">
        <f>SUMIFS(F510:F1474,K510:K1474,"0",B510:B1474,"4 1 1 9 1 12 31111 6*")</f>
        <v>0</v>
      </c>
      <c r="G509" s="83">
        <f>SUMIFS(G510:G1474,K510:K1474,"0",B510:B1474,"4 1 1 9 1 12 31111 6*")</f>
        <v>0</v>
      </c>
      <c r="H509" s="83"/>
      <c r="I509" s="83">
        <f t="shared" si="8"/>
        <v>62269.46</v>
      </c>
      <c r="K509" s="54" t="s">
        <v>15</v>
      </c>
    </row>
    <row r="510" spans="2:11" ht="16.5" x14ac:dyDescent="0.2">
      <c r="B510" s="82" t="s">
        <v>2449</v>
      </c>
      <c r="C510" s="82" t="s">
        <v>2284</v>
      </c>
      <c r="D510" s="54"/>
      <c r="E510" s="83">
        <f>SUMIFS(E511:E1474,K511:K1474,"0",B511:B1474,"4 1 1 9 1 12 31111 6 M59*")-SUMIFS(D511:D1474,K511:K1474,"0",B511:B1474,"4 1 1 9 1 12 31111 6 M59*")</f>
        <v>62269.46</v>
      </c>
      <c r="F510" s="83">
        <f>SUMIFS(F511:F1474,K511:K1474,"0",B511:B1474,"4 1 1 9 1 12 31111 6 M59*")</f>
        <v>0</v>
      </c>
      <c r="G510" s="83">
        <f>SUMIFS(G511:G1474,K511:K1474,"0",B511:B1474,"4 1 1 9 1 12 31111 6 M59*")</f>
        <v>0</v>
      </c>
      <c r="H510" s="83"/>
      <c r="I510" s="83">
        <f t="shared" si="8"/>
        <v>62269.46</v>
      </c>
      <c r="K510" s="54" t="s">
        <v>15</v>
      </c>
    </row>
    <row r="511" spans="2:11" ht="16.5" x14ac:dyDescent="0.2">
      <c r="B511" s="82" t="s">
        <v>2450</v>
      </c>
      <c r="C511" s="82" t="s">
        <v>1044</v>
      </c>
      <c r="D511" s="54"/>
      <c r="E511" s="83">
        <f>SUMIFS(E512:E1474,K512:K1474,"0",B512:B1474,"4 1 1 9 1 12 31111 6 M59 19000*")-SUMIFS(D512:D1474,K512:K1474,"0",B512:B1474,"4 1 1 9 1 12 31111 6 M59 19000*")</f>
        <v>62269.46</v>
      </c>
      <c r="F511" s="83">
        <f>SUMIFS(F512:F1474,K512:K1474,"0",B512:B1474,"4 1 1 9 1 12 31111 6 M59 19000*")</f>
        <v>0</v>
      </c>
      <c r="G511" s="83">
        <f>SUMIFS(G512:G1474,K512:K1474,"0",B512:B1474,"4 1 1 9 1 12 31111 6 M59 19000*")</f>
        <v>0</v>
      </c>
      <c r="H511" s="83"/>
      <c r="I511" s="83">
        <f t="shared" si="8"/>
        <v>62269.46</v>
      </c>
      <c r="K511" s="54" t="s">
        <v>15</v>
      </c>
    </row>
    <row r="512" spans="2:11" ht="16.5" x14ac:dyDescent="0.2">
      <c r="B512" s="82" t="s">
        <v>2451</v>
      </c>
      <c r="C512" s="82" t="s">
        <v>2287</v>
      </c>
      <c r="D512" s="54"/>
      <c r="E512" s="83">
        <f>SUMIFS(E513:E1474,K513:K1474,"0",B513:B1474,"4 1 1 9 1 12 31111 6 M59 19000 000000*")-SUMIFS(D513:D1474,K513:K1474,"0",B513:B1474,"4 1 1 9 1 12 31111 6 M59 19000 000000*")</f>
        <v>62269.46</v>
      </c>
      <c r="F512" s="83">
        <f>SUMIFS(F513:F1474,K513:K1474,"0",B513:B1474,"4 1 1 9 1 12 31111 6 M59 19000 000000*")</f>
        <v>0</v>
      </c>
      <c r="G512" s="83">
        <f>SUMIFS(G513:G1474,K513:K1474,"0",B513:B1474,"4 1 1 9 1 12 31111 6 M59 19000 000000*")</f>
        <v>0</v>
      </c>
      <c r="H512" s="83"/>
      <c r="I512" s="83">
        <f t="shared" si="8"/>
        <v>62269.46</v>
      </c>
      <c r="K512" s="54" t="s">
        <v>15</v>
      </c>
    </row>
    <row r="513" spans="2:11" ht="16.5" x14ac:dyDescent="0.2">
      <c r="B513" s="82" t="s">
        <v>2452</v>
      </c>
      <c r="C513" s="82" t="s">
        <v>2289</v>
      </c>
      <c r="D513" s="54"/>
      <c r="E513" s="83">
        <f>SUMIFS(E514:E1474,K514:K1474,"0",B514:B1474,"4 1 1 9 1 12 31111 6 M59 19000 000000 00000*")-SUMIFS(D514:D1474,K514:K1474,"0",B514:B1474,"4 1 1 9 1 12 31111 6 M59 19000 000000 00000*")</f>
        <v>62269.46</v>
      </c>
      <c r="F513" s="83">
        <f>SUMIFS(F514:F1474,K514:K1474,"0",B514:B1474,"4 1 1 9 1 12 31111 6 M59 19000 000000 00000*")</f>
        <v>0</v>
      </c>
      <c r="G513" s="83">
        <f>SUMIFS(G514:G1474,K514:K1474,"0",B514:B1474,"4 1 1 9 1 12 31111 6 M59 19000 000000 00000*")</f>
        <v>0</v>
      </c>
      <c r="H513" s="83"/>
      <c r="I513" s="83">
        <f t="shared" si="8"/>
        <v>62269.46</v>
      </c>
      <c r="K513" s="54" t="s">
        <v>15</v>
      </c>
    </row>
    <row r="514" spans="2:11" ht="24.75" x14ac:dyDescent="0.2">
      <c r="B514" s="82" t="s">
        <v>2453</v>
      </c>
      <c r="C514" s="82" t="s">
        <v>2291</v>
      </c>
      <c r="D514" s="54"/>
      <c r="E514" s="83">
        <f>SUMIFS(E515:E1474,K515:K1474,"0",B515:B1474,"4 1 1 9 1 12 31111 6 M59 19000 000000 00000 00000*")-SUMIFS(D515:D1474,K515:K1474,"0",B515:B1474,"4 1 1 9 1 12 31111 6 M59 19000 000000 00000 00000*")</f>
        <v>62269.46</v>
      </c>
      <c r="F514" s="83">
        <f>SUMIFS(F515:F1474,K515:K1474,"0",B515:B1474,"4 1 1 9 1 12 31111 6 M59 19000 000000 00000 00000*")</f>
        <v>0</v>
      </c>
      <c r="G514" s="83">
        <f>SUMIFS(G515:G1474,K515:K1474,"0",B515:B1474,"4 1 1 9 1 12 31111 6 M59 19000 000000 00000 00000*")</f>
        <v>0</v>
      </c>
      <c r="H514" s="83"/>
      <c r="I514" s="83">
        <f t="shared" si="8"/>
        <v>62269.46</v>
      </c>
      <c r="K514" s="54" t="s">
        <v>15</v>
      </c>
    </row>
    <row r="515" spans="2:11" ht="24.75" x14ac:dyDescent="0.2">
      <c r="B515" s="82" t="s">
        <v>2454</v>
      </c>
      <c r="C515" s="82" t="s">
        <v>2444</v>
      </c>
      <c r="D515" s="54"/>
      <c r="E515" s="83">
        <f>SUMIFS(E516:E1474,K516:K1474,"0",B516:B1474,"4 1 1 9 1 12 31111 6 M59 19000 000000 00000 00000 00018*")-SUMIFS(D516:D1474,K516:K1474,"0",B516:B1474,"4 1 1 9 1 12 31111 6 M59 19000 000000 00000 00000 00018*")</f>
        <v>62269.46</v>
      </c>
      <c r="F515" s="83">
        <f>SUMIFS(F516:F1474,K516:K1474,"0",B516:B1474,"4 1 1 9 1 12 31111 6 M59 19000 000000 00000 00000 00018*")</f>
        <v>0</v>
      </c>
      <c r="G515" s="83">
        <f>SUMIFS(G516:G1474,K516:K1474,"0",B516:B1474,"4 1 1 9 1 12 31111 6 M59 19000 000000 00000 00000 00018*")</f>
        <v>0</v>
      </c>
      <c r="H515" s="83"/>
      <c r="I515" s="83">
        <f t="shared" si="8"/>
        <v>62269.46</v>
      </c>
      <c r="K515" s="54" t="s">
        <v>15</v>
      </c>
    </row>
    <row r="516" spans="2:11" ht="24.75" x14ac:dyDescent="0.2">
      <c r="B516" s="82" t="s">
        <v>2455</v>
      </c>
      <c r="C516" s="82" t="s">
        <v>699</v>
      </c>
      <c r="D516" s="54"/>
      <c r="E516" s="83">
        <f>SUMIFS(E517:E1474,K517:K1474,"0",B517:B1474,"4 1 1 9 1 12 31111 6 M59 19000 000000 00000 00000 00018 011*")-SUMIFS(D517:D1474,K517:K1474,"0",B517:B1474,"4 1 1 9 1 12 31111 6 M59 19000 000000 00000 00000 00018 011*")</f>
        <v>62269.46</v>
      </c>
      <c r="F516" s="83">
        <f>SUMIFS(F517:F1474,K517:K1474,"0",B517:B1474,"4 1 1 9 1 12 31111 6 M59 19000 000000 00000 00000 00018 011*")</f>
        <v>0</v>
      </c>
      <c r="G516" s="83">
        <f>SUMIFS(G517:G1474,K517:K1474,"0",B517:B1474,"4 1 1 9 1 12 31111 6 M59 19000 000000 00000 00000 00018 011*")</f>
        <v>0</v>
      </c>
      <c r="H516" s="83"/>
      <c r="I516" s="83">
        <f t="shared" si="8"/>
        <v>62269.46</v>
      </c>
      <c r="K516" s="54" t="s">
        <v>15</v>
      </c>
    </row>
    <row r="517" spans="2:11" ht="33" x14ac:dyDescent="0.2">
      <c r="B517" s="82" t="s">
        <v>2456</v>
      </c>
      <c r="C517" s="82" t="s">
        <v>2444</v>
      </c>
      <c r="D517" s="54"/>
      <c r="E517" s="83">
        <f>SUMIFS(E518:E1474,K518:K1474,"0",B518:B1474,"4 1 1 9 1 12 31111 6 M59 19000 000000 00000 00000 00018 011 1118000*")-SUMIFS(D518:D1474,K518:K1474,"0",B518:B1474,"4 1 1 9 1 12 31111 6 M59 19000 000000 00000 00000 00018 011 1118000*")</f>
        <v>62269.46</v>
      </c>
      <c r="F517" s="83">
        <f>SUMIFS(F518:F1474,K518:K1474,"0",B518:B1474,"4 1 1 9 1 12 31111 6 M59 19000 000000 00000 00000 00018 011 1118000*")</f>
        <v>0</v>
      </c>
      <c r="G517" s="83">
        <f>SUMIFS(G518:G1474,K518:K1474,"0",B518:B1474,"4 1 1 9 1 12 31111 6 M59 19000 000000 00000 00000 00018 011 1118000*")</f>
        <v>0</v>
      </c>
      <c r="H517" s="83"/>
      <c r="I517" s="83">
        <f t="shared" si="8"/>
        <v>62269.46</v>
      </c>
      <c r="K517" s="54" t="s">
        <v>15</v>
      </c>
    </row>
    <row r="518" spans="2:11" ht="33" x14ac:dyDescent="0.2">
      <c r="B518" s="82" t="s">
        <v>2457</v>
      </c>
      <c r="C518" s="82" t="s">
        <v>660</v>
      </c>
      <c r="D518" s="54"/>
      <c r="E518" s="83">
        <f>SUMIFS(E519:E1474,K519:K1474,"0",B519:B1474,"4 1 1 9 1 12 31111 6 M59 19000 000000 00000 00000 00018 011 1118000 2024*")-SUMIFS(D519:D1474,K519:K1474,"0",B519:B1474,"4 1 1 9 1 12 31111 6 M59 19000 000000 00000 00000 00018 011 1118000 2024*")</f>
        <v>62269.46</v>
      </c>
      <c r="F518" s="83">
        <f>SUMIFS(F519:F1474,K519:K1474,"0",B519:B1474,"4 1 1 9 1 12 31111 6 M59 19000 000000 00000 00000 00018 011 1118000 2024*")</f>
        <v>0</v>
      </c>
      <c r="G518" s="83">
        <f>SUMIFS(G519:G1474,K519:K1474,"0",B519:B1474,"4 1 1 9 1 12 31111 6 M59 19000 000000 00000 00000 00018 011 1118000 2024*")</f>
        <v>0</v>
      </c>
      <c r="H518" s="83"/>
      <c r="I518" s="83">
        <f t="shared" si="8"/>
        <v>62269.46</v>
      </c>
      <c r="K518" s="54" t="s">
        <v>15</v>
      </c>
    </row>
    <row r="519" spans="2:11" ht="41.25" x14ac:dyDescent="0.2">
      <c r="B519" s="82" t="s">
        <v>2458</v>
      </c>
      <c r="C519" s="82" t="s">
        <v>2298</v>
      </c>
      <c r="D519" s="54"/>
      <c r="E519" s="83">
        <f>SUMIFS(E520:E1474,K520:K1474,"0",B520:B1474,"4 1 1 9 1 12 31111 6 M59 19000 000000 00000 00000 00018 011 1118000 2024 00000000*")-SUMIFS(D520:D1474,K520:K1474,"0",B520:B1474,"4 1 1 9 1 12 31111 6 M59 19000 000000 00000 00000 00018 011 1118000 2024 00000000*")</f>
        <v>62269.46</v>
      </c>
      <c r="F519" s="83">
        <f>SUMIFS(F520:F1474,K520:K1474,"0",B520:B1474,"4 1 1 9 1 12 31111 6 M59 19000 000000 00000 00000 00018 011 1118000 2024 00000000*")</f>
        <v>0</v>
      </c>
      <c r="G519" s="83">
        <f>SUMIFS(G520:G1474,K520:K1474,"0",B520:B1474,"4 1 1 9 1 12 31111 6 M59 19000 000000 00000 00000 00018 011 1118000 2024 00000000*")</f>
        <v>0</v>
      </c>
      <c r="H519" s="83"/>
      <c r="I519" s="83">
        <f t="shared" si="8"/>
        <v>62269.46</v>
      </c>
      <c r="K519" s="54" t="s">
        <v>15</v>
      </c>
    </row>
    <row r="520" spans="2:11" ht="41.25" x14ac:dyDescent="0.2">
      <c r="B520" s="82" t="s">
        <v>2459</v>
      </c>
      <c r="C520" s="82" t="s">
        <v>46</v>
      </c>
      <c r="D520" s="54"/>
      <c r="E520" s="83">
        <f>SUMIFS(E521:E1474,K521:K1474,"0",B521:B1474,"4 1 1 9 1 12 31111 6 M59 19000 000000 00000 00000 00018 011 1118000 2024 00000000 004*")-SUMIFS(D521:D1474,K521:K1474,"0",B521:B1474,"4 1 1 9 1 12 31111 6 M59 19000 000000 00000 00000 00018 011 1118000 2024 00000000 004*")</f>
        <v>62269.46</v>
      </c>
      <c r="F520" s="83">
        <f>SUMIFS(F521:F1474,K521:K1474,"0",B521:B1474,"4 1 1 9 1 12 31111 6 M59 19000 000000 00000 00000 00018 011 1118000 2024 00000000 004*")</f>
        <v>0</v>
      </c>
      <c r="G520" s="83">
        <f>SUMIFS(G521:G1474,K521:K1474,"0",B521:B1474,"4 1 1 9 1 12 31111 6 M59 19000 000000 00000 00000 00018 011 1118000 2024 00000000 004*")</f>
        <v>0</v>
      </c>
      <c r="H520" s="83"/>
      <c r="I520" s="83">
        <f t="shared" si="8"/>
        <v>62269.46</v>
      </c>
      <c r="K520" s="54" t="s">
        <v>15</v>
      </c>
    </row>
    <row r="521" spans="2:11" ht="49.5" x14ac:dyDescent="0.2">
      <c r="B521" s="82" t="s">
        <v>2460</v>
      </c>
      <c r="C521" s="82" t="s">
        <v>2444</v>
      </c>
      <c r="D521" s="54"/>
      <c r="E521" s="83">
        <f>SUMIFS(E522:E1474,K522:K1474,"0",B522:B1474,"4 1 1 9 1 12 31111 6 M59 19000 000000 00000 00000 00018 011 1118000 2024 00000000 004 0000001*")-SUMIFS(D522:D1474,K522:K1474,"0",B522:B1474,"4 1 1 9 1 12 31111 6 M59 19000 000000 00000 00000 00018 011 1118000 2024 00000000 004 0000001*")</f>
        <v>62269.46</v>
      </c>
      <c r="F521" s="83">
        <f>SUMIFS(F522:F1474,K522:K1474,"0",B522:B1474,"4 1 1 9 1 12 31111 6 M59 19000 000000 00000 00000 00018 011 1118000 2024 00000000 004 0000001*")</f>
        <v>0</v>
      </c>
      <c r="G521" s="83">
        <f>SUMIFS(G522:G1474,K522:K1474,"0",B522:B1474,"4 1 1 9 1 12 31111 6 M59 19000 000000 00000 00000 00018 011 1118000 2024 00000000 004 0000001*")</f>
        <v>0</v>
      </c>
      <c r="H521" s="83"/>
      <c r="I521" s="83">
        <f t="shared" si="8"/>
        <v>62269.46</v>
      </c>
      <c r="K521" s="54" t="s">
        <v>15</v>
      </c>
    </row>
    <row r="522" spans="2:11" ht="49.5" x14ac:dyDescent="0.2">
      <c r="B522" s="82" t="s">
        <v>2461</v>
      </c>
      <c r="C522" s="82" t="s">
        <v>2444</v>
      </c>
      <c r="D522" s="54"/>
      <c r="E522" s="83">
        <f>SUMIFS(E523:E1474,K523:K1474,"0",B523:B1474,"4 1 1 9 1 12 31111 6 M59 19000 000000 00000 00000 00018 011 1118000 2024 00000000 004 0000001 00001*")-SUMIFS(D523:D1474,K523:K1474,"0",B523:B1474,"4 1 1 9 1 12 31111 6 M59 19000 000000 00000 00000 00018 011 1118000 2024 00000000 004 0000001 00001*")</f>
        <v>62269.46</v>
      </c>
      <c r="F522" s="83">
        <f>SUMIFS(F523:F1474,K523:K1474,"0",B523:B1474,"4 1 1 9 1 12 31111 6 M59 19000 000000 00000 00000 00018 011 1118000 2024 00000000 004 0000001 00001*")</f>
        <v>0</v>
      </c>
      <c r="G522" s="83">
        <f>SUMIFS(G523:G1474,K523:K1474,"0",B523:B1474,"4 1 1 9 1 12 31111 6 M59 19000 000000 00000 00000 00018 011 1118000 2024 00000000 004 0000001 00001*")</f>
        <v>0</v>
      </c>
      <c r="H522" s="83"/>
      <c r="I522" s="83">
        <f t="shared" si="8"/>
        <v>62269.46</v>
      </c>
      <c r="K522" s="54" t="s">
        <v>15</v>
      </c>
    </row>
    <row r="523" spans="2:11" ht="41.25" x14ac:dyDescent="0.2">
      <c r="B523" s="84" t="s">
        <v>2462</v>
      </c>
      <c r="C523" s="84" t="s">
        <v>2444</v>
      </c>
      <c r="D523" s="85"/>
      <c r="E523" s="85">
        <v>62269.46</v>
      </c>
      <c r="F523" s="85">
        <v>0</v>
      </c>
      <c r="G523" s="85">
        <v>0</v>
      </c>
      <c r="H523" s="85"/>
      <c r="I523" s="85">
        <f t="shared" si="8"/>
        <v>62269.46</v>
      </c>
      <c r="K523" s="54" t="s">
        <v>38</v>
      </c>
    </row>
    <row r="524" spans="2:11" ht="12.75" x14ac:dyDescent="0.2">
      <c r="B524" s="82" t="s">
        <v>2463</v>
      </c>
      <c r="C524" s="82" t="s">
        <v>2464</v>
      </c>
      <c r="D524" s="54"/>
      <c r="E524" s="83">
        <f>SUMIFS(E525:E1474,K525:K1474,"0",B525:B1474,"4 1 4*")-SUMIFS(D525:D1474,K525:K1474,"0",B525:B1474,"4 1 4*")</f>
        <v>17062250.169999998</v>
      </c>
      <c r="F524" s="83">
        <f>SUMIFS(F525:F1474,K525:K1474,"0",B525:B1474,"4 1 4*")</f>
        <v>3607.5</v>
      </c>
      <c r="G524" s="83">
        <f>SUMIFS(G525:G1474,K525:K1474,"0",B525:B1474,"4 1 4*")</f>
        <v>253811.22000000003</v>
      </c>
      <c r="H524" s="83"/>
      <c r="I524" s="83">
        <f t="shared" si="8"/>
        <v>17312453.889999997</v>
      </c>
      <c r="K524" s="54" t="s">
        <v>15</v>
      </c>
    </row>
    <row r="525" spans="2:11" ht="33" x14ac:dyDescent="0.2">
      <c r="B525" s="82" t="s">
        <v>2465</v>
      </c>
      <c r="C525" s="82" t="s">
        <v>2466</v>
      </c>
      <c r="D525" s="54"/>
      <c r="E525" s="83">
        <f>SUMIFS(E526:E1474,K526:K1474,"0",B526:B1474,"4 1 4 1*")-SUMIFS(D526:D1474,K526:K1474,"0",B526:B1474,"4 1 4 1*")</f>
        <v>34045</v>
      </c>
      <c r="F525" s="83">
        <f>SUMIFS(F526:F1474,K526:K1474,"0",B526:B1474,"4 1 4 1*")</f>
        <v>0</v>
      </c>
      <c r="G525" s="83">
        <f>SUMIFS(G526:G1474,K526:K1474,"0",B526:B1474,"4 1 4 1*")</f>
        <v>26795</v>
      </c>
      <c r="H525" s="83"/>
      <c r="I525" s="83">
        <f t="shared" si="8"/>
        <v>60840</v>
      </c>
      <c r="K525" s="54" t="s">
        <v>15</v>
      </c>
    </row>
    <row r="526" spans="2:11" ht="33" x14ac:dyDescent="0.2">
      <c r="B526" s="82" t="s">
        <v>2467</v>
      </c>
      <c r="C526" s="82" t="s">
        <v>2468</v>
      </c>
      <c r="D526" s="54"/>
      <c r="E526" s="83">
        <f>SUMIFS(E527:E1474,K527:K1474,"0",B527:B1474,"4 1 4 1 1*")-SUMIFS(D527:D1474,K527:K1474,"0",B527:B1474,"4 1 4 1 1*")</f>
        <v>34045</v>
      </c>
      <c r="F526" s="83">
        <f>SUMIFS(F527:F1474,K527:K1474,"0",B527:B1474,"4 1 4 1 1*")</f>
        <v>0</v>
      </c>
      <c r="G526" s="83">
        <f>SUMIFS(G527:G1474,K527:K1474,"0",B527:B1474,"4 1 4 1 1*")</f>
        <v>26795</v>
      </c>
      <c r="H526" s="83"/>
      <c r="I526" s="83">
        <f t="shared" si="8"/>
        <v>60840</v>
      </c>
      <c r="K526" s="54" t="s">
        <v>15</v>
      </c>
    </row>
    <row r="527" spans="2:11" ht="12.75" x14ac:dyDescent="0.2">
      <c r="B527" s="82" t="s">
        <v>2469</v>
      </c>
      <c r="C527" s="82" t="s">
        <v>26</v>
      </c>
      <c r="D527" s="54"/>
      <c r="E527" s="83">
        <f>SUMIFS(E528:E1474,K528:K1474,"0",B528:B1474,"4 1 4 1 1 12*")-SUMIFS(D528:D1474,K528:K1474,"0",B528:B1474,"4 1 4 1 1 12*")</f>
        <v>34045</v>
      </c>
      <c r="F527" s="83">
        <f>SUMIFS(F528:F1474,K528:K1474,"0",B528:B1474,"4 1 4 1 1 12*")</f>
        <v>0</v>
      </c>
      <c r="G527" s="83">
        <f>SUMIFS(G528:G1474,K528:K1474,"0",B528:B1474,"4 1 4 1 1 12*")</f>
        <v>26795</v>
      </c>
      <c r="H527" s="83"/>
      <c r="I527" s="83">
        <f t="shared" si="8"/>
        <v>60840</v>
      </c>
      <c r="K527" s="54" t="s">
        <v>15</v>
      </c>
    </row>
    <row r="528" spans="2:11" ht="16.5" x14ac:dyDescent="0.2">
      <c r="B528" s="82" t="s">
        <v>2470</v>
      </c>
      <c r="C528" s="82" t="s">
        <v>28</v>
      </c>
      <c r="D528" s="54"/>
      <c r="E528" s="83">
        <f>SUMIFS(E529:E1474,K529:K1474,"0",B529:B1474,"4 1 4 1 1 12 31111*")-SUMIFS(D529:D1474,K529:K1474,"0",B529:B1474,"4 1 4 1 1 12 31111*")</f>
        <v>34045</v>
      </c>
      <c r="F528" s="83">
        <f>SUMIFS(F529:F1474,K529:K1474,"0",B529:B1474,"4 1 4 1 1 12 31111*")</f>
        <v>0</v>
      </c>
      <c r="G528" s="83">
        <f>SUMIFS(G529:G1474,K529:K1474,"0",B529:B1474,"4 1 4 1 1 12 31111*")</f>
        <v>26795</v>
      </c>
      <c r="H528" s="83"/>
      <c r="I528" s="83">
        <f t="shared" si="8"/>
        <v>60840</v>
      </c>
      <c r="K528" s="54" t="s">
        <v>15</v>
      </c>
    </row>
    <row r="529" spans="2:11" ht="12.75" x14ac:dyDescent="0.2">
      <c r="B529" s="82" t="s">
        <v>2471</v>
      </c>
      <c r="C529" s="82" t="s">
        <v>30</v>
      </c>
      <c r="D529" s="54"/>
      <c r="E529" s="83">
        <f>SUMIFS(E530:E1474,K530:K1474,"0",B530:B1474,"4 1 4 1 1 12 31111 6*")-SUMIFS(D530:D1474,K530:K1474,"0",B530:B1474,"4 1 4 1 1 12 31111 6*")</f>
        <v>34045</v>
      </c>
      <c r="F529" s="83">
        <f>SUMIFS(F530:F1474,K530:K1474,"0",B530:B1474,"4 1 4 1 1 12 31111 6*")</f>
        <v>0</v>
      </c>
      <c r="G529" s="83">
        <f>SUMIFS(G530:G1474,K530:K1474,"0",B530:B1474,"4 1 4 1 1 12 31111 6*")</f>
        <v>26795</v>
      </c>
      <c r="H529" s="83"/>
      <c r="I529" s="83">
        <f t="shared" si="8"/>
        <v>60840</v>
      </c>
      <c r="K529" s="54" t="s">
        <v>15</v>
      </c>
    </row>
    <row r="530" spans="2:11" ht="16.5" x14ac:dyDescent="0.2">
      <c r="B530" s="82" t="s">
        <v>2472</v>
      </c>
      <c r="C530" s="82" t="s">
        <v>2284</v>
      </c>
      <c r="D530" s="54"/>
      <c r="E530" s="83">
        <f>SUMIFS(E531:E1474,K531:K1474,"0",B531:B1474,"4 1 4 1 1 12 31111 6 M59*")-SUMIFS(D531:D1474,K531:K1474,"0",B531:B1474,"4 1 4 1 1 12 31111 6 M59*")</f>
        <v>34045</v>
      </c>
      <c r="F530" s="83">
        <f>SUMIFS(F531:F1474,K531:K1474,"0",B531:B1474,"4 1 4 1 1 12 31111 6 M59*")</f>
        <v>0</v>
      </c>
      <c r="G530" s="83">
        <f>SUMIFS(G531:G1474,K531:K1474,"0",B531:B1474,"4 1 4 1 1 12 31111 6 M59*")</f>
        <v>26795</v>
      </c>
      <c r="H530" s="83"/>
      <c r="I530" s="83">
        <f t="shared" si="8"/>
        <v>60840</v>
      </c>
      <c r="K530" s="54" t="s">
        <v>15</v>
      </c>
    </row>
    <row r="531" spans="2:11" ht="16.5" x14ac:dyDescent="0.2">
      <c r="B531" s="82" t="s">
        <v>2473</v>
      </c>
      <c r="C531" s="82" t="s">
        <v>1044</v>
      </c>
      <c r="D531" s="54"/>
      <c r="E531" s="83">
        <f>SUMIFS(E532:E1474,K532:K1474,"0",B532:B1474,"4 1 4 1 1 12 31111 6 M59 19000*")-SUMIFS(D532:D1474,K532:K1474,"0",B532:B1474,"4 1 4 1 1 12 31111 6 M59 19000*")</f>
        <v>34045</v>
      </c>
      <c r="F531" s="83">
        <f>SUMIFS(F532:F1474,K532:K1474,"0",B532:B1474,"4 1 4 1 1 12 31111 6 M59 19000*")</f>
        <v>0</v>
      </c>
      <c r="G531" s="83">
        <f>SUMIFS(G532:G1474,K532:K1474,"0",B532:B1474,"4 1 4 1 1 12 31111 6 M59 19000*")</f>
        <v>26795</v>
      </c>
      <c r="H531" s="83"/>
      <c r="I531" s="83">
        <f t="shared" si="8"/>
        <v>60840</v>
      </c>
      <c r="K531" s="54" t="s">
        <v>15</v>
      </c>
    </row>
    <row r="532" spans="2:11" ht="16.5" x14ac:dyDescent="0.2">
      <c r="B532" s="82" t="s">
        <v>2474</v>
      </c>
      <c r="C532" s="82" t="s">
        <v>2287</v>
      </c>
      <c r="D532" s="54"/>
      <c r="E532" s="83">
        <f>SUMIFS(E533:E1474,K533:K1474,"0",B533:B1474,"4 1 4 1 1 12 31111 6 M59 19000 000000*")-SUMIFS(D533:D1474,K533:K1474,"0",B533:B1474,"4 1 4 1 1 12 31111 6 M59 19000 000000*")</f>
        <v>34045</v>
      </c>
      <c r="F532" s="83">
        <f>SUMIFS(F533:F1474,K533:K1474,"0",B533:B1474,"4 1 4 1 1 12 31111 6 M59 19000 000000*")</f>
        <v>0</v>
      </c>
      <c r="G532" s="83">
        <f>SUMIFS(G533:G1474,K533:K1474,"0",B533:B1474,"4 1 4 1 1 12 31111 6 M59 19000 000000*")</f>
        <v>26795</v>
      </c>
      <c r="H532" s="83"/>
      <c r="I532" s="83">
        <f t="shared" ref="I532:I595" si="9">E532 - F532 + G532</f>
        <v>60840</v>
      </c>
      <c r="K532" s="54" t="s">
        <v>15</v>
      </c>
    </row>
    <row r="533" spans="2:11" ht="16.5" x14ac:dyDescent="0.2">
      <c r="B533" s="82" t="s">
        <v>2475</v>
      </c>
      <c r="C533" s="82" t="s">
        <v>2289</v>
      </c>
      <c r="D533" s="54"/>
      <c r="E533" s="83">
        <f>SUMIFS(E534:E1474,K534:K1474,"0",B534:B1474,"4 1 4 1 1 12 31111 6 M59 19000 000000 00000*")-SUMIFS(D534:D1474,K534:K1474,"0",B534:B1474,"4 1 4 1 1 12 31111 6 M59 19000 000000 00000*")</f>
        <v>34045</v>
      </c>
      <c r="F533" s="83">
        <f>SUMIFS(F534:F1474,K534:K1474,"0",B534:B1474,"4 1 4 1 1 12 31111 6 M59 19000 000000 00000*")</f>
        <v>0</v>
      </c>
      <c r="G533" s="83">
        <f>SUMIFS(G534:G1474,K534:K1474,"0",B534:B1474,"4 1 4 1 1 12 31111 6 M59 19000 000000 00000*")</f>
        <v>26795</v>
      </c>
      <c r="H533" s="83"/>
      <c r="I533" s="83">
        <f t="shared" si="9"/>
        <v>60840</v>
      </c>
      <c r="K533" s="54" t="s">
        <v>15</v>
      </c>
    </row>
    <row r="534" spans="2:11" ht="24.75" x14ac:dyDescent="0.2">
      <c r="B534" s="82" t="s">
        <v>2476</v>
      </c>
      <c r="C534" s="82" t="s">
        <v>2291</v>
      </c>
      <c r="D534" s="54"/>
      <c r="E534" s="83">
        <f>SUMIFS(E535:E1474,K535:K1474,"0",B535:B1474,"4 1 4 1 1 12 31111 6 M59 19000 000000 00000 00000*")-SUMIFS(D535:D1474,K535:K1474,"0",B535:B1474,"4 1 4 1 1 12 31111 6 M59 19000 000000 00000 00000*")</f>
        <v>34045</v>
      </c>
      <c r="F534" s="83">
        <f>SUMIFS(F535:F1474,K535:K1474,"0",B535:B1474,"4 1 4 1 1 12 31111 6 M59 19000 000000 00000 00000*")</f>
        <v>0</v>
      </c>
      <c r="G534" s="83">
        <f>SUMIFS(G535:G1474,K535:K1474,"0",B535:B1474,"4 1 4 1 1 12 31111 6 M59 19000 000000 00000 00000*")</f>
        <v>26795</v>
      </c>
      <c r="H534" s="83"/>
      <c r="I534" s="83">
        <f t="shared" si="9"/>
        <v>60840</v>
      </c>
      <c r="K534" s="54" t="s">
        <v>15</v>
      </c>
    </row>
    <row r="535" spans="2:11" ht="33" x14ac:dyDescent="0.2">
      <c r="B535" s="82" t="s">
        <v>2477</v>
      </c>
      <c r="C535" s="82" t="s">
        <v>2466</v>
      </c>
      <c r="D535" s="54"/>
      <c r="E535" s="83">
        <f>SUMIFS(E536:E1474,K536:K1474,"0",B536:B1474,"4 1 4 1 1 12 31111 6 M59 19000 000000 00000 00000 00041*")-SUMIFS(D536:D1474,K536:K1474,"0",B536:B1474,"4 1 4 1 1 12 31111 6 M59 19000 000000 00000 00000 00041*")</f>
        <v>34045</v>
      </c>
      <c r="F535" s="83">
        <f>SUMIFS(F536:F1474,K536:K1474,"0",B536:B1474,"4 1 4 1 1 12 31111 6 M59 19000 000000 00000 00000 00041*")</f>
        <v>0</v>
      </c>
      <c r="G535" s="83">
        <f>SUMIFS(G536:G1474,K536:K1474,"0",B536:B1474,"4 1 4 1 1 12 31111 6 M59 19000 000000 00000 00000 00041*")</f>
        <v>26795</v>
      </c>
      <c r="H535" s="83"/>
      <c r="I535" s="83">
        <f t="shared" si="9"/>
        <v>60840</v>
      </c>
      <c r="K535" s="54" t="s">
        <v>15</v>
      </c>
    </row>
    <row r="536" spans="2:11" ht="24.75" x14ac:dyDescent="0.2">
      <c r="B536" s="82" t="s">
        <v>2478</v>
      </c>
      <c r="C536" s="82" t="s">
        <v>699</v>
      </c>
      <c r="D536" s="54"/>
      <c r="E536" s="83">
        <f>SUMIFS(E537:E1474,K537:K1474,"0",B537:B1474,"4 1 4 1 1 12 31111 6 M59 19000 000000 00000 00000 00041 011*")-SUMIFS(D537:D1474,K537:K1474,"0",B537:B1474,"4 1 4 1 1 12 31111 6 M59 19000 000000 00000 00000 00041 011*")</f>
        <v>34045</v>
      </c>
      <c r="F536" s="83">
        <f>SUMIFS(F537:F1474,K537:K1474,"0",B537:B1474,"4 1 4 1 1 12 31111 6 M59 19000 000000 00000 00000 00041 011*")</f>
        <v>0</v>
      </c>
      <c r="G536" s="83">
        <f>SUMIFS(G537:G1474,K537:K1474,"0",B537:B1474,"4 1 4 1 1 12 31111 6 M59 19000 000000 00000 00000 00041 011*")</f>
        <v>26795</v>
      </c>
      <c r="H536" s="83"/>
      <c r="I536" s="83">
        <f t="shared" si="9"/>
        <v>60840</v>
      </c>
      <c r="K536" s="54" t="s">
        <v>15</v>
      </c>
    </row>
    <row r="537" spans="2:11" ht="33" x14ac:dyDescent="0.2">
      <c r="B537" s="82" t="s">
        <v>2479</v>
      </c>
      <c r="C537" s="82" t="s">
        <v>2320</v>
      </c>
      <c r="D537" s="54"/>
      <c r="E537" s="83">
        <f>SUMIFS(E538:E1474,K538:K1474,"0",B538:B1474,"4 1 4 1 1 12 31111 6 M59 19000 000000 00000 00000 00041 011 1113000*")-SUMIFS(D538:D1474,K538:K1474,"0",B538:B1474,"4 1 4 1 1 12 31111 6 M59 19000 000000 00000 00000 00041 011 1113000*")</f>
        <v>34045</v>
      </c>
      <c r="F537" s="83">
        <f>SUMIFS(F538:F1474,K538:K1474,"0",B538:B1474,"4 1 4 1 1 12 31111 6 M59 19000 000000 00000 00000 00041 011 1113000*")</f>
        <v>0</v>
      </c>
      <c r="G537" s="83">
        <f>SUMIFS(G538:G1474,K538:K1474,"0",B538:B1474,"4 1 4 1 1 12 31111 6 M59 19000 000000 00000 00000 00041 011 1113000*")</f>
        <v>26795</v>
      </c>
      <c r="H537" s="83"/>
      <c r="I537" s="83">
        <f t="shared" si="9"/>
        <v>60840</v>
      </c>
      <c r="K537" s="54" t="s">
        <v>15</v>
      </c>
    </row>
    <row r="538" spans="2:11" ht="33" x14ac:dyDescent="0.2">
      <c r="B538" s="82" t="s">
        <v>2480</v>
      </c>
      <c r="C538" s="82" t="s">
        <v>660</v>
      </c>
      <c r="D538" s="54"/>
      <c r="E538" s="83">
        <f>SUMIFS(E539:E1474,K539:K1474,"0",B539:B1474,"4 1 4 1 1 12 31111 6 M59 19000 000000 00000 00000 00041 011 1113000 2024*")-SUMIFS(D539:D1474,K539:K1474,"0",B539:B1474,"4 1 4 1 1 12 31111 6 M59 19000 000000 00000 00000 00041 011 1113000 2024*")</f>
        <v>34045</v>
      </c>
      <c r="F538" s="83">
        <f>SUMIFS(F539:F1474,K539:K1474,"0",B539:B1474,"4 1 4 1 1 12 31111 6 M59 19000 000000 00000 00000 00041 011 1113000 2024*")</f>
        <v>0</v>
      </c>
      <c r="G538" s="83">
        <f>SUMIFS(G539:G1474,K539:K1474,"0",B539:B1474,"4 1 4 1 1 12 31111 6 M59 19000 000000 00000 00000 00041 011 1113000 2024*")</f>
        <v>26795</v>
      </c>
      <c r="H538" s="83"/>
      <c r="I538" s="83">
        <f t="shared" si="9"/>
        <v>60840</v>
      </c>
      <c r="K538" s="54" t="s">
        <v>15</v>
      </c>
    </row>
    <row r="539" spans="2:11" ht="41.25" x14ac:dyDescent="0.2">
      <c r="B539" s="82" t="s">
        <v>2481</v>
      </c>
      <c r="C539" s="82" t="s">
        <v>2298</v>
      </c>
      <c r="D539" s="54"/>
      <c r="E539" s="83">
        <f>SUMIFS(E540:E1474,K540:K1474,"0",B540:B1474,"4 1 4 1 1 12 31111 6 M59 19000 000000 00000 00000 00041 011 1113000 2024 00000000*")-SUMIFS(D540:D1474,K540:K1474,"0",B540:B1474,"4 1 4 1 1 12 31111 6 M59 19000 000000 00000 00000 00041 011 1113000 2024 00000000*")</f>
        <v>34045</v>
      </c>
      <c r="F539" s="83">
        <f>SUMIFS(F540:F1474,K540:K1474,"0",B540:B1474,"4 1 4 1 1 12 31111 6 M59 19000 000000 00000 00000 00041 011 1113000 2024 00000000*")</f>
        <v>0</v>
      </c>
      <c r="G539" s="83">
        <f>SUMIFS(G540:G1474,K540:K1474,"0",B540:B1474,"4 1 4 1 1 12 31111 6 M59 19000 000000 00000 00000 00041 011 1113000 2024 00000000*")</f>
        <v>26795</v>
      </c>
      <c r="H539" s="83"/>
      <c r="I539" s="83">
        <f t="shared" si="9"/>
        <v>60840</v>
      </c>
      <c r="K539" s="54" t="s">
        <v>15</v>
      </c>
    </row>
    <row r="540" spans="2:11" ht="41.25" x14ac:dyDescent="0.2">
      <c r="B540" s="82" t="s">
        <v>2482</v>
      </c>
      <c r="C540" s="82" t="s">
        <v>2300</v>
      </c>
      <c r="D540" s="54"/>
      <c r="E540" s="83">
        <f>SUMIFS(E541:E1474,K541:K1474,"0",B541:B1474,"4 1 4 1 1 12 31111 6 M59 19000 000000 00000 00000 00041 011 1113000 2024 00000000 004*")-SUMIFS(D541:D1474,K541:K1474,"0",B541:B1474,"4 1 4 1 1 12 31111 6 M59 19000 000000 00000 00000 00041 011 1113000 2024 00000000 004*")</f>
        <v>34045</v>
      </c>
      <c r="F540" s="83">
        <f>SUMIFS(F541:F1474,K541:K1474,"0",B541:B1474,"4 1 4 1 1 12 31111 6 M59 19000 000000 00000 00000 00041 011 1113000 2024 00000000 004*")</f>
        <v>0</v>
      </c>
      <c r="G540" s="83">
        <f>SUMIFS(G541:G1474,K541:K1474,"0",B541:B1474,"4 1 4 1 1 12 31111 6 M59 19000 000000 00000 00000 00041 011 1113000 2024 00000000 004*")</f>
        <v>26795</v>
      </c>
      <c r="H540" s="83"/>
      <c r="I540" s="83">
        <f t="shared" si="9"/>
        <v>60840</v>
      </c>
      <c r="K540" s="54" t="s">
        <v>15</v>
      </c>
    </row>
    <row r="541" spans="2:11" ht="49.5" x14ac:dyDescent="0.2">
      <c r="B541" s="82" t="s">
        <v>2483</v>
      </c>
      <c r="C541" s="82" t="s">
        <v>2466</v>
      </c>
      <c r="D541" s="54"/>
      <c r="E541" s="83">
        <f>SUMIFS(E542:E1474,K542:K1474,"0",B542:B1474,"4 1 4 1 1 12 31111 6 M59 19000 000000 00000 00000 00041 011 1113000 2024 00000000 004 0000001*")-SUMIFS(D542:D1474,K542:K1474,"0",B542:B1474,"4 1 4 1 1 12 31111 6 M59 19000 000000 00000 00000 00041 011 1113000 2024 00000000 004 0000001*")</f>
        <v>34045</v>
      </c>
      <c r="F541" s="83">
        <f>SUMIFS(F542:F1474,K542:K1474,"0",B542:B1474,"4 1 4 1 1 12 31111 6 M59 19000 000000 00000 00000 00041 011 1113000 2024 00000000 004 0000001*")</f>
        <v>0</v>
      </c>
      <c r="G541" s="83">
        <f>SUMIFS(G542:G1474,K542:K1474,"0",B542:B1474,"4 1 4 1 1 12 31111 6 M59 19000 000000 00000 00000 00041 011 1113000 2024 00000000 004 0000001*")</f>
        <v>26795</v>
      </c>
      <c r="H541" s="83"/>
      <c r="I541" s="83">
        <f t="shared" si="9"/>
        <v>60840</v>
      </c>
      <c r="K541" s="54" t="s">
        <v>15</v>
      </c>
    </row>
    <row r="542" spans="2:11" ht="49.5" x14ac:dyDescent="0.2">
      <c r="B542" s="82" t="s">
        <v>2484</v>
      </c>
      <c r="C542" s="82" t="s">
        <v>2485</v>
      </c>
      <c r="D542" s="54"/>
      <c r="E542" s="83">
        <f>SUMIFS(E543:E1474,K543:K1474,"0",B543:B1474,"4 1 4 1 1 12 31111 6 M59 19000 000000 00000 00000 00041 011 1113000 2024 00000000 004 0000001 00001*")-SUMIFS(D543:D1474,K543:K1474,"0",B543:B1474,"4 1 4 1 1 12 31111 6 M59 19000 000000 00000 00000 00041 011 1113000 2024 00000000 004 0000001 00001*")</f>
        <v>34045</v>
      </c>
      <c r="F542" s="83">
        <f>SUMIFS(F543:F1474,K543:K1474,"0",B543:B1474,"4 1 4 1 1 12 31111 6 M59 19000 000000 00000 00000 00041 011 1113000 2024 00000000 004 0000001 00001*")</f>
        <v>0</v>
      </c>
      <c r="G542" s="83">
        <f>SUMIFS(G543:G1474,K543:K1474,"0",B543:B1474,"4 1 4 1 1 12 31111 6 M59 19000 000000 00000 00000 00041 011 1113000 2024 00000000 004 0000001 00001*")</f>
        <v>26795</v>
      </c>
      <c r="H542" s="83"/>
      <c r="I542" s="83">
        <f t="shared" si="9"/>
        <v>60840</v>
      </c>
      <c r="K542" s="54" t="s">
        <v>15</v>
      </c>
    </row>
    <row r="543" spans="2:11" ht="41.25" x14ac:dyDescent="0.2">
      <c r="B543" s="84" t="s">
        <v>2486</v>
      </c>
      <c r="C543" s="84" t="s">
        <v>2487</v>
      </c>
      <c r="D543" s="85"/>
      <c r="E543" s="85">
        <v>34045</v>
      </c>
      <c r="F543" s="85">
        <v>0</v>
      </c>
      <c r="G543" s="85">
        <v>26795</v>
      </c>
      <c r="H543" s="85"/>
      <c r="I543" s="85">
        <f t="shared" si="9"/>
        <v>60840</v>
      </c>
      <c r="K543" s="54" t="s">
        <v>38</v>
      </c>
    </row>
    <row r="544" spans="2:11" ht="16.5" x14ac:dyDescent="0.2">
      <c r="B544" s="82" t="s">
        <v>2488</v>
      </c>
      <c r="C544" s="82" t="s">
        <v>2489</v>
      </c>
      <c r="D544" s="54"/>
      <c r="E544" s="83">
        <f>SUMIFS(E545:E1474,K545:K1474,"0",B545:B1474,"4 1 4 3*")-SUMIFS(D545:D1474,K545:K1474,"0",B545:B1474,"4 1 4 3*")</f>
        <v>15424979.310000001</v>
      </c>
      <c r="F544" s="83">
        <f>SUMIFS(F545:F1474,K545:K1474,"0",B545:B1474,"4 1 4 3*")</f>
        <v>3607.5</v>
      </c>
      <c r="G544" s="83">
        <f>SUMIFS(G545:G1474,K545:K1474,"0",B545:B1474,"4 1 4 3*")</f>
        <v>72184.810000000012</v>
      </c>
      <c r="H544" s="83"/>
      <c r="I544" s="83">
        <f t="shared" si="9"/>
        <v>15493556.620000001</v>
      </c>
      <c r="K544" s="54" t="s">
        <v>15</v>
      </c>
    </row>
    <row r="545" spans="2:11" ht="16.5" x14ac:dyDescent="0.2">
      <c r="B545" s="82" t="s">
        <v>2490</v>
      </c>
      <c r="C545" s="82" t="s">
        <v>2491</v>
      </c>
      <c r="D545" s="54"/>
      <c r="E545" s="83">
        <f>SUMIFS(E546:E1474,K546:K1474,"0",B546:B1474,"4 1 4 3 1*")-SUMIFS(D546:D1474,K546:K1474,"0",B546:B1474,"4 1 4 3 1*")</f>
        <v>15424979.310000001</v>
      </c>
      <c r="F545" s="83">
        <f>SUMIFS(F546:F1474,K546:K1474,"0",B546:B1474,"4 1 4 3 1*")</f>
        <v>3607.5</v>
      </c>
      <c r="G545" s="83">
        <f>SUMIFS(G546:G1474,K546:K1474,"0",B546:B1474,"4 1 4 3 1*")</f>
        <v>72184.810000000012</v>
      </c>
      <c r="H545" s="83"/>
      <c r="I545" s="83">
        <f t="shared" si="9"/>
        <v>15493556.620000001</v>
      </c>
      <c r="K545" s="54" t="s">
        <v>15</v>
      </c>
    </row>
    <row r="546" spans="2:11" ht="12.75" x14ac:dyDescent="0.2">
      <c r="B546" s="82" t="s">
        <v>2492</v>
      </c>
      <c r="C546" s="82" t="s">
        <v>26</v>
      </c>
      <c r="D546" s="54"/>
      <c r="E546" s="83">
        <f>SUMIFS(E547:E1474,K547:K1474,"0",B547:B1474,"4 1 4 3 1 12*")-SUMIFS(D547:D1474,K547:K1474,"0",B547:B1474,"4 1 4 3 1 12*")</f>
        <v>15424979.310000001</v>
      </c>
      <c r="F546" s="83">
        <f>SUMIFS(F547:F1474,K547:K1474,"0",B547:B1474,"4 1 4 3 1 12*")</f>
        <v>3607.5</v>
      </c>
      <c r="G546" s="83">
        <f>SUMIFS(G547:G1474,K547:K1474,"0",B547:B1474,"4 1 4 3 1 12*")</f>
        <v>72184.810000000012</v>
      </c>
      <c r="H546" s="83"/>
      <c r="I546" s="83">
        <f t="shared" si="9"/>
        <v>15493556.620000001</v>
      </c>
      <c r="K546" s="54" t="s">
        <v>15</v>
      </c>
    </row>
    <row r="547" spans="2:11" ht="16.5" x14ac:dyDescent="0.2">
      <c r="B547" s="82" t="s">
        <v>2493</v>
      </c>
      <c r="C547" s="82" t="s">
        <v>28</v>
      </c>
      <c r="D547" s="54"/>
      <c r="E547" s="83">
        <f>SUMIFS(E548:E1474,K548:K1474,"0",B548:B1474,"4 1 4 3 1 12 31111*")-SUMIFS(D548:D1474,K548:K1474,"0",B548:B1474,"4 1 4 3 1 12 31111*")</f>
        <v>15424979.310000001</v>
      </c>
      <c r="F547" s="83">
        <f>SUMIFS(F548:F1474,K548:K1474,"0",B548:B1474,"4 1 4 3 1 12 31111*")</f>
        <v>3607.5</v>
      </c>
      <c r="G547" s="83">
        <f>SUMIFS(G548:G1474,K548:K1474,"0",B548:B1474,"4 1 4 3 1 12 31111*")</f>
        <v>72184.810000000012</v>
      </c>
      <c r="H547" s="83"/>
      <c r="I547" s="83">
        <f t="shared" si="9"/>
        <v>15493556.620000001</v>
      </c>
      <c r="K547" s="54" t="s">
        <v>15</v>
      </c>
    </row>
    <row r="548" spans="2:11" ht="12.75" x14ac:dyDescent="0.2">
      <c r="B548" s="82" t="s">
        <v>2494</v>
      </c>
      <c r="C548" s="82" t="s">
        <v>30</v>
      </c>
      <c r="D548" s="54"/>
      <c r="E548" s="83">
        <f>SUMIFS(E549:E1474,K549:K1474,"0",B549:B1474,"4 1 4 3 1 12 31111 6*")-SUMIFS(D549:D1474,K549:K1474,"0",B549:B1474,"4 1 4 3 1 12 31111 6*")</f>
        <v>15424979.310000001</v>
      </c>
      <c r="F548" s="83">
        <f>SUMIFS(F549:F1474,K549:K1474,"0",B549:B1474,"4 1 4 3 1 12 31111 6*")</f>
        <v>3607.5</v>
      </c>
      <c r="G548" s="83">
        <f>SUMIFS(G549:G1474,K549:K1474,"0",B549:B1474,"4 1 4 3 1 12 31111 6*")</f>
        <v>72184.810000000012</v>
      </c>
      <c r="H548" s="83"/>
      <c r="I548" s="83">
        <f t="shared" si="9"/>
        <v>15493556.620000001</v>
      </c>
      <c r="K548" s="54" t="s">
        <v>15</v>
      </c>
    </row>
    <row r="549" spans="2:11" ht="16.5" x14ac:dyDescent="0.2">
      <c r="B549" s="82" t="s">
        <v>2495</v>
      </c>
      <c r="C549" s="82" t="s">
        <v>2284</v>
      </c>
      <c r="D549" s="54"/>
      <c r="E549" s="83">
        <f>SUMIFS(E550:E1474,K550:K1474,"0",B550:B1474,"4 1 4 3 1 12 31111 6 M59*")-SUMIFS(D550:D1474,K550:K1474,"0",B550:B1474,"4 1 4 3 1 12 31111 6 M59*")</f>
        <v>15424979.310000001</v>
      </c>
      <c r="F549" s="83">
        <f>SUMIFS(F550:F1474,K550:K1474,"0",B550:B1474,"4 1 4 3 1 12 31111 6 M59*")</f>
        <v>3607.5</v>
      </c>
      <c r="G549" s="83">
        <f>SUMIFS(G550:G1474,K550:K1474,"0",B550:B1474,"4 1 4 3 1 12 31111 6 M59*")</f>
        <v>72184.810000000012</v>
      </c>
      <c r="H549" s="83"/>
      <c r="I549" s="83">
        <f t="shared" si="9"/>
        <v>15493556.620000001</v>
      </c>
      <c r="K549" s="54" t="s">
        <v>15</v>
      </c>
    </row>
    <row r="550" spans="2:11" ht="16.5" x14ac:dyDescent="0.2">
      <c r="B550" s="82" t="s">
        <v>2496</v>
      </c>
      <c r="C550" s="82" t="s">
        <v>1044</v>
      </c>
      <c r="D550" s="54"/>
      <c r="E550" s="83">
        <f>SUMIFS(E551:E1474,K551:K1474,"0",B551:B1474,"4 1 4 3 1 12 31111 6 M59 19000*")-SUMIFS(D551:D1474,K551:K1474,"0",B551:B1474,"4 1 4 3 1 12 31111 6 M59 19000*")</f>
        <v>15424979.310000001</v>
      </c>
      <c r="F550" s="83">
        <f>SUMIFS(F551:F1474,K551:K1474,"0",B551:B1474,"4 1 4 3 1 12 31111 6 M59 19000*")</f>
        <v>3607.5</v>
      </c>
      <c r="G550" s="83">
        <f>SUMIFS(G551:G1474,K551:K1474,"0",B551:B1474,"4 1 4 3 1 12 31111 6 M59 19000*")</f>
        <v>72184.810000000012</v>
      </c>
      <c r="H550" s="83"/>
      <c r="I550" s="83">
        <f t="shared" si="9"/>
        <v>15493556.620000001</v>
      </c>
      <c r="K550" s="54" t="s">
        <v>15</v>
      </c>
    </row>
    <row r="551" spans="2:11" ht="16.5" x14ac:dyDescent="0.2">
      <c r="B551" s="82" t="s">
        <v>2497</v>
      </c>
      <c r="C551" s="82" t="s">
        <v>2287</v>
      </c>
      <c r="D551" s="54"/>
      <c r="E551" s="83">
        <f>SUMIFS(E552:E1474,K552:K1474,"0",B552:B1474,"4 1 4 3 1 12 31111 6 M59 19000 000000*")-SUMIFS(D552:D1474,K552:K1474,"0",B552:B1474,"4 1 4 3 1 12 31111 6 M59 19000 000000*")</f>
        <v>15424979.310000001</v>
      </c>
      <c r="F551" s="83">
        <f>SUMIFS(F552:F1474,K552:K1474,"0",B552:B1474,"4 1 4 3 1 12 31111 6 M59 19000 000000*")</f>
        <v>3607.5</v>
      </c>
      <c r="G551" s="83">
        <f>SUMIFS(G552:G1474,K552:K1474,"0",B552:B1474,"4 1 4 3 1 12 31111 6 M59 19000 000000*")</f>
        <v>72184.810000000012</v>
      </c>
      <c r="H551" s="83"/>
      <c r="I551" s="83">
        <f t="shared" si="9"/>
        <v>15493556.620000001</v>
      </c>
      <c r="K551" s="54" t="s">
        <v>15</v>
      </c>
    </row>
    <row r="552" spans="2:11" ht="24.75" x14ac:dyDescent="0.2">
      <c r="B552" s="82" t="s">
        <v>2498</v>
      </c>
      <c r="C552" s="82" t="s">
        <v>2289</v>
      </c>
      <c r="D552" s="54"/>
      <c r="E552" s="83">
        <f>SUMIFS(E553:E1474,K553:K1474,"0",B553:B1474,"4 1 4 3 1 12 31111 6 M59 19000 000000 00000*")-SUMIFS(D553:D1474,K553:K1474,"0",B553:B1474,"4 1 4 3 1 12 31111 6 M59 19000 000000 00000*")</f>
        <v>15424979.310000001</v>
      </c>
      <c r="F552" s="83">
        <f>SUMIFS(F553:F1474,K553:K1474,"0",B553:B1474,"4 1 4 3 1 12 31111 6 M59 19000 000000 00000*")</f>
        <v>3607.5</v>
      </c>
      <c r="G552" s="83">
        <f>SUMIFS(G553:G1474,K553:K1474,"0",B553:B1474,"4 1 4 3 1 12 31111 6 M59 19000 000000 00000*")</f>
        <v>72184.810000000012</v>
      </c>
      <c r="H552" s="83"/>
      <c r="I552" s="83">
        <f t="shared" si="9"/>
        <v>15493556.620000001</v>
      </c>
      <c r="K552" s="54" t="s">
        <v>15</v>
      </c>
    </row>
    <row r="553" spans="2:11" ht="24.75" x14ac:dyDescent="0.2">
      <c r="B553" s="82" t="s">
        <v>2499</v>
      </c>
      <c r="C553" s="82" t="s">
        <v>2291</v>
      </c>
      <c r="D553" s="54"/>
      <c r="E553" s="83">
        <f>SUMIFS(E554:E1474,K554:K1474,"0",B554:B1474,"4 1 4 3 1 12 31111 6 M59 19000 000000 00000 00000*")-SUMIFS(D554:D1474,K554:K1474,"0",B554:B1474,"4 1 4 3 1 12 31111 6 M59 19000 000000 00000 00000*")</f>
        <v>15424979.310000001</v>
      </c>
      <c r="F553" s="83">
        <f>SUMIFS(F554:F1474,K554:K1474,"0",B554:B1474,"4 1 4 3 1 12 31111 6 M59 19000 000000 00000 00000*")</f>
        <v>3607.5</v>
      </c>
      <c r="G553" s="83">
        <f>SUMIFS(G554:G1474,K554:K1474,"0",B554:B1474,"4 1 4 3 1 12 31111 6 M59 19000 000000 00000 00000*")</f>
        <v>72184.810000000012</v>
      </c>
      <c r="H553" s="83"/>
      <c r="I553" s="83">
        <f t="shared" si="9"/>
        <v>15493556.620000001</v>
      </c>
      <c r="K553" s="54" t="s">
        <v>15</v>
      </c>
    </row>
    <row r="554" spans="2:11" ht="24.75" x14ac:dyDescent="0.2">
      <c r="B554" s="82" t="s">
        <v>2500</v>
      </c>
      <c r="C554" s="82" t="s">
        <v>2489</v>
      </c>
      <c r="D554" s="54"/>
      <c r="E554" s="83">
        <f>SUMIFS(E555:E1474,K555:K1474,"0",B555:B1474,"4 1 4 3 1 12 31111 6 M59 19000 000000 00000 00000 00043*")-SUMIFS(D555:D1474,K555:K1474,"0",B555:B1474,"4 1 4 3 1 12 31111 6 M59 19000 000000 00000 00000 00043*")</f>
        <v>15424979.310000001</v>
      </c>
      <c r="F554" s="83">
        <f>SUMIFS(F555:F1474,K555:K1474,"0",B555:B1474,"4 1 4 3 1 12 31111 6 M59 19000 000000 00000 00000 00043*")</f>
        <v>3607.5</v>
      </c>
      <c r="G554" s="83">
        <f>SUMIFS(G555:G1474,K555:K1474,"0",B555:B1474,"4 1 4 3 1 12 31111 6 M59 19000 000000 00000 00000 00043*")</f>
        <v>72184.810000000012</v>
      </c>
      <c r="H554" s="83"/>
      <c r="I554" s="83">
        <f t="shared" si="9"/>
        <v>15493556.620000001</v>
      </c>
      <c r="K554" s="54" t="s">
        <v>15</v>
      </c>
    </row>
    <row r="555" spans="2:11" ht="33" x14ac:dyDescent="0.2">
      <c r="B555" s="82" t="s">
        <v>2501</v>
      </c>
      <c r="C555" s="82" t="s">
        <v>699</v>
      </c>
      <c r="D555" s="54"/>
      <c r="E555" s="83">
        <f>SUMIFS(E556:E1474,K556:K1474,"0",B556:B1474,"4 1 4 3 1 12 31111 6 M59 19000 000000 00000 00000 00043 011*")-SUMIFS(D556:D1474,K556:K1474,"0",B556:B1474,"4 1 4 3 1 12 31111 6 M59 19000 000000 00000 00000 00043 011*")</f>
        <v>15424979.310000001</v>
      </c>
      <c r="F555" s="83">
        <f>SUMIFS(F556:F1474,K556:K1474,"0",B556:B1474,"4 1 4 3 1 12 31111 6 M59 19000 000000 00000 00000 00043 011*")</f>
        <v>3607.5</v>
      </c>
      <c r="G555" s="83">
        <f>SUMIFS(G556:G1474,K556:K1474,"0",B556:B1474,"4 1 4 3 1 12 31111 6 M59 19000 000000 00000 00000 00043 011*")</f>
        <v>72184.810000000012</v>
      </c>
      <c r="H555" s="83"/>
      <c r="I555" s="83">
        <f t="shared" si="9"/>
        <v>15493556.620000001</v>
      </c>
      <c r="K555" s="54" t="s">
        <v>15</v>
      </c>
    </row>
    <row r="556" spans="2:11" ht="33" x14ac:dyDescent="0.2">
      <c r="B556" s="82" t="s">
        <v>2502</v>
      </c>
      <c r="C556" s="82" t="s">
        <v>2320</v>
      </c>
      <c r="D556" s="54"/>
      <c r="E556" s="83">
        <f>SUMIFS(E557:E1474,K557:K1474,"0",B557:B1474,"4 1 4 3 1 12 31111 6 M59 19000 000000 00000 00000 00043 011 1113000*")-SUMIFS(D557:D1474,K557:K1474,"0",B557:B1474,"4 1 4 3 1 12 31111 6 M59 19000 000000 00000 00000 00043 011 1113000*")</f>
        <v>15424979.310000001</v>
      </c>
      <c r="F556" s="83">
        <f>SUMIFS(F557:F1474,K557:K1474,"0",B557:B1474,"4 1 4 3 1 12 31111 6 M59 19000 000000 00000 00000 00043 011 1113000*")</f>
        <v>3607.5</v>
      </c>
      <c r="G556" s="83">
        <f>SUMIFS(G557:G1474,K557:K1474,"0",B557:B1474,"4 1 4 3 1 12 31111 6 M59 19000 000000 00000 00000 00043 011 1113000*")</f>
        <v>72184.810000000012</v>
      </c>
      <c r="H556" s="83"/>
      <c r="I556" s="83">
        <f t="shared" si="9"/>
        <v>15493556.620000001</v>
      </c>
      <c r="K556" s="54" t="s">
        <v>15</v>
      </c>
    </row>
    <row r="557" spans="2:11" ht="33" x14ac:dyDescent="0.2">
      <c r="B557" s="82" t="s">
        <v>2503</v>
      </c>
      <c r="C557" s="82" t="s">
        <v>660</v>
      </c>
      <c r="D557" s="54"/>
      <c r="E557" s="83">
        <f>SUMIFS(E558:E1474,K558:K1474,"0",B558:B1474,"4 1 4 3 1 12 31111 6 M59 19000 000000 00000 00000 00043 011 1113000 2024*")-SUMIFS(D558:D1474,K558:K1474,"0",B558:B1474,"4 1 4 3 1 12 31111 6 M59 19000 000000 00000 00000 00043 011 1113000 2024*")</f>
        <v>15424979.310000001</v>
      </c>
      <c r="F557" s="83">
        <f>SUMIFS(F558:F1474,K558:K1474,"0",B558:B1474,"4 1 4 3 1 12 31111 6 M59 19000 000000 00000 00000 00043 011 1113000 2024*")</f>
        <v>3607.5</v>
      </c>
      <c r="G557" s="83">
        <f>SUMIFS(G558:G1474,K558:K1474,"0",B558:B1474,"4 1 4 3 1 12 31111 6 M59 19000 000000 00000 00000 00043 011 1113000 2024*")</f>
        <v>72184.810000000012</v>
      </c>
      <c r="H557" s="83"/>
      <c r="I557" s="83">
        <f t="shared" si="9"/>
        <v>15493556.620000001</v>
      </c>
      <c r="K557" s="54" t="s">
        <v>15</v>
      </c>
    </row>
    <row r="558" spans="2:11" ht="41.25" x14ac:dyDescent="0.2">
      <c r="B558" s="82" t="s">
        <v>2504</v>
      </c>
      <c r="C558" s="82" t="s">
        <v>2298</v>
      </c>
      <c r="D558" s="54"/>
      <c r="E558" s="83">
        <f>SUMIFS(E559:E1474,K559:K1474,"0",B559:B1474,"4 1 4 3 1 12 31111 6 M59 19000 000000 00000 00000 00043 011 1113000 2024 00000000*")-SUMIFS(D559:D1474,K559:K1474,"0",B559:B1474,"4 1 4 3 1 12 31111 6 M59 19000 000000 00000 00000 00043 011 1113000 2024 00000000*")</f>
        <v>15424979.310000001</v>
      </c>
      <c r="F558" s="83">
        <f>SUMIFS(F559:F1474,K559:K1474,"0",B559:B1474,"4 1 4 3 1 12 31111 6 M59 19000 000000 00000 00000 00043 011 1113000 2024 00000000*")</f>
        <v>3607.5</v>
      </c>
      <c r="G558" s="83">
        <f>SUMIFS(G559:G1474,K559:K1474,"0",B559:B1474,"4 1 4 3 1 12 31111 6 M59 19000 000000 00000 00000 00043 011 1113000 2024 00000000*")</f>
        <v>72184.810000000012</v>
      </c>
      <c r="H558" s="83"/>
      <c r="I558" s="83">
        <f t="shared" si="9"/>
        <v>15493556.620000001</v>
      </c>
      <c r="K558" s="54" t="s">
        <v>15</v>
      </c>
    </row>
    <row r="559" spans="2:11" ht="41.25" x14ac:dyDescent="0.2">
      <c r="B559" s="82" t="s">
        <v>2505</v>
      </c>
      <c r="C559" s="82" t="s">
        <v>2300</v>
      </c>
      <c r="D559" s="54"/>
      <c r="E559" s="83">
        <f>SUMIFS(E560:E1474,K560:K1474,"0",B560:B1474,"4 1 4 3 1 12 31111 6 M59 19000 000000 00000 00000 00043 011 1113000 2024 00000000 004*")-SUMIFS(D560:D1474,K560:K1474,"0",B560:B1474,"4 1 4 3 1 12 31111 6 M59 19000 000000 00000 00000 00043 011 1113000 2024 00000000 004*")</f>
        <v>15424979.310000001</v>
      </c>
      <c r="F559" s="83">
        <f>SUMIFS(F560:F1474,K560:K1474,"0",B560:B1474,"4 1 4 3 1 12 31111 6 M59 19000 000000 00000 00000 00043 011 1113000 2024 00000000 004*")</f>
        <v>3607.5</v>
      </c>
      <c r="G559" s="83">
        <f>SUMIFS(G560:G1474,K560:K1474,"0",B560:B1474,"4 1 4 3 1 12 31111 6 M59 19000 000000 00000 00000 00043 011 1113000 2024 00000000 004*")</f>
        <v>72184.810000000012</v>
      </c>
      <c r="H559" s="83"/>
      <c r="I559" s="83">
        <f t="shared" si="9"/>
        <v>15493556.620000001</v>
      </c>
      <c r="K559" s="54" t="s">
        <v>15</v>
      </c>
    </row>
    <row r="560" spans="2:11" ht="49.5" x14ac:dyDescent="0.2">
      <c r="B560" s="82" t="s">
        <v>2506</v>
      </c>
      <c r="C560" s="82" t="s">
        <v>2489</v>
      </c>
      <c r="D560" s="54"/>
      <c r="E560" s="83">
        <f>SUMIFS(E561:E1474,K561:K1474,"0",B561:B1474,"4 1 4 3 1 12 31111 6 M59 19000 000000 00000 00000 00043 011 1113000 2024 00000000 004 0000001*")-SUMIFS(D561:D1474,K561:K1474,"0",B561:B1474,"4 1 4 3 1 12 31111 6 M59 19000 000000 00000 00000 00043 011 1113000 2024 00000000 004 0000001*")</f>
        <v>15424979.310000001</v>
      </c>
      <c r="F560" s="83">
        <f>SUMIFS(F561:F1474,K561:K1474,"0",B561:B1474,"4 1 4 3 1 12 31111 6 M59 19000 000000 00000 00000 00043 011 1113000 2024 00000000 004 0000001*")</f>
        <v>3607.5</v>
      </c>
      <c r="G560" s="83">
        <f>SUMIFS(G561:G1474,K561:K1474,"0",B561:B1474,"4 1 4 3 1 12 31111 6 M59 19000 000000 00000 00000 00043 011 1113000 2024 00000000 004 0000001*")</f>
        <v>72184.810000000012</v>
      </c>
      <c r="H560" s="83"/>
      <c r="I560" s="83">
        <f t="shared" si="9"/>
        <v>15493556.620000001</v>
      </c>
      <c r="K560" s="54" t="s">
        <v>15</v>
      </c>
    </row>
    <row r="561" spans="2:11" ht="49.5" x14ac:dyDescent="0.2">
      <c r="B561" s="82" t="s">
        <v>2507</v>
      </c>
      <c r="C561" s="82" t="s">
        <v>2508</v>
      </c>
      <c r="D561" s="54"/>
      <c r="E561" s="83">
        <f>SUMIFS(E562:E1474,K562:K1474,"0",B562:B1474,"4 1 4 3 1 12 31111 6 M59 19000 000000 00000 00000 00043 011 1113000 2024 00000000 004 0000001 00001*")-SUMIFS(D562:D1474,K562:K1474,"0",B562:B1474,"4 1 4 3 1 12 31111 6 M59 19000 000000 00000 00000 00043 011 1113000 2024 00000000 004 0000001 00001*")</f>
        <v>100425</v>
      </c>
      <c r="F561" s="83">
        <f>SUMIFS(F562:F1474,K562:K1474,"0",B562:B1474,"4 1 4 3 1 12 31111 6 M59 19000 000000 00000 00000 00043 011 1113000 2024 00000000 004 0000001 00001*")</f>
        <v>0</v>
      </c>
      <c r="G561" s="83">
        <f>SUMIFS(G562:G1474,K562:K1474,"0",B562:B1474,"4 1 4 3 1 12 31111 6 M59 19000 000000 00000 00000 00043 011 1113000 2024 00000000 004 0000001 00001*")</f>
        <v>49200</v>
      </c>
      <c r="H561" s="83"/>
      <c r="I561" s="83">
        <f t="shared" si="9"/>
        <v>149625</v>
      </c>
      <c r="K561" s="54" t="s">
        <v>15</v>
      </c>
    </row>
    <row r="562" spans="2:11" ht="41.25" x14ac:dyDescent="0.2">
      <c r="B562" s="84" t="s">
        <v>2509</v>
      </c>
      <c r="C562" s="84" t="s">
        <v>2510</v>
      </c>
      <c r="D562" s="85"/>
      <c r="E562" s="85">
        <v>100425</v>
      </c>
      <c r="F562" s="85">
        <v>0</v>
      </c>
      <c r="G562" s="85">
        <v>49200</v>
      </c>
      <c r="H562" s="85"/>
      <c r="I562" s="85">
        <f t="shared" si="9"/>
        <v>149625</v>
      </c>
      <c r="K562" s="54" t="s">
        <v>38</v>
      </c>
    </row>
    <row r="563" spans="2:11" ht="49.5" x14ac:dyDescent="0.2">
      <c r="B563" s="82" t="s">
        <v>2511</v>
      </c>
      <c r="C563" s="82" t="s">
        <v>2512</v>
      </c>
      <c r="D563" s="54"/>
      <c r="E563" s="83">
        <f>SUMIFS(E564:E1474,K564:K1474,"0",B564:B1474,"4 1 4 3 1 12 31111 6 M59 19000 000000 00000 00000 00043 011 1113000 2024 00000000 004 0000001 00002*")-SUMIFS(D564:D1474,K564:K1474,"0",B564:B1474,"4 1 4 3 1 12 31111 6 M59 19000 000000 00000 00000 00043 011 1113000 2024 00000000 004 0000001 00002*")</f>
        <v>194915.38</v>
      </c>
      <c r="F563" s="83">
        <f>SUMIFS(F564:F1474,K564:K1474,"0",B564:B1474,"4 1 4 3 1 12 31111 6 M59 19000 000000 00000 00000 00043 011 1113000 2024 00000000 004 0000001 00002*")</f>
        <v>0</v>
      </c>
      <c r="G563" s="83">
        <f>SUMIFS(G564:G1474,K564:K1474,"0",B564:B1474,"4 1 4 3 1 12 31111 6 M59 19000 000000 00000 00000 00043 011 1113000 2024 00000000 004 0000001 00002*")</f>
        <v>245.69</v>
      </c>
      <c r="H563" s="83"/>
      <c r="I563" s="83">
        <f t="shared" si="9"/>
        <v>195161.07</v>
      </c>
      <c r="K563" s="54" t="s">
        <v>15</v>
      </c>
    </row>
    <row r="564" spans="2:11" ht="41.25" x14ac:dyDescent="0.2">
      <c r="B564" s="84" t="s">
        <v>2513</v>
      </c>
      <c r="C564" s="84" t="s">
        <v>2514</v>
      </c>
      <c r="D564" s="85"/>
      <c r="E564" s="85">
        <v>194915.38</v>
      </c>
      <c r="F564" s="85">
        <v>0</v>
      </c>
      <c r="G564" s="85">
        <v>245.69</v>
      </c>
      <c r="H564" s="85"/>
      <c r="I564" s="85">
        <f t="shared" si="9"/>
        <v>195161.07</v>
      </c>
      <c r="K564" s="54" t="s">
        <v>38</v>
      </c>
    </row>
    <row r="565" spans="2:11" ht="49.5" x14ac:dyDescent="0.2">
      <c r="B565" s="82" t="s">
        <v>2515</v>
      </c>
      <c r="C565" s="82" t="s">
        <v>2516</v>
      </c>
      <c r="D565" s="54"/>
      <c r="E565" s="83">
        <f>SUMIFS(E566:E1474,K566:K1474,"0",B566:B1474,"4 1 4 3 1 12 31111 6 M59 19000 000000 00000 00000 00043 011 1113000 2024 00000000 004 0000001 00003*")-SUMIFS(D566:D1474,K566:K1474,"0",B566:B1474,"4 1 4 3 1 12 31111 6 M59 19000 000000 00000 00000 00043 011 1113000 2024 00000000 004 0000001 00003*")</f>
        <v>1446635</v>
      </c>
      <c r="F565" s="83">
        <f>SUMIFS(F566:F1474,K566:K1474,"0",B566:B1474,"4 1 4 3 1 12 31111 6 M59 19000 000000 00000 00000 00043 011 1113000 2024 00000000 004 0000001 00003*")</f>
        <v>3607.5</v>
      </c>
      <c r="G565" s="83">
        <f>SUMIFS(G566:G1474,K566:K1474,"0",B566:B1474,"4 1 4 3 1 12 31111 6 M59 19000 000000 00000 00000 00043 011 1113000 2024 00000000 004 0000001 00003*")</f>
        <v>20179</v>
      </c>
      <c r="H565" s="83"/>
      <c r="I565" s="83">
        <f t="shared" si="9"/>
        <v>1463206.5</v>
      </c>
      <c r="K565" s="54" t="s">
        <v>15</v>
      </c>
    </row>
    <row r="566" spans="2:11" ht="41.25" x14ac:dyDescent="0.2">
      <c r="B566" s="84" t="s">
        <v>2517</v>
      </c>
      <c r="C566" s="84" t="s">
        <v>10195</v>
      </c>
      <c r="D566" s="85"/>
      <c r="E566" s="85">
        <v>1446635</v>
      </c>
      <c r="F566" s="85">
        <v>3607.5</v>
      </c>
      <c r="G566" s="85">
        <v>20179</v>
      </c>
      <c r="H566" s="85"/>
      <c r="I566" s="85">
        <f t="shared" si="9"/>
        <v>1463206.5</v>
      </c>
      <c r="K566" s="54" t="s">
        <v>38</v>
      </c>
    </row>
    <row r="567" spans="2:11" ht="49.5" x14ac:dyDescent="0.2">
      <c r="B567" s="82" t="s">
        <v>2519</v>
      </c>
      <c r="C567" s="82" t="s">
        <v>2520</v>
      </c>
      <c r="D567" s="54"/>
      <c r="E567" s="83">
        <f>SUMIFS(E568:E1474,K568:K1474,"0",B568:B1474,"4 1 4 3 1 12 31111 6 M59 19000 000000 00000 00000 00043 011 1113000 2024 00000000 004 0000001 00004*")-SUMIFS(D568:D1474,K568:K1474,"0",B568:B1474,"4 1 4 3 1 12 31111 6 M59 19000 000000 00000 00000 00043 011 1113000 2024 00000000 004 0000001 00004*")</f>
        <v>13231988.550000001</v>
      </c>
      <c r="F567" s="83">
        <f>SUMIFS(F568:F1474,K568:K1474,"0",B568:B1474,"4 1 4 3 1 12 31111 6 M59 19000 000000 00000 00000 00043 011 1113000 2024 00000000 004 0000001 00004*")</f>
        <v>0</v>
      </c>
      <c r="G567" s="83">
        <f>SUMIFS(G568:G1474,K568:K1474,"0",B568:B1474,"4 1 4 3 1 12 31111 6 M59 19000 000000 00000 00000 00043 011 1113000 2024 00000000 004 0000001 00004*")</f>
        <v>0</v>
      </c>
      <c r="H567" s="83"/>
      <c r="I567" s="83">
        <f t="shared" si="9"/>
        <v>13231988.550000001</v>
      </c>
      <c r="K567" s="54" t="s">
        <v>15</v>
      </c>
    </row>
    <row r="568" spans="2:11" ht="41.25" x14ac:dyDescent="0.2">
      <c r="B568" s="84" t="s">
        <v>2521</v>
      </c>
      <c r="C568" s="84" t="s">
        <v>2522</v>
      </c>
      <c r="D568" s="85"/>
      <c r="E568" s="85">
        <v>13231988.550000001</v>
      </c>
      <c r="F568" s="85">
        <v>0</v>
      </c>
      <c r="G568" s="85">
        <v>0</v>
      </c>
      <c r="H568" s="85"/>
      <c r="I568" s="85">
        <f t="shared" si="9"/>
        <v>13231988.550000001</v>
      </c>
      <c r="K568" s="54" t="s">
        <v>38</v>
      </c>
    </row>
    <row r="569" spans="2:11" ht="49.5" x14ac:dyDescent="0.2">
      <c r="B569" s="82" t="s">
        <v>2523</v>
      </c>
      <c r="C569" s="82" t="s">
        <v>2524</v>
      </c>
      <c r="D569" s="54"/>
      <c r="E569" s="83">
        <f>SUMIFS(E570:E1474,K570:K1474,"0",B570:B1474,"4 1 4 3 1 12 31111 6 M59 19000 000000 00000 00000 00043 011 1113000 2024 00000000 004 0000001 00005*")-SUMIFS(D570:D1474,K570:K1474,"0",B570:B1474,"4 1 4 3 1 12 31111 6 M59 19000 000000 00000 00000 00043 011 1113000 2024 00000000 004 0000001 00005*")</f>
        <v>130037.08</v>
      </c>
      <c r="F569" s="83">
        <f>SUMIFS(F570:F1474,K570:K1474,"0",B570:B1474,"4 1 4 3 1 12 31111 6 M59 19000 000000 00000 00000 00043 011 1113000 2024 00000000 004 0000001 00005*")</f>
        <v>0</v>
      </c>
      <c r="G569" s="83">
        <f>SUMIFS(G570:G1474,K570:K1474,"0",B570:B1474,"4 1 4 3 1 12 31111 6 M59 19000 000000 00000 00000 00043 011 1113000 2024 00000000 004 0000001 00005*")</f>
        <v>1995.52</v>
      </c>
      <c r="H569" s="83"/>
      <c r="I569" s="83">
        <f t="shared" si="9"/>
        <v>132032.6</v>
      </c>
      <c r="K569" s="54" t="s">
        <v>15</v>
      </c>
    </row>
    <row r="570" spans="2:11" ht="49.5" x14ac:dyDescent="0.2">
      <c r="B570" s="84" t="s">
        <v>2525</v>
      </c>
      <c r="C570" s="84" t="s">
        <v>2526</v>
      </c>
      <c r="D570" s="85"/>
      <c r="E570" s="85">
        <v>130037.08</v>
      </c>
      <c r="F570" s="85">
        <v>0</v>
      </c>
      <c r="G570" s="85">
        <v>1995.52</v>
      </c>
      <c r="H570" s="85"/>
      <c r="I570" s="85">
        <f t="shared" si="9"/>
        <v>132032.6</v>
      </c>
      <c r="K570" s="54" t="s">
        <v>38</v>
      </c>
    </row>
    <row r="571" spans="2:11" ht="49.5" x14ac:dyDescent="0.2">
      <c r="B571" s="82" t="s">
        <v>2527</v>
      </c>
      <c r="C571" s="82" t="s">
        <v>2528</v>
      </c>
      <c r="D571" s="54"/>
      <c r="E571" s="83">
        <f>SUMIFS(E572:E1474,K572:K1474,"0",B572:B1474,"4 1 4 3 1 12 31111 6 M59 19000 000000 00000 00000 00043 011 1113000 2024 00000000 004 0000001 00006*")-SUMIFS(D572:D1474,K572:K1474,"0",B572:B1474,"4 1 4 3 1 12 31111 6 M59 19000 000000 00000 00000 00043 011 1113000 2024 00000000 004 0000001 00006*")</f>
        <v>105193.3</v>
      </c>
      <c r="F571" s="83">
        <f>SUMIFS(F572:F1474,K572:K1474,"0",B572:B1474,"4 1 4 3 1 12 31111 6 M59 19000 000000 00000 00000 00043 011 1113000 2024 00000000 004 0000001 00006*")</f>
        <v>0</v>
      </c>
      <c r="G571" s="83">
        <f>SUMIFS(G572:G1474,K572:K1474,"0",B572:B1474,"4 1 4 3 1 12 31111 6 M59 19000 000000 00000 00000 00043 011 1113000 2024 00000000 004 0000001 00006*")</f>
        <v>564.6</v>
      </c>
      <c r="H571" s="83"/>
      <c r="I571" s="83">
        <f t="shared" si="9"/>
        <v>105757.90000000001</v>
      </c>
      <c r="K571" s="54" t="s">
        <v>15</v>
      </c>
    </row>
    <row r="572" spans="2:11" ht="41.25" x14ac:dyDescent="0.2">
      <c r="B572" s="84" t="s">
        <v>2529</v>
      </c>
      <c r="C572" s="84" t="s">
        <v>2530</v>
      </c>
      <c r="D572" s="85"/>
      <c r="E572" s="85">
        <v>105193.3</v>
      </c>
      <c r="F572" s="85">
        <v>0</v>
      </c>
      <c r="G572" s="85">
        <v>564.6</v>
      </c>
      <c r="H572" s="85"/>
      <c r="I572" s="85">
        <f t="shared" si="9"/>
        <v>105757.90000000001</v>
      </c>
      <c r="K572" s="54" t="s">
        <v>38</v>
      </c>
    </row>
    <row r="573" spans="2:11" ht="49.5" x14ac:dyDescent="0.2">
      <c r="B573" s="82" t="s">
        <v>2531</v>
      </c>
      <c r="C573" s="82" t="s">
        <v>2532</v>
      </c>
      <c r="D573" s="54"/>
      <c r="E573" s="83">
        <f>SUMIFS(E574:E1474,K574:K1474,"0",B574:B1474,"4 1 4 3 1 12 31111 6 M59 19000 000000 00000 00000 00043 011 1113000 2024 00000000 004 0000001 00007*")-SUMIFS(D574:D1474,K574:K1474,"0",B574:B1474,"4 1 4 3 1 12 31111 6 M59 19000 000000 00000 00000 00043 011 1113000 2024 00000000 004 0000001 00007*")</f>
        <v>215785</v>
      </c>
      <c r="F573" s="83">
        <f>SUMIFS(F574:F1474,K574:K1474,"0",B574:B1474,"4 1 4 3 1 12 31111 6 M59 19000 000000 00000 00000 00043 011 1113000 2024 00000000 004 0000001 00007*")</f>
        <v>0</v>
      </c>
      <c r="G573" s="83">
        <f>SUMIFS(G574:G1474,K574:K1474,"0",B574:B1474,"4 1 4 3 1 12 31111 6 M59 19000 000000 00000 00000 00043 011 1113000 2024 00000000 004 0000001 00007*")</f>
        <v>0</v>
      </c>
      <c r="H573" s="83"/>
      <c r="I573" s="83">
        <f t="shared" si="9"/>
        <v>215785</v>
      </c>
      <c r="K573" s="54" t="s">
        <v>15</v>
      </c>
    </row>
    <row r="574" spans="2:11" ht="41.25" x14ac:dyDescent="0.2">
      <c r="B574" s="84" t="s">
        <v>2533</v>
      </c>
      <c r="C574" s="84" t="s">
        <v>10196</v>
      </c>
      <c r="D574" s="85"/>
      <c r="E574" s="85">
        <v>215785</v>
      </c>
      <c r="F574" s="85">
        <v>0</v>
      </c>
      <c r="G574" s="85">
        <v>0</v>
      </c>
      <c r="H574" s="85"/>
      <c r="I574" s="85">
        <f t="shared" si="9"/>
        <v>215785</v>
      </c>
      <c r="K574" s="54" t="s">
        <v>38</v>
      </c>
    </row>
    <row r="575" spans="2:11" ht="12.75" x14ac:dyDescent="0.2">
      <c r="B575" s="82" t="s">
        <v>2535</v>
      </c>
      <c r="C575" s="82" t="s">
        <v>2536</v>
      </c>
      <c r="D575" s="54"/>
      <c r="E575" s="83">
        <f>SUMIFS(E576:E1474,K576:K1474,"0",B576:B1474,"4 1 4 4*")-SUMIFS(D576:D1474,K576:K1474,"0",B576:B1474,"4 1 4 4*")</f>
        <v>991696.88</v>
      </c>
      <c r="F575" s="83">
        <f>SUMIFS(F576:F1474,K576:K1474,"0",B576:B1474,"4 1 4 4*")</f>
        <v>0</v>
      </c>
      <c r="G575" s="83">
        <f>SUMIFS(G576:G1474,K576:K1474,"0",B576:B1474,"4 1 4 4*")</f>
        <v>0</v>
      </c>
      <c r="H575" s="83"/>
      <c r="I575" s="83">
        <f t="shared" si="9"/>
        <v>991696.88</v>
      </c>
      <c r="K575" s="54" t="s">
        <v>15</v>
      </c>
    </row>
    <row r="576" spans="2:11" ht="12.75" x14ac:dyDescent="0.2">
      <c r="B576" s="82" t="s">
        <v>2537</v>
      </c>
      <c r="C576" s="82" t="s">
        <v>2536</v>
      </c>
      <c r="D576" s="54"/>
      <c r="E576" s="83">
        <f>SUMIFS(E577:E1474,K577:K1474,"0",B577:B1474,"4 1 4 4 1*")-SUMIFS(D577:D1474,K577:K1474,"0",B577:B1474,"4 1 4 4 1*")</f>
        <v>991696.88</v>
      </c>
      <c r="F576" s="83">
        <f>SUMIFS(F577:F1474,K577:K1474,"0",B577:B1474,"4 1 4 4 1*")</f>
        <v>0</v>
      </c>
      <c r="G576" s="83">
        <f>SUMIFS(G577:G1474,K577:K1474,"0",B577:B1474,"4 1 4 4 1*")</f>
        <v>0</v>
      </c>
      <c r="H576" s="83"/>
      <c r="I576" s="83">
        <f t="shared" si="9"/>
        <v>991696.88</v>
      </c>
      <c r="K576" s="54" t="s">
        <v>15</v>
      </c>
    </row>
    <row r="577" spans="2:11" ht="12.75" x14ac:dyDescent="0.2">
      <c r="B577" s="82" t="s">
        <v>2538</v>
      </c>
      <c r="C577" s="82" t="s">
        <v>26</v>
      </c>
      <c r="D577" s="54"/>
      <c r="E577" s="83">
        <f>SUMIFS(E578:E1474,K578:K1474,"0",B578:B1474,"4 1 4 4 1 12*")-SUMIFS(D578:D1474,K578:K1474,"0",B578:B1474,"4 1 4 4 1 12*")</f>
        <v>991696.88</v>
      </c>
      <c r="F577" s="83">
        <f>SUMIFS(F578:F1474,K578:K1474,"0",B578:B1474,"4 1 4 4 1 12*")</f>
        <v>0</v>
      </c>
      <c r="G577" s="83">
        <f>SUMIFS(G578:G1474,K578:K1474,"0",B578:B1474,"4 1 4 4 1 12*")</f>
        <v>0</v>
      </c>
      <c r="H577" s="83"/>
      <c r="I577" s="83">
        <f t="shared" si="9"/>
        <v>991696.88</v>
      </c>
      <c r="K577" s="54" t="s">
        <v>15</v>
      </c>
    </row>
    <row r="578" spans="2:11" ht="16.5" x14ac:dyDescent="0.2">
      <c r="B578" s="82" t="s">
        <v>2539</v>
      </c>
      <c r="C578" s="82" t="s">
        <v>28</v>
      </c>
      <c r="D578" s="54"/>
      <c r="E578" s="83">
        <f>SUMIFS(E579:E1474,K579:K1474,"0",B579:B1474,"4 1 4 4 1 12 31111*")-SUMIFS(D579:D1474,K579:K1474,"0",B579:B1474,"4 1 4 4 1 12 31111*")</f>
        <v>991696.88</v>
      </c>
      <c r="F578" s="83">
        <f>SUMIFS(F579:F1474,K579:K1474,"0",B579:B1474,"4 1 4 4 1 12 31111*")</f>
        <v>0</v>
      </c>
      <c r="G578" s="83">
        <f>SUMIFS(G579:G1474,K579:K1474,"0",B579:B1474,"4 1 4 4 1 12 31111*")</f>
        <v>0</v>
      </c>
      <c r="H578" s="83"/>
      <c r="I578" s="83">
        <f t="shared" si="9"/>
        <v>991696.88</v>
      </c>
      <c r="K578" s="54" t="s">
        <v>15</v>
      </c>
    </row>
    <row r="579" spans="2:11" ht="12.75" x14ac:dyDescent="0.2">
      <c r="B579" s="82" t="s">
        <v>2540</v>
      </c>
      <c r="C579" s="82" t="s">
        <v>30</v>
      </c>
      <c r="D579" s="54"/>
      <c r="E579" s="83">
        <f>SUMIFS(E580:E1474,K580:K1474,"0",B580:B1474,"4 1 4 4 1 12 31111 6*")-SUMIFS(D580:D1474,K580:K1474,"0",B580:B1474,"4 1 4 4 1 12 31111 6*")</f>
        <v>991696.88</v>
      </c>
      <c r="F579" s="83">
        <f>SUMIFS(F580:F1474,K580:K1474,"0",B580:B1474,"4 1 4 4 1 12 31111 6*")</f>
        <v>0</v>
      </c>
      <c r="G579" s="83">
        <f>SUMIFS(G580:G1474,K580:K1474,"0",B580:B1474,"4 1 4 4 1 12 31111 6*")</f>
        <v>0</v>
      </c>
      <c r="H579" s="83"/>
      <c r="I579" s="83">
        <f t="shared" si="9"/>
        <v>991696.88</v>
      </c>
      <c r="K579" s="54" t="s">
        <v>15</v>
      </c>
    </row>
    <row r="580" spans="2:11" ht="16.5" x14ac:dyDescent="0.2">
      <c r="B580" s="82" t="s">
        <v>2541</v>
      </c>
      <c r="C580" s="82" t="s">
        <v>2284</v>
      </c>
      <c r="D580" s="54"/>
      <c r="E580" s="83">
        <f>SUMIFS(E581:E1474,K581:K1474,"0",B581:B1474,"4 1 4 4 1 12 31111 6 M59*")-SUMIFS(D581:D1474,K581:K1474,"0",B581:B1474,"4 1 4 4 1 12 31111 6 M59*")</f>
        <v>991696.88</v>
      </c>
      <c r="F580" s="83">
        <f>SUMIFS(F581:F1474,K581:K1474,"0",B581:B1474,"4 1 4 4 1 12 31111 6 M59*")</f>
        <v>0</v>
      </c>
      <c r="G580" s="83">
        <f>SUMIFS(G581:G1474,K581:K1474,"0",B581:B1474,"4 1 4 4 1 12 31111 6 M59*")</f>
        <v>0</v>
      </c>
      <c r="H580" s="83"/>
      <c r="I580" s="83">
        <f t="shared" si="9"/>
        <v>991696.88</v>
      </c>
      <c r="K580" s="54" t="s">
        <v>15</v>
      </c>
    </row>
    <row r="581" spans="2:11" ht="16.5" x14ac:dyDescent="0.2">
      <c r="B581" s="82" t="s">
        <v>2542</v>
      </c>
      <c r="C581" s="82" t="s">
        <v>1044</v>
      </c>
      <c r="D581" s="54"/>
      <c r="E581" s="83">
        <f>SUMIFS(E582:E1474,K582:K1474,"0",B582:B1474,"4 1 4 4 1 12 31111 6 M59 19000*")-SUMIFS(D582:D1474,K582:K1474,"0",B582:B1474,"4 1 4 4 1 12 31111 6 M59 19000*")</f>
        <v>991696.88</v>
      </c>
      <c r="F581" s="83">
        <f>SUMIFS(F582:F1474,K582:K1474,"0",B582:B1474,"4 1 4 4 1 12 31111 6 M59 19000*")</f>
        <v>0</v>
      </c>
      <c r="G581" s="83">
        <f>SUMIFS(G582:G1474,K582:K1474,"0",B582:B1474,"4 1 4 4 1 12 31111 6 M59 19000*")</f>
        <v>0</v>
      </c>
      <c r="H581" s="83"/>
      <c r="I581" s="83">
        <f t="shared" si="9"/>
        <v>991696.88</v>
      </c>
      <c r="K581" s="54" t="s">
        <v>15</v>
      </c>
    </row>
    <row r="582" spans="2:11" ht="16.5" x14ac:dyDescent="0.2">
      <c r="B582" s="82" t="s">
        <v>2543</v>
      </c>
      <c r="C582" s="82" t="s">
        <v>2287</v>
      </c>
      <c r="D582" s="54"/>
      <c r="E582" s="83">
        <f>SUMIFS(E583:E1474,K583:K1474,"0",B583:B1474,"4 1 4 4 1 12 31111 6 M59 19000 000000*")-SUMIFS(D583:D1474,K583:K1474,"0",B583:B1474,"4 1 4 4 1 12 31111 6 M59 19000 000000*")</f>
        <v>991696.88</v>
      </c>
      <c r="F582" s="83">
        <f>SUMIFS(F583:F1474,K583:K1474,"0",B583:B1474,"4 1 4 4 1 12 31111 6 M59 19000 000000*")</f>
        <v>0</v>
      </c>
      <c r="G582" s="83">
        <f>SUMIFS(G583:G1474,K583:K1474,"0",B583:B1474,"4 1 4 4 1 12 31111 6 M59 19000 000000*")</f>
        <v>0</v>
      </c>
      <c r="H582" s="83"/>
      <c r="I582" s="83">
        <f t="shared" si="9"/>
        <v>991696.88</v>
      </c>
      <c r="K582" s="54" t="s">
        <v>15</v>
      </c>
    </row>
    <row r="583" spans="2:11" ht="24.75" x14ac:dyDescent="0.2">
      <c r="B583" s="82" t="s">
        <v>2544</v>
      </c>
      <c r="C583" s="82" t="s">
        <v>2289</v>
      </c>
      <c r="D583" s="54"/>
      <c r="E583" s="83">
        <f>SUMIFS(E584:E1474,K584:K1474,"0",B584:B1474,"4 1 4 4 1 12 31111 6 M59 19000 000000 00000*")-SUMIFS(D584:D1474,K584:K1474,"0",B584:B1474,"4 1 4 4 1 12 31111 6 M59 19000 000000 00000*")</f>
        <v>991696.88</v>
      </c>
      <c r="F583" s="83">
        <f>SUMIFS(F584:F1474,K584:K1474,"0",B584:B1474,"4 1 4 4 1 12 31111 6 M59 19000 000000 00000*")</f>
        <v>0</v>
      </c>
      <c r="G583" s="83">
        <f>SUMIFS(G584:G1474,K584:K1474,"0",B584:B1474,"4 1 4 4 1 12 31111 6 M59 19000 000000 00000*")</f>
        <v>0</v>
      </c>
      <c r="H583" s="83"/>
      <c r="I583" s="83">
        <f t="shared" si="9"/>
        <v>991696.88</v>
      </c>
      <c r="K583" s="54" t="s">
        <v>15</v>
      </c>
    </row>
    <row r="584" spans="2:11" ht="24.75" x14ac:dyDescent="0.2">
      <c r="B584" s="82" t="s">
        <v>2545</v>
      </c>
      <c r="C584" s="82" t="s">
        <v>2291</v>
      </c>
      <c r="D584" s="54"/>
      <c r="E584" s="83">
        <f>SUMIFS(E585:E1474,K585:K1474,"0",B585:B1474,"4 1 4 4 1 12 31111 6 M59 19000 000000 00000 00000*")-SUMIFS(D585:D1474,K585:K1474,"0",B585:B1474,"4 1 4 4 1 12 31111 6 M59 19000 000000 00000 00000*")</f>
        <v>991696.88</v>
      </c>
      <c r="F584" s="83">
        <f>SUMIFS(F585:F1474,K585:K1474,"0",B585:B1474,"4 1 4 4 1 12 31111 6 M59 19000 000000 00000 00000*")</f>
        <v>0</v>
      </c>
      <c r="G584" s="83">
        <f>SUMIFS(G585:G1474,K585:K1474,"0",B585:B1474,"4 1 4 4 1 12 31111 6 M59 19000 000000 00000 00000*")</f>
        <v>0</v>
      </c>
      <c r="H584" s="83"/>
      <c r="I584" s="83">
        <f t="shared" si="9"/>
        <v>991696.88</v>
      </c>
      <c r="K584" s="54" t="s">
        <v>15</v>
      </c>
    </row>
    <row r="585" spans="2:11" ht="24.75" x14ac:dyDescent="0.2">
      <c r="B585" s="82" t="s">
        <v>2546</v>
      </c>
      <c r="C585" s="82" t="s">
        <v>2536</v>
      </c>
      <c r="D585" s="54"/>
      <c r="E585" s="83">
        <f>SUMIFS(E586:E1474,K586:K1474,"0",B586:B1474,"4 1 4 4 1 12 31111 6 M59 19000 000000 00000 00000 00045*")-SUMIFS(D586:D1474,K586:K1474,"0",B586:B1474,"4 1 4 4 1 12 31111 6 M59 19000 000000 00000 00000 00045*")</f>
        <v>991696.88</v>
      </c>
      <c r="F585" s="83">
        <f>SUMIFS(F586:F1474,K586:K1474,"0",B586:B1474,"4 1 4 4 1 12 31111 6 M59 19000 000000 00000 00000 00045*")</f>
        <v>0</v>
      </c>
      <c r="G585" s="83">
        <f>SUMIFS(G586:G1474,K586:K1474,"0",B586:B1474,"4 1 4 4 1 12 31111 6 M59 19000 000000 00000 00000 00045*")</f>
        <v>0</v>
      </c>
      <c r="H585" s="83"/>
      <c r="I585" s="83">
        <f t="shared" si="9"/>
        <v>991696.88</v>
      </c>
      <c r="K585" s="54" t="s">
        <v>15</v>
      </c>
    </row>
    <row r="586" spans="2:11" ht="33" x14ac:dyDescent="0.2">
      <c r="B586" s="82" t="s">
        <v>2547</v>
      </c>
      <c r="C586" s="82" t="s">
        <v>699</v>
      </c>
      <c r="D586" s="54"/>
      <c r="E586" s="83">
        <f>SUMIFS(E587:E1474,K587:K1474,"0",B587:B1474,"4 1 4 4 1 12 31111 6 M59 19000 000000 00000 00000 00045 011*")-SUMIFS(D587:D1474,K587:K1474,"0",B587:B1474,"4 1 4 4 1 12 31111 6 M59 19000 000000 00000 00000 00045 011*")</f>
        <v>991696.88</v>
      </c>
      <c r="F586" s="83">
        <f>SUMIFS(F587:F1474,K587:K1474,"0",B587:B1474,"4 1 4 4 1 12 31111 6 M59 19000 000000 00000 00000 00045 011*")</f>
        <v>0</v>
      </c>
      <c r="G586" s="83">
        <f>SUMIFS(G587:G1474,K587:K1474,"0",B587:B1474,"4 1 4 4 1 12 31111 6 M59 19000 000000 00000 00000 00045 011*")</f>
        <v>0</v>
      </c>
      <c r="H586" s="83"/>
      <c r="I586" s="83">
        <f t="shared" si="9"/>
        <v>991696.88</v>
      </c>
      <c r="K586" s="54" t="s">
        <v>15</v>
      </c>
    </row>
    <row r="587" spans="2:11" ht="33" x14ac:dyDescent="0.2">
      <c r="B587" s="82" t="s">
        <v>2548</v>
      </c>
      <c r="C587" s="82" t="s">
        <v>2320</v>
      </c>
      <c r="D587" s="54"/>
      <c r="E587" s="83">
        <f>SUMIFS(E588:E1474,K588:K1474,"0",B588:B1474,"4 1 4 4 1 12 31111 6 M59 19000 000000 00000 00000 00045 011 1113000*")-SUMIFS(D588:D1474,K588:K1474,"0",B588:B1474,"4 1 4 4 1 12 31111 6 M59 19000 000000 00000 00000 00045 011 1113000*")</f>
        <v>991696.88</v>
      </c>
      <c r="F587" s="83">
        <f>SUMIFS(F588:F1474,K588:K1474,"0",B588:B1474,"4 1 4 4 1 12 31111 6 M59 19000 000000 00000 00000 00045 011 1113000*")</f>
        <v>0</v>
      </c>
      <c r="G587" s="83">
        <f>SUMIFS(G588:G1474,K588:K1474,"0",B588:B1474,"4 1 4 4 1 12 31111 6 M59 19000 000000 00000 00000 00045 011 1113000*")</f>
        <v>0</v>
      </c>
      <c r="H587" s="83"/>
      <c r="I587" s="83">
        <f t="shared" si="9"/>
        <v>991696.88</v>
      </c>
      <c r="K587" s="54" t="s">
        <v>15</v>
      </c>
    </row>
    <row r="588" spans="2:11" ht="33" x14ac:dyDescent="0.2">
      <c r="B588" s="82" t="s">
        <v>2549</v>
      </c>
      <c r="C588" s="82" t="s">
        <v>660</v>
      </c>
      <c r="D588" s="54"/>
      <c r="E588" s="83">
        <f>SUMIFS(E589:E1474,K589:K1474,"0",B589:B1474,"4 1 4 4 1 12 31111 6 M59 19000 000000 00000 00000 00045 011 1113000 2024*")-SUMIFS(D589:D1474,K589:K1474,"0",B589:B1474,"4 1 4 4 1 12 31111 6 M59 19000 000000 00000 00000 00045 011 1113000 2024*")</f>
        <v>991696.88</v>
      </c>
      <c r="F588" s="83">
        <f>SUMIFS(F589:F1474,K589:K1474,"0",B589:B1474,"4 1 4 4 1 12 31111 6 M59 19000 000000 00000 00000 00045 011 1113000 2024*")</f>
        <v>0</v>
      </c>
      <c r="G588" s="83">
        <f>SUMIFS(G589:G1474,K589:K1474,"0",B589:B1474,"4 1 4 4 1 12 31111 6 M59 19000 000000 00000 00000 00045 011 1113000 2024*")</f>
        <v>0</v>
      </c>
      <c r="H588" s="83"/>
      <c r="I588" s="83">
        <f t="shared" si="9"/>
        <v>991696.88</v>
      </c>
      <c r="K588" s="54" t="s">
        <v>15</v>
      </c>
    </row>
    <row r="589" spans="2:11" ht="41.25" x14ac:dyDescent="0.2">
      <c r="B589" s="82" t="s">
        <v>2550</v>
      </c>
      <c r="C589" s="82" t="s">
        <v>2298</v>
      </c>
      <c r="D589" s="54"/>
      <c r="E589" s="83">
        <f>SUMIFS(E590:E1474,K590:K1474,"0",B590:B1474,"4 1 4 4 1 12 31111 6 M59 19000 000000 00000 00000 00045 011 1113000 2024 00000000*")-SUMIFS(D590:D1474,K590:K1474,"0",B590:B1474,"4 1 4 4 1 12 31111 6 M59 19000 000000 00000 00000 00045 011 1113000 2024 00000000*")</f>
        <v>991696.88</v>
      </c>
      <c r="F589" s="83">
        <f>SUMIFS(F590:F1474,K590:K1474,"0",B590:B1474,"4 1 4 4 1 12 31111 6 M59 19000 000000 00000 00000 00045 011 1113000 2024 00000000*")</f>
        <v>0</v>
      </c>
      <c r="G589" s="83">
        <f>SUMIFS(G590:G1474,K590:K1474,"0",B590:B1474,"4 1 4 4 1 12 31111 6 M59 19000 000000 00000 00000 00045 011 1113000 2024 00000000*")</f>
        <v>0</v>
      </c>
      <c r="H589" s="83"/>
      <c r="I589" s="83">
        <f t="shared" si="9"/>
        <v>991696.88</v>
      </c>
      <c r="K589" s="54" t="s">
        <v>15</v>
      </c>
    </row>
    <row r="590" spans="2:11" ht="41.25" x14ac:dyDescent="0.2">
      <c r="B590" s="82" t="s">
        <v>2551</v>
      </c>
      <c r="C590" s="82" t="s">
        <v>2300</v>
      </c>
      <c r="D590" s="54"/>
      <c r="E590" s="83">
        <f>SUMIFS(E591:E1474,K591:K1474,"0",B591:B1474,"4 1 4 4 1 12 31111 6 M59 19000 000000 00000 00000 00045 011 1113000 2024 00000000 004*")-SUMIFS(D591:D1474,K591:K1474,"0",B591:B1474,"4 1 4 4 1 12 31111 6 M59 19000 000000 00000 00000 00045 011 1113000 2024 00000000 004*")</f>
        <v>991696.88</v>
      </c>
      <c r="F590" s="83">
        <f>SUMIFS(F591:F1474,K591:K1474,"0",B591:B1474,"4 1 4 4 1 12 31111 6 M59 19000 000000 00000 00000 00045 011 1113000 2024 00000000 004*")</f>
        <v>0</v>
      </c>
      <c r="G590" s="83">
        <f>SUMIFS(G591:G1474,K591:K1474,"0",B591:B1474,"4 1 4 4 1 12 31111 6 M59 19000 000000 00000 00000 00045 011 1113000 2024 00000000 004*")</f>
        <v>0</v>
      </c>
      <c r="H590" s="83"/>
      <c r="I590" s="83">
        <f t="shared" si="9"/>
        <v>991696.88</v>
      </c>
      <c r="K590" s="54" t="s">
        <v>15</v>
      </c>
    </row>
    <row r="591" spans="2:11" ht="49.5" x14ac:dyDescent="0.2">
      <c r="B591" s="82" t="s">
        <v>2552</v>
      </c>
      <c r="C591" s="82" t="s">
        <v>2536</v>
      </c>
      <c r="D591" s="54"/>
      <c r="E591" s="83">
        <f>SUMIFS(E592:E1474,K592:K1474,"0",B592:B1474,"4 1 4 4 1 12 31111 6 M59 19000 000000 00000 00000 00045 011 1113000 2024 00000000 004 0000001*")-SUMIFS(D592:D1474,K592:K1474,"0",B592:B1474,"4 1 4 4 1 12 31111 6 M59 19000 000000 00000 00000 00045 011 1113000 2024 00000000 004 0000001*")</f>
        <v>991696.88</v>
      </c>
      <c r="F591" s="83">
        <f>SUMIFS(F592:F1474,K592:K1474,"0",B592:B1474,"4 1 4 4 1 12 31111 6 M59 19000 000000 00000 00000 00045 011 1113000 2024 00000000 004 0000001*")</f>
        <v>0</v>
      </c>
      <c r="G591" s="83">
        <f>SUMIFS(G592:G1474,K592:K1474,"0",B592:B1474,"4 1 4 4 1 12 31111 6 M59 19000 000000 00000 00000 00045 011 1113000 2024 00000000 004 0000001*")</f>
        <v>0</v>
      </c>
      <c r="H591" s="83"/>
      <c r="I591" s="83">
        <f t="shared" si="9"/>
        <v>991696.88</v>
      </c>
      <c r="K591" s="54" t="s">
        <v>15</v>
      </c>
    </row>
    <row r="592" spans="2:11" ht="49.5" x14ac:dyDescent="0.2">
      <c r="B592" s="82" t="s">
        <v>2553</v>
      </c>
      <c r="C592" s="82" t="s">
        <v>2415</v>
      </c>
      <c r="D592" s="54"/>
      <c r="E592" s="83">
        <f>SUMIFS(E593:E1474,K593:K1474,"0",B593:B1474,"4 1 4 4 1 12 31111 6 M59 19000 000000 00000 00000 00045 011 1113000 2024 00000000 004 0000001 00001*")-SUMIFS(D593:D1474,K593:K1474,"0",B593:B1474,"4 1 4 4 1 12 31111 6 M59 19000 000000 00000 00000 00045 011 1113000 2024 00000000 004 0000001 00001*")</f>
        <v>991696.88</v>
      </c>
      <c r="F592" s="83">
        <f>SUMIFS(F593:F1474,K593:K1474,"0",B593:B1474,"4 1 4 4 1 12 31111 6 M59 19000 000000 00000 00000 00045 011 1113000 2024 00000000 004 0000001 00001*")</f>
        <v>0</v>
      </c>
      <c r="G592" s="83">
        <f>SUMIFS(G593:G1474,K593:K1474,"0",B593:B1474,"4 1 4 4 1 12 31111 6 M59 19000 000000 00000 00000 00045 011 1113000 2024 00000000 004 0000001 00001*")</f>
        <v>0</v>
      </c>
      <c r="H592" s="83"/>
      <c r="I592" s="83">
        <f t="shared" si="9"/>
        <v>991696.88</v>
      </c>
      <c r="K592" s="54" t="s">
        <v>15</v>
      </c>
    </row>
    <row r="593" spans="2:11" ht="41.25" x14ac:dyDescent="0.2">
      <c r="B593" s="84" t="s">
        <v>2554</v>
      </c>
      <c r="C593" s="84" t="s">
        <v>2555</v>
      </c>
      <c r="D593" s="85"/>
      <c r="E593" s="85">
        <v>991696.88</v>
      </c>
      <c r="F593" s="85">
        <v>0</v>
      </c>
      <c r="G593" s="85">
        <v>0</v>
      </c>
      <c r="H593" s="85"/>
      <c r="I593" s="85">
        <f t="shared" si="9"/>
        <v>991696.88</v>
      </c>
      <c r="K593" s="54" t="s">
        <v>38</v>
      </c>
    </row>
    <row r="594" spans="2:11" ht="12.75" x14ac:dyDescent="0.2">
      <c r="B594" s="82" t="s">
        <v>2556</v>
      </c>
      <c r="C594" s="82" t="s">
        <v>2557</v>
      </c>
      <c r="D594" s="54"/>
      <c r="E594" s="83">
        <f>SUMIFS(E595:E1474,K595:K1474,"0",B595:B1474,"4 1 4 9*")-SUMIFS(D595:D1474,K595:K1474,"0",B595:B1474,"4 1 4 9*")</f>
        <v>611528.9800000001</v>
      </c>
      <c r="F594" s="83">
        <f>SUMIFS(F595:F1474,K595:K1474,"0",B595:B1474,"4 1 4 9*")</f>
        <v>0</v>
      </c>
      <c r="G594" s="83">
        <f>SUMIFS(G595:G1474,K595:K1474,"0",B595:B1474,"4 1 4 9*")</f>
        <v>154831.41</v>
      </c>
      <c r="H594" s="83"/>
      <c r="I594" s="83">
        <f t="shared" si="9"/>
        <v>766360.39000000013</v>
      </c>
      <c r="K594" s="54" t="s">
        <v>15</v>
      </c>
    </row>
    <row r="595" spans="2:11" ht="12.75" x14ac:dyDescent="0.2">
      <c r="B595" s="82" t="s">
        <v>2558</v>
      </c>
      <c r="C595" s="82" t="s">
        <v>2557</v>
      </c>
      <c r="D595" s="54"/>
      <c r="E595" s="83">
        <f>SUMIFS(E596:E1474,K596:K1474,"0",B596:B1474,"4 1 4 9 1*")-SUMIFS(D596:D1474,K596:K1474,"0",B596:B1474,"4 1 4 9 1*")</f>
        <v>611528.9800000001</v>
      </c>
      <c r="F595" s="83">
        <f>SUMIFS(F596:F1474,K596:K1474,"0",B596:B1474,"4 1 4 9 1*")</f>
        <v>0</v>
      </c>
      <c r="G595" s="83">
        <f>SUMIFS(G596:G1474,K596:K1474,"0",B596:B1474,"4 1 4 9 1*")</f>
        <v>154831.41</v>
      </c>
      <c r="H595" s="83"/>
      <c r="I595" s="83">
        <f t="shared" si="9"/>
        <v>766360.39000000013</v>
      </c>
      <c r="K595" s="54" t="s">
        <v>15</v>
      </c>
    </row>
    <row r="596" spans="2:11" ht="12.75" x14ac:dyDescent="0.2">
      <c r="B596" s="82" t="s">
        <v>2559</v>
      </c>
      <c r="C596" s="82" t="s">
        <v>26</v>
      </c>
      <c r="D596" s="54"/>
      <c r="E596" s="83">
        <f>SUMIFS(E597:E1474,K597:K1474,"0",B597:B1474,"4 1 4 9 1 12*")-SUMIFS(D597:D1474,K597:K1474,"0",B597:B1474,"4 1 4 9 1 12*")</f>
        <v>611528.9800000001</v>
      </c>
      <c r="F596" s="83">
        <f>SUMIFS(F597:F1474,K597:K1474,"0",B597:B1474,"4 1 4 9 1 12*")</f>
        <v>0</v>
      </c>
      <c r="G596" s="83">
        <f>SUMIFS(G597:G1474,K597:K1474,"0",B597:B1474,"4 1 4 9 1 12*")</f>
        <v>154831.41</v>
      </c>
      <c r="H596" s="83"/>
      <c r="I596" s="83">
        <f t="shared" ref="I596:I659" si="10">E596 - F596 + G596</f>
        <v>766360.39000000013</v>
      </c>
      <c r="K596" s="54" t="s">
        <v>15</v>
      </c>
    </row>
    <row r="597" spans="2:11" ht="16.5" x14ac:dyDescent="0.2">
      <c r="B597" s="82" t="s">
        <v>2560</v>
      </c>
      <c r="C597" s="82" t="s">
        <v>28</v>
      </c>
      <c r="D597" s="54"/>
      <c r="E597" s="83">
        <f>SUMIFS(E598:E1474,K598:K1474,"0",B598:B1474,"4 1 4 9 1 12 31111*")-SUMIFS(D598:D1474,K598:K1474,"0",B598:B1474,"4 1 4 9 1 12 31111*")</f>
        <v>611528.9800000001</v>
      </c>
      <c r="F597" s="83">
        <f>SUMIFS(F598:F1474,K598:K1474,"0",B598:B1474,"4 1 4 9 1 12 31111*")</f>
        <v>0</v>
      </c>
      <c r="G597" s="83">
        <f>SUMIFS(G598:G1474,K598:K1474,"0",B598:B1474,"4 1 4 9 1 12 31111*")</f>
        <v>154831.41</v>
      </c>
      <c r="H597" s="83"/>
      <c r="I597" s="83">
        <f t="shared" si="10"/>
        <v>766360.39000000013</v>
      </c>
      <c r="K597" s="54" t="s">
        <v>15</v>
      </c>
    </row>
    <row r="598" spans="2:11" ht="12.75" x14ac:dyDescent="0.2">
      <c r="B598" s="82" t="s">
        <v>2561</v>
      </c>
      <c r="C598" s="82" t="s">
        <v>30</v>
      </c>
      <c r="D598" s="54"/>
      <c r="E598" s="83">
        <f>SUMIFS(E599:E1474,K599:K1474,"0",B599:B1474,"4 1 4 9 1 12 31111 6*")-SUMIFS(D599:D1474,K599:K1474,"0",B599:B1474,"4 1 4 9 1 12 31111 6*")</f>
        <v>611528.9800000001</v>
      </c>
      <c r="F598" s="83">
        <f>SUMIFS(F599:F1474,K599:K1474,"0",B599:B1474,"4 1 4 9 1 12 31111 6*")</f>
        <v>0</v>
      </c>
      <c r="G598" s="83">
        <f>SUMIFS(G599:G1474,K599:K1474,"0",B599:B1474,"4 1 4 9 1 12 31111 6*")</f>
        <v>154831.41</v>
      </c>
      <c r="H598" s="83"/>
      <c r="I598" s="83">
        <f t="shared" si="10"/>
        <v>766360.39000000013</v>
      </c>
      <c r="K598" s="54" t="s">
        <v>15</v>
      </c>
    </row>
    <row r="599" spans="2:11" ht="16.5" x14ac:dyDescent="0.2">
      <c r="B599" s="82" t="s">
        <v>2562</v>
      </c>
      <c r="C599" s="82" t="s">
        <v>2284</v>
      </c>
      <c r="D599" s="54"/>
      <c r="E599" s="83">
        <f>SUMIFS(E600:E1474,K600:K1474,"0",B600:B1474,"4 1 4 9 1 12 31111 6 M59*")-SUMIFS(D600:D1474,K600:K1474,"0",B600:B1474,"4 1 4 9 1 12 31111 6 M59*")</f>
        <v>611528.9800000001</v>
      </c>
      <c r="F599" s="83">
        <f>SUMIFS(F600:F1474,K600:K1474,"0",B600:B1474,"4 1 4 9 1 12 31111 6 M59*")</f>
        <v>0</v>
      </c>
      <c r="G599" s="83">
        <f>SUMIFS(G600:G1474,K600:K1474,"0",B600:B1474,"4 1 4 9 1 12 31111 6 M59*")</f>
        <v>154831.41</v>
      </c>
      <c r="H599" s="83"/>
      <c r="I599" s="83">
        <f t="shared" si="10"/>
        <v>766360.39000000013</v>
      </c>
      <c r="K599" s="54" t="s">
        <v>15</v>
      </c>
    </row>
    <row r="600" spans="2:11" ht="16.5" x14ac:dyDescent="0.2">
      <c r="B600" s="82" t="s">
        <v>2563</v>
      </c>
      <c r="C600" s="82" t="s">
        <v>1044</v>
      </c>
      <c r="D600" s="54"/>
      <c r="E600" s="83">
        <f>SUMIFS(E601:E1474,K601:K1474,"0",B601:B1474,"4 1 4 9 1 12 31111 6 M59 19000*")-SUMIFS(D601:D1474,K601:K1474,"0",B601:B1474,"4 1 4 9 1 12 31111 6 M59 19000*")</f>
        <v>611528.9800000001</v>
      </c>
      <c r="F600" s="83">
        <f>SUMIFS(F601:F1474,K601:K1474,"0",B601:B1474,"4 1 4 9 1 12 31111 6 M59 19000*")</f>
        <v>0</v>
      </c>
      <c r="G600" s="83">
        <f>SUMIFS(G601:G1474,K601:K1474,"0",B601:B1474,"4 1 4 9 1 12 31111 6 M59 19000*")</f>
        <v>154831.41</v>
      </c>
      <c r="H600" s="83"/>
      <c r="I600" s="83">
        <f t="shared" si="10"/>
        <v>766360.39000000013</v>
      </c>
      <c r="K600" s="54" t="s">
        <v>15</v>
      </c>
    </row>
    <row r="601" spans="2:11" ht="16.5" x14ac:dyDescent="0.2">
      <c r="B601" s="82" t="s">
        <v>2564</v>
      </c>
      <c r="C601" s="82" t="s">
        <v>2287</v>
      </c>
      <c r="D601" s="54"/>
      <c r="E601" s="83">
        <f>SUMIFS(E602:E1474,K602:K1474,"0",B602:B1474,"4 1 4 9 1 12 31111 6 M59 19000 000000*")-SUMIFS(D602:D1474,K602:K1474,"0",B602:B1474,"4 1 4 9 1 12 31111 6 M59 19000 000000*")</f>
        <v>611528.9800000001</v>
      </c>
      <c r="F601" s="83">
        <f>SUMIFS(F602:F1474,K602:K1474,"0",B602:B1474,"4 1 4 9 1 12 31111 6 M59 19000 000000*")</f>
        <v>0</v>
      </c>
      <c r="G601" s="83">
        <f>SUMIFS(G602:G1474,K602:K1474,"0",B602:B1474,"4 1 4 9 1 12 31111 6 M59 19000 000000*")</f>
        <v>154831.41</v>
      </c>
      <c r="H601" s="83"/>
      <c r="I601" s="83">
        <f t="shared" si="10"/>
        <v>766360.39000000013</v>
      </c>
      <c r="K601" s="54" t="s">
        <v>15</v>
      </c>
    </row>
    <row r="602" spans="2:11" ht="24.75" x14ac:dyDescent="0.2">
      <c r="B602" s="82" t="s">
        <v>2565</v>
      </c>
      <c r="C602" s="82" t="s">
        <v>2289</v>
      </c>
      <c r="D602" s="54"/>
      <c r="E602" s="83">
        <f>SUMIFS(E603:E1474,K603:K1474,"0",B603:B1474,"4 1 4 9 1 12 31111 6 M59 19000 000000 00000*")-SUMIFS(D603:D1474,K603:K1474,"0",B603:B1474,"4 1 4 9 1 12 31111 6 M59 19000 000000 00000*")</f>
        <v>611528.9800000001</v>
      </c>
      <c r="F602" s="83">
        <f>SUMIFS(F603:F1474,K603:K1474,"0",B603:B1474,"4 1 4 9 1 12 31111 6 M59 19000 000000 00000*")</f>
        <v>0</v>
      </c>
      <c r="G602" s="83">
        <f>SUMIFS(G603:G1474,K603:K1474,"0",B603:B1474,"4 1 4 9 1 12 31111 6 M59 19000 000000 00000*")</f>
        <v>154831.41</v>
      </c>
      <c r="H602" s="83"/>
      <c r="I602" s="83">
        <f t="shared" si="10"/>
        <v>766360.39000000013</v>
      </c>
      <c r="K602" s="54" t="s">
        <v>15</v>
      </c>
    </row>
    <row r="603" spans="2:11" ht="24.75" x14ac:dyDescent="0.2">
      <c r="B603" s="82" t="s">
        <v>2566</v>
      </c>
      <c r="C603" s="82" t="s">
        <v>2291</v>
      </c>
      <c r="D603" s="54"/>
      <c r="E603" s="83">
        <f>SUMIFS(E604:E1474,K604:K1474,"0",B604:B1474,"4 1 4 9 1 12 31111 6 M59 19000 000000 00000 00000*")-SUMIFS(D604:D1474,K604:K1474,"0",B604:B1474,"4 1 4 9 1 12 31111 6 M59 19000 000000 00000 00000*")</f>
        <v>611528.9800000001</v>
      </c>
      <c r="F603" s="83">
        <f>SUMIFS(F604:F1474,K604:K1474,"0",B604:B1474,"4 1 4 9 1 12 31111 6 M59 19000 000000 00000 00000*")</f>
        <v>0</v>
      </c>
      <c r="G603" s="83">
        <f>SUMIFS(G604:G1474,K604:K1474,"0",B604:B1474,"4 1 4 9 1 12 31111 6 M59 19000 000000 00000 00000*")</f>
        <v>154831.41</v>
      </c>
      <c r="H603" s="83"/>
      <c r="I603" s="83">
        <f t="shared" si="10"/>
        <v>766360.39000000013</v>
      </c>
      <c r="K603" s="54" t="s">
        <v>15</v>
      </c>
    </row>
    <row r="604" spans="2:11" ht="24.75" x14ac:dyDescent="0.2">
      <c r="B604" s="82" t="s">
        <v>2567</v>
      </c>
      <c r="C604" s="82" t="s">
        <v>2557</v>
      </c>
      <c r="D604" s="54"/>
      <c r="E604" s="83">
        <f>SUMIFS(E605:E1474,K605:K1474,"0",B605:B1474,"4 1 4 9 1 12 31111 6 M59 19000 000000 00000 00000 00044*")-SUMIFS(D605:D1474,K605:K1474,"0",B605:B1474,"4 1 4 9 1 12 31111 6 M59 19000 000000 00000 00000 00044*")</f>
        <v>611528.9800000001</v>
      </c>
      <c r="F604" s="83">
        <f>SUMIFS(F605:F1474,K605:K1474,"0",B605:B1474,"4 1 4 9 1 12 31111 6 M59 19000 000000 00000 00000 00044*")</f>
        <v>0</v>
      </c>
      <c r="G604" s="83">
        <f>SUMIFS(G605:G1474,K605:K1474,"0",B605:B1474,"4 1 4 9 1 12 31111 6 M59 19000 000000 00000 00000 00044*")</f>
        <v>154831.41</v>
      </c>
      <c r="H604" s="83"/>
      <c r="I604" s="83">
        <f t="shared" si="10"/>
        <v>766360.39000000013</v>
      </c>
      <c r="K604" s="54" t="s">
        <v>15</v>
      </c>
    </row>
    <row r="605" spans="2:11" ht="33" x14ac:dyDescent="0.2">
      <c r="B605" s="82" t="s">
        <v>2568</v>
      </c>
      <c r="C605" s="82" t="s">
        <v>699</v>
      </c>
      <c r="D605" s="54"/>
      <c r="E605" s="83">
        <f>SUMIFS(E606:E1474,K606:K1474,"0",B606:B1474,"4 1 4 9 1 12 31111 6 M59 19000 000000 00000 00000 00044 011*")-SUMIFS(D606:D1474,K606:K1474,"0",B606:B1474,"4 1 4 9 1 12 31111 6 M59 19000 000000 00000 00000 00044 011*")</f>
        <v>611528.9800000001</v>
      </c>
      <c r="F605" s="83">
        <f>SUMIFS(F606:F1474,K606:K1474,"0",B606:B1474,"4 1 4 9 1 12 31111 6 M59 19000 000000 00000 00000 00044 011*")</f>
        <v>0</v>
      </c>
      <c r="G605" s="83">
        <f>SUMIFS(G606:G1474,K606:K1474,"0",B606:B1474,"4 1 4 9 1 12 31111 6 M59 19000 000000 00000 00000 00044 011*")</f>
        <v>154831.41</v>
      </c>
      <c r="H605" s="83"/>
      <c r="I605" s="83">
        <f t="shared" si="10"/>
        <v>766360.39000000013</v>
      </c>
      <c r="K605" s="54" t="s">
        <v>15</v>
      </c>
    </row>
    <row r="606" spans="2:11" ht="33" x14ac:dyDescent="0.2">
      <c r="B606" s="82" t="s">
        <v>2569</v>
      </c>
      <c r="C606" s="82" t="s">
        <v>2320</v>
      </c>
      <c r="D606" s="54"/>
      <c r="E606" s="83">
        <f>SUMIFS(E607:E1474,K607:K1474,"0",B607:B1474,"4 1 4 9 1 12 31111 6 M59 19000 000000 00000 00000 00044 011 1113000*")-SUMIFS(D607:D1474,K607:K1474,"0",B607:B1474,"4 1 4 9 1 12 31111 6 M59 19000 000000 00000 00000 00044 011 1113000*")</f>
        <v>611528.9800000001</v>
      </c>
      <c r="F606" s="83">
        <f>SUMIFS(F607:F1474,K607:K1474,"0",B607:B1474,"4 1 4 9 1 12 31111 6 M59 19000 000000 00000 00000 00044 011 1113000*")</f>
        <v>0</v>
      </c>
      <c r="G606" s="83">
        <f>SUMIFS(G607:G1474,K607:K1474,"0",B607:B1474,"4 1 4 9 1 12 31111 6 M59 19000 000000 00000 00000 00044 011 1113000*")</f>
        <v>154831.41</v>
      </c>
      <c r="H606" s="83"/>
      <c r="I606" s="83">
        <f t="shared" si="10"/>
        <v>766360.39000000013</v>
      </c>
      <c r="K606" s="54" t="s">
        <v>15</v>
      </c>
    </row>
    <row r="607" spans="2:11" ht="33" x14ac:dyDescent="0.2">
      <c r="B607" s="82" t="s">
        <v>2570</v>
      </c>
      <c r="C607" s="82" t="s">
        <v>660</v>
      </c>
      <c r="D607" s="54"/>
      <c r="E607" s="83">
        <f>SUMIFS(E608:E1474,K608:K1474,"0",B608:B1474,"4 1 4 9 1 12 31111 6 M59 19000 000000 00000 00000 00044 011 1113000 2024*")-SUMIFS(D608:D1474,K608:K1474,"0",B608:B1474,"4 1 4 9 1 12 31111 6 M59 19000 000000 00000 00000 00044 011 1113000 2024*")</f>
        <v>611528.9800000001</v>
      </c>
      <c r="F607" s="83">
        <f>SUMIFS(F608:F1474,K608:K1474,"0",B608:B1474,"4 1 4 9 1 12 31111 6 M59 19000 000000 00000 00000 00044 011 1113000 2024*")</f>
        <v>0</v>
      </c>
      <c r="G607" s="83">
        <f>SUMIFS(G608:G1474,K608:K1474,"0",B608:B1474,"4 1 4 9 1 12 31111 6 M59 19000 000000 00000 00000 00044 011 1113000 2024*")</f>
        <v>154831.41</v>
      </c>
      <c r="H607" s="83"/>
      <c r="I607" s="83">
        <f t="shared" si="10"/>
        <v>766360.39000000013</v>
      </c>
      <c r="K607" s="54" t="s">
        <v>15</v>
      </c>
    </row>
    <row r="608" spans="2:11" ht="41.25" x14ac:dyDescent="0.2">
      <c r="B608" s="82" t="s">
        <v>2571</v>
      </c>
      <c r="C608" s="82" t="s">
        <v>2298</v>
      </c>
      <c r="D608" s="54"/>
      <c r="E608" s="83">
        <f>SUMIFS(E609:E1474,K609:K1474,"0",B609:B1474,"4 1 4 9 1 12 31111 6 M59 19000 000000 00000 00000 00044 011 1113000 2024 00000000*")-SUMIFS(D609:D1474,K609:K1474,"0",B609:B1474,"4 1 4 9 1 12 31111 6 M59 19000 000000 00000 00000 00044 011 1113000 2024 00000000*")</f>
        <v>611528.9800000001</v>
      </c>
      <c r="F608" s="83">
        <f>SUMIFS(F609:F1474,K609:K1474,"0",B609:B1474,"4 1 4 9 1 12 31111 6 M59 19000 000000 00000 00000 00044 011 1113000 2024 00000000*")</f>
        <v>0</v>
      </c>
      <c r="G608" s="83">
        <f>SUMIFS(G609:G1474,K609:K1474,"0",B609:B1474,"4 1 4 9 1 12 31111 6 M59 19000 000000 00000 00000 00044 011 1113000 2024 00000000*")</f>
        <v>154831.41</v>
      </c>
      <c r="H608" s="83"/>
      <c r="I608" s="83">
        <f t="shared" si="10"/>
        <v>766360.39000000013</v>
      </c>
      <c r="K608" s="54" t="s">
        <v>15</v>
      </c>
    </row>
    <row r="609" spans="2:11" ht="41.25" x14ac:dyDescent="0.2">
      <c r="B609" s="82" t="s">
        <v>2572</v>
      </c>
      <c r="C609" s="82" t="s">
        <v>2300</v>
      </c>
      <c r="D609" s="54"/>
      <c r="E609" s="83">
        <f>SUMIFS(E610:E1474,K610:K1474,"0",B610:B1474,"4 1 4 9 1 12 31111 6 M59 19000 000000 00000 00000 00044 011 1113000 2024 00000000 004*")-SUMIFS(D610:D1474,K610:K1474,"0",B610:B1474,"4 1 4 9 1 12 31111 6 M59 19000 000000 00000 00000 00044 011 1113000 2024 00000000 004*")</f>
        <v>611528.9800000001</v>
      </c>
      <c r="F609" s="83">
        <f>SUMIFS(F610:F1474,K610:K1474,"0",B610:B1474,"4 1 4 9 1 12 31111 6 M59 19000 000000 00000 00000 00044 011 1113000 2024 00000000 004*")</f>
        <v>0</v>
      </c>
      <c r="G609" s="83">
        <f>SUMIFS(G610:G1474,K610:K1474,"0",B610:B1474,"4 1 4 9 1 12 31111 6 M59 19000 000000 00000 00000 00044 011 1113000 2024 00000000 004*")</f>
        <v>154831.41</v>
      </c>
      <c r="H609" s="83"/>
      <c r="I609" s="83">
        <f t="shared" si="10"/>
        <v>766360.39000000013</v>
      </c>
      <c r="K609" s="54" t="s">
        <v>15</v>
      </c>
    </row>
    <row r="610" spans="2:11" ht="49.5" x14ac:dyDescent="0.2">
      <c r="B610" s="82" t="s">
        <v>2573</v>
      </c>
      <c r="C610" s="82" t="s">
        <v>2557</v>
      </c>
      <c r="D610" s="54"/>
      <c r="E610" s="83">
        <f>SUMIFS(E611:E1474,K611:K1474,"0",B611:B1474,"4 1 4 9 1 12 31111 6 M59 19000 000000 00000 00000 00044 011 1113000 2024 00000000 004 0000001*")-SUMIFS(D611:D1474,K611:K1474,"0",B611:B1474,"4 1 4 9 1 12 31111 6 M59 19000 000000 00000 00000 00044 011 1113000 2024 00000000 004 0000001*")</f>
        <v>611528.9800000001</v>
      </c>
      <c r="F610" s="83">
        <f>SUMIFS(F611:F1474,K611:K1474,"0",B611:B1474,"4 1 4 9 1 12 31111 6 M59 19000 000000 00000 00000 00044 011 1113000 2024 00000000 004 0000001*")</f>
        <v>0</v>
      </c>
      <c r="G610" s="83">
        <f>SUMIFS(G611:G1474,K611:K1474,"0",B611:B1474,"4 1 4 9 1 12 31111 6 M59 19000 000000 00000 00000 00044 011 1113000 2024 00000000 004 0000001*")</f>
        <v>154831.41</v>
      </c>
      <c r="H610" s="83"/>
      <c r="I610" s="83">
        <f t="shared" si="10"/>
        <v>766360.39000000013</v>
      </c>
      <c r="K610" s="54" t="s">
        <v>15</v>
      </c>
    </row>
    <row r="611" spans="2:11" ht="99" x14ac:dyDescent="0.2">
      <c r="B611" s="82" t="s">
        <v>2574</v>
      </c>
      <c r="C611" s="82" t="s">
        <v>2575</v>
      </c>
      <c r="D611" s="54"/>
      <c r="E611" s="83">
        <f>SUMIFS(E612:E1474,K612:K1474,"0",B612:B1474,"4 1 4 9 1 12 31111 6 M59 19000 000000 00000 00000 00044 011 1113000 2024 00000000 004 0000001 00004*")-SUMIFS(D612:D1474,K612:K1474,"0",B612:B1474,"4 1 4 9 1 12 31111 6 M59 19000 000000 00000 00000 00044 011 1113000 2024 00000000 004 0000001 00004*")</f>
        <v>219390</v>
      </c>
      <c r="F611" s="83">
        <f>SUMIFS(F612:F1474,K612:K1474,"0",B612:B1474,"4 1 4 9 1 12 31111 6 M59 19000 000000 00000 00000 00044 011 1113000 2024 00000000 004 0000001 00004*")</f>
        <v>0</v>
      </c>
      <c r="G611" s="83">
        <f>SUMIFS(G612:G1474,K612:K1474,"0",B612:B1474,"4 1 4 9 1 12 31111 6 M59 19000 000000 00000 00000 00044 011 1113000 2024 00000000 004 0000001 00004*")</f>
        <v>0</v>
      </c>
      <c r="H611" s="83"/>
      <c r="I611" s="83">
        <f t="shared" si="10"/>
        <v>219390</v>
      </c>
      <c r="K611" s="54" t="s">
        <v>15</v>
      </c>
    </row>
    <row r="612" spans="2:11" ht="41.25" x14ac:dyDescent="0.2">
      <c r="B612" s="84" t="s">
        <v>2576</v>
      </c>
      <c r="C612" s="84" t="s">
        <v>2577</v>
      </c>
      <c r="D612" s="85"/>
      <c r="E612" s="85">
        <v>219390</v>
      </c>
      <c r="F612" s="85">
        <v>0</v>
      </c>
      <c r="G612" s="85">
        <v>0</v>
      </c>
      <c r="H612" s="85"/>
      <c r="I612" s="85">
        <f t="shared" si="10"/>
        <v>219390</v>
      </c>
      <c r="K612" s="54" t="s">
        <v>38</v>
      </c>
    </row>
    <row r="613" spans="2:11" ht="49.5" x14ac:dyDescent="0.2">
      <c r="B613" s="82" t="s">
        <v>2578</v>
      </c>
      <c r="C613" s="82" t="s">
        <v>2579</v>
      </c>
      <c r="D613" s="54"/>
      <c r="E613" s="83">
        <f>SUMIFS(E614:E1474,K614:K1474,"0",B614:B1474,"4 1 4 9 1 12 31111 6 M59 19000 000000 00000 00000 00044 011 1113000 2024 00000000 004 0000001 00005*")-SUMIFS(D614:D1474,K614:K1474,"0",B614:B1474,"4 1 4 9 1 12 31111 6 M59 19000 000000 00000 00000 00044 011 1113000 2024 00000000 004 0000001 00005*")</f>
        <v>5560.97</v>
      </c>
      <c r="F613" s="83">
        <f>SUMIFS(F614:F1474,K614:K1474,"0",B614:B1474,"4 1 4 9 1 12 31111 6 M59 19000 000000 00000 00000 00044 011 1113000 2024 00000000 004 0000001 00005*")</f>
        <v>0</v>
      </c>
      <c r="G613" s="83">
        <f>SUMIFS(G614:G1474,K614:K1474,"0",B614:B1474,"4 1 4 9 1 12 31111 6 M59 19000 000000 00000 00000 00044 011 1113000 2024 00000000 004 0000001 00005*")</f>
        <v>1330.07</v>
      </c>
      <c r="H613" s="83"/>
      <c r="I613" s="83">
        <f t="shared" si="10"/>
        <v>6891.04</v>
      </c>
      <c r="K613" s="54" t="s">
        <v>15</v>
      </c>
    </row>
    <row r="614" spans="2:11" ht="41.25" x14ac:dyDescent="0.2">
      <c r="B614" s="84" t="s">
        <v>2580</v>
      </c>
      <c r="C614" s="84" t="s">
        <v>2579</v>
      </c>
      <c r="D614" s="85"/>
      <c r="E614" s="85">
        <v>5560.97</v>
      </c>
      <c r="F614" s="85">
        <v>0</v>
      </c>
      <c r="G614" s="85">
        <v>1330.07</v>
      </c>
      <c r="H614" s="85"/>
      <c r="I614" s="85">
        <f t="shared" si="10"/>
        <v>6891.04</v>
      </c>
      <c r="K614" s="54" t="s">
        <v>38</v>
      </c>
    </row>
    <row r="615" spans="2:11" ht="49.5" x14ac:dyDescent="0.2">
      <c r="B615" s="82" t="s">
        <v>2581</v>
      </c>
      <c r="C615" s="82" t="s">
        <v>2582</v>
      </c>
      <c r="D615" s="54"/>
      <c r="E615" s="83">
        <f>SUMIFS(E616:E1474,K616:K1474,"0",B616:B1474,"4 1 4 9 1 12 31111 6 M59 19000 000000 00000 00000 00044 011 1113000 2024 00000000 004 0000001 00007*")-SUMIFS(D616:D1474,K616:K1474,"0",B616:B1474,"4 1 4 9 1 12 31111 6 M59 19000 000000 00000 00000 00044 011 1113000 2024 00000000 004 0000001 00007*")</f>
        <v>98692.92</v>
      </c>
      <c r="F615" s="83">
        <f>SUMIFS(F616:F1474,K616:K1474,"0",B616:B1474,"4 1 4 9 1 12 31111 6 M59 19000 000000 00000 00000 00044 011 1113000 2024 00000000 004 0000001 00007*")</f>
        <v>0</v>
      </c>
      <c r="G615" s="83">
        <f>SUMIFS(G616:G1474,K616:K1474,"0",B616:B1474,"4 1 4 9 1 12 31111 6 M59 19000 000000 00000 00000 00044 011 1113000 2024 00000000 004 0000001 00007*")</f>
        <v>81020</v>
      </c>
      <c r="H615" s="83"/>
      <c r="I615" s="83">
        <f t="shared" si="10"/>
        <v>179712.91999999998</v>
      </c>
      <c r="K615" s="54" t="s">
        <v>15</v>
      </c>
    </row>
    <row r="616" spans="2:11" ht="41.25" x14ac:dyDescent="0.2">
      <c r="B616" s="84" t="s">
        <v>2583</v>
      </c>
      <c r="C616" s="84" t="s">
        <v>2584</v>
      </c>
      <c r="D616" s="85"/>
      <c r="E616" s="85">
        <v>4640.32</v>
      </c>
      <c r="F616" s="85">
        <v>0</v>
      </c>
      <c r="G616" s="85">
        <v>7299</v>
      </c>
      <c r="H616" s="85"/>
      <c r="I616" s="85">
        <f t="shared" si="10"/>
        <v>11939.32</v>
      </c>
      <c r="K616" s="54" t="s">
        <v>38</v>
      </c>
    </row>
    <row r="617" spans="2:11" ht="41.25" x14ac:dyDescent="0.2">
      <c r="B617" s="84" t="s">
        <v>2585</v>
      </c>
      <c r="C617" s="84" t="s">
        <v>2586</v>
      </c>
      <c r="D617" s="85"/>
      <c r="E617" s="85">
        <v>72682.399999999994</v>
      </c>
      <c r="F617" s="85">
        <v>0</v>
      </c>
      <c r="G617" s="85">
        <v>54061</v>
      </c>
      <c r="H617" s="85"/>
      <c r="I617" s="85">
        <f t="shared" si="10"/>
        <v>126743.4</v>
      </c>
      <c r="K617" s="54" t="s">
        <v>38</v>
      </c>
    </row>
    <row r="618" spans="2:11" ht="41.25" x14ac:dyDescent="0.2">
      <c r="B618" s="84" t="s">
        <v>2587</v>
      </c>
      <c r="C618" s="84" t="s">
        <v>2588</v>
      </c>
      <c r="D618" s="85"/>
      <c r="E618" s="85">
        <v>21370.2</v>
      </c>
      <c r="F618" s="85">
        <v>0</v>
      </c>
      <c r="G618" s="85">
        <v>19660</v>
      </c>
      <c r="H618" s="85"/>
      <c r="I618" s="85">
        <f t="shared" si="10"/>
        <v>41030.199999999997</v>
      </c>
      <c r="K618" s="54" t="s">
        <v>38</v>
      </c>
    </row>
    <row r="619" spans="2:11" ht="82.5" x14ac:dyDescent="0.2">
      <c r="B619" s="82" t="s">
        <v>2589</v>
      </c>
      <c r="C619" s="82" t="s">
        <v>2590</v>
      </c>
      <c r="D619" s="54"/>
      <c r="E619" s="83">
        <f>SUMIFS(E620:E1474,K620:K1474,"0",B620:B1474,"4 1 4 9 1 12 31111 6 M59 19000 000000 00000 00000 00044 011 1113000 2024 00000000 004 0000001 00008*")-SUMIFS(D620:D1474,K620:K1474,"0",B620:B1474,"4 1 4 9 1 12 31111 6 M59 19000 000000 00000 00000 00044 011 1113000 2024 00000000 004 0000001 00008*")</f>
        <v>28836.49</v>
      </c>
      <c r="F619" s="83">
        <f>SUMIFS(F620:F1474,K620:K1474,"0",B620:B1474,"4 1 4 9 1 12 31111 6 M59 19000 000000 00000 00000 00044 011 1113000 2024 00000000 004 0000001 00008*")</f>
        <v>0</v>
      </c>
      <c r="G619" s="83">
        <f>SUMIFS(G620:G1474,K620:K1474,"0",B620:B1474,"4 1 4 9 1 12 31111 6 M59 19000 000000 00000 00000 00044 011 1113000 2024 00000000 004 0000001 00008*")</f>
        <v>3786.9300000000003</v>
      </c>
      <c r="H619" s="83"/>
      <c r="I619" s="83">
        <f t="shared" si="10"/>
        <v>32623.420000000002</v>
      </c>
      <c r="K619" s="54" t="s">
        <v>15</v>
      </c>
    </row>
    <row r="620" spans="2:11" ht="41.25" x14ac:dyDescent="0.2">
      <c r="B620" s="84" t="s">
        <v>2591</v>
      </c>
      <c r="C620" s="84" t="s">
        <v>2592</v>
      </c>
      <c r="D620" s="85"/>
      <c r="E620" s="85">
        <v>432</v>
      </c>
      <c r="F620" s="85">
        <v>0</v>
      </c>
      <c r="G620" s="85">
        <v>0</v>
      </c>
      <c r="H620" s="85"/>
      <c r="I620" s="85">
        <f t="shared" si="10"/>
        <v>432</v>
      </c>
      <c r="K620" s="54" t="s">
        <v>38</v>
      </c>
    </row>
    <row r="621" spans="2:11" ht="41.25" x14ac:dyDescent="0.2">
      <c r="B621" s="84" t="s">
        <v>2593</v>
      </c>
      <c r="C621" s="84" t="s">
        <v>2594</v>
      </c>
      <c r="D621" s="85"/>
      <c r="E621" s="85">
        <v>27666.99</v>
      </c>
      <c r="F621" s="85">
        <v>0</v>
      </c>
      <c r="G621" s="85">
        <v>917.42</v>
      </c>
      <c r="H621" s="85"/>
      <c r="I621" s="85">
        <f t="shared" si="10"/>
        <v>28584.41</v>
      </c>
      <c r="K621" s="54" t="s">
        <v>38</v>
      </c>
    </row>
    <row r="622" spans="2:11" ht="41.25" x14ac:dyDescent="0.2">
      <c r="B622" s="84" t="s">
        <v>2595</v>
      </c>
      <c r="C622" s="84" t="s">
        <v>2596</v>
      </c>
      <c r="D622" s="85"/>
      <c r="E622" s="85">
        <v>737.5</v>
      </c>
      <c r="F622" s="85">
        <v>0</v>
      </c>
      <c r="G622" s="85">
        <v>2869.51</v>
      </c>
      <c r="H622" s="85"/>
      <c r="I622" s="85">
        <f t="shared" si="10"/>
        <v>3607.01</v>
      </c>
      <c r="K622" s="54" t="s">
        <v>38</v>
      </c>
    </row>
    <row r="623" spans="2:11" ht="49.5" x14ac:dyDescent="0.2">
      <c r="B623" s="82" t="s">
        <v>2597</v>
      </c>
      <c r="C623" s="82" t="s">
        <v>2598</v>
      </c>
      <c r="D623" s="54"/>
      <c r="E623" s="83">
        <f>SUMIFS(E624:E1474,K624:K1474,"0",B624:B1474,"4 1 4 9 1 12 31111 6 M59 19000 000000 00000 00000 00044 011 1113000 2024 00000000 004 0000001 00009*")-SUMIFS(D624:D1474,K624:K1474,"0",B624:B1474,"4 1 4 9 1 12 31111 6 M59 19000 000000 00000 00000 00044 011 1113000 2024 00000000 004 0000001 00009*")</f>
        <v>1372.33</v>
      </c>
      <c r="F623" s="83">
        <f>SUMIFS(F624:F1474,K624:K1474,"0",B624:B1474,"4 1 4 9 1 12 31111 6 M59 19000 000000 00000 00000 00044 011 1113000 2024 00000000 004 0000001 00009*")</f>
        <v>0</v>
      </c>
      <c r="G623" s="83">
        <f>SUMIFS(G624:G1474,K624:K1474,"0",B624:B1474,"4 1 4 9 1 12 31111 6 M59 19000 000000 00000 00000 00044 011 1113000 2024 00000000 004 0000001 00009*")</f>
        <v>0</v>
      </c>
      <c r="H623" s="83"/>
      <c r="I623" s="83">
        <f t="shared" si="10"/>
        <v>1372.33</v>
      </c>
      <c r="K623" s="54" t="s">
        <v>15</v>
      </c>
    </row>
    <row r="624" spans="2:11" ht="41.25" x14ac:dyDescent="0.2">
      <c r="B624" s="84" t="s">
        <v>2599</v>
      </c>
      <c r="C624" s="84" t="s">
        <v>2600</v>
      </c>
      <c r="D624" s="85"/>
      <c r="E624" s="85">
        <v>1372.33</v>
      </c>
      <c r="F624" s="85">
        <v>0</v>
      </c>
      <c r="G624" s="85">
        <v>0</v>
      </c>
      <c r="H624" s="85"/>
      <c r="I624" s="85">
        <f t="shared" si="10"/>
        <v>1372.33</v>
      </c>
      <c r="K624" s="54" t="s">
        <v>38</v>
      </c>
    </row>
    <row r="625" spans="2:11" ht="49.5" x14ac:dyDescent="0.2">
      <c r="B625" s="82" t="s">
        <v>2601</v>
      </c>
      <c r="C625" s="82" t="s">
        <v>2602</v>
      </c>
      <c r="D625" s="54"/>
      <c r="E625" s="83">
        <f>SUMIFS(E626:E1474,K626:K1474,"0",B626:B1474,"4 1 4 9 1 12 31111 6 M59 19000 000000 00000 00000 00044 011 1113000 2024 00000000 004 0000001 00011*")-SUMIFS(D626:D1474,K626:K1474,"0",B626:B1474,"4 1 4 9 1 12 31111 6 M59 19000 000000 00000 00000 00044 011 1113000 2024 00000000 004 0000001 00011*")</f>
        <v>53939.01</v>
      </c>
      <c r="F625" s="83">
        <f>SUMIFS(F626:F1474,K626:K1474,"0",B626:B1474,"4 1 4 9 1 12 31111 6 M59 19000 000000 00000 00000 00044 011 1113000 2024 00000000 004 0000001 00011*")</f>
        <v>0</v>
      </c>
      <c r="G625" s="83">
        <f>SUMIFS(G626:G1474,K626:K1474,"0",B626:B1474,"4 1 4 9 1 12 31111 6 M59 19000 000000 00000 00000 00044 011 1113000 2024 00000000 004 0000001 00011*")</f>
        <v>0</v>
      </c>
      <c r="H625" s="83"/>
      <c r="I625" s="83">
        <f t="shared" si="10"/>
        <v>53939.01</v>
      </c>
      <c r="K625" s="54" t="s">
        <v>15</v>
      </c>
    </row>
    <row r="626" spans="2:11" ht="41.25" x14ac:dyDescent="0.2">
      <c r="B626" s="84" t="s">
        <v>2603</v>
      </c>
      <c r="C626" s="84" t="s">
        <v>2604</v>
      </c>
      <c r="D626" s="85"/>
      <c r="E626" s="85">
        <v>53939.01</v>
      </c>
      <c r="F626" s="85">
        <v>0</v>
      </c>
      <c r="G626" s="85">
        <v>0</v>
      </c>
      <c r="H626" s="85"/>
      <c r="I626" s="85">
        <f t="shared" si="10"/>
        <v>53939.01</v>
      </c>
      <c r="K626" s="54" t="s">
        <v>38</v>
      </c>
    </row>
    <row r="627" spans="2:11" ht="49.5" x14ac:dyDescent="0.2">
      <c r="B627" s="82" t="s">
        <v>2605</v>
      </c>
      <c r="C627" s="82" t="s">
        <v>2606</v>
      </c>
      <c r="D627" s="54"/>
      <c r="E627" s="83">
        <f>SUMIFS(E628:E1474,K628:K1474,"0",B628:B1474,"4 1 4 9 1 12 31111 6 M59 19000 000000 00000 00000 00044 011 1113000 2024 00000000 004 0000001 00016*")-SUMIFS(D628:D1474,K628:K1474,"0",B628:B1474,"4 1 4 9 1 12 31111 6 M59 19000 000000 00000 00000 00044 011 1113000 2024 00000000 004 0000001 00016*")</f>
        <v>175295.03</v>
      </c>
      <c r="F627" s="83">
        <f>SUMIFS(F628:F1474,K628:K1474,"0",B628:B1474,"4 1 4 9 1 12 31111 6 M59 19000 000000 00000 00000 00044 011 1113000 2024 00000000 004 0000001 00016*")</f>
        <v>0</v>
      </c>
      <c r="G627" s="83">
        <f>SUMIFS(G628:G1474,K628:K1474,"0",B628:B1474,"4 1 4 9 1 12 31111 6 M59 19000 000000 00000 00000 00044 011 1113000 2024 00000000 004 0000001 00016*")</f>
        <v>11990.26</v>
      </c>
      <c r="H627" s="83"/>
      <c r="I627" s="83">
        <f t="shared" si="10"/>
        <v>187285.29</v>
      </c>
      <c r="K627" s="54" t="s">
        <v>15</v>
      </c>
    </row>
    <row r="628" spans="2:11" ht="41.25" x14ac:dyDescent="0.2">
      <c r="B628" s="84" t="s">
        <v>2607</v>
      </c>
      <c r="C628" s="84" t="s">
        <v>2608</v>
      </c>
      <c r="D628" s="85"/>
      <c r="E628" s="85">
        <v>168683</v>
      </c>
      <c r="F628" s="85">
        <v>0</v>
      </c>
      <c r="G628" s="85">
        <v>3363</v>
      </c>
      <c r="H628" s="85"/>
      <c r="I628" s="85">
        <f t="shared" si="10"/>
        <v>172046</v>
      </c>
      <c r="K628" s="54" t="s">
        <v>38</v>
      </c>
    </row>
    <row r="629" spans="2:11" ht="41.25" x14ac:dyDescent="0.2">
      <c r="B629" s="84" t="s">
        <v>2609</v>
      </c>
      <c r="C629" s="84" t="s">
        <v>2610</v>
      </c>
      <c r="D629" s="85"/>
      <c r="E629" s="85">
        <v>4300.03</v>
      </c>
      <c r="F629" s="85">
        <v>0</v>
      </c>
      <c r="G629" s="85">
        <v>1219.26</v>
      </c>
      <c r="H629" s="85"/>
      <c r="I629" s="85">
        <f t="shared" si="10"/>
        <v>5519.29</v>
      </c>
      <c r="K629" s="54" t="s">
        <v>38</v>
      </c>
    </row>
    <row r="630" spans="2:11" ht="41.25" x14ac:dyDescent="0.2">
      <c r="B630" s="84" t="s">
        <v>2611</v>
      </c>
      <c r="C630" s="84" t="s">
        <v>2612</v>
      </c>
      <c r="D630" s="85"/>
      <c r="E630" s="85">
        <v>578</v>
      </c>
      <c r="F630" s="85">
        <v>0</v>
      </c>
      <c r="G630" s="85">
        <v>1852</v>
      </c>
      <c r="H630" s="85"/>
      <c r="I630" s="85">
        <f t="shared" si="10"/>
        <v>2430</v>
      </c>
      <c r="K630" s="54" t="s">
        <v>38</v>
      </c>
    </row>
    <row r="631" spans="2:11" ht="41.25" x14ac:dyDescent="0.2">
      <c r="B631" s="84" t="s">
        <v>2613</v>
      </c>
      <c r="C631" s="84" t="s">
        <v>2614</v>
      </c>
      <c r="D631" s="85"/>
      <c r="E631" s="85">
        <v>578</v>
      </c>
      <c r="F631" s="85">
        <v>0</v>
      </c>
      <c r="G631" s="85">
        <v>1852</v>
      </c>
      <c r="H631" s="85"/>
      <c r="I631" s="85">
        <f t="shared" si="10"/>
        <v>2430</v>
      </c>
      <c r="K631" s="54" t="s">
        <v>38</v>
      </c>
    </row>
    <row r="632" spans="2:11" ht="41.25" x14ac:dyDescent="0.2">
      <c r="B632" s="84" t="s">
        <v>2615</v>
      </c>
      <c r="C632" s="84" t="s">
        <v>2616</v>
      </c>
      <c r="D632" s="85"/>
      <c r="E632" s="85">
        <v>578</v>
      </c>
      <c r="F632" s="85">
        <v>0</v>
      </c>
      <c r="G632" s="85">
        <v>1852</v>
      </c>
      <c r="H632" s="85"/>
      <c r="I632" s="85">
        <f t="shared" si="10"/>
        <v>2430</v>
      </c>
      <c r="K632" s="54" t="s">
        <v>38</v>
      </c>
    </row>
    <row r="633" spans="2:11" ht="41.25" x14ac:dyDescent="0.2">
      <c r="B633" s="84" t="s">
        <v>2617</v>
      </c>
      <c r="C633" s="84" t="s">
        <v>2618</v>
      </c>
      <c r="D633" s="85"/>
      <c r="E633" s="85">
        <v>578</v>
      </c>
      <c r="F633" s="85">
        <v>0</v>
      </c>
      <c r="G633" s="85">
        <v>1852</v>
      </c>
      <c r="H633" s="85"/>
      <c r="I633" s="85">
        <f t="shared" si="10"/>
        <v>2430</v>
      </c>
      <c r="K633" s="54" t="s">
        <v>38</v>
      </c>
    </row>
    <row r="634" spans="2:11" ht="49.5" x14ac:dyDescent="0.2">
      <c r="B634" s="82" t="s">
        <v>2619</v>
      </c>
      <c r="C634" s="82" t="s">
        <v>2620</v>
      </c>
      <c r="D634" s="54"/>
      <c r="E634" s="83">
        <f>SUMIFS(E635:E1474,K635:K1474,"0",B635:B1474,"4 1 4 9 1 12 31111 6 M59 19000 000000 00000 00000 00044 011 1113000 2024 00000000 004 0000001 00019*")-SUMIFS(D635:D1474,K635:K1474,"0",B635:B1474,"4 1 4 9 1 12 31111 6 M59 19000 000000 00000 00000 00044 011 1113000 2024 00000000 004 0000001 00019*")</f>
        <v>5452.79</v>
      </c>
      <c r="F634" s="83">
        <f>SUMIFS(F635:F1474,K635:K1474,"0",B635:B1474,"4 1 4 9 1 12 31111 6 M59 19000 000000 00000 00000 00044 011 1113000 2024 00000000 004 0000001 00019*")</f>
        <v>0</v>
      </c>
      <c r="G634" s="83">
        <f>SUMIFS(G635:G1474,K635:K1474,"0",B635:B1474,"4 1 4 9 1 12 31111 6 M59 19000 000000 00000 00000 00044 011 1113000 2024 00000000 004 0000001 00019*")</f>
        <v>6292.63</v>
      </c>
      <c r="H634" s="83"/>
      <c r="I634" s="83">
        <f t="shared" si="10"/>
        <v>11745.42</v>
      </c>
      <c r="K634" s="54" t="s">
        <v>15</v>
      </c>
    </row>
    <row r="635" spans="2:11" ht="41.25" x14ac:dyDescent="0.2">
      <c r="B635" s="84" t="s">
        <v>2621</v>
      </c>
      <c r="C635" s="84" t="s">
        <v>2622</v>
      </c>
      <c r="D635" s="85"/>
      <c r="E635" s="85">
        <v>428.63</v>
      </c>
      <c r="F635" s="85">
        <v>0</v>
      </c>
      <c r="G635" s="85">
        <v>562.63</v>
      </c>
      <c r="H635" s="85"/>
      <c r="I635" s="85">
        <f t="shared" si="10"/>
        <v>991.26</v>
      </c>
      <c r="K635" s="54" t="s">
        <v>38</v>
      </c>
    </row>
    <row r="636" spans="2:11" ht="41.25" x14ac:dyDescent="0.2">
      <c r="B636" s="84" t="s">
        <v>2623</v>
      </c>
      <c r="C636" s="84" t="s">
        <v>2624</v>
      </c>
      <c r="D636" s="85"/>
      <c r="E636" s="85">
        <v>635.16</v>
      </c>
      <c r="F636" s="85">
        <v>0</v>
      </c>
      <c r="G636" s="85">
        <v>212</v>
      </c>
      <c r="H636" s="85"/>
      <c r="I636" s="85">
        <f t="shared" si="10"/>
        <v>847.16</v>
      </c>
      <c r="K636" s="54" t="s">
        <v>38</v>
      </c>
    </row>
    <row r="637" spans="2:11" ht="41.25" x14ac:dyDescent="0.2">
      <c r="B637" s="84" t="s">
        <v>2625</v>
      </c>
      <c r="C637" s="84" t="s">
        <v>2626</v>
      </c>
      <c r="D637" s="85"/>
      <c r="E637" s="85">
        <v>4389</v>
      </c>
      <c r="F637" s="85">
        <v>0</v>
      </c>
      <c r="G637" s="85">
        <v>5518</v>
      </c>
      <c r="H637" s="85"/>
      <c r="I637" s="85">
        <f t="shared" si="10"/>
        <v>9907</v>
      </c>
      <c r="K637" s="54" t="s">
        <v>38</v>
      </c>
    </row>
    <row r="638" spans="2:11" ht="49.5" x14ac:dyDescent="0.2">
      <c r="B638" s="82" t="s">
        <v>2627</v>
      </c>
      <c r="C638" s="82" t="s">
        <v>2628</v>
      </c>
      <c r="D638" s="54"/>
      <c r="E638" s="83">
        <f>SUMIFS(E639:E1474,K639:K1474,"0",B639:B1474,"4 1 4 9 1 12 31111 6 M59 19000 000000 00000 00000 00044 011 1113000 2024 00000000 004 0000001 00020*")-SUMIFS(D639:D1474,K639:K1474,"0",B639:B1474,"4 1 4 9 1 12 31111 6 M59 19000 000000 00000 00000 00044 011 1113000 2024 00000000 004 0000001 00020*")</f>
        <v>9563.4</v>
      </c>
      <c r="F638" s="83">
        <f>SUMIFS(F639:F1474,K639:K1474,"0",B639:B1474,"4 1 4 9 1 12 31111 6 M59 19000 000000 00000 00000 00044 011 1113000 2024 00000000 004 0000001 00020*")</f>
        <v>0</v>
      </c>
      <c r="G638" s="83">
        <f>SUMIFS(G639:G1474,K639:K1474,"0",B639:B1474,"4 1 4 9 1 12 31111 6 M59 19000 000000 00000 00000 00044 011 1113000 2024 00000000 004 0000001 00020*")</f>
        <v>17803</v>
      </c>
      <c r="H638" s="83"/>
      <c r="I638" s="83">
        <f t="shared" si="10"/>
        <v>27366.400000000001</v>
      </c>
      <c r="K638" s="54" t="s">
        <v>15</v>
      </c>
    </row>
    <row r="639" spans="2:11" ht="41.25" x14ac:dyDescent="0.2">
      <c r="B639" s="84" t="s">
        <v>2629</v>
      </c>
      <c r="C639" s="84" t="s">
        <v>2630</v>
      </c>
      <c r="D639" s="85"/>
      <c r="E639" s="85">
        <v>7271.4</v>
      </c>
      <c r="F639" s="85">
        <v>0</v>
      </c>
      <c r="G639" s="85">
        <v>4340</v>
      </c>
      <c r="H639" s="85"/>
      <c r="I639" s="85">
        <f t="shared" si="10"/>
        <v>11611.4</v>
      </c>
      <c r="K639" s="54" t="s">
        <v>38</v>
      </c>
    </row>
    <row r="640" spans="2:11" ht="41.25" x14ac:dyDescent="0.2">
      <c r="B640" s="84" t="s">
        <v>2631</v>
      </c>
      <c r="C640" s="84" t="s">
        <v>2632</v>
      </c>
      <c r="D640" s="85"/>
      <c r="E640" s="85">
        <v>2292</v>
      </c>
      <c r="F640" s="85">
        <v>0</v>
      </c>
      <c r="G640" s="85">
        <v>13463</v>
      </c>
      <c r="H640" s="85"/>
      <c r="I640" s="85">
        <f t="shared" si="10"/>
        <v>15755</v>
      </c>
      <c r="K640" s="54" t="s">
        <v>38</v>
      </c>
    </row>
    <row r="641" spans="2:11" ht="49.5" x14ac:dyDescent="0.2">
      <c r="B641" s="82" t="s">
        <v>2633</v>
      </c>
      <c r="C641" s="82" t="s">
        <v>2359</v>
      </c>
      <c r="D641" s="54"/>
      <c r="E641" s="83">
        <f>SUMIFS(E642:E1474,K642:K1474,"0",B642:B1474,"4 1 4 9 1 12 31111 6 M59 19000 000000 00000 00000 00044 011 1113000 2024 00000000 004 0000001 00021*")-SUMIFS(D642:D1474,K642:K1474,"0",B642:B1474,"4 1 4 9 1 12 31111 6 M59 19000 000000 00000 00000 00044 011 1113000 2024 00000000 004 0000001 00021*")</f>
        <v>89.04</v>
      </c>
      <c r="F641" s="83">
        <f>SUMIFS(F642:F1474,K642:K1474,"0",B642:B1474,"4 1 4 9 1 12 31111 6 M59 19000 000000 00000 00000 00044 011 1113000 2024 00000000 004 0000001 00021*")</f>
        <v>0</v>
      </c>
      <c r="G641" s="83">
        <f>SUMIFS(G642:G1474,K642:K1474,"0",B642:B1474,"4 1 4 9 1 12 31111 6 M59 19000 000000 00000 00000 00044 011 1113000 2024 00000000 004 0000001 00021*")</f>
        <v>44.52</v>
      </c>
      <c r="H641" s="83"/>
      <c r="I641" s="83">
        <f t="shared" si="10"/>
        <v>133.56</v>
      </c>
      <c r="K641" s="54" t="s">
        <v>15</v>
      </c>
    </row>
    <row r="642" spans="2:11" ht="41.25" x14ac:dyDescent="0.2">
      <c r="B642" s="84" t="s">
        <v>2634</v>
      </c>
      <c r="C642" s="84" t="s">
        <v>2635</v>
      </c>
      <c r="D642" s="85"/>
      <c r="E642" s="85">
        <v>89.04</v>
      </c>
      <c r="F642" s="85">
        <v>0</v>
      </c>
      <c r="G642" s="85">
        <v>44.52</v>
      </c>
      <c r="H642" s="85"/>
      <c r="I642" s="85">
        <f t="shared" si="10"/>
        <v>133.56</v>
      </c>
      <c r="K642" s="54" t="s">
        <v>38</v>
      </c>
    </row>
    <row r="643" spans="2:11" ht="49.5" x14ac:dyDescent="0.2">
      <c r="B643" s="82" t="s">
        <v>2636</v>
      </c>
      <c r="C643" s="82" t="s">
        <v>2637</v>
      </c>
      <c r="D643" s="54"/>
      <c r="E643" s="83">
        <f>SUMIFS(E644:E1474,K644:K1474,"0",B644:B1474,"4 1 4 9 1 12 31111 6 M59 19000 000000 00000 00000 00044 011 1113000 2024 00000000 004 0000001 00022*")-SUMIFS(D644:D1474,K644:K1474,"0",B644:B1474,"4 1 4 9 1 12 31111 6 M59 19000 000000 00000 00000 00044 011 1113000 2024 00000000 004 0000001 00022*")</f>
        <v>13337</v>
      </c>
      <c r="F643" s="83">
        <f>SUMIFS(F644:F1474,K644:K1474,"0",B644:B1474,"4 1 4 9 1 12 31111 6 M59 19000 000000 00000 00000 00044 011 1113000 2024 00000000 004 0000001 00022*")</f>
        <v>0</v>
      </c>
      <c r="G643" s="83">
        <f>SUMIFS(G644:G1474,K644:K1474,"0",B644:B1474,"4 1 4 9 1 12 31111 6 M59 19000 000000 00000 00000 00044 011 1113000 2024 00000000 004 0000001 00022*")</f>
        <v>32177</v>
      </c>
      <c r="H643" s="83"/>
      <c r="I643" s="83">
        <f t="shared" si="10"/>
        <v>45514</v>
      </c>
      <c r="K643" s="54" t="s">
        <v>15</v>
      </c>
    </row>
    <row r="644" spans="2:11" ht="41.25" x14ac:dyDescent="0.2">
      <c r="B644" s="84" t="s">
        <v>2638</v>
      </c>
      <c r="C644" s="84" t="s">
        <v>2639</v>
      </c>
      <c r="D644" s="85"/>
      <c r="E644" s="85">
        <v>453</v>
      </c>
      <c r="F644" s="85">
        <v>0</v>
      </c>
      <c r="G644" s="85">
        <v>1200</v>
      </c>
      <c r="H644" s="85"/>
      <c r="I644" s="85">
        <f t="shared" si="10"/>
        <v>1653</v>
      </c>
      <c r="K644" s="54" t="s">
        <v>38</v>
      </c>
    </row>
    <row r="645" spans="2:11" ht="41.25" x14ac:dyDescent="0.2">
      <c r="B645" s="84" t="s">
        <v>2640</v>
      </c>
      <c r="C645" s="84" t="s">
        <v>2641</v>
      </c>
      <c r="D645" s="85"/>
      <c r="E645" s="85">
        <v>488</v>
      </c>
      <c r="F645" s="85">
        <v>0</v>
      </c>
      <c r="G645" s="85">
        <v>0</v>
      </c>
      <c r="H645" s="85"/>
      <c r="I645" s="85">
        <f t="shared" si="10"/>
        <v>488</v>
      </c>
      <c r="K645" s="54" t="s">
        <v>38</v>
      </c>
    </row>
    <row r="646" spans="2:11" ht="41.25" x14ac:dyDescent="0.2">
      <c r="B646" s="84" t="s">
        <v>2642</v>
      </c>
      <c r="C646" s="84" t="s">
        <v>2643</v>
      </c>
      <c r="D646" s="85"/>
      <c r="E646" s="85">
        <v>1970</v>
      </c>
      <c r="F646" s="85">
        <v>0</v>
      </c>
      <c r="G646" s="85">
        <v>3518</v>
      </c>
      <c r="H646" s="85"/>
      <c r="I646" s="85">
        <f t="shared" si="10"/>
        <v>5488</v>
      </c>
      <c r="K646" s="54" t="s">
        <v>38</v>
      </c>
    </row>
    <row r="647" spans="2:11" ht="41.25" x14ac:dyDescent="0.2">
      <c r="B647" s="84" t="s">
        <v>2644</v>
      </c>
      <c r="C647" s="84" t="s">
        <v>2645</v>
      </c>
      <c r="D647" s="85"/>
      <c r="E647" s="85">
        <v>586</v>
      </c>
      <c r="F647" s="85">
        <v>0</v>
      </c>
      <c r="G647" s="85">
        <v>6416</v>
      </c>
      <c r="H647" s="85"/>
      <c r="I647" s="85">
        <f t="shared" si="10"/>
        <v>7002</v>
      </c>
      <c r="K647" s="54" t="s">
        <v>38</v>
      </c>
    </row>
    <row r="648" spans="2:11" ht="41.25" x14ac:dyDescent="0.2">
      <c r="B648" s="84" t="s">
        <v>2646</v>
      </c>
      <c r="C648" s="84" t="s">
        <v>1063</v>
      </c>
      <c r="D648" s="85"/>
      <c r="E648" s="85">
        <v>9840</v>
      </c>
      <c r="F648" s="85">
        <v>0</v>
      </c>
      <c r="G648" s="85">
        <v>21043</v>
      </c>
      <c r="H648" s="85"/>
      <c r="I648" s="85">
        <f t="shared" si="10"/>
        <v>30883</v>
      </c>
      <c r="K648" s="54" t="s">
        <v>38</v>
      </c>
    </row>
    <row r="649" spans="2:11" ht="49.5" x14ac:dyDescent="0.2">
      <c r="B649" s="82" t="s">
        <v>2647</v>
      </c>
      <c r="C649" s="82" t="s">
        <v>2648</v>
      </c>
      <c r="D649" s="54"/>
      <c r="E649" s="83">
        <f>SUMIFS(E650:E1474,K650:K1474,"0",B650:B1474,"4 1 4 9 1 12 31111 6 M59 19000 000000 00000 00000 00044 011 1113000 2024 00000000 004 0000001 00023*")-SUMIFS(D650:D1474,K650:K1474,"0",B650:B1474,"4 1 4 9 1 12 31111 6 M59 19000 000000 00000 00000 00044 011 1113000 2024 00000000 004 0000001 00023*")</f>
        <v>0</v>
      </c>
      <c r="F649" s="83">
        <f>SUMIFS(F650:F1474,K650:K1474,"0",B650:B1474,"4 1 4 9 1 12 31111 6 M59 19000 000000 00000 00000 00044 011 1113000 2024 00000000 004 0000001 00023*")</f>
        <v>0</v>
      </c>
      <c r="G649" s="83">
        <f>SUMIFS(G650:G1474,K650:K1474,"0",B650:B1474,"4 1 4 9 1 12 31111 6 M59 19000 000000 00000 00000 00044 011 1113000 2024 00000000 004 0000001 00023*")</f>
        <v>387</v>
      </c>
      <c r="H649" s="83"/>
      <c r="I649" s="83">
        <f t="shared" si="10"/>
        <v>387</v>
      </c>
      <c r="K649" s="54" t="s">
        <v>15</v>
      </c>
    </row>
    <row r="650" spans="2:11" ht="41.25" x14ac:dyDescent="0.2">
      <c r="B650" s="84" t="s">
        <v>2649</v>
      </c>
      <c r="C650" s="84" t="s">
        <v>2650</v>
      </c>
      <c r="D650" s="85"/>
      <c r="E650" s="85">
        <v>0</v>
      </c>
      <c r="F650" s="85">
        <v>0</v>
      </c>
      <c r="G650" s="85">
        <v>387</v>
      </c>
      <c r="H650" s="85"/>
      <c r="I650" s="85">
        <f t="shared" si="10"/>
        <v>387</v>
      </c>
      <c r="K650" s="54" t="s">
        <v>38</v>
      </c>
    </row>
    <row r="651" spans="2:11" ht="12.75" x14ac:dyDescent="0.2">
      <c r="B651" s="82" t="s">
        <v>2651</v>
      </c>
      <c r="C651" s="82" t="s">
        <v>252</v>
      </c>
      <c r="D651" s="54"/>
      <c r="E651" s="83">
        <f>SUMIFS(E652:E1474,K652:K1474,"0",B652:B1474,"4 1 5*")-SUMIFS(D652:D1474,K652:K1474,"0",B652:B1474,"4 1 5*")</f>
        <v>252801.40999999997</v>
      </c>
      <c r="F651" s="83">
        <f>SUMIFS(F652:F1474,K652:K1474,"0",B652:B1474,"4 1 5*")</f>
        <v>0</v>
      </c>
      <c r="G651" s="83">
        <f>SUMIFS(G652:G1474,K652:K1474,"0",B652:B1474,"4 1 5*")</f>
        <v>50327.01</v>
      </c>
      <c r="H651" s="83"/>
      <c r="I651" s="83">
        <f t="shared" si="10"/>
        <v>303128.42</v>
      </c>
      <c r="K651" s="54" t="s">
        <v>15</v>
      </c>
    </row>
    <row r="652" spans="2:11" ht="12.75" x14ac:dyDescent="0.2">
      <c r="B652" s="82" t="s">
        <v>2652</v>
      </c>
      <c r="C652" s="82" t="s">
        <v>252</v>
      </c>
      <c r="D652" s="54"/>
      <c r="E652" s="83">
        <f>SUMIFS(E653:E1474,K653:K1474,"0",B653:B1474,"4 1 5 1*")-SUMIFS(D653:D1474,K653:K1474,"0",B653:B1474,"4 1 5 1*")</f>
        <v>252801.40999999997</v>
      </c>
      <c r="F652" s="83">
        <f>SUMIFS(F653:F1474,K653:K1474,"0",B653:B1474,"4 1 5 1*")</f>
        <v>0</v>
      </c>
      <c r="G652" s="83">
        <f>SUMIFS(G653:G1474,K653:K1474,"0",B653:B1474,"4 1 5 1*")</f>
        <v>50327.01</v>
      </c>
      <c r="H652" s="83"/>
      <c r="I652" s="83">
        <f t="shared" si="10"/>
        <v>303128.42</v>
      </c>
      <c r="K652" s="54" t="s">
        <v>15</v>
      </c>
    </row>
    <row r="653" spans="2:11" ht="41.25" x14ac:dyDescent="0.2">
      <c r="B653" s="82" t="s">
        <v>2653</v>
      </c>
      <c r="C653" s="82" t="s">
        <v>2654</v>
      </c>
      <c r="D653" s="54"/>
      <c r="E653" s="83">
        <f>SUMIFS(E654:E1474,K654:K1474,"0",B654:B1474,"4 1 5 1 1*")-SUMIFS(D654:D1474,K654:K1474,"0",B654:B1474,"4 1 5 1 1*")</f>
        <v>252801.40999999997</v>
      </c>
      <c r="F653" s="83">
        <f>SUMIFS(F654:F1474,K654:K1474,"0",B654:B1474,"4 1 5 1 1*")</f>
        <v>0</v>
      </c>
      <c r="G653" s="83">
        <f>SUMIFS(G654:G1474,K654:K1474,"0",B654:B1474,"4 1 5 1 1*")</f>
        <v>50327.01</v>
      </c>
      <c r="H653" s="83"/>
      <c r="I653" s="83">
        <f t="shared" si="10"/>
        <v>303128.42</v>
      </c>
      <c r="K653" s="54" t="s">
        <v>15</v>
      </c>
    </row>
    <row r="654" spans="2:11" ht="12.75" x14ac:dyDescent="0.2">
      <c r="B654" s="82" t="s">
        <v>2655</v>
      </c>
      <c r="C654" s="82" t="s">
        <v>26</v>
      </c>
      <c r="D654" s="54"/>
      <c r="E654" s="83">
        <f>SUMIFS(E655:E1474,K655:K1474,"0",B655:B1474,"4 1 5 1 1 12*")-SUMIFS(D655:D1474,K655:K1474,"0",B655:B1474,"4 1 5 1 1 12*")</f>
        <v>252801.40999999997</v>
      </c>
      <c r="F654" s="83">
        <f>SUMIFS(F655:F1474,K655:K1474,"0",B655:B1474,"4 1 5 1 1 12*")</f>
        <v>0</v>
      </c>
      <c r="G654" s="83">
        <f>SUMIFS(G655:G1474,K655:K1474,"0",B655:B1474,"4 1 5 1 1 12*")</f>
        <v>50327.01</v>
      </c>
      <c r="H654" s="83"/>
      <c r="I654" s="83">
        <f t="shared" si="10"/>
        <v>303128.42</v>
      </c>
      <c r="K654" s="54" t="s">
        <v>15</v>
      </c>
    </row>
    <row r="655" spans="2:11" ht="16.5" x14ac:dyDescent="0.2">
      <c r="B655" s="82" t="s">
        <v>2656</v>
      </c>
      <c r="C655" s="82" t="s">
        <v>28</v>
      </c>
      <c r="D655" s="54"/>
      <c r="E655" s="83">
        <f>SUMIFS(E656:E1474,K656:K1474,"0",B656:B1474,"4 1 5 1 1 12 31111*")-SUMIFS(D656:D1474,K656:K1474,"0",B656:B1474,"4 1 5 1 1 12 31111*")</f>
        <v>252801.40999999997</v>
      </c>
      <c r="F655" s="83">
        <f>SUMIFS(F656:F1474,K656:K1474,"0",B656:B1474,"4 1 5 1 1 12 31111*")</f>
        <v>0</v>
      </c>
      <c r="G655" s="83">
        <f>SUMIFS(G656:G1474,K656:K1474,"0",B656:B1474,"4 1 5 1 1 12 31111*")</f>
        <v>50327.01</v>
      </c>
      <c r="H655" s="83"/>
      <c r="I655" s="83">
        <f t="shared" si="10"/>
        <v>303128.42</v>
      </c>
      <c r="K655" s="54" t="s">
        <v>15</v>
      </c>
    </row>
    <row r="656" spans="2:11" ht="12.75" x14ac:dyDescent="0.2">
      <c r="B656" s="82" t="s">
        <v>2657</v>
      </c>
      <c r="C656" s="82" t="s">
        <v>30</v>
      </c>
      <c r="D656" s="54"/>
      <c r="E656" s="83">
        <f>SUMIFS(E657:E1474,K657:K1474,"0",B657:B1474,"4 1 5 1 1 12 31111 6*")-SUMIFS(D657:D1474,K657:K1474,"0",B657:B1474,"4 1 5 1 1 12 31111 6*")</f>
        <v>252801.40999999997</v>
      </c>
      <c r="F656" s="83">
        <f>SUMIFS(F657:F1474,K657:K1474,"0",B657:B1474,"4 1 5 1 1 12 31111 6*")</f>
        <v>0</v>
      </c>
      <c r="G656" s="83">
        <f>SUMIFS(G657:G1474,K657:K1474,"0",B657:B1474,"4 1 5 1 1 12 31111 6*")</f>
        <v>50327.01</v>
      </c>
      <c r="H656" s="83"/>
      <c r="I656" s="83">
        <f t="shared" si="10"/>
        <v>303128.42</v>
      </c>
      <c r="K656" s="54" t="s">
        <v>15</v>
      </c>
    </row>
    <row r="657" spans="2:11" ht="16.5" x14ac:dyDescent="0.2">
      <c r="B657" s="82" t="s">
        <v>2658</v>
      </c>
      <c r="C657" s="82" t="s">
        <v>2284</v>
      </c>
      <c r="D657" s="54"/>
      <c r="E657" s="83">
        <f>SUMIFS(E658:E1474,K658:K1474,"0",B658:B1474,"4 1 5 1 1 12 31111 6 M59*")-SUMIFS(D658:D1474,K658:K1474,"0",B658:B1474,"4 1 5 1 1 12 31111 6 M59*")</f>
        <v>252801.40999999997</v>
      </c>
      <c r="F657" s="83">
        <f>SUMIFS(F658:F1474,K658:K1474,"0",B658:B1474,"4 1 5 1 1 12 31111 6 M59*")</f>
        <v>0</v>
      </c>
      <c r="G657" s="83">
        <f>SUMIFS(G658:G1474,K658:K1474,"0",B658:B1474,"4 1 5 1 1 12 31111 6 M59*")</f>
        <v>50327.01</v>
      </c>
      <c r="H657" s="83"/>
      <c r="I657" s="83">
        <f t="shared" si="10"/>
        <v>303128.42</v>
      </c>
      <c r="K657" s="54" t="s">
        <v>15</v>
      </c>
    </row>
    <row r="658" spans="2:11" ht="16.5" x14ac:dyDescent="0.2">
      <c r="B658" s="82" t="s">
        <v>2659</v>
      </c>
      <c r="C658" s="82" t="s">
        <v>1044</v>
      </c>
      <c r="D658" s="54"/>
      <c r="E658" s="83">
        <f>SUMIFS(E659:E1474,K659:K1474,"0",B659:B1474,"4 1 5 1 1 12 31111 6 M59 19000*")-SUMIFS(D659:D1474,K659:K1474,"0",B659:B1474,"4 1 5 1 1 12 31111 6 M59 19000*")</f>
        <v>252801.40999999997</v>
      </c>
      <c r="F658" s="83">
        <f>SUMIFS(F659:F1474,K659:K1474,"0",B659:B1474,"4 1 5 1 1 12 31111 6 M59 19000*")</f>
        <v>0</v>
      </c>
      <c r="G658" s="83">
        <f>SUMIFS(G659:G1474,K659:K1474,"0",B659:B1474,"4 1 5 1 1 12 31111 6 M59 19000*")</f>
        <v>50327.01</v>
      </c>
      <c r="H658" s="83"/>
      <c r="I658" s="83">
        <f t="shared" si="10"/>
        <v>303128.42</v>
      </c>
      <c r="K658" s="54" t="s">
        <v>15</v>
      </c>
    </row>
    <row r="659" spans="2:11" ht="16.5" x14ac:dyDescent="0.2">
      <c r="B659" s="82" t="s">
        <v>2660</v>
      </c>
      <c r="C659" s="82" t="s">
        <v>2287</v>
      </c>
      <c r="D659" s="54"/>
      <c r="E659" s="83">
        <f>SUMIFS(E660:E1474,K660:K1474,"0",B660:B1474,"4 1 5 1 1 12 31111 6 M59 19000 000000*")-SUMIFS(D660:D1474,K660:K1474,"0",B660:B1474,"4 1 5 1 1 12 31111 6 M59 19000 000000*")</f>
        <v>252801.40999999997</v>
      </c>
      <c r="F659" s="83">
        <f>SUMIFS(F660:F1474,K660:K1474,"0",B660:B1474,"4 1 5 1 1 12 31111 6 M59 19000 000000*")</f>
        <v>0</v>
      </c>
      <c r="G659" s="83">
        <f>SUMIFS(G660:G1474,K660:K1474,"0",B660:B1474,"4 1 5 1 1 12 31111 6 M59 19000 000000*")</f>
        <v>50327.01</v>
      </c>
      <c r="H659" s="83"/>
      <c r="I659" s="83">
        <f t="shared" si="10"/>
        <v>303128.42</v>
      </c>
      <c r="K659" s="54" t="s">
        <v>15</v>
      </c>
    </row>
    <row r="660" spans="2:11" ht="16.5" x14ac:dyDescent="0.2">
      <c r="B660" s="82" t="s">
        <v>2661</v>
      </c>
      <c r="C660" s="82" t="s">
        <v>2289</v>
      </c>
      <c r="D660" s="54"/>
      <c r="E660" s="83">
        <f>SUMIFS(E661:E1474,K661:K1474,"0",B661:B1474,"4 1 5 1 1 12 31111 6 M59 19000 000000 00000*")-SUMIFS(D661:D1474,K661:K1474,"0",B661:B1474,"4 1 5 1 1 12 31111 6 M59 19000 000000 00000*")</f>
        <v>252801.40999999997</v>
      </c>
      <c r="F660" s="83">
        <f>SUMIFS(F661:F1474,K661:K1474,"0",B661:B1474,"4 1 5 1 1 12 31111 6 M59 19000 000000 00000*")</f>
        <v>0</v>
      </c>
      <c r="G660" s="83">
        <f>SUMIFS(G661:G1474,K661:K1474,"0",B661:B1474,"4 1 5 1 1 12 31111 6 M59 19000 000000 00000*")</f>
        <v>50327.01</v>
      </c>
      <c r="H660" s="83"/>
      <c r="I660" s="83">
        <f t="shared" ref="I660:I723" si="11">E660 - F660 + G660</f>
        <v>303128.42</v>
      </c>
      <c r="K660" s="54" t="s">
        <v>15</v>
      </c>
    </row>
    <row r="661" spans="2:11" ht="24.75" x14ac:dyDescent="0.2">
      <c r="B661" s="82" t="s">
        <v>2662</v>
      </c>
      <c r="C661" s="82" t="s">
        <v>2291</v>
      </c>
      <c r="D661" s="54"/>
      <c r="E661" s="83">
        <f>SUMIFS(E662:E1474,K662:K1474,"0",B662:B1474,"4 1 5 1 1 12 31111 6 M59 19000 000000 00000 00000*")-SUMIFS(D662:D1474,K662:K1474,"0",B662:B1474,"4 1 5 1 1 12 31111 6 M59 19000 000000 00000 00000*")</f>
        <v>252801.40999999997</v>
      </c>
      <c r="F661" s="83">
        <f>SUMIFS(F662:F1474,K662:K1474,"0",B662:B1474,"4 1 5 1 1 12 31111 6 M59 19000 000000 00000 00000*")</f>
        <v>0</v>
      </c>
      <c r="G661" s="83">
        <f>SUMIFS(G662:G1474,K662:K1474,"0",B662:B1474,"4 1 5 1 1 12 31111 6 M59 19000 000000 00000 00000*")</f>
        <v>50327.01</v>
      </c>
      <c r="H661" s="83"/>
      <c r="I661" s="83">
        <f t="shared" si="11"/>
        <v>303128.42</v>
      </c>
      <c r="K661" s="54" t="s">
        <v>15</v>
      </c>
    </row>
    <row r="662" spans="2:11" ht="24.75" x14ac:dyDescent="0.2">
      <c r="B662" s="82" t="s">
        <v>2663</v>
      </c>
      <c r="C662" s="82" t="s">
        <v>252</v>
      </c>
      <c r="D662" s="54"/>
      <c r="E662" s="83">
        <f>SUMIFS(E663:E1474,K663:K1474,"0",B663:B1474,"4 1 5 1 1 12 31111 6 M59 19000 000000 00000 00000 00051*")-SUMIFS(D663:D1474,K663:K1474,"0",B663:B1474,"4 1 5 1 1 12 31111 6 M59 19000 000000 00000 00000 00051*")</f>
        <v>252801.40999999997</v>
      </c>
      <c r="F662" s="83">
        <f>SUMIFS(F663:F1474,K663:K1474,"0",B663:B1474,"4 1 5 1 1 12 31111 6 M59 19000 000000 00000 00000 00051*")</f>
        <v>0</v>
      </c>
      <c r="G662" s="83">
        <f>SUMIFS(G663:G1474,K663:K1474,"0",B663:B1474,"4 1 5 1 1 12 31111 6 M59 19000 000000 00000 00000 00051*")</f>
        <v>50327.01</v>
      </c>
      <c r="H662" s="83"/>
      <c r="I662" s="83">
        <f t="shared" si="11"/>
        <v>303128.42</v>
      </c>
      <c r="K662" s="54" t="s">
        <v>15</v>
      </c>
    </row>
    <row r="663" spans="2:11" ht="24.75" x14ac:dyDescent="0.2">
      <c r="B663" s="82" t="s">
        <v>2664</v>
      </c>
      <c r="C663" s="82" t="s">
        <v>699</v>
      </c>
      <c r="D663" s="54"/>
      <c r="E663" s="83">
        <f>SUMIFS(E664:E1474,K664:K1474,"0",B664:B1474,"4 1 5 1 1 12 31111 6 M59 19000 000000 00000 00000 00051 011*")-SUMIFS(D664:D1474,K664:K1474,"0",B664:B1474,"4 1 5 1 1 12 31111 6 M59 19000 000000 00000 00000 00051 011*")</f>
        <v>252801.40999999997</v>
      </c>
      <c r="F663" s="83">
        <f>SUMIFS(F664:F1474,K664:K1474,"0",B664:B1474,"4 1 5 1 1 12 31111 6 M59 19000 000000 00000 00000 00051 011*")</f>
        <v>0</v>
      </c>
      <c r="G663" s="83">
        <f>SUMIFS(G664:G1474,K664:K1474,"0",B664:B1474,"4 1 5 1 1 12 31111 6 M59 19000 000000 00000 00000 00051 011*")</f>
        <v>50327.01</v>
      </c>
      <c r="H663" s="83"/>
      <c r="I663" s="83">
        <f t="shared" si="11"/>
        <v>303128.42</v>
      </c>
      <c r="K663" s="54" t="s">
        <v>15</v>
      </c>
    </row>
    <row r="664" spans="2:11" ht="33" x14ac:dyDescent="0.2">
      <c r="B664" s="82" t="s">
        <v>2665</v>
      </c>
      <c r="C664" s="82" t="s">
        <v>2320</v>
      </c>
      <c r="D664" s="54"/>
      <c r="E664" s="83">
        <f>SUMIFS(E665:E1474,K665:K1474,"0",B665:B1474,"4 1 5 1 1 12 31111 6 M59 19000 000000 00000 00000 00051 011 1113000*")-SUMIFS(D665:D1474,K665:K1474,"0",B665:B1474,"4 1 5 1 1 12 31111 6 M59 19000 000000 00000 00000 00051 011 1113000*")</f>
        <v>252801.40999999997</v>
      </c>
      <c r="F664" s="83">
        <f>SUMIFS(F665:F1474,K665:K1474,"0",B665:B1474,"4 1 5 1 1 12 31111 6 M59 19000 000000 00000 00000 00051 011 1113000*")</f>
        <v>0</v>
      </c>
      <c r="G664" s="83">
        <f>SUMIFS(G665:G1474,K665:K1474,"0",B665:B1474,"4 1 5 1 1 12 31111 6 M59 19000 000000 00000 00000 00051 011 1113000*")</f>
        <v>50327.01</v>
      </c>
      <c r="H664" s="83"/>
      <c r="I664" s="83">
        <f t="shared" si="11"/>
        <v>303128.42</v>
      </c>
      <c r="K664" s="54" t="s">
        <v>15</v>
      </c>
    </row>
    <row r="665" spans="2:11" ht="33" x14ac:dyDescent="0.2">
      <c r="B665" s="82" t="s">
        <v>2666</v>
      </c>
      <c r="C665" s="82" t="s">
        <v>660</v>
      </c>
      <c r="D665" s="54"/>
      <c r="E665" s="83">
        <f>SUMIFS(E666:E1474,K666:K1474,"0",B666:B1474,"4 1 5 1 1 12 31111 6 M59 19000 000000 00000 00000 00051 011 1113000 2024*")-SUMIFS(D666:D1474,K666:K1474,"0",B666:B1474,"4 1 5 1 1 12 31111 6 M59 19000 000000 00000 00000 00051 011 1113000 2024*")</f>
        <v>252801.40999999997</v>
      </c>
      <c r="F665" s="83">
        <f>SUMIFS(F666:F1474,K666:K1474,"0",B666:B1474,"4 1 5 1 1 12 31111 6 M59 19000 000000 00000 00000 00051 011 1113000 2024*")</f>
        <v>0</v>
      </c>
      <c r="G665" s="83">
        <f>SUMIFS(G666:G1474,K666:K1474,"0",B666:B1474,"4 1 5 1 1 12 31111 6 M59 19000 000000 00000 00000 00051 011 1113000 2024*")</f>
        <v>50327.01</v>
      </c>
      <c r="H665" s="83"/>
      <c r="I665" s="83">
        <f t="shared" si="11"/>
        <v>303128.42</v>
      </c>
      <c r="K665" s="54" t="s">
        <v>15</v>
      </c>
    </row>
    <row r="666" spans="2:11" ht="41.25" x14ac:dyDescent="0.2">
      <c r="B666" s="82" t="s">
        <v>2667</v>
      </c>
      <c r="C666" s="82" t="s">
        <v>2298</v>
      </c>
      <c r="D666" s="54"/>
      <c r="E666" s="83">
        <f>SUMIFS(E667:E1474,K667:K1474,"0",B667:B1474,"4 1 5 1 1 12 31111 6 M59 19000 000000 00000 00000 00051 011 1113000 2024 00000000*")-SUMIFS(D667:D1474,K667:K1474,"0",B667:B1474,"4 1 5 1 1 12 31111 6 M59 19000 000000 00000 00000 00051 011 1113000 2024 00000000*")</f>
        <v>252801.40999999997</v>
      </c>
      <c r="F666" s="83">
        <f>SUMIFS(F667:F1474,K667:K1474,"0",B667:B1474,"4 1 5 1 1 12 31111 6 M59 19000 000000 00000 00000 00051 011 1113000 2024 00000000*")</f>
        <v>0</v>
      </c>
      <c r="G666" s="83">
        <f>SUMIFS(G667:G1474,K667:K1474,"0",B667:B1474,"4 1 5 1 1 12 31111 6 M59 19000 000000 00000 00000 00051 011 1113000 2024 00000000*")</f>
        <v>50327.01</v>
      </c>
      <c r="H666" s="83"/>
      <c r="I666" s="83">
        <f t="shared" si="11"/>
        <v>303128.42</v>
      </c>
      <c r="K666" s="54" t="s">
        <v>15</v>
      </c>
    </row>
    <row r="667" spans="2:11" ht="41.25" x14ac:dyDescent="0.2">
      <c r="B667" s="82" t="s">
        <v>2668</v>
      </c>
      <c r="C667" s="82" t="s">
        <v>2300</v>
      </c>
      <c r="D667" s="54"/>
      <c r="E667" s="83">
        <f>SUMIFS(E668:E1474,K668:K1474,"0",B668:B1474,"4 1 5 1 1 12 31111 6 M59 19000 000000 00000 00000 00051 011 1113000 2024 00000000 004*")-SUMIFS(D668:D1474,K668:K1474,"0",B668:B1474,"4 1 5 1 1 12 31111 6 M59 19000 000000 00000 00000 00051 011 1113000 2024 00000000 004*")</f>
        <v>252801.40999999997</v>
      </c>
      <c r="F667" s="83">
        <f>SUMIFS(F668:F1474,K668:K1474,"0",B668:B1474,"4 1 5 1 1 12 31111 6 M59 19000 000000 00000 00000 00051 011 1113000 2024 00000000 004*")</f>
        <v>0</v>
      </c>
      <c r="G667" s="83">
        <f>SUMIFS(G668:G1474,K668:K1474,"0",B668:B1474,"4 1 5 1 1 12 31111 6 M59 19000 000000 00000 00000 00051 011 1113000 2024 00000000 004*")</f>
        <v>50327.01</v>
      </c>
      <c r="H667" s="83"/>
      <c r="I667" s="83">
        <f t="shared" si="11"/>
        <v>303128.42</v>
      </c>
      <c r="K667" s="54" t="s">
        <v>15</v>
      </c>
    </row>
    <row r="668" spans="2:11" ht="49.5" x14ac:dyDescent="0.2">
      <c r="B668" s="82" t="s">
        <v>2669</v>
      </c>
      <c r="C668" s="82" t="s">
        <v>2670</v>
      </c>
      <c r="D668" s="54"/>
      <c r="E668" s="83">
        <f>SUMIFS(E669:E1474,K669:K1474,"0",B669:B1474,"4 1 5 1 1 12 31111 6 M59 19000 000000 00000 00000 00051 011 1113000 2024 00000000 004 0000001*")-SUMIFS(D669:D1474,K669:K1474,"0",B669:B1474,"4 1 5 1 1 12 31111 6 M59 19000 000000 00000 00000 00051 011 1113000 2024 00000000 004 0000001*")</f>
        <v>252801.40999999997</v>
      </c>
      <c r="F668" s="83">
        <f>SUMIFS(F669:F1474,K669:K1474,"0",B669:B1474,"4 1 5 1 1 12 31111 6 M59 19000 000000 00000 00000 00051 011 1113000 2024 00000000 004 0000001*")</f>
        <v>0</v>
      </c>
      <c r="G668" s="83">
        <f>SUMIFS(G669:G1474,K669:K1474,"0",B669:B1474,"4 1 5 1 1 12 31111 6 M59 19000 000000 00000 00000 00051 011 1113000 2024 00000000 004 0000001*")</f>
        <v>50327.01</v>
      </c>
      <c r="H668" s="83"/>
      <c r="I668" s="83">
        <f t="shared" si="11"/>
        <v>303128.42</v>
      </c>
      <c r="K668" s="54" t="s">
        <v>15</v>
      </c>
    </row>
    <row r="669" spans="2:11" ht="49.5" x14ac:dyDescent="0.2">
      <c r="B669" s="82" t="s">
        <v>2671</v>
      </c>
      <c r="C669" s="82" t="s">
        <v>2672</v>
      </c>
      <c r="D669" s="54"/>
      <c r="E669" s="83">
        <f>SUMIFS(E670:E1474,K670:K1474,"0",B670:B1474,"4 1 5 1 1 12 31111 6 M59 19000 000000 00000 00000 00051 011 1113000 2024 00000000 004 0000001 00001*")-SUMIFS(D670:D1474,K670:K1474,"0",B670:B1474,"4 1 5 1 1 12 31111 6 M59 19000 000000 00000 00000 00051 011 1113000 2024 00000000 004 0000001 00001*")</f>
        <v>52965</v>
      </c>
      <c r="F669" s="83">
        <f>SUMIFS(F670:F1474,K670:K1474,"0",B670:B1474,"4 1 5 1 1 12 31111 6 M59 19000 000000 00000 00000 00051 011 1113000 2024 00000000 004 0000001 00001*")</f>
        <v>0</v>
      </c>
      <c r="G669" s="83">
        <f>SUMIFS(G670:G1474,K670:K1474,"0",B670:B1474,"4 1 5 1 1 12 31111 6 M59 19000 000000 00000 00000 00051 011 1113000 2024 00000000 004 0000001 00001*")</f>
        <v>47949</v>
      </c>
      <c r="H669" s="83"/>
      <c r="I669" s="83">
        <f t="shared" si="11"/>
        <v>100914</v>
      </c>
      <c r="K669" s="54" t="s">
        <v>15</v>
      </c>
    </row>
    <row r="670" spans="2:11" ht="41.25" x14ac:dyDescent="0.2">
      <c r="B670" s="84" t="s">
        <v>2673</v>
      </c>
      <c r="C670" s="84" t="s">
        <v>2674</v>
      </c>
      <c r="D670" s="85"/>
      <c r="E670" s="85">
        <v>52965</v>
      </c>
      <c r="F670" s="85">
        <v>0</v>
      </c>
      <c r="G670" s="85">
        <v>47949</v>
      </c>
      <c r="H670" s="85"/>
      <c r="I670" s="85">
        <f t="shared" si="11"/>
        <v>100914</v>
      </c>
      <c r="K670" s="54" t="s">
        <v>38</v>
      </c>
    </row>
    <row r="671" spans="2:11" ht="49.5" x14ac:dyDescent="0.2">
      <c r="B671" s="82" t="s">
        <v>2675</v>
      </c>
      <c r="C671" s="82" t="s">
        <v>2676</v>
      </c>
      <c r="D671" s="54"/>
      <c r="E671" s="83">
        <f>SUMIFS(E672:E1474,K672:K1474,"0",B672:B1474,"4 1 5 1 1 12 31111 6 M59 19000 000000 00000 00000 00051 011 1113000 2024 00000000 004 0000001 00002*")-SUMIFS(D672:D1474,K672:K1474,"0",B672:B1474,"4 1 5 1 1 12 31111 6 M59 19000 000000 00000 00000 00051 011 1113000 2024 00000000 004 0000001 00002*")</f>
        <v>2100</v>
      </c>
      <c r="F671" s="83">
        <f>SUMIFS(F672:F1474,K672:K1474,"0",B672:B1474,"4 1 5 1 1 12 31111 6 M59 19000 000000 00000 00000 00051 011 1113000 2024 00000000 004 0000001 00002*")</f>
        <v>0</v>
      </c>
      <c r="G671" s="83">
        <f>SUMIFS(G672:G1474,K672:K1474,"0",B672:B1474,"4 1 5 1 1 12 31111 6 M59 19000 000000 00000 00000 00051 011 1113000 2024 00000000 004 0000001 00002*")</f>
        <v>0</v>
      </c>
      <c r="H671" s="83"/>
      <c r="I671" s="83">
        <f t="shared" si="11"/>
        <v>2100</v>
      </c>
      <c r="K671" s="54" t="s">
        <v>15</v>
      </c>
    </row>
    <row r="672" spans="2:11" ht="49.5" x14ac:dyDescent="0.2">
      <c r="B672" s="84" t="s">
        <v>2677</v>
      </c>
      <c r="C672" s="84" t="s">
        <v>2678</v>
      </c>
      <c r="D672" s="85"/>
      <c r="E672" s="85">
        <v>2100</v>
      </c>
      <c r="F672" s="85">
        <v>0</v>
      </c>
      <c r="G672" s="85">
        <v>0</v>
      </c>
      <c r="H672" s="85"/>
      <c r="I672" s="85">
        <f t="shared" si="11"/>
        <v>2100</v>
      </c>
      <c r="K672" s="54" t="s">
        <v>38</v>
      </c>
    </row>
    <row r="673" spans="2:11" ht="49.5" x14ac:dyDescent="0.2">
      <c r="B673" s="82" t="s">
        <v>2679</v>
      </c>
      <c r="C673" s="82" t="s">
        <v>2680</v>
      </c>
      <c r="D673" s="54"/>
      <c r="E673" s="83">
        <f>SUMIFS(E674:E1474,K674:K1474,"0",B674:B1474,"4 1 5 1 1 12 31111 6 M59 19000 000000 00000 00000 00051 011 1113000 2024 00000000 004 0000001 00009*")-SUMIFS(D674:D1474,K674:K1474,"0",B674:B1474,"4 1 5 1 1 12 31111 6 M59 19000 000000 00000 00000 00051 011 1113000 2024 00000000 004 0000001 00009*")</f>
        <v>92329.46</v>
      </c>
      <c r="F673" s="83">
        <f>SUMIFS(F674:F1474,K674:K1474,"0",B674:B1474,"4 1 5 1 1 12 31111 6 M59 19000 000000 00000 00000 00051 011 1113000 2024 00000000 004 0000001 00009*")</f>
        <v>0</v>
      </c>
      <c r="G673" s="83">
        <f>SUMIFS(G674:G1474,K674:K1474,"0",B674:B1474,"4 1 5 1 1 12 31111 6 M59 19000 000000 00000 00000 00051 011 1113000 2024 00000000 004 0000001 00009*")</f>
        <v>2376</v>
      </c>
      <c r="H673" s="83"/>
      <c r="I673" s="83">
        <f t="shared" si="11"/>
        <v>94705.46</v>
      </c>
      <c r="K673" s="54" t="s">
        <v>15</v>
      </c>
    </row>
    <row r="674" spans="2:11" ht="41.25" x14ac:dyDescent="0.2">
      <c r="B674" s="84" t="s">
        <v>2681</v>
      </c>
      <c r="C674" s="84" t="s">
        <v>2682</v>
      </c>
      <c r="D674" s="85"/>
      <c r="E674" s="85">
        <v>88944.3</v>
      </c>
      <c r="F674" s="85">
        <v>0</v>
      </c>
      <c r="G674" s="85">
        <v>0</v>
      </c>
      <c r="H674" s="85"/>
      <c r="I674" s="85">
        <f t="shared" si="11"/>
        <v>88944.3</v>
      </c>
      <c r="K674" s="54" t="s">
        <v>38</v>
      </c>
    </row>
    <row r="675" spans="2:11" ht="41.25" x14ac:dyDescent="0.2">
      <c r="B675" s="84" t="s">
        <v>2683</v>
      </c>
      <c r="C675" s="84" t="s">
        <v>2684</v>
      </c>
      <c r="D675" s="85"/>
      <c r="E675" s="85">
        <v>2965.16</v>
      </c>
      <c r="F675" s="85">
        <v>0</v>
      </c>
      <c r="G675" s="85">
        <v>1200</v>
      </c>
      <c r="H675" s="85"/>
      <c r="I675" s="85">
        <f t="shared" si="11"/>
        <v>4165.16</v>
      </c>
      <c r="K675" s="54" t="s">
        <v>38</v>
      </c>
    </row>
    <row r="676" spans="2:11" ht="41.25" x14ac:dyDescent="0.2">
      <c r="B676" s="84" t="s">
        <v>2685</v>
      </c>
      <c r="C676" s="84" t="s">
        <v>2686</v>
      </c>
      <c r="D676" s="85"/>
      <c r="E676" s="85">
        <v>420</v>
      </c>
      <c r="F676" s="85">
        <v>0</v>
      </c>
      <c r="G676" s="85">
        <v>1176</v>
      </c>
      <c r="H676" s="85"/>
      <c r="I676" s="85">
        <f t="shared" si="11"/>
        <v>1596</v>
      </c>
      <c r="K676" s="54" t="s">
        <v>38</v>
      </c>
    </row>
    <row r="677" spans="2:11" ht="49.5" x14ac:dyDescent="0.2">
      <c r="B677" s="82" t="s">
        <v>2687</v>
      </c>
      <c r="C677" s="82" t="s">
        <v>2688</v>
      </c>
      <c r="D677" s="54"/>
      <c r="E677" s="83">
        <f>SUMIFS(E678:E1474,K678:K1474,"0",B678:B1474,"4 1 5 1 1 12 31111 6 M59 19000 000000 00000 00000 00051 011 1113000 2024 00000000 004 0000001 00010*")-SUMIFS(D678:D1474,K678:K1474,"0",B678:B1474,"4 1 5 1 1 12 31111 6 M59 19000 000000 00000 00000 00051 011 1113000 2024 00000000 004 0000001 00010*")</f>
        <v>105406.95</v>
      </c>
      <c r="F677" s="83">
        <f>SUMIFS(F678:F1474,K678:K1474,"0",B678:B1474,"4 1 5 1 1 12 31111 6 M59 19000 000000 00000 00000 00051 011 1113000 2024 00000000 004 0000001 00010*")</f>
        <v>0</v>
      </c>
      <c r="G677" s="83">
        <f>SUMIFS(G678:G1474,K678:K1474,"0",B678:B1474,"4 1 5 1 1 12 31111 6 M59 19000 000000 00000 00000 00051 011 1113000 2024 00000000 004 0000001 00010*")</f>
        <v>2.0099999999999998</v>
      </c>
      <c r="H677" s="83"/>
      <c r="I677" s="83">
        <f t="shared" si="11"/>
        <v>105408.95999999999</v>
      </c>
      <c r="K677" s="54" t="s">
        <v>15</v>
      </c>
    </row>
    <row r="678" spans="2:11" ht="41.25" x14ac:dyDescent="0.2">
      <c r="B678" s="84" t="s">
        <v>2689</v>
      </c>
      <c r="C678" s="84" t="s">
        <v>2688</v>
      </c>
      <c r="D678" s="85"/>
      <c r="E678" s="85">
        <v>105406.95</v>
      </c>
      <c r="F678" s="85">
        <v>0</v>
      </c>
      <c r="G678" s="85">
        <v>2.0099999999999998</v>
      </c>
      <c r="H678" s="85"/>
      <c r="I678" s="85">
        <f t="shared" si="11"/>
        <v>105408.95999999999</v>
      </c>
      <c r="K678" s="54" t="s">
        <v>38</v>
      </c>
    </row>
    <row r="679" spans="2:11" ht="12.75" x14ac:dyDescent="0.2">
      <c r="B679" s="82" t="s">
        <v>2737</v>
      </c>
      <c r="C679" s="82" t="s">
        <v>2738</v>
      </c>
      <c r="D679" s="54"/>
      <c r="E679" s="83">
        <f>SUMIFS(E680:E1474,K680:K1474,"0",B680:B1474,"4 1 6*")-SUMIFS(D680:D1474,K680:K1474,"0",B680:B1474,"4 1 6*")</f>
        <v>3482900.3</v>
      </c>
      <c r="F679" s="83">
        <f>SUMIFS(F680:F1474,K680:K1474,"0",B680:B1474,"4 1 6*")</f>
        <v>0</v>
      </c>
      <c r="G679" s="83">
        <f>SUMIFS(G680:G1474,K680:K1474,"0",B680:B1474,"4 1 6*")</f>
        <v>1300</v>
      </c>
      <c r="H679" s="83"/>
      <c r="I679" s="83">
        <f t="shared" si="11"/>
        <v>3484200.3</v>
      </c>
      <c r="K679" s="54" t="s">
        <v>15</v>
      </c>
    </row>
    <row r="680" spans="2:11" ht="12.75" x14ac:dyDescent="0.2">
      <c r="B680" s="82" t="s">
        <v>2739</v>
      </c>
      <c r="C680" s="82" t="s">
        <v>2740</v>
      </c>
      <c r="D680" s="54"/>
      <c r="E680" s="83">
        <f>SUMIFS(E681:E1474,K681:K1474,"0",B681:B1474,"4 1 6 2*")-SUMIFS(D681:D1474,K681:K1474,"0",B681:B1474,"4 1 6 2*")</f>
        <v>3482900.3</v>
      </c>
      <c r="F680" s="83">
        <f>SUMIFS(F681:F1474,K681:K1474,"0",B681:B1474,"4 1 6 2*")</f>
        <v>0</v>
      </c>
      <c r="G680" s="83">
        <f>SUMIFS(G681:G1474,K681:K1474,"0",B681:B1474,"4 1 6 2*")</f>
        <v>1300</v>
      </c>
      <c r="H680" s="83"/>
      <c r="I680" s="83">
        <f t="shared" si="11"/>
        <v>3484200.3</v>
      </c>
      <c r="K680" s="54" t="s">
        <v>15</v>
      </c>
    </row>
    <row r="681" spans="2:11" ht="12.75" x14ac:dyDescent="0.2">
      <c r="B681" s="82" t="s">
        <v>2741</v>
      </c>
      <c r="C681" s="82" t="s">
        <v>2740</v>
      </c>
      <c r="D681" s="54"/>
      <c r="E681" s="83">
        <f>SUMIFS(E682:E1474,K682:K1474,"0",B682:B1474,"4 1 6 2 1*")-SUMIFS(D682:D1474,K682:K1474,"0",B682:B1474,"4 1 6 2 1*")</f>
        <v>3482900.3</v>
      </c>
      <c r="F681" s="83">
        <f>SUMIFS(F682:F1474,K682:K1474,"0",B682:B1474,"4 1 6 2 1*")</f>
        <v>0</v>
      </c>
      <c r="G681" s="83">
        <f>SUMIFS(G682:G1474,K682:K1474,"0",B682:B1474,"4 1 6 2 1*")</f>
        <v>1300</v>
      </c>
      <c r="H681" s="83"/>
      <c r="I681" s="83">
        <f t="shared" si="11"/>
        <v>3484200.3</v>
      </c>
      <c r="K681" s="54" t="s">
        <v>15</v>
      </c>
    </row>
    <row r="682" spans="2:11" ht="12.75" x14ac:dyDescent="0.2">
      <c r="B682" s="82" t="s">
        <v>2742</v>
      </c>
      <c r="C682" s="82" t="s">
        <v>26</v>
      </c>
      <c r="D682" s="54"/>
      <c r="E682" s="83">
        <f>SUMIFS(E683:E1474,K683:K1474,"0",B683:B1474,"4 1 6 2 1 12*")-SUMIFS(D683:D1474,K683:K1474,"0",B683:B1474,"4 1 6 2 1 12*")</f>
        <v>3482900.3</v>
      </c>
      <c r="F682" s="83">
        <f>SUMIFS(F683:F1474,K683:K1474,"0",B683:B1474,"4 1 6 2 1 12*")</f>
        <v>0</v>
      </c>
      <c r="G682" s="83">
        <f>SUMIFS(G683:G1474,K683:K1474,"0",B683:B1474,"4 1 6 2 1 12*")</f>
        <v>1300</v>
      </c>
      <c r="H682" s="83"/>
      <c r="I682" s="83">
        <f t="shared" si="11"/>
        <v>3484200.3</v>
      </c>
      <c r="K682" s="54" t="s">
        <v>15</v>
      </c>
    </row>
    <row r="683" spans="2:11" ht="16.5" x14ac:dyDescent="0.2">
      <c r="B683" s="82" t="s">
        <v>2743</v>
      </c>
      <c r="C683" s="82" t="s">
        <v>28</v>
      </c>
      <c r="D683" s="54"/>
      <c r="E683" s="83">
        <f>SUMIFS(E684:E1474,K684:K1474,"0",B684:B1474,"4 1 6 2 1 12 31111*")-SUMIFS(D684:D1474,K684:K1474,"0",B684:B1474,"4 1 6 2 1 12 31111*")</f>
        <v>3482900.3</v>
      </c>
      <c r="F683" s="83">
        <f>SUMIFS(F684:F1474,K684:K1474,"0",B684:B1474,"4 1 6 2 1 12 31111*")</f>
        <v>0</v>
      </c>
      <c r="G683" s="83">
        <f>SUMIFS(G684:G1474,K684:K1474,"0",B684:B1474,"4 1 6 2 1 12 31111*")</f>
        <v>1300</v>
      </c>
      <c r="H683" s="83"/>
      <c r="I683" s="83">
        <f t="shared" si="11"/>
        <v>3484200.3</v>
      </c>
      <c r="K683" s="54" t="s">
        <v>15</v>
      </c>
    </row>
    <row r="684" spans="2:11" ht="12.75" x14ac:dyDescent="0.2">
      <c r="B684" s="82" t="s">
        <v>2744</v>
      </c>
      <c r="C684" s="82" t="s">
        <v>30</v>
      </c>
      <c r="D684" s="54"/>
      <c r="E684" s="83">
        <f>SUMIFS(E685:E1474,K685:K1474,"0",B685:B1474,"4 1 6 2 1 12 31111 6*")-SUMIFS(D685:D1474,K685:K1474,"0",B685:B1474,"4 1 6 2 1 12 31111 6*")</f>
        <v>3482900.3</v>
      </c>
      <c r="F684" s="83">
        <f>SUMIFS(F685:F1474,K685:K1474,"0",B685:B1474,"4 1 6 2 1 12 31111 6*")</f>
        <v>0</v>
      </c>
      <c r="G684" s="83">
        <f>SUMIFS(G685:G1474,K685:K1474,"0",B685:B1474,"4 1 6 2 1 12 31111 6*")</f>
        <v>1300</v>
      </c>
      <c r="H684" s="83"/>
      <c r="I684" s="83">
        <f t="shared" si="11"/>
        <v>3484200.3</v>
      </c>
      <c r="K684" s="54" t="s">
        <v>15</v>
      </c>
    </row>
    <row r="685" spans="2:11" ht="16.5" x14ac:dyDescent="0.2">
      <c r="B685" s="82" t="s">
        <v>2745</v>
      </c>
      <c r="C685" s="82" t="s">
        <v>2284</v>
      </c>
      <c r="D685" s="54"/>
      <c r="E685" s="83">
        <f>SUMIFS(E686:E1474,K686:K1474,"0",B686:B1474,"4 1 6 2 1 12 31111 6 M59*")-SUMIFS(D686:D1474,K686:K1474,"0",B686:B1474,"4 1 6 2 1 12 31111 6 M59*")</f>
        <v>3482900.3</v>
      </c>
      <c r="F685" s="83">
        <f>SUMIFS(F686:F1474,K686:K1474,"0",B686:B1474,"4 1 6 2 1 12 31111 6 M59*")</f>
        <v>0</v>
      </c>
      <c r="G685" s="83">
        <f>SUMIFS(G686:G1474,K686:K1474,"0",B686:B1474,"4 1 6 2 1 12 31111 6 M59*")</f>
        <v>1300</v>
      </c>
      <c r="H685" s="83"/>
      <c r="I685" s="83">
        <f t="shared" si="11"/>
        <v>3484200.3</v>
      </c>
      <c r="K685" s="54" t="s">
        <v>15</v>
      </c>
    </row>
    <row r="686" spans="2:11" ht="16.5" x14ac:dyDescent="0.2">
      <c r="B686" s="82" t="s">
        <v>2746</v>
      </c>
      <c r="C686" s="82" t="s">
        <v>1044</v>
      </c>
      <c r="D686" s="54"/>
      <c r="E686" s="83">
        <f>SUMIFS(E687:E1474,K687:K1474,"0",B687:B1474,"4 1 6 2 1 12 31111 6 M59 19000*")-SUMIFS(D687:D1474,K687:K1474,"0",B687:B1474,"4 1 6 2 1 12 31111 6 M59 19000*")</f>
        <v>3482900.3</v>
      </c>
      <c r="F686" s="83">
        <f>SUMIFS(F687:F1474,K687:K1474,"0",B687:B1474,"4 1 6 2 1 12 31111 6 M59 19000*")</f>
        <v>0</v>
      </c>
      <c r="G686" s="83">
        <f>SUMIFS(G687:G1474,K687:K1474,"0",B687:B1474,"4 1 6 2 1 12 31111 6 M59 19000*")</f>
        <v>1300</v>
      </c>
      <c r="H686" s="83"/>
      <c r="I686" s="83">
        <f t="shared" si="11"/>
        <v>3484200.3</v>
      </c>
      <c r="K686" s="54" t="s">
        <v>15</v>
      </c>
    </row>
    <row r="687" spans="2:11" ht="16.5" x14ac:dyDescent="0.2">
      <c r="B687" s="82" t="s">
        <v>2747</v>
      </c>
      <c r="C687" s="82" t="s">
        <v>2287</v>
      </c>
      <c r="D687" s="54"/>
      <c r="E687" s="83">
        <f>SUMIFS(E688:E1474,K688:K1474,"0",B688:B1474,"4 1 6 2 1 12 31111 6 M59 19000 000000*")-SUMIFS(D688:D1474,K688:K1474,"0",B688:B1474,"4 1 6 2 1 12 31111 6 M59 19000 000000*")</f>
        <v>3482900.3</v>
      </c>
      <c r="F687" s="83">
        <f>SUMIFS(F688:F1474,K688:K1474,"0",B688:B1474,"4 1 6 2 1 12 31111 6 M59 19000 000000*")</f>
        <v>0</v>
      </c>
      <c r="G687" s="83">
        <f>SUMIFS(G688:G1474,K688:K1474,"0",B688:B1474,"4 1 6 2 1 12 31111 6 M59 19000 000000*")</f>
        <v>1300</v>
      </c>
      <c r="H687" s="83"/>
      <c r="I687" s="83">
        <f t="shared" si="11"/>
        <v>3484200.3</v>
      </c>
      <c r="K687" s="54" t="s">
        <v>15</v>
      </c>
    </row>
    <row r="688" spans="2:11" ht="24.75" x14ac:dyDescent="0.2">
      <c r="B688" s="82" t="s">
        <v>2748</v>
      </c>
      <c r="C688" s="82" t="s">
        <v>2289</v>
      </c>
      <c r="D688" s="54"/>
      <c r="E688" s="83">
        <f>SUMIFS(E689:E1474,K689:K1474,"0",B689:B1474,"4 1 6 2 1 12 31111 6 M59 19000 000000 00000*")-SUMIFS(D689:D1474,K689:K1474,"0",B689:B1474,"4 1 6 2 1 12 31111 6 M59 19000 000000 00000*")</f>
        <v>3482900.3</v>
      </c>
      <c r="F688" s="83">
        <f>SUMIFS(F689:F1474,K689:K1474,"0",B689:B1474,"4 1 6 2 1 12 31111 6 M59 19000 000000 00000*")</f>
        <v>0</v>
      </c>
      <c r="G688" s="83">
        <f>SUMIFS(G689:G1474,K689:K1474,"0",B689:B1474,"4 1 6 2 1 12 31111 6 M59 19000 000000 00000*")</f>
        <v>1300</v>
      </c>
      <c r="H688" s="83"/>
      <c r="I688" s="83">
        <f t="shared" si="11"/>
        <v>3484200.3</v>
      </c>
      <c r="K688" s="54" t="s">
        <v>15</v>
      </c>
    </row>
    <row r="689" spans="2:11" ht="24.75" x14ac:dyDescent="0.2">
      <c r="B689" s="82" t="s">
        <v>2749</v>
      </c>
      <c r="C689" s="82" t="s">
        <v>2291</v>
      </c>
      <c r="D689" s="54"/>
      <c r="E689" s="83">
        <f>SUMIFS(E690:E1474,K690:K1474,"0",B690:B1474,"4 1 6 2 1 12 31111 6 M59 19000 000000 00000 00000*")-SUMIFS(D690:D1474,K690:K1474,"0",B690:B1474,"4 1 6 2 1 12 31111 6 M59 19000 000000 00000 00000*")</f>
        <v>3482900.3</v>
      </c>
      <c r="F689" s="83">
        <f>SUMIFS(F690:F1474,K690:K1474,"0",B690:B1474,"4 1 6 2 1 12 31111 6 M59 19000 000000 00000 00000*")</f>
        <v>0</v>
      </c>
      <c r="G689" s="83">
        <f>SUMIFS(G690:G1474,K690:K1474,"0",B690:B1474,"4 1 6 2 1 12 31111 6 M59 19000 000000 00000 00000*")</f>
        <v>1300</v>
      </c>
      <c r="H689" s="83"/>
      <c r="I689" s="83">
        <f t="shared" si="11"/>
        <v>3484200.3</v>
      </c>
      <c r="K689" s="54" t="s">
        <v>15</v>
      </c>
    </row>
    <row r="690" spans="2:11" ht="24.75" x14ac:dyDescent="0.2">
      <c r="B690" s="82" t="s">
        <v>2750</v>
      </c>
      <c r="C690" s="82" t="s">
        <v>2738</v>
      </c>
      <c r="D690" s="54"/>
      <c r="E690" s="83">
        <f>SUMIFS(E691:E1474,K691:K1474,"0",B691:B1474,"4 1 6 2 1 12 31111 6 M59 19000 000000 00000 00000 00061*")-SUMIFS(D691:D1474,K691:K1474,"0",B691:B1474,"4 1 6 2 1 12 31111 6 M59 19000 000000 00000 00000 00061*")</f>
        <v>3482900.3</v>
      </c>
      <c r="F690" s="83">
        <f>SUMIFS(F691:F1474,K691:K1474,"0",B691:B1474,"4 1 6 2 1 12 31111 6 M59 19000 000000 00000 00000 00061*")</f>
        <v>0</v>
      </c>
      <c r="G690" s="83">
        <f>SUMIFS(G691:G1474,K691:K1474,"0",B691:B1474,"4 1 6 2 1 12 31111 6 M59 19000 000000 00000 00000 00061*")</f>
        <v>1300</v>
      </c>
      <c r="H690" s="83"/>
      <c r="I690" s="83">
        <f t="shared" si="11"/>
        <v>3484200.3</v>
      </c>
      <c r="K690" s="54" t="s">
        <v>15</v>
      </c>
    </row>
    <row r="691" spans="2:11" ht="33" x14ac:dyDescent="0.2">
      <c r="B691" s="82" t="s">
        <v>2751</v>
      </c>
      <c r="C691" s="82" t="s">
        <v>699</v>
      </c>
      <c r="D691" s="54"/>
      <c r="E691" s="83">
        <f>SUMIFS(E692:E1474,K692:K1474,"0",B692:B1474,"4 1 6 2 1 12 31111 6 M59 19000 000000 00000 00000 00061 011*")-SUMIFS(D692:D1474,K692:K1474,"0",B692:B1474,"4 1 6 2 1 12 31111 6 M59 19000 000000 00000 00000 00061 011*")</f>
        <v>3482900.3</v>
      </c>
      <c r="F691" s="83">
        <f>SUMIFS(F692:F1474,K692:K1474,"0",B692:B1474,"4 1 6 2 1 12 31111 6 M59 19000 000000 00000 00000 00061 011*")</f>
        <v>0</v>
      </c>
      <c r="G691" s="83">
        <f>SUMIFS(G692:G1474,K692:K1474,"0",B692:B1474,"4 1 6 2 1 12 31111 6 M59 19000 000000 00000 00000 00061 011*")</f>
        <v>1300</v>
      </c>
      <c r="H691" s="83"/>
      <c r="I691" s="83">
        <f t="shared" si="11"/>
        <v>3484200.3</v>
      </c>
      <c r="K691" s="54" t="s">
        <v>15</v>
      </c>
    </row>
    <row r="692" spans="2:11" ht="33" x14ac:dyDescent="0.2">
      <c r="B692" s="82" t="s">
        <v>2752</v>
      </c>
      <c r="C692" s="82" t="s">
        <v>2320</v>
      </c>
      <c r="D692" s="54"/>
      <c r="E692" s="83">
        <f>SUMIFS(E693:E1474,K693:K1474,"0",B693:B1474,"4 1 6 2 1 12 31111 6 M59 19000 000000 00000 00000 00061 011 1113000*")-SUMIFS(D693:D1474,K693:K1474,"0",B693:B1474,"4 1 6 2 1 12 31111 6 M59 19000 000000 00000 00000 00061 011 1113000*")</f>
        <v>3482900.3</v>
      </c>
      <c r="F692" s="83">
        <f>SUMIFS(F693:F1474,K693:K1474,"0",B693:B1474,"4 1 6 2 1 12 31111 6 M59 19000 000000 00000 00000 00061 011 1113000*")</f>
        <v>0</v>
      </c>
      <c r="G692" s="83">
        <f>SUMIFS(G693:G1474,K693:K1474,"0",B693:B1474,"4 1 6 2 1 12 31111 6 M59 19000 000000 00000 00000 00061 011 1113000*")</f>
        <v>1300</v>
      </c>
      <c r="H692" s="83"/>
      <c r="I692" s="83">
        <f t="shared" si="11"/>
        <v>3484200.3</v>
      </c>
      <c r="K692" s="54" t="s">
        <v>15</v>
      </c>
    </row>
    <row r="693" spans="2:11" ht="33" x14ac:dyDescent="0.2">
      <c r="B693" s="82" t="s">
        <v>2753</v>
      </c>
      <c r="C693" s="82" t="s">
        <v>660</v>
      </c>
      <c r="D693" s="54"/>
      <c r="E693" s="83">
        <f>SUMIFS(E694:E1474,K694:K1474,"0",B694:B1474,"4 1 6 2 1 12 31111 6 M59 19000 000000 00000 00000 00061 011 1113000 2024*")-SUMIFS(D694:D1474,K694:K1474,"0",B694:B1474,"4 1 6 2 1 12 31111 6 M59 19000 000000 00000 00000 00061 011 1113000 2024*")</f>
        <v>3482900.3</v>
      </c>
      <c r="F693" s="83">
        <f>SUMIFS(F694:F1474,K694:K1474,"0",B694:B1474,"4 1 6 2 1 12 31111 6 M59 19000 000000 00000 00000 00061 011 1113000 2024*")</f>
        <v>0</v>
      </c>
      <c r="G693" s="83">
        <f>SUMIFS(G694:G1474,K694:K1474,"0",B694:B1474,"4 1 6 2 1 12 31111 6 M59 19000 000000 00000 00000 00061 011 1113000 2024*")</f>
        <v>1300</v>
      </c>
      <c r="H693" s="83"/>
      <c r="I693" s="83">
        <f t="shared" si="11"/>
        <v>3484200.3</v>
      </c>
      <c r="K693" s="54" t="s">
        <v>15</v>
      </c>
    </row>
    <row r="694" spans="2:11" ht="41.25" x14ac:dyDescent="0.2">
      <c r="B694" s="82" t="s">
        <v>2754</v>
      </c>
      <c r="C694" s="82" t="s">
        <v>2298</v>
      </c>
      <c r="D694" s="54"/>
      <c r="E694" s="83">
        <f>SUMIFS(E695:E1474,K695:K1474,"0",B695:B1474,"4 1 6 2 1 12 31111 6 M59 19000 000000 00000 00000 00061 011 1113000 2024 00000000*")-SUMIFS(D695:D1474,K695:K1474,"0",B695:B1474,"4 1 6 2 1 12 31111 6 M59 19000 000000 00000 00000 00061 011 1113000 2024 00000000*")</f>
        <v>3482900.3</v>
      </c>
      <c r="F694" s="83">
        <f>SUMIFS(F695:F1474,K695:K1474,"0",B695:B1474,"4 1 6 2 1 12 31111 6 M59 19000 000000 00000 00000 00061 011 1113000 2024 00000000*")</f>
        <v>0</v>
      </c>
      <c r="G694" s="83">
        <f>SUMIFS(G695:G1474,K695:K1474,"0",B695:B1474,"4 1 6 2 1 12 31111 6 M59 19000 000000 00000 00000 00061 011 1113000 2024 00000000*")</f>
        <v>1300</v>
      </c>
      <c r="H694" s="83"/>
      <c r="I694" s="83">
        <f t="shared" si="11"/>
        <v>3484200.3</v>
      </c>
      <c r="K694" s="54" t="s">
        <v>15</v>
      </c>
    </row>
    <row r="695" spans="2:11" ht="41.25" x14ac:dyDescent="0.2">
      <c r="B695" s="82" t="s">
        <v>2755</v>
      </c>
      <c r="C695" s="82" t="s">
        <v>2300</v>
      </c>
      <c r="D695" s="54"/>
      <c r="E695" s="83">
        <f>SUMIFS(E696:E1474,K696:K1474,"0",B696:B1474,"4 1 6 2 1 12 31111 6 M59 19000 000000 00000 00000 00061 011 1113000 2024 00000000 004*")-SUMIFS(D696:D1474,K696:K1474,"0",B696:B1474,"4 1 6 2 1 12 31111 6 M59 19000 000000 00000 00000 00061 011 1113000 2024 00000000 004*")</f>
        <v>3482900.3</v>
      </c>
      <c r="F695" s="83">
        <f>SUMIFS(F696:F1474,K696:K1474,"0",B696:B1474,"4 1 6 2 1 12 31111 6 M59 19000 000000 00000 00000 00061 011 1113000 2024 00000000 004*")</f>
        <v>0</v>
      </c>
      <c r="G695" s="83">
        <f>SUMIFS(G696:G1474,K696:K1474,"0",B696:B1474,"4 1 6 2 1 12 31111 6 M59 19000 000000 00000 00000 00061 011 1113000 2024 00000000 004*")</f>
        <v>1300</v>
      </c>
      <c r="H695" s="83"/>
      <c r="I695" s="83">
        <f t="shared" si="11"/>
        <v>3484200.3</v>
      </c>
      <c r="K695" s="54" t="s">
        <v>15</v>
      </c>
    </row>
    <row r="696" spans="2:11" ht="49.5" x14ac:dyDescent="0.2">
      <c r="B696" s="82" t="s">
        <v>2756</v>
      </c>
      <c r="C696" s="82" t="s">
        <v>2757</v>
      </c>
      <c r="D696" s="54"/>
      <c r="E696" s="83">
        <f>SUMIFS(E697:E1474,K697:K1474,"0",B697:B1474,"4 1 6 2 1 12 31111 6 M59 19000 000000 00000 00000 00061 011 1113000 2024 00000000 004 0000001*")-SUMIFS(D697:D1474,K697:K1474,"0",B697:B1474,"4 1 6 2 1 12 31111 6 M59 19000 000000 00000 00000 00061 011 1113000 2024 00000000 004 0000001*")</f>
        <v>3482900.3</v>
      </c>
      <c r="F696" s="83">
        <f>SUMIFS(F697:F1474,K697:K1474,"0",B697:B1474,"4 1 6 2 1 12 31111 6 M59 19000 000000 00000 00000 00061 011 1113000 2024 00000000 004 0000001*")</f>
        <v>0</v>
      </c>
      <c r="G696" s="83">
        <f>SUMIFS(G697:G1474,K697:K1474,"0",B697:B1474,"4 1 6 2 1 12 31111 6 M59 19000 000000 00000 00000 00061 011 1113000 2024 00000000 004 0000001*")</f>
        <v>1300</v>
      </c>
      <c r="H696" s="83"/>
      <c r="I696" s="83">
        <f t="shared" si="11"/>
        <v>3484200.3</v>
      </c>
      <c r="K696" s="54" t="s">
        <v>15</v>
      </c>
    </row>
    <row r="697" spans="2:11" ht="49.5" x14ac:dyDescent="0.2">
      <c r="B697" s="82" t="s">
        <v>2758</v>
      </c>
      <c r="C697" s="82" t="s">
        <v>2759</v>
      </c>
      <c r="D697" s="54"/>
      <c r="E697" s="83">
        <f>SUMIFS(E698:E1474,K698:K1474,"0",B698:B1474,"4 1 6 2 1 12 31111 6 M59 19000 000000 00000 00000 00061 011 1113000 2024 00000000 004 0000001 00001*")-SUMIFS(D698:D1474,K698:K1474,"0",B698:B1474,"4 1 6 2 1 12 31111 6 M59 19000 000000 00000 00000 00061 011 1113000 2024 00000000 004 0000001 00001*")</f>
        <v>549671</v>
      </c>
      <c r="F697" s="83">
        <f>SUMIFS(F698:F1474,K698:K1474,"0",B698:B1474,"4 1 6 2 1 12 31111 6 M59 19000 000000 00000 00000 00061 011 1113000 2024 00000000 004 0000001 00001*")</f>
        <v>0</v>
      </c>
      <c r="G697" s="83">
        <f>SUMIFS(G698:G1474,K698:K1474,"0",B698:B1474,"4 1 6 2 1 12 31111 6 M59 19000 000000 00000 00000 00061 011 1113000 2024 00000000 004 0000001 00001*")</f>
        <v>0</v>
      </c>
      <c r="H697" s="83"/>
      <c r="I697" s="83">
        <f t="shared" si="11"/>
        <v>549671</v>
      </c>
      <c r="K697" s="54" t="s">
        <v>15</v>
      </c>
    </row>
    <row r="698" spans="2:11" ht="41.25" x14ac:dyDescent="0.2">
      <c r="B698" s="84" t="s">
        <v>2760</v>
      </c>
      <c r="C698" s="84" t="s">
        <v>2761</v>
      </c>
      <c r="D698" s="85"/>
      <c r="E698" s="85">
        <v>549671</v>
      </c>
      <c r="F698" s="85">
        <v>0</v>
      </c>
      <c r="G698" s="85">
        <v>0</v>
      </c>
      <c r="H698" s="85"/>
      <c r="I698" s="85">
        <f t="shared" si="11"/>
        <v>549671</v>
      </c>
      <c r="K698" s="54" t="s">
        <v>38</v>
      </c>
    </row>
    <row r="699" spans="2:11" ht="49.5" x14ac:dyDescent="0.2">
      <c r="B699" s="82" t="s">
        <v>2762</v>
      </c>
      <c r="C699" s="82" t="s">
        <v>2740</v>
      </c>
      <c r="D699" s="54"/>
      <c r="E699" s="83">
        <f>SUMIFS(E700:E1474,K700:K1474,"0",B700:B1474,"4 1 6 2 1 12 31111 6 M59 19000 000000 00000 00000 00061 011 1113000 2024 00000000 004 0000001 00002*")-SUMIFS(D700:D1474,K700:K1474,"0",B700:B1474,"4 1 6 2 1 12 31111 6 M59 19000 000000 00000 00000 00061 011 1113000 2024 00000000 004 0000001 00002*")</f>
        <v>59629.3</v>
      </c>
      <c r="F699" s="83">
        <f>SUMIFS(F700:F1474,K700:K1474,"0",B700:B1474,"4 1 6 2 1 12 31111 6 M59 19000 000000 00000 00000 00061 011 1113000 2024 00000000 004 0000001 00002*")</f>
        <v>0</v>
      </c>
      <c r="G699" s="83">
        <f>SUMIFS(G700:G1474,K700:K1474,"0",B700:B1474,"4 1 6 2 1 12 31111 6 M59 19000 000000 00000 00000 00061 011 1113000 2024 00000000 004 0000001 00002*")</f>
        <v>1300</v>
      </c>
      <c r="H699" s="83"/>
      <c r="I699" s="83">
        <f t="shared" si="11"/>
        <v>60929.3</v>
      </c>
      <c r="K699" s="54" t="s">
        <v>15</v>
      </c>
    </row>
    <row r="700" spans="2:11" ht="41.25" x14ac:dyDescent="0.2">
      <c r="B700" s="84" t="s">
        <v>2763</v>
      </c>
      <c r="C700" s="84" t="s">
        <v>2764</v>
      </c>
      <c r="D700" s="85"/>
      <c r="E700" s="85">
        <v>59629.3</v>
      </c>
      <c r="F700" s="85">
        <v>0</v>
      </c>
      <c r="G700" s="85">
        <v>1300</v>
      </c>
      <c r="H700" s="85"/>
      <c r="I700" s="85">
        <f t="shared" si="11"/>
        <v>60929.3</v>
      </c>
      <c r="K700" s="54" t="s">
        <v>38</v>
      </c>
    </row>
    <row r="701" spans="2:11" ht="49.5" x14ac:dyDescent="0.2">
      <c r="B701" s="82" t="s">
        <v>2765</v>
      </c>
      <c r="C701" s="82" t="s">
        <v>2766</v>
      </c>
      <c r="D701" s="54"/>
      <c r="E701" s="83">
        <f>SUMIFS(E702:E1474,K702:K1474,"0",B702:B1474,"4 1 6 2 1 12 31111 6 M59 19000 000000 00000 00000 00061 011 1113000 2024 00000000 004 0000001 00003*")-SUMIFS(D702:D1474,K702:K1474,"0",B702:B1474,"4 1 6 2 1 12 31111 6 M59 19000 000000 00000 00000 00061 011 1113000 2024 00000000 004 0000001 00003*")</f>
        <v>715000</v>
      </c>
      <c r="F701" s="83">
        <f>SUMIFS(F702:F1474,K702:K1474,"0",B702:B1474,"4 1 6 2 1 12 31111 6 M59 19000 000000 00000 00000 00061 011 1113000 2024 00000000 004 0000001 00003*")</f>
        <v>0</v>
      </c>
      <c r="G701" s="83">
        <f>SUMIFS(G702:G1474,K702:K1474,"0",B702:B1474,"4 1 6 2 1 12 31111 6 M59 19000 000000 00000 00000 00061 011 1113000 2024 00000000 004 0000001 00003*")</f>
        <v>0</v>
      </c>
      <c r="H701" s="83"/>
      <c r="I701" s="83">
        <f t="shared" si="11"/>
        <v>715000</v>
      </c>
      <c r="K701" s="54" t="s">
        <v>15</v>
      </c>
    </row>
    <row r="702" spans="2:11" ht="41.25" x14ac:dyDescent="0.2">
      <c r="B702" s="84" t="s">
        <v>2767</v>
      </c>
      <c r="C702" s="84" t="s">
        <v>2766</v>
      </c>
      <c r="D702" s="85"/>
      <c r="E702" s="85">
        <v>715000</v>
      </c>
      <c r="F702" s="85">
        <v>0</v>
      </c>
      <c r="G702" s="85">
        <v>0</v>
      </c>
      <c r="H702" s="85"/>
      <c r="I702" s="85">
        <f t="shared" si="11"/>
        <v>715000</v>
      </c>
      <c r="K702" s="54" t="s">
        <v>38</v>
      </c>
    </row>
    <row r="703" spans="2:11" ht="49.5" x14ac:dyDescent="0.2">
      <c r="B703" s="82" t="s">
        <v>2768</v>
      </c>
      <c r="C703" s="82" t="s">
        <v>2769</v>
      </c>
      <c r="D703" s="54"/>
      <c r="E703" s="83">
        <f>SUMIFS(E704:E1474,K704:K1474,"0",B704:B1474,"4 1 6 2 1 12 31111 6 M59 19000 000000 00000 00000 00061 011 1113000 2024 00000000 004 0000001 00004*")-SUMIFS(D704:D1474,K704:K1474,"0",B704:B1474,"4 1 6 2 1 12 31111 6 M59 19000 000000 00000 00000 00061 011 1113000 2024 00000000 004 0000001 00004*")</f>
        <v>2158600</v>
      </c>
      <c r="F703" s="83">
        <f>SUMIFS(F704:F1474,K704:K1474,"0",B704:B1474,"4 1 6 2 1 12 31111 6 M59 19000 000000 00000 00000 00061 011 1113000 2024 00000000 004 0000001 00004*")</f>
        <v>0</v>
      </c>
      <c r="G703" s="83">
        <f>SUMIFS(G704:G1474,K704:K1474,"0",B704:B1474,"4 1 6 2 1 12 31111 6 M59 19000 000000 00000 00000 00061 011 1113000 2024 00000000 004 0000001 00004*")</f>
        <v>0</v>
      </c>
      <c r="H703" s="83"/>
      <c r="I703" s="83">
        <f t="shared" si="11"/>
        <v>2158600</v>
      </c>
      <c r="K703" s="54" t="s">
        <v>15</v>
      </c>
    </row>
    <row r="704" spans="2:11" ht="41.25" x14ac:dyDescent="0.2">
      <c r="B704" s="84" t="s">
        <v>2770</v>
      </c>
      <c r="C704" s="84" t="s">
        <v>2771</v>
      </c>
      <c r="D704" s="85"/>
      <c r="E704" s="85">
        <v>2158600</v>
      </c>
      <c r="F704" s="85">
        <v>0</v>
      </c>
      <c r="G704" s="85">
        <v>0</v>
      </c>
      <c r="H704" s="85"/>
      <c r="I704" s="85">
        <f t="shared" si="11"/>
        <v>2158600</v>
      </c>
      <c r="K704" s="54" t="s">
        <v>38</v>
      </c>
    </row>
    <row r="705" spans="2:11" ht="82.5" x14ac:dyDescent="0.2">
      <c r="B705" s="82" t="s">
        <v>2772</v>
      </c>
      <c r="C705" s="82" t="s">
        <v>2773</v>
      </c>
      <c r="D705" s="54"/>
      <c r="E705" s="83">
        <f>SUMIFS(E706:E1474,K706:K1474,"0",B706:B1474,"4 2*")-SUMIFS(D706:D1474,K706:K1474,"0",B706:B1474,"4 2*")</f>
        <v>1164380</v>
      </c>
      <c r="F705" s="83">
        <f>SUMIFS(F706:F1474,K706:K1474,"0",B706:B1474,"4 2*")</f>
        <v>0</v>
      </c>
      <c r="G705" s="83">
        <f>SUMIFS(G706:G1474,K706:K1474,"0",B706:B1474,"4 2*")</f>
        <v>945839</v>
      </c>
      <c r="H705" s="83"/>
      <c r="I705" s="83">
        <f t="shared" si="11"/>
        <v>2110219</v>
      </c>
      <c r="K705" s="54" t="s">
        <v>15</v>
      </c>
    </row>
    <row r="706" spans="2:11" ht="49.5" x14ac:dyDescent="0.2">
      <c r="B706" s="82" t="s">
        <v>2774</v>
      </c>
      <c r="C706" s="82" t="s">
        <v>2775</v>
      </c>
      <c r="D706" s="54"/>
      <c r="E706" s="83">
        <f>SUMIFS(E707:E1474,K707:K1474,"0",B707:B1474,"4 2 1*")-SUMIFS(D707:D1474,K707:K1474,"0",B707:B1474,"4 2 1*")</f>
        <v>684380</v>
      </c>
      <c r="F706" s="83">
        <f>SUMIFS(F707:F1474,K707:K1474,"0",B707:B1474,"4 2 1*")</f>
        <v>0</v>
      </c>
      <c r="G706" s="83">
        <f>SUMIFS(G707:G1474,K707:K1474,"0",B707:B1474,"4 2 1*")</f>
        <v>945839</v>
      </c>
      <c r="H706" s="83"/>
      <c r="I706" s="83">
        <f t="shared" si="11"/>
        <v>1630219</v>
      </c>
      <c r="K706" s="54" t="s">
        <v>15</v>
      </c>
    </row>
    <row r="707" spans="2:11" ht="12.75" x14ac:dyDescent="0.2">
      <c r="B707" s="82" t="s">
        <v>2853</v>
      </c>
      <c r="C707" s="82" t="s">
        <v>2854</v>
      </c>
      <c r="D707" s="54"/>
      <c r="E707" s="83">
        <f>SUMIFS(E708:E1474,K708:K1474,"0",B708:B1474,"4 2 1 3*")-SUMIFS(D708:D1474,K708:K1474,"0",B708:B1474,"4 2 1 3*")</f>
        <v>684380</v>
      </c>
      <c r="F707" s="83">
        <f>SUMIFS(F708:F1474,K708:K1474,"0",B708:B1474,"4 2 1 3*")</f>
        <v>0</v>
      </c>
      <c r="G707" s="83">
        <f>SUMIFS(G708:G1474,K708:K1474,"0",B708:B1474,"4 2 1 3*")</f>
        <v>945839</v>
      </c>
      <c r="H707" s="83"/>
      <c r="I707" s="83">
        <f t="shared" si="11"/>
        <v>1630219</v>
      </c>
      <c r="K707" s="54" t="s">
        <v>15</v>
      </c>
    </row>
    <row r="708" spans="2:11" ht="12.75" x14ac:dyDescent="0.2">
      <c r="B708" s="82" t="s">
        <v>2855</v>
      </c>
      <c r="C708" s="82" t="s">
        <v>2854</v>
      </c>
      <c r="D708" s="54"/>
      <c r="E708" s="83">
        <f>SUMIFS(E709:E1474,K709:K1474,"0",B709:B1474,"4 2 1 3 1*")-SUMIFS(D709:D1474,K709:K1474,"0",B709:B1474,"4 2 1 3 1*")</f>
        <v>684380</v>
      </c>
      <c r="F708" s="83">
        <f>SUMIFS(F709:F1474,K709:K1474,"0",B709:B1474,"4 2 1 3 1*")</f>
        <v>0</v>
      </c>
      <c r="G708" s="83">
        <f>SUMIFS(G709:G1474,K709:K1474,"0",B709:B1474,"4 2 1 3 1*")</f>
        <v>945839</v>
      </c>
      <c r="H708" s="83"/>
      <c r="I708" s="83">
        <f t="shared" si="11"/>
        <v>1630219</v>
      </c>
      <c r="K708" s="54" t="s">
        <v>15</v>
      </c>
    </row>
    <row r="709" spans="2:11" ht="12.75" x14ac:dyDescent="0.2">
      <c r="B709" s="82" t="s">
        <v>2856</v>
      </c>
      <c r="C709" s="82" t="s">
        <v>26</v>
      </c>
      <c r="D709" s="54"/>
      <c r="E709" s="83">
        <f>SUMIFS(E710:E1474,K710:K1474,"0",B710:B1474,"4 2 1 3 1 12*")-SUMIFS(D710:D1474,K710:K1474,"0",B710:B1474,"4 2 1 3 1 12*")</f>
        <v>684380</v>
      </c>
      <c r="F709" s="83">
        <f>SUMIFS(F710:F1474,K710:K1474,"0",B710:B1474,"4 2 1 3 1 12*")</f>
        <v>0</v>
      </c>
      <c r="G709" s="83">
        <f>SUMIFS(G710:G1474,K710:K1474,"0",B710:B1474,"4 2 1 3 1 12*")</f>
        <v>945839</v>
      </c>
      <c r="H709" s="83"/>
      <c r="I709" s="83">
        <f t="shared" si="11"/>
        <v>1630219</v>
      </c>
      <c r="K709" s="54" t="s">
        <v>15</v>
      </c>
    </row>
    <row r="710" spans="2:11" ht="16.5" x14ac:dyDescent="0.2">
      <c r="B710" s="82" t="s">
        <v>2857</v>
      </c>
      <c r="C710" s="82" t="s">
        <v>28</v>
      </c>
      <c r="D710" s="54"/>
      <c r="E710" s="83">
        <f>SUMIFS(E711:E1474,K711:K1474,"0",B711:B1474,"4 2 1 3 1 12 31111*")-SUMIFS(D711:D1474,K711:K1474,"0",B711:B1474,"4 2 1 3 1 12 31111*")</f>
        <v>684380</v>
      </c>
      <c r="F710" s="83">
        <f>SUMIFS(F711:F1474,K711:K1474,"0",B711:B1474,"4 2 1 3 1 12 31111*")</f>
        <v>0</v>
      </c>
      <c r="G710" s="83">
        <f>SUMIFS(G711:G1474,K711:K1474,"0",B711:B1474,"4 2 1 3 1 12 31111*")</f>
        <v>945839</v>
      </c>
      <c r="H710" s="83"/>
      <c r="I710" s="83">
        <f t="shared" si="11"/>
        <v>1630219</v>
      </c>
      <c r="K710" s="54" t="s">
        <v>15</v>
      </c>
    </row>
    <row r="711" spans="2:11" ht="12.75" x14ac:dyDescent="0.2">
      <c r="B711" s="82" t="s">
        <v>2858</v>
      </c>
      <c r="C711" s="82" t="s">
        <v>30</v>
      </c>
      <c r="D711" s="54"/>
      <c r="E711" s="83">
        <f>SUMIFS(E712:E1474,K712:K1474,"0",B712:B1474,"4 2 1 3 1 12 31111 6*")-SUMIFS(D712:D1474,K712:K1474,"0",B712:B1474,"4 2 1 3 1 12 31111 6*")</f>
        <v>684380</v>
      </c>
      <c r="F711" s="83">
        <f>SUMIFS(F712:F1474,K712:K1474,"0",B712:B1474,"4 2 1 3 1 12 31111 6*")</f>
        <v>0</v>
      </c>
      <c r="G711" s="83">
        <f>SUMIFS(G712:G1474,K712:K1474,"0",B712:B1474,"4 2 1 3 1 12 31111 6*")</f>
        <v>945839</v>
      </c>
      <c r="H711" s="83"/>
      <c r="I711" s="83">
        <f t="shared" si="11"/>
        <v>1630219</v>
      </c>
      <c r="K711" s="54" t="s">
        <v>15</v>
      </c>
    </row>
    <row r="712" spans="2:11" ht="16.5" x14ac:dyDescent="0.2">
      <c r="B712" s="82" t="s">
        <v>2859</v>
      </c>
      <c r="C712" s="82" t="s">
        <v>2284</v>
      </c>
      <c r="D712" s="54"/>
      <c r="E712" s="83">
        <f>SUMIFS(E713:E1474,K713:K1474,"0",B713:B1474,"4 2 1 3 1 12 31111 6 M59*")-SUMIFS(D713:D1474,K713:K1474,"0",B713:B1474,"4 2 1 3 1 12 31111 6 M59*")</f>
        <v>684380</v>
      </c>
      <c r="F712" s="83">
        <f>SUMIFS(F713:F1474,K713:K1474,"0",B713:B1474,"4 2 1 3 1 12 31111 6 M59*")</f>
        <v>0</v>
      </c>
      <c r="G712" s="83">
        <f>SUMIFS(G713:G1474,K713:K1474,"0",B713:B1474,"4 2 1 3 1 12 31111 6 M59*")</f>
        <v>945839</v>
      </c>
      <c r="H712" s="83"/>
      <c r="I712" s="83">
        <f t="shared" si="11"/>
        <v>1630219</v>
      </c>
      <c r="K712" s="54" t="s">
        <v>15</v>
      </c>
    </row>
    <row r="713" spans="2:11" ht="16.5" x14ac:dyDescent="0.2">
      <c r="B713" s="82" t="s">
        <v>2860</v>
      </c>
      <c r="C713" s="82" t="s">
        <v>1044</v>
      </c>
      <c r="D713" s="54"/>
      <c r="E713" s="83">
        <f>SUMIFS(E714:E1474,K714:K1474,"0",B714:B1474,"4 2 1 3 1 12 31111 6 M59 19000*")-SUMIFS(D714:D1474,K714:K1474,"0",B714:B1474,"4 2 1 3 1 12 31111 6 M59 19000*")</f>
        <v>684380</v>
      </c>
      <c r="F713" s="83">
        <f>SUMIFS(F714:F1474,K714:K1474,"0",B714:B1474,"4 2 1 3 1 12 31111 6 M59 19000*")</f>
        <v>0</v>
      </c>
      <c r="G713" s="83">
        <f>SUMIFS(G714:G1474,K714:K1474,"0",B714:B1474,"4 2 1 3 1 12 31111 6 M59 19000*")</f>
        <v>945839</v>
      </c>
      <c r="H713" s="83"/>
      <c r="I713" s="83">
        <f t="shared" si="11"/>
        <v>1630219</v>
      </c>
      <c r="K713" s="54" t="s">
        <v>15</v>
      </c>
    </row>
    <row r="714" spans="2:11" ht="16.5" x14ac:dyDescent="0.2">
      <c r="B714" s="82" t="s">
        <v>2861</v>
      </c>
      <c r="C714" s="82" t="s">
        <v>2287</v>
      </c>
      <c r="D714" s="54"/>
      <c r="E714" s="83">
        <f>SUMIFS(E715:E1474,K715:K1474,"0",B715:B1474,"4 2 1 3 1 12 31111 6 M59 19000 000000*")-SUMIFS(D715:D1474,K715:K1474,"0",B715:B1474,"4 2 1 3 1 12 31111 6 M59 19000 000000*")</f>
        <v>684380</v>
      </c>
      <c r="F714" s="83">
        <f>SUMIFS(F715:F1474,K715:K1474,"0",B715:B1474,"4 2 1 3 1 12 31111 6 M59 19000 000000*")</f>
        <v>0</v>
      </c>
      <c r="G714" s="83">
        <f>SUMIFS(G715:G1474,K715:K1474,"0",B715:B1474,"4 2 1 3 1 12 31111 6 M59 19000 000000*")</f>
        <v>945839</v>
      </c>
      <c r="H714" s="83"/>
      <c r="I714" s="83">
        <f t="shared" si="11"/>
        <v>1630219</v>
      </c>
      <c r="K714" s="54" t="s">
        <v>15</v>
      </c>
    </row>
    <row r="715" spans="2:11" ht="24.75" x14ac:dyDescent="0.2">
      <c r="B715" s="82" t="s">
        <v>2862</v>
      </c>
      <c r="C715" s="82" t="s">
        <v>2289</v>
      </c>
      <c r="D715" s="54"/>
      <c r="E715" s="83">
        <f>SUMIFS(E716:E1474,K716:K1474,"0",B716:B1474,"4 2 1 3 1 12 31111 6 M59 19000 000000 00000*")-SUMIFS(D716:D1474,K716:K1474,"0",B716:B1474,"4 2 1 3 1 12 31111 6 M59 19000 000000 00000*")</f>
        <v>684380</v>
      </c>
      <c r="F715" s="83">
        <f>SUMIFS(F716:F1474,K716:K1474,"0",B716:B1474,"4 2 1 3 1 12 31111 6 M59 19000 000000 00000*")</f>
        <v>0</v>
      </c>
      <c r="G715" s="83">
        <f>SUMIFS(G716:G1474,K716:K1474,"0",B716:B1474,"4 2 1 3 1 12 31111 6 M59 19000 000000 00000*")</f>
        <v>945839</v>
      </c>
      <c r="H715" s="83"/>
      <c r="I715" s="83">
        <f t="shared" si="11"/>
        <v>1630219</v>
      </c>
      <c r="K715" s="54" t="s">
        <v>15</v>
      </c>
    </row>
    <row r="716" spans="2:11" ht="24.75" x14ac:dyDescent="0.2">
      <c r="B716" s="82" t="s">
        <v>2863</v>
      </c>
      <c r="C716" s="82" t="s">
        <v>2291</v>
      </c>
      <c r="D716" s="54"/>
      <c r="E716" s="83">
        <f>SUMIFS(E717:E1474,K717:K1474,"0",B717:B1474,"4 2 1 3 1 12 31111 6 M59 19000 000000 00000 00000*")-SUMIFS(D717:D1474,K717:K1474,"0",B717:B1474,"4 2 1 3 1 12 31111 6 M59 19000 000000 00000 00000*")</f>
        <v>684380</v>
      </c>
      <c r="F716" s="83">
        <f>SUMIFS(F717:F1474,K717:K1474,"0",B717:B1474,"4 2 1 3 1 12 31111 6 M59 19000 000000 00000 00000*")</f>
        <v>0</v>
      </c>
      <c r="G716" s="83">
        <f>SUMIFS(G717:G1474,K717:K1474,"0",B717:B1474,"4 2 1 3 1 12 31111 6 M59 19000 000000 00000 00000*")</f>
        <v>945839</v>
      </c>
      <c r="H716" s="83"/>
      <c r="I716" s="83">
        <f t="shared" si="11"/>
        <v>1630219</v>
      </c>
      <c r="K716" s="54" t="s">
        <v>15</v>
      </c>
    </row>
    <row r="717" spans="2:11" ht="24.75" x14ac:dyDescent="0.2">
      <c r="B717" s="82" t="s">
        <v>2864</v>
      </c>
      <c r="C717" s="82" t="s">
        <v>2854</v>
      </c>
      <c r="D717" s="54"/>
      <c r="E717" s="83">
        <f>SUMIFS(E718:E1474,K718:K1474,"0",B718:B1474,"4 2 1 3 1 12 31111 6 M59 19000 000000 00000 00000 00083*")-SUMIFS(D718:D1474,K718:K1474,"0",B718:B1474,"4 2 1 3 1 12 31111 6 M59 19000 000000 00000 00000 00083*")</f>
        <v>684380</v>
      </c>
      <c r="F717" s="83">
        <f>SUMIFS(F718:F1474,K718:K1474,"0",B718:B1474,"4 2 1 3 1 12 31111 6 M59 19000 000000 00000 00000 00083*")</f>
        <v>0</v>
      </c>
      <c r="G717" s="83">
        <f>SUMIFS(G718:G1474,K718:K1474,"0",B718:B1474,"4 2 1 3 1 12 31111 6 M59 19000 000000 00000 00000 00083*")</f>
        <v>945839</v>
      </c>
      <c r="H717" s="83"/>
      <c r="I717" s="83">
        <f t="shared" si="11"/>
        <v>1630219</v>
      </c>
      <c r="K717" s="54" t="s">
        <v>15</v>
      </c>
    </row>
    <row r="718" spans="2:11" ht="33" x14ac:dyDescent="0.2">
      <c r="B718" s="82" t="s">
        <v>2865</v>
      </c>
      <c r="C718" s="82" t="s">
        <v>699</v>
      </c>
      <c r="D718" s="54"/>
      <c r="E718" s="83">
        <f>SUMIFS(E719:E1474,K719:K1474,"0",B719:B1474,"4 2 1 3 1 12 31111 6 M59 19000 000000 00000 00000 00083 011*")-SUMIFS(D719:D1474,K719:K1474,"0",B719:B1474,"4 2 1 3 1 12 31111 6 M59 19000 000000 00000 00000 00083 011*")</f>
        <v>684380</v>
      </c>
      <c r="F718" s="83">
        <f>SUMIFS(F719:F1474,K719:K1474,"0",B719:B1474,"4 2 1 3 1 12 31111 6 M59 19000 000000 00000 00000 00083 011*")</f>
        <v>0</v>
      </c>
      <c r="G718" s="83">
        <f>SUMIFS(G719:G1474,K719:K1474,"0",B719:B1474,"4 2 1 3 1 12 31111 6 M59 19000 000000 00000 00000 00083 011*")</f>
        <v>945839</v>
      </c>
      <c r="H718" s="83"/>
      <c r="I718" s="83">
        <f t="shared" si="11"/>
        <v>1630219</v>
      </c>
      <c r="K718" s="54" t="s">
        <v>15</v>
      </c>
    </row>
    <row r="719" spans="2:11" ht="33" x14ac:dyDescent="0.2">
      <c r="B719" s="82" t="s">
        <v>2866</v>
      </c>
      <c r="C719" s="82" t="s">
        <v>2320</v>
      </c>
      <c r="D719" s="54"/>
      <c r="E719" s="83">
        <f>SUMIFS(E720:E1474,K720:K1474,"0",B720:B1474,"4 2 1 3 1 12 31111 6 M59 19000 000000 00000 00000 00083 011 1113000*")-SUMIFS(D720:D1474,K720:K1474,"0",B720:B1474,"4 2 1 3 1 12 31111 6 M59 19000 000000 00000 00000 00083 011 1113000*")</f>
        <v>684380</v>
      </c>
      <c r="F719" s="83">
        <f>SUMIFS(F720:F1474,K720:K1474,"0",B720:B1474,"4 2 1 3 1 12 31111 6 M59 19000 000000 00000 00000 00083 011 1113000*")</f>
        <v>0</v>
      </c>
      <c r="G719" s="83">
        <f>SUMIFS(G720:G1474,K720:K1474,"0",B720:B1474,"4 2 1 3 1 12 31111 6 M59 19000 000000 00000 00000 00083 011 1113000*")</f>
        <v>945839</v>
      </c>
      <c r="H719" s="83"/>
      <c r="I719" s="83">
        <f t="shared" si="11"/>
        <v>1630219</v>
      </c>
      <c r="K719" s="54" t="s">
        <v>15</v>
      </c>
    </row>
    <row r="720" spans="2:11" ht="33" x14ac:dyDescent="0.2">
      <c r="B720" s="82" t="s">
        <v>2867</v>
      </c>
      <c r="C720" s="82" t="s">
        <v>660</v>
      </c>
      <c r="D720" s="54"/>
      <c r="E720" s="83">
        <f>SUMIFS(E721:E1474,K721:K1474,"0",B721:B1474,"4 2 1 3 1 12 31111 6 M59 19000 000000 00000 00000 00083 011 1113000 2024*")-SUMIFS(D721:D1474,K721:K1474,"0",B721:B1474,"4 2 1 3 1 12 31111 6 M59 19000 000000 00000 00000 00083 011 1113000 2024*")</f>
        <v>684380</v>
      </c>
      <c r="F720" s="83">
        <f>SUMIFS(F721:F1474,K721:K1474,"0",B721:B1474,"4 2 1 3 1 12 31111 6 M59 19000 000000 00000 00000 00083 011 1113000 2024*")</f>
        <v>0</v>
      </c>
      <c r="G720" s="83">
        <f>SUMIFS(G721:G1474,K721:K1474,"0",B721:B1474,"4 2 1 3 1 12 31111 6 M59 19000 000000 00000 00000 00083 011 1113000 2024*")</f>
        <v>945839</v>
      </c>
      <c r="H720" s="83"/>
      <c r="I720" s="83">
        <f t="shared" si="11"/>
        <v>1630219</v>
      </c>
      <c r="K720" s="54" t="s">
        <v>15</v>
      </c>
    </row>
    <row r="721" spans="2:11" ht="41.25" x14ac:dyDescent="0.2">
      <c r="B721" s="82" t="s">
        <v>2868</v>
      </c>
      <c r="C721" s="82" t="s">
        <v>2298</v>
      </c>
      <c r="D721" s="54"/>
      <c r="E721" s="83">
        <f>SUMIFS(E722:E1474,K722:K1474,"0",B722:B1474,"4 2 1 3 1 12 31111 6 M59 19000 000000 00000 00000 00083 011 1113000 2024 00000000*")-SUMIFS(D722:D1474,K722:K1474,"0",B722:B1474,"4 2 1 3 1 12 31111 6 M59 19000 000000 00000 00000 00083 011 1113000 2024 00000000*")</f>
        <v>684380</v>
      </c>
      <c r="F721" s="83">
        <f>SUMIFS(F722:F1474,K722:K1474,"0",B722:B1474,"4 2 1 3 1 12 31111 6 M59 19000 000000 00000 00000 00083 011 1113000 2024 00000000*")</f>
        <v>0</v>
      </c>
      <c r="G721" s="83">
        <f>SUMIFS(G722:G1474,K722:K1474,"0",B722:B1474,"4 2 1 3 1 12 31111 6 M59 19000 000000 00000 00000 00083 011 1113000 2024 00000000*")</f>
        <v>945839</v>
      </c>
      <c r="H721" s="83"/>
      <c r="I721" s="83">
        <f t="shared" si="11"/>
        <v>1630219</v>
      </c>
      <c r="K721" s="54" t="s">
        <v>15</v>
      </c>
    </row>
    <row r="722" spans="2:11" ht="41.25" x14ac:dyDescent="0.2">
      <c r="B722" s="82" t="s">
        <v>2869</v>
      </c>
      <c r="C722" s="82" t="s">
        <v>2300</v>
      </c>
      <c r="D722" s="54"/>
      <c r="E722" s="83">
        <f>SUMIFS(E723:E1474,K723:K1474,"0",B723:B1474,"4 2 1 3 1 12 31111 6 M59 19000 000000 00000 00000 00083 011 1113000 2024 00000000 004*")-SUMIFS(D723:D1474,K723:K1474,"0",B723:B1474,"4 2 1 3 1 12 31111 6 M59 19000 000000 00000 00000 00083 011 1113000 2024 00000000 004*")</f>
        <v>684380</v>
      </c>
      <c r="F722" s="83">
        <f>SUMIFS(F723:F1474,K723:K1474,"0",B723:B1474,"4 2 1 3 1 12 31111 6 M59 19000 000000 00000 00000 00083 011 1113000 2024 00000000 004*")</f>
        <v>0</v>
      </c>
      <c r="G722" s="83">
        <f>SUMIFS(G723:G1474,K723:K1474,"0",B723:B1474,"4 2 1 3 1 12 31111 6 M59 19000 000000 00000 00000 00083 011 1113000 2024 00000000 004*")</f>
        <v>945839</v>
      </c>
      <c r="H722" s="83"/>
      <c r="I722" s="83">
        <f t="shared" si="11"/>
        <v>1630219</v>
      </c>
      <c r="K722" s="54" t="s">
        <v>15</v>
      </c>
    </row>
    <row r="723" spans="2:11" ht="49.5" x14ac:dyDescent="0.2">
      <c r="B723" s="82" t="s">
        <v>2870</v>
      </c>
      <c r="C723" s="82" t="s">
        <v>2854</v>
      </c>
      <c r="D723" s="54"/>
      <c r="E723" s="83">
        <f>SUMIFS(E724:E1474,K724:K1474,"0",B724:B1474,"4 2 1 3 1 12 31111 6 M59 19000 000000 00000 00000 00083 011 1113000 2024 00000000 004 0000001*")-SUMIFS(D724:D1474,K724:K1474,"0",B724:B1474,"4 2 1 3 1 12 31111 6 M59 19000 000000 00000 00000 00083 011 1113000 2024 00000000 004 0000001*")</f>
        <v>684380</v>
      </c>
      <c r="F723" s="83">
        <f>SUMIFS(F724:F1474,K724:K1474,"0",B724:B1474,"4 2 1 3 1 12 31111 6 M59 19000 000000 00000 00000 00083 011 1113000 2024 00000000 004 0000001*")</f>
        <v>0</v>
      </c>
      <c r="G723" s="83">
        <f>SUMIFS(G724:G1474,K724:K1474,"0",B724:B1474,"4 2 1 3 1 12 31111 6 M59 19000 000000 00000 00000 00083 011 1113000 2024 00000000 004 0000001*")</f>
        <v>945839</v>
      </c>
      <c r="H723" s="83"/>
      <c r="I723" s="83">
        <f t="shared" si="11"/>
        <v>1630219</v>
      </c>
      <c r="K723" s="54" t="s">
        <v>15</v>
      </c>
    </row>
    <row r="724" spans="2:11" ht="41.25" x14ac:dyDescent="0.2">
      <c r="B724" s="84" t="s">
        <v>2871</v>
      </c>
      <c r="C724" s="84" t="s">
        <v>2872</v>
      </c>
      <c r="D724" s="85"/>
      <c r="E724" s="85">
        <v>0</v>
      </c>
      <c r="F724" s="85">
        <v>0</v>
      </c>
      <c r="G724" s="85">
        <v>568478</v>
      </c>
      <c r="H724" s="85"/>
      <c r="I724" s="85">
        <f t="shared" ref="I724:I744" si="12">E724 - F724 + G724</f>
        <v>568478</v>
      </c>
      <c r="K724" s="54" t="s">
        <v>38</v>
      </c>
    </row>
    <row r="725" spans="2:11" ht="41.25" x14ac:dyDescent="0.2">
      <c r="B725" s="84" t="s">
        <v>2873</v>
      </c>
      <c r="C725" s="84" t="s">
        <v>704</v>
      </c>
      <c r="D725" s="85"/>
      <c r="E725" s="85">
        <v>684380</v>
      </c>
      <c r="F725" s="85">
        <v>0</v>
      </c>
      <c r="G725" s="85">
        <v>377361</v>
      </c>
      <c r="H725" s="85"/>
      <c r="I725" s="85">
        <f t="shared" si="12"/>
        <v>1061741</v>
      </c>
      <c r="K725" s="54" t="s">
        <v>38</v>
      </c>
    </row>
    <row r="726" spans="2:11" ht="33" x14ac:dyDescent="0.2">
      <c r="B726" s="82" t="s">
        <v>2874</v>
      </c>
      <c r="C726" s="82" t="s">
        <v>2875</v>
      </c>
      <c r="D726" s="54"/>
      <c r="E726" s="83">
        <f>SUMIFS(E727:E1474,K727:K1474,"0",B727:B1474,"4 2 2*")-SUMIFS(D727:D1474,K727:K1474,"0",B727:B1474,"4 2 2*")</f>
        <v>480000</v>
      </c>
      <c r="F726" s="83">
        <f>SUMIFS(F727:F1474,K727:K1474,"0",B727:B1474,"4 2 2*")</f>
        <v>0</v>
      </c>
      <c r="G726" s="83">
        <f>SUMIFS(G727:G1474,K727:K1474,"0",B727:B1474,"4 2 2*")</f>
        <v>0</v>
      </c>
      <c r="H726" s="83"/>
      <c r="I726" s="83">
        <f t="shared" si="12"/>
        <v>480000</v>
      </c>
      <c r="K726" s="54" t="s">
        <v>15</v>
      </c>
    </row>
    <row r="727" spans="2:11" ht="16.5" x14ac:dyDescent="0.2">
      <c r="B727" s="82" t="s">
        <v>2876</v>
      </c>
      <c r="C727" s="82" t="s">
        <v>2877</v>
      </c>
      <c r="D727" s="54"/>
      <c r="E727" s="83">
        <f>SUMIFS(E728:E1474,K728:K1474,"0",B728:B1474,"4 2 2 1*")-SUMIFS(D728:D1474,K728:K1474,"0",B728:B1474,"4 2 2 1*")</f>
        <v>480000</v>
      </c>
      <c r="F727" s="83">
        <f>SUMIFS(F728:F1474,K728:K1474,"0",B728:B1474,"4 2 2 1*")</f>
        <v>0</v>
      </c>
      <c r="G727" s="83">
        <f>SUMIFS(G728:G1474,K728:K1474,"0",B728:B1474,"4 2 2 1*")</f>
        <v>0</v>
      </c>
      <c r="H727" s="83"/>
      <c r="I727" s="83">
        <f t="shared" si="12"/>
        <v>480000</v>
      </c>
      <c r="K727" s="54" t="s">
        <v>15</v>
      </c>
    </row>
    <row r="728" spans="2:11" ht="16.5" x14ac:dyDescent="0.2">
      <c r="B728" s="82" t="s">
        <v>2878</v>
      </c>
      <c r="C728" s="82" t="s">
        <v>2877</v>
      </c>
      <c r="D728" s="54"/>
      <c r="E728" s="83">
        <f>SUMIFS(E729:E1474,K729:K1474,"0",B729:B1474,"4 2 2 1 1*")-SUMIFS(D729:D1474,K729:K1474,"0",B729:B1474,"4 2 2 1 1*")</f>
        <v>480000</v>
      </c>
      <c r="F728" s="83">
        <f>SUMIFS(F729:F1474,K729:K1474,"0",B729:B1474,"4 2 2 1 1*")</f>
        <v>0</v>
      </c>
      <c r="G728" s="83">
        <f>SUMIFS(G729:G1474,K729:K1474,"0",B729:B1474,"4 2 2 1 1*")</f>
        <v>0</v>
      </c>
      <c r="H728" s="83"/>
      <c r="I728" s="83">
        <f t="shared" si="12"/>
        <v>480000</v>
      </c>
      <c r="K728" s="54" t="s">
        <v>15</v>
      </c>
    </row>
    <row r="729" spans="2:11" ht="12.75" x14ac:dyDescent="0.2">
      <c r="B729" s="82" t="s">
        <v>2879</v>
      </c>
      <c r="C729" s="82" t="s">
        <v>26</v>
      </c>
      <c r="D729" s="54"/>
      <c r="E729" s="83">
        <f>SUMIFS(E730:E1474,K730:K1474,"0",B730:B1474,"4 2 2 1 1 12*")-SUMIFS(D730:D1474,K730:K1474,"0",B730:B1474,"4 2 2 1 1 12*")</f>
        <v>480000</v>
      </c>
      <c r="F729" s="83">
        <f>SUMIFS(F730:F1474,K730:K1474,"0",B730:B1474,"4 2 2 1 1 12*")</f>
        <v>0</v>
      </c>
      <c r="G729" s="83">
        <f>SUMIFS(G730:G1474,K730:K1474,"0",B730:B1474,"4 2 2 1 1 12*")</f>
        <v>0</v>
      </c>
      <c r="H729" s="83"/>
      <c r="I729" s="83">
        <f t="shared" si="12"/>
        <v>480000</v>
      </c>
      <c r="K729" s="54" t="s">
        <v>15</v>
      </c>
    </row>
    <row r="730" spans="2:11" ht="16.5" x14ac:dyDescent="0.2">
      <c r="B730" s="82" t="s">
        <v>2880</v>
      </c>
      <c r="C730" s="82" t="s">
        <v>28</v>
      </c>
      <c r="D730" s="54"/>
      <c r="E730" s="83">
        <f>SUMIFS(E731:E1474,K731:K1474,"0",B731:B1474,"4 2 2 1 1 12 31111*")-SUMIFS(D731:D1474,K731:K1474,"0",B731:B1474,"4 2 2 1 1 12 31111*")</f>
        <v>480000</v>
      </c>
      <c r="F730" s="83">
        <f>SUMIFS(F731:F1474,K731:K1474,"0",B731:B1474,"4 2 2 1 1 12 31111*")</f>
        <v>0</v>
      </c>
      <c r="G730" s="83">
        <f>SUMIFS(G731:G1474,K731:K1474,"0",B731:B1474,"4 2 2 1 1 12 31111*")</f>
        <v>0</v>
      </c>
      <c r="H730" s="83"/>
      <c r="I730" s="83">
        <f t="shared" si="12"/>
        <v>480000</v>
      </c>
      <c r="K730" s="54" t="s">
        <v>15</v>
      </c>
    </row>
    <row r="731" spans="2:11" ht="12.75" x14ac:dyDescent="0.2">
      <c r="B731" s="82" t="s">
        <v>2881</v>
      </c>
      <c r="C731" s="82" t="s">
        <v>30</v>
      </c>
      <c r="D731" s="54"/>
      <c r="E731" s="83">
        <f>SUMIFS(E732:E1474,K732:K1474,"0",B732:B1474,"4 2 2 1 1 12 31111 6*")-SUMIFS(D732:D1474,K732:K1474,"0",B732:B1474,"4 2 2 1 1 12 31111 6*")</f>
        <v>480000</v>
      </c>
      <c r="F731" s="83">
        <f>SUMIFS(F732:F1474,K732:K1474,"0",B732:B1474,"4 2 2 1 1 12 31111 6*")</f>
        <v>0</v>
      </c>
      <c r="G731" s="83">
        <f>SUMIFS(G732:G1474,K732:K1474,"0",B732:B1474,"4 2 2 1 1 12 31111 6*")</f>
        <v>0</v>
      </c>
      <c r="H731" s="83"/>
      <c r="I731" s="83">
        <f t="shared" si="12"/>
        <v>480000</v>
      </c>
      <c r="K731" s="54" t="s">
        <v>15</v>
      </c>
    </row>
    <row r="732" spans="2:11" ht="16.5" x14ac:dyDescent="0.2">
      <c r="B732" s="82" t="s">
        <v>2882</v>
      </c>
      <c r="C732" s="82" t="s">
        <v>2284</v>
      </c>
      <c r="D732" s="54"/>
      <c r="E732" s="83">
        <f>SUMIFS(E733:E1474,K733:K1474,"0",B733:B1474,"4 2 2 1 1 12 31111 6 M59*")-SUMIFS(D733:D1474,K733:K1474,"0",B733:B1474,"4 2 2 1 1 12 31111 6 M59*")</f>
        <v>480000</v>
      </c>
      <c r="F732" s="83">
        <f>SUMIFS(F733:F1474,K733:K1474,"0",B733:B1474,"4 2 2 1 1 12 31111 6 M59*")</f>
        <v>0</v>
      </c>
      <c r="G732" s="83">
        <f>SUMIFS(G733:G1474,K733:K1474,"0",B733:B1474,"4 2 2 1 1 12 31111 6 M59*")</f>
        <v>0</v>
      </c>
      <c r="H732" s="83"/>
      <c r="I732" s="83">
        <f t="shared" si="12"/>
        <v>480000</v>
      </c>
      <c r="K732" s="54" t="s">
        <v>15</v>
      </c>
    </row>
    <row r="733" spans="2:11" ht="16.5" x14ac:dyDescent="0.2">
      <c r="B733" s="82" t="s">
        <v>2883</v>
      </c>
      <c r="C733" s="82" t="s">
        <v>1044</v>
      </c>
      <c r="D733" s="54"/>
      <c r="E733" s="83">
        <f>SUMIFS(E734:E1474,K734:K1474,"0",B734:B1474,"4 2 2 1 1 12 31111 6 M59 19000*")-SUMIFS(D734:D1474,K734:K1474,"0",B734:B1474,"4 2 2 1 1 12 31111 6 M59 19000*")</f>
        <v>480000</v>
      </c>
      <c r="F733" s="83">
        <f>SUMIFS(F734:F1474,K734:K1474,"0",B734:B1474,"4 2 2 1 1 12 31111 6 M59 19000*")</f>
        <v>0</v>
      </c>
      <c r="G733" s="83">
        <f>SUMIFS(G734:G1474,K734:K1474,"0",B734:B1474,"4 2 2 1 1 12 31111 6 M59 19000*")</f>
        <v>0</v>
      </c>
      <c r="H733" s="83"/>
      <c r="I733" s="83">
        <f t="shared" si="12"/>
        <v>480000</v>
      </c>
      <c r="K733" s="54" t="s">
        <v>15</v>
      </c>
    </row>
    <row r="734" spans="2:11" ht="16.5" x14ac:dyDescent="0.2">
      <c r="B734" s="82" t="s">
        <v>2884</v>
      </c>
      <c r="C734" s="82" t="s">
        <v>2287</v>
      </c>
      <c r="D734" s="54"/>
      <c r="E734" s="83">
        <f>SUMIFS(E735:E1474,K735:K1474,"0",B735:B1474,"4 2 2 1 1 12 31111 6 M59 19000 000000*")-SUMIFS(D735:D1474,K735:K1474,"0",B735:B1474,"4 2 2 1 1 12 31111 6 M59 19000 000000*")</f>
        <v>480000</v>
      </c>
      <c r="F734" s="83">
        <f>SUMIFS(F735:F1474,K735:K1474,"0",B735:B1474,"4 2 2 1 1 12 31111 6 M59 19000 000000*")</f>
        <v>0</v>
      </c>
      <c r="G734" s="83">
        <f>SUMIFS(G735:G1474,K735:K1474,"0",B735:B1474,"4 2 2 1 1 12 31111 6 M59 19000 000000*")</f>
        <v>0</v>
      </c>
      <c r="H734" s="83"/>
      <c r="I734" s="83">
        <f t="shared" si="12"/>
        <v>480000</v>
      </c>
      <c r="K734" s="54" t="s">
        <v>15</v>
      </c>
    </row>
    <row r="735" spans="2:11" ht="24.75" x14ac:dyDescent="0.2">
      <c r="B735" s="82" t="s">
        <v>2885</v>
      </c>
      <c r="C735" s="82" t="s">
        <v>2289</v>
      </c>
      <c r="D735" s="54"/>
      <c r="E735" s="83">
        <f>SUMIFS(E736:E1474,K736:K1474,"0",B736:B1474,"4 2 2 1 1 12 31111 6 M59 19000 000000 00000*")-SUMIFS(D736:D1474,K736:K1474,"0",B736:B1474,"4 2 2 1 1 12 31111 6 M59 19000 000000 00000*")</f>
        <v>480000</v>
      </c>
      <c r="F735" s="83">
        <f>SUMIFS(F736:F1474,K736:K1474,"0",B736:B1474,"4 2 2 1 1 12 31111 6 M59 19000 000000 00000*")</f>
        <v>0</v>
      </c>
      <c r="G735" s="83">
        <f>SUMIFS(G736:G1474,K736:K1474,"0",B736:B1474,"4 2 2 1 1 12 31111 6 M59 19000 000000 00000*")</f>
        <v>0</v>
      </c>
      <c r="H735" s="83"/>
      <c r="I735" s="83">
        <f t="shared" si="12"/>
        <v>480000</v>
      </c>
      <c r="K735" s="54" t="s">
        <v>15</v>
      </c>
    </row>
    <row r="736" spans="2:11" ht="24.75" x14ac:dyDescent="0.2">
      <c r="B736" s="82" t="s">
        <v>2886</v>
      </c>
      <c r="C736" s="82" t="s">
        <v>2291</v>
      </c>
      <c r="D736" s="54"/>
      <c r="E736" s="83">
        <f>SUMIFS(E737:E1474,K737:K1474,"0",B737:B1474,"4 2 2 1 1 12 31111 6 M59 19000 000000 00000 00000*")-SUMIFS(D737:D1474,K737:K1474,"0",B737:B1474,"4 2 2 1 1 12 31111 6 M59 19000 000000 00000 00000*")</f>
        <v>480000</v>
      </c>
      <c r="F736" s="83">
        <f>SUMIFS(F737:F1474,K737:K1474,"0",B737:B1474,"4 2 2 1 1 12 31111 6 M59 19000 000000 00000 00000*")</f>
        <v>0</v>
      </c>
      <c r="G736" s="83">
        <f>SUMIFS(G737:G1474,K737:K1474,"0",B737:B1474,"4 2 2 1 1 12 31111 6 M59 19000 000000 00000 00000*")</f>
        <v>0</v>
      </c>
      <c r="H736" s="83"/>
      <c r="I736" s="83">
        <f t="shared" si="12"/>
        <v>480000</v>
      </c>
      <c r="K736" s="54" t="s">
        <v>15</v>
      </c>
    </row>
    <row r="737" spans="2:11" ht="24.75" x14ac:dyDescent="0.2">
      <c r="B737" s="82" t="s">
        <v>2887</v>
      </c>
      <c r="C737" s="82" t="s">
        <v>2877</v>
      </c>
      <c r="D737" s="54"/>
      <c r="E737" s="83">
        <f>SUMIFS(E738:E1474,K738:K1474,"0",B738:B1474,"4 2 2 1 1 12 31111 6 M59 19000 000000 00000 00000 00091*")-SUMIFS(D738:D1474,K738:K1474,"0",B738:B1474,"4 2 2 1 1 12 31111 6 M59 19000 000000 00000 00000 00091*")</f>
        <v>480000</v>
      </c>
      <c r="F737" s="83">
        <f>SUMIFS(F738:F1474,K738:K1474,"0",B738:B1474,"4 2 2 1 1 12 31111 6 M59 19000 000000 00000 00000 00091*")</f>
        <v>0</v>
      </c>
      <c r="G737" s="83">
        <f>SUMIFS(G738:G1474,K738:K1474,"0",B738:B1474,"4 2 2 1 1 12 31111 6 M59 19000 000000 00000 00000 00091*")</f>
        <v>0</v>
      </c>
      <c r="H737" s="83"/>
      <c r="I737" s="83">
        <f t="shared" si="12"/>
        <v>480000</v>
      </c>
      <c r="K737" s="54" t="s">
        <v>15</v>
      </c>
    </row>
    <row r="738" spans="2:11" ht="33" x14ac:dyDescent="0.2">
      <c r="B738" s="82" t="s">
        <v>2888</v>
      </c>
      <c r="C738" s="82" t="s">
        <v>699</v>
      </c>
      <c r="D738" s="54"/>
      <c r="E738" s="83">
        <f>SUMIFS(E739:E1474,K739:K1474,"0",B739:B1474,"4 2 2 1 1 12 31111 6 M59 19000 000000 00000 00000 00091 011*")-SUMIFS(D739:D1474,K739:K1474,"0",B739:B1474,"4 2 2 1 1 12 31111 6 M59 19000 000000 00000 00000 00091 011*")</f>
        <v>480000</v>
      </c>
      <c r="F738" s="83">
        <f>SUMIFS(F739:F1474,K739:K1474,"0",B739:B1474,"4 2 2 1 1 12 31111 6 M59 19000 000000 00000 00000 00091 011*")</f>
        <v>0</v>
      </c>
      <c r="G738" s="83">
        <f>SUMIFS(G739:G1474,K739:K1474,"0",B739:B1474,"4 2 2 1 1 12 31111 6 M59 19000 000000 00000 00000 00091 011*")</f>
        <v>0</v>
      </c>
      <c r="H738" s="83"/>
      <c r="I738" s="83">
        <f t="shared" si="12"/>
        <v>480000</v>
      </c>
      <c r="K738" s="54" t="s">
        <v>15</v>
      </c>
    </row>
    <row r="739" spans="2:11" ht="33" x14ac:dyDescent="0.2">
      <c r="B739" s="82" t="s">
        <v>2889</v>
      </c>
      <c r="C739" s="82" t="s">
        <v>10197</v>
      </c>
      <c r="D739" s="54"/>
      <c r="E739" s="83">
        <f>SUMIFS(E740:E1474,K740:K1474,"0",B740:B1474,"4 2 2 1 1 12 31111 6 M59 19000 000000 00000 00000 00091 011 1182110*")-SUMIFS(D740:D1474,K740:K1474,"0",B740:B1474,"4 2 2 1 1 12 31111 6 M59 19000 000000 00000 00000 00091 011 1182110*")</f>
        <v>480000</v>
      </c>
      <c r="F739" s="83">
        <f>SUMIFS(F740:F1474,K740:K1474,"0",B740:B1474,"4 2 2 1 1 12 31111 6 M59 19000 000000 00000 00000 00091 011 1182110*")</f>
        <v>0</v>
      </c>
      <c r="G739" s="83">
        <f>SUMIFS(G740:G1474,K740:K1474,"0",B740:B1474,"4 2 2 1 1 12 31111 6 M59 19000 000000 00000 00000 00091 011 1182110*")</f>
        <v>0</v>
      </c>
      <c r="H739" s="83"/>
      <c r="I739" s="83">
        <f t="shared" si="12"/>
        <v>480000</v>
      </c>
      <c r="K739" s="54" t="s">
        <v>15</v>
      </c>
    </row>
    <row r="740" spans="2:11" ht="33" x14ac:dyDescent="0.2">
      <c r="B740" s="82" t="s">
        <v>2891</v>
      </c>
      <c r="C740" s="82" t="s">
        <v>660</v>
      </c>
      <c r="D740" s="54"/>
      <c r="E740" s="83">
        <f>SUMIFS(E741:E1474,K741:K1474,"0",B741:B1474,"4 2 2 1 1 12 31111 6 M59 19000 000000 00000 00000 00091 011 1182110 2024*")-SUMIFS(D741:D1474,K741:K1474,"0",B741:B1474,"4 2 2 1 1 12 31111 6 M59 19000 000000 00000 00000 00091 011 1182110 2024*")</f>
        <v>480000</v>
      </c>
      <c r="F740" s="83">
        <f>SUMIFS(F741:F1474,K741:K1474,"0",B741:B1474,"4 2 2 1 1 12 31111 6 M59 19000 000000 00000 00000 00091 011 1182110 2024*")</f>
        <v>0</v>
      </c>
      <c r="G740" s="83">
        <f>SUMIFS(G741:G1474,K741:K1474,"0",B741:B1474,"4 2 2 1 1 12 31111 6 M59 19000 000000 00000 00000 00091 011 1182110 2024*")</f>
        <v>0</v>
      </c>
      <c r="H740" s="83"/>
      <c r="I740" s="83">
        <f t="shared" si="12"/>
        <v>480000</v>
      </c>
      <c r="K740" s="54" t="s">
        <v>15</v>
      </c>
    </row>
    <row r="741" spans="2:11" ht="41.25" x14ac:dyDescent="0.2">
      <c r="B741" s="82" t="s">
        <v>2892</v>
      </c>
      <c r="C741" s="82" t="s">
        <v>2298</v>
      </c>
      <c r="D741" s="54"/>
      <c r="E741" s="83">
        <f>SUMIFS(E742:E1474,K742:K1474,"0",B742:B1474,"4 2 2 1 1 12 31111 6 M59 19000 000000 00000 00000 00091 011 1182110 2024 00000000*")-SUMIFS(D742:D1474,K742:K1474,"0",B742:B1474,"4 2 2 1 1 12 31111 6 M59 19000 000000 00000 00000 00091 011 1182110 2024 00000000*")</f>
        <v>480000</v>
      </c>
      <c r="F741" s="83">
        <f>SUMIFS(F742:F1474,K742:K1474,"0",B742:B1474,"4 2 2 1 1 12 31111 6 M59 19000 000000 00000 00000 00091 011 1182110 2024 00000000*")</f>
        <v>0</v>
      </c>
      <c r="G741" s="83">
        <f>SUMIFS(G742:G1474,K742:K1474,"0",B742:B1474,"4 2 2 1 1 12 31111 6 M59 19000 000000 00000 00000 00091 011 1182110 2024 00000000*")</f>
        <v>0</v>
      </c>
      <c r="H741" s="83"/>
      <c r="I741" s="83">
        <f t="shared" si="12"/>
        <v>480000</v>
      </c>
      <c r="K741" s="54" t="s">
        <v>15</v>
      </c>
    </row>
    <row r="742" spans="2:11" ht="41.25" x14ac:dyDescent="0.2">
      <c r="B742" s="82" t="s">
        <v>2893</v>
      </c>
      <c r="C742" s="82" t="s">
        <v>46</v>
      </c>
      <c r="D742" s="54"/>
      <c r="E742" s="83">
        <f>SUMIFS(E743:E1474,K743:K1474,"0",B743:B1474,"4 2 2 1 1 12 31111 6 M59 19000 000000 00000 00000 00091 011 1182110 2024 00000000 004*")-SUMIFS(D743:D1474,K743:K1474,"0",B743:B1474,"4 2 2 1 1 12 31111 6 M59 19000 000000 00000 00000 00091 011 1182110 2024 00000000 004*")</f>
        <v>480000</v>
      </c>
      <c r="F742" s="83">
        <f>SUMIFS(F743:F1474,K743:K1474,"0",B743:B1474,"4 2 2 1 1 12 31111 6 M59 19000 000000 00000 00000 00091 011 1182110 2024 00000000 004*")</f>
        <v>0</v>
      </c>
      <c r="G742" s="83">
        <f>SUMIFS(G743:G1474,K743:K1474,"0",B743:B1474,"4 2 2 1 1 12 31111 6 M59 19000 000000 00000 00000 00091 011 1182110 2024 00000000 004*")</f>
        <v>0</v>
      </c>
      <c r="H742" s="83"/>
      <c r="I742" s="83">
        <f t="shared" si="12"/>
        <v>480000</v>
      </c>
      <c r="K742" s="54" t="s">
        <v>15</v>
      </c>
    </row>
    <row r="743" spans="2:11" ht="49.5" x14ac:dyDescent="0.2">
      <c r="B743" s="82" t="s">
        <v>2894</v>
      </c>
      <c r="C743" s="82" t="s">
        <v>2877</v>
      </c>
      <c r="D743" s="54"/>
      <c r="E743" s="83">
        <f>SUMIFS(E744:E1474,K744:K1474,"0",B744:B1474,"4 2 2 1 1 12 31111 6 M59 19000 000000 00000 00000 00091 011 1182110 2024 00000000 004 0000001*")-SUMIFS(D744:D1474,K744:K1474,"0",B744:B1474,"4 2 2 1 1 12 31111 6 M59 19000 000000 00000 00000 00091 011 1182110 2024 00000000 004 0000001*")</f>
        <v>480000</v>
      </c>
      <c r="F743" s="83">
        <f>SUMIFS(F744:F1474,K744:K1474,"0",B744:B1474,"4 2 2 1 1 12 31111 6 M59 19000 000000 00000 00000 00091 011 1182110 2024 00000000 004 0000001*")</f>
        <v>0</v>
      </c>
      <c r="G743" s="83">
        <f>SUMIFS(G744:G1474,K744:K1474,"0",B744:B1474,"4 2 2 1 1 12 31111 6 M59 19000 000000 00000 00000 00091 011 1182110 2024 00000000 004 0000001*")</f>
        <v>0</v>
      </c>
      <c r="H743" s="83"/>
      <c r="I743" s="83">
        <f t="shared" si="12"/>
        <v>480000</v>
      </c>
      <c r="K743" s="54" t="s">
        <v>15</v>
      </c>
    </row>
    <row r="744" spans="2:11" ht="41.25" x14ac:dyDescent="0.2">
      <c r="B744" s="84" t="s">
        <v>2895</v>
      </c>
      <c r="C744" s="84" t="s">
        <v>2877</v>
      </c>
      <c r="D744" s="85"/>
      <c r="E744" s="85">
        <v>480000</v>
      </c>
      <c r="F744" s="85">
        <v>0</v>
      </c>
      <c r="G744" s="85">
        <v>0</v>
      </c>
      <c r="H744" s="85"/>
      <c r="I744" s="85">
        <f t="shared" si="12"/>
        <v>480000</v>
      </c>
      <c r="K744" s="54" t="s">
        <v>38</v>
      </c>
    </row>
    <row r="745" spans="2:11" ht="12.75" x14ac:dyDescent="0.2">
      <c r="B745" s="82" t="s">
        <v>2896</v>
      </c>
      <c r="C745" s="82" t="s">
        <v>2897</v>
      </c>
      <c r="D745" s="83">
        <f>SUMIFS(D746:D1474,K746:K1474,"0",B746:B1474,"5*")-SUMIFS(E746:E1474,K746:K1474,"0",B746:B1474,"5*")</f>
        <v>18392571.030000001</v>
      </c>
      <c r="E745" s="54"/>
      <c r="F745" s="83">
        <f>SUMIFS(F746:F1474,K746:K1474,"0",B746:B1474,"5*")</f>
        <v>2217490.04</v>
      </c>
      <c r="G745" s="83">
        <f>SUMIFS(G746:G1474,K746:K1474,"0",B746:B1474,"5*")</f>
        <v>0</v>
      </c>
      <c r="H745" s="83">
        <f t="shared" ref="H745:H808" si="13">D745 + F745 - G745</f>
        <v>20610061.07</v>
      </c>
      <c r="I745" s="83"/>
      <c r="K745" s="54" t="s">
        <v>15</v>
      </c>
    </row>
    <row r="746" spans="2:11" ht="12.75" x14ac:dyDescent="0.2">
      <c r="B746" s="82" t="s">
        <v>2898</v>
      </c>
      <c r="C746" s="82" t="s">
        <v>2899</v>
      </c>
      <c r="D746" s="83">
        <f>SUMIFS(D747:D1474,K747:K1474,"0",B747:B1474,"5 1*")-SUMIFS(E747:E1474,K747:K1474,"0",B747:B1474,"5 1*")</f>
        <v>16615761.310000001</v>
      </c>
      <c r="E746" s="54"/>
      <c r="F746" s="83">
        <f>SUMIFS(F747:F1474,K747:K1474,"0",B747:B1474,"5 1*")</f>
        <v>821927.03999999992</v>
      </c>
      <c r="G746" s="83">
        <f>SUMIFS(G747:G1474,K747:K1474,"0",B747:B1474,"5 1*")</f>
        <v>0</v>
      </c>
      <c r="H746" s="83">
        <f t="shared" si="13"/>
        <v>17437688.350000001</v>
      </c>
      <c r="I746" s="83"/>
      <c r="K746" s="54" t="s">
        <v>15</v>
      </c>
    </row>
    <row r="747" spans="2:11" ht="12.75" x14ac:dyDescent="0.2">
      <c r="B747" s="82" t="s">
        <v>5813</v>
      </c>
      <c r="C747" s="82" t="s">
        <v>5814</v>
      </c>
      <c r="D747" s="83">
        <f>SUMIFS(D748:D1474,K748:K1474,"0",B748:B1474,"5 1 2*")-SUMIFS(E748:E1474,K748:K1474,"0",B748:B1474,"5 1 2*")</f>
        <v>9208721.2400000002</v>
      </c>
      <c r="E747" s="54"/>
      <c r="F747" s="83">
        <f>SUMIFS(F748:F1474,K748:K1474,"0",B748:B1474,"5 1 2*")</f>
        <v>419810.05000000005</v>
      </c>
      <c r="G747" s="83">
        <f>SUMIFS(G748:G1474,K748:K1474,"0",B748:B1474,"5 1 2*")</f>
        <v>0</v>
      </c>
      <c r="H747" s="83">
        <f t="shared" si="13"/>
        <v>9628531.290000001</v>
      </c>
      <c r="I747" s="83"/>
      <c r="K747" s="54" t="s">
        <v>15</v>
      </c>
    </row>
    <row r="748" spans="2:11" ht="33" x14ac:dyDescent="0.2">
      <c r="B748" s="82" t="s">
        <v>5815</v>
      </c>
      <c r="C748" s="82" t="s">
        <v>497</v>
      </c>
      <c r="D748" s="83">
        <f>SUMIFS(D749:D1474,K749:K1474,"0",B749:B1474,"5 1 2 1*")-SUMIFS(E749:E1474,K749:K1474,"0",B749:B1474,"5 1 2 1*")</f>
        <v>5047109.97</v>
      </c>
      <c r="E748" s="54"/>
      <c r="F748" s="83">
        <f>SUMIFS(F749:F1474,K749:K1474,"0",B749:B1474,"5 1 2 1*")</f>
        <v>314605</v>
      </c>
      <c r="G748" s="83">
        <f>SUMIFS(G749:G1474,K749:K1474,"0",B749:B1474,"5 1 2 1*")</f>
        <v>0</v>
      </c>
      <c r="H748" s="83">
        <f t="shared" si="13"/>
        <v>5361714.97</v>
      </c>
      <c r="I748" s="83"/>
      <c r="K748" s="54" t="s">
        <v>15</v>
      </c>
    </row>
    <row r="749" spans="2:11" ht="24.75" x14ac:dyDescent="0.2">
      <c r="B749" s="82" t="s">
        <v>5816</v>
      </c>
      <c r="C749" s="82" t="s">
        <v>5817</v>
      </c>
      <c r="D749" s="83">
        <f>SUMIFS(D750:D1474,K750:K1474,"0",B750:B1474,"5 1 2 1 1*")-SUMIFS(E750:E1474,K750:K1474,"0",B750:B1474,"5 1 2 1 1*")</f>
        <v>1683186.48</v>
      </c>
      <c r="E749" s="54"/>
      <c r="F749" s="83">
        <f>SUMIFS(F750:F1474,K750:K1474,"0",B750:B1474,"5 1 2 1 1*")</f>
        <v>259266.17</v>
      </c>
      <c r="G749" s="83">
        <f>SUMIFS(G750:G1474,K750:K1474,"0",B750:B1474,"5 1 2 1 1*")</f>
        <v>0</v>
      </c>
      <c r="H749" s="83">
        <f t="shared" si="13"/>
        <v>1942452.65</v>
      </c>
      <c r="I749" s="83"/>
      <c r="K749" s="54" t="s">
        <v>15</v>
      </c>
    </row>
    <row r="750" spans="2:11" ht="12.75" x14ac:dyDescent="0.2">
      <c r="B750" s="82" t="s">
        <v>5818</v>
      </c>
      <c r="C750" s="82" t="s">
        <v>26</v>
      </c>
      <c r="D750" s="83">
        <f>SUMIFS(D751:D1474,K751:K1474,"0",B751:B1474,"5 1 2 1 1 12*")-SUMIFS(E751:E1474,K751:K1474,"0",B751:B1474,"5 1 2 1 1 12*")</f>
        <v>1683186.48</v>
      </c>
      <c r="E750" s="54"/>
      <c r="F750" s="83">
        <f>SUMIFS(F751:F1474,K751:K1474,"0",B751:B1474,"5 1 2 1 1 12*")</f>
        <v>259266.17</v>
      </c>
      <c r="G750" s="83">
        <f>SUMIFS(G751:G1474,K751:K1474,"0",B751:B1474,"5 1 2 1 1 12*")</f>
        <v>0</v>
      </c>
      <c r="H750" s="83">
        <f t="shared" si="13"/>
        <v>1942452.65</v>
      </c>
      <c r="I750" s="83"/>
      <c r="K750" s="54" t="s">
        <v>15</v>
      </c>
    </row>
    <row r="751" spans="2:11" ht="16.5" x14ac:dyDescent="0.2">
      <c r="B751" s="82" t="s">
        <v>5819</v>
      </c>
      <c r="C751" s="82" t="s">
        <v>28</v>
      </c>
      <c r="D751" s="83">
        <f>SUMIFS(D752:D1474,K752:K1474,"0",B752:B1474,"5 1 2 1 1 12 31111*")-SUMIFS(E752:E1474,K752:K1474,"0",B752:B1474,"5 1 2 1 1 12 31111*")</f>
        <v>1683186.48</v>
      </c>
      <c r="E751" s="54"/>
      <c r="F751" s="83">
        <f>SUMIFS(F752:F1474,K752:K1474,"0",B752:B1474,"5 1 2 1 1 12 31111*")</f>
        <v>259266.17</v>
      </c>
      <c r="G751" s="83">
        <f>SUMIFS(G752:G1474,K752:K1474,"0",B752:B1474,"5 1 2 1 1 12 31111*")</f>
        <v>0</v>
      </c>
      <c r="H751" s="83">
        <f t="shared" si="13"/>
        <v>1942452.65</v>
      </c>
      <c r="I751" s="83"/>
      <c r="K751" s="54" t="s">
        <v>15</v>
      </c>
    </row>
    <row r="752" spans="2:11" ht="12.75" x14ac:dyDescent="0.2">
      <c r="B752" s="82" t="s">
        <v>5820</v>
      </c>
      <c r="C752" s="82" t="s">
        <v>30</v>
      </c>
      <c r="D752" s="83">
        <f>SUMIFS(D753:D1474,K753:K1474,"0",B753:B1474,"5 1 2 1 1 12 31111 6*")-SUMIFS(E753:E1474,K753:K1474,"0",B753:B1474,"5 1 2 1 1 12 31111 6*")</f>
        <v>1683186.48</v>
      </c>
      <c r="E752" s="54"/>
      <c r="F752" s="83">
        <f>SUMIFS(F753:F1474,K753:K1474,"0",B753:B1474,"5 1 2 1 1 12 31111 6*")</f>
        <v>259266.17</v>
      </c>
      <c r="G752" s="83">
        <f>SUMIFS(G753:G1474,K753:K1474,"0",B753:B1474,"5 1 2 1 1 12 31111 6*")</f>
        <v>0</v>
      </c>
      <c r="H752" s="83">
        <f t="shared" si="13"/>
        <v>1942452.65</v>
      </c>
      <c r="I752" s="83"/>
      <c r="K752" s="54" t="s">
        <v>15</v>
      </c>
    </row>
    <row r="753" spans="2:11" ht="16.5" x14ac:dyDescent="0.2">
      <c r="B753" s="82" t="s">
        <v>5821</v>
      </c>
      <c r="C753" s="82" t="s">
        <v>2284</v>
      </c>
      <c r="D753" s="83">
        <f>SUMIFS(D754:D1474,K754:K1474,"0",B754:B1474,"5 1 2 1 1 12 31111 6 M59*")-SUMIFS(E754:E1474,K754:K1474,"0",B754:B1474,"5 1 2 1 1 12 31111 6 M59*")</f>
        <v>1683186.48</v>
      </c>
      <c r="E753" s="54"/>
      <c r="F753" s="83">
        <f>SUMIFS(F754:F1474,K754:K1474,"0",B754:B1474,"5 1 2 1 1 12 31111 6 M59*")</f>
        <v>259266.17</v>
      </c>
      <c r="G753" s="83">
        <f>SUMIFS(G754:G1474,K754:K1474,"0",B754:B1474,"5 1 2 1 1 12 31111 6 M59*")</f>
        <v>0</v>
      </c>
      <c r="H753" s="83">
        <f t="shared" si="13"/>
        <v>1942452.65</v>
      </c>
      <c r="I753" s="83"/>
      <c r="K753" s="54" t="s">
        <v>15</v>
      </c>
    </row>
    <row r="754" spans="2:11" ht="16.5" x14ac:dyDescent="0.2">
      <c r="B754" s="82" t="s">
        <v>5901</v>
      </c>
      <c r="C754" s="82" t="s">
        <v>1044</v>
      </c>
      <c r="D754" s="83">
        <f>SUMIFS(D755:D1474,K755:K1474,"0",B755:B1474,"5 1 2 1 1 12 31111 6 M59 19000*")-SUMIFS(E755:E1474,K755:K1474,"0",B755:B1474,"5 1 2 1 1 12 31111 6 M59 19000*")</f>
        <v>1683186.48</v>
      </c>
      <c r="E754" s="54"/>
      <c r="F754" s="83">
        <f>SUMIFS(F755:F1474,K755:K1474,"0",B755:B1474,"5 1 2 1 1 12 31111 6 M59 19000*")</f>
        <v>255766.22</v>
      </c>
      <c r="G754" s="83">
        <f>SUMIFS(G755:G1474,K755:K1474,"0",B755:B1474,"5 1 2 1 1 12 31111 6 M59 19000*")</f>
        <v>0</v>
      </c>
      <c r="H754" s="83">
        <f t="shared" si="13"/>
        <v>1938952.7</v>
      </c>
      <c r="I754" s="83"/>
      <c r="K754" s="54" t="s">
        <v>15</v>
      </c>
    </row>
    <row r="755" spans="2:11" ht="16.5" x14ac:dyDescent="0.2">
      <c r="B755" s="82" t="s">
        <v>5902</v>
      </c>
      <c r="C755" s="82" t="s">
        <v>648</v>
      </c>
      <c r="D755" s="83">
        <f>SUMIFS(D756:D1474,K756:K1474,"0",B756:B1474,"5 1 2 1 1 12 31111 6 M59 19000 000132*")-SUMIFS(E756:E1474,K756:K1474,"0",B756:B1474,"5 1 2 1 1 12 31111 6 M59 19000 000132*")</f>
        <v>1683186.48</v>
      </c>
      <c r="E755" s="54"/>
      <c r="F755" s="83">
        <f>SUMIFS(F756:F1474,K756:K1474,"0",B756:B1474,"5 1 2 1 1 12 31111 6 M59 19000 000132*")</f>
        <v>255766.22</v>
      </c>
      <c r="G755" s="83">
        <f>SUMIFS(G756:G1474,K756:K1474,"0",B756:B1474,"5 1 2 1 1 12 31111 6 M59 19000 000132*")</f>
        <v>0</v>
      </c>
      <c r="H755" s="83">
        <f t="shared" si="13"/>
        <v>1938952.7</v>
      </c>
      <c r="I755" s="83"/>
      <c r="K755" s="54" t="s">
        <v>15</v>
      </c>
    </row>
    <row r="756" spans="2:11" ht="16.5" x14ac:dyDescent="0.2">
      <c r="B756" s="82" t="s">
        <v>5903</v>
      </c>
      <c r="C756" s="82" t="s">
        <v>650</v>
      </c>
      <c r="D756" s="83">
        <f>SUMIFS(D757:D1474,K757:K1474,"0",B757:B1474,"5 1 2 1 1 12 31111 6 M59 19000 000132 0000R*")-SUMIFS(E757:E1474,K757:K1474,"0",B757:B1474,"5 1 2 1 1 12 31111 6 M59 19000 000132 0000R*")</f>
        <v>1683186.48</v>
      </c>
      <c r="E756" s="54"/>
      <c r="F756" s="83">
        <f>SUMIFS(F757:F1474,K757:K1474,"0",B757:B1474,"5 1 2 1 1 12 31111 6 M59 19000 000132 0000R*")</f>
        <v>255766.22</v>
      </c>
      <c r="G756" s="83">
        <f>SUMIFS(G757:G1474,K757:K1474,"0",B757:B1474,"5 1 2 1 1 12 31111 6 M59 19000 000132 0000R*")</f>
        <v>0</v>
      </c>
      <c r="H756" s="83">
        <f t="shared" si="13"/>
        <v>1938952.7</v>
      </c>
      <c r="I756" s="83"/>
      <c r="K756" s="54" t="s">
        <v>15</v>
      </c>
    </row>
    <row r="757" spans="2:11" ht="24.75" x14ac:dyDescent="0.2">
      <c r="B757" s="82" t="s">
        <v>5904</v>
      </c>
      <c r="C757" s="82" t="s">
        <v>282</v>
      </c>
      <c r="D757" s="83">
        <f>SUMIFS(D758:D1474,K758:K1474,"0",B758:B1474,"5 1 2 1 1 12 31111 6 M59 19000 000132 0000R 00001*")-SUMIFS(E758:E1474,K758:K1474,"0",B758:B1474,"5 1 2 1 1 12 31111 6 M59 19000 000132 0000R 00001*")</f>
        <v>1683186.48</v>
      </c>
      <c r="E757" s="54"/>
      <c r="F757" s="83">
        <f>SUMIFS(F758:F1474,K758:K1474,"0",B758:B1474,"5 1 2 1 1 12 31111 6 M59 19000 000132 0000R 00001*")</f>
        <v>255766.22</v>
      </c>
      <c r="G757" s="83">
        <f>SUMIFS(G758:G1474,K758:K1474,"0",B758:B1474,"5 1 2 1 1 12 31111 6 M59 19000 000132 0000R 00001*")</f>
        <v>0</v>
      </c>
      <c r="H757" s="83">
        <f t="shared" si="13"/>
        <v>1938952.7</v>
      </c>
      <c r="I757" s="83"/>
      <c r="K757" s="54" t="s">
        <v>15</v>
      </c>
    </row>
    <row r="758" spans="2:11" ht="24.75" x14ac:dyDescent="0.2">
      <c r="B758" s="82" t="s">
        <v>5905</v>
      </c>
      <c r="C758" s="82" t="s">
        <v>5827</v>
      </c>
      <c r="D758" s="83">
        <f>SUMIFS(D759:D1474,K759:K1474,"0",B759:B1474,"5 1 2 1 1 12 31111 6 M59 19000 000132 0000R 00001 00211*")-SUMIFS(E759:E1474,K759:K1474,"0",B759:B1474,"5 1 2 1 1 12 31111 6 M59 19000 000132 0000R 00001 00211*")</f>
        <v>1683186.48</v>
      </c>
      <c r="E758" s="54"/>
      <c r="F758" s="83">
        <f>SUMIFS(F759:F1474,K759:K1474,"0",B759:B1474,"5 1 2 1 1 12 31111 6 M59 19000 000132 0000R 00001 00211*")</f>
        <v>255766.22</v>
      </c>
      <c r="G758" s="83">
        <f>SUMIFS(G759:G1474,K759:K1474,"0",B759:B1474,"5 1 2 1 1 12 31111 6 M59 19000 000132 0000R 00001 00211*")</f>
        <v>0</v>
      </c>
      <c r="H758" s="83">
        <f t="shared" si="13"/>
        <v>1938952.7</v>
      </c>
      <c r="I758" s="83"/>
      <c r="K758" s="54" t="s">
        <v>15</v>
      </c>
    </row>
    <row r="759" spans="2:11" ht="24.75" x14ac:dyDescent="0.2">
      <c r="B759" s="82" t="s">
        <v>5906</v>
      </c>
      <c r="C759" s="82" t="s">
        <v>699</v>
      </c>
      <c r="D759" s="83">
        <f>SUMIFS(D760:D1474,K760:K1474,"0",B760:B1474,"5 1 2 1 1 12 31111 6 M59 19000 000132 0000R 00001 00211 011*")-SUMIFS(E760:E1474,K760:K1474,"0",B760:B1474,"5 1 2 1 1 12 31111 6 M59 19000 000132 0000R 00001 00211 011*")</f>
        <v>1683186.48</v>
      </c>
      <c r="E759" s="54"/>
      <c r="F759" s="83">
        <f>SUMIFS(F760:F1474,K760:K1474,"0",B760:B1474,"5 1 2 1 1 12 31111 6 M59 19000 000132 0000R 00001 00211 011*")</f>
        <v>255766.22</v>
      </c>
      <c r="G759" s="83">
        <f>SUMIFS(G760:G1474,K760:K1474,"0",B760:B1474,"5 1 2 1 1 12 31111 6 M59 19000 000132 0000R 00001 00211 011*")</f>
        <v>0</v>
      </c>
      <c r="H759" s="83">
        <f t="shared" si="13"/>
        <v>1938952.7</v>
      </c>
      <c r="I759" s="83"/>
      <c r="K759" s="54" t="s">
        <v>15</v>
      </c>
    </row>
    <row r="760" spans="2:11" ht="33" x14ac:dyDescent="0.2">
      <c r="B760" s="82" t="s">
        <v>5907</v>
      </c>
      <c r="C760" s="82" t="s">
        <v>5830</v>
      </c>
      <c r="D760" s="83">
        <f>SUMIFS(D761:D1474,K761:K1474,"0",B761:B1474,"5 1 2 1 1 12 31111 6 M59 19000 000132 0000R 00001 00211 011 2112000*")-SUMIFS(E761:E1474,K761:K1474,"0",B761:B1474,"5 1 2 1 1 12 31111 6 M59 19000 000132 0000R 00001 00211 011 2112000*")</f>
        <v>1683186.48</v>
      </c>
      <c r="E760" s="54"/>
      <c r="F760" s="83">
        <f>SUMIFS(F761:F1474,K761:K1474,"0",B761:B1474,"5 1 2 1 1 12 31111 6 M59 19000 000132 0000R 00001 00211 011 2112000*")</f>
        <v>255766.22</v>
      </c>
      <c r="G760" s="83">
        <f>SUMIFS(G761:G1474,K761:K1474,"0",B761:B1474,"5 1 2 1 1 12 31111 6 M59 19000 000132 0000R 00001 00211 011 2112000*")</f>
        <v>0</v>
      </c>
      <c r="H760" s="83">
        <f t="shared" si="13"/>
        <v>1938952.7</v>
      </c>
      <c r="I760" s="83"/>
      <c r="K760" s="54" t="s">
        <v>15</v>
      </c>
    </row>
    <row r="761" spans="2:11" ht="33" x14ac:dyDescent="0.2">
      <c r="B761" s="82" t="s">
        <v>5908</v>
      </c>
      <c r="C761" s="82" t="s">
        <v>660</v>
      </c>
      <c r="D761" s="83">
        <f>SUMIFS(D762:D1474,K762:K1474,"0",B762:B1474,"5 1 2 1 1 12 31111 6 M59 19000 000132 0000R 00001 00211 011 2112000 2024*")-SUMIFS(E762:E1474,K762:K1474,"0",B762:B1474,"5 1 2 1 1 12 31111 6 M59 19000 000132 0000R 00001 00211 011 2112000 2024*")</f>
        <v>1683186.48</v>
      </c>
      <c r="E761" s="54"/>
      <c r="F761" s="83">
        <f>SUMIFS(F762:F1474,K762:K1474,"0",B762:B1474,"5 1 2 1 1 12 31111 6 M59 19000 000132 0000R 00001 00211 011 2112000 2024*")</f>
        <v>255766.22</v>
      </c>
      <c r="G761" s="83">
        <f>SUMIFS(G762:G1474,K762:K1474,"0",B762:B1474,"5 1 2 1 1 12 31111 6 M59 19000 000132 0000R 00001 00211 011 2112000 2024*")</f>
        <v>0</v>
      </c>
      <c r="H761" s="83">
        <f t="shared" si="13"/>
        <v>1938952.7</v>
      </c>
      <c r="I761" s="83"/>
      <c r="K761" s="54" t="s">
        <v>15</v>
      </c>
    </row>
    <row r="762" spans="2:11" ht="41.25" x14ac:dyDescent="0.2">
      <c r="B762" s="82" t="s">
        <v>5909</v>
      </c>
      <c r="C762" s="82" t="s">
        <v>662</v>
      </c>
      <c r="D762" s="83">
        <f>SUMIFS(D763:D1474,K763:K1474,"0",B763:B1474,"5 1 2 1 1 12 31111 6 M59 19000 000132 0000R 00001 00211 011 2112000 2024 CP1TM440*")-SUMIFS(E763:E1474,K763:K1474,"0",B763:B1474,"5 1 2 1 1 12 31111 6 M59 19000 000132 0000R 00001 00211 011 2112000 2024 CP1TM440*")</f>
        <v>1683186.48</v>
      </c>
      <c r="E762" s="54"/>
      <c r="F762" s="83">
        <f>SUMIFS(F763:F1474,K763:K1474,"0",B763:B1474,"5 1 2 1 1 12 31111 6 M59 19000 000132 0000R 00001 00211 011 2112000 2024 CP1TM440*")</f>
        <v>255766.22</v>
      </c>
      <c r="G762" s="83">
        <f>SUMIFS(G763:G1474,K763:K1474,"0",B763:B1474,"5 1 2 1 1 12 31111 6 M59 19000 000132 0000R 00001 00211 011 2112000 2024 CP1TM440*")</f>
        <v>0</v>
      </c>
      <c r="H762" s="83">
        <f t="shared" si="13"/>
        <v>1938952.7</v>
      </c>
      <c r="I762" s="83"/>
      <c r="K762" s="54" t="s">
        <v>15</v>
      </c>
    </row>
    <row r="763" spans="2:11" ht="41.25" x14ac:dyDescent="0.2">
      <c r="B763" s="82" t="s">
        <v>5910</v>
      </c>
      <c r="C763" s="82" t="s">
        <v>2284</v>
      </c>
      <c r="D763" s="83">
        <f>SUMIFS(D764:D1474,K764:K1474,"0",B764:B1474,"5 1 2 1 1 12 31111 6 M59 19000 000132 0000R 00001 00211 011 2112000 2024 CP1TM440 004*")-SUMIFS(E764:E1474,K764:K1474,"0",B764:B1474,"5 1 2 1 1 12 31111 6 M59 19000 000132 0000R 00001 00211 011 2112000 2024 CP1TM440 004*")</f>
        <v>1683186.48</v>
      </c>
      <c r="E763" s="54"/>
      <c r="F763" s="83">
        <f>SUMIFS(F764:F1474,K764:K1474,"0",B764:B1474,"5 1 2 1 1 12 31111 6 M59 19000 000132 0000R 00001 00211 011 2112000 2024 CP1TM440 004*")</f>
        <v>255766.22</v>
      </c>
      <c r="G763" s="83">
        <f>SUMIFS(G764:G1474,K764:K1474,"0",B764:B1474,"5 1 2 1 1 12 31111 6 M59 19000 000132 0000R 00001 00211 011 2112000 2024 CP1TM440 004*")</f>
        <v>0</v>
      </c>
      <c r="H763" s="83">
        <f t="shared" si="13"/>
        <v>1938952.7</v>
      </c>
      <c r="I763" s="83"/>
      <c r="K763" s="54" t="s">
        <v>15</v>
      </c>
    </row>
    <row r="764" spans="2:11" ht="33" x14ac:dyDescent="0.2">
      <c r="B764" s="84" t="s">
        <v>5911</v>
      </c>
      <c r="C764" s="84" t="s">
        <v>2284</v>
      </c>
      <c r="D764" s="85">
        <v>1683186.48</v>
      </c>
      <c r="E764" s="85"/>
      <c r="F764" s="85">
        <v>255766.22</v>
      </c>
      <c r="G764" s="85">
        <v>0</v>
      </c>
      <c r="H764" s="85">
        <f t="shared" si="13"/>
        <v>1938952.7</v>
      </c>
      <c r="I764" s="85"/>
      <c r="K764" s="54" t="s">
        <v>38</v>
      </c>
    </row>
    <row r="765" spans="2:11" ht="16.5" x14ac:dyDescent="0.2">
      <c r="B765" s="82" t="s">
        <v>5963</v>
      </c>
      <c r="C765" s="82" t="s">
        <v>1079</v>
      </c>
      <c r="D765" s="83">
        <f>SUMIFS(D766:D1474,K766:K1474,"0",B766:B1474,"5 1 2 1 1 12 31111 6 M59 20500*")-SUMIFS(E766:E1474,K766:K1474,"0",B766:B1474,"5 1 2 1 1 12 31111 6 M59 20500*")</f>
        <v>0</v>
      </c>
      <c r="E765" s="54"/>
      <c r="F765" s="83">
        <f>SUMIFS(F766:F1474,K766:K1474,"0",B766:B1474,"5 1 2 1 1 12 31111 6 M59 20500*")</f>
        <v>3499.95</v>
      </c>
      <c r="G765" s="83">
        <f>SUMIFS(G766:G1474,K766:K1474,"0",B766:B1474,"5 1 2 1 1 12 31111 6 M59 20500*")</f>
        <v>0</v>
      </c>
      <c r="H765" s="83">
        <f t="shared" si="13"/>
        <v>3499.95</v>
      </c>
      <c r="I765" s="83"/>
      <c r="K765" s="54" t="s">
        <v>15</v>
      </c>
    </row>
    <row r="766" spans="2:11" ht="24.75" x14ac:dyDescent="0.2">
      <c r="B766" s="82" t="s">
        <v>5974</v>
      </c>
      <c r="C766" s="82" t="s">
        <v>3152</v>
      </c>
      <c r="D766" s="83">
        <f>SUMIFS(D767:D1474,K767:K1474,"0",B767:B1474,"5 1 2 1 1 12 31111 6 M59 20500 000181*")-SUMIFS(E767:E1474,K767:K1474,"0",B767:B1474,"5 1 2 1 1 12 31111 6 M59 20500 000181*")</f>
        <v>0</v>
      </c>
      <c r="E766" s="54"/>
      <c r="F766" s="83">
        <f>SUMIFS(F767:F1474,K767:K1474,"0",B767:B1474,"5 1 2 1 1 12 31111 6 M59 20500 000181*")</f>
        <v>3499.95</v>
      </c>
      <c r="G766" s="83">
        <f>SUMIFS(G767:G1474,K767:K1474,"0",B767:B1474,"5 1 2 1 1 12 31111 6 M59 20500 000181*")</f>
        <v>0</v>
      </c>
      <c r="H766" s="83">
        <f t="shared" si="13"/>
        <v>3499.95</v>
      </c>
      <c r="I766" s="83"/>
      <c r="K766" s="54" t="s">
        <v>15</v>
      </c>
    </row>
    <row r="767" spans="2:11" ht="16.5" x14ac:dyDescent="0.2">
      <c r="B767" s="82" t="s">
        <v>5975</v>
      </c>
      <c r="C767" s="82" t="s">
        <v>1065</v>
      </c>
      <c r="D767" s="83">
        <f>SUMIFS(D768:D1474,K768:K1474,"0",B768:B1474,"5 1 2 1 1 12 31111 6 M59 20500 000181 0000E*")-SUMIFS(E768:E1474,K768:K1474,"0",B768:B1474,"5 1 2 1 1 12 31111 6 M59 20500 000181 0000E*")</f>
        <v>0</v>
      </c>
      <c r="E767" s="54"/>
      <c r="F767" s="83">
        <f>SUMIFS(F768:F1474,K768:K1474,"0",B768:B1474,"5 1 2 1 1 12 31111 6 M59 20500 000181 0000E*")</f>
        <v>3499.95</v>
      </c>
      <c r="G767" s="83">
        <f>SUMIFS(G768:G1474,K768:K1474,"0",B768:B1474,"5 1 2 1 1 12 31111 6 M59 20500 000181 0000E*")</f>
        <v>0</v>
      </c>
      <c r="H767" s="83">
        <f t="shared" si="13"/>
        <v>3499.95</v>
      </c>
      <c r="I767" s="83"/>
      <c r="K767" s="54" t="s">
        <v>15</v>
      </c>
    </row>
    <row r="768" spans="2:11" ht="24.75" x14ac:dyDescent="0.2">
      <c r="B768" s="82" t="s">
        <v>5976</v>
      </c>
      <c r="C768" s="82" t="s">
        <v>282</v>
      </c>
      <c r="D768" s="83">
        <f>SUMIFS(D769:D1474,K769:K1474,"0",B769:B1474,"5 1 2 1 1 12 31111 6 M59 20500 000181 0000E 00001*")-SUMIFS(E769:E1474,K769:K1474,"0",B769:B1474,"5 1 2 1 1 12 31111 6 M59 20500 000181 0000E 00001*")</f>
        <v>0</v>
      </c>
      <c r="E768" s="54"/>
      <c r="F768" s="83">
        <f>SUMIFS(F769:F1474,K769:K1474,"0",B769:B1474,"5 1 2 1 1 12 31111 6 M59 20500 000181 0000E 00001*")</f>
        <v>3499.95</v>
      </c>
      <c r="G768" s="83">
        <f>SUMIFS(G769:G1474,K769:K1474,"0",B769:B1474,"5 1 2 1 1 12 31111 6 M59 20500 000181 0000E 00001*")</f>
        <v>0</v>
      </c>
      <c r="H768" s="83">
        <f t="shared" si="13"/>
        <v>3499.95</v>
      </c>
      <c r="I768" s="83"/>
      <c r="K768" s="54" t="s">
        <v>15</v>
      </c>
    </row>
    <row r="769" spans="2:11" ht="24.75" x14ac:dyDescent="0.2">
      <c r="B769" s="82" t="s">
        <v>5977</v>
      </c>
      <c r="C769" s="82" t="s">
        <v>5827</v>
      </c>
      <c r="D769" s="83">
        <f>SUMIFS(D770:D1474,K770:K1474,"0",B770:B1474,"5 1 2 1 1 12 31111 6 M59 20500 000181 0000E 00001 00211*")-SUMIFS(E770:E1474,K770:K1474,"0",B770:B1474,"5 1 2 1 1 12 31111 6 M59 20500 000181 0000E 00001 00211*")</f>
        <v>0</v>
      </c>
      <c r="E769" s="54"/>
      <c r="F769" s="83">
        <f>SUMIFS(F770:F1474,K770:K1474,"0",B770:B1474,"5 1 2 1 1 12 31111 6 M59 20500 000181 0000E 00001 00211*")</f>
        <v>3499.95</v>
      </c>
      <c r="G769" s="83">
        <f>SUMIFS(G770:G1474,K770:K1474,"0",B770:B1474,"5 1 2 1 1 12 31111 6 M59 20500 000181 0000E 00001 00211*")</f>
        <v>0</v>
      </c>
      <c r="H769" s="83">
        <f t="shared" si="13"/>
        <v>3499.95</v>
      </c>
      <c r="I769" s="83"/>
      <c r="K769" s="54" t="s">
        <v>15</v>
      </c>
    </row>
    <row r="770" spans="2:11" ht="24.75" x14ac:dyDescent="0.2">
      <c r="B770" s="82" t="s">
        <v>5978</v>
      </c>
      <c r="C770" s="82" t="s">
        <v>699</v>
      </c>
      <c r="D770" s="83">
        <f>SUMIFS(D771:D1474,K771:K1474,"0",B771:B1474,"5 1 2 1 1 12 31111 6 M59 20500 000181 0000E 00001 00211 011*")-SUMIFS(E771:E1474,K771:K1474,"0",B771:B1474,"5 1 2 1 1 12 31111 6 M59 20500 000181 0000E 00001 00211 011*")</f>
        <v>0</v>
      </c>
      <c r="E770" s="54"/>
      <c r="F770" s="83">
        <f>SUMIFS(F771:F1474,K771:K1474,"0",B771:B1474,"5 1 2 1 1 12 31111 6 M59 20500 000181 0000E 00001 00211 011*")</f>
        <v>3499.95</v>
      </c>
      <c r="G770" s="83">
        <f>SUMIFS(G771:G1474,K771:K1474,"0",B771:B1474,"5 1 2 1 1 12 31111 6 M59 20500 000181 0000E 00001 00211 011*")</f>
        <v>0</v>
      </c>
      <c r="H770" s="83">
        <f t="shared" si="13"/>
        <v>3499.95</v>
      </c>
      <c r="I770" s="83"/>
      <c r="K770" s="54" t="s">
        <v>15</v>
      </c>
    </row>
    <row r="771" spans="2:11" ht="33" x14ac:dyDescent="0.2">
      <c r="B771" s="82" t="s">
        <v>5979</v>
      </c>
      <c r="C771" s="82" t="s">
        <v>5830</v>
      </c>
      <c r="D771" s="83">
        <f>SUMIFS(D772:D1474,K772:K1474,"0",B772:B1474,"5 1 2 1 1 12 31111 6 M59 20500 000181 0000E 00001 00211 011 2112000*")-SUMIFS(E772:E1474,K772:K1474,"0",B772:B1474,"5 1 2 1 1 12 31111 6 M59 20500 000181 0000E 00001 00211 011 2112000*")</f>
        <v>0</v>
      </c>
      <c r="E771" s="54"/>
      <c r="F771" s="83">
        <f>SUMIFS(F772:F1474,K772:K1474,"0",B772:B1474,"5 1 2 1 1 12 31111 6 M59 20500 000181 0000E 00001 00211 011 2112000*")</f>
        <v>3499.95</v>
      </c>
      <c r="G771" s="83">
        <f>SUMIFS(G772:G1474,K772:K1474,"0",B772:B1474,"5 1 2 1 1 12 31111 6 M59 20500 000181 0000E 00001 00211 011 2112000*")</f>
        <v>0</v>
      </c>
      <c r="H771" s="83">
        <f t="shared" si="13"/>
        <v>3499.95</v>
      </c>
      <c r="I771" s="83"/>
      <c r="K771" s="54" t="s">
        <v>15</v>
      </c>
    </row>
    <row r="772" spans="2:11" ht="33" x14ac:dyDescent="0.2">
      <c r="B772" s="82" t="s">
        <v>5980</v>
      </c>
      <c r="C772" s="82" t="s">
        <v>660</v>
      </c>
      <c r="D772" s="83">
        <f>SUMIFS(D773:D1474,K773:K1474,"0",B773:B1474,"5 1 2 1 1 12 31111 6 M59 20500 000181 0000E 00001 00211 011 2112000 2024*")-SUMIFS(E773:E1474,K773:K1474,"0",B773:B1474,"5 1 2 1 1 12 31111 6 M59 20500 000181 0000E 00001 00211 011 2112000 2024*")</f>
        <v>0</v>
      </c>
      <c r="E772" s="54"/>
      <c r="F772" s="83">
        <f>SUMIFS(F773:F1474,K773:K1474,"0",B773:B1474,"5 1 2 1 1 12 31111 6 M59 20500 000181 0000E 00001 00211 011 2112000 2024*")</f>
        <v>3499.95</v>
      </c>
      <c r="G772" s="83">
        <f>SUMIFS(G773:G1474,K773:K1474,"0",B773:B1474,"5 1 2 1 1 12 31111 6 M59 20500 000181 0000E 00001 00211 011 2112000 2024*")</f>
        <v>0</v>
      </c>
      <c r="H772" s="83">
        <f t="shared" si="13"/>
        <v>3499.95</v>
      </c>
      <c r="I772" s="83"/>
      <c r="K772" s="54" t="s">
        <v>15</v>
      </c>
    </row>
    <row r="773" spans="2:11" ht="49.5" x14ac:dyDescent="0.2">
      <c r="B773" s="82" t="s">
        <v>5981</v>
      </c>
      <c r="C773" s="82" t="s">
        <v>5982</v>
      </c>
      <c r="D773" s="83">
        <f>SUMIFS(D774:D1474,K774:K1474,"0",B774:B1474,"5 1 2 1 1 12 31111 6 M59 20500 000181 0000E 00001 00211 011 2112000 2024 CP3CP471*")-SUMIFS(E774:E1474,K774:K1474,"0",B774:B1474,"5 1 2 1 1 12 31111 6 M59 20500 000181 0000E 00001 00211 011 2112000 2024 CP3CP471*")</f>
        <v>0</v>
      </c>
      <c r="E773" s="54"/>
      <c r="F773" s="83">
        <f>SUMIFS(F774:F1474,K774:K1474,"0",B774:B1474,"5 1 2 1 1 12 31111 6 M59 20500 000181 0000E 00001 00211 011 2112000 2024 CP3CP471*")</f>
        <v>3499.95</v>
      </c>
      <c r="G773" s="83">
        <f>SUMIFS(G774:G1474,K774:K1474,"0",B774:B1474,"5 1 2 1 1 12 31111 6 M59 20500 000181 0000E 00001 00211 011 2112000 2024 CP3CP471*")</f>
        <v>0</v>
      </c>
      <c r="H773" s="83">
        <f t="shared" si="13"/>
        <v>3499.95</v>
      </c>
      <c r="I773" s="83"/>
      <c r="K773" s="54" t="s">
        <v>15</v>
      </c>
    </row>
    <row r="774" spans="2:11" ht="41.25" x14ac:dyDescent="0.2">
      <c r="B774" s="82" t="s">
        <v>5983</v>
      </c>
      <c r="C774" s="82" t="s">
        <v>2284</v>
      </c>
      <c r="D774" s="83">
        <f>SUMIFS(D775:D1474,K775:K1474,"0",B775:B1474,"5 1 2 1 1 12 31111 6 M59 20500 000181 0000E 00001 00211 011 2112000 2024 CP3CP471 004*")-SUMIFS(E775:E1474,K775:K1474,"0",B775:B1474,"5 1 2 1 1 12 31111 6 M59 20500 000181 0000E 00001 00211 011 2112000 2024 CP3CP471 004*")</f>
        <v>0</v>
      </c>
      <c r="E774" s="54"/>
      <c r="F774" s="83">
        <f>SUMIFS(F775:F1474,K775:K1474,"0",B775:B1474,"5 1 2 1 1 12 31111 6 M59 20500 000181 0000E 00001 00211 011 2112000 2024 CP3CP471 004*")</f>
        <v>3499.95</v>
      </c>
      <c r="G774" s="83">
        <f>SUMIFS(G775:G1474,K775:K1474,"0",B775:B1474,"5 1 2 1 1 12 31111 6 M59 20500 000181 0000E 00001 00211 011 2112000 2024 CP3CP471 004*")</f>
        <v>0</v>
      </c>
      <c r="H774" s="83">
        <f t="shared" si="13"/>
        <v>3499.95</v>
      </c>
      <c r="I774" s="83"/>
      <c r="K774" s="54" t="s">
        <v>15</v>
      </c>
    </row>
    <row r="775" spans="2:11" ht="33" x14ac:dyDescent="0.2">
      <c r="B775" s="84" t="s">
        <v>5984</v>
      </c>
      <c r="C775" s="84" t="s">
        <v>2284</v>
      </c>
      <c r="D775" s="85">
        <v>0</v>
      </c>
      <c r="E775" s="85"/>
      <c r="F775" s="85">
        <v>3499.95</v>
      </c>
      <c r="G775" s="85">
        <v>0</v>
      </c>
      <c r="H775" s="85">
        <f t="shared" si="13"/>
        <v>3499.95</v>
      </c>
      <c r="I775" s="85"/>
      <c r="K775" s="54" t="s">
        <v>38</v>
      </c>
    </row>
    <row r="776" spans="2:11" ht="16.5" x14ac:dyDescent="0.2">
      <c r="B776" s="82" t="s">
        <v>6488</v>
      </c>
      <c r="C776" s="82" t="s">
        <v>6489</v>
      </c>
      <c r="D776" s="83">
        <f>SUMIFS(D777:D1474,K777:K1474,"0",B777:B1474,"5 1 2 1 2*")-SUMIFS(E777:E1474,K777:K1474,"0",B777:B1474,"5 1 2 1 2*")</f>
        <v>450000</v>
      </c>
      <c r="E776" s="54"/>
      <c r="F776" s="83">
        <f>SUMIFS(F777:F1474,K777:K1474,"0",B777:B1474,"5 1 2 1 2*")</f>
        <v>0</v>
      </c>
      <c r="G776" s="83">
        <f>SUMIFS(G777:G1474,K777:K1474,"0",B777:B1474,"5 1 2 1 2*")</f>
        <v>0</v>
      </c>
      <c r="H776" s="83">
        <f t="shared" si="13"/>
        <v>450000</v>
      </c>
      <c r="I776" s="83"/>
      <c r="K776" s="54" t="s">
        <v>15</v>
      </c>
    </row>
    <row r="777" spans="2:11" ht="12.75" x14ac:dyDescent="0.2">
      <c r="B777" s="82" t="s">
        <v>6490</v>
      </c>
      <c r="C777" s="82" t="s">
        <v>26</v>
      </c>
      <c r="D777" s="83">
        <f>SUMIFS(D778:D1474,K778:K1474,"0",B778:B1474,"5 1 2 1 2 12*")-SUMIFS(E778:E1474,K778:K1474,"0",B778:B1474,"5 1 2 1 2 12*")</f>
        <v>450000</v>
      </c>
      <c r="E777" s="54"/>
      <c r="F777" s="83">
        <f>SUMIFS(F778:F1474,K778:K1474,"0",B778:B1474,"5 1 2 1 2 12*")</f>
        <v>0</v>
      </c>
      <c r="G777" s="83">
        <f>SUMIFS(G778:G1474,K778:K1474,"0",B778:B1474,"5 1 2 1 2 12*")</f>
        <v>0</v>
      </c>
      <c r="H777" s="83">
        <f t="shared" si="13"/>
        <v>450000</v>
      </c>
      <c r="I777" s="83"/>
      <c r="K777" s="54" t="s">
        <v>15</v>
      </c>
    </row>
    <row r="778" spans="2:11" ht="16.5" x14ac:dyDescent="0.2">
      <c r="B778" s="82" t="s">
        <v>6491</v>
      </c>
      <c r="C778" s="82" t="s">
        <v>28</v>
      </c>
      <c r="D778" s="83">
        <f>SUMIFS(D779:D1474,K779:K1474,"0",B779:B1474,"5 1 2 1 2 12 31111*")-SUMIFS(E779:E1474,K779:K1474,"0",B779:B1474,"5 1 2 1 2 12 31111*")</f>
        <v>450000</v>
      </c>
      <c r="E778" s="54"/>
      <c r="F778" s="83">
        <f>SUMIFS(F779:F1474,K779:K1474,"0",B779:B1474,"5 1 2 1 2 12 31111*")</f>
        <v>0</v>
      </c>
      <c r="G778" s="83">
        <f>SUMIFS(G779:G1474,K779:K1474,"0",B779:B1474,"5 1 2 1 2 12 31111*")</f>
        <v>0</v>
      </c>
      <c r="H778" s="83">
        <f t="shared" si="13"/>
        <v>450000</v>
      </c>
      <c r="I778" s="83"/>
      <c r="K778" s="54" t="s">
        <v>15</v>
      </c>
    </row>
    <row r="779" spans="2:11" ht="12.75" x14ac:dyDescent="0.2">
      <c r="B779" s="82" t="s">
        <v>6492</v>
      </c>
      <c r="C779" s="82" t="s">
        <v>30</v>
      </c>
      <c r="D779" s="83">
        <f>SUMIFS(D780:D1474,K780:K1474,"0",B780:B1474,"5 1 2 1 2 12 31111 6*")-SUMIFS(E780:E1474,K780:K1474,"0",B780:B1474,"5 1 2 1 2 12 31111 6*")</f>
        <v>450000</v>
      </c>
      <c r="E779" s="54"/>
      <c r="F779" s="83">
        <f>SUMIFS(F780:F1474,K780:K1474,"0",B780:B1474,"5 1 2 1 2 12 31111 6*")</f>
        <v>0</v>
      </c>
      <c r="G779" s="83">
        <f>SUMIFS(G780:G1474,K780:K1474,"0",B780:B1474,"5 1 2 1 2 12 31111 6*")</f>
        <v>0</v>
      </c>
      <c r="H779" s="83">
        <f t="shared" si="13"/>
        <v>450000</v>
      </c>
      <c r="I779" s="83"/>
      <c r="K779" s="54" t="s">
        <v>15</v>
      </c>
    </row>
    <row r="780" spans="2:11" ht="16.5" x14ac:dyDescent="0.2">
      <c r="B780" s="82" t="s">
        <v>6493</v>
      </c>
      <c r="C780" s="82" t="s">
        <v>2284</v>
      </c>
      <c r="D780" s="83">
        <f>SUMIFS(D781:D1474,K781:K1474,"0",B781:B1474,"5 1 2 1 2 12 31111 6 M59*")-SUMIFS(E781:E1474,K781:K1474,"0",B781:B1474,"5 1 2 1 2 12 31111 6 M59*")</f>
        <v>450000</v>
      </c>
      <c r="E780" s="54"/>
      <c r="F780" s="83">
        <f>SUMIFS(F781:F1474,K781:K1474,"0",B781:B1474,"5 1 2 1 2 12 31111 6 M59*")</f>
        <v>0</v>
      </c>
      <c r="G780" s="83">
        <f>SUMIFS(G781:G1474,K781:K1474,"0",B781:B1474,"5 1 2 1 2 12 31111 6 M59*")</f>
        <v>0</v>
      </c>
      <c r="H780" s="83">
        <f t="shared" si="13"/>
        <v>450000</v>
      </c>
      <c r="I780" s="83"/>
      <c r="K780" s="54" t="s">
        <v>15</v>
      </c>
    </row>
    <row r="781" spans="2:11" ht="16.5" x14ac:dyDescent="0.2">
      <c r="B781" s="82" t="s">
        <v>6494</v>
      </c>
      <c r="C781" s="82" t="s">
        <v>1044</v>
      </c>
      <c r="D781" s="83">
        <f>SUMIFS(D782:D1474,K782:K1474,"0",B782:B1474,"5 1 2 1 2 12 31111 6 M59 19000*")-SUMIFS(E782:E1474,K782:K1474,"0",B782:B1474,"5 1 2 1 2 12 31111 6 M59 19000*")</f>
        <v>450000</v>
      </c>
      <c r="E781" s="54"/>
      <c r="F781" s="83">
        <f>SUMIFS(F782:F1474,K782:K1474,"0",B782:B1474,"5 1 2 1 2 12 31111 6 M59 19000*")</f>
        <v>0</v>
      </c>
      <c r="G781" s="83">
        <f>SUMIFS(G782:G1474,K782:K1474,"0",B782:B1474,"5 1 2 1 2 12 31111 6 M59 19000*")</f>
        <v>0</v>
      </c>
      <c r="H781" s="83">
        <f t="shared" si="13"/>
        <v>450000</v>
      </c>
      <c r="I781" s="83"/>
      <c r="K781" s="54" t="s">
        <v>15</v>
      </c>
    </row>
    <row r="782" spans="2:11" ht="16.5" x14ac:dyDescent="0.2">
      <c r="B782" s="82" t="s">
        <v>6495</v>
      </c>
      <c r="C782" s="82" t="s">
        <v>648</v>
      </c>
      <c r="D782" s="83">
        <f>SUMIFS(D783:D1474,K783:K1474,"0",B783:B1474,"5 1 2 1 2 12 31111 6 M59 19000 000132*")-SUMIFS(E783:E1474,K783:K1474,"0",B783:B1474,"5 1 2 1 2 12 31111 6 M59 19000 000132*")</f>
        <v>450000</v>
      </c>
      <c r="E782" s="54"/>
      <c r="F782" s="83">
        <f>SUMIFS(F783:F1474,K783:K1474,"0",B783:B1474,"5 1 2 1 2 12 31111 6 M59 19000 000132*")</f>
        <v>0</v>
      </c>
      <c r="G782" s="83">
        <f>SUMIFS(G783:G1474,K783:K1474,"0",B783:B1474,"5 1 2 1 2 12 31111 6 M59 19000 000132*")</f>
        <v>0</v>
      </c>
      <c r="H782" s="83">
        <f t="shared" si="13"/>
        <v>450000</v>
      </c>
      <c r="I782" s="83"/>
      <c r="K782" s="54" t="s">
        <v>15</v>
      </c>
    </row>
    <row r="783" spans="2:11" ht="24.75" x14ac:dyDescent="0.2">
      <c r="B783" s="82" t="s">
        <v>6496</v>
      </c>
      <c r="C783" s="82" t="s">
        <v>650</v>
      </c>
      <c r="D783" s="83">
        <f>SUMIFS(D784:D1474,K784:K1474,"0",B784:B1474,"5 1 2 1 2 12 31111 6 M59 19000 000132 0000R*")-SUMIFS(E784:E1474,K784:K1474,"0",B784:B1474,"5 1 2 1 2 12 31111 6 M59 19000 000132 0000R*")</f>
        <v>450000</v>
      </c>
      <c r="E783" s="54"/>
      <c r="F783" s="83">
        <f>SUMIFS(F784:F1474,K784:K1474,"0",B784:B1474,"5 1 2 1 2 12 31111 6 M59 19000 000132 0000R*")</f>
        <v>0</v>
      </c>
      <c r="G783" s="83">
        <f>SUMIFS(G784:G1474,K784:K1474,"0",B784:B1474,"5 1 2 1 2 12 31111 6 M59 19000 000132 0000R*")</f>
        <v>0</v>
      </c>
      <c r="H783" s="83">
        <f t="shared" si="13"/>
        <v>450000</v>
      </c>
      <c r="I783" s="83"/>
      <c r="K783" s="54" t="s">
        <v>15</v>
      </c>
    </row>
    <row r="784" spans="2:11" ht="24.75" x14ac:dyDescent="0.2">
      <c r="B784" s="82" t="s">
        <v>6497</v>
      </c>
      <c r="C784" s="82" t="s">
        <v>282</v>
      </c>
      <c r="D784" s="83">
        <f>SUMIFS(D785:D1474,K785:K1474,"0",B785:B1474,"5 1 2 1 2 12 31111 6 M59 19000 000132 0000R 00001*")-SUMIFS(E785:E1474,K785:K1474,"0",B785:B1474,"5 1 2 1 2 12 31111 6 M59 19000 000132 0000R 00001*")</f>
        <v>450000</v>
      </c>
      <c r="E784" s="54"/>
      <c r="F784" s="83">
        <f>SUMIFS(F785:F1474,K785:K1474,"0",B785:B1474,"5 1 2 1 2 12 31111 6 M59 19000 000132 0000R 00001*")</f>
        <v>0</v>
      </c>
      <c r="G784" s="83">
        <f>SUMIFS(G785:G1474,K785:K1474,"0",B785:B1474,"5 1 2 1 2 12 31111 6 M59 19000 000132 0000R 00001*")</f>
        <v>0</v>
      </c>
      <c r="H784" s="83">
        <f t="shared" si="13"/>
        <v>450000</v>
      </c>
      <c r="I784" s="83"/>
      <c r="K784" s="54" t="s">
        <v>15</v>
      </c>
    </row>
    <row r="785" spans="2:11" ht="24.75" x14ac:dyDescent="0.2">
      <c r="B785" s="82" t="s">
        <v>6498</v>
      </c>
      <c r="C785" s="82" t="s">
        <v>6499</v>
      </c>
      <c r="D785" s="83">
        <f>SUMIFS(D786:D1474,K786:K1474,"0",B786:B1474,"5 1 2 1 2 12 31111 6 M59 19000 000132 0000R 00001 00212*")-SUMIFS(E786:E1474,K786:K1474,"0",B786:B1474,"5 1 2 1 2 12 31111 6 M59 19000 000132 0000R 00001 00212*")</f>
        <v>450000</v>
      </c>
      <c r="E785" s="54"/>
      <c r="F785" s="83">
        <f>SUMIFS(F786:F1474,K786:K1474,"0",B786:B1474,"5 1 2 1 2 12 31111 6 M59 19000 000132 0000R 00001 00212*")</f>
        <v>0</v>
      </c>
      <c r="G785" s="83">
        <f>SUMIFS(G786:G1474,K786:K1474,"0",B786:B1474,"5 1 2 1 2 12 31111 6 M59 19000 000132 0000R 00001 00212*")</f>
        <v>0</v>
      </c>
      <c r="H785" s="83">
        <f t="shared" si="13"/>
        <v>450000</v>
      </c>
      <c r="I785" s="83"/>
      <c r="K785" s="54" t="s">
        <v>15</v>
      </c>
    </row>
    <row r="786" spans="2:11" ht="33" x14ac:dyDescent="0.2">
      <c r="B786" s="82" t="s">
        <v>6500</v>
      </c>
      <c r="C786" s="82" t="s">
        <v>699</v>
      </c>
      <c r="D786" s="83">
        <f>SUMIFS(D787:D1474,K787:K1474,"0",B787:B1474,"5 1 2 1 2 12 31111 6 M59 19000 000132 0000R 00001 00212 011*")-SUMIFS(E787:E1474,K787:K1474,"0",B787:B1474,"5 1 2 1 2 12 31111 6 M59 19000 000132 0000R 00001 00212 011*")</f>
        <v>450000</v>
      </c>
      <c r="E786" s="54"/>
      <c r="F786" s="83">
        <f>SUMIFS(F787:F1474,K787:K1474,"0",B787:B1474,"5 1 2 1 2 12 31111 6 M59 19000 000132 0000R 00001 00212 011*")</f>
        <v>0</v>
      </c>
      <c r="G786" s="83">
        <f>SUMIFS(G787:G1474,K787:K1474,"0",B787:B1474,"5 1 2 1 2 12 31111 6 M59 19000 000132 0000R 00001 00212 011*")</f>
        <v>0</v>
      </c>
      <c r="H786" s="83">
        <f t="shared" si="13"/>
        <v>450000</v>
      </c>
      <c r="I786" s="83"/>
      <c r="K786" s="54" t="s">
        <v>15</v>
      </c>
    </row>
    <row r="787" spans="2:11" ht="33" x14ac:dyDescent="0.2">
      <c r="B787" s="82" t="s">
        <v>6501</v>
      </c>
      <c r="C787" s="82" t="s">
        <v>5830</v>
      </c>
      <c r="D787" s="83">
        <f>SUMIFS(D788:D1474,K788:K1474,"0",B788:B1474,"5 1 2 1 2 12 31111 6 M59 19000 000132 0000R 00001 00212 011 2112000*")-SUMIFS(E788:E1474,K788:K1474,"0",B788:B1474,"5 1 2 1 2 12 31111 6 M59 19000 000132 0000R 00001 00212 011 2112000*")</f>
        <v>450000</v>
      </c>
      <c r="E787" s="54"/>
      <c r="F787" s="83">
        <f>SUMIFS(F788:F1474,K788:K1474,"0",B788:B1474,"5 1 2 1 2 12 31111 6 M59 19000 000132 0000R 00001 00212 011 2112000*")</f>
        <v>0</v>
      </c>
      <c r="G787" s="83">
        <f>SUMIFS(G788:G1474,K788:K1474,"0",B788:B1474,"5 1 2 1 2 12 31111 6 M59 19000 000132 0000R 00001 00212 011 2112000*")</f>
        <v>0</v>
      </c>
      <c r="H787" s="83">
        <f t="shared" si="13"/>
        <v>450000</v>
      </c>
      <c r="I787" s="83"/>
      <c r="K787" s="54" t="s">
        <v>15</v>
      </c>
    </row>
    <row r="788" spans="2:11" ht="33" x14ac:dyDescent="0.2">
      <c r="B788" s="82" t="s">
        <v>6502</v>
      </c>
      <c r="C788" s="82" t="s">
        <v>660</v>
      </c>
      <c r="D788" s="83">
        <f>SUMIFS(D789:D1474,K789:K1474,"0",B789:B1474,"5 1 2 1 2 12 31111 6 M59 19000 000132 0000R 00001 00212 011 2112000 2024*")-SUMIFS(E789:E1474,K789:K1474,"0",B789:B1474,"5 1 2 1 2 12 31111 6 M59 19000 000132 0000R 00001 00212 011 2112000 2024*")</f>
        <v>450000</v>
      </c>
      <c r="E788" s="54"/>
      <c r="F788" s="83">
        <f>SUMIFS(F789:F1474,K789:K1474,"0",B789:B1474,"5 1 2 1 2 12 31111 6 M59 19000 000132 0000R 00001 00212 011 2112000 2024*")</f>
        <v>0</v>
      </c>
      <c r="G788" s="83">
        <f>SUMIFS(G789:G1474,K789:K1474,"0",B789:B1474,"5 1 2 1 2 12 31111 6 M59 19000 000132 0000R 00001 00212 011 2112000 2024*")</f>
        <v>0</v>
      </c>
      <c r="H788" s="83">
        <f t="shared" si="13"/>
        <v>450000</v>
      </c>
      <c r="I788" s="83"/>
      <c r="K788" s="54" t="s">
        <v>15</v>
      </c>
    </row>
    <row r="789" spans="2:11" ht="41.25" x14ac:dyDescent="0.2">
      <c r="B789" s="82" t="s">
        <v>6503</v>
      </c>
      <c r="C789" s="82" t="s">
        <v>662</v>
      </c>
      <c r="D789" s="83">
        <f>SUMIFS(D790:D1474,K790:K1474,"0",B790:B1474,"5 1 2 1 2 12 31111 6 M59 19000 000132 0000R 00001 00212 011 2112000 2024 CP1TM440*")-SUMIFS(E790:E1474,K790:K1474,"0",B790:B1474,"5 1 2 1 2 12 31111 6 M59 19000 000132 0000R 00001 00212 011 2112000 2024 CP1TM440*")</f>
        <v>450000</v>
      </c>
      <c r="E789" s="54"/>
      <c r="F789" s="83">
        <f>SUMIFS(F790:F1474,K790:K1474,"0",B790:B1474,"5 1 2 1 2 12 31111 6 M59 19000 000132 0000R 00001 00212 011 2112000 2024 CP1TM440*")</f>
        <v>0</v>
      </c>
      <c r="G789" s="83">
        <f>SUMIFS(G790:G1474,K790:K1474,"0",B790:B1474,"5 1 2 1 2 12 31111 6 M59 19000 000132 0000R 00001 00212 011 2112000 2024 CP1TM440*")</f>
        <v>0</v>
      </c>
      <c r="H789" s="83">
        <f t="shared" si="13"/>
        <v>450000</v>
      </c>
      <c r="I789" s="83"/>
      <c r="K789" s="54" t="s">
        <v>15</v>
      </c>
    </row>
    <row r="790" spans="2:11" ht="41.25" x14ac:dyDescent="0.2">
      <c r="B790" s="82" t="s">
        <v>6504</v>
      </c>
      <c r="C790" s="82" t="s">
        <v>2284</v>
      </c>
      <c r="D790" s="83">
        <f>SUMIFS(D791:D1474,K791:K1474,"0",B791:B1474,"5 1 2 1 2 12 31111 6 M59 19000 000132 0000R 00001 00212 011 2112000 2024 CP1TM440 004*")-SUMIFS(E791:E1474,K791:K1474,"0",B791:B1474,"5 1 2 1 2 12 31111 6 M59 19000 000132 0000R 00001 00212 011 2112000 2024 CP1TM440 004*")</f>
        <v>450000</v>
      </c>
      <c r="E790" s="54"/>
      <c r="F790" s="83">
        <f>SUMIFS(F791:F1474,K791:K1474,"0",B791:B1474,"5 1 2 1 2 12 31111 6 M59 19000 000132 0000R 00001 00212 011 2112000 2024 CP1TM440 004*")</f>
        <v>0</v>
      </c>
      <c r="G790" s="83">
        <f>SUMIFS(G791:G1474,K791:K1474,"0",B791:B1474,"5 1 2 1 2 12 31111 6 M59 19000 000132 0000R 00001 00212 011 2112000 2024 CP1TM440 004*")</f>
        <v>0</v>
      </c>
      <c r="H790" s="83">
        <f t="shared" si="13"/>
        <v>450000</v>
      </c>
      <c r="I790" s="83"/>
      <c r="K790" s="54" t="s">
        <v>15</v>
      </c>
    </row>
    <row r="791" spans="2:11" ht="33" x14ac:dyDescent="0.2">
      <c r="B791" s="84" t="s">
        <v>6505</v>
      </c>
      <c r="C791" s="84" t="s">
        <v>2284</v>
      </c>
      <c r="D791" s="85">
        <v>450000</v>
      </c>
      <c r="E791" s="85"/>
      <c r="F791" s="85">
        <v>0</v>
      </c>
      <c r="G791" s="85">
        <v>0</v>
      </c>
      <c r="H791" s="85">
        <f t="shared" si="13"/>
        <v>450000</v>
      </c>
      <c r="I791" s="85"/>
      <c r="K791" s="54" t="s">
        <v>38</v>
      </c>
    </row>
    <row r="792" spans="2:11" ht="41.25" x14ac:dyDescent="0.2">
      <c r="B792" s="82" t="s">
        <v>6523</v>
      </c>
      <c r="C792" s="82" t="s">
        <v>6524</v>
      </c>
      <c r="D792" s="83">
        <f>SUMIFS(D793:D1474,K793:K1474,"0",B793:B1474,"5 1 2 1 4*")-SUMIFS(E793:E1474,K793:K1474,"0",B793:B1474,"5 1 2 1 4*")</f>
        <v>435741.42</v>
      </c>
      <c r="E792" s="54"/>
      <c r="F792" s="83">
        <f>SUMIFS(F793:F1474,K793:K1474,"0",B793:B1474,"5 1 2 1 4*")</f>
        <v>33531.19</v>
      </c>
      <c r="G792" s="83">
        <f>SUMIFS(G793:G1474,K793:K1474,"0",B793:B1474,"5 1 2 1 4*")</f>
        <v>0</v>
      </c>
      <c r="H792" s="83">
        <f t="shared" si="13"/>
        <v>469272.61</v>
      </c>
      <c r="I792" s="83"/>
      <c r="K792" s="54" t="s">
        <v>15</v>
      </c>
    </row>
    <row r="793" spans="2:11" ht="12.75" x14ac:dyDescent="0.2">
      <c r="B793" s="82" t="s">
        <v>6525</v>
      </c>
      <c r="C793" s="82" t="s">
        <v>26</v>
      </c>
      <c r="D793" s="83">
        <f>SUMIFS(D794:D1474,K794:K1474,"0",B794:B1474,"5 1 2 1 4 12*")-SUMIFS(E794:E1474,K794:K1474,"0",B794:B1474,"5 1 2 1 4 12*")</f>
        <v>435741.42</v>
      </c>
      <c r="E793" s="54"/>
      <c r="F793" s="83">
        <f>SUMIFS(F794:F1474,K794:K1474,"0",B794:B1474,"5 1 2 1 4 12*")</f>
        <v>33531.19</v>
      </c>
      <c r="G793" s="83">
        <f>SUMIFS(G794:G1474,K794:K1474,"0",B794:B1474,"5 1 2 1 4 12*")</f>
        <v>0</v>
      </c>
      <c r="H793" s="83">
        <f t="shared" si="13"/>
        <v>469272.61</v>
      </c>
      <c r="I793" s="83"/>
      <c r="K793" s="54" t="s">
        <v>15</v>
      </c>
    </row>
    <row r="794" spans="2:11" ht="16.5" x14ac:dyDescent="0.2">
      <c r="B794" s="82" t="s">
        <v>6526</v>
      </c>
      <c r="C794" s="82" t="s">
        <v>28</v>
      </c>
      <c r="D794" s="83">
        <f>SUMIFS(D795:D1474,K795:K1474,"0",B795:B1474,"5 1 2 1 4 12 31111*")-SUMIFS(E795:E1474,K795:K1474,"0",B795:B1474,"5 1 2 1 4 12 31111*")</f>
        <v>435741.42</v>
      </c>
      <c r="E794" s="54"/>
      <c r="F794" s="83">
        <f>SUMIFS(F795:F1474,K795:K1474,"0",B795:B1474,"5 1 2 1 4 12 31111*")</f>
        <v>33531.19</v>
      </c>
      <c r="G794" s="83">
        <f>SUMIFS(G795:G1474,K795:K1474,"0",B795:B1474,"5 1 2 1 4 12 31111*")</f>
        <v>0</v>
      </c>
      <c r="H794" s="83">
        <f t="shared" si="13"/>
        <v>469272.61</v>
      </c>
      <c r="I794" s="83"/>
      <c r="K794" s="54" t="s">
        <v>15</v>
      </c>
    </row>
    <row r="795" spans="2:11" ht="12.75" x14ac:dyDescent="0.2">
      <c r="B795" s="82" t="s">
        <v>6527</v>
      </c>
      <c r="C795" s="82" t="s">
        <v>30</v>
      </c>
      <c r="D795" s="83">
        <f>SUMIFS(D796:D1474,K796:K1474,"0",B796:B1474,"5 1 2 1 4 12 31111 6*")-SUMIFS(E796:E1474,K796:K1474,"0",B796:B1474,"5 1 2 1 4 12 31111 6*")</f>
        <v>435741.42</v>
      </c>
      <c r="E795" s="54"/>
      <c r="F795" s="83">
        <f>SUMIFS(F796:F1474,K796:K1474,"0",B796:B1474,"5 1 2 1 4 12 31111 6*")</f>
        <v>33531.19</v>
      </c>
      <c r="G795" s="83">
        <f>SUMIFS(G796:G1474,K796:K1474,"0",B796:B1474,"5 1 2 1 4 12 31111 6*")</f>
        <v>0</v>
      </c>
      <c r="H795" s="83">
        <f t="shared" si="13"/>
        <v>469272.61</v>
      </c>
      <c r="I795" s="83"/>
      <c r="K795" s="54" t="s">
        <v>15</v>
      </c>
    </row>
    <row r="796" spans="2:11" ht="16.5" x14ac:dyDescent="0.2">
      <c r="B796" s="82" t="s">
        <v>6528</v>
      </c>
      <c r="C796" s="82" t="s">
        <v>2284</v>
      </c>
      <c r="D796" s="83">
        <f>SUMIFS(D797:D1474,K797:K1474,"0",B797:B1474,"5 1 2 1 4 12 31111 6 M59*")-SUMIFS(E797:E1474,K797:K1474,"0",B797:B1474,"5 1 2 1 4 12 31111 6 M59*")</f>
        <v>435741.42</v>
      </c>
      <c r="E796" s="54"/>
      <c r="F796" s="83">
        <f>SUMIFS(F797:F1474,K797:K1474,"0",B797:B1474,"5 1 2 1 4 12 31111 6 M59*")</f>
        <v>33531.19</v>
      </c>
      <c r="G796" s="83">
        <f>SUMIFS(G797:G1474,K797:K1474,"0",B797:B1474,"5 1 2 1 4 12 31111 6 M59*")</f>
        <v>0</v>
      </c>
      <c r="H796" s="83">
        <f t="shared" si="13"/>
        <v>469272.61</v>
      </c>
      <c r="I796" s="83"/>
      <c r="K796" s="54" t="s">
        <v>15</v>
      </c>
    </row>
    <row r="797" spans="2:11" ht="16.5" x14ac:dyDescent="0.2">
      <c r="B797" s="82" t="s">
        <v>6529</v>
      </c>
      <c r="C797" s="82" t="s">
        <v>1044</v>
      </c>
      <c r="D797" s="83">
        <f>SUMIFS(D798:D1474,K798:K1474,"0",B798:B1474,"5 1 2 1 4 12 31111 6 M59 19000*")-SUMIFS(E798:E1474,K798:K1474,"0",B798:B1474,"5 1 2 1 4 12 31111 6 M59 19000*")</f>
        <v>435741.42</v>
      </c>
      <c r="E797" s="54"/>
      <c r="F797" s="83">
        <f>SUMIFS(F798:F1474,K798:K1474,"0",B798:B1474,"5 1 2 1 4 12 31111 6 M59 19000*")</f>
        <v>33531.19</v>
      </c>
      <c r="G797" s="83">
        <f>SUMIFS(G798:G1474,K798:K1474,"0",B798:B1474,"5 1 2 1 4 12 31111 6 M59 19000*")</f>
        <v>0</v>
      </c>
      <c r="H797" s="83">
        <f t="shared" si="13"/>
        <v>469272.61</v>
      </c>
      <c r="I797" s="83"/>
      <c r="K797" s="54" t="s">
        <v>15</v>
      </c>
    </row>
    <row r="798" spans="2:11" ht="16.5" x14ac:dyDescent="0.2">
      <c r="B798" s="82" t="s">
        <v>6530</v>
      </c>
      <c r="C798" s="82" t="s">
        <v>648</v>
      </c>
      <c r="D798" s="83">
        <f>SUMIFS(D799:D1474,K799:K1474,"0",B799:B1474,"5 1 2 1 4 12 31111 6 M59 19000 000132*")-SUMIFS(E799:E1474,K799:K1474,"0",B799:B1474,"5 1 2 1 4 12 31111 6 M59 19000 000132*")</f>
        <v>435741.42</v>
      </c>
      <c r="E798" s="54"/>
      <c r="F798" s="83">
        <f>SUMIFS(F799:F1474,K799:K1474,"0",B799:B1474,"5 1 2 1 4 12 31111 6 M59 19000 000132*")</f>
        <v>33531.19</v>
      </c>
      <c r="G798" s="83">
        <f>SUMIFS(G799:G1474,K799:K1474,"0",B799:B1474,"5 1 2 1 4 12 31111 6 M59 19000 000132*")</f>
        <v>0</v>
      </c>
      <c r="H798" s="83">
        <f t="shared" si="13"/>
        <v>469272.61</v>
      </c>
      <c r="I798" s="83"/>
      <c r="K798" s="54" t="s">
        <v>15</v>
      </c>
    </row>
    <row r="799" spans="2:11" ht="24.75" x14ac:dyDescent="0.2">
      <c r="B799" s="82" t="s">
        <v>6531</v>
      </c>
      <c r="C799" s="82" t="s">
        <v>650</v>
      </c>
      <c r="D799" s="83">
        <f>SUMIFS(D800:D1474,K800:K1474,"0",B800:B1474,"5 1 2 1 4 12 31111 6 M59 19000 000132 0000R*")-SUMIFS(E800:E1474,K800:K1474,"0",B800:B1474,"5 1 2 1 4 12 31111 6 M59 19000 000132 0000R*")</f>
        <v>435741.42</v>
      </c>
      <c r="E799" s="54"/>
      <c r="F799" s="83">
        <f>SUMIFS(F800:F1474,K800:K1474,"0",B800:B1474,"5 1 2 1 4 12 31111 6 M59 19000 000132 0000R*")</f>
        <v>33531.19</v>
      </c>
      <c r="G799" s="83">
        <f>SUMIFS(G800:G1474,K800:K1474,"0",B800:B1474,"5 1 2 1 4 12 31111 6 M59 19000 000132 0000R*")</f>
        <v>0</v>
      </c>
      <c r="H799" s="83">
        <f t="shared" si="13"/>
        <v>469272.61</v>
      </c>
      <c r="I799" s="83"/>
      <c r="K799" s="54" t="s">
        <v>15</v>
      </c>
    </row>
    <row r="800" spans="2:11" ht="24.75" x14ac:dyDescent="0.2">
      <c r="B800" s="82" t="s">
        <v>6532</v>
      </c>
      <c r="C800" s="82" t="s">
        <v>282</v>
      </c>
      <c r="D800" s="83">
        <f>SUMIFS(D801:D1474,K801:K1474,"0",B801:B1474,"5 1 2 1 4 12 31111 6 M59 19000 000132 0000R 00001*")-SUMIFS(E801:E1474,K801:K1474,"0",B801:B1474,"5 1 2 1 4 12 31111 6 M59 19000 000132 0000R 00001*")</f>
        <v>435741.42</v>
      </c>
      <c r="E800" s="54"/>
      <c r="F800" s="83">
        <f>SUMIFS(F801:F1474,K801:K1474,"0",B801:B1474,"5 1 2 1 4 12 31111 6 M59 19000 000132 0000R 00001*")</f>
        <v>33531.19</v>
      </c>
      <c r="G800" s="83">
        <f>SUMIFS(G801:G1474,K801:K1474,"0",B801:B1474,"5 1 2 1 4 12 31111 6 M59 19000 000132 0000R 00001*")</f>
        <v>0</v>
      </c>
      <c r="H800" s="83">
        <f t="shared" si="13"/>
        <v>469272.61</v>
      </c>
      <c r="I800" s="83"/>
      <c r="K800" s="54" t="s">
        <v>15</v>
      </c>
    </row>
    <row r="801" spans="2:11" ht="41.25" x14ac:dyDescent="0.2">
      <c r="B801" s="82" t="s">
        <v>6533</v>
      </c>
      <c r="C801" s="82" t="s">
        <v>6534</v>
      </c>
      <c r="D801" s="83">
        <f>SUMIFS(D802:D1474,K802:K1474,"0",B802:B1474,"5 1 2 1 4 12 31111 6 M59 19000 000132 0000R 00001 00214*")-SUMIFS(E802:E1474,K802:K1474,"0",B802:B1474,"5 1 2 1 4 12 31111 6 M59 19000 000132 0000R 00001 00214*")</f>
        <v>435741.42</v>
      </c>
      <c r="E801" s="54"/>
      <c r="F801" s="83">
        <f>SUMIFS(F802:F1474,K802:K1474,"0",B802:B1474,"5 1 2 1 4 12 31111 6 M59 19000 000132 0000R 00001 00214*")</f>
        <v>33531.19</v>
      </c>
      <c r="G801" s="83">
        <f>SUMIFS(G802:G1474,K802:K1474,"0",B802:B1474,"5 1 2 1 4 12 31111 6 M59 19000 000132 0000R 00001 00214*")</f>
        <v>0</v>
      </c>
      <c r="H801" s="83">
        <f t="shared" si="13"/>
        <v>469272.61</v>
      </c>
      <c r="I801" s="83"/>
      <c r="K801" s="54" t="s">
        <v>15</v>
      </c>
    </row>
    <row r="802" spans="2:11" ht="33" x14ac:dyDescent="0.2">
      <c r="B802" s="82" t="s">
        <v>6535</v>
      </c>
      <c r="C802" s="82" t="s">
        <v>699</v>
      </c>
      <c r="D802" s="83">
        <f>SUMIFS(D803:D1474,K803:K1474,"0",B803:B1474,"5 1 2 1 4 12 31111 6 M59 19000 000132 0000R 00001 00214 011*")-SUMIFS(E803:E1474,K803:K1474,"0",B803:B1474,"5 1 2 1 4 12 31111 6 M59 19000 000132 0000R 00001 00214 011*")</f>
        <v>435741.42</v>
      </c>
      <c r="E802" s="54"/>
      <c r="F802" s="83">
        <f>SUMIFS(F803:F1474,K803:K1474,"0",B803:B1474,"5 1 2 1 4 12 31111 6 M59 19000 000132 0000R 00001 00214 011*")</f>
        <v>33531.19</v>
      </c>
      <c r="G802" s="83">
        <f>SUMIFS(G803:G1474,K803:K1474,"0",B803:B1474,"5 1 2 1 4 12 31111 6 M59 19000 000132 0000R 00001 00214 011*")</f>
        <v>0</v>
      </c>
      <c r="H802" s="83">
        <f t="shared" si="13"/>
        <v>469272.61</v>
      </c>
      <c r="I802" s="83"/>
      <c r="K802" s="54" t="s">
        <v>15</v>
      </c>
    </row>
    <row r="803" spans="2:11" ht="33" x14ac:dyDescent="0.2">
      <c r="B803" s="82" t="s">
        <v>6536</v>
      </c>
      <c r="C803" s="82" t="s">
        <v>5830</v>
      </c>
      <c r="D803" s="83">
        <f>SUMIFS(D804:D1474,K804:K1474,"0",B804:B1474,"5 1 2 1 4 12 31111 6 M59 19000 000132 0000R 00001 00214 011 2112000*")-SUMIFS(E804:E1474,K804:K1474,"0",B804:B1474,"5 1 2 1 4 12 31111 6 M59 19000 000132 0000R 00001 00214 011 2112000*")</f>
        <v>435741.42</v>
      </c>
      <c r="E803" s="54"/>
      <c r="F803" s="83">
        <f>SUMIFS(F804:F1474,K804:K1474,"0",B804:B1474,"5 1 2 1 4 12 31111 6 M59 19000 000132 0000R 00001 00214 011 2112000*")</f>
        <v>33531.19</v>
      </c>
      <c r="G803" s="83">
        <f>SUMIFS(G804:G1474,K804:K1474,"0",B804:B1474,"5 1 2 1 4 12 31111 6 M59 19000 000132 0000R 00001 00214 011 2112000*")</f>
        <v>0</v>
      </c>
      <c r="H803" s="83">
        <f t="shared" si="13"/>
        <v>469272.61</v>
      </c>
      <c r="I803" s="83"/>
      <c r="K803" s="54" t="s">
        <v>15</v>
      </c>
    </row>
    <row r="804" spans="2:11" ht="33" x14ac:dyDescent="0.2">
      <c r="B804" s="82" t="s">
        <v>6537</v>
      </c>
      <c r="C804" s="82" t="s">
        <v>660</v>
      </c>
      <c r="D804" s="83">
        <f>SUMIFS(D805:D1474,K805:K1474,"0",B805:B1474,"5 1 2 1 4 12 31111 6 M59 19000 000132 0000R 00001 00214 011 2112000 2024*")-SUMIFS(E805:E1474,K805:K1474,"0",B805:B1474,"5 1 2 1 4 12 31111 6 M59 19000 000132 0000R 00001 00214 011 2112000 2024*")</f>
        <v>435741.42</v>
      </c>
      <c r="E804" s="54"/>
      <c r="F804" s="83">
        <f>SUMIFS(F805:F1474,K805:K1474,"0",B805:B1474,"5 1 2 1 4 12 31111 6 M59 19000 000132 0000R 00001 00214 011 2112000 2024*")</f>
        <v>33531.19</v>
      </c>
      <c r="G804" s="83">
        <f>SUMIFS(G805:G1474,K805:K1474,"0",B805:B1474,"5 1 2 1 4 12 31111 6 M59 19000 000132 0000R 00001 00214 011 2112000 2024*")</f>
        <v>0</v>
      </c>
      <c r="H804" s="83">
        <f t="shared" si="13"/>
        <v>469272.61</v>
      </c>
      <c r="I804" s="83"/>
      <c r="K804" s="54" t="s">
        <v>15</v>
      </c>
    </row>
    <row r="805" spans="2:11" ht="41.25" x14ac:dyDescent="0.2">
      <c r="B805" s="82" t="s">
        <v>6538</v>
      </c>
      <c r="C805" s="82" t="s">
        <v>662</v>
      </c>
      <c r="D805" s="83">
        <f>SUMIFS(D806:D1474,K806:K1474,"0",B806:B1474,"5 1 2 1 4 12 31111 6 M59 19000 000132 0000R 00001 00214 011 2112000 2024 CP1TM440*")-SUMIFS(E806:E1474,K806:K1474,"0",B806:B1474,"5 1 2 1 4 12 31111 6 M59 19000 000132 0000R 00001 00214 011 2112000 2024 CP1TM440*")</f>
        <v>435741.42</v>
      </c>
      <c r="E805" s="54"/>
      <c r="F805" s="83">
        <f>SUMIFS(F806:F1474,K806:K1474,"0",B806:B1474,"5 1 2 1 4 12 31111 6 M59 19000 000132 0000R 00001 00214 011 2112000 2024 CP1TM440*")</f>
        <v>33531.19</v>
      </c>
      <c r="G805" s="83">
        <f>SUMIFS(G806:G1474,K806:K1474,"0",B806:B1474,"5 1 2 1 4 12 31111 6 M59 19000 000132 0000R 00001 00214 011 2112000 2024 CP1TM440*")</f>
        <v>0</v>
      </c>
      <c r="H805" s="83">
        <f t="shared" si="13"/>
        <v>469272.61</v>
      </c>
      <c r="I805" s="83"/>
      <c r="K805" s="54" t="s">
        <v>15</v>
      </c>
    </row>
    <row r="806" spans="2:11" ht="41.25" x14ac:dyDescent="0.2">
      <c r="B806" s="82" t="s">
        <v>6539</v>
      </c>
      <c r="C806" s="82" t="s">
        <v>2284</v>
      </c>
      <c r="D806" s="83">
        <f>SUMIFS(D807:D1474,K807:K1474,"0",B807:B1474,"5 1 2 1 4 12 31111 6 M59 19000 000132 0000R 00001 00214 011 2112000 2024 CP1TM440 004*")-SUMIFS(E807:E1474,K807:K1474,"0",B807:B1474,"5 1 2 1 4 12 31111 6 M59 19000 000132 0000R 00001 00214 011 2112000 2024 CP1TM440 004*")</f>
        <v>435741.42</v>
      </c>
      <c r="E806" s="54"/>
      <c r="F806" s="83">
        <f>SUMIFS(F807:F1474,K807:K1474,"0",B807:B1474,"5 1 2 1 4 12 31111 6 M59 19000 000132 0000R 00001 00214 011 2112000 2024 CP1TM440 004*")</f>
        <v>33531.19</v>
      </c>
      <c r="G806" s="83">
        <f>SUMIFS(G807:G1474,K807:K1474,"0",B807:B1474,"5 1 2 1 4 12 31111 6 M59 19000 000132 0000R 00001 00214 011 2112000 2024 CP1TM440 004*")</f>
        <v>0</v>
      </c>
      <c r="H806" s="83">
        <f t="shared" si="13"/>
        <v>469272.61</v>
      </c>
      <c r="I806" s="83"/>
      <c r="K806" s="54" t="s">
        <v>15</v>
      </c>
    </row>
    <row r="807" spans="2:11" ht="33" x14ac:dyDescent="0.2">
      <c r="B807" s="84" t="s">
        <v>6540</v>
      </c>
      <c r="C807" s="84" t="s">
        <v>2284</v>
      </c>
      <c r="D807" s="85">
        <v>435741.42</v>
      </c>
      <c r="E807" s="85"/>
      <c r="F807" s="85">
        <v>33531.19</v>
      </c>
      <c r="G807" s="85">
        <v>0</v>
      </c>
      <c r="H807" s="85">
        <f t="shared" si="13"/>
        <v>469272.61</v>
      </c>
      <c r="I807" s="85"/>
      <c r="K807" s="54" t="s">
        <v>38</v>
      </c>
    </row>
    <row r="808" spans="2:11" ht="16.5" x14ac:dyDescent="0.2">
      <c r="B808" s="82" t="s">
        <v>6608</v>
      </c>
      <c r="C808" s="82" t="s">
        <v>6609</v>
      </c>
      <c r="D808" s="83">
        <f>SUMIFS(D809:D1474,K809:K1474,"0",B809:B1474,"5 1 2 1 5*")-SUMIFS(E809:E1474,K809:K1474,"0",B809:B1474,"5 1 2 1 5*")</f>
        <v>52612.57</v>
      </c>
      <c r="E808" s="54"/>
      <c r="F808" s="83">
        <f>SUMIFS(F809:F1474,K809:K1474,"0",B809:B1474,"5 1 2 1 5*")</f>
        <v>18007.64</v>
      </c>
      <c r="G808" s="83">
        <f>SUMIFS(G809:G1474,K809:K1474,"0",B809:B1474,"5 1 2 1 5*")</f>
        <v>0</v>
      </c>
      <c r="H808" s="83">
        <f t="shared" si="13"/>
        <v>70620.209999999992</v>
      </c>
      <c r="I808" s="83"/>
      <c r="K808" s="54" t="s">
        <v>15</v>
      </c>
    </row>
    <row r="809" spans="2:11" ht="12.75" x14ac:dyDescent="0.2">
      <c r="B809" s="82" t="s">
        <v>6610</v>
      </c>
      <c r="C809" s="82" t="s">
        <v>26</v>
      </c>
      <c r="D809" s="83">
        <f>SUMIFS(D810:D1474,K810:K1474,"0",B810:B1474,"5 1 2 1 5 12*")-SUMIFS(E810:E1474,K810:K1474,"0",B810:B1474,"5 1 2 1 5 12*")</f>
        <v>52612.57</v>
      </c>
      <c r="E809" s="54"/>
      <c r="F809" s="83">
        <f>SUMIFS(F810:F1474,K810:K1474,"0",B810:B1474,"5 1 2 1 5 12*")</f>
        <v>18007.64</v>
      </c>
      <c r="G809" s="83">
        <f>SUMIFS(G810:G1474,K810:K1474,"0",B810:B1474,"5 1 2 1 5 12*")</f>
        <v>0</v>
      </c>
      <c r="H809" s="83">
        <f t="shared" ref="H809:H872" si="14">D809 + F809 - G809</f>
        <v>70620.209999999992</v>
      </c>
      <c r="I809" s="83"/>
      <c r="K809" s="54" t="s">
        <v>15</v>
      </c>
    </row>
    <row r="810" spans="2:11" ht="16.5" x14ac:dyDescent="0.2">
      <c r="B810" s="82" t="s">
        <v>6611</v>
      </c>
      <c r="C810" s="82" t="s">
        <v>28</v>
      </c>
      <c r="D810" s="83">
        <f>SUMIFS(D811:D1474,K811:K1474,"0",B811:B1474,"5 1 2 1 5 12 31111*")-SUMIFS(E811:E1474,K811:K1474,"0",B811:B1474,"5 1 2 1 5 12 31111*")</f>
        <v>52612.57</v>
      </c>
      <c r="E810" s="54"/>
      <c r="F810" s="83">
        <f>SUMIFS(F811:F1474,K811:K1474,"0",B811:B1474,"5 1 2 1 5 12 31111*")</f>
        <v>18007.64</v>
      </c>
      <c r="G810" s="83">
        <f>SUMIFS(G811:G1474,K811:K1474,"0",B811:B1474,"5 1 2 1 5 12 31111*")</f>
        <v>0</v>
      </c>
      <c r="H810" s="83">
        <f t="shared" si="14"/>
        <v>70620.209999999992</v>
      </c>
      <c r="I810" s="83"/>
      <c r="K810" s="54" t="s">
        <v>15</v>
      </c>
    </row>
    <row r="811" spans="2:11" ht="12.75" x14ac:dyDescent="0.2">
      <c r="B811" s="82" t="s">
        <v>6612</v>
      </c>
      <c r="C811" s="82" t="s">
        <v>30</v>
      </c>
      <c r="D811" s="83">
        <f>SUMIFS(D812:D1474,K812:K1474,"0",B812:B1474,"5 1 2 1 5 12 31111 6*")-SUMIFS(E812:E1474,K812:K1474,"0",B812:B1474,"5 1 2 1 5 12 31111 6*")</f>
        <v>52612.57</v>
      </c>
      <c r="E811" s="54"/>
      <c r="F811" s="83">
        <f>SUMIFS(F812:F1474,K812:K1474,"0",B812:B1474,"5 1 2 1 5 12 31111 6*")</f>
        <v>18007.64</v>
      </c>
      <c r="G811" s="83">
        <f>SUMIFS(G812:G1474,K812:K1474,"0",B812:B1474,"5 1 2 1 5 12 31111 6*")</f>
        <v>0</v>
      </c>
      <c r="H811" s="83">
        <f t="shared" si="14"/>
        <v>70620.209999999992</v>
      </c>
      <c r="I811" s="83"/>
      <c r="K811" s="54" t="s">
        <v>15</v>
      </c>
    </row>
    <row r="812" spans="2:11" ht="16.5" x14ac:dyDescent="0.2">
      <c r="B812" s="82" t="s">
        <v>6613</v>
      </c>
      <c r="C812" s="82" t="s">
        <v>2284</v>
      </c>
      <c r="D812" s="83">
        <f>SUMIFS(D813:D1474,K813:K1474,"0",B813:B1474,"5 1 2 1 5 12 31111 6 M59*")-SUMIFS(E813:E1474,K813:K1474,"0",B813:B1474,"5 1 2 1 5 12 31111 6 M59*")</f>
        <v>52612.57</v>
      </c>
      <c r="E812" s="54"/>
      <c r="F812" s="83">
        <f>SUMIFS(F813:F1474,K813:K1474,"0",B813:B1474,"5 1 2 1 5 12 31111 6 M59*")</f>
        <v>18007.64</v>
      </c>
      <c r="G812" s="83">
        <f>SUMIFS(G813:G1474,K813:K1474,"0",B813:B1474,"5 1 2 1 5 12 31111 6 M59*")</f>
        <v>0</v>
      </c>
      <c r="H812" s="83">
        <f t="shared" si="14"/>
        <v>70620.209999999992</v>
      </c>
      <c r="I812" s="83"/>
      <c r="K812" s="54" t="s">
        <v>15</v>
      </c>
    </row>
    <row r="813" spans="2:11" ht="16.5" x14ac:dyDescent="0.2">
      <c r="B813" s="82" t="s">
        <v>6614</v>
      </c>
      <c r="C813" s="82" t="s">
        <v>1044</v>
      </c>
      <c r="D813" s="83">
        <f>SUMIFS(D814:D1474,K814:K1474,"0",B814:B1474,"5 1 2 1 5 12 31111 6 M59 19000*")-SUMIFS(E814:E1474,K814:K1474,"0",B814:B1474,"5 1 2 1 5 12 31111 6 M59 19000*")</f>
        <v>52612.57</v>
      </c>
      <c r="E813" s="54"/>
      <c r="F813" s="83">
        <f>SUMIFS(F814:F1474,K814:K1474,"0",B814:B1474,"5 1 2 1 5 12 31111 6 M59 19000*")</f>
        <v>18007.64</v>
      </c>
      <c r="G813" s="83">
        <f>SUMIFS(G814:G1474,K814:K1474,"0",B814:B1474,"5 1 2 1 5 12 31111 6 M59 19000*")</f>
        <v>0</v>
      </c>
      <c r="H813" s="83">
        <f t="shared" si="14"/>
        <v>70620.209999999992</v>
      </c>
      <c r="I813" s="83"/>
      <c r="K813" s="54" t="s">
        <v>15</v>
      </c>
    </row>
    <row r="814" spans="2:11" ht="16.5" x14ac:dyDescent="0.2">
      <c r="B814" s="82" t="s">
        <v>6615</v>
      </c>
      <c r="C814" s="82" t="s">
        <v>648</v>
      </c>
      <c r="D814" s="83">
        <f>SUMIFS(D815:D1474,K815:K1474,"0",B815:B1474,"5 1 2 1 5 12 31111 6 M59 19000 000132*")-SUMIFS(E815:E1474,K815:K1474,"0",B815:B1474,"5 1 2 1 5 12 31111 6 M59 19000 000132*")</f>
        <v>52612.57</v>
      </c>
      <c r="E814" s="54"/>
      <c r="F814" s="83">
        <f>SUMIFS(F815:F1474,K815:K1474,"0",B815:B1474,"5 1 2 1 5 12 31111 6 M59 19000 000132*")</f>
        <v>18007.64</v>
      </c>
      <c r="G814" s="83">
        <f>SUMIFS(G815:G1474,K815:K1474,"0",B815:B1474,"5 1 2 1 5 12 31111 6 M59 19000 000132*")</f>
        <v>0</v>
      </c>
      <c r="H814" s="83">
        <f t="shared" si="14"/>
        <v>70620.209999999992</v>
      </c>
      <c r="I814" s="83"/>
      <c r="K814" s="54" t="s">
        <v>15</v>
      </c>
    </row>
    <row r="815" spans="2:11" ht="16.5" x14ac:dyDescent="0.2">
      <c r="B815" s="82" t="s">
        <v>6616</v>
      </c>
      <c r="C815" s="82" t="s">
        <v>650</v>
      </c>
      <c r="D815" s="83">
        <f>SUMIFS(D816:D1474,K816:K1474,"0",B816:B1474,"5 1 2 1 5 12 31111 6 M59 19000 000132 0000R*")-SUMIFS(E816:E1474,K816:K1474,"0",B816:B1474,"5 1 2 1 5 12 31111 6 M59 19000 000132 0000R*")</f>
        <v>52612.57</v>
      </c>
      <c r="E815" s="54"/>
      <c r="F815" s="83">
        <f>SUMIFS(F816:F1474,K816:K1474,"0",B816:B1474,"5 1 2 1 5 12 31111 6 M59 19000 000132 0000R*")</f>
        <v>18007.64</v>
      </c>
      <c r="G815" s="83">
        <f>SUMIFS(G816:G1474,K816:K1474,"0",B816:B1474,"5 1 2 1 5 12 31111 6 M59 19000 000132 0000R*")</f>
        <v>0</v>
      </c>
      <c r="H815" s="83">
        <f t="shared" si="14"/>
        <v>70620.209999999992</v>
      </c>
      <c r="I815" s="83"/>
      <c r="K815" s="54" t="s">
        <v>15</v>
      </c>
    </row>
    <row r="816" spans="2:11" ht="24.75" x14ac:dyDescent="0.2">
      <c r="B816" s="82" t="s">
        <v>6617</v>
      </c>
      <c r="C816" s="82" t="s">
        <v>282</v>
      </c>
      <c r="D816" s="83">
        <f>SUMIFS(D817:D1474,K817:K1474,"0",B817:B1474,"5 1 2 1 5 12 31111 6 M59 19000 000132 0000R 00001*")-SUMIFS(E817:E1474,K817:K1474,"0",B817:B1474,"5 1 2 1 5 12 31111 6 M59 19000 000132 0000R 00001*")</f>
        <v>52612.57</v>
      </c>
      <c r="E816" s="54"/>
      <c r="F816" s="83">
        <f>SUMIFS(F817:F1474,K817:K1474,"0",B817:B1474,"5 1 2 1 5 12 31111 6 M59 19000 000132 0000R 00001*")</f>
        <v>18007.64</v>
      </c>
      <c r="G816" s="83">
        <f>SUMIFS(G817:G1474,K817:K1474,"0",B817:B1474,"5 1 2 1 5 12 31111 6 M59 19000 000132 0000R 00001*")</f>
        <v>0</v>
      </c>
      <c r="H816" s="83">
        <f t="shared" si="14"/>
        <v>70620.209999999992</v>
      </c>
      <c r="I816" s="83"/>
      <c r="K816" s="54" t="s">
        <v>15</v>
      </c>
    </row>
    <row r="817" spans="2:11" ht="24.75" x14ac:dyDescent="0.2">
      <c r="B817" s="82" t="s">
        <v>6618</v>
      </c>
      <c r="C817" s="82" t="s">
        <v>6619</v>
      </c>
      <c r="D817" s="83">
        <f>SUMIFS(D818:D1474,K818:K1474,"0",B818:B1474,"5 1 2 1 5 12 31111 6 M59 19000 000132 0000R 00001 00215*")-SUMIFS(E818:E1474,K818:K1474,"0",B818:B1474,"5 1 2 1 5 12 31111 6 M59 19000 000132 0000R 00001 00215*")</f>
        <v>52612.57</v>
      </c>
      <c r="E817" s="54"/>
      <c r="F817" s="83">
        <f>SUMIFS(F818:F1474,K818:K1474,"0",B818:B1474,"5 1 2 1 5 12 31111 6 M59 19000 000132 0000R 00001 00215*")</f>
        <v>18007.64</v>
      </c>
      <c r="G817" s="83">
        <f>SUMIFS(G818:G1474,K818:K1474,"0",B818:B1474,"5 1 2 1 5 12 31111 6 M59 19000 000132 0000R 00001 00215*")</f>
        <v>0</v>
      </c>
      <c r="H817" s="83">
        <f t="shared" si="14"/>
        <v>70620.209999999992</v>
      </c>
      <c r="I817" s="83"/>
      <c r="K817" s="54" t="s">
        <v>15</v>
      </c>
    </row>
    <row r="818" spans="2:11" ht="24.75" x14ac:dyDescent="0.2">
      <c r="B818" s="82" t="s">
        <v>6620</v>
      </c>
      <c r="C818" s="82" t="s">
        <v>699</v>
      </c>
      <c r="D818" s="83">
        <f>SUMIFS(D819:D1474,K819:K1474,"0",B819:B1474,"5 1 2 1 5 12 31111 6 M59 19000 000132 0000R 00001 00215 011*")-SUMIFS(E819:E1474,K819:K1474,"0",B819:B1474,"5 1 2 1 5 12 31111 6 M59 19000 000132 0000R 00001 00215 011*")</f>
        <v>52612.57</v>
      </c>
      <c r="E818" s="54"/>
      <c r="F818" s="83">
        <f>SUMIFS(F819:F1474,K819:K1474,"0",B819:B1474,"5 1 2 1 5 12 31111 6 M59 19000 000132 0000R 00001 00215 011*")</f>
        <v>18007.64</v>
      </c>
      <c r="G818" s="83">
        <f>SUMIFS(G819:G1474,K819:K1474,"0",B819:B1474,"5 1 2 1 5 12 31111 6 M59 19000 000132 0000R 00001 00215 011*")</f>
        <v>0</v>
      </c>
      <c r="H818" s="83">
        <f t="shared" si="14"/>
        <v>70620.209999999992</v>
      </c>
      <c r="I818" s="83"/>
      <c r="K818" s="54" t="s">
        <v>15</v>
      </c>
    </row>
    <row r="819" spans="2:11" ht="33" x14ac:dyDescent="0.2">
      <c r="B819" s="82" t="s">
        <v>6621</v>
      </c>
      <c r="C819" s="82" t="s">
        <v>5830</v>
      </c>
      <c r="D819" s="83">
        <f>SUMIFS(D820:D1474,K820:K1474,"0",B820:B1474,"5 1 2 1 5 12 31111 6 M59 19000 000132 0000R 00001 00215 011 2112000*")-SUMIFS(E820:E1474,K820:K1474,"0",B820:B1474,"5 1 2 1 5 12 31111 6 M59 19000 000132 0000R 00001 00215 011 2112000*")</f>
        <v>52612.57</v>
      </c>
      <c r="E819" s="54"/>
      <c r="F819" s="83">
        <f>SUMIFS(F820:F1474,K820:K1474,"0",B820:B1474,"5 1 2 1 5 12 31111 6 M59 19000 000132 0000R 00001 00215 011 2112000*")</f>
        <v>18007.64</v>
      </c>
      <c r="G819" s="83">
        <f>SUMIFS(G820:G1474,K820:K1474,"0",B820:B1474,"5 1 2 1 5 12 31111 6 M59 19000 000132 0000R 00001 00215 011 2112000*")</f>
        <v>0</v>
      </c>
      <c r="H819" s="83">
        <f t="shared" si="14"/>
        <v>70620.209999999992</v>
      </c>
      <c r="I819" s="83"/>
      <c r="K819" s="54" t="s">
        <v>15</v>
      </c>
    </row>
    <row r="820" spans="2:11" ht="33" x14ac:dyDescent="0.2">
      <c r="B820" s="82" t="s">
        <v>6622</v>
      </c>
      <c r="C820" s="82" t="s">
        <v>660</v>
      </c>
      <c r="D820" s="83">
        <f>SUMIFS(D821:D1474,K821:K1474,"0",B821:B1474,"5 1 2 1 5 12 31111 6 M59 19000 000132 0000R 00001 00215 011 2112000 2024*")-SUMIFS(E821:E1474,K821:K1474,"0",B821:B1474,"5 1 2 1 5 12 31111 6 M59 19000 000132 0000R 00001 00215 011 2112000 2024*")</f>
        <v>52612.57</v>
      </c>
      <c r="E820" s="54"/>
      <c r="F820" s="83">
        <f>SUMIFS(F821:F1474,K821:K1474,"0",B821:B1474,"5 1 2 1 5 12 31111 6 M59 19000 000132 0000R 00001 00215 011 2112000 2024*")</f>
        <v>18007.64</v>
      </c>
      <c r="G820" s="83">
        <f>SUMIFS(G821:G1474,K821:K1474,"0",B821:B1474,"5 1 2 1 5 12 31111 6 M59 19000 000132 0000R 00001 00215 011 2112000 2024*")</f>
        <v>0</v>
      </c>
      <c r="H820" s="83">
        <f t="shared" si="14"/>
        <v>70620.209999999992</v>
      </c>
      <c r="I820" s="83"/>
      <c r="K820" s="54" t="s">
        <v>15</v>
      </c>
    </row>
    <row r="821" spans="2:11" ht="41.25" x14ac:dyDescent="0.2">
      <c r="B821" s="82" t="s">
        <v>6623</v>
      </c>
      <c r="C821" s="82" t="s">
        <v>662</v>
      </c>
      <c r="D821" s="83">
        <f>SUMIFS(D822:D1474,K822:K1474,"0",B822:B1474,"5 1 2 1 5 12 31111 6 M59 19000 000132 0000R 00001 00215 011 2112000 2024 CP1TM440*")-SUMIFS(E822:E1474,K822:K1474,"0",B822:B1474,"5 1 2 1 5 12 31111 6 M59 19000 000132 0000R 00001 00215 011 2112000 2024 CP1TM440*")</f>
        <v>52612.57</v>
      </c>
      <c r="E821" s="54"/>
      <c r="F821" s="83">
        <f>SUMIFS(F822:F1474,K822:K1474,"0",B822:B1474,"5 1 2 1 5 12 31111 6 M59 19000 000132 0000R 00001 00215 011 2112000 2024 CP1TM440*")</f>
        <v>18007.64</v>
      </c>
      <c r="G821" s="83">
        <f>SUMIFS(G822:G1474,K822:K1474,"0",B822:B1474,"5 1 2 1 5 12 31111 6 M59 19000 000132 0000R 00001 00215 011 2112000 2024 CP1TM440*")</f>
        <v>0</v>
      </c>
      <c r="H821" s="83">
        <f t="shared" si="14"/>
        <v>70620.209999999992</v>
      </c>
      <c r="I821" s="83"/>
      <c r="K821" s="54" t="s">
        <v>15</v>
      </c>
    </row>
    <row r="822" spans="2:11" ht="41.25" x14ac:dyDescent="0.2">
      <c r="B822" s="82" t="s">
        <v>6624</v>
      </c>
      <c r="C822" s="82" t="s">
        <v>2284</v>
      </c>
      <c r="D822" s="83">
        <f>SUMIFS(D823:D1474,K823:K1474,"0",B823:B1474,"5 1 2 1 5 12 31111 6 M59 19000 000132 0000R 00001 00215 011 2112000 2024 CP1TM440 004*")-SUMIFS(E823:E1474,K823:K1474,"0",B823:B1474,"5 1 2 1 5 12 31111 6 M59 19000 000132 0000R 00001 00215 011 2112000 2024 CP1TM440 004*")</f>
        <v>52612.57</v>
      </c>
      <c r="E822" s="54"/>
      <c r="F822" s="83">
        <f>SUMIFS(F823:F1474,K823:K1474,"0",B823:B1474,"5 1 2 1 5 12 31111 6 M59 19000 000132 0000R 00001 00215 011 2112000 2024 CP1TM440 004*")</f>
        <v>18007.64</v>
      </c>
      <c r="G822" s="83">
        <f>SUMIFS(G823:G1474,K823:K1474,"0",B823:B1474,"5 1 2 1 5 12 31111 6 M59 19000 000132 0000R 00001 00215 011 2112000 2024 CP1TM440 004*")</f>
        <v>0</v>
      </c>
      <c r="H822" s="83">
        <f t="shared" si="14"/>
        <v>70620.209999999992</v>
      </c>
      <c r="I822" s="83"/>
      <c r="K822" s="54" t="s">
        <v>15</v>
      </c>
    </row>
    <row r="823" spans="2:11" ht="33" x14ac:dyDescent="0.2">
      <c r="B823" s="84" t="s">
        <v>6625</v>
      </c>
      <c r="C823" s="84" t="s">
        <v>2284</v>
      </c>
      <c r="D823" s="85">
        <v>52612.57</v>
      </c>
      <c r="E823" s="85"/>
      <c r="F823" s="85">
        <v>18007.64</v>
      </c>
      <c r="G823" s="85">
        <v>0</v>
      </c>
      <c r="H823" s="85">
        <f t="shared" si="14"/>
        <v>70620.209999999992</v>
      </c>
      <c r="I823" s="85"/>
      <c r="K823" s="54" t="s">
        <v>38</v>
      </c>
    </row>
    <row r="824" spans="2:11" ht="12.75" x14ac:dyDescent="0.2">
      <c r="B824" s="82" t="s">
        <v>6637</v>
      </c>
      <c r="C824" s="82" t="s">
        <v>6638</v>
      </c>
      <c r="D824" s="83">
        <f>SUMIFS(D825:D1474,K825:K1474,"0",B825:B1474,"5 1 2 1 6*")-SUMIFS(E825:E1474,K825:K1474,"0",B825:B1474,"5 1 2 1 6*")</f>
        <v>2390000</v>
      </c>
      <c r="E824" s="54"/>
      <c r="F824" s="83">
        <f>SUMIFS(F825:F1474,K825:K1474,"0",B825:B1474,"5 1 2 1 6*")</f>
        <v>0</v>
      </c>
      <c r="G824" s="83">
        <f>SUMIFS(G825:G1474,K825:K1474,"0",B825:B1474,"5 1 2 1 6*")</f>
        <v>0</v>
      </c>
      <c r="H824" s="83">
        <f t="shared" si="14"/>
        <v>2390000</v>
      </c>
      <c r="I824" s="83"/>
      <c r="K824" s="54" t="s">
        <v>15</v>
      </c>
    </row>
    <row r="825" spans="2:11" ht="12.75" x14ac:dyDescent="0.2">
      <c r="B825" s="82" t="s">
        <v>6639</v>
      </c>
      <c r="C825" s="82" t="s">
        <v>26</v>
      </c>
      <c r="D825" s="83">
        <f>SUMIFS(D826:D1474,K826:K1474,"0",B826:B1474,"5 1 2 1 6 12*")-SUMIFS(E826:E1474,K826:K1474,"0",B826:B1474,"5 1 2 1 6 12*")</f>
        <v>2390000</v>
      </c>
      <c r="E825" s="54"/>
      <c r="F825" s="83">
        <f>SUMIFS(F826:F1474,K826:K1474,"0",B826:B1474,"5 1 2 1 6 12*")</f>
        <v>0</v>
      </c>
      <c r="G825" s="83">
        <f>SUMIFS(G826:G1474,K826:K1474,"0",B826:B1474,"5 1 2 1 6 12*")</f>
        <v>0</v>
      </c>
      <c r="H825" s="83">
        <f t="shared" si="14"/>
        <v>2390000</v>
      </c>
      <c r="I825" s="83"/>
      <c r="K825" s="54" t="s">
        <v>15</v>
      </c>
    </row>
    <row r="826" spans="2:11" ht="16.5" x14ac:dyDescent="0.2">
      <c r="B826" s="82" t="s">
        <v>6640</v>
      </c>
      <c r="C826" s="82" t="s">
        <v>28</v>
      </c>
      <c r="D826" s="83">
        <f>SUMIFS(D827:D1474,K827:K1474,"0",B827:B1474,"5 1 2 1 6 12 31111*")-SUMIFS(E827:E1474,K827:K1474,"0",B827:B1474,"5 1 2 1 6 12 31111*")</f>
        <v>2390000</v>
      </c>
      <c r="E826" s="54"/>
      <c r="F826" s="83">
        <f>SUMIFS(F827:F1474,K827:K1474,"0",B827:B1474,"5 1 2 1 6 12 31111*")</f>
        <v>0</v>
      </c>
      <c r="G826" s="83">
        <f>SUMIFS(G827:G1474,K827:K1474,"0",B827:B1474,"5 1 2 1 6 12 31111*")</f>
        <v>0</v>
      </c>
      <c r="H826" s="83">
        <f t="shared" si="14"/>
        <v>2390000</v>
      </c>
      <c r="I826" s="83"/>
      <c r="K826" s="54" t="s">
        <v>15</v>
      </c>
    </row>
    <row r="827" spans="2:11" ht="12.75" x14ac:dyDescent="0.2">
      <c r="B827" s="82" t="s">
        <v>6641</v>
      </c>
      <c r="C827" s="82" t="s">
        <v>30</v>
      </c>
      <c r="D827" s="83">
        <f>SUMIFS(D828:D1474,K828:K1474,"0",B828:B1474,"5 1 2 1 6 12 31111 6*")-SUMIFS(E828:E1474,K828:K1474,"0",B828:B1474,"5 1 2 1 6 12 31111 6*")</f>
        <v>2390000</v>
      </c>
      <c r="E827" s="54"/>
      <c r="F827" s="83">
        <f>SUMIFS(F828:F1474,K828:K1474,"0",B828:B1474,"5 1 2 1 6 12 31111 6*")</f>
        <v>0</v>
      </c>
      <c r="G827" s="83">
        <f>SUMIFS(G828:G1474,K828:K1474,"0",B828:B1474,"5 1 2 1 6 12 31111 6*")</f>
        <v>0</v>
      </c>
      <c r="H827" s="83">
        <f t="shared" si="14"/>
        <v>2390000</v>
      </c>
      <c r="I827" s="83"/>
      <c r="K827" s="54" t="s">
        <v>15</v>
      </c>
    </row>
    <row r="828" spans="2:11" ht="16.5" x14ac:dyDescent="0.2">
      <c r="B828" s="82" t="s">
        <v>6642</v>
      </c>
      <c r="C828" s="82" t="s">
        <v>2284</v>
      </c>
      <c r="D828" s="83">
        <f>SUMIFS(D829:D1474,K829:K1474,"0",B829:B1474,"5 1 2 1 6 12 31111 6 M59*")-SUMIFS(E829:E1474,K829:K1474,"0",B829:B1474,"5 1 2 1 6 12 31111 6 M59*")</f>
        <v>2390000</v>
      </c>
      <c r="E828" s="54"/>
      <c r="F828" s="83">
        <f>SUMIFS(F829:F1474,K829:K1474,"0",B829:B1474,"5 1 2 1 6 12 31111 6 M59*")</f>
        <v>0</v>
      </c>
      <c r="G828" s="83">
        <f>SUMIFS(G829:G1474,K829:K1474,"0",B829:B1474,"5 1 2 1 6 12 31111 6 M59*")</f>
        <v>0</v>
      </c>
      <c r="H828" s="83">
        <f t="shared" si="14"/>
        <v>2390000</v>
      </c>
      <c r="I828" s="83"/>
      <c r="K828" s="54" t="s">
        <v>15</v>
      </c>
    </row>
    <row r="829" spans="2:11" ht="16.5" x14ac:dyDescent="0.2">
      <c r="B829" s="82" t="s">
        <v>6643</v>
      </c>
      <c r="C829" s="82" t="s">
        <v>1044</v>
      </c>
      <c r="D829" s="83">
        <f>SUMIFS(D830:D1474,K830:K1474,"0",B830:B1474,"5 1 2 1 6 12 31111 6 M59 19000*")-SUMIFS(E830:E1474,K830:K1474,"0",B830:B1474,"5 1 2 1 6 12 31111 6 M59 19000*")</f>
        <v>950000</v>
      </c>
      <c r="E829" s="54"/>
      <c r="F829" s="83">
        <f>SUMIFS(F830:F1474,K830:K1474,"0",B830:B1474,"5 1 2 1 6 12 31111 6 M59 19000*")</f>
        <v>0</v>
      </c>
      <c r="G829" s="83">
        <f>SUMIFS(G830:G1474,K830:K1474,"0",B830:B1474,"5 1 2 1 6 12 31111 6 M59 19000*")</f>
        <v>0</v>
      </c>
      <c r="H829" s="83">
        <f t="shared" si="14"/>
        <v>950000</v>
      </c>
      <c r="I829" s="83"/>
      <c r="K829" s="54" t="s">
        <v>15</v>
      </c>
    </row>
    <row r="830" spans="2:11" ht="16.5" x14ac:dyDescent="0.2">
      <c r="B830" s="82" t="s">
        <v>6644</v>
      </c>
      <c r="C830" s="82" t="s">
        <v>648</v>
      </c>
      <c r="D830" s="83">
        <f>SUMIFS(D831:D1474,K831:K1474,"0",B831:B1474,"5 1 2 1 6 12 31111 6 M59 19000 000132*")-SUMIFS(E831:E1474,K831:K1474,"0",B831:B1474,"5 1 2 1 6 12 31111 6 M59 19000 000132*")</f>
        <v>950000</v>
      </c>
      <c r="E830" s="54"/>
      <c r="F830" s="83">
        <f>SUMIFS(F831:F1474,K831:K1474,"0",B831:B1474,"5 1 2 1 6 12 31111 6 M59 19000 000132*")</f>
        <v>0</v>
      </c>
      <c r="G830" s="83">
        <f>SUMIFS(G831:G1474,K831:K1474,"0",B831:B1474,"5 1 2 1 6 12 31111 6 M59 19000 000132*")</f>
        <v>0</v>
      </c>
      <c r="H830" s="83">
        <f t="shared" si="14"/>
        <v>950000</v>
      </c>
      <c r="I830" s="83"/>
      <c r="K830" s="54" t="s">
        <v>15</v>
      </c>
    </row>
    <row r="831" spans="2:11" ht="24.75" x14ac:dyDescent="0.2">
      <c r="B831" s="82" t="s">
        <v>6645</v>
      </c>
      <c r="C831" s="82" t="s">
        <v>650</v>
      </c>
      <c r="D831" s="83">
        <f>SUMIFS(D832:D1474,K832:K1474,"0",B832:B1474,"5 1 2 1 6 12 31111 6 M59 19000 000132 0000R*")-SUMIFS(E832:E1474,K832:K1474,"0",B832:B1474,"5 1 2 1 6 12 31111 6 M59 19000 000132 0000R*")</f>
        <v>950000</v>
      </c>
      <c r="E831" s="54"/>
      <c r="F831" s="83">
        <f>SUMIFS(F832:F1474,K832:K1474,"0",B832:B1474,"5 1 2 1 6 12 31111 6 M59 19000 000132 0000R*")</f>
        <v>0</v>
      </c>
      <c r="G831" s="83">
        <f>SUMIFS(G832:G1474,K832:K1474,"0",B832:B1474,"5 1 2 1 6 12 31111 6 M59 19000 000132 0000R*")</f>
        <v>0</v>
      </c>
      <c r="H831" s="83">
        <f t="shared" si="14"/>
        <v>950000</v>
      </c>
      <c r="I831" s="83"/>
      <c r="K831" s="54" t="s">
        <v>15</v>
      </c>
    </row>
    <row r="832" spans="2:11" ht="24.75" x14ac:dyDescent="0.2">
      <c r="B832" s="82" t="s">
        <v>6646</v>
      </c>
      <c r="C832" s="82" t="s">
        <v>282</v>
      </c>
      <c r="D832" s="83">
        <f>SUMIFS(D833:D1474,K833:K1474,"0",B833:B1474,"5 1 2 1 6 12 31111 6 M59 19000 000132 0000R 00001*")-SUMIFS(E833:E1474,K833:K1474,"0",B833:B1474,"5 1 2 1 6 12 31111 6 M59 19000 000132 0000R 00001*")</f>
        <v>950000</v>
      </c>
      <c r="E832" s="54"/>
      <c r="F832" s="83">
        <f>SUMIFS(F833:F1474,K833:K1474,"0",B833:B1474,"5 1 2 1 6 12 31111 6 M59 19000 000132 0000R 00001*")</f>
        <v>0</v>
      </c>
      <c r="G832" s="83">
        <f>SUMIFS(G833:G1474,K833:K1474,"0",B833:B1474,"5 1 2 1 6 12 31111 6 M59 19000 000132 0000R 00001*")</f>
        <v>0</v>
      </c>
      <c r="H832" s="83">
        <f t="shared" si="14"/>
        <v>950000</v>
      </c>
      <c r="I832" s="83"/>
      <c r="K832" s="54" t="s">
        <v>15</v>
      </c>
    </row>
    <row r="833" spans="2:11" ht="24.75" x14ac:dyDescent="0.2">
      <c r="B833" s="82" t="s">
        <v>6647</v>
      </c>
      <c r="C833" s="82" t="s">
        <v>6648</v>
      </c>
      <c r="D833" s="83">
        <f>SUMIFS(D834:D1474,K834:K1474,"0",B834:B1474,"5 1 2 1 6 12 31111 6 M59 19000 000132 0000R 00001 00216*")-SUMIFS(E834:E1474,K834:K1474,"0",B834:B1474,"5 1 2 1 6 12 31111 6 M59 19000 000132 0000R 00001 00216*")</f>
        <v>950000</v>
      </c>
      <c r="E833" s="54"/>
      <c r="F833" s="83">
        <f>SUMIFS(F834:F1474,K834:K1474,"0",B834:B1474,"5 1 2 1 6 12 31111 6 M59 19000 000132 0000R 00001 00216*")</f>
        <v>0</v>
      </c>
      <c r="G833" s="83">
        <f>SUMIFS(G834:G1474,K834:K1474,"0",B834:B1474,"5 1 2 1 6 12 31111 6 M59 19000 000132 0000R 00001 00216*")</f>
        <v>0</v>
      </c>
      <c r="H833" s="83">
        <f t="shared" si="14"/>
        <v>950000</v>
      </c>
      <c r="I833" s="83"/>
      <c r="K833" s="54" t="s">
        <v>15</v>
      </c>
    </row>
    <row r="834" spans="2:11" ht="33" x14ac:dyDescent="0.2">
      <c r="B834" s="82" t="s">
        <v>6649</v>
      </c>
      <c r="C834" s="82" t="s">
        <v>699</v>
      </c>
      <c r="D834" s="83">
        <f>SUMIFS(D835:D1474,K835:K1474,"0",B835:B1474,"5 1 2 1 6 12 31111 6 M59 19000 000132 0000R 00001 00216 011*")-SUMIFS(E835:E1474,K835:K1474,"0",B835:B1474,"5 1 2 1 6 12 31111 6 M59 19000 000132 0000R 00001 00216 011*")</f>
        <v>950000</v>
      </c>
      <c r="E834" s="54"/>
      <c r="F834" s="83">
        <f>SUMIFS(F835:F1474,K835:K1474,"0",B835:B1474,"5 1 2 1 6 12 31111 6 M59 19000 000132 0000R 00001 00216 011*")</f>
        <v>0</v>
      </c>
      <c r="G834" s="83">
        <f>SUMIFS(G835:G1474,K835:K1474,"0",B835:B1474,"5 1 2 1 6 12 31111 6 M59 19000 000132 0000R 00001 00216 011*")</f>
        <v>0</v>
      </c>
      <c r="H834" s="83">
        <f t="shared" si="14"/>
        <v>950000</v>
      </c>
      <c r="I834" s="83"/>
      <c r="K834" s="54" t="s">
        <v>15</v>
      </c>
    </row>
    <row r="835" spans="2:11" ht="33" x14ac:dyDescent="0.2">
      <c r="B835" s="82" t="s">
        <v>6650</v>
      </c>
      <c r="C835" s="82" t="s">
        <v>5830</v>
      </c>
      <c r="D835" s="83">
        <f>SUMIFS(D836:D1474,K836:K1474,"0",B836:B1474,"5 1 2 1 6 12 31111 6 M59 19000 000132 0000R 00001 00216 011 2112000*")-SUMIFS(E836:E1474,K836:K1474,"0",B836:B1474,"5 1 2 1 6 12 31111 6 M59 19000 000132 0000R 00001 00216 011 2112000*")</f>
        <v>950000</v>
      </c>
      <c r="E835" s="54"/>
      <c r="F835" s="83">
        <f>SUMIFS(F836:F1474,K836:K1474,"0",B836:B1474,"5 1 2 1 6 12 31111 6 M59 19000 000132 0000R 00001 00216 011 2112000*")</f>
        <v>0</v>
      </c>
      <c r="G835" s="83">
        <f>SUMIFS(G836:G1474,K836:K1474,"0",B836:B1474,"5 1 2 1 6 12 31111 6 M59 19000 000132 0000R 00001 00216 011 2112000*")</f>
        <v>0</v>
      </c>
      <c r="H835" s="83">
        <f t="shared" si="14"/>
        <v>950000</v>
      </c>
      <c r="I835" s="83"/>
      <c r="K835" s="54" t="s">
        <v>15</v>
      </c>
    </row>
    <row r="836" spans="2:11" ht="33" x14ac:dyDescent="0.2">
      <c r="B836" s="82" t="s">
        <v>6651</v>
      </c>
      <c r="C836" s="82" t="s">
        <v>660</v>
      </c>
      <c r="D836" s="83">
        <f>SUMIFS(D837:D1474,K837:K1474,"0",B837:B1474,"5 1 2 1 6 12 31111 6 M59 19000 000132 0000R 00001 00216 011 2112000 2024*")-SUMIFS(E837:E1474,K837:K1474,"0",B837:B1474,"5 1 2 1 6 12 31111 6 M59 19000 000132 0000R 00001 00216 011 2112000 2024*")</f>
        <v>950000</v>
      </c>
      <c r="E836" s="54"/>
      <c r="F836" s="83">
        <f>SUMIFS(F837:F1474,K837:K1474,"0",B837:B1474,"5 1 2 1 6 12 31111 6 M59 19000 000132 0000R 00001 00216 011 2112000 2024*")</f>
        <v>0</v>
      </c>
      <c r="G836" s="83">
        <f>SUMIFS(G837:G1474,K837:K1474,"0",B837:B1474,"5 1 2 1 6 12 31111 6 M59 19000 000132 0000R 00001 00216 011 2112000 2024*")</f>
        <v>0</v>
      </c>
      <c r="H836" s="83">
        <f t="shared" si="14"/>
        <v>950000</v>
      </c>
      <c r="I836" s="83"/>
      <c r="K836" s="54" t="s">
        <v>15</v>
      </c>
    </row>
    <row r="837" spans="2:11" ht="41.25" x14ac:dyDescent="0.2">
      <c r="B837" s="82" t="s">
        <v>6652</v>
      </c>
      <c r="C837" s="82" t="s">
        <v>662</v>
      </c>
      <c r="D837" s="83">
        <f>SUMIFS(D838:D1474,K838:K1474,"0",B838:B1474,"5 1 2 1 6 12 31111 6 M59 19000 000132 0000R 00001 00216 011 2112000 2024 CP1TM440*")-SUMIFS(E838:E1474,K838:K1474,"0",B838:B1474,"5 1 2 1 6 12 31111 6 M59 19000 000132 0000R 00001 00216 011 2112000 2024 CP1TM440*")</f>
        <v>950000</v>
      </c>
      <c r="E837" s="54"/>
      <c r="F837" s="83">
        <f>SUMIFS(F838:F1474,K838:K1474,"0",B838:B1474,"5 1 2 1 6 12 31111 6 M59 19000 000132 0000R 00001 00216 011 2112000 2024 CP1TM440*")</f>
        <v>0</v>
      </c>
      <c r="G837" s="83">
        <f>SUMIFS(G838:G1474,K838:K1474,"0",B838:B1474,"5 1 2 1 6 12 31111 6 M59 19000 000132 0000R 00001 00216 011 2112000 2024 CP1TM440*")</f>
        <v>0</v>
      </c>
      <c r="H837" s="83">
        <f t="shared" si="14"/>
        <v>950000</v>
      </c>
      <c r="I837" s="83"/>
      <c r="K837" s="54" t="s">
        <v>15</v>
      </c>
    </row>
    <row r="838" spans="2:11" ht="41.25" x14ac:dyDescent="0.2">
      <c r="B838" s="82" t="s">
        <v>6653</v>
      </c>
      <c r="C838" s="82" t="s">
        <v>2284</v>
      </c>
      <c r="D838" s="83">
        <f>SUMIFS(D839:D1474,K839:K1474,"0",B839:B1474,"5 1 2 1 6 12 31111 6 M59 19000 000132 0000R 00001 00216 011 2112000 2024 CP1TM440 004*")-SUMIFS(E839:E1474,K839:K1474,"0",B839:B1474,"5 1 2 1 6 12 31111 6 M59 19000 000132 0000R 00001 00216 011 2112000 2024 CP1TM440 004*")</f>
        <v>950000</v>
      </c>
      <c r="E838" s="54"/>
      <c r="F838" s="83">
        <f>SUMIFS(F839:F1474,K839:K1474,"0",B839:B1474,"5 1 2 1 6 12 31111 6 M59 19000 000132 0000R 00001 00216 011 2112000 2024 CP1TM440 004*")</f>
        <v>0</v>
      </c>
      <c r="G838" s="83">
        <f>SUMIFS(G839:G1474,K839:K1474,"0",B839:B1474,"5 1 2 1 6 12 31111 6 M59 19000 000132 0000R 00001 00216 011 2112000 2024 CP1TM440 004*")</f>
        <v>0</v>
      </c>
      <c r="H838" s="83">
        <f t="shared" si="14"/>
        <v>950000</v>
      </c>
      <c r="I838" s="83"/>
      <c r="K838" s="54" t="s">
        <v>15</v>
      </c>
    </row>
    <row r="839" spans="2:11" ht="33" x14ac:dyDescent="0.2">
      <c r="B839" s="84" t="s">
        <v>6654</v>
      </c>
      <c r="C839" s="84" t="s">
        <v>2284</v>
      </c>
      <c r="D839" s="85">
        <v>950000</v>
      </c>
      <c r="E839" s="85"/>
      <c r="F839" s="85">
        <v>0</v>
      </c>
      <c r="G839" s="85">
        <v>0</v>
      </c>
      <c r="H839" s="85">
        <f t="shared" si="14"/>
        <v>950000</v>
      </c>
      <c r="I839" s="85"/>
      <c r="K839" s="54" t="s">
        <v>38</v>
      </c>
    </row>
    <row r="840" spans="2:11" ht="16.5" x14ac:dyDescent="0.2">
      <c r="B840" s="82" t="s">
        <v>6672</v>
      </c>
      <c r="C840" s="82" t="s">
        <v>1079</v>
      </c>
      <c r="D840" s="83">
        <f>SUMIFS(D841:D1474,K841:K1474,"0",B841:B1474,"5 1 2 1 6 12 31111 6 M59 20500*")-SUMIFS(E841:E1474,K841:K1474,"0",B841:B1474,"5 1 2 1 6 12 31111 6 M59 20500*")</f>
        <v>1400000</v>
      </c>
      <c r="E840" s="54"/>
      <c r="F840" s="83">
        <f>SUMIFS(F841:F1474,K841:K1474,"0",B841:B1474,"5 1 2 1 6 12 31111 6 M59 20500*")</f>
        <v>0</v>
      </c>
      <c r="G840" s="83">
        <f>SUMIFS(G841:G1474,K841:K1474,"0",B841:B1474,"5 1 2 1 6 12 31111 6 M59 20500*")</f>
        <v>0</v>
      </c>
      <c r="H840" s="83">
        <f t="shared" si="14"/>
        <v>1400000</v>
      </c>
      <c r="I840" s="83"/>
      <c r="K840" s="54" t="s">
        <v>15</v>
      </c>
    </row>
    <row r="841" spans="2:11" ht="24.75" x14ac:dyDescent="0.2">
      <c r="B841" s="82" t="s">
        <v>6683</v>
      </c>
      <c r="C841" s="82" t="s">
        <v>3152</v>
      </c>
      <c r="D841" s="83">
        <f>SUMIFS(D842:D1474,K842:K1474,"0",B842:B1474,"5 1 2 1 6 12 31111 6 M59 20500 000181*")-SUMIFS(E842:E1474,K842:K1474,"0",B842:B1474,"5 1 2 1 6 12 31111 6 M59 20500 000181*")</f>
        <v>1400000</v>
      </c>
      <c r="E841" s="54"/>
      <c r="F841" s="83">
        <f>SUMIFS(F842:F1474,K842:K1474,"0",B842:B1474,"5 1 2 1 6 12 31111 6 M59 20500 000181*")</f>
        <v>0</v>
      </c>
      <c r="G841" s="83">
        <f>SUMIFS(G842:G1474,K842:K1474,"0",B842:B1474,"5 1 2 1 6 12 31111 6 M59 20500 000181*")</f>
        <v>0</v>
      </c>
      <c r="H841" s="83">
        <f t="shared" si="14"/>
        <v>1400000</v>
      </c>
      <c r="I841" s="83"/>
      <c r="K841" s="54" t="s">
        <v>15</v>
      </c>
    </row>
    <row r="842" spans="2:11" ht="24.75" x14ac:dyDescent="0.2">
      <c r="B842" s="82" t="s">
        <v>6684</v>
      </c>
      <c r="C842" s="82" t="s">
        <v>1065</v>
      </c>
      <c r="D842" s="83">
        <f>SUMIFS(D843:D1474,K843:K1474,"0",B843:B1474,"5 1 2 1 6 12 31111 6 M59 20500 000181 0000E*")-SUMIFS(E843:E1474,K843:K1474,"0",B843:B1474,"5 1 2 1 6 12 31111 6 M59 20500 000181 0000E*")</f>
        <v>1400000</v>
      </c>
      <c r="E842" s="54"/>
      <c r="F842" s="83">
        <f>SUMIFS(F843:F1474,K843:K1474,"0",B843:B1474,"5 1 2 1 6 12 31111 6 M59 20500 000181 0000E*")</f>
        <v>0</v>
      </c>
      <c r="G842" s="83">
        <f>SUMIFS(G843:G1474,K843:K1474,"0",B843:B1474,"5 1 2 1 6 12 31111 6 M59 20500 000181 0000E*")</f>
        <v>0</v>
      </c>
      <c r="H842" s="83">
        <f t="shared" si="14"/>
        <v>1400000</v>
      </c>
      <c r="I842" s="83"/>
      <c r="K842" s="54" t="s">
        <v>15</v>
      </c>
    </row>
    <row r="843" spans="2:11" ht="24.75" x14ac:dyDescent="0.2">
      <c r="B843" s="82" t="s">
        <v>6685</v>
      </c>
      <c r="C843" s="82" t="s">
        <v>282</v>
      </c>
      <c r="D843" s="83">
        <f>SUMIFS(D844:D1474,K844:K1474,"0",B844:B1474,"5 1 2 1 6 12 31111 6 M59 20500 000181 0000E 00001*")-SUMIFS(E844:E1474,K844:K1474,"0",B844:B1474,"5 1 2 1 6 12 31111 6 M59 20500 000181 0000E 00001*")</f>
        <v>1400000</v>
      </c>
      <c r="E843" s="54"/>
      <c r="F843" s="83">
        <f>SUMIFS(F844:F1474,K844:K1474,"0",B844:B1474,"5 1 2 1 6 12 31111 6 M59 20500 000181 0000E 00001*")</f>
        <v>0</v>
      </c>
      <c r="G843" s="83">
        <f>SUMIFS(G844:G1474,K844:K1474,"0",B844:B1474,"5 1 2 1 6 12 31111 6 M59 20500 000181 0000E 00001*")</f>
        <v>0</v>
      </c>
      <c r="H843" s="83">
        <f t="shared" si="14"/>
        <v>1400000</v>
      </c>
      <c r="I843" s="83"/>
      <c r="K843" s="54" t="s">
        <v>15</v>
      </c>
    </row>
    <row r="844" spans="2:11" ht="24.75" x14ac:dyDescent="0.2">
      <c r="B844" s="82" t="s">
        <v>6686</v>
      </c>
      <c r="C844" s="82" t="s">
        <v>6648</v>
      </c>
      <c r="D844" s="83">
        <f>SUMIFS(D845:D1474,K845:K1474,"0",B845:B1474,"5 1 2 1 6 12 31111 6 M59 20500 000181 0000E 00001 00216*")-SUMIFS(E845:E1474,K845:K1474,"0",B845:B1474,"5 1 2 1 6 12 31111 6 M59 20500 000181 0000E 00001 00216*")</f>
        <v>1400000</v>
      </c>
      <c r="E844" s="54"/>
      <c r="F844" s="83">
        <f>SUMIFS(F845:F1474,K845:K1474,"0",B845:B1474,"5 1 2 1 6 12 31111 6 M59 20500 000181 0000E 00001 00216*")</f>
        <v>0</v>
      </c>
      <c r="G844" s="83">
        <f>SUMIFS(G845:G1474,K845:K1474,"0",B845:B1474,"5 1 2 1 6 12 31111 6 M59 20500 000181 0000E 00001 00216*")</f>
        <v>0</v>
      </c>
      <c r="H844" s="83">
        <f t="shared" si="14"/>
        <v>1400000</v>
      </c>
      <c r="I844" s="83"/>
      <c r="K844" s="54" t="s">
        <v>15</v>
      </c>
    </row>
    <row r="845" spans="2:11" ht="33" x14ac:dyDescent="0.2">
      <c r="B845" s="82" t="s">
        <v>6687</v>
      </c>
      <c r="C845" s="82" t="s">
        <v>699</v>
      </c>
      <c r="D845" s="83">
        <f>SUMIFS(D846:D1474,K846:K1474,"0",B846:B1474,"5 1 2 1 6 12 31111 6 M59 20500 000181 0000E 00001 00216 011*")-SUMIFS(E846:E1474,K846:K1474,"0",B846:B1474,"5 1 2 1 6 12 31111 6 M59 20500 000181 0000E 00001 00216 011*")</f>
        <v>1400000</v>
      </c>
      <c r="E845" s="54"/>
      <c r="F845" s="83">
        <f>SUMIFS(F846:F1474,K846:K1474,"0",B846:B1474,"5 1 2 1 6 12 31111 6 M59 20500 000181 0000E 00001 00216 011*")</f>
        <v>0</v>
      </c>
      <c r="G845" s="83">
        <f>SUMIFS(G846:G1474,K846:K1474,"0",B846:B1474,"5 1 2 1 6 12 31111 6 M59 20500 000181 0000E 00001 00216 011*")</f>
        <v>0</v>
      </c>
      <c r="H845" s="83">
        <f t="shared" si="14"/>
        <v>1400000</v>
      </c>
      <c r="I845" s="83"/>
      <c r="K845" s="54" t="s">
        <v>15</v>
      </c>
    </row>
    <row r="846" spans="2:11" ht="33" x14ac:dyDescent="0.2">
      <c r="B846" s="82" t="s">
        <v>6688</v>
      </c>
      <c r="C846" s="82" t="s">
        <v>5830</v>
      </c>
      <c r="D846" s="83">
        <f>SUMIFS(D847:D1474,K847:K1474,"0",B847:B1474,"5 1 2 1 6 12 31111 6 M59 20500 000181 0000E 00001 00216 011 2112000*")-SUMIFS(E847:E1474,K847:K1474,"0",B847:B1474,"5 1 2 1 6 12 31111 6 M59 20500 000181 0000E 00001 00216 011 2112000*")</f>
        <v>1400000</v>
      </c>
      <c r="E846" s="54"/>
      <c r="F846" s="83">
        <f>SUMIFS(F847:F1474,K847:K1474,"0",B847:B1474,"5 1 2 1 6 12 31111 6 M59 20500 000181 0000E 00001 00216 011 2112000*")</f>
        <v>0</v>
      </c>
      <c r="G846" s="83">
        <f>SUMIFS(G847:G1474,K847:K1474,"0",B847:B1474,"5 1 2 1 6 12 31111 6 M59 20500 000181 0000E 00001 00216 011 2112000*")</f>
        <v>0</v>
      </c>
      <c r="H846" s="83">
        <f t="shared" si="14"/>
        <v>1400000</v>
      </c>
      <c r="I846" s="83"/>
      <c r="K846" s="54" t="s">
        <v>15</v>
      </c>
    </row>
    <row r="847" spans="2:11" ht="33" x14ac:dyDescent="0.2">
      <c r="B847" s="82" t="s">
        <v>6689</v>
      </c>
      <c r="C847" s="82" t="s">
        <v>660</v>
      </c>
      <c r="D847" s="83">
        <f>SUMIFS(D848:D1474,K848:K1474,"0",B848:B1474,"5 1 2 1 6 12 31111 6 M59 20500 000181 0000E 00001 00216 011 2112000 2024*")-SUMIFS(E848:E1474,K848:K1474,"0",B848:B1474,"5 1 2 1 6 12 31111 6 M59 20500 000181 0000E 00001 00216 011 2112000 2024*")</f>
        <v>1400000</v>
      </c>
      <c r="E847" s="54"/>
      <c r="F847" s="83">
        <f>SUMIFS(F848:F1474,K848:K1474,"0",B848:B1474,"5 1 2 1 6 12 31111 6 M59 20500 000181 0000E 00001 00216 011 2112000 2024*")</f>
        <v>0</v>
      </c>
      <c r="G847" s="83">
        <f>SUMIFS(G848:G1474,K848:K1474,"0",B848:B1474,"5 1 2 1 6 12 31111 6 M59 20500 000181 0000E 00001 00216 011 2112000 2024*")</f>
        <v>0</v>
      </c>
      <c r="H847" s="83">
        <f t="shared" si="14"/>
        <v>1400000</v>
      </c>
      <c r="I847" s="83"/>
      <c r="K847" s="54" t="s">
        <v>15</v>
      </c>
    </row>
    <row r="848" spans="2:11" ht="49.5" x14ac:dyDescent="0.2">
      <c r="B848" s="82" t="s">
        <v>6690</v>
      </c>
      <c r="C848" s="82" t="s">
        <v>5982</v>
      </c>
      <c r="D848" s="83">
        <f>SUMIFS(D849:D1474,K849:K1474,"0",B849:B1474,"5 1 2 1 6 12 31111 6 M59 20500 000181 0000E 00001 00216 011 2112000 2024 CP3CP471*")-SUMIFS(E849:E1474,K849:K1474,"0",B849:B1474,"5 1 2 1 6 12 31111 6 M59 20500 000181 0000E 00001 00216 011 2112000 2024 CP3CP471*")</f>
        <v>1400000</v>
      </c>
      <c r="E848" s="54"/>
      <c r="F848" s="83">
        <f>SUMIFS(F849:F1474,K849:K1474,"0",B849:B1474,"5 1 2 1 6 12 31111 6 M59 20500 000181 0000E 00001 00216 011 2112000 2024 CP3CP471*")</f>
        <v>0</v>
      </c>
      <c r="G848" s="83">
        <f>SUMIFS(G849:G1474,K849:K1474,"0",B849:B1474,"5 1 2 1 6 12 31111 6 M59 20500 000181 0000E 00001 00216 011 2112000 2024 CP3CP471*")</f>
        <v>0</v>
      </c>
      <c r="H848" s="83">
        <f t="shared" si="14"/>
        <v>1400000</v>
      </c>
      <c r="I848" s="83"/>
      <c r="K848" s="54" t="s">
        <v>15</v>
      </c>
    </row>
    <row r="849" spans="2:11" ht="41.25" x14ac:dyDescent="0.2">
      <c r="B849" s="82" t="s">
        <v>6691</v>
      </c>
      <c r="C849" s="82" t="s">
        <v>2284</v>
      </c>
      <c r="D849" s="83">
        <f>SUMIFS(D850:D1474,K850:K1474,"0",B850:B1474,"5 1 2 1 6 12 31111 6 M59 20500 000181 0000E 00001 00216 011 2112000 2024 CP3CP471 004*")-SUMIFS(E850:E1474,K850:K1474,"0",B850:B1474,"5 1 2 1 6 12 31111 6 M59 20500 000181 0000E 00001 00216 011 2112000 2024 CP3CP471 004*")</f>
        <v>1400000</v>
      </c>
      <c r="E849" s="54"/>
      <c r="F849" s="83">
        <f>SUMIFS(F850:F1474,K850:K1474,"0",B850:B1474,"5 1 2 1 6 12 31111 6 M59 20500 000181 0000E 00001 00216 011 2112000 2024 CP3CP471 004*")</f>
        <v>0</v>
      </c>
      <c r="G849" s="83">
        <f>SUMIFS(G850:G1474,K850:K1474,"0",B850:B1474,"5 1 2 1 6 12 31111 6 M59 20500 000181 0000E 00001 00216 011 2112000 2024 CP3CP471 004*")</f>
        <v>0</v>
      </c>
      <c r="H849" s="83">
        <f t="shared" si="14"/>
        <v>1400000</v>
      </c>
      <c r="I849" s="83"/>
      <c r="K849" s="54" t="s">
        <v>15</v>
      </c>
    </row>
    <row r="850" spans="2:11" ht="33" x14ac:dyDescent="0.2">
      <c r="B850" s="84" t="s">
        <v>6692</v>
      </c>
      <c r="C850" s="84" t="s">
        <v>2284</v>
      </c>
      <c r="D850" s="85">
        <v>1400000</v>
      </c>
      <c r="E850" s="85"/>
      <c r="F850" s="85">
        <v>0</v>
      </c>
      <c r="G850" s="85">
        <v>0</v>
      </c>
      <c r="H850" s="85">
        <f t="shared" si="14"/>
        <v>1400000</v>
      </c>
      <c r="I850" s="85"/>
      <c r="K850" s="54" t="s">
        <v>38</v>
      </c>
    </row>
    <row r="851" spans="2:11" ht="16.5" x14ac:dyDescent="0.2">
      <c r="B851" s="82" t="s">
        <v>6748</v>
      </c>
      <c r="C851" s="82" t="s">
        <v>1308</v>
      </c>
      <c r="D851" s="83">
        <f>SUMIFS(D852:D1474,K852:K1474,"0",B852:B1474,"5 1 2 1 6 12 31111 6 M59 96300*")-SUMIFS(E852:E1474,K852:K1474,"0",B852:B1474,"5 1 2 1 6 12 31111 6 M59 96300*")</f>
        <v>40000</v>
      </c>
      <c r="E851" s="54"/>
      <c r="F851" s="83">
        <f>SUMIFS(F852:F1474,K852:K1474,"0",B852:B1474,"5 1 2 1 6 12 31111 6 M59 96300*")</f>
        <v>0</v>
      </c>
      <c r="G851" s="83">
        <f>SUMIFS(G852:G1474,K852:K1474,"0",B852:B1474,"5 1 2 1 6 12 31111 6 M59 96300*")</f>
        <v>0</v>
      </c>
      <c r="H851" s="83">
        <f t="shared" si="14"/>
        <v>40000</v>
      </c>
      <c r="I851" s="83"/>
      <c r="K851" s="54" t="s">
        <v>15</v>
      </c>
    </row>
    <row r="852" spans="2:11" ht="16.5" x14ac:dyDescent="0.2">
      <c r="B852" s="82" t="s">
        <v>6749</v>
      </c>
      <c r="C852" s="82" t="s">
        <v>1310</v>
      </c>
      <c r="D852" s="83">
        <f>SUMIFS(D853:D1474,K853:K1474,"0",B853:B1474,"5 1 2 1 6 12 31111 6 M59 96300 000211*")-SUMIFS(E853:E1474,K853:K1474,"0",B853:B1474,"5 1 2 1 6 12 31111 6 M59 96300 000211*")</f>
        <v>40000</v>
      </c>
      <c r="E852" s="54"/>
      <c r="F852" s="83">
        <f>SUMIFS(F853:F1474,K853:K1474,"0",B853:B1474,"5 1 2 1 6 12 31111 6 M59 96300 000211*")</f>
        <v>0</v>
      </c>
      <c r="G852" s="83">
        <f>SUMIFS(G853:G1474,K853:K1474,"0",B853:B1474,"5 1 2 1 6 12 31111 6 M59 96300 000211*")</f>
        <v>0</v>
      </c>
      <c r="H852" s="83">
        <f t="shared" si="14"/>
        <v>40000</v>
      </c>
      <c r="I852" s="83"/>
      <c r="K852" s="54" t="s">
        <v>15</v>
      </c>
    </row>
    <row r="853" spans="2:11" ht="24.75" x14ac:dyDescent="0.2">
      <c r="B853" s="82" t="s">
        <v>6750</v>
      </c>
      <c r="C853" s="82" t="s">
        <v>1065</v>
      </c>
      <c r="D853" s="83">
        <f>SUMIFS(D854:D1474,K854:K1474,"0",B854:B1474,"5 1 2 1 6 12 31111 6 M59 96300 000211 0000E*")-SUMIFS(E854:E1474,K854:K1474,"0",B854:B1474,"5 1 2 1 6 12 31111 6 M59 96300 000211 0000E*")</f>
        <v>40000</v>
      </c>
      <c r="E853" s="54"/>
      <c r="F853" s="83">
        <f>SUMIFS(F854:F1474,K854:K1474,"0",B854:B1474,"5 1 2 1 6 12 31111 6 M59 96300 000211 0000E*")</f>
        <v>0</v>
      </c>
      <c r="G853" s="83">
        <f>SUMIFS(G854:G1474,K854:K1474,"0",B854:B1474,"5 1 2 1 6 12 31111 6 M59 96300 000211 0000E*")</f>
        <v>0</v>
      </c>
      <c r="H853" s="83">
        <f t="shared" si="14"/>
        <v>40000</v>
      </c>
      <c r="I853" s="83"/>
      <c r="K853" s="54" t="s">
        <v>15</v>
      </c>
    </row>
    <row r="854" spans="2:11" ht="24.75" x14ac:dyDescent="0.2">
      <c r="B854" s="82" t="s">
        <v>6751</v>
      </c>
      <c r="C854" s="82" t="s">
        <v>282</v>
      </c>
      <c r="D854" s="83">
        <f>SUMIFS(D855:D1474,K855:K1474,"0",B855:B1474,"5 1 2 1 6 12 31111 6 M59 96300 000211 0000E 00001*")-SUMIFS(E855:E1474,K855:K1474,"0",B855:B1474,"5 1 2 1 6 12 31111 6 M59 96300 000211 0000E 00001*")</f>
        <v>40000</v>
      </c>
      <c r="E854" s="54"/>
      <c r="F854" s="83">
        <f>SUMIFS(F855:F1474,K855:K1474,"0",B855:B1474,"5 1 2 1 6 12 31111 6 M59 96300 000211 0000E 00001*")</f>
        <v>0</v>
      </c>
      <c r="G854" s="83">
        <f>SUMIFS(G855:G1474,K855:K1474,"0",B855:B1474,"5 1 2 1 6 12 31111 6 M59 96300 000211 0000E 00001*")</f>
        <v>0</v>
      </c>
      <c r="H854" s="83">
        <f t="shared" si="14"/>
        <v>40000</v>
      </c>
      <c r="I854" s="83"/>
      <c r="K854" s="54" t="s">
        <v>15</v>
      </c>
    </row>
    <row r="855" spans="2:11" ht="24.75" x14ac:dyDescent="0.2">
      <c r="B855" s="82" t="s">
        <v>6752</v>
      </c>
      <c r="C855" s="82" t="s">
        <v>6648</v>
      </c>
      <c r="D855" s="83">
        <f>SUMIFS(D856:D1474,K856:K1474,"0",B856:B1474,"5 1 2 1 6 12 31111 6 M59 96300 000211 0000E 00001 00216*")-SUMIFS(E856:E1474,K856:K1474,"0",B856:B1474,"5 1 2 1 6 12 31111 6 M59 96300 000211 0000E 00001 00216*")</f>
        <v>40000</v>
      </c>
      <c r="E855" s="54"/>
      <c r="F855" s="83">
        <f>SUMIFS(F856:F1474,K856:K1474,"0",B856:B1474,"5 1 2 1 6 12 31111 6 M59 96300 000211 0000E 00001 00216*")</f>
        <v>0</v>
      </c>
      <c r="G855" s="83">
        <f>SUMIFS(G856:G1474,K856:K1474,"0",B856:B1474,"5 1 2 1 6 12 31111 6 M59 96300 000211 0000E 00001 00216*")</f>
        <v>0</v>
      </c>
      <c r="H855" s="83">
        <f t="shared" si="14"/>
        <v>40000</v>
      </c>
      <c r="I855" s="83"/>
      <c r="K855" s="54" t="s">
        <v>15</v>
      </c>
    </row>
    <row r="856" spans="2:11" ht="33" x14ac:dyDescent="0.2">
      <c r="B856" s="82" t="s">
        <v>6753</v>
      </c>
      <c r="C856" s="82" t="s">
        <v>699</v>
      </c>
      <c r="D856" s="83">
        <f>SUMIFS(D857:D1474,K857:K1474,"0",B857:B1474,"5 1 2 1 6 12 31111 6 M59 96300 000211 0000E 00001 00216 011*")-SUMIFS(E857:E1474,K857:K1474,"0",B857:B1474,"5 1 2 1 6 12 31111 6 M59 96300 000211 0000E 00001 00216 011*")</f>
        <v>40000</v>
      </c>
      <c r="E856" s="54"/>
      <c r="F856" s="83">
        <f>SUMIFS(F857:F1474,K857:K1474,"0",B857:B1474,"5 1 2 1 6 12 31111 6 M59 96300 000211 0000E 00001 00216 011*")</f>
        <v>0</v>
      </c>
      <c r="G856" s="83">
        <f>SUMIFS(G857:G1474,K857:K1474,"0",B857:B1474,"5 1 2 1 6 12 31111 6 M59 96300 000211 0000E 00001 00216 011*")</f>
        <v>0</v>
      </c>
      <c r="H856" s="83">
        <f t="shared" si="14"/>
        <v>40000</v>
      </c>
      <c r="I856" s="83"/>
      <c r="K856" s="54" t="s">
        <v>15</v>
      </c>
    </row>
    <row r="857" spans="2:11" ht="33" x14ac:dyDescent="0.2">
      <c r="B857" s="82" t="s">
        <v>6754</v>
      </c>
      <c r="C857" s="82" t="s">
        <v>5830</v>
      </c>
      <c r="D857" s="83">
        <f>SUMIFS(D858:D1474,K858:K1474,"0",B858:B1474,"5 1 2 1 6 12 31111 6 M59 96300 000211 0000E 00001 00216 011 2112000*")-SUMIFS(E858:E1474,K858:K1474,"0",B858:B1474,"5 1 2 1 6 12 31111 6 M59 96300 000211 0000E 00001 00216 011 2112000*")</f>
        <v>40000</v>
      </c>
      <c r="E857" s="54"/>
      <c r="F857" s="83">
        <f>SUMIFS(F858:F1474,K858:K1474,"0",B858:B1474,"5 1 2 1 6 12 31111 6 M59 96300 000211 0000E 00001 00216 011 2112000*")</f>
        <v>0</v>
      </c>
      <c r="G857" s="83">
        <f>SUMIFS(G858:G1474,K858:K1474,"0",B858:B1474,"5 1 2 1 6 12 31111 6 M59 96300 000211 0000E 00001 00216 011 2112000*")</f>
        <v>0</v>
      </c>
      <c r="H857" s="83">
        <f t="shared" si="14"/>
        <v>40000</v>
      </c>
      <c r="I857" s="83"/>
      <c r="K857" s="54" t="s">
        <v>15</v>
      </c>
    </row>
    <row r="858" spans="2:11" ht="33" x14ac:dyDescent="0.2">
      <c r="B858" s="82" t="s">
        <v>6755</v>
      </c>
      <c r="C858" s="82" t="s">
        <v>660</v>
      </c>
      <c r="D858" s="83">
        <f>SUMIFS(D859:D1474,K859:K1474,"0",B859:B1474,"5 1 2 1 6 12 31111 6 M59 96300 000211 0000E 00001 00216 011 2112000 2024*")-SUMIFS(E859:E1474,K859:K1474,"0",B859:B1474,"5 1 2 1 6 12 31111 6 M59 96300 000211 0000E 00001 00216 011 2112000 2024*")</f>
        <v>40000</v>
      </c>
      <c r="E858" s="54"/>
      <c r="F858" s="83">
        <f>SUMIFS(F859:F1474,K859:K1474,"0",B859:B1474,"5 1 2 1 6 12 31111 6 M59 96300 000211 0000E 00001 00216 011 2112000 2024*")</f>
        <v>0</v>
      </c>
      <c r="G858" s="83">
        <f>SUMIFS(G859:G1474,K859:K1474,"0",B859:B1474,"5 1 2 1 6 12 31111 6 M59 96300 000211 0000E 00001 00216 011 2112000 2024*")</f>
        <v>0</v>
      </c>
      <c r="H858" s="83">
        <f t="shared" si="14"/>
        <v>40000</v>
      </c>
      <c r="I858" s="83"/>
      <c r="K858" s="54" t="s">
        <v>15</v>
      </c>
    </row>
    <row r="859" spans="2:11" ht="41.25" x14ac:dyDescent="0.2">
      <c r="B859" s="82" t="s">
        <v>6756</v>
      </c>
      <c r="C859" s="82" t="s">
        <v>6757</v>
      </c>
      <c r="D859" s="83">
        <f>SUMIFS(D860:D1474,K860:K1474,"0",B860:B1474,"5 1 2 1 6 12 31111 6 M59 96300 000211 0000E 00001 00216 011 2112000 2024 CP3SB474*")-SUMIFS(E860:E1474,K860:K1474,"0",B860:B1474,"5 1 2 1 6 12 31111 6 M59 96300 000211 0000E 00001 00216 011 2112000 2024 CP3SB474*")</f>
        <v>40000</v>
      </c>
      <c r="E859" s="54"/>
      <c r="F859" s="83">
        <f>SUMIFS(F860:F1474,K860:K1474,"0",B860:B1474,"5 1 2 1 6 12 31111 6 M59 96300 000211 0000E 00001 00216 011 2112000 2024 CP3SB474*")</f>
        <v>0</v>
      </c>
      <c r="G859" s="83">
        <f>SUMIFS(G860:G1474,K860:K1474,"0",B860:B1474,"5 1 2 1 6 12 31111 6 M59 96300 000211 0000E 00001 00216 011 2112000 2024 CP3SB474*")</f>
        <v>0</v>
      </c>
      <c r="H859" s="83">
        <f t="shared" si="14"/>
        <v>40000</v>
      </c>
      <c r="I859" s="83"/>
      <c r="K859" s="54" t="s">
        <v>15</v>
      </c>
    </row>
    <row r="860" spans="2:11" ht="41.25" x14ac:dyDescent="0.2">
      <c r="B860" s="82" t="s">
        <v>6758</v>
      </c>
      <c r="C860" s="82" t="s">
        <v>2284</v>
      </c>
      <c r="D860" s="83">
        <f>SUMIFS(D861:D1474,K861:K1474,"0",B861:B1474,"5 1 2 1 6 12 31111 6 M59 96300 000211 0000E 00001 00216 011 2112000 2024 CP3SB474 004*")-SUMIFS(E861:E1474,K861:K1474,"0",B861:B1474,"5 1 2 1 6 12 31111 6 M59 96300 000211 0000E 00001 00216 011 2112000 2024 CP3SB474 004*")</f>
        <v>40000</v>
      </c>
      <c r="E860" s="54"/>
      <c r="F860" s="83">
        <f>SUMIFS(F861:F1474,K861:K1474,"0",B861:B1474,"5 1 2 1 6 12 31111 6 M59 96300 000211 0000E 00001 00216 011 2112000 2024 CP3SB474 004*")</f>
        <v>0</v>
      </c>
      <c r="G860" s="83">
        <f>SUMIFS(G861:G1474,K861:K1474,"0",B861:B1474,"5 1 2 1 6 12 31111 6 M59 96300 000211 0000E 00001 00216 011 2112000 2024 CP3SB474 004*")</f>
        <v>0</v>
      </c>
      <c r="H860" s="83">
        <f t="shared" si="14"/>
        <v>40000</v>
      </c>
      <c r="I860" s="83"/>
      <c r="K860" s="54" t="s">
        <v>15</v>
      </c>
    </row>
    <row r="861" spans="2:11" ht="33" x14ac:dyDescent="0.2">
      <c r="B861" s="84" t="s">
        <v>6759</v>
      </c>
      <c r="C861" s="84" t="s">
        <v>2284</v>
      </c>
      <c r="D861" s="85">
        <v>40000</v>
      </c>
      <c r="E861" s="85"/>
      <c r="F861" s="85">
        <v>0</v>
      </c>
      <c r="G861" s="85">
        <v>0</v>
      </c>
      <c r="H861" s="85">
        <f t="shared" si="14"/>
        <v>40000</v>
      </c>
      <c r="I861" s="85"/>
      <c r="K861" s="54" t="s">
        <v>38</v>
      </c>
    </row>
    <row r="862" spans="2:11" ht="24.75" x14ac:dyDescent="0.2">
      <c r="B862" s="82" t="s">
        <v>6766</v>
      </c>
      <c r="C862" s="82" t="s">
        <v>6767</v>
      </c>
      <c r="D862" s="83">
        <f>SUMIFS(D863:D1474,K863:K1474,"0",B863:B1474,"5 1 2 1 8*")-SUMIFS(E863:E1474,K863:K1474,"0",B863:B1474,"5 1 2 1 8*")</f>
        <v>35569.5</v>
      </c>
      <c r="E862" s="54"/>
      <c r="F862" s="83">
        <f>SUMIFS(F863:F1474,K863:K1474,"0",B863:B1474,"5 1 2 1 8*")</f>
        <v>3800</v>
      </c>
      <c r="G862" s="83">
        <f>SUMIFS(G863:G1474,K863:K1474,"0",B863:B1474,"5 1 2 1 8*")</f>
        <v>0</v>
      </c>
      <c r="H862" s="83">
        <f t="shared" si="14"/>
        <v>39369.5</v>
      </c>
      <c r="I862" s="83"/>
      <c r="K862" s="54" t="s">
        <v>15</v>
      </c>
    </row>
    <row r="863" spans="2:11" ht="12.75" x14ac:dyDescent="0.2">
      <c r="B863" s="82" t="s">
        <v>6768</v>
      </c>
      <c r="C863" s="82" t="s">
        <v>26</v>
      </c>
      <c r="D863" s="83">
        <f>SUMIFS(D864:D1474,K864:K1474,"0",B864:B1474,"5 1 2 1 8 12*")-SUMIFS(E864:E1474,K864:K1474,"0",B864:B1474,"5 1 2 1 8 12*")</f>
        <v>35569.5</v>
      </c>
      <c r="E863" s="54"/>
      <c r="F863" s="83">
        <f>SUMIFS(F864:F1474,K864:K1474,"0",B864:B1474,"5 1 2 1 8 12*")</f>
        <v>3800</v>
      </c>
      <c r="G863" s="83">
        <f>SUMIFS(G864:G1474,K864:K1474,"0",B864:B1474,"5 1 2 1 8 12*")</f>
        <v>0</v>
      </c>
      <c r="H863" s="83">
        <f t="shared" si="14"/>
        <v>39369.5</v>
      </c>
      <c r="I863" s="83"/>
      <c r="K863" s="54" t="s">
        <v>15</v>
      </c>
    </row>
    <row r="864" spans="2:11" ht="16.5" x14ac:dyDescent="0.2">
      <c r="B864" s="82" t="s">
        <v>6769</v>
      </c>
      <c r="C864" s="82" t="s">
        <v>28</v>
      </c>
      <c r="D864" s="83">
        <f>SUMIFS(D865:D1474,K865:K1474,"0",B865:B1474,"5 1 2 1 8 12 31111*")-SUMIFS(E865:E1474,K865:K1474,"0",B865:B1474,"5 1 2 1 8 12 31111*")</f>
        <v>35569.5</v>
      </c>
      <c r="E864" s="54"/>
      <c r="F864" s="83">
        <f>SUMIFS(F865:F1474,K865:K1474,"0",B865:B1474,"5 1 2 1 8 12 31111*")</f>
        <v>3800</v>
      </c>
      <c r="G864" s="83">
        <f>SUMIFS(G865:G1474,K865:K1474,"0",B865:B1474,"5 1 2 1 8 12 31111*")</f>
        <v>0</v>
      </c>
      <c r="H864" s="83">
        <f t="shared" si="14"/>
        <v>39369.5</v>
      </c>
      <c r="I864" s="83"/>
      <c r="K864" s="54" t="s">
        <v>15</v>
      </c>
    </row>
    <row r="865" spans="2:11" ht="12.75" x14ac:dyDescent="0.2">
      <c r="B865" s="82" t="s">
        <v>6770</v>
      </c>
      <c r="C865" s="82" t="s">
        <v>30</v>
      </c>
      <c r="D865" s="83">
        <f>SUMIFS(D866:D1474,K866:K1474,"0",B866:B1474,"5 1 2 1 8 12 31111 6*")-SUMIFS(E866:E1474,K866:K1474,"0",B866:B1474,"5 1 2 1 8 12 31111 6*")</f>
        <v>35569.5</v>
      </c>
      <c r="E865" s="54"/>
      <c r="F865" s="83">
        <f>SUMIFS(F866:F1474,K866:K1474,"0",B866:B1474,"5 1 2 1 8 12 31111 6*")</f>
        <v>3800</v>
      </c>
      <c r="G865" s="83">
        <f>SUMIFS(G866:G1474,K866:K1474,"0",B866:B1474,"5 1 2 1 8 12 31111 6*")</f>
        <v>0</v>
      </c>
      <c r="H865" s="83">
        <f t="shared" si="14"/>
        <v>39369.5</v>
      </c>
      <c r="I865" s="83"/>
      <c r="K865" s="54" t="s">
        <v>15</v>
      </c>
    </row>
    <row r="866" spans="2:11" ht="16.5" x14ac:dyDescent="0.2">
      <c r="B866" s="82" t="s">
        <v>6771</v>
      </c>
      <c r="C866" s="82" t="s">
        <v>2284</v>
      </c>
      <c r="D866" s="83">
        <f>SUMIFS(D867:D1474,K867:K1474,"0",B867:B1474,"5 1 2 1 8 12 31111 6 M59*")-SUMIFS(E867:E1474,K867:K1474,"0",B867:B1474,"5 1 2 1 8 12 31111 6 M59*")</f>
        <v>35569.5</v>
      </c>
      <c r="E866" s="54"/>
      <c r="F866" s="83">
        <f>SUMIFS(F867:F1474,K867:K1474,"0",B867:B1474,"5 1 2 1 8 12 31111 6 M59*")</f>
        <v>3800</v>
      </c>
      <c r="G866" s="83">
        <f>SUMIFS(G867:G1474,K867:K1474,"0",B867:B1474,"5 1 2 1 8 12 31111 6 M59*")</f>
        <v>0</v>
      </c>
      <c r="H866" s="83">
        <f t="shared" si="14"/>
        <v>39369.5</v>
      </c>
      <c r="I866" s="83"/>
      <c r="K866" s="54" t="s">
        <v>15</v>
      </c>
    </row>
    <row r="867" spans="2:11" ht="16.5" x14ac:dyDescent="0.2">
      <c r="B867" s="82" t="s">
        <v>6772</v>
      </c>
      <c r="C867" s="82" t="s">
        <v>1044</v>
      </c>
      <c r="D867" s="83">
        <f>SUMIFS(D868:D1474,K868:K1474,"0",B868:B1474,"5 1 2 1 8 12 31111 6 M59 19000*")-SUMIFS(E868:E1474,K868:K1474,"0",B868:B1474,"5 1 2 1 8 12 31111 6 M59 19000*")</f>
        <v>35400</v>
      </c>
      <c r="E867" s="54"/>
      <c r="F867" s="83">
        <f>SUMIFS(F868:F1474,K868:K1474,"0",B868:B1474,"5 1 2 1 8 12 31111 6 M59 19000*")</f>
        <v>3800</v>
      </c>
      <c r="G867" s="83">
        <f>SUMIFS(G868:G1474,K868:K1474,"0",B868:B1474,"5 1 2 1 8 12 31111 6 M59 19000*")</f>
        <v>0</v>
      </c>
      <c r="H867" s="83">
        <f t="shared" si="14"/>
        <v>39200</v>
      </c>
      <c r="I867" s="83"/>
      <c r="K867" s="54" t="s">
        <v>15</v>
      </c>
    </row>
    <row r="868" spans="2:11" ht="16.5" x14ac:dyDescent="0.2">
      <c r="B868" s="82" t="s">
        <v>6773</v>
      </c>
      <c r="C868" s="82" t="s">
        <v>648</v>
      </c>
      <c r="D868" s="83">
        <f>SUMIFS(D869:D1474,K869:K1474,"0",B869:B1474,"5 1 2 1 8 12 31111 6 M59 19000 000132*")-SUMIFS(E869:E1474,K869:K1474,"0",B869:B1474,"5 1 2 1 8 12 31111 6 M59 19000 000132*")</f>
        <v>35400</v>
      </c>
      <c r="E868" s="54"/>
      <c r="F868" s="83">
        <f>SUMIFS(F869:F1474,K869:K1474,"0",B869:B1474,"5 1 2 1 8 12 31111 6 M59 19000 000132*")</f>
        <v>3800</v>
      </c>
      <c r="G868" s="83">
        <f>SUMIFS(G869:G1474,K869:K1474,"0",B869:B1474,"5 1 2 1 8 12 31111 6 M59 19000 000132*")</f>
        <v>0</v>
      </c>
      <c r="H868" s="83">
        <f t="shared" si="14"/>
        <v>39200</v>
      </c>
      <c r="I868" s="83"/>
      <c r="K868" s="54" t="s">
        <v>15</v>
      </c>
    </row>
    <row r="869" spans="2:11" ht="24.75" x14ac:dyDescent="0.2">
      <c r="B869" s="82" t="s">
        <v>6774</v>
      </c>
      <c r="C869" s="82" t="s">
        <v>650</v>
      </c>
      <c r="D869" s="83">
        <f>SUMIFS(D870:D1474,K870:K1474,"0",B870:B1474,"5 1 2 1 8 12 31111 6 M59 19000 000132 0000R*")-SUMIFS(E870:E1474,K870:K1474,"0",B870:B1474,"5 1 2 1 8 12 31111 6 M59 19000 000132 0000R*")</f>
        <v>35400</v>
      </c>
      <c r="E869" s="54"/>
      <c r="F869" s="83">
        <f>SUMIFS(F870:F1474,K870:K1474,"0",B870:B1474,"5 1 2 1 8 12 31111 6 M59 19000 000132 0000R*")</f>
        <v>3800</v>
      </c>
      <c r="G869" s="83">
        <f>SUMIFS(G870:G1474,K870:K1474,"0",B870:B1474,"5 1 2 1 8 12 31111 6 M59 19000 000132 0000R*")</f>
        <v>0</v>
      </c>
      <c r="H869" s="83">
        <f t="shared" si="14"/>
        <v>39200</v>
      </c>
      <c r="I869" s="83"/>
      <c r="K869" s="54" t="s">
        <v>15</v>
      </c>
    </row>
    <row r="870" spans="2:11" ht="24.75" x14ac:dyDescent="0.2">
      <c r="B870" s="82" t="s">
        <v>6775</v>
      </c>
      <c r="C870" s="82" t="s">
        <v>282</v>
      </c>
      <c r="D870" s="83">
        <f>SUMIFS(D871:D1474,K871:K1474,"0",B871:B1474,"5 1 2 1 8 12 31111 6 M59 19000 000132 0000R 00001*")-SUMIFS(E871:E1474,K871:K1474,"0",B871:B1474,"5 1 2 1 8 12 31111 6 M59 19000 000132 0000R 00001*")</f>
        <v>35400</v>
      </c>
      <c r="E870" s="54"/>
      <c r="F870" s="83">
        <f>SUMIFS(F871:F1474,K871:K1474,"0",B871:B1474,"5 1 2 1 8 12 31111 6 M59 19000 000132 0000R 00001*")</f>
        <v>3800</v>
      </c>
      <c r="G870" s="83">
        <f>SUMIFS(G871:G1474,K871:K1474,"0",B871:B1474,"5 1 2 1 8 12 31111 6 M59 19000 000132 0000R 00001*")</f>
        <v>0</v>
      </c>
      <c r="H870" s="83">
        <f t="shared" si="14"/>
        <v>39200</v>
      </c>
      <c r="I870" s="83"/>
      <c r="K870" s="54" t="s">
        <v>15</v>
      </c>
    </row>
    <row r="871" spans="2:11" ht="24.75" x14ac:dyDescent="0.2">
      <c r="B871" s="82" t="s">
        <v>6776</v>
      </c>
      <c r="C871" s="82" t="s">
        <v>6777</v>
      </c>
      <c r="D871" s="83">
        <f>SUMIFS(D872:D1474,K872:K1474,"0",B872:B1474,"5 1 2 1 8 12 31111 6 M59 19000 000132 0000R 00001 00218*")-SUMIFS(E872:E1474,K872:K1474,"0",B872:B1474,"5 1 2 1 8 12 31111 6 M59 19000 000132 0000R 00001 00218*")</f>
        <v>35400</v>
      </c>
      <c r="E871" s="54"/>
      <c r="F871" s="83">
        <f>SUMIFS(F872:F1474,K872:K1474,"0",B872:B1474,"5 1 2 1 8 12 31111 6 M59 19000 000132 0000R 00001 00218*")</f>
        <v>3800</v>
      </c>
      <c r="G871" s="83">
        <f>SUMIFS(G872:G1474,K872:K1474,"0",B872:B1474,"5 1 2 1 8 12 31111 6 M59 19000 000132 0000R 00001 00218*")</f>
        <v>0</v>
      </c>
      <c r="H871" s="83">
        <f t="shared" si="14"/>
        <v>39200</v>
      </c>
      <c r="I871" s="83"/>
      <c r="K871" s="54" t="s">
        <v>15</v>
      </c>
    </row>
    <row r="872" spans="2:11" ht="33" x14ac:dyDescent="0.2">
      <c r="B872" s="82" t="s">
        <v>6778</v>
      </c>
      <c r="C872" s="82" t="s">
        <v>699</v>
      </c>
      <c r="D872" s="83">
        <f>SUMIFS(D873:D1474,K873:K1474,"0",B873:B1474,"5 1 2 1 8 12 31111 6 M59 19000 000132 0000R 00001 00218 011*")-SUMIFS(E873:E1474,K873:K1474,"0",B873:B1474,"5 1 2 1 8 12 31111 6 M59 19000 000132 0000R 00001 00218 011*")</f>
        <v>35400</v>
      </c>
      <c r="E872" s="54"/>
      <c r="F872" s="83">
        <f>SUMIFS(F873:F1474,K873:K1474,"0",B873:B1474,"5 1 2 1 8 12 31111 6 M59 19000 000132 0000R 00001 00218 011*")</f>
        <v>3800</v>
      </c>
      <c r="G872" s="83">
        <f>SUMIFS(G873:G1474,K873:K1474,"0",B873:B1474,"5 1 2 1 8 12 31111 6 M59 19000 000132 0000R 00001 00218 011*")</f>
        <v>0</v>
      </c>
      <c r="H872" s="83">
        <f t="shared" si="14"/>
        <v>39200</v>
      </c>
      <c r="I872" s="83"/>
      <c r="K872" s="54" t="s">
        <v>15</v>
      </c>
    </row>
    <row r="873" spans="2:11" ht="33" x14ac:dyDescent="0.2">
      <c r="B873" s="82" t="s">
        <v>6779</v>
      </c>
      <c r="C873" s="82" t="s">
        <v>5830</v>
      </c>
      <c r="D873" s="83">
        <f>SUMIFS(D874:D1474,K874:K1474,"0",B874:B1474,"5 1 2 1 8 12 31111 6 M59 19000 000132 0000R 00001 00218 011 2112000*")-SUMIFS(E874:E1474,K874:K1474,"0",B874:B1474,"5 1 2 1 8 12 31111 6 M59 19000 000132 0000R 00001 00218 011 2112000*")</f>
        <v>35400</v>
      </c>
      <c r="E873" s="54"/>
      <c r="F873" s="83">
        <f>SUMIFS(F874:F1474,K874:K1474,"0",B874:B1474,"5 1 2 1 8 12 31111 6 M59 19000 000132 0000R 00001 00218 011 2112000*")</f>
        <v>3800</v>
      </c>
      <c r="G873" s="83">
        <f>SUMIFS(G874:G1474,K874:K1474,"0",B874:B1474,"5 1 2 1 8 12 31111 6 M59 19000 000132 0000R 00001 00218 011 2112000*")</f>
        <v>0</v>
      </c>
      <c r="H873" s="83">
        <f t="shared" ref="H873:H936" si="15">D873 + F873 - G873</f>
        <v>39200</v>
      </c>
      <c r="I873" s="83"/>
      <c r="K873" s="54" t="s">
        <v>15</v>
      </c>
    </row>
    <row r="874" spans="2:11" ht="33" x14ac:dyDescent="0.2">
      <c r="B874" s="82" t="s">
        <v>6780</v>
      </c>
      <c r="C874" s="82" t="s">
        <v>660</v>
      </c>
      <c r="D874" s="83">
        <f>SUMIFS(D875:D1474,K875:K1474,"0",B875:B1474,"5 1 2 1 8 12 31111 6 M59 19000 000132 0000R 00001 00218 011 2112000 2024*")-SUMIFS(E875:E1474,K875:K1474,"0",B875:B1474,"5 1 2 1 8 12 31111 6 M59 19000 000132 0000R 00001 00218 011 2112000 2024*")</f>
        <v>35400</v>
      </c>
      <c r="E874" s="54"/>
      <c r="F874" s="83">
        <f>SUMIFS(F875:F1474,K875:K1474,"0",B875:B1474,"5 1 2 1 8 12 31111 6 M59 19000 000132 0000R 00001 00218 011 2112000 2024*")</f>
        <v>3800</v>
      </c>
      <c r="G874" s="83">
        <f>SUMIFS(G875:G1474,K875:K1474,"0",B875:B1474,"5 1 2 1 8 12 31111 6 M59 19000 000132 0000R 00001 00218 011 2112000 2024*")</f>
        <v>0</v>
      </c>
      <c r="H874" s="83">
        <f t="shared" si="15"/>
        <v>39200</v>
      </c>
      <c r="I874" s="83"/>
      <c r="K874" s="54" t="s">
        <v>15</v>
      </c>
    </row>
    <row r="875" spans="2:11" ht="41.25" x14ac:dyDescent="0.2">
      <c r="B875" s="82" t="s">
        <v>6781</v>
      </c>
      <c r="C875" s="82" t="s">
        <v>662</v>
      </c>
      <c r="D875" s="83">
        <f>SUMIFS(D876:D1474,K876:K1474,"0",B876:B1474,"5 1 2 1 8 12 31111 6 M59 19000 000132 0000R 00001 00218 011 2112000 2024 CP1TM440*")-SUMIFS(E876:E1474,K876:K1474,"0",B876:B1474,"5 1 2 1 8 12 31111 6 M59 19000 000132 0000R 00001 00218 011 2112000 2024 CP1TM440*")</f>
        <v>35400</v>
      </c>
      <c r="E875" s="54"/>
      <c r="F875" s="83">
        <f>SUMIFS(F876:F1474,K876:K1474,"0",B876:B1474,"5 1 2 1 8 12 31111 6 M59 19000 000132 0000R 00001 00218 011 2112000 2024 CP1TM440*")</f>
        <v>3800</v>
      </c>
      <c r="G875" s="83">
        <f>SUMIFS(G876:G1474,K876:K1474,"0",B876:B1474,"5 1 2 1 8 12 31111 6 M59 19000 000132 0000R 00001 00218 011 2112000 2024 CP1TM440*")</f>
        <v>0</v>
      </c>
      <c r="H875" s="83">
        <f t="shared" si="15"/>
        <v>39200</v>
      </c>
      <c r="I875" s="83"/>
      <c r="K875" s="54" t="s">
        <v>15</v>
      </c>
    </row>
    <row r="876" spans="2:11" ht="41.25" x14ac:dyDescent="0.2">
      <c r="B876" s="82" t="s">
        <v>6782</v>
      </c>
      <c r="C876" s="82" t="s">
        <v>2284</v>
      </c>
      <c r="D876" s="83">
        <f>SUMIFS(D877:D1474,K877:K1474,"0",B877:B1474,"5 1 2 1 8 12 31111 6 M59 19000 000132 0000R 00001 00218 011 2112000 2024 CP1TM440 004*")-SUMIFS(E877:E1474,K877:K1474,"0",B877:B1474,"5 1 2 1 8 12 31111 6 M59 19000 000132 0000R 00001 00218 011 2112000 2024 CP1TM440 004*")</f>
        <v>35400</v>
      </c>
      <c r="E876" s="54"/>
      <c r="F876" s="83">
        <f>SUMIFS(F877:F1474,K877:K1474,"0",B877:B1474,"5 1 2 1 8 12 31111 6 M59 19000 000132 0000R 00001 00218 011 2112000 2024 CP1TM440 004*")</f>
        <v>3800</v>
      </c>
      <c r="G876" s="83">
        <f>SUMIFS(G877:G1474,K877:K1474,"0",B877:B1474,"5 1 2 1 8 12 31111 6 M59 19000 000132 0000R 00001 00218 011 2112000 2024 CP1TM440 004*")</f>
        <v>0</v>
      </c>
      <c r="H876" s="83">
        <f t="shared" si="15"/>
        <v>39200</v>
      </c>
      <c r="I876" s="83"/>
      <c r="K876" s="54" t="s">
        <v>15</v>
      </c>
    </row>
    <row r="877" spans="2:11" ht="33" x14ac:dyDescent="0.2">
      <c r="B877" s="84" t="s">
        <v>6783</v>
      </c>
      <c r="C877" s="84" t="s">
        <v>2284</v>
      </c>
      <c r="D877" s="85">
        <v>35400</v>
      </c>
      <c r="E877" s="85"/>
      <c r="F877" s="85">
        <v>3800</v>
      </c>
      <c r="G877" s="85">
        <v>0</v>
      </c>
      <c r="H877" s="85">
        <f t="shared" si="15"/>
        <v>39200</v>
      </c>
      <c r="I877" s="85"/>
      <c r="K877" s="54" t="s">
        <v>38</v>
      </c>
    </row>
    <row r="878" spans="2:11" ht="16.5" x14ac:dyDescent="0.2">
      <c r="B878" s="82" t="s">
        <v>6784</v>
      </c>
      <c r="C878" s="82" t="s">
        <v>1079</v>
      </c>
      <c r="D878" s="83">
        <f>SUMIFS(D879:D1474,K879:K1474,"0",B879:B1474,"5 1 2 1 8 12 31111 6 M59 20500*")-SUMIFS(E879:E1474,K879:K1474,"0",B879:B1474,"5 1 2 1 8 12 31111 6 M59 20500*")</f>
        <v>169.5</v>
      </c>
      <c r="E878" s="54"/>
      <c r="F878" s="83">
        <f>SUMIFS(F879:F1474,K879:K1474,"0",B879:B1474,"5 1 2 1 8 12 31111 6 M59 20500*")</f>
        <v>0</v>
      </c>
      <c r="G878" s="83">
        <f>SUMIFS(G879:G1474,K879:K1474,"0",B879:B1474,"5 1 2 1 8 12 31111 6 M59 20500*")</f>
        <v>0</v>
      </c>
      <c r="H878" s="83">
        <f t="shared" si="15"/>
        <v>169.5</v>
      </c>
      <c r="I878" s="83"/>
      <c r="K878" s="54" t="s">
        <v>15</v>
      </c>
    </row>
    <row r="879" spans="2:11" ht="24.75" x14ac:dyDescent="0.2">
      <c r="B879" s="82" t="s">
        <v>6785</v>
      </c>
      <c r="C879" s="82" t="s">
        <v>3152</v>
      </c>
      <c r="D879" s="83">
        <f>SUMIFS(D880:D1474,K880:K1474,"0",B880:B1474,"5 1 2 1 8 12 31111 6 M59 20500 000181*")-SUMIFS(E880:E1474,K880:K1474,"0",B880:B1474,"5 1 2 1 8 12 31111 6 M59 20500 000181*")</f>
        <v>169.5</v>
      </c>
      <c r="E879" s="54"/>
      <c r="F879" s="83">
        <f>SUMIFS(F880:F1474,K880:K1474,"0",B880:B1474,"5 1 2 1 8 12 31111 6 M59 20500 000181*")</f>
        <v>0</v>
      </c>
      <c r="G879" s="83">
        <f>SUMIFS(G880:G1474,K880:K1474,"0",B880:B1474,"5 1 2 1 8 12 31111 6 M59 20500 000181*")</f>
        <v>0</v>
      </c>
      <c r="H879" s="83">
        <f t="shared" si="15"/>
        <v>169.5</v>
      </c>
      <c r="I879" s="83"/>
      <c r="K879" s="54" t="s">
        <v>15</v>
      </c>
    </row>
    <row r="880" spans="2:11" ht="24.75" x14ac:dyDescent="0.2">
      <c r="B880" s="82" t="s">
        <v>6786</v>
      </c>
      <c r="C880" s="82" t="s">
        <v>1065</v>
      </c>
      <c r="D880" s="83">
        <f>SUMIFS(D881:D1474,K881:K1474,"0",B881:B1474,"5 1 2 1 8 12 31111 6 M59 20500 000181 0000E*")-SUMIFS(E881:E1474,K881:K1474,"0",B881:B1474,"5 1 2 1 8 12 31111 6 M59 20500 000181 0000E*")</f>
        <v>169.5</v>
      </c>
      <c r="E880" s="54"/>
      <c r="F880" s="83">
        <f>SUMIFS(F881:F1474,K881:K1474,"0",B881:B1474,"5 1 2 1 8 12 31111 6 M59 20500 000181 0000E*")</f>
        <v>0</v>
      </c>
      <c r="G880" s="83">
        <f>SUMIFS(G881:G1474,K881:K1474,"0",B881:B1474,"5 1 2 1 8 12 31111 6 M59 20500 000181 0000E*")</f>
        <v>0</v>
      </c>
      <c r="H880" s="83">
        <f t="shared" si="15"/>
        <v>169.5</v>
      </c>
      <c r="I880" s="83"/>
      <c r="K880" s="54" t="s">
        <v>15</v>
      </c>
    </row>
    <row r="881" spans="2:11" ht="24.75" x14ac:dyDescent="0.2">
      <c r="B881" s="82" t="s">
        <v>6787</v>
      </c>
      <c r="C881" s="82" t="s">
        <v>282</v>
      </c>
      <c r="D881" s="83">
        <f>SUMIFS(D882:D1474,K882:K1474,"0",B882:B1474,"5 1 2 1 8 12 31111 6 M59 20500 000181 0000E 00001*")-SUMIFS(E882:E1474,K882:K1474,"0",B882:B1474,"5 1 2 1 8 12 31111 6 M59 20500 000181 0000E 00001*")</f>
        <v>169.5</v>
      </c>
      <c r="E881" s="54"/>
      <c r="F881" s="83">
        <f>SUMIFS(F882:F1474,K882:K1474,"0",B882:B1474,"5 1 2 1 8 12 31111 6 M59 20500 000181 0000E 00001*")</f>
        <v>0</v>
      </c>
      <c r="G881" s="83">
        <f>SUMIFS(G882:G1474,K882:K1474,"0",B882:B1474,"5 1 2 1 8 12 31111 6 M59 20500 000181 0000E 00001*")</f>
        <v>0</v>
      </c>
      <c r="H881" s="83">
        <f t="shared" si="15"/>
        <v>169.5</v>
      </c>
      <c r="I881" s="83"/>
      <c r="K881" s="54" t="s">
        <v>15</v>
      </c>
    </row>
    <row r="882" spans="2:11" ht="24.75" x14ac:dyDescent="0.2">
      <c r="B882" s="82" t="s">
        <v>6788</v>
      </c>
      <c r="C882" s="82" t="s">
        <v>6777</v>
      </c>
      <c r="D882" s="83">
        <f>SUMIFS(D883:D1474,K883:K1474,"0",B883:B1474,"5 1 2 1 8 12 31111 6 M59 20500 000181 0000E 00001 00218*")-SUMIFS(E883:E1474,K883:K1474,"0",B883:B1474,"5 1 2 1 8 12 31111 6 M59 20500 000181 0000E 00001 00218*")</f>
        <v>169.5</v>
      </c>
      <c r="E882" s="54"/>
      <c r="F882" s="83">
        <f>SUMIFS(F883:F1474,K883:K1474,"0",B883:B1474,"5 1 2 1 8 12 31111 6 M59 20500 000181 0000E 00001 00218*")</f>
        <v>0</v>
      </c>
      <c r="G882" s="83">
        <f>SUMIFS(G883:G1474,K883:K1474,"0",B883:B1474,"5 1 2 1 8 12 31111 6 M59 20500 000181 0000E 00001 00218*")</f>
        <v>0</v>
      </c>
      <c r="H882" s="83">
        <f t="shared" si="15"/>
        <v>169.5</v>
      </c>
      <c r="I882" s="83"/>
      <c r="K882" s="54" t="s">
        <v>15</v>
      </c>
    </row>
    <row r="883" spans="2:11" ht="33" x14ac:dyDescent="0.2">
      <c r="B883" s="82" t="s">
        <v>6789</v>
      </c>
      <c r="C883" s="82" t="s">
        <v>699</v>
      </c>
      <c r="D883" s="83">
        <f>SUMIFS(D884:D1474,K884:K1474,"0",B884:B1474,"5 1 2 1 8 12 31111 6 M59 20500 000181 0000E 00001 00218 011*")-SUMIFS(E884:E1474,K884:K1474,"0",B884:B1474,"5 1 2 1 8 12 31111 6 M59 20500 000181 0000E 00001 00218 011*")</f>
        <v>169.5</v>
      </c>
      <c r="E883" s="54"/>
      <c r="F883" s="83">
        <f>SUMIFS(F884:F1474,K884:K1474,"0",B884:B1474,"5 1 2 1 8 12 31111 6 M59 20500 000181 0000E 00001 00218 011*")</f>
        <v>0</v>
      </c>
      <c r="G883" s="83">
        <f>SUMIFS(G884:G1474,K884:K1474,"0",B884:B1474,"5 1 2 1 8 12 31111 6 M59 20500 000181 0000E 00001 00218 011*")</f>
        <v>0</v>
      </c>
      <c r="H883" s="83">
        <f t="shared" si="15"/>
        <v>169.5</v>
      </c>
      <c r="I883" s="83"/>
      <c r="K883" s="54" t="s">
        <v>15</v>
      </c>
    </row>
    <row r="884" spans="2:11" ht="33" x14ac:dyDescent="0.2">
      <c r="B884" s="82" t="s">
        <v>6790</v>
      </c>
      <c r="C884" s="82" t="s">
        <v>5830</v>
      </c>
      <c r="D884" s="83">
        <f>SUMIFS(D885:D1474,K885:K1474,"0",B885:B1474,"5 1 2 1 8 12 31111 6 M59 20500 000181 0000E 00001 00218 011 2112000*")-SUMIFS(E885:E1474,K885:K1474,"0",B885:B1474,"5 1 2 1 8 12 31111 6 M59 20500 000181 0000E 00001 00218 011 2112000*")</f>
        <v>169.5</v>
      </c>
      <c r="E884" s="54"/>
      <c r="F884" s="83">
        <f>SUMIFS(F885:F1474,K885:K1474,"0",B885:B1474,"5 1 2 1 8 12 31111 6 M59 20500 000181 0000E 00001 00218 011 2112000*")</f>
        <v>0</v>
      </c>
      <c r="G884" s="83">
        <f>SUMIFS(G885:G1474,K885:K1474,"0",B885:B1474,"5 1 2 1 8 12 31111 6 M59 20500 000181 0000E 00001 00218 011 2112000*")</f>
        <v>0</v>
      </c>
      <c r="H884" s="83">
        <f t="shared" si="15"/>
        <v>169.5</v>
      </c>
      <c r="I884" s="83"/>
      <c r="K884" s="54" t="s">
        <v>15</v>
      </c>
    </row>
    <row r="885" spans="2:11" ht="33" x14ac:dyDescent="0.2">
      <c r="B885" s="82" t="s">
        <v>6791</v>
      </c>
      <c r="C885" s="82" t="s">
        <v>660</v>
      </c>
      <c r="D885" s="83">
        <f>SUMIFS(D886:D1474,K886:K1474,"0",B886:B1474,"5 1 2 1 8 12 31111 6 M59 20500 000181 0000E 00001 00218 011 2112000 2024*")-SUMIFS(E886:E1474,K886:K1474,"0",B886:B1474,"5 1 2 1 8 12 31111 6 M59 20500 000181 0000E 00001 00218 011 2112000 2024*")</f>
        <v>169.5</v>
      </c>
      <c r="E885" s="54"/>
      <c r="F885" s="83">
        <f>SUMIFS(F886:F1474,K886:K1474,"0",B886:B1474,"5 1 2 1 8 12 31111 6 M59 20500 000181 0000E 00001 00218 011 2112000 2024*")</f>
        <v>0</v>
      </c>
      <c r="G885" s="83">
        <f>SUMIFS(G886:G1474,K886:K1474,"0",B886:B1474,"5 1 2 1 8 12 31111 6 M59 20500 000181 0000E 00001 00218 011 2112000 2024*")</f>
        <v>0</v>
      </c>
      <c r="H885" s="83">
        <f t="shared" si="15"/>
        <v>169.5</v>
      </c>
      <c r="I885" s="83"/>
      <c r="K885" s="54" t="s">
        <v>15</v>
      </c>
    </row>
    <row r="886" spans="2:11" ht="49.5" x14ac:dyDescent="0.2">
      <c r="B886" s="82" t="s">
        <v>6792</v>
      </c>
      <c r="C886" s="82" t="s">
        <v>5982</v>
      </c>
      <c r="D886" s="83">
        <f>SUMIFS(D887:D1474,K887:K1474,"0",B887:B1474,"5 1 2 1 8 12 31111 6 M59 20500 000181 0000E 00001 00218 011 2112000 2024 CP3CP471*")-SUMIFS(E887:E1474,K887:K1474,"0",B887:B1474,"5 1 2 1 8 12 31111 6 M59 20500 000181 0000E 00001 00218 011 2112000 2024 CP3CP471*")</f>
        <v>169.5</v>
      </c>
      <c r="E886" s="54"/>
      <c r="F886" s="83">
        <f>SUMIFS(F887:F1474,K887:K1474,"0",B887:B1474,"5 1 2 1 8 12 31111 6 M59 20500 000181 0000E 00001 00218 011 2112000 2024 CP3CP471*")</f>
        <v>0</v>
      </c>
      <c r="G886" s="83">
        <f>SUMIFS(G887:G1474,K887:K1474,"0",B887:B1474,"5 1 2 1 8 12 31111 6 M59 20500 000181 0000E 00001 00218 011 2112000 2024 CP3CP471*")</f>
        <v>0</v>
      </c>
      <c r="H886" s="83">
        <f t="shared" si="15"/>
        <v>169.5</v>
      </c>
      <c r="I886" s="83"/>
      <c r="K886" s="54" t="s">
        <v>15</v>
      </c>
    </row>
    <row r="887" spans="2:11" ht="41.25" x14ac:dyDescent="0.2">
      <c r="B887" s="82" t="s">
        <v>6793</v>
      </c>
      <c r="C887" s="82" t="s">
        <v>2284</v>
      </c>
      <c r="D887" s="83">
        <f>SUMIFS(D888:D1474,K888:K1474,"0",B888:B1474,"5 1 2 1 8 12 31111 6 M59 20500 000181 0000E 00001 00218 011 2112000 2024 CP3CP471 004*")-SUMIFS(E888:E1474,K888:K1474,"0",B888:B1474,"5 1 2 1 8 12 31111 6 M59 20500 000181 0000E 00001 00218 011 2112000 2024 CP3CP471 004*")</f>
        <v>169.5</v>
      </c>
      <c r="E887" s="54"/>
      <c r="F887" s="83">
        <f>SUMIFS(F888:F1474,K888:K1474,"0",B888:B1474,"5 1 2 1 8 12 31111 6 M59 20500 000181 0000E 00001 00218 011 2112000 2024 CP3CP471 004*")</f>
        <v>0</v>
      </c>
      <c r="G887" s="83">
        <f>SUMIFS(G888:G1474,K888:K1474,"0",B888:B1474,"5 1 2 1 8 12 31111 6 M59 20500 000181 0000E 00001 00218 011 2112000 2024 CP3CP471 004*")</f>
        <v>0</v>
      </c>
      <c r="H887" s="83">
        <f t="shared" si="15"/>
        <v>169.5</v>
      </c>
      <c r="I887" s="83"/>
      <c r="K887" s="54" t="s">
        <v>15</v>
      </c>
    </row>
    <row r="888" spans="2:11" ht="33" x14ac:dyDescent="0.2">
      <c r="B888" s="84" t="s">
        <v>6794</v>
      </c>
      <c r="C888" s="84" t="s">
        <v>2284</v>
      </c>
      <c r="D888" s="85">
        <v>169.5</v>
      </c>
      <c r="E888" s="85"/>
      <c r="F888" s="85">
        <v>0</v>
      </c>
      <c r="G888" s="85">
        <v>0</v>
      </c>
      <c r="H888" s="85">
        <f t="shared" si="15"/>
        <v>169.5</v>
      </c>
      <c r="I888" s="85"/>
      <c r="K888" s="54" t="s">
        <v>38</v>
      </c>
    </row>
    <row r="889" spans="2:11" ht="12.75" x14ac:dyDescent="0.2">
      <c r="B889" s="82" t="s">
        <v>6796</v>
      </c>
      <c r="C889" s="82" t="s">
        <v>507</v>
      </c>
      <c r="D889" s="83">
        <f>SUMIFS(D890:D1474,K890:K1474,"0",B890:B1474,"5 1 2 2*")-SUMIFS(E890:E1474,K890:K1474,"0",B890:B1474,"5 1 2 2*")</f>
        <v>25734.42</v>
      </c>
      <c r="E889" s="54"/>
      <c r="F889" s="83">
        <f>SUMIFS(F890:F1474,K890:K1474,"0",B890:B1474,"5 1 2 2*")</f>
        <v>0</v>
      </c>
      <c r="G889" s="83">
        <f>SUMIFS(G890:G1474,K890:K1474,"0",B890:B1474,"5 1 2 2*")</f>
        <v>0</v>
      </c>
      <c r="H889" s="83">
        <f t="shared" si="15"/>
        <v>25734.42</v>
      </c>
      <c r="I889" s="83"/>
      <c r="K889" s="54" t="s">
        <v>15</v>
      </c>
    </row>
    <row r="890" spans="2:11" ht="16.5" x14ac:dyDescent="0.2">
      <c r="B890" s="82" t="s">
        <v>6797</v>
      </c>
      <c r="C890" s="82" t="s">
        <v>6798</v>
      </c>
      <c r="D890" s="83">
        <f>SUMIFS(D891:D1474,K891:K1474,"0",B891:B1474,"5 1 2 2 1*")-SUMIFS(E891:E1474,K891:K1474,"0",B891:B1474,"5 1 2 2 1*")</f>
        <v>25734.42</v>
      </c>
      <c r="E890" s="54"/>
      <c r="F890" s="83">
        <f>SUMIFS(F891:F1474,K891:K1474,"0",B891:B1474,"5 1 2 2 1*")</f>
        <v>0</v>
      </c>
      <c r="G890" s="83">
        <f>SUMIFS(G891:G1474,K891:K1474,"0",B891:B1474,"5 1 2 2 1*")</f>
        <v>0</v>
      </c>
      <c r="H890" s="83">
        <f t="shared" si="15"/>
        <v>25734.42</v>
      </c>
      <c r="I890" s="83"/>
      <c r="K890" s="54" t="s">
        <v>15</v>
      </c>
    </row>
    <row r="891" spans="2:11" ht="12.75" x14ac:dyDescent="0.2">
      <c r="B891" s="82" t="s">
        <v>6799</v>
      </c>
      <c r="C891" s="82" t="s">
        <v>26</v>
      </c>
      <c r="D891" s="83">
        <f>SUMIFS(D892:D1474,K892:K1474,"0",B892:B1474,"5 1 2 2 1 12*")-SUMIFS(E892:E1474,K892:K1474,"0",B892:B1474,"5 1 2 2 1 12*")</f>
        <v>25734.42</v>
      </c>
      <c r="E891" s="54"/>
      <c r="F891" s="83">
        <f>SUMIFS(F892:F1474,K892:K1474,"0",B892:B1474,"5 1 2 2 1 12*")</f>
        <v>0</v>
      </c>
      <c r="G891" s="83">
        <f>SUMIFS(G892:G1474,K892:K1474,"0",B892:B1474,"5 1 2 2 1 12*")</f>
        <v>0</v>
      </c>
      <c r="H891" s="83">
        <f t="shared" si="15"/>
        <v>25734.42</v>
      </c>
      <c r="I891" s="83"/>
      <c r="K891" s="54" t="s">
        <v>15</v>
      </c>
    </row>
    <row r="892" spans="2:11" ht="16.5" x14ac:dyDescent="0.2">
      <c r="B892" s="82" t="s">
        <v>6800</v>
      </c>
      <c r="C892" s="82" t="s">
        <v>28</v>
      </c>
      <c r="D892" s="83">
        <f>SUMIFS(D893:D1474,K893:K1474,"0",B893:B1474,"5 1 2 2 1 12 31111*")-SUMIFS(E893:E1474,K893:K1474,"0",B893:B1474,"5 1 2 2 1 12 31111*")</f>
        <v>25734.42</v>
      </c>
      <c r="E892" s="54"/>
      <c r="F892" s="83">
        <f>SUMIFS(F893:F1474,K893:K1474,"0",B893:B1474,"5 1 2 2 1 12 31111*")</f>
        <v>0</v>
      </c>
      <c r="G892" s="83">
        <f>SUMIFS(G893:G1474,K893:K1474,"0",B893:B1474,"5 1 2 2 1 12 31111*")</f>
        <v>0</v>
      </c>
      <c r="H892" s="83">
        <f t="shared" si="15"/>
        <v>25734.42</v>
      </c>
      <c r="I892" s="83"/>
      <c r="K892" s="54" t="s">
        <v>15</v>
      </c>
    </row>
    <row r="893" spans="2:11" ht="12.75" x14ac:dyDescent="0.2">
      <c r="B893" s="82" t="s">
        <v>6801</v>
      </c>
      <c r="C893" s="82" t="s">
        <v>30</v>
      </c>
      <c r="D893" s="83">
        <f>SUMIFS(D894:D1474,K894:K1474,"0",B894:B1474,"5 1 2 2 1 12 31111 6*")-SUMIFS(E894:E1474,K894:K1474,"0",B894:B1474,"5 1 2 2 1 12 31111 6*")</f>
        <v>25734.42</v>
      </c>
      <c r="E893" s="54"/>
      <c r="F893" s="83">
        <f>SUMIFS(F894:F1474,K894:K1474,"0",B894:B1474,"5 1 2 2 1 12 31111 6*")</f>
        <v>0</v>
      </c>
      <c r="G893" s="83">
        <f>SUMIFS(G894:G1474,K894:K1474,"0",B894:B1474,"5 1 2 2 1 12 31111 6*")</f>
        <v>0</v>
      </c>
      <c r="H893" s="83">
        <f t="shared" si="15"/>
        <v>25734.42</v>
      </c>
      <c r="I893" s="83"/>
      <c r="K893" s="54" t="s">
        <v>15</v>
      </c>
    </row>
    <row r="894" spans="2:11" ht="16.5" x14ac:dyDescent="0.2">
      <c r="B894" s="82" t="s">
        <v>6802</v>
      </c>
      <c r="C894" s="82" t="s">
        <v>2284</v>
      </c>
      <c r="D894" s="83">
        <f>SUMIFS(D895:D1474,K895:K1474,"0",B895:B1474,"5 1 2 2 1 12 31111 6 M59*")-SUMIFS(E895:E1474,K895:K1474,"0",B895:B1474,"5 1 2 2 1 12 31111 6 M59*")</f>
        <v>25734.42</v>
      </c>
      <c r="E894" s="54"/>
      <c r="F894" s="83">
        <f>SUMIFS(F895:F1474,K895:K1474,"0",B895:B1474,"5 1 2 2 1 12 31111 6 M59*")</f>
        <v>0</v>
      </c>
      <c r="G894" s="83">
        <f>SUMIFS(G895:G1474,K895:K1474,"0",B895:B1474,"5 1 2 2 1 12 31111 6 M59*")</f>
        <v>0</v>
      </c>
      <c r="H894" s="83">
        <f t="shared" si="15"/>
        <v>25734.42</v>
      </c>
      <c r="I894" s="83"/>
      <c r="K894" s="54" t="s">
        <v>15</v>
      </c>
    </row>
    <row r="895" spans="2:11" ht="16.5" x14ac:dyDescent="0.2">
      <c r="B895" s="82" t="s">
        <v>6815</v>
      </c>
      <c r="C895" s="82" t="s">
        <v>1079</v>
      </c>
      <c r="D895" s="83">
        <f>SUMIFS(D896:D1474,K896:K1474,"0",B896:B1474,"5 1 2 2 1 12 31111 6 M59 20500*")-SUMIFS(E896:E1474,K896:K1474,"0",B896:B1474,"5 1 2 2 1 12 31111 6 M59 20500*")</f>
        <v>25734.42</v>
      </c>
      <c r="E895" s="54"/>
      <c r="F895" s="83">
        <f>SUMIFS(F896:F1474,K896:K1474,"0",B896:B1474,"5 1 2 2 1 12 31111 6 M59 20500*")</f>
        <v>0</v>
      </c>
      <c r="G895" s="83">
        <f>SUMIFS(G896:G1474,K896:K1474,"0",B896:B1474,"5 1 2 2 1 12 31111 6 M59 20500*")</f>
        <v>0</v>
      </c>
      <c r="H895" s="83">
        <f t="shared" si="15"/>
        <v>25734.42</v>
      </c>
      <c r="I895" s="83"/>
      <c r="K895" s="54" t="s">
        <v>15</v>
      </c>
    </row>
    <row r="896" spans="2:11" ht="24.75" x14ac:dyDescent="0.2">
      <c r="B896" s="82" t="s">
        <v>6826</v>
      </c>
      <c r="C896" s="82" t="s">
        <v>3152</v>
      </c>
      <c r="D896" s="83">
        <f>SUMIFS(D897:D1474,K897:K1474,"0",B897:B1474,"5 1 2 2 1 12 31111 6 M59 20500 000181*")-SUMIFS(E897:E1474,K897:K1474,"0",B897:B1474,"5 1 2 2 1 12 31111 6 M59 20500 000181*")</f>
        <v>25734.42</v>
      </c>
      <c r="E896" s="54"/>
      <c r="F896" s="83">
        <f>SUMIFS(F897:F1474,K897:K1474,"0",B897:B1474,"5 1 2 2 1 12 31111 6 M59 20500 000181*")</f>
        <v>0</v>
      </c>
      <c r="G896" s="83">
        <f>SUMIFS(G897:G1474,K897:K1474,"0",B897:B1474,"5 1 2 2 1 12 31111 6 M59 20500 000181*")</f>
        <v>0</v>
      </c>
      <c r="H896" s="83">
        <f t="shared" si="15"/>
        <v>25734.42</v>
      </c>
      <c r="I896" s="83"/>
      <c r="K896" s="54" t="s">
        <v>15</v>
      </c>
    </row>
    <row r="897" spans="2:11" ht="24.75" x14ac:dyDescent="0.2">
      <c r="B897" s="82" t="s">
        <v>6827</v>
      </c>
      <c r="C897" s="82" t="s">
        <v>1065</v>
      </c>
      <c r="D897" s="83">
        <f>SUMIFS(D898:D1474,K898:K1474,"0",B898:B1474,"5 1 2 2 1 12 31111 6 M59 20500 000181 0000E*")-SUMIFS(E898:E1474,K898:K1474,"0",B898:B1474,"5 1 2 2 1 12 31111 6 M59 20500 000181 0000E*")</f>
        <v>25734.42</v>
      </c>
      <c r="E897" s="54"/>
      <c r="F897" s="83">
        <f>SUMIFS(F898:F1474,K898:K1474,"0",B898:B1474,"5 1 2 2 1 12 31111 6 M59 20500 000181 0000E*")</f>
        <v>0</v>
      </c>
      <c r="G897" s="83">
        <f>SUMIFS(G898:G1474,K898:K1474,"0",B898:B1474,"5 1 2 2 1 12 31111 6 M59 20500 000181 0000E*")</f>
        <v>0</v>
      </c>
      <c r="H897" s="83">
        <f t="shared" si="15"/>
        <v>25734.42</v>
      </c>
      <c r="I897" s="83"/>
      <c r="K897" s="54" t="s">
        <v>15</v>
      </c>
    </row>
    <row r="898" spans="2:11" ht="24.75" x14ac:dyDescent="0.2">
      <c r="B898" s="82" t="s">
        <v>6828</v>
      </c>
      <c r="C898" s="82" t="s">
        <v>282</v>
      </c>
      <c r="D898" s="83">
        <f>SUMIFS(D899:D1474,K899:K1474,"0",B899:B1474,"5 1 2 2 1 12 31111 6 M59 20500 000181 0000E 00001*")-SUMIFS(E899:E1474,K899:K1474,"0",B899:B1474,"5 1 2 2 1 12 31111 6 M59 20500 000181 0000E 00001*")</f>
        <v>25734.42</v>
      </c>
      <c r="E898" s="54"/>
      <c r="F898" s="83">
        <f>SUMIFS(F899:F1474,K899:K1474,"0",B899:B1474,"5 1 2 2 1 12 31111 6 M59 20500 000181 0000E 00001*")</f>
        <v>0</v>
      </c>
      <c r="G898" s="83">
        <f>SUMIFS(G899:G1474,K899:K1474,"0",B899:B1474,"5 1 2 2 1 12 31111 6 M59 20500 000181 0000E 00001*")</f>
        <v>0</v>
      </c>
      <c r="H898" s="83">
        <f t="shared" si="15"/>
        <v>25734.42</v>
      </c>
      <c r="I898" s="83"/>
      <c r="K898" s="54" t="s">
        <v>15</v>
      </c>
    </row>
    <row r="899" spans="2:11" ht="24.75" x14ac:dyDescent="0.2">
      <c r="B899" s="82" t="s">
        <v>6829</v>
      </c>
      <c r="C899" s="82" t="s">
        <v>6808</v>
      </c>
      <c r="D899" s="83">
        <f>SUMIFS(D900:D1474,K900:K1474,"0",B900:B1474,"5 1 2 2 1 12 31111 6 M59 20500 000181 0000E 00001 00221*")-SUMIFS(E900:E1474,K900:K1474,"0",B900:B1474,"5 1 2 2 1 12 31111 6 M59 20500 000181 0000E 00001 00221*")</f>
        <v>25734.42</v>
      </c>
      <c r="E899" s="54"/>
      <c r="F899" s="83">
        <f>SUMIFS(F900:F1474,K900:K1474,"0",B900:B1474,"5 1 2 2 1 12 31111 6 M59 20500 000181 0000E 00001 00221*")</f>
        <v>0</v>
      </c>
      <c r="G899" s="83">
        <f>SUMIFS(G900:G1474,K900:K1474,"0",B900:B1474,"5 1 2 2 1 12 31111 6 M59 20500 000181 0000E 00001 00221*")</f>
        <v>0</v>
      </c>
      <c r="H899" s="83">
        <f t="shared" si="15"/>
        <v>25734.42</v>
      </c>
      <c r="I899" s="83"/>
      <c r="K899" s="54" t="s">
        <v>15</v>
      </c>
    </row>
    <row r="900" spans="2:11" ht="33" x14ac:dyDescent="0.2">
      <c r="B900" s="82" t="s">
        <v>6830</v>
      </c>
      <c r="C900" s="82" t="s">
        <v>699</v>
      </c>
      <c r="D900" s="83">
        <f>SUMIFS(D901:D1474,K901:K1474,"0",B901:B1474,"5 1 2 2 1 12 31111 6 M59 20500 000181 0000E 00001 00221 011*")-SUMIFS(E901:E1474,K901:K1474,"0",B901:B1474,"5 1 2 2 1 12 31111 6 M59 20500 000181 0000E 00001 00221 011*")</f>
        <v>25734.42</v>
      </c>
      <c r="E900" s="54"/>
      <c r="F900" s="83">
        <f>SUMIFS(F901:F1474,K901:K1474,"0",B901:B1474,"5 1 2 2 1 12 31111 6 M59 20500 000181 0000E 00001 00221 011*")</f>
        <v>0</v>
      </c>
      <c r="G900" s="83">
        <f>SUMIFS(G901:G1474,K901:K1474,"0",B901:B1474,"5 1 2 2 1 12 31111 6 M59 20500 000181 0000E 00001 00221 011*")</f>
        <v>0</v>
      </c>
      <c r="H900" s="83">
        <f t="shared" si="15"/>
        <v>25734.42</v>
      </c>
      <c r="I900" s="83"/>
      <c r="K900" s="54" t="s">
        <v>15</v>
      </c>
    </row>
    <row r="901" spans="2:11" ht="33" x14ac:dyDescent="0.2">
      <c r="B901" s="82" t="s">
        <v>6831</v>
      </c>
      <c r="C901" s="82" t="s">
        <v>5830</v>
      </c>
      <c r="D901" s="83">
        <f>SUMIFS(D902:D1474,K902:K1474,"0",B902:B1474,"5 1 2 2 1 12 31111 6 M59 20500 000181 0000E 00001 00221 011 2112000*")-SUMIFS(E902:E1474,K902:K1474,"0",B902:B1474,"5 1 2 2 1 12 31111 6 M59 20500 000181 0000E 00001 00221 011 2112000*")</f>
        <v>25734.42</v>
      </c>
      <c r="E901" s="54"/>
      <c r="F901" s="83">
        <f>SUMIFS(F902:F1474,K902:K1474,"0",B902:B1474,"5 1 2 2 1 12 31111 6 M59 20500 000181 0000E 00001 00221 011 2112000*")</f>
        <v>0</v>
      </c>
      <c r="G901" s="83">
        <f>SUMIFS(G902:G1474,K902:K1474,"0",B902:B1474,"5 1 2 2 1 12 31111 6 M59 20500 000181 0000E 00001 00221 011 2112000*")</f>
        <v>0</v>
      </c>
      <c r="H901" s="83">
        <f t="shared" si="15"/>
        <v>25734.42</v>
      </c>
      <c r="I901" s="83"/>
      <c r="K901" s="54" t="s">
        <v>15</v>
      </c>
    </row>
    <row r="902" spans="2:11" ht="33" x14ac:dyDescent="0.2">
      <c r="B902" s="82" t="s">
        <v>6832</v>
      </c>
      <c r="C902" s="82" t="s">
        <v>660</v>
      </c>
      <c r="D902" s="83">
        <f>SUMIFS(D903:D1474,K903:K1474,"0",B903:B1474,"5 1 2 2 1 12 31111 6 M59 20500 000181 0000E 00001 00221 011 2112000 2024*")-SUMIFS(E903:E1474,K903:K1474,"0",B903:B1474,"5 1 2 2 1 12 31111 6 M59 20500 000181 0000E 00001 00221 011 2112000 2024*")</f>
        <v>25734.42</v>
      </c>
      <c r="E902" s="54"/>
      <c r="F902" s="83">
        <f>SUMIFS(F903:F1474,K903:K1474,"0",B903:B1474,"5 1 2 2 1 12 31111 6 M59 20500 000181 0000E 00001 00221 011 2112000 2024*")</f>
        <v>0</v>
      </c>
      <c r="G902" s="83">
        <f>SUMIFS(G903:G1474,K903:K1474,"0",B903:B1474,"5 1 2 2 1 12 31111 6 M59 20500 000181 0000E 00001 00221 011 2112000 2024*")</f>
        <v>0</v>
      </c>
      <c r="H902" s="83">
        <f t="shared" si="15"/>
        <v>25734.42</v>
      </c>
      <c r="I902" s="83"/>
      <c r="K902" s="54" t="s">
        <v>15</v>
      </c>
    </row>
    <row r="903" spans="2:11" ht="49.5" x14ac:dyDescent="0.2">
      <c r="B903" s="82" t="s">
        <v>6833</v>
      </c>
      <c r="C903" s="82" t="s">
        <v>5982</v>
      </c>
      <c r="D903" s="83">
        <f>SUMIFS(D904:D1474,K904:K1474,"0",B904:B1474,"5 1 2 2 1 12 31111 6 M59 20500 000181 0000E 00001 00221 011 2112000 2024 CP3CP471*")-SUMIFS(E904:E1474,K904:K1474,"0",B904:B1474,"5 1 2 2 1 12 31111 6 M59 20500 000181 0000E 00001 00221 011 2112000 2024 CP3CP471*")</f>
        <v>25734.42</v>
      </c>
      <c r="E903" s="54"/>
      <c r="F903" s="83">
        <f>SUMIFS(F904:F1474,K904:K1474,"0",B904:B1474,"5 1 2 2 1 12 31111 6 M59 20500 000181 0000E 00001 00221 011 2112000 2024 CP3CP471*")</f>
        <v>0</v>
      </c>
      <c r="G903" s="83">
        <f>SUMIFS(G904:G1474,K904:K1474,"0",B904:B1474,"5 1 2 2 1 12 31111 6 M59 20500 000181 0000E 00001 00221 011 2112000 2024 CP3CP471*")</f>
        <v>0</v>
      </c>
      <c r="H903" s="83">
        <f t="shared" si="15"/>
        <v>25734.42</v>
      </c>
      <c r="I903" s="83"/>
      <c r="K903" s="54" t="s">
        <v>15</v>
      </c>
    </row>
    <row r="904" spans="2:11" ht="41.25" x14ac:dyDescent="0.2">
      <c r="B904" s="82" t="s">
        <v>6834</v>
      </c>
      <c r="C904" s="82" t="s">
        <v>2284</v>
      </c>
      <c r="D904" s="83">
        <f>SUMIFS(D905:D1474,K905:K1474,"0",B905:B1474,"5 1 2 2 1 12 31111 6 M59 20500 000181 0000E 00001 00221 011 2112000 2024 CP3CP471 004*")-SUMIFS(E905:E1474,K905:K1474,"0",B905:B1474,"5 1 2 2 1 12 31111 6 M59 20500 000181 0000E 00001 00221 011 2112000 2024 CP3CP471 004*")</f>
        <v>25734.42</v>
      </c>
      <c r="E904" s="54"/>
      <c r="F904" s="83">
        <f>SUMIFS(F905:F1474,K905:K1474,"0",B905:B1474,"5 1 2 2 1 12 31111 6 M59 20500 000181 0000E 00001 00221 011 2112000 2024 CP3CP471 004*")</f>
        <v>0</v>
      </c>
      <c r="G904" s="83">
        <f>SUMIFS(G905:G1474,K905:K1474,"0",B905:B1474,"5 1 2 2 1 12 31111 6 M59 20500 000181 0000E 00001 00221 011 2112000 2024 CP3CP471 004*")</f>
        <v>0</v>
      </c>
      <c r="H904" s="83">
        <f t="shared" si="15"/>
        <v>25734.42</v>
      </c>
      <c r="I904" s="83"/>
      <c r="K904" s="54" t="s">
        <v>15</v>
      </c>
    </row>
    <row r="905" spans="2:11" ht="33" x14ac:dyDescent="0.2">
      <c r="B905" s="84" t="s">
        <v>6835</v>
      </c>
      <c r="C905" s="84" t="s">
        <v>2284</v>
      </c>
      <c r="D905" s="85">
        <v>25734.42</v>
      </c>
      <c r="E905" s="85"/>
      <c r="F905" s="85">
        <v>0</v>
      </c>
      <c r="G905" s="85">
        <v>0</v>
      </c>
      <c r="H905" s="85">
        <f t="shared" si="15"/>
        <v>25734.42</v>
      </c>
      <c r="I905" s="85"/>
      <c r="K905" s="54" t="s">
        <v>38</v>
      </c>
    </row>
    <row r="906" spans="2:11" ht="24.75" x14ac:dyDescent="0.2">
      <c r="B906" s="82" t="s">
        <v>6897</v>
      </c>
      <c r="C906" s="82" t="s">
        <v>518</v>
      </c>
      <c r="D906" s="83">
        <f>SUMIFS(D907:D1474,K907:K1474,"0",B907:B1474,"5 1 2 4*")-SUMIFS(E907:E1474,K907:K1474,"0",B907:B1474,"5 1 2 4*")</f>
        <v>276073.17000000004</v>
      </c>
      <c r="E906" s="54"/>
      <c r="F906" s="83">
        <f>SUMIFS(F907:F1474,K907:K1474,"0",B907:B1474,"5 1 2 4*")</f>
        <v>29482.420000000002</v>
      </c>
      <c r="G906" s="83">
        <f>SUMIFS(G907:G1474,K907:K1474,"0",B907:B1474,"5 1 2 4*")</f>
        <v>0</v>
      </c>
      <c r="H906" s="83">
        <f t="shared" si="15"/>
        <v>305555.59000000003</v>
      </c>
      <c r="I906" s="83"/>
      <c r="K906" s="54" t="s">
        <v>15</v>
      </c>
    </row>
    <row r="907" spans="2:11" ht="16.5" x14ac:dyDescent="0.2">
      <c r="B907" s="82" t="s">
        <v>6898</v>
      </c>
      <c r="C907" s="82" t="s">
        <v>6899</v>
      </c>
      <c r="D907" s="83">
        <f>SUMIFS(D908:D1474,K908:K1474,"0",B908:B1474,"5 1 2 4 1*")-SUMIFS(E908:E1474,K908:K1474,"0",B908:B1474,"5 1 2 4 1*")</f>
        <v>3760</v>
      </c>
      <c r="E907" s="54"/>
      <c r="F907" s="83">
        <f>SUMIFS(F908:F1474,K908:K1474,"0",B908:B1474,"5 1 2 4 1*")</f>
        <v>0</v>
      </c>
      <c r="G907" s="83">
        <f>SUMIFS(G908:G1474,K908:K1474,"0",B908:B1474,"5 1 2 4 1*")</f>
        <v>0</v>
      </c>
      <c r="H907" s="83">
        <f t="shared" si="15"/>
        <v>3760</v>
      </c>
      <c r="I907" s="83"/>
      <c r="K907" s="54" t="s">
        <v>15</v>
      </c>
    </row>
    <row r="908" spans="2:11" ht="12.75" x14ac:dyDescent="0.2">
      <c r="B908" s="82" t="s">
        <v>6900</v>
      </c>
      <c r="C908" s="82" t="s">
        <v>26</v>
      </c>
      <c r="D908" s="83">
        <f>SUMIFS(D909:D1474,K909:K1474,"0",B909:B1474,"5 1 2 4 1 12*")-SUMIFS(E909:E1474,K909:K1474,"0",B909:B1474,"5 1 2 4 1 12*")</f>
        <v>3760</v>
      </c>
      <c r="E908" s="54"/>
      <c r="F908" s="83">
        <f>SUMIFS(F909:F1474,K909:K1474,"0",B909:B1474,"5 1 2 4 1 12*")</f>
        <v>0</v>
      </c>
      <c r="G908" s="83">
        <f>SUMIFS(G909:G1474,K909:K1474,"0",B909:B1474,"5 1 2 4 1 12*")</f>
        <v>0</v>
      </c>
      <c r="H908" s="83">
        <f t="shared" si="15"/>
        <v>3760</v>
      </c>
      <c r="I908" s="83"/>
      <c r="K908" s="54" t="s">
        <v>15</v>
      </c>
    </row>
    <row r="909" spans="2:11" ht="16.5" x14ac:dyDescent="0.2">
      <c r="B909" s="82" t="s">
        <v>6901</v>
      </c>
      <c r="C909" s="82" t="s">
        <v>28</v>
      </c>
      <c r="D909" s="83">
        <f>SUMIFS(D910:D1474,K910:K1474,"0",B910:B1474,"5 1 2 4 1 12 31111*")-SUMIFS(E910:E1474,K910:K1474,"0",B910:B1474,"5 1 2 4 1 12 31111*")</f>
        <v>3760</v>
      </c>
      <c r="E909" s="54"/>
      <c r="F909" s="83">
        <f>SUMIFS(F910:F1474,K910:K1474,"0",B910:B1474,"5 1 2 4 1 12 31111*")</f>
        <v>0</v>
      </c>
      <c r="G909" s="83">
        <f>SUMIFS(G910:G1474,K910:K1474,"0",B910:B1474,"5 1 2 4 1 12 31111*")</f>
        <v>0</v>
      </c>
      <c r="H909" s="83">
        <f t="shared" si="15"/>
        <v>3760</v>
      </c>
      <c r="I909" s="83"/>
      <c r="K909" s="54" t="s">
        <v>15</v>
      </c>
    </row>
    <row r="910" spans="2:11" ht="12.75" x14ac:dyDescent="0.2">
      <c r="B910" s="82" t="s">
        <v>6902</v>
      </c>
      <c r="C910" s="82" t="s">
        <v>30</v>
      </c>
      <c r="D910" s="83">
        <f>SUMIFS(D911:D1474,K911:K1474,"0",B911:B1474,"5 1 2 4 1 12 31111 6*")-SUMIFS(E911:E1474,K911:K1474,"0",B911:B1474,"5 1 2 4 1 12 31111 6*")</f>
        <v>3760</v>
      </c>
      <c r="E910" s="54"/>
      <c r="F910" s="83">
        <f>SUMIFS(F911:F1474,K911:K1474,"0",B911:B1474,"5 1 2 4 1 12 31111 6*")</f>
        <v>0</v>
      </c>
      <c r="G910" s="83">
        <f>SUMIFS(G911:G1474,K911:K1474,"0",B911:B1474,"5 1 2 4 1 12 31111 6*")</f>
        <v>0</v>
      </c>
      <c r="H910" s="83">
        <f t="shared" si="15"/>
        <v>3760</v>
      </c>
      <c r="I910" s="83"/>
      <c r="K910" s="54" t="s">
        <v>15</v>
      </c>
    </row>
    <row r="911" spans="2:11" ht="16.5" x14ac:dyDescent="0.2">
      <c r="B911" s="82" t="s">
        <v>6903</v>
      </c>
      <c r="C911" s="82" t="s">
        <v>2284</v>
      </c>
      <c r="D911" s="83">
        <f>SUMIFS(D912:D1474,K912:K1474,"0",B912:B1474,"5 1 2 4 1 12 31111 6 M59*")-SUMIFS(E912:E1474,K912:K1474,"0",B912:B1474,"5 1 2 4 1 12 31111 6 M59*")</f>
        <v>3760</v>
      </c>
      <c r="E911" s="54"/>
      <c r="F911" s="83">
        <f>SUMIFS(F912:F1474,K912:K1474,"0",B912:B1474,"5 1 2 4 1 12 31111 6 M59*")</f>
        <v>0</v>
      </c>
      <c r="G911" s="83">
        <f>SUMIFS(G912:G1474,K912:K1474,"0",B912:B1474,"5 1 2 4 1 12 31111 6 M59*")</f>
        <v>0</v>
      </c>
      <c r="H911" s="83">
        <f t="shared" si="15"/>
        <v>3760</v>
      </c>
      <c r="I911" s="83"/>
      <c r="K911" s="54" t="s">
        <v>15</v>
      </c>
    </row>
    <row r="912" spans="2:11" ht="16.5" x14ac:dyDescent="0.2">
      <c r="B912" s="82" t="s">
        <v>6904</v>
      </c>
      <c r="C912" s="82" t="s">
        <v>1044</v>
      </c>
      <c r="D912" s="83">
        <f>SUMIFS(D913:D1474,K913:K1474,"0",B913:B1474,"5 1 2 4 1 12 31111 6 M59 19000*")-SUMIFS(E913:E1474,K913:K1474,"0",B913:B1474,"5 1 2 4 1 12 31111 6 M59 19000*")</f>
        <v>3760</v>
      </c>
      <c r="E912" s="54"/>
      <c r="F912" s="83">
        <f>SUMIFS(F913:F1474,K913:K1474,"0",B913:B1474,"5 1 2 4 1 12 31111 6 M59 19000*")</f>
        <v>0</v>
      </c>
      <c r="G912" s="83">
        <f>SUMIFS(G913:G1474,K913:K1474,"0",B913:B1474,"5 1 2 4 1 12 31111 6 M59 19000*")</f>
        <v>0</v>
      </c>
      <c r="H912" s="83">
        <f t="shared" si="15"/>
        <v>3760</v>
      </c>
      <c r="I912" s="83"/>
      <c r="K912" s="54" t="s">
        <v>15</v>
      </c>
    </row>
    <row r="913" spans="2:11" ht="16.5" x14ac:dyDescent="0.2">
      <c r="B913" s="82" t="s">
        <v>6905</v>
      </c>
      <c r="C913" s="82" t="s">
        <v>648</v>
      </c>
      <c r="D913" s="83">
        <f>SUMIFS(D914:D1474,K914:K1474,"0",B914:B1474,"5 1 2 4 1 12 31111 6 M59 19000 000132*")-SUMIFS(E914:E1474,K914:K1474,"0",B914:B1474,"5 1 2 4 1 12 31111 6 M59 19000 000132*")</f>
        <v>3760</v>
      </c>
      <c r="E913" s="54"/>
      <c r="F913" s="83">
        <f>SUMIFS(F914:F1474,K914:K1474,"0",B914:B1474,"5 1 2 4 1 12 31111 6 M59 19000 000132*")</f>
        <v>0</v>
      </c>
      <c r="G913" s="83">
        <f>SUMIFS(G914:G1474,K914:K1474,"0",B914:B1474,"5 1 2 4 1 12 31111 6 M59 19000 000132*")</f>
        <v>0</v>
      </c>
      <c r="H913" s="83">
        <f t="shared" si="15"/>
        <v>3760</v>
      </c>
      <c r="I913" s="83"/>
      <c r="K913" s="54" t="s">
        <v>15</v>
      </c>
    </row>
    <row r="914" spans="2:11" ht="24.75" x14ac:dyDescent="0.2">
      <c r="B914" s="82" t="s">
        <v>6906</v>
      </c>
      <c r="C914" s="82" t="s">
        <v>650</v>
      </c>
      <c r="D914" s="83">
        <f>SUMIFS(D915:D1474,K915:K1474,"0",B915:B1474,"5 1 2 4 1 12 31111 6 M59 19000 000132 0000R*")-SUMIFS(E915:E1474,K915:K1474,"0",B915:B1474,"5 1 2 4 1 12 31111 6 M59 19000 000132 0000R*")</f>
        <v>3760</v>
      </c>
      <c r="E914" s="54"/>
      <c r="F914" s="83">
        <f>SUMIFS(F915:F1474,K915:K1474,"0",B915:B1474,"5 1 2 4 1 12 31111 6 M59 19000 000132 0000R*")</f>
        <v>0</v>
      </c>
      <c r="G914" s="83">
        <f>SUMIFS(G915:G1474,K915:K1474,"0",B915:B1474,"5 1 2 4 1 12 31111 6 M59 19000 000132 0000R*")</f>
        <v>0</v>
      </c>
      <c r="H914" s="83">
        <f t="shared" si="15"/>
        <v>3760</v>
      </c>
      <c r="I914" s="83"/>
      <c r="K914" s="54" t="s">
        <v>15</v>
      </c>
    </row>
    <row r="915" spans="2:11" ht="24.75" x14ac:dyDescent="0.2">
      <c r="B915" s="82" t="s">
        <v>6907</v>
      </c>
      <c r="C915" s="82" t="s">
        <v>282</v>
      </c>
      <c r="D915" s="83">
        <f>SUMIFS(D916:D1474,K916:K1474,"0",B916:B1474,"5 1 2 4 1 12 31111 6 M59 19000 000132 0000R 00001*")-SUMIFS(E916:E1474,K916:K1474,"0",B916:B1474,"5 1 2 4 1 12 31111 6 M59 19000 000132 0000R 00001*")</f>
        <v>3760</v>
      </c>
      <c r="E915" s="54"/>
      <c r="F915" s="83">
        <f>SUMIFS(F916:F1474,K916:K1474,"0",B916:B1474,"5 1 2 4 1 12 31111 6 M59 19000 000132 0000R 00001*")</f>
        <v>0</v>
      </c>
      <c r="G915" s="83">
        <f>SUMIFS(G916:G1474,K916:K1474,"0",B916:B1474,"5 1 2 4 1 12 31111 6 M59 19000 000132 0000R 00001*")</f>
        <v>0</v>
      </c>
      <c r="H915" s="83">
        <f t="shared" si="15"/>
        <v>3760</v>
      </c>
      <c r="I915" s="83"/>
      <c r="K915" s="54" t="s">
        <v>15</v>
      </c>
    </row>
    <row r="916" spans="2:11" ht="24.75" x14ac:dyDescent="0.2">
      <c r="B916" s="82" t="s">
        <v>6908</v>
      </c>
      <c r="C916" s="82" t="s">
        <v>6909</v>
      </c>
      <c r="D916" s="83">
        <f>SUMIFS(D917:D1474,K917:K1474,"0",B917:B1474,"5 1 2 4 1 12 31111 6 M59 19000 000132 0000R 00001 00241*")-SUMIFS(E917:E1474,K917:K1474,"0",B917:B1474,"5 1 2 4 1 12 31111 6 M59 19000 000132 0000R 00001 00241*")</f>
        <v>3760</v>
      </c>
      <c r="E916" s="54"/>
      <c r="F916" s="83">
        <f>SUMIFS(F917:F1474,K917:K1474,"0",B917:B1474,"5 1 2 4 1 12 31111 6 M59 19000 000132 0000R 00001 00241*")</f>
        <v>0</v>
      </c>
      <c r="G916" s="83">
        <f>SUMIFS(G917:G1474,K917:K1474,"0",B917:B1474,"5 1 2 4 1 12 31111 6 M59 19000 000132 0000R 00001 00241*")</f>
        <v>0</v>
      </c>
      <c r="H916" s="83">
        <f t="shared" si="15"/>
        <v>3760</v>
      </c>
      <c r="I916" s="83"/>
      <c r="K916" s="54" t="s">
        <v>15</v>
      </c>
    </row>
    <row r="917" spans="2:11" ht="33" x14ac:dyDescent="0.2">
      <c r="B917" s="82" t="s">
        <v>6910</v>
      </c>
      <c r="C917" s="82" t="s">
        <v>699</v>
      </c>
      <c r="D917" s="83">
        <f>SUMIFS(D918:D1474,K918:K1474,"0",B918:B1474,"5 1 2 4 1 12 31111 6 M59 19000 000132 0000R 00001 00241 011*")-SUMIFS(E918:E1474,K918:K1474,"0",B918:B1474,"5 1 2 4 1 12 31111 6 M59 19000 000132 0000R 00001 00241 011*")</f>
        <v>3760</v>
      </c>
      <c r="E917" s="54"/>
      <c r="F917" s="83">
        <f>SUMIFS(F918:F1474,K918:K1474,"0",B918:B1474,"5 1 2 4 1 12 31111 6 M59 19000 000132 0000R 00001 00241 011*")</f>
        <v>0</v>
      </c>
      <c r="G917" s="83">
        <f>SUMIFS(G918:G1474,K918:K1474,"0",B918:B1474,"5 1 2 4 1 12 31111 6 M59 19000 000132 0000R 00001 00241 011*")</f>
        <v>0</v>
      </c>
      <c r="H917" s="83">
        <f t="shared" si="15"/>
        <v>3760</v>
      </c>
      <c r="I917" s="83"/>
      <c r="K917" s="54" t="s">
        <v>15</v>
      </c>
    </row>
    <row r="918" spans="2:11" ht="33" x14ac:dyDescent="0.2">
      <c r="B918" s="82" t="s">
        <v>6911</v>
      </c>
      <c r="C918" s="82" t="s">
        <v>5830</v>
      </c>
      <c r="D918" s="83">
        <f>SUMIFS(D919:D1474,K919:K1474,"0",B919:B1474,"5 1 2 4 1 12 31111 6 M59 19000 000132 0000R 00001 00241 011 2112000*")-SUMIFS(E919:E1474,K919:K1474,"0",B919:B1474,"5 1 2 4 1 12 31111 6 M59 19000 000132 0000R 00001 00241 011 2112000*")</f>
        <v>3760</v>
      </c>
      <c r="E918" s="54"/>
      <c r="F918" s="83">
        <f>SUMIFS(F919:F1474,K919:K1474,"0",B919:B1474,"5 1 2 4 1 12 31111 6 M59 19000 000132 0000R 00001 00241 011 2112000*")</f>
        <v>0</v>
      </c>
      <c r="G918" s="83">
        <f>SUMIFS(G919:G1474,K919:K1474,"0",B919:B1474,"5 1 2 4 1 12 31111 6 M59 19000 000132 0000R 00001 00241 011 2112000*")</f>
        <v>0</v>
      </c>
      <c r="H918" s="83">
        <f t="shared" si="15"/>
        <v>3760</v>
      </c>
      <c r="I918" s="83"/>
      <c r="K918" s="54" t="s">
        <v>15</v>
      </c>
    </row>
    <row r="919" spans="2:11" ht="33" x14ac:dyDescent="0.2">
      <c r="B919" s="82" t="s">
        <v>6912</v>
      </c>
      <c r="C919" s="82" t="s">
        <v>660</v>
      </c>
      <c r="D919" s="83">
        <f>SUMIFS(D920:D1474,K920:K1474,"0",B920:B1474,"5 1 2 4 1 12 31111 6 M59 19000 000132 0000R 00001 00241 011 2112000 2024*")-SUMIFS(E920:E1474,K920:K1474,"0",B920:B1474,"5 1 2 4 1 12 31111 6 M59 19000 000132 0000R 00001 00241 011 2112000 2024*")</f>
        <v>3760</v>
      </c>
      <c r="E919" s="54"/>
      <c r="F919" s="83">
        <f>SUMIFS(F920:F1474,K920:K1474,"0",B920:B1474,"5 1 2 4 1 12 31111 6 M59 19000 000132 0000R 00001 00241 011 2112000 2024*")</f>
        <v>0</v>
      </c>
      <c r="G919" s="83">
        <f>SUMIFS(G920:G1474,K920:K1474,"0",B920:B1474,"5 1 2 4 1 12 31111 6 M59 19000 000132 0000R 00001 00241 011 2112000 2024*")</f>
        <v>0</v>
      </c>
      <c r="H919" s="83">
        <f t="shared" si="15"/>
        <v>3760</v>
      </c>
      <c r="I919" s="83"/>
      <c r="K919" s="54" t="s">
        <v>15</v>
      </c>
    </row>
    <row r="920" spans="2:11" ht="41.25" x14ac:dyDescent="0.2">
      <c r="B920" s="82" t="s">
        <v>6913</v>
      </c>
      <c r="C920" s="82" t="s">
        <v>662</v>
      </c>
      <c r="D920" s="83">
        <f>SUMIFS(D921:D1474,K921:K1474,"0",B921:B1474,"5 1 2 4 1 12 31111 6 M59 19000 000132 0000R 00001 00241 011 2112000 2024 CP1TM440*")-SUMIFS(E921:E1474,K921:K1474,"0",B921:B1474,"5 1 2 4 1 12 31111 6 M59 19000 000132 0000R 00001 00241 011 2112000 2024 CP1TM440*")</f>
        <v>3760</v>
      </c>
      <c r="E920" s="54"/>
      <c r="F920" s="83">
        <f>SUMIFS(F921:F1474,K921:K1474,"0",B921:B1474,"5 1 2 4 1 12 31111 6 M59 19000 000132 0000R 00001 00241 011 2112000 2024 CP1TM440*")</f>
        <v>0</v>
      </c>
      <c r="G920" s="83">
        <f>SUMIFS(G921:G1474,K921:K1474,"0",B921:B1474,"5 1 2 4 1 12 31111 6 M59 19000 000132 0000R 00001 00241 011 2112000 2024 CP1TM440*")</f>
        <v>0</v>
      </c>
      <c r="H920" s="83">
        <f t="shared" si="15"/>
        <v>3760</v>
      </c>
      <c r="I920" s="83"/>
      <c r="K920" s="54" t="s">
        <v>15</v>
      </c>
    </row>
    <row r="921" spans="2:11" ht="41.25" x14ac:dyDescent="0.2">
      <c r="B921" s="82" t="s">
        <v>6914</v>
      </c>
      <c r="C921" s="82" t="s">
        <v>2284</v>
      </c>
      <c r="D921" s="83">
        <f>SUMIFS(D922:D1474,K922:K1474,"0",B922:B1474,"5 1 2 4 1 12 31111 6 M59 19000 000132 0000R 00001 00241 011 2112000 2024 CP1TM440 004*")-SUMIFS(E922:E1474,K922:K1474,"0",B922:B1474,"5 1 2 4 1 12 31111 6 M59 19000 000132 0000R 00001 00241 011 2112000 2024 CP1TM440 004*")</f>
        <v>3760</v>
      </c>
      <c r="E921" s="54"/>
      <c r="F921" s="83">
        <f>SUMIFS(F922:F1474,K922:K1474,"0",B922:B1474,"5 1 2 4 1 12 31111 6 M59 19000 000132 0000R 00001 00241 011 2112000 2024 CP1TM440 004*")</f>
        <v>0</v>
      </c>
      <c r="G921" s="83">
        <f>SUMIFS(G922:G1474,K922:K1474,"0",B922:B1474,"5 1 2 4 1 12 31111 6 M59 19000 000132 0000R 00001 00241 011 2112000 2024 CP1TM440 004*")</f>
        <v>0</v>
      </c>
      <c r="H921" s="83">
        <f t="shared" si="15"/>
        <v>3760</v>
      </c>
      <c r="I921" s="83"/>
      <c r="K921" s="54" t="s">
        <v>15</v>
      </c>
    </row>
    <row r="922" spans="2:11" ht="33" x14ac:dyDescent="0.2">
      <c r="B922" s="84" t="s">
        <v>6915</v>
      </c>
      <c r="C922" s="84" t="s">
        <v>2284</v>
      </c>
      <c r="D922" s="85">
        <v>3760</v>
      </c>
      <c r="E922" s="85"/>
      <c r="F922" s="85">
        <v>0</v>
      </c>
      <c r="G922" s="85">
        <v>0</v>
      </c>
      <c r="H922" s="85">
        <f t="shared" si="15"/>
        <v>3760</v>
      </c>
      <c r="I922" s="85"/>
      <c r="K922" s="54" t="s">
        <v>38</v>
      </c>
    </row>
    <row r="923" spans="2:11" ht="16.5" x14ac:dyDescent="0.2">
      <c r="B923" s="82" t="s">
        <v>6949</v>
      </c>
      <c r="C923" s="82" t="s">
        <v>6950</v>
      </c>
      <c r="D923" s="83">
        <f>SUMIFS(D924:D1474,K924:K1474,"0",B924:B1474,"5 1 2 4 2*")-SUMIFS(E924:E1474,K924:K1474,"0",B924:B1474,"5 1 2 4 2*")</f>
        <v>2070</v>
      </c>
      <c r="E923" s="54"/>
      <c r="F923" s="83">
        <f>SUMIFS(F924:F1474,K924:K1474,"0",B924:B1474,"5 1 2 4 2*")</f>
        <v>0</v>
      </c>
      <c r="G923" s="83">
        <f>SUMIFS(G924:G1474,K924:K1474,"0",B924:B1474,"5 1 2 4 2*")</f>
        <v>0</v>
      </c>
      <c r="H923" s="83">
        <f t="shared" si="15"/>
        <v>2070</v>
      </c>
      <c r="I923" s="83"/>
      <c r="K923" s="54" t="s">
        <v>15</v>
      </c>
    </row>
    <row r="924" spans="2:11" ht="12.75" x14ac:dyDescent="0.2">
      <c r="B924" s="82" t="s">
        <v>6951</v>
      </c>
      <c r="C924" s="82" t="s">
        <v>26</v>
      </c>
      <c r="D924" s="83">
        <f>SUMIFS(D925:D1474,K925:K1474,"0",B925:B1474,"5 1 2 4 2 12*")-SUMIFS(E925:E1474,K925:K1474,"0",B925:B1474,"5 1 2 4 2 12*")</f>
        <v>2070</v>
      </c>
      <c r="E924" s="54"/>
      <c r="F924" s="83">
        <f>SUMIFS(F925:F1474,K925:K1474,"0",B925:B1474,"5 1 2 4 2 12*")</f>
        <v>0</v>
      </c>
      <c r="G924" s="83">
        <f>SUMIFS(G925:G1474,K925:K1474,"0",B925:B1474,"5 1 2 4 2 12*")</f>
        <v>0</v>
      </c>
      <c r="H924" s="83">
        <f t="shared" si="15"/>
        <v>2070</v>
      </c>
      <c r="I924" s="83"/>
      <c r="K924" s="54" t="s">
        <v>15</v>
      </c>
    </row>
    <row r="925" spans="2:11" ht="16.5" x14ac:dyDescent="0.2">
      <c r="B925" s="82" t="s">
        <v>6952</v>
      </c>
      <c r="C925" s="82" t="s">
        <v>28</v>
      </c>
      <c r="D925" s="83">
        <f>SUMIFS(D926:D1474,K926:K1474,"0",B926:B1474,"5 1 2 4 2 12 31111*")-SUMIFS(E926:E1474,K926:K1474,"0",B926:B1474,"5 1 2 4 2 12 31111*")</f>
        <v>2070</v>
      </c>
      <c r="E925" s="54"/>
      <c r="F925" s="83">
        <f>SUMIFS(F926:F1474,K926:K1474,"0",B926:B1474,"5 1 2 4 2 12 31111*")</f>
        <v>0</v>
      </c>
      <c r="G925" s="83">
        <f>SUMIFS(G926:G1474,K926:K1474,"0",B926:B1474,"5 1 2 4 2 12 31111*")</f>
        <v>0</v>
      </c>
      <c r="H925" s="83">
        <f t="shared" si="15"/>
        <v>2070</v>
      </c>
      <c r="I925" s="83"/>
      <c r="K925" s="54" t="s">
        <v>15</v>
      </c>
    </row>
    <row r="926" spans="2:11" ht="12.75" x14ac:dyDescent="0.2">
      <c r="B926" s="82" t="s">
        <v>6953</v>
      </c>
      <c r="C926" s="82" t="s">
        <v>30</v>
      </c>
      <c r="D926" s="83">
        <f>SUMIFS(D927:D1474,K927:K1474,"0",B927:B1474,"5 1 2 4 2 12 31111 6*")-SUMIFS(E927:E1474,K927:K1474,"0",B927:B1474,"5 1 2 4 2 12 31111 6*")</f>
        <v>2070</v>
      </c>
      <c r="E926" s="54"/>
      <c r="F926" s="83">
        <f>SUMIFS(F927:F1474,K927:K1474,"0",B927:B1474,"5 1 2 4 2 12 31111 6*")</f>
        <v>0</v>
      </c>
      <c r="G926" s="83">
        <f>SUMIFS(G927:G1474,K927:K1474,"0",B927:B1474,"5 1 2 4 2 12 31111 6*")</f>
        <v>0</v>
      </c>
      <c r="H926" s="83">
        <f t="shared" si="15"/>
        <v>2070</v>
      </c>
      <c r="I926" s="83"/>
      <c r="K926" s="54" t="s">
        <v>15</v>
      </c>
    </row>
    <row r="927" spans="2:11" ht="16.5" x14ac:dyDescent="0.2">
      <c r="B927" s="82" t="s">
        <v>6954</v>
      </c>
      <c r="C927" s="82" t="s">
        <v>2284</v>
      </c>
      <c r="D927" s="83">
        <f>SUMIFS(D928:D1474,K928:K1474,"0",B928:B1474,"5 1 2 4 2 12 31111 6 M59*")-SUMIFS(E928:E1474,K928:K1474,"0",B928:B1474,"5 1 2 4 2 12 31111 6 M59*")</f>
        <v>2070</v>
      </c>
      <c r="E927" s="54"/>
      <c r="F927" s="83">
        <f>SUMIFS(F928:F1474,K928:K1474,"0",B928:B1474,"5 1 2 4 2 12 31111 6 M59*")</f>
        <v>0</v>
      </c>
      <c r="G927" s="83">
        <f>SUMIFS(G928:G1474,K928:K1474,"0",B928:B1474,"5 1 2 4 2 12 31111 6 M59*")</f>
        <v>0</v>
      </c>
      <c r="H927" s="83">
        <f t="shared" si="15"/>
        <v>2070</v>
      </c>
      <c r="I927" s="83"/>
      <c r="K927" s="54" t="s">
        <v>15</v>
      </c>
    </row>
    <row r="928" spans="2:11" ht="16.5" x14ac:dyDescent="0.2">
      <c r="B928" s="82" t="s">
        <v>6955</v>
      </c>
      <c r="C928" s="82" t="s">
        <v>1044</v>
      </c>
      <c r="D928" s="83">
        <f>SUMIFS(D929:D1474,K929:K1474,"0",B929:B1474,"5 1 2 4 2 12 31111 6 M59 19000*")-SUMIFS(E929:E1474,K929:K1474,"0",B929:B1474,"5 1 2 4 2 12 31111 6 M59 19000*")</f>
        <v>2070</v>
      </c>
      <c r="E928" s="54"/>
      <c r="F928" s="83">
        <f>SUMIFS(F929:F1474,K929:K1474,"0",B929:B1474,"5 1 2 4 2 12 31111 6 M59 19000*")</f>
        <v>0</v>
      </c>
      <c r="G928" s="83">
        <f>SUMIFS(G929:G1474,K929:K1474,"0",B929:B1474,"5 1 2 4 2 12 31111 6 M59 19000*")</f>
        <v>0</v>
      </c>
      <c r="H928" s="83">
        <f t="shared" si="15"/>
        <v>2070</v>
      </c>
      <c r="I928" s="83"/>
      <c r="K928" s="54" t="s">
        <v>15</v>
      </c>
    </row>
    <row r="929" spans="2:11" ht="16.5" x14ac:dyDescent="0.2">
      <c r="B929" s="82" t="s">
        <v>6956</v>
      </c>
      <c r="C929" s="82" t="s">
        <v>648</v>
      </c>
      <c r="D929" s="83">
        <f>SUMIFS(D930:D1474,K930:K1474,"0",B930:B1474,"5 1 2 4 2 12 31111 6 M59 19000 000132*")-SUMIFS(E930:E1474,K930:K1474,"0",B930:B1474,"5 1 2 4 2 12 31111 6 M59 19000 000132*")</f>
        <v>2070</v>
      </c>
      <c r="E929" s="54"/>
      <c r="F929" s="83">
        <f>SUMIFS(F930:F1474,K930:K1474,"0",B930:B1474,"5 1 2 4 2 12 31111 6 M59 19000 000132*")</f>
        <v>0</v>
      </c>
      <c r="G929" s="83">
        <f>SUMIFS(G930:G1474,K930:K1474,"0",B930:B1474,"5 1 2 4 2 12 31111 6 M59 19000 000132*")</f>
        <v>0</v>
      </c>
      <c r="H929" s="83">
        <f t="shared" si="15"/>
        <v>2070</v>
      </c>
      <c r="I929" s="83"/>
      <c r="K929" s="54" t="s">
        <v>15</v>
      </c>
    </row>
    <row r="930" spans="2:11" ht="24.75" x14ac:dyDescent="0.2">
      <c r="B930" s="82" t="s">
        <v>6957</v>
      </c>
      <c r="C930" s="82" t="s">
        <v>650</v>
      </c>
      <c r="D930" s="83">
        <f>SUMIFS(D931:D1474,K931:K1474,"0",B931:B1474,"5 1 2 4 2 12 31111 6 M59 19000 000132 0000R*")-SUMIFS(E931:E1474,K931:K1474,"0",B931:B1474,"5 1 2 4 2 12 31111 6 M59 19000 000132 0000R*")</f>
        <v>2070</v>
      </c>
      <c r="E930" s="54"/>
      <c r="F930" s="83">
        <f>SUMIFS(F931:F1474,K931:K1474,"0",B931:B1474,"5 1 2 4 2 12 31111 6 M59 19000 000132 0000R*")</f>
        <v>0</v>
      </c>
      <c r="G930" s="83">
        <f>SUMIFS(G931:G1474,K931:K1474,"0",B931:B1474,"5 1 2 4 2 12 31111 6 M59 19000 000132 0000R*")</f>
        <v>0</v>
      </c>
      <c r="H930" s="83">
        <f t="shared" si="15"/>
        <v>2070</v>
      </c>
      <c r="I930" s="83"/>
      <c r="K930" s="54" t="s">
        <v>15</v>
      </c>
    </row>
    <row r="931" spans="2:11" ht="24.75" x14ac:dyDescent="0.2">
      <c r="B931" s="82" t="s">
        <v>6958</v>
      </c>
      <c r="C931" s="82" t="s">
        <v>282</v>
      </c>
      <c r="D931" s="83">
        <f>SUMIFS(D932:D1474,K932:K1474,"0",B932:B1474,"5 1 2 4 2 12 31111 6 M59 19000 000132 0000R 00001*")-SUMIFS(E932:E1474,K932:K1474,"0",B932:B1474,"5 1 2 4 2 12 31111 6 M59 19000 000132 0000R 00001*")</f>
        <v>2070</v>
      </c>
      <c r="E931" s="54"/>
      <c r="F931" s="83">
        <f>SUMIFS(F932:F1474,K932:K1474,"0",B932:B1474,"5 1 2 4 2 12 31111 6 M59 19000 000132 0000R 00001*")</f>
        <v>0</v>
      </c>
      <c r="G931" s="83">
        <f>SUMIFS(G932:G1474,K932:K1474,"0",B932:B1474,"5 1 2 4 2 12 31111 6 M59 19000 000132 0000R 00001*")</f>
        <v>0</v>
      </c>
      <c r="H931" s="83">
        <f t="shared" si="15"/>
        <v>2070</v>
      </c>
      <c r="I931" s="83"/>
      <c r="K931" s="54" t="s">
        <v>15</v>
      </c>
    </row>
    <row r="932" spans="2:11" ht="24.75" x14ac:dyDescent="0.2">
      <c r="B932" s="82" t="s">
        <v>6959</v>
      </c>
      <c r="C932" s="82" t="s">
        <v>6960</v>
      </c>
      <c r="D932" s="83">
        <f>SUMIFS(D933:D1474,K933:K1474,"0",B933:B1474,"5 1 2 4 2 12 31111 6 M59 19000 000132 0000R 00001 00242*")-SUMIFS(E933:E1474,K933:K1474,"0",B933:B1474,"5 1 2 4 2 12 31111 6 M59 19000 000132 0000R 00001 00242*")</f>
        <v>2070</v>
      </c>
      <c r="E932" s="54"/>
      <c r="F932" s="83">
        <f>SUMIFS(F933:F1474,K933:K1474,"0",B933:B1474,"5 1 2 4 2 12 31111 6 M59 19000 000132 0000R 00001 00242*")</f>
        <v>0</v>
      </c>
      <c r="G932" s="83">
        <f>SUMIFS(G933:G1474,K933:K1474,"0",B933:B1474,"5 1 2 4 2 12 31111 6 M59 19000 000132 0000R 00001 00242*")</f>
        <v>0</v>
      </c>
      <c r="H932" s="83">
        <f t="shared" si="15"/>
        <v>2070</v>
      </c>
      <c r="I932" s="83"/>
      <c r="K932" s="54" t="s">
        <v>15</v>
      </c>
    </row>
    <row r="933" spans="2:11" ht="33" x14ac:dyDescent="0.2">
      <c r="B933" s="82" t="s">
        <v>6961</v>
      </c>
      <c r="C933" s="82" t="s">
        <v>699</v>
      </c>
      <c r="D933" s="83">
        <f>SUMIFS(D934:D1474,K934:K1474,"0",B934:B1474,"5 1 2 4 2 12 31111 6 M59 19000 000132 0000R 00001 00242 011*")-SUMIFS(E934:E1474,K934:K1474,"0",B934:B1474,"5 1 2 4 2 12 31111 6 M59 19000 000132 0000R 00001 00242 011*")</f>
        <v>2070</v>
      </c>
      <c r="E933" s="54"/>
      <c r="F933" s="83">
        <f>SUMIFS(F934:F1474,K934:K1474,"0",B934:B1474,"5 1 2 4 2 12 31111 6 M59 19000 000132 0000R 00001 00242 011*")</f>
        <v>0</v>
      </c>
      <c r="G933" s="83">
        <f>SUMIFS(G934:G1474,K934:K1474,"0",B934:B1474,"5 1 2 4 2 12 31111 6 M59 19000 000132 0000R 00001 00242 011*")</f>
        <v>0</v>
      </c>
      <c r="H933" s="83">
        <f t="shared" si="15"/>
        <v>2070</v>
      </c>
      <c r="I933" s="83"/>
      <c r="K933" s="54" t="s">
        <v>15</v>
      </c>
    </row>
    <row r="934" spans="2:11" ht="33" x14ac:dyDescent="0.2">
      <c r="B934" s="82" t="s">
        <v>6962</v>
      </c>
      <c r="C934" s="82" t="s">
        <v>5830</v>
      </c>
      <c r="D934" s="83">
        <f>SUMIFS(D935:D1474,K935:K1474,"0",B935:B1474,"5 1 2 4 2 12 31111 6 M59 19000 000132 0000R 00001 00242 011 2112000*")-SUMIFS(E935:E1474,K935:K1474,"0",B935:B1474,"5 1 2 4 2 12 31111 6 M59 19000 000132 0000R 00001 00242 011 2112000*")</f>
        <v>2070</v>
      </c>
      <c r="E934" s="54"/>
      <c r="F934" s="83">
        <f>SUMIFS(F935:F1474,K935:K1474,"0",B935:B1474,"5 1 2 4 2 12 31111 6 M59 19000 000132 0000R 00001 00242 011 2112000*")</f>
        <v>0</v>
      </c>
      <c r="G934" s="83">
        <f>SUMIFS(G935:G1474,K935:K1474,"0",B935:B1474,"5 1 2 4 2 12 31111 6 M59 19000 000132 0000R 00001 00242 011 2112000*")</f>
        <v>0</v>
      </c>
      <c r="H934" s="83">
        <f t="shared" si="15"/>
        <v>2070</v>
      </c>
      <c r="I934" s="83"/>
      <c r="K934" s="54" t="s">
        <v>15</v>
      </c>
    </row>
    <row r="935" spans="2:11" ht="33" x14ac:dyDescent="0.2">
      <c r="B935" s="82" t="s">
        <v>6963</v>
      </c>
      <c r="C935" s="82" t="s">
        <v>660</v>
      </c>
      <c r="D935" s="83">
        <f>SUMIFS(D936:D1474,K936:K1474,"0",B936:B1474,"5 1 2 4 2 12 31111 6 M59 19000 000132 0000R 00001 00242 011 2112000 2024*")-SUMIFS(E936:E1474,K936:K1474,"0",B936:B1474,"5 1 2 4 2 12 31111 6 M59 19000 000132 0000R 00001 00242 011 2112000 2024*")</f>
        <v>2070</v>
      </c>
      <c r="E935" s="54"/>
      <c r="F935" s="83">
        <f>SUMIFS(F936:F1474,K936:K1474,"0",B936:B1474,"5 1 2 4 2 12 31111 6 M59 19000 000132 0000R 00001 00242 011 2112000 2024*")</f>
        <v>0</v>
      </c>
      <c r="G935" s="83">
        <f>SUMIFS(G936:G1474,K936:K1474,"0",B936:B1474,"5 1 2 4 2 12 31111 6 M59 19000 000132 0000R 00001 00242 011 2112000 2024*")</f>
        <v>0</v>
      </c>
      <c r="H935" s="83">
        <f t="shared" si="15"/>
        <v>2070</v>
      </c>
      <c r="I935" s="83"/>
      <c r="K935" s="54" t="s">
        <v>15</v>
      </c>
    </row>
    <row r="936" spans="2:11" ht="41.25" x14ac:dyDescent="0.2">
      <c r="B936" s="82" t="s">
        <v>6964</v>
      </c>
      <c r="C936" s="82" t="s">
        <v>662</v>
      </c>
      <c r="D936" s="83">
        <f>SUMIFS(D937:D1474,K937:K1474,"0",B937:B1474,"5 1 2 4 2 12 31111 6 M59 19000 000132 0000R 00001 00242 011 2112000 2024 CP1TM440*")-SUMIFS(E937:E1474,K937:K1474,"0",B937:B1474,"5 1 2 4 2 12 31111 6 M59 19000 000132 0000R 00001 00242 011 2112000 2024 CP1TM440*")</f>
        <v>2070</v>
      </c>
      <c r="E936" s="54"/>
      <c r="F936" s="83">
        <f>SUMIFS(F937:F1474,K937:K1474,"0",B937:B1474,"5 1 2 4 2 12 31111 6 M59 19000 000132 0000R 00001 00242 011 2112000 2024 CP1TM440*")</f>
        <v>0</v>
      </c>
      <c r="G936" s="83">
        <f>SUMIFS(G937:G1474,K937:K1474,"0",B937:B1474,"5 1 2 4 2 12 31111 6 M59 19000 000132 0000R 00001 00242 011 2112000 2024 CP1TM440*")</f>
        <v>0</v>
      </c>
      <c r="H936" s="83">
        <f t="shared" si="15"/>
        <v>2070</v>
      </c>
      <c r="I936" s="83"/>
      <c r="K936" s="54" t="s">
        <v>15</v>
      </c>
    </row>
    <row r="937" spans="2:11" ht="41.25" x14ac:dyDescent="0.2">
      <c r="B937" s="82" t="s">
        <v>6965</v>
      </c>
      <c r="C937" s="82" t="s">
        <v>2284</v>
      </c>
      <c r="D937" s="83">
        <f>SUMIFS(D938:D1474,K938:K1474,"0",B938:B1474,"5 1 2 4 2 12 31111 6 M59 19000 000132 0000R 00001 00242 011 2112000 2024 CP1TM440 004*")-SUMIFS(E938:E1474,K938:K1474,"0",B938:B1474,"5 1 2 4 2 12 31111 6 M59 19000 000132 0000R 00001 00242 011 2112000 2024 CP1TM440 004*")</f>
        <v>2070</v>
      </c>
      <c r="E937" s="54"/>
      <c r="F937" s="83">
        <f>SUMIFS(F938:F1474,K938:K1474,"0",B938:B1474,"5 1 2 4 2 12 31111 6 M59 19000 000132 0000R 00001 00242 011 2112000 2024 CP1TM440 004*")</f>
        <v>0</v>
      </c>
      <c r="G937" s="83">
        <f>SUMIFS(G938:G1474,K938:K1474,"0",B938:B1474,"5 1 2 4 2 12 31111 6 M59 19000 000132 0000R 00001 00242 011 2112000 2024 CP1TM440 004*")</f>
        <v>0</v>
      </c>
      <c r="H937" s="83">
        <f t="shared" ref="H937:H1000" si="16">D937 + F937 - G937</f>
        <v>2070</v>
      </c>
      <c r="I937" s="83"/>
      <c r="K937" s="54" t="s">
        <v>15</v>
      </c>
    </row>
    <row r="938" spans="2:11" ht="33" x14ac:dyDescent="0.2">
      <c r="B938" s="84" t="s">
        <v>6966</v>
      </c>
      <c r="C938" s="84" t="s">
        <v>2284</v>
      </c>
      <c r="D938" s="85">
        <v>2070</v>
      </c>
      <c r="E938" s="85"/>
      <c r="F938" s="85">
        <v>0</v>
      </c>
      <c r="G938" s="85">
        <v>0</v>
      </c>
      <c r="H938" s="85">
        <f t="shared" si="16"/>
        <v>2070</v>
      </c>
      <c r="I938" s="85"/>
      <c r="K938" s="54" t="s">
        <v>38</v>
      </c>
    </row>
    <row r="939" spans="2:11" ht="16.5" x14ac:dyDescent="0.2">
      <c r="B939" s="82" t="s">
        <v>7039</v>
      </c>
      <c r="C939" s="82" t="s">
        <v>7040</v>
      </c>
      <c r="D939" s="83">
        <f>SUMIFS(D940:D1474,K940:K1474,"0",B940:B1474,"5 1 2 4 6*")-SUMIFS(E940:E1474,K940:K1474,"0",B940:B1474,"5 1 2 4 6*")</f>
        <v>25529.95</v>
      </c>
      <c r="E939" s="54"/>
      <c r="F939" s="83">
        <f>SUMIFS(F940:F1474,K940:K1474,"0",B940:B1474,"5 1 2 4 6*")</f>
        <v>27016.15</v>
      </c>
      <c r="G939" s="83">
        <f>SUMIFS(G940:G1474,K940:K1474,"0",B940:B1474,"5 1 2 4 6*")</f>
        <v>0</v>
      </c>
      <c r="H939" s="83">
        <f t="shared" si="16"/>
        <v>52546.100000000006</v>
      </c>
      <c r="I939" s="83"/>
      <c r="K939" s="54" t="s">
        <v>15</v>
      </c>
    </row>
    <row r="940" spans="2:11" ht="12.75" x14ac:dyDescent="0.2">
      <c r="B940" s="82" t="s">
        <v>7041</v>
      </c>
      <c r="C940" s="82" t="s">
        <v>26</v>
      </c>
      <c r="D940" s="83">
        <f>SUMIFS(D941:D1474,K941:K1474,"0",B941:B1474,"5 1 2 4 6 12*")-SUMIFS(E941:E1474,K941:K1474,"0",B941:B1474,"5 1 2 4 6 12*")</f>
        <v>25529.95</v>
      </c>
      <c r="E940" s="54"/>
      <c r="F940" s="83">
        <f>SUMIFS(F941:F1474,K941:K1474,"0",B941:B1474,"5 1 2 4 6 12*")</f>
        <v>27016.15</v>
      </c>
      <c r="G940" s="83">
        <f>SUMIFS(G941:G1474,K941:K1474,"0",B941:B1474,"5 1 2 4 6 12*")</f>
        <v>0</v>
      </c>
      <c r="H940" s="83">
        <f t="shared" si="16"/>
        <v>52546.100000000006</v>
      </c>
      <c r="I940" s="83"/>
      <c r="K940" s="54" t="s">
        <v>15</v>
      </c>
    </row>
    <row r="941" spans="2:11" ht="16.5" x14ac:dyDescent="0.2">
      <c r="B941" s="82" t="s">
        <v>7042</v>
      </c>
      <c r="C941" s="82" t="s">
        <v>28</v>
      </c>
      <c r="D941" s="83">
        <f>SUMIFS(D942:D1474,K942:K1474,"0",B942:B1474,"5 1 2 4 6 12 31111*")-SUMIFS(E942:E1474,K942:K1474,"0",B942:B1474,"5 1 2 4 6 12 31111*")</f>
        <v>25529.95</v>
      </c>
      <c r="E941" s="54"/>
      <c r="F941" s="83">
        <f>SUMIFS(F942:F1474,K942:K1474,"0",B942:B1474,"5 1 2 4 6 12 31111*")</f>
        <v>27016.15</v>
      </c>
      <c r="G941" s="83">
        <f>SUMIFS(G942:G1474,K942:K1474,"0",B942:B1474,"5 1 2 4 6 12 31111*")</f>
        <v>0</v>
      </c>
      <c r="H941" s="83">
        <f t="shared" si="16"/>
        <v>52546.100000000006</v>
      </c>
      <c r="I941" s="83"/>
      <c r="K941" s="54" t="s">
        <v>15</v>
      </c>
    </row>
    <row r="942" spans="2:11" ht="12.75" x14ac:dyDescent="0.2">
      <c r="B942" s="82" t="s">
        <v>7043</v>
      </c>
      <c r="C942" s="82" t="s">
        <v>30</v>
      </c>
      <c r="D942" s="83">
        <f>SUMIFS(D943:D1474,K943:K1474,"0",B943:B1474,"5 1 2 4 6 12 31111 6*")-SUMIFS(E943:E1474,K943:K1474,"0",B943:B1474,"5 1 2 4 6 12 31111 6*")</f>
        <v>25529.95</v>
      </c>
      <c r="E942" s="54"/>
      <c r="F942" s="83">
        <f>SUMIFS(F943:F1474,K943:K1474,"0",B943:B1474,"5 1 2 4 6 12 31111 6*")</f>
        <v>27016.15</v>
      </c>
      <c r="G942" s="83">
        <f>SUMIFS(G943:G1474,K943:K1474,"0",B943:B1474,"5 1 2 4 6 12 31111 6*")</f>
        <v>0</v>
      </c>
      <c r="H942" s="83">
        <f t="shared" si="16"/>
        <v>52546.100000000006</v>
      </c>
      <c r="I942" s="83"/>
      <c r="K942" s="54" t="s">
        <v>15</v>
      </c>
    </row>
    <row r="943" spans="2:11" ht="16.5" x14ac:dyDescent="0.2">
      <c r="B943" s="82" t="s">
        <v>7044</v>
      </c>
      <c r="C943" s="82" t="s">
        <v>2284</v>
      </c>
      <c r="D943" s="83">
        <f>SUMIFS(D944:D1474,K944:K1474,"0",B944:B1474,"5 1 2 4 6 12 31111 6 M59*")-SUMIFS(E944:E1474,K944:K1474,"0",B944:B1474,"5 1 2 4 6 12 31111 6 M59*")</f>
        <v>25529.95</v>
      </c>
      <c r="E943" s="54"/>
      <c r="F943" s="83">
        <f>SUMIFS(F944:F1474,K944:K1474,"0",B944:B1474,"5 1 2 4 6 12 31111 6 M59*")</f>
        <v>27016.15</v>
      </c>
      <c r="G943" s="83">
        <f>SUMIFS(G944:G1474,K944:K1474,"0",B944:B1474,"5 1 2 4 6 12 31111 6 M59*")</f>
        <v>0</v>
      </c>
      <c r="H943" s="83">
        <f t="shared" si="16"/>
        <v>52546.100000000006</v>
      </c>
      <c r="I943" s="83"/>
      <c r="K943" s="54" t="s">
        <v>15</v>
      </c>
    </row>
    <row r="944" spans="2:11" ht="16.5" x14ac:dyDescent="0.2">
      <c r="B944" s="82" t="s">
        <v>7045</v>
      </c>
      <c r="C944" s="82" t="s">
        <v>1044</v>
      </c>
      <c r="D944" s="83">
        <f>SUMIFS(D945:D1474,K945:K1474,"0",B945:B1474,"5 1 2 4 6 12 31111 6 M59 19000*")-SUMIFS(E945:E1474,K945:K1474,"0",B945:B1474,"5 1 2 4 6 12 31111 6 M59 19000*")</f>
        <v>25529.95</v>
      </c>
      <c r="E944" s="54"/>
      <c r="F944" s="83">
        <f>SUMIFS(F945:F1474,K945:K1474,"0",B945:B1474,"5 1 2 4 6 12 31111 6 M59 19000*")</f>
        <v>27016.15</v>
      </c>
      <c r="G944" s="83">
        <f>SUMIFS(G945:G1474,K945:K1474,"0",B945:B1474,"5 1 2 4 6 12 31111 6 M59 19000*")</f>
        <v>0</v>
      </c>
      <c r="H944" s="83">
        <f t="shared" si="16"/>
        <v>52546.100000000006</v>
      </c>
      <c r="I944" s="83"/>
      <c r="K944" s="54" t="s">
        <v>15</v>
      </c>
    </row>
    <row r="945" spans="2:11" ht="16.5" x14ac:dyDescent="0.2">
      <c r="B945" s="82" t="s">
        <v>7046</v>
      </c>
      <c r="C945" s="82" t="s">
        <v>648</v>
      </c>
      <c r="D945" s="83">
        <f>SUMIFS(D946:D1474,K946:K1474,"0",B946:B1474,"5 1 2 4 6 12 31111 6 M59 19000 000132*")-SUMIFS(E946:E1474,K946:K1474,"0",B946:B1474,"5 1 2 4 6 12 31111 6 M59 19000 000132*")</f>
        <v>25529.95</v>
      </c>
      <c r="E945" s="54"/>
      <c r="F945" s="83">
        <f>SUMIFS(F946:F1474,K946:K1474,"0",B946:B1474,"5 1 2 4 6 12 31111 6 M59 19000 000132*")</f>
        <v>27016.15</v>
      </c>
      <c r="G945" s="83">
        <f>SUMIFS(G946:G1474,K946:K1474,"0",B946:B1474,"5 1 2 4 6 12 31111 6 M59 19000 000132*")</f>
        <v>0</v>
      </c>
      <c r="H945" s="83">
        <f t="shared" si="16"/>
        <v>52546.100000000006</v>
      </c>
      <c r="I945" s="83"/>
      <c r="K945" s="54" t="s">
        <v>15</v>
      </c>
    </row>
    <row r="946" spans="2:11" ht="24.75" x14ac:dyDescent="0.2">
      <c r="B946" s="82" t="s">
        <v>7047</v>
      </c>
      <c r="C946" s="82" t="s">
        <v>650</v>
      </c>
      <c r="D946" s="83">
        <f>SUMIFS(D947:D1474,K947:K1474,"0",B947:B1474,"5 1 2 4 6 12 31111 6 M59 19000 000132 0000R*")-SUMIFS(E947:E1474,K947:K1474,"0",B947:B1474,"5 1 2 4 6 12 31111 6 M59 19000 000132 0000R*")</f>
        <v>25529.95</v>
      </c>
      <c r="E946" s="54"/>
      <c r="F946" s="83">
        <f>SUMIFS(F947:F1474,K947:K1474,"0",B947:B1474,"5 1 2 4 6 12 31111 6 M59 19000 000132 0000R*")</f>
        <v>27016.15</v>
      </c>
      <c r="G946" s="83">
        <f>SUMIFS(G947:G1474,K947:K1474,"0",B947:B1474,"5 1 2 4 6 12 31111 6 M59 19000 000132 0000R*")</f>
        <v>0</v>
      </c>
      <c r="H946" s="83">
        <f t="shared" si="16"/>
        <v>52546.100000000006</v>
      </c>
      <c r="I946" s="83"/>
      <c r="K946" s="54" t="s">
        <v>15</v>
      </c>
    </row>
    <row r="947" spans="2:11" ht="24.75" x14ac:dyDescent="0.2">
      <c r="B947" s="82" t="s">
        <v>7048</v>
      </c>
      <c r="C947" s="82" t="s">
        <v>282</v>
      </c>
      <c r="D947" s="83">
        <f>SUMIFS(D948:D1474,K948:K1474,"0",B948:B1474,"5 1 2 4 6 12 31111 6 M59 19000 000132 0000R 00001*")-SUMIFS(E948:E1474,K948:K1474,"0",B948:B1474,"5 1 2 4 6 12 31111 6 M59 19000 000132 0000R 00001*")</f>
        <v>25529.95</v>
      </c>
      <c r="E947" s="54"/>
      <c r="F947" s="83">
        <f>SUMIFS(F948:F1474,K948:K1474,"0",B948:B1474,"5 1 2 4 6 12 31111 6 M59 19000 000132 0000R 00001*")</f>
        <v>27016.15</v>
      </c>
      <c r="G947" s="83">
        <f>SUMIFS(G948:G1474,K948:K1474,"0",B948:B1474,"5 1 2 4 6 12 31111 6 M59 19000 000132 0000R 00001*")</f>
        <v>0</v>
      </c>
      <c r="H947" s="83">
        <f t="shared" si="16"/>
        <v>52546.100000000006</v>
      </c>
      <c r="I947" s="83"/>
      <c r="K947" s="54" t="s">
        <v>15</v>
      </c>
    </row>
    <row r="948" spans="2:11" ht="24.75" x14ac:dyDescent="0.2">
      <c r="B948" s="82" t="s">
        <v>7049</v>
      </c>
      <c r="C948" s="82" t="s">
        <v>7050</v>
      </c>
      <c r="D948" s="83">
        <f>SUMIFS(D949:D1474,K949:K1474,"0",B949:B1474,"5 1 2 4 6 12 31111 6 M59 19000 000132 0000R 00001 00246*")-SUMIFS(E949:E1474,K949:K1474,"0",B949:B1474,"5 1 2 4 6 12 31111 6 M59 19000 000132 0000R 00001 00246*")</f>
        <v>25529.95</v>
      </c>
      <c r="E948" s="54"/>
      <c r="F948" s="83">
        <f>SUMIFS(F949:F1474,K949:K1474,"0",B949:B1474,"5 1 2 4 6 12 31111 6 M59 19000 000132 0000R 00001 00246*")</f>
        <v>27016.15</v>
      </c>
      <c r="G948" s="83">
        <f>SUMIFS(G949:G1474,K949:K1474,"0",B949:B1474,"5 1 2 4 6 12 31111 6 M59 19000 000132 0000R 00001 00246*")</f>
        <v>0</v>
      </c>
      <c r="H948" s="83">
        <f t="shared" si="16"/>
        <v>52546.100000000006</v>
      </c>
      <c r="I948" s="83"/>
      <c r="K948" s="54" t="s">
        <v>15</v>
      </c>
    </row>
    <row r="949" spans="2:11" ht="33" x14ac:dyDescent="0.2">
      <c r="B949" s="82" t="s">
        <v>7051</v>
      </c>
      <c r="C949" s="82" t="s">
        <v>699</v>
      </c>
      <c r="D949" s="83">
        <f>SUMIFS(D950:D1474,K950:K1474,"0",B950:B1474,"5 1 2 4 6 12 31111 6 M59 19000 000132 0000R 00001 00246 011*")-SUMIFS(E950:E1474,K950:K1474,"0",B950:B1474,"5 1 2 4 6 12 31111 6 M59 19000 000132 0000R 00001 00246 011*")</f>
        <v>25529.95</v>
      </c>
      <c r="E949" s="54"/>
      <c r="F949" s="83">
        <f>SUMIFS(F950:F1474,K950:K1474,"0",B950:B1474,"5 1 2 4 6 12 31111 6 M59 19000 000132 0000R 00001 00246 011*")</f>
        <v>27016.15</v>
      </c>
      <c r="G949" s="83">
        <f>SUMIFS(G950:G1474,K950:K1474,"0",B950:B1474,"5 1 2 4 6 12 31111 6 M59 19000 000132 0000R 00001 00246 011*")</f>
        <v>0</v>
      </c>
      <c r="H949" s="83">
        <f t="shared" si="16"/>
        <v>52546.100000000006</v>
      </c>
      <c r="I949" s="83"/>
      <c r="K949" s="54" t="s">
        <v>15</v>
      </c>
    </row>
    <row r="950" spans="2:11" ht="33" x14ac:dyDescent="0.2">
      <c r="B950" s="82" t="s">
        <v>7052</v>
      </c>
      <c r="C950" s="82" t="s">
        <v>5830</v>
      </c>
      <c r="D950" s="83">
        <f>SUMIFS(D951:D1474,K951:K1474,"0",B951:B1474,"5 1 2 4 6 12 31111 6 M59 19000 000132 0000R 00001 00246 011 2112000*")-SUMIFS(E951:E1474,K951:K1474,"0",B951:B1474,"5 1 2 4 6 12 31111 6 M59 19000 000132 0000R 00001 00246 011 2112000*")</f>
        <v>25529.95</v>
      </c>
      <c r="E950" s="54"/>
      <c r="F950" s="83">
        <f>SUMIFS(F951:F1474,K951:K1474,"0",B951:B1474,"5 1 2 4 6 12 31111 6 M59 19000 000132 0000R 00001 00246 011 2112000*")</f>
        <v>27016.15</v>
      </c>
      <c r="G950" s="83">
        <f>SUMIFS(G951:G1474,K951:K1474,"0",B951:B1474,"5 1 2 4 6 12 31111 6 M59 19000 000132 0000R 00001 00246 011 2112000*")</f>
        <v>0</v>
      </c>
      <c r="H950" s="83">
        <f t="shared" si="16"/>
        <v>52546.100000000006</v>
      </c>
      <c r="I950" s="83"/>
      <c r="K950" s="54" t="s">
        <v>15</v>
      </c>
    </row>
    <row r="951" spans="2:11" ht="33" x14ac:dyDescent="0.2">
      <c r="B951" s="82" t="s">
        <v>7053</v>
      </c>
      <c r="C951" s="82" t="s">
        <v>660</v>
      </c>
      <c r="D951" s="83">
        <f>SUMIFS(D952:D1474,K952:K1474,"0",B952:B1474,"5 1 2 4 6 12 31111 6 M59 19000 000132 0000R 00001 00246 011 2112000 2024*")-SUMIFS(E952:E1474,K952:K1474,"0",B952:B1474,"5 1 2 4 6 12 31111 6 M59 19000 000132 0000R 00001 00246 011 2112000 2024*")</f>
        <v>25529.95</v>
      </c>
      <c r="E951" s="54"/>
      <c r="F951" s="83">
        <f>SUMIFS(F952:F1474,K952:K1474,"0",B952:B1474,"5 1 2 4 6 12 31111 6 M59 19000 000132 0000R 00001 00246 011 2112000 2024*")</f>
        <v>27016.15</v>
      </c>
      <c r="G951" s="83">
        <f>SUMIFS(G952:G1474,K952:K1474,"0",B952:B1474,"5 1 2 4 6 12 31111 6 M59 19000 000132 0000R 00001 00246 011 2112000 2024*")</f>
        <v>0</v>
      </c>
      <c r="H951" s="83">
        <f t="shared" si="16"/>
        <v>52546.100000000006</v>
      </c>
      <c r="I951" s="83"/>
      <c r="K951" s="54" t="s">
        <v>15</v>
      </c>
    </row>
    <row r="952" spans="2:11" ht="41.25" x14ac:dyDescent="0.2">
      <c r="B952" s="82" t="s">
        <v>7054</v>
      </c>
      <c r="C952" s="82" t="s">
        <v>662</v>
      </c>
      <c r="D952" s="83">
        <f>SUMIFS(D953:D1474,K953:K1474,"0",B953:B1474,"5 1 2 4 6 12 31111 6 M59 19000 000132 0000R 00001 00246 011 2112000 2024 CP1TM440*")-SUMIFS(E953:E1474,K953:K1474,"0",B953:B1474,"5 1 2 4 6 12 31111 6 M59 19000 000132 0000R 00001 00246 011 2112000 2024 CP1TM440*")</f>
        <v>25529.95</v>
      </c>
      <c r="E952" s="54"/>
      <c r="F952" s="83">
        <f>SUMIFS(F953:F1474,K953:K1474,"0",B953:B1474,"5 1 2 4 6 12 31111 6 M59 19000 000132 0000R 00001 00246 011 2112000 2024 CP1TM440*")</f>
        <v>27016.15</v>
      </c>
      <c r="G952" s="83">
        <f>SUMIFS(G953:G1474,K953:K1474,"0",B953:B1474,"5 1 2 4 6 12 31111 6 M59 19000 000132 0000R 00001 00246 011 2112000 2024 CP1TM440*")</f>
        <v>0</v>
      </c>
      <c r="H952" s="83">
        <f t="shared" si="16"/>
        <v>52546.100000000006</v>
      </c>
      <c r="I952" s="83"/>
      <c r="K952" s="54" t="s">
        <v>15</v>
      </c>
    </row>
    <row r="953" spans="2:11" ht="41.25" x14ac:dyDescent="0.2">
      <c r="B953" s="82" t="s">
        <v>7055</v>
      </c>
      <c r="C953" s="82" t="s">
        <v>2284</v>
      </c>
      <c r="D953" s="83">
        <f>SUMIFS(D954:D1474,K954:K1474,"0",B954:B1474,"5 1 2 4 6 12 31111 6 M59 19000 000132 0000R 00001 00246 011 2112000 2024 CP1TM440 004*")-SUMIFS(E954:E1474,K954:K1474,"0",B954:B1474,"5 1 2 4 6 12 31111 6 M59 19000 000132 0000R 00001 00246 011 2112000 2024 CP1TM440 004*")</f>
        <v>25529.95</v>
      </c>
      <c r="E953" s="54"/>
      <c r="F953" s="83">
        <f>SUMIFS(F954:F1474,K954:K1474,"0",B954:B1474,"5 1 2 4 6 12 31111 6 M59 19000 000132 0000R 00001 00246 011 2112000 2024 CP1TM440 004*")</f>
        <v>27016.15</v>
      </c>
      <c r="G953" s="83">
        <f>SUMIFS(G954:G1474,K954:K1474,"0",B954:B1474,"5 1 2 4 6 12 31111 6 M59 19000 000132 0000R 00001 00246 011 2112000 2024 CP1TM440 004*")</f>
        <v>0</v>
      </c>
      <c r="H953" s="83">
        <f t="shared" si="16"/>
        <v>52546.100000000006</v>
      </c>
      <c r="I953" s="83"/>
      <c r="K953" s="54" t="s">
        <v>15</v>
      </c>
    </row>
    <row r="954" spans="2:11" ht="33" x14ac:dyDescent="0.2">
      <c r="B954" s="84" t="s">
        <v>7056</v>
      </c>
      <c r="C954" s="84" t="s">
        <v>2284</v>
      </c>
      <c r="D954" s="85">
        <v>25529.95</v>
      </c>
      <c r="E954" s="85"/>
      <c r="F954" s="85">
        <v>27016.15</v>
      </c>
      <c r="G954" s="85">
        <v>0</v>
      </c>
      <c r="H954" s="85">
        <f t="shared" si="16"/>
        <v>52546.100000000006</v>
      </c>
      <c r="I954" s="85"/>
      <c r="K954" s="54" t="s">
        <v>38</v>
      </c>
    </row>
    <row r="955" spans="2:11" ht="16.5" x14ac:dyDescent="0.2">
      <c r="B955" s="82" t="s">
        <v>7146</v>
      </c>
      <c r="C955" s="82" t="s">
        <v>7147</v>
      </c>
      <c r="D955" s="83">
        <f>SUMIFS(D956:D1474,K956:K1474,"0",B956:B1474,"5 1 2 4 7*")-SUMIFS(E956:E1474,K956:K1474,"0",B956:B1474,"5 1 2 4 7*")</f>
        <v>359.99</v>
      </c>
      <c r="E955" s="54"/>
      <c r="F955" s="83">
        <f>SUMIFS(F956:F1474,K956:K1474,"0",B956:B1474,"5 1 2 4 7*")</f>
        <v>2466.27</v>
      </c>
      <c r="G955" s="83">
        <f>SUMIFS(G956:G1474,K956:K1474,"0",B956:B1474,"5 1 2 4 7*")</f>
        <v>0</v>
      </c>
      <c r="H955" s="83">
        <f t="shared" si="16"/>
        <v>2826.26</v>
      </c>
      <c r="I955" s="83"/>
      <c r="K955" s="54" t="s">
        <v>15</v>
      </c>
    </row>
    <row r="956" spans="2:11" ht="12.75" x14ac:dyDescent="0.2">
      <c r="B956" s="82" t="s">
        <v>7148</v>
      </c>
      <c r="C956" s="82" t="s">
        <v>26</v>
      </c>
      <c r="D956" s="83">
        <f>SUMIFS(D957:D1474,K957:K1474,"0",B957:B1474,"5 1 2 4 7 12*")-SUMIFS(E957:E1474,K957:K1474,"0",B957:B1474,"5 1 2 4 7 12*")</f>
        <v>359.99</v>
      </c>
      <c r="E956" s="54"/>
      <c r="F956" s="83">
        <f>SUMIFS(F957:F1474,K957:K1474,"0",B957:B1474,"5 1 2 4 7 12*")</f>
        <v>2466.27</v>
      </c>
      <c r="G956" s="83">
        <f>SUMIFS(G957:G1474,K957:K1474,"0",B957:B1474,"5 1 2 4 7 12*")</f>
        <v>0</v>
      </c>
      <c r="H956" s="83">
        <f t="shared" si="16"/>
        <v>2826.26</v>
      </c>
      <c r="I956" s="83"/>
      <c r="K956" s="54" t="s">
        <v>15</v>
      </c>
    </row>
    <row r="957" spans="2:11" ht="16.5" x14ac:dyDescent="0.2">
      <c r="B957" s="82" t="s">
        <v>7149</v>
      </c>
      <c r="C957" s="82" t="s">
        <v>28</v>
      </c>
      <c r="D957" s="83">
        <f>SUMIFS(D958:D1474,K958:K1474,"0",B958:B1474,"5 1 2 4 7 12 31111*")-SUMIFS(E958:E1474,K958:K1474,"0",B958:B1474,"5 1 2 4 7 12 31111*")</f>
        <v>359.99</v>
      </c>
      <c r="E957" s="54"/>
      <c r="F957" s="83">
        <f>SUMIFS(F958:F1474,K958:K1474,"0",B958:B1474,"5 1 2 4 7 12 31111*")</f>
        <v>2466.27</v>
      </c>
      <c r="G957" s="83">
        <f>SUMIFS(G958:G1474,K958:K1474,"0",B958:B1474,"5 1 2 4 7 12 31111*")</f>
        <v>0</v>
      </c>
      <c r="H957" s="83">
        <f t="shared" si="16"/>
        <v>2826.26</v>
      </c>
      <c r="I957" s="83"/>
      <c r="K957" s="54" t="s">
        <v>15</v>
      </c>
    </row>
    <row r="958" spans="2:11" ht="12.75" x14ac:dyDescent="0.2">
      <c r="B958" s="82" t="s">
        <v>7150</v>
      </c>
      <c r="C958" s="82" t="s">
        <v>30</v>
      </c>
      <c r="D958" s="83">
        <f>SUMIFS(D959:D1474,K959:K1474,"0",B959:B1474,"5 1 2 4 7 12 31111 6*")-SUMIFS(E959:E1474,K959:K1474,"0",B959:B1474,"5 1 2 4 7 12 31111 6*")</f>
        <v>359.99</v>
      </c>
      <c r="E958" s="54"/>
      <c r="F958" s="83">
        <f>SUMIFS(F959:F1474,K959:K1474,"0",B959:B1474,"5 1 2 4 7 12 31111 6*")</f>
        <v>2466.27</v>
      </c>
      <c r="G958" s="83">
        <f>SUMIFS(G959:G1474,K959:K1474,"0",B959:B1474,"5 1 2 4 7 12 31111 6*")</f>
        <v>0</v>
      </c>
      <c r="H958" s="83">
        <f t="shared" si="16"/>
        <v>2826.26</v>
      </c>
      <c r="I958" s="83"/>
      <c r="K958" s="54" t="s">
        <v>15</v>
      </c>
    </row>
    <row r="959" spans="2:11" ht="16.5" x14ac:dyDescent="0.2">
      <c r="B959" s="82" t="s">
        <v>7151</v>
      </c>
      <c r="C959" s="82" t="s">
        <v>2284</v>
      </c>
      <c r="D959" s="83">
        <f>SUMIFS(D960:D1474,K960:K1474,"0",B960:B1474,"5 1 2 4 7 12 31111 6 M59*")-SUMIFS(E960:E1474,K960:K1474,"0",B960:B1474,"5 1 2 4 7 12 31111 6 M59*")</f>
        <v>359.99</v>
      </c>
      <c r="E959" s="54"/>
      <c r="F959" s="83">
        <f>SUMIFS(F960:F1474,K960:K1474,"0",B960:B1474,"5 1 2 4 7 12 31111 6 M59*")</f>
        <v>2466.27</v>
      </c>
      <c r="G959" s="83">
        <f>SUMIFS(G960:G1474,K960:K1474,"0",B960:B1474,"5 1 2 4 7 12 31111 6 M59*")</f>
        <v>0</v>
      </c>
      <c r="H959" s="83">
        <f t="shared" si="16"/>
        <v>2826.26</v>
      </c>
      <c r="I959" s="83"/>
      <c r="K959" s="54" t="s">
        <v>15</v>
      </c>
    </row>
    <row r="960" spans="2:11" ht="16.5" x14ac:dyDescent="0.2">
      <c r="B960" s="82" t="s">
        <v>7152</v>
      </c>
      <c r="C960" s="82" t="s">
        <v>1044</v>
      </c>
      <c r="D960" s="83">
        <f>SUMIFS(D961:D1474,K961:K1474,"0",B961:B1474,"5 1 2 4 7 12 31111 6 M59 19000*")-SUMIFS(E961:E1474,K961:K1474,"0",B961:B1474,"5 1 2 4 7 12 31111 6 M59 19000*")</f>
        <v>359.99</v>
      </c>
      <c r="E960" s="54"/>
      <c r="F960" s="83">
        <f>SUMIFS(F961:F1474,K961:K1474,"0",B961:B1474,"5 1 2 4 7 12 31111 6 M59 19000*")</f>
        <v>2466.27</v>
      </c>
      <c r="G960" s="83">
        <f>SUMIFS(G961:G1474,K961:K1474,"0",B961:B1474,"5 1 2 4 7 12 31111 6 M59 19000*")</f>
        <v>0</v>
      </c>
      <c r="H960" s="83">
        <f t="shared" si="16"/>
        <v>2826.26</v>
      </c>
      <c r="I960" s="83"/>
      <c r="K960" s="54" t="s">
        <v>15</v>
      </c>
    </row>
    <row r="961" spans="2:11" ht="16.5" x14ac:dyDescent="0.2">
      <c r="B961" s="82" t="s">
        <v>7153</v>
      </c>
      <c r="C961" s="82" t="s">
        <v>648</v>
      </c>
      <c r="D961" s="83">
        <f>SUMIFS(D962:D1474,K962:K1474,"0",B962:B1474,"5 1 2 4 7 12 31111 6 M59 19000 000132*")-SUMIFS(E962:E1474,K962:K1474,"0",B962:B1474,"5 1 2 4 7 12 31111 6 M59 19000 000132*")</f>
        <v>359.99</v>
      </c>
      <c r="E961" s="54"/>
      <c r="F961" s="83">
        <f>SUMIFS(F962:F1474,K962:K1474,"0",B962:B1474,"5 1 2 4 7 12 31111 6 M59 19000 000132*")</f>
        <v>2466.27</v>
      </c>
      <c r="G961" s="83">
        <f>SUMIFS(G962:G1474,K962:K1474,"0",B962:B1474,"5 1 2 4 7 12 31111 6 M59 19000 000132*")</f>
        <v>0</v>
      </c>
      <c r="H961" s="83">
        <f t="shared" si="16"/>
        <v>2826.26</v>
      </c>
      <c r="I961" s="83"/>
      <c r="K961" s="54" t="s">
        <v>15</v>
      </c>
    </row>
    <row r="962" spans="2:11" ht="24.75" x14ac:dyDescent="0.2">
      <c r="B962" s="82" t="s">
        <v>7154</v>
      </c>
      <c r="C962" s="82" t="s">
        <v>650</v>
      </c>
      <c r="D962" s="83">
        <f>SUMIFS(D963:D1474,K963:K1474,"0",B963:B1474,"5 1 2 4 7 12 31111 6 M59 19000 000132 0000R*")-SUMIFS(E963:E1474,K963:K1474,"0",B963:B1474,"5 1 2 4 7 12 31111 6 M59 19000 000132 0000R*")</f>
        <v>359.99</v>
      </c>
      <c r="E962" s="54"/>
      <c r="F962" s="83">
        <f>SUMIFS(F963:F1474,K963:K1474,"0",B963:B1474,"5 1 2 4 7 12 31111 6 M59 19000 000132 0000R*")</f>
        <v>2466.27</v>
      </c>
      <c r="G962" s="83">
        <f>SUMIFS(G963:G1474,K963:K1474,"0",B963:B1474,"5 1 2 4 7 12 31111 6 M59 19000 000132 0000R*")</f>
        <v>0</v>
      </c>
      <c r="H962" s="83">
        <f t="shared" si="16"/>
        <v>2826.26</v>
      </c>
      <c r="I962" s="83"/>
      <c r="K962" s="54" t="s">
        <v>15</v>
      </c>
    </row>
    <row r="963" spans="2:11" ht="24.75" x14ac:dyDescent="0.2">
      <c r="B963" s="82" t="s">
        <v>7155</v>
      </c>
      <c r="C963" s="82" t="s">
        <v>282</v>
      </c>
      <c r="D963" s="83">
        <f>SUMIFS(D964:D1474,K964:K1474,"0",B964:B1474,"5 1 2 4 7 12 31111 6 M59 19000 000132 0000R 00001*")-SUMIFS(E964:E1474,K964:K1474,"0",B964:B1474,"5 1 2 4 7 12 31111 6 M59 19000 000132 0000R 00001*")</f>
        <v>359.99</v>
      </c>
      <c r="E963" s="54"/>
      <c r="F963" s="83">
        <f>SUMIFS(F964:F1474,K964:K1474,"0",B964:B1474,"5 1 2 4 7 12 31111 6 M59 19000 000132 0000R 00001*")</f>
        <v>2466.27</v>
      </c>
      <c r="G963" s="83">
        <f>SUMIFS(G964:G1474,K964:K1474,"0",B964:B1474,"5 1 2 4 7 12 31111 6 M59 19000 000132 0000R 00001*")</f>
        <v>0</v>
      </c>
      <c r="H963" s="83">
        <f t="shared" si="16"/>
        <v>2826.26</v>
      </c>
      <c r="I963" s="83"/>
      <c r="K963" s="54" t="s">
        <v>15</v>
      </c>
    </row>
    <row r="964" spans="2:11" ht="24.75" x14ac:dyDescent="0.2">
      <c r="B964" s="82" t="s">
        <v>7156</v>
      </c>
      <c r="C964" s="82" t="s">
        <v>7157</v>
      </c>
      <c r="D964" s="83">
        <f>SUMIFS(D965:D1474,K965:K1474,"0",B965:B1474,"5 1 2 4 7 12 31111 6 M59 19000 000132 0000R 00001 00247*")-SUMIFS(E965:E1474,K965:K1474,"0",B965:B1474,"5 1 2 4 7 12 31111 6 M59 19000 000132 0000R 00001 00247*")</f>
        <v>359.99</v>
      </c>
      <c r="E964" s="54"/>
      <c r="F964" s="83">
        <f>SUMIFS(F965:F1474,K965:K1474,"0",B965:B1474,"5 1 2 4 7 12 31111 6 M59 19000 000132 0000R 00001 00247*")</f>
        <v>2466.27</v>
      </c>
      <c r="G964" s="83">
        <f>SUMIFS(G965:G1474,K965:K1474,"0",B965:B1474,"5 1 2 4 7 12 31111 6 M59 19000 000132 0000R 00001 00247*")</f>
        <v>0</v>
      </c>
      <c r="H964" s="83">
        <f t="shared" si="16"/>
        <v>2826.26</v>
      </c>
      <c r="I964" s="83"/>
      <c r="K964" s="54" t="s">
        <v>15</v>
      </c>
    </row>
    <row r="965" spans="2:11" ht="33" x14ac:dyDescent="0.2">
      <c r="B965" s="82" t="s">
        <v>7158</v>
      </c>
      <c r="C965" s="82" t="s">
        <v>699</v>
      </c>
      <c r="D965" s="83">
        <f>SUMIFS(D966:D1474,K966:K1474,"0",B966:B1474,"5 1 2 4 7 12 31111 6 M59 19000 000132 0000R 00001 00247 011*")-SUMIFS(E966:E1474,K966:K1474,"0",B966:B1474,"5 1 2 4 7 12 31111 6 M59 19000 000132 0000R 00001 00247 011*")</f>
        <v>359.99</v>
      </c>
      <c r="E965" s="54"/>
      <c r="F965" s="83">
        <f>SUMIFS(F966:F1474,K966:K1474,"0",B966:B1474,"5 1 2 4 7 12 31111 6 M59 19000 000132 0000R 00001 00247 011*")</f>
        <v>2466.27</v>
      </c>
      <c r="G965" s="83">
        <f>SUMIFS(G966:G1474,K966:K1474,"0",B966:B1474,"5 1 2 4 7 12 31111 6 M59 19000 000132 0000R 00001 00247 011*")</f>
        <v>0</v>
      </c>
      <c r="H965" s="83">
        <f t="shared" si="16"/>
        <v>2826.26</v>
      </c>
      <c r="I965" s="83"/>
      <c r="K965" s="54" t="s">
        <v>15</v>
      </c>
    </row>
    <row r="966" spans="2:11" ht="33" x14ac:dyDescent="0.2">
      <c r="B966" s="82" t="s">
        <v>7159</v>
      </c>
      <c r="C966" s="82" t="s">
        <v>5830</v>
      </c>
      <c r="D966" s="83">
        <f>SUMIFS(D967:D1474,K967:K1474,"0",B967:B1474,"5 1 2 4 7 12 31111 6 M59 19000 000132 0000R 00001 00247 011 2112000*")-SUMIFS(E967:E1474,K967:K1474,"0",B967:B1474,"5 1 2 4 7 12 31111 6 M59 19000 000132 0000R 00001 00247 011 2112000*")</f>
        <v>359.99</v>
      </c>
      <c r="E966" s="54"/>
      <c r="F966" s="83">
        <f>SUMIFS(F967:F1474,K967:K1474,"0",B967:B1474,"5 1 2 4 7 12 31111 6 M59 19000 000132 0000R 00001 00247 011 2112000*")</f>
        <v>2466.27</v>
      </c>
      <c r="G966" s="83">
        <f>SUMIFS(G967:G1474,K967:K1474,"0",B967:B1474,"5 1 2 4 7 12 31111 6 M59 19000 000132 0000R 00001 00247 011 2112000*")</f>
        <v>0</v>
      </c>
      <c r="H966" s="83">
        <f t="shared" si="16"/>
        <v>2826.26</v>
      </c>
      <c r="I966" s="83"/>
      <c r="K966" s="54" t="s">
        <v>15</v>
      </c>
    </row>
    <row r="967" spans="2:11" ht="33" x14ac:dyDescent="0.2">
      <c r="B967" s="82" t="s">
        <v>7160</v>
      </c>
      <c r="C967" s="82" t="s">
        <v>660</v>
      </c>
      <c r="D967" s="83">
        <f>SUMIFS(D968:D1474,K968:K1474,"0",B968:B1474,"5 1 2 4 7 12 31111 6 M59 19000 000132 0000R 00001 00247 011 2112000 2024*")-SUMIFS(E968:E1474,K968:K1474,"0",B968:B1474,"5 1 2 4 7 12 31111 6 M59 19000 000132 0000R 00001 00247 011 2112000 2024*")</f>
        <v>359.99</v>
      </c>
      <c r="E967" s="54"/>
      <c r="F967" s="83">
        <f>SUMIFS(F968:F1474,K968:K1474,"0",B968:B1474,"5 1 2 4 7 12 31111 6 M59 19000 000132 0000R 00001 00247 011 2112000 2024*")</f>
        <v>2466.27</v>
      </c>
      <c r="G967" s="83">
        <f>SUMIFS(G968:G1474,K968:K1474,"0",B968:B1474,"5 1 2 4 7 12 31111 6 M59 19000 000132 0000R 00001 00247 011 2112000 2024*")</f>
        <v>0</v>
      </c>
      <c r="H967" s="83">
        <f t="shared" si="16"/>
        <v>2826.26</v>
      </c>
      <c r="I967" s="83"/>
      <c r="K967" s="54" t="s">
        <v>15</v>
      </c>
    </row>
    <row r="968" spans="2:11" ht="41.25" x14ac:dyDescent="0.2">
      <c r="B968" s="82" t="s">
        <v>7161</v>
      </c>
      <c r="C968" s="82" t="s">
        <v>662</v>
      </c>
      <c r="D968" s="83">
        <f>SUMIFS(D969:D1474,K969:K1474,"0",B969:B1474,"5 1 2 4 7 12 31111 6 M59 19000 000132 0000R 00001 00247 011 2112000 2024 CP1TM440*")-SUMIFS(E969:E1474,K969:K1474,"0",B969:B1474,"5 1 2 4 7 12 31111 6 M59 19000 000132 0000R 00001 00247 011 2112000 2024 CP1TM440*")</f>
        <v>359.99</v>
      </c>
      <c r="E968" s="54"/>
      <c r="F968" s="83">
        <f>SUMIFS(F969:F1474,K969:K1474,"0",B969:B1474,"5 1 2 4 7 12 31111 6 M59 19000 000132 0000R 00001 00247 011 2112000 2024 CP1TM440*")</f>
        <v>2466.27</v>
      </c>
      <c r="G968" s="83">
        <f>SUMIFS(G969:G1474,K969:K1474,"0",B969:B1474,"5 1 2 4 7 12 31111 6 M59 19000 000132 0000R 00001 00247 011 2112000 2024 CP1TM440*")</f>
        <v>0</v>
      </c>
      <c r="H968" s="83">
        <f t="shared" si="16"/>
        <v>2826.26</v>
      </c>
      <c r="I968" s="83"/>
      <c r="K968" s="54" t="s">
        <v>15</v>
      </c>
    </row>
    <row r="969" spans="2:11" ht="41.25" x14ac:dyDescent="0.2">
      <c r="B969" s="82" t="s">
        <v>7162</v>
      </c>
      <c r="C969" s="82" t="s">
        <v>2284</v>
      </c>
      <c r="D969" s="83">
        <f>SUMIFS(D970:D1474,K970:K1474,"0",B970:B1474,"5 1 2 4 7 12 31111 6 M59 19000 000132 0000R 00001 00247 011 2112000 2024 CP1TM440 004*")-SUMIFS(E970:E1474,K970:K1474,"0",B970:B1474,"5 1 2 4 7 12 31111 6 M59 19000 000132 0000R 00001 00247 011 2112000 2024 CP1TM440 004*")</f>
        <v>359.99</v>
      </c>
      <c r="E969" s="54"/>
      <c r="F969" s="83">
        <f>SUMIFS(F970:F1474,K970:K1474,"0",B970:B1474,"5 1 2 4 7 12 31111 6 M59 19000 000132 0000R 00001 00247 011 2112000 2024 CP1TM440 004*")</f>
        <v>2466.27</v>
      </c>
      <c r="G969" s="83">
        <f>SUMIFS(G970:G1474,K970:K1474,"0",B970:B1474,"5 1 2 4 7 12 31111 6 M59 19000 000132 0000R 00001 00247 011 2112000 2024 CP1TM440 004*")</f>
        <v>0</v>
      </c>
      <c r="H969" s="83">
        <f t="shared" si="16"/>
        <v>2826.26</v>
      </c>
      <c r="I969" s="83"/>
      <c r="K969" s="54" t="s">
        <v>15</v>
      </c>
    </row>
    <row r="970" spans="2:11" ht="33" x14ac:dyDescent="0.2">
      <c r="B970" s="84" t="s">
        <v>7163</v>
      </c>
      <c r="C970" s="84" t="s">
        <v>2284</v>
      </c>
      <c r="D970" s="85">
        <v>359.99</v>
      </c>
      <c r="E970" s="85"/>
      <c r="F970" s="85">
        <v>2466.27</v>
      </c>
      <c r="G970" s="85">
        <v>0</v>
      </c>
      <c r="H970" s="85">
        <f t="shared" si="16"/>
        <v>2826.26</v>
      </c>
      <c r="I970" s="85"/>
      <c r="K970" s="54" t="s">
        <v>38</v>
      </c>
    </row>
    <row r="971" spans="2:11" ht="33" x14ac:dyDescent="0.2">
      <c r="B971" s="82" t="s">
        <v>7260</v>
      </c>
      <c r="C971" s="82" t="s">
        <v>7261</v>
      </c>
      <c r="D971" s="83">
        <f>SUMIFS(D972:D1474,K972:K1474,"0",B972:B1474,"5 1 2 4 9*")-SUMIFS(E972:E1474,K972:K1474,"0",B972:B1474,"5 1 2 4 9*")</f>
        <v>244353.23</v>
      </c>
      <c r="E971" s="54"/>
      <c r="F971" s="83">
        <f>SUMIFS(F972:F1474,K972:K1474,"0",B972:B1474,"5 1 2 4 9*")</f>
        <v>0</v>
      </c>
      <c r="G971" s="83">
        <f>SUMIFS(G972:G1474,K972:K1474,"0",B972:B1474,"5 1 2 4 9*")</f>
        <v>0</v>
      </c>
      <c r="H971" s="83">
        <f t="shared" si="16"/>
        <v>244353.23</v>
      </c>
      <c r="I971" s="83"/>
      <c r="K971" s="54" t="s">
        <v>15</v>
      </c>
    </row>
    <row r="972" spans="2:11" ht="12.75" x14ac:dyDescent="0.2">
      <c r="B972" s="82" t="s">
        <v>7262</v>
      </c>
      <c r="C972" s="82" t="s">
        <v>26</v>
      </c>
      <c r="D972" s="83">
        <f>SUMIFS(D973:D1474,K973:K1474,"0",B973:B1474,"5 1 2 4 9 12*")-SUMIFS(E973:E1474,K973:K1474,"0",B973:B1474,"5 1 2 4 9 12*")</f>
        <v>244353.23</v>
      </c>
      <c r="E972" s="54"/>
      <c r="F972" s="83">
        <f>SUMIFS(F973:F1474,K973:K1474,"0",B973:B1474,"5 1 2 4 9 12*")</f>
        <v>0</v>
      </c>
      <c r="G972" s="83">
        <f>SUMIFS(G973:G1474,K973:K1474,"0",B973:B1474,"5 1 2 4 9 12*")</f>
        <v>0</v>
      </c>
      <c r="H972" s="83">
        <f t="shared" si="16"/>
        <v>244353.23</v>
      </c>
      <c r="I972" s="83"/>
      <c r="K972" s="54" t="s">
        <v>15</v>
      </c>
    </row>
    <row r="973" spans="2:11" ht="16.5" x14ac:dyDescent="0.2">
      <c r="B973" s="82" t="s">
        <v>7263</v>
      </c>
      <c r="C973" s="82" t="s">
        <v>28</v>
      </c>
      <c r="D973" s="83">
        <f>SUMIFS(D974:D1474,K974:K1474,"0",B974:B1474,"5 1 2 4 9 12 31111*")-SUMIFS(E974:E1474,K974:K1474,"0",B974:B1474,"5 1 2 4 9 12 31111*")</f>
        <v>244353.23</v>
      </c>
      <c r="E973" s="54"/>
      <c r="F973" s="83">
        <f>SUMIFS(F974:F1474,K974:K1474,"0",B974:B1474,"5 1 2 4 9 12 31111*")</f>
        <v>0</v>
      </c>
      <c r="G973" s="83">
        <f>SUMIFS(G974:G1474,K974:K1474,"0",B974:B1474,"5 1 2 4 9 12 31111*")</f>
        <v>0</v>
      </c>
      <c r="H973" s="83">
        <f t="shared" si="16"/>
        <v>244353.23</v>
      </c>
      <c r="I973" s="83"/>
      <c r="K973" s="54" t="s">
        <v>15</v>
      </c>
    </row>
    <row r="974" spans="2:11" ht="12.75" x14ac:dyDescent="0.2">
      <c r="B974" s="82" t="s">
        <v>7264</v>
      </c>
      <c r="C974" s="82" t="s">
        <v>30</v>
      </c>
      <c r="D974" s="83">
        <f>SUMIFS(D975:D1474,K975:K1474,"0",B975:B1474,"5 1 2 4 9 12 31111 6*")-SUMIFS(E975:E1474,K975:K1474,"0",B975:B1474,"5 1 2 4 9 12 31111 6*")</f>
        <v>244353.23</v>
      </c>
      <c r="E974" s="54"/>
      <c r="F974" s="83">
        <f>SUMIFS(F975:F1474,K975:K1474,"0",B975:B1474,"5 1 2 4 9 12 31111 6*")</f>
        <v>0</v>
      </c>
      <c r="G974" s="83">
        <f>SUMIFS(G975:G1474,K975:K1474,"0",B975:B1474,"5 1 2 4 9 12 31111 6*")</f>
        <v>0</v>
      </c>
      <c r="H974" s="83">
        <f t="shared" si="16"/>
        <v>244353.23</v>
      </c>
      <c r="I974" s="83"/>
      <c r="K974" s="54" t="s">
        <v>15</v>
      </c>
    </row>
    <row r="975" spans="2:11" ht="16.5" x14ac:dyDescent="0.2">
      <c r="B975" s="82" t="s">
        <v>7265</v>
      </c>
      <c r="C975" s="82" t="s">
        <v>2284</v>
      </c>
      <c r="D975" s="83">
        <f>SUMIFS(D976:D1474,K976:K1474,"0",B976:B1474,"5 1 2 4 9 12 31111 6 M59*")-SUMIFS(E976:E1474,K976:K1474,"0",B976:B1474,"5 1 2 4 9 12 31111 6 M59*")</f>
        <v>244353.23</v>
      </c>
      <c r="E975" s="54"/>
      <c r="F975" s="83">
        <f>SUMIFS(F976:F1474,K976:K1474,"0",B976:B1474,"5 1 2 4 9 12 31111 6 M59*")</f>
        <v>0</v>
      </c>
      <c r="G975" s="83">
        <f>SUMIFS(G976:G1474,K976:K1474,"0",B976:B1474,"5 1 2 4 9 12 31111 6 M59*")</f>
        <v>0</v>
      </c>
      <c r="H975" s="83">
        <f t="shared" si="16"/>
        <v>244353.23</v>
      </c>
      <c r="I975" s="83"/>
      <c r="K975" s="54" t="s">
        <v>15</v>
      </c>
    </row>
    <row r="976" spans="2:11" ht="16.5" x14ac:dyDescent="0.2">
      <c r="B976" s="82" t="s">
        <v>7266</v>
      </c>
      <c r="C976" s="82" t="s">
        <v>1044</v>
      </c>
      <c r="D976" s="83">
        <f>SUMIFS(D977:D1474,K977:K1474,"0",B977:B1474,"5 1 2 4 9 12 31111 6 M59 19000*")-SUMIFS(E977:E1474,K977:K1474,"0",B977:B1474,"5 1 2 4 9 12 31111 6 M59 19000*")</f>
        <v>64003</v>
      </c>
      <c r="E976" s="54"/>
      <c r="F976" s="83">
        <f>SUMIFS(F977:F1474,K977:K1474,"0",B977:B1474,"5 1 2 4 9 12 31111 6 M59 19000*")</f>
        <v>0</v>
      </c>
      <c r="G976" s="83">
        <f>SUMIFS(G977:G1474,K977:K1474,"0",B977:B1474,"5 1 2 4 9 12 31111 6 M59 19000*")</f>
        <v>0</v>
      </c>
      <c r="H976" s="83">
        <f t="shared" si="16"/>
        <v>64003</v>
      </c>
      <c r="I976" s="83"/>
      <c r="K976" s="54" t="s">
        <v>15</v>
      </c>
    </row>
    <row r="977" spans="2:11" ht="16.5" x14ac:dyDescent="0.2">
      <c r="B977" s="82" t="s">
        <v>7267</v>
      </c>
      <c r="C977" s="82" t="s">
        <v>648</v>
      </c>
      <c r="D977" s="83">
        <f>SUMIFS(D978:D1474,K978:K1474,"0",B978:B1474,"5 1 2 4 9 12 31111 6 M59 19000 000132*")-SUMIFS(E978:E1474,K978:K1474,"0",B978:B1474,"5 1 2 4 9 12 31111 6 M59 19000 000132*")</f>
        <v>64003</v>
      </c>
      <c r="E977" s="54"/>
      <c r="F977" s="83">
        <f>SUMIFS(F978:F1474,K978:K1474,"0",B978:B1474,"5 1 2 4 9 12 31111 6 M59 19000 000132*")</f>
        <v>0</v>
      </c>
      <c r="G977" s="83">
        <f>SUMIFS(G978:G1474,K978:K1474,"0",B978:B1474,"5 1 2 4 9 12 31111 6 M59 19000 000132*")</f>
        <v>0</v>
      </c>
      <c r="H977" s="83">
        <f t="shared" si="16"/>
        <v>64003</v>
      </c>
      <c r="I977" s="83"/>
      <c r="K977" s="54" t="s">
        <v>15</v>
      </c>
    </row>
    <row r="978" spans="2:11" ht="24.75" x14ac:dyDescent="0.2">
      <c r="B978" s="82" t="s">
        <v>7268</v>
      </c>
      <c r="C978" s="82" t="s">
        <v>650</v>
      </c>
      <c r="D978" s="83">
        <f>SUMIFS(D979:D1474,K979:K1474,"0",B979:B1474,"5 1 2 4 9 12 31111 6 M59 19000 000132 0000R*")-SUMIFS(E979:E1474,K979:K1474,"0",B979:B1474,"5 1 2 4 9 12 31111 6 M59 19000 000132 0000R*")</f>
        <v>64003</v>
      </c>
      <c r="E978" s="54"/>
      <c r="F978" s="83">
        <f>SUMIFS(F979:F1474,K979:K1474,"0",B979:B1474,"5 1 2 4 9 12 31111 6 M59 19000 000132 0000R*")</f>
        <v>0</v>
      </c>
      <c r="G978" s="83">
        <f>SUMIFS(G979:G1474,K979:K1474,"0",B979:B1474,"5 1 2 4 9 12 31111 6 M59 19000 000132 0000R*")</f>
        <v>0</v>
      </c>
      <c r="H978" s="83">
        <f t="shared" si="16"/>
        <v>64003</v>
      </c>
      <c r="I978" s="83"/>
      <c r="K978" s="54" t="s">
        <v>15</v>
      </c>
    </row>
    <row r="979" spans="2:11" ht="24.75" x14ac:dyDescent="0.2">
      <c r="B979" s="82" t="s">
        <v>7269</v>
      </c>
      <c r="C979" s="82" t="s">
        <v>282</v>
      </c>
      <c r="D979" s="83">
        <f>SUMIFS(D980:D1474,K980:K1474,"0",B980:B1474,"5 1 2 4 9 12 31111 6 M59 19000 000132 0000R 00001*")-SUMIFS(E980:E1474,K980:K1474,"0",B980:B1474,"5 1 2 4 9 12 31111 6 M59 19000 000132 0000R 00001*")</f>
        <v>64003</v>
      </c>
      <c r="E979" s="54"/>
      <c r="F979" s="83">
        <f>SUMIFS(F980:F1474,K980:K1474,"0",B980:B1474,"5 1 2 4 9 12 31111 6 M59 19000 000132 0000R 00001*")</f>
        <v>0</v>
      </c>
      <c r="G979" s="83">
        <f>SUMIFS(G980:G1474,K980:K1474,"0",B980:B1474,"5 1 2 4 9 12 31111 6 M59 19000 000132 0000R 00001*")</f>
        <v>0</v>
      </c>
      <c r="H979" s="83">
        <f t="shared" si="16"/>
        <v>64003</v>
      </c>
      <c r="I979" s="83"/>
      <c r="K979" s="54" t="s">
        <v>15</v>
      </c>
    </row>
    <row r="980" spans="2:11" ht="33" x14ac:dyDescent="0.2">
      <c r="B980" s="82" t="s">
        <v>7270</v>
      </c>
      <c r="C980" s="82" t="s">
        <v>7271</v>
      </c>
      <c r="D980" s="83">
        <f>SUMIFS(D981:D1474,K981:K1474,"0",B981:B1474,"5 1 2 4 9 12 31111 6 M59 19000 000132 0000R 00001 00249*")-SUMIFS(E981:E1474,K981:K1474,"0",B981:B1474,"5 1 2 4 9 12 31111 6 M59 19000 000132 0000R 00001 00249*")</f>
        <v>64003</v>
      </c>
      <c r="E980" s="54"/>
      <c r="F980" s="83">
        <f>SUMIFS(F981:F1474,K981:K1474,"0",B981:B1474,"5 1 2 4 9 12 31111 6 M59 19000 000132 0000R 00001 00249*")</f>
        <v>0</v>
      </c>
      <c r="G980" s="83">
        <f>SUMIFS(G981:G1474,K981:K1474,"0",B981:B1474,"5 1 2 4 9 12 31111 6 M59 19000 000132 0000R 00001 00249*")</f>
        <v>0</v>
      </c>
      <c r="H980" s="83">
        <f t="shared" si="16"/>
        <v>64003</v>
      </c>
      <c r="I980" s="83"/>
      <c r="K980" s="54" t="s">
        <v>15</v>
      </c>
    </row>
    <row r="981" spans="2:11" ht="33" x14ac:dyDescent="0.2">
      <c r="B981" s="82" t="s">
        <v>7272</v>
      </c>
      <c r="C981" s="82" t="s">
        <v>699</v>
      </c>
      <c r="D981" s="83">
        <f>SUMIFS(D982:D1474,K982:K1474,"0",B982:B1474,"5 1 2 4 9 12 31111 6 M59 19000 000132 0000R 00001 00249 011*")-SUMIFS(E982:E1474,K982:K1474,"0",B982:B1474,"5 1 2 4 9 12 31111 6 M59 19000 000132 0000R 00001 00249 011*")</f>
        <v>64003</v>
      </c>
      <c r="E981" s="54"/>
      <c r="F981" s="83">
        <f>SUMIFS(F982:F1474,K982:K1474,"0",B982:B1474,"5 1 2 4 9 12 31111 6 M59 19000 000132 0000R 00001 00249 011*")</f>
        <v>0</v>
      </c>
      <c r="G981" s="83">
        <f>SUMIFS(G982:G1474,K982:K1474,"0",B982:B1474,"5 1 2 4 9 12 31111 6 M59 19000 000132 0000R 00001 00249 011*")</f>
        <v>0</v>
      </c>
      <c r="H981" s="83">
        <f t="shared" si="16"/>
        <v>64003</v>
      </c>
      <c r="I981" s="83"/>
      <c r="K981" s="54" t="s">
        <v>15</v>
      </c>
    </row>
    <row r="982" spans="2:11" ht="33" x14ac:dyDescent="0.2">
      <c r="B982" s="82" t="s">
        <v>7273</v>
      </c>
      <c r="C982" s="82" t="s">
        <v>5830</v>
      </c>
      <c r="D982" s="83">
        <f>SUMIFS(D983:D1474,K983:K1474,"0",B983:B1474,"5 1 2 4 9 12 31111 6 M59 19000 000132 0000R 00001 00249 011 2112000*")-SUMIFS(E983:E1474,K983:K1474,"0",B983:B1474,"5 1 2 4 9 12 31111 6 M59 19000 000132 0000R 00001 00249 011 2112000*")</f>
        <v>64003</v>
      </c>
      <c r="E982" s="54"/>
      <c r="F982" s="83">
        <f>SUMIFS(F983:F1474,K983:K1474,"0",B983:B1474,"5 1 2 4 9 12 31111 6 M59 19000 000132 0000R 00001 00249 011 2112000*")</f>
        <v>0</v>
      </c>
      <c r="G982" s="83">
        <f>SUMIFS(G983:G1474,K983:K1474,"0",B983:B1474,"5 1 2 4 9 12 31111 6 M59 19000 000132 0000R 00001 00249 011 2112000*")</f>
        <v>0</v>
      </c>
      <c r="H982" s="83">
        <f t="shared" si="16"/>
        <v>64003</v>
      </c>
      <c r="I982" s="83"/>
      <c r="K982" s="54" t="s">
        <v>15</v>
      </c>
    </row>
    <row r="983" spans="2:11" ht="33" x14ac:dyDescent="0.2">
      <c r="B983" s="82" t="s">
        <v>7274</v>
      </c>
      <c r="C983" s="82" t="s">
        <v>660</v>
      </c>
      <c r="D983" s="83">
        <f>SUMIFS(D984:D1474,K984:K1474,"0",B984:B1474,"5 1 2 4 9 12 31111 6 M59 19000 000132 0000R 00001 00249 011 2112000 2024*")-SUMIFS(E984:E1474,K984:K1474,"0",B984:B1474,"5 1 2 4 9 12 31111 6 M59 19000 000132 0000R 00001 00249 011 2112000 2024*")</f>
        <v>64003</v>
      </c>
      <c r="E983" s="54"/>
      <c r="F983" s="83">
        <f>SUMIFS(F984:F1474,K984:K1474,"0",B984:B1474,"5 1 2 4 9 12 31111 6 M59 19000 000132 0000R 00001 00249 011 2112000 2024*")</f>
        <v>0</v>
      </c>
      <c r="G983" s="83">
        <f>SUMIFS(G984:G1474,K984:K1474,"0",B984:B1474,"5 1 2 4 9 12 31111 6 M59 19000 000132 0000R 00001 00249 011 2112000 2024*")</f>
        <v>0</v>
      </c>
      <c r="H983" s="83">
        <f t="shared" si="16"/>
        <v>64003</v>
      </c>
      <c r="I983" s="83"/>
      <c r="K983" s="54" t="s">
        <v>15</v>
      </c>
    </row>
    <row r="984" spans="2:11" ht="41.25" x14ac:dyDescent="0.2">
      <c r="B984" s="82" t="s">
        <v>7275</v>
      </c>
      <c r="C984" s="82" t="s">
        <v>662</v>
      </c>
      <c r="D984" s="83">
        <f>SUMIFS(D985:D1474,K985:K1474,"0",B985:B1474,"5 1 2 4 9 12 31111 6 M59 19000 000132 0000R 00001 00249 011 2112000 2024 CP1TM440*")-SUMIFS(E985:E1474,K985:K1474,"0",B985:B1474,"5 1 2 4 9 12 31111 6 M59 19000 000132 0000R 00001 00249 011 2112000 2024 CP1TM440*")</f>
        <v>64003</v>
      </c>
      <c r="E984" s="54"/>
      <c r="F984" s="83">
        <f>SUMIFS(F985:F1474,K985:K1474,"0",B985:B1474,"5 1 2 4 9 12 31111 6 M59 19000 000132 0000R 00001 00249 011 2112000 2024 CP1TM440*")</f>
        <v>0</v>
      </c>
      <c r="G984" s="83">
        <f>SUMIFS(G985:G1474,K985:K1474,"0",B985:B1474,"5 1 2 4 9 12 31111 6 M59 19000 000132 0000R 00001 00249 011 2112000 2024 CP1TM440*")</f>
        <v>0</v>
      </c>
      <c r="H984" s="83">
        <f t="shared" si="16"/>
        <v>64003</v>
      </c>
      <c r="I984" s="83"/>
      <c r="K984" s="54" t="s">
        <v>15</v>
      </c>
    </row>
    <row r="985" spans="2:11" ht="41.25" x14ac:dyDescent="0.2">
      <c r="B985" s="82" t="s">
        <v>7276</v>
      </c>
      <c r="C985" s="82" t="s">
        <v>2284</v>
      </c>
      <c r="D985" s="83">
        <f>SUMIFS(D986:D1474,K986:K1474,"0",B986:B1474,"5 1 2 4 9 12 31111 6 M59 19000 000132 0000R 00001 00249 011 2112000 2024 CP1TM440 004*")-SUMIFS(E986:E1474,K986:K1474,"0",B986:B1474,"5 1 2 4 9 12 31111 6 M59 19000 000132 0000R 00001 00249 011 2112000 2024 CP1TM440 004*")</f>
        <v>64003</v>
      </c>
      <c r="E985" s="54"/>
      <c r="F985" s="83">
        <f>SUMIFS(F986:F1474,K986:K1474,"0",B986:B1474,"5 1 2 4 9 12 31111 6 M59 19000 000132 0000R 00001 00249 011 2112000 2024 CP1TM440 004*")</f>
        <v>0</v>
      </c>
      <c r="G985" s="83">
        <f>SUMIFS(G986:G1474,K986:K1474,"0",B986:B1474,"5 1 2 4 9 12 31111 6 M59 19000 000132 0000R 00001 00249 011 2112000 2024 CP1TM440 004*")</f>
        <v>0</v>
      </c>
      <c r="H985" s="83">
        <f t="shared" si="16"/>
        <v>64003</v>
      </c>
      <c r="I985" s="83"/>
      <c r="K985" s="54" t="s">
        <v>15</v>
      </c>
    </row>
    <row r="986" spans="2:11" ht="33" x14ac:dyDescent="0.2">
      <c r="B986" s="84" t="s">
        <v>7277</v>
      </c>
      <c r="C986" s="84" t="s">
        <v>2284</v>
      </c>
      <c r="D986" s="85">
        <v>64003</v>
      </c>
      <c r="E986" s="85"/>
      <c r="F986" s="85">
        <v>0</v>
      </c>
      <c r="G986" s="85">
        <v>0</v>
      </c>
      <c r="H986" s="85">
        <f t="shared" si="16"/>
        <v>64003</v>
      </c>
      <c r="I986" s="85"/>
      <c r="K986" s="54" t="s">
        <v>38</v>
      </c>
    </row>
    <row r="987" spans="2:11" ht="16.5" x14ac:dyDescent="0.2">
      <c r="B987" s="82" t="s">
        <v>7289</v>
      </c>
      <c r="C987" s="82" t="s">
        <v>1079</v>
      </c>
      <c r="D987" s="83">
        <f>SUMIFS(D988:D1474,K988:K1474,"0",B988:B1474,"5 1 2 4 9 12 31111 6 M59 20500*")-SUMIFS(E988:E1474,K988:K1474,"0",B988:B1474,"5 1 2 4 9 12 31111 6 M59 20500*")</f>
        <v>180350.23</v>
      </c>
      <c r="E987" s="54"/>
      <c r="F987" s="83">
        <f>SUMIFS(F988:F1474,K988:K1474,"0",B988:B1474,"5 1 2 4 9 12 31111 6 M59 20500*")</f>
        <v>0</v>
      </c>
      <c r="G987" s="83">
        <f>SUMIFS(G988:G1474,K988:K1474,"0",B988:B1474,"5 1 2 4 9 12 31111 6 M59 20500*")</f>
        <v>0</v>
      </c>
      <c r="H987" s="83">
        <f t="shared" si="16"/>
        <v>180350.23</v>
      </c>
      <c r="I987" s="83"/>
      <c r="K987" s="54" t="s">
        <v>15</v>
      </c>
    </row>
    <row r="988" spans="2:11" ht="24.75" x14ac:dyDescent="0.2">
      <c r="B988" s="82" t="s">
        <v>7290</v>
      </c>
      <c r="C988" s="82" t="s">
        <v>3152</v>
      </c>
      <c r="D988" s="83">
        <f>SUMIFS(D989:D1474,K989:K1474,"0",B989:B1474,"5 1 2 4 9 12 31111 6 M59 20500 000181*")-SUMIFS(E989:E1474,K989:K1474,"0",B989:B1474,"5 1 2 4 9 12 31111 6 M59 20500 000181*")</f>
        <v>180350.23</v>
      </c>
      <c r="E988" s="54"/>
      <c r="F988" s="83">
        <f>SUMIFS(F989:F1474,K989:K1474,"0",B989:B1474,"5 1 2 4 9 12 31111 6 M59 20500 000181*")</f>
        <v>0</v>
      </c>
      <c r="G988" s="83">
        <f>SUMIFS(G989:G1474,K989:K1474,"0",B989:B1474,"5 1 2 4 9 12 31111 6 M59 20500 000181*")</f>
        <v>0</v>
      </c>
      <c r="H988" s="83">
        <f t="shared" si="16"/>
        <v>180350.23</v>
      </c>
      <c r="I988" s="83"/>
      <c r="K988" s="54" t="s">
        <v>15</v>
      </c>
    </row>
    <row r="989" spans="2:11" ht="24.75" x14ac:dyDescent="0.2">
      <c r="B989" s="82" t="s">
        <v>7291</v>
      </c>
      <c r="C989" s="82" t="s">
        <v>1065</v>
      </c>
      <c r="D989" s="83">
        <f>SUMIFS(D990:D1474,K990:K1474,"0",B990:B1474,"5 1 2 4 9 12 31111 6 M59 20500 000181 0000E*")-SUMIFS(E990:E1474,K990:K1474,"0",B990:B1474,"5 1 2 4 9 12 31111 6 M59 20500 000181 0000E*")</f>
        <v>180350.23</v>
      </c>
      <c r="E989" s="54"/>
      <c r="F989" s="83">
        <f>SUMIFS(F990:F1474,K990:K1474,"0",B990:B1474,"5 1 2 4 9 12 31111 6 M59 20500 000181 0000E*")</f>
        <v>0</v>
      </c>
      <c r="G989" s="83">
        <f>SUMIFS(G990:G1474,K990:K1474,"0",B990:B1474,"5 1 2 4 9 12 31111 6 M59 20500 000181 0000E*")</f>
        <v>0</v>
      </c>
      <c r="H989" s="83">
        <f t="shared" si="16"/>
        <v>180350.23</v>
      </c>
      <c r="I989" s="83"/>
      <c r="K989" s="54" t="s">
        <v>15</v>
      </c>
    </row>
    <row r="990" spans="2:11" ht="24.75" x14ac:dyDescent="0.2">
      <c r="B990" s="82" t="s">
        <v>7292</v>
      </c>
      <c r="C990" s="82" t="s">
        <v>282</v>
      </c>
      <c r="D990" s="83">
        <f>SUMIFS(D991:D1474,K991:K1474,"0",B991:B1474,"5 1 2 4 9 12 31111 6 M59 20500 000181 0000E 00001*")-SUMIFS(E991:E1474,K991:K1474,"0",B991:B1474,"5 1 2 4 9 12 31111 6 M59 20500 000181 0000E 00001*")</f>
        <v>180350.23</v>
      </c>
      <c r="E990" s="54"/>
      <c r="F990" s="83">
        <f>SUMIFS(F991:F1474,K991:K1474,"0",B991:B1474,"5 1 2 4 9 12 31111 6 M59 20500 000181 0000E 00001*")</f>
        <v>0</v>
      </c>
      <c r="G990" s="83">
        <f>SUMIFS(G991:G1474,K991:K1474,"0",B991:B1474,"5 1 2 4 9 12 31111 6 M59 20500 000181 0000E 00001*")</f>
        <v>0</v>
      </c>
      <c r="H990" s="83">
        <f t="shared" si="16"/>
        <v>180350.23</v>
      </c>
      <c r="I990" s="83"/>
      <c r="K990" s="54" t="s">
        <v>15</v>
      </c>
    </row>
    <row r="991" spans="2:11" ht="33" x14ac:dyDescent="0.2">
      <c r="B991" s="82" t="s">
        <v>7293</v>
      </c>
      <c r="C991" s="82" t="s">
        <v>7271</v>
      </c>
      <c r="D991" s="83">
        <f>SUMIFS(D992:D1474,K992:K1474,"0",B992:B1474,"5 1 2 4 9 12 31111 6 M59 20500 000181 0000E 00001 00249*")-SUMIFS(E992:E1474,K992:K1474,"0",B992:B1474,"5 1 2 4 9 12 31111 6 M59 20500 000181 0000E 00001 00249*")</f>
        <v>180350.23</v>
      </c>
      <c r="E991" s="54"/>
      <c r="F991" s="83">
        <f>SUMIFS(F992:F1474,K992:K1474,"0",B992:B1474,"5 1 2 4 9 12 31111 6 M59 20500 000181 0000E 00001 00249*")</f>
        <v>0</v>
      </c>
      <c r="G991" s="83">
        <f>SUMIFS(G992:G1474,K992:K1474,"0",B992:B1474,"5 1 2 4 9 12 31111 6 M59 20500 000181 0000E 00001 00249*")</f>
        <v>0</v>
      </c>
      <c r="H991" s="83">
        <f t="shared" si="16"/>
        <v>180350.23</v>
      </c>
      <c r="I991" s="83"/>
      <c r="K991" s="54" t="s">
        <v>15</v>
      </c>
    </row>
    <row r="992" spans="2:11" ht="33" x14ac:dyDescent="0.2">
      <c r="B992" s="82" t="s">
        <v>7294</v>
      </c>
      <c r="C992" s="82" t="s">
        <v>699</v>
      </c>
      <c r="D992" s="83">
        <f>SUMIFS(D993:D1474,K993:K1474,"0",B993:B1474,"5 1 2 4 9 12 31111 6 M59 20500 000181 0000E 00001 00249 011*")-SUMIFS(E993:E1474,K993:K1474,"0",B993:B1474,"5 1 2 4 9 12 31111 6 M59 20500 000181 0000E 00001 00249 011*")</f>
        <v>180350.23</v>
      </c>
      <c r="E992" s="54"/>
      <c r="F992" s="83">
        <f>SUMIFS(F993:F1474,K993:K1474,"0",B993:B1474,"5 1 2 4 9 12 31111 6 M59 20500 000181 0000E 00001 00249 011*")</f>
        <v>0</v>
      </c>
      <c r="G992" s="83">
        <f>SUMIFS(G993:G1474,K993:K1474,"0",B993:B1474,"5 1 2 4 9 12 31111 6 M59 20500 000181 0000E 00001 00249 011*")</f>
        <v>0</v>
      </c>
      <c r="H992" s="83">
        <f t="shared" si="16"/>
        <v>180350.23</v>
      </c>
      <c r="I992" s="83"/>
      <c r="K992" s="54" t="s">
        <v>15</v>
      </c>
    </row>
    <row r="993" spans="2:11" ht="33" x14ac:dyDescent="0.2">
      <c r="B993" s="82" t="s">
        <v>7295</v>
      </c>
      <c r="C993" s="82" t="s">
        <v>5830</v>
      </c>
      <c r="D993" s="83">
        <f>SUMIFS(D994:D1474,K994:K1474,"0",B994:B1474,"5 1 2 4 9 12 31111 6 M59 20500 000181 0000E 00001 00249 011 2112000*")-SUMIFS(E994:E1474,K994:K1474,"0",B994:B1474,"5 1 2 4 9 12 31111 6 M59 20500 000181 0000E 00001 00249 011 2112000*")</f>
        <v>180350.23</v>
      </c>
      <c r="E993" s="54"/>
      <c r="F993" s="83">
        <f>SUMIFS(F994:F1474,K994:K1474,"0",B994:B1474,"5 1 2 4 9 12 31111 6 M59 20500 000181 0000E 00001 00249 011 2112000*")</f>
        <v>0</v>
      </c>
      <c r="G993" s="83">
        <f>SUMIFS(G994:G1474,K994:K1474,"0",B994:B1474,"5 1 2 4 9 12 31111 6 M59 20500 000181 0000E 00001 00249 011 2112000*")</f>
        <v>0</v>
      </c>
      <c r="H993" s="83">
        <f t="shared" si="16"/>
        <v>180350.23</v>
      </c>
      <c r="I993" s="83"/>
      <c r="K993" s="54" t="s">
        <v>15</v>
      </c>
    </row>
    <row r="994" spans="2:11" ht="33" x14ac:dyDescent="0.2">
      <c r="B994" s="82" t="s">
        <v>7296</v>
      </c>
      <c r="C994" s="82" t="s">
        <v>660</v>
      </c>
      <c r="D994" s="83">
        <f>SUMIFS(D995:D1474,K995:K1474,"0",B995:B1474,"5 1 2 4 9 12 31111 6 M59 20500 000181 0000E 00001 00249 011 2112000 2024*")-SUMIFS(E995:E1474,K995:K1474,"0",B995:B1474,"5 1 2 4 9 12 31111 6 M59 20500 000181 0000E 00001 00249 011 2112000 2024*")</f>
        <v>180350.23</v>
      </c>
      <c r="E994" s="54"/>
      <c r="F994" s="83">
        <f>SUMIFS(F995:F1474,K995:K1474,"0",B995:B1474,"5 1 2 4 9 12 31111 6 M59 20500 000181 0000E 00001 00249 011 2112000 2024*")</f>
        <v>0</v>
      </c>
      <c r="G994" s="83">
        <f>SUMIFS(G995:G1474,K995:K1474,"0",B995:B1474,"5 1 2 4 9 12 31111 6 M59 20500 000181 0000E 00001 00249 011 2112000 2024*")</f>
        <v>0</v>
      </c>
      <c r="H994" s="83">
        <f t="shared" si="16"/>
        <v>180350.23</v>
      </c>
      <c r="I994" s="83"/>
      <c r="K994" s="54" t="s">
        <v>15</v>
      </c>
    </row>
    <row r="995" spans="2:11" ht="49.5" x14ac:dyDescent="0.2">
      <c r="B995" s="82" t="s">
        <v>7297</v>
      </c>
      <c r="C995" s="82" t="s">
        <v>5982</v>
      </c>
      <c r="D995" s="83">
        <f>SUMIFS(D996:D1474,K996:K1474,"0",B996:B1474,"5 1 2 4 9 12 31111 6 M59 20500 000181 0000E 00001 00249 011 2112000 2024 CP3CP471*")-SUMIFS(E996:E1474,K996:K1474,"0",B996:B1474,"5 1 2 4 9 12 31111 6 M59 20500 000181 0000E 00001 00249 011 2112000 2024 CP3CP471*")</f>
        <v>180350.23</v>
      </c>
      <c r="E995" s="54"/>
      <c r="F995" s="83">
        <f>SUMIFS(F996:F1474,K996:K1474,"0",B996:B1474,"5 1 2 4 9 12 31111 6 M59 20500 000181 0000E 00001 00249 011 2112000 2024 CP3CP471*")</f>
        <v>0</v>
      </c>
      <c r="G995" s="83">
        <f>SUMIFS(G996:G1474,K996:K1474,"0",B996:B1474,"5 1 2 4 9 12 31111 6 M59 20500 000181 0000E 00001 00249 011 2112000 2024 CP3CP471*")</f>
        <v>0</v>
      </c>
      <c r="H995" s="83">
        <f t="shared" si="16"/>
        <v>180350.23</v>
      </c>
      <c r="I995" s="83"/>
      <c r="K995" s="54" t="s">
        <v>15</v>
      </c>
    </row>
    <row r="996" spans="2:11" ht="41.25" x14ac:dyDescent="0.2">
      <c r="B996" s="82" t="s">
        <v>7298</v>
      </c>
      <c r="C996" s="82" t="s">
        <v>2284</v>
      </c>
      <c r="D996" s="83">
        <f>SUMIFS(D997:D1474,K997:K1474,"0",B997:B1474,"5 1 2 4 9 12 31111 6 M59 20500 000181 0000E 00001 00249 011 2112000 2024 CP3CP471 004*")-SUMIFS(E997:E1474,K997:K1474,"0",B997:B1474,"5 1 2 4 9 12 31111 6 M59 20500 000181 0000E 00001 00249 011 2112000 2024 CP3CP471 004*")</f>
        <v>180350.23</v>
      </c>
      <c r="E996" s="54"/>
      <c r="F996" s="83">
        <f>SUMIFS(F997:F1474,K997:K1474,"0",B997:B1474,"5 1 2 4 9 12 31111 6 M59 20500 000181 0000E 00001 00249 011 2112000 2024 CP3CP471 004*")</f>
        <v>0</v>
      </c>
      <c r="G996" s="83">
        <f>SUMIFS(G997:G1474,K997:K1474,"0",B997:B1474,"5 1 2 4 9 12 31111 6 M59 20500 000181 0000E 00001 00249 011 2112000 2024 CP3CP471 004*")</f>
        <v>0</v>
      </c>
      <c r="H996" s="83">
        <f t="shared" si="16"/>
        <v>180350.23</v>
      </c>
      <c r="I996" s="83"/>
      <c r="K996" s="54" t="s">
        <v>15</v>
      </c>
    </row>
    <row r="997" spans="2:11" ht="33" x14ac:dyDescent="0.2">
      <c r="B997" s="84" t="s">
        <v>7299</v>
      </c>
      <c r="C997" s="84" t="s">
        <v>2284</v>
      </c>
      <c r="D997" s="85">
        <v>180350.23</v>
      </c>
      <c r="E997" s="85"/>
      <c r="F997" s="85">
        <v>0</v>
      </c>
      <c r="G997" s="85">
        <v>0</v>
      </c>
      <c r="H997" s="85">
        <f t="shared" si="16"/>
        <v>180350.23</v>
      </c>
      <c r="I997" s="85"/>
      <c r="K997" s="54" t="s">
        <v>38</v>
      </c>
    </row>
    <row r="998" spans="2:11" ht="16.5" x14ac:dyDescent="0.2">
      <c r="B998" s="82" t="s">
        <v>7500</v>
      </c>
      <c r="C998" s="82" t="s">
        <v>540</v>
      </c>
      <c r="D998" s="83">
        <f>SUMIFS(D999:D1474,K999:K1474,"0",B999:B1474,"5 1 2 6*")-SUMIFS(E999:E1474,K999:K1474,"0",B999:B1474,"5 1 2 6*")</f>
        <v>1195595.42</v>
      </c>
      <c r="E998" s="54"/>
      <c r="F998" s="83">
        <f>SUMIFS(F999:F1474,K999:K1474,"0",B999:B1474,"5 1 2 6*")</f>
        <v>5165</v>
      </c>
      <c r="G998" s="83">
        <f>SUMIFS(G999:G1474,K999:K1474,"0",B999:B1474,"5 1 2 6*")</f>
        <v>0</v>
      </c>
      <c r="H998" s="83">
        <f t="shared" si="16"/>
        <v>1200760.42</v>
      </c>
      <c r="I998" s="83"/>
      <c r="K998" s="54" t="s">
        <v>15</v>
      </c>
    </row>
    <row r="999" spans="2:11" ht="16.5" x14ac:dyDescent="0.2">
      <c r="B999" s="82" t="s">
        <v>7501</v>
      </c>
      <c r="C999" s="82" t="s">
        <v>540</v>
      </c>
      <c r="D999" s="83">
        <f>SUMIFS(D1000:D1474,K1000:K1474,"0",B1000:B1474,"5 1 2 6 1*")-SUMIFS(E1000:E1474,K1000:K1474,"0",B1000:B1474,"5 1 2 6 1*")</f>
        <v>1195595.42</v>
      </c>
      <c r="E999" s="54"/>
      <c r="F999" s="83">
        <f>SUMIFS(F1000:F1474,K1000:K1474,"0",B1000:B1474,"5 1 2 6 1*")</f>
        <v>5165</v>
      </c>
      <c r="G999" s="83">
        <f>SUMIFS(G1000:G1474,K1000:K1474,"0",B1000:B1474,"5 1 2 6 1*")</f>
        <v>0</v>
      </c>
      <c r="H999" s="83">
        <f t="shared" si="16"/>
        <v>1200760.42</v>
      </c>
      <c r="I999" s="83"/>
      <c r="K999" s="54" t="s">
        <v>15</v>
      </c>
    </row>
    <row r="1000" spans="2:11" ht="12.75" x14ac:dyDescent="0.2">
      <c r="B1000" s="82" t="s">
        <v>7502</v>
      </c>
      <c r="C1000" s="82" t="s">
        <v>26</v>
      </c>
      <c r="D1000" s="83">
        <f>SUMIFS(D1001:D1474,K1001:K1474,"0",B1001:B1474,"5 1 2 6 1 12*")-SUMIFS(E1001:E1474,K1001:K1474,"0",B1001:B1474,"5 1 2 6 1 12*")</f>
        <v>1195595.42</v>
      </c>
      <c r="E1000" s="54"/>
      <c r="F1000" s="83">
        <f>SUMIFS(F1001:F1474,K1001:K1474,"0",B1001:B1474,"5 1 2 6 1 12*")</f>
        <v>5165</v>
      </c>
      <c r="G1000" s="83">
        <f>SUMIFS(G1001:G1474,K1001:K1474,"0",B1001:B1474,"5 1 2 6 1 12*")</f>
        <v>0</v>
      </c>
      <c r="H1000" s="83">
        <f t="shared" si="16"/>
        <v>1200760.42</v>
      </c>
      <c r="I1000" s="83"/>
      <c r="K1000" s="54" t="s">
        <v>15</v>
      </c>
    </row>
    <row r="1001" spans="2:11" ht="16.5" x14ac:dyDescent="0.2">
      <c r="B1001" s="82" t="s">
        <v>7503</v>
      </c>
      <c r="C1001" s="82" t="s">
        <v>28</v>
      </c>
      <c r="D1001" s="83">
        <f>SUMIFS(D1002:D1474,K1002:K1474,"0",B1002:B1474,"5 1 2 6 1 12 31111*")-SUMIFS(E1002:E1474,K1002:K1474,"0",B1002:B1474,"5 1 2 6 1 12 31111*")</f>
        <v>1195595.42</v>
      </c>
      <c r="E1001" s="54"/>
      <c r="F1001" s="83">
        <f>SUMIFS(F1002:F1474,K1002:K1474,"0",B1002:B1474,"5 1 2 6 1 12 31111*")</f>
        <v>5165</v>
      </c>
      <c r="G1001" s="83">
        <f>SUMIFS(G1002:G1474,K1002:K1474,"0",B1002:B1474,"5 1 2 6 1 12 31111*")</f>
        <v>0</v>
      </c>
      <c r="H1001" s="83">
        <f t="shared" ref="H1001:H1064" si="17">D1001 + F1001 - G1001</f>
        <v>1200760.42</v>
      </c>
      <c r="I1001" s="83"/>
      <c r="K1001" s="54" t="s">
        <v>15</v>
      </c>
    </row>
    <row r="1002" spans="2:11" ht="12.75" x14ac:dyDescent="0.2">
      <c r="B1002" s="82" t="s">
        <v>7504</v>
      </c>
      <c r="C1002" s="82" t="s">
        <v>30</v>
      </c>
      <c r="D1002" s="83">
        <f>SUMIFS(D1003:D1474,K1003:K1474,"0",B1003:B1474,"5 1 2 6 1 12 31111 6*")-SUMIFS(E1003:E1474,K1003:K1474,"0",B1003:B1474,"5 1 2 6 1 12 31111 6*")</f>
        <v>1195595.42</v>
      </c>
      <c r="E1002" s="54"/>
      <c r="F1002" s="83">
        <f>SUMIFS(F1003:F1474,K1003:K1474,"0",B1003:B1474,"5 1 2 6 1 12 31111 6*")</f>
        <v>5165</v>
      </c>
      <c r="G1002" s="83">
        <f>SUMIFS(G1003:G1474,K1003:K1474,"0",B1003:B1474,"5 1 2 6 1 12 31111 6*")</f>
        <v>0</v>
      </c>
      <c r="H1002" s="83">
        <f t="shared" si="17"/>
        <v>1200760.42</v>
      </c>
      <c r="I1002" s="83"/>
      <c r="K1002" s="54" t="s">
        <v>15</v>
      </c>
    </row>
    <row r="1003" spans="2:11" ht="16.5" x14ac:dyDescent="0.2">
      <c r="B1003" s="82" t="s">
        <v>7505</v>
      </c>
      <c r="C1003" s="82" t="s">
        <v>2284</v>
      </c>
      <c r="D1003" s="83">
        <f>SUMIFS(D1004:D1474,K1004:K1474,"0",B1004:B1474,"5 1 2 6 1 12 31111 6 M59*")-SUMIFS(E1004:E1474,K1004:K1474,"0",B1004:B1474,"5 1 2 6 1 12 31111 6 M59*")</f>
        <v>1195595.42</v>
      </c>
      <c r="E1003" s="54"/>
      <c r="F1003" s="83">
        <f>SUMIFS(F1004:F1474,K1004:K1474,"0",B1004:B1474,"5 1 2 6 1 12 31111 6 M59*")</f>
        <v>5165</v>
      </c>
      <c r="G1003" s="83">
        <f>SUMIFS(G1004:G1474,K1004:K1474,"0",B1004:B1474,"5 1 2 6 1 12 31111 6 M59*")</f>
        <v>0</v>
      </c>
      <c r="H1003" s="83">
        <f t="shared" si="17"/>
        <v>1200760.42</v>
      </c>
      <c r="I1003" s="83"/>
      <c r="K1003" s="54" t="s">
        <v>15</v>
      </c>
    </row>
    <row r="1004" spans="2:11" ht="16.5" x14ac:dyDescent="0.2">
      <c r="B1004" s="82" t="s">
        <v>7524</v>
      </c>
      <c r="C1004" s="82" t="s">
        <v>1044</v>
      </c>
      <c r="D1004" s="83">
        <f>SUMIFS(D1005:D1474,K1005:K1474,"0",B1005:B1474,"5 1 2 6 1 12 31111 6 M59 19000*")-SUMIFS(E1005:E1474,K1005:K1474,"0",B1005:B1474,"5 1 2 6 1 12 31111 6 M59 19000*")</f>
        <v>1195595.42</v>
      </c>
      <c r="E1004" s="54"/>
      <c r="F1004" s="83">
        <f>SUMIFS(F1005:F1474,K1005:K1474,"0",B1005:B1474,"5 1 2 6 1 12 31111 6 M59 19000*")</f>
        <v>5165</v>
      </c>
      <c r="G1004" s="83">
        <f>SUMIFS(G1005:G1474,K1005:K1474,"0",B1005:B1474,"5 1 2 6 1 12 31111 6 M59 19000*")</f>
        <v>0</v>
      </c>
      <c r="H1004" s="83">
        <f t="shared" si="17"/>
        <v>1200760.42</v>
      </c>
      <c r="I1004" s="83"/>
      <c r="K1004" s="54" t="s">
        <v>15</v>
      </c>
    </row>
    <row r="1005" spans="2:11" ht="16.5" x14ac:dyDescent="0.2">
      <c r="B1005" s="82" t="s">
        <v>7525</v>
      </c>
      <c r="C1005" s="82" t="s">
        <v>648</v>
      </c>
      <c r="D1005" s="83">
        <f>SUMIFS(D1006:D1474,K1006:K1474,"0",B1006:B1474,"5 1 2 6 1 12 31111 6 M59 19000 000132*")-SUMIFS(E1006:E1474,K1006:K1474,"0",B1006:B1474,"5 1 2 6 1 12 31111 6 M59 19000 000132*")</f>
        <v>1195595.42</v>
      </c>
      <c r="E1005" s="54"/>
      <c r="F1005" s="83">
        <f>SUMIFS(F1006:F1474,K1006:K1474,"0",B1006:B1474,"5 1 2 6 1 12 31111 6 M59 19000 000132*")</f>
        <v>5165</v>
      </c>
      <c r="G1005" s="83">
        <f>SUMIFS(G1006:G1474,K1006:K1474,"0",B1006:B1474,"5 1 2 6 1 12 31111 6 M59 19000 000132*")</f>
        <v>0</v>
      </c>
      <c r="H1005" s="83">
        <f t="shared" si="17"/>
        <v>1200760.42</v>
      </c>
      <c r="I1005" s="83"/>
      <c r="K1005" s="54" t="s">
        <v>15</v>
      </c>
    </row>
    <row r="1006" spans="2:11" ht="24.75" x14ac:dyDescent="0.2">
      <c r="B1006" s="82" t="s">
        <v>7526</v>
      </c>
      <c r="C1006" s="82" t="s">
        <v>650</v>
      </c>
      <c r="D1006" s="83">
        <f>SUMIFS(D1007:D1474,K1007:K1474,"0",B1007:B1474,"5 1 2 6 1 12 31111 6 M59 19000 000132 0000R*")-SUMIFS(E1007:E1474,K1007:K1474,"0",B1007:B1474,"5 1 2 6 1 12 31111 6 M59 19000 000132 0000R*")</f>
        <v>1195595.42</v>
      </c>
      <c r="E1006" s="54"/>
      <c r="F1006" s="83">
        <f>SUMIFS(F1007:F1474,K1007:K1474,"0",B1007:B1474,"5 1 2 6 1 12 31111 6 M59 19000 000132 0000R*")</f>
        <v>5165</v>
      </c>
      <c r="G1006" s="83">
        <f>SUMIFS(G1007:G1474,K1007:K1474,"0",B1007:B1474,"5 1 2 6 1 12 31111 6 M59 19000 000132 0000R*")</f>
        <v>0</v>
      </c>
      <c r="H1006" s="83">
        <f t="shared" si="17"/>
        <v>1200760.42</v>
      </c>
      <c r="I1006" s="83"/>
      <c r="K1006" s="54" t="s">
        <v>15</v>
      </c>
    </row>
    <row r="1007" spans="2:11" ht="24.75" x14ac:dyDescent="0.2">
      <c r="B1007" s="82" t="s">
        <v>7527</v>
      </c>
      <c r="C1007" s="82" t="s">
        <v>282</v>
      </c>
      <c r="D1007" s="83">
        <f>SUMIFS(D1008:D1474,K1008:K1474,"0",B1008:B1474,"5 1 2 6 1 12 31111 6 M59 19000 000132 0000R 00001*")-SUMIFS(E1008:E1474,K1008:K1474,"0",B1008:B1474,"5 1 2 6 1 12 31111 6 M59 19000 000132 0000R 00001*")</f>
        <v>1195595.42</v>
      </c>
      <c r="E1007" s="54"/>
      <c r="F1007" s="83">
        <f>SUMIFS(F1008:F1474,K1008:K1474,"0",B1008:B1474,"5 1 2 6 1 12 31111 6 M59 19000 000132 0000R 00001*")</f>
        <v>5165</v>
      </c>
      <c r="G1007" s="83">
        <f>SUMIFS(G1008:G1474,K1008:K1474,"0",B1008:B1474,"5 1 2 6 1 12 31111 6 M59 19000 000132 0000R 00001*")</f>
        <v>0</v>
      </c>
      <c r="H1007" s="83">
        <f t="shared" si="17"/>
        <v>1200760.42</v>
      </c>
      <c r="I1007" s="83"/>
      <c r="K1007" s="54" t="s">
        <v>15</v>
      </c>
    </row>
    <row r="1008" spans="2:11" ht="24.75" x14ac:dyDescent="0.2">
      <c r="B1008" s="82" t="s">
        <v>7528</v>
      </c>
      <c r="C1008" s="82" t="s">
        <v>7511</v>
      </c>
      <c r="D1008" s="83">
        <f>SUMIFS(D1009:D1474,K1009:K1474,"0",B1009:B1474,"5 1 2 6 1 12 31111 6 M59 19000 000132 0000R 00001 00261*")-SUMIFS(E1009:E1474,K1009:K1474,"0",B1009:B1474,"5 1 2 6 1 12 31111 6 M59 19000 000132 0000R 00001 00261*")</f>
        <v>1195595.42</v>
      </c>
      <c r="E1008" s="54"/>
      <c r="F1008" s="83">
        <f>SUMIFS(F1009:F1474,K1009:K1474,"0",B1009:B1474,"5 1 2 6 1 12 31111 6 M59 19000 000132 0000R 00001 00261*")</f>
        <v>5165</v>
      </c>
      <c r="G1008" s="83">
        <f>SUMIFS(G1009:G1474,K1009:K1474,"0",B1009:B1474,"5 1 2 6 1 12 31111 6 M59 19000 000132 0000R 00001 00261*")</f>
        <v>0</v>
      </c>
      <c r="H1008" s="83">
        <f t="shared" si="17"/>
        <v>1200760.42</v>
      </c>
      <c r="I1008" s="83"/>
      <c r="K1008" s="54" t="s">
        <v>15</v>
      </c>
    </row>
    <row r="1009" spans="2:11" ht="33" x14ac:dyDescent="0.2">
      <c r="B1009" s="82" t="s">
        <v>7529</v>
      </c>
      <c r="C1009" s="82" t="s">
        <v>699</v>
      </c>
      <c r="D1009" s="83">
        <f>SUMIFS(D1010:D1474,K1010:K1474,"0",B1010:B1474,"5 1 2 6 1 12 31111 6 M59 19000 000132 0000R 00001 00261 011*")-SUMIFS(E1010:E1474,K1010:K1474,"0",B1010:B1474,"5 1 2 6 1 12 31111 6 M59 19000 000132 0000R 00001 00261 011*")</f>
        <v>1195595.42</v>
      </c>
      <c r="E1009" s="54"/>
      <c r="F1009" s="83">
        <f>SUMIFS(F1010:F1474,K1010:K1474,"0",B1010:B1474,"5 1 2 6 1 12 31111 6 M59 19000 000132 0000R 00001 00261 011*")</f>
        <v>5165</v>
      </c>
      <c r="G1009" s="83">
        <f>SUMIFS(G1010:G1474,K1010:K1474,"0",B1010:B1474,"5 1 2 6 1 12 31111 6 M59 19000 000132 0000R 00001 00261 011*")</f>
        <v>0</v>
      </c>
      <c r="H1009" s="83">
        <f t="shared" si="17"/>
        <v>1200760.42</v>
      </c>
      <c r="I1009" s="83"/>
      <c r="K1009" s="54" t="s">
        <v>15</v>
      </c>
    </row>
    <row r="1010" spans="2:11" ht="33" x14ac:dyDescent="0.2">
      <c r="B1010" s="82" t="s">
        <v>7530</v>
      </c>
      <c r="C1010" s="82" t="s">
        <v>5830</v>
      </c>
      <c r="D1010" s="83">
        <f>SUMIFS(D1011:D1474,K1011:K1474,"0",B1011:B1474,"5 1 2 6 1 12 31111 6 M59 19000 000132 0000R 00001 00261 011 2112000*")-SUMIFS(E1011:E1474,K1011:K1474,"0",B1011:B1474,"5 1 2 6 1 12 31111 6 M59 19000 000132 0000R 00001 00261 011 2112000*")</f>
        <v>1195595.42</v>
      </c>
      <c r="E1010" s="54"/>
      <c r="F1010" s="83">
        <f>SUMIFS(F1011:F1474,K1011:K1474,"0",B1011:B1474,"5 1 2 6 1 12 31111 6 M59 19000 000132 0000R 00001 00261 011 2112000*")</f>
        <v>5165</v>
      </c>
      <c r="G1010" s="83">
        <f>SUMIFS(G1011:G1474,K1011:K1474,"0",B1011:B1474,"5 1 2 6 1 12 31111 6 M59 19000 000132 0000R 00001 00261 011 2112000*")</f>
        <v>0</v>
      </c>
      <c r="H1010" s="83">
        <f t="shared" si="17"/>
        <v>1200760.42</v>
      </c>
      <c r="I1010" s="83"/>
      <c r="K1010" s="54" t="s">
        <v>15</v>
      </c>
    </row>
    <row r="1011" spans="2:11" ht="33" x14ac:dyDescent="0.2">
      <c r="B1011" s="82" t="s">
        <v>7531</v>
      </c>
      <c r="C1011" s="82" t="s">
        <v>660</v>
      </c>
      <c r="D1011" s="83">
        <f>SUMIFS(D1012:D1474,K1012:K1474,"0",B1012:B1474,"5 1 2 6 1 12 31111 6 M59 19000 000132 0000R 00001 00261 011 2112000 2024*")-SUMIFS(E1012:E1474,K1012:K1474,"0",B1012:B1474,"5 1 2 6 1 12 31111 6 M59 19000 000132 0000R 00001 00261 011 2112000 2024*")</f>
        <v>1195595.42</v>
      </c>
      <c r="E1011" s="54"/>
      <c r="F1011" s="83">
        <f>SUMIFS(F1012:F1474,K1012:K1474,"0",B1012:B1474,"5 1 2 6 1 12 31111 6 M59 19000 000132 0000R 00001 00261 011 2112000 2024*")</f>
        <v>5165</v>
      </c>
      <c r="G1011" s="83">
        <f>SUMIFS(G1012:G1474,K1012:K1474,"0",B1012:B1474,"5 1 2 6 1 12 31111 6 M59 19000 000132 0000R 00001 00261 011 2112000 2024*")</f>
        <v>0</v>
      </c>
      <c r="H1011" s="83">
        <f t="shared" si="17"/>
        <v>1200760.42</v>
      </c>
      <c r="I1011" s="83"/>
      <c r="K1011" s="54" t="s">
        <v>15</v>
      </c>
    </row>
    <row r="1012" spans="2:11" ht="41.25" x14ac:dyDescent="0.2">
      <c r="B1012" s="82" t="s">
        <v>7532</v>
      </c>
      <c r="C1012" s="82" t="s">
        <v>662</v>
      </c>
      <c r="D1012" s="83">
        <f>SUMIFS(D1013:D1474,K1013:K1474,"0",B1013:B1474,"5 1 2 6 1 12 31111 6 M59 19000 000132 0000R 00001 00261 011 2112000 2024 CP1TM440*")-SUMIFS(E1013:E1474,K1013:K1474,"0",B1013:B1474,"5 1 2 6 1 12 31111 6 M59 19000 000132 0000R 00001 00261 011 2112000 2024 CP1TM440*")</f>
        <v>1195595.42</v>
      </c>
      <c r="E1012" s="54"/>
      <c r="F1012" s="83">
        <f>SUMIFS(F1013:F1474,K1013:K1474,"0",B1013:B1474,"5 1 2 6 1 12 31111 6 M59 19000 000132 0000R 00001 00261 011 2112000 2024 CP1TM440*")</f>
        <v>5165</v>
      </c>
      <c r="G1012" s="83">
        <f>SUMIFS(G1013:G1474,K1013:K1474,"0",B1013:B1474,"5 1 2 6 1 12 31111 6 M59 19000 000132 0000R 00001 00261 011 2112000 2024 CP1TM440*")</f>
        <v>0</v>
      </c>
      <c r="H1012" s="83">
        <f t="shared" si="17"/>
        <v>1200760.42</v>
      </c>
      <c r="I1012" s="83"/>
      <c r="K1012" s="54" t="s">
        <v>15</v>
      </c>
    </row>
    <row r="1013" spans="2:11" ht="41.25" x14ac:dyDescent="0.2">
      <c r="B1013" s="82" t="s">
        <v>7533</v>
      </c>
      <c r="C1013" s="82" t="s">
        <v>2284</v>
      </c>
      <c r="D1013" s="83">
        <f>SUMIFS(D1014:D1474,K1014:K1474,"0",B1014:B1474,"5 1 2 6 1 12 31111 6 M59 19000 000132 0000R 00001 00261 011 2112000 2024 CP1TM440 004*")-SUMIFS(E1014:E1474,K1014:K1474,"0",B1014:B1474,"5 1 2 6 1 12 31111 6 M59 19000 000132 0000R 00001 00261 011 2112000 2024 CP1TM440 004*")</f>
        <v>1195595.42</v>
      </c>
      <c r="E1013" s="54"/>
      <c r="F1013" s="83">
        <f>SUMIFS(F1014:F1474,K1014:K1474,"0",B1014:B1474,"5 1 2 6 1 12 31111 6 M59 19000 000132 0000R 00001 00261 011 2112000 2024 CP1TM440 004*")</f>
        <v>5165</v>
      </c>
      <c r="G1013" s="83">
        <f>SUMIFS(G1014:G1474,K1014:K1474,"0",B1014:B1474,"5 1 2 6 1 12 31111 6 M59 19000 000132 0000R 00001 00261 011 2112000 2024 CP1TM440 004*")</f>
        <v>0</v>
      </c>
      <c r="H1013" s="83">
        <f t="shared" si="17"/>
        <v>1200760.42</v>
      </c>
      <c r="I1013" s="83"/>
      <c r="K1013" s="54" t="s">
        <v>15</v>
      </c>
    </row>
    <row r="1014" spans="2:11" ht="33" x14ac:dyDescent="0.2">
      <c r="B1014" s="84" t="s">
        <v>7534</v>
      </c>
      <c r="C1014" s="84" t="s">
        <v>2284</v>
      </c>
      <c r="D1014" s="85">
        <v>1195595.42</v>
      </c>
      <c r="E1014" s="85"/>
      <c r="F1014" s="85">
        <v>5165</v>
      </c>
      <c r="G1014" s="85">
        <v>0</v>
      </c>
      <c r="H1014" s="85">
        <f t="shared" si="17"/>
        <v>1200760.42</v>
      </c>
      <c r="I1014" s="85"/>
      <c r="K1014" s="54" t="s">
        <v>38</v>
      </c>
    </row>
    <row r="1015" spans="2:11" ht="24.75" x14ac:dyDescent="0.2">
      <c r="B1015" s="82" t="s">
        <v>7829</v>
      </c>
      <c r="C1015" s="82" t="s">
        <v>7830</v>
      </c>
      <c r="D1015" s="83">
        <f>SUMIFS(D1016:D1474,K1016:K1474,"0",B1016:B1474,"5 1 2 9*")-SUMIFS(E1016:E1474,K1016:K1474,"0",B1016:B1474,"5 1 2 9*")</f>
        <v>2664208.2599999998</v>
      </c>
      <c r="E1015" s="54"/>
      <c r="F1015" s="83">
        <f>SUMIFS(F1016:F1474,K1016:K1474,"0",B1016:B1474,"5 1 2 9*")</f>
        <v>70557.63</v>
      </c>
      <c r="G1015" s="83">
        <f>SUMIFS(G1016:G1474,K1016:K1474,"0",B1016:B1474,"5 1 2 9*")</f>
        <v>0</v>
      </c>
      <c r="H1015" s="83">
        <f t="shared" si="17"/>
        <v>2734765.8899999997</v>
      </c>
      <c r="I1015" s="83"/>
      <c r="K1015" s="54" t="s">
        <v>15</v>
      </c>
    </row>
    <row r="1016" spans="2:11" ht="12.75" x14ac:dyDescent="0.2">
      <c r="B1016" s="82" t="s">
        <v>7831</v>
      </c>
      <c r="C1016" s="82" t="s">
        <v>7832</v>
      </c>
      <c r="D1016" s="83">
        <f>SUMIFS(D1017:D1474,K1017:K1474,"0",B1017:B1474,"5 1 2 9 1*")-SUMIFS(E1017:E1474,K1017:K1474,"0",B1017:B1474,"5 1 2 9 1*")</f>
        <v>3307</v>
      </c>
      <c r="E1016" s="54"/>
      <c r="F1016" s="83">
        <f>SUMIFS(F1017:F1474,K1017:K1474,"0",B1017:B1474,"5 1 2 9 1*")</f>
        <v>70557.63</v>
      </c>
      <c r="G1016" s="83">
        <f>SUMIFS(G1017:G1474,K1017:K1474,"0",B1017:B1474,"5 1 2 9 1*")</f>
        <v>0</v>
      </c>
      <c r="H1016" s="83">
        <f t="shared" si="17"/>
        <v>73864.63</v>
      </c>
      <c r="I1016" s="83"/>
      <c r="K1016" s="54" t="s">
        <v>15</v>
      </c>
    </row>
    <row r="1017" spans="2:11" ht="12.75" x14ac:dyDescent="0.2">
      <c r="B1017" s="82" t="s">
        <v>7833</v>
      </c>
      <c r="C1017" s="82" t="s">
        <v>26</v>
      </c>
      <c r="D1017" s="83">
        <f>SUMIFS(D1018:D1474,K1018:K1474,"0",B1018:B1474,"5 1 2 9 1 12*")-SUMIFS(E1018:E1474,K1018:K1474,"0",B1018:B1474,"5 1 2 9 1 12*")</f>
        <v>3307</v>
      </c>
      <c r="E1017" s="54"/>
      <c r="F1017" s="83">
        <f>SUMIFS(F1018:F1474,K1018:K1474,"0",B1018:B1474,"5 1 2 9 1 12*")</f>
        <v>70557.63</v>
      </c>
      <c r="G1017" s="83">
        <f>SUMIFS(G1018:G1474,K1018:K1474,"0",B1018:B1474,"5 1 2 9 1 12*")</f>
        <v>0</v>
      </c>
      <c r="H1017" s="83">
        <f t="shared" si="17"/>
        <v>73864.63</v>
      </c>
      <c r="I1017" s="83"/>
      <c r="K1017" s="54" t="s">
        <v>15</v>
      </c>
    </row>
    <row r="1018" spans="2:11" ht="16.5" x14ac:dyDescent="0.2">
      <c r="B1018" s="82" t="s">
        <v>7834</v>
      </c>
      <c r="C1018" s="82" t="s">
        <v>28</v>
      </c>
      <c r="D1018" s="83">
        <f>SUMIFS(D1019:D1474,K1019:K1474,"0",B1019:B1474,"5 1 2 9 1 12 31111*")-SUMIFS(E1019:E1474,K1019:K1474,"0",B1019:B1474,"5 1 2 9 1 12 31111*")</f>
        <v>3307</v>
      </c>
      <c r="E1018" s="54"/>
      <c r="F1018" s="83">
        <f>SUMIFS(F1019:F1474,K1019:K1474,"0",B1019:B1474,"5 1 2 9 1 12 31111*")</f>
        <v>70557.63</v>
      </c>
      <c r="G1018" s="83">
        <f>SUMIFS(G1019:G1474,K1019:K1474,"0",B1019:B1474,"5 1 2 9 1 12 31111*")</f>
        <v>0</v>
      </c>
      <c r="H1018" s="83">
        <f t="shared" si="17"/>
        <v>73864.63</v>
      </c>
      <c r="I1018" s="83"/>
      <c r="K1018" s="54" t="s">
        <v>15</v>
      </c>
    </row>
    <row r="1019" spans="2:11" ht="12.75" x14ac:dyDescent="0.2">
      <c r="B1019" s="82" t="s">
        <v>7835</v>
      </c>
      <c r="C1019" s="82" t="s">
        <v>30</v>
      </c>
      <c r="D1019" s="83">
        <f>SUMIFS(D1020:D1474,K1020:K1474,"0",B1020:B1474,"5 1 2 9 1 12 31111 6*")-SUMIFS(E1020:E1474,K1020:K1474,"0",B1020:B1474,"5 1 2 9 1 12 31111 6*")</f>
        <v>3307</v>
      </c>
      <c r="E1019" s="54"/>
      <c r="F1019" s="83">
        <f>SUMIFS(F1020:F1474,K1020:K1474,"0",B1020:B1474,"5 1 2 9 1 12 31111 6*")</f>
        <v>70557.63</v>
      </c>
      <c r="G1019" s="83">
        <f>SUMIFS(G1020:G1474,K1020:K1474,"0",B1020:B1474,"5 1 2 9 1 12 31111 6*")</f>
        <v>0</v>
      </c>
      <c r="H1019" s="83">
        <f t="shared" si="17"/>
        <v>73864.63</v>
      </c>
      <c r="I1019" s="83"/>
      <c r="K1019" s="54" t="s">
        <v>15</v>
      </c>
    </row>
    <row r="1020" spans="2:11" ht="16.5" x14ac:dyDescent="0.2">
      <c r="B1020" s="82" t="s">
        <v>7836</v>
      </c>
      <c r="C1020" s="82" t="s">
        <v>2284</v>
      </c>
      <c r="D1020" s="83">
        <f>SUMIFS(D1021:D1474,K1021:K1474,"0",B1021:B1474,"5 1 2 9 1 12 31111 6 M59*")-SUMIFS(E1021:E1474,K1021:K1474,"0",B1021:B1474,"5 1 2 9 1 12 31111 6 M59*")</f>
        <v>3307</v>
      </c>
      <c r="E1020" s="54"/>
      <c r="F1020" s="83">
        <f>SUMIFS(F1021:F1474,K1021:K1474,"0",B1021:B1474,"5 1 2 9 1 12 31111 6 M59*")</f>
        <v>70557.63</v>
      </c>
      <c r="G1020" s="83">
        <f>SUMIFS(G1021:G1474,K1021:K1474,"0",B1021:B1474,"5 1 2 9 1 12 31111 6 M59*")</f>
        <v>0</v>
      </c>
      <c r="H1020" s="83">
        <f t="shared" si="17"/>
        <v>73864.63</v>
      </c>
      <c r="I1020" s="83"/>
      <c r="K1020" s="54" t="s">
        <v>15</v>
      </c>
    </row>
    <row r="1021" spans="2:11" ht="16.5" x14ac:dyDescent="0.2">
      <c r="B1021" s="82" t="s">
        <v>7837</v>
      </c>
      <c r="C1021" s="82" t="s">
        <v>1044</v>
      </c>
      <c r="D1021" s="83">
        <f>SUMIFS(D1022:D1474,K1022:K1474,"0",B1022:B1474,"5 1 2 9 1 12 31111 6 M59 19000*")-SUMIFS(E1022:E1474,K1022:K1474,"0",B1022:B1474,"5 1 2 9 1 12 31111 6 M59 19000*")</f>
        <v>3307</v>
      </c>
      <c r="E1021" s="54"/>
      <c r="F1021" s="83">
        <f>SUMIFS(F1022:F1474,K1022:K1474,"0",B1022:B1474,"5 1 2 9 1 12 31111 6 M59 19000*")</f>
        <v>70557.63</v>
      </c>
      <c r="G1021" s="83">
        <f>SUMIFS(G1022:G1474,K1022:K1474,"0",B1022:B1474,"5 1 2 9 1 12 31111 6 M59 19000*")</f>
        <v>0</v>
      </c>
      <c r="H1021" s="83">
        <f t="shared" si="17"/>
        <v>73864.63</v>
      </c>
      <c r="I1021" s="83"/>
      <c r="K1021" s="54" t="s">
        <v>15</v>
      </c>
    </row>
    <row r="1022" spans="2:11" ht="16.5" x14ac:dyDescent="0.2">
      <c r="B1022" s="82" t="s">
        <v>7838</v>
      </c>
      <c r="C1022" s="82" t="s">
        <v>648</v>
      </c>
      <c r="D1022" s="83">
        <f>SUMIFS(D1023:D1474,K1023:K1474,"0",B1023:B1474,"5 1 2 9 1 12 31111 6 M59 19000 000132*")-SUMIFS(E1023:E1474,K1023:K1474,"0",B1023:B1474,"5 1 2 9 1 12 31111 6 M59 19000 000132*")</f>
        <v>3307</v>
      </c>
      <c r="E1022" s="54"/>
      <c r="F1022" s="83">
        <f>SUMIFS(F1023:F1474,K1023:K1474,"0",B1023:B1474,"5 1 2 9 1 12 31111 6 M59 19000 000132*")</f>
        <v>70557.63</v>
      </c>
      <c r="G1022" s="83">
        <f>SUMIFS(G1023:G1474,K1023:K1474,"0",B1023:B1474,"5 1 2 9 1 12 31111 6 M59 19000 000132*")</f>
        <v>0</v>
      </c>
      <c r="H1022" s="83">
        <f t="shared" si="17"/>
        <v>73864.63</v>
      </c>
      <c r="I1022" s="83"/>
      <c r="K1022" s="54" t="s">
        <v>15</v>
      </c>
    </row>
    <row r="1023" spans="2:11" ht="24.75" x14ac:dyDescent="0.2">
      <c r="B1023" s="82" t="s">
        <v>7839</v>
      </c>
      <c r="C1023" s="82" t="s">
        <v>650</v>
      </c>
      <c r="D1023" s="83">
        <f>SUMIFS(D1024:D1474,K1024:K1474,"0",B1024:B1474,"5 1 2 9 1 12 31111 6 M59 19000 000132 0000R*")-SUMIFS(E1024:E1474,K1024:K1474,"0",B1024:B1474,"5 1 2 9 1 12 31111 6 M59 19000 000132 0000R*")</f>
        <v>3307</v>
      </c>
      <c r="E1023" s="54"/>
      <c r="F1023" s="83">
        <f>SUMIFS(F1024:F1474,K1024:K1474,"0",B1024:B1474,"5 1 2 9 1 12 31111 6 M59 19000 000132 0000R*")</f>
        <v>70557.63</v>
      </c>
      <c r="G1023" s="83">
        <f>SUMIFS(G1024:G1474,K1024:K1474,"0",B1024:B1474,"5 1 2 9 1 12 31111 6 M59 19000 000132 0000R*")</f>
        <v>0</v>
      </c>
      <c r="H1023" s="83">
        <f t="shared" si="17"/>
        <v>73864.63</v>
      </c>
      <c r="I1023" s="83"/>
      <c r="K1023" s="54" t="s">
        <v>15</v>
      </c>
    </row>
    <row r="1024" spans="2:11" ht="24.75" x14ac:dyDescent="0.2">
      <c r="B1024" s="82" t="s">
        <v>7840</v>
      </c>
      <c r="C1024" s="82" t="s">
        <v>282</v>
      </c>
      <c r="D1024" s="83">
        <f>SUMIFS(D1025:D1474,K1025:K1474,"0",B1025:B1474,"5 1 2 9 1 12 31111 6 M59 19000 000132 0000R 00001*")-SUMIFS(E1025:E1474,K1025:K1474,"0",B1025:B1474,"5 1 2 9 1 12 31111 6 M59 19000 000132 0000R 00001*")</f>
        <v>3307</v>
      </c>
      <c r="E1024" s="54"/>
      <c r="F1024" s="83">
        <f>SUMIFS(F1025:F1474,K1025:K1474,"0",B1025:B1474,"5 1 2 9 1 12 31111 6 M59 19000 000132 0000R 00001*")</f>
        <v>70557.63</v>
      </c>
      <c r="G1024" s="83">
        <f>SUMIFS(G1025:G1474,K1025:K1474,"0",B1025:B1474,"5 1 2 9 1 12 31111 6 M59 19000 000132 0000R 00001*")</f>
        <v>0</v>
      </c>
      <c r="H1024" s="83">
        <f t="shared" si="17"/>
        <v>73864.63</v>
      </c>
      <c r="I1024" s="83"/>
      <c r="K1024" s="54" t="s">
        <v>15</v>
      </c>
    </row>
    <row r="1025" spans="2:11" ht="24.75" x14ac:dyDescent="0.2">
      <c r="B1025" s="82" t="s">
        <v>7841</v>
      </c>
      <c r="C1025" s="82" t="s">
        <v>7842</v>
      </c>
      <c r="D1025" s="83">
        <f>SUMIFS(D1026:D1474,K1026:K1474,"0",B1026:B1474,"5 1 2 9 1 12 31111 6 M59 19000 000132 0000R 00001 00291*")-SUMIFS(E1026:E1474,K1026:K1474,"0",B1026:B1474,"5 1 2 9 1 12 31111 6 M59 19000 000132 0000R 00001 00291*")</f>
        <v>3307</v>
      </c>
      <c r="E1025" s="54"/>
      <c r="F1025" s="83">
        <f>SUMIFS(F1026:F1474,K1026:K1474,"0",B1026:B1474,"5 1 2 9 1 12 31111 6 M59 19000 000132 0000R 00001 00291*")</f>
        <v>70557.63</v>
      </c>
      <c r="G1025" s="83">
        <f>SUMIFS(G1026:G1474,K1026:K1474,"0",B1026:B1474,"5 1 2 9 1 12 31111 6 M59 19000 000132 0000R 00001 00291*")</f>
        <v>0</v>
      </c>
      <c r="H1025" s="83">
        <f t="shared" si="17"/>
        <v>73864.63</v>
      </c>
      <c r="I1025" s="83"/>
      <c r="K1025" s="54" t="s">
        <v>15</v>
      </c>
    </row>
    <row r="1026" spans="2:11" ht="33" x14ac:dyDescent="0.2">
      <c r="B1026" s="82" t="s">
        <v>7843</v>
      </c>
      <c r="C1026" s="82" t="s">
        <v>699</v>
      </c>
      <c r="D1026" s="83">
        <f>SUMIFS(D1027:D1474,K1027:K1474,"0",B1027:B1474,"5 1 2 9 1 12 31111 6 M59 19000 000132 0000R 00001 00291 011*")-SUMIFS(E1027:E1474,K1027:K1474,"0",B1027:B1474,"5 1 2 9 1 12 31111 6 M59 19000 000132 0000R 00001 00291 011*")</f>
        <v>3307</v>
      </c>
      <c r="E1026" s="54"/>
      <c r="F1026" s="83">
        <f>SUMIFS(F1027:F1474,K1027:K1474,"0",B1027:B1474,"5 1 2 9 1 12 31111 6 M59 19000 000132 0000R 00001 00291 011*")</f>
        <v>70557.63</v>
      </c>
      <c r="G1026" s="83">
        <f>SUMIFS(G1027:G1474,K1027:K1474,"0",B1027:B1474,"5 1 2 9 1 12 31111 6 M59 19000 000132 0000R 00001 00291 011*")</f>
        <v>0</v>
      </c>
      <c r="H1026" s="83">
        <f t="shared" si="17"/>
        <v>73864.63</v>
      </c>
      <c r="I1026" s="83"/>
      <c r="K1026" s="54" t="s">
        <v>15</v>
      </c>
    </row>
    <row r="1027" spans="2:11" ht="33" x14ac:dyDescent="0.2">
      <c r="B1027" s="82" t="s">
        <v>7844</v>
      </c>
      <c r="C1027" s="82" t="s">
        <v>5830</v>
      </c>
      <c r="D1027" s="83">
        <f>SUMIFS(D1028:D1474,K1028:K1474,"0",B1028:B1474,"5 1 2 9 1 12 31111 6 M59 19000 000132 0000R 00001 00291 011 2112000*")-SUMIFS(E1028:E1474,K1028:K1474,"0",B1028:B1474,"5 1 2 9 1 12 31111 6 M59 19000 000132 0000R 00001 00291 011 2112000*")</f>
        <v>3307</v>
      </c>
      <c r="E1027" s="54"/>
      <c r="F1027" s="83">
        <f>SUMIFS(F1028:F1474,K1028:K1474,"0",B1028:B1474,"5 1 2 9 1 12 31111 6 M59 19000 000132 0000R 00001 00291 011 2112000*")</f>
        <v>70557.63</v>
      </c>
      <c r="G1027" s="83">
        <f>SUMIFS(G1028:G1474,K1028:K1474,"0",B1028:B1474,"5 1 2 9 1 12 31111 6 M59 19000 000132 0000R 00001 00291 011 2112000*")</f>
        <v>0</v>
      </c>
      <c r="H1027" s="83">
        <f t="shared" si="17"/>
        <v>73864.63</v>
      </c>
      <c r="I1027" s="83"/>
      <c r="K1027" s="54" t="s">
        <v>15</v>
      </c>
    </row>
    <row r="1028" spans="2:11" ht="33" x14ac:dyDescent="0.2">
      <c r="B1028" s="82" t="s">
        <v>7845</v>
      </c>
      <c r="C1028" s="82" t="s">
        <v>660</v>
      </c>
      <c r="D1028" s="83">
        <f>SUMIFS(D1029:D1474,K1029:K1474,"0",B1029:B1474,"5 1 2 9 1 12 31111 6 M59 19000 000132 0000R 00001 00291 011 2112000 2024*")-SUMIFS(E1029:E1474,K1029:K1474,"0",B1029:B1474,"5 1 2 9 1 12 31111 6 M59 19000 000132 0000R 00001 00291 011 2112000 2024*")</f>
        <v>3307</v>
      </c>
      <c r="E1028" s="54"/>
      <c r="F1028" s="83">
        <f>SUMIFS(F1029:F1474,K1029:K1474,"0",B1029:B1474,"5 1 2 9 1 12 31111 6 M59 19000 000132 0000R 00001 00291 011 2112000 2024*")</f>
        <v>70557.63</v>
      </c>
      <c r="G1028" s="83">
        <f>SUMIFS(G1029:G1474,K1029:K1474,"0",B1029:B1474,"5 1 2 9 1 12 31111 6 M59 19000 000132 0000R 00001 00291 011 2112000 2024*")</f>
        <v>0</v>
      </c>
      <c r="H1028" s="83">
        <f t="shared" si="17"/>
        <v>73864.63</v>
      </c>
      <c r="I1028" s="83"/>
      <c r="K1028" s="54" t="s">
        <v>15</v>
      </c>
    </row>
    <row r="1029" spans="2:11" ht="41.25" x14ac:dyDescent="0.2">
      <c r="B1029" s="82" t="s">
        <v>7846</v>
      </c>
      <c r="C1029" s="82" t="s">
        <v>662</v>
      </c>
      <c r="D1029" s="83">
        <f>SUMIFS(D1030:D1474,K1030:K1474,"0",B1030:B1474,"5 1 2 9 1 12 31111 6 M59 19000 000132 0000R 00001 00291 011 2112000 2024 CP1TM440*")-SUMIFS(E1030:E1474,K1030:K1474,"0",B1030:B1474,"5 1 2 9 1 12 31111 6 M59 19000 000132 0000R 00001 00291 011 2112000 2024 CP1TM440*")</f>
        <v>3307</v>
      </c>
      <c r="E1029" s="54"/>
      <c r="F1029" s="83">
        <f>SUMIFS(F1030:F1474,K1030:K1474,"0",B1030:B1474,"5 1 2 9 1 12 31111 6 M59 19000 000132 0000R 00001 00291 011 2112000 2024 CP1TM440*")</f>
        <v>70557.63</v>
      </c>
      <c r="G1029" s="83">
        <f>SUMIFS(G1030:G1474,K1030:K1474,"0",B1030:B1474,"5 1 2 9 1 12 31111 6 M59 19000 000132 0000R 00001 00291 011 2112000 2024 CP1TM440*")</f>
        <v>0</v>
      </c>
      <c r="H1029" s="83">
        <f t="shared" si="17"/>
        <v>73864.63</v>
      </c>
      <c r="I1029" s="83"/>
      <c r="K1029" s="54" t="s">
        <v>15</v>
      </c>
    </row>
    <row r="1030" spans="2:11" ht="41.25" x14ac:dyDescent="0.2">
      <c r="B1030" s="82" t="s">
        <v>7847</v>
      </c>
      <c r="C1030" s="82" t="s">
        <v>2284</v>
      </c>
      <c r="D1030" s="83">
        <f>SUMIFS(D1031:D1474,K1031:K1474,"0",B1031:B1474,"5 1 2 9 1 12 31111 6 M59 19000 000132 0000R 00001 00291 011 2112000 2024 CP1TM440 004*")-SUMIFS(E1031:E1474,K1031:K1474,"0",B1031:B1474,"5 1 2 9 1 12 31111 6 M59 19000 000132 0000R 00001 00291 011 2112000 2024 CP1TM440 004*")</f>
        <v>3307</v>
      </c>
      <c r="E1030" s="54"/>
      <c r="F1030" s="83">
        <f>SUMIFS(F1031:F1474,K1031:K1474,"0",B1031:B1474,"5 1 2 9 1 12 31111 6 M59 19000 000132 0000R 00001 00291 011 2112000 2024 CP1TM440 004*")</f>
        <v>70557.63</v>
      </c>
      <c r="G1030" s="83">
        <f>SUMIFS(G1031:G1474,K1031:K1474,"0",B1031:B1474,"5 1 2 9 1 12 31111 6 M59 19000 000132 0000R 00001 00291 011 2112000 2024 CP1TM440 004*")</f>
        <v>0</v>
      </c>
      <c r="H1030" s="83">
        <f t="shared" si="17"/>
        <v>73864.63</v>
      </c>
      <c r="I1030" s="83"/>
      <c r="K1030" s="54" t="s">
        <v>15</v>
      </c>
    </row>
    <row r="1031" spans="2:11" ht="33" x14ac:dyDescent="0.2">
      <c r="B1031" s="84" t="s">
        <v>7848</v>
      </c>
      <c r="C1031" s="84" t="s">
        <v>2284</v>
      </c>
      <c r="D1031" s="85">
        <v>3307</v>
      </c>
      <c r="E1031" s="85"/>
      <c r="F1031" s="85">
        <v>70557.63</v>
      </c>
      <c r="G1031" s="85">
        <v>0</v>
      </c>
      <c r="H1031" s="85">
        <f t="shared" si="17"/>
        <v>73864.63</v>
      </c>
      <c r="I1031" s="85"/>
      <c r="K1031" s="54" t="s">
        <v>38</v>
      </c>
    </row>
    <row r="1032" spans="2:11" ht="24.75" x14ac:dyDescent="0.2">
      <c r="B1032" s="82" t="s">
        <v>8068</v>
      </c>
      <c r="C1032" s="82" t="s">
        <v>8069</v>
      </c>
      <c r="D1032" s="83">
        <f>SUMIFS(D1033:D1474,K1033:K1474,"0",B1033:B1474,"5 1 2 9 6*")-SUMIFS(E1033:E1474,K1033:K1474,"0",B1033:B1474,"5 1 2 9 6*")</f>
        <v>2660901.2599999998</v>
      </c>
      <c r="E1032" s="54"/>
      <c r="F1032" s="83">
        <f>SUMIFS(F1033:F1474,K1033:K1474,"0",B1033:B1474,"5 1 2 9 6*")</f>
        <v>0</v>
      </c>
      <c r="G1032" s="83">
        <f>SUMIFS(G1033:G1474,K1033:K1474,"0",B1033:B1474,"5 1 2 9 6*")</f>
        <v>0</v>
      </c>
      <c r="H1032" s="83">
        <f t="shared" si="17"/>
        <v>2660901.2599999998</v>
      </c>
      <c r="I1032" s="83"/>
      <c r="K1032" s="54" t="s">
        <v>15</v>
      </c>
    </row>
    <row r="1033" spans="2:11" ht="12.75" x14ac:dyDescent="0.2">
      <c r="B1033" s="82" t="s">
        <v>8070</v>
      </c>
      <c r="C1033" s="82" t="s">
        <v>26</v>
      </c>
      <c r="D1033" s="83">
        <f>SUMIFS(D1034:D1474,K1034:K1474,"0",B1034:B1474,"5 1 2 9 6 12*")-SUMIFS(E1034:E1474,K1034:K1474,"0",B1034:B1474,"5 1 2 9 6 12*")</f>
        <v>2660901.2599999998</v>
      </c>
      <c r="E1033" s="54"/>
      <c r="F1033" s="83">
        <f>SUMIFS(F1034:F1474,K1034:K1474,"0",B1034:B1474,"5 1 2 9 6 12*")</f>
        <v>0</v>
      </c>
      <c r="G1033" s="83">
        <f>SUMIFS(G1034:G1474,K1034:K1474,"0",B1034:B1474,"5 1 2 9 6 12*")</f>
        <v>0</v>
      </c>
      <c r="H1033" s="83">
        <f t="shared" si="17"/>
        <v>2660901.2599999998</v>
      </c>
      <c r="I1033" s="83"/>
      <c r="K1033" s="54" t="s">
        <v>15</v>
      </c>
    </row>
    <row r="1034" spans="2:11" ht="16.5" x14ac:dyDescent="0.2">
      <c r="B1034" s="82" t="s">
        <v>8071</v>
      </c>
      <c r="C1034" s="82" t="s">
        <v>28</v>
      </c>
      <c r="D1034" s="83">
        <f>SUMIFS(D1035:D1474,K1035:K1474,"0",B1035:B1474,"5 1 2 9 6 12 31111*")-SUMIFS(E1035:E1474,K1035:K1474,"0",B1035:B1474,"5 1 2 9 6 12 31111*")</f>
        <v>2660901.2599999998</v>
      </c>
      <c r="E1034" s="54"/>
      <c r="F1034" s="83">
        <f>SUMIFS(F1035:F1474,K1035:K1474,"0",B1035:B1474,"5 1 2 9 6 12 31111*")</f>
        <v>0</v>
      </c>
      <c r="G1034" s="83">
        <f>SUMIFS(G1035:G1474,K1035:K1474,"0",B1035:B1474,"5 1 2 9 6 12 31111*")</f>
        <v>0</v>
      </c>
      <c r="H1034" s="83">
        <f t="shared" si="17"/>
        <v>2660901.2599999998</v>
      </c>
      <c r="I1034" s="83"/>
      <c r="K1034" s="54" t="s">
        <v>15</v>
      </c>
    </row>
    <row r="1035" spans="2:11" ht="12.75" x14ac:dyDescent="0.2">
      <c r="B1035" s="82" t="s">
        <v>8072</v>
      </c>
      <c r="C1035" s="82" t="s">
        <v>30</v>
      </c>
      <c r="D1035" s="83">
        <f>SUMIFS(D1036:D1474,K1036:K1474,"0",B1036:B1474,"5 1 2 9 6 12 31111 6*")-SUMIFS(E1036:E1474,K1036:K1474,"0",B1036:B1474,"5 1 2 9 6 12 31111 6*")</f>
        <v>2660901.2599999998</v>
      </c>
      <c r="E1035" s="54"/>
      <c r="F1035" s="83">
        <f>SUMIFS(F1036:F1474,K1036:K1474,"0",B1036:B1474,"5 1 2 9 6 12 31111 6*")</f>
        <v>0</v>
      </c>
      <c r="G1035" s="83">
        <f>SUMIFS(G1036:G1474,K1036:K1474,"0",B1036:B1474,"5 1 2 9 6 12 31111 6*")</f>
        <v>0</v>
      </c>
      <c r="H1035" s="83">
        <f t="shared" si="17"/>
        <v>2660901.2599999998</v>
      </c>
      <c r="I1035" s="83"/>
      <c r="K1035" s="54" t="s">
        <v>15</v>
      </c>
    </row>
    <row r="1036" spans="2:11" ht="16.5" x14ac:dyDescent="0.2">
      <c r="B1036" s="82" t="s">
        <v>8073</v>
      </c>
      <c r="C1036" s="82" t="s">
        <v>2284</v>
      </c>
      <c r="D1036" s="83">
        <f>SUMIFS(D1037:D1474,K1037:K1474,"0",B1037:B1474,"5 1 2 9 6 12 31111 6 M59*")-SUMIFS(E1037:E1474,K1037:K1474,"0",B1037:B1474,"5 1 2 9 6 12 31111 6 M59*")</f>
        <v>2660901.2599999998</v>
      </c>
      <c r="E1036" s="54"/>
      <c r="F1036" s="83">
        <f>SUMIFS(F1037:F1474,K1037:K1474,"0",B1037:B1474,"5 1 2 9 6 12 31111 6 M59*")</f>
        <v>0</v>
      </c>
      <c r="G1036" s="83">
        <f>SUMIFS(G1037:G1474,K1037:K1474,"0",B1037:B1474,"5 1 2 9 6 12 31111 6 M59*")</f>
        <v>0</v>
      </c>
      <c r="H1036" s="83">
        <f t="shared" si="17"/>
        <v>2660901.2599999998</v>
      </c>
      <c r="I1036" s="83"/>
      <c r="K1036" s="54" t="s">
        <v>15</v>
      </c>
    </row>
    <row r="1037" spans="2:11" ht="16.5" x14ac:dyDescent="0.2">
      <c r="B1037" s="82" t="s">
        <v>8074</v>
      </c>
      <c r="C1037" s="82" t="s">
        <v>1044</v>
      </c>
      <c r="D1037" s="83">
        <f>SUMIFS(D1038:D1474,K1038:K1474,"0",B1038:B1474,"5 1 2 9 6 12 31111 6 M59 19000*")-SUMIFS(E1038:E1474,K1038:K1474,"0",B1038:B1474,"5 1 2 9 6 12 31111 6 M59 19000*")</f>
        <v>8200</v>
      </c>
      <c r="E1037" s="54"/>
      <c r="F1037" s="83">
        <f>SUMIFS(F1038:F1474,K1038:K1474,"0",B1038:B1474,"5 1 2 9 6 12 31111 6 M59 19000*")</f>
        <v>0</v>
      </c>
      <c r="G1037" s="83">
        <f>SUMIFS(G1038:G1474,K1038:K1474,"0",B1038:B1474,"5 1 2 9 6 12 31111 6 M59 19000*")</f>
        <v>0</v>
      </c>
      <c r="H1037" s="83">
        <f t="shared" si="17"/>
        <v>8200</v>
      </c>
      <c r="I1037" s="83"/>
      <c r="K1037" s="54" t="s">
        <v>15</v>
      </c>
    </row>
    <row r="1038" spans="2:11" ht="16.5" x14ac:dyDescent="0.2">
      <c r="B1038" s="82" t="s">
        <v>8075</v>
      </c>
      <c r="C1038" s="82" t="s">
        <v>648</v>
      </c>
      <c r="D1038" s="83">
        <f>SUMIFS(D1039:D1474,K1039:K1474,"0",B1039:B1474,"5 1 2 9 6 12 31111 6 M59 19000 000132*")-SUMIFS(E1039:E1474,K1039:K1474,"0",B1039:B1474,"5 1 2 9 6 12 31111 6 M59 19000 000132*")</f>
        <v>8200</v>
      </c>
      <c r="E1038" s="54"/>
      <c r="F1038" s="83">
        <f>SUMIFS(F1039:F1474,K1039:K1474,"0",B1039:B1474,"5 1 2 9 6 12 31111 6 M59 19000 000132*")</f>
        <v>0</v>
      </c>
      <c r="G1038" s="83">
        <f>SUMIFS(G1039:G1474,K1039:K1474,"0",B1039:B1474,"5 1 2 9 6 12 31111 6 M59 19000 000132*")</f>
        <v>0</v>
      </c>
      <c r="H1038" s="83">
        <f t="shared" si="17"/>
        <v>8200</v>
      </c>
      <c r="I1038" s="83"/>
      <c r="K1038" s="54" t="s">
        <v>15</v>
      </c>
    </row>
    <row r="1039" spans="2:11" ht="24.75" x14ac:dyDescent="0.2">
      <c r="B1039" s="82" t="s">
        <v>8076</v>
      </c>
      <c r="C1039" s="82" t="s">
        <v>650</v>
      </c>
      <c r="D1039" s="83">
        <f>SUMIFS(D1040:D1474,K1040:K1474,"0",B1040:B1474,"5 1 2 9 6 12 31111 6 M59 19000 000132 0000R*")-SUMIFS(E1040:E1474,K1040:K1474,"0",B1040:B1474,"5 1 2 9 6 12 31111 6 M59 19000 000132 0000R*")</f>
        <v>8200</v>
      </c>
      <c r="E1039" s="54"/>
      <c r="F1039" s="83">
        <f>SUMIFS(F1040:F1474,K1040:K1474,"0",B1040:B1474,"5 1 2 9 6 12 31111 6 M59 19000 000132 0000R*")</f>
        <v>0</v>
      </c>
      <c r="G1039" s="83">
        <f>SUMIFS(G1040:G1474,K1040:K1474,"0",B1040:B1474,"5 1 2 9 6 12 31111 6 M59 19000 000132 0000R*")</f>
        <v>0</v>
      </c>
      <c r="H1039" s="83">
        <f t="shared" si="17"/>
        <v>8200</v>
      </c>
      <c r="I1039" s="83"/>
      <c r="K1039" s="54" t="s">
        <v>15</v>
      </c>
    </row>
    <row r="1040" spans="2:11" ht="24.75" x14ac:dyDescent="0.2">
      <c r="B1040" s="82" t="s">
        <v>8077</v>
      </c>
      <c r="C1040" s="82" t="s">
        <v>282</v>
      </c>
      <c r="D1040" s="83">
        <f>SUMIFS(D1041:D1474,K1041:K1474,"0",B1041:B1474,"5 1 2 9 6 12 31111 6 M59 19000 000132 0000R 00001*")-SUMIFS(E1041:E1474,K1041:K1474,"0",B1041:B1474,"5 1 2 9 6 12 31111 6 M59 19000 000132 0000R 00001*")</f>
        <v>8200</v>
      </c>
      <c r="E1040" s="54"/>
      <c r="F1040" s="83">
        <f>SUMIFS(F1041:F1474,K1041:K1474,"0",B1041:B1474,"5 1 2 9 6 12 31111 6 M59 19000 000132 0000R 00001*")</f>
        <v>0</v>
      </c>
      <c r="G1040" s="83">
        <f>SUMIFS(G1041:G1474,K1041:K1474,"0",B1041:B1474,"5 1 2 9 6 12 31111 6 M59 19000 000132 0000R 00001*")</f>
        <v>0</v>
      </c>
      <c r="H1040" s="83">
        <f t="shared" si="17"/>
        <v>8200</v>
      </c>
      <c r="I1040" s="83"/>
      <c r="K1040" s="54" t="s">
        <v>15</v>
      </c>
    </row>
    <row r="1041" spans="2:11" ht="24.75" x14ac:dyDescent="0.2">
      <c r="B1041" s="82" t="s">
        <v>8078</v>
      </c>
      <c r="C1041" s="82" t="s">
        <v>8079</v>
      </c>
      <c r="D1041" s="83">
        <f>SUMIFS(D1042:D1474,K1042:K1474,"0",B1042:B1474,"5 1 2 9 6 12 31111 6 M59 19000 000132 0000R 00001 00296*")-SUMIFS(E1042:E1474,K1042:K1474,"0",B1042:B1474,"5 1 2 9 6 12 31111 6 M59 19000 000132 0000R 00001 00296*")</f>
        <v>8200</v>
      </c>
      <c r="E1041" s="54"/>
      <c r="F1041" s="83">
        <f>SUMIFS(F1042:F1474,K1042:K1474,"0",B1042:B1474,"5 1 2 9 6 12 31111 6 M59 19000 000132 0000R 00001 00296*")</f>
        <v>0</v>
      </c>
      <c r="G1041" s="83">
        <f>SUMIFS(G1042:G1474,K1042:K1474,"0",B1042:B1474,"5 1 2 9 6 12 31111 6 M59 19000 000132 0000R 00001 00296*")</f>
        <v>0</v>
      </c>
      <c r="H1041" s="83">
        <f t="shared" si="17"/>
        <v>8200</v>
      </c>
      <c r="I1041" s="83"/>
      <c r="K1041" s="54" t="s">
        <v>15</v>
      </c>
    </row>
    <row r="1042" spans="2:11" ht="33" x14ac:dyDescent="0.2">
      <c r="B1042" s="82" t="s">
        <v>8080</v>
      </c>
      <c r="C1042" s="82" t="s">
        <v>699</v>
      </c>
      <c r="D1042" s="83">
        <f>SUMIFS(D1043:D1474,K1043:K1474,"0",B1043:B1474,"5 1 2 9 6 12 31111 6 M59 19000 000132 0000R 00001 00296 011*")-SUMIFS(E1043:E1474,K1043:K1474,"0",B1043:B1474,"5 1 2 9 6 12 31111 6 M59 19000 000132 0000R 00001 00296 011*")</f>
        <v>8200</v>
      </c>
      <c r="E1042" s="54"/>
      <c r="F1042" s="83">
        <f>SUMIFS(F1043:F1474,K1043:K1474,"0",B1043:B1474,"5 1 2 9 6 12 31111 6 M59 19000 000132 0000R 00001 00296 011*")</f>
        <v>0</v>
      </c>
      <c r="G1042" s="83">
        <f>SUMIFS(G1043:G1474,K1043:K1474,"0",B1043:B1474,"5 1 2 9 6 12 31111 6 M59 19000 000132 0000R 00001 00296 011*")</f>
        <v>0</v>
      </c>
      <c r="H1042" s="83">
        <f t="shared" si="17"/>
        <v>8200</v>
      </c>
      <c r="I1042" s="83"/>
      <c r="K1042" s="54" t="s">
        <v>15</v>
      </c>
    </row>
    <row r="1043" spans="2:11" ht="33" x14ac:dyDescent="0.2">
      <c r="B1043" s="82" t="s">
        <v>8081</v>
      </c>
      <c r="C1043" s="82" t="s">
        <v>5830</v>
      </c>
      <c r="D1043" s="83">
        <f>SUMIFS(D1044:D1474,K1044:K1474,"0",B1044:B1474,"5 1 2 9 6 12 31111 6 M59 19000 000132 0000R 00001 00296 011 2112000*")-SUMIFS(E1044:E1474,K1044:K1474,"0",B1044:B1474,"5 1 2 9 6 12 31111 6 M59 19000 000132 0000R 00001 00296 011 2112000*")</f>
        <v>8200</v>
      </c>
      <c r="E1043" s="54"/>
      <c r="F1043" s="83">
        <f>SUMIFS(F1044:F1474,K1044:K1474,"0",B1044:B1474,"5 1 2 9 6 12 31111 6 M59 19000 000132 0000R 00001 00296 011 2112000*")</f>
        <v>0</v>
      </c>
      <c r="G1043" s="83">
        <f>SUMIFS(G1044:G1474,K1044:K1474,"0",B1044:B1474,"5 1 2 9 6 12 31111 6 M59 19000 000132 0000R 00001 00296 011 2112000*")</f>
        <v>0</v>
      </c>
      <c r="H1043" s="83">
        <f t="shared" si="17"/>
        <v>8200</v>
      </c>
      <c r="I1043" s="83"/>
      <c r="K1043" s="54" t="s">
        <v>15</v>
      </c>
    </row>
    <row r="1044" spans="2:11" ht="33" x14ac:dyDescent="0.2">
      <c r="B1044" s="82" t="s">
        <v>8082</v>
      </c>
      <c r="C1044" s="82" t="s">
        <v>660</v>
      </c>
      <c r="D1044" s="83">
        <f>SUMIFS(D1045:D1474,K1045:K1474,"0",B1045:B1474,"5 1 2 9 6 12 31111 6 M59 19000 000132 0000R 00001 00296 011 2112000 2024*")-SUMIFS(E1045:E1474,K1045:K1474,"0",B1045:B1474,"5 1 2 9 6 12 31111 6 M59 19000 000132 0000R 00001 00296 011 2112000 2024*")</f>
        <v>8200</v>
      </c>
      <c r="E1044" s="54"/>
      <c r="F1044" s="83">
        <f>SUMIFS(F1045:F1474,K1045:K1474,"0",B1045:B1474,"5 1 2 9 6 12 31111 6 M59 19000 000132 0000R 00001 00296 011 2112000 2024*")</f>
        <v>0</v>
      </c>
      <c r="G1044" s="83">
        <f>SUMIFS(G1045:G1474,K1045:K1474,"0",B1045:B1474,"5 1 2 9 6 12 31111 6 M59 19000 000132 0000R 00001 00296 011 2112000 2024*")</f>
        <v>0</v>
      </c>
      <c r="H1044" s="83">
        <f t="shared" si="17"/>
        <v>8200</v>
      </c>
      <c r="I1044" s="83"/>
      <c r="K1044" s="54" t="s">
        <v>15</v>
      </c>
    </row>
    <row r="1045" spans="2:11" ht="41.25" x14ac:dyDescent="0.2">
      <c r="B1045" s="82" t="s">
        <v>8083</v>
      </c>
      <c r="C1045" s="82" t="s">
        <v>662</v>
      </c>
      <c r="D1045" s="83">
        <f>SUMIFS(D1046:D1474,K1046:K1474,"0",B1046:B1474,"5 1 2 9 6 12 31111 6 M59 19000 000132 0000R 00001 00296 011 2112000 2024 CP1TM440*")-SUMIFS(E1046:E1474,K1046:K1474,"0",B1046:B1474,"5 1 2 9 6 12 31111 6 M59 19000 000132 0000R 00001 00296 011 2112000 2024 CP1TM440*")</f>
        <v>8200</v>
      </c>
      <c r="E1045" s="54"/>
      <c r="F1045" s="83">
        <f>SUMIFS(F1046:F1474,K1046:K1474,"0",B1046:B1474,"5 1 2 9 6 12 31111 6 M59 19000 000132 0000R 00001 00296 011 2112000 2024 CP1TM440*")</f>
        <v>0</v>
      </c>
      <c r="G1045" s="83">
        <f>SUMIFS(G1046:G1474,K1046:K1474,"0",B1046:B1474,"5 1 2 9 6 12 31111 6 M59 19000 000132 0000R 00001 00296 011 2112000 2024 CP1TM440*")</f>
        <v>0</v>
      </c>
      <c r="H1045" s="83">
        <f t="shared" si="17"/>
        <v>8200</v>
      </c>
      <c r="I1045" s="83"/>
      <c r="K1045" s="54" t="s">
        <v>15</v>
      </c>
    </row>
    <row r="1046" spans="2:11" ht="41.25" x14ac:dyDescent="0.2">
      <c r="B1046" s="82" t="s">
        <v>8084</v>
      </c>
      <c r="C1046" s="82" t="s">
        <v>2284</v>
      </c>
      <c r="D1046" s="83">
        <f>SUMIFS(D1047:D1474,K1047:K1474,"0",B1047:B1474,"5 1 2 9 6 12 31111 6 M59 19000 000132 0000R 00001 00296 011 2112000 2024 CP1TM440 004*")-SUMIFS(E1047:E1474,K1047:K1474,"0",B1047:B1474,"5 1 2 9 6 12 31111 6 M59 19000 000132 0000R 00001 00296 011 2112000 2024 CP1TM440 004*")</f>
        <v>8200</v>
      </c>
      <c r="E1046" s="54"/>
      <c r="F1046" s="83">
        <f>SUMIFS(F1047:F1474,K1047:K1474,"0",B1047:B1474,"5 1 2 9 6 12 31111 6 M59 19000 000132 0000R 00001 00296 011 2112000 2024 CP1TM440 004*")</f>
        <v>0</v>
      </c>
      <c r="G1046" s="83">
        <f>SUMIFS(G1047:G1474,K1047:K1474,"0",B1047:B1474,"5 1 2 9 6 12 31111 6 M59 19000 000132 0000R 00001 00296 011 2112000 2024 CP1TM440 004*")</f>
        <v>0</v>
      </c>
      <c r="H1046" s="83">
        <f t="shared" si="17"/>
        <v>8200</v>
      </c>
      <c r="I1046" s="83"/>
      <c r="K1046" s="54" t="s">
        <v>15</v>
      </c>
    </row>
    <row r="1047" spans="2:11" ht="33" x14ac:dyDescent="0.2">
      <c r="B1047" s="84" t="s">
        <v>8085</v>
      </c>
      <c r="C1047" s="84" t="s">
        <v>2284</v>
      </c>
      <c r="D1047" s="85">
        <v>8200</v>
      </c>
      <c r="E1047" s="85"/>
      <c r="F1047" s="85">
        <v>0</v>
      </c>
      <c r="G1047" s="85">
        <v>0</v>
      </c>
      <c r="H1047" s="85">
        <f t="shared" si="17"/>
        <v>8200</v>
      </c>
      <c r="I1047" s="85"/>
      <c r="K1047" s="54" t="s">
        <v>38</v>
      </c>
    </row>
    <row r="1048" spans="2:11" ht="16.5" x14ac:dyDescent="0.2">
      <c r="B1048" s="82" t="s">
        <v>8108</v>
      </c>
      <c r="C1048" s="82" t="s">
        <v>1079</v>
      </c>
      <c r="D1048" s="83">
        <f>SUMIFS(D1049:D1474,K1049:K1474,"0",B1049:B1474,"5 1 2 9 6 12 31111 6 M59 20500*")-SUMIFS(E1049:E1474,K1049:K1474,"0",B1049:B1474,"5 1 2 9 6 12 31111 6 M59 20500*")</f>
        <v>2627901.2599999998</v>
      </c>
      <c r="E1048" s="54"/>
      <c r="F1048" s="83">
        <f>SUMIFS(F1049:F1474,K1049:K1474,"0",B1049:B1474,"5 1 2 9 6 12 31111 6 M59 20500*")</f>
        <v>0</v>
      </c>
      <c r="G1048" s="83">
        <f>SUMIFS(G1049:G1474,K1049:K1474,"0",B1049:B1474,"5 1 2 9 6 12 31111 6 M59 20500*")</f>
        <v>0</v>
      </c>
      <c r="H1048" s="83">
        <f t="shared" si="17"/>
        <v>2627901.2599999998</v>
      </c>
      <c r="I1048" s="83"/>
      <c r="K1048" s="54" t="s">
        <v>15</v>
      </c>
    </row>
    <row r="1049" spans="2:11" ht="24.75" x14ac:dyDescent="0.2">
      <c r="B1049" s="82" t="s">
        <v>8119</v>
      </c>
      <c r="C1049" s="82" t="s">
        <v>3152</v>
      </c>
      <c r="D1049" s="83">
        <f>SUMIFS(D1050:D1474,K1050:K1474,"0",B1050:B1474,"5 1 2 9 6 12 31111 6 M59 20500 000181*")-SUMIFS(E1050:E1474,K1050:K1474,"0",B1050:B1474,"5 1 2 9 6 12 31111 6 M59 20500 000181*")</f>
        <v>2627901.2599999998</v>
      </c>
      <c r="E1049" s="54"/>
      <c r="F1049" s="83">
        <f>SUMIFS(F1050:F1474,K1050:K1474,"0",B1050:B1474,"5 1 2 9 6 12 31111 6 M59 20500 000181*")</f>
        <v>0</v>
      </c>
      <c r="G1049" s="83">
        <f>SUMIFS(G1050:G1474,K1050:K1474,"0",B1050:B1474,"5 1 2 9 6 12 31111 6 M59 20500 000181*")</f>
        <v>0</v>
      </c>
      <c r="H1049" s="83">
        <f t="shared" si="17"/>
        <v>2627901.2599999998</v>
      </c>
      <c r="I1049" s="83"/>
      <c r="K1049" s="54" t="s">
        <v>15</v>
      </c>
    </row>
    <row r="1050" spans="2:11" ht="24.75" x14ac:dyDescent="0.2">
      <c r="B1050" s="82" t="s">
        <v>8120</v>
      </c>
      <c r="C1050" s="82" t="s">
        <v>1065</v>
      </c>
      <c r="D1050" s="83">
        <f>SUMIFS(D1051:D1474,K1051:K1474,"0",B1051:B1474,"5 1 2 9 6 12 31111 6 M59 20500 000181 0000E*")-SUMIFS(E1051:E1474,K1051:K1474,"0",B1051:B1474,"5 1 2 9 6 12 31111 6 M59 20500 000181 0000E*")</f>
        <v>2627901.2599999998</v>
      </c>
      <c r="E1050" s="54"/>
      <c r="F1050" s="83">
        <f>SUMIFS(F1051:F1474,K1051:K1474,"0",B1051:B1474,"5 1 2 9 6 12 31111 6 M59 20500 000181 0000E*")</f>
        <v>0</v>
      </c>
      <c r="G1050" s="83">
        <f>SUMIFS(G1051:G1474,K1051:K1474,"0",B1051:B1474,"5 1 2 9 6 12 31111 6 M59 20500 000181 0000E*")</f>
        <v>0</v>
      </c>
      <c r="H1050" s="83">
        <f t="shared" si="17"/>
        <v>2627901.2599999998</v>
      </c>
      <c r="I1050" s="83"/>
      <c r="K1050" s="54" t="s">
        <v>15</v>
      </c>
    </row>
    <row r="1051" spans="2:11" ht="24.75" x14ac:dyDescent="0.2">
      <c r="B1051" s="82" t="s">
        <v>8121</v>
      </c>
      <c r="C1051" s="82" t="s">
        <v>282</v>
      </c>
      <c r="D1051" s="83">
        <f>SUMIFS(D1052:D1474,K1052:K1474,"0",B1052:B1474,"5 1 2 9 6 12 31111 6 M59 20500 000181 0000E 00001*")-SUMIFS(E1052:E1474,K1052:K1474,"0",B1052:B1474,"5 1 2 9 6 12 31111 6 M59 20500 000181 0000E 00001*")</f>
        <v>2627901.2599999998</v>
      </c>
      <c r="E1051" s="54"/>
      <c r="F1051" s="83">
        <f>SUMIFS(F1052:F1474,K1052:K1474,"0",B1052:B1474,"5 1 2 9 6 12 31111 6 M59 20500 000181 0000E 00001*")</f>
        <v>0</v>
      </c>
      <c r="G1051" s="83">
        <f>SUMIFS(G1052:G1474,K1052:K1474,"0",B1052:B1474,"5 1 2 9 6 12 31111 6 M59 20500 000181 0000E 00001*")</f>
        <v>0</v>
      </c>
      <c r="H1051" s="83">
        <f t="shared" si="17"/>
        <v>2627901.2599999998</v>
      </c>
      <c r="I1051" s="83"/>
      <c r="K1051" s="54" t="s">
        <v>15</v>
      </c>
    </row>
    <row r="1052" spans="2:11" ht="24.75" x14ac:dyDescent="0.2">
      <c r="B1052" s="82" t="s">
        <v>8122</v>
      </c>
      <c r="C1052" s="82" t="s">
        <v>8079</v>
      </c>
      <c r="D1052" s="83">
        <f>SUMIFS(D1053:D1474,K1053:K1474,"0",B1053:B1474,"5 1 2 9 6 12 31111 6 M59 20500 000181 0000E 00001 00296*")-SUMIFS(E1053:E1474,K1053:K1474,"0",B1053:B1474,"5 1 2 9 6 12 31111 6 M59 20500 000181 0000E 00001 00296*")</f>
        <v>2627901.2599999998</v>
      </c>
      <c r="E1052" s="54"/>
      <c r="F1052" s="83">
        <f>SUMIFS(F1053:F1474,K1053:K1474,"0",B1053:B1474,"5 1 2 9 6 12 31111 6 M59 20500 000181 0000E 00001 00296*")</f>
        <v>0</v>
      </c>
      <c r="G1052" s="83">
        <f>SUMIFS(G1053:G1474,K1053:K1474,"0",B1053:B1474,"5 1 2 9 6 12 31111 6 M59 20500 000181 0000E 00001 00296*")</f>
        <v>0</v>
      </c>
      <c r="H1052" s="83">
        <f t="shared" si="17"/>
        <v>2627901.2599999998</v>
      </c>
      <c r="I1052" s="83"/>
      <c r="K1052" s="54" t="s">
        <v>15</v>
      </c>
    </row>
    <row r="1053" spans="2:11" ht="33" x14ac:dyDescent="0.2">
      <c r="B1053" s="82" t="s">
        <v>8123</v>
      </c>
      <c r="C1053" s="82" t="s">
        <v>699</v>
      </c>
      <c r="D1053" s="83">
        <f>SUMIFS(D1054:D1474,K1054:K1474,"0",B1054:B1474,"5 1 2 9 6 12 31111 6 M59 20500 000181 0000E 00001 00296 011*")-SUMIFS(E1054:E1474,K1054:K1474,"0",B1054:B1474,"5 1 2 9 6 12 31111 6 M59 20500 000181 0000E 00001 00296 011*")</f>
        <v>2627901.2599999998</v>
      </c>
      <c r="E1053" s="54"/>
      <c r="F1053" s="83">
        <f>SUMIFS(F1054:F1474,K1054:K1474,"0",B1054:B1474,"5 1 2 9 6 12 31111 6 M59 20500 000181 0000E 00001 00296 011*")</f>
        <v>0</v>
      </c>
      <c r="G1053" s="83">
        <f>SUMIFS(G1054:G1474,K1054:K1474,"0",B1054:B1474,"5 1 2 9 6 12 31111 6 M59 20500 000181 0000E 00001 00296 011*")</f>
        <v>0</v>
      </c>
      <c r="H1053" s="83">
        <f t="shared" si="17"/>
        <v>2627901.2599999998</v>
      </c>
      <c r="I1053" s="83"/>
      <c r="K1053" s="54" t="s">
        <v>15</v>
      </c>
    </row>
    <row r="1054" spans="2:11" ht="33" x14ac:dyDescent="0.2">
      <c r="B1054" s="82" t="s">
        <v>8124</v>
      </c>
      <c r="C1054" s="82" t="s">
        <v>5830</v>
      </c>
      <c r="D1054" s="83">
        <f>SUMIFS(D1055:D1474,K1055:K1474,"0",B1055:B1474,"5 1 2 9 6 12 31111 6 M59 20500 000181 0000E 00001 00296 011 2112000*")-SUMIFS(E1055:E1474,K1055:K1474,"0",B1055:B1474,"5 1 2 9 6 12 31111 6 M59 20500 000181 0000E 00001 00296 011 2112000*")</f>
        <v>2627901.2599999998</v>
      </c>
      <c r="E1054" s="54"/>
      <c r="F1054" s="83">
        <f>SUMIFS(F1055:F1474,K1055:K1474,"0",B1055:B1474,"5 1 2 9 6 12 31111 6 M59 20500 000181 0000E 00001 00296 011 2112000*")</f>
        <v>0</v>
      </c>
      <c r="G1054" s="83">
        <f>SUMIFS(G1055:G1474,K1055:K1474,"0",B1055:B1474,"5 1 2 9 6 12 31111 6 M59 20500 000181 0000E 00001 00296 011 2112000*")</f>
        <v>0</v>
      </c>
      <c r="H1054" s="83">
        <f t="shared" si="17"/>
        <v>2627901.2599999998</v>
      </c>
      <c r="I1054" s="83"/>
      <c r="K1054" s="54" t="s">
        <v>15</v>
      </c>
    </row>
    <row r="1055" spans="2:11" ht="33" x14ac:dyDescent="0.2">
      <c r="B1055" s="82" t="s">
        <v>8125</v>
      </c>
      <c r="C1055" s="82" t="s">
        <v>660</v>
      </c>
      <c r="D1055" s="83">
        <f>SUMIFS(D1056:D1474,K1056:K1474,"0",B1056:B1474,"5 1 2 9 6 12 31111 6 M59 20500 000181 0000E 00001 00296 011 2112000 2024*")-SUMIFS(E1056:E1474,K1056:K1474,"0",B1056:B1474,"5 1 2 9 6 12 31111 6 M59 20500 000181 0000E 00001 00296 011 2112000 2024*")</f>
        <v>2627901.2599999998</v>
      </c>
      <c r="E1055" s="54"/>
      <c r="F1055" s="83">
        <f>SUMIFS(F1056:F1474,K1056:K1474,"0",B1056:B1474,"5 1 2 9 6 12 31111 6 M59 20500 000181 0000E 00001 00296 011 2112000 2024*")</f>
        <v>0</v>
      </c>
      <c r="G1055" s="83">
        <f>SUMIFS(G1056:G1474,K1056:K1474,"0",B1056:B1474,"5 1 2 9 6 12 31111 6 M59 20500 000181 0000E 00001 00296 011 2112000 2024*")</f>
        <v>0</v>
      </c>
      <c r="H1055" s="83">
        <f t="shared" si="17"/>
        <v>2627901.2599999998</v>
      </c>
      <c r="I1055" s="83"/>
      <c r="K1055" s="54" t="s">
        <v>15</v>
      </c>
    </row>
    <row r="1056" spans="2:11" ht="49.5" x14ac:dyDescent="0.2">
      <c r="B1056" s="82" t="s">
        <v>8126</v>
      </c>
      <c r="C1056" s="82" t="s">
        <v>5982</v>
      </c>
      <c r="D1056" s="83">
        <f>SUMIFS(D1057:D1474,K1057:K1474,"0",B1057:B1474,"5 1 2 9 6 12 31111 6 M59 20500 000181 0000E 00001 00296 011 2112000 2024 CP3CP471*")-SUMIFS(E1057:E1474,K1057:K1474,"0",B1057:B1474,"5 1 2 9 6 12 31111 6 M59 20500 000181 0000E 00001 00296 011 2112000 2024 CP3CP471*")</f>
        <v>2627901.2599999998</v>
      </c>
      <c r="E1056" s="54"/>
      <c r="F1056" s="83">
        <f>SUMIFS(F1057:F1474,K1057:K1474,"0",B1057:B1474,"5 1 2 9 6 12 31111 6 M59 20500 000181 0000E 00001 00296 011 2112000 2024 CP3CP471*")</f>
        <v>0</v>
      </c>
      <c r="G1056" s="83">
        <f>SUMIFS(G1057:G1474,K1057:K1474,"0",B1057:B1474,"5 1 2 9 6 12 31111 6 M59 20500 000181 0000E 00001 00296 011 2112000 2024 CP3CP471*")</f>
        <v>0</v>
      </c>
      <c r="H1056" s="83">
        <f t="shared" si="17"/>
        <v>2627901.2599999998</v>
      </c>
      <c r="I1056" s="83"/>
      <c r="K1056" s="54" t="s">
        <v>15</v>
      </c>
    </row>
    <row r="1057" spans="2:11" ht="41.25" x14ac:dyDescent="0.2">
      <c r="B1057" s="82" t="s">
        <v>8127</v>
      </c>
      <c r="C1057" s="82" t="s">
        <v>2284</v>
      </c>
      <c r="D1057" s="83">
        <f>SUMIFS(D1058:D1474,K1058:K1474,"0",B1058:B1474,"5 1 2 9 6 12 31111 6 M59 20500 000181 0000E 00001 00296 011 2112000 2024 CP3CP471 004*")-SUMIFS(E1058:E1474,K1058:K1474,"0",B1058:B1474,"5 1 2 9 6 12 31111 6 M59 20500 000181 0000E 00001 00296 011 2112000 2024 CP3CP471 004*")</f>
        <v>2627901.2599999998</v>
      </c>
      <c r="E1057" s="54"/>
      <c r="F1057" s="83">
        <f>SUMIFS(F1058:F1474,K1058:K1474,"0",B1058:B1474,"5 1 2 9 6 12 31111 6 M59 20500 000181 0000E 00001 00296 011 2112000 2024 CP3CP471 004*")</f>
        <v>0</v>
      </c>
      <c r="G1057" s="83">
        <f>SUMIFS(G1058:G1474,K1058:K1474,"0",B1058:B1474,"5 1 2 9 6 12 31111 6 M59 20500 000181 0000E 00001 00296 011 2112000 2024 CP3CP471 004*")</f>
        <v>0</v>
      </c>
      <c r="H1057" s="83">
        <f t="shared" si="17"/>
        <v>2627901.2599999998</v>
      </c>
      <c r="I1057" s="83"/>
      <c r="K1057" s="54" t="s">
        <v>15</v>
      </c>
    </row>
    <row r="1058" spans="2:11" ht="33" x14ac:dyDescent="0.2">
      <c r="B1058" s="84" t="s">
        <v>8128</v>
      </c>
      <c r="C1058" s="84" t="s">
        <v>2284</v>
      </c>
      <c r="D1058" s="85">
        <v>2627901.2599999998</v>
      </c>
      <c r="E1058" s="85"/>
      <c r="F1058" s="85">
        <v>0</v>
      </c>
      <c r="G1058" s="85">
        <v>0</v>
      </c>
      <c r="H1058" s="85">
        <f t="shared" si="17"/>
        <v>2627901.2599999998</v>
      </c>
      <c r="I1058" s="85"/>
      <c r="K1058" s="54" t="s">
        <v>38</v>
      </c>
    </row>
    <row r="1059" spans="2:11" ht="16.5" x14ac:dyDescent="0.2">
      <c r="B1059" s="82" t="s">
        <v>8217</v>
      </c>
      <c r="C1059" s="82" t="s">
        <v>1308</v>
      </c>
      <c r="D1059" s="83">
        <f>SUMIFS(D1060:D1474,K1060:K1474,"0",B1060:B1474,"5 1 2 9 6 12 31111 6 M59 96300*")-SUMIFS(E1060:E1474,K1060:K1474,"0",B1060:B1474,"5 1 2 9 6 12 31111 6 M59 96300*")</f>
        <v>24800</v>
      </c>
      <c r="E1059" s="54"/>
      <c r="F1059" s="83">
        <f>SUMIFS(F1060:F1474,K1060:K1474,"0",B1060:B1474,"5 1 2 9 6 12 31111 6 M59 96300*")</f>
        <v>0</v>
      </c>
      <c r="G1059" s="83">
        <f>SUMIFS(G1060:G1474,K1060:K1474,"0",B1060:B1474,"5 1 2 9 6 12 31111 6 M59 96300*")</f>
        <v>0</v>
      </c>
      <c r="H1059" s="83">
        <f t="shared" si="17"/>
        <v>24800</v>
      </c>
      <c r="I1059" s="83"/>
      <c r="K1059" s="54" t="s">
        <v>15</v>
      </c>
    </row>
    <row r="1060" spans="2:11" ht="16.5" x14ac:dyDescent="0.2">
      <c r="B1060" s="82" t="s">
        <v>8218</v>
      </c>
      <c r="C1060" s="82" t="s">
        <v>1310</v>
      </c>
      <c r="D1060" s="83">
        <f>SUMIFS(D1061:D1474,K1061:K1474,"0",B1061:B1474,"5 1 2 9 6 12 31111 6 M59 96300 000211*")-SUMIFS(E1061:E1474,K1061:K1474,"0",B1061:B1474,"5 1 2 9 6 12 31111 6 M59 96300 000211*")</f>
        <v>24800</v>
      </c>
      <c r="E1060" s="54"/>
      <c r="F1060" s="83">
        <f>SUMIFS(F1061:F1474,K1061:K1474,"0",B1061:B1474,"5 1 2 9 6 12 31111 6 M59 96300 000211*")</f>
        <v>0</v>
      </c>
      <c r="G1060" s="83">
        <f>SUMIFS(G1061:G1474,K1061:K1474,"0",B1061:B1474,"5 1 2 9 6 12 31111 6 M59 96300 000211*")</f>
        <v>0</v>
      </c>
      <c r="H1060" s="83">
        <f t="shared" si="17"/>
        <v>24800</v>
      </c>
      <c r="I1060" s="83"/>
      <c r="K1060" s="54" t="s">
        <v>15</v>
      </c>
    </row>
    <row r="1061" spans="2:11" ht="24.75" x14ac:dyDescent="0.2">
      <c r="B1061" s="82" t="s">
        <v>8219</v>
      </c>
      <c r="C1061" s="82" t="s">
        <v>1065</v>
      </c>
      <c r="D1061" s="83">
        <f>SUMIFS(D1062:D1474,K1062:K1474,"0",B1062:B1474,"5 1 2 9 6 12 31111 6 M59 96300 000211 0000E*")-SUMIFS(E1062:E1474,K1062:K1474,"0",B1062:B1474,"5 1 2 9 6 12 31111 6 M59 96300 000211 0000E*")</f>
        <v>24800</v>
      </c>
      <c r="E1061" s="54"/>
      <c r="F1061" s="83">
        <f>SUMIFS(F1062:F1474,K1062:K1474,"0",B1062:B1474,"5 1 2 9 6 12 31111 6 M59 96300 000211 0000E*")</f>
        <v>0</v>
      </c>
      <c r="G1061" s="83">
        <f>SUMIFS(G1062:G1474,K1062:K1474,"0",B1062:B1474,"5 1 2 9 6 12 31111 6 M59 96300 000211 0000E*")</f>
        <v>0</v>
      </c>
      <c r="H1061" s="83">
        <f t="shared" si="17"/>
        <v>24800</v>
      </c>
      <c r="I1061" s="83"/>
      <c r="K1061" s="54" t="s">
        <v>15</v>
      </c>
    </row>
    <row r="1062" spans="2:11" ht="24.75" x14ac:dyDescent="0.2">
      <c r="B1062" s="82" t="s">
        <v>8220</v>
      </c>
      <c r="C1062" s="82" t="s">
        <v>282</v>
      </c>
      <c r="D1062" s="83">
        <f>SUMIFS(D1063:D1474,K1063:K1474,"0",B1063:B1474,"5 1 2 9 6 12 31111 6 M59 96300 000211 0000E 00001*")-SUMIFS(E1063:E1474,K1063:K1474,"0",B1063:B1474,"5 1 2 9 6 12 31111 6 M59 96300 000211 0000E 00001*")</f>
        <v>24800</v>
      </c>
      <c r="E1062" s="54"/>
      <c r="F1062" s="83">
        <f>SUMIFS(F1063:F1474,K1063:K1474,"0",B1063:B1474,"5 1 2 9 6 12 31111 6 M59 96300 000211 0000E 00001*")</f>
        <v>0</v>
      </c>
      <c r="G1062" s="83">
        <f>SUMIFS(G1063:G1474,K1063:K1474,"0",B1063:B1474,"5 1 2 9 6 12 31111 6 M59 96300 000211 0000E 00001*")</f>
        <v>0</v>
      </c>
      <c r="H1062" s="83">
        <f t="shared" si="17"/>
        <v>24800</v>
      </c>
      <c r="I1062" s="83"/>
      <c r="K1062" s="54" t="s">
        <v>15</v>
      </c>
    </row>
    <row r="1063" spans="2:11" ht="24.75" x14ac:dyDescent="0.2">
      <c r="B1063" s="82" t="s">
        <v>8221</v>
      </c>
      <c r="C1063" s="82" t="s">
        <v>8079</v>
      </c>
      <c r="D1063" s="83">
        <f>SUMIFS(D1064:D1474,K1064:K1474,"0",B1064:B1474,"5 1 2 9 6 12 31111 6 M59 96300 000211 0000E 00001 00296*")-SUMIFS(E1064:E1474,K1064:K1474,"0",B1064:B1474,"5 1 2 9 6 12 31111 6 M59 96300 000211 0000E 00001 00296*")</f>
        <v>24800</v>
      </c>
      <c r="E1063" s="54"/>
      <c r="F1063" s="83">
        <f>SUMIFS(F1064:F1474,K1064:K1474,"0",B1064:B1474,"5 1 2 9 6 12 31111 6 M59 96300 000211 0000E 00001 00296*")</f>
        <v>0</v>
      </c>
      <c r="G1063" s="83">
        <f>SUMIFS(G1064:G1474,K1064:K1474,"0",B1064:B1474,"5 1 2 9 6 12 31111 6 M59 96300 000211 0000E 00001 00296*")</f>
        <v>0</v>
      </c>
      <c r="H1063" s="83">
        <f t="shared" si="17"/>
        <v>24800</v>
      </c>
      <c r="I1063" s="83"/>
      <c r="K1063" s="54" t="s">
        <v>15</v>
      </c>
    </row>
    <row r="1064" spans="2:11" ht="33" x14ac:dyDescent="0.2">
      <c r="B1064" s="82" t="s">
        <v>8222</v>
      </c>
      <c r="C1064" s="82" t="s">
        <v>699</v>
      </c>
      <c r="D1064" s="83">
        <f>SUMIFS(D1065:D1474,K1065:K1474,"0",B1065:B1474,"5 1 2 9 6 12 31111 6 M59 96300 000211 0000E 00001 00296 011*")-SUMIFS(E1065:E1474,K1065:K1474,"0",B1065:B1474,"5 1 2 9 6 12 31111 6 M59 96300 000211 0000E 00001 00296 011*")</f>
        <v>24800</v>
      </c>
      <c r="E1064" s="54"/>
      <c r="F1064" s="83">
        <f>SUMIFS(F1065:F1474,K1065:K1474,"0",B1065:B1474,"5 1 2 9 6 12 31111 6 M59 96300 000211 0000E 00001 00296 011*")</f>
        <v>0</v>
      </c>
      <c r="G1064" s="83">
        <f>SUMIFS(G1065:G1474,K1065:K1474,"0",B1065:B1474,"5 1 2 9 6 12 31111 6 M59 96300 000211 0000E 00001 00296 011*")</f>
        <v>0</v>
      </c>
      <c r="H1064" s="83">
        <f t="shared" si="17"/>
        <v>24800</v>
      </c>
      <c r="I1064" s="83"/>
      <c r="K1064" s="54" t="s">
        <v>15</v>
      </c>
    </row>
    <row r="1065" spans="2:11" ht="33" x14ac:dyDescent="0.2">
      <c r="B1065" s="82" t="s">
        <v>8223</v>
      </c>
      <c r="C1065" s="82" t="s">
        <v>5830</v>
      </c>
      <c r="D1065" s="83">
        <f>SUMIFS(D1066:D1474,K1066:K1474,"0",B1066:B1474,"5 1 2 9 6 12 31111 6 M59 96300 000211 0000E 00001 00296 011 2112000*")-SUMIFS(E1066:E1474,K1066:K1474,"0",B1066:B1474,"5 1 2 9 6 12 31111 6 M59 96300 000211 0000E 00001 00296 011 2112000*")</f>
        <v>24800</v>
      </c>
      <c r="E1065" s="54"/>
      <c r="F1065" s="83">
        <f>SUMIFS(F1066:F1474,K1066:K1474,"0",B1066:B1474,"5 1 2 9 6 12 31111 6 M59 96300 000211 0000E 00001 00296 011 2112000*")</f>
        <v>0</v>
      </c>
      <c r="G1065" s="83">
        <f>SUMIFS(G1066:G1474,K1066:K1474,"0",B1066:B1474,"5 1 2 9 6 12 31111 6 M59 96300 000211 0000E 00001 00296 011 2112000*")</f>
        <v>0</v>
      </c>
      <c r="H1065" s="83">
        <f t="shared" ref="H1065:H1128" si="18">D1065 + F1065 - G1065</f>
        <v>24800</v>
      </c>
      <c r="I1065" s="83"/>
      <c r="K1065" s="54" t="s">
        <v>15</v>
      </c>
    </row>
    <row r="1066" spans="2:11" ht="33" x14ac:dyDescent="0.2">
      <c r="B1066" s="82" t="s">
        <v>8224</v>
      </c>
      <c r="C1066" s="82" t="s">
        <v>660</v>
      </c>
      <c r="D1066" s="83">
        <f>SUMIFS(D1067:D1474,K1067:K1474,"0",B1067:B1474,"5 1 2 9 6 12 31111 6 M59 96300 000211 0000E 00001 00296 011 2112000 2024*")-SUMIFS(E1067:E1474,K1067:K1474,"0",B1067:B1474,"5 1 2 9 6 12 31111 6 M59 96300 000211 0000E 00001 00296 011 2112000 2024*")</f>
        <v>24800</v>
      </c>
      <c r="E1066" s="54"/>
      <c r="F1066" s="83">
        <f>SUMIFS(F1067:F1474,K1067:K1474,"0",B1067:B1474,"5 1 2 9 6 12 31111 6 M59 96300 000211 0000E 00001 00296 011 2112000 2024*")</f>
        <v>0</v>
      </c>
      <c r="G1066" s="83">
        <f>SUMIFS(G1067:G1474,K1067:K1474,"0",B1067:B1474,"5 1 2 9 6 12 31111 6 M59 96300 000211 0000E 00001 00296 011 2112000 2024*")</f>
        <v>0</v>
      </c>
      <c r="H1066" s="83">
        <f t="shared" si="18"/>
        <v>24800</v>
      </c>
      <c r="I1066" s="83"/>
      <c r="K1066" s="54" t="s">
        <v>15</v>
      </c>
    </row>
    <row r="1067" spans="2:11" ht="41.25" x14ac:dyDescent="0.2">
      <c r="B1067" s="82" t="s">
        <v>8225</v>
      </c>
      <c r="C1067" s="82" t="s">
        <v>6757</v>
      </c>
      <c r="D1067" s="83">
        <f>SUMIFS(D1068:D1474,K1068:K1474,"0",B1068:B1474,"5 1 2 9 6 12 31111 6 M59 96300 000211 0000E 00001 00296 011 2112000 2024 CP3SB474*")-SUMIFS(E1068:E1474,K1068:K1474,"0",B1068:B1474,"5 1 2 9 6 12 31111 6 M59 96300 000211 0000E 00001 00296 011 2112000 2024 CP3SB474*")</f>
        <v>24800</v>
      </c>
      <c r="E1067" s="54"/>
      <c r="F1067" s="83">
        <f>SUMIFS(F1068:F1474,K1068:K1474,"0",B1068:B1474,"5 1 2 9 6 12 31111 6 M59 96300 000211 0000E 00001 00296 011 2112000 2024 CP3SB474*")</f>
        <v>0</v>
      </c>
      <c r="G1067" s="83">
        <f>SUMIFS(G1068:G1474,K1068:K1474,"0",B1068:B1474,"5 1 2 9 6 12 31111 6 M59 96300 000211 0000E 00001 00296 011 2112000 2024 CP3SB474*")</f>
        <v>0</v>
      </c>
      <c r="H1067" s="83">
        <f t="shared" si="18"/>
        <v>24800</v>
      </c>
      <c r="I1067" s="83"/>
      <c r="K1067" s="54" t="s">
        <v>15</v>
      </c>
    </row>
    <row r="1068" spans="2:11" ht="41.25" x14ac:dyDescent="0.2">
      <c r="B1068" s="82" t="s">
        <v>8226</v>
      </c>
      <c r="C1068" s="82" t="s">
        <v>2284</v>
      </c>
      <c r="D1068" s="83">
        <f>SUMIFS(D1069:D1474,K1069:K1474,"0",B1069:B1474,"5 1 2 9 6 12 31111 6 M59 96300 000211 0000E 00001 00296 011 2112000 2024 CP3SB474 004*")-SUMIFS(E1069:E1474,K1069:K1474,"0",B1069:B1474,"5 1 2 9 6 12 31111 6 M59 96300 000211 0000E 00001 00296 011 2112000 2024 CP3SB474 004*")</f>
        <v>24800</v>
      </c>
      <c r="E1068" s="54"/>
      <c r="F1068" s="83">
        <f>SUMIFS(F1069:F1474,K1069:K1474,"0",B1069:B1474,"5 1 2 9 6 12 31111 6 M59 96300 000211 0000E 00001 00296 011 2112000 2024 CP3SB474 004*")</f>
        <v>0</v>
      </c>
      <c r="G1068" s="83">
        <f>SUMIFS(G1069:G1474,K1069:K1474,"0",B1069:B1474,"5 1 2 9 6 12 31111 6 M59 96300 000211 0000E 00001 00296 011 2112000 2024 CP3SB474 004*")</f>
        <v>0</v>
      </c>
      <c r="H1068" s="83">
        <f t="shared" si="18"/>
        <v>24800</v>
      </c>
      <c r="I1068" s="83"/>
      <c r="K1068" s="54" t="s">
        <v>15</v>
      </c>
    </row>
    <row r="1069" spans="2:11" ht="33" x14ac:dyDescent="0.2">
      <c r="B1069" s="84" t="s">
        <v>8227</v>
      </c>
      <c r="C1069" s="84" t="s">
        <v>2284</v>
      </c>
      <c r="D1069" s="85">
        <v>24800</v>
      </c>
      <c r="E1069" s="85"/>
      <c r="F1069" s="85">
        <v>0</v>
      </c>
      <c r="G1069" s="85">
        <v>0</v>
      </c>
      <c r="H1069" s="85">
        <f t="shared" si="18"/>
        <v>24800</v>
      </c>
      <c r="I1069" s="85"/>
      <c r="K1069" s="54" t="s">
        <v>38</v>
      </c>
    </row>
    <row r="1070" spans="2:11" ht="12.75" x14ac:dyDescent="0.2">
      <c r="B1070" s="82" t="s">
        <v>8324</v>
      </c>
      <c r="C1070" s="82" t="s">
        <v>8325</v>
      </c>
      <c r="D1070" s="83">
        <f>SUMIFS(D1071:D1474,K1071:K1474,"0",B1071:B1474,"5 1 3*")-SUMIFS(E1071:E1474,K1071:K1474,"0",B1071:B1474,"5 1 3*")</f>
        <v>7407040.0699999984</v>
      </c>
      <c r="E1070" s="54"/>
      <c r="F1070" s="83">
        <f>SUMIFS(F1071:F1474,K1071:K1474,"0",B1071:B1474,"5 1 3*")</f>
        <v>402116.98999999993</v>
      </c>
      <c r="G1070" s="83">
        <f>SUMIFS(G1071:G1474,K1071:K1474,"0",B1071:B1474,"5 1 3*")</f>
        <v>0</v>
      </c>
      <c r="H1070" s="83">
        <f t="shared" si="18"/>
        <v>7809157.0599999987</v>
      </c>
      <c r="I1070" s="83"/>
      <c r="K1070" s="54" t="s">
        <v>15</v>
      </c>
    </row>
    <row r="1071" spans="2:11" ht="12.75" x14ac:dyDescent="0.2">
      <c r="B1071" s="82" t="s">
        <v>8326</v>
      </c>
      <c r="C1071" s="82" t="s">
        <v>8327</v>
      </c>
      <c r="D1071" s="83">
        <f>SUMIFS(D1072:D1474,K1072:K1474,"0",B1072:B1474,"5 1 3 1*")-SUMIFS(E1072:E1474,K1072:K1474,"0",B1072:B1474,"5 1 3 1*")</f>
        <v>6275375.0300000003</v>
      </c>
      <c r="E1071" s="54"/>
      <c r="F1071" s="83">
        <f>SUMIFS(F1072:F1474,K1072:K1474,"0",B1072:B1474,"5 1 3 1*")</f>
        <v>21842.78</v>
      </c>
      <c r="G1071" s="83">
        <f>SUMIFS(G1072:G1474,K1072:K1474,"0",B1072:B1474,"5 1 3 1*")</f>
        <v>0</v>
      </c>
      <c r="H1071" s="83">
        <f t="shared" si="18"/>
        <v>6297217.8100000005</v>
      </c>
      <c r="I1071" s="83"/>
      <c r="K1071" s="54" t="s">
        <v>15</v>
      </c>
    </row>
    <row r="1072" spans="2:11" ht="12.75" x14ac:dyDescent="0.2">
      <c r="B1072" s="82" t="s">
        <v>8328</v>
      </c>
      <c r="C1072" s="82" t="s">
        <v>8329</v>
      </c>
      <c r="D1072" s="83">
        <f>SUMIFS(D1073:D1474,K1073:K1474,"0",B1073:B1474,"5 1 3 1 1*")-SUMIFS(E1073:E1474,K1073:K1474,"0",B1073:B1474,"5 1 3 1 1*")</f>
        <v>6193377.4900000002</v>
      </c>
      <c r="E1072" s="54"/>
      <c r="F1072" s="83">
        <f>SUMIFS(F1073:F1474,K1073:K1474,"0",B1073:B1474,"5 1 3 1 1*")</f>
        <v>844</v>
      </c>
      <c r="G1072" s="83">
        <f>SUMIFS(G1073:G1474,K1073:K1474,"0",B1073:B1474,"5 1 3 1 1*")</f>
        <v>0</v>
      </c>
      <c r="H1072" s="83">
        <f t="shared" si="18"/>
        <v>6194221.4900000002</v>
      </c>
      <c r="I1072" s="83"/>
      <c r="K1072" s="54" t="s">
        <v>15</v>
      </c>
    </row>
    <row r="1073" spans="2:11" ht="12.75" x14ac:dyDescent="0.2">
      <c r="B1073" s="82" t="s">
        <v>8330</v>
      </c>
      <c r="C1073" s="82" t="s">
        <v>26</v>
      </c>
      <c r="D1073" s="83">
        <f>SUMIFS(D1074:D1474,K1074:K1474,"0",B1074:B1474,"5 1 3 1 1 12*")-SUMIFS(E1074:E1474,K1074:K1474,"0",B1074:B1474,"5 1 3 1 1 12*")</f>
        <v>6193377.4900000002</v>
      </c>
      <c r="E1073" s="54"/>
      <c r="F1073" s="83">
        <f>SUMIFS(F1074:F1474,K1074:K1474,"0",B1074:B1474,"5 1 3 1 1 12*")</f>
        <v>844</v>
      </c>
      <c r="G1073" s="83">
        <f>SUMIFS(G1074:G1474,K1074:K1474,"0",B1074:B1474,"5 1 3 1 1 12*")</f>
        <v>0</v>
      </c>
      <c r="H1073" s="83">
        <f t="shared" si="18"/>
        <v>6194221.4900000002</v>
      </c>
      <c r="I1073" s="83"/>
      <c r="K1073" s="54" t="s">
        <v>15</v>
      </c>
    </row>
    <row r="1074" spans="2:11" ht="16.5" x14ac:dyDescent="0.2">
      <c r="B1074" s="82" t="s">
        <v>8331</v>
      </c>
      <c r="C1074" s="82" t="s">
        <v>28</v>
      </c>
      <c r="D1074" s="83">
        <f>SUMIFS(D1075:D1474,K1075:K1474,"0",B1075:B1474,"5 1 3 1 1 12 31111*")-SUMIFS(E1075:E1474,K1075:K1474,"0",B1075:B1474,"5 1 3 1 1 12 31111*")</f>
        <v>6193377.4900000002</v>
      </c>
      <c r="E1074" s="54"/>
      <c r="F1074" s="83">
        <f>SUMIFS(F1075:F1474,K1075:K1474,"0",B1075:B1474,"5 1 3 1 1 12 31111*")</f>
        <v>844</v>
      </c>
      <c r="G1074" s="83">
        <f>SUMIFS(G1075:G1474,K1075:K1474,"0",B1075:B1474,"5 1 3 1 1 12 31111*")</f>
        <v>0</v>
      </c>
      <c r="H1074" s="83">
        <f t="shared" si="18"/>
        <v>6194221.4900000002</v>
      </c>
      <c r="I1074" s="83"/>
      <c r="K1074" s="54" t="s">
        <v>15</v>
      </c>
    </row>
    <row r="1075" spans="2:11" ht="12.75" x14ac:dyDescent="0.2">
      <c r="B1075" s="82" t="s">
        <v>8332</v>
      </c>
      <c r="C1075" s="82" t="s">
        <v>30</v>
      </c>
      <c r="D1075" s="83">
        <f>SUMIFS(D1076:D1474,K1076:K1474,"0",B1076:B1474,"5 1 3 1 1 12 31111 6*")-SUMIFS(E1076:E1474,K1076:K1474,"0",B1076:B1474,"5 1 3 1 1 12 31111 6*")</f>
        <v>6193377.4900000002</v>
      </c>
      <c r="E1075" s="54"/>
      <c r="F1075" s="83">
        <f>SUMIFS(F1076:F1474,K1076:K1474,"0",B1076:B1474,"5 1 3 1 1 12 31111 6*")</f>
        <v>844</v>
      </c>
      <c r="G1075" s="83">
        <f>SUMIFS(G1076:G1474,K1076:K1474,"0",B1076:B1474,"5 1 3 1 1 12 31111 6*")</f>
        <v>0</v>
      </c>
      <c r="H1075" s="83">
        <f t="shared" si="18"/>
        <v>6194221.4900000002</v>
      </c>
      <c r="I1075" s="83"/>
      <c r="K1075" s="54" t="s">
        <v>15</v>
      </c>
    </row>
    <row r="1076" spans="2:11" ht="16.5" x14ac:dyDescent="0.2">
      <c r="B1076" s="82" t="s">
        <v>8333</v>
      </c>
      <c r="C1076" s="82" t="s">
        <v>2284</v>
      </c>
      <c r="D1076" s="83">
        <f>SUMIFS(D1077:D1474,K1077:K1474,"0",B1077:B1474,"5 1 3 1 1 12 31111 6 M59*")-SUMIFS(E1077:E1474,K1077:K1474,"0",B1077:B1474,"5 1 3 1 1 12 31111 6 M59*")</f>
        <v>6193377.4900000002</v>
      </c>
      <c r="E1076" s="54"/>
      <c r="F1076" s="83">
        <f>SUMIFS(F1077:F1474,K1077:K1474,"0",B1077:B1474,"5 1 3 1 1 12 31111 6 M59*")</f>
        <v>844</v>
      </c>
      <c r="G1076" s="83">
        <f>SUMIFS(G1077:G1474,K1077:K1474,"0",B1077:B1474,"5 1 3 1 1 12 31111 6 M59*")</f>
        <v>0</v>
      </c>
      <c r="H1076" s="83">
        <f t="shared" si="18"/>
        <v>6194221.4900000002</v>
      </c>
      <c r="I1076" s="83"/>
      <c r="K1076" s="54" t="s">
        <v>15</v>
      </c>
    </row>
    <row r="1077" spans="2:11" ht="16.5" x14ac:dyDescent="0.2">
      <c r="B1077" s="82" t="s">
        <v>8334</v>
      </c>
      <c r="C1077" s="82" t="s">
        <v>1044</v>
      </c>
      <c r="D1077" s="83">
        <f>SUMIFS(D1078:D1474,K1078:K1474,"0",B1078:B1474,"5 1 3 1 1 12 31111 6 M59 19000*")-SUMIFS(E1078:E1474,K1078:K1474,"0",B1078:B1474,"5 1 3 1 1 12 31111 6 M59 19000*")</f>
        <v>0</v>
      </c>
      <c r="E1077" s="54"/>
      <c r="F1077" s="83">
        <f>SUMIFS(F1078:F1474,K1078:K1474,"0",B1078:B1474,"5 1 3 1 1 12 31111 6 M59 19000*")</f>
        <v>844</v>
      </c>
      <c r="G1077" s="83">
        <f>SUMIFS(G1078:G1474,K1078:K1474,"0",B1078:B1474,"5 1 3 1 1 12 31111 6 M59 19000*")</f>
        <v>0</v>
      </c>
      <c r="H1077" s="83">
        <f t="shared" si="18"/>
        <v>844</v>
      </c>
      <c r="I1077" s="83"/>
      <c r="K1077" s="54" t="s">
        <v>15</v>
      </c>
    </row>
    <row r="1078" spans="2:11" ht="16.5" x14ac:dyDescent="0.2">
      <c r="B1078" s="82" t="s">
        <v>8335</v>
      </c>
      <c r="C1078" s="82" t="s">
        <v>648</v>
      </c>
      <c r="D1078" s="83">
        <f>SUMIFS(D1079:D1474,K1079:K1474,"0",B1079:B1474,"5 1 3 1 1 12 31111 6 M59 19000 000132*")-SUMIFS(E1079:E1474,K1079:K1474,"0",B1079:B1474,"5 1 3 1 1 12 31111 6 M59 19000 000132*")</f>
        <v>0</v>
      </c>
      <c r="E1078" s="54"/>
      <c r="F1078" s="83">
        <f>SUMIFS(F1079:F1474,K1079:K1474,"0",B1079:B1474,"5 1 3 1 1 12 31111 6 M59 19000 000132*")</f>
        <v>844</v>
      </c>
      <c r="G1078" s="83">
        <f>SUMIFS(G1079:G1474,K1079:K1474,"0",B1079:B1474,"5 1 3 1 1 12 31111 6 M59 19000 000132*")</f>
        <v>0</v>
      </c>
      <c r="H1078" s="83">
        <f t="shared" si="18"/>
        <v>844</v>
      </c>
      <c r="I1078" s="83"/>
      <c r="K1078" s="54" t="s">
        <v>15</v>
      </c>
    </row>
    <row r="1079" spans="2:11" ht="16.5" x14ac:dyDescent="0.2">
      <c r="B1079" s="82" t="s">
        <v>8336</v>
      </c>
      <c r="C1079" s="82" t="s">
        <v>650</v>
      </c>
      <c r="D1079" s="83">
        <f>SUMIFS(D1080:D1474,K1080:K1474,"0",B1080:B1474,"5 1 3 1 1 12 31111 6 M59 19000 000132 0000R*")-SUMIFS(E1080:E1474,K1080:K1474,"0",B1080:B1474,"5 1 3 1 1 12 31111 6 M59 19000 000132 0000R*")</f>
        <v>0</v>
      </c>
      <c r="E1079" s="54"/>
      <c r="F1079" s="83">
        <f>SUMIFS(F1080:F1474,K1080:K1474,"0",B1080:B1474,"5 1 3 1 1 12 31111 6 M59 19000 000132 0000R*")</f>
        <v>844</v>
      </c>
      <c r="G1079" s="83">
        <f>SUMIFS(G1080:G1474,K1080:K1474,"0",B1080:B1474,"5 1 3 1 1 12 31111 6 M59 19000 000132 0000R*")</f>
        <v>0</v>
      </c>
      <c r="H1079" s="83">
        <f t="shared" si="18"/>
        <v>844</v>
      </c>
      <c r="I1079" s="83"/>
      <c r="K1079" s="54" t="s">
        <v>15</v>
      </c>
    </row>
    <row r="1080" spans="2:11" ht="24.75" x14ac:dyDescent="0.2">
      <c r="B1080" s="82" t="s">
        <v>8337</v>
      </c>
      <c r="C1080" s="82" t="s">
        <v>282</v>
      </c>
      <c r="D1080" s="83">
        <f>SUMIFS(D1081:D1474,K1081:K1474,"0",B1081:B1474,"5 1 3 1 1 12 31111 6 M59 19000 000132 0000R 00001*")-SUMIFS(E1081:E1474,K1081:K1474,"0",B1081:B1474,"5 1 3 1 1 12 31111 6 M59 19000 000132 0000R 00001*")</f>
        <v>0</v>
      </c>
      <c r="E1080" s="54"/>
      <c r="F1080" s="83">
        <f>SUMIFS(F1081:F1474,K1081:K1474,"0",B1081:B1474,"5 1 3 1 1 12 31111 6 M59 19000 000132 0000R 00001*")</f>
        <v>844</v>
      </c>
      <c r="G1080" s="83">
        <f>SUMIFS(G1081:G1474,K1081:K1474,"0",B1081:B1474,"5 1 3 1 1 12 31111 6 M59 19000 000132 0000R 00001*")</f>
        <v>0</v>
      </c>
      <c r="H1080" s="83">
        <f t="shared" si="18"/>
        <v>844</v>
      </c>
      <c r="I1080" s="83"/>
      <c r="K1080" s="54" t="s">
        <v>15</v>
      </c>
    </row>
    <row r="1081" spans="2:11" ht="24.75" x14ac:dyDescent="0.2">
      <c r="B1081" s="82" t="s">
        <v>8338</v>
      </c>
      <c r="C1081" s="82" t="s">
        <v>8339</v>
      </c>
      <c r="D1081" s="83">
        <f>SUMIFS(D1082:D1474,K1082:K1474,"0",B1082:B1474,"5 1 3 1 1 12 31111 6 M59 19000 000132 0000R 00001 00311*")-SUMIFS(E1082:E1474,K1082:K1474,"0",B1082:B1474,"5 1 3 1 1 12 31111 6 M59 19000 000132 0000R 00001 00311*")</f>
        <v>0</v>
      </c>
      <c r="E1081" s="54"/>
      <c r="F1081" s="83">
        <f>SUMIFS(F1082:F1474,K1082:K1474,"0",B1082:B1474,"5 1 3 1 1 12 31111 6 M59 19000 000132 0000R 00001 00311*")</f>
        <v>844</v>
      </c>
      <c r="G1081" s="83">
        <f>SUMIFS(G1082:G1474,K1082:K1474,"0",B1082:B1474,"5 1 3 1 1 12 31111 6 M59 19000 000132 0000R 00001 00311*")</f>
        <v>0</v>
      </c>
      <c r="H1081" s="83">
        <f t="shared" si="18"/>
        <v>844</v>
      </c>
      <c r="I1081" s="83"/>
      <c r="K1081" s="54" t="s">
        <v>15</v>
      </c>
    </row>
    <row r="1082" spans="2:11" ht="24.75" x14ac:dyDescent="0.2">
      <c r="B1082" s="82" t="s">
        <v>8340</v>
      </c>
      <c r="C1082" s="82" t="s">
        <v>699</v>
      </c>
      <c r="D1082" s="83">
        <f>SUMIFS(D1083:D1474,K1083:K1474,"0",B1083:B1474,"5 1 3 1 1 12 31111 6 M59 19000 000132 0000R 00001 00311 011*")-SUMIFS(E1083:E1474,K1083:K1474,"0",B1083:B1474,"5 1 3 1 1 12 31111 6 M59 19000 000132 0000R 00001 00311 011*")</f>
        <v>0</v>
      </c>
      <c r="E1082" s="54"/>
      <c r="F1082" s="83">
        <f>SUMIFS(F1083:F1474,K1083:K1474,"0",B1083:B1474,"5 1 3 1 1 12 31111 6 M59 19000 000132 0000R 00001 00311 011*")</f>
        <v>844</v>
      </c>
      <c r="G1082" s="83">
        <f>SUMIFS(G1083:G1474,K1083:K1474,"0",B1083:B1474,"5 1 3 1 1 12 31111 6 M59 19000 000132 0000R 00001 00311 011*")</f>
        <v>0</v>
      </c>
      <c r="H1082" s="83">
        <f t="shared" si="18"/>
        <v>844</v>
      </c>
      <c r="I1082" s="83"/>
      <c r="K1082" s="54" t="s">
        <v>15</v>
      </c>
    </row>
    <row r="1083" spans="2:11" ht="33" x14ac:dyDescent="0.2">
      <c r="B1083" s="82" t="s">
        <v>8341</v>
      </c>
      <c r="C1083" s="82" t="s">
        <v>5830</v>
      </c>
      <c r="D1083" s="83">
        <f>SUMIFS(D1084:D1474,K1084:K1474,"0",B1084:B1474,"5 1 3 1 1 12 31111 6 M59 19000 000132 0000R 00001 00311 011 2112000*")-SUMIFS(E1084:E1474,K1084:K1474,"0",B1084:B1474,"5 1 3 1 1 12 31111 6 M59 19000 000132 0000R 00001 00311 011 2112000*")</f>
        <v>0</v>
      </c>
      <c r="E1083" s="54"/>
      <c r="F1083" s="83">
        <f>SUMIFS(F1084:F1474,K1084:K1474,"0",B1084:B1474,"5 1 3 1 1 12 31111 6 M59 19000 000132 0000R 00001 00311 011 2112000*")</f>
        <v>844</v>
      </c>
      <c r="G1083" s="83">
        <f>SUMIFS(G1084:G1474,K1084:K1474,"0",B1084:B1474,"5 1 3 1 1 12 31111 6 M59 19000 000132 0000R 00001 00311 011 2112000*")</f>
        <v>0</v>
      </c>
      <c r="H1083" s="83">
        <f t="shared" si="18"/>
        <v>844</v>
      </c>
      <c r="I1083" s="83"/>
      <c r="K1083" s="54" t="s">
        <v>15</v>
      </c>
    </row>
    <row r="1084" spans="2:11" ht="33" x14ac:dyDescent="0.2">
      <c r="B1084" s="82" t="s">
        <v>8342</v>
      </c>
      <c r="C1084" s="82" t="s">
        <v>660</v>
      </c>
      <c r="D1084" s="83">
        <f>SUMIFS(D1085:D1474,K1085:K1474,"0",B1085:B1474,"5 1 3 1 1 12 31111 6 M59 19000 000132 0000R 00001 00311 011 2112000 2024*")-SUMIFS(E1085:E1474,K1085:K1474,"0",B1085:B1474,"5 1 3 1 1 12 31111 6 M59 19000 000132 0000R 00001 00311 011 2112000 2024*")</f>
        <v>0</v>
      </c>
      <c r="E1084" s="54"/>
      <c r="F1084" s="83">
        <f>SUMIFS(F1085:F1474,K1085:K1474,"0",B1085:B1474,"5 1 3 1 1 12 31111 6 M59 19000 000132 0000R 00001 00311 011 2112000 2024*")</f>
        <v>844</v>
      </c>
      <c r="G1084" s="83">
        <f>SUMIFS(G1085:G1474,K1085:K1474,"0",B1085:B1474,"5 1 3 1 1 12 31111 6 M59 19000 000132 0000R 00001 00311 011 2112000 2024*")</f>
        <v>0</v>
      </c>
      <c r="H1084" s="83">
        <f t="shared" si="18"/>
        <v>844</v>
      </c>
      <c r="I1084" s="83"/>
      <c r="K1084" s="54" t="s">
        <v>15</v>
      </c>
    </row>
    <row r="1085" spans="2:11" ht="41.25" x14ac:dyDescent="0.2">
      <c r="B1085" s="82" t="s">
        <v>8343</v>
      </c>
      <c r="C1085" s="82" t="s">
        <v>662</v>
      </c>
      <c r="D1085" s="83">
        <f>SUMIFS(D1086:D1474,K1086:K1474,"0",B1086:B1474,"5 1 3 1 1 12 31111 6 M59 19000 000132 0000R 00001 00311 011 2112000 2024 CP1TM440*")-SUMIFS(E1086:E1474,K1086:K1474,"0",B1086:B1474,"5 1 3 1 1 12 31111 6 M59 19000 000132 0000R 00001 00311 011 2112000 2024 CP1TM440*")</f>
        <v>0</v>
      </c>
      <c r="E1085" s="54"/>
      <c r="F1085" s="83">
        <f>SUMIFS(F1086:F1474,K1086:K1474,"0",B1086:B1474,"5 1 3 1 1 12 31111 6 M59 19000 000132 0000R 00001 00311 011 2112000 2024 CP1TM440*")</f>
        <v>844</v>
      </c>
      <c r="G1085" s="83">
        <f>SUMIFS(G1086:G1474,K1086:K1474,"0",B1086:B1474,"5 1 3 1 1 12 31111 6 M59 19000 000132 0000R 00001 00311 011 2112000 2024 CP1TM440*")</f>
        <v>0</v>
      </c>
      <c r="H1085" s="83">
        <f t="shared" si="18"/>
        <v>844</v>
      </c>
      <c r="I1085" s="83"/>
      <c r="K1085" s="54" t="s">
        <v>15</v>
      </c>
    </row>
    <row r="1086" spans="2:11" ht="41.25" x14ac:dyDescent="0.2">
      <c r="B1086" s="82" t="s">
        <v>8344</v>
      </c>
      <c r="C1086" s="82" t="s">
        <v>2284</v>
      </c>
      <c r="D1086" s="83">
        <f>SUMIFS(D1087:D1474,K1087:K1474,"0",B1087:B1474,"5 1 3 1 1 12 31111 6 M59 19000 000132 0000R 00001 00311 011 2112000 2024 CP1TM440 004*")-SUMIFS(E1087:E1474,K1087:K1474,"0",B1087:B1474,"5 1 3 1 1 12 31111 6 M59 19000 000132 0000R 00001 00311 011 2112000 2024 CP1TM440 004*")</f>
        <v>0</v>
      </c>
      <c r="E1086" s="54"/>
      <c r="F1086" s="83">
        <f>SUMIFS(F1087:F1474,K1087:K1474,"0",B1087:B1474,"5 1 3 1 1 12 31111 6 M59 19000 000132 0000R 00001 00311 011 2112000 2024 CP1TM440 004*")</f>
        <v>844</v>
      </c>
      <c r="G1086" s="83">
        <f>SUMIFS(G1087:G1474,K1087:K1474,"0",B1087:B1474,"5 1 3 1 1 12 31111 6 M59 19000 000132 0000R 00001 00311 011 2112000 2024 CP1TM440 004*")</f>
        <v>0</v>
      </c>
      <c r="H1086" s="83">
        <f t="shared" si="18"/>
        <v>844</v>
      </c>
      <c r="I1086" s="83"/>
      <c r="K1086" s="54" t="s">
        <v>15</v>
      </c>
    </row>
    <row r="1087" spans="2:11" ht="33" x14ac:dyDescent="0.2">
      <c r="B1087" s="84" t="s">
        <v>8345</v>
      </c>
      <c r="C1087" s="84" t="s">
        <v>2284</v>
      </c>
      <c r="D1087" s="85">
        <v>0</v>
      </c>
      <c r="E1087" s="85"/>
      <c r="F1087" s="85">
        <v>844</v>
      </c>
      <c r="G1087" s="85">
        <v>0</v>
      </c>
      <c r="H1087" s="85">
        <f t="shared" si="18"/>
        <v>844</v>
      </c>
      <c r="I1087" s="85"/>
      <c r="K1087" s="54" t="s">
        <v>38</v>
      </c>
    </row>
    <row r="1088" spans="2:11" ht="16.5" x14ac:dyDescent="0.2">
      <c r="B1088" s="82" t="s">
        <v>8347</v>
      </c>
      <c r="C1088" s="82" t="s">
        <v>1079</v>
      </c>
      <c r="D1088" s="83">
        <f>SUMIFS(D1089:D1474,K1089:K1474,"0",B1089:B1474,"5 1 3 1 1 12 31111 6 M59 20500*")-SUMIFS(E1089:E1474,K1089:K1474,"0",B1089:B1474,"5 1 3 1 1 12 31111 6 M59 20500*")</f>
        <v>6193377.4900000002</v>
      </c>
      <c r="E1088" s="54"/>
      <c r="F1088" s="83">
        <f>SUMIFS(F1089:F1474,K1089:K1474,"0",B1089:B1474,"5 1 3 1 1 12 31111 6 M59 20500*")</f>
        <v>0</v>
      </c>
      <c r="G1088" s="83">
        <f>SUMIFS(G1089:G1474,K1089:K1474,"0",B1089:B1474,"5 1 3 1 1 12 31111 6 M59 20500*")</f>
        <v>0</v>
      </c>
      <c r="H1088" s="83">
        <f t="shared" si="18"/>
        <v>6193377.4900000002</v>
      </c>
      <c r="I1088" s="83"/>
      <c r="K1088" s="54" t="s">
        <v>15</v>
      </c>
    </row>
    <row r="1089" spans="2:11" ht="24.75" x14ac:dyDescent="0.2">
      <c r="B1089" s="82" t="s">
        <v>8348</v>
      </c>
      <c r="C1089" s="82" t="s">
        <v>3152</v>
      </c>
      <c r="D1089" s="83">
        <f>SUMIFS(D1090:D1474,K1090:K1474,"0",B1090:B1474,"5 1 3 1 1 12 31111 6 M59 20500 000181*")-SUMIFS(E1090:E1474,K1090:K1474,"0",B1090:B1474,"5 1 3 1 1 12 31111 6 M59 20500 000181*")</f>
        <v>6193377.4900000002</v>
      </c>
      <c r="E1089" s="54"/>
      <c r="F1089" s="83">
        <f>SUMIFS(F1090:F1474,K1090:K1474,"0",B1090:B1474,"5 1 3 1 1 12 31111 6 M59 20500 000181*")</f>
        <v>0</v>
      </c>
      <c r="G1089" s="83">
        <f>SUMIFS(G1090:G1474,K1090:K1474,"0",B1090:B1474,"5 1 3 1 1 12 31111 6 M59 20500 000181*")</f>
        <v>0</v>
      </c>
      <c r="H1089" s="83">
        <f t="shared" si="18"/>
        <v>6193377.4900000002</v>
      </c>
      <c r="I1089" s="83"/>
      <c r="K1089" s="54" t="s">
        <v>15</v>
      </c>
    </row>
    <row r="1090" spans="2:11" ht="16.5" x14ac:dyDescent="0.2">
      <c r="B1090" s="82" t="s">
        <v>8349</v>
      </c>
      <c r="C1090" s="82" t="s">
        <v>1065</v>
      </c>
      <c r="D1090" s="83">
        <f>SUMIFS(D1091:D1474,K1091:K1474,"0",B1091:B1474,"5 1 3 1 1 12 31111 6 M59 20500 000181 0000E*")-SUMIFS(E1091:E1474,K1091:K1474,"0",B1091:B1474,"5 1 3 1 1 12 31111 6 M59 20500 000181 0000E*")</f>
        <v>6193377.4900000002</v>
      </c>
      <c r="E1090" s="54"/>
      <c r="F1090" s="83">
        <f>SUMIFS(F1091:F1474,K1091:K1474,"0",B1091:B1474,"5 1 3 1 1 12 31111 6 M59 20500 000181 0000E*")</f>
        <v>0</v>
      </c>
      <c r="G1090" s="83">
        <f>SUMIFS(G1091:G1474,K1091:K1474,"0",B1091:B1474,"5 1 3 1 1 12 31111 6 M59 20500 000181 0000E*")</f>
        <v>0</v>
      </c>
      <c r="H1090" s="83">
        <f t="shared" si="18"/>
        <v>6193377.4900000002</v>
      </c>
      <c r="I1090" s="83"/>
      <c r="K1090" s="54" t="s">
        <v>15</v>
      </c>
    </row>
    <row r="1091" spans="2:11" ht="24.75" x14ac:dyDescent="0.2">
      <c r="B1091" s="82" t="s">
        <v>8350</v>
      </c>
      <c r="C1091" s="82" t="s">
        <v>282</v>
      </c>
      <c r="D1091" s="83">
        <f>SUMIFS(D1092:D1474,K1092:K1474,"0",B1092:B1474,"5 1 3 1 1 12 31111 6 M59 20500 000181 0000E 00001*")-SUMIFS(E1092:E1474,K1092:K1474,"0",B1092:B1474,"5 1 3 1 1 12 31111 6 M59 20500 000181 0000E 00001*")</f>
        <v>6193377.4900000002</v>
      </c>
      <c r="E1091" s="54"/>
      <c r="F1091" s="83">
        <f>SUMIFS(F1092:F1474,K1092:K1474,"0",B1092:B1474,"5 1 3 1 1 12 31111 6 M59 20500 000181 0000E 00001*")</f>
        <v>0</v>
      </c>
      <c r="G1091" s="83">
        <f>SUMIFS(G1092:G1474,K1092:K1474,"0",B1092:B1474,"5 1 3 1 1 12 31111 6 M59 20500 000181 0000E 00001*")</f>
        <v>0</v>
      </c>
      <c r="H1091" s="83">
        <f t="shared" si="18"/>
        <v>6193377.4900000002</v>
      </c>
      <c r="I1091" s="83"/>
      <c r="K1091" s="54" t="s">
        <v>15</v>
      </c>
    </row>
    <row r="1092" spans="2:11" ht="24.75" x14ac:dyDescent="0.2">
      <c r="B1092" s="82" t="s">
        <v>8351</v>
      </c>
      <c r="C1092" s="82" t="s">
        <v>8339</v>
      </c>
      <c r="D1092" s="83">
        <f>SUMIFS(D1093:D1474,K1093:K1474,"0",B1093:B1474,"5 1 3 1 1 12 31111 6 M59 20500 000181 0000E 00001 00311*")-SUMIFS(E1093:E1474,K1093:K1474,"0",B1093:B1474,"5 1 3 1 1 12 31111 6 M59 20500 000181 0000E 00001 00311*")</f>
        <v>6193377.4900000002</v>
      </c>
      <c r="E1092" s="54"/>
      <c r="F1092" s="83">
        <f>SUMIFS(F1093:F1474,K1093:K1474,"0",B1093:B1474,"5 1 3 1 1 12 31111 6 M59 20500 000181 0000E 00001 00311*")</f>
        <v>0</v>
      </c>
      <c r="G1092" s="83">
        <f>SUMIFS(G1093:G1474,K1093:K1474,"0",B1093:B1474,"5 1 3 1 1 12 31111 6 M59 20500 000181 0000E 00001 00311*")</f>
        <v>0</v>
      </c>
      <c r="H1092" s="83">
        <f t="shared" si="18"/>
        <v>6193377.4900000002</v>
      </c>
      <c r="I1092" s="83"/>
      <c r="K1092" s="54" t="s">
        <v>15</v>
      </c>
    </row>
    <row r="1093" spans="2:11" ht="24.75" x14ac:dyDescent="0.2">
      <c r="B1093" s="82" t="s">
        <v>8352</v>
      </c>
      <c r="C1093" s="82" t="s">
        <v>699</v>
      </c>
      <c r="D1093" s="83">
        <f>SUMIFS(D1094:D1474,K1094:K1474,"0",B1094:B1474,"5 1 3 1 1 12 31111 6 M59 20500 000181 0000E 00001 00311 011*")-SUMIFS(E1094:E1474,K1094:K1474,"0",B1094:B1474,"5 1 3 1 1 12 31111 6 M59 20500 000181 0000E 00001 00311 011*")</f>
        <v>6193377.4900000002</v>
      </c>
      <c r="E1093" s="54"/>
      <c r="F1093" s="83">
        <f>SUMIFS(F1094:F1474,K1094:K1474,"0",B1094:B1474,"5 1 3 1 1 12 31111 6 M59 20500 000181 0000E 00001 00311 011*")</f>
        <v>0</v>
      </c>
      <c r="G1093" s="83">
        <f>SUMIFS(G1094:G1474,K1094:K1474,"0",B1094:B1474,"5 1 3 1 1 12 31111 6 M59 20500 000181 0000E 00001 00311 011*")</f>
        <v>0</v>
      </c>
      <c r="H1093" s="83">
        <f t="shared" si="18"/>
        <v>6193377.4900000002</v>
      </c>
      <c r="I1093" s="83"/>
      <c r="K1093" s="54" t="s">
        <v>15</v>
      </c>
    </row>
    <row r="1094" spans="2:11" ht="33" x14ac:dyDescent="0.2">
      <c r="B1094" s="82" t="s">
        <v>8353</v>
      </c>
      <c r="C1094" s="82" t="s">
        <v>5830</v>
      </c>
      <c r="D1094" s="83">
        <f>SUMIFS(D1095:D1474,K1095:K1474,"0",B1095:B1474,"5 1 3 1 1 12 31111 6 M59 20500 000181 0000E 00001 00311 011 2112000*")-SUMIFS(E1095:E1474,K1095:K1474,"0",B1095:B1474,"5 1 3 1 1 12 31111 6 M59 20500 000181 0000E 00001 00311 011 2112000*")</f>
        <v>6193377.4900000002</v>
      </c>
      <c r="E1094" s="54"/>
      <c r="F1094" s="83">
        <f>SUMIFS(F1095:F1474,K1095:K1474,"0",B1095:B1474,"5 1 3 1 1 12 31111 6 M59 20500 000181 0000E 00001 00311 011 2112000*")</f>
        <v>0</v>
      </c>
      <c r="G1094" s="83">
        <f>SUMIFS(G1095:G1474,K1095:K1474,"0",B1095:B1474,"5 1 3 1 1 12 31111 6 M59 20500 000181 0000E 00001 00311 011 2112000*")</f>
        <v>0</v>
      </c>
      <c r="H1094" s="83">
        <f t="shared" si="18"/>
        <v>6193377.4900000002</v>
      </c>
      <c r="I1094" s="83"/>
      <c r="K1094" s="54" t="s">
        <v>15</v>
      </c>
    </row>
    <row r="1095" spans="2:11" ht="33" x14ac:dyDescent="0.2">
      <c r="B1095" s="82" t="s">
        <v>8354</v>
      </c>
      <c r="C1095" s="82" t="s">
        <v>660</v>
      </c>
      <c r="D1095" s="83">
        <f>SUMIFS(D1096:D1474,K1096:K1474,"0",B1096:B1474,"5 1 3 1 1 12 31111 6 M59 20500 000181 0000E 00001 00311 011 2112000 2024*")-SUMIFS(E1096:E1474,K1096:K1474,"0",B1096:B1474,"5 1 3 1 1 12 31111 6 M59 20500 000181 0000E 00001 00311 011 2112000 2024*")</f>
        <v>6193377.4900000002</v>
      </c>
      <c r="E1095" s="54"/>
      <c r="F1095" s="83">
        <f>SUMIFS(F1096:F1474,K1096:K1474,"0",B1096:B1474,"5 1 3 1 1 12 31111 6 M59 20500 000181 0000E 00001 00311 011 2112000 2024*")</f>
        <v>0</v>
      </c>
      <c r="G1095" s="83">
        <f>SUMIFS(G1096:G1474,K1096:K1474,"0",B1096:B1474,"5 1 3 1 1 12 31111 6 M59 20500 000181 0000E 00001 00311 011 2112000 2024*")</f>
        <v>0</v>
      </c>
      <c r="H1095" s="83">
        <f t="shared" si="18"/>
        <v>6193377.4900000002</v>
      </c>
      <c r="I1095" s="83"/>
      <c r="K1095" s="54" t="s">
        <v>15</v>
      </c>
    </row>
    <row r="1096" spans="2:11" ht="49.5" x14ac:dyDescent="0.2">
      <c r="B1096" s="82" t="s">
        <v>8355</v>
      </c>
      <c r="C1096" s="82" t="s">
        <v>5982</v>
      </c>
      <c r="D1096" s="83">
        <f>SUMIFS(D1097:D1474,K1097:K1474,"0",B1097:B1474,"5 1 3 1 1 12 31111 6 M59 20500 000181 0000E 00001 00311 011 2112000 2024 CP3CP471*")-SUMIFS(E1097:E1474,K1097:K1474,"0",B1097:B1474,"5 1 3 1 1 12 31111 6 M59 20500 000181 0000E 00001 00311 011 2112000 2024 CP3CP471*")</f>
        <v>6193377.4900000002</v>
      </c>
      <c r="E1096" s="54"/>
      <c r="F1096" s="83">
        <f>SUMIFS(F1097:F1474,K1097:K1474,"0",B1097:B1474,"5 1 3 1 1 12 31111 6 M59 20500 000181 0000E 00001 00311 011 2112000 2024 CP3CP471*")</f>
        <v>0</v>
      </c>
      <c r="G1096" s="83">
        <f>SUMIFS(G1097:G1474,K1097:K1474,"0",B1097:B1474,"5 1 3 1 1 12 31111 6 M59 20500 000181 0000E 00001 00311 011 2112000 2024 CP3CP471*")</f>
        <v>0</v>
      </c>
      <c r="H1096" s="83">
        <f t="shared" si="18"/>
        <v>6193377.4900000002</v>
      </c>
      <c r="I1096" s="83"/>
      <c r="K1096" s="54" t="s">
        <v>15</v>
      </c>
    </row>
    <row r="1097" spans="2:11" ht="41.25" x14ac:dyDescent="0.2">
      <c r="B1097" s="82" t="s">
        <v>8356</v>
      </c>
      <c r="C1097" s="82" t="s">
        <v>2284</v>
      </c>
      <c r="D1097" s="83">
        <f>SUMIFS(D1098:D1474,K1098:K1474,"0",B1098:B1474,"5 1 3 1 1 12 31111 6 M59 20500 000181 0000E 00001 00311 011 2112000 2024 CP3CP471 004*")-SUMIFS(E1098:E1474,K1098:K1474,"0",B1098:B1474,"5 1 3 1 1 12 31111 6 M59 20500 000181 0000E 00001 00311 011 2112000 2024 CP3CP471 004*")</f>
        <v>6193377.4900000002</v>
      </c>
      <c r="E1097" s="54"/>
      <c r="F1097" s="83">
        <f>SUMIFS(F1098:F1474,K1098:K1474,"0",B1098:B1474,"5 1 3 1 1 12 31111 6 M59 20500 000181 0000E 00001 00311 011 2112000 2024 CP3CP471 004*")</f>
        <v>0</v>
      </c>
      <c r="G1097" s="83">
        <f>SUMIFS(G1098:G1474,K1098:K1474,"0",B1098:B1474,"5 1 3 1 1 12 31111 6 M59 20500 000181 0000E 00001 00311 011 2112000 2024 CP3CP471 004*")</f>
        <v>0</v>
      </c>
      <c r="H1097" s="83">
        <f t="shared" si="18"/>
        <v>6193377.4900000002</v>
      </c>
      <c r="I1097" s="83"/>
      <c r="K1097" s="54" t="s">
        <v>15</v>
      </c>
    </row>
    <row r="1098" spans="2:11" ht="33" x14ac:dyDescent="0.2">
      <c r="B1098" s="84" t="s">
        <v>8357</v>
      </c>
      <c r="C1098" s="84" t="s">
        <v>2284</v>
      </c>
      <c r="D1098" s="85">
        <v>6193377.4900000002</v>
      </c>
      <c r="E1098" s="85"/>
      <c r="F1098" s="85">
        <v>0</v>
      </c>
      <c r="G1098" s="85">
        <v>0</v>
      </c>
      <c r="H1098" s="85">
        <f t="shared" si="18"/>
        <v>6193377.4900000002</v>
      </c>
      <c r="I1098" s="85"/>
      <c r="K1098" s="54" t="s">
        <v>38</v>
      </c>
    </row>
    <row r="1099" spans="2:11" ht="12.75" x14ac:dyDescent="0.2">
      <c r="B1099" s="82" t="s">
        <v>8393</v>
      </c>
      <c r="C1099" s="82" t="s">
        <v>8394</v>
      </c>
      <c r="D1099" s="83">
        <f>SUMIFS(D1100:D1474,K1100:K1474,"0",B1100:B1474,"5 1 3 1 4*")-SUMIFS(E1100:E1474,K1100:K1474,"0",B1100:B1474,"5 1 3 1 4*")</f>
        <v>41997.54</v>
      </c>
      <c r="E1099" s="54"/>
      <c r="F1099" s="83">
        <f>SUMIFS(F1100:F1474,K1100:K1474,"0",B1100:B1474,"5 1 3 1 4*")</f>
        <v>20998.78</v>
      </c>
      <c r="G1099" s="83">
        <f>SUMIFS(G1100:G1474,K1100:K1474,"0",B1100:B1474,"5 1 3 1 4*")</f>
        <v>0</v>
      </c>
      <c r="H1099" s="83">
        <f t="shared" si="18"/>
        <v>62996.32</v>
      </c>
      <c r="I1099" s="83"/>
      <c r="K1099" s="54" t="s">
        <v>15</v>
      </c>
    </row>
    <row r="1100" spans="2:11" ht="12.75" x14ac:dyDescent="0.2">
      <c r="B1100" s="82" t="s">
        <v>8395</v>
      </c>
      <c r="C1100" s="82" t="s">
        <v>26</v>
      </c>
      <c r="D1100" s="83">
        <f>SUMIFS(D1101:D1474,K1101:K1474,"0",B1101:B1474,"5 1 3 1 4 12*")-SUMIFS(E1101:E1474,K1101:K1474,"0",B1101:B1474,"5 1 3 1 4 12*")</f>
        <v>41997.54</v>
      </c>
      <c r="E1100" s="54"/>
      <c r="F1100" s="83">
        <f>SUMIFS(F1101:F1474,K1101:K1474,"0",B1101:B1474,"5 1 3 1 4 12*")</f>
        <v>20998.78</v>
      </c>
      <c r="G1100" s="83">
        <f>SUMIFS(G1101:G1474,K1101:K1474,"0",B1101:B1474,"5 1 3 1 4 12*")</f>
        <v>0</v>
      </c>
      <c r="H1100" s="83">
        <f t="shared" si="18"/>
        <v>62996.32</v>
      </c>
      <c r="I1100" s="83"/>
      <c r="K1100" s="54" t="s">
        <v>15</v>
      </c>
    </row>
    <row r="1101" spans="2:11" ht="16.5" x14ac:dyDescent="0.2">
      <c r="B1101" s="82" t="s">
        <v>8396</v>
      </c>
      <c r="C1101" s="82" t="s">
        <v>28</v>
      </c>
      <c r="D1101" s="83">
        <f>SUMIFS(D1102:D1474,K1102:K1474,"0",B1102:B1474,"5 1 3 1 4 12 31111*")-SUMIFS(E1102:E1474,K1102:K1474,"0",B1102:B1474,"5 1 3 1 4 12 31111*")</f>
        <v>41997.54</v>
      </c>
      <c r="E1101" s="54"/>
      <c r="F1101" s="83">
        <f>SUMIFS(F1102:F1474,K1102:K1474,"0",B1102:B1474,"5 1 3 1 4 12 31111*")</f>
        <v>20998.78</v>
      </c>
      <c r="G1101" s="83">
        <f>SUMIFS(G1102:G1474,K1102:K1474,"0",B1102:B1474,"5 1 3 1 4 12 31111*")</f>
        <v>0</v>
      </c>
      <c r="H1101" s="83">
        <f t="shared" si="18"/>
        <v>62996.32</v>
      </c>
      <c r="I1101" s="83"/>
      <c r="K1101" s="54" t="s">
        <v>15</v>
      </c>
    </row>
    <row r="1102" spans="2:11" ht="12.75" x14ac:dyDescent="0.2">
      <c r="B1102" s="82" t="s">
        <v>8397</v>
      </c>
      <c r="C1102" s="82" t="s">
        <v>30</v>
      </c>
      <c r="D1102" s="83">
        <f>SUMIFS(D1103:D1474,K1103:K1474,"0",B1103:B1474,"5 1 3 1 4 12 31111 6*")-SUMIFS(E1103:E1474,K1103:K1474,"0",B1103:B1474,"5 1 3 1 4 12 31111 6*")</f>
        <v>41997.54</v>
      </c>
      <c r="E1102" s="54"/>
      <c r="F1102" s="83">
        <f>SUMIFS(F1103:F1474,K1103:K1474,"0",B1103:B1474,"5 1 3 1 4 12 31111 6*")</f>
        <v>20998.78</v>
      </c>
      <c r="G1102" s="83">
        <f>SUMIFS(G1103:G1474,K1103:K1474,"0",B1103:B1474,"5 1 3 1 4 12 31111 6*")</f>
        <v>0</v>
      </c>
      <c r="H1102" s="83">
        <f t="shared" si="18"/>
        <v>62996.32</v>
      </c>
      <c r="I1102" s="83"/>
      <c r="K1102" s="54" t="s">
        <v>15</v>
      </c>
    </row>
    <row r="1103" spans="2:11" ht="16.5" x14ac:dyDescent="0.2">
      <c r="B1103" s="82" t="s">
        <v>8398</v>
      </c>
      <c r="C1103" s="82" t="s">
        <v>2284</v>
      </c>
      <c r="D1103" s="83">
        <f>SUMIFS(D1104:D1474,K1104:K1474,"0",B1104:B1474,"5 1 3 1 4 12 31111 6 M59*")-SUMIFS(E1104:E1474,K1104:K1474,"0",B1104:B1474,"5 1 3 1 4 12 31111 6 M59*")</f>
        <v>41997.54</v>
      </c>
      <c r="E1103" s="54"/>
      <c r="F1103" s="83">
        <f>SUMIFS(F1104:F1474,K1104:K1474,"0",B1104:B1474,"5 1 3 1 4 12 31111 6 M59*")</f>
        <v>20998.78</v>
      </c>
      <c r="G1103" s="83">
        <f>SUMIFS(G1104:G1474,K1104:K1474,"0",B1104:B1474,"5 1 3 1 4 12 31111 6 M59*")</f>
        <v>0</v>
      </c>
      <c r="H1103" s="83">
        <f t="shared" si="18"/>
        <v>62996.32</v>
      </c>
      <c r="I1103" s="83"/>
      <c r="K1103" s="54" t="s">
        <v>15</v>
      </c>
    </row>
    <row r="1104" spans="2:11" ht="16.5" x14ac:dyDescent="0.2">
      <c r="B1104" s="82" t="s">
        <v>8399</v>
      </c>
      <c r="C1104" s="82" t="s">
        <v>1044</v>
      </c>
      <c r="D1104" s="83">
        <f>SUMIFS(D1105:D1474,K1105:K1474,"0",B1105:B1474,"5 1 3 1 4 12 31111 6 M59 19000*")-SUMIFS(E1105:E1474,K1105:K1474,"0",B1105:B1474,"5 1 3 1 4 12 31111 6 M59 19000*")</f>
        <v>41997.54</v>
      </c>
      <c r="E1104" s="54"/>
      <c r="F1104" s="83">
        <f>SUMIFS(F1105:F1474,K1105:K1474,"0",B1105:B1474,"5 1 3 1 4 12 31111 6 M59 19000*")</f>
        <v>20998.78</v>
      </c>
      <c r="G1104" s="83">
        <f>SUMIFS(G1105:G1474,K1105:K1474,"0",B1105:B1474,"5 1 3 1 4 12 31111 6 M59 19000*")</f>
        <v>0</v>
      </c>
      <c r="H1104" s="83">
        <f t="shared" si="18"/>
        <v>62996.32</v>
      </c>
      <c r="I1104" s="83"/>
      <c r="K1104" s="54" t="s">
        <v>15</v>
      </c>
    </row>
    <row r="1105" spans="2:11" ht="16.5" x14ac:dyDescent="0.2">
      <c r="B1105" s="82" t="s">
        <v>8400</v>
      </c>
      <c r="C1105" s="82" t="s">
        <v>648</v>
      </c>
      <c r="D1105" s="83">
        <f>SUMIFS(D1106:D1474,K1106:K1474,"0",B1106:B1474,"5 1 3 1 4 12 31111 6 M59 19000 000132*")-SUMIFS(E1106:E1474,K1106:K1474,"0",B1106:B1474,"5 1 3 1 4 12 31111 6 M59 19000 000132*")</f>
        <v>41997.54</v>
      </c>
      <c r="E1105" s="54"/>
      <c r="F1105" s="83">
        <f>SUMIFS(F1106:F1474,K1106:K1474,"0",B1106:B1474,"5 1 3 1 4 12 31111 6 M59 19000 000132*")</f>
        <v>20998.78</v>
      </c>
      <c r="G1105" s="83">
        <f>SUMIFS(G1106:G1474,K1106:K1474,"0",B1106:B1474,"5 1 3 1 4 12 31111 6 M59 19000 000132*")</f>
        <v>0</v>
      </c>
      <c r="H1105" s="83">
        <f t="shared" si="18"/>
        <v>62996.32</v>
      </c>
      <c r="I1105" s="83"/>
      <c r="K1105" s="54" t="s">
        <v>15</v>
      </c>
    </row>
    <row r="1106" spans="2:11" ht="24.75" x14ac:dyDescent="0.2">
      <c r="B1106" s="82" t="s">
        <v>8401</v>
      </c>
      <c r="C1106" s="82" t="s">
        <v>650</v>
      </c>
      <c r="D1106" s="83">
        <f>SUMIFS(D1107:D1474,K1107:K1474,"0",B1107:B1474,"5 1 3 1 4 12 31111 6 M59 19000 000132 0000R*")-SUMIFS(E1107:E1474,K1107:K1474,"0",B1107:B1474,"5 1 3 1 4 12 31111 6 M59 19000 000132 0000R*")</f>
        <v>41997.54</v>
      </c>
      <c r="E1106" s="54"/>
      <c r="F1106" s="83">
        <f>SUMIFS(F1107:F1474,K1107:K1474,"0",B1107:B1474,"5 1 3 1 4 12 31111 6 M59 19000 000132 0000R*")</f>
        <v>20998.78</v>
      </c>
      <c r="G1106" s="83">
        <f>SUMIFS(G1107:G1474,K1107:K1474,"0",B1107:B1474,"5 1 3 1 4 12 31111 6 M59 19000 000132 0000R*")</f>
        <v>0</v>
      </c>
      <c r="H1106" s="83">
        <f t="shared" si="18"/>
        <v>62996.32</v>
      </c>
      <c r="I1106" s="83"/>
      <c r="K1106" s="54" t="s">
        <v>15</v>
      </c>
    </row>
    <row r="1107" spans="2:11" ht="24.75" x14ac:dyDescent="0.2">
      <c r="B1107" s="82" t="s">
        <v>8402</v>
      </c>
      <c r="C1107" s="82" t="s">
        <v>282</v>
      </c>
      <c r="D1107" s="83">
        <f>SUMIFS(D1108:D1474,K1108:K1474,"0",B1108:B1474,"5 1 3 1 4 12 31111 6 M59 19000 000132 0000R 00001*")-SUMIFS(E1108:E1474,K1108:K1474,"0",B1108:B1474,"5 1 3 1 4 12 31111 6 M59 19000 000132 0000R 00001*")</f>
        <v>41997.54</v>
      </c>
      <c r="E1107" s="54"/>
      <c r="F1107" s="83">
        <f>SUMIFS(F1108:F1474,K1108:K1474,"0",B1108:B1474,"5 1 3 1 4 12 31111 6 M59 19000 000132 0000R 00001*")</f>
        <v>20998.78</v>
      </c>
      <c r="G1107" s="83">
        <f>SUMIFS(G1108:G1474,K1108:K1474,"0",B1108:B1474,"5 1 3 1 4 12 31111 6 M59 19000 000132 0000R 00001*")</f>
        <v>0</v>
      </c>
      <c r="H1107" s="83">
        <f t="shared" si="18"/>
        <v>62996.32</v>
      </c>
      <c r="I1107" s="83"/>
      <c r="K1107" s="54" t="s">
        <v>15</v>
      </c>
    </row>
    <row r="1108" spans="2:11" ht="24.75" x14ac:dyDescent="0.2">
      <c r="B1108" s="82" t="s">
        <v>8403</v>
      </c>
      <c r="C1108" s="82" t="s">
        <v>8404</v>
      </c>
      <c r="D1108" s="83">
        <f>SUMIFS(D1109:D1474,K1109:K1474,"0",B1109:B1474,"5 1 3 1 4 12 31111 6 M59 19000 000132 0000R 00001 00314*")-SUMIFS(E1109:E1474,K1109:K1474,"0",B1109:B1474,"5 1 3 1 4 12 31111 6 M59 19000 000132 0000R 00001 00314*")</f>
        <v>41997.54</v>
      </c>
      <c r="E1108" s="54"/>
      <c r="F1108" s="83">
        <f>SUMIFS(F1109:F1474,K1109:K1474,"0",B1109:B1474,"5 1 3 1 4 12 31111 6 M59 19000 000132 0000R 00001 00314*")</f>
        <v>20998.78</v>
      </c>
      <c r="G1108" s="83">
        <f>SUMIFS(G1109:G1474,K1109:K1474,"0",B1109:B1474,"5 1 3 1 4 12 31111 6 M59 19000 000132 0000R 00001 00314*")</f>
        <v>0</v>
      </c>
      <c r="H1108" s="83">
        <f t="shared" si="18"/>
        <v>62996.32</v>
      </c>
      <c r="I1108" s="83"/>
      <c r="K1108" s="54" t="s">
        <v>15</v>
      </c>
    </row>
    <row r="1109" spans="2:11" ht="33" x14ac:dyDescent="0.2">
      <c r="B1109" s="82" t="s">
        <v>8405</v>
      </c>
      <c r="C1109" s="82" t="s">
        <v>699</v>
      </c>
      <c r="D1109" s="83">
        <f>SUMIFS(D1110:D1474,K1110:K1474,"0",B1110:B1474,"5 1 3 1 4 12 31111 6 M59 19000 000132 0000R 00001 00314 011*")-SUMIFS(E1110:E1474,K1110:K1474,"0",B1110:B1474,"5 1 3 1 4 12 31111 6 M59 19000 000132 0000R 00001 00314 011*")</f>
        <v>41997.54</v>
      </c>
      <c r="E1109" s="54"/>
      <c r="F1109" s="83">
        <f>SUMIFS(F1110:F1474,K1110:K1474,"0",B1110:B1474,"5 1 3 1 4 12 31111 6 M59 19000 000132 0000R 00001 00314 011*")</f>
        <v>20998.78</v>
      </c>
      <c r="G1109" s="83">
        <f>SUMIFS(G1110:G1474,K1110:K1474,"0",B1110:B1474,"5 1 3 1 4 12 31111 6 M59 19000 000132 0000R 00001 00314 011*")</f>
        <v>0</v>
      </c>
      <c r="H1109" s="83">
        <f t="shared" si="18"/>
        <v>62996.32</v>
      </c>
      <c r="I1109" s="83"/>
      <c r="K1109" s="54" t="s">
        <v>15</v>
      </c>
    </row>
    <row r="1110" spans="2:11" ht="33" x14ac:dyDescent="0.2">
      <c r="B1110" s="82" t="s">
        <v>8406</v>
      </c>
      <c r="C1110" s="82" t="s">
        <v>5830</v>
      </c>
      <c r="D1110" s="83">
        <f>SUMIFS(D1111:D1474,K1111:K1474,"0",B1111:B1474,"5 1 3 1 4 12 31111 6 M59 19000 000132 0000R 00001 00314 011 2112000*")-SUMIFS(E1111:E1474,K1111:K1474,"0",B1111:B1474,"5 1 3 1 4 12 31111 6 M59 19000 000132 0000R 00001 00314 011 2112000*")</f>
        <v>41997.54</v>
      </c>
      <c r="E1110" s="54"/>
      <c r="F1110" s="83">
        <f>SUMIFS(F1111:F1474,K1111:K1474,"0",B1111:B1474,"5 1 3 1 4 12 31111 6 M59 19000 000132 0000R 00001 00314 011 2112000*")</f>
        <v>20998.78</v>
      </c>
      <c r="G1110" s="83">
        <f>SUMIFS(G1111:G1474,K1111:K1474,"0",B1111:B1474,"5 1 3 1 4 12 31111 6 M59 19000 000132 0000R 00001 00314 011 2112000*")</f>
        <v>0</v>
      </c>
      <c r="H1110" s="83">
        <f t="shared" si="18"/>
        <v>62996.32</v>
      </c>
      <c r="I1110" s="83"/>
      <c r="K1110" s="54" t="s">
        <v>15</v>
      </c>
    </row>
    <row r="1111" spans="2:11" ht="33" x14ac:dyDescent="0.2">
      <c r="B1111" s="82" t="s">
        <v>8407</v>
      </c>
      <c r="C1111" s="82" t="s">
        <v>660</v>
      </c>
      <c r="D1111" s="83">
        <f>SUMIFS(D1112:D1474,K1112:K1474,"0",B1112:B1474,"5 1 3 1 4 12 31111 6 M59 19000 000132 0000R 00001 00314 011 2112000 2024*")-SUMIFS(E1112:E1474,K1112:K1474,"0",B1112:B1474,"5 1 3 1 4 12 31111 6 M59 19000 000132 0000R 00001 00314 011 2112000 2024*")</f>
        <v>41997.54</v>
      </c>
      <c r="E1111" s="54"/>
      <c r="F1111" s="83">
        <f>SUMIFS(F1112:F1474,K1112:K1474,"0",B1112:B1474,"5 1 3 1 4 12 31111 6 M59 19000 000132 0000R 00001 00314 011 2112000 2024*")</f>
        <v>20998.78</v>
      </c>
      <c r="G1111" s="83">
        <f>SUMIFS(G1112:G1474,K1112:K1474,"0",B1112:B1474,"5 1 3 1 4 12 31111 6 M59 19000 000132 0000R 00001 00314 011 2112000 2024*")</f>
        <v>0</v>
      </c>
      <c r="H1111" s="83">
        <f t="shared" si="18"/>
        <v>62996.32</v>
      </c>
      <c r="I1111" s="83"/>
      <c r="K1111" s="54" t="s">
        <v>15</v>
      </c>
    </row>
    <row r="1112" spans="2:11" ht="41.25" x14ac:dyDescent="0.2">
      <c r="B1112" s="82" t="s">
        <v>8408</v>
      </c>
      <c r="C1112" s="82" t="s">
        <v>662</v>
      </c>
      <c r="D1112" s="83">
        <f>SUMIFS(D1113:D1474,K1113:K1474,"0",B1113:B1474,"5 1 3 1 4 12 31111 6 M59 19000 000132 0000R 00001 00314 011 2112000 2024 CP1TM440*")-SUMIFS(E1113:E1474,K1113:K1474,"0",B1113:B1474,"5 1 3 1 4 12 31111 6 M59 19000 000132 0000R 00001 00314 011 2112000 2024 CP1TM440*")</f>
        <v>41997.54</v>
      </c>
      <c r="E1112" s="54"/>
      <c r="F1112" s="83">
        <f>SUMIFS(F1113:F1474,K1113:K1474,"0",B1113:B1474,"5 1 3 1 4 12 31111 6 M59 19000 000132 0000R 00001 00314 011 2112000 2024 CP1TM440*")</f>
        <v>20998.78</v>
      </c>
      <c r="G1112" s="83">
        <f>SUMIFS(G1113:G1474,K1113:K1474,"0",B1113:B1474,"5 1 3 1 4 12 31111 6 M59 19000 000132 0000R 00001 00314 011 2112000 2024 CP1TM440*")</f>
        <v>0</v>
      </c>
      <c r="H1112" s="83">
        <f t="shared" si="18"/>
        <v>62996.32</v>
      </c>
      <c r="I1112" s="83"/>
      <c r="K1112" s="54" t="s">
        <v>15</v>
      </c>
    </row>
    <row r="1113" spans="2:11" ht="41.25" x14ac:dyDescent="0.2">
      <c r="B1113" s="82" t="s">
        <v>8409</v>
      </c>
      <c r="C1113" s="82" t="s">
        <v>2284</v>
      </c>
      <c r="D1113" s="83">
        <f>SUMIFS(D1114:D1474,K1114:K1474,"0",B1114:B1474,"5 1 3 1 4 12 31111 6 M59 19000 000132 0000R 00001 00314 011 2112000 2024 CP1TM440 004*")-SUMIFS(E1114:E1474,K1114:K1474,"0",B1114:B1474,"5 1 3 1 4 12 31111 6 M59 19000 000132 0000R 00001 00314 011 2112000 2024 CP1TM440 004*")</f>
        <v>41997.54</v>
      </c>
      <c r="E1113" s="54"/>
      <c r="F1113" s="83">
        <f>SUMIFS(F1114:F1474,K1114:K1474,"0",B1114:B1474,"5 1 3 1 4 12 31111 6 M59 19000 000132 0000R 00001 00314 011 2112000 2024 CP1TM440 004*")</f>
        <v>20998.78</v>
      </c>
      <c r="G1113" s="83">
        <f>SUMIFS(G1114:G1474,K1114:K1474,"0",B1114:B1474,"5 1 3 1 4 12 31111 6 M59 19000 000132 0000R 00001 00314 011 2112000 2024 CP1TM440 004*")</f>
        <v>0</v>
      </c>
      <c r="H1113" s="83">
        <f t="shared" si="18"/>
        <v>62996.32</v>
      </c>
      <c r="I1113" s="83"/>
      <c r="K1113" s="54" t="s">
        <v>15</v>
      </c>
    </row>
    <row r="1114" spans="2:11" ht="33" x14ac:dyDescent="0.2">
      <c r="B1114" s="84" t="s">
        <v>8410</v>
      </c>
      <c r="C1114" s="84" t="s">
        <v>2284</v>
      </c>
      <c r="D1114" s="85">
        <v>41997.54</v>
      </c>
      <c r="E1114" s="85"/>
      <c r="F1114" s="85">
        <v>20998.78</v>
      </c>
      <c r="G1114" s="85">
        <v>0</v>
      </c>
      <c r="H1114" s="85">
        <f t="shared" si="18"/>
        <v>62996.32</v>
      </c>
      <c r="I1114" s="85"/>
      <c r="K1114" s="54" t="s">
        <v>38</v>
      </c>
    </row>
    <row r="1115" spans="2:11" ht="33" x14ac:dyDescent="0.2">
      <c r="B1115" s="82" t="s">
        <v>8422</v>
      </c>
      <c r="C1115" s="82" t="s">
        <v>8423</v>
      </c>
      <c r="D1115" s="83">
        <f>SUMIFS(D1116:D1474,K1116:K1474,"0",B1116:B1474,"5 1 3 1 7*")-SUMIFS(E1116:E1474,K1116:K1474,"0",B1116:B1474,"5 1 3 1 7*")</f>
        <v>40000</v>
      </c>
      <c r="E1115" s="54"/>
      <c r="F1115" s="83">
        <f>SUMIFS(F1116:F1474,K1116:K1474,"0",B1116:B1474,"5 1 3 1 7*")</f>
        <v>0</v>
      </c>
      <c r="G1115" s="83">
        <f>SUMIFS(G1116:G1474,K1116:K1474,"0",B1116:B1474,"5 1 3 1 7*")</f>
        <v>0</v>
      </c>
      <c r="H1115" s="83">
        <f t="shared" si="18"/>
        <v>40000</v>
      </c>
      <c r="I1115" s="83"/>
      <c r="K1115" s="54" t="s">
        <v>15</v>
      </c>
    </row>
    <row r="1116" spans="2:11" ht="12.75" x14ac:dyDescent="0.2">
      <c r="B1116" s="82" t="s">
        <v>8424</v>
      </c>
      <c r="C1116" s="82" t="s">
        <v>26</v>
      </c>
      <c r="D1116" s="83">
        <f>SUMIFS(D1117:D1474,K1117:K1474,"0",B1117:B1474,"5 1 3 1 7 12*")-SUMIFS(E1117:E1474,K1117:K1474,"0",B1117:B1474,"5 1 3 1 7 12*")</f>
        <v>40000</v>
      </c>
      <c r="E1116" s="54"/>
      <c r="F1116" s="83">
        <f>SUMIFS(F1117:F1474,K1117:K1474,"0",B1117:B1474,"5 1 3 1 7 12*")</f>
        <v>0</v>
      </c>
      <c r="G1116" s="83">
        <f>SUMIFS(G1117:G1474,K1117:K1474,"0",B1117:B1474,"5 1 3 1 7 12*")</f>
        <v>0</v>
      </c>
      <c r="H1116" s="83">
        <f t="shared" si="18"/>
        <v>40000</v>
      </c>
      <c r="I1116" s="83"/>
      <c r="K1116" s="54" t="s">
        <v>15</v>
      </c>
    </row>
    <row r="1117" spans="2:11" ht="16.5" x14ac:dyDescent="0.2">
      <c r="B1117" s="82" t="s">
        <v>8425</v>
      </c>
      <c r="C1117" s="82" t="s">
        <v>28</v>
      </c>
      <c r="D1117" s="83">
        <f>SUMIFS(D1118:D1474,K1118:K1474,"0",B1118:B1474,"5 1 3 1 7 12 31111*")-SUMIFS(E1118:E1474,K1118:K1474,"0",B1118:B1474,"5 1 3 1 7 12 31111*")</f>
        <v>40000</v>
      </c>
      <c r="E1117" s="54"/>
      <c r="F1117" s="83">
        <f>SUMIFS(F1118:F1474,K1118:K1474,"0",B1118:B1474,"5 1 3 1 7 12 31111*")</f>
        <v>0</v>
      </c>
      <c r="G1117" s="83">
        <f>SUMIFS(G1118:G1474,K1118:K1474,"0",B1118:B1474,"5 1 3 1 7 12 31111*")</f>
        <v>0</v>
      </c>
      <c r="H1117" s="83">
        <f t="shared" si="18"/>
        <v>40000</v>
      </c>
      <c r="I1117" s="83"/>
      <c r="K1117" s="54" t="s">
        <v>15</v>
      </c>
    </row>
    <row r="1118" spans="2:11" ht="12.75" x14ac:dyDescent="0.2">
      <c r="B1118" s="82" t="s">
        <v>8426</v>
      </c>
      <c r="C1118" s="82" t="s">
        <v>30</v>
      </c>
      <c r="D1118" s="83">
        <f>SUMIFS(D1119:D1474,K1119:K1474,"0",B1119:B1474,"5 1 3 1 7 12 31111 6*")-SUMIFS(E1119:E1474,K1119:K1474,"0",B1119:B1474,"5 1 3 1 7 12 31111 6*")</f>
        <v>40000</v>
      </c>
      <c r="E1118" s="54"/>
      <c r="F1118" s="83">
        <f>SUMIFS(F1119:F1474,K1119:K1474,"0",B1119:B1474,"5 1 3 1 7 12 31111 6*")</f>
        <v>0</v>
      </c>
      <c r="G1118" s="83">
        <f>SUMIFS(G1119:G1474,K1119:K1474,"0",B1119:B1474,"5 1 3 1 7 12 31111 6*")</f>
        <v>0</v>
      </c>
      <c r="H1118" s="83">
        <f t="shared" si="18"/>
        <v>40000</v>
      </c>
      <c r="I1118" s="83"/>
      <c r="K1118" s="54" t="s">
        <v>15</v>
      </c>
    </row>
    <row r="1119" spans="2:11" ht="16.5" x14ac:dyDescent="0.2">
      <c r="B1119" s="82" t="s">
        <v>8427</v>
      </c>
      <c r="C1119" s="82" t="s">
        <v>2284</v>
      </c>
      <c r="D1119" s="83">
        <f>SUMIFS(D1120:D1474,K1120:K1474,"0",B1120:B1474,"5 1 3 1 7 12 31111 6 M59*")-SUMIFS(E1120:E1474,K1120:K1474,"0",B1120:B1474,"5 1 3 1 7 12 31111 6 M59*")</f>
        <v>40000</v>
      </c>
      <c r="E1119" s="54"/>
      <c r="F1119" s="83">
        <f>SUMIFS(F1120:F1474,K1120:K1474,"0",B1120:B1474,"5 1 3 1 7 12 31111 6 M59*")</f>
        <v>0</v>
      </c>
      <c r="G1119" s="83">
        <f>SUMIFS(G1120:G1474,K1120:K1474,"0",B1120:B1474,"5 1 3 1 7 12 31111 6 M59*")</f>
        <v>0</v>
      </c>
      <c r="H1119" s="83">
        <f t="shared" si="18"/>
        <v>40000</v>
      </c>
      <c r="I1119" s="83"/>
      <c r="K1119" s="54" t="s">
        <v>15</v>
      </c>
    </row>
    <row r="1120" spans="2:11" ht="16.5" x14ac:dyDescent="0.2">
      <c r="B1120" s="82" t="s">
        <v>8428</v>
      </c>
      <c r="C1120" s="82" t="s">
        <v>1079</v>
      </c>
      <c r="D1120" s="83">
        <f>SUMIFS(D1121:D1474,K1121:K1474,"0",B1121:B1474,"5 1 3 1 7 12 31111 6 M59 20500*")-SUMIFS(E1121:E1474,K1121:K1474,"0",B1121:B1474,"5 1 3 1 7 12 31111 6 M59 20500*")</f>
        <v>40000</v>
      </c>
      <c r="E1120" s="54"/>
      <c r="F1120" s="83">
        <f>SUMIFS(F1121:F1474,K1121:K1474,"0",B1121:B1474,"5 1 3 1 7 12 31111 6 M59 20500*")</f>
        <v>0</v>
      </c>
      <c r="G1120" s="83">
        <f>SUMIFS(G1121:G1474,K1121:K1474,"0",B1121:B1474,"5 1 3 1 7 12 31111 6 M59 20500*")</f>
        <v>0</v>
      </c>
      <c r="H1120" s="83">
        <f t="shared" si="18"/>
        <v>40000</v>
      </c>
      <c r="I1120" s="83"/>
      <c r="K1120" s="54" t="s">
        <v>15</v>
      </c>
    </row>
    <row r="1121" spans="2:11" ht="24.75" x14ac:dyDescent="0.2">
      <c r="B1121" s="82" t="s">
        <v>8429</v>
      </c>
      <c r="C1121" s="82" t="s">
        <v>3152</v>
      </c>
      <c r="D1121" s="83">
        <f>SUMIFS(D1122:D1474,K1122:K1474,"0",B1122:B1474,"5 1 3 1 7 12 31111 6 M59 20500 000181*")-SUMIFS(E1122:E1474,K1122:K1474,"0",B1122:B1474,"5 1 3 1 7 12 31111 6 M59 20500 000181*")</f>
        <v>40000</v>
      </c>
      <c r="E1121" s="54"/>
      <c r="F1121" s="83">
        <f>SUMIFS(F1122:F1474,K1122:K1474,"0",B1122:B1474,"5 1 3 1 7 12 31111 6 M59 20500 000181*")</f>
        <v>0</v>
      </c>
      <c r="G1121" s="83">
        <f>SUMIFS(G1122:G1474,K1122:K1474,"0",B1122:B1474,"5 1 3 1 7 12 31111 6 M59 20500 000181*")</f>
        <v>0</v>
      </c>
      <c r="H1121" s="83">
        <f t="shared" si="18"/>
        <v>40000</v>
      </c>
      <c r="I1121" s="83"/>
      <c r="K1121" s="54" t="s">
        <v>15</v>
      </c>
    </row>
    <row r="1122" spans="2:11" ht="16.5" x14ac:dyDescent="0.2">
      <c r="B1122" s="82" t="s">
        <v>8430</v>
      </c>
      <c r="C1122" s="82" t="s">
        <v>1065</v>
      </c>
      <c r="D1122" s="83">
        <f>SUMIFS(D1123:D1474,K1123:K1474,"0",B1123:B1474,"5 1 3 1 7 12 31111 6 M59 20500 000181 0000E*")-SUMIFS(E1123:E1474,K1123:K1474,"0",B1123:B1474,"5 1 3 1 7 12 31111 6 M59 20500 000181 0000E*")</f>
        <v>40000</v>
      </c>
      <c r="E1122" s="54"/>
      <c r="F1122" s="83">
        <f>SUMIFS(F1123:F1474,K1123:K1474,"0",B1123:B1474,"5 1 3 1 7 12 31111 6 M59 20500 000181 0000E*")</f>
        <v>0</v>
      </c>
      <c r="G1122" s="83">
        <f>SUMIFS(G1123:G1474,K1123:K1474,"0",B1123:B1474,"5 1 3 1 7 12 31111 6 M59 20500 000181 0000E*")</f>
        <v>0</v>
      </c>
      <c r="H1122" s="83">
        <f t="shared" si="18"/>
        <v>40000</v>
      </c>
      <c r="I1122" s="83"/>
      <c r="K1122" s="54" t="s">
        <v>15</v>
      </c>
    </row>
    <row r="1123" spans="2:11" ht="24.75" x14ac:dyDescent="0.2">
      <c r="B1123" s="82" t="s">
        <v>8431</v>
      </c>
      <c r="C1123" s="82" t="s">
        <v>282</v>
      </c>
      <c r="D1123" s="83">
        <f>SUMIFS(D1124:D1474,K1124:K1474,"0",B1124:B1474,"5 1 3 1 7 12 31111 6 M59 20500 000181 0000E 00001*")-SUMIFS(E1124:E1474,K1124:K1474,"0",B1124:B1474,"5 1 3 1 7 12 31111 6 M59 20500 000181 0000E 00001*")</f>
        <v>40000</v>
      </c>
      <c r="E1123" s="54"/>
      <c r="F1123" s="83">
        <f>SUMIFS(F1124:F1474,K1124:K1474,"0",B1124:B1474,"5 1 3 1 7 12 31111 6 M59 20500 000181 0000E 00001*")</f>
        <v>0</v>
      </c>
      <c r="G1123" s="83">
        <f>SUMIFS(G1124:G1474,K1124:K1474,"0",B1124:B1474,"5 1 3 1 7 12 31111 6 M59 20500 000181 0000E 00001*")</f>
        <v>0</v>
      </c>
      <c r="H1123" s="83">
        <f t="shared" si="18"/>
        <v>40000</v>
      </c>
      <c r="I1123" s="83"/>
      <c r="K1123" s="54" t="s">
        <v>15</v>
      </c>
    </row>
    <row r="1124" spans="2:11" ht="33" x14ac:dyDescent="0.2">
      <c r="B1124" s="82" t="s">
        <v>8432</v>
      </c>
      <c r="C1124" s="82" t="s">
        <v>8433</v>
      </c>
      <c r="D1124" s="83">
        <f>SUMIFS(D1125:D1474,K1125:K1474,"0",B1125:B1474,"5 1 3 1 7 12 31111 6 M59 20500 000181 0000E 00001 00317*")-SUMIFS(E1125:E1474,K1125:K1474,"0",B1125:B1474,"5 1 3 1 7 12 31111 6 M59 20500 000181 0000E 00001 00317*")</f>
        <v>40000</v>
      </c>
      <c r="E1124" s="54"/>
      <c r="F1124" s="83">
        <f>SUMIFS(F1125:F1474,K1125:K1474,"0",B1125:B1474,"5 1 3 1 7 12 31111 6 M59 20500 000181 0000E 00001 00317*")</f>
        <v>0</v>
      </c>
      <c r="G1124" s="83">
        <f>SUMIFS(G1125:G1474,K1125:K1474,"0",B1125:B1474,"5 1 3 1 7 12 31111 6 M59 20500 000181 0000E 00001 00317*")</f>
        <v>0</v>
      </c>
      <c r="H1124" s="83">
        <f t="shared" si="18"/>
        <v>40000</v>
      </c>
      <c r="I1124" s="83"/>
      <c r="K1124" s="54" t="s">
        <v>15</v>
      </c>
    </row>
    <row r="1125" spans="2:11" ht="24.75" x14ac:dyDescent="0.2">
      <c r="B1125" s="82" t="s">
        <v>8434</v>
      </c>
      <c r="C1125" s="82" t="s">
        <v>699</v>
      </c>
      <c r="D1125" s="83">
        <f>SUMIFS(D1126:D1474,K1126:K1474,"0",B1126:B1474,"5 1 3 1 7 12 31111 6 M59 20500 000181 0000E 00001 00317 011*")-SUMIFS(E1126:E1474,K1126:K1474,"0",B1126:B1474,"5 1 3 1 7 12 31111 6 M59 20500 000181 0000E 00001 00317 011*")</f>
        <v>40000</v>
      </c>
      <c r="E1125" s="54"/>
      <c r="F1125" s="83">
        <f>SUMIFS(F1126:F1474,K1126:K1474,"0",B1126:B1474,"5 1 3 1 7 12 31111 6 M59 20500 000181 0000E 00001 00317 011*")</f>
        <v>0</v>
      </c>
      <c r="G1125" s="83">
        <f>SUMIFS(G1126:G1474,K1126:K1474,"0",B1126:B1474,"5 1 3 1 7 12 31111 6 M59 20500 000181 0000E 00001 00317 011*")</f>
        <v>0</v>
      </c>
      <c r="H1125" s="83">
        <f t="shared" si="18"/>
        <v>40000</v>
      </c>
      <c r="I1125" s="83"/>
      <c r="K1125" s="54" t="s">
        <v>15</v>
      </c>
    </row>
    <row r="1126" spans="2:11" ht="33" x14ac:dyDescent="0.2">
      <c r="B1126" s="82" t="s">
        <v>8435</v>
      </c>
      <c r="C1126" s="82" t="s">
        <v>5830</v>
      </c>
      <c r="D1126" s="83">
        <f>SUMIFS(D1127:D1474,K1127:K1474,"0",B1127:B1474,"5 1 3 1 7 12 31111 6 M59 20500 000181 0000E 00001 00317 011 2112000*")-SUMIFS(E1127:E1474,K1127:K1474,"0",B1127:B1474,"5 1 3 1 7 12 31111 6 M59 20500 000181 0000E 00001 00317 011 2112000*")</f>
        <v>40000</v>
      </c>
      <c r="E1126" s="54"/>
      <c r="F1126" s="83">
        <f>SUMIFS(F1127:F1474,K1127:K1474,"0",B1127:B1474,"5 1 3 1 7 12 31111 6 M59 20500 000181 0000E 00001 00317 011 2112000*")</f>
        <v>0</v>
      </c>
      <c r="G1126" s="83">
        <f>SUMIFS(G1127:G1474,K1127:K1474,"0",B1127:B1474,"5 1 3 1 7 12 31111 6 M59 20500 000181 0000E 00001 00317 011 2112000*")</f>
        <v>0</v>
      </c>
      <c r="H1126" s="83">
        <f t="shared" si="18"/>
        <v>40000</v>
      </c>
      <c r="I1126" s="83"/>
      <c r="K1126" s="54" t="s">
        <v>15</v>
      </c>
    </row>
    <row r="1127" spans="2:11" ht="33" x14ac:dyDescent="0.2">
      <c r="B1127" s="82" t="s">
        <v>8436</v>
      </c>
      <c r="C1127" s="82" t="s">
        <v>660</v>
      </c>
      <c r="D1127" s="83">
        <f>SUMIFS(D1128:D1474,K1128:K1474,"0",B1128:B1474,"5 1 3 1 7 12 31111 6 M59 20500 000181 0000E 00001 00317 011 2112000 2024*")-SUMIFS(E1128:E1474,K1128:K1474,"0",B1128:B1474,"5 1 3 1 7 12 31111 6 M59 20500 000181 0000E 00001 00317 011 2112000 2024*")</f>
        <v>40000</v>
      </c>
      <c r="E1127" s="54"/>
      <c r="F1127" s="83">
        <f>SUMIFS(F1128:F1474,K1128:K1474,"0",B1128:B1474,"5 1 3 1 7 12 31111 6 M59 20500 000181 0000E 00001 00317 011 2112000 2024*")</f>
        <v>0</v>
      </c>
      <c r="G1127" s="83">
        <f>SUMIFS(G1128:G1474,K1128:K1474,"0",B1128:B1474,"5 1 3 1 7 12 31111 6 M59 20500 000181 0000E 00001 00317 011 2112000 2024*")</f>
        <v>0</v>
      </c>
      <c r="H1127" s="83">
        <f t="shared" si="18"/>
        <v>40000</v>
      </c>
      <c r="I1127" s="83"/>
      <c r="K1127" s="54" t="s">
        <v>15</v>
      </c>
    </row>
    <row r="1128" spans="2:11" ht="49.5" x14ac:dyDescent="0.2">
      <c r="B1128" s="82" t="s">
        <v>8437</v>
      </c>
      <c r="C1128" s="82" t="s">
        <v>5982</v>
      </c>
      <c r="D1128" s="83">
        <f>SUMIFS(D1129:D1474,K1129:K1474,"0",B1129:B1474,"5 1 3 1 7 12 31111 6 M59 20500 000181 0000E 00001 00317 011 2112000 2024 CP3CP471*")-SUMIFS(E1129:E1474,K1129:K1474,"0",B1129:B1474,"5 1 3 1 7 12 31111 6 M59 20500 000181 0000E 00001 00317 011 2112000 2024 CP3CP471*")</f>
        <v>40000</v>
      </c>
      <c r="E1128" s="54"/>
      <c r="F1128" s="83">
        <f>SUMIFS(F1129:F1474,K1129:K1474,"0",B1129:B1474,"5 1 3 1 7 12 31111 6 M59 20500 000181 0000E 00001 00317 011 2112000 2024 CP3CP471*")</f>
        <v>0</v>
      </c>
      <c r="G1128" s="83">
        <f>SUMIFS(G1129:G1474,K1129:K1474,"0",B1129:B1474,"5 1 3 1 7 12 31111 6 M59 20500 000181 0000E 00001 00317 011 2112000 2024 CP3CP471*")</f>
        <v>0</v>
      </c>
      <c r="H1128" s="83">
        <f t="shared" si="18"/>
        <v>40000</v>
      </c>
      <c r="I1128" s="83"/>
      <c r="K1128" s="54" t="s">
        <v>15</v>
      </c>
    </row>
    <row r="1129" spans="2:11" ht="41.25" x14ac:dyDescent="0.2">
      <c r="B1129" s="82" t="s">
        <v>8438</v>
      </c>
      <c r="C1129" s="82" t="s">
        <v>2284</v>
      </c>
      <c r="D1129" s="83">
        <f>SUMIFS(D1130:D1474,K1130:K1474,"0",B1130:B1474,"5 1 3 1 7 12 31111 6 M59 20500 000181 0000E 00001 00317 011 2112000 2024 CP3CP471 004*")-SUMIFS(E1130:E1474,K1130:K1474,"0",B1130:B1474,"5 1 3 1 7 12 31111 6 M59 20500 000181 0000E 00001 00317 011 2112000 2024 CP3CP471 004*")</f>
        <v>40000</v>
      </c>
      <c r="E1129" s="54"/>
      <c r="F1129" s="83">
        <f>SUMIFS(F1130:F1474,K1130:K1474,"0",B1130:B1474,"5 1 3 1 7 12 31111 6 M59 20500 000181 0000E 00001 00317 011 2112000 2024 CP3CP471 004*")</f>
        <v>0</v>
      </c>
      <c r="G1129" s="83">
        <f>SUMIFS(G1130:G1474,K1130:K1474,"0",B1130:B1474,"5 1 3 1 7 12 31111 6 M59 20500 000181 0000E 00001 00317 011 2112000 2024 CP3CP471 004*")</f>
        <v>0</v>
      </c>
      <c r="H1129" s="83">
        <f t="shared" ref="H1129:H1192" si="19">D1129 + F1129 - G1129</f>
        <v>40000</v>
      </c>
      <c r="I1129" s="83"/>
      <c r="K1129" s="54" t="s">
        <v>15</v>
      </c>
    </row>
    <row r="1130" spans="2:11" ht="33" x14ac:dyDescent="0.2">
      <c r="B1130" s="84" t="s">
        <v>8439</v>
      </c>
      <c r="C1130" s="84" t="s">
        <v>2284</v>
      </c>
      <c r="D1130" s="85">
        <v>40000</v>
      </c>
      <c r="E1130" s="85"/>
      <c r="F1130" s="85">
        <v>0</v>
      </c>
      <c r="G1130" s="85">
        <v>0</v>
      </c>
      <c r="H1130" s="85">
        <f t="shared" si="19"/>
        <v>40000</v>
      </c>
      <c r="I1130" s="85"/>
      <c r="K1130" s="54" t="s">
        <v>38</v>
      </c>
    </row>
    <row r="1131" spans="2:11" ht="16.5" x14ac:dyDescent="0.2">
      <c r="B1131" s="82" t="s">
        <v>8440</v>
      </c>
      <c r="C1131" s="82" t="s">
        <v>8441</v>
      </c>
      <c r="D1131" s="83">
        <f>SUMIFS(D1132:D1474,K1132:K1474,"0",B1132:B1474,"5 1 3 2*")-SUMIFS(E1132:E1474,K1132:K1474,"0",B1132:B1474,"5 1 3 2*")</f>
        <v>80316.19</v>
      </c>
      <c r="E1131" s="54"/>
      <c r="F1131" s="83">
        <f>SUMIFS(F1132:F1474,K1132:K1474,"0",B1132:B1474,"5 1 3 2*")</f>
        <v>266120</v>
      </c>
      <c r="G1131" s="83">
        <f>SUMIFS(G1132:G1474,K1132:K1474,"0",B1132:B1474,"5 1 3 2*")</f>
        <v>0</v>
      </c>
      <c r="H1131" s="83">
        <f t="shared" si="19"/>
        <v>346436.19</v>
      </c>
      <c r="I1131" s="83"/>
      <c r="K1131" s="54" t="s">
        <v>15</v>
      </c>
    </row>
    <row r="1132" spans="2:11" ht="16.5" x14ac:dyDescent="0.2">
      <c r="B1132" s="82" t="s">
        <v>8442</v>
      </c>
      <c r="C1132" s="82" t="s">
        <v>8443</v>
      </c>
      <c r="D1132" s="83">
        <f>SUMIFS(D1133:D1474,K1133:K1474,"0",B1133:B1474,"5 1 3 2 2*")-SUMIFS(E1133:E1474,K1133:K1474,"0",B1133:B1474,"5 1 3 2 2*")</f>
        <v>61807.839999999997</v>
      </c>
      <c r="E1132" s="54"/>
      <c r="F1132" s="83">
        <f>SUMIFS(F1133:F1474,K1133:K1474,"0",B1133:B1474,"5 1 3 2 2*")</f>
        <v>0</v>
      </c>
      <c r="G1132" s="83">
        <f>SUMIFS(G1133:G1474,K1133:K1474,"0",B1133:B1474,"5 1 3 2 2*")</f>
        <v>0</v>
      </c>
      <c r="H1132" s="83">
        <f t="shared" si="19"/>
        <v>61807.839999999997</v>
      </c>
      <c r="I1132" s="83"/>
      <c r="K1132" s="54" t="s">
        <v>15</v>
      </c>
    </row>
    <row r="1133" spans="2:11" ht="12.75" x14ac:dyDescent="0.2">
      <c r="B1133" s="82" t="s">
        <v>8444</v>
      </c>
      <c r="C1133" s="82" t="s">
        <v>26</v>
      </c>
      <c r="D1133" s="83">
        <f>SUMIFS(D1134:D1474,K1134:K1474,"0",B1134:B1474,"5 1 3 2 2 12*")-SUMIFS(E1134:E1474,K1134:K1474,"0",B1134:B1474,"5 1 3 2 2 12*")</f>
        <v>61807.839999999997</v>
      </c>
      <c r="E1133" s="54"/>
      <c r="F1133" s="83">
        <f>SUMIFS(F1134:F1474,K1134:K1474,"0",B1134:B1474,"5 1 3 2 2 12*")</f>
        <v>0</v>
      </c>
      <c r="G1133" s="83">
        <f>SUMIFS(G1134:G1474,K1134:K1474,"0",B1134:B1474,"5 1 3 2 2 12*")</f>
        <v>0</v>
      </c>
      <c r="H1133" s="83">
        <f t="shared" si="19"/>
        <v>61807.839999999997</v>
      </c>
      <c r="I1133" s="83"/>
      <c r="K1133" s="54" t="s">
        <v>15</v>
      </c>
    </row>
    <row r="1134" spans="2:11" ht="16.5" x14ac:dyDescent="0.2">
      <c r="B1134" s="82" t="s">
        <v>8445</v>
      </c>
      <c r="C1134" s="82" t="s">
        <v>28</v>
      </c>
      <c r="D1134" s="83">
        <f>SUMIFS(D1135:D1474,K1135:K1474,"0",B1135:B1474,"5 1 3 2 2 12 31111*")-SUMIFS(E1135:E1474,K1135:K1474,"0",B1135:B1474,"5 1 3 2 2 12 31111*")</f>
        <v>61807.839999999997</v>
      </c>
      <c r="E1134" s="54"/>
      <c r="F1134" s="83">
        <f>SUMIFS(F1135:F1474,K1135:K1474,"0",B1135:B1474,"5 1 3 2 2 12 31111*")</f>
        <v>0</v>
      </c>
      <c r="G1134" s="83">
        <f>SUMIFS(G1135:G1474,K1135:K1474,"0",B1135:B1474,"5 1 3 2 2 12 31111*")</f>
        <v>0</v>
      </c>
      <c r="H1134" s="83">
        <f t="shared" si="19"/>
        <v>61807.839999999997</v>
      </c>
      <c r="I1134" s="83"/>
      <c r="K1134" s="54" t="s">
        <v>15</v>
      </c>
    </row>
    <row r="1135" spans="2:11" ht="12.75" x14ac:dyDescent="0.2">
      <c r="B1135" s="82" t="s">
        <v>8446</v>
      </c>
      <c r="C1135" s="82" t="s">
        <v>30</v>
      </c>
      <c r="D1135" s="83">
        <f>SUMIFS(D1136:D1474,K1136:K1474,"0",B1136:B1474,"5 1 3 2 2 12 31111 6*")-SUMIFS(E1136:E1474,K1136:K1474,"0",B1136:B1474,"5 1 3 2 2 12 31111 6*")</f>
        <v>61807.839999999997</v>
      </c>
      <c r="E1135" s="54"/>
      <c r="F1135" s="83">
        <f>SUMIFS(F1136:F1474,K1136:K1474,"0",B1136:B1474,"5 1 3 2 2 12 31111 6*")</f>
        <v>0</v>
      </c>
      <c r="G1135" s="83">
        <f>SUMIFS(G1136:G1474,K1136:K1474,"0",B1136:B1474,"5 1 3 2 2 12 31111 6*")</f>
        <v>0</v>
      </c>
      <c r="H1135" s="83">
        <f t="shared" si="19"/>
        <v>61807.839999999997</v>
      </c>
      <c r="I1135" s="83"/>
      <c r="K1135" s="54" t="s">
        <v>15</v>
      </c>
    </row>
    <row r="1136" spans="2:11" ht="16.5" x14ac:dyDescent="0.2">
      <c r="B1136" s="82" t="s">
        <v>8447</v>
      </c>
      <c r="C1136" s="82" t="s">
        <v>2284</v>
      </c>
      <c r="D1136" s="83">
        <f>SUMIFS(D1137:D1474,K1137:K1474,"0",B1137:B1474,"5 1 3 2 2 12 31111 6 M59*")-SUMIFS(E1137:E1474,K1137:K1474,"0",B1137:B1474,"5 1 3 2 2 12 31111 6 M59*")</f>
        <v>61807.839999999997</v>
      </c>
      <c r="E1136" s="54"/>
      <c r="F1136" s="83">
        <f>SUMIFS(F1137:F1474,K1137:K1474,"0",B1137:B1474,"5 1 3 2 2 12 31111 6 M59*")</f>
        <v>0</v>
      </c>
      <c r="G1136" s="83">
        <f>SUMIFS(G1137:G1474,K1137:K1474,"0",B1137:B1474,"5 1 3 2 2 12 31111 6 M59*")</f>
        <v>0</v>
      </c>
      <c r="H1136" s="83">
        <f t="shared" si="19"/>
        <v>61807.839999999997</v>
      </c>
      <c r="I1136" s="83"/>
      <c r="K1136" s="54" t="s">
        <v>15</v>
      </c>
    </row>
    <row r="1137" spans="2:11" ht="16.5" x14ac:dyDescent="0.2">
      <c r="B1137" s="82" t="s">
        <v>8448</v>
      </c>
      <c r="C1137" s="82" t="s">
        <v>1044</v>
      </c>
      <c r="D1137" s="83">
        <f>SUMIFS(D1138:D1474,K1138:K1474,"0",B1138:B1474,"5 1 3 2 2 12 31111 6 M59 19000*")-SUMIFS(E1138:E1474,K1138:K1474,"0",B1138:B1474,"5 1 3 2 2 12 31111 6 M59 19000*")</f>
        <v>11048.96</v>
      </c>
      <c r="E1137" s="54"/>
      <c r="F1137" s="83">
        <f>SUMIFS(F1138:F1474,K1138:K1474,"0",B1138:B1474,"5 1 3 2 2 12 31111 6 M59 19000*")</f>
        <v>0</v>
      </c>
      <c r="G1137" s="83">
        <f>SUMIFS(G1138:G1474,K1138:K1474,"0",B1138:B1474,"5 1 3 2 2 12 31111 6 M59 19000*")</f>
        <v>0</v>
      </c>
      <c r="H1137" s="83">
        <f t="shared" si="19"/>
        <v>11048.96</v>
      </c>
      <c r="I1137" s="83"/>
      <c r="K1137" s="54" t="s">
        <v>15</v>
      </c>
    </row>
    <row r="1138" spans="2:11" ht="16.5" x14ac:dyDescent="0.2">
      <c r="B1138" s="82" t="s">
        <v>8449</v>
      </c>
      <c r="C1138" s="82" t="s">
        <v>648</v>
      </c>
      <c r="D1138" s="83">
        <f>SUMIFS(D1139:D1474,K1139:K1474,"0",B1139:B1474,"5 1 3 2 2 12 31111 6 M59 19000 000132*")-SUMIFS(E1139:E1474,K1139:K1474,"0",B1139:B1474,"5 1 3 2 2 12 31111 6 M59 19000 000132*")</f>
        <v>11048.96</v>
      </c>
      <c r="E1138" s="54"/>
      <c r="F1138" s="83">
        <f>SUMIFS(F1139:F1474,K1139:K1474,"0",B1139:B1474,"5 1 3 2 2 12 31111 6 M59 19000 000132*")</f>
        <v>0</v>
      </c>
      <c r="G1138" s="83">
        <f>SUMIFS(G1139:G1474,K1139:K1474,"0",B1139:B1474,"5 1 3 2 2 12 31111 6 M59 19000 000132*")</f>
        <v>0</v>
      </c>
      <c r="H1138" s="83">
        <f t="shared" si="19"/>
        <v>11048.96</v>
      </c>
      <c r="I1138" s="83"/>
      <c r="K1138" s="54" t="s">
        <v>15</v>
      </c>
    </row>
    <row r="1139" spans="2:11" ht="24.75" x14ac:dyDescent="0.2">
      <c r="B1139" s="82" t="s">
        <v>8450</v>
      </c>
      <c r="C1139" s="82" t="s">
        <v>650</v>
      </c>
      <c r="D1139" s="83">
        <f>SUMIFS(D1140:D1474,K1140:K1474,"0",B1140:B1474,"5 1 3 2 2 12 31111 6 M59 19000 000132 0000R*")-SUMIFS(E1140:E1474,K1140:K1474,"0",B1140:B1474,"5 1 3 2 2 12 31111 6 M59 19000 000132 0000R*")</f>
        <v>11048.96</v>
      </c>
      <c r="E1139" s="54"/>
      <c r="F1139" s="83">
        <f>SUMIFS(F1140:F1474,K1140:K1474,"0",B1140:B1474,"5 1 3 2 2 12 31111 6 M59 19000 000132 0000R*")</f>
        <v>0</v>
      </c>
      <c r="G1139" s="83">
        <f>SUMIFS(G1140:G1474,K1140:K1474,"0",B1140:B1474,"5 1 3 2 2 12 31111 6 M59 19000 000132 0000R*")</f>
        <v>0</v>
      </c>
      <c r="H1139" s="83">
        <f t="shared" si="19"/>
        <v>11048.96</v>
      </c>
      <c r="I1139" s="83"/>
      <c r="K1139" s="54" t="s">
        <v>15</v>
      </c>
    </row>
    <row r="1140" spans="2:11" ht="24.75" x14ac:dyDescent="0.2">
      <c r="B1140" s="82" t="s">
        <v>8451</v>
      </c>
      <c r="C1140" s="82" t="s">
        <v>282</v>
      </c>
      <c r="D1140" s="83">
        <f>SUMIFS(D1141:D1474,K1141:K1474,"0",B1141:B1474,"5 1 3 2 2 12 31111 6 M59 19000 000132 0000R 00001*")-SUMIFS(E1141:E1474,K1141:K1474,"0",B1141:B1474,"5 1 3 2 2 12 31111 6 M59 19000 000132 0000R 00001*")</f>
        <v>11048.96</v>
      </c>
      <c r="E1140" s="54"/>
      <c r="F1140" s="83">
        <f>SUMIFS(F1141:F1474,K1141:K1474,"0",B1141:B1474,"5 1 3 2 2 12 31111 6 M59 19000 000132 0000R 00001*")</f>
        <v>0</v>
      </c>
      <c r="G1140" s="83">
        <f>SUMIFS(G1141:G1474,K1141:K1474,"0",B1141:B1474,"5 1 3 2 2 12 31111 6 M59 19000 000132 0000R 00001*")</f>
        <v>0</v>
      </c>
      <c r="H1140" s="83">
        <f t="shared" si="19"/>
        <v>11048.96</v>
      </c>
      <c r="I1140" s="83"/>
      <c r="K1140" s="54" t="s">
        <v>15</v>
      </c>
    </row>
    <row r="1141" spans="2:11" ht="24.75" x14ac:dyDescent="0.2">
      <c r="B1141" s="82" t="s">
        <v>8452</v>
      </c>
      <c r="C1141" s="82" t="s">
        <v>8453</v>
      </c>
      <c r="D1141" s="83">
        <f>SUMIFS(D1142:D1474,K1142:K1474,"0",B1142:B1474,"5 1 3 2 2 12 31111 6 M59 19000 000132 0000R 00001 00322*")-SUMIFS(E1142:E1474,K1142:K1474,"0",B1142:B1474,"5 1 3 2 2 12 31111 6 M59 19000 000132 0000R 00001 00322*")</f>
        <v>11048.96</v>
      </c>
      <c r="E1141" s="54"/>
      <c r="F1141" s="83">
        <f>SUMIFS(F1142:F1474,K1142:K1474,"0",B1142:B1474,"5 1 3 2 2 12 31111 6 M59 19000 000132 0000R 00001 00322*")</f>
        <v>0</v>
      </c>
      <c r="G1141" s="83">
        <f>SUMIFS(G1142:G1474,K1142:K1474,"0",B1142:B1474,"5 1 3 2 2 12 31111 6 M59 19000 000132 0000R 00001 00322*")</f>
        <v>0</v>
      </c>
      <c r="H1141" s="83">
        <f t="shared" si="19"/>
        <v>11048.96</v>
      </c>
      <c r="I1141" s="83"/>
      <c r="K1141" s="54" t="s">
        <v>15</v>
      </c>
    </row>
    <row r="1142" spans="2:11" ht="33" x14ac:dyDescent="0.2">
      <c r="B1142" s="82" t="s">
        <v>8454</v>
      </c>
      <c r="C1142" s="82" t="s">
        <v>699</v>
      </c>
      <c r="D1142" s="83">
        <f>SUMIFS(D1143:D1474,K1143:K1474,"0",B1143:B1474,"5 1 3 2 2 12 31111 6 M59 19000 000132 0000R 00001 00322 011*")-SUMIFS(E1143:E1474,K1143:K1474,"0",B1143:B1474,"5 1 3 2 2 12 31111 6 M59 19000 000132 0000R 00001 00322 011*")</f>
        <v>11048.96</v>
      </c>
      <c r="E1142" s="54"/>
      <c r="F1142" s="83">
        <f>SUMIFS(F1143:F1474,K1143:K1474,"0",B1143:B1474,"5 1 3 2 2 12 31111 6 M59 19000 000132 0000R 00001 00322 011*")</f>
        <v>0</v>
      </c>
      <c r="G1142" s="83">
        <f>SUMIFS(G1143:G1474,K1143:K1474,"0",B1143:B1474,"5 1 3 2 2 12 31111 6 M59 19000 000132 0000R 00001 00322 011*")</f>
        <v>0</v>
      </c>
      <c r="H1142" s="83">
        <f t="shared" si="19"/>
        <v>11048.96</v>
      </c>
      <c r="I1142" s="83"/>
      <c r="K1142" s="54" t="s">
        <v>15</v>
      </c>
    </row>
    <row r="1143" spans="2:11" ht="33" x14ac:dyDescent="0.2">
      <c r="B1143" s="82" t="s">
        <v>8455</v>
      </c>
      <c r="C1143" s="82" t="s">
        <v>5830</v>
      </c>
      <c r="D1143" s="83">
        <f>SUMIFS(D1144:D1474,K1144:K1474,"0",B1144:B1474,"5 1 3 2 2 12 31111 6 M59 19000 000132 0000R 00001 00322 011 2112000*")-SUMIFS(E1144:E1474,K1144:K1474,"0",B1144:B1474,"5 1 3 2 2 12 31111 6 M59 19000 000132 0000R 00001 00322 011 2112000*")</f>
        <v>11048.96</v>
      </c>
      <c r="E1143" s="54"/>
      <c r="F1143" s="83">
        <f>SUMIFS(F1144:F1474,K1144:K1474,"0",B1144:B1474,"5 1 3 2 2 12 31111 6 M59 19000 000132 0000R 00001 00322 011 2112000*")</f>
        <v>0</v>
      </c>
      <c r="G1143" s="83">
        <f>SUMIFS(G1144:G1474,K1144:K1474,"0",B1144:B1474,"5 1 3 2 2 12 31111 6 M59 19000 000132 0000R 00001 00322 011 2112000*")</f>
        <v>0</v>
      </c>
      <c r="H1143" s="83">
        <f t="shared" si="19"/>
        <v>11048.96</v>
      </c>
      <c r="I1143" s="83"/>
      <c r="K1143" s="54" t="s">
        <v>15</v>
      </c>
    </row>
    <row r="1144" spans="2:11" ht="33" x14ac:dyDescent="0.2">
      <c r="B1144" s="82" t="s">
        <v>8456</v>
      </c>
      <c r="C1144" s="82" t="s">
        <v>660</v>
      </c>
      <c r="D1144" s="83">
        <f>SUMIFS(D1145:D1474,K1145:K1474,"0",B1145:B1474,"5 1 3 2 2 12 31111 6 M59 19000 000132 0000R 00001 00322 011 2112000 2024*")-SUMIFS(E1145:E1474,K1145:K1474,"0",B1145:B1474,"5 1 3 2 2 12 31111 6 M59 19000 000132 0000R 00001 00322 011 2112000 2024*")</f>
        <v>11048.96</v>
      </c>
      <c r="E1144" s="54"/>
      <c r="F1144" s="83">
        <f>SUMIFS(F1145:F1474,K1145:K1474,"0",B1145:B1474,"5 1 3 2 2 12 31111 6 M59 19000 000132 0000R 00001 00322 011 2112000 2024*")</f>
        <v>0</v>
      </c>
      <c r="G1144" s="83">
        <f>SUMIFS(G1145:G1474,K1145:K1474,"0",B1145:B1474,"5 1 3 2 2 12 31111 6 M59 19000 000132 0000R 00001 00322 011 2112000 2024*")</f>
        <v>0</v>
      </c>
      <c r="H1144" s="83">
        <f t="shared" si="19"/>
        <v>11048.96</v>
      </c>
      <c r="I1144" s="83"/>
      <c r="K1144" s="54" t="s">
        <v>15</v>
      </c>
    </row>
    <row r="1145" spans="2:11" ht="41.25" x14ac:dyDescent="0.2">
      <c r="B1145" s="82" t="s">
        <v>8457</v>
      </c>
      <c r="C1145" s="82" t="s">
        <v>662</v>
      </c>
      <c r="D1145" s="83">
        <f>SUMIFS(D1146:D1474,K1146:K1474,"0",B1146:B1474,"5 1 3 2 2 12 31111 6 M59 19000 000132 0000R 00001 00322 011 2112000 2024 CP1TM440*")-SUMIFS(E1146:E1474,K1146:K1474,"0",B1146:B1474,"5 1 3 2 2 12 31111 6 M59 19000 000132 0000R 00001 00322 011 2112000 2024 CP1TM440*")</f>
        <v>11048.96</v>
      </c>
      <c r="E1145" s="54"/>
      <c r="F1145" s="83">
        <f>SUMIFS(F1146:F1474,K1146:K1474,"0",B1146:B1474,"5 1 3 2 2 12 31111 6 M59 19000 000132 0000R 00001 00322 011 2112000 2024 CP1TM440*")</f>
        <v>0</v>
      </c>
      <c r="G1145" s="83">
        <f>SUMIFS(G1146:G1474,K1146:K1474,"0",B1146:B1474,"5 1 3 2 2 12 31111 6 M59 19000 000132 0000R 00001 00322 011 2112000 2024 CP1TM440*")</f>
        <v>0</v>
      </c>
      <c r="H1145" s="83">
        <f t="shared" si="19"/>
        <v>11048.96</v>
      </c>
      <c r="I1145" s="83"/>
      <c r="K1145" s="54" t="s">
        <v>15</v>
      </c>
    </row>
    <row r="1146" spans="2:11" ht="41.25" x14ac:dyDescent="0.2">
      <c r="B1146" s="82" t="s">
        <v>8458</v>
      </c>
      <c r="C1146" s="82" t="s">
        <v>2284</v>
      </c>
      <c r="D1146" s="83">
        <f>SUMIFS(D1147:D1474,K1147:K1474,"0",B1147:B1474,"5 1 3 2 2 12 31111 6 M59 19000 000132 0000R 00001 00322 011 2112000 2024 CP1TM440 004*")-SUMIFS(E1147:E1474,K1147:K1474,"0",B1147:B1474,"5 1 3 2 2 12 31111 6 M59 19000 000132 0000R 00001 00322 011 2112000 2024 CP1TM440 004*")</f>
        <v>11048.96</v>
      </c>
      <c r="E1146" s="54"/>
      <c r="F1146" s="83">
        <f>SUMIFS(F1147:F1474,K1147:K1474,"0",B1147:B1474,"5 1 3 2 2 12 31111 6 M59 19000 000132 0000R 00001 00322 011 2112000 2024 CP1TM440 004*")</f>
        <v>0</v>
      </c>
      <c r="G1146" s="83">
        <f>SUMIFS(G1147:G1474,K1147:K1474,"0",B1147:B1474,"5 1 3 2 2 12 31111 6 M59 19000 000132 0000R 00001 00322 011 2112000 2024 CP1TM440 004*")</f>
        <v>0</v>
      </c>
      <c r="H1146" s="83">
        <f t="shared" si="19"/>
        <v>11048.96</v>
      </c>
      <c r="I1146" s="83"/>
      <c r="K1146" s="54" t="s">
        <v>15</v>
      </c>
    </row>
    <row r="1147" spans="2:11" ht="33" x14ac:dyDescent="0.2">
      <c r="B1147" s="84" t="s">
        <v>8459</v>
      </c>
      <c r="C1147" s="84" t="s">
        <v>2284</v>
      </c>
      <c r="D1147" s="85">
        <v>11048.96</v>
      </c>
      <c r="E1147" s="85"/>
      <c r="F1147" s="85">
        <v>0</v>
      </c>
      <c r="G1147" s="85">
        <v>0</v>
      </c>
      <c r="H1147" s="85">
        <f t="shared" si="19"/>
        <v>11048.96</v>
      </c>
      <c r="I1147" s="85"/>
      <c r="K1147" s="54" t="s">
        <v>38</v>
      </c>
    </row>
    <row r="1148" spans="2:11" ht="16.5" x14ac:dyDescent="0.2">
      <c r="B1148" s="82" t="s">
        <v>8460</v>
      </c>
      <c r="C1148" s="82" t="s">
        <v>1079</v>
      </c>
      <c r="D1148" s="83">
        <f>SUMIFS(D1149:D1474,K1149:K1474,"0",B1149:B1474,"5 1 3 2 2 12 31111 6 M59 20500*")-SUMIFS(E1149:E1474,K1149:K1474,"0",B1149:B1474,"5 1 3 2 2 12 31111 6 M59 20500*")</f>
        <v>50758.879999999997</v>
      </c>
      <c r="E1148" s="54"/>
      <c r="F1148" s="83">
        <f>SUMIFS(F1149:F1474,K1149:K1474,"0",B1149:B1474,"5 1 3 2 2 12 31111 6 M59 20500*")</f>
        <v>0</v>
      </c>
      <c r="G1148" s="83">
        <f>SUMIFS(G1149:G1474,K1149:K1474,"0",B1149:B1474,"5 1 3 2 2 12 31111 6 M59 20500*")</f>
        <v>0</v>
      </c>
      <c r="H1148" s="83">
        <f t="shared" si="19"/>
        <v>50758.879999999997</v>
      </c>
      <c r="I1148" s="83"/>
      <c r="K1148" s="54" t="s">
        <v>15</v>
      </c>
    </row>
    <row r="1149" spans="2:11" ht="24.75" x14ac:dyDescent="0.2">
      <c r="B1149" s="82" t="s">
        <v>8461</v>
      </c>
      <c r="C1149" s="82" t="s">
        <v>3152</v>
      </c>
      <c r="D1149" s="83">
        <f>SUMIFS(D1150:D1474,K1150:K1474,"0",B1150:B1474,"5 1 3 2 2 12 31111 6 M59 20500 000181*")-SUMIFS(E1150:E1474,K1150:K1474,"0",B1150:B1474,"5 1 3 2 2 12 31111 6 M59 20500 000181*")</f>
        <v>50758.879999999997</v>
      </c>
      <c r="E1149" s="54"/>
      <c r="F1149" s="83">
        <f>SUMIFS(F1150:F1474,K1150:K1474,"0",B1150:B1474,"5 1 3 2 2 12 31111 6 M59 20500 000181*")</f>
        <v>0</v>
      </c>
      <c r="G1149" s="83">
        <f>SUMIFS(G1150:G1474,K1150:K1474,"0",B1150:B1474,"5 1 3 2 2 12 31111 6 M59 20500 000181*")</f>
        <v>0</v>
      </c>
      <c r="H1149" s="83">
        <f t="shared" si="19"/>
        <v>50758.879999999997</v>
      </c>
      <c r="I1149" s="83"/>
      <c r="K1149" s="54" t="s">
        <v>15</v>
      </c>
    </row>
    <row r="1150" spans="2:11" ht="24.75" x14ac:dyDescent="0.2">
      <c r="B1150" s="82" t="s">
        <v>8462</v>
      </c>
      <c r="C1150" s="82" t="s">
        <v>1065</v>
      </c>
      <c r="D1150" s="83">
        <f>SUMIFS(D1151:D1474,K1151:K1474,"0",B1151:B1474,"5 1 3 2 2 12 31111 6 M59 20500 000181 0000E*")-SUMIFS(E1151:E1474,K1151:K1474,"0",B1151:B1474,"5 1 3 2 2 12 31111 6 M59 20500 000181 0000E*")</f>
        <v>50758.879999999997</v>
      </c>
      <c r="E1150" s="54"/>
      <c r="F1150" s="83">
        <f>SUMIFS(F1151:F1474,K1151:K1474,"0",B1151:B1474,"5 1 3 2 2 12 31111 6 M59 20500 000181 0000E*")</f>
        <v>0</v>
      </c>
      <c r="G1150" s="83">
        <f>SUMIFS(G1151:G1474,K1151:K1474,"0",B1151:B1474,"5 1 3 2 2 12 31111 6 M59 20500 000181 0000E*")</f>
        <v>0</v>
      </c>
      <c r="H1150" s="83">
        <f t="shared" si="19"/>
        <v>50758.879999999997</v>
      </c>
      <c r="I1150" s="83"/>
      <c r="K1150" s="54" t="s">
        <v>15</v>
      </c>
    </row>
    <row r="1151" spans="2:11" ht="24.75" x14ac:dyDescent="0.2">
      <c r="B1151" s="82" t="s">
        <v>8463</v>
      </c>
      <c r="C1151" s="82" t="s">
        <v>282</v>
      </c>
      <c r="D1151" s="83">
        <f>SUMIFS(D1152:D1474,K1152:K1474,"0",B1152:B1474,"5 1 3 2 2 12 31111 6 M59 20500 000181 0000E 00001*")-SUMIFS(E1152:E1474,K1152:K1474,"0",B1152:B1474,"5 1 3 2 2 12 31111 6 M59 20500 000181 0000E 00001*")</f>
        <v>50758.879999999997</v>
      </c>
      <c r="E1151" s="54"/>
      <c r="F1151" s="83">
        <f>SUMIFS(F1152:F1474,K1152:K1474,"0",B1152:B1474,"5 1 3 2 2 12 31111 6 M59 20500 000181 0000E 00001*")</f>
        <v>0</v>
      </c>
      <c r="G1151" s="83">
        <f>SUMIFS(G1152:G1474,K1152:K1474,"0",B1152:B1474,"5 1 3 2 2 12 31111 6 M59 20500 000181 0000E 00001*")</f>
        <v>0</v>
      </c>
      <c r="H1151" s="83">
        <f t="shared" si="19"/>
        <v>50758.879999999997</v>
      </c>
      <c r="I1151" s="83"/>
      <c r="K1151" s="54" t="s">
        <v>15</v>
      </c>
    </row>
    <row r="1152" spans="2:11" ht="24.75" x14ac:dyDescent="0.2">
      <c r="B1152" s="82" t="s">
        <v>8464</v>
      </c>
      <c r="C1152" s="82" t="s">
        <v>8453</v>
      </c>
      <c r="D1152" s="83">
        <f>SUMIFS(D1153:D1474,K1153:K1474,"0",B1153:B1474,"5 1 3 2 2 12 31111 6 M59 20500 000181 0000E 00001 00322*")-SUMIFS(E1153:E1474,K1153:K1474,"0",B1153:B1474,"5 1 3 2 2 12 31111 6 M59 20500 000181 0000E 00001 00322*")</f>
        <v>50758.879999999997</v>
      </c>
      <c r="E1152" s="54"/>
      <c r="F1152" s="83">
        <f>SUMIFS(F1153:F1474,K1153:K1474,"0",B1153:B1474,"5 1 3 2 2 12 31111 6 M59 20500 000181 0000E 00001 00322*")</f>
        <v>0</v>
      </c>
      <c r="G1152" s="83">
        <f>SUMIFS(G1153:G1474,K1153:K1474,"0",B1153:B1474,"5 1 3 2 2 12 31111 6 M59 20500 000181 0000E 00001 00322*")</f>
        <v>0</v>
      </c>
      <c r="H1152" s="83">
        <f t="shared" si="19"/>
        <v>50758.879999999997</v>
      </c>
      <c r="I1152" s="83"/>
      <c r="K1152" s="54" t="s">
        <v>15</v>
      </c>
    </row>
    <row r="1153" spans="2:11" ht="33" x14ac:dyDescent="0.2">
      <c r="B1153" s="82" t="s">
        <v>8465</v>
      </c>
      <c r="C1153" s="82" t="s">
        <v>699</v>
      </c>
      <c r="D1153" s="83">
        <f>SUMIFS(D1154:D1474,K1154:K1474,"0",B1154:B1474,"5 1 3 2 2 12 31111 6 M59 20500 000181 0000E 00001 00322 011*")-SUMIFS(E1154:E1474,K1154:K1474,"0",B1154:B1474,"5 1 3 2 2 12 31111 6 M59 20500 000181 0000E 00001 00322 011*")</f>
        <v>50758.879999999997</v>
      </c>
      <c r="E1153" s="54"/>
      <c r="F1153" s="83">
        <f>SUMIFS(F1154:F1474,K1154:K1474,"0",B1154:B1474,"5 1 3 2 2 12 31111 6 M59 20500 000181 0000E 00001 00322 011*")</f>
        <v>0</v>
      </c>
      <c r="G1153" s="83">
        <f>SUMIFS(G1154:G1474,K1154:K1474,"0",B1154:B1474,"5 1 3 2 2 12 31111 6 M59 20500 000181 0000E 00001 00322 011*")</f>
        <v>0</v>
      </c>
      <c r="H1153" s="83">
        <f t="shared" si="19"/>
        <v>50758.879999999997</v>
      </c>
      <c r="I1153" s="83"/>
      <c r="K1153" s="54" t="s">
        <v>15</v>
      </c>
    </row>
    <row r="1154" spans="2:11" ht="33" x14ac:dyDescent="0.2">
      <c r="B1154" s="82" t="s">
        <v>8466</v>
      </c>
      <c r="C1154" s="82" t="s">
        <v>5830</v>
      </c>
      <c r="D1154" s="83">
        <f>SUMIFS(D1155:D1474,K1155:K1474,"0",B1155:B1474,"5 1 3 2 2 12 31111 6 M59 20500 000181 0000E 00001 00322 011 2112000*")-SUMIFS(E1155:E1474,K1155:K1474,"0",B1155:B1474,"5 1 3 2 2 12 31111 6 M59 20500 000181 0000E 00001 00322 011 2112000*")</f>
        <v>50758.879999999997</v>
      </c>
      <c r="E1154" s="54"/>
      <c r="F1154" s="83">
        <f>SUMIFS(F1155:F1474,K1155:K1474,"0",B1155:B1474,"5 1 3 2 2 12 31111 6 M59 20500 000181 0000E 00001 00322 011 2112000*")</f>
        <v>0</v>
      </c>
      <c r="G1154" s="83">
        <f>SUMIFS(G1155:G1474,K1155:K1474,"0",B1155:B1474,"5 1 3 2 2 12 31111 6 M59 20500 000181 0000E 00001 00322 011 2112000*")</f>
        <v>0</v>
      </c>
      <c r="H1154" s="83">
        <f t="shared" si="19"/>
        <v>50758.879999999997</v>
      </c>
      <c r="I1154" s="83"/>
      <c r="K1154" s="54" t="s">
        <v>15</v>
      </c>
    </row>
    <row r="1155" spans="2:11" ht="33" x14ac:dyDescent="0.2">
      <c r="B1155" s="82" t="s">
        <v>8467</v>
      </c>
      <c r="C1155" s="82" t="s">
        <v>660</v>
      </c>
      <c r="D1155" s="83">
        <f>SUMIFS(D1156:D1474,K1156:K1474,"0",B1156:B1474,"5 1 3 2 2 12 31111 6 M59 20500 000181 0000E 00001 00322 011 2112000 2024*")-SUMIFS(E1156:E1474,K1156:K1474,"0",B1156:B1474,"5 1 3 2 2 12 31111 6 M59 20500 000181 0000E 00001 00322 011 2112000 2024*")</f>
        <v>50758.879999999997</v>
      </c>
      <c r="E1155" s="54"/>
      <c r="F1155" s="83">
        <f>SUMIFS(F1156:F1474,K1156:K1474,"0",B1156:B1474,"5 1 3 2 2 12 31111 6 M59 20500 000181 0000E 00001 00322 011 2112000 2024*")</f>
        <v>0</v>
      </c>
      <c r="G1155" s="83">
        <f>SUMIFS(G1156:G1474,K1156:K1474,"0",B1156:B1474,"5 1 3 2 2 12 31111 6 M59 20500 000181 0000E 00001 00322 011 2112000 2024*")</f>
        <v>0</v>
      </c>
      <c r="H1155" s="83">
        <f t="shared" si="19"/>
        <v>50758.879999999997</v>
      </c>
      <c r="I1155" s="83"/>
      <c r="K1155" s="54" t="s">
        <v>15</v>
      </c>
    </row>
    <row r="1156" spans="2:11" ht="49.5" x14ac:dyDescent="0.2">
      <c r="B1156" s="82" t="s">
        <v>8468</v>
      </c>
      <c r="C1156" s="82" t="s">
        <v>5982</v>
      </c>
      <c r="D1156" s="83">
        <f>SUMIFS(D1157:D1474,K1157:K1474,"0",B1157:B1474,"5 1 3 2 2 12 31111 6 M59 20500 000181 0000E 00001 00322 011 2112000 2024 CP3CP471*")-SUMIFS(E1157:E1474,K1157:K1474,"0",B1157:B1474,"5 1 3 2 2 12 31111 6 M59 20500 000181 0000E 00001 00322 011 2112000 2024 CP3CP471*")</f>
        <v>50758.879999999997</v>
      </c>
      <c r="E1156" s="54"/>
      <c r="F1156" s="83">
        <f>SUMIFS(F1157:F1474,K1157:K1474,"0",B1157:B1474,"5 1 3 2 2 12 31111 6 M59 20500 000181 0000E 00001 00322 011 2112000 2024 CP3CP471*")</f>
        <v>0</v>
      </c>
      <c r="G1156" s="83">
        <f>SUMIFS(G1157:G1474,K1157:K1474,"0",B1157:B1474,"5 1 3 2 2 12 31111 6 M59 20500 000181 0000E 00001 00322 011 2112000 2024 CP3CP471*")</f>
        <v>0</v>
      </c>
      <c r="H1156" s="83">
        <f t="shared" si="19"/>
        <v>50758.879999999997</v>
      </c>
      <c r="I1156" s="83"/>
      <c r="K1156" s="54" t="s">
        <v>15</v>
      </c>
    </row>
    <row r="1157" spans="2:11" ht="41.25" x14ac:dyDescent="0.2">
      <c r="B1157" s="82" t="s">
        <v>8469</v>
      </c>
      <c r="C1157" s="82" t="s">
        <v>2284</v>
      </c>
      <c r="D1157" s="83">
        <f>SUMIFS(D1158:D1474,K1158:K1474,"0",B1158:B1474,"5 1 3 2 2 12 31111 6 M59 20500 000181 0000E 00001 00322 011 2112000 2024 CP3CP471 004*")-SUMIFS(E1158:E1474,K1158:K1474,"0",B1158:B1474,"5 1 3 2 2 12 31111 6 M59 20500 000181 0000E 00001 00322 011 2112000 2024 CP3CP471 004*")</f>
        <v>50758.879999999997</v>
      </c>
      <c r="E1157" s="54"/>
      <c r="F1157" s="83">
        <f>SUMIFS(F1158:F1474,K1158:K1474,"0",B1158:B1474,"5 1 3 2 2 12 31111 6 M59 20500 000181 0000E 00001 00322 011 2112000 2024 CP3CP471 004*")</f>
        <v>0</v>
      </c>
      <c r="G1157" s="83">
        <f>SUMIFS(G1158:G1474,K1158:K1474,"0",B1158:B1474,"5 1 3 2 2 12 31111 6 M59 20500 000181 0000E 00001 00322 011 2112000 2024 CP3CP471 004*")</f>
        <v>0</v>
      </c>
      <c r="H1157" s="83">
        <f t="shared" si="19"/>
        <v>50758.879999999997</v>
      </c>
      <c r="I1157" s="83"/>
      <c r="K1157" s="54" t="s">
        <v>15</v>
      </c>
    </row>
    <row r="1158" spans="2:11" ht="33" x14ac:dyDescent="0.2">
      <c r="B1158" s="84" t="s">
        <v>8470</v>
      </c>
      <c r="C1158" s="84" t="s">
        <v>2284</v>
      </c>
      <c r="D1158" s="85">
        <v>50758.879999999997</v>
      </c>
      <c r="E1158" s="85"/>
      <c r="F1158" s="85">
        <v>0</v>
      </c>
      <c r="G1158" s="85">
        <v>0</v>
      </c>
      <c r="H1158" s="85">
        <f t="shared" si="19"/>
        <v>50758.879999999997</v>
      </c>
      <c r="I1158" s="85"/>
      <c r="K1158" s="54" t="s">
        <v>38</v>
      </c>
    </row>
    <row r="1159" spans="2:11" ht="33" x14ac:dyDescent="0.2">
      <c r="B1159" s="82" t="s">
        <v>8494</v>
      </c>
      <c r="C1159" s="82" t="s">
        <v>8495</v>
      </c>
      <c r="D1159" s="83">
        <f>SUMIFS(D1160:D1474,K1160:K1474,"0",B1160:B1474,"5 1 3 2 3*")-SUMIFS(E1160:E1474,K1160:K1474,"0",B1160:B1474,"5 1 3 2 3*")</f>
        <v>18508.349999999999</v>
      </c>
      <c r="E1159" s="54"/>
      <c r="F1159" s="83">
        <f>SUMIFS(F1160:F1474,K1160:K1474,"0",B1160:B1474,"5 1 3 2 3*")</f>
        <v>266120</v>
      </c>
      <c r="G1159" s="83">
        <f>SUMIFS(G1160:G1474,K1160:K1474,"0",B1160:B1474,"5 1 3 2 3*")</f>
        <v>0</v>
      </c>
      <c r="H1159" s="83">
        <f t="shared" si="19"/>
        <v>284628.34999999998</v>
      </c>
      <c r="I1159" s="83"/>
      <c r="K1159" s="54" t="s">
        <v>15</v>
      </c>
    </row>
    <row r="1160" spans="2:11" ht="12.75" x14ac:dyDescent="0.2">
      <c r="B1160" s="82" t="s">
        <v>8496</v>
      </c>
      <c r="C1160" s="82" t="s">
        <v>26</v>
      </c>
      <c r="D1160" s="83">
        <f>SUMIFS(D1161:D1474,K1161:K1474,"0",B1161:B1474,"5 1 3 2 3 12*")-SUMIFS(E1161:E1474,K1161:K1474,"0",B1161:B1474,"5 1 3 2 3 12*")</f>
        <v>18508.349999999999</v>
      </c>
      <c r="E1160" s="54"/>
      <c r="F1160" s="83">
        <f>SUMIFS(F1161:F1474,K1161:K1474,"0",B1161:B1474,"5 1 3 2 3 12*")</f>
        <v>266120</v>
      </c>
      <c r="G1160" s="83">
        <f>SUMIFS(G1161:G1474,K1161:K1474,"0",B1161:B1474,"5 1 3 2 3 12*")</f>
        <v>0</v>
      </c>
      <c r="H1160" s="83">
        <f t="shared" si="19"/>
        <v>284628.34999999998</v>
      </c>
      <c r="I1160" s="83"/>
      <c r="K1160" s="54" t="s">
        <v>15</v>
      </c>
    </row>
    <row r="1161" spans="2:11" ht="16.5" x14ac:dyDescent="0.2">
      <c r="B1161" s="82" t="s">
        <v>8497</v>
      </c>
      <c r="C1161" s="82" t="s">
        <v>28</v>
      </c>
      <c r="D1161" s="83">
        <f>SUMIFS(D1162:D1474,K1162:K1474,"0",B1162:B1474,"5 1 3 2 3 12 31111*")-SUMIFS(E1162:E1474,K1162:K1474,"0",B1162:B1474,"5 1 3 2 3 12 31111*")</f>
        <v>18508.349999999999</v>
      </c>
      <c r="E1161" s="54"/>
      <c r="F1161" s="83">
        <f>SUMIFS(F1162:F1474,K1162:K1474,"0",B1162:B1474,"5 1 3 2 3 12 31111*")</f>
        <v>266120</v>
      </c>
      <c r="G1161" s="83">
        <f>SUMIFS(G1162:G1474,K1162:K1474,"0",B1162:B1474,"5 1 3 2 3 12 31111*")</f>
        <v>0</v>
      </c>
      <c r="H1161" s="83">
        <f t="shared" si="19"/>
        <v>284628.34999999998</v>
      </c>
      <c r="I1161" s="83"/>
      <c r="K1161" s="54" t="s">
        <v>15</v>
      </c>
    </row>
    <row r="1162" spans="2:11" ht="12.75" x14ac:dyDescent="0.2">
      <c r="B1162" s="82" t="s">
        <v>8498</v>
      </c>
      <c r="C1162" s="82" t="s">
        <v>30</v>
      </c>
      <c r="D1162" s="83">
        <f>SUMIFS(D1163:D1474,K1163:K1474,"0",B1163:B1474,"5 1 3 2 3 12 31111 6*")-SUMIFS(E1163:E1474,K1163:K1474,"0",B1163:B1474,"5 1 3 2 3 12 31111 6*")</f>
        <v>18508.349999999999</v>
      </c>
      <c r="E1162" s="54"/>
      <c r="F1162" s="83">
        <f>SUMIFS(F1163:F1474,K1163:K1474,"0",B1163:B1474,"5 1 3 2 3 12 31111 6*")</f>
        <v>266120</v>
      </c>
      <c r="G1162" s="83">
        <f>SUMIFS(G1163:G1474,K1163:K1474,"0",B1163:B1474,"5 1 3 2 3 12 31111 6*")</f>
        <v>0</v>
      </c>
      <c r="H1162" s="83">
        <f t="shared" si="19"/>
        <v>284628.34999999998</v>
      </c>
      <c r="I1162" s="83"/>
      <c r="K1162" s="54" t="s">
        <v>15</v>
      </c>
    </row>
    <row r="1163" spans="2:11" ht="16.5" x14ac:dyDescent="0.2">
      <c r="B1163" s="82" t="s">
        <v>8499</v>
      </c>
      <c r="C1163" s="82" t="s">
        <v>2284</v>
      </c>
      <c r="D1163" s="83">
        <f>SUMIFS(D1164:D1474,K1164:K1474,"0",B1164:B1474,"5 1 3 2 3 12 31111 6 M59*")-SUMIFS(E1164:E1474,K1164:K1474,"0",B1164:B1474,"5 1 3 2 3 12 31111 6 M59*")</f>
        <v>18508.349999999999</v>
      </c>
      <c r="E1163" s="54"/>
      <c r="F1163" s="83">
        <f>SUMIFS(F1164:F1474,K1164:K1474,"0",B1164:B1474,"5 1 3 2 3 12 31111 6 M59*")</f>
        <v>266120</v>
      </c>
      <c r="G1163" s="83">
        <f>SUMIFS(G1164:G1474,K1164:K1474,"0",B1164:B1474,"5 1 3 2 3 12 31111 6 M59*")</f>
        <v>0</v>
      </c>
      <c r="H1163" s="83">
        <f t="shared" si="19"/>
        <v>284628.34999999998</v>
      </c>
      <c r="I1163" s="83"/>
      <c r="K1163" s="54" t="s">
        <v>15</v>
      </c>
    </row>
    <row r="1164" spans="2:11" ht="16.5" x14ac:dyDescent="0.2">
      <c r="B1164" s="82" t="s">
        <v>8500</v>
      </c>
      <c r="C1164" s="82" t="s">
        <v>2946</v>
      </c>
      <c r="D1164" s="83">
        <f>SUMIFS(D1165:D1474,K1165:K1474,"0",B1165:B1474,"5 1 3 2 3 12 31111 6 M59 10300*")-SUMIFS(E1165:E1474,K1165:K1474,"0",B1165:B1474,"5 1 3 2 3 12 31111 6 M59 10300*")</f>
        <v>18508.349999999999</v>
      </c>
      <c r="E1164" s="54"/>
      <c r="F1164" s="83">
        <f>SUMIFS(F1165:F1474,K1165:K1474,"0",B1165:B1474,"5 1 3 2 3 12 31111 6 M59 10300*")</f>
        <v>0</v>
      </c>
      <c r="G1164" s="83">
        <f>SUMIFS(G1165:G1474,K1165:K1474,"0",B1165:B1474,"5 1 3 2 3 12 31111 6 M59 10300*")</f>
        <v>0</v>
      </c>
      <c r="H1164" s="83">
        <f t="shared" si="19"/>
        <v>18508.349999999999</v>
      </c>
      <c r="I1164" s="83"/>
      <c r="K1164" s="54" t="s">
        <v>15</v>
      </c>
    </row>
    <row r="1165" spans="2:11" ht="16.5" x14ac:dyDescent="0.2">
      <c r="B1165" s="82" t="s">
        <v>8501</v>
      </c>
      <c r="C1165" s="82" t="s">
        <v>1063</v>
      </c>
      <c r="D1165" s="83">
        <f>SUMIFS(D1166:D1474,K1166:K1474,"0",B1166:B1474,"5 1 3 2 3 12 31111 6 M59 10300 000139*")-SUMIFS(E1166:E1474,K1166:K1474,"0",B1166:B1474,"5 1 3 2 3 12 31111 6 M59 10300 000139*")</f>
        <v>18508.349999999999</v>
      </c>
      <c r="E1165" s="54"/>
      <c r="F1165" s="83">
        <f>SUMIFS(F1166:F1474,K1166:K1474,"0",B1166:B1474,"5 1 3 2 3 12 31111 6 M59 10300 000139*")</f>
        <v>0</v>
      </c>
      <c r="G1165" s="83">
        <f>SUMIFS(G1166:G1474,K1166:K1474,"0",B1166:B1474,"5 1 3 2 3 12 31111 6 M59 10300 000139*")</f>
        <v>0</v>
      </c>
      <c r="H1165" s="83">
        <f t="shared" si="19"/>
        <v>18508.349999999999</v>
      </c>
      <c r="I1165" s="83"/>
      <c r="K1165" s="54" t="s">
        <v>15</v>
      </c>
    </row>
    <row r="1166" spans="2:11" ht="24.75" x14ac:dyDescent="0.2">
      <c r="B1166" s="82" t="s">
        <v>8502</v>
      </c>
      <c r="C1166" s="82" t="s">
        <v>1065</v>
      </c>
      <c r="D1166" s="83">
        <f>SUMIFS(D1167:D1474,K1167:K1474,"0",B1167:B1474,"5 1 3 2 3 12 31111 6 M59 10300 000139 0000E*")-SUMIFS(E1167:E1474,K1167:K1474,"0",B1167:B1474,"5 1 3 2 3 12 31111 6 M59 10300 000139 0000E*")</f>
        <v>18508.349999999999</v>
      </c>
      <c r="E1166" s="54"/>
      <c r="F1166" s="83">
        <f>SUMIFS(F1167:F1474,K1167:K1474,"0",B1167:B1474,"5 1 3 2 3 12 31111 6 M59 10300 000139 0000E*")</f>
        <v>0</v>
      </c>
      <c r="G1166" s="83">
        <f>SUMIFS(G1167:G1474,K1167:K1474,"0",B1167:B1474,"5 1 3 2 3 12 31111 6 M59 10300 000139 0000E*")</f>
        <v>0</v>
      </c>
      <c r="H1166" s="83">
        <f t="shared" si="19"/>
        <v>18508.349999999999</v>
      </c>
      <c r="I1166" s="83"/>
      <c r="K1166" s="54" t="s">
        <v>15</v>
      </c>
    </row>
    <row r="1167" spans="2:11" ht="24.75" x14ac:dyDescent="0.2">
      <c r="B1167" s="82" t="s">
        <v>8503</v>
      </c>
      <c r="C1167" s="82" t="s">
        <v>282</v>
      </c>
      <c r="D1167" s="83">
        <f>SUMIFS(D1168:D1474,K1168:K1474,"0",B1168:B1474,"5 1 3 2 3 12 31111 6 M59 10300 000139 0000E 00001*")-SUMIFS(E1168:E1474,K1168:K1474,"0",B1168:B1474,"5 1 3 2 3 12 31111 6 M59 10300 000139 0000E 00001*")</f>
        <v>18508.349999999999</v>
      </c>
      <c r="E1167" s="54"/>
      <c r="F1167" s="83">
        <f>SUMIFS(F1168:F1474,K1168:K1474,"0",B1168:B1474,"5 1 3 2 3 12 31111 6 M59 10300 000139 0000E 00001*")</f>
        <v>0</v>
      </c>
      <c r="G1167" s="83">
        <f>SUMIFS(G1168:G1474,K1168:K1474,"0",B1168:B1474,"5 1 3 2 3 12 31111 6 M59 10300 000139 0000E 00001*")</f>
        <v>0</v>
      </c>
      <c r="H1167" s="83">
        <f t="shared" si="19"/>
        <v>18508.349999999999</v>
      </c>
      <c r="I1167" s="83"/>
      <c r="K1167" s="54" t="s">
        <v>15</v>
      </c>
    </row>
    <row r="1168" spans="2:11" ht="33" x14ac:dyDescent="0.2">
      <c r="B1168" s="82" t="s">
        <v>8504</v>
      </c>
      <c r="C1168" s="82" t="s">
        <v>8505</v>
      </c>
      <c r="D1168" s="83">
        <f>SUMIFS(D1169:D1474,K1169:K1474,"0",B1169:B1474,"5 1 3 2 3 12 31111 6 M59 10300 000139 0000E 00001 00323*")-SUMIFS(E1169:E1474,K1169:K1474,"0",B1169:B1474,"5 1 3 2 3 12 31111 6 M59 10300 000139 0000E 00001 00323*")</f>
        <v>18508.349999999999</v>
      </c>
      <c r="E1168" s="54"/>
      <c r="F1168" s="83">
        <f>SUMIFS(F1169:F1474,K1169:K1474,"0",B1169:B1474,"5 1 3 2 3 12 31111 6 M59 10300 000139 0000E 00001 00323*")</f>
        <v>0</v>
      </c>
      <c r="G1168" s="83">
        <f>SUMIFS(G1169:G1474,K1169:K1474,"0",B1169:B1474,"5 1 3 2 3 12 31111 6 M59 10300 000139 0000E 00001 00323*")</f>
        <v>0</v>
      </c>
      <c r="H1168" s="83">
        <f t="shared" si="19"/>
        <v>18508.349999999999</v>
      </c>
      <c r="I1168" s="83"/>
      <c r="K1168" s="54" t="s">
        <v>15</v>
      </c>
    </row>
    <row r="1169" spans="2:11" ht="33" x14ac:dyDescent="0.2">
      <c r="B1169" s="82" t="s">
        <v>8506</v>
      </c>
      <c r="C1169" s="82" t="s">
        <v>699</v>
      </c>
      <c r="D1169" s="83">
        <f>SUMIFS(D1170:D1474,K1170:K1474,"0",B1170:B1474,"5 1 3 2 3 12 31111 6 M59 10300 000139 0000E 00001 00323 011*")-SUMIFS(E1170:E1474,K1170:K1474,"0",B1170:B1474,"5 1 3 2 3 12 31111 6 M59 10300 000139 0000E 00001 00323 011*")</f>
        <v>18508.349999999999</v>
      </c>
      <c r="E1169" s="54"/>
      <c r="F1169" s="83">
        <f>SUMIFS(F1170:F1474,K1170:K1474,"0",B1170:B1474,"5 1 3 2 3 12 31111 6 M59 10300 000139 0000E 00001 00323 011*")</f>
        <v>0</v>
      </c>
      <c r="G1169" s="83">
        <f>SUMIFS(G1170:G1474,K1170:K1474,"0",B1170:B1474,"5 1 3 2 3 12 31111 6 M59 10300 000139 0000E 00001 00323 011*")</f>
        <v>0</v>
      </c>
      <c r="H1169" s="83">
        <f t="shared" si="19"/>
        <v>18508.349999999999</v>
      </c>
      <c r="I1169" s="83"/>
      <c r="K1169" s="54" t="s">
        <v>15</v>
      </c>
    </row>
    <row r="1170" spans="2:11" ht="33" x14ac:dyDescent="0.2">
      <c r="B1170" s="82" t="s">
        <v>8507</v>
      </c>
      <c r="C1170" s="82" t="s">
        <v>5830</v>
      </c>
      <c r="D1170" s="83">
        <f>SUMIFS(D1171:D1474,K1171:K1474,"0",B1171:B1474,"5 1 3 2 3 12 31111 6 M59 10300 000139 0000E 00001 00323 011 2112000*")-SUMIFS(E1171:E1474,K1171:K1474,"0",B1171:B1474,"5 1 3 2 3 12 31111 6 M59 10300 000139 0000E 00001 00323 011 2112000*")</f>
        <v>18508.349999999999</v>
      </c>
      <c r="E1170" s="54"/>
      <c r="F1170" s="83">
        <f>SUMIFS(F1171:F1474,K1171:K1474,"0",B1171:B1474,"5 1 3 2 3 12 31111 6 M59 10300 000139 0000E 00001 00323 011 2112000*")</f>
        <v>0</v>
      </c>
      <c r="G1170" s="83">
        <f>SUMIFS(G1171:G1474,K1171:K1474,"0",B1171:B1474,"5 1 3 2 3 12 31111 6 M59 10300 000139 0000E 00001 00323 011 2112000*")</f>
        <v>0</v>
      </c>
      <c r="H1170" s="83">
        <f t="shared" si="19"/>
        <v>18508.349999999999</v>
      </c>
      <c r="I1170" s="83"/>
      <c r="K1170" s="54" t="s">
        <v>15</v>
      </c>
    </row>
    <row r="1171" spans="2:11" ht="33" x14ac:dyDescent="0.2">
      <c r="B1171" s="82" t="s">
        <v>8508</v>
      </c>
      <c r="C1171" s="82" t="s">
        <v>660</v>
      </c>
      <c r="D1171" s="83">
        <f>SUMIFS(D1172:D1474,K1172:K1474,"0",B1172:B1474,"5 1 3 2 3 12 31111 6 M59 10300 000139 0000E 00001 00323 011 2112000 2024*")-SUMIFS(E1172:E1474,K1172:K1474,"0",B1172:B1474,"5 1 3 2 3 12 31111 6 M59 10300 000139 0000E 00001 00323 011 2112000 2024*")</f>
        <v>18508.349999999999</v>
      </c>
      <c r="E1171" s="54"/>
      <c r="F1171" s="83">
        <f>SUMIFS(F1172:F1474,K1172:K1474,"0",B1172:B1474,"5 1 3 2 3 12 31111 6 M59 10300 000139 0000E 00001 00323 011 2112000 2024*")</f>
        <v>0</v>
      </c>
      <c r="G1171" s="83">
        <f>SUMIFS(G1172:G1474,K1172:K1474,"0",B1172:B1474,"5 1 3 2 3 12 31111 6 M59 10300 000139 0000E 00001 00323 011 2112000 2024*")</f>
        <v>0</v>
      </c>
      <c r="H1171" s="83">
        <f t="shared" si="19"/>
        <v>18508.349999999999</v>
      </c>
      <c r="I1171" s="83"/>
      <c r="K1171" s="54" t="s">
        <v>15</v>
      </c>
    </row>
    <row r="1172" spans="2:11" ht="41.25" x14ac:dyDescent="0.2">
      <c r="B1172" s="82" t="s">
        <v>8509</v>
      </c>
      <c r="C1172" s="82" t="s">
        <v>8510</v>
      </c>
      <c r="D1172" s="83">
        <f>SUMIFS(D1173:D1474,K1173:K1474,"0",B1173:B1474,"5 1 3 2 3 12 31111 6 M59 10300 000139 0000E 00001 00323 011 2112000 2024 CP3GE486*")-SUMIFS(E1173:E1474,K1173:K1474,"0",B1173:B1474,"5 1 3 2 3 12 31111 6 M59 10300 000139 0000E 00001 00323 011 2112000 2024 CP3GE486*")</f>
        <v>18508.349999999999</v>
      </c>
      <c r="E1172" s="54"/>
      <c r="F1172" s="83">
        <f>SUMIFS(F1173:F1474,K1173:K1474,"0",B1173:B1474,"5 1 3 2 3 12 31111 6 M59 10300 000139 0000E 00001 00323 011 2112000 2024 CP3GE486*")</f>
        <v>0</v>
      </c>
      <c r="G1172" s="83">
        <f>SUMIFS(G1173:G1474,K1173:K1474,"0",B1173:B1474,"5 1 3 2 3 12 31111 6 M59 10300 000139 0000E 00001 00323 011 2112000 2024 CP3GE486*")</f>
        <v>0</v>
      </c>
      <c r="H1172" s="83">
        <f t="shared" si="19"/>
        <v>18508.349999999999</v>
      </c>
      <c r="I1172" s="83"/>
      <c r="K1172" s="54" t="s">
        <v>15</v>
      </c>
    </row>
    <row r="1173" spans="2:11" ht="41.25" x14ac:dyDescent="0.2">
      <c r="B1173" s="82" t="s">
        <v>8511</v>
      </c>
      <c r="C1173" s="82" t="s">
        <v>2284</v>
      </c>
      <c r="D1173" s="83">
        <f>SUMIFS(D1174:D1474,K1174:K1474,"0",B1174:B1474,"5 1 3 2 3 12 31111 6 M59 10300 000139 0000E 00001 00323 011 2112000 2024 CP3GE486 004*")-SUMIFS(E1174:E1474,K1174:K1474,"0",B1174:B1474,"5 1 3 2 3 12 31111 6 M59 10300 000139 0000E 00001 00323 011 2112000 2024 CP3GE486 004*")</f>
        <v>18508.349999999999</v>
      </c>
      <c r="E1173" s="54"/>
      <c r="F1173" s="83">
        <f>SUMIFS(F1174:F1474,K1174:K1474,"0",B1174:B1474,"5 1 3 2 3 12 31111 6 M59 10300 000139 0000E 00001 00323 011 2112000 2024 CP3GE486 004*")</f>
        <v>0</v>
      </c>
      <c r="G1173" s="83">
        <f>SUMIFS(G1174:G1474,K1174:K1474,"0",B1174:B1474,"5 1 3 2 3 12 31111 6 M59 10300 000139 0000E 00001 00323 011 2112000 2024 CP3GE486 004*")</f>
        <v>0</v>
      </c>
      <c r="H1173" s="83">
        <f t="shared" si="19"/>
        <v>18508.349999999999</v>
      </c>
      <c r="I1173" s="83"/>
      <c r="K1173" s="54" t="s">
        <v>15</v>
      </c>
    </row>
    <row r="1174" spans="2:11" ht="33" x14ac:dyDescent="0.2">
      <c r="B1174" s="84" t="s">
        <v>8512</v>
      </c>
      <c r="C1174" s="84" t="s">
        <v>2284</v>
      </c>
      <c r="D1174" s="85">
        <v>18508.349999999999</v>
      </c>
      <c r="E1174" s="85"/>
      <c r="F1174" s="85">
        <v>0</v>
      </c>
      <c r="G1174" s="85">
        <v>0</v>
      </c>
      <c r="H1174" s="85">
        <f t="shared" si="19"/>
        <v>18508.349999999999</v>
      </c>
      <c r="I1174" s="85"/>
      <c r="K1174" s="54" t="s">
        <v>38</v>
      </c>
    </row>
    <row r="1175" spans="2:11" ht="16.5" x14ac:dyDescent="0.2">
      <c r="B1175" s="82" t="s">
        <v>8513</v>
      </c>
      <c r="C1175" s="82" t="s">
        <v>1044</v>
      </c>
      <c r="D1175" s="83">
        <f>SUMIFS(D1176:D1474,K1176:K1474,"0",B1176:B1474,"5 1 3 2 3 12 31111 6 M59 19000*")-SUMIFS(E1176:E1474,K1176:K1474,"0",B1176:B1474,"5 1 3 2 3 12 31111 6 M59 19000*")</f>
        <v>0</v>
      </c>
      <c r="E1175" s="54"/>
      <c r="F1175" s="83">
        <f>SUMIFS(F1176:F1474,K1176:K1474,"0",B1176:B1474,"5 1 3 2 3 12 31111 6 M59 19000*")</f>
        <v>261120</v>
      </c>
      <c r="G1175" s="83">
        <f>SUMIFS(G1176:G1474,K1176:K1474,"0",B1176:B1474,"5 1 3 2 3 12 31111 6 M59 19000*")</f>
        <v>0</v>
      </c>
      <c r="H1175" s="83">
        <f t="shared" si="19"/>
        <v>261120</v>
      </c>
      <c r="I1175" s="83"/>
      <c r="K1175" s="54" t="s">
        <v>15</v>
      </c>
    </row>
    <row r="1176" spans="2:11" ht="16.5" x14ac:dyDescent="0.2">
      <c r="B1176" s="82" t="s">
        <v>8514</v>
      </c>
      <c r="C1176" s="82" t="s">
        <v>648</v>
      </c>
      <c r="D1176" s="83">
        <f>SUMIFS(D1177:D1474,K1177:K1474,"0",B1177:B1474,"5 1 3 2 3 12 31111 6 M59 19000 000132*")-SUMIFS(E1177:E1474,K1177:K1474,"0",B1177:B1474,"5 1 3 2 3 12 31111 6 M59 19000 000132*")</f>
        <v>0</v>
      </c>
      <c r="E1176" s="54"/>
      <c r="F1176" s="83">
        <f>SUMIFS(F1177:F1474,K1177:K1474,"0",B1177:B1474,"5 1 3 2 3 12 31111 6 M59 19000 000132*")</f>
        <v>261120</v>
      </c>
      <c r="G1176" s="83">
        <f>SUMIFS(G1177:G1474,K1177:K1474,"0",B1177:B1474,"5 1 3 2 3 12 31111 6 M59 19000 000132*")</f>
        <v>0</v>
      </c>
      <c r="H1176" s="83">
        <f t="shared" si="19"/>
        <v>261120</v>
      </c>
      <c r="I1176" s="83"/>
      <c r="K1176" s="54" t="s">
        <v>15</v>
      </c>
    </row>
    <row r="1177" spans="2:11" ht="24.75" x14ac:dyDescent="0.2">
      <c r="B1177" s="82" t="s">
        <v>8515</v>
      </c>
      <c r="C1177" s="82" t="s">
        <v>650</v>
      </c>
      <c r="D1177" s="83">
        <f>SUMIFS(D1178:D1474,K1178:K1474,"0",B1178:B1474,"5 1 3 2 3 12 31111 6 M59 19000 000132 0000R*")-SUMIFS(E1178:E1474,K1178:K1474,"0",B1178:B1474,"5 1 3 2 3 12 31111 6 M59 19000 000132 0000R*")</f>
        <v>0</v>
      </c>
      <c r="E1177" s="54"/>
      <c r="F1177" s="83">
        <f>SUMIFS(F1178:F1474,K1178:K1474,"0",B1178:B1474,"5 1 3 2 3 12 31111 6 M59 19000 000132 0000R*")</f>
        <v>261120</v>
      </c>
      <c r="G1177" s="83">
        <f>SUMIFS(G1178:G1474,K1178:K1474,"0",B1178:B1474,"5 1 3 2 3 12 31111 6 M59 19000 000132 0000R*")</f>
        <v>0</v>
      </c>
      <c r="H1177" s="83">
        <f t="shared" si="19"/>
        <v>261120</v>
      </c>
      <c r="I1177" s="83"/>
      <c r="K1177" s="54" t="s">
        <v>15</v>
      </c>
    </row>
    <row r="1178" spans="2:11" ht="24.75" x14ac:dyDescent="0.2">
      <c r="B1178" s="82" t="s">
        <v>8516</v>
      </c>
      <c r="C1178" s="82" t="s">
        <v>282</v>
      </c>
      <c r="D1178" s="83">
        <f>SUMIFS(D1179:D1474,K1179:K1474,"0",B1179:B1474,"5 1 3 2 3 12 31111 6 M59 19000 000132 0000R 00001*")-SUMIFS(E1179:E1474,K1179:K1474,"0",B1179:B1474,"5 1 3 2 3 12 31111 6 M59 19000 000132 0000R 00001*")</f>
        <v>0</v>
      </c>
      <c r="E1178" s="54"/>
      <c r="F1178" s="83">
        <f>SUMIFS(F1179:F1474,K1179:K1474,"0",B1179:B1474,"5 1 3 2 3 12 31111 6 M59 19000 000132 0000R 00001*")</f>
        <v>261120</v>
      </c>
      <c r="G1178" s="83">
        <f>SUMIFS(G1179:G1474,K1179:K1474,"0",B1179:B1474,"5 1 3 2 3 12 31111 6 M59 19000 000132 0000R 00001*")</f>
        <v>0</v>
      </c>
      <c r="H1178" s="83">
        <f t="shared" si="19"/>
        <v>261120</v>
      </c>
      <c r="I1178" s="83"/>
      <c r="K1178" s="54" t="s">
        <v>15</v>
      </c>
    </row>
    <row r="1179" spans="2:11" ht="33" x14ac:dyDescent="0.2">
      <c r="B1179" s="82" t="s">
        <v>8517</v>
      </c>
      <c r="C1179" s="82" t="s">
        <v>8505</v>
      </c>
      <c r="D1179" s="83">
        <f>SUMIFS(D1180:D1474,K1180:K1474,"0",B1180:B1474,"5 1 3 2 3 12 31111 6 M59 19000 000132 0000R 00001 00323*")-SUMIFS(E1180:E1474,K1180:K1474,"0",B1180:B1474,"5 1 3 2 3 12 31111 6 M59 19000 000132 0000R 00001 00323*")</f>
        <v>0</v>
      </c>
      <c r="E1179" s="54"/>
      <c r="F1179" s="83">
        <f>SUMIFS(F1180:F1474,K1180:K1474,"0",B1180:B1474,"5 1 3 2 3 12 31111 6 M59 19000 000132 0000R 00001 00323*")</f>
        <v>261120</v>
      </c>
      <c r="G1179" s="83">
        <f>SUMIFS(G1180:G1474,K1180:K1474,"0",B1180:B1474,"5 1 3 2 3 12 31111 6 M59 19000 000132 0000R 00001 00323*")</f>
        <v>0</v>
      </c>
      <c r="H1179" s="83">
        <f t="shared" si="19"/>
        <v>261120</v>
      </c>
      <c r="I1179" s="83"/>
      <c r="K1179" s="54" t="s">
        <v>15</v>
      </c>
    </row>
    <row r="1180" spans="2:11" ht="33" x14ac:dyDescent="0.2">
      <c r="B1180" s="82" t="s">
        <v>8518</v>
      </c>
      <c r="C1180" s="82" t="s">
        <v>699</v>
      </c>
      <c r="D1180" s="83">
        <f>SUMIFS(D1181:D1474,K1181:K1474,"0",B1181:B1474,"5 1 3 2 3 12 31111 6 M59 19000 000132 0000R 00001 00323 011*")-SUMIFS(E1181:E1474,K1181:K1474,"0",B1181:B1474,"5 1 3 2 3 12 31111 6 M59 19000 000132 0000R 00001 00323 011*")</f>
        <v>0</v>
      </c>
      <c r="E1180" s="54"/>
      <c r="F1180" s="83">
        <f>SUMIFS(F1181:F1474,K1181:K1474,"0",B1181:B1474,"5 1 3 2 3 12 31111 6 M59 19000 000132 0000R 00001 00323 011*")</f>
        <v>261120</v>
      </c>
      <c r="G1180" s="83">
        <f>SUMIFS(G1181:G1474,K1181:K1474,"0",B1181:B1474,"5 1 3 2 3 12 31111 6 M59 19000 000132 0000R 00001 00323 011*")</f>
        <v>0</v>
      </c>
      <c r="H1180" s="83">
        <f t="shared" si="19"/>
        <v>261120</v>
      </c>
      <c r="I1180" s="83"/>
      <c r="K1180" s="54" t="s">
        <v>15</v>
      </c>
    </row>
    <row r="1181" spans="2:11" ht="33" x14ac:dyDescent="0.2">
      <c r="B1181" s="82" t="s">
        <v>8519</v>
      </c>
      <c r="C1181" s="82" t="s">
        <v>5830</v>
      </c>
      <c r="D1181" s="83">
        <f>SUMIFS(D1182:D1474,K1182:K1474,"0",B1182:B1474,"5 1 3 2 3 12 31111 6 M59 19000 000132 0000R 00001 00323 011 2112000*")-SUMIFS(E1182:E1474,K1182:K1474,"0",B1182:B1474,"5 1 3 2 3 12 31111 6 M59 19000 000132 0000R 00001 00323 011 2112000*")</f>
        <v>0</v>
      </c>
      <c r="E1181" s="54"/>
      <c r="F1181" s="83">
        <f>SUMIFS(F1182:F1474,K1182:K1474,"0",B1182:B1474,"5 1 3 2 3 12 31111 6 M59 19000 000132 0000R 00001 00323 011 2112000*")</f>
        <v>261120</v>
      </c>
      <c r="G1181" s="83">
        <f>SUMIFS(G1182:G1474,K1182:K1474,"0",B1182:B1474,"5 1 3 2 3 12 31111 6 M59 19000 000132 0000R 00001 00323 011 2112000*")</f>
        <v>0</v>
      </c>
      <c r="H1181" s="83">
        <f t="shared" si="19"/>
        <v>261120</v>
      </c>
      <c r="I1181" s="83"/>
      <c r="K1181" s="54" t="s">
        <v>15</v>
      </c>
    </row>
    <row r="1182" spans="2:11" ht="33" x14ac:dyDescent="0.2">
      <c r="B1182" s="82" t="s">
        <v>8520</v>
      </c>
      <c r="C1182" s="82" t="s">
        <v>660</v>
      </c>
      <c r="D1182" s="83">
        <f>SUMIFS(D1183:D1474,K1183:K1474,"0",B1183:B1474,"5 1 3 2 3 12 31111 6 M59 19000 000132 0000R 00001 00323 011 2112000 2024*")-SUMIFS(E1183:E1474,K1183:K1474,"0",B1183:B1474,"5 1 3 2 3 12 31111 6 M59 19000 000132 0000R 00001 00323 011 2112000 2024*")</f>
        <v>0</v>
      </c>
      <c r="E1182" s="54"/>
      <c r="F1182" s="83">
        <f>SUMIFS(F1183:F1474,K1183:K1474,"0",B1183:B1474,"5 1 3 2 3 12 31111 6 M59 19000 000132 0000R 00001 00323 011 2112000 2024*")</f>
        <v>261120</v>
      </c>
      <c r="G1182" s="83">
        <f>SUMIFS(G1183:G1474,K1183:K1474,"0",B1183:B1474,"5 1 3 2 3 12 31111 6 M59 19000 000132 0000R 00001 00323 011 2112000 2024*")</f>
        <v>0</v>
      </c>
      <c r="H1182" s="83">
        <f t="shared" si="19"/>
        <v>261120</v>
      </c>
      <c r="I1182" s="83"/>
      <c r="K1182" s="54" t="s">
        <v>15</v>
      </c>
    </row>
    <row r="1183" spans="2:11" ht="41.25" x14ac:dyDescent="0.2">
      <c r="B1183" s="82" t="s">
        <v>8521</v>
      </c>
      <c r="C1183" s="82" t="s">
        <v>662</v>
      </c>
      <c r="D1183" s="83">
        <f>SUMIFS(D1184:D1474,K1184:K1474,"0",B1184:B1474,"5 1 3 2 3 12 31111 6 M59 19000 000132 0000R 00001 00323 011 2112000 2024 CP1TM440*")-SUMIFS(E1184:E1474,K1184:K1474,"0",B1184:B1474,"5 1 3 2 3 12 31111 6 M59 19000 000132 0000R 00001 00323 011 2112000 2024 CP1TM440*")</f>
        <v>0</v>
      </c>
      <c r="E1183" s="54"/>
      <c r="F1183" s="83">
        <f>SUMIFS(F1184:F1474,K1184:K1474,"0",B1184:B1474,"5 1 3 2 3 12 31111 6 M59 19000 000132 0000R 00001 00323 011 2112000 2024 CP1TM440*")</f>
        <v>261120</v>
      </c>
      <c r="G1183" s="83">
        <f>SUMIFS(G1184:G1474,K1184:K1474,"0",B1184:B1474,"5 1 3 2 3 12 31111 6 M59 19000 000132 0000R 00001 00323 011 2112000 2024 CP1TM440*")</f>
        <v>0</v>
      </c>
      <c r="H1183" s="83">
        <f t="shared" si="19"/>
        <v>261120</v>
      </c>
      <c r="I1183" s="83"/>
      <c r="K1183" s="54" t="s">
        <v>15</v>
      </c>
    </row>
    <row r="1184" spans="2:11" ht="41.25" x14ac:dyDescent="0.2">
      <c r="B1184" s="82" t="s">
        <v>8522</v>
      </c>
      <c r="C1184" s="82" t="s">
        <v>2284</v>
      </c>
      <c r="D1184" s="83">
        <f>SUMIFS(D1185:D1474,K1185:K1474,"0",B1185:B1474,"5 1 3 2 3 12 31111 6 M59 19000 000132 0000R 00001 00323 011 2112000 2024 CP1TM440 004*")-SUMIFS(E1185:E1474,K1185:K1474,"0",B1185:B1474,"5 1 3 2 3 12 31111 6 M59 19000 000132 0000R 00001 00323 011 2112000 2024 CP1TM440 004*")</f>
        <v>0</v>
      </c>
      <c r="E1184" s="54"/>
      <c r="F1184" s="83">
        <f>SUMIFS(F1185:F1474,K1185:K1474,"0",B1185:B1474,"5 1 3 2 3 12 31111 6 M59 19000 000132 0000R 00001 00323 011 2112000 2024 CP1TM440 004*")</f>
        <v>261120</v>
      </c>
      <c r="G1184" s="83">
        <f>SUMIFS(G1185:G1474,K1185:K1474,"0",B1185:B1474,"5 1 3 2 3 12 31111 6 M59 19000 000132 0000R 00001 00323 011 2112000 2024 CP1TM440 004*")</f>
        <v>0</v>
      </c>
      <c r="H1184" s="83">
        <f t="shared" si="19"/>
        <v>261120</v>
      </c>
      <c r="I1184" s="83"/>
      <c r="K1184" s="54" t="s">
        <v>15</v>
      </c>
    </row>
    <row r="1185" spans="2:11" ht="33" x14ac:dyDescent="0.2">
      <c r="B1185" s="84" t="s">
        <v>8523</v>
      </c>
      <c r="C1185" s="84" t="s">
        <v>2284</v>
      </c>
      <c r="D1185" s="85">
        <v>0</v>
      </c>
      <c r="E1185" s="85"/>
      <c r="F1185" s="85">
        <v>261120</v>
      </c>
      <c r="G1185" s="85">
        <v>0</v>
      </c>
      <c r="H1185" s="85">
        <f t="shared" si="19"/>
        <v>261120</v>
      </c>
      <c r="I1185" s="85"/>
      <c r="K1185" s="54" t="s">
        <v>38</v>
      </c>
    </row>
    <row r="1186" spans="2:11" ht="16.5" x14ac:dyDescent="0.2">
      <c r="B1186" s="82" t="s">
        <v>8524</v>
      </c>
      <c r="C1186" s="82" t="s">
        <v>1079</v>
      </c>
      <c r="D1186" s="83">
        <f>SUMIFS(D1187:D1474,K1187:K1474,"0",B1187:B1474,"5 1 3 2 3 12 31111 6 M59 20500*")-SUMIFS(E1187:E1474,K1187:K1474,"0",B1187:B1474,"5 1 3 2 3 12 31111 6 M59 20500*")</f>
        <v>0</v>
      </c>
      <c r="E1186" s="54"/>
      <c r="F1186" s="83">
        <f>SUMIFS(F1187:F1474,K1187:K1474,"0",B1187:B1474,"5 1 3 2 3 12 31111 6 M59 20500*")</f>
        <v>5000</v>
      </c>
      <c r="G1186" s="83">
        <f>SUMIFS(G1187:G1474,K1187:K1474,"0",B1187:B1474,"5 1 3 2 3 12 31111 6 M59 20500*")</f>
        <v>0</v>
      </c>
      <c r="H1186" s="83">
        <f t="shared" si="19"/>
        <v>5000</v>
      </c>
      <c r="I1186" s="83"/>
      <c r="K1186" s="54" t="s">
        <v>15</v>
      </c>
    </row>
    <row r="1187" spans="2:11" ht="24.75" x14ac:dyDescent="0.2">
      <c r="B1187" s="82" t="s">
        <v>8525</v>
      </c>
      <c r="C1187" s="82" t="s">
        <v>3152</v>
      </c>
      <c r="D1187" s="83">
        <f>SUMIFS(D1188:D1474,K1188:K1474,"0",B1188:B1474,"5 1 3 2 3 12 31111 6 M59 20500 000181*")-SUMIFS(E1188:E1474,K1188:K1474,"0",B1188:B1474,"5 1 3 2 3 12 31111 6 M59 20500 000181*")</f>
        <v>0</v>
      </c>
      <c r="E1187" s="54"/>
      <c r="F1187" s="83">
        <f>SUMIFS(F1188:F1474,K1188:K1474,"0",B1188:B1474,"5 1 3 2 3 12 31111 6 M59 20500 000181*")</f>
        <v>5000</v>
      </c>
      <c r="G1187" s="83">
        <f>SUMIFS(G1188:G1474,K1188:K1474,"0",B1188:B1474,"5 1 3 2 3 12 31111 6 M59 20500 000181*")</f>
        <v>0</v>
      </c>
      <c r="H1187" s="83">
        <f t="shared" si="19"/>
        <v>5000</v>
      </c>
      <c r="I1187" s="83"/>
      <c r="K1187" s="54" t="s">
        <v>15</v>
      </c>
    </row>
    <row r="1188" spans="2:11" ht="24.75" x14ac:dyDescent="0.2">
      <c r="B1188" s="82" t="s">
        <v>8526</v>
      </c>
      <c r="C1188" s="82" t="s">
        <v>1065</v>
      </c>
      <c r="D1188" s="83">
        <f>SUMIFS(D1189:D1474,K1189:K1474,"0",B1189:B1474,"5 1 3 2 3 12 31111 6 M59 20500 000181 0000E*")-SUMIFS(E1189:E1474,K1189:K1474,"0",B1189:B1474,"5 1 3 2 3 12 31111 6 M59 20500 000181 0000E*")</f>
        <v>0</v>
      </c>
      <c r="E1188" s="54"/>
      <c r="F1188" s="83">
        <f>SUMIFS(F1189:F1474,K1189:K1474,"0",B1189:B1474,"5 1 3 2 3 12 31111 6 M59 20500 000181 0000E*")</f>
        <v>5000</v>
      </c>
      <c r="G1188" s="83">
        <f>SUMIFS(G1189:G1474,K1189:K1474,"0",B1189:B1474,"5 1 3 2 3 12 31111 6 M59 20500 000181 0000E*")</f>
        <v>0</v>
      </c>
      <c r="H1188" s="83">
        <f t="shared" si="19"/>
        <v>5000</v>
      </c>
      <c r="I1188" s="83"/>
      <c r="K1188" s="54" t="s">
        <v>15</v>
      </c>
    </row>
    <row r="1189" spans="2:11" ht="24.75" x14ac:dyDescent="0.2">
      <c r="B1189" s="82" t="s">
        <v>8527</v>
      </c>
      <c r="C1189" s="82" t="s">
        <v>282</v>
      </c>
      <c r="D1189" s="83">
        <f>SUMIFS(D1190:D1474,K1190:K1474,"0",B1190:B1474,"5 1 3 2 3 12 31111 6 M59 20500 000181 0000E 00001*")-SUMIFS(E1190:E1474,K1190:K1474,"0",B1190:B1474,"5 1 3 2 3 12 31111 6 M59 20500 000181 0000E 00001*")</f>
        <v>0</v>
      </c>
      <c r="E1189" s="54"/>
      <c r="F1189" s="83">
        <f>SUMIFS(F1190:F1474,K1190:K1474,"0",B1190:B1474,"5 1 3 2 3 12 31111 6 M59 20500 000181 0000E 00001*")</f>
        <v>5000</v>
      </c>
      <c r="G1189" s="83">
        <f>SUMIFS(G1190:G1474,K1190:K1474,"0",B1190:B1474,"5 1 3 2 3 12 31111 6 M59 20500 000181 0000E 00001*")</f>
        <v>0</v>
      </c>
      <c r="H1189" s="83">
        <f t="shared" si="19"/>
        <v>5000</v>
      </c>
      <c r="I1189" s="83"/>
      <c r="K1189" s="54" t="s">
        <v>15</v>
      </c>
    </row>
    <row r="1190" spans="2:11" ht="33" x14ac:dyDescent="0.2">
      <c r="B1190" s="82" t="s">
        <v>8528</v>
      </c>
      <c r="C1190" s="82" t="s">
        <v>8505</v>
      </c>
      <c r="D1190" s="83">
        <f>SUMIFS(D1191:D1474,K1191:K1474,"0",B1191:B1474,"5 1 3 2 3 12 31111 6 M59 20500 000181 0000E 00001 00323*")-SUMIFS(E1191:E1474,K1191:K1474,"0",B1191:B1474,"5 1 3 2 3 12 31111 6 M59 20500 000181 0000E 00001 00323*")</f>
        <v>0</v>
      </c>
      <c r="E1190" s="54"/>
      <c r="F1190" s="83">
        <f>SUMIFS(F1191:F1474,K1191:K1474,"0",B1191:B1474,"5 1 3 2 3 12 31111 6 M59 20500 000181 0000E 00001 00323*")</f>
        <v>5000</v>
      </c>
      <c r="G1190" s="83">
        <f>SUMIFS(G1191:G1474,K1191:K1474,"0",B1191:B1474,"5 1 3 2 3 12 31111 6 M59 20500 000181 0000E 00001 00323*")</f>
        <v>0</v>
      </c>
      <c r="H1190" s="83">
        <f t="shared" si="19"/>
        <v>5000</v>
      </c>
      <c r="I1190" s="83"/>
      <c r="K1190" s="54" t="s">
        <v>15</v>
      </c>
    </row>
    <row r="1191" spans="2:11" ht="33" x14ac:dyDescent="0.2">
      <c r="B1191" s="82" t="s">
        <v>8529</v>
      </c>
      <c r="C1191" s="82" t="s">
        <v>699</v>
      </c>
      <c r="D1191" s="83">
        <f>SUMIFS(D1192:D1474,K1192:K1474,"0",B1192:B1474,"5 1 3 2 3 12 31111 6 M59 20500 000181 0000E 00001 00323 011*")-SUMIFS(E1192:E1474,K1192:K1474,"0",B1192:B1474,"5 1 3 2 3 12 31111 6 M59 20500 000181 0000E 00001 00323 011*")</f>
        <v>0</v>
      </c>
      <c r="E1191" s="54"/>
      <c r="F1191" s="83">
        <f>SUMIFS(F1192:F1474,K1192:K1474,"0",B1192:B1474,"5 1 3 2 3 12 31111 6 M59 20500 000181 0000E 00001 00323 011*")</f>
        <v>5000</v>
      </c>
      <c r="G1191" s="83">
        <f>SUMIFS(G1192:G1474,K1192:K1474,"0",B1192:B1474,"5 1 3 2 3 12 31111 6 M59 20500 000181 0000E 00001 00323 011*")</f>
        <v>0</v>
      </c>
      <c r="H1191" s="83">
        <f t="shared" si="19"/>
        <v>5000</v>
      </c>
      <c r="I1191" s="83"/>
      <c r="K1191" s="54" t="s">
        <v>15</v>
      </c>
    </row>
    <row r="1192" spans="2:11" ht="33" x14ac:dyDescent="0.2">
      <c r="B1192" s="82" t="s">
        <v>8530</v>
      </c>
      <c r="C1192" s="82" t="s">
        <v>5830</v>
      </c>
      <c r="D1192" s="83">
        <f>SUMIFS(D1193:D1474,K1193:K1474,"0",B1193:B1474,"5 1 3 2 3 12 31111 6 M59 20500 000181 0000E 00001 00323 011 2112000*")-SUMIFS(E1193:E1474,K1193:K1474,"0",B1193:B1474,"5 1 3 2 3 12 31111 6 M59 20500 000181 0000E 00001 00323 011 2112000*")</f>
        <v>0</v>
      </c>
      <c r="E1192" s="54"/>
      <c r="F1192" s="83">
        <f>SUMIFS(F1193:F1474,K1193:K1474,"0",B1193:B1474,"5 1 3 2 3 12 31111 6 M59 20500 000181 0000E 00001 00323 011 2112000*")</f>
        <v>5000</v>
      </c>
      <c r="G1192" s="83">
        <f>SUMIFS(G1193:G1474,K1193:K1474,"0",B1193:B1474,"5 1 3 2 3 12 31111 6 M59 20500 000181 0000E 00001 00323 011 2112000*")</f>
        <v>0</v>
      </c>
      <c r="H1192" s="83">
        <f t="shared" si="19"/>
        <v>5000</v>
      </c>
      <c r="I1192" s="83"/>
      <c r="K1192" s="54" t="s">
        <v>15</v>
      </c>
    </row>
    <row r="1193" spans="2:11" ht="33" x14ac:dyDescent="0.2">
      <c r="B1193" s="82" t="s">
        <v>8531</v>
      </c>
      <c r="C1193" s="82" t="s">
        <v>660</v>
      </c>
      <c r="D1193" s="83">
        <f>SUMIFS(D1194:D1474,K1194:K1474,"0",B1194:B1474,"5 1 3 2 3 12 31111 6 M59 20500 000181 0000E 00001 00323 011 2112000 2024*")-SUMIFS(E1194:E1474,K1194:K1474,"0",B1194:B1474,"5 1 3 2 3 12 31111 6 M59 20500 000181 0000E 00001 00323 011 2112000 2024*")</f>
        <v>0</v>
      </c>
      <c r="E1193" s="54"/>
      <c r="F1193" s="83">
        <f>SUMIFS(F1194:F1474,K1194:K1474,"0",B1194:B1474,"5 1 3 2 3 12 31111 6 M59 20500 000181 0000E 00001 00323 011 2112000 2024*")</f>
        <v>5000</v>
      </c>
      <c r="G1193" s="83">
        <f>SUMIFS(G1194:G1474,K1194:K1474,"0",B1194:B1474,"5 1 3 2 3 12 31111 6 M59 20500 000181 0000E 00001 00323 011 2112000 2024*")</f>
        <v>0</v>
      </c>
      <c r="H1193" s="83">
        <f t="shared" ref="H1193:H1256" si="20">D1193 + F1193 - G1193</f>
        <v>5000</v>
      </c>
      <c r="I1193" s="83"/>
      <c r="K1193" s="54" t="s">
        <v>15</v>
      </c>
    </row>
    <row r="1194" spans="2:11" ht="49.5" x14ac:dyDescent="0.2">
      <c r="B1194" s="82" t="s">
        <v>8532</v>
      </c>
      <c r="C1194" s="82" t="s">
        <v>5982</v>
      </c>
      <c r="D1194" s="83">
        <f>SUMIFS(D1195:D1474,K1195:K1474,"0",B1195:B1474,"5 1 3 2 3 12 31111 6 M59 20500 000181 0000E 00001 00323 011 2112000 2024 CP3CP471*")-SUMIFS(E1195:E1474,K1195:K1474,"0",B1195:B1474,"5 1 3 2 3 12 31111 6 M59 20500 000181 0000E 00001 00323 011 2112000 2024 CP3CP471*")</f>
        <v>0</v>
      </c>
      <c r="E1194" s="54"/>
      <c r="F1194" s="83">
        <f>SUMIFS(F1195:F1474,K1195:K1474,"0",B1195:B1474,"5 1 3 2 3 12 31111 6 M59 20500 000181 0000E 00001 00323 011 2112000 2024 CP3CP471*")</f>
        <v>5000</v>
      </c>
      <c r="G1194" s="83">
        <f>SUMIFS(G1195:G1474,K1195:K1474,"0",B1195:B1474,"5 1 3 2 3 12 31111 6 M59 20500 000181 0000E 00001 00323 011 2112000 2024 CP3CP471*")</f>
        <v>0</v>
      </c>
      <c r="H1194" s="83">
        <f t="shared" si="20"/>
        <v>5000</v>
      </c>
      <c r="I1194" s="83"/>
      <c r="K1194" s="54" t="s">
        <v>15</v>
      </c>
    </row>
    <row r="1195" spans="2:11" ht="41.25" x14ac:dyDescent="0.2">
      <c r="B1195" s="82" t="s">
        <v>8533</v>
      </c>
      <c r="C1195" s="82" t="s">
        <v>2284</v>
      </c>
      <c r="D1195" s="83">
        <f>SUMIFS(D1196:D1474,K1196:K1474,"0",B1196:B1474,"5 1 3 2 3 12 31111 6 M59 20500 000181 0000E 00001 00323 011 2112000 2024 CP3CP471 004*")-SUMIFS(E1196:E1474,K1196:K1474,"0",B1196:B1474,"5 1 3 2 3 12 31111 6 M59 20500 000181 0000E 00001 00323 011 2112000 2024 CP3CP471 004*")</f>
        <v>0</v>
      </c>
      <c r="E1195" s="54"/>
      <c r="F1195" s="83">
        <f>SUMIFS(F1196:F1474,K1196:K1474,"0",B1196:B1474,"5 1 3 2 3 12 31111 6 M59 20500 000181 0000E 00001 00323 011 2112000 2024 CP3CP471 004*")</f>
        <v>5000</v>
      </c>
      <c r="G1195" s="83">
        <f>SUMIFS(G1196:G1474,K1196:K1474,"0",B1196:B1474,"5 1 3 2 3 12 31111 6 M59 20500 000181 0000E 00001 00323 011 2112000 2024 CP3CP471 004*")</f>
        <v>0</v>
      </c>
      <c r="H1195" s="83">
        <f t="shared" si="20"/>
        <v>5000</v>
      </c>
      <c r="I1195" s="83"/>
      <c r="K1195" s="54" t="s">
        <v>15</v>
      </c>
    </row>
    <row r="1196" spans="2:11" ht="33" x14ac:dyDescent="0.2">
      <c r="B1196" s="84" t="s">
        <v>8534</v>
      </c>
      <c r="C1196" s="84" t="s">
        <v>2284</v>
      </c>
      <c r="D1196" s="85">
        <v>0</v>
      </c>
      <c r="E1196" s="85"/>
      <c r="F1196" s="85">
        <v>5000</v>
      </c>
      <c r="G1196" s="85">
        <v>0</v>
      </c>
      <c r="H1196" s="85">
        <f t="shared" si="20"/>
        <v>5000</v>
      </c>
      <c r="I1196" s="85"/>
      <c r="K1196" s="54" t="s">
        <v>38</v>
      </c>
    </row>
    <row r="1197" spans="2:11" ht="24.75" x14ac:dyDescent="0.2">
      <c r="B1197" s="82" t="s">
        <v>8578</v>
      </c>
      <c r="C1197" s="82" t="s">
        <v>8579</v>
      </c>
      <c r="D1197" s="83">
        <f>SUMIFS(D1198:D1474,K1198:K1474,"0",B1198:B1474,"5 1 3 3*")-SUMIFS(E1198:E1474,K1198:K1474,"0",B1198:B1474,"5 1 3 3*")</f>
        <v>0</v>
      </c>
      <c r="E1197" s="54"/>
      <c r="F1197" s="83">
        <f>SUMIFS(F1198:F1474,K1198:K1474,"0",B1198:B1474,"5 1 3 3*")</f>
        <v>12605.72</v>
      </c>
      <c r="G1197" s="83">
        <f>SUMIFS(G1198:G1474,K1198:K1474,"0",B1198:B1474,"5 1 3 3*")</f>
        <v>0</v>
      </c>
      <c r="H1197" s="83">
        <f t="shared" si="20"/>
        <v>12605.72</v>
      </c>
      <c r="I1197" s="83"/>
      <c r="K1197" s="54" t="s">
        <v>15</v>
      </c>
    </row>
    <row r="1198" spans="2:11" ht="33" x14ac:dyDescent="0.2">
      <c r="B1198" s="82" t="s">
        <v>8611</v>
      </c>
      <c r="C1198" s="82" t="s">
        <v>8612</v>
      </c>
      <c r="D1198" s="83">
        <f>SUMIFS(D1199:D1474,K1199:K1474,"0",B1199:B1474,"5 1 3 3 6*")-SUMIFS(E1199:E1474,K1199:K1474,"0",B1199:B1474,"5 1 3 3 6*")</f>
        <v>0</v>
      </c>
      <c r="E1198" s="54"/>
      <c r="F1198" s="83">
        <f>SUMIFS(F1199:F1474,K1199:K1474,"0",B1199:B1474,"5 1 3 3 6*")</f>
        <v>12605.72</v>
      </c>
      <c r="G1198" s="83">
        <f>SUMIFS(G1199:G1474,K1199:K1474,"0",B1199:B1474,"5 1 3 3 6*")</f>
        <v>0</v>
      </c>
      <c r="H1198" s="83">
        <f t="shared" si="20"/>
        <v>12605.72</v>
      </c>
      <c r="I1198" s="83"/>
      <c r="K1198" s="54" t="s">
        <v>15</v>
      </c>
    </row>
    <row r="1199" spans="2:11" ht="12.75" x14ac:dyDescent="0.2">
      <c r="B1199" s="82" t="s">
        <v>8613</v>
      </c>
      <c r="C1199" s="82" t="s">
        <v>26</v>
      </c>
      <c r="D1199" s="83">
        <f>SUMIFS(D1200:D1474,K1200:K1474,"0",B1200:B1474,"5 1 3 3 6 12*")-SUMIFS(E1200:E1474,K1200:K1474,"0",B1200:B1474,"5 1 3 3 6 12*")</f>
        <v>0</v>
      </c>
      <c r="E1199" s="54"/>
      <c r="F1199" s="83">
        <f>SUMIFS(F1200:F1474,K1200:K1474,"0",B1200:B1474,"5 1 3 3 6 12*")</f>
        <v>12605.72</v>
      </c>
      <c r="G1199" s="83">
        <f>SUMIFS(G1200:G1474,K1200:K1474,"0",B1200:B1474,"5 1 3 3 6 12*")</f>
        <v>0</v>
      </c>
      <c r="H1199" s="83">
        <f t="shared" si="20"/>
        <v>12605.72</v>
      </c>
      <c r="I1199" s="83"/>
      <c r="K1199" s="54" t="s">
        <v>15</v>
      </c>
    </row>
    <row r="1200" spans="2:11" ht="16.5" x14ac:dyDescent="0.2">
      <c r="B1200" s="82" t="s">
        <v>8614</v>
      </c>
      <c r="C1200" s="82" t="s">
        <v>28</v>
      </c>
      <c r="D1200" s="83">
        <f>SUMIFS(D1201:D1474,K1201:K1474,"0",B1201:B1474,"5 1 3 3 6 12 31111*")-SUMIFS(E1201:E1474,K1201:K1474,"0",B1201:B1474,"5 1 3 3 6 12 31111*")</f>
        <v>0</v>
      </c>
      <c r="E1200" s="54"/>
      <c r="F1200" s="83">
        <f>SUMIFS(F1201:F1474,K1201:K1474,"0",B1201:B1474,"5 1 3 3 6 12 31111*")</f>
        <v>12605.72</v>
      </c>
      <c r="G1200" s="83">
        <f>SUMIFS(G1201:G1474,K1201:K1474,"0",B1201:B1474,"5 1 3 3 6 12 31111*")</f>
        <v>0</v>
      </c>
      <c r="H1200" s="83">
        <f t="shared" si="20"/>
        <v>12605.72</v>
      </c>
      <c r="I1200" s="83"/>
      <c r="K1200" s="54" t="s">
        <v>15</v>
      </c>
    </row>
    <row r="1201" spans="2:11" ht="12.75" x14ac:dyDescent="0.2">
      <c r="B1201" s="82" t="s">
        <v>8615</v>
      </c>
      <c r="C1201" s="82" t="s">
        <v>30</v>
      </c>
      <c r="D1201" s="83">
        <f>SUMIFS(D1202:D1474,K1202:K1474,"0",B1202:B1474,"5 1 3 3 6 12 31111 6*")-SUMIFS(E1202:E1474,K1202:K1474,"0",B1202:B1474,"5 1 3 3 6 12 31111 6*")</f>
        <v>0</v>
      </c>
      <c r="E1201" s="54"/>
      <c r="F1201" s="83">
        <f>SUMIFS(F1202:F1474,K1202:K1474,"0",B1202:B1474,"5 1 3 3 6 12 31111 6*")</f>
        <v>12605.72</v>
      </c>
      <c r="G1201" s="83">
        <f>SUMIFS(G1202:G1474,K1202:K1474,"0",B1202:B1474,"5 1 3 3 6 12 31111 6*")</f>
        <v>0</v>
      </c>
      <c r="H1201" s="83">
        <f t="shared" si="20"/>
        <v>12605.72</v>
      </c>
      <c r="I1201" s="83"/>
      <c r="K1201" s="54" t="s">
        <v>15</v>
      </c>
    </row>
    <row r="1202" spans="2:11" ht="16.5" x14ac:dyDescent="0.2">
      <c r="B1202" s="82" t="s">
        <v>8616</v>
      </c>
      <c r="C1202" s="82" t="s">
        <v>2284</v>
      </c>
      <c r="D1202" s="83">
        <f>SUMIFS(D1203:D1474,K1203:K1474,"0",B1203:B1474,"5 1 3 3 6 12 31111 6 M59*")-SUMIFS(E1203:E1474,K1203:K1474,"0",B1203:B1474,"5 1 3 3 6 12 31111 6 M59*")</f>
        <v>0</v>
      </c>
      <c r="E1202" s="54"/>
      <c r="F1202" s="83">
        <f>SUMIFS(F1203:F1474,K1203:K1474,"0",B1203:B1474,"5 1 3 3 6 12 31111 6 M59*")</f>
        <v>12605.72</v>
      </c>
      <c r="G1202" s="83">
        <f>SUMIFS(G1203:G1474,K1203:K1474,"0",B1203:B1474,"5 1 3 3 6 12 31111 6 M59*")</f>
        <v>0</v>
      </c>
      <c r="H1202" s="83">
        <f t="shared" si="20"/>
        <v>12605.72</v>
      </c>
      <c r="I1202" s="83"/>
      <c r="K1202" s="54" t="s">
        <v>15</v>
      </c>
    </row>
    <row r="1203" spans="2:11" ht="16.5" x14ac:dyDescent="0.2">
      <c r="B1203" s="82" t="s">
        <v>8617</v>
      </c>
      <c r="C1203" s="82" t="s">
        <v>1061</v>
      </c>
      <c r="D1203" s="83">
        <f>SUMIFS(D1204:D1474,K1204:K1474,"0",B1204:B1474,"5 1 3 3 6 12 31111 6 M59 20300*")-SUMIFS(E1204:E1474,K1204:K1474,"0",B1204:B1474,"5 1 3 3 6 12 31111 6 M59 20300*")</f>
        <v>0</v>
      </c>
      <c r="E1203" s="54"/>
      <c r="F1203" s="83">
        <f>SUMIFS(F1204:F1474,K1204:K1474,"0",B1204:B1474,"5 1 3 3 6 12 31111 6 M59 20300*")</f>
        <v>12605.72</v>
      </c>
      <c r="G1203" s="83">
        <f>SUMIFS(G1204:G1474,K1204:K1474,"0",B1204:B1474,"5 1 3 3 6 12 31111 6 M59 20300*")</f>
        <v>0</v>
      </c>
      <c r="H1203" s="83">
        <f t="shared" si="20"/>
        <v>12605.72</v>
      </c>
      <c r="I1203" s="83"/>
      <c r="K1203" s="54" t="s">
        <v>15</v>
      </c>
    </row>
    <row r="1204" spans="2:11" ht="16.5" x14ac:dyDescent="0.2">
      <c r="B1204" s="82" t="s">
        <v>8629</v>
      </c>
      <c r="C1204" s="82" t="s">
        <v>1063</v>
      </c>
      <c r="D1204" s="83">
        <f>SUMIFS(D1205:D1474,K1205:K1474,"0",B1205:B1474,"5 1 3 3 6 12 31111 6 M59 20300 000139*")-SUMIFS(E1205:E1474,K1205:K1474,"0",B1205:B1474,"5 1 3 3 6 12 31111 6 M59 20300 000139*")</f>
        <v>0</v>
      </c>
      <c r="E1204" s="54"/>
      <c r="F1204" s="83">
        <f>SUMIFS(F1205:F1474,K1205:K1474,"0",B1205:B1474,"5 1 3 3 6 12 31111 6 M59 20300 000139*")</f>
        <v>12605.72</v>
      </c>
      <c r="G1204" s="83">
        <f>SUMIFS(G1205:G1474,K1205:K1474,"0",B1205:B1474,"5 1 3 3 6 12 31111 6 M59 20300 000139*")</f>
        <v>0</v>
      </c>
      <c r="H1204" s="83">
        <f t="shared" si="20"/>
        <v>12605.72</v>
      </c>
      <c r="I1204" s="83"/>
      <c r="K1204" s="54" t="s">
        <v>15</v>
      </c>
    </row>
    <row r="1205" spans="2:11" ht="24.75" x14ac:dyDescent="0.2">
      <c r="B1205" s="82" t="s">
        <v>8630</v>
      </c>
      <c r="C1205" s="82" t="s">
        <v>1065</v>
      </c>
      <c r="D1205" s="83">
        <f>SUMIFS(D1206:D1474,K1206:K1474,"0",B1206:B1474,"5 1 3 3 6 12 31111 6 M59 20300 000139 0000E*")-SUMIFS(E1206:E1474,K1206:K1474,"0",B1206:B1474,"5 1 3 3 6 12 31111 6 M59 20300 000139 0000E*")</f>
        <v>0</v>
      </c>
      <c r="E1205" s="54"/>
      <c r="F1205" s="83">
        <f>SUMIFS(F1206:F1474,K1206:K1474,"0",B1206:B1474,"5 1 3 3 6 12 31111 6 M59 20300 000139 0000E*")</f>
        <v>12605.72</v>
      </c>
      <c r="G1205" s="83">
        <f>SUMIFS(G1206:G1474,K1206:K1474,"0",B1206:B1474,"5 1 3 3 6 12 31111 6 M59 20300 000139 0000E*")</f>
        <v>0</v>
      </c>
      <c r="H1205" s="83">
        <f t="shared" si="20"/>
        <v>12605.72</v>
      </c>
      <c r="I1205" s="83"/>
      <c r="K1205" s="54" t="s">
        <v>15</v>
      </c>
    </row>
    <row r="1206" spans="2:11" ht="24.75" x14ac:dyDescent="0.2">
      <c r="B1206" s="82" t="s">
        <v>8631</v>
      </c>
      <c r="C1206" s="82" t="s">
        <v>282</v>
      </c>
      <c r="D1206" s="83">
        <f>SUMIFS(D1207:D1474,K1207:K1474,"0",B1207:B1474,"5 1 3 3 6 12 31111 6 M59 20300 000139 0000E 00001*")-SUMIFS(E1207:E1474,K1207:K1474,"0",B1207:B1474,"5 1 3 3 6 12 31111 6 M59 20300 000139 0000E 00001*")</f>
        <v>0</v>
      </c>
      <c r="E1206" s="54"/>
      <c r="F1206" s="83">
        <f>SUMIFS(F1207:F1474,K1207:K1474,"0",B1207:B1474,"5 1 3 3 6 12 31111 6 M59 20300 000139 0000E 00001*")</f>
        <v>12605.72</v>
      </c>
      <c r="G1206" s="83">
        <f>SUMIFS(G1207:G1474,K1207:K1474,"0",B1207:B1474,"5 1 3 3 6 12 31111 6 M59 20300 000139 0000E 00001*")</f>
        <v>0</v>
      </c>
      <c r="H1206" s="83">
        <f t="shared" si="20"/>
        <v>12605.72</v>
      </c>
      <c r="I1206" s="83"/>
      <c r="K1206" s="54" t="s">
        <v>15</v>
      </c>
    </row>
    <row r="1207" spans="2:11" ht="33" x14ac:dyDescent="0.2">
      <c r="B1207" s="82" t="s">
        <v>8632</v>
      </c>
      <c r="C1207" s="82" t="s">
        <v>8622</v>
      </c>
      <c r="D1207" s="83">
        <f>SUMIFS(D1208:D1474,K1208:K1474,"0",B1208:B1474,"5 1 3 3 6 12 31111 6 M59 20300 000139 0000E 00001 00336*")-SUMIFS(E1208:E1474,K1208:K1474,"0",B1208:B1474,"5 1 3 3 6 12 31111 6 M59 20300 000139 0000E 00001 00336*")</f>
        <v>0</v>
      </c>
      <c r="E1207" s="54"/>
      <c r="F1207" s="83">
        <f>SUMIFS(F1208:F1474,K1208:K1474,"0",B1208:B1474,"5 1 3 3 6 12 31111 6 M59 20300 000139 0000E 00001 00336*")</f>
        <v>12605.72</v>
      </c>
      <c r="G1207" s="83">
        <f>SUMIFS(G1208:G1474,K1208:K1474,"0",B1208:B1474,"5 1 3 3 6 12 31111 6 M59 20300 000139 0000E 00001 00336*")</f>
        <v>0</v>
      </c>
      <c r="H1207" s="83">
        <f t="shared" si="20"/>
        <v>12605.72</v>
      </c>
      <c r="I1207" s="83"/>
      <c r="K1207" s="54" t="s">
        <v>15</v>
      </c>
    </row>
    <row r="1208" spans="2:11" ht="33" x14ac:dyDescent="0.2">
      <c r="B1208" s="82" t="s">
        <v>8633</v>
      </c>
      <c r="C1208" s="82" t="s">
        <v>699</v>
      </c>
      <c r="D1208" s="83">
        <f>SUMIFS(D1209:D1474,K1209:K1474,"0",B1209:B1474,"5 1 3 3 6 12 31111 6 M59 20300 000139 0000E 00001 00336 011*")-SUMIFS(E1209:E1474,K1209:K1474,"0",B1209:B1474,"5 1 3 3 6 12 31111 6 M59 20300 000139 0000E 00001 00336 011*")</f>
        <v>0</v>
      </c>
      <c r="E1208" s="54"/>
      <c r="F1208" s="83">
        <f>SUMIFS(F1209:F1474,K1209:K1474,"0",B1209:B1474,"5 1 3 3 6 12 31111 6 M59 20300 000139 0000E 00001 00336 011*")</f>
        <v>12605.72</v>
      </c>
      <c r="G1208" s="83">
        <f>SUMIFS(G1209:G1474,K1209:K1474,"0",B1209:B1474,"5 1 3 3 6 12 31111 6 M59 20300 000139 0000E 00001 00336 011*")</f>
        <v>0</v>
      </c>
      <c r="H1208" s="83">
        <f t="shared" si="20"/>
        <v>12605.72</v>
      </c>
      <c r="I1208" s="83"/>
      <c r="K1208" s="54" t="s">
        <v>15</v>
      </c>
    </row>
    <row r="1209" spans="2:11" ht="33" x14ac:dyDescent="0.2">
      <c r="B1209" s="82" t="s">
        <v>8634</v>
      </c>
      <c r="C1209" s="82" t="s">
        <v>5830</v>
      </c>
      <c r="D1209" s="83">
        <f>SUMIFS(D1210:D1474,K1210:K1474,"0",B1210:B1474,"5 1 3 3 6 12 31111 6 M59 20300 000139 0000E 00001 00336 011 2112000*")-SUMIFS(E1210:E1474,K1210:K1474,"0",B1210:B1474,"5 1 3 3 6 12 31111 6 M59 20300 000139 0000E 00001 00336 011 2112000*")</f>
        <v>0</v>
      </c>
      <c r="E1209" s="54"/>
      <c r="F1209" s="83">
        <f>SUMIFS(F1210:F1474,K1210:K1474,"0",B1210:B1474,"5 1 3 3 6 12 31111 6 M59 20300 000139 0000E 00001 00336 011 2112000*")</f>
        <v>12605.72</v>
      </c>
      <c r="G1209" s="83">
        <f>SUMIFS(G1210:G1474,K1210:K1474,"0",B1210:B1474,"5 1 3 3 6 12 31111 6 M59 20300 000139 0000E 00001 00336 011 2112000*")</f>
        <v>0</v>
      </c>
      <c r="H1209" s="83">
        <f t="shared" si="20"/>
        <v>12605.72</v>
      </c>
      <c r="I1209" s="83"/>
      <c r="K1209" s="54" t="s">
        <v>15</v>
      </c>
    </row>
    <row r="1210" spans="2:11" ht="33" x14ac:dyDescent="0.2">
      <c r="B1210" s="82" t="s">
        <v>8635</v>
      </c>
      <c r="C1210" s="82" t="s">
        <v>660</v>
      </c>
      <c r="D1210" s="83">
        <f>SUMIFS(D1211:D1474,K1211:K1474,"0",B1211:B1474,"5 1 3 3 6 12 31111 6 M59 20300 000139 0000E 00001 00336 011 2112000 2024*")-SUMIFS(E1211:E1474,K1211:K1474,"0",B1211:B1474,"5 1 3 3 6 12 31111 6 M59 20300 000139 0000E 00001 00336 011 2112000 2024*")</f>
        <v>0</v>
      </c>
      <c r="E1210" s="54"/>
      <c r="F1210" s="83">
        <f>SUMIFS(F1211:F1474,K1211:K1474,"0",B1211:B1474,"5 1 3 3 6 12 31111 6 M59 20300 000139 0000E 00001 00336 011 2112000 2024*")</f>
        <v>12605.72</v>
      </c>
      <c r="G1210" s="83">
        <f>SUMIFS(G1211:G1474,K1211:K1474,"0",B1211:B1474,"5 1 3 3 6 12 31111 6 M59 20300 000139 0000E 00001 00336 011 2112000 2024*")</f>
        <v>0</v>
      </c>
      <c r="H1210" s="83">
        <f t="shared" si="20"/>
        <v>12605.72</v>
      </c>
      <c r="I1210" s="83"/>
      <c r="K1210" s="54" t="s">
        <v>15</v>
      </c>
    </row>
    <row r="1211" spans="2:11" ht="41.25" x14ac:dyDescent="0.2">
      <c r="B1211" s="82" t="s">
        <v>8636</v>
      </c>
      <c r="C1211" s="82" t="s">
        <v>662</v>
      </c>
      <c r="D1211" s="83">
        <f>SUMIFS(D1212:D1474,K1212:K1474,"0",B1212:B1474,"5 1 3 3 6 12 31111 6 M59 20300 000139 0000E 00001 00336 011 2112000 2024 CP1DE415*")-SUMIFS(E1212:E1474,K1212:K1474,"0",B1212:B1474,"5 1 3 3 6 12 31111 6 M59 20300 000139 0000E 00001 00336 011 2112000 2024 CP1DE415*")</f>
        <v>0</v>
      </c>
      <c r="E1211" s="54"/>
      <c r="F1211" s="83">
        <f>SUMIFS(F1212:F1474,K1212:K1474,"0",B1212:B1474,"5 1 3 3 6 12 31111 6 M59 20300 000139 0000E 00001 00336 011 2112000 2024 CP1DE415*")</f>
        <v>12605.72</v>
      </c>
      <c r="G1211" s="83">
        <f>SUMIFS(G1212:G1474,K1212:K1474,"0",B1212:B1474,"5 1 3 3 6 12 31111 6 M59 20300 000139 0000E 00001 00336 011 2112000 2024 CP1DE415*")</f>
        <v>0</v>
      </c>
      <c r="H1211" s="83">
        <f t="shared" si="20"/>
        <v>12605.72</v>
      </c>
      <c r="I1211" s="83"/>
      <c r="K1211" s="54" t="s">
        <v>15</v>
      </c>
    </row>
    <row r="1212" spans="2:11" ht="41.25" x14ac:dyDescent="0.2">
      <c r="B1212" s="82" t="s">
        <v>8637</v>
      </c>
      <c r="C1212" s="82" t="s">
        <v>2284</v>
      </c>
      <c r="D1212" s="83">
        <f>SUMIFS(D1213:D1474,K1213:K1474,"0",B1213:B1474,"5 1 3 3 6 12 31111 6 M59 20300 000139 0000E 00001 00336 011 2112000 2024 CP1DE415 004*")-SUMIFS(E1213:E1474,K1213:K1474,"0",B1213:B1474,"5 1 3 3 6 12 31111 6 M59 20300 000139 0000E 00001 00336 011 2112000 2024 CP1DE415 004*")</f>
        <v>0</v>
      </c>
      <c r="E1212" s="54"/>
      <c r="F1212" s="83">
        <f>SUMIFS(F1213:F1474,K1213:K1474,"0",B1213:B1474,"5 1 3 3 6 12 31111 6 M59 20300 000139 0000E 00001 00336 011 2112000 2024 CP1DE415 004*")</f>
        <v>12605.72</v>
      </c>
      <c r="G1212" s="83">
        <f>SUMIFS(G1213:G1474,K1213:K1474,"0",B1213:B1474,"5 1 3 3 6 12 31111 6 M59 20300 000139 0000E 00001 00336 011 2112000 2024 CP1DE415 004*")</f>
        <v>0</v>
      </c>
      <c r="H1212" s="83">
        <f t="shared" si="20"/>
        <v>12605.72</v>
      </c>
      <c r="I1212" s="83"/>
      <c r="K1212" s="54" t="s">
        <v>15</v>
      </c>
    </row>
    <row r="1213" spans="2:11" ht="33" x14ac:dyDescent="0.2">
      <c r="B1213" s="84" t="s">
        <v>8638</v>
      </c>
      <c r="C1213" s="84" t="s">
        <v>2284</v>
      </c>
      <c r="D1213" s="85">
        <v>0</v>
      </c>
      <c r="E1213" s="85"/>
      <c r="F1213" s="85">
        <v>12605.72</v>
      </c>
      <c r="G1213" s="85">
        <v>0</v>
      </c>
      <c r="H1213" s="85">
        <f t="shared" si="20"/>
        <v>12605.72</v>
      </c>
      <c r="I1213" s="85"/>
      <c r="K1213" s="54" t="s">
        <v>38</v>
      </c>
    </row>
    <row r="1214" spans="2:11" ht="16.5" x14ac:dyDescent="0.2">
      <c r="B1214" s="82" t="s">
        <v>8692</v>
      </c>
      <c r="C1214" s="82" t="s">
        <v>8693</v>
      </c>
      <c r="D1214" s="83">
        <f>SUMIFS(D1215:D1474,K1215:K1474,"0",B1215:B1474,"5 1 3 4*")-SUMIFS(E1215:E1474,K1215:K1474,"0",B1215:B1474,"5 1 3 4*")</f>
        <v>3924.59</v>
      </c>
      <c r="E1214" s="54"/>
      <c r="F1214" s="83">
        <f>SUMIFS(F1215:F1474,K1215:K1474,"0",B1215:B1474,"5 1 3 4*")</f>
        <v>19.72</v>
      </c>
      <c r="G1214" s="83">
        <f>SUMIFS(G1215:G1474,K1215:K1474,"0",B1215:B1474,"5 1 3 4*")</f>
        <v>0</v>
      </c>
      <c r="H1214" s="83">
        <f t="shared" si="20"/>
        <v>3944.31</v>
      </c>
      <c r="I1214" s="83"/>
      <c r="K1214" s="54" t="s">
        <v>15</v>
      </c>
    </row>
    <row r="1215" spans="2:11" ht="16.5" x14ac:dyDescent="0.2">
      <c r="B1215" s="82" t="s">
        <v>8694</v>
      </c>
      <c r="C1215" s="82" t="s">
        <v>8695</v>
      </c>
      <c r="D1215" s="83">
        <f>SUMIFS(D1216:D1474,K1216:K1474,"0",B1216:B1474,"5 1 3 4 1*")-SUMIFS(E1216:E1474,K1216:K1474,"0",B1216:B1474,"5 1 3 4 1*")</f>
        <v>3924.59</v>
      </c>
      <c r="E1215" s="54"/>
      <c r="F1215" s="83">
        <f>SUMIFS(F1216:F1474,K1216:K1474,"0",B1216:B1474,"5 1 3 4 1*")</f>
        <v>19.72</v>
      </c>
      <c r="G1215" s="83">
        <f>SUMIFS(G1216:G1474,K1216:K1474,"0",B1216:B1474,"5 1 3 4 1*")</f>
        <v>0</v>
      </c>
      <c r="H1215" s="83">
        <f t="shared" si="20"/>
        <v>3944.31</v>
      </c>
      <c r="I1215" s="83"/>
      <c r="K1215" s="54" t="s">
        <v>15</v>
      </c>
    </row>
    <row r="1216" spans="2:11" ht="12.75" x14ac:dyDescent="0.2">
      <c r="B1216" s="82" t="s">
        <v>8696</v>
      </c>
      <c r="C1216" s="82" t="s">
        <v>26</v>
      </c>
      <c r="D1216" s="83">
        <f>SUMIFS(D1217:D1474,K1217:K1474,"0",B1217:B1474,"5 1 3 4 1 12*")-SUMIFS(E1217:E1474,K1217:K1474,"0",B1217:B1474,"5 1 3 4 1 12*")</f>
        <v>3924.59</v>
      </c>
      <c r="E1216" s="54"/>
      <c r="F1216" s="83">
        <f>SUMIFS(F1217:F1474,K1217:K1474,"0",B1217:B1474,"5 1 3 4 1 12*")</f>
        <v>19.72</v>
      </c>
      <c r="G1216" s="83">
        <f>SUMIFS(G1217:G1474,K1217:K1474,"0",B1217:B1474,"5 1 3 4 1 12*")</f>
        <v>0</v>
      </c>
      <c r="H1216" s="83">
        <f t="shared" si="20"/>
        <v>3944.31</v>
      </c>
      <c r="I1216" s="83"/>
      <c r="K1216" s="54" t="s">
        <v>15</v>
      </c>
    </row>
    <row r="1217" spans="2:11" ht="16.5" x14ac:dyDescent="0.2">
      <c r="B1217" s="82" t="s">
        <v>8697</v>
      </c>
      <c r="C1217" s="82" t="s">
        <v>28</v>
      </c>
      <c r="D1217" s="83">
        <f>SUMIFS(D1218:D1474,K1218:K1474,"0",B1218:B1474,"5 1 3 4 1 12 31111*")-SUMIFS(E1218:E1474,K1218:K1474,"0",B1218:B1474,"5 1 3 4 1 12 31111*")</f>
        <v>3924.59</v>
      </c>
      <c r="E1217" s="54"/>
      <c r="F1217" s="83">
        <f>SUMIFS(F1218:F1474,K1218:K1474,"0",B1218:B1474,"5 1 3 4 1 12 31111*")</f>
        <v>19.72</v>
      </c>
      <c r="G1217" s="83">
        <f>SUMIFS(G1218:G1474,K1218:K1474,"0",B1218:B1474,"5 1 3 4 1 12 31111*")</f>
        <v>0</v>
      </c>
      <c r="H1217" s="83">
        <f t="shared" si="20"/>
        <v>3944.31</v>
      </c>
      <c r="I1217" s="83"/>
      <c r="K1217" s="54" t="s">
        <v>15</v>
      </c>
    </row>
    <row r="1218" spans="2:11" ht="12.75" x14ac:dyDescent="0.2">
      <c r="B1218" s="82" t="s">
        <v>8698</v>
      </c>
      <c r="C1218" s="82" t="s">
        <v>30</v>
      </c>
      <c r="D1218" s="83">
        <f>SUMIFS(D1219:D1474,K1219:K1474,"0",B1219:B1474,"5 1 3 4 1 12 31111 6*")-SUMIFS(E1219:E1474,K1219:K1474,"0",B1219:B1474,"5 1 3 4 1 12 31111 6*")</f>
        <v>3924.59</v>
      </c>
      <c r="E1218" s="54"/>
      <c r="F1218" s="83">
        <f>SUMIFS(F1219:F1474,K1219:K1474,"0",B1219:B1474,"5 1 3 4 1 12 31111 6*")</f>
        <v>19.72</v>
      </c>
      <c r="G1218" s="83">
        <f>SUMIFS(G1219:G1474,K1219:K1474,"0",B1219:B1474,"5 1 3 4 1 12 31111 6*")</f>
        <v>0</v>
      </c>
      <c r="H1218" s="83">
        <f t="shared" si="20"/>
        <v>3944.31</v>
      </c>
      <c r="I1218" s="83"/>
      <c r="K1218" s="54" t="s">
        <v>15</v>
      </c>
    </row>
    <row r="1219" spans="2:11" ht="16.5" x14ac:dyDescent="0.2">
      <c r="B1219" s="82" t="s">
        <v>8699</v>
      </c>
      <c r="C1219" s="82" t="s">
        <v>2284</v>
      </c>
      <c r="D1219" s="83">
        <f>SUMIFS(D1220:D1474,K1220:K1474,"0",B1220:B1474,"5 1 3 4 1 12 31111 6 M59*")-SUMIFS(E1220:E1474,K1220:K1474,"0",B1220:B1474,"5 1 3 4 1 12 31111 6 M59*")</f>
        <v>3924.59</v>
      </c>
      <c r="E1219" s="54"/>
      <c r="F1219" s="83">
        <f>SUMIFS(F1220:F1474,K1220:K1474,"0",B1220:B1474,"5 1 3 4 1 12 31111 6 M59*")</f>
        <v>19.72</v>
      </c>
      <c r="G1219" s="83">
        <f>SUMIFS(G1220:G1474,K1220:K1474,"0",B1220:B1474,"5 1 3 4 1 12 31111 6 M59*")</f>
        <v>0</v>
      </c>
      <c r="H1219" s="83">
        <f t="shared" si="20"/>
        <v>3944.31</v>
      </c>
      <c r="I1219" s="83"/>
      <c r="K1219" s="54" t="s">
        <v>15</v>
      </c>
    </row>
    <row r="1220" spans="2:11" ht="16.5" x14ac:dyDescent="0.2">
      <c r="B1220" s="82" t="s">
        <v>8700</v>
      </c>
      <c r="C1220" s="82" t="s">
        <v>1044</v>
      </c>
      <c r="D1220" s="83">
        <f>SUMIFS(D1221:D1474,K1221:K1474,"0",B1221:B1474,"5 1 3 4 1 12 31111 6 M59 19000*")-SUMIFS(E1221:E1474,K1221:K1474,"0",B1221:B1474,"5 1 3 4 1 12 31111 6 M59 19000*")</f>
        <v>493</v>
      </c>
      <c r="E1220" s="54"/>
      <c r="F1220" s="83">
        <f>SUMIFS(F1221:F1474,K1221:K1474,"0",B1221:B1474,"5 1 3 4 1 12 31111 6 M59 19000*")</f>
        <v>19.72</v>
      </c>
      <c r="G1220" s="83">
        <f>SUMIFS(G1221:G1474,K1221:K1474,"0",B1221:B1474,"5 1 3 4 1 12 31111 6 M59 19000*")</f>
        <v>0</v>
      </c>
      <c r="H1220" s="83">
        <f t="shared" si="20"/>
        <v>512.72</v>
      </c>
      <c r="I1220" s="83"/>
      <c r="K1220" s="54" t="s">
        <v>15</v>
      </c>
    </row>
    <row r="1221" spans="2:11" ht="16.5" x14ac:dyDescent="0.2">
      <c r="B1221" s="82" t="s">
        <v>8701</v>
      </c>
      <c r="C1221" s="82" t="s">
        <v>648</v>
      </c>
      <c r="D1221" s="83">
        <f>SUMIFS(D1222:D1474,K1222:K1474,"0",B1222:B1474,"5 1 3 4 1 12 31111 6 M59 19000 000132*")-SUMIFS(E1222:E1474,K1222:K1474,"0",B1222:B1474,"5 1 3 4 1 12 31111 6 M59 19000 000132*")</f>
        <v>493</v>
      </c>
      <c r="E1221" s="54"/>
      <c r="F1221" s="83">
        <f>SUMIFS(F1222:F1474,K1222:K1474,"0",B1222:B1474,"5 1 3 4 1 12 31111 6 M59 19000 000132*")</f>
        <v>19.72</v>
      </c>
      <c r="G1221" s="83">
        <f>SUMIFS(G1222:G1474,K1222:K1474,"0",B1222:B1474,"5 1 3 4 1 12 31111 6 M59 19000 000132*")</f>
        <v>0</v>
      </c>
      <c r="H1221" s="83">
        <f t="shared" si="20"/>
        <v>512.72</v>
      </c>
      <c r="I1221" s="83"/>
      <c r="K1221" s="54" t="s">
        <v>15</v>
      </c>
    </row>
    <row r="1222" spans="2:11" ht="24.75" x14ac:dyDescent="0.2">
      <c r="B1222" s="82" t="s">
        <v>8702</v>
      </c>
      <c r="C1222" s="82" t="s">
        <v>650</v>
      </c>
      <c r="D1222" s="83">
        <f>SUMIFS(D1223:D1474,K1223:K1474,"0",B1223:B1474,"5 1 3 4 1 12 31111 6 M59 19000 000132 0000R*")-SUMIFS(E1223:E1474,K1223:K1474,"0",B1223:B1474,"5 1 3 4 1 12 31111 6 M59 19000 000132 0000R*")</f>
        <v>493</v>
      </c>
      <c r="E1222" s="54"/>
      <c r="F1222" s="83">
        <f>SUMIFS(F1223:F1474,K1223:K1474,"0",B1223:B1474,"5 1 3 4 1 12 31111 6 M59 19000 000132 0000R*")</f>
        <v>19.72</v>
      </c>
      <c r="G1222" s="83">
        <f>SUMIFS(G1223:G1474,K1223:K1474,"0",B1223:B1474,"5 1 3 4 1 12 31111 6 M59 19000 000132 0000R*")</f>
        <v>0</v>
      </c>
      <c r="H1222" s="83">
        <f t="shared" si="20"/>
        <v>512.72</v>
      </c>
      <c r="I1222" s="83"/>
      <c r="K1222" s="54" t="s">
        <v>15</v>
      </c>
    </row>
    <row r="1223" spans="2:11" ht="24.75" x14ac:dyDescent="0.2">
      <c r="B1223" s="82" t="s">
        <v>8703</v>
      </c>
      <c r="C1223" s="82" t="s">
        <v>282</v>
      </c>
      <c r="D1223" s="83">
        <f>SUMIFS(D1224:D1474,K1224:K1474,"0",B1224:B1474,"5 1 3 4 1 12 31111 6 M59 19000 000132 0000R 00001*")-SUMIFS(E1224:E1474,K1224:K1474,"0",B1224:B1474,"5 1 3 4 1 12 31111 6 M59 19000 000132 0000R 00001*")</f>
        <v>493</v>
      </c>
      <c r="E1223" s="54"/>
      <c r="F1223" s="83">
        <f>SUMIFS(F1224:F1474,K1224:K1474,"0",B1224:B1474,"5 1 3 4 1 12 31111 6 M59 19000 000132 0000R 00001*")</f>
        <v>19.72</v>
      </c>
      <c r="G1223" s="83">
        <f>SUMIFS(G1224:G1474,K1224:K1474,"0",B1224:B1474,"5 1 3 4 1 12 31111 6 M59 19000 000132 0000R 00001*")</f>
        <v>0</v>
      </c>
      <c r="H1223" s="83">
        <f t="shared" si="20"/>
        <v>512.72</v>
      </c>
      <c r="I1223" s="83"/>
      <c r="K1223" s="54" t="s">
        <v>15</v>
      </c>
    </row>
    <row r="1224" spans="2:11" ht="24.75" x14ac:dyDescent="0.2">
      <c r="B1224" s="82" t="s">
        <v>8704</v>
      </c>
      <c r="C1224" s="82" t="s">
        <v>8705</v>
      </c>
      <c r="D1224" s="83">
        <f>SUMIFS(D1225:D1474,K1225:K1474,"0",B1225:B1474,"5 1 3 4 1 12 31111 6 M59 19000 000132 0000R 00001 00341*")-SUMIFS(E1225:E1474,K1225:K1474,"0",B1225:B1474,"5 1 3 4 1 12 31111 6 M59 19000 000132 0000R 00001 00341*")</f>
        <v>493</v>
      </c>
      <c r="E1224" s="54"/>
      <c r="F1224" s="83">
        <f>SUMIFS(F1225:F1474,K1225:K1474,"0",B1225:B1474,"5 1 3 4 1 12 31111 6 M59 19000 000132 0000R 00001 00341*")</f>
        <v>19.72</v>
      </c>
      <c r="G1224" s="83">
        <f>SUMIFS(G1225:G1474,K1225:K1474,"0",B1225:B1474,"5 1 3 4 1 12 31111 6 M59 19000 000132 0000R 00001 00341*")</f>
        <v>0</v>
      </c>
      <c r="H1224" s="83">
        <f t="shared" si="20"/>
        <v>512.72</v>
      </c>
      <c r="I1224" s="83"/>
      <c r="K1224" s="54" t="s">
        <v>15</v>
      </c>
    </row>
    <row r="1225" spans="2:11" ht="33" x14ac:dyDescent="0.2">
      <c r="B1225" s="82" t="s">
        <v>8706</v>
      </c>
      <c r="C1225" s="82" t="s">
        <v>699</v>
      </c>
      <c r="D1225" s="83">
        <f>SUMIFS(D1226:D1474,K1226:K1474,"0",B1226:B1474,"5 1 3 4 1 12 31111 6 M59 19000 000132 0000R 00001 00341 011*")-SUMIFS(E1226:E1474,K1226:K1474,"0",B1226:B1474,"5 1 3 4 1 12 31111 6 M59 19000 000132 0000R 00001 00341 011*")</f>
        <v>493</v>
      </c>
      <c r="E1225" s="54"/>
      <c r="F1225" s="83">
        <f>SUMIFS(F1226:F1474,K1226:K1474,"0",B1226:B1474,"5 1 3 4 1 12 31111 6 M59 19000 000132 0000R 00001 00341 011*")</f>
        <v>19.72</v>
      </c>
      <c r="G1225" s="83">
        <f>SUMIFS(G1226:G1474,K1226:K1474,"0",B1226:B1474,"5 1 3 4 1 12 31111 6 M59 19000 000132 0000R 00001 00341 011*")</f>
        <v>0</v>
      </c>
      <c r="H1225" s="83">
        <f t="shared" si="20"/>
        <v>512.72</v>
      </c>
      <c r="I1225" s="83"/>
      <c r="K1225" s="54" t="s">
        <v>15</v>
      </c>
    </row>
    <row r="1226" spans="2:11" ht="33" x14ac:dyDescent="0.2">
      <c r="B1226" s="82" t="s">
        <v>8707</v>
      </c>
      <c r="C1226" s="82" t="s">
        <v>5830</v>
      </c>
      <c r="D1226" s="83">
        <f>SUMIFS(D1227:D1474,K1227:K1474,"0",B1227:B1474,"5 1 3 4 1 12 31111 6 M59 19000 000132 0000R 00001 00341 011 2112000*")-SUMIFS(E1227:E1474,K1227:K1474,"0",B1227:B1474,"5 1 3 4 1 12 31111 6 M59 19000 000132 0000R 00001 00341 011 2112000*")</f>
        <v>493</v>
      </c>
      <c r="E1226" s="54"/>
      <c r="F1226" s="83">
        <f>SUMIFS(F1227:F1474,K1227:K1474,"0",B1227:B1474,"5 1 3 4 1 12 31111 6 M59 19000 000132 0000R 00001 00341 011 2112000*")</f>
        <v>19.72</v>
      </c>
      <c r="G1226" s="83">
        <f>SUMIFS(G1227:G1474,K1227:K1474,"0",B1227:B1474,"5 1 3 4 1 12 31111 6 M59 19000 000132 0000R 00001 00341 011 2112000*")</f>
        <v>0</v>
      </c>
      <c r="H1226" s="83">
        <f t="shared" si="20"/>
        <v>512.72</v>
      </c>
      <c r="I1226" s="83"/>
      <c r="K1226" s="54" t="s">
        <v>15</v>
      </c>
    </row>
    <row r="1227" spans="2:11" ht="33" x14ac:dyDescent="0.2">
      <c r="B1227" s="82" t="s">
        <v>8708</v>
      </c>
      <c r="C1227" s="82" t="s">
        <v>660</v>
      </c>
      <c r="D1227" s="83">
        <f>SUMIFS(D1228:D1474,K1228:K1474,"0",B1228:B1474,"5 1 3 4 1 12 31111 6 M59 19000 000132 0000R 00001 00341 011 2112000 2024*")-SUMIFS(E1228:E1474,K1228:K1474,"0",B1228:B1474,"5 1 3 4 1 12 31111 6 M59 19000 000132 0000R 00001 00341 011 2112000 2024*")</f>
        <v>493</v>
      </c>
      <c r="E1227" s="54"/>
      <c r="F1227" s="83">
        <f>SUMIFS(F1228:F1474,K1228:K1474,"0",B1228:B1474,"5 1 3 4 1 12 31111 6 M59 19000 000132 0000R 00001 00341 011 2112000 2024*")</f>
        <v>19.72</v>
      </c>
      <c r="G1227" s="83">
        <f>SUMIFS(G1228:G1474,K1228:K1474,"0",B1228:B1474,"5 1 3 4 1 12 31111 6 M59 19000 000132 0000R 00001 00341 011 2112000 2024*")</f>
        <v>0</v>
      </c>
      <c r="H1227" s="83">
        <f t="shared" si="20"/>
        <v>512.72</v>
      </c>
      <c r="I1227" s="83"/>
      <c r="K1227" s="54" t="s">
        <v>15</v>
      </c>
    </row>
    <row r="1228" spans="2:11" ht="41.25" x14ac:dyDescent="0.2">
      <c r="B1228" s="82" t="s">
        <v>8709</v>
      </c>
      <c r="C1228" s="82" t="s">
        <v>662</v>
      </c>
      <c r="D1228" s="83">
        <f>SUMIFS(D1229:D1474,K1229:K1474,"0",B1229:B1474,"5 1 3 4 1 12 31111 6 M59 19000 000132 0000R 00001 00341 011 2112000 2024 CP1TM440*")-SUMIFS(E1229:E1474,K1229:K1474,"0",B1229:B1474,"5 1 3 4 1 12 31111 6 M59 19000 000132 0000R 00001 00341 011 2112000 2024 CP1TM440*")</f>
        <v>493</v>
      </c>
      <c r="E1228" s="54"/>
      <c r="F1228" s="83">
        <f>SUMIFS(F1229:F1474,K1229:K1474,"0",B1229:B1474,"5 1 3 4 1 12 31111 6 M59 19000 000132 0000R 00001 00341 011 2112000 2024 CP1TM440*")</f>
        <v>19.72</v>
      </c>
      <c r="G1228" s="83">
        <f>SUMIFS(G1229:G1474,K1229:K1474,"0",B1229:B1474,"5 1 3 4 1 12 31111 6 M59 19000 000132 0000R 00001 00341 011 2112000 2024 CP1TM440*")</f>
        <v>0</v>
      </c>
      <c r="H1228" s="83">
        <f t="shared" si="20"/>
        <v>512.72</v>
      </c>
      <c r="I1228" s="83"/>
      <c r="K1228" s="54" t="s">
        <v>15</v>
      </c>
    </row>
    <row r="1229" spans="2:11" ht="41.25" x14ac:dyDescent="0.2">
      <c r="B1229" s="82" t="s">
        <v>8710</v>
      </c>
      <c r="C1229" s="82" t="s">
        <v>2284</v>
      </c>
      <c r="D1229" s="83">
        <f>SUMIFS(D1230:D1474,K1230:K1474,"0",B1230:B1474,"5 1 3 4 1 12 31111 6 M59 19000 000132 0000R 00001 00341 011 2112000 2024 CP1TM440 004*")-SUMIFS(E1230:E1474,K1230:K1474,"0",B1230:B1474,"5 1 3 4 1 12 31111 6 M59 19000 000132 0000R 00001 00341 011 2112000 2024 CP1TM440 004*")</f>
        <v>493</v>
      </c>
      <c r="E1229" s="54"/>
      <c r="F1229" s="83">
        <f>SUMIFS(F1230:F1474,K1230:K1474,"0",B1230:B1474,"5 1 3 4 1 12 31111 6 M59 19000 000132 0000R 00001 00341 011 2112000 2024 CP1TM440 004*")</f>
        <v>19.72</v>
      </c>
      <c r="G1229" s="83">
        <f>SUMIFS(G1230:G1474,K1230:K1474,"0",B1230:B1474,"5 1 3 4 1 12 31111 6 M59 19000 000132 0000R 00001 00341 011 2112000 2024 CP1TM440 004*")</f>
        <v>0</v>
      </c>
      <c r="H1229" s="83">
        <f t="shared" si="20"/>
        <v>512.72</v>
      </c>
      <c r="I1229" s="83"/>
      <c r="K1229" s="54" t="s">
        <v>15</v>
      </c>
    </row>
    <row r="1230" spans="2:11" ht="33" x14ac:dyDescent="0.2">
      <c r="B1230" s="84" t="s">
        <v>8711</v>
      </c>
      <c r="C1230" s="84" t="s">
        <v>2284</v>
      </c>
      <c r="D1230" s="85">
        <v>493</v>
      </c>
      <c r="E1230" s="85"/>
      <c r="F1230" s="85">
        <v>19.72</v>
      </c>
      <c r="G1230" s="85">
        <v>0</v>
      </c>
      <c r="H1230" s="85">
        <f t="shared" si="20"/>
        <v>512.72</v>
      </c>
      <c r="I1230" s="85"/>
      <c r="K1230" s="54" t="s">
        <v>38</v>
      </c>
    </row>
    <row r="1231" spans="2:11" ht="16.5" x14ac:dyDescent="0.2">
      <c r="B1231" s="82" t="s">
        <v>8752</v>
      </c>
      <c r="C1231" s="82" t="s">
        <v>1079</v>
      </c>
      <c r="D1231" s="83">
        <f>SUMIFS(D1232:D1474,K1232:K1474,"0",B1232:B1474,"5 1 3 4 1 12 31111 6 M59 20500*")-SUMIFS(E1232:E1474,K1232:K1474,"0",B1232:B1474,"5 1 3 4 1 12 31111 6 M59 20500*")</f>
        <v>3431.59</v>
      </c>
      <c r="E1231" s="54"/>
      <c r="F1231" s="83">
        <f>SUMIFS(F1232:F1474,K1232:K1474,"0",B1232:B1474,"5 1 3 4 1 12 31111 6 M59 20500*")</f>
        <v>0</v>
      </c>
      <c r="G1231" s="83">
        <f>SUMIFS(G1232:G1474,K1232:K1474,"0",B1232:B1474,"5 1 3 4 1 12 31111 6 M59 20500*")</f>
        <v>0</v>
      </c>
      <c r="H1231" s="83">
        <f t="shared" si="20"/>
        <v>3431.59</v>
      </c>
      <c r="I1231" s="83"/>
      <c r="K1231" s="54" t="s">
        <v>15</v>
      </c>
    </row>
    <row r="1232" spans="2:11" ht="24.75" x14ac:dyDescent="0.2">
      <c r="B1232" s="82" t="s">
        <v>8753</v>
      </c>
      <c r="C1232" s="82" t="s">
        <v>3152</v>
      </c>
      <c r="D1232" s="83">
        <f>SUMIFS(D1233:D1474,K1233:K1474,"0",B1233:B1474,"5 1 3 4 1 12 31111 6 M59 20500 000181*")-SUMIFS(E1233:E1474,K1233:K1474,"0",B1233:B1474,"5 1 3 4 1 12 31111 6 M59 20500 000181*")</f>
        <v>3431.59</v>
      </c>
      <c r="E1232" s="54"/>
      <c r="F1232" s="83">
        <f>SUMIFS(F1233:F1474,K1233:K1474,"0",B1233:B1474,"5 1 3 4 1 12 31111 6 M59 20500 000181*")</f>
        <v>0</v>
      </c>
      <c r="G1232" s="83">
        <f>SUMIFS(G1233:G1474,K1233:K1474,"0",B1233:B1474,"5 1 3 4 1 12 31111 6 M59 20500 000181*")</f>
        <v>0</v>
      </c>
      <c r="H1232" s="83">
        <f t="shared" si="20"/>
        <v>3431.59</v>
      </c>
      <c r="I1232" s="83"/>
      <c r="K1232" s="54" t="s">
        <v>15</v>
      </c>
    </row>
    <row r="1233" spans="2:11" ht="24.75" x14ac:dyDescent="0.2">
      <c r="B1233" s="82" t="s">
        <v>8754</v>
      </c>
      <c r="C1233" s="82" t="s">
        <v>1065</v>
      </c>
      <c r="D1233" s="83">
        <f>SUMIFS(D1234:D1474,K1234:K1474,"0",B1234:B1474,"5 1 3 4 1 12 31111 6 M59 20500 000181 0000E*")-SUMIFS(E1234:E1474,K1234:K1474,"0",B1234:B1474,"5 1 3 4 1 12 31111 6 M59 20500 000181 0000E*")</f>
        <v>3431.59</v>
      </c>
      <c r="E1233" s="54"/>
      <c r="F1233" s="83">
        <f>SUMIFS(F1234:F1474,K1234:K1474,"0",B1234:B1474,"5 1 3 4 1 12 31111 6 M59 20500 000181 0000E*")</f>
        <v>0</v>
      </c>
      <c r="G1233" s="83">
        <f>SUMIFS(G1234:G1474,K1234:K1474,"0",B1234:B1474,"5 1 3 4 1 12 31111 6 M59 20500 000181 0000E*")</f>
        <v>0</v>
      </c>
      <c r="H1233" s="83">
        <f t="shared" si="20"/>
        <v>3431.59</v>
      </c>
      <c r="I1233" s="83"/>
      <c r="K1233" s="54" t="s">
        <v>15</v>
      </c>
    </row>
    <row r="1234" spans="2:11" ht="24.75" x14ac:dyDescent="0.2">
      <c r="B1234" s="82" t="s">
        <v>8755</v>
      </c>
      <c r="C1234" s="82" t="s">
        <v>282</v>
      </c>
      <c r="D1234" s="83">
        <f>SUMIFS(D1235:D1474,K1235:K1474,"0",B1235:B1474,"5 1 3 4 1 12 31111 6 M59 20500 000181 0000E 00001*")-SUMIFS(E1235:E1474,K1235:K1474,"0",B1235:B1474,"5 1 3 4 1 12 31111 6 M59 20500 000181 0000E 00001*")</f>
        <v>3431.59</v>
      </c>
      <c r="E1234" s="54"/>
      <c r="F1234" s="83">
        <f>SUMIFS(F1235:F1474,K1235:K1474,"0",B1235:B1474,"5 1 3 4 1 12 31111 6 M59 20500 000181 0000E 00001*")</f>
        <v>0</v>
      </c>
      <c r="G1234" s="83">
        <f>SUMIFS(G1235:G1474,K1235:K1474,"0",B1235:B1474,"5 1 3 4 1 12 31111 6 M59 20500 000181 0000E 00001*")</f>
        <v>0</v>
      </c>
      <c r="H1234" s="83">
        <f t="shared" si="20"/>
        <v>3431.59</v>
      </c>
      <c r="I1234" s="83"/>
      <c r="K1234" s="54" t="s">
        <v>15</v>
      </c>
    </row>
    <row r="1235" spans="2:11" ht="24.75" x14ac:dyDescent="0.2">
      <c r="B1235" s="82" t="s">
        <v>8756</v>
      </c>
      <c r="C1235" s="82" t="s">
        <v>8705</v>
      </c>
      <c r="D1235" s="83">
        <f>SUMIFS(D1236:D1474,K1236:K1474,"0",B1236:B1474,"5 1 3 4 1 12 31111 6 M59 20500 000181 0000E 00001 00341*")-SUMIFS(E1236:E1474,K1236:K1474,"0",B1236:B1474,"5 1 3 4 1 12 31111 6 M59 20500 000181 0000E 00001 00341*")</f>
        <v>3431.59</v>
      </c>
      <c r="E1235" s="54"/>
      <c r="F1235" s="83">
        <f>SUMIFS(F1236:F1474,K1236:K1474,"0",B1236:B1474,"5 1 3 4 1 12 31111 6 M59 20500 000181 0000E 00001 00341*")</f>
        <v>0</v>
      </c>
      <c r="G1235" s="83">
        <f>SUMIFS(G1236:G1474,K1236:K1474,"0",B1236:B1474,"5 1 3 4 1 12 31111 6 M59 20500 000181 0000E 00001 00341*")</f>
        <v>0</v>
      </c>
      <c r="H1235" s="83">
        <f t="shared" si="20"/>
        <v>3431.59</v>
      </c>
      <c r="I1235" s="83"/>
      <c r="K1235" s="54" t="s">
        <v>15</v>
      </c>
    </row>
    <row r="1236" spans="2:11" ht="33" x14ac:dyDescent="0.2">
      <c r="B1236" s="82" t="s">
        <v>8757</v>
      </c>
      <c r="C1236" s="82" t="s">
        <v>699</v>
      </c>
      <c r="D1236" s="83">
        <f>SUMIFS(D1237:D1474,K1237:K1474,"0",B1237:B1474,"5 1 3 4 1 12 31111 6 M59 20500 000181 0000E 00001 00341 011*")-SUMIFS(E1237:E1474,K1237:K1474,"0",B1237:B1474,"5 1 3 4 1 12 31111 6 M59 20500 000181 0000E 00001 00341 011*")</f>
        <v>3431.59</v>
      </c>
      <c r="E1236" s="54"/>
      <c r="F1236" s="83">
        <f>SUMIFS(F1237:F1474,K1237:K1474,"0",B1237:B1474,"5 1 3 4 1 12 31111 6 M59 20500 000181 0000E 00001 00341 011*")</f>
        <v>0</v>
      </c>
      <c r="G1236" s="83">
        <f>SUMIFS(G1237:G1474,K1237:K1474,"0",B1237:B1474,"5 1 3 4 1 12 31111 6 M59 20500 000181 0000E 00001 00341 011*")</f>
        <v>0</v>
      </c>
      <c r="H1236" s="83">
        <f t="shared" si="20"/>
        <v>3431.59</v>
      </c>
      <c r="I1236" s="83"/>
      <c r="K1236" s="54" t="s">
        <v>15</v>
      </c>
    </row>
    <row r="1237" spans="2:11" ht="33" x14ac:dyDescent="0.2">
      <c r="B1237" s="82" t="s">
        <v>8758</v>
      </c>
      <c r="C1237" s="82" t="s">
        <v>5830</v>
      </c>
      <c r="D1237" s="83">
        <f>SUMIFS(D1238:D1474,K1238:K1474,"0",B1238:B1474,"5 1 3 4 1 12 31111 6 M59 20500 000181 0000E 00001 00341 011 2112000*")-SUMIFS(E1238:E1474,K1238:K1474,"0",B1238:B1474,"5 1 3 4 1 12 31111 6 M59 20500 000181 0000E 00001 00341 011 2112000*")</f>
        <v>3431.59</v>
      </c>
      <c r="E1237" s="54"/>
      <c r="F1237" s="83">
        <f>SUMIFS(F1238:F1474,K1238:K1474,"0",B1238:B1474,"5 1 3 4 1 12 31111 6 M59 20500 000181 0000E 00001 00341 011 2112000*")</f>
        <v>0</v>
      </c>
      <c r="G1237" s="83">
        <f>SUMIFS(G1238:G1474,K1238:K1474,"0",B1238:B1474,"5 1 3 4 1 12 31111 6 M59 20500 000181 0000E 00001 00341 011 2112000*")</f>
        <v>0</v>
      </c>
      <c r="H1237" s="83">
        <f t="shared" si="20"/>
        <v>3431.59</v>
      </c>
      <c r="I1237" s="83"/>
      <c r="K1237" s="54" t="s">
        <v>15</v>
      </c>
    </row>
    <row r="1238" spans="2:11" ht="33" x14ac:dyDescent="0.2">
      <c r="B1238" s="82" t="s">
        <v>8759</v>
      </c>
      <c r="C1238" s="82" t="s">
        <v>660</v>
      </c>
      <c r="D1238" s="83">
        <f>SUMIFS(D1239:D1474,K1239:K1474,"0",B1239:B1474,"5 1 3 4 1 12 31111 6 M59 20500 000181 0000E 00001 00341 011 2112000 2024*")-SUMIFS(E1239:E1474,K1239:K1474,"0",B1239:B1474,"5 1 3 4 1 12 31111 6 M59 20500 000181 0000E 00001 00341 011 2112000 2024*")</f>
        <v>3431.59</v>
      </c>
      <c r="E1238" s="54"/>
      <c r="F1238" s="83">
        <f>SUMIFS(F1239:F1474,K1239:K1474,"0",B1239:B1474,"5 1 3 4 1 12 31111 6 M59 20500 000181 0000E 00001 00341 011 2112000 2024*")</f>
        <v>0</v>
      </c>
      <c r="G1238" s="83">
        <f>SUMIFS(G1239:G1474,K1239:K1474,"0",B1239:B1474,"5 1 3 4 1 12 31111 6 M59 20500 000181 0000E 00001 00341 011 2112000 2024*")</f>
        <v>0</v>
      </c>
      <c r="H1238" s="83">
        <f t="shared" si="20"/>
        <v>3431.59</v>
      </c>
      <c r="I1238" s="83"/>
      <c r="K1238" s="54" t="s">
        <v>15</v>
      </c>
    </row>
    <row r="1239" spans="2:11" ht="49.5" x14ac:dyDescent="0.2">
      <c r="B1239" s="82" t="s">
        <v>8760</v>
      </c>
      <c r="C1239" s="82" t="s">
        <v>5982</v>
      </c>
      <c r="D1239" s="83">
        <f>SUMIFS(D1240:D1474,K1240:K1474,"0",B1240:B1474,"5 1 3 4 1 12 31111 6 M59 20500 000181 0000E 00001 00341 011 2112000 2024 CP3CP471*")-SUMIFS(E1240:E1474,K1240:K1474,"0",B1240:B1474,"5 1 3 4 1 12 31111 6 M59 20500 000181 0000E 00001 00341 011 2112000 2024 CP3CP471*")</f>
        <v>3431.59</v>
      </c>
      <c r="E1239" s="54"/>
      <c r="F1239" s="83">
        <f>SUMIFS(F1240:F1474,K1240:K1474,"0",B1240:B1474,"5 1 3 4 1 12 31111 6 M59 20500 000181 0000E 00001 00341 011 2112000 2024 CP3CP471*")</f>
        <v>0</v>
      </c>
      <c r="G1239" s="83">
        <f>SUMIFS(G1240:G1474,K1240:K1474,"0",B1240:B1474,"5 1 3 4 1 12 31111 6 M59 20500 000181 0000E 00001 00341 011 2112000 2024 CP3CP471*")</f>
        <v>0</v>
      </c>
      <c r="H1239" s="83">
        <f t="shared" si="20"/>
        <v>3431.59</v>
      </c>
      <c r="I1239" s="83"/>
      <c r="K1239" s="54" t="s">
        <v>15</v>
      </c>
    </row>
    <row r="1240" spans="2:11" ht="41.25" x14ac:dyDescent="0.2">
      <c r="B1240" s="82" t="s">
        <v>8761</v>
      </c>
      <c r="C1240" s="82" t="s">
        <v>2284</v>
      </c>
      <c r="D1240" s="83">
        <f>SUMIFS(D1241:D1474,K1241:K1474,"0",B1241:B1474,"5 1 3 4 1 12 31111 6 M59 20500 000181 0000E 00001 00341 011 2112000 2024 CP3CP471 004*")-SUMIFS(E1241:E1474,K1241:K1474,"0",B1241:B1474,"5 1 3 4 1 12 31111 6 M59 20500 000181 0000E 00001 00341 011 2112000 2024 CP3CP471 004*")</f>
        <v>3431.59</v>
      </c>
      <c r="E1240" s="54"/>
      <c r="F1240" s="83">
        <f>SUMIFS(F1241:F1474,K1241:K1474,"0",B1241:B1474,"5 1 3 4 1 12 31111 6 M59 20500 000181 0000E 00001 00341 011 2112000 2024 CP3CP471 004*")</f>
        <v>0</v>
      </c>
      <c r="G1240" s="83">
        <f>SUMIFS(G1241:G1474,K1241:K1474,"0",B1241:B1474,"5 1 3 4 1 12 31111 6 M59 20500 000181 0000E 00001 00341 011 2112000 2024 CP3CP471 004*")</f>
        <v>0</v>
      </c>
      <c r="H1240" s="83">
        <f t="shared" si="20"/>
        <v>3431.59</v>
      </c>
      <c r="I1240" s="83"/>
      <c r="K1240" s="54" t="s">
        <v>15</v>
      </c>
    </row>
    <row r="1241" spans="2:11" ht="33" x14ac:dyDescent="0.2">
      <c r="B1241" s="84" t="s">
        <v>8762</v>
      </c>
      <c r="C1241" s="84" t="s">
        <v>2284</v>
      </c>
      <c r="D1241" s="85">
        <v>3431.59</v>
      </c>
      <c r="E1241" s="85"/>
      <c r="F1241" s="85">
        <v>0</v>
      </c>
      <c r="G1241" s="85">
        <v>0</v>
      </c>
      <c r="H1241" s="85">
        <f t="shared" si="20"/>
        <v>3431.59</v>
      </c>
      <c r="I1241" s="85"/>
      <c r="K1241" s="54" t="s">
        <v>38</v>
      </c>
    </row>
    <row r="1242" spans="2:11" ht="33" x14ac:dyDescent="0.2">
      <c r="B1242" s="82" t="s">
        <v>8841</v>
      </c>
      <c r="C1242" s="82" t="s">
        <v>8842</v>
      </c>
      <c r="D1242" s="83">
        <f>SUMIFS(D1243:D1474,K1243:K1474,"0",B1243:B1474,"5 1 3 5*")-SUMIFS(E1243:E1474,K1243:K1474,"0",B1243:B1474,"5 1 3 5*")</f>
        <v>209527.8</v>
      </c>
      <c r="E1242" s="54"/>
      <c r="F1242" s="83">
        <f>SUMIFS(F1243:F1474,K1243:K1474,"0",B1243:B1474,"5 1 3 5*")</f>
        <v>0</v>
      </c>
      <c r="G1242" s="83">
        <f>SUMIFS(G1243:G1474,K1243:K1474,"0",B1243:B1474,"5 1 3 5*")</f>
        <v>0</v>
      </c>
      <c r="H1242" s="83">
        <f t="shared" si="20"/>
        <v>209527.8</v>
      </c>
      <c r="I1242" s="83"/>
      <c r="K1242" s="54" t="s">
        <v>15</v>
      </c>
    </row>
    <row r="1243" spans="2:11" ht="41.25" x14ac:dyDescent="0.2">
      <c r="B1243" s="82" t="s">
        <v>8862</v>
      </c>
      <c r="C1243" s="82" t="s">
        <v>8863</v>
      </c>
      <c r="D1243" s="83">
        <f>SUMIFS(D1244:D1474,K1244:K1474,"0",B1244:B1474,"5 1 3 5 2*")-SUMIFS(E1244:E1474,K1244:K1474,"0",B1244:B1474,"5 1 3 5 2*")</f>
        <v>20372.55</v>
      </c>
      <c r="E1243" s="54"/>
      <c r="F1243" s="83">
        <f>SUMIFS(F1244:F1474,K1244:K1474,"0",B1244:B1474,"5 1 3 5 2*")</f>
        <v>0</v>
      </c>
      <c r="G1243" s="83">
        <f>SUMIFS(G1244:G1474,K1244:K1474,"0",B1244:B1474,"5 1 3 5 2*")</f>
        <v>0</v>
      </c>
      <c r="H1243" s="83">
        <f t="shared" si="20"/>
        <v>20372.55</v>
      </c>
      <c r="I1243" s="83"/>
      <c r="K1243" s="54" t="s">
        <v>15</v>
      </c>
    </row>
    <row r="1244" spans="2:11" ht="12.75" x14ac:dyDescent="0.2">
      <c r="B1244" s="82" t="s">
        <v>8864</v>
      </c>
      <c r="C1244" s="82" t="s">
        <v>26</v>
      </c>
      <c r="D1244" s="83">
        <f>SUMIFS(D1245:D1474,K1245:K1474,"0",B1245:B1474,"5 1 3 5 2 12*")-SUMIFS(E1245:E1474,K1245:K1474,"0",B1245:B1474,"5 1 3 5 2 12*")</f>
        <v>20372.55</v>
      </c>
      <c r="E1244" s="54"/>
      <c r="F1244" s="83">
        <f>SUMIFS(F1245:F1474,K1245:K1474,"0",B1245:B1474,"5 1 3 5 2 12*")</f>
        <v>0</v>
      </c>
      <c r="G1244" s="83">
        <f>SUMIFS(G1245:G1474,K1245:K1474,"0",B1245:B1474,"5 1 3 5 2 12*")</f>
        <v>0</v>
      </c>
      <c r="H1244" s="83">
        <f t="shared" si="20"/>
        <v>20372.55</v>
      </c>
      <c r="I1244" s="83"/>
      <c r="K1244" s="54" t="s">
        <v>15</v>
      </c>
    </row>
    <row r="1245" spans="2:11" ht="16.5" x14ac:dyDescent="0.2">
      <c r="B1245" s="82" t="s">
        <v>8865</v>
      </c>
      <c r="C1245" s="82" t="s">
        <v>28</v>
      </c>
      <c r="D1245" s="83">
        <f>SUMIFS(D1246:D1474,K1246:K1474,"0",B1246:B1474,"5 1 3 5 2 12 31111*")-SUMIFS(E1246:E1474,K1246:K1474,"0",B1246:B1474,"5 1 3 5 2 12 31111*")</f>
        <v>20372.55</v>
      </c>
      <c r="E1245" s="54"/>
      <c r="F1245" s="83">
        <f>SUMIFS(F1246:F1474,K1246:K1474,"0",B1246:B1474,"5 1 3 5 2 12 31111*")</f>
        <v>0</v>
      </c>
      <c r="G1245" s="83">
        <f>SUMIFS(G1246:G1474,K1246:K1474,"0",B1246:B1474,"5 1 3 5 2 12 31111*")</f>
        <v>0</v>
      </c>
      <c r="H1245" s="83">
        <f t="shared" si="20"/>
        <v>20372.55</v>
      </c>
      <c r="I1245" s="83"/>
      <c r="K1245" s="54" t="s">
        <v>15</v>
      </c>
    </row>
    <row r="1246" spans="2:11" ht="12.75" x14ac:dyDescent="0.2">
      <c r="B1246" s="82" t="s">
        <v>8866</v>
      </c>
      <c r="C1246" s="82" t="s">
        <v>30</v>
      </c>
      <c r="D1246" s="83">
        <f>SUMIFS(D1247:D1474,K1247:K1474,"0",B1247:B1474,"5 1 3 5 2 12 31111 6*")-SUMIFS(E1247:E1474,K1247:K1474,"0",B1247:B1474,"5 1 3 5 2 12 31111 6*")</f>
        <v>20372.55</v>
      </c>
      <c r="E1246" s="54"/>
      <c r="F1246" s="83">
        <f>SUMIFS(F1247:F1474,K1247:K1474,"0",B1247:B1474,"5 1 3 5 2 12 31111 6*")</f>
        <v>0</v>
      </c>
      <c r="G1246" s="83">
        <f>SUMIFS(G1247:G1474,K1247:K1474,"0",B1247:B1474,"5 1 3 5 2 12 31111 6*")</f>
        <v>0</v>
      </c>
      <c r="H1246" s="83">
        <f t="shared" si="20"/>
        <v>20372.55</v>
      </c>
      <c r="I1246" s="83"/>
      <c r="K1246" s="54" t="s">
        <v>15</v>
      </c>
    </row>
    <row r="1247" spans="2:11" ht="16.5" x14ac:dyDescent="0.2">
      <c r="B1247" s="82" t="s">
        <v>8867</v>
      </c>
      <c r="C1247" s="82" t="s">
        <v>2284</v>
      </c>
      <c r="D1247" s="83">
        <f>SUMIFS(D1248:D1474,K1248:K1474,"0",B1248:B1474,"5 1 3 5 2 12 31111 6 M59*")-SUMIFS(E1248:E1474,K1248:K1474,"0",B1248:B1474,"5 1 3 5 2 12 31111 6 M59*")</f>
        <v>20372.55</v>
      </c>
      <c r="E1247" s="54"/>
      <c r="F1247" s="83">
        <f>SUMIFS(F1248:F1474,K1248:K1474,"0",B1248:B1474,"5 1 3 5 2 12 31111 6 M59*")</f>
        <v>0</v>
      </c>
      <c r="G1247" s="83">
        <f>SUMIFS(G1248:G1474,K1248:K1474,"0",B1248:B1474,"5 1 3 5 2 12 31111 6 M59*")</f>
        <v>0</v>
      </c>
      <c r="H1247" s="83">
        <f t="shared" si="20"/>
        <v>20372.55</v>
      </c>
      <c r="I1247" s="83"/>
      <c r="K1247" s="54" t="s">
        <v>15</v>
      </c>
    </row>
    <row r="1248" spans="2:11" ht="16.5" x14ac:dyDescent="0.2">
      <c r="B1248" s="82" t="s">
        <v>8868</v>
      </c>
      <c r="C1248" s="82" t="s">
        <v>1079</v>
      </c>
      <c r="D1248" s="83">
        <f>SUMIFS(D1249:D1474,K1249:K1474,"0",B1249:B1474,"5 1 3 5 2 12 31111 6 M59 20500*")-SUMIFS(E1249:E1474,K1249:K1474,"0",B1249:B1474,"5 1 3 5 2 12 31111 6 M59 20500*")</f>
        <v>20372.55</v>
      </c>
      <c r="E1248" s="54"/>
      <c r="F1248" s="83">
        <f>SUMIFS(F1249:F1474,K1249:K1474,"0",B1249:B1474,"5 1 3 5 2 12 31111 6 M59 20500*")</f>
        <v>0</v>
      </c>
      <c r="G1248" s="83">
        <f>SUMIFS(G1249:G1474,K1249:K1474,"0",B1249:B1474,"5 1 3 5 2 12 31111 6 M59 20500*")</f>
        <v>0</v>
      </c>
      <c r="H1248" s="83">
        <f t="shared" si="20"/>
        <v>20372.55</v>
      </c>
      <c r="I1248" s="83"/>
      <c r="K1248" s="54" t="s">
        <v>15</v>
      </c>
    </row>
    <row r="1249" spans="2:11" ht="24.75" x14ac:dyDescent="0.2">
      <c r="B1249" s="82" t="s">
        <v>8869</v>
      </c>
      <c r="C1249" s="82" t="s">
        <v>3152</v>
      </c>
      <c r="D1249" s="83">
        <f>SUMIFS(D1250:D1474,K1250:K1474,"0",B1250:B1474,"5 1 3 5 2 12 31111 6 M59 20500 000181*")-SUMIFS(E1250:E1474,K1250:K1474,"0",B1250:B1474,"5 1 3 5 2 12 31111 6 M59 20500 000181*")</f>
        <v>20372.55</v>
      </c>
      <c r="E1249" s="54"/>
      <c r="F1249" s="83">
        <f>SUMIFS(F1250:F1474,K1250:K1474,"0",B1250:B1474,"5 1 3 5 2 12 31111 6 M59 20500 000181*")</f>
        <v>0</v>
      </c>
      <c r="G1249" s="83">
        <f>SUMIFS(G1250:G1474,K1250:K1474,"0",B1250:B1474,"5 1 3 5 2 12 31111 6 M59 20500 000181*")</f>
        <v>0</v>
      </c>
      <c r="H1249" s="83">
        <f t="shared" si="20"/>
        <v>20372.55</v>
      </c>
      <c r="I1249" s="83"/>
      <c r="K1249" s="54" t="s">
        <v>15</v>
      </c>
    </row>
    <row r="1250" spans="2:11" ht="24.75" x14ac:dyDescent="0.2">
      <c r="B1250" s="82" t="s">
        <v>8870</v>
      </c>
      <c r="C1250" s="82" t="s">
        <v>1065</v>
      </c>
      <c r="D1250" s="83">
        <f>SUMIFS(D1251:D1474,K1251:K1474,"0",B1251:B1474,"5 1 3 5 2 12 31111 6 M59 20500 000181 0000E*")-SUMIFS(E1251:E1474,K1251:K1474,"0",B1251:B1474,"5 1 3 5 2 12 31111 6 M59 20500 000181 0000E*")</f>
        <v>20372.55</v>
      </c>
      <c r="E1250" s="54"/>
      <c r="F1250" s="83">
        <f>SUMIFS(F1251:F1474,K1251:K1474,"0",B1251:B1474,"5 1 3 5 2 12 31111 6 M59 20500 000181 0000E*")</f>
        <v>0</v>
      </c>
      <c r="G1250" s="83">
        <f>SUMIFS(G1251:G1474,K1251:K1474,"0",B1251:B1474,"5 1 3 5 2 12 31111 6 M59 20500 000181 0000E*")</f>
        <v>0</v>
      </c>
      <c r="H1250" s="83">
        <f t="shared" si="20"/>
        <v>20372.55</v>
      </c>
      <c r="I1250" s="83"/>
      <c r="K1250" s="54" t="s">
        <v>15</v>
      </c>
    </row>
    <row r="1251" spans="2:11" ht="24.75" x14ac:dyDescent="0.2">
      <c r="B1251" s="82" t="s">
        <v>8871</v>
      </c>
      <c r="C1251" s="82" t="s">
        <v>282</v>
      </c>
      <c r="D1251" s="83">
        <f>SUMIFS(D1252:D1474,K1252:K1474,"0",B1252:B1474,"5 1 3 5 2 12 31111 6 M59 20500 000181 0000E 00001*")-SUMIFS(E1252:E1474,K1252:K1474,"0",B1252:B1474,"5 1 3 5 2 12 31111 6 M59 20500 000181 0000E 00001*")</f>
        <v>20372.55</v>
      </c>
      <c r="E1251" s="54"/>
      <c r="F1251" s="83">
        <f>SUMIFS(F1252:F1474,K1252:K1474,"0",B1252:B1474,"5 1 3 5 2 12 31111 6 M59 20500 000181 0000E 00001*")</f>
        <v>0</v>
      </c>
      <c r="G1251" s="83">
        <f>SUMIFS(G1252:G1474,K1252:K1474,"0",B1252:B1474,"5 1 3 5 2 12 31111 6 M59 20500 000181 0000E 00001*")</f>
        <v>0</v>
      </c>
      <c r="H1251" s="83">
        <f t="shared" si="20"/>
        <v>20372.55</v>
      </c>
      <c r="I1251" s="83"/>
      <c r="K1251" s="54" t="s">
        <v>15</v>
      </c>
    </row>
    <row r="1252" spans="2:11" ht="41.25" x14ac:dyDescent="0.2">
      <c r="B1252" s="82" t="s">
        <v>8872</v>
      </c>
      <c r="C1252" s="82" t="s">
        <v>8873</v>
      </c>
      <c r="D1252" s="83">
        <f>SUMIFS(D1253:D1474,K1253:K1474,"0",B1253:B1474,"5 1 3 5 2 12 31111 6 M59 20500 000181 0000E 00001 00352*")-SUMIFS(E1253:E1474,K1253:K1474,"0",B1253:B1474,"5 1 3 5 2 12 31111 6 M59 20500 000181 0000E 00001 00352*")</f>
        <v>20372.55</v>
      </c>
      <c r="E1252" s="54"/>
      <c r="F1252" s="83">
        <f>SUMIFS(F1253:F1474,K1253:K1474,"0",B1253:B1474,"5 1 3 5 2 12 31111 6 M59 20500 000181 0000E 00001 00352*")</f>
        <v>0</v>
      </c>
      <c r="G1252" s="83">
        <f>SUMIFS(G1253:G1474,K1253:K1474,"0",B1253:B1474,"5 1 3 5 2 12 31111 6 M59 20500 000181 0000E 00001 00352*")</f>
        <v>0</v>
      </c>
      <c r="H1252" s="83">
        <f t="shared" si="20"/>
        <v>20372.55</v>
      </c>
      <c r="I1252" s="83"/>
      <c r="K1252" s="54" t="s">
        <v>15</v>
      </c>
    </row>
    <row r="1253" spans="2:11" ht="33" x14ac:dyDescent="0.2">
      <c r="B1253" s="82" t="s">
        <v>8874</v>
      </c>
      <c r="C1253" s="82" t="s">
        <v>699</v>
      </c>
      <c r="D1253" s="83">
        <f>SUMIFS(D1254:D1474,K1254:K1474,"0",B1254:B1474,"5 1 3 5 2 12 31111 6 M59 20500 000181 0000E 00001 00352 011*")-SUMIFS(E1254:E1474,K1254:K1474,"0",B1254:B1474,"5 1 3 5 2 12 31111 6 M59 20500 000181 0000E 00001 00352 011*")</f>
        <v>20372.55</v>
      </c>
      <c r="E1253" s="54"/>
      <c r="F1253" s="83">
        <f>SUMIFS(F1254:F1474,K1254:K1474,"0",B1254:B1474,"5 1 3 5 2 12 31111 6 M59 20500 000181 0000E 00001 00352 011*")</f>
        <v>0</v>
      </c>
      <c r="G1253" s="83">
        <f>SUMIFS(G1254:G1474,K1254:K1474,"0",B1254:B1474,"5 1 3 5 2 12 31111 6 M59 20500 000181 0000E 00001 00352 011*")</f>
        <v>0</v>
      </c>
      <c r="H1253" s="83">
        <f t="shared" si="20"/>
        <v>20372.55</v>
      </c>
      <c r="I1253" s="83"/>
      <c r="K1253" s="54" t="s">
        <v>15</v>
      </c>
    </row>
    <row r="1254" spans="2:11" ht="33" x14ac:dyDescent="0.2">
      <c r="B1254" s="82" t="s">
        <v>8875</v>
      </c>
      <c r="C1254" s="82" t="s">
        <v>5830</v>
      </c>
      <c r="D1254" s="83">
        <f>SUMIFS(D1255:D1474,K1255:K1474,"0",B1255:B1474,"5 1 3 5 2 12 31111 6 M59 20500 000181 0000E 00001 00352 011 2112000*")-SUMIFS(E1255:E1474,K1255:K1474,"0",B1255:B1474,"5 1 3 5 2 12 31111 6 M59 20500 000181 0000E 00001 00352 011 2112000*")</f>
        <v>20372.55</v>
      </c>
      <c r="E1254" s="54"/>
      <c r="F1254" s="83">
        <f>SUMIFS(F1255:F1474,K1255:K1474,"0",B1255:B1474,"5 1 3 5 2 12 31111 6 M59 20500 000181 0000E 00001 00352 011 2112000*")</f>
        <v>0</v>
      </c>
      <c r="G1254" s="83">
        <f>SUMIFS(G1255:G1474,K1255:K1474,"0",B1255:B1474,"5 1 3 5 2 12 31111 6 M59 20500 000181 0000E 00001 00352 011 2112000*")</f>
        <v>0</v>
      </c>
      <c r="H1254" s="83">
        <f t="shared" si="20"/>
        <v>20372.55</v>
      </c>
      <c r="I1254" s="83"/>
      <c r="K1254" s="54" t="s">
        <v>15</v>
      </c>
    </row>
    <row r="1255" spans="2:11" ht="33" x14ac:dyDescent="0.2">
      <c r="B1255" s="82" t="s">
        <v>8876</v>
      </c>
      <c r="C1255" s="82" t="s">
        <v>660</v>
      </c>
      <c r="D1255" s="83">
        <f>SUMIFS(D1256:D1474,K1256:K1474,"0",B1256:B1474,"5 1 3 5 2 12 31111 6 M59 20500 000181 0000E 00001 00352 011 2112000 2024*")-SUMIFS(E1256:E1474,K1256:K1474,"0",B1256:B1474,"5 1 3 5 2 12 31111 6 M59 20500 000181 0000E 00001 00352 011 2112000 2024*")</f>
        <v>20372.55</v>
      </c>
      <c r="E1255" s="54"/>
      <c r="F1255" s="83">
        <f>SUMIFS(F1256:F1474,K1256:K1474,"0",B1256:B1474,"5 1 3 5 2 12 31111 6 M59 20500 000181 0000E 00001 00352 011 2112000 2024*")</f>
        <v>0</v>
      </c>
      <c r="G1255" s="83">
        <f>SUMIFS(G1256:G1474,K1256:K1474,"0",B1256:B1474,"5 1 3 5 2 12 31111 6 M59 20500 000181 0000E 00001 00352 011 2112000 2024*")</f>
        <v>0</v>
      </c>
      <c r="H1255" s="83">
        <f t="shared" si="20"/>
        <v>20372.55</v>
      </c>
      <c r="I1255" s="83"/>
      <c r="K1255" s="54" t="s">
        <v>15</v>
      </c>
    </row>
    <row r="1256" spans="2:11" ht="49.5" x14ac:dyDescent="0.2">
      <c r="B1256" s="82" t="s">
        <v>8877</v>
      </c>
      <c r="C1256" s="82" t="s">
        <v>5982</v>
      </c>
      <c r="D1256" s="83">
        <f>SUMIFS(D1257:D1474,K1257:K1474,"0",B1257:B1474,"5 1 3 5 2 12 31111 6 M59 20500 000181 0000E 00001 00352 011 2112000 2024 CP3CP471*")-SUMIFS(E1257:E1474,K1257:K1474,"0",B1257:B1474,"5 1 3 5 2 12 31111 6 M59 20500 000181 0000E 00001 00352 011 2112000 2024 CP3CP471*")</f>
        <v>20372.55</v>
      </c>
      <c r="E1256" s="54"/>
      <c r="F1256" s="83">
        <f>SUMIFS(F1257:F1474,K1257:K1474,"0",B1257:B1474,"5 1 3 5 2 12 31111 6 M59 20500 000181 0000E 00001 00352 011 2112000 2024 CP3CP471*")</f>
        <v>0</v>
      </c>
      <c r="G1256" s="83">
        <f>SUMIFS(G1257:G1474,K1257:K1474,"0",B1257:B1474,"5 1 3 5 2 12 31111 6 M59 20500 000181 0000E 00001 00352 011 2112000 2024 CP3CP471*")</f>
        <v>0</v>
      </c>
      <c r="H1256" s="83">
        <f t="shared" si="20"/>
        <v>20372.55</v>
      </c>
      <c r="I1256" s="83"/>
      <c r="K1256" s="54" t="s">
        <v>15</v>
      </c>
    </row>
    <row r="1257" spans="2:11" ht="41.25" x14ac:dyDescent="0.2">
      <c r="B1257" s="82" t="s">
        <v>8878</v>
      </c>
      <c r="C1257" s="82" t="s">
        <v>2284</v>
      </c>
      <c r="D1257" s="83">
        <f>SUMIFS(D1258:D1474,K1258:K1474,"0",B1258:B1474,"5 1 3 5 2 12 31111 6 M59 20500 000181 0000E 00001 00352 011 2112000 2024 CP3CP471 004*")-SUMIFS(E1258:E1474,K1258:K1474,"0",B1258:B1474,"5 1 3 5 2 12 31111 6 M59 20500 000181 0000E 00001 00352 011 2112000 2024 CP3CP471 004*")</f>
        <v>20372.55</v>
      </c>
      <c r="E1257" s="54"/>
      <c r="F1257" s="83">
        <f>SUMIFS(F1258:F1474,K1258:K1474,"0",B1258:B1474,"5 1 3 5 2 12 31111 6 M59 20500 000181 0000E 00001 00352 011 2112000 2024 CP3CP471 004*")</f>
        <v>0</v>
      </c>
      <c r="G1257" s="83">
        <f>SUMIFS(G1258:G1474,K1258:K1474,"0",B1258:B1474,"5 1 3 5 2 12 31111 6 M59 20500 000181 0000E 00001 00352 011 2112000 2024 CP3CP471 004*")</f>
        <v>0</v>
      </c>
      <c r="H1257" s="83">
        <f t="shared" ref="H1257:H1320" si="21">D1257 + F1257 - G1257</f>
        <v>20372.55</v>
      </c>
      <c r="I1257" s="83"/>
      <c r="K1257" s="54" t="s">
        <v>15</v>
      </c>
    </row>
    <row r="1258" spans="2:11" ht="33" x14ac:dyDescent="0.2">
      <c r="B1258" s="84" t="s">
        <v>8879</v>
      </c>
      <c r="C1258" s="84" t="s">
        <v>2284</v>
      </c>
      <c r="D1258" s="85">
        <v>20372.55</v>
      </c>
      <c r="E1258" s="85"/>
      <c r="F1258" s="85">
        <v>0</v>
      </c>
      <c r="G1258" s="85">
        <v>0</v>
      </c>
      <c r="H1258" s="85">
        <f t="shared" si="21"/>
        <v>20372.55</v>
      </c>
      <c r="I1258" s="85"/>
      <c r="K1258" s="54" t="s">
        <v>38</v>
      </c>
    </row>
    <row r="1259" spans="2:11" ht="24.75" x14ac:dyDescent="0.2">
      <c r="B1259" s="82" t="s">
        <v>8881</v>
      </c>
      <c r="C1259" s="82" t="s">
        <v>8882</v>
      </c>
      <c r="D1259" s="83">
        <f>SUMIFS(D1260:D1474,K1260:K1474,"0",B1260:B1474,"5 1 3 5 5*")-SUMIFS(E1260:E1474,K1260:K1474,"0",B1260:B1474,"5 1 3 5 5*")</f>
        <v>189155.25</v>
      </c>
      <c r="E1259" s="54"/>
      <c r="F1259" s="83">
        <f>SUMIFS(F1260:F1474,K1260:K1474,"0",B1260:B1474,"5 1 3 5 5*")</f>
        <v>0</v>
      </c>
      <c r="G1259" s="83">
        <f>SUMIFS(G1260:G1474,K1260:K1474,"0",B1260:B1474,"5 1 3 5 5*")</f>
        <v>0</v>
      </c>
      <c r="H1259" s="83">
        <f t="shared" si="21"/>
        <v>189155.25</v>
      </c>
      <c r="I1259" s="83"/>
      <c r="K1259" s="54" t="s">
        <v>15</v>
      </c>
    </row>
    <row r="1260" spans="2:11" ht="12.75" x14ac:dyDescent="0.2">
      <c r="B1260" s="82" t="s">
        <v>8883</v>
      </c>
      <c r="C1260" s="82" t="s">
        <v>26</v>
      </c>
      <c r="D1260" s="83">
        <f>SUMIFS(D1261:D1474,K1261:K1474,"0",B1261:B1474,"5 1 3 5 5 12*")-SUMIFS(E1261:E1474,K1261:K1474,"0",B1261:B1474,"5 1 3 5 5 12*")</f>
        <v>189155.25</v>
      </c>
      <c r="E1260" s="54"/>
      <c r="F1260" s="83">
        <f>SUMIFS(F1261:F1474,K1261:K1474,"0",B1261:B1474,"5 1 3 5 5 12*")</f>
        <v>0</v>
      </c>
      <c r="G1260" s="83">
        <f>SUMIFS(G1261:G1474,K1261:K1474,"0",B1261:B1474,"5 1 3 5 5 12*")</f>
        <v>0</v>
      </c>
      <c r="H1260" s="83">
        <f t="shared" si="21"/>
        <v>189155.25</v>
      </c>
      <c r="I1260" s="83"/>
      <c r="K1260" s="54" t="s">
        <v>15</v>
      </c>
    </row>
    <row r="1261" spans="2:11" ht="16.5" x14ac:dyDescent="0.2">
      <c r="B1261" s="82" t="s">
        <v>8884</v>
      </c>
      <c r="C1261" s="82" t="s">
        <v>28</v>
      </c>
      <c r="D1261" s="83">
        <f>SUMIFS(D1262:D1474,K1262:K1474,"0",B1262:B1474,"5 1 3 5 5 12 31111*")-SUMIFS(E1262:E1474,K1262:K1474,"0",B1262:B1474,"5 1 3 5 5 12 31111*")</f>
        <v>189155.25</v>
      </c>
      <c r="E1261" s="54"/>
      <c r="F1261" s="83">
        <f>SUMIFS(F1262:F1474,K1262:K1474,"0",B1262:B1474,"5 1 3 5 5 12 31111*")</f>
        <v>0</v>
      </c>
      <c r="G1261" s="83">
        <f>SUMIFS(G1262:G1474,K1262:K1474,"0",B1262:B1474,"5 1 3 5 5 12 31111*")</f>
        <v>0</v>
      </c>
      <c r="H1261" s="83">
        <f t="shared" si="21"/>
        <v>189155.25</v>
      </c>
      <c r="I1261" s="83"/>
      <c r="K1261" s="54" t="s">
        <v>15</v>
      </c>
    </row>
    <row r="1262" spans="2:11" ht="12.75" x14ac:dyDescent="0.2">
      <c r="B1262" s="82" t="s">
        <v>8885</v>
      </c>
      <c r="C1262" s="82" t="s">
        <v>30</v>
      </c>
      <c r="D1262" s="83">
        <f>SUMIFS(D1263:D1474,K1263:K1474,"0",B1263:B1474,"5 1 3 5 5 12 31111 6*")-SUMIFS(E1263:E1474,K1263:K1474,"0",B1263:B1474,"5 1 3 5 5 12 31111 6*")</f>
        <v>189155.25</v>
      </c>
      <c r="E1262" s="54"/>
      <c r="F1262" s="83">
        <f>SUMIFS(F1263:F1474,K1263:K1474,"0",B1263:B1474,"5 1 3 5 5 12 31111 6*")</f>
        <v>0</v>
      </c>
      <c r="G1262" s="83">
        <f>SUMIFS(G1263:G1474,K1263:K1474,"0",B1263:B1474,"5 1 3 5 5 12 31111 6*")</f>
        <v>0</v>
      </c>
      <c r="H1262" s="83">
        <f t="shared" si="21"/>
        <v>189155.25</v>
      </c>
      <c r="I1262" s="83"/>
      <c r="K1262" s="54" t="s">
        <v>15</v>
      </c>
    </row>
    <row r="1263" spans="2:11" ht="16.5" x14ac:dyDescent="0.2">
      <c r="B1263" s="82" t="s">
        <v>8886</v>
      </c>
      <c r="C1263" s="82" t="s">
        <v>2284</v>
      </c>
      <c r="D1263" s="83">
        <f>SUMIFS(D1264:D1474,K1264:K1474,"0",B1264:B1474,"5 1 3 5 5 12 31111 6 M59*")-SUMIFS(E1264:E1474,K1264:K1474,"0",B1264:B1474,"5 1 3 5 5 12 31111 6 M59*")</f>
        <v>189155.25</v>
      </c>
      <c r="E1263" s="54"/>
      <c r="F1263" s="83">
        <f>SUMIFS(F1264:F1474,K1264:K1474,"0",B1264:B1474,"5 1 3 5 5 12 31111 6 M59*")</f>
        <v>0</v>
      </c>
      <c r="G1263" s="83">
        <f>SUMIFS(G1264:G1474,K1264:K1474,"0",B1264:B1474,"5 1 3 5 5 12 31111 6 M59*")</f>
        <v>0</v>
      </c>
      <c r="H1263" s="83">
        <f t="shared" si="21"/>
        <v>189155.25</v>
      </c>
      <c r="I1263" s="83"/>
      <c r="K1263" s="54" t="s">
        <v>15</v>
      </c>
    </row>
    <row r="1264" spans="2:11" ht="16.5" x14ac:dyDescent="0.2">
      <c r="B1264" s="82" t="s">
        <v>8932</v>
      </c>
      <c r="C1264" s="82" t="s">
        <v>1308</v>
      </c>
      <c r="D1264" s="83">
        <f>SUMIFS(D1265:D1474,K1265:K1474,"0",B1265:B1474,"5 1 3 5 5 12 31111 6 M59 96300*")-SUMIFS(E1265:E1474,K1265:K1474,"0",B1265:B1474,"5 1 3 5 5 12 31111 6 M59 96300*")</f>
        <v>189155.25</v>
      </c>
      <c r="E1264" s="54"/>
      <c r="F1264" s="83">
        <f>SUMIFS(F1265:F1474,K1265:K1474,"0",B1265:B1474,"5 1 3 5 5 12 31111 6 M59 96300*")</f>
        <v>0</v>
      </c>
      <c r="G1264" s="83">
        <f>SUMIFS(G1265:G1474,K1265:K1474,"0",B1265:B1474,"5 1 3 5 5 12 31111 6 M59 96300*")</f>
        <v>0</v>
      </c>
      <c r="H1264" s="83">
        <f t="shared" si="21"/>
        <v>189155.25</v>
      </c>
      <c r="I1264" s="83"/>
      <c r="K1264" s="54" t="s">
        <v>15</v>
      </c>
    </row>
    <row r="1265" spans="2:11" ht="16.5" x14ac:dyDescent="0.2">
      <c r="B1265" s="82" t="s">
        <v>8933</v>
      </c>
      <c r="C1265" s="82" t="s">
        <v>1310</v>
      </c>
      <c r="D1265" s="83">
        <f>SUMIFS(D1266:D1474,K1266:K1474,"0",B1266:B1474,"5 1 3 5 5 12 31111 6 M59 96300 000211*")-SUMIFS(E1266:E1474,K1266:K1474,"0",B1266:B1474,"5 1 3 5 5 12 31111 6 M59 96300 000211*")</f>
        <v>189155.25</v>
      </c>
      <c r="E1265" s="54"/>
      <c r="F1265" s="83">
        <f>SUMIFS(F1266:F1474,K1266:K1474,"0",B1266:B1474,"5 1 3 5 5 12 31111 6 M59 96300 000211*")</f>
        <v>0</v>
      </c>
      <c r="G1265" s="83">
        <f>SUMIFS(G1266:G1474,K1266:K1474,"0",B1266:B1474,"5 1 3 5 5 12 31111 6 M59 96300 000211*")</f>
        <v>0</v>
      </c>
      <c r="H1265" s="83">
        <f t="shared" si="21"/>
        <v>189155.25</v>
      </c>
      <c r="I1265" s="83"/>
      <c r="K1265" s="54" t="s">
        <v>15</v>
      </c>
    </row>
    <row r="1266" spans="2:11" ht="24.75" x14ac:dyDescent="0.2">
      <c r="B1266" s="82" t="s">
        <v>8934</v>
      </c>
      <c r="C1266" s="82" t="s">
        <v>1065</v>
      </c>
      <c r="D1266" s="83">
        <f>SUMIFS(D1267:D1474,K1267:K1474,"0",B1267:B1474,"5 1 3 5 5 12 31111 6 M59 96300 000211 0000E*")-SUMIFS(E1267:E1474,K1267:K1474,"0",B1267:B1474,"5 1 3 5 5 12 31111 6 M59 96300 000211 0000E*")</f>
        <v>189155.25</v>
      </c>
      <c r="E1266" s="54"/>
      <c r="F1266" s="83">
        <f>SUMIFS(F1267:F1474,K1267:K1474,"0",B1267:B1474,"5 1 3 5 5 12 31111 6 M59 96300 000211 0000E*")</f>
        <v>0</v>
      </c>
      <c r="G1266" s="83">
        <f>SUMIFS(G1267:G1474,K1267:K1474,"0",B1267:B1474,"5 1 3 5 5 12 31111 6 M59 96300 000211 0000E*")</f>
        <v>0</v>
      </c>
      <c r="H1266" s="83">
        <f t="shared" si="21"/>
        <v>189155.25</v>
      </c>
      <c r="I1266" s="83"/>
      <c r="K1266" s="54" t="s">
        <v>15</v>
      </c>
    </row>
    <row r="1267" spans="2:11" ht="24.75" x14ac:dyDescent="0.2">
      <c r="B1267" s="82" t="s">
        <v>8935</v>
      </c>
      <c r="C1267" s="82" t="s">
        <v>282</v>
      </c>
      <c r="D1267" s="83">
        <f>SUMIFS(D1268:D1474,K1268:K1474,"0",B1268:B1474,"5 1 3 5 5 12 31111 6 M59 96300 000211 0000E 00001*")-SUMIFS(E1268:E1474,K1268:K1474,"0",B1268:B1474,"5 1 3 5 5 12 31111 6 M59 96300 000211 0000E 00001*")</f>
        <v>189155.25</v>
      </c>
      <c r="E1267" s="54"/>
      <c r="F1267" s="83">
        <f>SUMIFS(F1268:F1474,K1268:K1474,"0",B1268:B1474,"5 1 3 5 5 12 31111 6 M59 96300 000211 0000E 00001*")</f>
        <v>0</v>
      </c>
      <c r="G1267" s="83">
        <f>SUMIFS(G1268:G1474,K1268:K1474,"0",B1268:B1474,"5 1 3 5 5 12 31111 6 M59 96300 000211 0000E 00001*")</f>
        <v>0</v>
      </c>
      <c r="H1267" s="83">
        <f t="shared" si="21"/>
        <v>189155.25</v>
      </c>
      <c r="I1267" s="83"/>
      <c r="K1267" s="54" t="s">
        <v>15</v>
      </c>
    </row>
    <row r="1268" spans="2:11" ht="24.75" x14ac:dyDescent="0.2">
      <c r="B1268" s="82" t="s">
        <v>8936</v>
      </c>
      <c r="C1268" s="82" t="s">
        <v>8892</v>
      </c>
      <c r="D1268" s="83">
        <f>SUMIFS(D1269:D1474,K1269:K1474,"0",B1269:B1474,"5 1 3 5 5 12 31111 6 M59 96300 000211 0000E 00001 00355*")-SUMIFS(E1269:E1474,K1269:K1474,"0",B1269:B1474,"5 1 3 5 5 12 31111 6 M59 96300 000211 0000E 00001 00355*")</f>
        <v>189155.25</v>
      </c>
      <c r="E1268" s="54"/>
      <c r="F1268" s="83">
        <f>SUMIFS(F1269:F1474,K1269:K1474,"0",B1269:B1474,"5 1 3 5 5 12 31111 6 M59 96300 000211 0000E 00001 00355*")</f>
        <v>0</v>
      </c>
      <c r="G1268" s="83">
        <f>SUMIFS(G1269:G1474,K1269:K1474,"0",B1269:B1474,"5 1 3 5 5 12 31111 6 M59 96300 000211 0000E 00001 00355*")</f>
        <v>0</v>
      </c>
      <c r="H1268" s="83">
        <f t="shared" si="21"/>
        <v>189155.25</v>
      </c>
      <c r="I1268" s="83"/>
      <c r="K1268" s="54" t="s">
        <v>15</v>
      </c>
    </row>
    <row r="1269" spans="2:11" ht="33" x14ac:dyDescent="0.2">
      <c r="B1269" s="82" t="s">
        <v>8937</v>
      </c>
      <c r="C1269" s="82" t="s">
        <v>699</v>
      </c>
      <c r="D1269" s="83">
        <f>SUMIFS(D1270:D1474,K1270:K1474,"0",B1270:B1474,"5 1 3 5 5 12 31111 6 M59 96300 000211 0000E 00001 00355 011*")-SUMIFS(E1270:E1474,K1270:K1474,"0",B1270:B1474,"5 1 3 5 5 12 31111 6 M59 96300 000211 0000E 00001 00355 011*")</f>
        <v>189155.25</v>
      </c>
      <c r="E1269" s="54"/>
      <c r="F1269" s="83">
        <f>SUMIFS(F1270:F1474,K1270:K1474,"0",B1270:B1474,"5 1 3 5 5 12 31111 6 M59 96300 000211 0000E 00001 00355 011*")</f>
        <v>0</v>
      </c>
      <c r="G1269" s="83">
        <f>SUMIFS(G1270:G1474,K1270:K1474,"0",B1270:B1474,"5 1 3 5 5 12 31111 6 M59 96300 000211 0000E 00001 00355 011*")</f>
        <v>0</v>
      </c>
      <c r="H1269" s="83">
        <f t="shared" si="21"/>
        <v>189155.25</v>
      </c>
      <c r="I1269" s="83"/>
      <c r="K1269" s="54" t="s">
        <v>15</v>
      </c>
    </row>
    <row r="1270" spans="2:11" ht="33" x14ac:dyDescent="0.2">
      <c r="B1270" s="82" t="s">
        <v>8938</v>
      </c>
      <c r="C1270" s="82" t="s">
        <v>5830</v>
      </c>
      <c r="D1270" s="83">
        <f>SUMIFS(D1271:D1474,K1271:K1474,"0",B1271:B1474,"5 1 3 5 5 12 31111 6 M59 96300 000211 0000E 00001 00355 011 2112000*")-SUMIFS(E1271:E1474,K1271:K1474,"0",B1271:B1474,"5 1 3 5 5 12 31111 6 M59 96300 000211 0000E 00001 00355 011 2112000*")</f>
        <v>189155.25</v>
      </c>
      <c r="E1270" s="54"/>
      <c r="F1270" s="83">
        <f>SUMIFS(F1271:F1474,K1271:K1474,"0",B1271:B1474,"5 1 3 5 5 12 31111 6 M59 96300 000211 0000E 00001 00355 011 2112000*")</f>
        <v>0</v>
      </c>
      <c r="G1270" s="83">
        <f>SUMIFS(G1271:G1474,K1271:K1474,"0",B1271:B1474,"5 1 3 5 5 12 31111 6 M59 96300 000211 0000E 00001 00355 011 2112000*")</f>
        <v>0</v>
      </c>
      <c r="H1270" s="83">
        <f t="shared" si="21"/>
        <v>189155.25</v>
      </c>
      <c r="I1270" s="83"/>
      <c r="K1270" s="54" t="s">
        <v>15</v>
      </c>
    </row>
    <row r="1271" spans="2:11" ht="33" x14ac:dyDescent="0.2">
      <c r="B1271" s="82" t="s">
        <v>8939</v>
      </c>
      <c r="C1271" s="82" t="s">
        <v>660</v>
      </c>
      <c r="D1271" s="83">
        <f>SUMIFS(D1272:D1474,K1272:K1474,"0",B1272:B1474,"5 1 3 5 5 12 31111 6 M59 96300 000211 0000E 00001 00355 011 2112000 2024*")-SUMIFS(E1272:E1474,K1272:K1474,"0",B1272:B1474,"5 1 3 5 5 12 31111 6 M59 96300 000211 0000E 00001 00355 011 2112000 2024*")</f>
        <v>189155.25</v>
      </c>
      <c r="E1271" s="54"/>
      <c r="F1271" s="83">
        <f>SUMIFS(F1272:F1474,K1272:K1474,"0",B1272:B1474,"5 1 3 5 5 12 31111 6 M59 96300 000211 0000E 00001 00355 011 2112000 2024*")</f>
        <v>0</v>
      </c>
      <c r="G1271" s="83">
        <f>SUMIFS(G1272:G1474,K1272:K1474,"0",B1272:B1474,"5 1 3 5 5 12 31111 6 M59 96300 000211 0000E 00001 00355 011 2112000 2024*")</f>
        <v>0</v>
      </c>
      <c r="H1271" s="83">
        <f t="shared" si="21"/>
        <v>189155.25</v>
      </c>
      <c r="I1271" s="83"/>
      <c r="K1271" s="54" t="s">
        <v>15</v>
      </c>
    </row>
    <row r="1272" spans="2:11" ht="41.25" x14ac:dyDescent="0.2">
      <c r="B1272" s="82" t="s">
        <v>8940</v>
      </c>
      <c r="C1272" s="82" t="s">
        <v>6757</v>
      </c>
      <c r="D1272" s="83">
        <f>SUMIFS(D1273:D1474,K1273:K1474,"0",B1273:B1474,"5 1 3 5 5 12 31111 6 M59 96300 000211 0000E 00001 00355 011 2112000 2024 CP3SB474*")-SUMIFS(E1273:E1474,K1273:K1474,"0",B1273:B1474,"5 1 3 5 5 12 31111 6 M59 96300 000211 0000E 00001 00355 011 2112000 2024 CP3SB474*")</f>
        <v>189155.25</v>
      </c>
      <c r="E1272" s="54"/>
      <c r="F1272" s="83">
        <f>SUMIFS(F1273:F1474,K1273:K1474,"0",B1273:B1474,"5 1 3 5 5 12 31111 6 M59 96300 000211 0000E 00001 00355 011 2112000 2024 CP3SB474*")</f>
        <v>0</v>
      </c>
      <c r="G1272" s="83">
        <f>SUMIFS(G1273:G1474,K1273:K1474,"0",B1273:B1474,"5 1 3 5 5 12 31111 6 M59 96300 000211 0000E 00001 00355 011 2112000 2024 CP3SB474*")</f>
        <v>0</v>
      </c>
      <c r="H1272" s="83">
        <f t="shared" si="21"/>
        <v>189155.25</v>
      </c>
      <c r="I1272" s="83"/>
      <c r="K1272" s="54" t="s">
        <v>15</v>
      </c>
    </row>
    <row r="1273" spans="2:11" ht="41.25" x14ac:dyDescent="0.2">
      <c r="B1273" s="82" t="s">
        <v>8941</v>
      </c>
      <c r="C1273" s="82" t="s">
        <v>2284</v>
      </c>
      <c r="D1273" s="83">
        <f>SUMIFS(D1274:D1474,K1274:K1474,"0",B1274:B1474,"5 1 3 5 5 12 31111 6 M59 96300 000211 0000E 00001 00355 011 2112000 2024 CP3SB474 004*")-SUMIFS(E1274:E1474,K1274:K1474,"0",B1274:B1474,"5 1 3 5 5 12 31111 6 M59 96300 000211 0000E 00001 00355 011 2112000 2024 CP3SB474 004*")</f>
        <v>189155.25</v>
      </c>
      <c r="E1273" s="54"/>
      <c r="F1273" s="83">
        <f>SUMIFS(F1274:F1474,K1274:K1474,"0",B1274:B1474,"5 1 3 5 5 12 31111 6 M59 96300 000211 0000E 00001 00355 011 2112000 2024 CP3SB474 004*")</f>
        <v>0</v>
      </c>
      <c r="G1273" s="83">
        <f>SUMIFS(G1274:G1474,K1274:K1474,"0",B1274:B1474,"5 1 3 5 5 12 31111 6 M59 96300 000211 0000E 00001 00355 011 2112000 2024 CP3SB474 004*")</f>
        <v>0</v>
      </c>
      <c r="H1273" s="83">
        <f t="shared" si="21"/>
        <v>189155.25</v>
      </c>
      <c r="I1273" s="83"/>
      <c r="K1273" s="54" t="s">
        <v>15</v>
      </c>
    </row>
    <row r="1274" spans="2:11" ht="33" x14ac:dyDescent="0.2">
      <c r="B1274" s="84" t="s">
        <v>8942</v>
      </c>
      <c r="C1274" s="84" t="s">
        <v>2284</v>
      </c>
      <c r="D1274" s="85">
        <v>189155.25</v>
      </c>
      <c r="E1274" s="85"/>
      <c r="F1274" s="85">
        <v>0</v>
      </c>
      <c r="G1274" s="85">
        <v>0</v>
      </c>
      <c r="H1274" s="85">
        <f t="shared" si="21"/>
        <v>189155.25</v>
      </c>
      <c r="I1274" s="85"/>
      <c r="K1274" s="54" t="s">
        <v>38</v>
      </c>
    </row>
    <row r="1275" spans="2:11" ht="16.5" x14ac:dyDescent="0.2">
      <c r="B1275" s="82" t="s">
        <v>8979</v>
      </c>
      <c r="C1275" s="82" t="s">
        <v>8980</v>
      </c>
      <c r="D1275" s="83">
        <f>SUMIFS(D1276:D1474,K1276:K1474,"0",B1276:B1474,"5 1 3 6*")-SUMIFS(E1276:E1474,K1276:K1474,"0",B1276:B1474,"5 1 3 6*")</f>
        <v>73491.259999999995</v>
      </c>
      <c r="E1275" s="54"/>
      <c r="F1275" s="83">
        <f>SUMIFS(F1276:F1474,K1276:K1474,"0",B1276:B1474,"5 1 3 6*")</f>
        <v>10150.01</v>
      </c>
      <c r="G1275" s="83">
        <f>SUMIFS(G1276:G1474,K1276:K1474,"0",B1276:B1474,"5 1 3 6*")</f>
        <v>0</v>
      </c>
      <c r="H1275" s="83">
        <f t="shared" si="21"/>
        <v>83641.26999999999</v>
      </c>
      <c r="I1275" s="83"/>
      <c r="K1275" s="54" t="s">
        <v>15</v>
      </c>
    </row>
    <row r="1276" spans="2:11" ht="41.25" x14ac:dyDescent="0.2">
      <c r="B1276" s="82" t="s">
        <v>8981</v>
      </c>
      <c r="C1276" s="82" t="s">
        <v>8982</v>
      </c>
      <c r="D1276" s="83">
        <f>SUMIFS(D1277:D1474,K1277:K1474,"0",B1277:B1474,"5 1 3 6 1*")-SUMIFS(E1277:E1474,K1277:K1474,"0",B1277:B1474,"5 1 3 6 1*")</f>
        <v>73491.259999999995</v>
      </c>
      <c r="E1276" s="54"/>
      <c r="F1276" s="83">
        <f>SUMIFS(F1277:F1474,K1277:K1474,"0",B1277:B1474,"5 1 3 6 1*")</f>
        <v>10150.01</v>
      </c>
      <c r="G1276" s="83">
        <f>SUMIFS(G1277:G1474,K1277:K1474,"0",B1277:B1474,"5 1 3 6 1*")</f>
        <v>0</v>
      </c>
      <c r="H1276" s="83">
        <f t="shared" si="21"/>
        <v>83641.26999999999</v>
      </c>
      <c r="I1276" s="83"/>
      <c r="K1276" s="54" t="s">
        <v>15</v>
      </c>
    </row>
    <row r="1277" spans="2:11" ht="12.75" x14ac:dyDescent="0.2">
      <c r="B1277" s="82" t="s">
        <v>8983</v>
      </c>
      <c r="C1277" s="82" t="s">
        <v>26</v>
      </c>
      <c r="D1277" s="83">
        <f>SUMIFS(D1278:D1474,K1278:K1474,"0",B1278:B1474,"5 1 3 6 1 12*")-SUMIFS(E1278:E1474,K1278:K1474,"0",B1278:B1474,"5 1 3 6 1 12*")</f>
        <v>73491.259999999995</v>
      </c>
      <c r="E1277" s="54"/>
      <c r="F1277" s="83">
        <f>SUMIFS(F1278:F1474,K1278:K1474,"0",B1278:B1474,"5 1 3 6 1 12*")</f>
        <v>10150.01</v>
      </c>
      <c r="G1277" s="83">
        <f>SUMIFS(G1278:G1474,K1278:K1474,"0",B1278:B1474,"5 1 3 6 1 12*")</f>
        <v>0</v>
      </c>
      <c r="H1277" s="83">
        <f t="shared" si="21"/>
        <v>83641.26999999999</v>
      </c>
      <c r="I1277" s="83"/>
      <c r="K1277" s="54" t="s">
        <v>15</v>
      </c>
    </row>
    <row r="1278" spans="2:11" ht="16.5" x14ac:dyDescent="0.2">
      <c r="B1278" s="82" t="s">
        <v>8984</v>
      </c>
      <c r="C1278" s="82" t="s">
        <v>28</v>
      </c>
      <c r="D1278" s="83">
        <f>SUMIFS(D1279:D1474,K1279:K1474,"0",B1279:B1474,"5 1 3 6 1 12 31111*")-SUMIFS(E1279:E1474,K1279:K1474,"0",B1279:B1474,"5 1 3 6 1 12 31111*")</f>
        <v>73491.259999999995</v>
      </c>
      <c r="E1278" s="54"/>
      <c r="F1278" s="83">
        <f>SUMIFS(F1279:F1474,K1279:K1474,"0",B1279:B1474,"5 1 3 6 1 12 31111*")</f>
        <v>10150.01</v>
      </c>
      <c r="G1278" s="83">
        <f>SUMIFS(G1279:G1474,K1279:K1474,"0",B1279:B1474,"5 1 3 6 1 12 31111*")</f>
        <v>0</v>
      </c>
      <c r="H1278" s="83">
        <f t="shared" si="21"/>
        <v>83641.26999999999</v>
      </c>
      <c r="I1278" s="83"/>
      <c r="K1278" s="54" t="s">
        <v>15</v>
      </c>
    </row>
    <row r="1279" spans="2:11" ht="12.75" x14ac:dyDescent="0.2">
      <c r="B1279" s="82" t="s">
        <v>8985</v>
      </c>
      <c r="C1279" s="82" t="s">
        <v>30</v>
      </c>
      <c r="D1279" s="83">
        <f>SUMIFS(D1280:D1474,K1280:K1474,"0",B1280:B1474,"5 1 3 6 1 12 31111 6*")-SUMIFS(E1280:E1474,K1280:K1474,"0",B1280:B1474,"5 1 3 6 1 12 31111 6*")</f>
        <v>73491.259999999995</v>
      </c>
      <c r="E1279" s="54"/>
      <c r="F1279" s="83">
        <f>SUMIFS(F1280:F1474,K1280:K1474,"0",B1280:B1474,"5 1 3 6 1 12 31111 6*")</f>
        <v>10150.01</v>
      </c>
      <c r="G1279" s="83">
        <f>SUMIFS(G1280:G1474,K1280:K1474,"0",B1280:B1474,"5 1 3 6 1 12 31111 6*")</f>
        <v>0</v>
      </c>
      <c r="H1279" s="83">
        <f t="shared" si="21"/>
        <v>83641.26999999999</v>
      </c>
      <c r="I1279" s="83"/>
      <c r="K1279" s="54" t="s">
        <v>15</v>
      </c>
    </row>
    <row r="1280" spans="2:11" ht="16.5" x14ac:dyDescent="0.2">
      <c r="B1280" s="82" t="s">
        <v>8986</v>
      </c>
      <c r="C1280" s="82" t="s">
        <v>2284</v>
      </c>
      <c r="D1280" s="83">
        <f>SUMIFS(D1281:D1474,K1281:K1474,"0",B1281:B1474,"5 1 3 6 1 12 31111 6 M59*")-SUMIFS(E1281:E1474,K1281:K1474,"0",B1281:B1474,"5 1 3 6 1 12 31111 6 M59*")</f>
        <v>73491.259999999995</v>
      </c>
      <c r="E1280" s="54"/>
      <c r="F1280" s="83">
        <f>SUMIFS(F1281:F1474,K1281:K1474,"0",B1281:B1474,"5 1 3 6 1 12 31111 6 M59*")</f>
        <v>10150.01</v>
      </c>
      <c r="G1280" s="83">
        <f>SUMIFS(G1281:G1474,K1281:K1474,"0",B1281:B1474,"5 1 3 6 1 12 31111 6 M59*")</f>
        <v>0</v>
      </c>
      <c r="H1280" s="83">
        <f t="shared" si="21"/>
        <v>83641.26999999999</v>
      </c>
      <c r="I1280" s="83"/>
      <c r="K1280" s="54" t="s">
        <v>15</v>
      </c>
    </row>
    <row r="1281" spans="2:11" ht="16.5" x14ac:dyDescent="0.2">
      <c r="B1281" s="82" t="s">
        <v>8987</v>
      </c>
      <c r="C1281" s="82" t="s">
        <v>2946</v>
      </c>
      <c r="D1281" s="83">
        <f>SUMIFS(D1282:D1474,K1282:K1474,"0",B1282:B1474,"5 1 3 6 1 12 31111 6 M59 10300*")-SUMIFS(E1282:E1474,K1282:K1474,"0",B1282:B1474,"5 1 3 6 1 12 31111 6 M59 10300*")</f>
        <v>73491.259999999995</v>
      </c>
      <c r="E1281" s="54"/>
      <c r="F1281" s="83">
        <f>SUMIFS(F1282:F1474,K1282:K1474,"0",B1282:B1474,"5 1 3 6 1 12 31111 6 M59 10300*")</f>
        <v>10150.01</v>
      </c>
      <c r="G1281" s="83">
        <f>SUMIFS(G1282:G1474,K1282:K1474,"0",B1282:B1474,"5 1 3 6 1 12 31111 6 M59 10300*")</f>
        <v>0</v>
      </c>
      <c r="H1281" s="83">
        <f t="shared" si="21"/>
        <v>83641.26999999999</v>
      </c>
      <c r="I1281" s="83"/>
      <c r="K1281" s="54" t="s">
        <v>15</v>
      </c>
    </row>
    <row r="1282" spans="2:11" ht="16.5" x14ac:dyDescent="0.2">
      <c r="B1282" s="82" t="s">
        <v>8999</v>
      </c>
      <c r="C1282" s="82" t="s">
        <v>1063</v>
      </c>
      <c r="D1282" s="83">
        <f>SUMIFS(D1283:D1474,K1283:K1474,"0",B1283:B1474,"5 1 3 6 1 12 31111 6 M59 10300 000139*")-SUMIFS(E1283:E1474,K1283:K1474,"0",B1283:B1474,"5 1 3 6 1 12 31111 6 M59 10300 000139*")</f>
        <v>73491.259999999995</v>
      </c>
      <c r="E1282" s="54"/>
      <c r="F1282" s="83">
        <f>SUMIFS(F1283:F1474,K1283:K1474,"0",B1283:B1474,"5 1 3 6 1 12 31111 6 M59 10300 000139*")</f>
        <v>10150.01</v>
      </c>
      <c r="G1282" s="83">
        <f>SUMIFS(G1283:G1474,K1283:K1474,"0",B1283:B1474,"5 1 3 6 1 12 31111 6 M59 10300 000139*")</f>
        <v>0</v>
      </c>
      <c r="H1282" s="83">
        <f t="shared" si="21"/>
        <v>83641.26999999999</v>
      </c>
      <c r="I1282" s="83"/>
      <c r="K1282" s="54" t="s">
        <v>15</v>
      </c>
    </row>
    <row r="1283" spans="2:11" ht="24.75" x14ac:dyDescent="0.2">
      <c r="B1283" s="82" t="s">
        <v>9000</v>
      </c>
      <c r="C1283" s="82" t="s">
        <v>1065</v>
      </c>
      <c r="D1283" s="83">
        <f>SUMIFS(D1284:D1474,K1284:K1474,"0",B1284:B1474,"5 1 3 6 1 12 31111 6 M59 10300 000139 0000E*")-SUMIFS(E1284:E1474,K1284:K1474,"0",B1284:B1474,"5 1 3 6 1 12 31111 6 M59 10300 000139 0000E*")</f>
        <v>73491.259999999995</v>
      </c>
      <c r="E1283" s="54"/>
      <c r="F1283" s="83">
        <f>SUMIFS(F1284:F1474,K1284:K1474,"0",B1284:B1474,"5 1 3 6 1 12 31111 6 M59 10300 000139 0000E*")</f>
        <v>10150.01</v>
      </c>
      <c r="G1283" s="83">
        <f>SUMIFS(G1284:G1474,K1284:K1474,"0",B1284:B1474,"5 1 3 6 1 12 31111 6 M59 10300 000139 0000E*")</f>
        <v>0</v>
      </c>
      <c r="H1283" s="83">
        <f t="shared" si="21"/>
        <v>83641.26999999999</v>
      </c>
      <c r="I1283" s="83"/>
      <c r="K1283" s="54" t="s">
        <v>15</v>
      </c>
    </row>
    <row r="1284" spans="2:11" ht="24.75" x14ac:dyDescent="0.2">
      <c r="B1284" s="82" t="s">
        <v>9001</v>
      </c>
      <c r="C1284" s="82" t="s">
        <v>282</v>
      </c>
      <c r="D1284" s="83">
        <f>SUMIFS(D1285:D1474,K1285:K1474,"0",B1285:B1474,"5 1 3 6 1 12 31111 6 M59 10300 000139 0000E 00001*")-SUMIFS(E1285:E1474,K1285:K1474,"0",B1285:B1474,"5 1 3 6 1 12 31111 6 M59 10300 000139 0000E 00001*")</f>
        <v>73491.259999999995</v>
      </c>
      <c r="E1284" s="54"/>
      <c r="F1284" s="83">
        <f>SUMIFS(F1285:F1474,K1285:K1474,"0",B1285:B1474,"5 1 3 6 1 12 31111 6 M59 10300 000139 0000E 00001*")</f>
        <v>10150.01</v>
      </c>
      <c r="G1284" s="83">
        <f>SUMIFS(G1285:G1474,K1285:K1474,"0",B1285:B1474,"5 1 3 6 1 12 31111 6 M59 10300 000139 0000E 00001*")</f>
        <v>0</v>
      </c>
      <c r="H1284" s="83">
        <f t="shared" si="21"/>
        <v>83641.26999999999</v>
      </c>
      <c r="I1284" s="83"/>
      <c r="K1284" s="54" t="s">
        <v>15</v>
      </c>
    </row>
    <row r="1285" spans="2:11" ht="41.25" x14ac:dyDescent="0.2">
      <c r="B1285" s="82" t="s">
        <v>9002</v>
      </c>
      <c r="C1285" s="82" t="s">
        <v>8992</v>
      </c>
      <c r="D1285" s="83">
        <f>SUMIFS(D1286:D1474,K1286:K1474,"0",B1286:B1474,"5 1 3 6 1 12 31111 6 M59 10300 000139 0000E 00001 00361*")-SUMIFS(E1286:E1474,K1286:K1474,"0",B1286:B1474,"5 1 3 6 1 12 31111 6 M59 10300 000139 0000E 00001 00361*")</f>
        <v>73491.259999999995</v>
      </c>
      <c r="E1285" s="54"/>
      <c r="F1285" s="83">
        <f>SUMIFS(F1286:F1474,K1286:K1474,"0",B1286:B1474,"5 1 3 6 1 12 31111 6 M59 10300 000139 0000E 00001 00361*")</f>
        <v>10150.01</v>
      </c>
      <c r="G1285" s="83">
        <f>SUMIFS(G1286:G1474,K1286:K1474,"0",B1286:B1474,"5 1 3 6 1 12 31111 6 M59 10300 000139 0000E 00001 00361*")</f>
        <v>0</v>
      </c>
      <c r="H1285" s="83">
        <f t="shared" si="21"/>
        <v>83641.26999999999</v>
      </c>
      <c r="I1285" s="83"/>
      <c r="K1285" s="54" t="s">
        <v>15</v>
      </c>
    </row>
    <row r="1286" spans="2:11" ht="33" x14ac:dyDescent="0.2">
      <c r="B1286" s="82" t="s">
        <v>9003</v>
      </c>
      <c r="C1286" s="82" t="s">
        <v>699</v>
      </c>
      <c r="D1286" s="83">
        <f>SUMIFS(D1287:D1474,K1287:K1474,"0",B1287:B1474,"5 1 3 6 1 12 31111 6 M59 10300 000139 0000E 00001 00361 011*")-SUMIFS(E1287:E1474,K1287:K1474,"0",B1287:B1474,"5 1 3 6 1 12 31111 6 M59 10300 000139 0000E 00001 00361 011*")</f>
        <v>73491.259999999995</v>
      </c>
      <c r="E1286" s="54"/>
      <c r="F1286" s="83">
        <f>SUMIFS(F1287:F1474,K1287:K1474,"0",B1287:B1474,"5 1 3 6 1 12 31111 6 M59 10300 000139 0000E 00001 00361 011*")</f>
        <v>10150.01</v>
      </c>
      <c r="G1286" s="83">
        <f>SUMIFS(G1287:G1474,K1287:K1474,"0",B1287:B1474,"5 1 3 6 1 12 31111 6 M59 10300 000139 0000E 00001 00361 011*")</f>
        <v>0</v>
      </c>
      <c r="H1286" s="83">
        <f t="shared" si="21"/>
        <v>83641.26999999999</v>
      </c>
      <c r="I1286" s="83"/>
      <c r="K1286" s="54" t="s">
        <v>15</v>
      </c>
    </row>
    <row r="1287" spans="2:11" ht="33" x14ac:dyDescent="0.2">
      <c r="B1287" s="82" t="s">
        <v>9004</v>
      </c>
      <c r="C1287" s="82" t="s">
        <v>5830</v>
      </c>
      <c r="D1287" s="83">
        <f>SUMIFS(D1288:D1474,K1288:K1474,"0",B1288:B1474,"5 1 3 6 1 12 31111 6 M59 10300 000139 0000E 00001 00361 011 2112000*")-SUMIFS(E1288:E1474,K1288:K1474,"0",B1288:B1474,"5 1 3 6 1 12 31111 6 M59 10300 000139 0000E 00001 00361 011 2112000*")</f>
        <v>73491.259999999995</v>
      </c>
      <c r="E1287" s="54"/>
      <c r="F1287" s="83">
        <f>SUMIFS(F1288:F1474,K1288:K1474,"0",B1288:B1474,"5 1 3 6 1 12 31111 6 M59 10300 000139 0000E 00001 00361 011 2112000*")</f>
        <v>10150.01</v>
      </c>
      <c r="G1287" s="83">
        <f>SUMIFS(G1288:G1474,K1288:K1474,"0",B1288:B1474,"5 1 3 6 1 12 31111 6 M59 10300 000139 0000E 00001 00361 011 2112000*")</f>
        <v>0</v>
      </c>
      <c r="H1287" s="83">
        <f t="shared" si="21"/>
        <v>83641.26999999999</v>
      </c>
      <c r="I1287" s="83"/>
      <c r="K1287" s="54" t="s">
        <v>15</v>
      </c>
    </row>
    <row r="1288" spans="2:11" ht="33" x14ac:dyDescent="0.2">
      <c r="B1288" s="82" t="s">
        <v>9005</v>
      </c>
      <c r="C1288" s="82" t="s">
        <v>660</v>
      </c>
      <c r="D1288" s="83">
        <f>SUMIFS(D1289:D1474,K1289:K1474,"0",B1289:B1474,"5 1 3 6 1 12 31111 6 M59 10300 000139 0000E 00001 00361 011 2112000 2024*")-SUMIFS(E1289:E1474,K1289:K1474,"0",B1289:B1474,"5 1 3 6 1 12 31111 6 M59 10300 000139 0000E 00001 00361 011 2112000 2024*")</f>
        <v>73491.259999999995</v>
      </c>
      <c r="E1288" s="54"/>
      <c r="F1288" s="83">
        <f>SUMIFS(F1289:F1474,K1289:K1474,"0",B1289:B1474,"5 1 3 6 1 12 31111 6 M59 10300 000139 0000E 00001 00361 011 2112000 2024*")</f>
        <v>10150.01</v>
      </c>
      <c r="G1288" s="83">
        <f>SUMIFS(G1289:G1474,K1289:K1474,"0",B1289:B1474,"5 1 3 6 1 12 31111 6 M59 10300 000139 0000E 00001 00361 011 2112000 2024*")</f>
        <v>0</v>
      </c>
      <c r="H1288" s="83">
        <f t="shared" si="21"/>
        <v>83641.26999999999</v>
      </c>
      <c r="I1288" s="83"/>
      <c r="K1288" s="54" t="s">
        <v>15</v>
      </c>
    </row>
    <row r="1289" spans="2:11" ht="41.25" x14ac:dyDescent="0.2">
      <c r="B1289" s="82" t="s">
        <v>9006</v>
      </c>
      <c r="C1289" s="82" t="s">
        <v>8510</v>
      </c>
      <c r="D1289" s="83">
        <f>SUMIFS(D1290:D1474,K1290:K1474,"0",B1290:B1474,"5 1 3 6 1 12 31111 6 M59 10300 000139 0000E 00001 00361 011 2112000 2024 CP3GE486*")-SUMIFS(E1290:E1474,K1290:K1474,"0",B1290:B1474,"5 1 3 6 1 12 31111 6 M59 10300 000139 0000E 00001 00361 011 2112000 2024 CP3GE486*")</f>
        <v>73491.259999999995</v>
      </c>
      <c r="E1289" s="54"/>
      <c r="F1289" s="83">
        <f>SUMIFS(F1290:F1474,K1290:K1474,"0",B1290:B1474,"5 1 3 6 1 12 31111 6 M59 10300 000139 0000E 00001 00361 011 2112000 2024 CP3GE486*")</f>
        <v>10150.01</v>
      </c>
      <c r="G1289" s="83">
        <f>SUMIFS(G1290:G1474,K1290:K1474,"0",B1290:B1474,"5 1 3 6 1 12 31111 6 M59 10300 000139 0000E 00001 00361 011 2112000 2024 CP3GE486*")</f>
        <v>0</v>
      </c>
      <c r="H1289" s="83">
        <f t="shared" si="21"/>
        <v>83641.26999999999</v>
      </c>
      <c r="I1289" s="83"/>
      <c r="K1289" s="54" t="s">
        <v>15</v>
      </c>
    </row>
    <row r="1290" spans="2:11" ht="41.25" x14ac:dyDescent="0.2">
      <c r="B1290" s="82" t="s">
        <v>9007</v>
      </c>
      <c r="C1290" s="82" t="s">
        <v>2284</v>
      </c>
      <c r="D1290" s="83">
        <f>SUMIFS(D1291:D1474,K1291:K1474,"0",B1291:B1474,"5 1 3 6 1 12 31111 6 M59 10300 000139 0000E 00001 00361 011 2112000 2024 CP3GE486 004*")-SUMIFS(E1291:E1474,K1291:K1474,"0",B1291:B1474,"5 1 3 6 1 12 31111 6 M59 10300 000139 0000E 00001 00361 011 2112000 2024 CP3GE486 004*")</f>
        <v>73491.259999999995</v>
      </c>
      <c r="E1290" s="54"/>
      <c r="F1290" s="83">
        <f>SUMIFS(F1291:F1474,K1291:K1474,"0",B1291:B1474,"5 1 3 6 1 12 31111 6 M59 10300 000139 0000E 00001 00361 011 2112000 2024 CP3GE486 004*")</f>
        <v>10150.01</v>
      </c>
      <c r="G1290" s="83">
        <f>SUMIFS(G1291:G1474,K1291:K1474,"0",B1291:B1474,"5 1 3 6 1 12 31111 6 M59 10300 000139 0000E 00001 00361 011 2112000 2024 CP3GE486 004*")</f>
        <v>0</v>
      </c>
      <c r="H1290" s="83">
        <f t="shared" si="21"/>
        <v>83641.26999999999</v>
      </c>
      <c r="I1290" s="83"/>
      <c r="K1290" s="54" t="s">
        <v>15</v>
      </c>
    </row>
    <row r="1291" spans="2:11" ht="33" x14ac:dyDescent="0.2">
      <c r="B1291" s="84" t="s">
        <v>9008</v>
      </c>
      <c r="C1291" s="84" t="s">
        <v>2284</v>
      </c>
      <c r="D1291" s="85">
        <v>73491.259999999995</v>
      </c>
      <c r="E1291" s="85"/>
      <c r="F1291" s="85">
        <v>10150.01</v>
      </c>
      <c r="G1291" s="85">
        <v>0</v>
      </c>
      <c r="H1291" s="85">
        <f t="shared" si="21"/>
        <v>83641.26999999999</v>
      </c>
      <c r="I1291" s="85"/>
      <c r="K1291" s="54" t="s">
        <v>38</v>
      </c>
    </row>
    <row r="1292" spans="2:11" ht="16.5" x14ac:dyDescent="0.2">
      <c r="B1292" s="82" t="s">
        <v>9021</v>
      </c>
      <c r="C1292" s="82" t="s">
        <v>9022</v>
      </c>
      <c r="D1292" s="83">
        <f>SUMIFS(D1293:D1474,K1293:K1474,"0",B1293:B1474,"5 1 3 7*")-SUMIFS(E1293:E1474,K1293:K1474,"0",B1293:B1474,"5 1 3 7*")</f>
        <v>2705.85</v>
      </c>
      <c r="E1292" s="54"/>
      <c r="F1292" s="83">
        <f>SUMIFS(F1293:F1474,K1293:K1474,"0",B1293:B1474,"5 1 3 7*")</f>
        <v>18922.330000000002</v>
      </c>
      <c r="G1292" s="83">
        <f>SUMIFS(G1293:G1474,K1293:K1474,"0",B1293:B1474,"5 1 3 7*")</f>
        <v>0</v>
      </c>
      <c r="H1292" s="83">
        <f t="shared" si="21"/>
        <v>21628.18</v>
      </c>
      <c r="I1292" s="83"/>
      <c r="K1292" s="54" t="s">
        <v>15</v>
      </c>
    </row>
    <row r="1293" spans="2:11" ht="12.75" x14ac:dyDescent="0.2">
      <c r="B1293" s="82" t="s">
        <v>9023</v>
      </c>
      <c r="C1293" s="82" t="s">
        <v>9024</v>
      </c>
      <c r="D1293" s="83">
        <f>SUMIFS(D1294:D1474,K1294:K1474,"0",B1294:B1474,"5 1 3 7 5*")-SUMIFS(E1294:E1474,K1294:K1474,"0",B1294:B1474,"5 1 3 7 5*")</f>
        <v>2705.85</v>
      </c>
      <c r="E1293" s="54"/>
      <c r="F1293" s="83">
        <f>SUMIFS(F1294:F1474,K1294:K1474,"0",B1294:B1474,"5 1 3 7 5*")</f>
        <v>18922.330000000002</v>
      </c>
      <c r="G1293" s="83">
        <f>SUMIFS(G1294:G1474,K1294:K1474,"0",B1294:B1474,"5 1 3 7 5*")</f>
        <v>0</v>
      </c>
      <c r="H1293" s="83">
        <f t="shared" si="21"/>
        <v>21628.18</v>
      </c>
      <c r="I1293" s="83"/>
      <c r="K1293" s="54" t="s">
        <v>15</v>
      </c>
    </row>
    <row r="1294" spans="2:11" ht="12.75" x14ac:dyDescent="0.2">
      <c r="B1294" s="82" t="s">
        <v>9025</v>
      </c>
      <c r="C1294" s="82" t="s">
        <v>26</v>
      </c>
      <c r="D1294" s="83">
        <f>SUMIFS(D1295:D1474,K1295:K1474,"0",B1295:B1474,"5 1 3 7 5 12*")-SUMIFS(E1295:E1474,K1295:K1474,"0",B1295:B1474,"5 1 3 7 5 12*")</f>
        <v>2705.85</v>
      </c>
      <c r="E1294" s="54"/>
      <c r="F1294" s="83">
        <f>SUMIFS(F1295:F1474,K1295:K1474,"0",B1295:B1474,"5 1 3 7 5 12*")</f>
        <v>18922.330000000002</v>
      </c>
      <c r="G1294" s="83">
        <f>SUMIFS(G1295:G1474,K1295:K1474,"0",B1295:B1474,"5 1 3 7 5 12*")</f>
        <v>0</v>
      </c>
      <c r="H1294" s="83">
        <f t="shared" si="21"/>
        <v>21628.18</v>
      </c>
      <c r="I1294" s="83"/>
      <c r="K1294" s="54" t="s">
        <v>15</v>
      </c>
    </row>
    <row r="1295" spans="2:11" ht="16.5" x14ac:dyDescent="0.2">
      <c r="B1295" s="82" t="s">
        <v>9026</v>
      </c>
      <c r="C1295" s="82" t="s">
        <v>28</v>
      </c>
      <c r="D1295" s="83">
        <f>SUMIFS(D1296:D1474,K1296:K1474,"0",B1296:B1474,"5 1 3 7 5 12 31111*")-SUMIFS(E1296:E1474,K1296:K1474,"0",B1296:B1474,"5 1 3 7 5 12 31111*")</f>
        <v>2705.85</v>
      </c>
      <c r="E1295" s="54"/>
      <c r="F1295" s="83">
        <f>SUMIFS(F1296:F1474,K1296:K1474,"0",B1296:B1474,"5 1 3 7 5 12 31111*")</f>
        <v>18922.330000000002</v>
      </c>
      <c r="G1295" s="83">
        <f>SUMIFS(G1296:G1474,K1296:K1474,"0",B1296:B1474,"5 1 3 7 5 12 31111*")</f>
        <v>0</v>
      </c>
      <c r="H1295" s="83">
        <f t="shared" si="21"/>
        <v>21628.18</v>
      </c>
      <c r="I1295" s="83"/>
      <c r="K1295" s="54" t="s">
        <v>15</v>
      </c>
    </row>
    <row r="1296" spans="2:11" ht="12.75" x14ac:dyDescent="0.2">
      <c r="B1296" s="82" t="s">
        <v>9027</v>
      </c>
      <c r="C1296" s="82" t="s">
        <v>30</v>
      </c>
      <c r="D1296" s="83">
        <f>SUMIFS(D1297:D1474,K1297:K1474,"0",B1297:B1474,"5 1 3 7 5 12 31111 6*")-SUMIFS(E1297:E1474,K1297:K1474,"0",B1297:B1474,"5 1 3 7 5 12 31111 6*")</f>
        <v>2705.85</v>
      </c>
      <c r="E1296" s="54"/>
      <c r="F1296" s="83">
        <f>SUMIFS(F1297:F1474,K1297:K1474,"0",B1297:B1474,"5 1 3 7 5 12 31111 6*")</f>
        <v>18922.330000000002</v>
      </c>
      <c r="G1296" s="83">
        <f>SUMIFS(G1297:G1474,K1297:K1474,"0",B1297:B1474,"5 1 3 7 5 12 31111 6*")</f>
        <v>0</v>
      </c>
      <c r="H1296" s="83">
        <f t="shared" si="21"/>
        <v>21628.18</v>
      </c>
      <c r="I1296" s="83"/>
      <c r="K1296" s="54" t="s">
        <v>15</v>
      </c>
    </row>
    <row r="1297" spans="2:11" ht="16.5" x14ac:dyDescent="0.2">
      <c r="B1297" s="82" t="s">
        <v>9028</v>
      </c>
      <c r="C1297" s="82" t="s">
        <v>2284</v>
      </c>
      <c r="D1297" s="83">
        <f>SUMIFS(D1298:D1474,K1298:K1474,"0",B1298:B1474,"5 1 3 7 5 12 31111 6 M59*")-SUMIFS(E1298:E1474,K1298:K1474,"0",B1298:B1474,"5 1 3 7 5 12 31111 6 M59*")</f>
        <v>2705.85</v>
      </c>
      <c r="E1297" s="54"/>
      <c r="F1297" s="83">
        <f>SUMIFS(F1298:F1474,K1298:K1474,"0",B1298:B1474,"5 1 3 7 5 12 31111 6 M59*")</f>
        <v>18922.330000000002</v>
      </c>
      <c r="G1297" s="83">
        <f>SUMIFS(G1298:G1474,K1298:K1474,"0",B1298:B1474,"5 1 3 7 5 12 31111 6 M59*")</f>
        <v>0</v>
      </c>
      <c r="H1297" s="83">
        <f t="shared" si="21"/>
        <v>21628.18</v>
      </c>
      <c r="I1297" s="83"/>
      <c r="K1297" s="54" t="s">
        <v>15</v>
      </c>
    </row>
    <row r="1298" spans="2:11" ht="16.5" x14ac:dyDescent="0.2">
      <c r="B1298" s="82" t="s">
        <v>9041</v>
      </c>
      <c r="C1298" s="82" t="s">
        <v>1044</v>
      </c>
      <c r="D1298" s="83">
        <f>SUMIFS(D1299:D1474,K1299:K1474,"0",B1299:B1474,"5 1 3 7 5 12 31111 6 M59 19000*")-SUMIFS(E1299:E1474,K1299:K1474,"0",B1299:B1474,"5 1 3 7 5 12 31111 6 M59 19000*")</f>
        <v>0</v>
      </c>
      <c r="E1298" s="54"/>
      <c r="F1298" s="83">
        <f>SUMIFS(F1299:F1474,K1299:K1474,"0",B1299:B1474,"5 1 3 7 5 12 31111 6 M59 19000*")</f>
        <v>18922.330000000002</v>
      </c>
      <c r="G1298" s="83">
        <f>SUMIFS(G1299:G1474,K1299:K1474,"0",B1299:B1474,"5 1 3 7 5 12 31111 6 M59 19000*")</f>
        <v>0</v>
      </c>
      <c r="H1298" s="83">
        <f t="shared" si="21"/>
        <v>18922.330000000002</v>
      </c>
      <c r="I1298" s="83"/>
      <c r="K1298" s="54" t="s">
        <v>15</v>
      </c>
    </row>
    <row r="1299" spans="2:11" ht="16.5" x14ac:dyDescent="0.2">
      <c r="B1299" s="82" t="s">
        <v>9042</v>
      </c>
      <c r="C1299" s="82" t="s">
        <v>648</v>
      </c>
      <c r="D1299" s="83">
        <f>SUMIFS(D1300:D1474,K1300:K1474,"0",B1300:B1474,"5 1 3 7 5 12 31111 6 M59 19000 000132*")-SUMIFS(E1300:E1474,K1300:K1474,"0",B1300:B1474,"5 1 3 7 5 12 31111 6 M59 19000 000132*")</f>
        <v>0</v>
      </c>
      <c r="E1299" s="54"/>
      <c r="F1299" s="83">
        <f>SUMIFS(F1300:F1474,K1300:K1474,"0",B1300:B1474,"5 1 3 7 5 12 31111 6 M59 19000 000132*")</f>
        <v>18922.330000000002</v>
      </c>
      <c r="G1299" s="83">
        <f>SUMIFS(G1300:G1474,K1300:K1474,"0",B1300:B1474,"5 1 3 7 5 12 31111 6 M59 19000 000132*")</f>
        <v>0</v>
      </c>
      <c r="H1299" s="83">
        <f t="shared" si="21"/>
        <v>18922.330000000002</v>
      </c>
      <c r="I1299" s="83"/>
      <c r="K1299" s="54" t="s">
        <v>15</v>
      </c>
    </row>
    <row r="1300" spans="2:11" ht="24.75" x14ac:dyDescent="0.2">
      <c r="B1300" s="82" t="s">
        <v>9043</v>
      </c>
      <c r="C1300" s="82" t="s">
        <v>650</v>
      </c>
      <c r="D1300" s="83">
        <f>SUMIFS(D1301:D1474,K1301:K1474,"0",B1301:B1474,"5 1 3 7 5 12 31111 6 M59 19000 000132 0000R*")-SUMIFS(E1301:E1474,K1301:K1474,"0",B1301:B1474,"5 1 3 7 5 12 31111 6 M59 19000 000132 0000R*")</f>
        <v>0</v>
      </c>
      <c r="E1300" s="54"/>
      <c r="F1300" s="83">
        <f>SUMIFS(F1301:F1474,K1301:K1474,"0",B1301:B1474,"5 1 3 7 5 12 31111 6 M59 19000 000132 0000R*")</f>
        <v>18922.330000000002</v>
      </c>
      <c r="G1300" s="83">
        <f>SUMIFS(G1301:G1474,K1301:K1474,"0",B1301:B1474,"5 1 3 7 5 12 31111 6 M59 19000 000132 0000R*")</f>
        <v>0</v>
      </c>
      <c r="H1300" s="83">
        <f t="shared" si="21"/>
        <v>18922.330000000002</v>
      </c>
      <c r="I1300" s="83"/>
      <c r="K1300" s="54" t="s">
        <v>15</v>
      </c>
    </row>
    <row r="1301" spans="2:11" ht="24.75" x14ac:dyDescent="0.2">
      <c r="B1301" s="82" t="s">
        <v>9044</v>
      </c>
      <c r="C1301" s="82" t="s">
        <v>282</v>
      </c>
      <c r="D1301" s="83">
        <f>SUMIFS(D1302:D1474,K1302:K1474,"0",B1302:B1474,"5 1 3 7 5 12 31111 6 M59 19000 000132 0000R 00001*")-SUMIFS(E1302:E1474,K1302:K1474,"0",B1302:B1474,"5 1 3 7 5 12 31111 6 M59 19000 000132 0000R 00001*")</f>
        <v>0</v>
      </c>
      <c r="E1301" s="54"/>
      <c r="F1301" s="83">
        <f>SUMIFS(F1302:F1474,K1302:K1474,"0",B1302:B1474,"5 1 3 7 5 12 31111 6 M59 19000 000132 0000R 00001*")</f>
        <v>18922.330000000002</v>
      </c>
      <c r="G1301" s="83">
        <f>SUMIFS(G1302:G1474,K1302:K1474,"0",B1302:B1474,"5 1 3 7 5 12 31111 6 M59 19000 000132 0000R 00001*")</f>
        <v>0</v>
      </c>
      <c r="H1301" s="83">
        <f t="shared" si="21"/>
        <v>18922.330000000002</v>
      </c>
      <c r="I1301" s="83"/>
      <c r="K1301" s="54" t="s">
        <v>15</v>
      </c>
    </row>
    <row r="1302" spans="2:11" ht="24.75" x14ac:dyDescent="0.2">
      <c r="B1302" s="82" t="s">
        <v>9045</v>
      </c>
      <c r="C1302" s="82" t="s">
        <v>9034</v>
      </c>
      <c r="D1302" s="83">
        <f>SUMIFS(D1303:D1474,K1303:K1474,"0",B1303:B1474,"5 1 3 7 5 12 31111 6 M59 19000 000132 0000R 00001 00375*")-SUMIFS(E1303:E1474,K1303:K1474,"0",B1303:B1474,"5 1 3 7 5 12 31111 6 M59 19000 000132 0000R 00001 00375*")</f>
        <v>0</v>
      </c>
      <c r="E1302" s="54"/>
      <c r="F1302" s="83">
        <f>SUMIFS(F1303:F1474,K1303:K1474,"0",B1303:B1474,"5 1 3 7 5 12 31111 6 M59 19000 000132 0000R 00001 00375*")</f>
        <v>18922.330000000002</v>
      </c>
      <c r="G1302" s="83">
        <f>SUMIFS(G1303:G1474,K1303:K1474,"0",B1303:B1474,"5 1 3 7 5 12 31111 6 M59 19000 000132 0000R 00001 00375*")</f>
        <v>0</v>
      </c>
      <c r="H1302" s="83">
        <f t="shared" si="21"/>
        <v>18922.330000000002</v>
      </c>
      <c r="I1302" s="83"/>
      <c r="K1302" s="54" t="s">
        <v>15</v>
      </c>
    </row>
    <row r="1303" spans="2:11" ht="33" x14ac:dyDescent="0.2">
      <c r="B1303" s="82" t="s">
        <v>9046</v>
      </c>
      <c r="C1303" s="82" t="s">
        <v>699</v>
      </c>
      <c r="D1303" s="83">
        <f>SUMIFS(D1304:D1474,K1304:K1474,"0",B1304:B1474,"5 1 3 7 5 12 31111 6 M59 19000 000132 0000R 00001 00375 011*")-SUMIFS(E1304:E1474,K1304:K1474,"0",B1304:B1474,"5 1 3 7 5 12 31111 6 M59 19000 000132 0000R 00001 00375 011*")</f>
        <v>0</v>
      </c>
      <c r="E1303" s="54"/>
      <c r="F1303" s="83">
        <f>SUMIFS(F1304:F1474,K1304:K1474,"0",B1304:B1474,"5 1 3 7 5 12 31111 6 M59 19000 000132 0000R 00001 00375 011*")</f>
        <v>18922.330000000002</v>
      </c>
      <c r="G1303" s="83">
        <f>SUMIFS(G1304:G1474,K1304:K1474,"0",B1304:B1474,"5 1 3 7 5 12 31111 6 M59 19000 000132 0000R 00001 00375 011*")</f>
        <v>0</v>
      </c>
      <c r="H1303" s="83">
        <f t="shared" si="21"/>
        <v>18922.330000000002</v>
      </c>
      <c r="I1303" s="83"/>
      <c r="K1303" s="54" t="s">
        <v>15</v>
      </c>
    </row>
    <row r="1304" spans="2:11" ht="33" x14ac:dyDescent="0.2">
      <c r="B1304" s="82" t="s">
        <v>9047</v>
      </c>
      <c r="C1304" s="82" t="s">
        <v>5830</v>
      </c>
      <c r="D1304" s="83">
        <f>SUMIFS(D1305:D1474,K1305:K1474,"0",B1305:B1474,"5 1 3 7 5 12 31111 6 M59 19000 000132 0000R 00001 00375 011 2112000*")-SUMIFS(E1305:E1474,K1305:K1474,"0",B1305:B1474,"5 1 3 7 5 12 31111 6 M59 19000 000132 0000R 00001 00375 011 2112000*")</f>
        <v>0</v>
      </c>
      <c r="E1304" s="54"/>
      <c r="F1304" s="83">
        <f>SUMIFS(F1305:F1474,K1305:K1474,"0",B1305:B1474,"5 1 3 7 5 12 31111 6 M59 19000 000132 0000R 00001 00375 011 2112000*")</f>
        <v>18922.330000000002</v>
      </c>
      <c r="G1304" s="83">
        <f>SUMIFS(G1305:G1474,K1305:K1474,"0",B1305:B1474,"5 1 3 7 5 12 31111 6 M59 19000 000132 0000R 00001 00375 011 2112000*")</f>
        <v>0</v>
      </c>
      <c r="H1304" s="83">
        <f t="shared" si="21"/>
        <v>18922.330000000002</v>
      </c>
      <c r="I1304" s="83"/>
      <c r="K1304" s="54" t="s">
        <v>15</v>
      </c>
    </row>
    <row r="1305" spans="2:11" ht="33" x14ac:dyDescent="0.2">
      <c r="B1305" s="82" t="s">
        <v>9048</v>
      </c>
      <c r="C1305" s="82" t="s">
        <v>660</v>
      </c>
      <c r="D1305" s="83">
        <f>SUMIFS(D1306:D1474,K1306:K1474,"0",B1306:B1474,"5 1 3 7 5 12 31111 6 M59 19000 000132 0000R 00001 00375 011 2112000 2024*")-SUMIFS(E1306:E1474,K1306:K1474,"0",B1306:B1474,"5 1 3 7 5 12 31111 6 M59 19000 000132 0000R 00001 00375 011 2112000 2024*")</f>
        <v>0</v>
      </c>
      <c r="E1305" s="54"/>
      <c r="F1305" s="83">
        <f>SUMIFS(F1306:F1474,K1306:K1474,"0",B1306:B1474,"5 1 3 7 5 12 31111 6 M59 19000 000132 0000R 00001 00375 011 2112000 2024*")</f>
        <v>18922.330000000002</v>
      </c>
      <c r="G1305" s="83">
        <f>SUMIFS(G1306:G1474,K1306:K1474,"0",B1306:B1474,"5 1 3 7 5 12 31111 6 M59 19000 000132 0000R 00001 00375 011 2112000 2024*")</f>
        <v>0</v>
      </c>
      <c r="H1305" s="83">
        <f t="shared" si="21"/>
        <v>18922.330000000002</v>
      </c>
      <c r="I1305" s="83"/>
      <c r="K1305" s="54" t="s">
        <v>15</v>
      </c>
    </row>
    <row r="1306" spans="2:11" ht="41.25" x14ac:dyDescent="0.2">
      <c r="B1306" s="82" t="s">
        <v>9049</v>
      </c>
      <c r="C1306" s="82" t="s">
        <v>662</v>
      </c>
      <c r="D1306" s="83">
        <f>SUMIFS(D1307:D1474,K1307:K1474,"0",B1307:B1474,"5 1 3 7 5 12 31111 6 M59 19000 000132 0000R 00001 00375 011 2112000 2024 CP1TM440*")-SUMIFS(E1307:E1474,K1307:K1474,"0",B1307:B1474,"5 1 3 7 5 12 31111 6 M59 19000 000132 0000R 00001 00375 011 2112000 2024 CP1TM440*")</f>
        <v>0</v>
      </c>
      <c r="E1306" s="54"/>
      <c r="F1306" s="83">
        <f>SUMIFS(F1307:F1474,K1307:K1474,"0",B1307:B1474,"5 1 3 7 5 12 31111 6 M59 19000 000132 0000R 00001 00375 011 2112000 2024 CP1TM440*")</f>
        <v>18922.330000000002</v>
      </c>
      <c r="G1306" s="83">
        <f>SUMIFS(G1307:G1474,K1307:K1474,"0",B1307:B1474,"5 1 3 7 5 12 31111 6 M59 19000 000132 0000R 00001 00375 011 2112000 2024 CP1TM440*")</f>
        <v>0</v>
      </c>
      <c r="H1306" s="83">
        <f t="shared" si="21"/>
        <v>18922.330000000002</v>
      </c>
      <c r="I1306" s="83"/>
      <c r="K1306" s="54" t="s">
        <v>15</v>
      </c>
    </row>
    <row r="1307" spans="2:11" ht="41.25" x14ac:dyDescent="0.2">
      <c r="B1307" s="82" t="s">
        <v>9050</v>
      </c>
      <c r="C1307" s="82" t="s">
        <v>2284</v>
      </c>
      <c r="D1307" s="83">
        <f>SUMIFS(D1308:D1474,K1308:K1474,"0",B1308:B1474,"5 1 3 7 5 12 31111 6 M59 19000 000132 0000R 00001 00375 011 2112000 2024 CP1TM440 004*")-SUMIFS(E1308:E1474,K1308:K1474,"0",B1308:B1474,"5 1 3 7 5 12 31111 6 M59 19000 000132 0000R 00001 00375 011 2112000 2024 CP1TM440 004*")</f>
        <v>0</v>
      </c>
      <c r="E1307" s="54"/>
      <c r="F1307" s="83">
        <f>SUMIFS(F1308:F1474,K1308:K1474,"0",B1308:B1474,"5 1 3 7 5 12 31111 6 M59 19000 000132 0000R 00001 00375 011 2112000 2024 CP1TM440 004*")</f>
        <v>18922.330000000002</v>
      </c>
      <c r="G1307" s="83">
        <f>SUMIFS(G1308:G1474,K1308:K1474,"0",B1308:B1474,"5 1 3 7 5 12 31111 6 M59 19000 000132 0000R 00001 00375 011 2112000 2024 CP1TM440 004*")</f>
        <v>0</v>
      </c>
      <c r="H1307" s="83">
        <f t="shared" si="21"/>
        <v>18922.330000000002</v>
      </c>
      <c r="I1307" s="83"/>
      <c r="K1307" s="54" t="s">
        <v>15</v>
      </c>
    </row>
    <row r="1308" spans="2:11" ht="33" x14ac:dyDescent="0.2">
      <c r="B1308" s="84" t="s">
        <v>9051</v>
      </c>
      <c r="C1308" s="84" t="s">
        <v>2284</v>
      </c>
      <c r="D1308" s="85">
        <v>0</v>
      </c>
      <c r="E1308" s="85"/>
      <c r="F1308" s="85">
        <v>18922.330000000002</v>
      </c>
      <c r="G1308" s="85">
        <v>0</v>
      </c>
      <c r="H1308" s="85">
        <f t="shared" si="21"/>
        <v>18922.330000000002</v>
      </c>
      <c r="I1308" s="85"/>
      <c r="K1308" s="54" t="s">
        <v>38</v>
      </c>
    </row>
    <row r="1309" spans="2:11" ht="16.5" x14ac:dyDescent="0.2">
      <c r="B1309" s="82" t="s">
        <v>9053</v>
      </c>
      <c r="C1309" s="82" t="s">
        <v>1079</v>
      </c>
      <c r="D1309" s="83">
        <f>SUMIFS(D1310:D1474,K1310:K1474,"0",B1310:B1474,"5 1 3 7 5 12 31111 6 M59 20500*")-SUMIFS(E1310:E1474,K1310:K1474,"0",B1310:B1474,"5 1 3 7 5 12 31111 6 M59 20500*")</f>
        <v>2705.85</v>
      </c>
      <c r="E1309" s="54"/>
      <c r="F1309" s="83">
        <f>SUMIFS(F1310:F1474,K1310:K1474,"0",B1310:B1474,"5 1 3 7 5 12 31111 6 M59 20500*")</f>
        <v>0</v>
      </c>
      <c r="G1309" s="83">
        <f>SUMIFS(G1310:G1474,K1310:K1474,"0",B1310:B1474,"5 1 3 7 5 12 31111 6 M59 20500*")</f>
        <v>0</v>
      </c>
      <c r="H1309" s="83">
        <f t="shared" si="21"/>
        <v>2705.85</v>
      </c>
      <c r="I1309" s="83"/>
      <c r="K1309" s="54" t="s">
        <v>15</v>
      </c>
    </row>
    <row r="1310" spans="2:11" ht="24.75" x14ac:dyDescent="0.2">
      <c r="B1310" s="82" t="s">
        <v>9054</v>
      </c>
      <c r="C1310" s="82" t="s">
        <v>3152</v>
      </c>
      <c r="D1310" s="83">
        <f>SUMIFS(D1311:D1474,K1311:K1474,"0",B1311:B1474,"5 1 3 7 5 12 31111 6 M59 20500 000181*")-SUMIFS(E1311:E1474,K1311:K1474,"0",B1311:B1474,"5 1 3 7 5 12 31111 6 M59 20500 000181*")</f>
        <v>2705.85</v>
      </c>
      <c r="E1310" s="54"/>
      <c r="F1310" s="83">
        <f>SUMIFS(F1311:F1474,K1311:K1474,"0",B1311:B1474,"5 1 3 7 5 12 31111 6 M59 20500 000181*")</f>
        <v>0</v>
      </c>
      <c r="G1310" s="83">
        <f>SUMIFS(G1311:G1474,K1311:K1474,"0",B1311:B1474,"5 1 3 7 5 12 31111 6 M59 20500 000181*")</f>
        <v>0</v>
      </c>
      <c r="H1310" s="83">
        <f t="shared" si="21"/>
        <v>2705.85</v>
      </c>
      <c r="I1310" s="83"/>
      <c r="K1310" s="54" t="s">
        <v>15</v>
      </c>
    </row>
    <row r="1311" spans="2:11" ht="24.75" x14ac:dyDescent="0.2">
      <c r="B1311" s="82" t="s">
        <v>9055</v>
      </c>
      <c r="C1311" s="82" t="s">
        <v>1065</v>
      </c>
      <c r="D1311" s="83">
        <f>SUMIFS(D1312:D1474,K1312:K1474,"0",B1312:B1474,"5 1 3 7 5 12 31111 6 M59 20500 000181 0000E*")-SUMIFS(E1312:E1474,K1312:K1474,"0",B1312:B1474,"5 1 3 7 5 12 31111 6 M59 20500 000181 0000E*")</f>
        <v>2705.85</v>
      </c>
      <c r="E1311" s="54"/>
      <c r="F1311" s="83">
        <f>SUMIFS(F1312:F1474,K1312:K1474,"0",B1312:B1474,"5 1 3 7 5 12 31111 6 M59 20500 000181 0000E*")</f>
        <v>0</v>
      </c>
      <c r="G1311" s="83">
        <f>SUMIFS(G1312:G1474,K1312:K1474,"0",B1312:B1474,"5 1 3 7 5 12 31111 6 M59 20500 000181 0000E*")</f>
        <v>0</v>
      </c>
      <c r="H1311" s="83">
        <f t="shared" si="21"/>
        <v>2705.85</v>
      </c>
      <c r="I1311" s="83"/>
      <c r="K1311" s="54" t="s">
        <v>15</v>
      </c>
    </row>
    <row r="1312" spans="2:11" ht="24.75" x14ac:dyDescent="0.2">
      <c r="B1312" s="82" t="s">
        <v>9056</v>
      </c>
      <c r="C1312" s="82" t="s">
        <v>282</v>
      </c>
      <c r="D1312" s="83">
        <f>SUMIFS(D1313:D1474,K1313:K1474,"0",B1313:B1474,"5 1 3 7 5 12 31111 6 M59 20500 000181 0000E 00001*")-SUMIFS(E1313:E1474,K1313:K1474,"0",B1313:B1474,"5 1 3 7 5 12 31111 6 M59 20500 000181 0000E 00001*")</f>
        <v>2705.85</v>
      </c>
      <c r="E1312" s="54"/>
      <c r="F1312" s="83">
        <f>SUMIFS(F1313:F1474,K1313:K1474,"0",B1313:B1474,"5 1 3 7 5 12 31111 6 M59 20500 000181 0000E 00001*")</f>
        <v>0</v>
      </c>
      <c r="G1312" s="83">
        <f>SUMIFS(G1313:G1474,K1313:K1474,"0",B1313:B1474,"5 1 3 7 5 12 31111 6 M59 20500 000181 0000E 00001*")</f>
        <v>0</v>
      </c>
      <c r="H1312" s="83">
        <f t="shared" si="21"/>
        <v>2705.85</v>
      </c>
      <c r="I1312" s="83"/>
      <c r="K1312" s="54" t="s">
        <v>15</v>
      </c>
    </row>
    <row r="1313" spans="2:11" ht="24.75" x14ac:dyDescent="0.2">
      <c r="B1313" s="82" t="s">
        <v>9057</v>
      </c>
      <c r="C1313" s="82" t="s">
        <v>9034</v>
      </c>
      <c r="D1313" s="83">
        <f>SUMIFS(D1314:D1474,K1314:K1474,"0",B1314:B1474,"5 1 3 7 5 12 31111 6 M59 20500 000181 0000E 00001 00375*")-SUMIFS(E1314:E1474,K1314:K1474,"0",B1314:B1474,"5 1 3 7 5 12 31111 6 M59 20500 000181 0000E 00001 00375*")</f>
        <v>2705.85</v>
      </c>
      <c r="E1313" s="54"/>
      <c r="F1313" s="83">
        <f>SUMIFS(F1314:F1474,K1314:K1474,"0",B1314:B1474,"5 1 3 7 5 12 31111 6 M59 20500 000181 0000E 00001 00375*")</f>
        <v>0</v>
      </c>
      <c r="G1313" s="83">
        <f>SUMIFS(G1314:G1474,K1314:K1474,"0",B1314:B1474,"5 1 3 7 5 12 31111 6 M59 20500 000181 0000E 00001 00375*")</f>
        <v>0</v>
      </c>
      <c r="H1313" s="83">
        <f t="shared" si="21"/>
        <v>2705.85</v>
      </c>
      <c r="I1313" s="83"/>
      <c r="K1313" s="54" t="s">
        <v>15</v>
      </c>
    </row>
    <row r="1314" spans="2:11" ht="33" x14ac:dyDescent="0.2">
      <c r="B1314" s="82" t="s">
        <v>9058</v>
      </c>
      <c r="C1314" s="82" t="s">
        <v>699</v>
      </c>
      <c r="D1314" s="83">
        <f>SUMIFS(D1315:D1474,K1315:K1474,"0",B1315:B1474,"5 1 3 7 5 12 31111 6 M59 20500 000181 0000E 00001 00375 011*")-SUMIFS(E1315:E1474,K1315:K1474,"0",B1315:B1474,"5 1 3 7 5 12 31111 6 M59 20500 000181 0000E 00001 00375 011*")</f>
        <v>2705.85</v>
      </c>
      <c r="E1314" s="54"/>
      <c r="F1314" s="83">
        <f>SUMIFS(F1315:F1474,K1315:K1474,"0",B1315:B1474,"5 1 3 7 5 12 31111 6 M59 20500 000181 0000E 00001 00375 011*")</f>
        <v>0</v>
      </c>
      <c r="G1314" s="83">
        <f>SUMIFS(G1315:G1474,K1315:K1474,"0",B1315:B1474,"5 1 3 7 5 12 31111 6 M59 20500 000181 0000E 00001 00375 011*")</f>
        <v>0</v>
      </c>
      <c r="H1314" s="83">
        <f t="shared" si="21"/>
        <v>2705.85</v>
      </c>
      <c r="I1314" s="83"/>
      <c r="K1314" s="54" t="s">
        <v>15</v>
      </c>
    </row>
    <row r="1315" spans="2:11" ht="33" x14ac:dyDescent="0.2">
      <c r="B1315" s="82" t="s">
        <v>9059</v>
      </c>
      <c r="C1315" s="82" t="s">
        <v>5830</v>
      </c>
      <c r="D1315" s="83">
        <f>SUMIFS(D1316:D1474,K1316:K1474,"0",B1316:B1474,"5 1 3 7 5 12 31111 6 M59 20500 000181 0000E 00001 00375 011 2112000*")-SUMIFS(E1316:E1474,K1316:K1474,"0",B1316:B1474,"5 1 3 7 5 12 31111 6 M59 20500 000181 0000E 00001 00375 011 2112000*")</f>
        <v>2705.85</v>
      </c>
      <c r="E1315" s="54"/>
      <c r="F1315" s="83">
        <f>SUMIFS(F1316:F1474,K1316:K1474,"0",B1316:B1474,"5 1 3 7 5 12 31111 6 M59 20500 000181 0000E 00001 00375 011 2112000*")</f>
        <v>0</v>
      </c>
      <c r="G1315" s="83">
        <f>SUMIFS(G1316:G1474,K1316:K1474,"0",B1316:B1474,"5 1 3 7 5 12 31111 6 M59 20500 000181 0000E 00001 00375 011 2112000*")</f>
        <v>0</v>
      </c>
      <c r="H1315" s="83">
        <f t="shared" si="21"/>
        <v>2705.85</v>
      </c>
      <c r="I1315" s="83"/>
      <c r="K1315" s="54" t="s">
        <v>15</v>
      </c>
    </row>
    <row r="1316" spans="2:11" ht="33" x14ac:dyDescent="0.2">
      <c r="B1316" s="82" t="s">
        <v>9060</v>
      </c>
      <c r="C1316" s="82" t="s">
        <v>660</v>
      </c>
      <c r="D1316" s="83">
        <f>SUMIFS(D1317:D1474,K1317:K1474,"0",B1317:B1474,"5 1 3 7 5 12 31111 6 M59 20500 000181 0000E 00001 00375 011 2112000 2024*")-SUMIFS(E1317:E1474,K1317:K1474,"0",B1317:B1474,"5 1 3 7 5 12 31111 6 M59 20500 000181 0000E 00001 00375 011 2112000 2024*")</f>
        <v>2705.85</v>
      </c>
      <c r="E1316" s="54"/>
      <c r="F1316" s="83">
        <f>SUMIFS(F1317:F1474,K1317:K1474,"0",B1317:B1474,"5 1 3 7 5 12 31111 6 M59 20500 000181 0000E 00001 00375 011 2112000 2024*")</f>
        <v>0</v>
      </c>
      <c r="G1316" s="83">
        <f>SUMIFS(G1317:G1474,K1317:K1474,"0",B1317:B1474,"5 1 3 7 5 12 31111 6 M59 20500 000181 0000E 00001 00375 011 2112000 2024*")</f>
        <v>0</v>
      </c>
      <c r="H1316" s="83">
        <f t="shared" si="21"/>
        <v>2705.85</v>
      </c>
      <c r="I1316" s="83"/>
      <c r="K1316" s="54" t="s">
        <v>15</v>
      </c>
    </row>
    <row r="1317" spans="2:11" ht="49.5" x14ac:dyDescent="0.2">
      <c r="B1317" s="82" t="s">
        <v>9061</v>
      </c>
      <c r="C1317" s="82" t="s">
        <v>5982</v>
      </c>
      <c r="D1317" s="83">
        <f>SUMIFS(D1318:D1474,K1318:K1474,"0",B1318:B1474,"5 1 3 7 5 12 31111 6 M59 20500 000181 0000E 00001 00375 011 2112000 2024 CP3CP471*")-SUMIFS(E1318:E1474,K1318:K1474,"0",B1318:B1474,"5 1 3 7 5 12 31111 6 M59 20500 000181 0000E 00001 00375 011 2112000 2024 CP3CP471*")</f>
        <v>2705.85</v>
      </c>
      <c r="E1317" s="54"/>
      <c r="F1317" s="83">
        <f>SUMIFS(F1318:F1474,K1318:K1474,"0",B1318:B1474,"5 1 3 7 5 12 31111 6 M59 20500 000181 0000E 00001 00375 011 2112000 2024 CP3CP471*")</f>
        <v>0</v>
      </c>
      <c r="G1317" s="83">
        <f>SUMIFS(G1318:G1474,K1318:K1474,"0",B1318:B1474,"5 1 3 7 5 12 31111 6 M59 20500 000181 0000E 00001 00375 011 2112000 2024 CP3CP471*")</f>
        <v>0</v>
      </c>
      <c r="H1317" s="83">
        <f t="shared" si="21"/>
        <v>2705.85</v>
      </c>
      <c r="I1317" s="83"/>
      <c r="K1317" s="54" t="s">
        <v>15</v>
      </c>
    </row>
    <row r="1318" spans="2:11" ht="41.25" x14ac:dyDescent="0.2">
      <c r="B1318" s="82" t="s">
        <v>9062</v>
      </c>
      <c r="C1318" s="82" t="s">
        <v>2284</v>
      </c>
      <c r="D1318" s="83">
        <f>SUMIFS(D1319:D1474,K1319:K1474,"0",B1319:B1474,"5 1 3 7 5 12 31111 6 M59 20500 000181 0000E 00001 00375 011 2112000 2024 CP3CP471 004*")-SUMIFS(E1319:E1474,K1319:K1474,"0",B1319:B1474,"5 1 3 7 5 12 31111 6 M59 20500 000181 0000E 00001 00375 011 2112000 2024 CP3CP471 004*")</f>
        <v>2705.85</v>
      </c>
      <c r="E1318" s="54"/>
      <c r="F1318" s="83">
        <f>SUMIFS(F1319:F1474,K1319:K1474,"0",B1319:B1474,"5 1 3 7 5 12 31111 6 M59 20500 000181 0000E 00001 00375 011 2112000 2024 CP3CP471 004*")</f>
        <v>0</v>
      </c>
      <c r="G1318" s="83">
        <f>SUMIFS(G1319:G1474,K1319:K1474,"0",B1319:B1474,"5 1 3 7 5 12 31111 6 M59 20500 000181 0000E 00001 00375 011 2112000 2024 CP3CP471 004*")</f>
        <v>0</v>
      </c>
      <c r="H1318" s="83">
        <f t="shared" si="21"/>
        <v>2705.85</v>
      </c>
      <c r="I1318" s="83"/>
      <c r="K1318" s="54" t="s">
        <v>15</v>
      </c>
    </row>
    <row r="1319" spans="2:11" ht="33" x14ac:dyDescent="0.2">
      <c r="B1319" s="84" t="s">
        <v>9063</v>
      </c>
      <c r="C1319" s="84" t="s">
        <v>2284</v>
      </c>
      <c r="D1319" s="85">
        <v>2705.85</v>
      </c>
      <c r="E1319" s="85"/>
      <c r="F1319" s="85">
        <v>0</v>
      </c>
      <c r="G1319" s="85">
        <v>0</v>
      </c>
      <c r="H1319" s="85">
        <f t="shared" si="21"/>
        <v>2705.85</v>
      </c>
      <c r="I1319" s="85"/>
      <c r="K1319" s="54" t="s">
        <v>38</v>
      </c>
    </row>
    <row r="1320" spans="2:11" ht="12.75" x14ac:dyDescent="0.2">
      <c r="B1320" s="82" t="s">
        <v>9093</v>
      </c>
      <c r="C1320" s="82" t="s">
        <v>9094</v>
      </c>
      <c r="D1320" s="83">
        <f>SUMIFS(D1321:D1474,K1321:K1474,"0",B1321:B1474,"5 1 3 8*")-SUMIFS(E1321:E1474,K1321:K1474,"0",B1321:B1474,"5 1 3 8*")</f>
        <v>647249.35</v>
      </c>
      <c r="E1320" s="54"/>
      <c r="F1320" s="83">
        <f>SUMIFS(F1321:F1474,K1321:K1474,"0",B1321:B1474,"5 1 3 8*")</f>
        <v>71221.459999999992</v>
      </c>
      <c r="G1320" s="83">
        <f>SUMIFS(G1321:G1474,K1321:K1474,"0",B1321:B1474,"5 1 3 8*")</f>
        <v>0</v>
      </c>
      <c r="H1320" s="83">
        <f t="shared" si="21"/>
        <v>718470.80999999994</v>
      </c>
      <c r="I1320" s="83"/>
      <c r="K1320" s="54" t="s">
        <v>15</v>
      </c>
    </row>
    <row r="1321" spans="2:11" ht="16.5" x14ac:dyDescent="0.2">
      <c r="B1321" s="82" t="s">
        <v>9095</v>
      </c>
      <c r="C1321" s="82" t="s">
        <v>9096</v>
      </c>
      <c r="D1321" s="83">
        <f>SUMIFS(D1322:D1474,K1322:K1474,"0",B1322:B1474,"5 1 3 8 2*")-SUMIFS(E1322:E1474,K1322:K1474,"0",B1322:B1474,"5 1 3 8 2*")</f>
        <v>647249.35</v>
      </c>
      <c r="E1321" s="54"/>
      <c r="F1321" s="83">
        <f>SUMIFS(F1322:F1474,K1322:K1474,"0",B1322:B1474,"5 1 3 8 2*")</f>
        <v>55922.1</v>
      </c>
      <c r="G1321" s="83">
        <f>SUMIFS(G1322:G1474,K1322:K1474,"0",B1322:B1474,"5 1 3 8 2*")</f>
        <v>0</v>
      </c>
      <c r="H1321" s="83">
        <f t="shared" ref="H1321:H1384" si="22">D1321 + F1321 - G1321</f>
        <v>703171.45</v>
      </c>
      <c r="I1321" s="83"/>
      <c r="K1321" s="54" t="s">
        <v>15</v>
      </c>
    </row>
    <row r="1322" spans="2:11" ht="12.75" x14ac:dyDescent="0.2">
      <c r="B1322" s="82" t="s">
        <v>9097</v>
      </c>
      <c r="C1322" s="82" t="s">
        <v>26</v>
      </c>
      <c r="D1322" s="83">
        <f>SUMIFS(D1323:D1474,K1323:K1474,"0",B1323:B1474,"5 1 3 8 2 12*")-SUMIFS(E1323:E1474,K1323:K1474,"0",B1323:B1474,"5 1 3 8 2 12*")</f>
        <v>647249.35</v>
      </c>
      <c r="E1322" s="54"/>
      <c r="F1322" s="83">
        <f>SUMIFS(F1323:F1474,K1323:K1474,"0",B1323:B1474,"5 1 3 8 2 12*")</f>
        <v>55922.1</v>
      </c>
      <c r="G1322" s="83">
        <f>SUMIFS(G1323:G1474,K1323:K1474,"0",B1323:B1474,"5 1 3 8 2 12*")</f>
        <v>0</v>
      </c>
      <c r="H1322" s="83">
        <f t="shared" si="22"/>
        <v>703171.45</v>
      </c>
      <c r="I1322" s="83"/>
      <c r="K1322" s="54" t="s">
        <v>15</v>
      </c>
    </row>
    <row r="1323" spans="2:11" ht="16.5" x14ac:dyDescent="0.2">
      <c r="B1323" s="82" t="s">
        <v>9098</v>
      </c>
      <c r="C1323" s="82" t="s">
        <v>28</v>
      </c>
      <c r="D1323" s="83">
        <f>SUMIFS(D1324:D1474,K1324:K1474,"0",B1324:B1474,"5 1 3 8 2 12 31111*")-SUMIFS(E1324:E1474,K1324:K1474,"0",B1324:B1474,"5 1 3 8 2 12 31111*")</f>
        <v>647249.35</v>
      </c>
      <c r="E1323" s="54"/>
      <c r="F1323" s="83">
        <f>SUMIFS(F1324:F1474,K1324:K1474,"0",B1324:B1474,"5 1 3 8 2 12 31111*")</f>
        <v>55922.1</v>
      </c>
      <c r="G1323" s="83">
        <f>SUMIFS(G1324:G1474,K1324:K1474,"0",B1324:B1474,"5 1 3 8 2 12 31111*")</f>
        <v>0</v>
      </c>
      <c r="H1323" s="83">
        <f t="shared" si="22"/>
        <v>703171.45</v>
      </c>
      <c r="I1323" s="83"/>
      <c r="K1323" s="54" t="s">
        <v>15</v>
      </c>
    </row>
    <row r="1324" spans="2:11" ht="12.75" x14ac:dyDescent="0.2">
      <c r="B1324" s="82" t="s">
        <v>9099</v>
      </c>
      <c r="C1324" s="82" t="s">
        <v>30</v>
      </c>
      <c r="D1324" s="83">
        <f>SUMIFS(D1325:D1474,K1325:K1474,"0",B1325:B1474,"5 1 3 8 2 12 31111 6*")-SUMIFS(E1325:E1474,K1325:K1474,"0",B1325:B1474,"5 1 3 8 2 12 31111 6*")</f>
        <v>647249.35</v>
      </c>
      <c r="E1324" s="54"/>
      <c r="F1324" s="83">
        <f>SUMIFS(F1325:F1474,K1325:K1474,"0",B1325:B1474,"5 1 3 8 2 12 31111 6*")</f>
        <v>55922.1</v>
      </c>
      <c r="G1324" s="83">
        <f>SUMIFS(G1325:G1474,K1325:K1474,"0",B1325:B1474,"5 1 3 8 2 12 31111 6*")</f>
        <v>0</v>
      </c>
      <c r="H1324" s="83">
        <f t="shared" si="22"/>
        <v>703171.45</v>
      </c>
      <c r="I1324" s="83"/>
      <c r="K1324" s="54" t="s">
        <v>15</v>
      </c>
    </row>
    <row r="1325" spans="2:11" ht="16.5" x14ac:dyDescent="0.2">
      <c r="B1325" s="82" t="s">
        <v>9100</v>
      </c>
      <c r="C1325" s="82" t="s">
        <v>2284</v>
      </c>
      <c r="D1325" s="83">
        <f>SUMIFS(D1326:D1474,K1326:K1474,"0",B1326:B1474,"5 1 3 8 2 12 31111 6 M59*")-SUMIFS(E1326:E1474,K1326:K1474,"0",B1326:B1474,"5 1 3 8 2 12 31111 6 M59*")</f>
        <v>647249.35</v>
      </c>
      <c r="E1325" s="54"/>
      <c r="F1325" s="83">
        <f>SUMIFS(F1326:F1474,K1326:K1474,"0",B1326:B1474,"5 1 3 8 2 12 31111 6 M59*")</f>
        <v>55922.1</v>
      </c>
      <c r="G1325" s="83">
        <f>SUMIFS(G1326:G1474,K1326:K1474,"0",B1326:B1474,"5 1 3 8 2 12 31111 6 M59*")</f>
        <v>0</v>
      </c>
      <c r="H1325" s="83">
        <f t="shared" si="22"/>
        <v>703171.45</v>
      </c>
      <c r="I1325" s="83"/>
      <c r="K1325" s="54" t="s">
        <v>15</v>
      </c>
    </row>
    <row r="1326" spans="2:11" ht="16.5" x14ac:dyDescent="0.2">
      <c r="B1326" s="82" t="s">
        <v>9101</v>
      </c>
      <c r="C1326" s="82" t="s">
        <v>2946</v>
      </c>
      <c r="D1326" s="83">
        <f>SUMIFS(D1327:D1474,K1327:K1474,"0",B1327:B1474,"5 1 3 8 2 12 31111 6 M59 10300*")-SUMIFS(E1327:E1474,K1327:K1474,"0",B1327:B1474,"5 1 3 8 2 12 31111 6 M59 10300*")</f>
        <v>647249.35</v>
      </c>
      <c r="E1326" s="54"/>
      <c r="F1326" s="83">
        <f>SUMIFS(F1327:F1474,K1327:K1474,"0",B1327:B1474,"5 1 3 8 2 12 31111 6 M59 10300*")</f>
        <v>0</v>
      </c>
      <c r="G1326" s="83">
        <f>SUMIFS(G1327:G1474,K1327:K1474,"0",B1327:B1474,"5 1 3 8 2 12 31111 6 M59 10300*")</f>
        <v>0</v>
      </c>
      <c r="H1326" s="83">
        <f t="shared" si="22"/>
        <v>647249.35</v>
      </c>
      <c r="I1326" s="83"/>
      <c r="K1326" s="54" t="s">
        <v>15</v>
      </c>
    </row>
    <row r="1327" spans="2:11" ht="16.5" x14ac:dyDescent="0.2">
      <c r="B1327" s="82" t="s">
        <v>9102</v>
      </c>
      <c r="C1327" s="82" t="s">
        <v>1063</v>
      </c>
      <c r="D1327" s="83">
        <f>SUMIFS(D1328:D1474,K1328:K1474,"0",B1328:B1474,"5 1 3 8 2 12 31111 6 M59 10300 000139*")-SUMIFS(E1328:E1474,K1328:K1474,"0",B1328:B1474,"5 1 3 8 2 12 31111 6 M59 10300 000139*")</f>
        <v>647249.35</v>
      </c>
      <c r="E1327" s="54"/>
      <c r="F1327" s="83">
        <f>SUMIFS(F1328:F1474,K1328:K1474,"0",B1328:B1474,"5 1 3 8 2 12 31111 6 M59 10300 000139*")</f>
        <v>0</v>
      </c>
      <c r="G1327" s="83">
        <f>SUMIFS(G1328:G1474,K1328:K1474,"0",B1328:B1474,"5 1 3 8 2 12 31111 6 M59 10300 000139*")</f>
        <v>0</v>
      </c>
      <c r="H1327" s="83">
        <f t="shared" si="22"/>
        <v>647249.35</v>
      </c>
      <c r="I1327" s="83"/>
      <c r="K1327" s="54" t="s">
        <v>15</v>
      </c>
    </row>
    <row r="1328" spans="2:11" ht="24.75" x14ac:dyDescent="0.2">
      <c r="B1328" s="82" t="s">
        <v>9103</v>
      </c>
      <c r="C1328" s="82" t="s">
        <v>1065</v>
      </c>
      <c r="D1328" s="83">
        <f>SUMIFS(D1329:D1474,K1329:K1474,"0",B1329:B1474,"5 1 3 8 2 12 31111 6 M59 10300 000139 0000E*")-SUMIFS(E1329:E1474,K1329:K1474,"0",B1329:B1474,"5 1 3 8 2 12 31111 6 M59 10300 000139 0000E*")</f>
        <v>647249.35</v>
      </c>
      <c r="E1328" s="54"/>
      <c r="F1328" s="83">
        <f>SUMIFS(F1329:F1474,K1329:K1474,"0",B1329:B1474,"5 1 3 8 2 12 31111 6 M59 10300 000139 0000E*")</f>
        <v>0</v>
      </c>
      <c r="G1328" s="83">
        <f>SUMIFS(G1329:G1474,K1329:K1474,"0",B1329:B1474,"5 1 3 8 2 12 31111 6 M59 10300 000139 0000E*")</f>
        <v>0</v>
      </c>
      <c r="H1328" s="83">
        <f t="shared" si="22"/>
        <v>647249.35</v>
      </c>
      <c r="I1328" s="83"/>
      <c r="K1328" s="54" t="s">
        <v>15</v>
      </c>
    </row>
    <row r="1329" spans="2:11" ht="24.75" x14ac:dyDescent="0.2">
      <c r="B1329" s="82" t="s">
        <v>9104</v>
      </c>
      <c r="C1329" s="82" t="s">
        <v>282</v>
      </c>
      <c r="D1329" s="83">
        <f>SUMIFS(D1330:D1474,K1330:K1474,"0",B1330:B1474,"5 1 3 8 2 12 31111 6 M59 10300 000139 0000E 00001*")-SUMIFS(E1330:E1474,K1330:K1474,"0",B1330:B1474,"5 1 3 8 2 12 31111 6 M59 10300 000139 0000E 00001*")</f>
        <v>647249.35</v>
      </c>
      <c r="E1329" s="54"/>
      <c r="F1329" s="83">
        <f>SUMIFS(F1330:F1474,K1330:K1474,"0",B1330:B1474,"5 1 3 8 2 12 31111 6 M59 10300 000139 0000E 00001*")</f>
        <v>0</v>
      </c>
      <c r="G1329" s="83">
        <f>SUMIFS(G1330:G1474,K1330:K1474,"0",B1330:B1474,"5 1 3 8 2 12 31111 6 M59 10300 000139 0000E 00001*")</f>
        <v>0</v>
      </c>
      <c r="H1329" s="83">
        <f t="shared" si="22"/>
        <v>647249.35</v>
      </c>
      <c r="I1329" s="83"/>
      <c r="K1329" s="54" t="s">
        <v>15</v>
      </c>
    </row>
    <row r="1330" spans="2:11" ht="24.75" x14ac:dyDescent="0.2">
      <c r="B1330" s="82" t="s">
        <v>9105</v>
      </c>
      <c r="C1330" s="82" t="s">
        <v>9106</v>
      </c>
      <c r="D1330" s="83">
        <f>SUMIFS(D1331:D1474,K1331:K1474,"0",B1331:B1474,"5 1 3 8 2 12 31111 6 M59 10300 000139 0000E 00001 00382*")-SUMIFS(E1331:E1474,K1331:K1474,"0",B1331:B1474,"5 1 3 8 2 12 31111 6 M59 10300 000139 0000E 00001 00382*")</f>
        <v>647249.35</v>
      </c>
      <c r="E1330" s="54"/>
      <c r="F1330" s="83">
        <f>SUMIFS(F1331:F1474,K1331:K1474,"0",B1331:B1474,"5 1 3 8 2 12 31111 6 M59 10300 000139 0000E 00001 00382*")</f>
        <v>0</v>
      </c>
      <c r="G1330" s="83">
        <f>SUMIFS(G1331:G1474,K1331:K1474,"0",B1331:B1474,"5 1 3 8 2 12 31111 6 M59 10300 000139 0000E 00001 00382*")</f>
        <v>0</v>
      </c>
      <c r="H1330" s="83">
        <f t="shared" si="22"/>
        <v>647249.35</v>
      </c>
      <c r="I1330" s="83"/>
      <c r="K1330" s="54" t="s">
        <v>15</v>
      </c>
    </row>
    <row r="1331" spans="2:11" ht="33" x14ac:dyDescent="0.2">
      <c r="B1331" s="82" t="s">
        <v>9107</v>
      </c>
      <c r="C1331" s="82" t="s">
        <v>699</v>
      </c>
      <c r="D1331" s="83">
        <f>SUMIFS(D1332:D1474,K1332:K1474,"0",B1332:B1474,"5 1 3 8 2 12 31111 6 M59 10300 000139 0000E 00001 00382 011*")-SUMIFS(E1332:E1474,K1332:K1474,"0",B1332:B1474,"5 1 3 8 2 12 31111 6 M59 10300 000139 0000E 00001 00382 011*")</f>
        <v>647249.35</v>
      </c>
      <c r="E1331" s="54"/>
      <c r="F1331" s="83">
        <f>SUMIFS(F1332:F1474,K1332:K1474,"0",B1332:B1474,"5 1 3 8 2 12 31111 6 M59 10300 000139 0000E 00001 00382 011*")</f>
        <v>0</v>
      </c>
      <c r="G1331" s="83">
        <f>SUMIFS(G1332:G1474,K1332:K1474,"0",B1332:B1474,"5 1 3 8 2 12 31111 6 M59 10300 000139 0000E 00001 00382 011*")</f>
        <v>0</v>
      </c>
      <c r="H1331" s="83">
        <f t="shared" si="22"/>
        <v>647249.35</v>
      </c>
      <c r="I1331" s="83"/>
      <c r="K1331" s="54" t="s">
        <v>15</v>
      </c>
    </row>
    <row r="1332" spans="2:11" ht="33" x14ac:dyDescent="0.2">
      <c r="B1332" s="82" t="s">
        <v>9108</v>
      </c>
      <c r="C1332" s="82" t="s">
        <v>5830</v>
      </c>
      <c r="D1332" s="83">
        <f>SUMIFS(D1333:D1474,K1333:K1474,"0",B1333:B1474,"5 1 3 8 2 12 31111 6 M59 10300 000139 0000E 00001 00382 011 2112000*")-SUMIFS(E1333:E1474,K1333:K1474,"0",B1333:B1474,"5 1 3 8 2 12 31111 6 M59 10300 000139 0000E 00001 00382 011 2112000*")</f>
        <v>647249.35</v>
      </c>
      <c r="E1332" s="54"/>
      <c r="F1332" s="83">
        <f>SUMIFS(F1333:F1474,K1333:K1474,"0",B1333:B1474,"5 1 3 8 2 12 31111 6 M59 10300 000139 0000E 00001 00382 011 2112000*")</f>
        <v>0</v>
      </c>
      <c r="G1332" s="83">
        <f>SUMIFS(G1333:G1474,K1333:K1474,"0",B1333:B1474,"5 1 3 8 2 12 31111 6 M59 10300 000139 0000E 00001 00382 011 2112000*")</f>
        <v>0</v>
      </c>
      <c r="H1332" s="83">
        <f t="shared" si="22"/>
        <v>647249.35</v>
      </c>
      <c r="I1332" s="83"/>
      <c r="K1332" s="54" t="s">
        <v>15</v>
      </c>
    </row>
    <row r="1333" spans="2:11" ht="33" x14ac:dyDescent="0.2">
      <c r="B1333" s="82" t="s">
        <v>9109</v>
      </c>
      <c r="C1333" s="82" t="s">
        <v>660</v>
      </c>
      <c r="D1333" s="83">
        <f>SUMIFS(D1334:D1474,K1334:K1474,"0",B1334:B1474,"5 1 3 8 2 12 31111 6 M59 10300 000139 0000E 00001 00382 011 2112000 2024*")-SUMIFS(E1334:E1474,K1334:K1474,"0",B1334:B1474,"5 1 3 8 2 12 31111 6 M59 10300 000139 0000E 00001 00382 011 2112000 2024*")</f>
        <v>647249.35</v>
      </c>
      <c r="E1333" s="54"/>
      <c r="F1333" s="83">
        <f>SUMIFS(F1334:F1474,K1334:K1474,"0",B1334:B1474,"5 1 3 8 2 12 31111 6 M59 10300 000139 0000E 00001 00382 011 2112000 2024*")</f>
        <v>0</v>
      </c>
      <c r="G1333" s="83">
        <f>SUMIFS(G1334:G1474,K1334:K1474,"0",B1334:B1474,"5 1 3 8 2 12 31111 6 M59 10300 000139 0000E 00001 00382 011 2112000 2024*")</f>
        <v>0</v>
      </c>
      <c r="H1333" s="83">
        <f t="shared" si="22"/>
        <v>647249.35</v>
      </c>
      <c r="I1333" s="83"/>
      <c r="K1333" s="54" t="s">
        <v>15</v>
      </c>
    </row>
    <row r="1334" spans="2:11" ht="41.25" x14ac:dyDescent="0.2">
      <c r="B1334" s="82" t="s">
        <v>9110</v>
      </c>
      <c r="C1334" s="82" t="s">
        <v>8510</v>
      </c>
      <c r="D1334" s="83">
        <f>SUMIFS(D1335:D1474,K1335:K1474,"0",B1335:B1474,"5 1 3 8 2 12 31111 6 M59 10300 000139 0000E 00001 00382 011 2112000 2024 CP3GE486*")-SUMIFS(E1335:E1474,K1335:K1474,"0",B1335:B1474,"5 1 3 8 2 12 31111 6 M59 10300 000139 0000E 00001 00382 011 2112000 2024 CP3GE486*")</f>
        <v>647249.35</v>
      </c>
      <c r="E1334" s="54"/>
      <c r="F1334" s="83">
        <f>SUMIFS(F1335:F1474,K1335:K1474,"0",B1335:B1474,"5 1 3 8 2 12 31111 6 M59 10300 000139 0000E 00001 00382 011 2112000 2024 CP3GE486*")</f>
        <v>0</v>
      </c>
      <c r="G1334" s="83">
        <f>SUMIFS(G1335:G1474,K1335:K1474,"0",B1335:B1474,"5 1 3 8 2 12 31111 6 M59 10300 000139 0000E 00001 00382 011 2112000 2024 CP3GE486*")</f>
        <v>0</v>
      </c>
      <c r="H1334" s="83">
        <f t="shared" si="22"/>
        <v>647249.35</v>
      </c>
      <c r="I1334" s="83"/>
      <c r="K1334" s="54" t="s">
        <v>15</v>
      </c>
    </row>
    <row r="1335" spans="2:11" ht="41.25" x14ac:dyDescent="0.2">
      <c r="B1335" s="82" t="s">
        <v>9111</v>
      </c>
      <c r="C1335" s="82" t="s">
        <v>2284</v>
      </c>
      <c r="D1335" s="83">
        <f>SUMIFS(D1336:D1474,K1336:K1474,"0",B1336:B1474,"5 1 3 8 2 12 31111 6 M59 10300 000139 0000E 00001 00382 011 2112000 2024 CP3GE486 004*")-SUMIFS(E1336:E1474,K1336:K1474,"0",B1336:B1474,"5 1 3 8 2 12 31111 6 M59 10300 000139 0000E 00001 00382 011 2112000 2024 CP3GE486 004*")</f>
        <v>647249.35</v>
      </c>
      <c r="E1335" s="54"/>
      <c r="F1335" s="83">
        <f>SUMIFS(F1336:F1474,K1336:K1474,"0",B1336:B1474,"5 1 3 8 2 12 31111 6 M59 10300 000139 0000E 00001 00382 011 2112000 2024 CP3GE486 004*")</f>
        <v>0</v>
      </c>
      <c r="G1335" s="83">
        <f>SUMIFS(G1336:G1474,K1336:K1474,"0",B1336:B1474,"5 1 3 8 2 12 31111 6 M59 10300 000139 0000E 00001 00382 011 2112000 2024 CP3GE486 004*")</f>
        <v>0</v>
      </c>
      <c r="H1335" s="83">
        <f t="shared" si="22"/>
        <v>647249.35</v>
      </c>
      <c r="I1335" s="83"/>
      <c r="K1335" s="54" t="s">
        <v>15</v>
      </c>
    </row>
    <row r="1336" spans="2:11" ht="33" x14ac:dyDescent="0.2">
      <c r="B1336" s="84" t="s">
        <v>9112</v>
      </c>
      <c r="C1336" s="84" t="s">
        <v>2284</v>
      </c>
      <c r="D1336" s="85">
        <v>647249.35</v>
      </c>
      <c r="E1336" s="85"/>
      <c r="F1336" s="85">
        <v>0</v>
      </c>
      <c r="G1336" s="85">
        <v>0</v>
      </c>
      <c r="H1336" s="85">
        <f t="shared" si="22"/>
        <v>647249.35</v>
      </c>
      <c r="I1336" s="85"/>
      <c r="K1336" s="54" t="s">
        <v>38</v>
      </c>
    </row>
    <row r="1337" spans="2:11" ht="16.5" x14ac:dyDescent="0.2">
      <c r="B1337" s="82" t="s">
        <v>9113</v>
      </c>
      <c r="C1337" s="82" t="s">
        <v>1044</v>
      </c>
      <c r="D1337" s="83">
        <f>SUMIFS(D1338:D1474,K1338:K1474,"0",B1338:B1474,"5 1 3 8 2 12 31111 6 M59 19000*")-SUMIFS(E1338:E1474,K1338:K1474,"0",B1338:B1474,"5 1 3 8 2 12 31111 6 M59 19000*")</f>
        <v>0</v>
      </c>
      <c r="E1337" s="54"/>
      <c r="F1337" s="83">
        <f>SUMIFS(F1338:F1474,K1338:K1474,"0",B1338:B1474,"5 1 3 8 2 12 31111 6 M59 19000*")</f>
        <v>55922.1</v>
      </c>
      <c r="G1337" s="83">
        <f>SUMIFS(G1338:G1474,K1338:K1474,"0",B1338:B1474,"5 1 3 8 2 12 31111 6 M59 19000*")</f>
        <v>0</v>
      </c>
      <c r="H1337" s="83">
        <f t="shared" si="22"/>
        <v>55922.1</v>
      </c>
      <c r="I1337" s="83"/>
      <c r="K1337" s="54" t="s">
        <v>15</v>
      </c>
    </row>
    <row r="1338" spans="2:11" ht="16.5" x14ac:dyDescent="0.2">
      <c r="B1338" s="82" t="s">
        <v>9114</v>
      </c>
      <c r="C1338" s="82" t="s">
        <v>648</v>
      </c>
      <c r="D1338" s="83">
        <f>SUMIFS(D1339:D1474,K1339:K1474,"0",B1339:B1474,"5 1 3 8 2 12 31111 6 M59 19000 000132*")-SUMIFS(E1339:E1474,K1339:K1474,"0",B1339:B1474,"5 1 3 8 2 12 31111 6 M59 19000 000132*")</f>
        <v>0</v>
      </c>
      <c r="E1338" s="54"/>
      <c r="F1338" s="83">
        <f>SUMIFS(F1339:F1474,K1339:K1474,"0",B1339:B1474,"5 1 3 8 2 12 31111 6 M59 19000 000132*")</f>
        <v>55922.1</v>
      </c>
      <c r="G1338" s="83">
        <f>SUMIFS(G1339:G1474,K1339:K1474,"0",B1339:B1474,"5 1 3 8 2 12 31111 6 M59 19000 000132*")</f>
        <v>0</v>
      </c>
      <c r="H1338" s="83">
        <f t="shared" si="22"/>
        <v>55922.1</v>
      </c>
      <c r="I1338" s="83"/>
      <c r="K1338" s="54" t="s">
        <v>15</v>
      </c>
    </row>
    <row r="1339" spans="2:11" ht="24.75" x14ac:dyDescent="0.2">
      <c r="B1339" s="82" t="s">
        <v>9115</v>
      </c>
      <c r="C1339" s="82" t="s">
        <v>650</v>
      </c>
      <c r="D1339" s="83">
        <f>SUMIFS(D1340:D1474,K1340:K1474,"0",B1340:B1474,"5 1 3 8 2 12 31111 6 M59 19000 000132 0000R*")-SUMIFS(E1340:E1474,K1340:K1474,"0",B1340:B1474,"5 1 3 8 2 12 31111 6 M59 19000 000132 0000R*")</f>
        <v>0</v>
      </c>
      <c r="E1339" s="54"/>
      <c r="F1339" s="83">
        <f>SUMIFS(F1340:F1474,K1340:K1474,"0",B1340:B1474,"5 1 3 8 2 12 31111 6 M59 19000 000132 0000R*")</f>
        <v>55922.1</v>
      </c>
      <c r="G1339" s="83">
        <f>SUMIFS(G1340:G1474,K1340:K1474,"0",B1340:B1474,"5 1 3 8 2 12 31111 6 M59 19000 000132 0000R*")</f>
        <v>0</v>
      </c>
      <c r="H1339" s="83">
        <f t="shared" si="22"/>
        <v>55922.1</v>
      </c>
      <c r="I1339" s="83"/>
      <c r="K1339" s="54" t="s">
        <v>15</v>
      </c>
    </row>
    <row r="1340" spans="2:11" ht="24.75" x14ac:dyDescent="0.2">
      <c r="B1340" s="82" t="s">
        <v>9116</v>
      </c>
      <c r="C1340" s="82" t="s">
        <v>282</v>
      </c>
      <c r="D1340" s="83">
        <f>SUMIFS(D1341:D1474,K1341:K1474,"0",B1341:B1474,"5 1 3 8 2 12 31111 6 M59 19000 000132 0000R 00001*")-SUMIFS(E1341:E1474,K1341:K1474,"0",B1341:B1474,"5 1 3 8 2 12 31111 6 M59 19000 000132 0000R 00001*")</f>
        <v>0</v>
      </c>
      <c r="E1340" s="54"/>
      <c r="F1340" s="83">
        <f>SUMIFS(F1341:F1474,K1341:K1474,"0",B1341:B1474,"5 1 3 8 2 12 31111 6 M59 19000 000132 0000R 00001*")</f>
        <v>55922.1</v>
      </c>
      <c r="G1340" s="83">
        <f>SUMIFS(G1341:G1474,K1341:K1474,"0",B1341:B1474,"5 1 3 8 2 12 31111 6 M59 19000 000132 0000R 00001*")</f>
        <v>0</v>
      </c>
      <c r="H1340" s="83">
        <f t="shared" si="22"/>
        <v>55922.1</v>
      </c>
      <c r="I1340" s="83"/>
      <c r="K1340" s="54" t="s">
        <v>15</v>
      </c>
    </row>
    <row r="1341" spans="2:11" ht="24.75" x14ac:dyDescent="0.2">
      <c r="B1341" s="82" t="s">
        <v>9117</v>
      </c>
      <c r="C1341" s="82" t="s">
        <v>9106</v>
      </c>
      <c r="D1341" s="83">
        <f>SUMIFS(D1342:D1474,K1342:K1474,"0",B1342:B1474,"5 1 3 8 2 12 31111 6 M59 19000 000132 0000R 00001 00382*")-SUMIFS(E1342:E1474,K1342:K1474,"0",B1342:B1474,"5 1 3 8 2 12 31111 6 M59 19000 000132 0000R 00001 00382*")</f>
        <v>0</v>
      </c>
      <c r="E1341" s="54"/>
      <c r="F1341" s="83">
        <f>SUMIFS(F1342:F1474,K1342:K1474,"0",B1342:B1474,"5 1 3 8 2 12 31111 6 M59 19000 000132 0000R 00001 00382*")</f>
        <v>55922.1</v>
      </c>
      <c r="G1341" s="83">
        <f>SUMIFS(G1342:G1474,K1342:K1474,"0",B1342:B1474,"5 1 3 8 2 12 31111 6 M59 19000 000132 0000R 00001 00382*")</f>
        <v>0</v>
      </c>
      <c r="H1341" s="83">
        <f t="shared" si="22"/>
        <v>55922.1</v>
      </c>
      <c r="I1341" s="83"/>
      <c r="K1341" s="54" t="s">
        <v>15</v>
      </c>
    </row>
    <row r="1342" spans="2:11" ht="33" x14ac:dyDescent="0.2">
      <c r="B1342" s="82" t="s">
        <v>9118</v>
      </c>
      <c r="C1342" s="82" t="s">
        <v>699</v>
      </c>
      <c r="D1342" s="83">
        <f>SUMIFS(D1343:D1474,K1343:K1474,"0",B1343:B1474,"5 1 3 8 2 12 31111 6 M59 19000 000132 0000R 00001 00382 011*")-SUMIFS(E1343:E1474,K1343:K1474,"0",B1343:B1474,"5 1 3 8 2 12 31111 6 M59 19000 000132 0000R 00001 00382 011*")</f>
        <v>0</v>
      </c>
      <c r="E1342" s="54"/>
      <c r="F1342" s="83">
        <f>SUMIFS(F1343:F1474,K1343:K1474,"0",B1343:B1474,"5 1 3 8 2 12 31111 6 M59 19000 000132 0000R 00001 00382 011*")</f>
        <v>55922.1</v>
      </c>
      <c r="G1342" s="83">
        <f>SUMIFS(G1343:G1474,K1343:K1474,"0",B1343:B1474,"5 1 3 8 2 12 31111 6 M59 19000 000132 0000R 00001 00382 011*")</f>
        <v>0</v>
      </c>
      <c r="H1342" s="83">
        <f t="shared" si="22"/>
        <v>55922.1</v>
      </c>
      <c r="I1342" s="83"/>
      <c r="K1342" s="54" t="s">
        <v>15</v>
      </c>
    </row>
    <row r="1343" spans="2:11" ht="33" x14ac:dyDescent="0.2">
      <c r="B1343" s="82" t="s">
        <v>9119</v>
      </c>
      <c r="C1343" s="82" t="s">
        <v>5830</v>
      </c>
      <c r="D1343" s="83">
        <f>SUMIFS(D1344:D1474,K1344:K1474,"0",B1344:B1474,"5 1 3 8 2 12 31111 6 M59 19000 000132 0000R 00001 00382 011 2112000*")-SUMIFS(E1344:E1474,K1344:K1474,"0",B1344:B1474,"5 1 3 8 2 12 31111 6 M59 19000 000132 0000R 00001 00382 011 2112000*")</f>
        <v>0</v>
      </c>
      <c r="E1343" s="54"/>
      <c r="F1343" s="83">
        <f>SUMIFS(F1344:F1474,K1344:K1474,"0",B1344:B1474,"5 1 3 8 2 12 31111 6 M59 19000 000132 0000R 00001 00382 011 2112000*")</f>
        <v>55922.1</v>
      </c>
      <c r="G1343" s="83">
        <f>SUMIFS(G1344:G1474,K1344:K1474,"0",B1344:B1474,"5 1 3 8 2 12 31111 6 M59 19000 000132 0000R 00001 00382 011 2112000*")</f>
        <v>0</v>
      </c>
      <c r="H1343" s="83">
        <f t="shared" si="22"/>
        <v>55922.1</v>
      </c>
      <c r="I1343" s="83"/>
      <c r="K1343" s="54" t="s">
        <v>15</v>
      </c>
    </row>
    <row r="1344" spans="2:11" ht="33" x14ac:dyDescent="0.2">
      <c r="B1344" s="82" t="s">
        <v>9120</v>
      </c>
      <c r="C1344" s="82" t="s">
        <v>660</v>
      </c>
      <c r="D1344" s="83">
        <f>SUMIFS(D1345:D1474,K1345:K1474,"0",B1345:B1474,"5 1 3 8 2 12 31111 6 M59 19000 000132 0000R 00001 00382 011 2112000 2024*")-SUMIFS(E1345:E1474,K1345:K1474,"0",B1345:B1474,"5 1 3 8 2 12 31111 6 M59 19000 000132 0000R 00001 00382 011 2112000 2024*")</f>
        <v>0</v>
      </c>
      <c r="E1344" s="54"/>
      <c r="F1344" s="83">
        <f>SUMIFS(F1345:F1474,K1345:K1474,"0",B1345:B1474,"5 1 3 8 2 12 31111 6 M59 19000 000132 0000R 00001 00382 011 2112000 2024*")</f>
        <v>55922.1</v>
      </c>
      <c r="G1344" s="83">
        <f>SUMIFS(G1345:G1474,K1345:K1474,"0",B1345:B1474,"5 1 3 8 2 12 31111 6 M59 19000 000132 0000R 00001 00382 011 2112000 2024*")</f>
        <v>0</v>
      </c>
      <c r="H1344" s="83">
        <f t="shared" si="22"/>
        <v>55922.1</v>
      </c>
      <c r="I1344" s="83"/>
      <c r="K1344" s="54" t="s">
        <v>15</v>
      </c>
    </row>
    <row r="1345" spans="2:11" ht="41.25" x14ac:dyDescent="0.2">
      <c r="B1345" s="82" t="s">
        <v>9121</v>
      </c>
      <c r="C1345" s="82" t="s">
        <v>662</v>
      </c>
      <c r="D1345" s="83">
        <f>SUMIFS(D1346:D1474,K1346:K1474,"0",B1346:B1474,"5 1 3 8 2 12 31111 6 M59 19000 000132 0000R 00001 00382 011 2112000 2024 CP1TM440*")-SUMIFS(E1346:E1474,K1346:K1474,"0",B1346:B1474,"5 1 3 8 2 12 31111 6 M59 19000 000132 0000R 00001 00382 011 2112000 2024 CP1TM440*")</f>
        <v>0</v>
      </c>
      <c r="E1345" s="54"/>
      <c r="F1345" s="83">
        <f>SUMIFS(F1346:F1474,K1346:K1474,"0",B1346:B1474,"5 1 3 8 2 12 31111 6 M59 19000 000132 0000R 00001 00382 011 2112000 2024 CP1TM440*")</f>
        <v>55922.1</v>
      </c>
      <c r="G1345" s="83">
        <f>SUMIFS(G1346:G1474,K1346:K1474,"0",B1346:B1474,"5 1 3 8 2 12 31111 6 M59 19000 000132 0000R 00001 00382 011 2112000 2024 CP1TM440*")</f>
        <v>0</v>
      </c>
      <c r="H1345" s="83">
        <f t="shared" si="22"/>
        <v>55922.1</v>
      </c>
      <c r="I1345" s="83"/>
      <c r="K1345" s="54" t="s">
        <v>15</v>
      </c>
    </row>
    <row r="1346" spans="2:11" ht="41.25" x14ac:dyDescent="0.2">
      <c r="B1346" s="82" t="s">
        <v>9122</v>
      </c>
      <c r="C1346" s="82" t="s">
        <v>2284</v>
      </c>
      <c r="D1346" s="83">
        <f>SUMIFS(D1347:D1474,K1347:K1474,"0",B1347:B1474,"5 1 3 8 2 12 31111 6 M59 19000 000132 0000R 00001 00382 011 2112000 2024 CP1TM440 004*")-SUMIFS(E1347:E1474,K1347:K1474,"0",B1347:B1474,"5 1 3 8 2 12 31111 6 M59 19000 000132 0000R 00001 00382 011 2112000 2024 CP1TM440 004*")</f>
        <v>0</v>
      </c>
      <c r="E1346" s="54"/>
      <c r="F1346" s="83">
        <f>SUMIFS(F1347:F1474,K1347:K1474,"0",B1347:B1474,"5 1 3 8 2 12 31111 6 M59 19000 000132 0000R 00001 00382 011 2112000 2024 CP1TM440 004*")</f>
        <v>55922.1</v>
      </c>
      <c r="G1346" s="83">
        <f>SUMIFS(G1347:G1474,K1347:K1474,"0",B1347:B1474,"5 1 3 8 2 12 31111 6 M59 19000 000132 0000R 00001 00382 011 2112000 2024 CP1TM440 004*")</f>
        <v>0</v>
      </c>
      <c r="H1346" s="83">
        <f t="shared" si="22"/>
        <v>55922.1</v>
      </c>
      <c r="I1346" s="83"/>
      <c r="K1346" s="54" t="s">
        <v>15</v>
      </c>
    </row>
    <row r="1347" spans="2:11" ht="33" x14ac:dyDescent="0.2">
      <c r="B1347" s="84" t="s">
        <v>9123</v>
      </c>
      <c r="C1347" s="84" t="s">
        <v>2284</v>
      </c>
      <c r="D1347" s="85">
        <v>0</v>
      </c>
      <c r="E1347" s="85"/>
      <c r="F1347" s="85">
        <v>55922.1</v>
      </c>
      <c r="G1347" s="85">
        <v>0</v>
      </c>
      <c r="H1347" s="85">
        <f t="shared" si="22"/>
        <v>55922.1</v>
      </c>
      <c r="I1347" s="85"/>
      <c r="K1347" s="54" t="s">
        <v>38</v>
      </c>
    </row>
    <row r="1348" spans="2:11" ht="12.75" x14ac:dyDescent="0.2">
      <c r="B1348" s="82" t="s">
        <v>9124</v>
      </c>
      <c r="C1348" s="82" t="s">
        <v>2955</v>
      </c>
      <c r="D1348" s="83">
        <f>SUMIFS(D1349:D1474,K1349:K1474,"0",B1349:B1474,"5 1 3 8 5*")-SUMIFS(E1349:E1474,K1349:K1474,"0",B1349:B1474,"5 1 3 8 5*")</f>
        <v>0</v>
      </c>
      <c r="E1348" s="54"/>
      <c r="F1348" s="83">
        <f>SUMIFS(F1349:F1474,K1349:K1474,"0",B1349:B1474,"5 1 3 8 5*")</f>
        <v>15299.36</v>
      </c>
      <c r="G1348" s="83">
        <f>SUMIFS(G1349:G1474,K1349:K1474,"0",B1349:B1474,"5 1 3 8 5*")</f>
        <v>0</v>
      </c>
      <c r="H1348" s="83">
        <f t="shared" si="22"/>
        <v>15299.36</v>
      </c>
      <c r="I1348" s="83"/>
      <c r="K1348" s="54" t="s">
        <v>15</v>
      </c>
    </row>
    <row r="1349" spans="2:11" ht="12.75" x14ac:dyDescent="0.2">
      <c r="B1349" s="82" t="s">
        <v>9125</v>
      </c>
      <c r="C1349" s="82" t="s">
        <v>26</v>
      </c>
      <c r="D1349" s="83">
        <f>SUMIFS(D1350:D1474,K1350:K1474,"0",B1350:B1474,"5 1 3 8 5 12*")-SUMIFS(E1350:E1474,K1350:K1474,"0",B1350:B1474,"5 1 3 8 5 12*")</f>
        <v>0</v>
      </c>
      <c r="E1349" s="54"/>
      <c r="F1349" s="83">
        <f>SUMIFS(F1350:F1474,K1350:K1474,"0",B1350:B1474,"5 1 3 8 5 12*")</f>
        <v>15299.36</v>
      </c>
      <c r="G1349" s="83">
        <f>SUMIFS(G1350:G1474,K1350:K1474,"0",B1350:B1474,"5 1 3 8 5 12*")</f>
        <v>0</v>
      </c>
      <c r="H1349" s="83">
        <f t="shared" si="22"/>
        <v>15299.36</v>
      </c>
      <c r="I1349" s="83"/>
      <c r="K1349" s="54" t="s">
        <v>15</v>
      </c>
    </row>
    <row r="1350" spans="2:11" ht="16.5" x14ac:dyDescent="0.2">
      <c r="B1350" s="82" t="s">
        <v>9126</v>
      </c>
      <c r="C1350" s="82" t="s">
        <v>28</v>
      </c>
      <c r="D1350" s="83">
        <f>SUMIFS(D1351:D1474,K1351:K1474,"0",B1351:B1474,"5 1 3 8 5 12 31111*")-SUMIFS(E1351:E1474,K1351:K1474,"0",B1351:B1474,"5 1 3 8 5 12 31111*")</f>
        <v>0</v>
      </c>
      <c r="E1350" s="54"/>
      <c r="F1350" s="83">
        <f>SUMIFS(F1351:F1474,K1351:K1474,"0",B1351:B1474,"5 1 3 8 5 12 31111*")</f>
        <v>15299.36</v>
      </c>
      <c r="G1350" s="83">
        <f>SUMIFS(G1351:G1474,K1351:K1474,"0",B1351:B1474,"5 1 3 8 5 12 31111*")</f>
        <v>0</v>
      </c>
      <c r="H1350" s="83">
        <f t="shared" si="22"/>
        <v>15299.36</v>
      </c>
      <c r="I1350" s="83"/>
      <c r="K1350" s="54" t="s">
        <v>15</v>
      </c>
    </row>
    <row r="1351" spans="2:11" ht="12.75" x14ac:dyDescent="0.2">
      <c r="B1351" s="82" t="s">
        <v>9127</v>
      </c>
      <c r="C1351" s="82" t="s">
        <v>30</v>
      </c>
      <c r="D1351" s="83">
        <f>SUMIFS(D1352:D1474,K1352:K1474,"0",B1352:B1474,"5 1 3 8 5 12 31111 6*")-SUMIFS(E1352:E1474,K1352:K1474,"0",B1352:B1474,"5 1 3 8 5 12 31111 6*")</f>
        <v>0</v>
      </c>
      <c r="E1351" s="54"/>
      <c r="F1351" s="83">
        <f>SUMIFS(F1352:F1474,K1352:K1474,"0",B1352:B1474,"5 1 3 8 5 12 31111 6*")</f>
        <v>15299.36</v>
      </c>
      <c r="G1351" s="83">
        <f>SUMIFS(G1352:G1474,K1352:K1474,"0",B1352:B1474,"5 1 3 8 5 12 31111 6*")</f>
        <v>0</v>
      </c>
      <c r="H1351" s="83">
        <f t="shared" si="22"/>
        <v>15299.36</v>
      </c>
      <c r="I1351" s="83"/>
      <c r="K1351" s="54" t="s">
        <v>15</v>
      </c>
    </row>
    <row r="1352" spans="2:11" ht="16.5" x14ac:dyDescent="0.2">
      <c r="B1352" s="82" t="s">
        <v>9128</v>
      </c>
      <c r="C1352" s="82" t="s">
        <v>2284</v>
      </c>
      <c r="D1352" s="83">
        <f>SUMIFS(D1353:D1474,K1353:K1474,"0",B1353:B1474,"5 1 3 8 5 12 31111 6 M59*")-SUMIFS(E1353:E1474,K1353:K1474,"0",B1353:B1474,"5 1 3 8 5 12 31111 6 M59*")</f>
        <v>0</v>
      </c>
      <c r="E1352" s="54"/>
      <c r="F1352" s="83">
        <f>SUMIFS(F1353:F1474,K1353:K1474,"0",B1353:B1474,"5 1 3 8 5 12 31111 6 M59*")</f>
        <v>15299.36</v>
      </c>
      <c r="G1352" s="83">
        <f>SUMIFS(G1353:G1474,K1353:K1474,"0",B1353:B1474,"5 1 3 8 5 12 31111 6 M59*")</f>
        <v>0</v>
      </c>
      <c r="H1352" s="83">
        <f t="shared" si="22"/>
        <v>15299.36</v>
      </c>
      <c r="I1352" s="83"/>
      <c r="K1352" s="54" t="s">
        <v>15</v>
      </c>
    </row>
    <row r="1353" spans="2:11" ht="16.5" x14ac:dyDescent="0.2">
      <c r="B1353" s="82" t="s">
        <v>9141</v>
      </c>
      <c r="C1353" s="82" t="s">
        <v>1044</v>
      </c>
      <c r="D1353" s="83">
        <f>SUMIFS(D1354:D1474,K1354:K1474,"0",B1354:B1474,"5 1 3 8 5 12 31111 6 M59 19000*")-SUMIFS(E1354:E1474,K1354:K1474,"0",B1354:B1474,"5 1 3 8 5 12 31111 6 M59 19000*")</f>
        <v>0</v>
      </c>
      <c r="E1353" s="54"/>
      <c r="F1353" s="83">
        <f>SUMIFS(F1354:F1474,K1354:K1474,"0",B1354:B1474,"5 1 3 8 5 12 31111 6 M59 19000*")</f>
        <v>15299.36</v>
      </c>
      <c r="G1353" s="83">
        <f>SUMIFS(G1354:G1474,K1354:K1474,"0",B1354:B1474,"5 1 3 8 5 12 31111 6 M59 19000*")</f>
        <v>0</v>
      </c>
      <c r="H1353" s="83">
        <f t="shared" si="22"/>
        <v>15299.36</v>
      </c>
      <c r="I1353" s="83"/>
      <c r="K1353" s="54" t="s">
        <v>15</v>
      </c>
    </row>
    <row r="1354" spans="2:11" ht="16.5" x14ac:dyDescent="0.2">
      <c r="B1354" s="82" t="s">
        <v>9142</v>
      </c>
      <c r="C1354" s="82" t="s">
        <v>648</v>
      </c>
      <c r="D1354" s="83">
        <f>SUMIFS(D1355:D1474,K1355:K1474,"0",B1355:B1474,"5 1 3 8 5 12 31111 6 M59 19000 000132*")-SUMIFS(E1355:E1474,K1355:K1474,"0",B1355:B1474,"5 1 3 8 5 12 31111 6 M59 19000 000132*")</f>
        <v>0</v>
      </c>
      <c r="E1354" s="54"/>
      <c r="F1354" s="83">
        <f>SUMIFS(F1355:F1474,K1355:K1474,"0",B1355:B1474,"5 1 3 8 5 12 31111 6 M59 19000 000132*")</f>
        <v>15299.36</v>
      </c>
      <c r="G1354" s="83">
        <f>SUMIFS(G1355:G1474,K1355:K1474,"0",B1355:B1474,"5 1 3 8 5 12 31111 6 M59 19000 000132*")</f>
        <v>0</v>
      </c>
      <c r="H1354" s="83">
        <f t="shared" si="22"/>
        <v>15299.36</v>
      </c>
      <c r="I1354" s="83"/>
      <c r="K1354" s="54" t="s">
        <v>15</v>
      </c>
    </row>
    <row r="1355" spans="2:11" ht="24.75" x14ac:dyDescent="0.2">
      <c r="B1355" s="82" t="s">
        <v>9143</v>
      </c>
      <c r="C1355" s="82" t="s">
        <v>650</v>
      </c>
      <c r="D1355" s="83">
        <f>SUMIFS(D1356:D1474,K1356:K1474,"0",B1356:B1474,"5 1 3 8 5 12 31111 6 M59 19000 000132 0000R*")-SUMIFS(E1356:E1474,K1356:K1474,"0",B1356:B1474,"5 1 3 8 5 12 31111 6 M59 19000 000132 0000R*")</f>
        <v>0</v>
      </c>
      <c r="E1355" s="54"/>
      <c r="F1355" s="83">
        <f>SUMIFS(F1356:F1474,K1356:K1474,"0",B1356:B1474,"5 1 3 8 5 12 31111 6 M59 19000 000132 0000R*")</f>
        <v>15299.36</v>
      </c>
      <c r="G1355" s="83">
        <f>SUMIFS(G1356:G1474,K1356:K1474,"0",B1356:B1474,"5 1 3 8 5 12 31111 6 M59 19000 000132 0000R*")</f>
        <v>0</v>
      </c>
      <c r="H1355" s="83">
        <f t="shared" si="22"/>
        <v>15299.36</v>
      </c>
      <c r="I1355" s="83"/>
      <c r="K1355" s="54" t="s">
        <v>15</v>
      </c>
    </row>
    <row r="1356" spans="2:11" ht="24.75" x14ac:dyDescent="0.2">
      <c r="B1356" s="82" t="s">
        <v>9144</v>
      </c>
      <c r="C1356" s="82" t="s">
        <v>282</v>
      </c>
      <c r="D1356" s="83">
        <f>SUMIFS(D1357:D1474,K1357:K1474,"0",B1357:B1474,"5 1 3 8 5 12 31111 6 M59 19000 000132 0000R 00001*")-SUMIFS(E1357:E1474,K1357:K1474,"0",B1357:B1474,"5 1 3 8 5 12 31111 6 M59 19000 000132 0000R 00001*")</f>
        <v>0</v>
      </c>
      <c r="E1356" s="54"/>
      <c r="F1356" s="83">
        <f>SUMIFS(F1357:F1474,K1357:K1474,"0",B1357:B1474,"5 1 3 8 5 12 31111 6 M59 19000 000132 0000R 00001*")</f>
        <v>15299.36</v>
      </c>
      <c r="G1356" s="83">
        <f>SUMIFS(G1357:G1474,K1357:K1474,"0",B1357:B1474,"5 1 3 8 5 12 31111 6 M59 19000 000132 0000R 00001*")</f>
        <v>0</v>
      </c>
      <c r="H1356" s="83">
        <f t="shared" si="22"/>
        <v>15299.36</v>
      </c>
      <c r="I1356" s="83"/>
      <c r="K1356" s="54" t="s">
        <v>15</v>
      </c>
    </row>
    <row r="1357" spans="2:11" ht="24.75" x14ac:dyDescent="0.2">
      <c r="B1357" s="82" t="s">
        <v>9145</v>
      </c>
      <c r="C1357" s="82" t="s">
        <v>9134</v>
      </c>
      <c r="D1357" s="83">
        <f>SUMIFS(D1358:D1474,K1358:K1474,"0",B1358:B1474,"5 1 3 8 5 12 31111 6 M59 19000 000132 0000R 00001 00385*")-SUMIFS(E1358:E1474,K1358:K1474,"0",B1358:B1474,"5 1 3 8 5 12 31111 6 M59 19000 000132 0000R 00001 00385*")</f>
        <v>0</v>
      </c>
      <c r="E1357" s="54"/>
      <c r="F1357" s="83">
        <f>SUMIFS(F1358:F1474,K1358:K1474,"0",B1358:B1474,"5 1 3 8 5 12 31111 6 M59 19000 000132 0000R 00001 00385*")</f>
        <v>15299.36</v>
      </c>
      <c r="G1357" s="83">
        <f>SUMIFS(G1358:G1474,K1358:K1474,"0",B1358:B1474,"5 1 3 8 5 12 31111 6 M59 19000 000132 0000R 00001 00385*")</f>
        <v>0</v>
      </c>
      <c r="H1357" s="83">
        <f t="shared" si="22"/>
        <v>15299.36</v>
      </c>
      <c r="I1357" s="83"/>
      <c r="K1357" s="54" t="s">
        <v>15</v>
      </c>
    </row>
    <row r="1358" spans="2:11" ht="33" x14ac:dyDescent="0.2">
      <c r="B1358" s="82" t="s">
        <v>9146</v>
      </c>
      <c r="C1358" s="82" t="s">
        <v>699</v>
      </c>
      <c r="D1358" s="83">
        <f>SUMIFS(D1359:D1474,K1359:K1474,"0",B1359:B1474,"5 1 3 8 5 12 31111 6 M59 19000 000132 0000R 00001 00385 011*")-SUMIFS(E1359:E1474,K1359:K1474,"0",B1359:B1474,"5 1 3 8 5 12 31111 6 M59 19000 000132 0000R 00001 00385 011*")</f>
        <v>0</v>
      </c>
      <c r="E1358" s="54"/>
      <c r="F1358" s="83">
        <f>SUMIFS(F1359:F1474,K1359:K1474,"0",B1359:B1474,"5 1 3 8 5 12 31111 6 M59 19000 000132 0000R 00001 00385 011*")</f>
        <v>15299.36</v>
      </c>
      <c r="G1358" s="83">
        <f>SUMIFS(G1359:G1474,K1359:K1474,"0",B1359:B1474,"5 1 3 8 5 12 31111 6 M59 19000 000132 0000R 00001 00385 011*")</f>
        <v>0</v>
      </c>
      <c r="H1358" s="83">
        <f t="shared" si="22"/>
        <v>15299.36</v>
      </c>
      <c r="I1358" s="83"/>
      <c r="K1358" s="54" t="s">
        <v>15</v>
      </c>
    </row>
    <row r="1359" spans="2:11" ht="33" x14ac:dyDescent="0.2">
      <c r="B1359" s="82" t="s">
        <v>9147</v>
      </c>
      <c r="C1359" s="82" t="s">
        <v>5830</v>
      </c>
      <c r="D1359" s="83">
        <f>SUMIFS(D1360:D1474,K1360:K1474,"0",B1360:B1474,"5 1 3 8 5 12 31111 6 M59 19000 000132 0000R 00001 00385 011 2112000*")-SUMIFS(E1360:E1474,K1360:K1474,"0",B1360:B1474,"5 1 3 8 5 12 31111 6 M59 19000 000132 0000R 00001 00385 011 2112000*")</f>
        <v>0</v>
      </c>
      <c r="E1359" s="54"/>
      <c r="F1359" s="83">
        <f>SUMIFS(F1360:F1474,K1360:K1474,"0",B1360:B1474,"5 1 3 8 5 12 31111 6 M59 19000 000132 0000R 00001 00385 011 2112000*")</f>
        <v>15299.36</v>
      </c>
      <c r="G1359" s="83">
        <f>SUMIFS(G1360:G1474,K1360:K1474,"0",B1360:B1474,"5 1 3 8 5 12 31111 6 M59 19000 000132 0000R 00001 00385 011 2112000*")</f>
        <v>0</v>
      </c>
      <c r="H1359" s="83">
        <f t="shared" si="22"/>
        <v>15299.36</v>
      </c>
      <c r="I1359" s="83"/>
      <c r="K1359" s="54" t="s">
        <v>15</v>
      </c>
    </row>
    <row r="1360" spans="2:11" ht="33" x14ac:dyDescent="0.2">
      <c r="B1360" s="82" t="s">
        <v>9148</v>
      </c>
      <c r="C1360" s="82" t="s">
        <v>660</v>
      </c>
      <c r="D1360" s="83">
        <f>SUMIFS(D1361:D1474,K1361:K1474,"0",B1361:B1474,"5 1 3 8 5 12 31111 6 M59 19000 000132 0000R 00001 00385 011 2112000 2024*")-SUMIFS(E1361:E1474,K1361:K1474,"0",B1361:B1474,"5 1 3 8 5 12 31111 6 M59 19000 000132 0000R 00001 00385 011 2112000 2024*")</f>
        <v>0</v>
      </c>
      <c r="E1360" s="54"/>
      <c r="F1360" s="83">
        <f>SUMIFS(F1361:F1474,K1361:K1474,"0",B1361:B1474,"5 1 3 8 5 12 31111 6 M59 19000 000132 0000R 00001 00385 011 2112000 2024*")</f>
        <v>15299.36</v>
      </c>
      <c r="G1360" s="83">
        <f>SUMIFS(G1361:G1474,K1361:K1474,"0",B1361:B1474,"5 1 3 8 5 12 31111 6 M59 19000 000132 0000R 00001 00385 011 2112000 2024*")</f>
        <v>0</v>
      </c>
      <c r="H1360" s="83">
        <f t="shared" si="22"/>
        <v>15299.36</v>
      </c>
      <c r="I1360" s="83"/>
      <c r="K1360" s="54" t="s">
        <v>15</v>
      </c>
    </row>
    <row r="1361" spans="2:11" ht="41.25" x14ac:dyDescent="0.2">
      <c r="B1361" s="82" t="s">
        <v>9149</v>
      </c>
      <c r="C1361" s="82" t="s">
        <v>662</v>
      </c>
      <c r="D1361" s="83">
        <f>SUMIFS(D1362:D1474,K1362:K1474,"0",B1362:B1474,"5 1 3 8 5 12 31111 6 M59 19000 000132 0000R 00001 00385 011 2112000 2024 CP1TM440*")-SUMIFS(E1362:E1474,K1362:K1474,"0",B1362:B1474,"5 1 3 8 5 12 31111 6 M59 19000 000132 0000R 00001 00385 011 2112000 2024 CP1TM440*")</f>
        <v>0</v>
      </c>
      <c r="E1361" s="54"/>
      <c r="F1361" s="83">
        <f>SUMIFS(F1362:F1474,K1362:K1474,"0",B1362:B1474,"5 1 3 8 5 12 31111 6 M59 19000 000132 0000R 00001 00385 011 2112000 2024 CP1TM440*")</f>
        <v>15299.36</v>
      </c>
      <c r="G1361" s="83">
        <f>SUMIFS(G1362:G1474,K1362:K1474,"0",B1362:B1474,"5 1 3 8 5 12 31111 6 M59 19000 000132 0000R 00001 00385 011 2112000 2024 CP1TM440*")</f>
        <v>0</v>
      </c>
      <c r="H1361" s="83">
        <f t="shared" si="22"/>
        <v>15299.36</v>
      </c>
      <c r="I1361" s="83"/>
      <c r="K1361" s="54" t="s">
        <v>15</v>
      </c>
    </row>
    <row r="1362" spans="2:11" ht="41.25" x14ac:dyDescent="0.2">
      <c r="B1362" s="82" t="s">
        <v>9150</v>
      </c>
      <c r="C1362" s="82" t="s">
        <v>2284</v>
      </c>
      <c r="D1362" s="83">
        <f>SUMIFS(D1363:D1474,K1363:K1474,"0",B1363:B1474,"5 1 3 8 5 12 31111 6 M59 19000 000132 0000R 00001 00385 011 2112000 2024 CP1TM440 004*")-SUMIFS(E1363:E1474,K1363:K1474,"0",B1363:B1474,"5 1 3 8 5 12 31111 6 M59 19000 000132 0000R 00001 00385 011 2112000 2024 CP1TM440 004*")</f>
        <v>0</v>
      </c>
      <c r="E1362" s="54"/>
      <c r="F1362" s="83">
        <f>SUMIFS(F1363:F1474,K1363:K1474,"0",B1363:B1474,"5 1 3 8 5 12 31111 6 M59 19000 000132 0000R 00001 00385 011 2112000 2024 CP1TM440 004*")</f>
        <v>15299.36</v>
      </c>
      <c r="G1362" s="83">
        <f>SUMIFS(G1363:G1474,K1363:K1474,"0",B1363:B1474,"5 1 3 8 5 12 31111 6 M59 19000 000132 0000R 00001 00385 011 2112000 2024 CP1TM440 004*")</f>
        <v>0</v>
      </c>
      <c r="H1362" s="83">
        <f t="shared" si="22"/>
        <v>15299.36</v>
      </c>
      <c r="I1362" s="83"/>
      <c r="K1362" s="54" t="s">
        <v>15</v>
      </c>
    </row>
    <row r="1363" spans="2:11" ht="33" x14ac:dyDescent="0.2">
      <c r="B1363" s="84" t="s">
        <v>9151</v>
      </c>
      <c r="C1363" s="84" t="s">
        <v>2284</v>
      </c>
      <c r="D1363" s="85">
        <v>0</v>
      </c>
      <c r="E1363" s="85"/>
      <c r="F1363" s="85">
        <v>15299.36</v>
      </c>
      <c r="G1363" s="85">
        <v>0</v>
      </c>
      <c r="H1363" s="85">
        <f t="shared" si="22"/>
        <v>15299.36</v>
      </c>
      <c r="I1363" s="85"/>
      <c r="K1363" s="54" t="s">
        <v>38</v>
      </c>
    </row>
    <row r="1364" spans="2:11" ht="12.75" x14ac:dyDescent="0.2">
      <c r="B1364" s="82" t="s">
        <v>9152</v>
      </c>
      <c r="C1364" s="82" t="s">
        <v>9153</v>
      </c>
      <c r="D1364" s="83">
        <f>SUMIFS(D1365:D1474,K1365:K1474,"0",B1365:B1474,"5 1 3 9*")-SUMIFS(E1365:E1474,K1365:K1474,"0",B1365:B1474,"5 1 3 9*")</f>
        <v>114450</v>
      </c>
      <c r="E1364" s="54"/>
      <c r="F1364" s="83">
        <f>SUMIFS(F1365:F1474,K1365:K1474,"0",B1365:B1474,"5 1 3 9*")</f>
        <v>1234.97</v>
      </c>
      <c r="G1364" s="83">
        <f>SUMIFS(G1365:G1474,K1365:K1474,"0",B1365:B1474,"5 1 3 9*")</f>
        <v>0</v>
      </c>
      <c r="H1364" s="83">
        <f t="shared" si="22"/>
        <v>115684.97</v>
      </c>
      <c r="I1364" s="83"/>
      <c r="K1364" s="54" t="s">
        <v>15</v>
      </c>
    </row>
    <row r="1365" spans="2:11" ht="12.75" x14ac:dyDescent="0.2">
      <c r="B1365" s="82" t="s">
        <v>9927</v>
      </c>
      <c r="C1365" s="82" t="s">
        <v>9153</v>
      </c>
      <c r="D1365" s="83">
        <f>SUMIFS(D1366:D1474,K1366:K1474,"0",B1366:B1474,"5 1 3 9 9*")-SUMIFS(E1366:E1474,K1366:K1474,"0",B1366:B1474,"5 1 3 9 9*")</f>
        <v>114450</v>
      </c>
      <c r="E1365" s="54"/>
      <c r="F1365" s="83">
        <f>SUMIFS(F1366:F1474,K1366:K1474,"0",B1366:B1474,"5 1 3 9 9*")</f>
        <v>1234.97</v>
      </c>
      <c r="G1365" s="83">
        <f>SUMIFS(G1366:G1474,K1366:K1474,"0",B1366:B1474,"5 1 3 9 9*")</f>
        <v>0</v>
      </c>
      <c r="H1365" s="83">
        <f t="shared" si="22"/>
        <v>115684.97</v>
      </c>
      <c r="I1365" s="83"/>
      <c r="K1365" s="54" t="s">
        <v>15</v>
      </c>
    </row>
    <row r="1366" spans="2:11" ht="12.75" x14ac:dyDescent="0.2">
      <c r="B1366" s="82" t="s">
        <v>9928</v>
      </c>
      <c r="C1366" s="82" t="s">
        <v>26</v>
      </c>
      <c r="D1366" s="83">
        <f>SUMIFS(D1367:D1474,K1367:K1474,"0",B1367:B1474,"5 1 3 9 9 12*")-SUMIFS(E1367:E1474,K1367:K1474,"0",B1367:B1474,"5 1 3 9 9 12*")</f>
        <v>114450</v>
      </c>
      <c r="E1366" s="54"/>
      <c r="F1366" s="83">
        <f>SUMIFS(F1367:F1474,K1367:K1474,"0",B1367:B1474,"5 1 3 9 9 12*")</f>
        <v>1234.97</v>
      </c>
      <c r="G1366" s="83">
        <f>SUMIFS(G1367:G1474,K1367:K1474,"0",B1367:B1474,"5 1 3 9 9 12*")</f>
        <v>0</v>
      </c>
      <c r="H1366" s="83">
        <f t="shared" si="22"/>
        <v>115684.97</v>
      </c>
      <c r="I1366" s="83"/>
      <c r="K1366" s="54" t="s">
        <v>15</v>
      </c>
    </row>
    <row r="1367" spans="2:11" ht="16.5" x14ac:dyDescent="0.2">
      <c r="B1367" s="82" t="s">
        <v>9929</v>
      </c>
      <c r="C1367" s="82" t="s">
        <v>28</v>
      </c>
      <c r="D1367" s="83">
        <f>SUMIFS(D1368:D1474,K1368:K1474,"0",B1368:B1474,"5 1 3 9 9 12 31111*")-SUMIFS(E1368:E1474,K1368:K1474,"0",B1368:B1474,"5 1 3 9 9 12 31111*")</f>
        <v>114450</v>
      </c>
      <c r="E1367" s="54"/>
      <c r="F1367" s="83">
        <f>SUMIFS(F1368:F1474,K1368:K1474,"0",B1368:B1474,"5 1 3 9 9 12 31111*")</f>
        <v>1234.97</v>
      </c>
      <c r="G1367" s="83">
        <f>SUMIFS(G1368:G1474,K1368:K1474,"0",B1368:B1474,"5 1 3 9 9 12 31111*")</f>
        <v>0</v>
      </c>
      <c r="H1367" s="83">
        <f t="shared" si="22"/>
        <v>115684.97</v>
      </c>
      <c r="I1367" s="83"/>
      <c r="K1367" s="54" t="s">
        <v>15</v>
      </c>
    </row>
    <row r="1368" spans="2:11" ht="12.75" x14ac:dyDescent="0.2">
      <c r="B1368" s="82" t="s">
        <v>9930</v>
      </c>
      <c r="C1368" s="82" t="s">
        <v>30</v>
      </c>
      <c r="D1368" s="83">
        <f>SUMIFS(D1369:D1474,K1369:K1474,"0",B1369:B1474,"5 1 3 9 9 12 31111 6*")-SUMIFS(E1369:E1474,K1369:K1474,"0",B1369:B1474,"5 1 3 9 9 12 31111 6*")</f>
        <v>114450</v>
      </c>
      <c r="E1368" s="54"/>
      <c r="F1368" s="83">
        <f>SUMIFS(F1369:F1474,K1369:K1474,"0",B1369:B1474,"5 1 3 9 9 12 31111 6*")</f>
        <v>1234.97</v>
      </c>
      <c r="G1368" s="83">
        <f>SUMIFS(G1369:G1474,K1369:K1474,"0",B1369:B1474,"5 1 3 9 9 12 31111 6*")</f>
        <v>0</v>
      </c>
      <c r="H1368" s="83">
        <f t="shared" si="22"/>
        <v>115684.97</v>
      </c>
      <c r="I1368" s="83"/>
      <c r="K1368" s="54" t="s">
        <v>15</v>
      </c>
    </row>
    <row r="1369" spans="2:11" ht="16.5" x14ac:dyDescent="0.2">
      <c r="B1369" s="82" t="s">
        <v>9931</v>
      </c>
      <c r="C1369" s="82" t="s">
        <v>2284</v>
      </c>
      <c r="D1369" s="83">
        <f>SUMIFS(D1370:D1474,K1370:K1474,"0",B1370:B1474,"5 1 3 9 9 12 31111 6 M59*")-SUMIFS(E1370:E1474,K1370:K1474,"0",B1370:B1474,"5 1 3 9 9 12 31111 6 M59*")</f>
        <v>114450</v>
      </c>
      <c r="E1369" s="54"/>
      <c r="F1369" s="83">
        <f>SUMIFS(F1370:F1474,K1370:K1474,"0",B1370:B1474,"5 1 3 9 9 12 31111 6 M59*")</f>
        <v>1234.97</v>
      </c>
      <c r="G1369" s="83">
        <f>SUMIFS(G1370:G1474,K1370:K1474,"0",B1370:B1474,"5 1 3 9 9 12 31111 6 M59*")</f>
        <v>0</v>
      </c>
      <c r="H1369" s="83">
        <f t="shared" si="22"/>
        <v>115684.97</v>
      </c>
      <c r="I1369" s="83"/>
      <c r="K1369" s="54" t="s">
        <v>15</v>
      </c>
    </row>
    <row r="1370" spans="2:11" ht="16.5" x14ac:dyDescent="0.2">
      <c r="B1370" s="82" t="s">
        <v>9944</v>
      </c>
      <c r="C1370" s="82" t="s">
        <v>2946</v>
      </c>
      <c r="D1370" s="83">
        <f>SUMIFS(D1371:D1474,K1371:K1474,"0",B1371:B1474,"5 1 3 9 9 12 31111 6 M59 10300*")-SUMIFS(E1371:E1474,K1371:K1474,"0",B1371:B1474,"5 1 3 9 9 12 31111 6 M59 10300*")</f>
        <v>0</v>
      </c>
      <c r="E1370" s="54"/>
      <c r="F1370" s="83">
        <f>SUMIFS(F1371:F1474,K1371:K1474,"0",B1371:B1474,"5 1 3 9 9 12 31111 6 M59 10300*")</f>
        <v>1234.97</v>
      </c>
      <c r="G1370" s="83">
        <f>SUMIFS(G1371:G1474,K1371:K1474,"0",B1371:B1474,"5 1 3 9 9 12 31111 6 M59 10300*")</f>
        <v>0</v>
      </c>
      <c r="H1370" s="83">
        <f t="shared" si="22"/>
        <v>1234.97</v>
      </c>
      <c r="I1370" s="83"/>
      <c r="K1370" s="54" t="s">
        <v>15</v>
      </c>
    </row>
    <row r="1371" spans="2:11" ht="16.5" x14ac:dyDescent="0.2">
      <c r="B1371" s="82" t="s">
        <v>9945</v>
      </c>
      <c r="C1371" s="82" t="s">
        <v>1063</v>
      </c>
      <c r="D1371" s="83">
        <f>SUMIFS(D1372:D1474,K1372:K1474,"0",B1372:B1474,"5 1 3 9 9 12 31111 6 M59 10300 000139*")-SUMIFS(E1372:E1474,K1372:K1474,"0",B1372:B1474,"5 1 3 9 9 12 31111 6 M59 10300 000139*")</f>
        <v>0</v>
      </c>
      <c r="E1371" s="54"/>
      <c r="F1371" s="83">
        <f>SUMIFS(F1372:F1474,K1372:K1474,"0",B1372:B1474,"5 1 3 9 9 12 31111 6 M59 10300 000139*")</f>
        <v>1234.97</v>
      </c>
      <c r="G1371" s="83">
        <f>SUMIFS(G1372:G1474,K1372:K1474,"0",B1372:B1474,"5 1 3 9 9 12 31111 6 M59 10300 000139*")</f>
        <v>0</v>
      </c>
      <c r="H1371" s="83">
        <f t="shared" si="22"/>
        <v>1234.97</v>
      </c>
      <c r="I1371" s="83"/>
      <c r="K1371" s="54" t="s">
        <v>15</v>
      </c>
    </row>
    <row r="1372" spans="2:11" ht="24.75" x14ac:dyDescent="0.2">
      <c r="B1372" s="82" t="s">
        <v>9946</v>
      </c>
      <c r="C1372" s="82" t="s">
        <v>1065</v>
      </c>
      <c r="D1372" s="83">
        <f>SUMIFS(D1373:D1474,K1373:K1474,"0",B1373:B1474,"5 1 3 9 9 12 31111 6 M59 10300 000139 0000E*")-SUMIFS(E1373:E1474,K1373:K1474,"0",B1373:B1474,"5 1 3 9 9 12 31111 6 M59 10300 000139 0000E*")</f>
        <v>0</v>
      </c>
      <c r="E1372" s="54"/>
      <c r="F1372" s="83">
        <f>SUMIFS(F1373:F1474,K1373:K1474,"0",B1373:B1474,"5 1 3 9 9 12 31111 6 M59 10300 000139 0000E*")</f>
        <v>1234.97</v>
      </c>
      <c r="G1372" s="83">
        <f>SUMIFS(G1373:G1474,K1373:K1474,"0",B1373:B1474,"5 1 3 9 9 12 31111 6 M59 10300 000139 0000E*")</f>
        <v>0</v>
      </c>
      <c r="H1372" s="83">
        <f t="shared" si="22"/>
        <v>1234.97</v>
      </c>
      <c r="I1372" s="83"/>
      <c r="K1372" s="54" t="s">
        <v>15</v>
      </c>
    </row>
    <row r="1373" spans="2:11" ht="24.75" x14ac:dyDescent="0.2">
      <c r="B1373" s="82" t="s">
        <v>9947</v>
      </c>
      <c r="C1373" s="82" t="s">
        <v>282</v>
      </c>
      <c r="D1373" s="83">
        <f>SUMIFS(D1374:D1474,K1374:K1474,"0",B1374:B1474,"5 1 3 9 9 12 31111 6 M59 10300 000139 0000E 00001*")-SUMIFS(E1374:E1474,K1374:K1474,"0",B1374:B1474,"5 1 3 9 9 12 31111 6 M59 10300 000139 0000E 00001*")</f>
        <v>0</v>
      </c>
      <c r="E1373" s="54"/>
      <c r="F1373" s="83">
        <f>SUMIFS(F1374:F1474,K1374:K1474,"0",B1374:B1474,"5 1 3 9 9 12 31111 6 M59 10300 000139 0000E 00001*")</f>
        <v>1234.97</v>
      </c>
      <c r="G1373" s="83">
        <f>SUMIFS(G1374:G1474,K1374:K1474,"0",B1374:B1474,"5 1 3 9 9 12 31111 6 M59 10300 000139 0000E 00001*")</f>
        <v>0</v>
      </c>
      <c r="H1373" s="83">
        <f t="shared" si="22"/>
        <v>1234.97</v>
      </c>
      <c r="I1373" s="83"/>
      <c r="K1373" s="54" t="s">
        <v>15</v>
      </c>
    </row>
    <row r="1374" spans="2:11" ht="24.75" x14ac:dyDescent="0.2">
      <c r="B1374" s="82" t="s">
        <v>9948</v>
      </c>
      <c r="C1374" s="82" t="s">
        <v>9937</v>
      </c>
      <c r="D1374" s="83">
        <f>SUMIFS(D1375:D1474,K1375:K1474,"0",B1375:B1474,"5 1 3 9 9 12 31111 6 M59 10300 000139 0000E 00001 00399*")-SUMIFS(E1375:E1474,K1375:K1474,"0",B1375:B1474,"5 1 3 9 9 12 31111 6 M59 10300 000139 0000E 00001 00399*")</f>
        <v>0</v>
      </c>
      <c r="E1374" s="54"/>
      <c r="F1374" s="83">
        <f>SUMIFS(F1375:F1474,K1375:K1474,"0",B1375:B1474,"5 1 3 9 9 12 31111 6 M59 10300 000139 0000E 00001 00399*")</f>
        <v>1234.97</v>
      </c>
      <c r="G1374" s="83">
        <f>SUMIFS(G1375:G1474,K1375:K1474,"0",B1375:B1474,"5 1 3 9 9 12 31111 6 M59 10300 000139 0000E 00001 00399*")</f>
        <v>0</v>
      </c>
      <c r="H1374" s="83">
        <f t="shared" si="22"/>
        <v>1234.97</v>
      </c>
      <c r="I1374" s="83"/>
      <c r="K1374" s="54" t="s">
        <v>15</v>
      </c>
    </row>
    <row r="1375" spans="2:11" ht="33" x14ac:dyDescent="0.2">
      <c r="B1375" s="82" t="s">
        <v>9949</v>
      </c>
      <c r="C1375" s="82" t="s">
        <v>699</v>
      </c>
      <c r="D1375" s="83">
        <f>SUMIFS(D1376:D1474,K1376:K1474,"0",B1376:B1474,"5 1 3 9 9 12 31111 6 M59 10300 000139 0000E 00001 00399 011*")-SUMIFS(E1376:E1474,K1376:K1474,"0",B1376:B1474,"5 1 3 9 9 12 31111 6 M59 10300 000139 0000E 00001 00399 011*")</f>
        <v>0</v>
      </c>
      <c r="E1375" s="54"/>
      <c r="F1375" s="83">
        <f>SUMIFS(F1376:F1474,K1376:K1474,"0",B1376:B1474,"5 1 3 9 9 12 31111 6 M59 10300 000139 0000E 00001 00399 011*")</f>
        <v>1234.97</v>
      </c>
      <c r="G1375" s="83">
        <f>SUMIFS(G1376:G1474,K1376:K1474,"0",B1376:B1474,"5 1 3 9 9 12 31111 6 M59 10300 000139 0000E 00001 00399 011*")</f>
        <v>0</v>
      </c>
      <c r="H1375" s="83">
        <f t="shared" si="22"/>
        <v>1234.97</v>
      </c>
      <c r="I1375" s="83"/>
      <c r="K1375" s="54" t="s">
        <v>15</v>
      </c>
    </row>
    <row r="1376" spans="2:11" ht="33" x14ac:dyDescent="0.2">
      <c r="B1376" s="82" t="s">
        <v>9950</v>
      </c>
      <c r="C1376" s="82" t="s">
        <v>5830</v>
      </c>
      <c r="D1376" s="83">
        <f>SUMIFS(D1377:D1474,K1377:K1474,"0",B1377:B1474,"5 1 3 9 9 12 31111 6 M59 10300 000139 0000E 00001 00399 011 2112000*")-SUMIFS(E1377:E1474,K1377:K1474,"0",B1377:B1474,"5 1 3 9 9 12 31111 6 M59 10300 000139 0000E 00001 00399 011 2112000*")</f>
        <v>0</v>
      </c>
      <c r="E1376" s="54"/>
      <c r="F1376" s="83">
        <f>SUMIFS(F1377:F1474,K1377:K1474,"0",B1377:B1474,"5 1 3 9 9 12 31111 6 M59 10300 000139 0000E 00001 00399 011 2112000*")</f>
        <v>1234.97</v>
      </c>
      <c r="G1376" s="83">
        <f>SUMIFS(G1377:G1474,K1377:K1474,"0",B1377:B1474,"5 1 3 9 9 12 31111 6 M59 10300 000139 0000E 00001 00399 011 2112000*")</f>
        <v>0</v>
      </c>
      <c r="H1376" s="83">
        <f t="shared" si="22"/>
        <v>1234.97</v>
      </c>
      <c r="I1376" s="83"/>
      <c r="K1376" s="54" t="s">
        <v>15</v>
      </c>
    </row>
    <row r="1377" spans="2:11" ht="33" x14ac:dyDescent="0.2">
      <c r="B1377" s="82" t="s">
        <v>9951</v>
      </c>
      <c r="C1377" s="82" t="s">
        <v>660</v>
      </c>
      <c r="D1377" s="83">
        <f>SUMIFS(D1378:D1474,K1378:K1474,"0",B1378:B1474,"5 1 3 9 9 12 31111 6 M59 10300 000139 0000E 00001 00399 011 2112000 2024*")-SUMIFS(E1378:E1474,K1378:K1474,"0",B1378:B1474,"5 1 3 9 9 12 31111 6 M59 10300 000139 0000E 00001 00399 011 2112000 2024*")</f>
        <v>0</v>
      </c>
      <c r="E1377" s="54"/>
      <c r="F1377" s="83">
        <f>SUMIFS(F1378:F1474,K1378:K1474,"0",B1378:B1474,"5 1 3 9 9 12 31111 6 M59 10300 000139 0000E 00001 00399 011 2112000 2024*")</f>
        <v>1234.97</v>
      </c>
      <c r="G1377" s="83">
        <f>SUMIFS(G1378:G1474,K1378:K1474,"0",B1378:B1474,"5 1 3 9 9 12 31111 6 M59 10300 000139 0000E 00001 00399 011 2112000 2024*")</f>
        <v>0</v>
      </c>
      <c r="H1377" s="83">
        <f t="shared" si="22"/>
        <v>1234.97</v>
      </c>
      <c r="I1377" s="83"/>
      <c r="K1377" s="54" t="s">
        <v>15</v>
      </c>
    </row>
    <row r="1378" spans="2:11" ht="41.25" x14ac:dyDescent="0.2">
      <c r="B1378" s="82" t="s">
        <v>9952</v>
      </c>
      <c r="C1378" s="82" t="s">
        <v>8510</v>
      </c>
      <c r="D1378" s="83">
        <f>SUMIFS(D1379:D1474,K1379:K1474,"0",B1379:B1474,"5 1 3 9 9 12 31111 6 M59 10300 000139 0000E 00001 00399 011 2112000 2024 CP3GE486*")-SUMIFS(E1379:E1474,K1379:K1474,"0",B1379:B1474,"5 1 3 9 9 12 31111 6 M59 10300 000139 0000E 00001 00399 011 2112000 2024 CP3GE486*")</f>
        <v>0</v>
      </c>
      <c r="E1378" s="54"/>
      <c r="F1378" s="83">
        <f>SUMIFS(F1379:F1474,K1379:K1474,"0",B1379:B1474,"5 1 3 9 9 12 31111 6 M59 10300 000139 0000E 00001 00399 011 2112000 2024 CP3GE486*")</f>
        <v>1234.97</v>
      </c>
      <c r="G1378" s="83">
        <f>SUMIFS(G1379:G1474,K1379:K1474,"0",B1379:B1474,"5 1 3 9 9 12 31111 6 M59 10300 000139 0000E 00001 00399 011 2112000 2024 CP3GE486*")</f>
        <v>0</v>
      </c>
      <c r="H1378" s="83">
        <f t="shared" si="22"/>
        <v>1234.97</v>
      </c>
      <c r="I1378" s="83"/>
      <c r="K1378" s="54" t="s">
        <v>15</v>
      </c>
    </row>
    <row r="1379" spans="2:11" ht="41.25" x14ac:dyDescent="0.2">
      <c r="B1379" s="82" t="s">
        <v>9953</v>
      </c>
      <c r="C1379" s="82" t="s">
        <v>2284</v>
      </c>
      <c r="D1379" s="83">
        <f>SUMIFS(D1380:D1474,K1380:K1474,"0",B1380:B1474,"5 1 3 9 9 12 31111 6 M59 10300 000139 0000E 00001 00399 011 2112000 2024 CP3GE486 004*")-SUMIFS(E1380:E1474,K1380:K1474,"0",B1380:B1474,"5 1 3 9 9 12 31111 6 M59 10300 000139 0000E 00001 00399 011 2112000 2024 CP3GE486 004*")</f>
        <v>0</v>
      </c>
      <c r="E1379" s="54"/>
      <c r="F1379" s="83">
        <f>SUMIFS(F1380:F1474,K1380:K1474,"0",B1380:B1474,"5 1 3 9 9 12 31111 6 M59 10300 000139 0000E 00001 00399 011 2112000 2024 CP3GE486 004*")</f>
        <v>1234.97</v>
      </c>
      <c r="G1379" s="83">
        <f>SUMIFS(G1380:G1474,K1380:K1474,"0",B1380:B1474,"5 1 3 9 9 12 31111 6 M59 10300 000139 0000E 00001 00399 011 2112000 2024 CP3GE486 004*")</f>
        <v>0</v>
      </c>
      <c r="H1379" s="83">
        <f t="shared" si="22"/>
        <v>1234.97</v>
      </c>
      <c r="I1379" s="83"/>
      <c r="K1379" s="54" t="s">
        <v>15</v>
      </c>
    </row>
    <row r="1380" spans="2:11" ht="33" x14ac:dyDescent="0.2">
      <c r="B1380" s="84" t="s">
        <v>9954</v>
      </c>
      <c r="C1380" s="84" t="s">
        <v>2284</v>
      </c>
      <c r="D1380" s="85">
        <v>0</v>
      </c>
      <c r="E1380" s="85"/>
      <c r="F1380" s="85">
        <v>1234.97</v>
      </c>
      <c r="G1380" s="85">
        <v>0</v>
      </c>
      <c r="H1380" s="85">
        <f t="shared" si="22"/>
        <v>1234.97</v>
      </c>
      <c r="I1380" s="85"/>
      <c r="K1380" s="54" t="s">
        <v>38</v>
      </c>
    </row>
    <row r="1381" spans="2:11" ht="16.5" x14ac:dyDescent="0.2">
      <c r="B1381" s="82" t="s">
        <v>9966</v>
      </c>
      <c r="C1381" s="82" t="s">
        <v>1079</v>
      </c>
      <c r="D1381" s="83">
        <f>SUMIFS(D1382:D1474,K1382:K1474,"0",B1382:B1474,"5 1 3 9 9 12 31111 6 M59 20500*")-SUMIFS(E1382:E1474,K1382:K1474,"0",B1382:B1474,"5 1 3 9 9 12 31111 6 M59 20500*")</f>
        <v>114450</v>
      </c>
      <c r="E1381" s="54"/>
      <c r="F1381" s="83">
        <f>SUMIFS(F1382:F1474,K1382:K1474,"0",B1382:B1474,"5 1 3 9 9 12 31111 6 M59 20500*")</f>
        <v>0</v>
      </c>
      <c r="G1381" s="83">
        <f>SUMIFS(G1382:G1474,K1382:K1474,"0",B1382:B1474,"5 1 3 9 9 12 31111 6 M59 20500*")</f>
        <v>0</v>
      </c>
      <c r="H1381" s="83">
        <f t="shared" si="22"/>
        <v>114450</v>
      </c>
      <c r="I1381" s="83"/>
      <c r="K1381" s="54" t="s">
        <v>15</v>
      </c>
    </row>
    <row r="1382" spans="2:11" ht="24.75" x14ac:dyDescent="0.2">
      <c r="B1382" s="82" t="s">
        <v>9967</v>
      </c>
      <c r="C1382" s="82" t="s">
        <v>3152</v>
      </c>
      <c r="D1382" s="83">
        <f>SUMIFS(D1383:D1474,K1383:K1474,"0",B1383:B1474,"5 1 3 9 9 12 31111 6 M59 20500 000181*")-SUMIFS(E1383:E1474,K1383:K1474,"0",B1383:B1474,"5 1 3 9 9 12 31111 6 M59 20500 000181*")</f>
        <v>114450</v>
      </c>
      <c r="E1382" s="54"/>
      <c r="F1382" s="83">
        <f>SUMIFS(F1383:F1474,K1383:K1474,"0",B1383:B1474,"5 1 3 9 9 12 31111 6 M59 20500 000181*")</f>
        <v>0</v>
      </c>
      <c r="G1382" s="83">
        <f>SUMIFS(G1383:G1474,K1383:K1474,"0",B1383:B1474,"5 1 3 9 9 12 31111 6 M59 20500 000181*")</f>
        <v>0</v>
      </c>
      <c r="H1382" s="83">
        <f t="shared" si="22"/>
        <v>114450</v>
      </c>
      <c r="I1382" s="83"/>
      <c r="K1382" s="54" t="s">
        <v>15</v>
      </c>
    </row>
    <row r="1383" spans="2:11" ht="24.75" x14ac:dyDescent="0.2">
      <c r="B1383" s="82" t="s">
        <v>9968</v>
      </c>
      <c r="C1383" s="82" t="s">
        <v>1065</v>
      </c>
      <c r="D1383" s="83">
        <f>SUMIFS(D1384:D1474,K1384:K1474,"0",B1384:B1474,"5 1 3 9 9 12 31111 6 M59 20500 000181 0000E*")-SUMIFS(E1384:E1474,K1384:K1474,"0",B1384:B1474,"5 1 3 9 9 12 31111 6 M59 20500 000181 0000E*")</f>
        <v>114450</v>
      </c>
      <c r="E1383" s="54"/>
      <c r="F1383" s="83">
        <f>SUMIFS(F1384:F1474,K1384:K1474,"0",B1384:B1474,"5 1 3 9 9 12 31111 6 M59 20500 000181 0000E*")</f>
        <v>0</v>
      </c>
      <c r="G1383" s="83">
        <f>SUMIFS(G1384:G1474,K1384:K1474,"0",B1384:B1474,"5 1 3 9 9 12 31111 6 M59 20500 000181 0000E*")</f>
        <v>0</v>
      </c>
      <c r="H1383" s="83">
        <f t="shared" si="22"/>
        <v>114450</v>
      </c>
      <c r="I1383" s="83"/>
      <c r="K1383" s="54" t="s">
        <v>15</v>
      </c>
    </row>
    <row r="1384" spans="2:11" ht="24.75" x14ac:dyDescent="0.2">
      <c r="B1384" s="82" t="s">
        <v>9969</v>
      </c>
      <c r="C1384" s="82" t="s">
        <v>282</v>
      </c>
      <c r="D1384" s="83">
        <f>SUMIFS(D1385:D1474,K1385:K1474,"0",B1385:B1474,"5 1 3 9 9 12 31111 6 M59 20500 000181 0000E 00001*")-SUMIFS(E1385:E1474,K1385:K1474,"0",B1385:B1474,"5 1 3 9 9 12 31111 6 M59 20500 000181 0000E 00001*")</f>
        <v>114450</v>
      </c>
      <c r="E1384" s="54"/>
      <c r="F1384" s="83">
        <f>SUMIFS(F1385:F1474,K1385:K1474,"0",B1385:B1474,"5 1 3 9 9 12 31111 6 M59 20500 000181 0000E 00001*")</f>
        <v>0</v>
      </c>
      <c r="G1384" s="83">
        <f>SUMIFS(G1385:G1474,K1385:K1474,"0",B1385:B1474,"5 1 3 9 9 12 31111 6 M59 20500 000181 0000E 00001*")</f>
        <v>0</v>
      </c>
      <c r="H1384" s="83">
        <f t="shared" si="22"/>
        <v>114450</v>
      </c>
      <c r="I1384" s="83"/>
      <c r="K1384" s="54" t="s">
        <v>15</v>
      </c>
    </row>
    <row r="1385" spans="2:11" ht="24.75" x14ac:dyDescent="0.2">
      <c r="B1385" s="82" t="s">
        <v>9970</v>
      </c>
      <c r="C1385" s="82" t="s">
        <v>9937</v>
      </c>
      <c r="D1385" s="83">
        <f>SUMIFS(D1386:D1474,K1386:K1474,"0",B1386:B1474,"5 1 3 9 9 12 31111 6 M59 20500 000181 0000E 00001 00399*")-SUMIFS(E1386:E1474,K1386:K1474,"0",B1386:B1474,"5 1 3 9 9 12 31111 6 M59 20500 000181 0000E 00001 00399*")</f>
        <v>114450</v>
      </c>
      <c r="E1385" s="54"/>
      <c r="F1385" s="83">
        <f>SUMIFS(F1386:F1474,K1386:K1474,"0",B1386:B1474,"5 1 3 9 9 12 31111 6 M59 20500 000181 0000E 00001 00399*")</f>
        <v>0</v>
      </c>
      <c r="G1385" s="83">
        <f>SUMIFS(G1386:G1474,K1386:K1474,"0",B1386:B1474,"5 1 3 9 9 12 31111 6 M59 20500 000181 0000E 00001 00399*")</f>
        <v>0</v>
      </c>
      <c r="H1385" s="83">
        <f t="shared" ref="H1385:H1448" si="23">D1385 + F1385 - G1385</f>
        <v>114450</v>
      </c>
      <c r="I1385" s="83"/>
      <c r="K1385" s="54" t="s">
        <v>15</v>
      </c>
    </row>
    <row r="1386" spans="2:11" ht="33" x14ac:dyDescent="0.2">
      <c r="B1386" s="82" t="s">
        <v>9971</v>
      </c>
      <c r="C1386" s="82" t="s">
        <v>699</v>
      </c>
      <c r="D1386" s="83">
        <f>SUMIFS(D1387:D1474,K1387:K1474,"0",B1387:B1474,"5 1 3 9 9 12 31111 6 M59 20500 000181 0000E 00001 00399 011*")-SUMIFS(E1387:E1474,K1387:K1474,"0",B1387:B1474,"5 1 3 9 9 12 31111 6 M59 20500 000181 0000E 00001 00399 011*")</f>
        <v>114450</v>
      </c>
      <c r="E1386" s="54"/>
      <c r="F1386" s="83">
        <f>SUMIFS(F1387:F1474,K1387:K1474,"0",B1387:B1474,"5 1 3 9 9 12 31111 6 M59 20500 000181 0000E 00001 00399 011*")</f>
        <v>0</v>
      </c>
      <c r="G1386" s="83">
        <f>SUMIFS(G1387:G1474,K1387:K1474,"0",B1387:B1474,"5 1 3 9 9 12 31111 6 M59 20500 000181 0000E 00001 00399 011*")</f>
        <v>0</v>
      </c>
      <c r="H1386" s="83">
        <f t="shared" si="23"/>
        <v>114450</v>
      </c>
      <c r="I1386" s="83"/>
      <c r="K1386" s="54" t="s">
        <v>15</v>
      </c>
    </row>
    <row r="1387" spans="2:11" ht="33" x14ac:dyDescent="0.2">
      <c r="B1387" s="82" t="s">
        <v>9972</v>
      </c>
      <c r="C1387" s="82" t="s">
        <v>5830</v>
      </c>
      <c r="D1387" s="83">
        <f>SUMIFS(D1388:D1474,K1388:K1474,"0",B1388:B1474,"5 1 3 9 9 12 31111 6 M59 20500 000181 0000E 00001 00399 011 2112000*")-SUMIFS(E1388:E1474,K1388:K1474,"0",B1388:B1474,"5 1 3 9 9 12 31111 6 M59 20500 000181 0000E 00001 00399 011 2112000*")</f>
        <v>114450</v>
      </c>
      <c r="E1387" s="54"/>
      <c r="F1387" s="83">
        <f>SUMIFS(F1388:F1474,K1388:K1474,"0",B1388:B1474,"5 1 3 9 9 12 31111 6 M59 20500 000181 0000E 00001 00399 011 2112000*")</f>
        <v>0</v>
      </c>
      <c r="G1387" s="83">
        <f>SUMIFS(G1388:G1474,K1388:K1474,"0",B1388:B1474,"5 1 3 9 9 12 31111 6 M59 20500 000181 0000E 00001 00399 011 2112000*")</f>
        <v>0</v>
      </c>
      <c r="H1387" s="83">
        <f t="shared" si="23"/>
        <v>114450</v>
      </c>
      <c r="I1387" s="83"/>
      <c r="K1387" s="54" t="s">
        <v>15</v>
      </c>
    </row>
    <row r="1388" spans="2:11" ht="33" x14ac:dyDescent="0.2">
      <c r="B1388" s="82" t="s">
        <v>9973</v>
      </c>
      <c r="C1388" s="82" t="s">
        <v>660</v>
      </c>
      <c r="D1388" s="83">
        <f>SUMIFS(D1389:D1474,K1389:K1474,"0",B1389:B1474,"5 1 3 9 9 12 31111 6 M59 20500 000181 0000E 00001 00399 011 2112000 2024*")-SUMIFS(E1389:E1474,K1389:K1474,"0",B1389:B1474,"5 1 3 9 9 12 31111 6 M59 20500 000181 0000E 00001 00399 011 2112000 2024*")</f>
        <v>114450</v>
      </c>
      <c r="E1388" s="54"/>
      <c r="F1388" s="83">
        <f>SUMIFS(F1389:F1474,K1389:K1474,"0",B1389:B1474,"5 1 3 9 9 12 31111 6 M59 20500 000181 0000E 00001 00399 011 2112000 2024*")</f>
        <v>0</v>
      </c>
      <c r="G1388" s="83">
        <f>SUMIFS(G1389:G1474,K1389:K1474,"0",B1389:B1474,"5 1 3 9 9 12 31111 6 M59 20500 000181 0000E 00001 00399 011 2112000 2024*")</f>
        <v>0</v>
      </c>
      <c r="H1388" s="83">
        <f t="shared" si="23"/>
        <v>114450</v>
      </c>
      <c r="I1388" s="83"/>
      <c r="K1388" s="54" t="s">
        <v>15</v>
      </c>
    </row>
    <row r="1389" spans="2:11" ht="49.5" x14ac:dyDescent="0.2">
      <c r="B1389" s="82" t="s">
        <v>9974</v>
      </c>
      <c r="C1389" s="82" t="s">
        <v>5982</v>
      </c>
      <c r="D1389" s="83">
        <f>SUMIFS(D1390:D1474,K1390:K1474,"0",B1390:B1474,"5 1 3 9 9 12 31111 6 M59 20500 000181 0000E 00001 00399 011 2112000 2024 CP3CP471*")-SUMIFS(E1390:E1474,K1390:K1474,"0",B1390:B1474,"5 1 3 9 9 12 31111 6 M59 20500 000181 0000E 00001 00399 011 2112000 2024 CP3CP471*")</f>
        <v>114450</v>
      </c>
      <c r="E1389" s="54"/>
      <c r="F1389" s="83">
        <f>SUMIFS(F1390:F1474,K1390:K1474,"0",B1390:B1474,"5 1 3 9 9 12 31111 6 M59 20500 000181 0000E 00001 00399 011 2112000 2024 CP3CP471*")</f>
        <v>0</v>
      </c>
      <c r="G1389" s="83">
        <f>SUMIFS(G1390:G1474,K1390:K1474,"0",B1390:B1474,"5 1 3 9 9 12 31111 6 M59 20500 000181 0000E 00001 00399 011 2112000 2024 CP3CP471*")</f>
        <v>0</v>
      </c>
      <c r="H1389" s="83">
        <f t="shared" si="23"/>
        <v>114450</v>
      </c>
      <c r="I1389" s="83"/>
      <c r="K1389" s="54" t="s">
        <v>15</v>
      </c>
    </row>
    <row r="1390" spans="2:11" ht="41.25" x14ac:dyDescent="0.2">
      <c r="B1390" s="82" t="s">
        <v>9975</v>
      </c>
      <c r="C1390" s="82" t="s">
        <v>2284</v>
      </c>
      <c r="D1390" s="83">
        <f>SUMIFS(D1391:D1474,K1391:K1474,"0",B1391:B1474,"5 1 3 9 9 12 31111 6 M59 20500 000181 0000E 00001 00399 011 2112000 2024 CP3CP471 004*")-SUMIFS(E1391:E1474,K1391:K1474,"0",B1391:B1474,"5 1 3 9 9 12 31111 6 M59 20500 000181 0000E 00001 00399 011 2112000 2024 CP3CP471 004*")</f>
        <v>114450</v>
      </c>
      <c r="E1390" s="54"/>
      <c r="F1390" s="83">
        <f>SUMIFS(F1391:F1474,K1391:K1474,"0",B1391:B1474,"5 1 3 9 9 12 31111 6 M59 20500 000181 0000E 00001 00399 011 2112000 2024 CP3CP471 004*")</f>
        <v>0</v>
      </c>
      <c r="G1390" s="83">
        <f>SUMIFS(G1391:G1474,K1391:K1474,"0",B1391:B1474,"5 1 3 9 9 12 31111 6 M59 20500 000181 0000E 00001 00399 011 2112000 2024 CP3CP471 004*")</f>
        <v>0</v>
      </c>
      <c r="H1390" s="83">
        <f t="shared" si="23"/>
        <v>114450</v>
      </c>
      <c r="I1390" s="83"/>
      <c r="K1390" s="54" t="s">
        <v>15</v>
      </c>
    </row>
    <row r="1391" spans="2:11" ht="33" x14ac:dyDescent="0.2">
      <c r="B1391" s="84" t="s">
        <v>9976</v>
      </c>
      <c r="C1391" s="84" t="s">
        <v>2284</v>
      </c>
      <c r="D1391" s="85">
        <v>114450</v>
      </c>
      <c r="E1391" s="85"/>
      <c r="F1391" s="85">
        <v>0</v>
      </c>
      <c r="G1391" s="85">
        <v>0</v>
      </c>
      <c r="H1391" s="85">
        <f t="shared" si="23"/>
        <v>114450</v>
      </c>
      <c r="I1391" s="85"/>
      <c r="K1391" s="54" t="s">
        <v>38</v>
      </c>
    </row>
    <row r="1392" spans="2:11" ht="24.75" x14ac:dyDescent="0.2">
      <c r="B1392" s="82" t="s">
        <v>9988</v>
      </c>
      <c r="C1392" s="82" t="s">
        <v>9989</v>
      </c>
      <c r="D1392" s="83">
        <f>SUMIFS(D1393:D1474,K1393:K1474,"0",B1393:B1474,"5 2*")-SUMIFS(E1393:E1474,K1393:K1474,"0",B1393:B1474,"5 2*")</f>
        <v>1776809.7200000002</v>
      </c>
      <c r="E1392" s="54"/>
      <c r="F1392" s="83">
        <f>SUMIFS(F1393:F1474,K1393:K1474,"0",B1393:B1474,"5 2*")</f>
        <v>15000</v>
      </c>
      <c r="G1392" s="83">
        <f>SUMIFS(G1393:G1474,K1393:K1474,"0",B1393:B1474,"5 2*")</f>
        <v>0</v>
      </c>
      <c r="H1392" s="83">
        <f t="shared" si="23"/>
        <v>1791809.7200000002</v>
      </c>
      <c r="I1392" s="83"/>
      <c r="K1392" s="54" t="s">
        <v>15</v>
      </c>
    </row>
    <row r="1393" spans="2:11" ht="12.75" x14ac:dyDescent="0.2">
      <c r="B1393" s="82" t="s">
        <v>10013</v>
      </c>
      <c r="C1393" s="82" t="s">
        <v>10014</v>
      </c>
      <c r="D1393" s="83">
        <f>SUMIFS(D1394:D1474,K1394:K1474,"0",B1394:B1474,"5 2 3*")-SUMIFS(E1394:E1474,K1394:K1474,"0",B1394:B1474,"5 2 3*")</f>
        <v>631664.14</v>
      </c>
      <c r="E1393" s="54"/>
      <c r="F1393" s="83">
        <f>SUMIFS(F1394:F1474,K1394:K1474,"0",B1394:B1474,"5 2 3*")</f>
        <v>0</v>
      </c>
      <c r="G1393" s="83">
        <f>SUMIFS(G1394:G1474,K1394:K1474,"0",B1394:B1474,"5 2 3*")</f>
        <v>0</v>
      </c>
      <c r="H1393" s="83">
        <f t="shared" si="23"/>
        <v>631664.14</v>
      </c>
      <c r="I1393" s="83"/>
      <c r="K1393" s="54" t="s">
        <v>15</v>
      </c>
    </row>
    <row r="1394" spans="2:11" ht="12.75" x14ac:dyDescent="0.2">
      <c r="B1394" s="82" t="s">
        <v>10015</v>
      </c>
      <c r="C1394" s="82" t="s">
        <v>10016</v>
      </c>
      <c r="D1394" s="83">
        <f>SUMIFS(D1395:D1474,K1395:K1474,"0",B1395:B1474,"5 2 3 1*")-SUMIFS(E1395:E1474,K1395:K1474,"0",B1395:B1474,"5 2 3 1*")</f>
        <v>631664.14</v>
      </c>
      <c r="E1394" s="54"/>
      <c r="F1394" s="83">
        <f>SUMIFS(F1395:F1474,K1395:K1474,"0",B1395:B1474,"5 2 3 1*")</f>
        <v>0</v>
      </c>
      <c r="G1394" s="83">
        <f>SUMIFS(G1395:G1474,K1395:K1474,"0",B1395:B1474,"5 2 3 1*")</f>
        <v>0</v>
      </c>
      <c r="H1394" s="83">
        <f t="shared" si="23"/>
        <v>631664.14</v>
      </c>
      <c r="I1394" s="83"/>
      <c r="K1394" s="54" t="s">
        <v>15</v>
      </c>
    </row>
    <row r="1395" spans="2:11" ht="16.5" x14ac:dyDescent="0.2">
      <c r="B1395" s="82" t="s">
        <v>10017</v>
      </c>
      <c r="C1395" s="82" t="s">
        <v>10018</v>
      </c>
      <c r="D1395" s="83">
        <f>SUMIFS(D1396:D1474,K1396:K1474,"0",B1396:B1474,"5 2 3 1 8*")-SUMIFS(E1396:E1474,K1396:K1474,"0",B1396:B1474,"5 2 3 1 8*")</f>
        <v>631664.14</v>
      </c>
      <c r="E1395" s="54"/>
      <c r="F1395" s="83">
        <f>SUMIFS(F1396:F1474,K1396:K1474,"0",B1396:B1474,"5 2 3 1 8*")</f>
        <v>0</v>
      </c>
      <c r="G1395" s="83">
        <f>SUMIFS(G1396:G1474,K1396:K1474,"0",B1396:B1474,"5 2 3 1 8*")</f>
        <v>0</v>
      </c>
      <c r="H1395" s="83">
        <f t="shared" si="23"/>
        <v>631664.14</v>
      </c>
      <c r="I1395" s="83"/>
      <c r="K1395" s="54" t="s">
        <v>15</v>
      </c>
    </row>
    <row r="1396" spans="2:11" ht="12.75" x14ac:dyDescent="0.2">
      <c r="B1396" s="82" t="s">
        <v>10019</v>
      </c>
      <c r="C1396" s="82" t="s">
        <v>26</v>
      </c>
      <c r="D1396" s="83">
        <f>SUMIFS(D1397:D1474,K1397:K1474,"0",B1397:B1474,"5 2 3 1 8 12*")-SUMIFS(E1397:E1474,K1397:K1474,"0",B1397:B1474,"5 2 3 1 8 12*")</f>
        <v>631664.14</v>
      </c>
      <c r="E1396" s="54"/>
      <c r="F1396" s="83">
        <f>SUMIFS(F1397:F1474,K1397:K1474,"0",B1397:B1474,"5 2 3 1 8 12*")</f>
        <v>0</v>
      </c>
      <c r="G1396" s="83">
        <f>SUMIFS(G1397:G1474,K1397:K1474,"0",B1397:B1474,"5 2 3 1 8 12*")</f>
        <v>0</v>
      </c>
      <c r="H1396" s="83">
        <f t="shared" si="23"/>
        <v>631664.14</v>
      </c>
      <c r="I1396" s="83"/>
      <c r="K1396" s="54" t="s">
        <v>15</v>
      </c>
    </row>
    <row r="1397" spans="2:11" ht="16.5" x14ac:dyDescent="0.2">
      <c r="B1397" s="82" t="s">
        <v>10020</v>
      </c>
      <c r="C1397" s="82" t="s">
        <v>28</v>
      </c>
      <c r="D1397" s="83">
        <f>SUMIFS(D1398:D1474,K1398:K1474,"0",B1398:B1474,"5 2 3 1 8 12 31111*")-SUMIFS(E1398:E1474,K1398:K1474,"0",B1398:B1474,"5 2 3 1 8 12 31111*")</f>
        <v>631664.14</v>
      </c>
      <c r="E1397" s="54"/>
      <c r="F1397" s="83">
        <f>SUMIFS(F1398:F1474,K1398:K1474,"0",B1398:B1474,"5 2 3 1 8 12 31111*")</f>
        <v>0</v>
      </c>
      <c r="G1397" s="83">
        <f>SUMIFS(G1398:G1474,K1398:K1474,"0",B1398:B1474,"5 2 3 1 8 12 31111*")</f>
        <v>0</v>
      </c>
      <c r="H1397" s="83">
        <f t="shared" si="23"/>
        <v>631664.14</v>
      </c>
      <c r="I1397" s="83"/>
      <c r="K1397" s="54" t="s">
        <v>15</v>
      </c>
    </row>
    <row r="1398" spans="2:11" ht="12.75" x14ac:dyDescent="0.2">
      <c r="B1398" s="82" t="s">
        <v>10021</v>
      </c>
      <c r="C1398" s="82" t="s">
        <v>30</v>
      </c>
      <c r="D1398" s="83">
        <f>SUMIFS(D1399:D1474,K1399:K1474,"0",B1399:B1474,"5 2 3 1 8 12 31111 6*")-SUMIFS(E1399:E1474,K1399:K1474,"0",B1399:B1474,"5 2 3 1 8 12 31111 6*")</f>
        <v>631664.14</v>
      </c>
      <c r="E1398" s="54"/>
      <c r="F1398" s="83">
        <f>SUMIFS(F1399:F1474,K1399:K1474,"0",B1399:B1474,"5 2 3 1 8 12 31111 6*")</f>
        <v>0</v>
      </c>
      <c r="G1398" s="83">
        <f>SUMIFS(G1399:G1474,K1399:K1474,"0",B1399:B1474,"5 2 3 1 8 12 31111 6*")</f>
        <v>0</v>
      </c>
      <c r="H1398" s="83">
        <f t="shared" si="23"/>
        <v>631664.14</v>
      </c>
      <c r="I1398" s="83"/>
      <c r="K1398" s="54" t="s">
        <v>15</v>
      </c>
    </row>
    <row r="1399" spans="2:11" ht="16.5" x14ac:dyDescent="0.2">
      <c r="B1399" s="82" t="s">
        <v>10022</v>
      </c>
      <c r="C1399" s="82" t="s">
        <v>2284</v>
      </c>
      <c r="D1399" s="83">
        <f>SUMIFS(D1400:D1474,K1400:K1474,"0",B1400:B1474,"5 2 3 1 8 12 31111 6 M59*")-SUMIFS(E1400:E1474,K1400:K1474,"0",B1400:B1474,"5 2 3 1 8 12 31111 6 M59*")</f>
        <v>631664.14</v>
      </c>
      <c r="E1399" s="54"/>
      <c r="F1399" s="83">
        <f>SUMIFS(F1400:F1474,K1400:K1474,"0",B1400:B1474,"5 2 3 1 8 12 31111 6 M59*")</f>
        <v>0</v>
      </c>
      <c r="G1399" s="83">
        <f>SUMIFS(G1400:G1474,K1400:K1474,"0",B1400:B1474,"5 2 3 1 8 12 31111 6 M59*")</f>
        <v>0</v>
      </c>
      <c r="H1399" s="83">
        <f t="shared" si="23"/>
        <v>631664.14</v>
      </c>
      <c r="I1399" s="83"/>
      <c r="K1399" s="54" t="s">
        <v>15</v>
      </c>
    </row>
    <row r="1400" spans="2:11" ht="24.75" x14ac:dyDescent="0.2">
      <c r="B1400" s="82" t="s">
        <v>10023</v>
      </c>
      <c r="C1400" s="82" t="s">
        <v>3571</v>
      </c>
      <c r="D1400" s="83">
        <f>SUMIFS(D1401:D1474,K1401:K1474,"0",B1401:B1474,"5 2 3 1 8 12 31111 6 M59 80500*")-SUMIFS(E1401:E1474,K1401:K1474,"0",B1401:B1474,"5 2 3 1 8 12 31111 6 M59 80500*")</f>
        <v>631664.14</v>
      </c>
      <c r="E1400" s="54"/>
      <c r="F1400" s="83">
        <f>SUMIFS(F1401:F1474,K1401:K1474,"0",B1401:B1474,"5 2 3 1 8 12 31111 6 M59 80500*")</f>
        <v>0</v>
      </c>
      <c r="G1400" s="83">
        <f>SUMIFS(G1401:G1474,K1401:K1474,"0",B1401:B1474,"5 2 3 1 8 12 31111 6 M59 80500*")</f>
        <v>0</v>
      </c>
      <c r="H1400" s="83">
        <f t="shared" si="23"/>
        <v>631664.14</v>
      </c>
      <c r="I1400" s="83"/>
      <c r="K1400" s="54" t="s">
        <v>15</v>
      </c>
    </row>
    <row r="1401" spans="2:11" ht="16.5" x14ac:dyDescent="0.2">
      <c r="B1401" s="82" t="s">
        <v>10024</v>
      </c>
      <c r="C1401" s="82" t="s">
        <v>3573</v>
      </c>
      <c r="D1401" s="83">
        <f>SUMIFS(D1402:D1474,K1402:K1474,"0",B1402:B1474,"5 2 3 1 8 12 31111 6 M59 80500 000216*")-SUMIFS(E1402:E1474,K1402:K1474,"0",B1402:B1474,"5 2 3 1 8 12 31111 6 M59 80500 000216*")</f>
        <v>631664.14</v>
      </c>
      <c r="E1401" s="54"/>
      <c r="F1401" s="83">
        <f>SUMIFS(F1402:F1474,K1402:K1474,"0",B1402:B1474,"5 2 3 1 8 12 31111 6 M59 80500 000216*")</f>
        <v>0</v>
      </c>
      <c r="G1401" s="83">
        <f>SUMIFS(G1402:G1474,K1402:K1474,"0",B1402:B1474,"5 2 3 1 8 12 31111 6 M59 80500 000216*")</f>
        <v>0</v>
      </c>
      <c r="H1401" s="83">
        <f t="shared" si="23"/>
        <v>631664.14</v>
      </c>
      <c r="I1401" s="83"/>
      <c r="K1401" s="54" t="s">
        <v>15</v>
      </c>
    </row>
    <row r="1402" spans="2:11" ht="24.75" x14ac:dyDescent="0.2">
      <c r="B1402" s="82" t="s">
        <v>10025</v>
      </c>
      <c r="C1402" s="82" t="s">
        <v>650</v>
      </c>
      <c r="D1402" s="83">
        <f>SUMIFS(D1403:D1474,K1403:K1474,"0",B1403:B1474,"5 2 3 1 8 12 31111 6 M59 80500 000216 0000R*")-SUMIFS(E1403:E1474,K1403:K1474,"0",B1403:B1474,"5 2 3 1 8 12 31111 6 M59 80500 000216 0000R*")</f>
        <v>631664.14</v>
      </c>
      <c r="E1402" s="54"/>
      <c r="F1402" s="83">
        <f>SUMIFS(F1403:F1474,K1403:K1474,"0",B1403:B1474,"5 2 3 1 8 12 31111 6 M59 80500 000216 0000R*")</f>
        <v>0</v>
      </c>
      <c r="G1402" s="83">
        <f>SUMIFS(G1403:G1474,K1403:K1474,"0",B1403:B1474,"5 2 3 1 8 12 31111 6 M59 80500 000216 0000R*")</f>
        <v>0</v>
      </c>
      <c r="H1402" s="83">
        <f t="shared" si="23"/>
        <v>631664.14</v>
      </c>
      <c r="I1402" s="83"/>
      <c r="K1402" s="54" t="s">
        <v>15</v>
      </c>
    </row>
    <row r="1403" spans="2:11" ht="24.75" x14ac:dyDescent="0.2">
      <c r="B1403" s="82" t="s">
        <v>10026</v>
      </c>
      <c r="C1403" s="82" t="s">
        <v>282</v>
      </c>
      <c r="D1403" s="83">
        <f>SUMIFS(D1404:D1474,K1404:K1474,"0",B1404:B1474,"5 2 3 1 8 12 31111 6 M59 80500 000216 0000R 00001*")-SUMIFS(E1404:E1474,K1404:K1474,"0",B1404:B1474,"5 2 3 1 8 12 31111 6 M59 80500 000216 0000R 00001*")</f>
        <v>631664.14</v>
      </c>
      <c r="E1403" s="54"/>
      <c r="F1403" s="83">
        <f>SUMIFS(F1404:F1474,K1404:K1474,"0",B1404:B1474,"5 2 3 1 8 12 31111 6 M59 80500 000216 0000R 00001*")</f>
        <v>0</v>
      </c>
      <c r="G1403" s="83">
        <f>SUMIFS(G1404:G1474,K1404:K1474,"0",B1404:B1474,"5 2 3 1 8 12 31111 6 M59 80500 000216 0000R 00001*")</f>
        <v>0</v>
      </c>
      <c r="H1403" s="83">
        <f t="shared" si="23"/>
        <v>631664.14</v>
      </c>
      <c r="I1403" s="83"/>
      <c r="K1403" s="54" t="s">
        <v>15</v>
      </c>
    </row>
    <row r="1404" spans="2:11" ht="24.75" x14ac:dyDescent="0.2">
      <c r="B1404" s="82" t="s">
        <v>10027</v>
      </c>
      <c r="C1404" s="82" t="s">
        <v>10028</v>
      </c>
      <c r="D1404" s="83">
        <f>SUMIFS(D1405:D1474,K1405:K1474,"0",B1405:B1474,"5 2 3 1 8 12 31111 6 M59 80500 000216 0000R 00001 00438*")-SUMIFS(E1405:E1474,K1405:K1474,"0",B1405:B1474,"5 2 3 1 8 12 31111 6 M59 80500 000216 0000R 00001 00438*")</f>
        <v>631664.14</v>
      </c>
      <c r="E1404" s="54"/>
      <c r="F1404" s="83">
        <f>SUMIFS(F1405:F1474,K1405:K1474,"0",B1405:B1474,"5 2 3 1 8 12 31111 6 M59 80500 000216 0000R 00001 00438*")</f>
        <v>0</v>
      </c>
      <c r="G1404" s="83">
        <f>SUMIFS(G1405:G1474,K1405:K1474,"0",B1405:B1474,"5 2 3 1 8 12 31111 6 M59 80500 000216 0000R 00001 00438*")</f>
        <v>0</v>
      </c>
      <c r="H1404" s="83">
        <f t="shared" si="23"/>
        <v>631664.14</v>
      </c>
      <c r="I1404" s="83"/>
      <c r="K1404" s="54" t="s">
        <v>15</v>
      </c>
    </row>
    <row r="1405" spans="2:11" ht="33" x14ac:dyDescent="0.2">
      <c r="B1405" s="82" t="s">
        <v>10029</v>
      </c>
      <c r="C1405" s="82" t="s">
        <v>699</v>
      </c>
      <c r="D1405" s="83">
        <f>SUMIFS(D1406:D1474,K1406:K1474,"0",B1406:B1474,"5 2 3 1 8 12 31111 6 M59 80500 000216 0000R 00001 00438 011*")-SUMIFS(E1406:E1474,K1406:K1474,"0",B1406:B1474,"5 2 3 1 8 12 31111 6 M59 80500 000216 0000R 00001 00438 011*")</f>
        <v>631664.14</v>
      </c>
      <c r="E1405" s="54"/>
      <c r="F1405" s="83">
        <f>SUMIFS(F1406:F1474,K1406:K1474,"0",B1406:B1474,"5 2 3 1 8 12 31111 6 M59 80500 000216 0000R 00001 00438 011*")</f>
        <v>0</v>
      </c>
      <c r="G1405" s="83">
        <f>SUMIFS(G1406:G1474,K1406:K1474,"0",B1406:B1474,"5 2 3 1 8 12 31111 6 M59 80500 000216 0000R 00001 00438 011*")</f>
        <v>0</v>
      </c>
      <c r="H1405" s="83">
        <f t="shared" si="23"/>
        <v>631664.14</v>
      </c>
      <c r="I1405" s="83"/>
      <c r="K1405" s="54" t="s">
        <v>15</v>
      </c>
    </row>
    <row r="1406" spans="2:11" ht="33" x14ac:dyDescent="0.2">
      <c r="B1406" s="82" t="s">
        <v>10030</v>
      </c>
      <c r="C1406" s="82" t="s">
        <v>10031</v>
      </c>
      <c r="D1406" s="83">
        <f>SUMIFS(D1407:D1474,K1407:K1474,"0",B1407:B1474,"5 2 3 1 8 12 31111 6 M59 80500 000216 0000R 00001 00438 011 2152200*")-SUMIFS(E1407:E1474,K1407:K1474,"0",B1407:B1474,"5 2 3 1 8 12 31111 6 M59 80500 000216 0000R 00001 00438 011 2152200*")</f>
        <v>631664.14</v>
      </c>
      <c r="E1406" s="54"/>
      <c r="F1406" s="83">
        <f>SUMIFS(F1407:F1474,K1407:K1474,"0",B1407:B1474,"5 2 3 1 8 12 31111 6 M59 80500 000216 0000R 00001 00438 011 2152200*")</f>
        <v>0</v>
      </c>
      <c r="G1406" s="83">
        <f>SUMIFS(G1407:G1474,K1407:K1474,"0",B1407:B1474,"5 2 3 1 8 12 31111 6 M59 80500 000216 0000R 00001 00438 011 2152200*")</f>
        <v>0</v>
      </c>
      <c r="H1406" s="83">
        <f t="shared" si="23"/>
        <v>631664.14</v>
      </c>
      <c r="I1406" s="83"/>
      <c r="K1406" s="54" t="s">
        <v>15</v>
      </c>
    </row>
    <row r="1407" spans="2:11" ht="33" x14ac:dyDescent="0.2">
      <c r="B1407" s="82" t="s">
        <v>10032</v>
      </c>
      <c r="C1407" s="82" t="s">
        <v>660</v>
      </c>
      <c r="D1407" s="83">
        <f>SUMIFS(D1408:D1474,K1408:K1474,"0",B1408:B1474,"5 2 3 1 8 12 31111 6 M59 80500 000216 0000R 00001 00438 011 2152200 2024*")-SUMIFS(E1408:E1474,K1408:K1474,"0",B1408:B1474,"5 2 3 1 8 12 31111 6 M59 80500 000216 0000R 00001 00438 011 2152200 2024*")</f>
        <v>631664.14</v>
      </c>
      <c r="E1407" s="54"/>
      <c r="F1407" s="83">
        <f>SUMIFS(F1408:F1474,K1408:K1474,"0",B1408:B1474,"5 2 3 1 8 12 31111 6 M59 80500 000216 0000R 00001 00438 011 2152200 2024*")</f>
        <v>0</v>
      </c>
      <c r="G1407" s="83">
        <f>SUMIFS(G1408:G1474,K1408:K1474,"0",B1408:B1474,"5 2 3 1 8 12 31111 6 M59 80500 000216 0000R 00001 00438 011 2152200 2024*")</f>
        <v>0</v>
      </c>
      <c r="H1407" s="83">
        <f t="shared" si="23"/>
        <v>631664.14</v>
      </c>
      <c r="I1407" s="83"/>
      <c r="K1407" s="54" t="s">
        <v>15</v>
      </c>
    </row>
    <row r="1408" spans="2:11" ht="41.25" x14ac:dyDescent="0.2">
      <c r="B1408" s="82" t="s">
        <v>10033</v>
      </c>
      <c r="C1408" s="82" t="s">
        <v>10034</v>
      </c>
      <c r="D1408" s="83">
        <f>SUMIFS(D1409:D1474,K1409:K1474,"0",B1409:B1474,"5 2 3 1 8 12 31111 6 M59 80500 000216 0000R 00001 00438 011 2152200 2024 CP3MA482*")-SUMIFS(E1409:E1474,K1409:K1474,"0",B1409:B1474,"5 2 3 1 8 12 31111 6 M59 80500 000216 0000R 00001 00438 011 2152200 2024 CP3MA482*")</f>
        <v>631664.14</v>
      </c>
      <c r="E1408" s="54"/>
      <c r="F1408" s="83">
        <f>SUMIFS(F1409:F1474,K1409:K1474,"0",B1409:B1474,"5 2 3 1 8 12 31111 6 M59 80500 000216 0000R 00001 00438 011 2152200 2024 CP3MA482*")</f>
        <v>0</v>
      </c>
      <c r="G1408" s="83">
        <f>SUMIFS(G1409:G1474,K1409:K1474,"0",B1409:B1474,"5 2 3 1 8 12 31111 6 M59 80500 000216 0000R 00001 00438 011 2152200 2024 CP3MA482*")</f>
        <v>0</v>
      </c>
      <c r="H1408" s="83">
        <f t="shared" si="23"/>
        <v>631664.14</v>
      </c>
      <c r="I1408" s="83"/>
      <c r="K1408" s="54" t="s">
        <v>15</v>
      </c>
    </row>
    <row r="1409" spans="2:11" ht="41.25" x14ac:dyDescent="0.2">
      <c r="B1409" s="82" t="s">
        <v>10035</v>
      </c>
      <c r="C1409" s="82" t="s">
        <v>2284</v>
      </c>
      <c r="D1409" s="83">
        <f>SUMIFS(D1410:D1474,K1410:K1474,"0",B1410:B1474,"5 2 3 1 8 12 31111 6 M59 80500 000216 0000R 00001 00438 011 2152200 2024 CP3MA482 004*")-SUMIFS(E1410:E1474,K1410:K1474,"0",B1410:B1474,"5 2 3 1 8 12 31111 6 M59 80500 000216 0000R 00001 00438 011 2152200 2024 CP3MA482 004*")</f>
        <v>631664.14</v>
      </c>
      <c r="E1409" s="54"/>
      <c r="F1409" s="83">
        <f>SUMIFS(F1410:F1474,K1410:K1474,"0",B1410:B1474,"5 2 3 1 8 12 31111 6 M59 80500 000216 0000R 00001 00438 011 2152200 2024 CP3MA482 004*")</f>
        <v>0</v>
      </c>
      <c r="G1409" s="83">
        <f>SUMIFS(G1410:G1474,K1410:K1474,"0",B1410:B1474,"5 2 3 1 8 12 31111 6 M59 80500 000216 0000R 00001 00438 011 2152200 2024 CP3MA482 004*")</f>
        <v>0</v>
      </c>
      <c r="H1409" s="83">
        <f t="shared" si="23"/>
        <v>631664.14</v>
      </c>
      <c r="I1409" s="83"/>
      <c r="K1409" s="54" t="s">
        <v>15</v>
      </c>
    </row>
    <row r="1410" spans="2:11" ht="33" x14ac:dyDescent="0.2">
      <c r="B1410" s="84" t="s">
        <v>10036</v>
      </c>
      <c r="C1410" s="84" t="s">
        <v>2284</v>
      </c>
      <c r="D1410" s="85">
        <v>631664.14</v>
      </c>
      <c r="E1410" s="85"/>
      <c r="F1410" s="85">
        <v>0</v>
      </c>
      <c r="G1410" s="85">
        <v>0</v>
      </c>
      <c r="H1410" s="85">
        <f t="shared" si="23"/>
        <v>631664.14</v>
      </c>
      <c r="I1410" s="85"/>
      <c r="K1410" s="54" t="s">
        <v>38</v>
      </c>
    </row>
    <row r="1411" spans="2:11" ht="12.75" x14ac:dyDescent="0.2">
      <c r="B1411" s="82" t="s">
        <v>10043</v>
      </c>
      <c r="C1411" s="82" t="s">
        <v>1804</v>
      </c>
      <c r="D1411" s="83">
        <f>SUMIFS(D1412:D1474,K1412:K1474,"0",B1412:B1474,"5 2 4*")-SUMIFS(E1412:E1474,K1412:K1474,"0",B1412:B1474,"5 2 4*")</f>
        <v>1145145.58</v>
      </c>
      <c r="E1411" s="54"/>
      <c r="F1411" s="83">
        <f>SUMIFS(F1412:F1474,K1412:K1474,"0",B1412:B1474,"5 2 4*")</f>
        <v>15000</v>
      </c>
      <c r="G1411" s="83">
        <f>SUMIFS(G1412:G1474,K1412:K1474,"0",B1412:B1474,"5 2 4*")</f>
        <v>0</v>
      </c>
      <c r="H1411" s="83">
        <f t="shared" si="23"/>
        <v>1160145.58</v>
      </c>
      <c r="I1411" s="83"/>
      <c r="K1411" s="54" t="s">
        <v>15</v>
      </c>
    </row>
    <row r="1412" spans="2:11" ht="16.5" x14ac:dyDescent="0.2">
      <c r="B1412" s="82" t="s">
        <v>10044</v>
      </c>
      <c r="C1412" s="82" t="s">
        <v>10045</v>
      </c>
      <c r="D1412" s="83">
        <f>SUMIFS(D1413:D1474,K1413:K1474,"0",B1413:B1474,"5 2 4 1*")-SUMIFS(E1413:E1474,K1413:K1474,"0",B1413:B1474,"5 2 4 1*")</f>
        <v>1145145.58</v>
      </c>
      <c r="E1412" s="54"/>
      <c r="F1412" s="83">
        <f>SUMIFS(F1413:F1474,K1413:K1474,"0",B1413:B1474,"5 2 4 1*")</f>
        <v>15000</v>
      </c>
      <c r="G1412" s="83">
        <f>SUMIFS(G1413:G1474,K1413:K1474,"0",B1413:B1474,"5 2 4 1*")</f>
        <v>0</v>
      </c>
      <c r="H1412" s="83">
        <f t="shared" si="23"/>
        <v>1160145.58</v>
      </c>
      <c r="I1412" s="83"/>
      <c r="K1412" s="54" t="s">
        <v>15</v>
      </c>
    </row>
    <row r="1413" spans="2:11" ht="16.5" x14ac:dyDescent="0.2">
      <c r="B1413" s="82" t="s">
        <v>10046</v>
      </c>
      <c r="C1413" s="82" t="s">
        <v>10045</v>
      </c>
      <c r="D1413" s="83">
        <f>SUMIFS(D1414:D1474,K1414:K1474,"0",B1414:B1474,"5 2 4 1 1*")-SUMIFS(E1414:E1474,K1414:K1474,"0",B1414:B1474,"5 2 4 1 1*")</f>
        <v>1145145.58</v>
      </c>
      <c r="E1413" s="54"/>
      <c r="F1413" s="83">
        <f>SUMIFS(F1414:F1474,K1414:K1474,"0",B1414:B1474,"5 2 4 1 1*")</f>
        <v>15000</v>
      </c>
      <c r="G1413" s="83">
        <f>SUMIFS(G1414:G1474,K1414:K1474,"0",B1414:B1474,"5 2 4 1 1*")</f>
        <v>0</v>
      </c>
      <c r="H1413" s="83">
        <f t="shared" si="23"/>
        <v>1160145.58</v>
      </c>
      <c r="I1413" s="83"/>
      <c r="K1413" s="54" t="s">
        <v>15</v>
      </c>
    </row>
    <row r="1414" spans="2:11" ht="12.75" x14ac:dyDescent="0.2">
      <c r="B1414" s="82" t="s">
        <v>10047</v>
      </c>
      <c r="C1414" s="82" t="s">
        <v>26</v>
      </c>
      <c r="D1414" s="83">
        <f>SUMIFS(D1415:D1474,K1415:K1474,"0",B1415:B1474,"5 2 4 1 1 12*")-SUMIFS(E1415:E1474,K1415:K1474,"0",B1415:B1474,"5 2 4 1 1 12*")</f>
        <v>1145145.58</v>
      </c>
      <c r="E1414" s="54"/>
      <c r="F1414" s="83">
        <f>SUMIFS(F1415:F1474,K1415:K1474,"0",B1415:B1474,"5 2 4 1 1 12*")</f>
        <v>15000</v>
      </c>
      <c r="G1414" s="83">
        <f>SUMIFS(G1415:G1474,K1415:K1474,"0",B1415:B1474,"5 2 4 1 1 12*")</f>
        <v>0</v>
      </c>
      <c r="H1414" s="83">
        <f t="shared" si="23"/>
        <v>1160145.58</v>
      </c>
      <c r="I1414" s="83"/>
      <c r="K1414" s="54" t="s">
        <v>15</v>
      </c>
    </row>
    <row r="1415" spans="2:11" ht="16.5" x14ac:dyDescent="0.2">
      <c r="B1415" s="82" t="s">
        <v>10048</v>
      </c>
      <c r="C1415" s="82" t="s">
        <v>28</v>
      </c>
      <c r="D1415" s="83">
        <f>SUMIFS(D1416:D1474,K1416:K1474,"0",B1416:B1474,"5 2 4 1 1 12 31111*")-SUMIFS(E1416:E1474,K1416:K1474,"0",B1416:B1474,"5 2 4 1 1 12 31111*")</f>
        <v>1145145.58</v>
      </c>
      <c r="E1415" s="54"/>
      <c r="F1415" s="83">
        <f>SUMIFS(F1416:F1474,K1416:K1474,"0",B1416:B1474,"5 2 4 1 1 12 31111*")</f>
        <v>15000</v>
      </c>
      <c r="G1415" s="83">
        <f>SUMIFS(G1416:G1474,K1416:K1474,"0",B1416:B1474,"5 2 4 1 1 12 31111*")</f>
        <v>0</v>
      </c>
      <c r="H1415" s="83">
        <f t="shared" si="23"/>
        <v>1160145.58</v>
      </c>
      <c r="I1415" s="83"/>
      <c r="K1415" s="54" t="s">
        <v>15</v>
      </c>
    </row>
    <row r="1416" spans="2:11" ht="12.75" x14ac:dyDescent="0.2">
      <c r="B1416" s="82" t="s">
        <v>10049</v>
      </c>
      <c r="C1416" s="82" t="s">
        <v>30</v>
      </c>
      <c r="D1416" s="83">
        <f>SUMIFS(D1417:D1474,K1417:K1474,"0",B1417:B1474,"5 2 4 1 1 12 31111 6*")-SUMIFS(E1417:E1474,K1417:K1474,"0",B1417:B1474,"5 2 4 1 1 12 31111 6*")</f>
        <v>1145145.58</v>
      </c>
      <c r="E1416" s="54"/>
      <c r="F1416" s="83">
        <f>SUMIFS(F1417:F1474,K1417:K1474,"0",B1417:B1474,"5 2 4 1 1 12 31111 6*")</f>
        <v>15000</v>
      </c>
      <c r="G1416" s="83">
        <f>SUMIFS(G1417:G1474,K1417:K1474,"0",B1417:B1474,"5 2 4 1 1 12 31111 6*")</f>
        <v>0</v>
      </c>
      <c r="H1416" s="83">
        <f t="shared" si="23"/>
        <v>1160145.58</v>
      </c>
      <c r="I1416" s="83"/>
      <c r="K1416" s="54" t="s">
        <v>15</v>
      </c>
    </row>
    <row r="1417" spans="2:11" ht="16.5" x14ac:dyDescent="0.2">
      <c r="B1417" s="82" t="s">
        <v>10050</v>
      </c>
      <c r="C1417" s="82" t="s">
        <v>2284</v>
      </c>
      <c r="D1417" s="83">
        <f>SUMIFS(D1418:D1474,K1418:K1474,"0",B1418:B1474,"5 2 4 1 1 12 31111 6 M59*")-SUMIFS(E1418:E1474,K1418:K1474,"0",B1418:B1474,"5 2 4 1 1 12 31111 6 M59*")</f>
        <v>1145145.58</v>
      </c>
      <c r="E1417" s="54"/>
      <c r="F1417" s="83">
        <f>SUMIFS(F1418:F1474,K1418:K1474,"0",B1418:B1474,"5 2 4 1 1 12 31111 6 M59*")</f>
        <v>15000</v>
      </c>
      <c r="G1417" s="83">
        <f>SUMIFS(G1418:G1474,K1418:K1474,"0",B1418:B1474,"5 2 4 1 1 12 31111 6 M59*")</f>
        <v>0</v>
      </c>
      <c r="H1417" s="83">
        <f t="shared" si="23"/>
        <v>1160145.58</v>
      </c>
      <c r="I1417" s="83"/>
      <c r="K1417" s="54" t="s">
        <v>15</v>
      </c>
    </row>
    <row r="1418" spans="2:11" ht="16.5" x14ac:dyDescent="0.2">
      <c r="B1418" s="82" t="s">
        <v>10067</v>
      </c>
      <c r="C1418" s="82" t="s">
        <v>1044</v>
      </c>
      <c r="D1418" s="83">
        <f>SUMIFS(D1419:D1474,K1419:K1474,"0",B1419:B1474,"5 2 4 1 1 12 31111 6 M59 19000*")-SUMIFS(E1419:E1474,K1419:K1474,"0",B1419:B1474,"5 2 4 1 1 12 31111 6 M59 19000*")</f>
        <v>0</v>
      </c>
      <c r="E1418" s="54"/>
      <c r="F1418" s="83">
        <f>SUMIFS(F1419:F1474,K1419:K1474,"0",B1419:B1474,"5 2 4 1 1 12 31111 6 M59 19000*")</f>
        <v>15000</v>
      </c>
      <c r="G1418" s="83">
        <f>SUMIFS(G1419:G1474,K1419:K1474,"0",B1419:B1474,"5 2 4 1 1 12 31111 6 M59 19000*")</f>
        <v>0</v>
      </c>
      <c r="H1418" s="83">
        <f t="shared" si="23"/>
        <v>15000</v>
      </c>
      <c r="I1418" s="83"/>
      <c r="K1418" s="54" t="s">
        <v>15</v>
      </c>
    </row>
    <row r="1419" spans="2:11" ht="16.5" x14ac:dyDescent="0.2">
      <c r="B1419" s="82" t="s">
        <v>10068</v>
      </c>
      <c r="C1419" s="82" t="s">
        <v>648</v>
      </c>
      <c r="D1419" s="83">
        <f>SUMIFS(D1420:D1474,K1420:K1474,"0",B1420:B1474,"5 2 4 1 1 12 31111 6 M59 19000 000132*")-SUMIFS(E1420:E1474,K1420:K1474,"0",B1420:B1474,"5 2 4 1 1 12 31111 6 M59 19000 000132*")</f>
        <v>0</v>
      </c>
      <c r="E1419" s="54"/>
      <c r="F1419" s="83">
        <f>SUMIFS(F1420:F1474,K1420:K1474,"0",B1420:B1474,"5 2 4 1 1 12 31111 6 M59 19000 000132*")</f>
        <v>15000</v>
      </c>
      <c r="G1419" s="83">
        <f>SUMIFS(G1420:G1474,K1420:K1474,"0",B1420:B1474,"5 2 4 1 1 12 31111 6 M59 19000 000132*")</f>
        <v>0</v>
      </c>
      <c r="H1419" s="83">
        <f t="shared" si="23"/>
        <v>15000</v>
      </c>
      <c r="I1419" s="83"/>
      <c r="K1419" s="54" t="s">
        <v>15</v>
      </c>
    </row>
    <row r="1420" spans="2:11" ht="24.75" x14ac:dyDescent="0.2">
      <c r="B1420" s="82" t="s">
        <v>10069</v>
      </c>
      <c r="C1420" s="82" t="s">
        <v>650</v>
      </c>
      <c r="D1420" s="83">
        <f>SUMIFS(D1421:D1474,K1421:K1474,"0",B1421:B1474,"5 2 4 1 1 12 31111 6 M59 19000 000132 0000R*")-SUMIFS(E1421:E1474,K1421:K1474,"0",B1421:B1474,"5 2 4 1 1 12 31111 6 M59 19000 000132 0000R*")</f>
        <v>0</v>
      </c>
      <c r="E1420" s="54"/>
      <c r="F1420" s="83">
        <f>SUMIFS(F1421:F1474,K1421:K1474,"0",B1421:B1474,"5 2 4 1 1 12 31111 6 M59 19000 000132 0000R*")</f>
        <v>15000</v>
      </c>
      <c r="G1420" s="83">
        <f>SUMIFS(G1421:G1474,K1421:K1474,"0",B1421:B1474,"5 2 4 1 1 12 31111 6 M59 19000 000132 0000R*")</f>
        <v>0</v>
      </c>
      <c r="H1420" s="83">
        <f t="shared" si="23"/>
        <v>15000</v>
      </c>
      <c r="I1420" s="83"/>
      <c r="K1420" s="54" t="s">
        <v>15</v>
      </c>
    </row>
    <row r="1421" spans="2:11" ht="24.75" x14ac:dyDescent="0.2">
      <c r="B1421" s="82" t="s">
        <v>10070</v>
      </c>
      <c r="C1421" s="82" t="s">
        <v>282</v>
      </c>
      <c r="D1421" s="83">
        <f>SUMIFS(D1422:D1474,K1422:K1474,"0",B1422:B1474,"5 2 4 1 1 12 31111 6 M59 19000 000132 0000R 00001*")-SUMIFS(E1422:E1474,K1422:K1474,"0",B1422:B1474,"5 2 4 1 1 12 31111 6 M59 19000 000132 0000R 00001*")</f>
        <v>0</v>
      </c>
      <c r="E1421" s="54"/>
      <c r="F1421" s="83">
        <f>SUMIFS(F1422:F1474,K1422:K1474,"0",B1422:B1474,"5 2 4 1 1 12 31111 6 M59 19000 000132 0000R 00001*")</f>
        <v>15000</v>
      </c>
      <c r="G1421" s="83">
        <f>SUMIFS(G1422:G1474,K1422:K1474,"0",B1422:B1474,"5 2 4 1 1 12 31111 6 M59 19000 000132 0000R 00001*")</f>
        <v>0</v>
      </c>
      <c r="H1421" s="83">
        <f t="shared" si="23"/>
        <v>15000</v>
      </c>
      <c r="I1421" s="83"/>
      <c r="K1421" s="54" t="s">
        <v>15</v>
      </c>
    </row>
    <row r="1422" spans="2:11" ht="24.75" x14ac:dyDescent="0.2">
      <c r="B1422" s="82" t="s">
        <v>10071</v>
      </c>
      <c r="C1422" s="82" t="s">
        <v>10056</v>
      </c>
      <c r="D1422" s="83">
        <f>SUMIFS(D1423:D1474,K1423:K1474,"0",B1423:B1474,"5 2 4 1 1 12 31111 6 M59 19000 000132 0000R 00001 00441*")-SUMIFS(E1423:E1474,K1423:K1474,"0",B1423:B1474,"5 2 4 1 1 12 31111 6 M59 19000 000132 0000R 00001 00441*")</f>
        <v>0</v>
      </c>
      <c r="E1422" s="54"/>
      <c r="F1422" s="83">
        <f>SUMIFS(F1423:F1474,K1423:K1474,"0",B1423:B1474,"5 2 4 1 1 12 31111 6 M59 19000 000132 0000R 00001 00441*")</f>
        <v>15000</v>
      </c>
      <c r="G1422" s="83">
        <f>SUMIFS(G1423:G1474,K1423:K1474,"0",B1423:B1474,"5 2 4 1 1 12 31111 6 M59 19000 000132 0000R 00001 00441*")</f>
        <v>0</v>
      </c>
      <c r="H1422" s="83">
        <f t="shared" si="23"/>
        <v>15000</v>
      </c>
      <c r="I1422" s="83"/>
      <c r="K1422" s="54" t="s">
        <v>15</v>
      </c>
    </row>
    <row r="1423" spans="2:11" ht="33" x14ac:dyDescent="0.2">
      <c r="B1423" s="82" t="s">
        <v>10072</v>
      </c>
      <c r="C1423" s="82" t="s">
        <v>699</v>
      </c>
      <c r="D1423" s="83">
        <f>SUMIFS(D1424:D1474,K1424:K1474,"0",B1424:B1474,"5 2 4 1 1 12 31111 6 M59 19000 000132 0000R 00001 00441 011*")-SUMIFS(E1424:E1474,K1424:K1474,"0",B1424:B1474,"5 2 4 1 1 12 31111 6 M59 19000 000132 0000R 00001 00441 011*")</f>
        <v>0</v>
      </c>
      <c r="E1423" s="54"/>
      <c r="F1423" s="83">
        <f>SUMIFS(F1424:F1474,K1424:K1474,"0",B1424:B1474,"5 2 4 1 1 12 31111 6 M59 19000 000132 0000R 00001 00441 011*")</f>
        <v>15000</v>
      </c>
      <c r="G1423" s="83">
        <f>SUMIFS(G1424:G1474,K1424:K1474,"0",B1424:B1474,"5 2 4 1 1 12 31111 6 M59 19000 000132 0000R 00001 00441 011*")</f>
        <v>0</v>
      </c>
      <c r="H1423" s="83">
        <f t="shared" si="23"/>
        <v>15000</v>
      </c>
      <c r="I1423" s="83"/>
      <c r="K1423" s="54" t="s">
        <v>15</v>
      </c>
    </row>
    <row r="1424" spans="2:11" ht="33" x14ac:dyDescent="0.2">
      <c r="B1424" s="82" t="s">
        <v>10073</v>
      </c>
      <c r="C1424" s="82" t="s">
        <v>5830</v>
      </c>
      <c r="D1424" s="83">
        <f>SUMIFS(D1425:D1474,K1425:K1474,"0",B1425:B1474,"5 2 4 1 1 12 31111 6 M59 19000 000132 0000R 00001 00441 011 2112000*")-SUMIFS(E1425:E1474,K1425:K1474,"0",B1425:B1474,"5 2 4 1 1 12 31111 6 M59 19000 000132 0000R 00001 00441 011 2112000*")</f>
        <v>0</v>
      </c>
      <c r="E1424" s="54"/>
      <c r="F1424" s="83">
        <f>SUMIFS(F1425:F1474,K1425:K1474,"0",B1425:B1474,"5 2 4 1 1 12 31111 6 M59 19000 000132 0000R 00001 00441 011 2112000*")</f>
        <v>15000</v>
      </c>
      <c r="G1424" s="83">
        <f>SUMIFS(G1425:G1474,K1425:K1474,"0",B1425:B1474,"5 2 4 1 1 12 31111 6 M59 19000 000132 0000R 00001 00441 011 2112000*")</f>
        <v>0</v>
      </c>
      <c r="H1424" s="83">
        <f t="shared" si="23"/>
        <v>15000</v>
      </c>
      <c r="I1424" s="83"/>
      <c r="K1424" s="54" t="s">
        <v>15</v>
      </c>
    </row>
    <row r="1425" spans="2:11" ht="33" x14ac:dyDescent="0.2">
      <c r="B1425" s="82" t="s">
        <v>10074</v>
      </c>
      <c r="C1425" s="82" t="s">
        <v>660</v>
      </c>
      <c r="D1425" s="83">
        <f>SUMIFS(D1426:D1474,K1426:K1474,"0",B1426:B1474,"5 2 4 1 1 12 31111 6 M59 19000 000132 0000R 00001 00441 011 2112000 2024*")-SUMIFS(E1426:E1474,K1426:K1474,"0",B1426:B1474,"5 2 4 1 1 12 31111 6 M59 19000 000132 0000R 00001 00441 011 2112000 2024*")</f>
        <v>0</v>
      </c>
      <c r="E1425" s="54"/>
      <c r="F1425" s="83">
        <f>SUMIFS(F1426:F1474,K1426:K1474,"0",B1426:B1474,"5 2 4 1 1 12 31111 6 M59 19000 000132 0000R 00001 00441 011 2112000 2024*")</f>
        <v>15000</v>
      </c>
      <c r="G1425" s="83">
        <f>SUMIFS(G1426:G1474,K1426:K1474,"0",B1426:B1474,"5 2 4 1 1 12 31111 6 M59 19000 000132 0000R 00001 00441 011 2112000 2024*")</f>
        <v>0</v>
      </c>
      <c r="H1425" s="83">
        <f t="shared" si="23"/>
        <v>15000</v>
      </c>
      <c r="I1425" s="83"/>
      <c r="K1425" s="54" t="s">
        <v>15</v>
      </c>
    </row>
    <row r="1426" spans="2:11" ht="41.25" x14ac:dyDescent="0.2">
      <c r="B1426" s="82" t="s">
        <v>10075</v>
      </c>
      <c r="C1426" s="82" t="s">
        <v>662</v>
      </c>
      <c r="D1426" s="83">
        <f>SUMIFS(D1427:D1474,K1427:K1474,"0",B1427:B1474,"5 2 4 1 1 12 31111 6 M59 19000 000132 0000R 00001 00441 011 2112000 2024 CP1TM440*")-SUMIFS(E1427:E1474,K1427:K1474,"0",B1427:B1474,"5 2 4 1 1 12 31111 6 M59 19000 000132 0000R 00001 00441 011 2112000 2024 CP1TM440*")</f>
        <v>0</v>
      </c>
      <c r="E1426" s="54"/>
      <c r="F1426" s="83">
        <f>SUMIFS(F1427:F1474,K1427:K1474,"0",B1427:B1474,"5 2 4 1 1 12 31111 6 M59 19000 000132 0000R 00001 00441 011 2112000 2024 CP1TM440*")</f>
        <v>15000</v>
      </c>
      <c r="G1426" s="83">
        <f>SUMIFS(G1427:G1474,K1427:K1474,"0",B1427:B1474,"5 2 4 1 1 12 31111 6 M59 19000 000132 0000R 00001 00441 011 2112000 2024 CP1TM440*")</f>
        <v>0</v>
      </c>
      <c r="H1426" s="83">
        <f t="shared" si="23"/>
        <v>15000</v>
      </c>
      <c r="I1426" s="83"/>
      <c r="K1426" s="54" t="s">
        <v>15</v>
      </c>
    </row>
    <row r="1427" spans="2:11" ht="41.25" x14ac:dyDescent="0.2">
      <c r="B1427" s="82" t="s">
        <v>10076</v>
      </c>
      <c r="C1427" s="82" t="s">
        <v>2284</v>
      </c>
      <c r="D1427" s="83">
        <f>SUMIFS(D1428:D1474,K1428:K1474,"0",B1428:B1474,"5 2 4 1 1 12 31111 6 M59 19000 000132 0000R 00001 00441 011 2112000 2024 CP1TM440 004*")-SUMIFS(E1428:E1474,K1428:K1474,"0",B1428:B1474,"5 2 4 1 1 12 31111 6 M59 19000 000132 0000R 00001 00441 011 2112000 2024 CP1TM440 004*")</f>
        <v>0</v>
      </c>
      <c r="E1427" s="54"/>
      <c r="F1427" s="83">
        <f>SUMIFS(F1428:F1474,K1428:K1474,"0",B1428:B1474,"5 2 4 1 1 12 31111 6 M59 19000 000132 0000R 00001 00441 011 2112000 2024 CP1TM440 004*")</f>
        <v>15000</v>
      </c>
      <c r="G1427" s="83">
        <f>SUMIFS(G1428:G1474,K1428:K1474,"0",B1428:B1474,"5 2 4 1 1 12 31111 6 M59 19000 000132 0000R 00001 00441 011 2112000 2024 CP1TM440 004*")</f>
        <v>0</v>
      </c>
      <c r="H1427" s="83">
        <f t="shared" si="23"/>
        <v>15000</v>
      </c>
      <c r="I1427" s="83"/>
      <c r="K1427" s="54" t="s">
        <v>15</v>
      </c>
    </row>
    <row r="1428" spans="2:11" ht="33" x14ac:dyDescent="0.2">
      <c r="B1428" s="84" t="s">
        <v>10077</v>
      </c>
      <c r="C1428" s="84" t="s">
        <v>2284</v>
      </c>
      <c r="D1428" s="85">
        <v>0</v>
      </c>
      <c r="E1428" s="85"/>
      <c r="F1428" s="85">
        <v>15000</v>
      </c>
      <c r="G1428" s="85">
        <v>0</v>
      </c>
      <c r="H1428" s="85">
        <f t="shared" si="23"/>
        <v>15000</v>
      </c>
      <c r="I1428" s="85"/>
      <c r="K1428" s="54" t="s">
        <v>38</v>
      </c>
    </row>
    <row r="1429" spans="2:11" ht="16.5" x14ac:dyDescent="0.2">
      <c r="B1429" s="82" t="s">
        <v>10089</v>
      </c>
      <c r="C1429" s="82" t="s">
        <v>10198</v>
      </c>
      <c r="D1429" s="83">
        <f>SUMIFS(D1430:D1474,K1430:K1474,"0",B1430:B1474,"5 2 4 1 1 12 31111 6 M59 80600*")-SUMIFS(E1430:E1474,K1430:K1474,"0",B1430:B1474,"5 2 4 1 1 12 31111 6 M59 80600*")</f>
        <v>1145145.58</v>
      </c>
      <c r="E1429" s="54"/>
      <c r="F1429" s="83">
        <f>SUMIFS(F1430:F1474,K1430:K1474,"0",B1430:B1474,"5 2 4 1 1 12 31111 6 M59 80600*")</f>
        <v>0</v>
      </c>
      <c r="G1429" s="83">
        <f>SUMIFS(G1430:G1474,K1430:K1474,"0",B1430:B1474,"5 2 4 1 1 12 31111 6 M59 80600*")</f>
        <v>0</v>
      </c>
      <c r="H1429" s="83">
        <f t="shared" si="23"/>
        <v>1145145.58</v>
      </c>
      <c r="I1429" s="83"/>
      <c r="K1429" s="54" t="s">
        <v>15</v>
      </c>
    </row>
    <row r="1430" spans="2:11" ht="16.5" x14ac:dyDescent="0.2">
      <c r="B1430" s="82" t="s">
        <v>10091</v>
      </c>
      <c r="C1430" s="82" t="s">
        <v>10092</v>
      </c>
      <c r="D1430" s="83">
        <f>SUMIFS(D1431:D1474,K1431:K1474,"0",B1431:B1474,"5 2 4 1 1 12 31111 6 M59 80600 000322*")-SUMIFS(E1431:E1474,K1431:K1474,"0",B1431:B1474,"5 2 4 1 1 12 31111 6 M59 80600 000322*")</f>
        <v>1145145.58</v>
      </c>
      <c r="E1430" s="54"/>
      <c r="F1430" s="83">
        <f>SUMIFS(F1431:F1474,K1431:K1474,"0",B1431:B1474,"5 2 4 1 1 12 31111 6 M59 80600 000322*")</f>
        <v>0</v>
      </c>
      <c r="G1430" s="83">
        <f>SUMIFS(G1431:G1474,K1431:K1474,"0",B1431:B1474,"5 2 4 1 1 12 31111 6 M59 80600 000322*")</f>
        <v>0</v>
      </c>
      <c r="H1430" s="83">
        <f t="shared" si="23"/>
        <v>1145145.58</v>
      </c>
      <c r="I1430" s="83"/>
      <c r="K1430" s="54" t="s">
        <v>15</v>
      </c>
    </row>
    <row r="1431" spans="2:11" ht="24.75" x14ac:dyDescent="0.2">
      <c r="B1431" s="82" t="s">
        <v>10093</v>
      </c>
      <c r="C1431" s="82" t="s">
        <v>650</v>
      </c>
      <c r="D1431" s="83">
        <f>SUMIFS(D1432:D1474,K1432:K1474,"0",B1432:B1474,"5 2 4 1 1 12 31111 6 M59 80600 000322 0000R*")-SUMIFS(E1432:E1474,K1432:K1474,"0",B1432:B1474,"5 2 4 1 1 12 31111 6 M59 80600 000322 0000R*")</f>
        <v>1145145.58</v>
      </c>
      <c r="E1431" s="54"/>
      <c r="F1431" s="83">
        <f>SUMIFS(F1432:F1474,K1432:K1474,"0",B1432:B1474,"5 2 4 1 1 12 31111 6 M59 80600 000322 0000R*")</f>
        <v>0</v>
      </c>
      <c r="G1431" s="83">
        <f>SUMIFS(G1432:G1474,K1432:K1474,"0",B1432:B1474,"5 2 4 1 1 12 31111 6 M59 80600 000322 0000R*")</f>
        <v>0</v>
      </c>
      <c r="H1431" s="83">
        <f t="shared" si="23"/>
        <v>1145145.58</v>
      </c>
      <c r="I1431" s="83"/>
      <c r="K1431" s="54" t="s">
        <v>15</v>
      </c>
    </row>
    <row r="1432" spans="2:11" ht="24.75" x14ac:dyDescent="0.2">
      <c r="B1432" s="82" t="s">
        <v>10094</v>
      </c>
      <c r="C1432" s="82" t="s">
        <v>282</v>
      </c>
      <c r="D1432" s="83">
        <f>SUMIFS(D1433:D1474,K1433:K1474,"0",B1433:B1474,"5 2 4 1 1 12 31111 6 M59 80600 000322 0000R 00001*")-SUMIFS(E1433:E1474,K1433:K1474,"0",B1433:B1474,"5 2 4 1 1 12 31111 6 M59 80600 000322 0000R 00001*")</f>
        <v>1145145.58</v>
      </c>
      <c r="E1432" s="54"/>
      <c r="F1432" s="83">
        <f>SUMIFS(F1433:F1474,K1433:K1474,"0",B1433:B1474,"5 2 4 1 1 12 31111 6 M59 80600 000322 0000R 00001*")</f>
        <v>0</v>
      </c>
      <c r="G1432" s="83">
        <f>SUMIFS(G1433:G1474,K1433:K1474,"0",B1433:B1474,"5 2 4 1 1 12 31111 6 M59 80600 000322 0000R 00001*")</f>
        <v>0</v>
      </c>
      <c r="H1432" s="83">
        <f t="shared" si="23"/>
        <v>1145145.58</v>
      </c>
      <c r="I1432" s="83"/>
      <c r="K1432" s="54" t="s">
        <v>15</v>
      </c>
    </row>
    <row r="1433" spans="2:11" ht="24.75" x14ac:dyDescent="0.2">
      <c r="B1433" s="82" t="s">
        <v>10095</v>
      </c>
      <c r="C1433" s="82" t="s">
        <v>10056</v>
      </c>
      <c r="D1433" s="83">
        <f>SUMIFS(D1434:D1474,K1434:K1474,"0",B1434:B1474,"5 2 4 1 1 12 31111 6 M59 80600 000322 0000R 00001 00441*")-SUMIFS(E1434:E1474,K1434:K1474,"0",B1434:B1474,"5 2 4 1 1 12 31111 6 M59 80600 000322 0000R 00001 00441*")</f>
        <v>1145145.58</v>
      </c>
      <c r="E1433" s="54"/>
      <c r="F1433" s="83">
        <f>SUMIFS(F1434:F1474,K1434:K1474,"0",B1434:B1474,"5 2 4 1 1 12 31111 6 M59 80600 000322 0000R 00001 00441*")</f>
        <v>0</v>
      </c>
      <c r="G1433" s="83">
        <f>SUMIFS(G1434:G1474,K1434:K1474,"0",B1434:B1474,"5 2 4 1 1 12 31111 6 M59 80600 000322 0000R 00001 00441*")</f>
        <v>0</v>
      </c>
      <c r="H1433" s="83">
        <f t="shared" si="23"/>
        <v>1145145.58</v>
      </c>
      <c r="I1433" s="83"/>
      <c r="K1433" s="54" t="s">
        <v>15</v>
      </c>
    </row>
    <row r="1434" spans="2:11" ht="33" x14ac:dyDescent="0.2">
      <c r="B1434" s="82" t="s">
        <v>10096</v>
      </c>
      <c r="C1434" s="82" t="s">
        <v>699</v>
      </c>
      <c r="D1434" s="83">
        <f>SUMIFS(D1435:D1474,K1435:K1474,"0",B1435:B1474,"5 2 4 1 1 12 31111 6 M59 80600 000322 0000R 00001 00441 011*")-SUMIFS(E1435:E1474,K1435:K1474,"0",B1435:B1474,"5 2 4 1 1 12 31111 6 M59 80600 000322 0000R 00001 00441 011*")</f>
        <v>1145145.58</v>
      </c>
      <c r="E1434" s="54"/>
      <c r="F1434" s="83">
        <f>SUMIFS(F1435:F1474,K1435:K1474,"0",B1435:B1474,"5 2 4 1 1 12 31111 6 M59 80600 000322 0000R 00001 00441 011*")</f>
        <v>0</v>
      </c>
      <c r="G1434" s="83">
        <f>SUMIFS(G1435:G1474,K1435:K1474,"0",B1435:B1474,"5 2 4 1 1 12 31111 6 M59 80600 000322 0000R 00001 00441 011*")</f>
        <v>0</v>
      </c>
      <c r="H1434" s="83">
        <f t="shared" si="23"/>
        <v>1145145.58</v>
      </c>
      <c r="I1434" s="83"/>
      <c r="K1434" s="54" t="s">
        <v>15</v>
      </c>
    </row>
    <row r="1435" spans="2:11" ht="33" x14ac:dyDescent="0.2">
      <c r="B1435" s="82" t="s">
        <v>10097</v>
      </c>
      <c r="C1435" s="82" t="s">
        <v>10059</v>
      </c>
      <c r="D1435" s="83">
        <f>SUMIFS(D1436:D1474,K1436:K1474,"0",B1436:B1474,"5 2 4 1 1 12 31111 6 M59 80600 000322 0000R 00001 00441 011 2151100*")-SUMIFS(E1436:E1474,K1436:K1474,"0",B1436:B1474,"5 2 4 1 1 12 31111 6 M59 80600 000322 0000R 00001 00441 011 2151100*")</f>
        <v>1145145.58</v>
      </c>
      <c r="E1435" s="54"/>
      <c r="F1435" s="83">
        <f>SUMIFS(F1436:F1474,K1436:K1474,"0",B1436:B1474,"5 2 4 1 1 12 31111 6 M59 80600 000322 0000R 00001 00441 011 2151100*")</f>
        <v>0</v>
      </c>
      <c r="G1435" s="83">
        <f>SUMIFS(G1436:G1474,K1436:K1474,"0",B1436:B1474,"5 2 4 1 1 12 31111 6 M59 80600 000322 0000R 00001 00441 011 2151100*")</f>
        <v>0</v>
      </c>
      <c r="H1435" s="83">
        <f t="shared" si="23"/>
        <v>1145145.58</v>
      </c>
      <c r="I1435" s="83"/>
      <c r="K1435" s="54" t="s">
        <v>15</v>
      </c>
    </row>
    <row r="1436" spans="2:11" ht="33" x14ac:dyDescent="0.2">
      <c r="B1436" s="82" t="s">
        <v>10098</v>
      </c>
      <c r="C1436" s="82" t="s">
        <v>660</v>
      </c>
      <c r="D1436" s="83">
        <f>SUMIFS(D1437:D1474,K1437:K1474,"0",B1437:B1474,"5 2 4 1 1 12 31111 6 M59 80600 000322 0000R 00001 00441 011 2151100 2024*")-SUMIFS(E1437:E1474,K1437:K1474,"0",B1437:B1474,"5 2 4 1 1 12 31111 6 M59 80600 000322 0000R 00001 00441 011 2151100 2024*")</f>
        <v>1145145.58</v>
      </c>
      <c r="E1436" s="54"/>
      <c r="F1436" s="83">
        <f>SUMIFS(F1437:F1474,K1437:K1474,"0",B1437:B1474,"5 2 4 1 1 12 31111 6 M59 80600 000322 0000R 00001 00441 011 2151100 2024*")</f>
        <v>0</v>
      </c>
      <c r="G1436" s="83">
        <f>SUMIFS(G1437:G1474,K1437:K1474,"0",B1437:B1474,"5 2 4 1 1 12 31111 6 M59 80600 000322 0000R 00001 00441 011 2151100 2024*")</f>
        <v>0</v>
      </c>
      <c r="H1436" s="83">
        <f t="shared" si="23"/>
        <v>1145145.58</v>
      </c>
      <c r="I1436" s="83"/>
      <c r="K1436" s="54" t="s">
        <v>15</v>
      </c>
    </row>
    <row r="1437" spans="2:11" ht="41.25" x14ac:dyDescent="0.2">
      <c r="B1437" s="82" t="s">
        <v>10099</v>
      </c>
      <c r="C1437" s="82" t="s">
        <v>10100</v>
      </c>
      <c r="D1437" s="83">
        <f>SUMIFS(D1438:D1474,K1438:K1474,"0",B1438:B1474,"5 2 4 1 1 12 31111 6 M59 80600 000322 0000R 00001 00441 011 2151100 2024 CP3AC496*")-SUMIFS(E1438:E1474,K1438:K1474,"0",B1438:B1474,"5 2 4 1 1 12 31111 6 M59 80600 000322 0000R 00001 00441 011 2151100 2024 CP3AC496*")</f>
        <v>1145145.58</v>
      </c>
      <c r="E1437" s="54"/>
      <c r="F1437" s="83">
        <f>SUMIFS(F1438:F1474,K1438:K1474,"0",B1438:B1474,"5 2 4 1 1 12 31111 6 M59 80600 000322 0000R 00001 00441 011 2151100 2024 CP3AC496*")</f>
        <v>0</v>
      </c>
      <c r="G1437" s="83">
        <f>SUMIFS(G1438:G1474,K1438:K1474,"0",B1438:B1474,"5 2 4 1 1 12 31111 6 M59 80600 000322 0000R 00001 00441 011 2151100 2024 CP3AC496*")</f>
        <v>0</v>
      </c>
      <c r="H1437" s="83">
        <f t="shared" si="23"/>
        <v>1145145.58</v>
      </c>
      <c r="I1437" s="83"/>
      <c r="K1437" s="54" t="s">
        <v>15</v>
      </c>
    </row>
    <row r="1438" spans="2:11" ht="41.25" x14ac:dyDescent="0.2">
      <c r="B1438" s="82" t="s">
        <v>10101</v>
      </c>
      <c r="C1438" s="82" t="s">
        <v>2284</v>
      </c>
      <c r="D1438" s="83">
        <f>SUMIFS(D1439:D1474,K1439:K1474,"0",B1439:B1474,"5 2 4 1 1 12 31111 6 M59 80600 000322 0000R 00001 00441 011 2151100 2024 CP3AC496 004*")-SUMIFS(E1439:E1474,K1439:K1474,"0",B1439:B1474,"5 2 4 1 1 12 31111 6 M59 80600 000322 0000R 00001 00441 011 2151100 2024 CP3AC496 004*")</f>
        <v>1145145.58</v>
      </c>
      <c r="E1438" s="54"/>
      <c r="F1438" s="83">
        <f>SUMIFS(F1439:F1474,K1439:K1474,"0",B1439:B1474,"5 2 4 1 1 12 31111 6 M59 80600 000322 0000R 00001 00441 011 2151100 2024 CP3AC496 004*")</f>
        <v>0</v>
      </c>
      <c r="G1438" s="83">
        <f>SUMIFS(G1439:G1474,K1439:K1474,"0",B1439:B1474,"5 2 4 1 1 12 31111 6 M59 80600 000322 0000R 00001 00441 011 2151100 2024 CP3AC496 004*")</f>
        <v>0</v>
      </c>
      <c r="H1438" s="83">
        <f t="shared" si="23"/>
        <v>1145145.58</v>
      </c>
      <c r="I1438" s="83"/>
      <c r="K1438" s="54" t="s">
        <v>15</v>
      </c>
    </row>
    <row r="1439" spans="2:11" ht="41.25" x14ac:dyDescent="0.2">
      <c r="B1439" s="84" t="s">
        <v>10102</v>
      </c>
      <c r="C1439" s="84" t="s">
        <v>2284</v>
      </c>
      <c r="D1439" s="85">
        <v>1145145.58</v>
      </c>
      <c r="E1439" s="85"/>
      <c r="F1439" s="85">
        <v>0</v>
      </c>
      <c r="G1439" s="85">
        <v>0</v>
      </c>
      <c r="H1439" s="85">
        <f t="shared" si="23"/>
        <v>1145145.58</v>
      </c>
      <c r="I1439" s="85"/>
      <c r="K1439" s="54" t="s">
        <v>38</v>
      </c>
    </row>
    <row r="1440" spans="2:11" ht="12.75" x14ac:dyDescent="0.2">
      <c r="B1440" s="82" t="s">
        <v>10103</v>
      </c>
      <c r="C1440" s="82" t="s">
        <v>10104</v>
      </c>
      <c r="D1440" s="83">
        <f>SUMIFS(D1441:D1474,K1441:K1474,"0",B1441:B1474,"5 6*")-SUMIFS(E1441:E1474,K1441:K1474,"0",B1441:B1474,"5 6*")</f>
        <v>0</v>
      </c>
      <c r="E1440" s="54"/>
      <c r="F1440" s="83">
        <f>SUMIFS(F1441:F1474,K1441:K1474,"0",B1441:B1474,"5 6*")</f>
        <v>1380563</v>
      </c>
      <c r="G1440" s="83">
        <f>SUMIFS(G1441:G1474,K1441:K1474,"0",B1441:B1474,"5 6*")</f>
        <v>0</v>
      </c>
      <c r="H1440" s="83">
        <f t="shared" si="23"/>
        <v>1380563</v>
      </c>
      <c r="I1440" s="83"/>
      <c r="K1440" s="54" t="s">
        <v>15</v>
      </c>
    </row>
    <row r="1441" spans="2:11" ht="16.5" x14ac:dyDescent="0.2">
      <c r="B1441" s="82" t="s">
        <v>10105</v>
      </c>
      <c r="C1441" s="82" t="s">
        <v>10106</v>
      </c>
      <c r="D1441" s="83">
        <f>SUMIFS(D1442:D1474,K1442:K1474,"0",B1442:B1474,"5 6 1*")-SUMIFS(E1442:E1474,K1442:K1474,"0",B1442:B1474,"5 6 1*")</f>
        <v>0</v>
      </c>
      <c r="E1441" s="54"/>
      <c r="F1441" s="83">
        <f>SUMIFS(F1442:F1474,K1442:K1474,"0",B1442:B1474,"5 6 1*")</f>
        <v>1380563</v>
      </c>
      <c r="G1441" s="83">
        <f>SUMIFS(G1442:G1474,K1442:K1474,"0",B1442:B1474,"5 6 1*")</f>
        <v>0</v>
      </c>
      <c r="H1441" s="83">
        <f t="shared" si="23"/>
        <v>1380563</v>
      </c>
      <c r="I1441" s="83"/>
      <c r="K1441" s="54" t="s">
        <v>15</v>
      </c>
    </row>
    <row r="1442" spans="2:11" ht="16.5" x14ac:dyDescent="0.2">
      <c r="B1442" s="82" t="s">
        <v>10107</v>
      </c>
      <c r="C1442" s="82" t="s">
        <v>10108</v>
      </c>
      <c r="D1442" s="83">
        <f>SUMIFS(D1443:D1474,K1443:K1474,"0",B1443:B1474,"5 6 1 1*")-SUMIFS(E1443:E1474,K1443:K1474,"0",B1443:B1474,"5 6 1 1*")</f>
        <v>0</v>
      </c>
      <c r="E1442" s="54"/>
      <c r="F1442" s="83">
        <f>SUMIFS(F1443:F1474,K1443:K1474,"0",B1443:B1474,"5 6 1 1*")</f>
        <v>1380563</v>
      </c>
      <c r="G1442" s="83">
        <f>SUMIFS(G1443:G1474,K1443:K1474,"0",B1443:B1474,"5 6 1 1*")</f>
        <v>0</v>
      </c>
      <c r="H1442" s="83">
        <f t="shared" si="23"/>
        <v>1380563</v>
      </c>
      <c r="I1442" s="83"/>
      <c r="K1442" s="54" t="s">
        <v>15</v>
      </c>
    </row>
    <row r="1443" spans="2:11" ht="41.25" x14ac:dyDescent="0.2">
      <c r="B1443" s="82" t="s">
        <v>10120</v>
      </c>
      <c r="C1443" s="82" t="s">
        <v>10121</v>
      </c>
      <c r="D1443" s="83">
        <f>SUMIFS(D1444:D1474,K1444:K1474,"0",B1444:B1474,"5 6 1 1 3*")-SUMIFS(E1444:E1474,K1444:K1474,"0",B1444:B1474,"5 6 1 1 3*")</f>
        <v>0</v>
      </c>
      <c r="E1443" s="54"/>
      <c r="F1443" s="83">
        <f>SUMIFS(F1444:F1474,K1444:K1474,"0",B1444:B1474,"5 6 1 1 3*")</f>
        <v>1380563</v>
      </c>
      <c r="G1443" s="83">
        <f>SUMIFS(G1444:G1474,K1444:K1474,"0",B1444:B1474,"5 6 1 1 3*")</f>
        <v>0</v>
      </c>
      <c r="H1443" s="83">
        <f t="shared" si="23"/>
        <v>1380563</v>
      </c>
      <c r="I1443" s="83"/>
      <c r="K1443" s="54" t="s">
        <v>15</v>
      </c>
    </row>
    <row r="1444" spans="2:11" ht="12.75" x14ac:dyDescent="0.2">
      <c r="B1444" s="82" t="s">
        <v>10122</v>
      </c>
      <c r="C1444" s="82" t="s">
        <v>26</v>
      </c>
      <c r="D1444" s="83">
        <f>SUMIFS(D1445:D1474,K1445:K1474,"0",B1445:B1474,"5 6 1 1 3 12*")-SUMIFS(E1445:E1474,K1445:K1474,"0",B1445:B1474,"5 6 1 1 3 12*")</f>
        <v>0</v>
      </c>
      <c r="E1444" s="54"/>
      <c r="F1444" s="83">
        <f>SUMIFS(F1445:F1474,K1445:K1474,"0",B1445:B1474,"5 6 1 1 3 12*")</f>
        <v>1380563</v>
      </c>
      <c r="G1444" s="83">
        <f>SUMIFS(G1445:G1474,K1445:K1474,"0",B1445:B1474,"5 6 1 1 3 12*")</f>
        <v>0</v>
      </c>
      <c r="H1444" s="83">
        <f t="shared" si="23"/>
        <v>1380563</v>
      </c>
      <c r="I1444" s="83"/>
      <c r="K1444" s="54" t="s">
        <v>15</v>
      </c>
    </row>
    <row r="1445" spans="2:11" ht="16.5" x14ac:dyDescent="0.2">
      <c r="B1445" s="82" t="s">
        <v>10123</v>
      </c>
      <c r="C1445" s="82" t="s">
        <v>28</v>
      </c>
      <c r="D1445" s="83">
        <f>SUMIFS(D1446:D1474,K1446:K1474,"0",B1446:B1474,"5 6 1 1 3 12 31111*")-SUMIFS(E1446:E1474,K1446:K1474,"0",B1446:B1474,"5 6 1 1 3 12 31111*")</f>
        <v>0</v>
      </c>
      <c r="E1445" s="54"/>
      <c r="F1445" s="83">
        <f>SUMIFS(F1446:F1474,K1446:K1474,"0",B1446:B1474,"5 6 1 1 3 12 31111*")</f>
        <v>1380563</v>
      </c>
      <c r="G1445" s="83">
        <f>SUMIFS(G1446:G1474,K1446:K1474,"0",B1446:B1474,"5 6 1 1 3 12 31111*")</f>
        <v>0</v>
      </c>
      <c r="H1445" s="83">
        <f t="shared" si="23"/>
        <v>1380563</v>
      </c>
      <c r="I1445" s="83"/>
      <c r="K1445" s="54" t="s">
        <v>15</v>
      </c>
    </row>
    <row r="1446" spans="2:11" ht="12.75" x14ac:dyDescent="0.2">
      <c r="B1446" s="82" t="s">
        <v>10124</v>
      </c>
      <c r="C1446" s="82" t="s">
        <v>30</v>
      </c>
      <c r="D1446" s="83">
        <f>SUMIFS(D1447:D1474,K1447:K1474,"0",B1447:B1474,"5 6 1 1 3 12 31111 6*")-SUMIFS(E1447:E1474,K1447:K1474,"0",B1447:B1474,"5 6 1 1 3 12 31111 6*")</f>
        <v>0</v>
      </c>
      <c r="E1446" s="54"/>
      <c r="F1446" s="83">
        <f>SUMIFS(F1447:F1474,K1447:K1474,"0",B1447:B1474,"5 6 1 1 3 12 31111 6*")</f>
        <v>1380563</v>
      </c>
      <c r="G1446" s="83">
        <f>SUMIFS(G1447:G1474,K1447:K1474,"0",B1447:B1474,"5 6 1 1 3 12 31111 6*")</f>
        <v>0</v>
      </c>
      <c r="H1446" s="83">
        <f t="shared" si="23"/>
        <v>1380563</v>
      </c>
      <c r="I1446" s="83"/>
      <c r="K1446" s="54" t="s">
        <v>15</v>
      </c>
    </row>
    <row r="1447" spans="2:11" ht="16.5" x14ac:dyDescent="0.2">
      <c r="B1447" s="82" t="s">
        <v>10125</v>
      </c>
      <c r="C1447" s="82" t="s">
        <v>32</v>
      </c>
      <c r="D1447" s="83">
        <f>SUMIFS(D1448:D1474,K1448:K1474,"0",B1448:B1474,"5 6 1 1 3 12 31111 6 M59*")-SUMIFS(E1448:E1474,K1448:K1474,"0",B1448:B1474,"5 6 1 1 3 12 31111 6 M59*")</f>
        <v>0</v>
      </c>
      <c r="E1447" s="54"/>
      <c r="F1447" s="83">
        <f>SUMIFS(F1448:F1474,K1448:K1474,"0",B1448:B1474,"5 6 1 1 3 12 31111 6 M59*")</f>
        <v>1380563</v>
      </c>
      <c r="G1447" s="83">
        <f>SUMIFS(G1448:G1474,K1448:K1474,"0",B1448:B1474,"5 6 1 1 3 12 31111 6 M59*")</f>
        <v>0</v>
      </c>
      <c r="H1447" s="83">
        <f t="shared" si="23"/>
        <v>1380563</v>
      </c>
      <c r="I1447" s="83"/>
      <c r="K1447" s="54" t="s">
        <v>15</v>
      </c>
    </row>
    <row r="1448" spans="2:11" ht="16.5" x14ac:dyDescent="0.2">
      <c r="B1448" s="82" t="s">
        <v>10126</v>
      </c>
      <c r="C1448" s="82" t="s">
        <v>42</v>
      </c>
      <c r="D1448" s="83">
        <f>SUMIFS(D1449:D1474,K1449:K1474,"0",B1449:B1474,"5 6 1 1 3 12 31111 6 M59 30100*")-SUMIFS(E1449:E1474,K1449:K1474,"0",B1449:B1474,"5 6 1 1 3 12 31111 6 M59 30100*")</f>
        <v>0</v>
      </c>
      <c r="E1448" s="54"/>
      <c r="F1448" s="83">
        <f>SUMIFS(F1449:F1474,K1449:K1474,"0",B1449:B1474,"5 6 1 1 3 12 31111 6 M59 30100*")</f>
        <v>1380563</v>
      </c>
      <c r="G1448" s="83">
        <f>SUMIFS(G1449:G1474,K1449:K1474,"0",B1449:B1474,"5 6 1 1 3 12 31111 6 M59 30100*")</f>
        <v>0</v>
      </c>
      <c r="H1448" s="83">
        <f t="shared" si="23"/>
        <v>1380563</v>
      </c>
      <c r="I1448" s="83"/>
      <c r="K1448" s="54" t="s">
        <v>15</v>
      </c>
    </row>
    <row r="1449" spans="2:11" ht="16.5" x14ac:dyDescent="0.2">
      <c r="B1449" s="82" t="s">
        <v>10127</v>
      </c>
      <c r="C1449" s="82" t="s">
        <v>42</v>
      </c>
      <c r="D1449" s="83">
        <f>SUMIFS(D1450:D1474,K1450:K1474,"0",B1450:B1474,"5 6 1 1 3 12 31111 6 M59 30100 000132*")-SUMIFS(E1450:E1474,K1450:K1474,"0",B1450:B1474,"5 6 1 1 3 12 31111 6 M59 30100 000132*")</f>
        <v>0</v>
      </c>
      <c r="E1449" s="54"/>
      <c r="F1449" s="83">
        <f>SUMIFS(F1450:F1474,K1450:K1474,"0",B1450:B1474,"5 6 1 1 3 12 31111 6 M59 30100 000132*")</f>
        <v>1380563</v>
      </c>
      <c r="G1449" s="83">
        <f>SUMIFS(G1450:G1474,K1450:K1474,"0",B1450:B1474,"5 6 1 1 3 12 31111 6 M59 30100 000132*")</f>
        <v>0</v>
      </c>
      <c r="H1449" s="83">
        <f t="shared" ref="H1449:H1462" si="24">D1449 + F1449 - G1449</f>
        <v>1380563</v>
      </c>
      <c r="I1449" s="83"/>
      <c r="K1449" s="54" t="s">
        <v>15</v>
      </c>
    </row>
    <row r="1450" spans="2:11" ht="24.75" x14ac:dyDescent="0.2">
      <c r="B1450" s="82" t="s">
        <v>10128</v>
      </c>
      <c r="C1450" s="82" t="s">
        <v>42</v>
      </c>
      <c r="D1450" s="83">
        <f>SUMIFS(D1451:D1474,K1451:K1474,"0",B1451:B1474,"5 6 1 1 3 12 31111 6 M59 30100 000132 0000R*")-SUMIFS(E1451:E1474,K1451:K1474,"0",B1451:B1474,"5 6 1 1 3 12 31111 6 M59 30100 000132 0000R*")</f>
        <v>0</v>
      </c>
      <c r="E1450" s="54"/>
      <c r="F1450" s="83">
        <f>SUMIFS(F1451:F1474,K1451:K1474,"0",B1451:B1474,"5 6 1 1 3 12 31111 6 M59 30100 000132 0000R*")</f>
        <v>1380563</v>
      </c>
      <c r="G1450" s="83">
        <f>SUMIFS(G1451:G1474,K1451:K1474,"0",B1451:B1474,"5 6 1 1 3 12 31111 6 M59 30100 000132 0000R*")</f>
        <v>0</v>
      </c>
      <c r="H1450" s="83">
        <f t="shared" si="24"/>
        <v>1380563</v>
      </c>
      <c r="I1450" s="83"/>
      <c r="K1450" s="54" t="s">
        <v>15</v>
      </c>
    </row>
    <row r="1451" spans="2:11" ht="24.75" x14ac:dyDescent="0.2">
      <c r="B1451" s="82" t="s">
        <v>10129</v>
      </c>
      <c r="C1451" s="82" t="s">
        <v>42</v>
      </c>
      <c r="D1451" s="83">
        <f>SUMIFS(D1452:D1474,K1452:K1474,"0",B1452:B1474,"5 6 1 1 3 12 31111 6 M59 30100 000132 0000R 00002*")-SUMIFS(E1452:E1474,K1452:K1474,"0",B1452:B1474,"5 6 1 1 3 12 31111 6 M59 30100 000132 0000R 00002*")</f>
        <v>0</v>
      </c>
      <c r="E1451" s="54"/>
      <c r="F1451" s="83">
        <f>SUMIFS(F1452:F1474,K1452:K1474,"0",B1452:B1474,"5 6 1 1 3 12 31111 6 M59 30100 000132 0000R 00002*")</f>
        <v>1380563</v>
      </c>
      <c r="G1451" s="83">
        <f>SUMIFS(G1452:G1474,K1452:K1474,"0",B1452:B1474,"5 6 1 1 3 12 31111 6 M59 30100 000132 0000R 00002*")</f>
        <v>0</v>
      </c>
      <c r="H1451" s="83">
        <f t="shared" si="24"/>
        <v>1380563</v>
      </c>
      <c r="I1451" s="83"/>
      <c r="K1451" s="54" t="s">
        <v>15</v>
      </c>
    </row>
    <row r="1452" spans="2:11" ht="24.75" x14ac:dyDescent="0.2">
      <c r="B1452" s="82" t="s">
        <v>10130</v>
      </c>
      <c r="C1452" s="82" t="s">
        <v>42</v>
      </c>
      <c r="D1452" s="83">
        <f>SUMIFS(D1453:D1474,K1453:K1474,"0",B1453:B1474,"5 6 1 1 3 12 31111 6 M59 30100 000132 0000R 00002 00613*")-SUMIFS(E1453:E1474,K1453:K1474,"0",B1453:B1474,"5 6 1 1 3 12 31111 6 M59 30100 000132 0000R 00002 00613*")</f>
        <v>0</v>
      </c>
      <c r="E1452" s="54"/>
      <c r="F1452" s="83">
        <f>SUMIFS(F1453:F1474,K1453:K1474,"0",B1453:B1474,"5 6 1 1 3 12 31111 6 M59 30100 000132 0000R 00002 00613*")</f>
        <v>1380563</v>
      </c>
      <c r="G1452" s="83">
        <f>SUMIFS(G1453:G1474,K1453:K1474,"0",B1453:B1474,"5 6 1 1 3 12 31111 6 M59 30100 000132 0000R 00002 00613*")</f>
        <v>0</v>
      </c>
      <c r="H1452" s="83">
        <f t="shared" si="24"/>
        <v>1380563</v>
      </c>
      <c r="I1452" s="83"/>
      <c r="K1452" s="54" t="s">
        <v>15</v>
      </c>
    </row>
    <row r="1453" spans="2:11" ht="33" x14ac:dyDescent="0.2">
      <c r="B1453" s="82" t="s">
        <v>10131</v>
      </c>
      <c r="C1453" s="82" t="s">
        <v>42</v>
      </c>
      <c r="D1453" s="83">
        <f>SUMIFS(D1454:D1474,K1454:K1474,"0",B1454:B1474,"5 6 1 1 3 12 31111 6 M59 30100 000132 0000R 00002 00613 011*")-SUMIFS(E1454:E1474,K1454:K1474,"0",B1454:B1474,"5 6 1 1 3 12 31111 6 M59 30100 000132 0000R 00002 00613 011*")</f>
        <v>0</v>
      </c>
      <c r="E1453" s="54"/>
      <c r="F1453" s="83">
        <f>SUMIFS(F1454:F1474,K1454:K1474,"0",B1454:B1474,"5 6 1 1 3 12 31111 6 M59 30100 000132 0000R 00002 00613 011*")</f>
        <v>1380563</v>
      </c>
      <c r="G1453" s="83">
        <f>SUMIFS(G1454:G1474,K1454:K1474,"0",B1454:B1474,"5 6 1 1 3 12 31111 6 M59 30100 000132 0000R 00002 00613 011*")</f>
        <v>0</v>
      </c>
      <c r="H1453" s="83">
        <f t="shared" si="24"/>
        <v>1380563</v>
      </c>
      <c r="I1453" s="83"/>
      <c r="K1453" s="54" t="s">
        <v>15</v>
      </c>
    </row>
    <row r="1454" spans="2:11" ht="33" x14ac:dyDescent="0.2">
      <c r="B1454" s="82" t="s">
        <v>10132</v>
      </c>
      <c r="C1454" s="82" t="s">
        <v>42</v>
      </c>
      <c r="D1454" s="83">
        <f>SUMIFS(D1455:D1474,K1455:K1474,"0",B1455:B1474,"5 6 1 1 3 12 31111 6 M59 30100 000132 0000R 00002 00613 011 2210000*")-SUMIFS(E1455:E1474,K1455:K1474,"0",B1455:B1474,"5 6 1 1 3 12 31111 6 M59 30100 000132 0000R 00002 00613 011 2210000*")</f>
        <v>0</v>
      </c>
      <c r="E1454" s="54"/>
      <c r="F1454" s="83">
        <f>SUMIFS(F1455:F1474,K1455:K1474,"0",B1455:B1474,"5 6 1 1 3 12 31111 6 M59 30100 000132 0000R 00002 00613 011 2210000*")</f>
        <v>1380563</v>
      </c>
      <c r="G1454" s="83">
        <f>SUMIFS(G1455:G1474,K1455:K1474,"0",B1455:B1474,"5 6 1 1 3 12 31111 6 M59 30100 000132 0000R 00002 00613 011 2210000*")</f>
        <v>0</v>
      </c>
      <c r="H1454" s="83">
        <f t="shared" si="24"/>
        <v>1380563</v>
      </c>
      <c r="I1454" s="83"/>
      <c r="K1454" s="54" t="s">
        <v>15</v>
      </c>
    </row>
    <row r="1455" spans="2:11" ht="33" x14ac:dyDescent="0.2">
      <c r="B1455" s="82" t="s">
        <v>10133</v>
      </c>
      <c r="C1455" s="82" t="s">
        <v>42</v>
      </c>
      <c r="D1455" s="83">
        <f>SUMIFS(D1456:D1474,K1456:K1474,"0",B1456:B1474,"5 6 1 1 3 12 31111 6 M59 30100 000132 0000R 00002 00613 011 2210000 2024*")-SUMIFS(E1456:E1474,K1456:K1474,"0",B1456:B1474,"5 6 1 1 3 12 31111 6 M59 30100 000132 0000R 00002 00613 011 2210000 2024*")</f>
        <v>0</v>
      </c>
      <c r="E1455" s="54"/>
      <c r="F1455" s="83">
        <f>SUMIFS(F1456:F1474,K1456:K1474,"0",B1456:B1474,"5 6 1 1 3 12 31111 6 M59 30100 000132 0000R 00002 00613 011 2210000 2024*")</f>
        <v>1380563</v>
      </c>
      <c r="G1455" s="83">
        <f>SUMIFS(G1456:G1474,K1456:K1474,"0",B1456:B1474,"5 6 1 1 3 12 31111 6 M59 30100 000132 0000R 00002 00613 011 2210000 2024*")</f>
        <v>0</v>
      </c>
      <c r="H1455" s="83">
        <f t="shared" si="24"/>
        <v>1380563</v>
      </c>
      <c r="I1455" s="83"/>
      <c r="K1455" s="54" t="s">
        <v>15</v>
      </c>
    </row>
    <row r="1456" spans="2:11" ht="41.25" x14ac:dyDescent="0.2">
      <c r="B1456" s="82" t="s">
        <v>10134</v>
      </c>
      <c r="C1456" s="82" t="s">
        <v>42</v>
      </c>
      <c r="D1456" s="83">
        <f>SUMIFS(D1457:D1474,K1457:K1474,"0",B1457:B1474,"5 6 1 1 3 12 31111 6 M59 30100 000132 0000R 00002 00613 011 2210000 2024 CP1TM440*")-SUMIFS(E1457:E1474,K1457:K1474,"0",B1457:B1474,"5 6 1 1 3 12 31111 6 M59 30100 000132 0000R 00002 00613 011 2210000 2024 CP1TM440*")</f>
        <v>0</v>
      </c>
      <c r="E1456" s="54"/>
      <c r="F1456" s="83">
        <f>SUMIFS(F1457:F1474,K1457:K1474,"0",B1457:B1474,"5 6 1 1 3 12 31111 6 M59 30100 000132 0000R 00002 00613 011 2210000 2024 CP1TM440*")</f>
        <v>1380563</v>
      </c>
      <c r="G1456" s="83">
        <f>SUMIFS(G1457:G1474,K1457:K1474,"0",B1457:B1474,"5 6 1 1 3 12 31111 6 M59 30100 000132 0000R 00002 00613 011 2210000 2024 CP1TM440*")</f>
        <v>0</v>
      </c>
      <c r="H1456" s="83">
        <f t="shared" si="24"/>
        <v>1380563</v>
      </c>
      <c r="I1456" s="83"/>
      <c r="K1456" s="54" t="s">
        <v>15</v>
      </c>
    </row>
    <row r="1457" spans="2:11" ht="41.25" x14ac:dyDescent="0.2">
      <c r="B1457" s="82" t="s">
        <v>10135</v>
      </c>
      <c r="C1457" s="82" t="s">
        <v>42</v>
      </c>
      <c r="D1457" s="83">
        <f>SUMIFS(D1458:D1474,K1458:K1474,"0",B1458:B1474,"5 6 1 1 3 12 31111 6 M59 30100 000132 0000R 00002 00613 011 2210000 2024 CP1TM440 006*")-SUMIFS(E1458:E1474,K1458:K1474,"0",B1458:B1474,"5 6 1 1 3 12 31111 6 M59 30100 000132 0000R 00002 00613 011 2210000 2024 CP1TM440 006*")</f>
        <v>0</v>
      </c>
      <c r="E1457" s="54"/>
      <c r="F1457" s="83">
        <f>SUMIFS(F1458:F1474,K1458:K1474,"0",B1458:B1474,"5 6 1 1 3 12 31111 6 M59 30100 000132 0000R 00002 00613 011 2210000 2024 CP1TM440 006*")</f>
        <v>1380563</v>
      </c>
      <c r="G1457" s="83">
        <f>SUMIFS(G1458:G1474,K1458:K1474,"0",B1458:B1474,"5 6 1 1 3 12 31111 6 M59 30100 000132 0000R 00002 00613 011 2210000 2024 CP1TM440 006*")</f>
        <v>0</v>
      </c>
      <c r="H1457" s="83">
        <f t="shared" si="24"/>
        <v>1380563</v>
      </c>
      <c r="I1457" s="83"/>
      <c r="K1457" s="54" t="s">
        <v>15</v>
      </c>
    </row>
    <row r="1458" spans="2:11" ht="41.25" x14ac:dyDescent="0.2">
      <c r="B1458" s="84" t="s">
        <v>10136</v>
      </c>
      <c r="C1458" s="84" t="s">
        <v>706</v>
      </c>
      <c r="D1458" s="85">
        <v>0</v>
      </c>
      <c r="E1458" s="85"/>
      <c r="F1458" s="85">
        <v>780000</v>
      </c>
      <c r="G1458" s="85">
        <v>0</v>
      </c>
      <c r="H1458" s="85">
        <f t="shared" si="24"/>
        <v>780000</v>
      </c>
      <c r="I1458" s="85"/>
      <c r="K1458" s="54" t="s">
        <v>38</v>
      </c>
    </row>
    <row r="1459" spans="2:11" ht="41.25" x14ac:dyDescent="0.2">
      <c r="B1459" s="84" t="s">
        <v>10137</v>
      </c>
      <c r="C1459" s="84" t="s">
        <v>708</v>
      </c>
      <c r="D1459" s="85">
        <v>0</v>
      </c>
      <c r="E1459" s="85"/>
      <c r="F1459" s="85">
        <v>600563</v>
      </c>
      <c r="G1459" s="85">
        <v>0</v>
      </c>
      <c r="H1459" s="85">
        <f t="shared" si="24"/>
        <v>600563</v>
      </c>
      <c r="I1459" s="85"/>
      <c r="K1459" s="54" t="s">
        <v>38</v>
      </c>
    </row>
    <row r="1460" spans="2:11" ht="16.5" x14ac:dyDescent="0.2">
      <c r="B1460" s="82" t="s">
        <v>10160</v>
      </c>
      <c r="C1460" s="82" t="s">
        <v>10161</v>
      </c>
      <c r="D1460" s="83">
        <f>SUMIFS(D1461:D1474,K1461:K1474,"0",B1461:B1474,"8*")-SUMIFS(E1461:E1474,K1461:K1474,"0",B1461:B1474,"8*")</f>
        <v>0</v>
      </c>
      <c r="E1460" s="54"/>
      <c r="F1460" s="83">
        <f>SUMIFS(F1461:F1474,K1461:K1474,"0",B1461:B1474,"8*")</f>
        <v>11433454.370000001</v>
      </c>
      <c r="G1460" s="83">
        <f>SUMIFS(G1461:G1474,K1461:K1474,"0",B1461:B1474,"8*")</f>
        <v>11433454.370000001</v>
      </c>
      <c r="H1460" s="83">
        <f t="shared" si="24"/>
        <v>0</v>
      </c>
      <c r="I1460" s="83"/>
      <c r="K1460" s="54" t="s">
        <v>15</v>
      </c>
    </row>
    <row r="1461" spans="2:11" ht="12.75" x14ac:dyDescent="0.2">
      <c r="B1461" s="82" t="s">
        <v>10162</v>
      </c>
      <c r="C1461" s="82" t="s">
        <v>10163</v>
      </c>
      <c r="D1461" s="83">
        <f>SUMIFS(D1462:D1474,K1462:K1474,"0",B1462:B1474,"8 1*")-SUMIFS(E1462:E1474,K1462:K1474,"0",B1462:B1474,"8 1*")</f>
        <v>0</v>
      </c>
      <c r="E1461" s="54"/>
      <c r="F1461" s="83">
        <f>SUMIFS(F1462:F1474,K1462:K1474,"0",B1462:B1474,"8 1*")</f>
        <v>5005950.8900000006</v>
      </c>
      <c r="G1461" s="83">
        <f>SUMIFS(G1462:G1474,K1462:K1474,"0",B1462:B1474,"8 1*")</f>
        <v>5005950.8900000006</v>
      </c>
      <c r="H1461" s="83">
        <f t="shared" si="24"/>
        <v>0</v>
      </c>
      <c r="I1461" s="83"/>
      <c r="K1461" s="54" t="s">
        <v>15</v>
      </c>
    </row>
    <row r="1462" spans="2:11" ht="12.75" x14ac:dyDescent="0.2">
      <c r="B1462" s="84" t="s">
        <v>10164</v>
      </c>
      <c r="C1462" s="84" t="s">
        <v>10165</v>
      </c>
      <c r="D1462" s="85">
        <v>21786045</v>
      </c>
      <c r="E1462" s="85"/>
      <c r="F1462" s="85">
        <v>0</v>
      </c>
      <c r="G1462" s="85">
        <v>0</v>
      </c>
      <c r="H1462" s="85">
        <f t="shared" si="24"/>
        <v>21786045</v>
      </c>
      <c r="I1462" s="85"/>
      <c r="K1462" s="54" t="s">
        <v>38</v>
      </c>
    </row>
    <row r="1463" spans="2:11" ht="12.75" x14ac:dyDescent="0.2">
      <c r="B1463" s="84" t="s">
        <v>10166</v>
      </c>
      <c r="C1463" s="84" t="s">
        <v>10167</v>
      </c>
      <c r="D1463" s="85"/>
      <c r="E1463" s="85">
        <v>-928655.15</v>
      </c>
      <c r="F1463" s="85">
        <v>1359098.58</v>
      </c>
      <c r="G1463" s="85">
        <v>2287753.73</v>
      </c>
      <c r="H1463" s="85"/>
      <c r="I1463" s="85">
        <f>E1463 - F1463 + G1463</f>
        <v>0</v>
      </c>
      <c r="K1463" s="54" t="s">
        <v>38</v>
      </c>
    </row>
    <row r="1464" spans="2:11" ht="16.5" x14ac:dyDescent="0.2">
      <c r="B1464" s="84" t="s">
        <v>10168</v>
      </c>
      <c r="C1464" s="84" t="s">
        <v>10169</v>
      </c>
      <c r="D1464" s="85">
        <v>1873208.14</v>
      </c>
      <c r="E1464" s="85"/>
      <c r="F1464" s="85">
        <v>2287753.73</v>
      </c>
      <c r="G1464" s="85">
        <v>0</v>
      </c>
      <c r="H1464" s="85">
        <f>D1464 + F1464 - G1464</f>
        <v>4160961.87</v>
      </c>
      <c r="I1464" s="85"/>
      <c r="K1464" s="54" t="s">
        <v>38</v>
      </c>
    </row>
    <row r="1465" spans="2:11" ht="12.75" x14ac:dyDescent="0.2">
      <c r="B1465" s="84" t="s">
        <v>10170</v>
      </c>
      <c r="C1465" s="84" t="s">
        <v>10171</v>
      </c>
      <c r="D1465" s="85"/>
      <c r="E1465" s="85">
        <v>0</v>
      </c>
      <c r="F1465" s="85">
        <v>1359098.58</v>
      </c>
      <c r="G1465" s="85">
        <v>1359098.58</v>
      </c>
      <c r="H1465" s="85"/>
      <c r="I1465" s="85">
        <f>E1465 - F1465 + G1465</f>
        <v>0</v>
      </c>
      <c r="K1465" s="54" t="s">
        <v>38</v>
      </c>
    </row>
    <row r="1466" spans="2:11" ht="12.75" x14ac:dyDescent="0.2">
      <c r="B1466" s="84" t="s">
        <v>10172</v>
      </c>
      <c r="C1466" s="84" t="s">
        <v>10173</v>
      </c>
      <c r="D1466" s="85"/>
      <c r="E1466" s="85">
        <v>24587908.289999999</v>
      </c>
      <c r="F1466" s="85">
        <v>0</v>
      </c>
      <c r="G1466" s="85">
        <v>1359098.58</v>
      </c>
      <c r="H1466" s="85"/>
      <c r="I1466" s="85">
        <f>E1466 - F1466 + G1466</f>
        <v>25947006.869999997</v>
      </c>
      <c r="K1466" s="54" t="s">
        <v>38</v>
      </c>
    </row>
    <row r="1467" spans="2:11" ht="12.75" x14ac:dyDescent="0.2">
      <c r="B1467" s="82" t="s">
        <v>10174</v>
      </c>
      <c r="C1467" s="82" t="s">
        <v>10175</v>
      </c>
      <c r="D1467" s="54"/>
      <c r="E1467" s="83">
        <f>SUMIFS(E1468:E1474,K1468:K1474,"0",B1468:B1474,"8 2*")-SUMIFS(D1468:D1474,K1468:K1474,"0",B1468:B1474,"8 2*")</f>
        <v>0</v>
      </c>
      <c r="F1467" s="83">
        <f>SUMIFS(F1468:F1474,K1468:K1474,"0",B1468:B1474,"8 2*")</f>
        <v>6427503.4799999995</v>
      </c>
      <c r="G1467" s="83">
        <f>SUMIFS(G1468:G1474,K1468:K1474,"0",B1468:B1474,"8 2*")</f>
        <v>6427503.4799999995</v>
      </c>
      <c r="H1467" s="83"/>
      <c r="I1467" s="83">
        <f>E1467 - F1467 + G1467</f>
        <v>0</v>
      </c>
      <c r="K1467" s="54" t="s">
        <v>15</v>
      </c>
    </row>
    <row r="1468" spans="2:11" ht="16.5" x14ac:dyDescent="0.2">
      <c r="B1468" s="84" t="s">
        <v>10176</v>
      </c>
      <c r="C1468" s="84" t="s">
        <v>10177</v>
      </c>
      <c r="D1468" s="85"/>
      <c r="E1468" s="85">
        <v>22215545</v>
      </c>
      <c r="F1468" s="85">
        <v>0</v>
      </c>
      <c r="G1468" s="85">
        <v>0</v>
      </c>
      <c r="H1468" s="85"/>
      <c r="I1468" s="85">
        <f>E1468 - F1468 + G1468</f>
        <v>22215545</v>
      </c>
      <c r="K1468" s="54" t="s">
        <v>38</v>
      </c>
    </row>
    <row r="1469" spans="2:11" ht="16.5" x14ac:dyDescent="0.2">
      <c r="B1469" s="84" t="s">
        <v>10178</v>
      </c>
      <c r="C1469" s="84" t="s">
        <v>10179</v>
      </c>
      <c r="D1469" s="85">
        <v>4659946.72</v>
      </c>
      <c r="E1469" s="85"/>
      <c r="F1469" s="85">
        <v>-2442456.6800000002</v>
      </c>
      <c r="G1469" s="85">
        <v>2217490.04</v>
      </c>
      <c r="H1469" s="85">
        <f>D1469 + F1469 - G1469</f>
        <v>0</v>
      </c>
      <c r="I1469" s="85"/>
      <c r="K1469" s="54" t="s">
        <v>38</v>
      </c>
    </row>
    <row r="1470" spans="2:11" ht="16.5" x14ac:dyDescent="0.2">
      <c r="B1470" s="84" t="s">
        <v>10180</v>
      </c>
      <c r="C1470" s="84" t="s">
        <v>10181</v>
      </c>
      <c r="D1470" s="85"/>
      <c r="E1470" s="85">
        <v>836972.75</v>
      </c>
      <c r="F1470" s="85">
        <v>0</v>
      </c>
      <c r="G1470" s="85">
        <v>-2442456.6800000002</v>
      </c>
      <c r="H1470" s="85"/>
      <c r="I1470" s="85">
        <f>E1470 - F1470 + G1470</f>
        <v>-1605483.9300000002</v>
      </c>
      <c r="K1470" s="54" t="s">
        <v>38</v>
      </c>
    </row>
    <row r="1471" spans="2:11" ht="16.5" x14ac:dyDescent="0.2">
      <c r="B1471" s="84" t="s">
        <v>10182</v>
      </c>
      <c r="C1471" s="84" t="s">
        <v>10183</v>
      </c>
      <c r="D1471" s="85">
        <v>0</v>
      </c>
      <c r="E1471" s="85"/>
      <c r="F1471" s="85">
        <v>2217490.04</v>
      </c>
      <c r="G1471" s="85">
        <v>2217490.04</v>
      </c>
      <c r="H1471" s="85">
        <f>D1471 + F1471 - G1471</f>
        <v>0</v>
      </c>
      <c r="I1471" s="85"/>
      <c r="K1471" s="54" t="s">
        <v>38</v>
      </c>
    </row>
    <row r="1472" spans="2:11" ht="16.5" x14ac:dyDescent="0.2">
      <c r="B1472" s="84" t="s">
        <v>10184</v>
      </c>
      <c r="C1472" s="84" t="s">
        <v>10185</v>
      </c>
      <c r="D1472" s="85">
        <v>0</v>
      </c>
      <c r="E1472" s="85"/>
      <c r="F1472" s="85">
        <v>2217490.04</v>
      </c>
      <c r="G1472" s="85">
        <v>2217490.04</v>
      </c>
      <c r="H1472" s="85">
        <f>D1472 + F1472 - G1472</f>
        <v>0</v>
      </c>
      <c r="I1472" s="85"/>
      <c r="K1472" s="54" t="s">
        <v>38</v>
      </c>
    </row>
    <row r="1473" spans="2:11" ht="16.5" x14ac:dyDescent="0.2">
      <c r="B1473" s="84" t="s">
        <v>10186</v>
      </c>
      <c r="C1473" s="84" t="s">
        <v>10187</v>
      </c>
      <c r="D1473" s="85">
        <v>0</v>
      </c>
      <c r="E1473" s="85"/>
      <c r="F1473" s="85">
        <v>2217490.04</v>
      </c>
      <c r="G1473" s="85">
        <v>2217490.04</v>
      </c>
      <c r="H1473" s="85">
        <f>D1473 + F1473 - G1473</f>
        <v>0</v>
      </c>
      <c r="I1473" s="85"/>
      <c r="K1473" s="54" t="s">
        <v>38</v>
      </c>
    </row>
    <row r="1474" spans="2:11" ht="12.75" x14ac:dyDescent="0.2">
      <c r="B1474" s="84" t="s">
        <v>10188</v>
      </c>
      <c r="C1474" s="84" t="s">
        <v>10189</v>
      </c>
      <c r="D1474" s="85">
        <v>18392571.030000001</v>
      </c>
      <c r="E1474" s="85"/>
      <c r="F1474" s="85">
        <v>2217490.04</v>
      </c>
      <c r="G1474" s="85">
        <v>0</v>
      </c>
      <c r="H1474" s="85">
        <f>D1474 + F1474 - G1474</f>
        <v>20610061.07</v>
      </c>
      <c r="I1474" s="85"/>
      <c r="K1474" s="54" t="s">
        <v>38</v>
      </c>
    </row>
    <row r="1476" spans="2:11" x14ac:dyDescent="0.2">
      <c r="D1476" s="87">
        <f>SUMIF(K12:K1474,"=0",D12:D1474)</f>
        <v>79494149.409999996</v>
      </c>
      <c r="E1476" s="87">
        <f>SUMIF(K12:K1474,"=0",E12:E1474)</f>
        <v>79494149.409999996</v>
      </c>
      <c r="F1476" s="87">
        <f>SUMIF(K12:K1474,"=0",F12:F1474)</f>
        <v>20876004.579999998</v>
      </c>
      <c r="G1476" s="87">
        <f>SUMIF(K12:K1474,"=0",G12:G1474)</f>
        <v>20876004.579999998</v>
      </c>
      <c r="H1476" s="87">
        <f>SUMIF(K12:K1474,"=0",H12:H1474)</f>
        <v>80698545.039999992</v>
      </c>
      <c r="I1476" s="87">
        <f>SUMIF(K12:K1474,"=0",I12:I1474)</f>
        <v>80698545.039999992</v>
      </c>
    </row>
    <row r="1480" spans="2:11" x14ac:dyDescent="0.2">
      <c r="B1480" s="88" t="str">
        <f>IF(AND(ROUND(D1476, 2)=ROUND(E1476, 2), ROUND(F1476, 2)=ROUND(G1476, 2), ROUND(H1476,2)=ROUND(I1476,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9:E9"/>
    <mergeCell ref="F9:G9"/>
    <mergeCell ref="H9:I9"/>
    <mergeCell ref="D10:E10"/>
    <mergeCell ref="F10:G10"/>
    <mergeCell ref="H10:I10"/>
    <mergeCell ref="B2:I2"/>
    <mergeCell ref="B3:I3"/>
    <mergeCell ref="B4:I4"/>
    <mergeCell ref="B5:I5"/>
    <mergeCell ref="B6:I6"/>
    <mergeCell ref="B7:I7"/>
  </mergeCells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356F8-EF60-47C8-9530-996496D2D8CB}">
  <dimension ref="A1:K351"/>
  <sheetViews>
    <sheetView tabSelected="1" topLeftCell="A79" zoomScaleNormal="100" workbookViewId="0">
      <selection activeCell="B10" sqref="B10"/>
    </sheetView>
  </sheetViews>
  <sheetFormatPr baseColWidth="10" defaultColWidth="9.140625" defaultRowHeight="11.25" x14ac:dyDescent="0.2"/>
  <cols>
    <col min="1" max="1" width="0.7109375" style="81" customWidth="1" collapsed="1"/>
    <col min="2" max="2" width="16.42578125" style="81" customWidth="1" collapsed="1"/>
    <col min="3" max="3" width="23" style="86" customWidth="1" collapsed="1"/>
    <col min="4" max="6" width="13.28515625" style="89" customWidth="1" collapsed="1"/>
    <col min="7" max="7" width="13.28515625" style="81" customWidth="1" collapsed="1"/>
    <col min="8" max="8" width="13.28515625" style="86" customWidth="1" collapsed="1"/>
    <col min="9" max="9" width="13.28515625" style="89" customWidth="1" collapsed="1"/>
    <col min="10" max="10" width="0.7109375" style="81" customWidth="1" collapsed="1"/>
    <col min="11" max="11" width="13.7109375" style="81" hidden="1" customWidth="1" collapsed="1"/>
    <col min="12" max="13" width="0" style="81" hidden="1" customWidth="1" collapsed="1"/>
    <col min="14" max="16384" width="9.140625" style="81" collapsed="1"/>
  </cols>
  <sheetData>
    <row r="1" spans="1:11" s="51" customFormat="1" ht="5.25" customHeight="1" x14ac:dyDescent="0.2">
      <c r="A1" s="47"/>
      <c r="B1" s="48"/>
      <c r="C1" s="49"/>
      <c r="D1" s="50"/>
      <c r="E1" s="50"/>
      <c r="F1" s="50"/>
      <c r="G1" s="48"/>
      <c r="H1" s="49"/>
      <c r="I1" s="50"/>
      <c r="J1" s="47"/>
    </row>
    <row r="2" spans="1:11" s="54" customFormat="1" ht="13.5" customHeight="1" x14ac:dyDescent="0.2">
      <c r="A2" s="52"/>
      <c r="B2" s="53" t="s">
        <v>7</v>
      </c>
      <c r="C2" s="53"/>
      <c r="D2" s="53"/>
      <c r="E2" s="53"/>
      <c r="F2" s="53"/>
      <c r="G2" s="53"/>
      <c r="H2" s="53"/>
      <c r="I2" s="53"/>
      <c r="J2" s="52"/>
    </row>
    <row r="3" spans="1:11" s="57" customFormat="1" ht="13.5" customHeight="1" x14ac:dyDescent="0.2">
      <c r="A3" s="55"/>
      <c r="B3" s="56" t="s">
        <v>8</v>
      </c>
      <c r="C3" s="56"/>
      <c r="D3" s="56"/>
      <c r="E3" s="56"/>
      <c r="F3" s="56"/>
      <c r="G3" s="56"/>
      <c r="H3" s="56"/>
      <c r="I3" s="56"/>
      <c r="J3" s="55"/>
    </row>
    <row r="4" spans="1:11" s="57" customFormat="1" ht="13.5" customHeight="1" x14ac:dyDescent="0.2">
      <c r="A4" s="55"/>
      <c r="B4" s="58" t="s">
        <v>1075</v>
      </c>
      <c r="C4" s="58"/>
      <c r="D4" s="58"/>
      <c r="E4" s="58"/>
      <c r="F4" s="58"/>
      <c r="G4" s="58"/>
      <c r="H4" s="58"/>
      <c r="I4" s="58"/>
      <c r="J4" s="55"/>
    </row>
    <row r="5" spans="1:11" s="57" customFormat="1" ht="13.5" customHeight="1" x14ac:dyDescent="0.2">
      <c r="A5" s="55"/>
      <c r="B5" s="58" t="s">
        <v>10</v>
      </c>
      <c r="C5" s="58"/>
      <c r="D5" s="58"/>
      <c r="E5" s="58"/>
      <c r="F5" s="58"/>
      <c r="G5" s="58"/>
      <c r="H5" s="58"/>
      <c r="I5" s="58"/>
      <c r="J5" s="55"/>
    </row>
    <row r="6" spans="1:11" s="54" customFormat="1" ht="13.5" customHeight="1" x14ac:dyDescent="0.2">
      <c r="A6" s="52"/>
      <c r="B6" s="59" t="s">
        <v>11</v>
      </c>
      <c r="C6" s="59"/>
      <c r="D6" s="59"/>
      <c r="E6" s="59"/>
      <c r="F6" s="59"/>
      <c r="G6" s="59"/>
      <c r="H6" s="59"/>
      <c r="I6" s="59"/>
      <c r="J6" s="52"/>
    </row>
    <row r="7" spans="1:11" s="54" customFormat="1" ht="13.5" customHeight="1" x14ac:dyDescent="0.2">
      <c r="A7" s="52"/>
      <c r="B7" s="58"/>
      <c r="C7" s="58"/>
      <c r="D7" s="58"/>
      <c r="E7" s="58"/>
      <c r="F7" s="58"/>
      <c r="G7" s="58"/>
      <c r="H7" s="58"/>
      <c r="I7" s="58"/>
      <c r="J7" s="52"/>
    </row>
    <row r="8" spans="1:11" s="54" customFormat="1" ht="8.25" customHeight="1" x14ac:dyDescent="0.2">
      <c r="B8" s="60"/>
      <c r="C8" s="60"/>
      <c r="D8" s="60"/>
      <c r="E8" s="60"/>
      <c r="F8" s="60"/>
      <c r="G8" s="60"/>
      <c r="H8" s="60"/>
      <c r="I8" s="60"/>
    </row>
    <row r="9" spans="1:11" s="54" customFormat="1" ht="12.75" x14ac:dyDescent="0.2">
      <c r="A9" s="61"/>
      <c r="B9" s="62"/>
      <c r="C9" s="62"/>
      <c r="D9" s="63" t="s">
        <v>6</v>
      </c>
      <c r="E9" s="64"/>
      <c r="F9" s="63" t="s">
        <v>5</v>
      </c>
      <c r="G9" s="64"/>
      <c r="H9" s="65" t="s">
        <v>4</v>
      </c>
      <c r="I9" s="65"/>
      <c r="J9" s="66"/>
    </row>
    <row r="10" spans="1:11" s="54" customFormat="1" ht="12.75" x14ac:dyDescent="0.2">
      <c r="A10" s="67"/>
      <c r="B10" s="68" t="s">
        <v>2</v>
      </c>
      <c r="C10" s="69" t="s">
        <v>3</v>
      </c>
      <c r="D10" s="70" t="s">
        <v>12</v>
      </c>
      <c r="E10" s="71"/>
      <c r="F10" s="70" t="s">
        <v>13</v>
      </c>
      <c r="G10" s="71"/>
      <c r="H10" s="72" t="s">
        <v>14</v>
      </c>
      <c r="I10" s="72"/>
      <c r="J10" s="73"/>
    </row>
    <row r="11" spans="1:11" x14ac:dyDescent="0.15">
      <c r="A11" s="74"/>
      <c r="B11" s="75"/>
      <c r="C11" s="76"/>
      <c r="D11" s="77" t="s">
        <v>0</v>
      </c>
      <c r="E11" s="78" t="s">
        <v>1</v>
      </c>
      <c r="F11" s="77" t="s">
        <v>0</v>
      </c>
      <c r="G11" s="78" t="s">
        <v>1</v>
      </c>
      <c r="H11" s="79" t="s">
        <v>0</v>
      </c>
      <c r="I11" s="79" t="s">
        <v>1</v>
      </c>
      <c r="J11" s="80"/>
    </row>
    <row r="12" spans="1:11" ht="12.75" x14ac:dyDescent="0.2">
      <c r="B12" s="82" t="s">
        <v>15</v>
      </c>
      <c r="C12" s="82" t="s">
        <v>16</v>
      </c>
      <c r="D12" s="83">
        <f>SUMIFS(D13:D345,K13:K345,"0",B13:B345,"1*")-SUMIFS(E13:E345,K13:K345,"0",B13:B345,"1*")</f>
        <v>160334.21000000002</v>
      </c>
      <c r="E12" s="54"/>
      <c r="F12" s="83">
        <f>SUMIFS(F13:F345,K13:K345,"0",B13:B345,"1*")</f>
        <v>8423514.5999999996</v>
      </c>
      <c r="G12" s="83">
        <f>SUMIFS(G13:G345,K13:K345,"0",B13:B345,"1*")</f>
        <v>8277264.6099999994</v>
      </c>
      <c r="H12" s="83">
        <f t="shared" ref="H12:H72" si="0">D12 + F12 - G12</f>
        <v>306584.20000000112</v>
      </c>
      <c r="I12" s="83"/>
      <c r="K12" s="54" t="s">
        <v>15</v>
      </c>
    </row>
    <row r="13" spans="1:11" ht="12.75" x14ac:dyDescent="0.2">
      <c r="B13" s="82" t="s">
        <v>17</v>
      </c>
      <c r="C13" s="82" t="s">
        <v>18</v>
      </c>
      <c r="D13" s="83">
        <f>SUMIFS(D14:D345,K14:K345,"0",B14:B345,"1 1*")-SUMIFS(E14:E345,K14:K345,"0",B14:B345,"1 1*")</f>
        <v>160334.21000000002</v>
      </c>
      <c r="E13" s="54"/>
      <c r="F13" s="83">
        <f>SUMIFS(F14:F345,K14:K345,"0",B14:B345,"1 1*")</f>
        <v>8277264.6099999994</v>
      </c>
      <c r="G13" s="83">
        <f>SUMIFS(G14:G345,K14:K345,"0",B14:B345,"1 1*")</f>
        <v>8277264.6099999994</v>
      </c>
      <c r="H13" s="83">
        <f t="shared" si="0"/>
        <v>160334.21000000089</v>
      </c>
      <c r="I13" s="83"/>
      <c r="K13" s="54" t="s">
        <v>15</v>
      </c>
    </row>
    <row r="14" spans="1:11" ht="12.75" x14ac:dyDescent="0.2">
      <c r="B14" s="82" t="s">
        <v>19</v>
      </c>
      <c r="C14" s="82" t="s">
        <v>20</v>
      </c>
      <c r="D14" s="83">
        <f>SUMIFS(D15:D345,K15:K345,"0",B15:B345,"1 1 1*")-SUMIFS(E15:E345,K15:K345,"0",B15:B345,"1 1 1*")</f>
        <v>0</v>
      </c>
      <c r="E14" s="54"/>
      <c r="F14" s="83">
        <f>SUMIFS(F15:F345,K15:K345,"0",B15:B345,"1 1 1*")</f>
        <v>6519509.0599999996</v>
      </c>
      <c r="G14" s="83">
        <f>SUMIFS(G15:G345,K15:K345,"0",B15:B345,"1 1 1*")</f>
        <v>6519509.0599999996</v>
      </c>
      <c r="H14" s="83">
        <f t="shared" si="0"/>
        <v>0</v>
      </c>
      <c r="I14" s="83"/>
      <c r="K14" s="54" t="s">
        <v>15</v>
      </c>
    </row>
    <row r="15" spans="1:11" ht="12.75" x14ac:dyDescent="0.2">
      <c r="B15" s="82" t="s">
        <v>50</v>
      </c>
      <c r="C15" s="82" t="s">
        <v>51</v>
      </c>
      <c r="D15" s="83">
        <f>SUMIFS(D16:D345,K16:K345,"0",B16:B345,"1 1 1 2*")-SUMIFS(E16:E345,K16:K345,"0",B16:B345,"1 1 1 2*")</f>
        <v>0</v>
      </c>
      <c r="E15" s="54"/>
      <c r="F15" s="83">
        <f>SUMIFS(F16:F345,K16:K345,"0",B16:B345,"1 1 1 2*")</f>
        <v>6519509.0599999996</v>
      </c>
      <c r="G15" s="83">
        <f>SUMIFS(G16:G345,K16:K345,"0",B16:B345,"1 1 1 2*")</f>
        <v>6519509.0599999996</v>
      </c>
      <c r="H15" s="83">
        <f t="shared" si="0"/>
        <v>0</v>
      </c>
      <c r="I15" s="83"/>
      <c r="K15" s="54" t="s">
        <v>15</v>
      </c>
    </row>
    <row r="16" spans="1:11" ht="12.75" x14ac:dyDescent="0.2">
      <c r="B16" s="82" t="s">
        <v>52</v>
      </c>
      <c r="C16" s="82" t="s">
        <v>53</v>
      </c>
      <c r="D16" s="83">
        <f>SUMIFS(D17:D345,K17:K345,"0",B17:B345,"1 1 1 2 1*")-SUMIFS(E17:E345,K17:K345,"0",B17:B345,"1 1 1 2 1*")</f>
        <v>0</v>
      </c>
      <c r="E16" s="54"/>
      <c r="F16" s="83">
        <f>SUMIFS(F17:F345,K17:K345,"0",B17:B345,"1 1 1 2 1*")</f>
        <v>6519509.0599999996</v>
      </c>
      <c r="G16" s="83">
        <f>SUMIFS(G17:G345,K17:K345,"0",B17:B345,"1 1 1 2 1*")</f>
        <v>6519509.0599999996</v>
      </c>
      <c r="H16" s="83">
        <f t="shared" si="0"/>
        <v>0</v>
      </c>
      <c r="I16" s="83"/>
      <c r="K16" s="54" t="s">
        <v>15</v>
      </c>
    </row>
    <row r="17" spans="2:11" ht="12.75" x14ac:dyDescent="0.2">
      <c r="B17" s="82" t="s">
        <v>54</v>
      </c>
      <c r="C17" s="82" t="s">
        <v>26</v>
      </c>
      <c r="D17" s="83">
        <f>SUMIFS(D18:D345,K18:K345,"0",B18:B345,"1 1 1 2 1 12*")-SUMIFS(E18:E345,K18:K345,"0",B18:B345,"1 1 1 2 1 12*")</f>
        <v>0</v>
      </c>
      <c r="E17" s="54"/>
      <c r="F17" s="83">
        <f>SUMIFS(F18:F345,K18:K345,"0",B18:B345,"1 1 1 2 1 12*")</f>
        <v>6519509.0599999996</v>
      </c>
      <c r="G17" s="83">
        <f>SUMIFS(G18:G345,K18:K345,"0",B18:B345,"1 1 1 2 1 12*")</f>
        <v>6519509.0599999996</v>
      </c>
      <c r="H17" s="83">
        <f t="shared" si="0"/>
        <v>0</v>
      </c>
      <c r="I17" s="83"/>
      <c r="K17" s="54" t="s">
        <v>15</v>
      </c>
    </row>
    <row r="18" spans="2:11" ht="16.5" x14ac:dyDescent="0.2">
      <c r="B18" s="82" t="s">
        <v>55</v>
      </c>
      <c r="C18" s="82" t="s">
        <v>28</v>
      </c>
      <c r="D18" s="83">
        <f>SUMIFS(D19:D345,K19:K345,"0",B19:B345,"1 1 1 2 1 12 31111*")-SUMIFS(E19:E345,K19:K345,"0",B19:B345,"1 1 1 2 1 12 31111*")</f>
        <v>0</v>
      </c>
      <c r="E18" s="54"/>
      <c r="F18" s="83">
        <f>SUMIFS(F19:F345,K19:K345,"0",B19:B345,"1 1 1 2 1 12 31111*")</f>
        <v>6519509.0599999996</v>
      </c>
      <c r="G18" s="83">
        <f>SUMIFS(G19:G345,K19:K345,"0",B19:B345,"1 1 1 2 1 12 31111*")</f>
        <v>6519509.0599999996</v>
      </c>
      <c r="H18" s="83">
        <f t="shared" si="0"/>
        <v>0</v>
      </c>
      <c r="I18" s="83"/>
      <c r="K18" s="54" t="s">
        <v>15</v>
      </c>
    </row>
    <row r="19" spans="2:11" ht="12.75" x14ac:dyDescent="0.2">
      <c r="B19" s="82" t="s">
        <v>56</v>
      </c>
      <c r="C19" s="82" t="s">
        <v>30</v>
      </c>
      <c r="D19" s="83">
        <f>SUMIFS(D20:D345,K20:K345,"0",B20:B345,"1 1 1 2 1 12 31111 6*")-SUMIFS(E20:E345,K20:K345,"0",B20:B345,"1 1 1 2 1 12 31111 6*")</f>
        <v>0</v>
      </c>
      <c r="E19" s="54"/>
      <c r="F19" s="83">
        <f>SUMIFS(F20:F345,K20:K345,"0",B20:B345,"1 1 1 2 1 12 31111 6*")</f>
        <v>6519509.0599999996</v>
      </c>
      <c r="G19" s="83">
        <f>SUMIFS(G20:G345,K20:K345,"0",B20:B345,"1 1 1 2 1 12 31111 6*")</f>
        <v>6519509.0599999996</v>
      </c>
      <c r="H19" s="83">
        <f t="shared" si="0"/>
        <v>0</v>
      </c>
      <c r="I19" s="83"/>
      <c r="K19" s="54" t="s">
        <v>15</v>
      </c>
    </row>
    <row r="20" spans="2:11" ht="12.75" x14ac:dyDescent="0.2">
      <c r="B20" s="82" t="s">
        <v>57</v>
      </c>
      <c r="C20" s="82" t="s">
        <v>32</v>
      </c>
      <c r="D20" s="83">
        <f>SUMIFS(D21:D345,K21:K345,"0",B21:B345,"1 1 1 2 1 12 31111 6 M59*")-SUMIFS(E21:E345,K21:K345,"0",B21:B345,"1 1 1 2 1 12 31111 6 M59*")</f>
        <v>0</v>
      </c>
      <c r="E20" s="54"/>
      <c r="F20" s="83">
        <f>SUMIFS(F21:F345,K21:K345,"0",B21:B345,"1 1 1 2 1 12 31111 6 M59*")</f>
        <v>6519509.0599999996</v>
      </c>
      <c r="G20" s="83">
        <f>SUMIFS(G21:G345,K21:K345,"0",B21:B345,"1 1 1 2 1 12 31111 6 M59*")</f>
        <v>6519509.0599999996</v>
      </c>
      <c r="H20" s="83">
        <f t="shared" si="0"/>
        <v>0</v>
      </c>
      <c r="I20" s="83"/>
      <c r="K20" s="54" t="s">
        <v>15</v>
      </c>
    </row>
    <row r="21" spans="2:11" ht="16.5" x14ac:dyDescent="0.2">
      <c r="B21" s="82" t="s">
        <v>108</v>
      </c>
      <c r="C21" s="82" t="s">
        <v>10199</v>
      </c>
      <c r="D21" s="83">
        <f>SUMIFS(D22:D345,K22:K345,"0",B22:B345,"1 1 1 2 1 12 31111 6 M59 00005*")-SUMIFS(E22:E345,K22:K345,"0",B22:B345,"1 1 1 2 1 12 31111 6 M59 00005*")</f>
        <v>0</v>
      </c>
      <c r="E21" s="54"/>
      <c r="F21" s="83">
        <f>SUMIFS(F22:F345,K22:K345,"0",B22:B345,"1 1 1 2 1 12 31111 6 M59 00005*")</f>
        <v>6519509.0599999996</v>
      </c>
      <c r="G21" s="83">
        <f>SUMIFS(G22:G345,K22:K345,"0",B22:B345,"1 1 1 2 1 12 31111 6 M59 00005*")</f>
        <v>6519509.0599999996</v>
      </c>
      <c r="H21" s="83">
        <f t="shared" si="0"/>
        <v>0</v>
      </c>
      <c r="I21" s="83"/>
      <c r="K21" s="54" t="s">
        <v>15</v>
      </c>
    </row>
    <row r="22" spans="2:11" ht="16.5" x14ac:dyDescent="0.2">
      <c r="B22" s="82" t="s">
        <v>110</v>
      </c>
      <c r="C22" s="82" t="s">
        <v>111</v>
      </c>
      <c r="D22" s="83">
        <f>SUMIFS(D23:D345,K23:K345,"0",B23:B345,"1 1 1 2 1 12 31111 6 M59 00005 000001*")-SUMIFS(E23:E345,K23:K345,"0",B23:B345,"1 1 1 2 1 12 31111 6 M59 00005 000001*")</f>
        <v>0</v>
      </c>
      <c r="E22" s="54"/>
      <c r="F22" s="83">
        <f>SUMIFS(F23:F345,K23:K345,"0",B23:B345,"1 1 1 2 1 12 31111 6 M59 00005 000001*")</f>
        <v>6519509.0599999996</v>
      </c>
      <c r="G22" s="83">
        <f>SUMIFS(G23:G345,K23:K345,"0",B23:B345,"1 1 1 2 1 12 31111 6 M59 00005 000001*")</f>
        <v>6519509.0599999996</v>
      </c>
      <c r="H22" s="83">
        <f t="shared" si="0"/>
        <v>0</v>
      </c>
      <c r="I22" s="83"/>
      <c r="K22" s="54" t="s">
        <v>15</v>
      </c>
    </row>
    <row r="23" spans="2:11" ht="16.5" x14ac:dyDescent="0.2">
      <c r="B23" s="84" t="s">
        <v>112</v>
      </c>
      <c r="C23" s="84" t="s">
        <v>113</v>
      </c>
      <c r="D23" s="85">
        <v>0</v>
      </c>
      <c r="E23" s="85"/>
      <c r="F23" s="85">
        <v>6519509.0599999996</v>
      </c>
      <c r="G23" s="85">
        <v>6519509.0599999996</v>
      </c>
      <c r="H23" s="85">
        <f t="shared" si="0"/>
        <v>0</v>
      </c>
      <c r="I23" s="85"/>
      <c r="K23" s="54" t="s">
        <v>38</v>
      </c>
    </row>
    <row r="24" spans="2:11" ht="16.5" x14ac:dyDescent="0.2">
      <c r="B24" s="82" t="s">
        <v>118</v>
      </c>
      <c r="C24" s="82" t="s">
        <v>119</v>
      </c>
      <c r="D24" s="83">
        <f>SUMIFS(D25:D345,K25:K345,"0",B25:B345,"1 1 2*")-SUMIFS(E25:E345,K25:K345,"0",B25:B345,"1 1 2*")</f>
        <v>0</v>
      </c>
      <c r="E24" s="54"/>
      <c r="F24" s="83">
        <f>SUMIFS(F25:F345,K25:K345,"0",B25:B345,"1 1 2*")</f>
        <v>1601308.58</v>
      </c>
      <c r="G24" s="83">
        <f>SUMIFS(G25:G345,K25:K345,"0",B25:B345,"1 1 2*")</f>
        <v>1601308.58</v>
      </c>
      <c r="H24" s="83">
        <f t="shared" si="0"/>
        <v>0</v>
      </c>
      <c r="I24" s="83"/>
      <c r="K24" s="54" t="s">
        <v>15</v>
      </c>
    </row>
    <row r="25" spans="2:11" ht="16.5" x14ac:dyDescent="0.2">
      <c r="B25" s="82" t="s">
        <v>120</v>
      </c>
      <c r="C25" s="82" t="s">
        <v>121</v>
      </c>
      <c r="D25" s="83">
        <f>SUMIFS(D26:D345,K26:K345,"0",B26:B345,"1 1 2 2*")-SUMIFS(E26:E345,K26:K345,"0",B26:B345,"1 1 2 2*")</f>
        <v>0</v>
      </c>
      <c r="E25" s="54"/>
      <c r="F25" s="83">
        <f>SUMIFS(F26:F345,K26:K345,"0",B26:B345,"1 1 2 2*")</f>
        <v>1601304.53</v>
      </c>
      <c r="G25" s="83">
        <f>SUMIFS(G26:G345,K26:K345,"0",B26:B345,"1 1 2 2*")</f>
        <v>1601304.53</v>
      </c>
      <c r="H25" s="83">
        <f t="shared" si="0"/>
        <v>0</v>
      </c>
      <c r="I25" s="83"/>
      <c r="K25" s="54" t="s">
        <v>15</v>
      </c>
    </row>
    <row r="26" spans="2:11" ht="24.75" x14ac:dyDescent="0.2">
      <c r="B26" s="82" t="s">
        <v>122</v>
      </c>
      <c r="C26" s="82" t="s">
        <v>123</v>
      </c>
      <c r="D26" s="83">
        <f>SUMIFS(D27:D345,K27:K345,"0",B27:B345,"1 1 2 2 1*")-SUMIFS(E27:E345,K27:K345,"0",B27:B345,"1 1 2 2 1*")</f>
        <v>0</v>
      </c>
      <c r="E26" s="54"/>
      <c r="F26" s="83">
        <f>SUMIFS(F27:F345,K27:K345,"0",B27:B345,"1 1 2 2 1*")</f>
        <v>1601304.53</v>
      </c>
      <c r="G26" s="83">
        <f>SUMIFS(G27:G345,K27:K345,"0",B27:B345,"1 1 2 2 1*")</f>
        <v>1601304.53</v>
      </c>
      <c r="H26" s="83">
        <f t="shared" si="0"/>
        <v>0</v>
      </c>
      <c r="I26" s="83"/>
      <c r="K26" s="54" t="s">
        <v>15</v>
      </c>
    </row>
    <row r="27" spans="2:11" ht="12.75" x14ac:dyDescent="0.2">
      <c r="B27" s="82" t="s">
        <v>124</v>
      </c>
      <c r="C27" s="82" t="s">
        <v>26</v>
      </c>
      <c r="D27" s="83">
        <f>SUMIFS(D28:D345,K28:K345,"0",B28:B345,"1 1 2 2 1 12*")-SUMIFS(E28:E345,K28:K345,"0",B28:B345,"1 1 2 2 1 12*")</f>
        <v>0</v>
      </c>
      <c r="E27" s="54"/>
      <c r="F27" s="83">
        <f>SUMIFS(F28:F345,K28:K345,"0",B28:B345,"1 1 2 2 1 12*")</f>
        <v>1601304.53</v>
      </c>
      <c r="G27" s="83">
        <f>SUMIFS(G28:G345,K28:K345,"0",B28:B345,"1 1 2 2 1 12*")</f>
        <v>1601304.53</v>
      </c>
      <c r="H27" s="83">
        <f t="shared" si="0"/>
        <v>0</v>
      </c>
      <c r="I27" s="83"/>
      <c r="K27" s="54" t="s">
        <v>15</v>
      </c>
    </row>
    <row r="28" spans="2:11" ht="16.5" x14ac:dyDescent="0.2">
      <c r="B28" s="82" t="s">
        <v>125</v>
      </c>
      <c r="C28" s="82" t="s">
        <v>28</v>
      </c>
      <c r="D28" s="83">
        <f>SUMIFS(D29:D345,K29:K345,"0",B29:B345,"1 1 2 2 1 12 31111*")-SUMIFS(E29:E345,K29:K345,"0",B29:B345,"1 1 2 2 1 12 31111*")</f>
        <v>0</v>
      </c>
      <c r="E28" s="54"/>
      <c r="F28" s="83">
        <f>SUMIFS(F29:F345,K29:K345,"0",B29:B345,"1 1 2 2 1 12 31111*")</f>
        <v>1601304.53</v>
      </c>
      <c r="G28" s="83">
        <f>SUMIFS(G29:G345,K29:K345,"0",B29:B345,"1 1 2 2 1 12 31111*")</f>
        <v>1601304.53</v>
      </c>
      <c r="H28" s="83">
        <f t="shared" si="0"/>
        <v>0</v>
      </c>
      <c r="I28" s="83"/>
      <c r="K28" s="54" t="s">
        <v>15</v>
      </c>
    </row>
    <row r="29" spans="2:11" ht="12.75" x14ac:dyDescent="0.2">
      <c r="B29" s="82" t="s">
        <v>126</v>
      </c>
      <c r="C29" s="82" t="s">
        <v>30</v>
      </c>
      <c r="D29" s="83">
        <f>SUMIFS(D30:D345,K30:K345,"0",B30:B345,"1 1 2 2 1 12 31111 6*")-SUMIFS(E30:E345,K30:K345,"0",B30:B345,"1 1 2 2 1 12 31111 6*")</f>
        <v>0</v>
      </c>
      <c r="E29" s="54"/>
      <c r="F29" s="83">
        <f>SUMIFS(F30:F345,K30:K345,"0",B30:B345,"1 1 2 2 1 12 31111 6*")</f>
        <v>1601304.53</v>
      </c>
      <c r="G29" s="83">
        <f>SUMIFS(G30:G345,K30:K345,"0",B30:B345,"1 1 2 2 1 12 31111 6*")</f>
        <v>1601304.53</v>
      </c>
      <c r="H29" s="83">
        <f t="shared" si="0"/>
        <v>0</v>
      </c>
      <c r="I29" s="83"/>
      <c r="K29" s="54" t="s">
        <v>15</v>
      </c>
    </row>
    <row r="30" spans="2:11" ht="12.75" x14ac:dyDescent="0.2">
      <c r="B30" s="82" t="s">
        <v>127</v>
      </c>
      <c r="C30" s="82" t="s">
        <v>32</v>
      </c>
      <c r="D30" s="83">
        <f>SUMIFS(D31:D345,K31:K345,"0",B31:B345,"1 1 2 2 1 12 31111 6 M59*")-SUMIFS(E31:E345,K31:K345,"0",B31:B345,"1 1 2 2 1 12 31111 6 M59*")</f>
        <v>0</v>
      </c>
      <c r="E30" s="54"/>
      <c r="F30" s="83">
        <f>SUMIFS(F31:F345,K31:K345,"0",B31:B345,"1 1 2 2 1 12 31111 6 M59*")</f>
        <v>1601304.53</v>
      </c>
      <c r="G30" s="83">
        <f>SUMIFS(G31:G345,K31:K345,"0",B31:B345,"1 1 2 2 1 12 31111 6 M59*")</f>
        <v>1601304.53</v>
      </c>
      <c r="H30" s="83">
        <f t="shared" si="0"/>
        <v>0</v>
      </c>
      <c r="I30" s="83"/>
      <c r="K30" s="54" t="s">
        <v>15</v>
      </c>
    </row>
    <row r="31" spans="2:11" ht="16.5" x14ac:dyDescent="0.2">
      <c r="B31" s="82" t="s">
        <v>132</v>
      </c>
      <c r="C31" s="82" t="s">
        <v>1075</v>
      </c>
      <c r="D31" s="83">
        <f>SUMIFS(D32:D345,K32:K345,"0",B32:B345,"1 1 2 2 1 12 31111 6 M59 00005*")-SUMIFS(E32:E345,K32:K345,"0",B32:B345,"1 1 2 2 1 12 31111 6 M59 00005*")</f>
        <v>0</v>
      </c>
      <c r="E31" s="54"/>
      <c r="F31" s="83">
        <f>SUMIFS(F32:F345,K32:K345,"0",B32:B345,"1 1 2 2 1 12 31111 6 M59 00005*")</f>
        <v>1601304.53</v>
      </c>
      <c r="G31" s="83">
        <f>SUMIFS(G32:G345,K32:K345,"0",B32:B345,"1 1 2 2 1 12 31111 6 M59 00005*")</f>
        <v>1601304.53</v>
      </c>
      <c r="H31" s="83">
        <f t="shared" si="0"/>
        <v>0</v>
      </c>
      <c r="I31" s="83"/>
      <c r="K31" s="54" t="s">
        <v>15</v>
      </c>
    </row>
    <row r="32" spans="2:11" ht="16.5" x14ac:dyDescent="0.2">
      <c r="B32" s="84" t="s">
        <v>133</v>
      </c>
      <c r="C32" s="84" t="s">
        <v>2777</v>
      </c>
      <c r="D32" s="85">
        <v>0</v>
      </c>
      <c r="E32" s="85"/>
      <c r="F32" s="85">
        <v>1601304.53</v>
      </c>
      <c r="G32" s="85">
        <v>1601304.53</v>
      </c>
      <c r="H32" s="85">
        <f t="shared" si="0"/>
        <v>0</v>
      </c>
      <c r="I32" s="85"/>
      <c r="K32" s="54" t="s">
        <v>38</v>
      </c>
    </row>
    <row r="33" spans="2:11" ht="16.5" x14ac:dyDescent="0.2">
      <c r="B33" s="82" t="s">
        <v>207</v>
      </c>
      <c r="C33" s="82" t="s">
        <v>208</v>
      </c>
      <c r="D33" s="83">
        <f>SUMIFS(D34:D345,K34:K345,"0",B34:B345,"1 1 2 4*")-SUMIFS(E34:E345,K34:K345,"0",B34:B345,"1 1 2 4*")</f>
        <v>0</v>
      </c>
      <c r="E33" s="54"/>
      <c r="F33" s="83">
        <f>SUMIFS(F34:F345,K34:K345,"0",B34:B345,"1 1 2 4*")</f>
        <v>4.05</v>
      </c>
      <c r="G33" s="83">
        <f>SUMIFS(G34:G345,K34:K345,"0",B34:B345,"1 1 2 4*")</f>
        <v>4.05</v>
      </c>
      <c r="H33" s="83">
        <f t="shared" si="0"/>
        <v>0</v>
      </c>
      <c r="I33" s="83"/>
      <c r="K33" s="54" t="s">
        <v>15</v>
      </c>
    </row>
    <row r="34" spans="2:11" ht="12.75" x14ac:dyDescent="0.2">
      <c r="B34" s="82" t="s">
        <v>235</v>
      </c>
      <c r="C34" s="82" t="s">
        <v>236</v>
      </c>
      <c r="D34" s="83">
        <f>SUMIFS(D35:D345,K35:K345,"0",B35:B345,"1 1 2 4 4*")-SUMIFS(E35:E345,K35:K345,"0",B35:B345,"1 1 2 4 4*")</f>
        <v>0</v>
      </c>
      <c r="E34" s="54"/>
      <c r="F34" s="83">
        <f>SUMIFS(F35:F345,K35:K345,"0",B35:B345,"1 1 2 4 4*")</f>
        <v>4.05</v>
      </c>
      <c r="G34" s="83">
        <f>SUMIFS(G35:G345,K35:K345,"0",B35:B345,"1 1 2 4 4*")</f>
        <v>4.05</v>
      </c>
      <c r="H34" s="83">
        <f t="shared" si="0"/>
        <v>0</v>
      </c>
      <c r="I34" s="83"/>
      <c r="K34" s="54" t="s">
        <v>15</v>
      </c>
    </row>
    <row r="35" spans="2:11" ht="12.75" x14ac:dyDescent="0.2">
      <c r="B35" s="82" t="s">
        <v>237</v>
      </c>
      <c r="C35" s="82" t="s">
        <v>26</v>
      </c>
      <c r="D35" s="83">
        <f>SUMIFS(D36:D345,K36:K345,"0",B36:B345,"1 1 2 4 4 12*")-SUMIFS(E36:E345,K36:K345,"0",B36:B345,"1 1 2 4 4 12*")</f>
        <v>0</v>
      </c>
      <c r="E35" s="54"/>
      <c r="F35" s="83">
        <f>SUMIFS(F36:F345,K36:K345,"0",B36:B345,"1 1 2 4 4 12*")</f>
        <v>4.05</v>
      </c>
      <c r="G35" s="83">
        <f>SUMIFS(G36:G345,K36:K345,"0",B36:B345,"1 1 2 4 4 12*")</f>
        <v>4.05</v>
      </c>
      <c r="H35" s="83">
        <f t="shared" si="0"/>
        <v>0</v>
      </c>
      <c r="I35" s="83"/>
      <c r="K35" s="54" t="s">
        <v>15</v>
      </c>
    </row>
    <row r="36" spans="2:11" ht="16.5" x14ac:dyDescent="0.2">
      <c r="B36" s="82" t="s">
        <v>238</v>
      </c>
      <c r="C36" s="82" t="s">
        <v>28</v>
      </c>
      <c r="D36" s="83">
        <f>SUMIFS(D37:D345,K37:K345,"0",B37:B345,"1 1 2 4 4 12 31111*")-SUMIFS(E37:E345,K37:K345,"0",B37:B345,"1 1 2 4 4 12 31111*")</f>
        <v>0</v>
      </c>
      <c r="E36" s="54"/>
      <c r="F36" s="83">
        <f>SUMIFS(F37:F345,K37:K345,"0",B37:B345,"1 1 2 4 4 12 31111*")</f>
        <v>4.05</v>
      </c>
      <c r="G36" s="83">
        <f>SUMIFS(G37:G345,K37:K345,"0",B37:B345,"1 1 2 4 4 12 31111*")</f>
        <v>4.05</v>
      </c>
      <c r="H36" s="83">
        <f t="shared" si="0"/>
        <v>0</v>
      </c>
      <c r="I36" s="83"/>
      <c r="K36" s="54" t="s">
        <v>15</v>
      </c>
    </row>
    <row r="37" spans="2:11" ht="12.75" x14ac:dyDescent="0.2">
      <c r="B37" s="82" t="s">
        <v>239</v>
      </c>
      <c r="C37" s="82" t="s">
        <v>30</v>
      </c>
      <c r="D37" s="83">
        <f>SUMIFS(D38:D345,K38:K345,"0",B38:B345,"1 1 2 4 4 12 31111 6*")-SUMIFS(E38:E345,K38:K345,"0",B38:B345,"1 1 2 4 4 12 31111 6*")</f>
        <v>0</v>
      </c>
      <c r="E37" s="54"/>
      <c r="F37" s="83">
        <f>SUMIFS(F38:F345,K38:K345,"0",B38:B345,"1 1 2 4 4 12 31111 6*")</f>
        <v>4.05</v>
      </c>
      <c r="G37" s="83">
        <f>SUMIFS(G38:G345,K38:K345,"0",B38:B345,"1 1 2 4 4 12 31111 6*")</f>
        <v>4.05</v>
      </c>
      <c r="H37" s="83">
        <f t="shared" si="0"/>
        <v>0</v>
      </c>
      <c r="I37" s="83"/>
      <c r="K37" s="54" t="s">
        <v>15</v>
      </c>
    </row>
    <row r="38" spans="2:11" ht="16.5" x14ac:dyDescent="0.2">
      <c r="B38" s="82" t="s">
        <v>240</v>
      </c>
      <c r="C38" s="82" t="s">
        <v>32</v>
      </c>
      <c r="D38" s="83">
        <f>SUMIFS(D39:D345,K39:K345,"0",B39:B345,"1 1 2 4 4 12 31111 6 M59*")-SUMIFS(E39:E345,K39:K345,"0",B39:B345,"1 1 2 4 4 12 31111 6 M59*")</f>
        <v>0</v>
      </c>
      <c r="E38" s="54"/>
      <c r="F38" s="83">
        <f>SUMIFS(F39:F345,K39:K345,"0",B39:B345,"1 1 2 4 4 12 31111 6 M59*")</f>
        <v>4.05</v>
      </c>
      <c r="G38" s="83">
        <f>SUMIFS(G39:G345,K39:K345,"0",B39:B345,"1 1 2 4 4 12 31111 6 M59*")</f>
        <v>4.05</v>
      </c>
      <c r="H38" s="83">
        <f t="shared" si="0"/>
        <v>0</v>
      </c>
      <c r="I38" s="83"/>
      <c r="K38" s="54" t="s">
        <v>15</v>
      </c>
    </row>
    <row r="39" spans="2:11" ht="16.5" x14ac:dyDescent="0.2">
      <c r="B39" s="82" t="s">
        <v>249</v>
      </c>
      <c r="C39" s="82" t="s">
        <v>10200</v>
      </c>
      <c r="D39" s="83">
        <f>SUMIFS(D40:D345,K40:K345,"0",B40:B345,"1 1 2 4 4 12 31111 6 M59 00005*")-SUMIFS(E40:E345,K40:K345,"0",B40:B345,"1 1 2 4 4 12 31111 6 M59 00005*")</f>
        <v>0</v>
      </c>
      <c r="E39" s="54"/>
      <c r="F39" s="83">
        <f>SUMIFS(F40:F345,K40:K345,"0",B40:B345,"1 1 2 4 4 12 31111 6 M59 00005*")</f>
        <v>4.05</v>
      </c>
      <c r="G39" s="83">
        <f>SUMIFS(G40:G345,K40:K345,"0",B40:B345,"1 1 2 4 4 12 31111 6 M59 00005*")</f>
        <v>4.05</v>
      </c>
      <c r="H39" s="83">
        <f t="shared" si="0"/>
        <v>0</v>
      </c>
      <c r="I39" s="83"/>
      <c r="K39" s="54" t="s">
        <v>15</v>
      </c>
    </row>
    <row r="40" spans="2:11" ht="16.5" x14ac:dyDescent="0.2">
      <c r="B40" s="82" t="s">
        <v>250</v>
      </c>
      <c r="C40" s="82" t="s">
        <v>236</v>
      </c>
      <c r="D40" s="83">
        <f>SUMIFS(D41:D345,K41:K345,"0",B41:B345,"1 1 2 4 4 12 31111 6 M59 00005 000001*")-SUMIFS(E41:E345,K41:K345,"0",B41:B345,"1 1 2 4 4 12 31111 6 M59 00005 000001*")</f>
        <v>0</v>
      </c>
      <c r="E40" s="54"/>
      <c r="F40" s="83">
        <f>SUMIFS(F41:F345,K41:K345,"0",B41:B345,"1 1 2 4 4 12 31111 6 M59 00005 000001*")</f>
        <v>4.05</v>
      </c>
      <c r="G40" s="83">
        <f>SUMIFS(G41:G345,K41:K345,"0",B41:B345,"1 1 2 4 4 12 31111 6 M59 00005 000001*")</f>
        <v>4.05</v>
      </c>
      <c r="H40" s="83">
        <f t="shared" si="0"/>
        <v>0</v>
      </c>
      <c r="I40" s="83"/>
      <c r="K40" s="54" t="s">
        <v>15</v>
      </c>
    </row>
    <row r="41" spans="2:11" ht="16.5" x14ac:dyDescent="0.2">
      <c r="B41" s="84" t="s">
        <v>251</v>
      </c>
      <c r="C41" s="84" t="s">
        <v>252</v>
      </c>
      <c r="D41" s="85">
        <v>0</v>
      </c>
      <c r="E41" s="85"/>
      <c r="F41" s="85">
        <v>4.05</v>
      </c>
      <c r="G41" s="85">
        <v>4.05</v>
      </c>
      <c r="H41" s="85">
        <f t="shared" si="0"/>
        <v>0</v>
      </c>
      <c r="I41" s="85"/>
      <c r="K41" s="54" t="s">
        <v>38</v>
      </c>
    </row>
    <row r="42" spans="2:11" ht="16.5" x14ac:dyDescent="0.2">
      <c r="B42" s="82" t="s">
        <v>376</v>
      </c>
      <c r="C42" s="82" t="s">
        <v>377</v>
      </c>
      <c r="D42" s="83">
        <f>SUMIFS(D43:D345,K43:K345,"0",B43:B345,"1 1 3*")-SUMIFS(E43:E345,K43:K345,"0",B43:B345,"1 1 3*")</f>
        <v>160334.21000000002</v>
      </c>
      <c r="E42" s="54"/>
      <c r="F42" s="83">
        <f>SUMIFS(F43:F345,K43:K345,"0",B43:B345,"1 1 3*")</f>
        <v>156446.97</v>
      </c>
      <c r="G42" s="83">
        <f>SUMIFS(G43:G345,K43:K345,"0",B43:B345,"1 1 3*")</f>
        <v>156446.97</v>
      </c>
      <c r="H42" s="83">
        <f t="shared" si="0"/>
        <v>160334.21000000005</v>
      </c>
      <c r="I42" s="83"/>
      <c r="K42" s="54" t="s">
        <v>15</v>
      </c>
    </row>
    <row r="43" spans="2:11" ht="33" x14ac:dyDescent="0.2">
      <c r="B43" s="82" t="s">
        <v>378</v>
      </c>
      <c r="C43" s="82" t="s">
        <v>379</v>
      </c>
      <c r="D43" s="83">
        <f>SUMIFS(D44:D345,K44:K345,"0",B44:B345,"1 1 3 1*")-SUMIFS(E44:E345,K44:K345,"0",B44:B345,"1 1 3 1*")</f>
        <v>160334.21000000002</v>
      </c>
      <c r="E43" s="54"/>
      <c r="F43" s="83">
        <f>SUMIFS(F44:F345,K44:K345,"0",B44:B345,"1 1 3 1*")</f>
        <v>156446.97</v>
      </c>
      <c r="G43" s="83">
        <f>SUMIFS(G44:G345,K44:K345,"0",B44:B345,"1 1 3 1*")</f>
        <v>156446.97</v>
      </c>
      <c r="H43" s="83">
        <f t="shared" si="0"/>
        <v>160334.21000000005</v>
      </c>
      <c r="I43" s="83"/>
      <c r="K43" s="54" t="s">
        <v>15</v>
      </c>
    </row>
    <row r="44" spans="2:11" ht="33" x14ac:dyDescent="0.2">
      <c r="B44" s="82" t="s">
        <v>380</v>
      </c>
      <c r="C44" s="82" t="s">
        <v>379</v>
      </c>
      <c r="D44" s="83">
        <f>SUMIFS(D45:D345,K45:K345,"0",B45:B345,"1 1 3 1 1*")-SUMIFS(E45:E345,K45:K345,"0",B45:B345,"1 1 3 1 1*")</f>
        <v>160334.21000000002</v>
      </c>
      <c r="E44" s="54"/>
      <c r="F44" s="83">
        <f>SUMIFS(F45:F345,K45:K345,"0",B45:B345,"1 1 3 1 1*")</f>
        <v>156446.97</v>
      </c>
      <c r="G44" s="83">
        <f>SUMIFS(G45:G345,K45:K345,"0",B45:B345,"1 1 3 1 1*")</f>
        <v>156446.97</v>
      </c>
      <c r="H44" s="83">
        <f t="shared" si="0"/>
        <v>160334.21000000005</v>
      </c>
      <c r="I44" s="83"/>
      <c r="K44" s="54" t="s">
        <v>15</v>
      </c>
    </row>
    <row r="45" spans="2:11" ht="12.75" x14ac:dyDescent="0.2">
      <c r="B45" s="82" t="s">
        <v>381</v>
      </c>
      <c r="C45" s="82" t="s">
        <v>26</v>
      </c>
      <c r="D45" s="83">
        <f>SUMIFS(D46:D345,K46:K345,"0",B46:B345,"1 1 3 1 1 12*")-SUMIFS(E46:E345,K46:K345,"0",B46:B345,"1 1 3 1 1 12*")</f>
        <v>160334.21000000002</v>
      </c>
      <c r="E45" s="54"/>
      <c r="F45" s="83">
        <f>SUMIFS(F46:F345,K46:K345,"0",B46:B345,"1 1 3 1 1 12*")</f>
        <v>156446.97</v>
      </c>
      <c r="G45" s="83">
        <f>SUMIFS(G46:G345,K46:K345,"0",B46:B345,"1 1 3 1 1 12*")</f>
        <v>156446.97</v>
      </c>
      <c r="H45" s="83">
        <f t="shared" si="0"/>
        <v>160334.21000000005</v>
      </c>
      <c r="I45" s="83"/>
      <c r="K45" s="54" t="s">
        <v>15</v>
      </c>
    </row>
    <row r="46" spans="2:11" ht="16.5" x14ac:dyDescent="0.2">
      <c r="B46" s="82" t="s">
        <v>382</v>
      </c>
      <c r="C46" s="82" t="s">
        <v>28</v>
      </c>
      <c r="D46" s="83">
        <f>SUMIFS(D47:D345,K47:K345,"0",B47:B345,"1 1 3 1 1 12 31111*")-SUMIFS(E47:E345,K47:K345,"0",B47:B345,"1 1 3 1 1 12 31111*")</f>
        <v>160334.21000000002</v>
      </c>
      <c r="E46" s="54"/>
      <c r="F46" s="83">
        <f>SUMIFS(F47:F345,K47:K345,"0",B47:B345,"1 1 3 1 1 12 31111*")</f>
        <v>156446.97</v>
      </c>
      <c r="G46" s="83">
        <f>SUMIFS(G47:G345,K47:K345,"0",B47:B345,"1 1 3 1 1 12 31111*")</f>
        <v>156446.97</v>
      </c>
      <c r="H46" s="83">
        <f t="shared" si="0"/>
        <v>160334.21000000005</v>
      </c>
      <c r="I46" s="83"/>
      <c r="K46" s="54" t="s">
        <v>15</v>
      </c>
    </row>
    <row r="47" spans="2:11" ht="12.75" x14ac:dyDescent="0.2">
      <c r="B47" s="82" t="s">
        <v>383</v>
      </c>
      <c r="C47" s="82" t="s">
        <v>30</v>
      </c>
      <c r="D47" s="83">
        <f>SUMIFS(D48:D345,K48:K345,"0",B48:B345,"1 1 3 1 1 12 31111 6*")-SUMIFS(E48:E345,K48:K345,"0",B48:B345,"1 1 3 1 1 12 31111 6*")</f>
        <v>160334.21000000002</v>
      </c>
      <c r="E47" s="54"/>
      <c r="F47" s="83">
        <f>SUMIFS(F48:F345,K48:K345,"0",B48:B345,"1 1 3 1 1 12 31111 6*")</f>
        <v>156446.97</v>
      </c>
      <c r="G47" s="83">
        <f>SUMIFS(G48:G345,K48:K345,"0",B48:B345,"1 1 3 1 1 12 31111 6*")</f>
        <v>156446.97</v>
      </c>
      <c r="H47" s="83">
        <f t="shared" si="0"/>
        <v>160334.21000000005</v>
      </c>
      <c r="I47" s="83"/>
      <c r="K47" s="54" t="s">
        <v>15</v>
      </c>
    </row>
    <row r="48" spans="2:11" ht="12.75" x14ac:dyDescent="0.2">
      <c r="B48" s="82" t="s">
        <v>384</v>
      </c>
      <c r="C48" s="82" t="s">
        <v>32</v>
      </c>
      <c r="D48" s="83">
        <f>SUMIFS(D49:D345,K49:K345,"0",B49:B345,"1 1 3 1 1 12 31111 6 M59*")-SUMIFS(E49:E345,K49:K345,"0",B49:B345,"1 1 3 1 1 12 31111 6 M59*")</f>
        <v>160334.21000000002</v>
      </c>
      <c r="E48" s="54"/>
      <c r="F48" s="83">
        <f>SUMIFS(F49:F345,K49:K345,"0",B49:B345,"1 1 3 1 1 12 31111 6 M59*")</f>
        <v>156446.97</v>
      </c>
      <c r="G48" s="83">
        <f>SUMIFS(G49:G345,K49:K345,"0",B49:B345,"1 1 3 1 1 12 31111 6 M59*")</f>
        <v>156446.97</v>
      </c>
      <c r="H48" s="83">
        <f t="shared" si="0"/>
        <v>160334.21000000005</v>
      </c>
      <c r="I48" s="83"/>
      <c r="K48" s="54" t="s">
        <v>15</v>
      </c>
    </row>
    <row r="49" spans="2:11" ht="16.5" x14ac:dyDescent="0.2">
      <c r="B49" s="82" t="s">
        <v>462</v>
      </c>
      <c r="C49" s="82" t="s">
        <v>1075</v>
      </c>
      <c r="D49" s="83">
        <f>SUMIFS(D50:D345,K50:K345,"0",B50:B345,"1 1 3 1 1 12 31111 6 M59 00005*")-SUMIFS(E50:E345,K50:K345,"0",B50:B345,"1 1 3 1 1 12 31111 6 M59 00005*")</f>
        <v>160334.21000000002</v>
      </c>
      <c r="E49" s="54"/>
      <c r="F49" s="83">
        <f>SUMIFS(F50:F345,K50:K345,"0",B50:B345,"1 1 3 1 1 12 31111 6 M59 00005*")</f>
        <v>156446.97</v>
      </c>
      <c r="G49" s="83">
        <f>SUMIFS(G50:G345,K50:K345,"0",B50:B345,"1 1 3 1 1 12 31111 6 M59 00005*")</f>
        <v>156446.97</v>
      </c>
      <c r="H49" s="83">
        <f t="shared" si="0"/>
        <v>160334.21000000005</v>
      </c>
      <c r="I49" s="83"/>
      <c r="K49" s="54" t="s">
        <v>15</v>
      </c>
    </row>
    <row r="50" spans="2:11" ht="16.5" x14ac:dyDescent="0.2">
      <c r="B50" s="84" t="s">
        <v>463</v>
      </c>
      <c r="C50" s="84" t="s">
        <v>464</v>
      </c>
      <c r="D50" s="85">
        <v>0</v>
      </c>
      <c r="E50" s="85"/>
      <c r="F50" s="85">
        <v>156446.97</v>
      </c>
      <c r="G50" s="85">
        <v>0</v>
      </c>
      <c r="H50" s="85">
        <f t="shared" si="0"/>
        <v>156446.97</v>
      </c>
      <c r="I50" s="85"/>
      <c r="K50" s="54" t="s">
        <v>38</v>
      </c>
    </row>
    <row r="51" spans="2:11" ht="16.5" x14ac:dyDescent="0.2">
      <c r="B51" s="84" t="s">
        <v>465</v>
      </c>
      <c r="C51" s="84" t="s">
        <v>387</v>
      </c>
      <c r="D51" s="85">
        <v>0</v>
      </c>
      <c r="E51" s="85"/>
      <c r="F51" s="85">
        <v>0</v>
      </c>
      <c r="G51" s="85">
        <v>156446.97</v>
      </c>
      <c r="H51" s="85">
        <f t="shared" si="0"/>
        <v>-156446.97</v>
      </c>
      <c r="I51" s="85"/>
      <c r="K51" s="54" t="s">
        <v>38</v>
      </c>
    </row>
    <row r="52" spans="2:11" ht="16.5" x14ac:dyDescent="0.2">
      <c r="B52" s="84" t="s">
        <v>466</v>
      </c>
      <c r="C52" s="84" t="s">
        <v>396</v>
      </c>
      <c r="D52" s="85">
        <v>83235.38</v>
      </c>
      <c r="E52" s="85"/>
      <c r="F52" s="85">
        <v>0</v>
      </c>
      <c r="G52" s="85">
        <v>0</v>
      </c>
      <c r="H52" s="85">
        <f t="shared" si="0"/>
        <v>83235.38</v>
      </c>
      <c r="I52" s="85"/>
      <c r="K52" s="54" t="s">
        <v>38</v>
      </c>
    </row>
    <row r="53" spans="2:11" ht="16.5" x14ac:dyDescent="0.2">
      <c r="B53" s="84" t="s">
        <v>467</v>
      </c>
      <c r="C53" s="84" t="s">
        <v>468</v>
      </c>
      <c r="D53" s="85">
        <v>77098.83</v>
      </c>
      <c r="E53" s="85"/>
      <c r="F53" s="85">
        <v>0</v>
      </c>
      <c r="G53" s="85">
        <v>0</v>
      </c>
      <c r="H53" s="85">
        <f t="shared" si="0"/>
        <v>77098.83</v>
      </c>
      <c r="I53" s="85"/>
      <c r="K53" s="54" t="s">
        <v>38</v>
      </c>
    </row>
    <row r="54" spans="2:11" ht="12.75" x14ac:dyDescent="0.2">
      <c r="B54" s="82" t="s">
        <v>585</v>
      </c>
      <c r="C54" s="82" t="s">
        <v>586</v>
      </c>
      <c r="D54" s="83">
        <f>SUMIFS(D55:D345,K55:K345,"0",B55:B345,"1 2*")-SUMIFS(E55:E345,K55:K345,"0",B55:B345,"1 2*")</f>
        <v>0</v>
      </c>
      <c r="E54" s="54"/>
      <c r="F54" s="83">
        <f>SUMIFS(F55:F345,K55:K345,"0",B55:B345,"1 2*")</f>
        <v>146249.99</v>
      </c>
      <c r="G54" s="83">
        <f>SUMIFS(G55:G345,K55:K345,"0",B55:B345,"1 2*")</f>
        <v>0</v>
      </c>
      <c r="H54" s="83">
        <f t="shared" si="0"/>
        <v>146249.99</v>
      </c>
      <c r="I54" s="83"/>
      <c r="K54" s="54" t="s">
        <v>15</v>
      </c>
    </row>
    <row r="55" spans="2:11" ht="12.75" x14ac:dyDescent="0.2">
      <c r="B55" s="82" t="s">
        <v>971</v>
      </c>
      <c r="C55" s="82" t="s">
        <v>972</v>
      </c>
      <c r="D55" s="83">
        <f>SUMIFS(D56:D345,K56:K345,"0",B56:B345,"1 2 4*")-SUMIFS(E56:E345,K56:K345,"0",B56:B345,"1 2 4*")</f>
        <v>0</v>
      </c>
      <c r="E55" s="54"/>
      <c r="F55" s="83">
        <f>SUMIFS(F56:F345,K56:K345,"0",B56:B345,"1 2 4*")</f>
        <v>146249.99</v>
      </c>
      <c r="G55" s="83">
        <f>SUMIFS(G56:G345,K56:K345,"0",B56:B345,"1 2 4*")</f>
        <v>0</v>
      </c>
      <c r="H55" s="83">
        <f t="shared" si="0"/>
        <v>146249.99</v>
      </c>
      <c r="I55" s="83"/>
      <c r="K55" s="54" t="s">
        <v>15</v>
      </c>
    </row>
    <row r="56" spans="2:11" ht="16.5" x14ac:dyDescent="0.2">
      <c r="B56" s="82" t="s">
        <v>973</v>
      </c>
      <c r="C56" s="82" t="s">
        <v>974</v>
      </c>
      <c r="D56" s="83">
        <f>SUMIFS(D57:D345,K57:K345,"0",B57:B345,"1 2 4 1*")-SUMIFS(E57:E345,K57:K345,"0",B57:B345,"1 2 4 1*")</f>
        <v>0</v>
      </c>
      <c r="E56" s="54"/>
      <c r="F56" s="83">
        <f>SUMIFS(F57:F345,K57:K345,"0",B57:B345,"1 2 4 1*")</f>
        <v>146249.99</v>
      </c>
      <c r="G56" s="83">
        <f>SUMIFS(G57:G345,K57:K345,"0",B57:B345,"1 2 4 1*")</f>
        <v>0</v>
      </c>
      <c r="H56" s="83">
        <f t="shared" si="0"/>
        <v>146249.99</v>
      </c>
      <c r="I56" s="83"/>
      <c r="K56" s="54" t="s">
        <v>15</v>
      </c>
    </row>
    <row r="57" spans="2:11" ht="24.75" x14ac:dyDescent="0.2">
      <c r="B57" s="82" t="s">
        <v>1013</v>
      </c>
      <c r="C57" s="82" t="s">
        <v>1014</v>
      </c>
      <c r="D57" s="83">
        <f>SUMIFS(D58:D345,K58:K345,"0",B58:B345,"1 2 4 1 3*")-SUMIFS(E58:E345,K58:K345,"0",B58:B345,"1 2 4 1 3*")</f>
        <v>0</v>
      </c>
      <c r="E57" s="54"/>
      <c r="F57" s="83">
        <f>SUMIFS(F58:F345,K58:K345,"0",B58:B345,"1 2 4 1 3*")</f>
        <v>146249.99</v>
      </c>
      <c r="G57" s="83">
        <f>SUMIFS(G58:G345,K58:K345,"0",B58:B345,"1 2 4 1 3*")</f>
        <v>0</v>
      </c>
      <c r="H57" s="83">
        <f t="shared" si="0"/>
        <v>146249.99</v>
      </c>
      <c r="I57" s="83"/>
      <c r="K57" s="54" t="s">
        <v>15</v>
      </c>
    </row>
    <row r="58" spans="2:11" ht="12.75" x14ac:dyDescent="0.2">
      <c r="B58" s="82" t="s">
        <v>1015</v>
      </c>
      <c r="C58" s="82" t="s">
        <v>26</v>
      </c>
      <c r="D58" s="83">
        <f>SUMIFS(D59:D345,K59:K345,"0",B59:B345,"1 2 4 1 3 12*")-SUMIFS(E59:E345,K59:K345,"0",B59:B345,"1 2 4 1 3 12*")</f>
        <v>0</v>
      </c>
      <c r="E58" s="54"/>
      <c r="F58" s="83">
        <f>SUMIFS(F59:F345,K59:K345,"0",B59:B345,"1 2 4 1 3 12*")</f>
        <v>146249.99</v>
      </c>
      <c r="G58" s="83">
        <f>SUMIFS(G59:G345,K59:K345,"0",B59:B345,"1 2 4 1 3 12*")</f>
        <v>0</v>
      </c>
      <c r="H58" s="83">
        <f t="shared" si="0"/>
        <v>146249.99</v>
      </c>
      <c r="I58" s="83"/>
      <c r="K58" s="54" t="s">
        <v>15</v>
      </c>
    </row>
    <row r="59" spans="2:11" ht="16.5" x14ac:dyDescent="0.2">
      <c r="B59" s="82" t="s">
        <v>1016</v>
      </c>
      <c r="C59" s="82" t="s">
        <v>28</v>
      </c>
      <c r="D59" s="83">
        <f>SUMIFS(D60:D345,K60:K345,"0",B60:B345,"1 2 4 1 3 12 31111*")-SUMIFS(E60:E345,K60:K345,"0",B60:B345,"1 2 4 1 3 12 31111*")</f>
        <v>0</v>
      </c>
      <c r="E59" s="54"/>
      <c r="F59" s="83">
        <f>SUMIFS(F60:F345,K60:K345,"0",B60:B345,"1 2 4 1 3 12 31111*")</f>
        <v>146249.99</v>
      </c>
      <c r="G59" s="83">
        <f>SUMIFS(G60:G345,K60:K345,"0",B60:B345,"1 2 4 1 3 12 31111*")</f>
        <v>0</v>
      </c>
      <c r="H59" s="83">
        <f t="shared" si="0"/>
        <v>146249.99</v>
      </c>
      <c r="I59" s="83"/>
      <c r="K59" s="54" t="s">
        <v>15</v>
      </c>
    </row>
    <row r="60" spans="2:11" ht="12.75" x14ac:dyDescent="0.2">
      <c r="B60" s="82" t="s">
        <v>1017</v>
      </c>
      <c r="C60" s="82" t="s">
        <v>30</v>
      </c>
      <c r="D60" s="83">
        <f>SUMIFS(D61:D345,K61:K345,"0",B61:B345,"1 2 4 1 3 12 31111 6*")-SUMIFS(E61:E345,K61:K345,"0",B61:B345,"1 2 4 1 3 12 31111 6*")</f>
        <v>0</v>
      </c>
      <c r="E60" s="54"/>
      <c r="F60" s="83">
        <f>SUMIFS(F61:F345,K61:K345,"0",B61:B345,"1 2 4 1 3 12 31111 6*")</f>
        <v>146249.99</v>
      </c>
      <c r="G60" s="83">
        <f>SUMIFS(G61:G345,K61:K345,"0",B61:B345,"1 2 4 1 3 12 31111 6*")</f>
        <v>0</v>
      </c>
      <c r="H60" s="83">
        <f t="shared" si="0"/>
        <v>146249.99</v>
      </c>
      <c r="I60" s="83"/>
      <c r="K60" s="54" t="s">
        <v>15</v>
      </c>
    </row>
    <row r="61" spans="2:11" ht="16.5" x14ac:dyDescent="0.2">
      <c r="B61" s="82" t="s">
        <v>1018</v>
      </c>
      <c r="C61" s="82" t="s">
        <v>42</v>
      </c>
      <c r="D61" s="83">
        <f>SUMIFS(D62:D345,K62:K345,"0",B62:B345,"1 2 4 1 3 12 31111 6 M59*")-SUMIFS(E62:E345,K62:K345,"0",B62:B345,"1 2 4 1 3 12 31111 6 M59*")</f>
        <v>0</v>
      </c>
      <c r="E61" s="54"/>
      <c r="F61" s="83">
        <f>SUMIFS(F62:F345,K62:K345,"0",B62:B345,"1 2 4 1 3 12 31111 6 M59*")</f>
        <v>146249.99</v>
      </c>
      <c r="G61" s="83">
        <f>SUMIFS(G62:G345,K62:K345,"0",B62:B345,"1 2 4 1 3 12 31111 6 M59*")</f>
        <v>0</v>
      </c>
      <c r="H61" s="83">
        <f t="shared" si="0"/>
        <v>146249.99</v>
      </c>
      <c r="I61" s="83"/>
      <c r="K61" s="54" t="s">
        <v>15</v>
      </c>
    </row>
    <row r="62" spans="2:11" ht="16.5" x14ac:dyDescent="0.2">
      <c r="B62" s="82" t="s">
        <v>1060</v>
      </c>
      <c r="C62" s="82" t="s">
        <v>1061</v>
      </c>
      <c r="D62" s="83">
        <f>SUMIFS(D63:D345,K63:K345,"0",B63:B345,"1 2 4 1 3 12 31111 6 M59 20300*")-SUMIFS(E63:E345,K63:K345,"0",B63:B345,"1 2 4 1 3 12 31111 6 M59 20300*")</f>
        <v>0</v>
      </c>
      <c r="E62" s="54"/>
      <c r="F62" s="83">
        <f>SUMIFS(F63:F345,K63:K345,"0",B63:B345,"1 2 4 1 3 12 31111 6 M59 20300*")</f>
        <v>146249.99</v>
      </c>
      <c r="G62" s="83">
        <f>SUMIFS(G63:G345,K63:K345,"0",B63:B345,"1 2 4 1 3 12 31111 6 M59 20300*")</f>
        <v>0</v>
      </c>
      <c r="H62" s="83">
        <f t="shared" si="0"/>
        <v>146249.99</v>
      </c>
      <c r="I62" s="83"/>
      <c r="K62" s="54" t="s">
        <v>15</v>
      </c>
    </row>
    <row r="63" spans="2:11" ht="16.5" x14ac:dyDescent="0.2">
      <c r="B63" s="82" t="s">
        <v>1062</v>
      </c>
      <c r="C63" s="82" t="s">
        <v>1063</v>
      </c>
      <c r="D63" s="83">
        <f>SUMIFS(D64:D345,K64:K345,"0",B64:B345,"1 2 4 1 3 12 31111 6 M59 20300 000139*")-SUMIFS(E64:E345,K64:K345,"0",B64:B345,"1 2 4 1 3 12 31111 6 M59 20300 000139*")</f>
        <v>0</v>
      </c>
      <c r="E63" s="54"/>
      <c r="F63" s="83">
        <f>SUMIFS(F64:F345,K64:K345,"0",B64:B345,"1 2 4 1 3 12 31111 6 M59 20300 000139*")</f>
        <v>146249.99</v>
      </c>
      <c r="G63" s="83">
        <f>SUMIFS(G64:G345,K64:K345,"0",B64:B345,"1 2 4 1 3 12 31111 6 M59 20300 000139*")</f>
        <v>0</v>
      </c>
      <c r="H63" s="83">
        <f t="shared" si="0"/>
        <v>146249.99</v>
      </c>
      <c r="I63" s="83"/>
      <c r="K63" s="54" t="s">
        <v>15</v>
      </c>
    </row>
    <row r="64" spans="2:11" ht="24.75" x14ac:dyDescent="0.2">
      <c r="B64" s="82" t="s">
        <v>1064</v>
      </c>
      <c r="C64" s="82" t="s">
        <v>1065</v>
      </c>
      <c r="D64" s="83">
        <f>SUMIFS(D65:D345,K65:K345,"0",B65:B345,"1 2 4 1 3 12 31111 6 M59 20300 000139 0000E*")-SUMIFS(E65:E345,K65:K345,"0",B65:B345,"1 2 4 1 3 12 31111 6 M59 20300 000139 0000E*")</f>
        <v>0</v>
      </c>
      <c r="E64" s="54"/>
      <c r="F64" s="83">
        <f>SUMIFS(F65:F345,K65:K345,"0",B65:B345,"1 2 4 1 3 12 31111 6 M59 20300 000139 0000E*")</f>
        <v>146249.99</v>
      </c>
      <c r="G64" s="83">
        <f>SUMIFS(G65:G345,K65:K345,"0",B65:B345,"1 2 4 1 3 12 31111 6 M59 20300 000139 0000E*")</f>
        <v>0</v>
      </c>
      <c r="H64" s="83">
        <f t="shared" si="0"/>
        <v>146249.99</v>
      </c>
      <c r="I64" s="83"/>
      <c r="K64" s="54" t="s">
        <v>15</v>
      </c>
    </row>
    <row r="65" spans="2:11" ht="24.75" x14ac:dyDescent="0.2">
      <c r="B65" s="82" t="s">
        <v>1066</v>
      </c>
      <c r="C65" s="82" t="s">
        <v>652</v>
      </c>
      <c r="D65" s="83">
        <f>SUMIFS(D66:D345,K66:K345,"0",B66:B345,"1 2 4 1 3 12 31111 6 M59 20300 000139 0000E 00002*")-SUMIFS(E66:E345,K66:K345,"0",B66:B345,"1 2 4 1 3 12 31111 6 M59 20300 000139 0000E 00002*")</f>
        <v>0</v>
      </c>
      <c r="E65" s="54"/>
      <c r="F65" s="83">
        <f>SUMIFS(F66:F345,K66:K345,"0",B66:B345,"1 2 4 1 3 12 31111 6 M59 20300 000139 0000E 00002*")</f>
        <v>146249.99</v>
      </c>
      <c r="G65" s="83">
        <f>SUMIFS(G66:G345,K66:K345,"0",B66:B345,"1 2 4 1 3 12 31111 6 M59 20300 000139 0000E 00002*")</f>
        <v>0</v>
      </c>
      <c r="H65" s="83">
        <f t="shared" si="0"/>
        <v>146249.99</v>
      </c>
      <c r="I65" s="83"/>
      <c r="K65" s="54" t="s">
        <v>15</v>
      </c>
    </row>
    <row r="66" spans="2:11" ht="24.75" x14ac:dyDescent="0.2">
      <c r="B66" s="82" t="s">
        <v>1067</v>
      </c>
      <c r="C66" s="82" t="s">
        <v>1049</v>
      </c>
      <c r="D66" s="83">
        <f>SUMIFS(D67:D345,K67:K345,"0",B67:B345,"1 2 4 1 3 12 31111 6 M59 20300 000139 0000E 00002 00515*")-SUMIFS(E67:E345,K67:K345,"0",B67:B345,"1 2 4 1 3 12 31111 6 M59 20300 000139 0000E 00002 00515*")</f>
        <v>0</v>
      </c>
      <c r="E66" s="54"/>
      <c r="F66" s="83">
        <f>SUMIFS(F67:F345,K67:K345,"0",B67:B345,"1 2 4 1 3 12 31111 6 M59 20300 000139 0000E 00002 00515*")</f>
        <v>146249.99</v>
      </c>
      <c r="G66" s="83">
        <f>SUMIFS(G67:G345,K67:K345,"0",B67:B345,"1 2 4 1 3 12 31111 6 M59 20300 000139 0000E 00002 00515*")</f>
        <v>0</v>
      </c>
      <c r="H66" s="83">
        <f t="shared" si="0"/>
        <v>146249.99</v>
      </c>
      <c r="I66" s="83"/>
      <c r="K66" s="54" t="s">
        <v>15</v>
      </c>
    </row>
    <row r="67" spans="2:11" ht="33" x14ac:dyDescent="0.2">
      <c r="B67" s="82" t="s">
        <v>1068</v>
      </c>
      <c r="C67" s="82" t="s">
        <v>1051</v>
      </c>
      <c r="D67" s="83">
        <f>SUMIFS(D68:D345,K68:K345,"0",B68:B345,"1 2 4 1 3 12 31111 6 M59 20300 000139 0000E 00002 00515 015*")-SUMIFS(E68:E345,K68:K345,"0",B68:B345,"1 2 4 1 3 12 31111 6 M59 20300 000139 0000E 00002 00515 015*")</f>
        <v>0</v>
      </c>
      <c r="E67" s="54"/>
      <c r="F67" s="83">
        <f>SUMIFS(F68:F345,K68:K345,"0",B68:B345,"1 2 4 1 3 12 31111 6 M59 20300 000139 0000E 00002 00515 015*")</f>
        <v>146249.99</v>
      </c>
      <c r="G67" s="83">
        <f>SUMIFS(G68:G345,K68:K345,"0",B68:B345,"1 2 4 1 3 12 31111 6 M59 20300 000139 0000E 00002 00515 015*")</f>
        <v>0</v>
      </c>
      <c r="H67" s="83">
        <f t="shared" si="0"/>
        <v>146249.99</v>
      </c>
      <c r="I67" s="83"/>
      <c r="K67" s="54" t="s">
        <v>15</v>
      </c>
    </row>
    <row r="68" spans="2:11" ht="33" x14ac:dyDescent="0.2">
      <c r="B68" s="82" t="s">
        <v>1069</v>
      </c>
      <c r="C68" s="82" t="s">
        <v>1070</v>
      </c>
      <c r="D68" s="83">
        <f>SUMIFS(D69:D345,K69:K345,"0",B69:B345,"1 2 4 1 3 12 31111 6 M59 20300 000139 0000E 00002 00515 015 2222200*")-SUMIFS(E69:E345,K69:K345,"0",B69:B345,"1 2 4 1 3 12 31111 6 M59 20300 000139 0000E 00002 00515 015 2222200*")</f>
        <v>0</v>
      </c>
      <c r="E68" s="54"/>
      <c r="F68" s="83">
        <f>SUMIFS(F69:F345,K69:K345,"0",B69:B345,"1 2 4 1 3 12 31111 6 M59 20300 000139 0000E 00002 00515 015 2222200*")</f>
        <v>146249.99</v>
      </c>
      <c r="G68" s="83">
        <f>SUMIFS(G69:G345,K69:K345,"0",B69:B345,"1 2 4 1 3 12 31111 6 M59 20300 000139 0000E 00002 00515 015 2222200*")</f>
        <v>0</v>
      </c>
      <c r="H68" s="83">
        <f t="shared" si="0"/>
        <v>146249.99</v>
      </c>
      <c r="I68" s="83"/>
      <c r="K68" s="54" t="s">
        <v>15</v>
      </c>
    </row>
    <row r="69" spans="2:11" ht="33" x14ac:dyDescent="0.2">
      <c r="B69" s="82" t="s">
        <v>1071</v>
      </c>
      <c r="C69" s="82" t="s">
        <v>660</v>
      </c>
      <c r="D69" s="83">
        <f>SUMIFS(D70:D345,K70:K345,"0",B70:B345,"1 2 4 1 3 12 31111 6 M59 20300 000139 0000E 00002 00515 015 2222200 2024*")-SUMIFS(E70:E345,K70:K345,"0",B70:B345,"1 2 4 1 3 12 31111 6 M59 20300 000139 0000E 00002 00515 015 2222200 2024*")</f>
        <v>0</v>
      </c>
      <c r="E69" s="54"/>
      <c r="F69" s="83">
        <f>SUMIFS(F70:F345,K70:K345,"0",B70:B345,"1 2 4 1 3 12 31111 6 M59 20300 000139 0000E 00002 00515 015 2222200 2024*")</f>
        <v>146249.99</v>
      </c>
      <c r="G69" s="83">
        <f>SUMIFS(G70:G345,K70:K345,"0",B70:B345,"1 2 4 1 3 12 31111 6 M59 20300 000139 0000E 00002 00515 015 2222200 2024*")</f>
        <v>0</v>
      </c>
      <c r="H69" s="83">
        <f t="shared" si="0"/>
        <v>146249.99</v>
      </c>
      <c r="I69" s="83"/>
      <c r="K69" s="54" t="s">
        <v>15</v>
      </c>
    </row>
    <row r="70" spans="2:11" ht="41.25" x14ac:dyDescent="0.2">
      <c r="B70" s="82" t="s">
        <v>1072</v>
      </c>
      <c r="C70" s="82" t="s">
        <v>1073</v>
      </c>
      <c r="D70" s="83">
        <f>SUMIFS(D71:D345,K71:K345,"0",B71:B345,"1 2 4 1 3 12 31111 6 M59 20300 000139 0000E 00002 00515 015 2222200 2024 CP2DE533*")-SUMIFS(E71:E345,K71:K345,"0",B71:B345,"1 2 4 1 3 12 31111 6 M59 20300 000139 0000E 00002 00515 015 2222200 2024 CP2DE533*")</f>
        <v>0</v>
      </c>
      <c r="E70" s="54"/>
      <c r="F70" s="83">
        <f>SUMIFS(F71:F345,K71:K345,"0",B71:B345,"1 2 4 1 3 12 31111 6 M59 20300 000139 0000E 00002 00515 015 2222200 2024 CP2DE533*")</f>
        <v>146249.99</v>
      </c>
      <c r="G70" s="83">
        <f>SUMIFS(G71:G345,K71:K345,"0",B71:B345,"1 2 4 1 3 12 31111 6 M59 20300 000139 0000E 00002 00515 015 2222200 2024 CP2DE533*")</f>
        <v>0</v>
      </c>
      <c r="H70" s="83">
        <f t="shared" si="0"/>
        <v>146249.99</v>
      </c>
      <c r="I70" s="83"/>
      <c r="K70" s="54" t="s">
        <v>15</v>
      </c>
    </row>
    <row r="71" spans="2:11" ht="41.25" x14ac:dyDescent="0.2">
      <c r="B71" s="82" t="s">
        <v>1074</v>
      </c>
      <c r="C71" s="82" t="s">
        <v>1075</v>
      </c>
      <c r="D71" s="83">
        <f>SUMIFS(D72:D345,K72:K345,"0",B72:B345,"1 2 4 1 3 12 31111 6 M59 20300 000139 0000E 00002 00515 015 2222200 2024 CP2DE533 005*")-SUMIFS(E72:E345,K72:K345,"0",B72:B345,"1 2 4 1 3 12 31111 6 M59 20300 000139 0000E 00002 00515 015 2222200 2024 CP2DE533 005*")</f>
        <v>0</v>
      </c>
      <c r="E71" s="54"/>
      <c r="F71" s="83">
        <f>SUMIFS(F72:F345,K72:K345,"0",B72:B345,"1 2 4 1 3 12 31111 6 M59 20300 000139 0000E 00002 00515 015 2222200 2024 CP2DE533 005*")</f>
        <v>146249.99</v>
      </c>
      <c r="G71" s="83">
        <f>SUMIFS(G72:G345,K72:K345,"0",B72:B345,"1 2 4 1 3 12 31111 6 M59 20300 000139 0000E 00002 00515 015 2222200 2024 CP2DE533 005*")</f>
        <v>0</v>
      </c>
      <c r="H71" s="83">
        <f t="shared" si="0"/>
        <v>146249.99</v>
      </c>
      <c r="I71" s="83"/>
      <c r="K71" s="54" t="s">
        <v>15</v>
      </c>
    </row>
    <row r="72" spans="2:11" ht="41.25" x14ac:dyDescent="0.2">
      <c r="B72" s="84" t="s">
        <v>1076</v>
      </c>
      <c r="C72" s="84" t="s">
        <v>1077</v>
      </c>
      <c r="D72" s="85">
        <v>0</v>
      </c>
      <c r="E72" s="85"/>
      <c r="F72" s="85">
        <v>146249.99</v>
      </c>
      <c r="G72" s="85">
        <v>0</v>
      </c>
      <c r="H72" s="85">
        <f t="shared" si="0"/>
        <v>146249.99</v>
      </c>
      <c r="I72" s="85"/>
      <c r="K72" s="54" t="s">
        <v>38</v>
      </c>
    </row>
    <row r="73" spans="2:11" ht="12.75" x14ac:dyDescent="0.2">
      <c r="B73" s="82" t="s">
        <v>1496</v>
      </c>
      <c r="C73" s="82" t="s">
        <v>1497</v>
      </c>
      <c r="D73" s="54"/>
      <c r="E73" s="83">
        <f>SUMIFS(E74:E345,K74:K345,"0",B74:B345,"2*")-SUMIFS(D74:D345,K74:K345,"0",B74:B345,"2*")</f>
        <v>2674.2</v>
      </c>
      <c r="F73" s="83">
        <f>SUMIFS(F74:F345,K74:K345,"0",B74:B345,"2*")</f>
        <v>5258526.6600000011</v>
      </c>
      <c r="G73" s="83">
        <f>SUMIFS(G74:G345,K74:K345,"0",B74:B345,"2*")</f>
        <v>5258526.6600000011</v>
      </c>
      <c r="H73" s="83"/>
      <c r="I73" s="83">
        <f t="shared" ref="I73:I136" si="1">E73 - F73 + G73</f>
        <v>2674.2000000001863</v>
      </c>
      <c r="K73" s="54" t="s">
        <v>15</v>
      </c>
    </row>
    <row r="74" spans="2:11" ht="12.75" x14ac:dyDescent="0.2">
      <c r="B74" s="82" t="s">
        <v>1498</v>
      </c>
      <c r="C74" s="82" t="s">
        <v>1499</v>
      </c>
      <c r="D74" s="54"/>
      <c r="E74" s="83">
        <f>SUMIFS(E75:E345,K75:K345,"0",B75:B345,"2 1*")-SUMIFS(D75:D345,K75:K345,"0",B75:B345,"2 1*")</f>
        <v>2674.2</v>
      </c>
      <c r="F74" s="83">
        <f>SUMIFS(F75:F345,K75:K345,"0",B75:B345,"2 1*")</f>
        <v>5258526.6600000011</v>
      </c>
      <c r="G74" s="83">
        <f>SUMIFS(G75:G345,K75:K345,"0",B75:B345,"2 1*")</f>
        <v>5258526.6600000011</v>
      </c>
      <c r="H74" s="83"/>
      <c r="I74" s="83">
        <f t="shared" si="1"/>
        <v>2674.2000000001863</v>
      </c>
      <c r="K74" s="54" t="s">
        <v>15</v>
      </c>
    </row>
    <row r="75" spans="2:11" ht="16.5" x14ac:dyDescent="0.2">
      <c r="B75" s="82" t="s">
        <v>1500</v>
      </c>
      <c r="C75" s="82" t="s">
        <v>1501</v>
      </c>
      <c r="D75" s="54"/>
      <c r="E75" s="83">
        <f>SUMIFS(E76:E345,K76:K345,"0",B76:B345,"2 1 1*")-SUMIFS(D76:D345,K76:K345,"0",B76:B345,"2 1 1*")</f>
        <v>2674.2</v>
      </c>
      <c r="F75" s="83">
        <f>SUMIFS(F76:F345,K76:K345,"0",B76:B345,"2 1 1*")</f>
        <v>5258526.6600000011</v>
      </c>
      <c r="G75" s="83">
        <f>SUMIFS(G76:G345,K76:K345,"0",B76:B345,"2 1 1*")</f>
        <v>5258526.6600000011</v>
      </c>
      <c r="H75" s="83"/>
      <c r="I75" s="83">
        <f t="shared" si="1"/>
        <v>2674.2000000001863</v>
      </c>
      <c r="K75" s="54" t="s">
        <v>15</v>
      </c>
    </row>
    <row r="76" spans="2:11" ht="16.5" x14ac:dyDescent="0.2">
      <c r="B76" s="82" t="s">
        <v>1522</v>
      </c>
      <c r="C76" s="82" t="s">
        <v>1523</v>
      </c>
      <c r="D76" s="54"/>
      <c r="E76" s="83">
        <f>SUMIFS(E77:E345,K77:K345,"0",B77:B345,"2 1 1 2*")-SUMIFS(D77:D345,K77:K345,"0",B77:B345,"2 1 1 2*")</f>
        <v>0</v>
      </c>
      <c r="F76" s="83">
        <f>SUMIFS(F77:F345,K77:K345,"0",B77:B345,"2 1 1 2*")</f>
        <v>5258526.6600000011</v>
      </c>
      <c r="G76" s="83">
        <f>SUMIFS(G77:G345,K77:K345,"0",B77:B345,"2 1 1 2*")</f>
        <v>5258526.6600000011</v>
      </c>
      <c r="H76" s="83"/>
      <c r="I76" s="83">
        <f t="shared" si="1"/>
        <v>0</v>
      </c>
      <c r="K76" s="54" t="s">
        <v>15</v>
      </c>
    </row>
    <row r="77" spans="2:11" ht="24.75" x14ac:dyDescent="0.2">
      <c r="B77" s="82" t="s">
        <v>1524</v>
      </c>
      <c r="C77" s="82" t="s">
        <v>1525</v>
      </c>
      <c r="D77" s="54"/>
      <c r="E77" s="83">
        <f>SUMIFS(E78:E345,K78:K345,"0",B78:B345,"2 1 1 2 1*")-SUMIFS(D78:D345,K78:K345,"0",B78:B345,"2 1 1 2 1*")</f>
        <v>0</v>
      </c>
      <c r="F77" s="83">
        <f>SUMIFS(F78:F345,K78:K345,"0",B78:B345,"2 1 1 2 1*")</f>
        <v>5258526.6600000011</v>
      </c>
      <c r="G77" s="83">
        <f>SUMIFS(G78:G345,K78:K345,"0",B78:B345,"2 1 1 2 1*")</f>
        <v>5258526.6600000011</v>
      </c>
      <c r="H77" s="83"/>
      <c r="I77" s="83">
        <f t="shared" si="1"/>
        <v>0</v>
      </c>
      <c r="K77" s="54" t="s">
        <v>15</v>
      </c>
    </row>
    <row r="78" spans="2:11" ht="12.75" x14ac:dyDescent="0.2">
      <c r="B78" s="82" t="s">
        <v>1526</v>
      </c>
      <c r="C78" s="82" t="s">
        <v>26</v>
      </c>
      <c r="D78" s="54"/>
      <c r="E78" s="83">
        <f>SUMIFS(E79:E345,K79:K345,"0",B79:B345,"2 1 1 2 1 12*")-SUMIFS(D79:D345,K79:K345,"0",B79:B345,"2 1 1 2 1 12*")</f>
        <v>0</v>
      </c>
      <c r="F78" s="83">
        <f>SUMIFS(F79:F345,K79:K345,"0",B79:B345,"2 1 1 2 1 12*")</f>
        <v>5258526.6600000011</v>
      </c>
      <c r="G78" s="83">
        <f>SUMIFS(G79:G345,K79:K345,"0",B79:B345,"2 1 1 2 1 12*")</f>
        <v>5258526.6600000011</v>
      </c>
      <c r="H78" s="83"/>
      <c r="I78" s="83">
        <f t="shared" si="1"/>
        <v>0</v>
      </c>
      <c r="K78" s="54" t="s">
        <v>15</v>
      </c>
    </row>
    <row r="79" spans="2:11" ht="16.5" x14ac:dyDescent="0.2">
      <c r="B79" s="82" t="s">
        <v>1527</v>
      </c>
      <c r="C79" s="82" t="s">
        <v>28</v>
      </c>
      <c r="D79" s="54"/>
      <c r="E79" s="83">
        <f>SUMIFS(E80:E345,K80:K345,"0",B80:B345,"2 1 1 2 1 12 31111*")-SUMIFS(D80:D345,K80:K345,"0",B80:B345,"2 1 1 2 1 12 31111*")</f>
        <v>0</v>
      </c>
      <c r="F79" s="83">
        <f>SUMIFS(F80:F345,K80:K345,"0",B80:B345,"2 1 1 2 1 12 31111*")</f>
        <v>5258526.6600000011</v>
      </c>
      <c r="G79" s="83">
        <f>SUMIFS(G80:G345,K80:K345,"0",B80:B345,"2 1 1 2 1 12 31111*")</f>
        <v>5258526.6600000011</v>
      </c>
      <c r="H79" s="83"/>
      <c r="I79" s="83">
        <f t="shared" si="1"/>
        <v>0</v>
      </c>
      <c r="K79" s="54" t="s">
        <v>15</v>
      </c>
    </row>
    <row r="80" spans="2:11" ht="12.75" x14ac:dyDescent="0.2">
      <c r="B80" s="82" t="s">
        <v>1528</v>
      </c>
      <c r="C80" s="82" t="s">
        <v>30</v>
      </c>
      <c r="D80" s="54"/>
      <c r="E80" s="83">
        <f>SUMIFS(E81:E345,K81:K345,"0",B81:B345,"2 1 1 2 1 12 31111 6*")-SUMIFS(D81:D345,K81:K345,"0",B81:B345,"2 1 1 2 1 12 31111 6*")</f>
        <v>0</v>
      </c>
      <c r="F80" s="83">
        <f>SUMIFS(F81:F345,K81:K345,"0",B81:B345,"2 1 1 2 1 12 31111 6*")</f>
        <v>5258526.6600000011</v>
      </c>
      <c r="G80" s="83">
        <f>SUMIFS(G81:G345,K81:K345,"0",B81:B345,"2 1 1 2 1 12 31111 6*")</f>
        <v>5258526.6600000011</v>
      </c>
      <c r="H80" s="83"/>
      <c r="I80" s="83">
        <f t="shared" si="1"/>
        <v>0</v>
      </c>
      <c r="K80" s="54" t="s">
        <v>15</v>
      </c>
    </row>
    <row r="81" spans="2:11" ht="12.75" x14ac:dyDescent="0.2">
      <c r="B81" s="82" t="s">
        <v>1529</v>
      </c>
      <c r="C81" s="82" t="s">
        <v>32</v>
      </c>
      <c r="D81" s="54"/>
      <c r="E81" s="83">
        <f>SUMIFS(E82:E345,K82:K345,"0",B82:B345,"2 1 1 2 1 12 31111 6 M59*")-SUMIFS(D82:D345,K82:K345,"0",B82:B345,"2 1 1 2 1 12 31111 6 M59*")</f>
        <v>0</v>
      </c>
      <c r="F81" s="83">
        <f>SUMIFS(F82:F345,K82:K345,"0",B82:B345,"2 1 1 2 1 12 31111 6 M59*")</f>
        <v>5258526.6600000011</v>
      </c>
      <c r="G81" s="83">
        <f>SUMIFS(G82:G345,K82:K345,"0",B82:B345,"2 1 1 2 1 12 31111 6 M59*")</f>
        <v>5258526.6600000011</v>
      </c>
      <c r="H81" s="83"/>
      <c r="I81" s="83">
        <f t="shared" si="1"/>
        <v>0</v>
      </c>
      <c r="K81" s="54" t="s">
        <v>15</v>
      </c>
    </row>
    <row r="82" spans="2:11" ht="16.5" x14ac:dyDescent="0.2">
      <c r="B82" s="82" t="s">
        <v>1721</v>
      </c>
      <c r="C82" s="82" t="s">
        <v>1075</v>
      </c>
      <c r="D82" s="54"/>
      <c r="E82" s="83">
        <f>SUMIFS(E83:E345,K83:K345,"0",B83:B345,"2 1 1 2 1 12 31111 6 M59 00005*")-SUMIFS(D83:D345,K83:K345,"0",B83:B345,"2 1 1 2 1 12 31111 6 M59 00005*")</f>
        <v>0</v>
      </c>
      <c r="F82" s="83">
        <f>SUMIFS(F83:F345,K83:K345,"0",B83:B345,"2 1 1 2 1 12 31111 6 M59 00005*")</f>
        <v>5258526.6600000011</v>
      </c>
      <c r="G82" s="83">
        <f>SUMIFS(G83:G345,K83:K345,"0",B83:B345,"2 1 1 2 1 12 31111 6 M59 00005*")</f>
        <v>5258526.6600000011</v>
      </c>
      <c r="H82" s="83"/>
      <c r="I82" s="83">
        <f t="shared" si="1"/>
        <v>0</v>
      </c>
      <c r="K82" s="54" t="s">
        <v>15</v>
      </c>
    </row>
    <row r="83" spans="2:11" ht="16.5" x14ac:dyDescent="0.2">
      <c r="B83" s="84" t="s">
        <v>1722</v>
      </c>
      <c r="C83" s="84" t="s">
        <v>1532</v>
      </c>
      <c r="D83" s="85"/>
      <c r="E83" s="85">
        <v>0</v>
      </c>
      <c r="F83" s="85">
        <v>3657218.08</v>
      </c>
      <c r="G83" s="85">
        <v>3657218.08</v>
      </c>
      <c r="H83" s="85"/>
      <c r="I83" s="85">
        <f t="shared" si="1"/>
        <v>0</v>
      </c>
      <c r="K83" s="54" t="s">
        <v>38</v>
      </c>
    </row>
    <row r="84" spans="2:11" ht="16.5" x14ac:dyDescent="0.2">
      <c r="B84" s="84" t="s">
        <v>1723</v>
      </c>
      <c r="C84" s="84" t="s">
        <v>75</v>
      </c>
      <c r="D84" s="85"/>
      <c r="E84" s="85">
        <v>0</v>
      </c>
      <c r="F84" s="85">
        <v>98.6</v>
      </c>
      <c r="G84" s="85">
        <v>98.6</v>
      </c>
      <c r="H84" s="85"/>
      <c r="I84" s="85">
        <f t="shared" si="1"/>
        <v>0</v>
      </c>
      <c r="K84" s="54" t="s">
        <v>38</v>
      </c>
    </row>
    <row r="85" spans="2:11" ht="16.5" x14ac:dyDescent="0.2">
      <c r="B85" s="84" t="s">
        <v>1724</v>
      </c>
      <c r="C85" s="84" t="s">
        <v>1604</v>
      </c>
      <c r="D85" s="85"/>
      <c r="E85" s="85">
        <v>0</v>
      </c>
      <c r="F85" s="85">
        <v>874914.71</v>
      </c>
      <c r="G85" s="85">
        <v>874914.71</v>
      </c>
      <c r="H85" s="85"/>
      <c r="I85" s="85">
        <f t="shared" si="1"/>
        <v>0</v>
      </c>
      <c r="K85" s="54" t="s">
        <v>38</v>
      </c>
    </row>
    <row r="86" spans="2:11" ht="16.5" x14ac:dyDescent="0.2">
      <c r="B86" s="84" t="s">
        <v>1725</v>
      </c>
      <c r="C86" s="84" t="s">
        <v>1647</v>
      </c>
      <c r="D86" s="85"/>
      <c r="E86" s="85">
        <v>0</v>
      </c>
      <c r="F86" s="85">
        <v>255718.03</v>
      </c>
      <c r="G86" s="85">
        <v>255718.03</v>
      </c>
      <c r="H86" s="85"/>
      <c r="I86" s="85">
        <f t="shared" si="1"/>
        <v>0</v>
      </c>
      <c r="K86" s="54" t="s">
        <v>38</v>
      </c>
    </row>
    <row r="87" spans="2:11" ht="16.5" x14ac:dyDescent="0.2">
      <c r="B87" s="84" t="s">
        <v>1726</v>
      </c>
      <c r="C87" s="84" t="s">
        <v>1727</v>
      </c>
      <c r="D87" s="85"/>
      <c r="E87" s="85">
        <v>0</v>
      </c>
      <c r="F87" s="85">
        <v>470577.24</v>
      </c>
      <c r="G87" s="85">
        <v>470577.24</v>
      </c>
      <c r="H87" s="85"/>
      <c r="I87" s="85">
        <f t="shared" si="1"/>
        <v>0</v>
      </c>
      <c r="K87" s="54" t="s">
        <v>38</v>
      </c>
    </row>
    <row r="88" spans="2:11" ht="24.75" x14ac:dyDescent="0.2">
      <c r="B88" s="82" t="s">
        <v>1814</v>
      </c>
      <c r="C88" s="82" t="s">
        <v>1815</v>
      </c>
      <c r="D88" s="54"/>
      <c r="E88" s="83">
        <f>SUMIFS(E89:E345,K89:K345,"0",B89:B345,"2 1 1 7*")-SUMIFS(D89:D345,K89:K345,"0",B89:B345,"2 1 1 7*")</f>
        <v>2674.2</v>
      </c>
      <c r="F88" s="83">
        <f>SUMIFS(F89:F345,K89:K345,"0",B89:B345,"2 1 1 7*")</f>
        <v>0</v>
      </c>
      <c r="G88" s="83">
        <f>SUMIFS(G89:G345,K89:K345,"0",B89:B345,"2 1 1 7*")</f>
        <v>0</v>
      </c>
      <c r="H88" s="83"/>
      <c r="I88" s="83">
        <f t="shared" si="1"/>
        <v>2674.2</v>
      </c>
      <c r="K88" s="54" t="s">
        <v>15</v>
      </c>
    </row>
    <row r="89" spans="2:11" ht="16.5" x14ac:dyDescent="0.2">
      <c r="B89" s="82" t="s">
        <v>1816</v>
      </c>
      <c r="C89" s="82" t="s">
        <v>1817</v>
      </c>
      <c r="D89" s="54"/>
      <c r="E89" s="83">
        <f>SUMIFS(E90:E345,K90:K345,"0",B90:B345,"2 1 1 7 1*")-SUMIFS(D90:D345,K90:K345,"0",B90:B345,"2 1 1 7 1*")</f>
        <v>2674.2</v>
      </c>
      <c r="F89" s="83">
        <f>SUMIFS(F90:F345,K90:K345,"0",B90:B345,"2 1 1 7 1*")</f>
        <v>0</v>
      </c>
      <c r="G89" s="83">
        <f>SUMIFS(G90:G345,K90:K345,"0",B90:B345,"2 1 1 7 1*")</f>
        <v>0</v>
      </c>
      <c r="H89" s="83"/>
      <c r="I89" s="83">
        <f t="shared" si="1"/>
        <v>2674.2</v>
      </c>
      <c r="K89" s="54" t="s">
        <v>15</v>
      </c>
    </row>
    <row r="90" spans="2:11" ht="12.75" x14ac:dyDescent="0.2">
      <c r="B90" s="82" t="s">
        <v>1818</v>
      </c>
      <c r="C90" s="82" t="s">
        <v>26</v>
      </c>
      <c r="D90" s="54"/>
      <c r="E90" s="83">
        <f>SUMIFS(E91:E345,K91:K345,"0",B91:B345,"2 1 1 7 1 12*")-SUMIFS(D91:D345,K91:K345,"0",B91:B345,"2 1 1 7 1 12*")</f>
        <v>2674.2</v>
      </c>
      <c r="F90" s="83">
        <f>SUMIFS(F91:F345,K91:K345,"0",B91:B345,"2 1 1 7 1 12*")</f>
        <v>0</v>
      </c>
      <c r="G90" s="83">
        <f>SUMIFS(G91:G345,K91:K345,"0",B91:B345,"2 1 1 7 1 12*")</f>
        <v>0</v>
      </c>
      <c r="H90" s="83"/>
      <c r="I90" s="83">
        <f t="shared" si="1"/>
        <v>2674.2</v>
      </c>
      <c r="K90" s="54" t="s">
        <v>15</v>
      </c>
    </row>
    <row r="91" spans="2:11" ht="16.5" x14ac:dyDescent="0.2">
      <c r="B91" s="82" t="s">
        <v>1819</v>
      </c>
      <c r="C91" s="82" t="s">
        <v>28</v>
      </c>
      <c r="D91" s="54"/>
      <c r="E91" s="83">
        <f>SUMIFS(E92:E345,K92:K345,"0",B92:B345,"2 1 1 7 1 12 31111*")-SUMIFS(D92:D345,K92:K345,"0",B92:B345,"2 1 1 7 1 12 31111*")</f>
        <v>2674.2</v>
      </c>
      <c r="F91" s="83">
        <f>SUMIFS(F92:F345,K92:K345,"0",B92:B345,"2 1 1 7 1 12 31111*")</f>
        <v>0</v>
      </c>
      <c r="G91" s="83">
        <f>SUMIFS(G92:G345,K92:K345,"0",B92:B345,"2 1 1 7 1 12 31111*")</f>
        <v>0</v>
      </c>
      <c r="H91" s="83"/>
      <c r="I91" s="83">
        <f t="shared" si="1"/>
        <v>2674.2</v>
      </c>
      <c r="K91" s="54" t="s">
        <v>15</v>
      </c>
    </row>
    <row r="92" spans="2:11" ht="12.75" x14ac:dyDescent="0.2">
      <c r="B92" s="82" t="s">
        <v>1820</v>
      </c>
      <c r="C92" s="82" t="s">
        <v>30</v>
      </c>
      <c r="D92" s="54"/>
      <c r="E92" s="83">
        <f>SUMIFS(E93:E345,K93:K345,"0",B93:B345,"2 1 1 7 1 12 31111 6*")-SUMIFS(D93:D345,K93:K345,"0",B93:B345,"2 1 1 7 1 12 31111 6*")</f>
        <v>2674.2</v>
      </c>
      <c r="F92" s="83">
        <f>SUMIFS(F93:F345,K93:K345,"0",B93:B345,"2 1 1 7 1 12 31111 6*")</f>
        <v>0</v>
      </c>
      <c r="G92" s="83">
        <f>SUMIFS(G93:G345,K93:K345,"0",B93:B345,"2 1 1 7 1 12 31111 6*")</f>
        <v>0</v>
      </c>
      <c r="H92" s="83"/>
      <c r="I92" s="83">
        <f t="shared" si="1"/>
        <v>2674.2</v>
      </c>
      <c r="K92" s="54" t="s">
        <v>15</v>
      </c>
    </row>
    <row r="93" spans="2:11" ht="12.75" x14ac:dyDescent="0.2">
      <c r="B93" s="82" t="s">
        <v>1821</v>
      </c>
      <c r="C93" s="82" t="s">
        <v>32</v>
      </c>
      <c r="D93" s="54"/>
      <c r="E93" s="83">
        <f>SUMIFS(E94:E345,K94:K345,"0",B94:B345,"2 1 1 7 1 12 31111 6 M59*")-SUMIFS(D94:D345,K94:K345,"0",B94:B345,"2 1 1 7 1 12 31111 6 M59*")</f>
        <v>2674.2</v>
      </c>
      <c r="F93" s="83">
        <f>SUMIFS(F94:F345,K94:K345,"0",B94:B345,"2 1 1 7 1 12 31111 6 M59*")</f>
        <v>0</v>
      </c>
      <c r="G93" s="83">
        <f>SUMIFS(G94:G345,K94:K345,"0",B94:B345,"2 1 1 7 1 12 31111 6 M59*")</f>
        <v>0</v>
      </c>
      <c r="H93" s="83"/>
      <c r="I93" s="83">
        <f t="shared" si="1"/>
        <v>2674.2</v>
      </c>
      <c r="K93" s="54" t="s">
        <v>15</v>
      </c>
    </row>
    <row r="94" spans="2:11" ht="16.5" x14ac:dyDescent="0.2">
      <c r="B94" s="82" t="s">
        <v>1910</v>
      </c>
      <c r="C94" s="82" t="s">
        <v>1075</v>
      </c>
      <c r="D94" s="54"/>
      <c r="E94" s="83">
        <f>SUMIFS(E95:E345,K95:K345,"0",B95:B345,"2 1 1 7 1 12 31111 6 M59 00005*")-SUMIFS(D95:D345,K95:K345,"0",B95:B345,"2 1 1 7 1 12 31111 6 M59 00005*")</f>
        <v>2674.2</v>
      </c>
      <c r="F94" s="83">
        <f>SUMIFS(F95:F345,K95:K345,"0",B95:B345,"2 1 1 7 1 12 31111 6 M59 00005*")</f>
        <v>0</v>
      </c>
      <c r="G94" s="83">
        <f>SUMIFS(G95:G345,K95:K345,"0",B95:B345,"2 1 1 7 1 12 31111 6 M59 00005*")</f>
        <v>0</v>
      </c>
      <c r="H94" s="83"/>
      <c r="I94" s="83">
        <f t="shared" si="1"/>
        <v>2674.2</v>
      </c>
      <c r="K94" s="54" t="s">
        <v>15</v>
      </c>
    </row>
    <row r="95" spans="2:11" ht="16.5" x14ac:dyDescent="0.2">
      <c r="B95" s="82" t="s">
        <v>1911</v>
      </c>
      <c r="C95" s="82" t="s">
        <v>10201</v>
      </c>
      <c r="D95" s="54"/>
      <c r="E95" s="83">
        <f>SUMIFS(E96:E345,K96:K345,"0",B96:B345,"2 1 1 7 1 12 31111 6 M59 00005 000002*")-SUMIFS(D96:D345,K96:K345,"0",B96:B345,"2 1 1 7 1 12 31111 6 M59 00005 000002*")</f>
        <v>2674.2</v>
      </c>
      <c r="F95" s="83">
        <f>SUMIFS(F96:F345,K96:K345,"0",B96:B345,"2 1 1 7 1 12 31111 6 M59 00005 000002*")</f>
        <v>0</v>
      </c>
      <c r="G95" s="83">
        <f>SUMIFS(G96:G345,K96:K345,"0",B96:B345,"2 1 1 7 1 12 31111 6 M59 00005 000002*")</f>
        <v>0</v>
      </c>
      <c r="H95" s="83"/>
      <c r="I95" s="83">
        <f t="shared" si="1"/>
        <v>2674.2</v>
      </c>
      <c r="K95" s="54" t="s">
        <v>15</v>
      </c>
    </row>
    <row r="96" spans="2:11" ht="16.5" x14ac:dyDescent="0.2">
      <c r="B96" s="82" t="s">
        <v>1912</v>
      </c>
      <c r="C96" s="82" t="s">
        <v>1913</v>
      </c>
      <c r="D96" s="54"/>
      <c r="E96" s="83">
        <f>SUMIFS(E97:E345,K97:K345,"0",B97:B345,"2 1 1 7 1 12 31111 6 M59 00005 000002 00001*")-SUMIFS(D97:D345,K97:K345,"0",B97:B345,"2 1 1 7 1 12 31111 6 M59 00005 000002 00001*")</f>
        <v>2674.2</v>
      </c>
      <c r="F96" s="83">
        <f>SUMIFS(F97:F345,K97:K345,"0",B97:B345,"2 1 1 7 1 12 31111 6 M59 00005 000002 00001*")</f>
        <v>0</v>
      </c>
      <c r="G96" s="83">
        <f>SUMIFS(G97:G345,K97:K345,"0",B97:B345,"2 1 1 7 1 12 31111 6 M59 00005 000002 00001*")</f>
        <v>0</v>
      </c>
      <c r="H96" s="83"/>
      <c r="I96" s="83">
        <f t="shared" si="1"/>
        <v>2674.2</v>
      </c>
      <c r="K96" s="54" t="s">
        <v>15</v>
      </c>
    </row>
    <row r="97" spans="2:11" ht="24.75" x14ac:dyDescent="0.2">
      <c r="B97" s="82" t="s">
        <v>1914</v>
      </c>
      <c r="C97" s="82" t="s">
        <v>1915</v>
      </c>
      <c r="D97" s="54"/>
      <c r="E97" s="83">
        <f>SUMIFS(E98:E345,K98:K345,"0",B98:B345,"2 1 1 7 1 12 31111 6 M59 00005 000002 00001 00004*")-SUMIFS(D98:D345,K98:K345,"0",B98:B345,"2 1 1 7 1 12 31111 6 M59 00005 000002 00001 00004*")</f>
        <v>2641.52</v>
      </c>
      <c r="F97" s="83">
        <f>SUMIFS(F98:F345,K98:K345,"0",B98:B345,"2 1 1 7 1 12 31111 6 M59 00005 000002 00001 00004*")</f>
        <v>0</v>
      </c>
      <c r="G97" s="83">
        <f>SUMIFS(G98:G345,K98:K345,"0",B98:B345,"2 1 1 7 1 12 31111 6 M59 00005 000002 00001 00004*")</f>
        <v>0</v>
      </c>
      <c r="H97" s="83"/>
      <c r="I97" s="83">
        <f t="shared" si="1"/>
        <v>2641.52</v>
      </c>
      <c r="K97" s="54" t="s">
        <v>15</v>
      </c>
    </row>
    <row r="98" spans="2:11" ht="16.5" x14ac:dyDescent="0.2">
      <c r="B98" s="84" t="s">
        <v>1916</v>
      </c>
      <c r="C98" s="84" t="s">
        <v>392</v>
      </c>
      <c r="D98" s="85"/>
      <c r="E98" s="85">
        <v>2641.52</v>
      </c>
      <c r="F98" s="85">
        <v>0</v>
      </c>
      <c r="G98" s="85">
        <v>0</v>
      </c>
      <c r="H98" s="85"/>
      <c r="I98" s="85">
        <f t="shared" si="1"/>
        <v>2641.52</v>
      </c>
      <c r="K98" s="54" t="s">
        <v>38</v>
      </c>
    </row>
    <row r="99" spans="2:11" ht="24.75" x14ac:dyDescent="0.2">
      <c r="B99" s="82" t="s">
        <v>1917</v>
      </c>
      <c r="C99" s="82" t="s">
        <v>1918</v>
      </c>
      <c r="D99" s="54"/>
      <c r="E99" s="83">
        <f>SUMIFS(E100:E345,K100:K345,"0",B100:B345,"2 1 1 7 1 12 31111 6 M59 00005 000002 00001 00005*")-SUMIFS(D100:D345,K100:K345,"0",B100:B345,"2 1 1 7 1 12 31111 6 M59 00005 000002 00001 00005*")</f>
        <v>32.68</v>
      </c>
      <c r="F99" s="83">
        <f>SUMIFS(F100:F345,K100:K345,"0",B100:B345,"2 1 1 7 1 12 31111 6 M59 00005 000002 00001 00005*")</f>
        <v>0</v>
      </c>
      <c r="G99" s="83">
        <f>SUMIFS(G100:G345,K100:K345,"0",B100:B345,"2 1 1 7 1 12 31111 6 M59 00005 000002 00001 00005*")</f>
        <v>0</v>
      </c>
      <c r="H99" s="83"/>
      <c r="I99" s="83">
        <f t="shared" si="1"/>
        <v>32.68</v>
      </c>
      <c r="K99" s="54" t="s">
        <v>15</v>
      </c>
    </row>
    <row r="100" spans="2:11" ht="16.5" x14ac:dyDescent="0.2">
      <c r="B100" s="84" t="s">
        <v>1919</v>
      </c>
      <c r="C100" s="84" t="s">
        <v>392</v>
      </c>
      <c r="D100" s="85"/>
      <c r="E100" s="85">
        <v>32.68</v>
      </c>
      <c r="F100" s="85">
        <v>0</v>
      </c>
      <c r="G100" s="85">
        <v>0</v>
      </c>
      <c r="H100" s="85"/>
      <c r="I100" s="85">
        <f t="shared" si="1"/>
        <v>32.68</v>
      </c>
      <c r="K100" s="54" t="s">
        <v>38</v>
      </c>
    </row>
    <row r="101" spans="2:11" ht="16.5" x14ac:dyDescent="0.2">
      <c r="B101" s="82" t="s">
        <v>2126</v>
      </c>
      <c r="C101" s="82" t="s">
        <v>2127</v>
      </c>
      <c r="D101" s="54"/>
      <c r="E101" s="83">
        <f>SUMIFS(E102:E345,K102:K345,"0",B102:B345,"3*")-SUMIFS(D102:D345,K102:K345,"0",B102:B345,"3*")</f>
        <v>157660.01</v>
      </c>
      <c r="F101" s="83">
        <f>SUMIFS(F102:F345,K102:K345,"0",B102:B345,"3*")</f>
        <v>0</v>
      </c>
      <c r="G101" s="83">
        <f>SUMIFS(G102:G345,K102:K345,"0",B102:B345,"3*")</f>
        <v>3597844.65</v>
      </c>
      <c r="H101" s="83"/>
      <c r="I101" s="83">
        <f t="shared" si="1"/>
        <v>3755504.66</v>
      </c>
      <c r="K101" s="54" t="s">
        <v>15</v>
      </c>
    </row>
    <row r="102" spans="2:11" ht="16.5" x14ac:dyDescent="0.2">
      <c r="B102" s="82" t="s">
        <v>2146</v>
      </c>
      <c r="C102" s="82" t="s">
        <v>2147</v>
      </c>
      <c r="D102" s="54"/>
      <c r="E102" s="83">
        <f>SUMIFS(E103:E345,K103:K345,"0",B103:B345,"3 2*")-SUMIFS(D103:D345,K103:K345,"0",B103:B345,"3 2*")</f>
        <v>157660.01</v>
      </c>
      <c r="F102" s="83">
        <f>SUMIFS(F103:F345,K103:K345,"0",B103:B345,"3 2*")</f>
        <v>0</v>
      </c>
      <c r="G102" s="83">
        <f>SUMIFS(G103:G345,K103:K345,"0",B103:B345,"3 2*")</f>
        <v>3597844.65</v>
      </c>
      <c r="H102" s="83"/>
      <c r="I102" s="83">
        <f t="shared" si="1"/>
        <v>3755504.66</v>
      </c>
      <c r="K102" s="54" t="s">
        <v>15</v>
      </c>
    </row>
    <row r="103" spans="2:11" ht="16.5" x14ac:dyDescent="0.2">
      <c r="B103" s="82" t="s">
        <v>2148</v>
      </c>
      <c r="C103" s="82" t="s">
        <v>2149</v>
      </c>
      <c r="D103" s="54"/>
      <c r="E103" s="83">
        <f>SUMIFS(E104:E345,K104:K345,"0",B104:B345,"3 2 1*")-SUMIFS(D104:D345,K104:K345,"0",B104:B345,"3 2 1*")</f>
        <v>25831.32</v>
      </c>
      <c r="F103" s="83">
        <f>SUMIFS(F104:F345,K104:K345,"0",B104:B345,"3 2 1*")</f>
        <v>0</v>
      </c>
      <c r="G103" s="83">
        <f>SUMIFS(G104:G345,K104:K345,"0",B104:B345,"3 2 1*")</f>
        <v>3597844.65</v>
      </c>
      <c r="H103" s="83"/>
      <c r="I103" s="83">
        <f t="shared" si="1"/>
        <v>3623675.9699999997</v>
      </c>
      <c r="K103" s="54" t="s">
        <v>15</v>
      </c>
    </row>
    <row r="104" spans="2:11" ht="16.5" x14ac:dyDescent="0.2">
      <c r="B104" s="82" t="s">
        <v>2150</v>
      </c>
      <c r="C104" s="82" t="s">
        <v>2149</v>
      </c>
      <c r="D104" s="54"/>
      <c r="E104" s="83">
        <f>SUMIFS(E105:E345,K105:K345,"0",B105:B345,"3 2 1 1*")-SUMIFS(D105:D345,K105:K345,"0",B105:B345,"3 2 1 1*")</f>
        <v>25831.32</v>
      </c>
      <c r="F104" s="83">
        <f>SUMIFS(F105:F345,K105:K345,"0",B105:B345,"3 2 1 1*")</f>
        <v>0</v>
      </c>
      <c r="G104" s="83">
        <f>SUMIFS(G105:G345,K105:K345,"0",B105:B345,"3 2 1 1*")</f>
        <v>3597844.65</v>
      </c>
      <c r="H104" s="83"/>
      <c r="I104" s="83">
        <f t="shared" si="1"/>
        <v>3623675.9699999997</v>
      </c>
      <c r="K104" s="54" t="s">
        <v>15</v>
      </c>
    </row>
    <row r="105" spans="2:11" ht="16.5" x14ac:dyDescent="0.2">
      <c r="B105" s="82" t="s">
        <v>2151</v>
      </c>
      <c r="C105" s="82" t="s">
        <v>2149</v>
      </c>
      <c r="D105" s="54"/>
      <c r="E105" s="83">
        <f>SUMIFS(E106:E345,K106:K345,"0",B106:B345,"3 2 1 1 1*")-SUMIFS(D106:D345,K106:K345,"0",B106:B345,"3 2 1 1 1*")</f>
        <v>25831.32</v>
      </c>
      <c r="F105" s="83">
        <f>SUMIFS(F106:F345,K106:K345,"0",B106:B345,"3 2 1 1 1*")</f>
        <v>0</v>
      </c>
      <c r="G105" s="83">
        <f>SUMIFS(G106:G345,K106:K345,"0",B106:B345,"3 2 1 1 1*")</f>
        <v>3597844.65</v>
      </c>
      <c r="H105" s="83"/>
      <c r="I105" s="83">
        <f t="shared" si="1"/>
        <v>3623675.9699999997</v>
      </c>
      <c r="K105" s="54" t="s">
        <v>15</v>
      </c>
    </row>
    <row r="106" spans="2:11" ht="12.75" x14ac:dyDescent="0.2">
      <c r="B106" s="82" t="s">
        <v>2152</v>
      </c>
      <c r="C106" s="82" t="s">
        <v>26</v>
      </c>
      <c r="D106" s="54"/>
      <c r="E106" s="83">
        <f>SUMIFS(E107:E345,K107:K345,"0",B107:B345,"3 2 1 1 1 12*")-SUMIFS(D107:D345,K107:K345,"0",B107:B345,"3 2 1 1 1 12*")</f>
        <v>25831.32</v>
      </c>
      <c r="F106" s="83">
        <f>SUMIFS(F107:F345,K107:K345,"0",B107:B345,"3 2 1 1 1 12*")</f>
        <v>0</v>
      </c>
      <c r="G106" s="83">
        <f>SUMIFS(G107:G345,K107:K345,"0",B107:B345,"3 2 1 1 1 12*")</f>
        <v>3597844.65</v>
      </c>
      <c r="H106" s="83"/>
      <c r="I106" s="83">
        <f t="shared" si="1"/>
        <v>3623675.9699999997</v>
      </c>
      <c r="K106" s="54" t="s">
        <v>15</v>
      </c>
    </row>
    <row r="107" spans="2:11" ht="16.5" x14ac:dyDescent="0.2">
      <c r="B107" s="82" t="s">
        <v>2153</v>
      </c>
      <c r="C107" s="82" t="s">
        <v>28</v>
      </c>
      <c r="D107" s="54"/>
      <c r="E107" s="83">
        <f>SUMIFS(E108:E345,K108:K345,"0",B108:B345,"3 2 1 1 1 12 31111*")-SUMIFS(D108:D345,K108:K345,"0",B108:B345,"3 2 1 1 1 12 31111*")</f>
        <v>25831.32</v>
      </c>
      <c r="F107" s="83">
        <f>SUMIFS(F108:F345,K108:K345,"0",B108:B345,"3 2 1 1 1 12 31111*")</f>
        <v>0</v>
      </c>
      <c r="G107" s="83">
        <f>SUMIFS(G108:G345,K108:K345,"0",B108:B345,"3 2 1 1 1 12 31111*")</f>
        <v>3597844.65</v>
      </c>
      <c r="H107" s="83"/>
      <c r="I107" s="83">
        <f t="shared" si="1"/>
        <v>3623675.9699999997</v>
      </c>
      <c r="K107" s="54" t="s">
        <v>15</v>
      </c>
    </row>
    <row r="108" spans="2:11" ht="12.75" x14ac:dyDescent="0.2">
      <c r="B108" s="82" t="s">
        <v>2154</v>
      </c>
      <c r="C108" s="82" t="s">
        <v>30</v>
      </c>
      <c r="D108" s="54"/>
      <c r="E108" s="83">
        <f>SUMIFS(E109:E345,K109:K345,"0",B109:B345,"3 2 1 1 1 12 31111 6*")-SUMIFS(D109:D345,K109:K345,"0",B109:B345,"3 2 1 1 1 12 31111 6*")</f>
        <v>25831.32</v>
      </c>
      <c r="F108" s="83">
        <f>SUMIFS(F109:F345,K109:K345,"0",B109:B345,"3 2 1 1 1 12 31111 6*")</f>
        <v>0</v>
      </c>
      <c r="G108" s="83">
        <f>SUMIFS(G109:G345,K109:K345,"0",B109:B345,"3 2 1 1 1 12 31111 6*")</f>
        <v>3597844.65</v>
      </c>
      <c r="H108" s="83"/>
      <c r="I108" s="83">
        <f t="shared" si="1"/>
        <v>3623675.9699999997</v>
      </c>
      <c r="K108" s="54" t="s">
        <v>15</v>
      </c>
    </row>
    <row r="109" spans="2:11" ht="12.75" x14ac:dyDescent="0.2">
      <c r="B109" s="82" t="s">
        <v>2155</v>
      </c>
      <c r="C109" s="82" t="s">
        <v>32</v>
      </c>
      <c r="D109" s="54"/>
      <c r="E109" s="83">
        <f>SUMIFS(E110:E345,K110:K345,"0",B110:B345,"3 2 1 1 1 12 31111 6 M59*")-SUMIFS(D110:D345,K110:K345,"0",B110:B345,"3 2 1 1 1 12 31111 6 M59*")</f>
        <v>25831.32</v>
      </c>
      <c r="F109" s="83">
        <f>SUMIFS(F110:F345,K110:K345,"0",B110:B345,"3 2 1 1 1 12 31111 6 M59*")</f>
        <v>0</v>
      </c>
      <c r="G109" s="83">
        <f>SUMIFS(G110:G345,K110:K345,"0",B110:B345,"3 2 1 1 1 12 31111 6 M59*")</f>
        <v>3597844.65</v>
      </c>
      <c r="H109" s="83"/>
      <c r="I109" s="83">
        <f t="shared" si="1"/>
        <v>3623675.9699999997</v>
      </c>
      <c r="K109" s="54" t="s">
        <v>15</v>
      </c>
    </row>
    <row r="110" spans="2:11" ht="16.5" x14ac:dyDescent="0.2">
      <c r="B110" s="82" t="s">
        <v>2174</v>
      </c>
      <c r="C110" s="82" t="s">
        <v>1075</v>
      </c>
      <c r="D110" s="54"/>
      <c r="E110" s="83">
        <f>SUMIFS(E111:E345,K111:K345,"0",B111:B345,"3 2 1 1 1 12 31111 6 M59 00005*")-SUMIFS(D111:D345,K111:K345,"0",B111:B345,"3 2 1 1 1 12 31111 6 M59 00005*")</f>
        <v>25831.32</v>
      </c>
      <c r="F110" s="83">
        <f>SUMIFS(F111:F345,K111:K345,"0",B111:B345,"3 2 1 1 1 12 31111 6 M59 00005*")</f>
        <v>0</v>
      </c>
      <c r="G110" s="83">
        <f>SUMIFS(G111:G345,K111:K345,"0",B111:B345,"3 2 1 1 1 12 31111 6 M59 00005*")</f>
        <v>3597844.65</v>
      </c>
      <c r="H110" s="83"/>
      <c r="I110" s="83">
        <f t="shared" si="1"/>
        <v>3623675.9699999997</v>
      </c>
      <c r="K110" s="54" t="s">
        <v>15</v>
      </c>
    </row>
    <row r="111" spans="2:11" ht="16.5" x14ac:dyDescent="0.2">
      <c r="B111" s="82" t="s">
        <v>2175</v>
      </c>
      <c r="C111" s="82" t="s">
        <v>10202</v>
      </c>
      <c r="D111" s="54"/>
      <c r="E111" s="83">
        <f>SUMIFS(E112:E345,K112:K345,"0",B112:B345,"3 2 1 1 1 12 31111 6 M59 00005 000001*")-SUMIFS(D112:D345,K112:K345,"0",B112:B345,"3 2 1 1 1 12 31111 6 M59 00005 000001*")</f>
        <v>25831.32</v>
      </c>
      <c r="F111" s="83">
        <f>SUMIFS(F112:F345,K112:K345,"0",B112:B345,"3 2 1 1 1 12 31111 6 M59 00005 000001*")</f>
        <v>0</v>
      </c>
      <c r="G111" s="83">
        <f>SUMIFS(G112:G345,K112:K345,"0",B112:B345,"3 2 1 1 1 12 31111 6 M59 00005 000001*")</f>
        <v>3597844.65</v>
      </c>
      <c r="H111" s="83"/>
      <c r="I111" s="83">
        <f t="shared" si="1"/>
        <v>3623675.9699999997</v>
      </c>
      <c r="K111" s="54" t="s">
        <v>15</v>
      </c>
    </row>
    <row r="112" spans="2:11" ht="16.5" x14ac:dyDescent="0.2">
      <c r="B112" s="84" t="s">
        <v>2176</v>
      </c>
      <c r="C112" s="84" t="s">
        <v>274</v>
      </c>
      <c r="D112" s="85"/>
      <c r="E112" s="85">
        <v>25831.32</v>
      </c>
      <c r="F112" s="85">
        <v>0</v>
      </c>
      <c r="G112" s="85">
        <v>3597844.65</v>
      </c>
      <c r="H112" s="85"/>
      <c r="I112" s="85">
        <f t="shared" si="1"/>
        <v>3623675.9699999997</v>
      </c>
      <c r="K112" s="54" t="s">
        <v>38</v>
      </c>
    </row>
    <row r="113" spans="2:11" ht="16.5" x14ac:dyDescent="0.2">
      <c r="B113" s="82" t="s">
        <v>2177</v>
      </c>
      <c r="C113" s="82" t="s">
        <v>2178</v>
      </c>
      <c r="D113" s="54"/>
      <c r="E113" s="83">
        <f>SUMIFS(E114:E345,K114:K345,"0",B114:B345,"3 2 2*")-SUMIFS(D114:D345,K114:K345,"0",B114:B345,"3 2 2*")</f>
        <v>215750.15</v>
      </c>
      <c r="F113" s="83">
        <f>SUMIFS(F114:F345,K114:K345,"0",B114:B345,"3 2 2*")</f>
        <v>0</v>
      </c>
      <c r="G113" s="83">
        <f>SUMIFS(G114:G345,K114:K345,"0",B114:B345,"3 2 2*")</f>
        <v>0</v>
      </c>
      <c r="H113" s="83"/>
      <c r="I113" s="83">
        <f t="shared" si="1"/>
        <v>215750.15</v>
      </c>
      <c r="K113" s="54" t="s">
        <v>15</v>
      </c>
    </row>
    <row r="114" spans="2:11" ht="16.5" x14ac:dyDescent="0.2">
      <c r="B114" s="82" t="s">
        <v>2179</v>
      </c>
      <c r="C114" s="82" t="s">
        <v>2178</v>
      </c>
      <c r="D114" s="54"/>
      <c r="E114" s="83">
        <f>SUMIFS(E115:E345,K115:K345,"0",B115:B345,"3 2 2 1*")-SUMIFS(D115:D345,K115:K345,"0",B115:B345,"3 2 2 1*")</f>
        <v>83235.38</v>
      </c>
      <c r="F114" s="83">
        <f>SUMIFS(F115:F345,K115:K345,"0",B115:B345,"3 2 2 1*")</f>
        <v>0</v>
      </c>
      <c r="G114" s="83">
        <f>SUMIFS(G115:G345,K115:K345,"0",B115:B345,"3 2 2 1*")</f>
        <v>0</v>
      </c>
      <c r="H114" s="83"/>
      <c r="I114" s="83">
        <f t="shared" si="1"/>
        <v>83235.38</v>
      </c>
      <c r="K114" s="54" t="s">
        <v>15</v>
      </c>
    </row>
    <row r="115" spans="2:11" ht="16.5" x14ac:dyDescent="0.2">
      <c r="B115" s="82" t="s">
        <v>2180</v>
      </c>
      <c r="C115" s="82" t="s">
        <v>2181</v>
      </c>
      <c r="D115" s="54"/>
      <c r="E115" s="83">
        <f>SUMIFS(E116:E345,K116:K345,"0",B116:B345,"3 2 2 1 1*")-SUMIFS(D116:D345,K116:K345,"0",B116:B345,"3 2 2 1 1*")</f>
        <v>83235.38</v>
      </c>
      <c r="F115" s="83">
        <f>SUMIFS(F116:F345,K116:K345,"0",B116:B345,"3 2 2 1 1*")</f>
        <v>0</v>
      </c>
      <c r="G115" s="83">
        <f>SUMIFS(G116:G345,K116:K345,"0",B116:B345,"3 2 2 1 1*")</f>
        <v>0</v>
      </c>
      <c r="H115" s="83"/>
      <c r="I115" s="83">
        <f t="shared" si="1"/>
        <v>83235.38</v>
      </c>
      <c r="K115" s="54" t="s">
        <v>15</v>
      </c>
    </row>
    <row r="116" spans="2:11" ht="12.75" x14ac:dyDescent="0.2">
      <c r="B116" s="82" t="s">
        <v>2182</v>
      </c>
      <c r="C116" s="82" t="s">
        <v>26</v>
      </c>
      <c r="D116" s="54"/>
      <c r="E116" s="83">
        <f>SUMIFS(E117:E345,K117:K345,"0",B117:B345,"3 2 2 1 1 12*")-SUMIFS(D117:D345,K117:K345,"0",B117:B345,"3 2 2 1 1 12*")</f>
        <v>83235.38</v>
      </c>
      <c r="F116" s="83">
        <f>SUMIFS(F117:F345,K117:K345,"0",B117:B345,"3 2 2 1 1 12*")</f>
        <v>0</v>
      </c>
      <c r="G116" s="83">
        <f>SUMIFS(G117:G345,K117:K345,"0",B117:B345,"3 2 2 1 1 12*")</f>
        <v>0</v>
      </c>
      <c r="H116" s="83"/>
      <c r="I116" s="83">
        <f t="shared" si="1"/>
        <v>83235.38</v>
      </c>
      <c r="K116" s="54" t="s">
        <v>15</v>
      </c>
    </row>
    <row r="117" spans="2:11" ht="16.5" x14ac:dyDescent="0.2">
      <c r="B117" s="82" t="s">
        <v>2183</v>
      </c>
      <c r="C117" s="82" t="s">
        <v>28</v>
      </c>
      <c r="D117" s="54"/>
      <c r="E117" s="83">
        <f>SUMIFS(E118:E345,K118:K345,"0",B118:B345,"3 2 2 1 1 12 31111*")-SUMIFS(D118:D345,K118:K345,"0",B118:B345,"3 2 2 1 1 12 31111*")</f>
        <v>83235.38</v>
      </c>
      <c r="F117" s="83">
        <f>SUMIFS(F118:F345,K118:K345,"0",B118:B345,"3 2 2 1 1 12 31111*")</f>
        <v>0</v>
      </c>
      <c r="G117" s="83">
        <f>SUMIFS(G118:G345,K118:K345,"0",B118:B345,"3 2 2 1 1 12 31111*")</f>
        <v>0</v>
      </c>
      <c r="H117" s="83"/>
      <c r="I117" s="83">
        <f t="shared" si="1"/>
        <v>83235.38</v>
      </c>
      <c r="K117" s="54" t="s">
        <v>15</v>
      </c>
    </row>
    <row r="118" spans="2:11" ht="12.75" x14ac:dyDescent="0.2">
      <c r="B118" s="82" t="s">
        <v>2184</v>
      </c>
      <c r="C118" s="82" t="s">
        <v>30</v>
      </c>
      <c r="D118" s="54"/>
      <c r="E118" s="83">
        <f>SUMIFS(E119:E345,K119:K345,"0",B119:B345,"3 2 2 1 1 12 31111 6*")-SUMIFS(D119:D345,K119:K345,"0",B119:B345,"3 2 2 1 1 12 31111 6*")</f>
        <v>83235.38</v>
      </c>
      <c r="F118" s="83">
        <f>SUMIFS(F119:F345,K119:K345,"0",B119:B345,"3 2 2 1 1 12 31111 6*")</f>
        <v>0</v>
      </c>
      <c r="G118" s="83">
        <f>SUMIFS(G119:G345,K119:K345,"0",B119:B345,"3 2 2 1 1 12 31111 6*")</f>
        <v>0</v>
      </c>
      <c r="H118" s="83"/>
      <c r="I118" s="83">
        <f t="shared" si="1"/>
        <v>83235.38</v>
      </c>
      <c r="K118" s="54" t="s">
        <v>15</v>
      </c>
    </row>
    <row r="119" spans="2:11" ht="16.5" x14ac:dyDescent="0.2">
      <c r="B119" s="82" t="s">
        <v>2185</v>
      </c>
      <c r="C119" s="82" t="s">
        <v>32</v>
      </c>
      <c r="D119" s="54"/>
      <c r="E119" s="83">
        <f>SUMIFS(E120:E345,K120:K345,"0",B120:B345,"3 2 2 1 1 12 31111 6 M59*")-SUMIFS(D120:D345,K120:K345,"0",B120:B345,"3 2 2 1 1 12 31111 6 M59*")</f>
        <v>83235.38</v>
      </c>
      <c r="F119" s="83">
        <f>SUMIFS(F120:F345,K120:K345,"0",B120:B345,"3 2 2 1 1 12 31111 6 M59*")</f>
        <v>0</v>
      </c>
      <c r="G119" s="83">
        <f>SUMIFS(G120:G345,K120:K345,"0",B120:B345,"3 2 2 1 1 12 31111 6 M59*")</f>
        <v>0</v>
      </c>
      <c r="H119" s="83"/>
      <c r="I119" s="83">
        <f t="shared" si="1"/>
        <v>83235.38</v>
      </c>
      <c r="K119" s="54" t="s">
        <v>15</v>
      </c>
    </row>
    <row r="120" spans="2:11" ht="16.5" x14ac:dyDescent="0.2">
      <c r="B120" s="82" t="s">
        <v>2205</v>
      </c>
      <c r="C120" s="82" t="s">
        <v>1075</v>
      </c>
      <c r="D120" s="54"/>
      <c r="E120" s="83">
        <f>SUMIFS(E121:E345,K121:K345,"0",B121:B345,"3 2 2 1 1 12 31111 6 M59 00005*")-SUMIFS(D121:D345,K121:K345,"0",B121:B345,"3 2 2 1 1 12 31111 6 M59 00005*")</f>
        <v>83235.38</v>
      </c>
      <c r="F120" s="83">
        <f>SUMIFS(F121:F345,K121:K345,"0",B121:B345,"3 2 2 1 1 12 31111 6 M59 00005*")</f>
        <v>0</v>
      </c>
      <c r="G120" s="83">
        <f>SUMIFS(G121:G345,K121:K345,"0",B121:B345,"3 2 2 1 1 12 31111 6 M59 00005*")</f>
        <v>0</v>
      </c>
      <c r="H120" s="83"/>
      <c r="I120" s="83">
        <f t="shared" si="1"/>
        <v>83235.38</v>
      </c>
      <c r="K120" s="54" t="s">
        <v>15</v>
      </c>
    </row>
    <row r="121" spans="2:11" ht="16.5" x14ac:dyDescent="0.2">
      <c r="B121" s="82" t="s">
        <v>2206</v>
      </c>
      <c r="C121" s="82" t="s">
        <v>10203</v>
      </c>
      <c r="D121" s="54"/>
      <c r="E121" s="83">
        <f>SUMIFS(E122:E345,K122:K345,"0",B122:B345,"3 2 2 1 1 12 31111 6 M59 00005 000001*")-SUMIFS(D122:D345,K122:K345,"0",B122:B345,"3 2 2 1 1 12 31111 6 M59 00005 000001*")</f>
        <v>83235.38</v>
      </c>
      <c r="F121" s="83">
        <f>SUMIFS(F122:F345,K122:K345,"0",B122:B345,"3 2 2 1 1 12 31111 6 M59 00005 000001*")</f>
        <v>0</v>
      </c>
      <c r="G121" s="83">
        <f>SUMIFS(G122:G345,K122:K345,"0",B122:B345,"3 2 2 1 1 12 31111 6 M59 00005 000001*")</f>
        <v>0</v>
      </c>
      <c r="H121" s="83"/>
      <c r="I121" s="83">
        <f t="shared" si="1"/>
        <v>83235.38</v>
      </c>
      <c r="K121" s="54" t="s">
        <v>15</v>
      </c>
    </row>
    <row r="122" spans="2:11" ht="16.5" x14ac:dyDescent="0.2">
      <c r="B122" s="84" t="s">
        <v>2207</v>
      </c>
      <c r="C122" s="84" t="s">
        <v>274</v>
      </c>
      <c r="D122" s="85"/>
      <c r="E122" s="85">
        <v>83235.38</v>
      </c>
      <c r="F122" s="85">
        <v>0</v>
      </c>
      <c r="G122" s="85">
        <v>0</v>
      </c>
      <c r="H122" s="85"/>
      <c r="I122" s="85">
        <f t="shared" si="1"/>
        <v>83235.38</v>
      </c>
      <c r="K122" s="54" t="s">
        <v>38</v>
      </c>
    </row>
    <row r="123" spans="2:11" ht="16.5" x14ac:dyDescent="0.2">
      <c r="B123" s="82" t="s">
        <v>2222</v>
      </c>
      <c r="C123" s="82" t="s">
        <v>276</v>
      </c>
      <c r="D123" s="54"/>
      <c r="E123" s="83">
        <f>SUMIFS(E124:E345,K124:K345,"0",B124:B345,"3 2 2 2*")-SUMIFS(D124:D345,K124:K345,"0",B124:B345,"3 2 2 2*")</f>
        <v>132514.76999999999</v>
      </c>
      <c r="F123" s="83">
        <f>SUMIFS(F124:F345,K124:K345,"0",B124:B345,"3 2 2 2*")</f>
        <v>0</v>
      </c>
      <c r="G123" s="83">
        <f>SUMIFS(G124:G345,K124:K345,"0",B124:B345,"3 2 2 2*")</f>
        <v>0</v>
      </c>
      <c r="H123" s="83"/>
      <c r="I123" s="83">
        <f t="shared" si="1"/>
        <v>132514.76999999999</v>
      </c>
      <c r="K123" s="54" t="s">
        <v>15</v>
      </c>
    </row>
    <row r="124" spans="2:11" ht="16.5" x14ac:dyDescent="0.2">
      <c r="B124" s="82" t="s">
        <v>2223</v>
      </c>
      <c r="C124" s="82" t="s">
        <v>276</v>
      </c>
      <c r="D124" s="54"/>
      <c r="E124" s="83">
        <f>SUMIFS(E125:E345,K125:K345,"0",B125:B345,"3 2 2 2 1*")-SUMIFS(D125:D345,K125:K345,"0",B125:B345,"3 2 2 2 1*")</f>
        <v>132514.76999999999</v>
      </c>
      <c r="F124" s="83">
        <f>SUMIFS(F125:F345,K125:K345,"0",B125:B345,"3 2 2 2 1*")</f>
        <v>0</v>
      </c>
      <c r="G124" s="83">
        <f>SUMIFS(G125:G345,K125:K345,"0",B125:B345,"3 2 2 2 1*")</f>
        <v>0</v>
      </c>
      <c r="H124" s="83"/>
      <c r="I124" s="83">
        <f t="shared" si="1"/>
        <v>132514.76999999999</v>
      </c>
      <c r="K124" s="54" t="s">
        <v>15</v>
      </c>
    </row>
    <row r="125" spans="2:11" ht="12.75" x14ac:dyDescent="0.2">
      <c r="B125" s="82" t="s">
        <v>2224</v>
      </c>
      <c r="C125" s="82" t="s">
        <v>26</v>
      </c>
      <c r="D125" s="54"/>
      <c r="E125" s="83">
        <f>SUMIFS(E126:E345,K126:K345,"0",B126:B345,"3 2 2 2 1 12*")-SUMIFS(D126:D345,K126:K345,"0",B126:B345,"3 2 2 2 1 12*")</f>
        <v>132514.76999999999</v>
      </c>
      <c r="F125" s="83">
        <f>SUMIFS(F126:F345,K126:K345,"0",B126:B345,"3 2 2 2 1 12*")</f>
        <v>0</v>
      </c>
      <c r="G125" s="83">
        <f>SUMIFS(G126:G345,K126:K345,"0",B126:B345,"3 2 2 2 1 12*")</f>
        <v>0</v>
      </c>
      <c r="H125" s="83"/>
      <c r="I125" s="83">
        <f t="shared" si="1"/>
        <v>132514.76999999999</v>
      </c>
      <c r="K125" s="54" t="s">
        <v>15</v>
      </c>
    </row>
    <row r="126" spans="2:11" ht="16.5" x14ac:dyDescent="0.2">
      <c r="B126" s="82" t="s">
        <v>2225</v>
      </c>
      <c r="C126" s="82" t="s">
        <v>28</v>
      </c>
      <c r="D126" s="54"/>
      <c r="E126" s="83">
        <f>SUMIFS(E127:E345,K127:K345,"0",B127:B345,"3 2 2 2 1 12 31111*")-SUMIFS(D127:D345,K127:K345,"0",B127:B345,"3 2 2 2 1 12 31111*")</f>
        <v>132514.76999999999</v>
      </c>
      <c r="F126" s="83">
        <f>SUMIFS(F127:F345,K127:K345,"0",B127:B345,"3 2 2 2 1 12 31111*")</f>
        <v>0</v>
      </c>
      <c r="G126" s="83">
        <f>SUMIFS(G127:G345,K127:K345,"0",B127:B345,"3 2 2 2 1 12 31111*")</f>
        <v>0</v>
      </c>
      <c r="H126" s="83"/>
      <c r="I126" s="83">
        <f t="shared" si="1"/>
        <v>132514.76999999999</v>
      </c>
      <c r="K126" s="54" t="s">
        <v>15</v>
      </c>
    </row>
    <row r="127" spans="2:11" ht="12.75" x14ac:dyDescent="0.2">
      <c r="B127" s="82" t="s">
        <v>2226</v>
      </c>
      <c r="C127" s="82" t="s">
        <v>30</v>
      </c>
      <c r="D127" s="54"/>
      <c r="E127" s="83">
        <f>SUMIFS(E128:E345,K128:K345,"0",B128:B345,"3 2 2 2 1 12 31111 6*")-SUMIFS(D128:D345,K128:K345,"0",B128:B345,"3 2 2 2 1 12 31111 6*")</f>
        <v>132514.76999999999</v>
      </c>
      <c r="F127" s="83">
        <f>SUMIFS(F128:F345,K128:K345,"0",B128:B345,"3 2 2 2 1 12 31111 6*")</f>
        <v>0</v>
      </c>
      <c r="G127" s="83">
        <f>SUMIFS(G128:G345,K128:K345,"0",B128:B345,"3 2 2 2 1 12 31111 6*")</f>
        <v>0</v>
      </c>
      <c r="H127" s="83"/>
      <c r="I127" s="83">
        <f t="shared" si="1"/>
        <v>132514.76999999999</v>
      </c>
      <c r="K127" s="54" t="s">
        <v>15</v>
      </c>
    </row>
    <row r="128" spans="2:11" ht="16.5" x14ac:dyDescent="0.2">
      <c r="B128" s="82" t="s">
        <v>2227</v>
      </c>
      <c r="C128" s="82" t="s">
        <v>140</v>
      </c>
      <c r="D128" s="54"/>
      <c r="E128" s="83">
        <f>SUMIFS(E129:E345,K129:K345,"0",B129:B345,"3 2 2 2 1 12 31111 6 M59*")-SUMIFS(D129:D345,K129:K345,"0",B129:B345,"3 2 2 2 1 12 31111 6 M59*")</f>
        <v>132514.76999999999</v>
      </c>
      <c r="F128" s="83">
        <f>SUMIFS(F129:F345,K129:K345,"0",B129:B345,"3 2 2 2 1 12 31111 6 M59*")</f>
        <v>0</v>
      </c>
      <c r="G128" s="83">
        <f>SUMIFS(G129:G345,K129:K345,"0",B129:B345,"3 2 2 2 1 12 31111 6 M59*")</f>
        <v>0</v>
      </c>
      <c r="H128" s="83"/>
      <c r="I128" s="83">
        <f t="shared" si="1"/>
        <v>132514.76999999999</v>
      </c>
      <c r="K128" s="54" t="s">
        <v>15</v>
      </c>
    </row>
    <row r="129" spans="2:11" ht="16.5" x14ac:dyDescent="0.2">
      <c r="B129" s="82" t="s">
        <v>2228</v>
      </c>
      <c r="C129" s="82" t="s">
        <v>1075</v>
      </c>
      <c r="D129" s="54"/>
      <c r="E129" s="83">
        <f>SUMIFS(E130:E345,K130:K345,"0",B130:B345,"3 2 2 2 1 12 31111 6 M59 00005*")-SUMIFS(D130:D345,K130:K345,"0",B130:B345,"3 2 2 2 1 12 31111 6 M59 00005*")</f>
        <v>132514.76999999999</v>
      </c>
      <c r="F129" s="83">
        <f>SUMIFS(F130:F345,K130:K345,"0",B130:B345,"3 2 2 2 1 12 31111 6 M59 00005*")</f>
        <v>0</v>
      </c>
      <c r="G129" s="83">
        <f>SUMIFS(G130:G345,K130:K345,"0",B130:B345,"3 2 2 2 1 12 31111 6 M59 00005*")</f>
        <v>0</v>
      </c>
      <c r="H129" s="83"/>
      <c r="I129" s="83">
        <f t="shared" si="1"/>
        <v>132514.76999999999</v>
      </c>
      <c r="K129" s="54" t="s">
        <v>15</v>
      </c>
    </row>
    <row r="130" spans="2:11" ht="16.5" x14ac:dyDescent="0.2">
      <c r="B130" s="82" t="s">
        <v>2229</v>
      </c>
      <c r="C130" s="82" t="s">
        <v>2230</v>
      </c>
      <c r="D130" s="54"/>
      <c r="E130" s="83">
        <f>SUMIFS(E131:E345,K131:K345,"0",B131:B345,"3 2 2 2 1 12 31111 6 M59 00005 000001*")-SUMIFS(D131:D345,K131:K345,"0",B131:B345,"3 2 2 2 1 12 31111 6 M59 00005 000001*")</f>
        <v>132514.76999999999</v>
      </c>
      <c r="F130" s="83">
        <f>SUMIFS(F131:F345,K131:K345,"0",B131:B345,"3 2 2 2 1 12 31111 6 M59 00005 000001*")</f>
        <v>0</v>
      </c>
      <c r="G130" s="83">
        <f>SUMIFS(G131:G345,K131:K345,"0",B131:B345,"3 2 2 2 1 12 31111 6 M59 00005 000001*")</f>
        <v>0</v>
      </c>
      <c r="H130" s="83"/>
      <c r="I130" s="83">
        <f t="shared" si="1"/>
        <v>132514.76999999999</v>
      </c>
      <c r="K130" s="54" t="s">
        <v>15</v>
      </c>
    </row>
    <row r="131" spans="2:11" ht="16.5" x14ac:dyDescent="0.2">
      <c r="B131" s="84" t="s">
        <v>2231</v>
      </c>
      <c r="C131" s="84" t="s">
        <v>2232</v>
      </c>
      <c r="D131" s="85"/>
      <c r="E131" s="85">
        <v>132514.76999999999</v>
      </c>
      <c r="F131" s="85">
        <v>0</v>
      </c>
      <c r="G131" s="85">
        <v>0</v>
      </c>
      <c r="H131" s="85"/>
      <c r="I131" s="85">
        <f t="shared" si="1"/>
        <v>132514.76999999999</v>
      </c>
      <c r="K131" s="54" t="s">
        <v>38</v>
      </c>
    </row>
    <row r="132" spans="2:11" ht="24.75" x14ac:dyDescent="0.2">
      <c r="B132" s="82" t="s">
        <v>2250</v>
      </c>
      <c r="C132" s="82" t="s">
        <v>2251</v>
      </c>
      <c r="D132" s="54"/>
      <c r="E132" s="83">
        <f>SUMIFS(E133:E345,K133:K345,"0",B133:B345,"3 2 5*")-SUMIFS(D133:D345,K133:K345,"0",B133:B345,"3 2 5*")</f>
        <v>-83921.46</v>
      </c>
      <c r="F132" s="83">
        <f>SUMIFS(F133:F345,K133:K345,"0",B133:B345,"3 2 5*")</f>
        <v>0</v>
      </c>
      <c r="G132" s="83">
        <f>SUMIFS(G133:G345,K133:K345,"0",B133:B345,"3 2 5*")</f>
        <v>0</v>
      </c>
      <c r="H132" s="83"/>
      <c r="I132" s="83">
        <f t="shared" si="1"/>
        <v>-83921.46</v>
      </c>
      <c r="K132" s="54" t="s">
        <v>15</v>
      </c>
    </row>
    <row r="133" spans="2:11" ht="16.5" x14ac:dyDescent="0.2">
      <c r="B133" s="82" t="s">
        <v>2252</v>
      </c>
      <c r="C133" s="82" t="s">
        <v>2253</v>
      </c>
      <c r="D133" s="54"/>
      <c r="E133" s="83">
        <f>SUMIFS(E134:E345,K134:K345,"0",B134:B345,"3 2 5 2*")-SUMIFS(D134:D345,K134:K345,"0",B134:B345,"3 2 5 2*")</f>
        <v>-83921.46</v>
      </c>
      <c r="F133" s="83">
        <f>SUMIFS(F134:F345,K134:K345,"0",B134:B345,"3 2 5 2*")</f>
        <v>0</v>
      </c>
      <c r="G133" s="83">
        <f>SUMIFS(G134:G345,K134:K345,"0",B134:B345,"3 2 5 2*")</f>
        <v>0</v>
      </c>
      <c r="H133" s="83"/>
      <c r="I133" s="83">
        <f t="shared" si="1"/>
        <v>-83921.46</v>
      </c>
      <c r="K133" s="54" t="s">
        <v>15</v>
      </c>
    </row>
    <row r="134" spans="2:11" ht="16.5" x14ac:dyDescent="0.2">
      <c r="B134" s="82" t="s">
        <v>2254</v>
      </c>
      <c r="C134" s="82" t="s">
        <v>2253</v>
      </c>
      <c r="D134" s="54"/>
      <c r="E134" s="83">
        <f>SUMIFS(E135:E345,K135:K345,"0",B135:B345,"3 2 5 2 1*")-SUMIFS(D135:D345,K135:K345,"0",B135:B345,"3 2 5 2 1*")</f>
        <v>-83921.46</v>
      </c>
      <c r="F134" s="83">
        <f>SUMIFS(F135:F345,K135:K345,"0",B135:B345,"3 2 5 2 1*")</f>
        <v>0</v>
      </c>
      <c r="G134" s="83">
        <f>SUMIFS(G135:G345,K135:K345,"0",B135:B345,"3 2 5 2 1*")</f>
        <v>0</v>
      </c>
      <c r="H134" s="83"/>
      <c r="I134" s="83">
        <f t="shared" si="1"/>
        <v>-83921.46</v>
      </c>
      <c r="K134" s="54" t="s">
        <v>15</v>
      </c>
    </row>
    <row r="135" spans="2:11" ht="12.75" x14ac:dyDescent="0.2">
      <c r="B135" s="82" t="s">
        <v>2255</v>
      </c>
      <c r="C135" s="82" t="s">
        <v>26</v>
      </c>
      <c r="D135" s="54"/>
      <c r="E135" s="83">
        <f>SUMIFS(E136:E345,K136:K345,"0",B136:B345,"3 2 5 2 1 12*")-SUMIFS(D136:D345,K136:K345,"0",B136:B345,"3 2 5 2 1 12*")</f>
        <v>-83921.46</v>
      </c>
      <c r="F135" s="83">
        <f>SUMIFS(F136:F345,K136:K345,"0",B136:B345,"3 2 5 2 1 12*")</f>
        <v>0</v>
      </c>
      <c r="G135" s="83">
        <f>SUMIFS(G136:G345,K136:K345,"0",B136:B345,"3 2 5 2 1 12*")</f>
        <v>0</v>
      </c>
      <c r="H135" s="83"/>
      <c r="I135" s="83">
        <f t="shared" si="1"/>
        <v>-83921.46</v>
      </c>
      <c r="K135" s="54" t="s">
        <v>15</v>
      </c>
    </row>
    <row r="136" spans="2:11" ht="16.5" x14ac:dyDescent="0.2">
      <c r="B136" s="82" t="s">
        <v>2256</v>
      </c>
      <c r="C136" s="82" t="s">
        <v>28</v>
      </c>
      <c r="D136" s="54"/>
      <c r="E136" s="83">
        <f>SUMIFS(E137:E345,K137:K345,"0",B137:B345,"3 2 5 2 1 12 31111*")-SUMIFS(D137:D345,K137:K345,"0",B137:B345,"3 2 5 2 1 12 31111*")</f>
        <v>-83921.46</v>
      </c>
      <c r="F136" s="83">
        <f>SUMIFS(F137:F345,K137:K345,"0",B137:B345,"3 2 5 2 1 12 31111*")</f>
        <v>0</v>
      </c>
      <c r="G136" s="83">
        <f>SUMIFS(G137:G345,K137:K345,"0",B137:B345,"3 2 5 2 1 12 31111*")</f>
        <v>0</v>
      </c>
      <c r="H136" s="83"/>
      <c r="I136" s="83">
        <f t="shared" si="1"/>
        <v>-83921.46</v>
      </c>
      <c r="K136" s="54" t="s">
        <v>15</v>
      </c>
    </row>
    <row r="137" spans="2:11" ht="12.75" x14ac:dyDescent="0.2">
      <c r="B137" s="82" t="s">
        <v>2257</v>
      </c>
      <c r="C137" s="82" t="s">
        <v>30</v>
      </c>
      <c r="D137" s="54"/>
      <c r="E137" s="83">
        <f>SUMIFS(E138:E345,K138:K345,"0",B138:B345,"3 2 5 2 1 12 31111 6*")-SUMIFS(D138:D345,K138:K345,"0",B138:B345,"3 2 5 2 1 12 31111 6*")</f>
        <v>-83921.46</v>
      </c>
      <c r="F137" s="83">
        <f>SUMIFS(F138:F345,K138:K345,"0",B138:B345,"3 2 5 2 1 12 31111 6*")</f>
        <v>0</v>
      </c>
      <c r="G137" s="83">
        <f>SUMIFS(G138:G345,K138:K345,"0",B138:B345,"3 2 5 2 1 12 31111 6*")</f>
        <v>0</v>
      </c>
      <c r="H137" s="83"/>
      <c r="I137" s="83">
        <f t="shared" ref="I137:I181" si="2">E137 - F137 + G137</f>
        <v>-83921.46</v>
      </c>
      <c r="K137" s="54" t="s">
        <v>15</v>
      </c>
    </row>
    <row r="138" spans="2:11" ht="16.5" x14ac:dyDescent="0.2">
      <c r="B138" s="82" t="s">
        <v>2258</v>
      </c>
      <c r="C138" s="82" t="s">
        <v>32</v>
      </c>
      <c r="D138" s="54"/>
      <c r="E138" s="83">
        <f>SUMIFS(E139:E345,K139:K345,"0",B139:B345,"3 2 5 2 1 12 31111 6 M59*")-SUMIFS(D139:D345,K139:K345,"0",B139:B345,"3 2 5 2 1 12 31111 6 M59*")</f>
        <v>-83921.46</v>
      </c>
      <c r="F138" s="83">
        <f>SUMIFS(F139:F345,K139:K345,"0",B139:B345,"3 2 5 2 1 12 31111 6 M59*")</f>
        <v>0</v>
      </c>
      <c r="G138" s="83">
        <f>SUMIFS(G139:G345,K139:K345,"0",B139:B345,"3 2 5 2 1 12 31111 6 M59*")</f>
        <v>0</v>
      </c>
      <c r="H138" s="83"/>
      <c r="I138" s="83">
        <f t="shared" si="2"/>
        <v>-83921.46</v>
      </c>
      <c r="K138" s="54" t="s">
        <v>15</v>
      </c>
    </row>
    <row r="139" spans="2:11" ht="16.5" x14ac:dyDescent="0.2">
      <c r="B139" s="82" t="s">
        <v>2269</v>
      </c>
      <c r="C139" s="82" t="s">
        <v>1075</v>
      </c>
      <c r="D139" s="54"/>
      <c r="E139" s="83">
        <f>SUMIFS(E140:E345,K140:K345,"0",B140:B345,"3 2 5 2 1 12 31111 6 M59 00005*")-SUMIFS(D140:D345,K140:K345,"0",B140:B345,"3 2 5 2 1 12 31111 6 M59 00005*")</f>
        <v>-83921.46</v>
      </c>
      <c r="F139" s="83">
        <f>SUMIFS(F140:F345,K140:K345,"0",B140:B345,"3 2 5 2 1 12 31111 6 M59 00005*")</f>
        <v>0</v>
      </c>
      <c r="G139" s="83">
        <f>SUMIFS(G140:G345,K140:K345,"0",B140:B345,"3 2 5 2 1 12 31111 6 M59 00005*")</f>
        <v>0</v>
      </c>
      <c r="H139" s="83"/>
      <c r="I139" s="83">
        <f t="shared" si="2"/>
        <v>-83921.46</v>
      </c>
      <c r="K139" s="54" t="s">
        <v>15</v>
      </c>
    </row>
    <row r="140" spans="2:11" ht="16.5" x14ac:dyDescent="0.2">
      <c r="B140" s="84" t="s">
        <v>2270</v>
      </c>
      <c r="C140" s="84" t="s">
        <v>2253</v>
      </c>
      <c r="D140" s="85"/>
      <c r="E140" s="85">
        <v>-83921.46</v>
      </c>
      <c r="F140" s="85">
        <v>0</v>
      </c>
      <c r="G140" s="85">
        <v>0</v>
      </c>
      <c r="H140" s="85"/>
      <c r="I140" s="85">
        <f t="shared" si="2"/>
        <v>-83921.46</v>
      </c>
      <c r="K140" s="54" t="s">
        <v>38</v>
      </c>
    </row>
    <row r="141" spans="2:11" ht="16.5" x14ac:dyDescent="0.2">
      <c r="B141" s="82" t="s">
        <v>2271</v>
      </c>
      <c r="C141" s="82" t="s">
        <v>2272</v>
      </c>
      <c r="D141" s="54"/>
      <c r="E141" s="83">
        <f>SUMIFS(E142:E345,K142:K345,"0",B142:B345,"4*")-SUMIFS(D142:D345,K142:K345,"0",B142:B345,"4*")</f>
        <v>0</v>
      </c>
      <c r="F141" s="83">
        <f>SUMIFS(F142:F345,K142:K345,"0",B142:B345,"4*")</f>
        <v>0</v>
      </c>
      <c r="G141" s="83">
        <f>SUMIFS(G142:G345,K142:K345,"0",B142:B345,"4*")</f>
        <v>1601308.58</v>
      </c>
      <c r="H141" s="83"/>
      <c r="I141" s="83">
        <f t="shared" si="2"/>
        <v>1601308.58</v>
      </c>
      <c r="K141" s="54" t="s">
        <v>15</v>
      </c>
    </row>
    <row r="142" spans="2:11" ht="12.75" x14ac:dyDescent="0.2">
      <c r="B142" s="82" t="s">
        <v>2273</v>
      </c>
      <c r="C142" s="82" t="s">
        <v>2274</v>
      </c>
      <c r="D142" s="54"/>
      <c r="E142" s="83">
        <f>SUMIFS(E143:E345,K143:K345,"0",B143:B345,"4 1*")-SUMIFS(D143:D345,K143:K345,"0",B143:B345,"4 1*")</f>
        <v>0</v>
      </c>
      <c r="F142" s="83">
        <f>SUMIFS(F143:F345,K143:K345,"0",B143:B345,"4 1*")</f>
        <v>0</v>
      </c>
      <c r="G142" s="83">
        <f>SUMIFS(G143:G345,K143:K345,"0",B143:B345,"4 1*")</f>
        <v>4.05</v>
      </c>
      <c r="H142" s="83"/>
      <c r="I142" s="83">
        <f t="shared" si="2"/>
        <v>4.05</v>
      </c>
      <c r="K142" s="54" t="s">
        <v>15</v>
      </c>
    </row>
    <row r="143" spans="2:11" ht="12.75" x14ac:dyDescent="0.2">
      <c r="B143" s="82" t="s">
        <v>2651</v>
      </c>
      <c r="C143" s="82" t="s">
        <v>252</v>
      </c>
      <c r="D143" s="54"/>
      <c r="E143" s="83">
        <f>SUMIFS(E144:E345,K144:K345,"0",B144:B345,"4 1 5*")-SUMIFS(D144:D345,K144:K345,"0",B144:B345,"4 1 5*")</f>
        <v>0</v>
      </c>
      <c r="F143" s="83">
        <f>SUMIFS(F144:F345,K144:K345,"0",B144:B345,"4 1 5*")</f>
        <v>0</v>
      </c>
      <c r="G143" s="83">
        <f>SUMIFS(G144:G345,K144:K345,"0",B144:B345,"4 1 5*")</f>
        <v>4.05</v>
      </c>
      <c r="H143" s="83"/>
      <c r="I143" s="83">
        <f t="shared" si="2"/>
        <v>4.05</v>
      </c>
      <c r="K143" s="54" t="s">
        <v>15</v>
      </c>
    </row>
    <row r="144" spans="2:11" ht="57.75" x14ac:dyDescent="0.2">
      <c r="B144" s="82" t="s">
        <v>2715</v>
      </c>
      <c r="C144" s="82" t="s">
        <v>2716</v>
      </c>
      <c r="D144" s="54"/>
      <c r="E144" s="83">
        <f>SUMIFS(E145:E345,K145:K345,"0",B145:B345,"4 1 5 4*")-SUMIFS(D145:D345,K145:K345,"0",B145:B345,"4 1 5 4*")</f>
        <v>0</v>
      </c>
      <c r="F144" s="83">
        <f>SUMIFS(F145:F345,K145:K345,"0",B145:B345,"4 1 5 4*")</f>
        <v>0</v>
      </c>
      <c r="G144" s="83">
        <f>SUMIFS(G145:G345,K145:K345,"0",B145:B345,"4 1 5 4*")</f>
        <v>4.05</v>
      </c>
      <c r="H144" s="83"/>
      <c r="I144" s="83">
        <f t="shared" si="2"/>
        <v>4.05</v>
      </c>
      <c r="K144" s="54" t="s">
        <v>15</v>
      </c>
    </row>
    <row r="145" spans="2:11" ht="57.75" x14ac:dyDescent="0.2">
      <c r="B145" s="82" t="s">
        <v>2717</v>
      </c>
      <c r="C145" s="82" t="s">
        <v>2716</v>
      </c>
      <c r="D145" s="54"/>
      <c r="E145" s="83">
        <f>SUMIFS(E146:E345,K146:K345,"0",B146:B345,"4 1 5 4 1*")-SUMIFS(D146:D345,K146:K345,"0",B146:B345,"4 1 5 4 1*")</f>
        <v>0</v>
      </c>
      <c r="F145" s="83">
        <f>SUMIFS(F146:F345,K146:K345,"0",B146:B345,"4 1 5 4 1*")</f>
        <v>0</v>
      </c>
      <c r="G145" s="83">
        <f>SUMIFS(G146:G345,K146:K345,"0",B146:B345,"4 1 5 4 1*")</f>
        <v>4.05</v>
      </c>
      <c r="H145" s="83"/>
      <c r="I145" s="83">
        <f t="shared" si="2"/>
        <v>4.05</v>
      </c>
      <c r="K145" s="54" t="s">
        <v>15</v>
      </c>
    </row>
    <row r="146" spans="2:11" ht="12.75" x14ac:dyDescent="0.2">
      <c r="B146" s="82" t="s">
        <v>2718</v>
      </c>
      <c r="C146" s="82" t="s">
        <v>26</v>
      </c>
      <c r="D146" s="54"/>
      <c r="E146" s="83">
        <f>SUMIFS(E147:E345,K147:K345,"0",B147:B345,"4 1 5 4 1 12*")-SUMIFS(D147:D345,K147:K345,"0",B147:B345,"4 1 5 4 1 12*")</f>
        <v>0</v>
      </c>
      <c r="F146" s="83">
        <f>SUMIFS(F147:F345,K147:K345,"0",B147:B345,"4 1 5 4 1 12*")</f>
        <v>0</v>
      </c>
      <c r="G146" s="83">
        <f>SUMIFS(G147:G345,K147:K345,"0",B147:B345,"4 1 5 4 1 12*")</f>
        <v>4.05</v>
      </c>
      <c r="H146" s="83"/>
      <c r="I146" s="83">
        <f t="shared" si="2"/>
        <v>4.05</v>
      </c>
      <c r="K146" s="54" t="s">
        <v>15</v>
      </c>
    </row>
    <row r="147" spans="2:11" ht="16.5" x14ac:dyDescent="0.2">
      <c r="B147" s="82" t="s">
        <v>2719</v>
      </c>
      <c r="C147" s="82" t="s">
        <v>28</v>
      </c>
      <c r="D147" s="54"/>
      <c r="E147" s="83">
        <f>SUMIFS(E148:E345,K148:K345,"0",B148:B345,"4 1 5 4 1 12 31111*")-SUMIFS(D148:D345,K148:K345,"0",B148:B345,"4 1 5 4 1 12 31111*")</f>
        <v>0</v>
      </c>
      <c r="F147" s="83">
        <f>SUMIFS(F148:F345,K148:K345,"0",B148:B345,"4 1 5 4 1 12 31111*")</f>
        <v>0</v>
      </c>
      <c r="G147" s="83">
        <f>SUMIFS(G148:G345,K148:K345,"0",B148:B345,"4 1 5 4 1 12 31111*")</f>
        <v>4.05</v>
      </c>
      <c r="H147" s="83"/>
      <c r="I147" s="83">
        <f t="shared" si="2"/>
        <v>4.05</v>
      </c>
      <c r="K147" s="54" t="s">
        <v>15</v>
      </c>
    </row>
    <row r="148" spans="2:11" ht="12.75" x14ac:dyDescent="0.2">
      <c r="B148" s="82" t="s">
        <v>2720</v>
      </c>
      <c r="C148" s="82" t="s">
        <v>30</v>
      </c>
      <c r="D148" s="54"/>
      <c r="E148" s="83">
        <f>SUMIFS(E149:E345,K149:K345,"0",B149:B345,"4 1 5 4 1 12 31111 6*")-SUMIFS(D149:D345,K149:K345,"0",B149:B345,"4 1 5 4 1 12 31111 6*")</f>
        <v>0</v>
      </c>
      <c r="F148" s="83">
        <f>SUMIFS(F149:F345,K149:K345,"0",B149:B345,"4 1 5 4 1 12 31111 6*")</f>
        <v>0</v>
      </c>
      <c r="G148" s="83">
        <f>SUMIFS(G149:G345,K149:K345,"0",B149:B345,"4 1 5 4 1 12 31111 6*")</f>
        <v>4.05</v>
      </c>
      <c r="H148" s="83"/>
      <c r="I148" s="83">
        <f t="shared" si="2"/>
        <v>4.05</v>
      </c>
      <c r="K148" s="54" t="s">
        <v>15</v>
      </c>
    </row>
    <row r="149" spans="2:11" ht="16.5" x14ac:dyDescent="0.2">
      <c r="B149" s="82" t="s">
        <v>2721</v>
      </c>
      <c r="C149" s="82" t="s">
        <v>2284</v>
      </c>
      <c r="D149" s="54"/>
      <c r="E149" s="83">
        <f>SUMIFS(E150:E345,K150:K345,"0",B150:B345,"4 1 5 4 1 12 31111 6 M59*")-SUMIFS(D150:D345,K150:K345,"0",B150:B345,"4 1 5 4 1 12 31111 6 M59*")</f>
        <v>0</v>
      </c>
      <c r="F149" s="83">
        <f>SUMIFS(F150:F345,K150:K345,"0",B150:B345,"4 1 5 4 1 12 31111 6 M59*")</f>
        <v>0</v>
      </c>
      <c r="G149" s="83">
        <f>SUMIFS(G150:G345,K150:K345,"0",B150:B345,"4 1 5 4 1 12 31111 6 M59*")</f>
        <v>4.05</v>
      </c>
      <c r="H149" s="83"/>
      <c r="I149" s="83">
        <f t="shared" si="2"/>
        <v>4.05</v>
      </c>
      <c r="K149" s="54" t="s">
        <v>15</v>
      </c>
    </row>
    <row r="150" spans="2:11" ht="16.5" x14ac:dyDescent="0.2">
      <c r="B150" s="82" t="s">
        <v>2722</v>
      </c>
      <c r="C150" s="82" t="s">
        <v>1044</v>
      </c>
      <c r="D150" s="54"/>
      <c r="E150" s="83">
        <f>SUMIFS(E151:E345,K151:K345,"0",B151:B345,"4 1 5 4 1 12 31111 6 M59 19000*")-SUMIFS(D151:D345,K151:K345,"0",B151:B345,"4 1 5 4 1 12 31111 6 M59 19000*")</f>
        <v>0</v>
      </c>
      <c r="F150" s="83">
        <f>SUMIFS(F151:F345,K151:K345,"0",B151:B345,"4 1 5 4 1 12 31111 6 M59 19000*")</f>
        <v>0</v>
      </c>
      <c r="G150" s="83">
        <f>SUMIFS(G151:G345,K151:K345,"0",B151:B345,"4 1 5 4 1 12 31111 6 M59 19000*")</f>
        <v>4.05</v>
      </c>
      <c r="H150" s="83"/>
      <c r="I150" s="83">
        <f t="shared" si="2"/>
        <v>4.05</v>
      </c>
      <c r="K150" s="54" t="s">
        <v>15</v>
      </c>
    </row>
    <row r="151" spans="2:11" ht="16.5" x14ac:dyDescent="0.2">
      <c r="B151" s="82" t="s">
        <v>2723</v>
      </c>
      <c r="C151" s="82" t="s">
        <v>2287</v>
      </c>
      <c r="D151" s="54"/>
      <c r="E151" s="83">
        <f>SUMIFS(E152:E345,K152:K345,"0",B152:B345,"4 1 5 4 1 12 31111 6 M59 19000 000000*")-SUMIFS(D152:D345,K152:K345,"0",B152:B345,"4 1 5 4 1 12 31111 6 M59 19000 000000*")</f>
        <v>0</v>
      </c>
      <c r="F151" s="83">
        <f>SUMIFS(F152:F345,K152:K345,"0",B152:B345,"4 1 5 4 1 12 31111 6 M59 19000 000000*")</f>
        <v>0</v>
      </c>
      <c r="G151" s="83">
        <f>SUMIFS(G152:G345,K152:K345,"0",B152:B345,"4 1 5 4 1 12 31111 6 M59 19000 000000*")</f>
        <v>4.05</v>
      </c>
      <c r="H151" s="83"/>
      <c r="I151" s="83">
        <f t="shared" si="2"/>
        <v>4.05</v>
      </c>
      <c r="K151" s="54" t="s">
        <v>15</v>
      </c>
    </row>
    <row r="152" spans="2:11" ht="24.75" x14ac:dyDescent="0.2">
      <c r="B152" s="82" t="s">
        <v>2724</v>
      </c>
      <c r="C152" s="82" t="s">
        <v>2289</v>
      </c>
      <c r="D152" s="54"/>
      <c r="E152" s="83">
        <f>SUMIFS(E153:E345,K153:K345,"0",B153:B345,"4 1 5 4 1 12 31111 6 M59 19000 000000 00000*")-SUMIFS(D153:D345,K153:K345,"0",B153:B345,"4 1 5 4 1 12 31111 6 M59 19000 000000 00000*")</f>
        <v>0</v>
      </c>
      <c r="F152" s="83">
        <f>SUMIFS(F153:F345,K153:K345,"0",B153:B345,"4 1 5 4 1 12 31111 6 M59 19000 000000 00000*")</f>
        <v>0</v>
      </c>
      <c r="G152" s="83">
        <f>SUMIFS(G153:G345,K153:K345,"0",B153:B345,"4 1 5 4 1 12 31111 6 M59 19000 000000 00000*")</f>
        <v>4.05</v>
      </c>
      <c r="H152" s="83"/>
      <c r="I152" s="83">
        <f t="shared" si="2"/>
        <v>4.05</v>
      </c>
      <c r="K152" s="54" t="s">
        <v>15</v>
      </c>
    </row>
    <row r="153" spans="2:11" ht="24.75" x14ac:dyDescent="0.2">
      <c r="B153" s="82" t="s">
        <v>2725</v>
      </c>
      <c r="C153" s="82" t="s">
        <v>2291</v>
      </c>
      <c r="D153" s="54"/>
      <c r="E153" s="83">
        <f>SUMIFS(E154:E345,K154:K345,"0",B154:B345,"4 1 5 4 1 12 31111 6 M59 19000 000000 00000 00000*")-SUMIFS(D154:D345,K154:K345,"0",B154:B345,"4 1 5 4 1 12 31111 6 M59 19000 000000 00000 00000*")</f>
        <v>0</v>
      </c>
      <c r="F153" s="83">
        <f>SUMIFS(F154:F345,K154:K345,"0",B154:B345,"4 1 5 4 1 12 31111 6 M59 19000 000000 00000 00000*")</f>
        <v>0</v>
      </c>
      <c r="G153" s="83">
        <f>SUMIFS(G154:G345,K154:K345,"0",B154:B345,"4 1 5 4 1 12 31111 6 M59 19000 000000 00000 00000*")</f>
        <v>4.05</v>
      </c>
      <c r="H153" s="83"/>
      <c r="I153" s="83">
        <f t="shared" si="2"/>
        <v>4.05</v>
      </c>
      <c r="K153" s="54" t="s">
        <v>15</v>
      </c>
    </row>
    <row r="154" spans="2:11" ht="57.75" x14ac:dyDescent="0.2">
      <c r="B154" s="82" t="s">
        <v>2726</v>
      </c>
      <c r="C154" s="82" t="s">
        <v>2727</v>
      </c>
      <c r="D154" s="54"/>
      <c r="E154" s="83">
        <f>SUMIFS(E155:E345,K155:K345,"0",B155:B345,"4 1 5 4 1 12 31111 6 M59 19000 000000 00000 00000 00059*")-SUMIFS(D155:D345,K155:K345,"0",B155:B345,"4 1 5 4 1 12 31111 6 M59 19000 000000 00000 00000 00059*")</f>
        <v>0</v>
      </c>
      <c r="F154" s="83">
        <f>SUMIFS(F155:F345,K155:K345,"0",B155:B345,"4 1 5 4 1 12 31111 6 M59 19000 000000 00000 00000 00059*")</f>
        <v>0</v>
      </c>
      <c r="G154" s="83">
        <f>SUMIFS(G155:G345,K155:K345,"0",B155:B345,"4 1 5 4 1 12 31111 6 M59 19000 000000 00000 00000 00059*")</f>
        <v>4.05</v>
      </c>
      <c r="H154" s="83"/>
      <c r="I154" s="83">
        <f t="shared" si="2"/>
        <v>4.05</v>
      </c>
      <c r="K154" s="54" t="s">
        <v>15</v>
      </c>
    </row>
    <row r="155" spans="2:11" ht="33" x14ac:dyDescent="0.2">
      <c r="B155" s="82" t="s">
        <v>2728</v>
      </c>
      <c r="C155" s="82" t="s">
        <v>1051</v>
      </c>
      <c r="D155" s="54"/>
      <c r="E155" s="83">
        <f>SUMIFS(E156:E345,K156:K345,"0",B156:B345,"4 1 5 4 1 12 31111 6 M59 19000 000000 00000 00000 00059 015*")-SUMIFS(D156:D345,K156:K345,"0",B156:B345,"4 1 5 4 1 12 31111 6 M59 19000 000000 00000 00000 00059 015*")</f>
        <v>0</v>
      </c>
      <c r="F155" s="83">
        <f>SUMIFS(F156:F345,K156:K345,"0",B156:B345,"4 1 5 4 1 12 31111 6 M59 19000 000000 00000 00000 00059 015*")</f>
        <v>0</v>
      </c>
      <c r="G155" s="83">
        <f>SUMIFS(G156:G345,K156:K345,"0",B156:B345,"4 1 5 4 1 12 31111 6 M59 19000 000000 00000 00000 00059 015*")</f>
        <v>4.05</v>
      </c>
      <c r="H155" s="83"/>
      <c r="I155" s="83">
        <f t="shared" si="2"/>
        <v>4.05</v>
      </c>
      <c r="K155" s="54" t="s">
        <v>15</v>
      </c>
    </row>
    <row r="156" spans="2:11" ht="33" x14ac:dyDescent="0.2">
      <c r="B156" s="82" t="s">
        <v>2729</v>
      </c>
      <c r="C156" s="82" t="s">
        <v>2692</v>
      </c>
      <c r="D156" s="54"/>
      <c r="E156" s="83">
        <f>SUMIFS(E157:E345,K157:K345,"0",B157:B345,"4 1 5 4 1 12 31111 6 M59 19000 000000 00000 00000 00059 015 1142000*")-SUMIFS(D157:D345,K157:K345,"0",B157:B345,"4 1 5 4 1 12 31111 6 M59 19000 000000 00000 00000 00059 015 1142000*")</f>
        <v>0</v>
      </c>
      <c r="F156" s="83">
        <f>SUMIFS(F157:F345,K157:K345,"0",B157:B345,"4 1 5 4 1 12 31111 6 M59 19000 000000 00000 00000 00059 015 1142000*")</f>
        <v>0</v>
      </c>
      <c r="G156" s="83">
        <f>SUMIFS(G157:G345,K157:K345,"0",B157:B345,"4 1 5 4 1 12 31111 6 M59 19000 000000 00000 00000 00059 015 1142000*")</f>
        <v>4.05</v>
      </c>
      <c r="H156" s="83"/>
      <c r="I156" s="83">
        <f t="shared" si="2"/>
        <v>4.05</v>
      </c>
      <c r="K156" s="54" t="s">
        <v>15</v>
      </c>
    </row>
    <row r="157" spans="2:11" ht="33" x14ac:dyDescent="0.2">
      <c r="B157" s="82" t="s">
        <v>2730</v>
      </c>
      <c r="C157" s="82" t="s">
        <v>660</v>
      </c>
      <c r="D157" s="54"/>
      <c r="E157" s="83">
        <f>SUMIFS(E158:E345,K158:K345,"0",B158:B345,"4 1 5 4 1 12 31111 6 M59 19000 000000 00000 00000 00059 015 1142000 2024*")-SUMIFS(D158:D345,K158:K345,"0",B158:B345,"4 1 5 4 1 12 31111 6 M59 19000 000000 00000 00000 00059 015 1142000 2024*")</f>
        <v>0</v>
      </c>
      <c r="F157" s="83">
        <f>SUMIFS(F158:F345,K158:K345,"0",B158:B345,"4 1 5 4 1 12 31111 6 M59 19000 000000 00000 00000 00059 015 1142000 2024*")</f>
        <v>0</v>
      </c>
      <c r="G157" s="83">
        <f>SUMIFS(G158:G345,K158:K345,"0",B158:B345,"4 1 5 4 1 12 31111 6 M59 19000 000000 00000 00000 00059 015 1142000 2024*")</f>
        <v>4.05</v>
      </c>
      <c r="H157" s="83"/>
      <c r="I157" s="83">
        <f t="shared" si="2"/>
        <v>4.05</v>
      </c>
      <c r="K157" s="54" t="s">
        <v>15</v>
      </c>
    </row>
    <row r="158" spans="2:11" ht="41.25" x14ac:dyDescent="0.2">
      <c r="B158" s="82" t="s">
        <v>2731</v>
      </c>
      <c r="C158" s="82" t="s">
        <v>2732</v>
      </c>
      <c r="D158" s="54"/>
      <c r="E158" s="83">
        <f>SUMIFS(E159:E345,K159:K345,"0",B159:B345,"4 1 5 4 1 12 31111 6 M59 19000 000000 00000 00000 00059 015 1142000 2024 00000000*")-SUMIFS(D159:D345,K159:K345,"0",B159:B345,"4 1 5 4 1 12 31111 6 M59 19000 000000 00000 00000 00059 015 1142000 2024 00000000*")</f>
        <v>0</v>
      </c>
      <c r="F158" s="83">
        <f>SUMIFS(F159:F345,K159:K345,"0",B159:B345,"4 1 5 4 1 12 31111 6 M59 19000 000000 00000 00000 00059 015 1142000 2024 00000000*")</f>
        <v>0</v>
      </c>
      <c r="G158" s="83">
        <f>SUMIFS(G159:G345,K159:K345,"0",B159:B345,"4 1 5 4 1 12 31111 6 M59 19000 000000 00000 00000 00059 015 1142000 2024 00000000*")</f>
        <v>4.05</v>
      </c>
      <c r="H158" s="83"/>
      <c r="I158" s="83">
        <f t="shared" si="2"/>
        <v>4.05</v>
      </c>
      <c r="K158" s="54" t="s">
        <v>15</v>
      </c>
    </row>
    <row r="159" spans="2:11" ht="41.25" x14ac:dyDescent="0.2">
      <c r="B159" s="82" t="s">
        <v>2733</v>
      </c>
      <c r="C159" s="82" t="s">
        <v>1075</v>
      </c>
      <c r="D159" s="54"/>
      <c r="E159" s="83">
        <f>SUMIFS(E160:E345,K160:K345,"0",B160:B345,"4 1 5 4 1 12 31111 6 M59 19000 000000 00000 00000 00059 015 1142000 2024 00000000 005*")-SUMIFS(D160:D345,K160:K345,"0",B160:B345,"4 1 5 4 1 12 31111 6 M59 19000 000000 00000 00000 00059 015 1142000 2024 00000000 005*")</f>
        <v>0</v>
      </c>
      <c r="F159" s="83">
        <f>SUMIFS(F160:F345,K160:K345,"0",B160:B345,"4 1 5 4 1 12 31111 6 M59 19000 000000 00000 00000 00059 015 1142000 2024 00000000 005*")</f>
        <v>0</v>
      </c>
      <c r="G159" s="83">
        <f>SUMIFS(G160:G345,K160:K345,"0",B160:B345,"4 1 5 4 1 12 31111 6 M59 19000 000000 00000 00000 00059 015 1142000 2024 00000000 005*")</f>
        <v>4.05</v>
      </c>
      <c r="H159" s="83"/>
      <c r="I159" s="83">
        <f t="shared" si="2"/>
        <v>4.05</v>
      </c>
      <c r="K159" s="54" t="s">
        <v>15</v>
      </c>
    </row>
    <row r="160" spans="2:11" ht="49.5" x14ac:dyDescent="0.2">
      <c r="B160" s="82" t="s">
        <v>2734</v>
      </c>
      <c r="C160" s="82" t="s">
        <v>2735</v>
      </c>
      <c r="D160" s="54"/>
      <c r="E160" s="83">
        <f>SUMIFS(E161:E345,K161:K345,"0",B161:B345,"4 1 5 4 1 12 31111 6 M59 19000 000000 00000 00000 00059 015 1142000 2024 00000000 005 0000001*")-SUMIFS(D161:D345,K161:K345,"0",B161:B345,"4 1 5 4 1 12 31111 6 M59 19000 000000 00000 00000 00059 015 1142000 2024 00000000 005 0000001*")</f>
        <v>0</v>
      </c>
      <c r="F160" s="83">
        <f>SUMIFS(F161:F345,K161:K345,"0",B161:B345,"4 1 5 4 1 12 31111 6 M59 19000 000000 00000 00000 00059 015 1142000 2024 00000000 005 0000001*")</f>
        <v>0</v>
      </c>
      <c r="G160" s="83">
        <f>SUMIFS(G161:G345,K161:K345,"0",B161:B345,"4 1 5 4 1 12 31111 6 M59 19000 000000 00000 00000 00059 015 1142000 2024 00000000 005 0000001*")</f>
        <v>4.05</v>
      </c>
      <c r="H160" s="83"/>
      <c r="I160" s="83">
        <f t="shared" si="2"/>
        <v>4.05</v>
      </c>
      <c r="K160" s="54" t="s">
        <v>15</v>
      </c>
    </row>
    <row r="161" spans="2:11" ht="41.25" x14ac:dyDescent="0.2">
      <c r="B161" s="84" t="s">
        <v>2736</v>
      </c>
      <c r="C161" s="84" t="s">
        <v>252</v>
      </c>
      <c r="D161" s="85"/>
      <c r="E161" s="85">
        <v>0</v>
      </c>
      <c r="F161" s="85">
        <v>0</v>
      </c>
      <c r="G161" s="85">
        <v>4.05</v>
      </c>
      <c r="H161" s="85"/>
      <c r="I161" s="85">
        <f t="shared" si="2"/>
        <v>4.05</v>
      </c>
      <c r="K161" s="54" t="s">
        <v>38</v>
      </c>
    </row>
    <row r="162" spans="2:11" ht="82.5" x14ac:dyDescent="0.2">
      <c r="B162" s="82" t="s">
        <v>2772</v>
      </c>
      <c r="C162" s="82" t="s">
        <v>2773</v>
      </c>
      <c r="D162" s="54"/>
      <c r="E162" s="83">
        <f>SUMIFS(E163:E345,K163:K345,"0",B163:B345,"4 2*")-SUMIFS(D163:D345,K163:K345,"0",B163:B345,"4 2*")</f>
        <v>0</v>
      </c>
      <c r="F162" s="83">
        <f>SUMIFS(F163:F345,K163:K345,"0",B163:B345,"4 2*")</f>
        <v>0</v>
      </c>
      <c r="G162" s="83">
        <f>SUMIFS(G163:G345,K163:K345,"0",B163:B345,"4 2*")</f>
        <v>1601304.53</v>
      </c>
      <c r="H162" s="83"/>
      <c r="I162" s="83">
        <f t="shared" si="2"/>
        <v>1601304.53</v>
      </c>
      <c r="K162" s="54" t="s">
        <v>15</v>
      </c>
    </row>
    <row r="163" spans="2:11" ht="49.5" x14ac:dyDescent="0.2">
      <c r="B163" s="82" t="s">
        <v>2774</v>
      </c>
      <c r="C163" s="82" t="s">
        <v>2775</v>
      </c>
      <c r="D163" s="54"/>
      <c r="E163" s="83">
        <f>SUMIFS(E164:E345,K164:K345,"0",B164:B345,"4 2 1*")-SUMIFS(D164:D345,K164:K345,"0",B164:B345,"4 2 1*")</f>
        <v>0</v>
      </c>
      <c r="F163" s="83">
        <f>SUMIFS(F164:F345,K164:K345,"0",B164:B345,"4 2 1*")</f>
        <v>0</v>
      </c>
      <c r="G163" s="83">
        <f>SUMIFS(G164:G345,K164:K345,"0",B164:B345,"4 2 1*")</f>
        <v>1601304.53</v>
      </c>
      <c r="H163" s="83"/>
      <c r="I163" s="83">
        <f t="shared" si="2"/>
        <v>1601304.53</v>
      </c>
      <c r="K163" s="54" t="s">
        <v>15</v>
      </c>
    </row>
    <row r="164" spans="2:11" ht="12.75" x14ac:dyDescent="0.2">
      <c r="B164" s="82" t="s">
        <v>2776</v>
      </c>
      <c r="C164" s="82" t="s">
        <v>2777</v>
      </c>
      <c r="D164" s="54"/>
      <c r="E164" s="83">
        <f>SUMIFS(E165:E345,K165:K345,"0",B165:B345,"4 2 1 1*")-SUMIFS(D165:D345,K165:K345,"0",B165:B345,"4 2 1 1*")</f>
        <v>0</v>
      </c>
      <c r="F164" s="83">
        <f>SUMIFS(F165:F345,K165:K345,"0",B165:B345,"4 2 1 1*")</f>
        <v>0</v>
      </c>
      <c r="G164" s="83">
        <f>SUMIFS(G165:G345,K165:K345,"0",B165:B345,"4 2 1 1*")</f>
        <v>1601304.53</v>
      </c>
      <c r="H164" s="83"/>
      <c r="I164" s="83">
        <f t="shared" si="2"/>
        <v>1601304.53</v>
      </c>
      <c r="K164" s="54" t="s">
        <v>15</v>
      </c>
    </row>
    <row r="165" spans="2:11" ht="12.75" x14ac:dyDescent="0.2">
      <c r="B165" s="82" t="s">
        <v>2778</v>
      </c>
      <c r="C165" s="82" t="s">
        <v>2777</v>
      </c>
      <c r="D165" s="54"/>
      <c r="E165" s="83">
        <f>SUMIFS(E166:E345,K166:K345,"0",B166:B345,"4 2 1 1 1*")-SUMIFS(D166:D345,K166:K345,"0",B166:B345,"4 2 1 1 1*")</f>
        <v>0</v>
      </c>
      <c r="F165" s="83">
        <f>SUMIFS(F166:F345,K166:K345,"0",B166:B345,"4 2 1 1 1*")</f>
        <v>0</v>
      </c>
      <c r="G165" s="83">
        <f>SUMIFS(G166:G345,K166:K345,"0",B166:B345,"4 2 1 1 1*")</f>
        <v>1601304.53</v>
      </c>
      <c r="H165" s="83"/>
      <c r="I165" s="83">
        <f t="shared" si="2"/>
        <v>1601304.53</v>
      </c>
      <c r="K165" s="54" t="s">
        <v>15</v>
      </c>
    </row>
    <row r="166" spans="2:11" ht="12.75" x14ac:dyDescent="0.2">
      <c r="B166" s="82" t="s">
        <v>2779</v>
      </c>
      <c r="C166" s="82" t="s">
        <v>26</v>
      </c>
      <c r="D166" s="54"/>
      <c r="E166" s="83">
        <f>SUMIFS(E167:E345,K167:K345,"0",B167:B345,"4 2 1 1 1 12*")-SUMIFS(D167:D345,K167:K345,"0",B167:B345,"4 2 1 1 1 12*")</f>
        <v>0</v>
      </c>
      <c r="F166" s="83">
        <f>SUMIFS(F167:F345,K167:K345,"0",B167:B345,"4 2 1 1 1 12*")</f>
        <v>0</v>
      </c>
      <c r="G166" s="83">
        <f>SUMIFS(G167:G345,K167:K345,"0",B167:B345,"4 2 1 1 1 12*")</f>
        <v>1601304.53</v>
      </c>
      <c r="H166" s="83"/>
      <c r="I166" s="83">
        <f t="shared" si="2"/>
        <v>1601304.53</v>
      </c>
      <c r="K166" s="54" t="s">
        <v>15</v>
      </c>
    </row>
    <row r="167" spans="2:11" ht="16.5" x14ac:dyDescent="0.2">
      <c r="B167" s="82" t="s">
        <v>2780</v>
      </c>
      <c r="C167" s="82" t="s">
        <v>28</v>
      </c>
      <c r="D167" s="54"/>
      <c r="E167" s="83">
        <f>SUMIFS(E168:E345,K168:K345,"0",B168:B345,"4 2 1 1 1 12 31111*")-SUMIFS(D168:D345,K168:K345,"0",B168:B345,"4 2 1 1 1 12 31111*")</f>
        <v>0</v>
      </c>
      <c r="F167" s="83">
        <f>SUMIFS(F168:F345,K168:K345,"0",B168:B345,"4 2 1 1 1 12 31111*")</f>
        <v>0</v>
      </c>
      <c r="G167" s="83">
        <f>SUMIFS(G168:G345,K168:K345,"0",B168:B345,"4 2 1 1 1 12 31111*")</f>
        <v>1601304.53</v>
      </c>
      <c r="H167" s="83"/>
      <c r="I167" s="83">
        <f t="shared" si="2"/>
        <v>1601304.53</v>
      </c>
      <c r="K167" s="54" t="s">
        <v>15</v>
      </c>
    </row>
    <row r="168" spans="2:11" ht="12.75" x14ac:dyDescent="0.2">
      <c r="B168" s="82" t="s">
        <v>2781</v>
      </c>
      <c r="C168" s="82" t="s">
        <v>30</v>
      </c>
      <c r="D168" s="54"/>
      <c r="E168" s="83">
        <f>SUMIFS(E169:E345,K169:K345,"0",B169:B345,"4 2 1 1 1 12 31111 6*")-SUMIFS(D169:D345,K169:K345,"0",B169:B345,"4 2 1 1 1 12 31111 6*")</f>
        <v>0</v>
      </c>
      <c r="F168" s="83">
        <f>SUMIFS(F169:F345,K169:K345,"0",B169:B345,"4 2 1 1 1 12 31111 6*")</f>
        <v>0</v>
      </c>
      <c r="G168" s="83">
        <f>SUMIFS(G169:G345,K169:K345,"0",B169:B345,"4 2 1 1 1 12 31111 6*")</f>
        <v>1601304.53</v>
      </c>
      <c r="H168" s="83"/>
      <c r="I168" s="83">
        <f t="shared" si="2"/>
        <v>1601304.53</v>
      </c>
      <c r="K168" s="54" t="s">
        <v>15</v>
      </c>
    </row>
    <row r="169" spans="2:11" ht="16.5" x14ac:dyDescent="0.2">
      <c r="B169" s="82" t="s">
        <v>2782</v>
      </c>
      <c r="C169" s="82" t="s">
        <v>2284</v>
      </c>
      <c r="D169" s="54"/>
      <c r="E169" s="83">
        <f>SUMIFS(E170:E345,K170:K345,"0",B170:B345,"4 2 1 1 1 12 31111 6 M59*")-SUMIFS(D170:D345,K170:K345,"0",B170:B345,"4 2 1 1 1 12 31111 6 M59*")</f>
        <v>0</v>
      </c>
      <c r="F169" s="83">
        <f>SUMIFS(F170:F345,K170:K345,"0",B170:B345,"4 2 1 1 1 12 31111 6 M59*")</f>
        <v>0</v>
      </c>
      <c r="G169" s="83">
        <f>SUMIFS(G170:G345,K170:K345,"0",B170:B345,"4 2 1 1 1 12 31111 6 M59*")</f>
        <v>1601304.53</v>
      </c>
      <c r="H169" s="83"/>
      <c r="I169" s="83">
        <f t="shared" si="2"/>
        <v>1601304.53</v>
      </c>
      <c r="K169" s="54" t="s">
        <v>15</v>
      </c>
    </row>
    <row r="170" spans="2:11" ht="16.5" x14ac:dyDescent="0.2">
      <c r="B170" s="82" t="s">
        <v>2783</v>
      </c>
      <c r="C170" s="82" t="s">
        <v>1044</v>
      </c>
      <c r="D170" s="54"/>
      <c r="E170" s="83">
        <f>SUMIFS(E171:E345,K171:K345,"0",B171:B345,"4 2 1 1 1 12 31111 6 M59 19000*")-SUMIFS(D171:D345,K171:K345,"0",B171:B345,"4 2 1 1 1 12 31111 6 M59 19000*")</f>
        <v>0</v>
      </c>
      <c r="F170" s="83">
        <f>SUMIFS(F171:F345,K171:K345,"0",B171:B345,"4 2 1 1 1 12 31111 6 M59 19000*")</f>
        <v>0</v>
      </c>
      <c r="G170" s="83">
        <f>SUMIFS(G171:G345,K171:K345,"0",B171:B345,"4 2 1 1 1 12 31111 6 M59 19000*")</f>
        <v>1601304.53</v>
      </c>
      <c r="H170" s="83"/>
      <c r="I170" s="83">
        <f t="shared" si="2"/>
        <v>1601304.53</v>
      </c>
      <c r="K170" s="54" t="s">
        <v>15</v>
      </c>
    </row>
    <row r="171" spans="2:11" ht="16.5" x14ac:dyDescent="0.2">
      <c r="B171" s="82" t="s">
        <v>2784</v>
      </c>
      <c r="C171" s="82" t="s">
        <v>2287</v>
      </c>
      <c r="D171" s="54"/>
      <c r="E171" s="83">
        <f>SUMIFS(E172:E345,K172:K345,"0",B172:B345,"4 2 1 1 1 12 31111 6 M59 19000 000000*")-SUMIFS(D172:D345,K172:K345,"0",B172:B345,"4 2 1 1 1 12 31111 6 M59 19000 000000*")</f>
        <v>0</v>
      </c>
      <c r="F171" s="83">
        <f>SUMIFS(F172:F345,K172:K345,"0",B172:B345,"4 2 1 1 1 12 31111 6 M59 19000 000000*")</f>
        <v>0</v>
      </c>
      <c r="G171" s="83">
        <f>SUMIFS(G172:G345,K172:K345,"0",B172:B345,"4 2 1 1 1 12 31111 6 M59 19000 000000*")</f>
        <v>1601304.53</v>
      </c>
      <c r="H171" s="83"/>
      <c r="I171" s="83">
        <f t="shared" si="2"/>
        <v>1601304.53</v>
      </c>
      <c r="K171" s="54" t="s">
        <v>15</v>
      </c>
    </row>
    <row r="172" spans="2:11" ht="16.5" x14ac:dyDescent="0.2">
      <c r="B172" s="82" t="s">
        <v>2785</v>
      </c>
      <c r="C172" s="82" t="s">
        <v>2289</v>
      </c>
      <c r="D172" s="54"/>
      <c r="E172" s="83">
        <f>SUMIFS(E173:E345,K173:K345,"0",B173:B345,"4 2 1 1 1 12 31111 6 M59 19000 000000 00000*")-SUMIFS(D173:D345,K173:K345,"0",B173:B345,"4 2 1 1 1 12 31111 6 M59 19000 000000 00000*")</f>
        <v>0</v>
      </c>
      <c r="F172" s="83">
        <f>SUMIFS(F173:F345,K173:K345,"0",B173:B345,"4 2 1 1 1 12 31111 6 M59 19000 000000 00000*")</f>
        <v>0</v>
      </c>
      <c r="G172" s="83">
        <f>SUMIFS(G173:G345,K173:K345,"0",B173:B345,"4 2 1 1 1 12 31111 6 M59 19000 000000 00000*")</f>
        <v>1601304.53</v>
      </c>
      <c r="H172" s="83"/>
      <c r="I172" s="83">
        <f t="shared" si="2"/>
        <v>1601304.53</v>
      </c>
      <c r="K172" s="54" t="s">
        <v>15</v>
      </c>
    </row>
    <row r="173" spans="2:11" ht="24.75" x14ac:dyDescent="0.2">
      <c r="B173" s="82" t="s">
        <v>2817</v>
      </c>
      <c r="C173" s="82" t="s">
        <v>282</v>
      </c>
      <c r="D173" s="54"/>
      <c r="E173" s="83">
        <f>SUMIFS(E174:E345,K174:K345,"0",B174:B345,"4 2 1 1 1 12 31111 6 M59 19000 000000 00000 00001*")-SUMIFS(D174:D345,K174:K345,"0",B174:B345,"4 2 1 1 1 12 31111 6 M59 19000 000000 00000 00001*")</f>
        <v>0</v>
      </c>
      <c r="F173" s="83">
        <f>SUMIFS(F174:F345,K174:K345,"0",B174:B345,"4 2 1 1 1 12 31111 6 M59 19000 000000 00000 00001*")</f>
        <v>0</v>
      </c>
      <c r="G173" s="83">
        <f>SUMIFS(G174:G345,K174:K345,"0",B174:B345,"4 2 1 1 1 12 31111 6 M59 19000 000000 00000 00001*")</f>
        <v>1601304.53</v>
      </c>
      <c r="H173" s="83"/>
      <c r="I173" s="83">
        <f t="shared" si="2"/>
        <v>1601304.53</v>
      </c>
      <c r="K173" s="54" t="s">
        <v>15</v>
      </c>
    </row>
    <row r="174" spans="2:11" ht="24.75" x14ac:dyDescent="0.2">
      <c r="B174" s="82" t="s">
        <v>2818</v>
      </c>
      <c r="C174" s="82" t="s">
        <v>2777</v>
      </c>
      <c r="D174" s="54"/>
      <c r="E174" s="83">
        <f>SUMIFS(E175:E345,K175:K345,"0",B175:B345,"4 2 1 1 1 12 31111 6 M59 19000 000000 00000 00001 00081*")-SUMIFS(D175:D345,K175:K345,"0",B175:B345,"4 2 1 1 1 12 31111 6 M59 19000 000000 00000 00001 00081*")</f>
        <v>0</v>
      </c>
      <c r="F174" s="83">
        <f>SUMIFS(F175:F345,K175:K345,"0",B175:B345,"4 2 1 1 1 12 31111 6 M59 19000 000000 00000 00001 00081*")</f>
        <v>0</v>
      </c>
      <c r="G174" s="83">
        <f>SUMIFS(G175:G345,K175:K345,"0",B175:B345,"4 2 1 1 1 12 31111 6 M59 19000 000000 00000 00001 00081*")</f>
        <v>1601304.53</v>
      </c>
      <c r="H174" s="83"/>
      <c r="I174" s="83">
        <f t="shared" si="2"/>
        <v>1601304.53</v>
      </c>
      <c r="K174" s="54" t="s">
        <v>15</v>
      </c>
    </row>
    <row r="175" spans="2:11" ht="24.75" x14ac:dyDescent="0.2">
      <c r="B175" s="82" t="s">
        <v>2819</v>
      </c>
      <c r="C175" s="82" t="s">
        <v>1051</v>
      </c>
      <c r="D175" s="54"/>
      <c r="E175" s="83">
        <f>SUMIFS(E176:E345,K176:K345,"0",B176:B345,"4 2 1 1 1 12 31111 6 M59 19000 000000 00000 00001 00081 015*")-SUMIFS(D176:D345,K176:K345,"0",B176:B345,"4 2 1 1 1 12 31111 6 M59 19000 000000 00000 00001 00081 015*")</f>
        <v>0</v>
      </c>
      <c r="F175" s="83">
        <f>SUMIFS(F176:F345,K176:K345,"0",B176:B345,"4 2 1 1 1 12 31111 6 M59 19000 000000 00000 00001 00081 015*")</f>
        <v>0</v>
      </c>
      <c r="G175" s="83">
        <f>SUMIFS(G176:G345,K176:K345,"0",B176:B345,"4 2 1 1 1 12 31111 6 M59 19000 000000 00000 00001 00081 015*")</f>
        <v>1601304.53</v>
      </c>
      <c r="H175" s="83"/>
      <c r="I175" s="83">
        <f t="shared" si="2"/>
        <v>1601304.53</v>
      </c>
      <c r="K175" s="54" t="s">
        <v>15</v>
      </c>
    </row>
    <row r="176" spans="2:11" ht="33" x14ac:dyDescent="0.2">
      <c r="B176" s="82" t="s">
        <v>2820</v>
      </c>
      <c r="C176" s="82" t="s">
        <v>2777</v>
      </c>
      <c r="D176" s="54"/>
      <c r="E176" s="83">
        <f>SUMIFS(E177:E345,K177:K345,"0",B177:B345,"4 2 1 1 1 12 31111 6 M59 19000 000000 00000 00001 00081 015 1190000*")-SUMIFS(D177:D345,K177:K345,"0",B177:B345,"4 2 1 1 1 12 31111 6 M59 19000 000000 00000 00001 00081 015 1190000*")</f>
        <v>0</v>
      </c>
      <c r="F176" s="83">
        <f>SUMIFS(F177:F345,K177:K345,"0",B177:B345,"4 2 1 1 1 12 31111 6 M59 19000 000000 00000 00001 00081 015 1190000*")</f>
        <v>0</v>
      </c>
      <c r="G176" s="83">
        <f>SUMIFS(G177:G345,K177:K345,"0",B177:B345,"4 2 1 1 1 12 31111 6 M59 19000 000000 00000 00001 00081 015 1190000*")</f>
        <v>1601304.53</v>
      </c>
      <c r="H176" s="83"/>
      <c r="I176" s="83">
        <f t="shared" si="2"/>
        <v>1601304.53</v>
      </c>
      <c r="K176" s="54" t="s">
        <v>15</v>
      </c>
    </row>
    <row r="177" spans="2:11" ht="33" x14ac:dyDescent="0.2">
      <c r="B177" s="82" t="s">
        <v>2821</v>
      </c>
      <c r="C177" s="82" t="s">
        <v>660</v>
      </c>
      <c r="D177" s="54"/>
      <c r="E177" s="83">
        <f>SUMIFS(E178:E345,K178:K345,"0",B178:B345,"4 2 1 1 1 12 31111 6 M59 19000 000000 00000 00001 00081 015 1190000 2024*")-SUMIFS(D178:D345,K178:K345,"0",B178:B345,"4 2 1 1 1 12 31111 6 M59 19000 000000 00000 00001 00081 015 1190000 2024*")</f>
        <v>0</v>
      </c>
      <c r="F177" s="83">
        <f>SUMIFS(F178:F345,K178:K345,"0",B178:B345,"4 2 1 1 1 12 31111 6 M59 19000 000000 00000 00001 00081 015 1190000 2024*")</f>
        <v>0</v>
      </c>
      <c r="G177" s="83">
        <f>SUMIFS(G178:G345,K178:K345,"0",B178:B345,"4 2 1 1 1 12 31111 6 M59 19000 000000 00000 00001 00081 015 1190000 2024*")</f>
        <v>1601304.53</v>
      </c>
      <c r="H177" s="83"/>
      <c r="I177" s="83">
        <f t="shared" si="2"/>
        <v>1601304.53</v>
      </c>
      <c r="K177" s="54" t="s">
        <v>15</v>
      </c>
    </row>
    <row r="178" spans="2:11" ht="41.25" x14ac:dyDescent="0.2">
      <c r="B178" s="82" t="s">
        <v>2822</v>
      </c>
      <c r="C178" s="82" t="s">
        <v>2732</v>
      </c>
      <c r="D178" s="54"/>
      <c r="E178" s="83">
        <f>SUMIFS(E179:E345,K179:K345,"0",B179:B345,"4 2 1 1 1 12 31111 6 M59 19000 000000 00000 00001 00081 015 1190000 2024 00000000*")-SUMIFS(D179:D345,K179:K345,"0",B179:B345,"4 2 1 1 1 12 31111 6 M59 19000 000000 00000 00001 00081 015 1190000 2024 00000000*")</f>
        <v>0</v>
      </c>
      <c r="F178" s="83">
        <f>SUMIFS(F179:F345,K179:K345,"0",B179:B345,"4 2 1 1 1 12 31111 6 M59 19000 000000 00000 00001 00081 015 1190000 2024 00000000*")</f>
        <v>0</v>
      </c>
      <c r="G178" s="83">
        <f>SUMIFS(G179:G345,K179:K345,"0",B179:B345,"4 2 1 1 1 12 31111 6 M59 19000 000000 00000 00001 00081 015 1190000 2024 00000000*")</f>
        <v>1601304.53</v>
      </c>
      <c r="H178" s="83"/>
      <c r="I178" s="83">
        <f t="shared" si="2"/>
        <v>1601304.53</v>
      </c>
      <c r="K178" s="54" t="s">
        <v>15</v>
      </c>
    </row>
    <row r="179" spans="2:11" ht="41.25" x14ac:dyDescent="0.2">
      <c r="B179" s="82" t="s">
        <v>2823</v>
      </c>
      <c r="C179" s="82" t="s">
        <v>1075</v>
      </c>
      <c r="D179" s="54"/>
      <c r="E179" s="83">
        <f>SUMIFS(E180:E345,K180:K345,"0",B180:B345,"4 2 1 1 1 12 31111 6 M59 19000 000000 00000 00001 00081 015 1190000 2024 00000000 005*")-SUMIFS(D180:D345,K180:K345,"0",B180:B345,"4 2 1 1 1 12 31111 6 M59 19000 000000 00000 00001 00081 015 1190000 2024 00000000 005*")</f>
        <v>0</v>
      </c>
      <c r="F179" s="83">
        <f>SUMIFS(F180:F345,K180:K345,"0",B180:B345,"4 2 1 1 1 12 31111 6 M59 19000 000000 00000 00001 00081 015 1190000 2024 00000000 005*")</f>
        <v>0</v>
      </c>
      <c r="G179" s="83">
        <f>SUMIFS(G180:G345,K180:K345,"0",B180:B345,"4 2 1 1 1 12 31111 6 M59 19000 000000 00000 00001 00081 015 1190000 2024 00000000 005*")</f>
        <v>1601304.53</v>
      </c>
      <c r="H179" s="83"/>
      <c r="I179" s="83">
        <f t="shared" si="2"/>
        <v>1601304.53</v>
      </c>
      <c r="K179" s="54" t="s">
        <v>15</v>
      </c>
    </row>
    <row r="180" spans="2:11" ht="49.5" x14ac:dyDescent="0.2">
      <c r="B180" s="82" t="s">
        <v>2824</v>
      </c>
      <c r="C180" s="82" t="s">
        <v>2794</v>
      </c>
      <c r="D180" s="54"/>
      <c r="E180" s="83">
        <f>SUMIFS(E181:E345,K181:K345,"0",B181:B345,"4 2 1 1 1 12 31111 6 M59 19000 000000 00000 00001 00081 015 1190000 2024 00000000 005 0000081*")-SUMIFS(D181:D345,K181:K345,"0",B181:B345,"4 2 1 1 1 12 31111 6 M59 19000 000000 00000 00001 00081 015 1190000 2024 00000000 005 0000081*")</f>
        <v>0</v>
      </c>
      <c r="F180" s="83">
        <f>SUMIFS(F181:F345,K181:K345,"0",B181:B345,"4 2 1 1 1 12 31111 6 M59 19000 000000 00000 00001 00081 015 1190000 2024 00000000 005 0000081*")</f>
        <v>0</v>
      </c>
      <c r="G180" s="83">
        <f>SUMIFS(G181:G345,K181:K345,"0",B181:B345,"4 2 1 1 1 12 31111 6 M59 19000 000000 00000 00001 00081 015 1190000 2024 00000000 005 0000081*")</f>
        <v>1601304.53</v>
      </c>
      <c r="H180" s="83"/>
      <c r="I180" s="83">
        <f t="shared" si="2"/>
        <v>1601304.53</v>
      </c>
      <c r="K180" s="54" t="s">
        <v>15</v>
      </c>
    </row>
    <row r="181" spans="2:11" ht="41.25" x14ac:dyDescent="0.2">
      <c r="B181" s="84" t="s">
        <v>2825</v>
      </c>
      <c r="C181" s="84" t="s">
        <v>2826</v>
      </c>
      <c r="D181" s="85"/>
      <c r="E181" s="85">
        <v>0</v>
      </c>
      <c r="F181" s="85">
        <v>0</v>
      </c>
      <c r="G181" s="85">
        <v>1601304.53</v>
      </c>
      <c r="H181" s="85"/>
      <c r="I181" s="85">
        <f t="shared" si="2"/>
        <v>1601304.53</v>
      </c>
      <c r="K181" s="54" t="s">
        <v>38</v>
      </c>
    </row>
    <row r="182" spans="2:11" ht="12.75" x14ac:dyDescent="0.2">
      <c r="B182" s="82" t="s">
        <v>2896</v>
      </c>
      <c r="C182" s="82" t="s">
        <v>2897</v>
      </c>
      <c r="D182" s="83">
        <f>SUMIFS(D183:D345,K183:K345,"0",B183:B345,"5*")-SUMIFS(E183:E345,K183:K345,"0",B183:B345,"5*")</f>
        <v>0</v>
      </c>
      <c r="E182" s="54"/>
      <c r="F182" s="83">
        <f>SUMIFS(F183:F345,K183:K345,"0",B183:B345,"5*")</f>
        <v>5052903.24</v>
      </c>
      <c r="G182" s="83">
        <f>SUMIFS(G183:G345,K183:K345,"0",B183:B345,"5*")</f>
        <v>0</v>
      </c>
      <c r="H182" s="83">
        <f t="shared" ref="H182:H245" si="3">D182 + F182 - G182</f>
        <v>5052903.24</v>
      </c>
      <c r="I182" s="83"/>
      <c r="K182" s="54" t="s">
        <v>15</v>
      </c>
    </row>
    <row r="183" spans="2:11" ht="12.75" x14ac:dyDescent="0.2">
      <c r="B183" s="82" t="s">
        <v>2898</v>
      </c>
      <c r="C183" s="82" t="s">
        <v>2899</v>
      </c>
      <c r="D183" s="83">
        <f>SUMIFS(D184:D345,K184:K345,"0",B184:B345,"5 1*")-SUMIFS(E184:E345,K184:K345,"0",B184:B345,"5 1*")</f>
        <v>0</v>
      </c>
      <c r="E183" s="54"/>
      <c r="F183" s="83">
        <f>SUMIFS(F184:F345,K184:K345,"0",B184:B345,"5 1*")</f>
        <v>5052903.24</v>
      </c>
      <c r="G183" s="83">
        <f>SUMIFS(G184:G345,K184:K345,"0",B184:B345,"5 1*")</f>
        <v>0</v>
      </c>
      <c r="H183" s="83">
        <f t="shared" si="3"/>
        <v>5052903.24</v>
      </c>
      <c r="I183" s="83"/>
      <c r="K183" s="54" t="s">
        <v>15</v>
      </c>
    </row>
    <row r="184" spans="2:11" ht="12.75" x14ac:dyDescent="0.2">
      <c r="B184" s="82" t="s">
        <v>5813</v>
      </c>
      <c r="C184" s="82" t="s">
        <v>5814</v>
      </c>
      <c r="D184" s="83">
        <f>SUMIFS(D185:D345,K185:K345,"0",B185:B345,"5 1 2*")-SUMIFS(E185:E345,K185:K345,"0",B185:B345,"5 1 2*")</f>
        <v>0</v>
      </c>
      <c r="E184" s="54"/>
      <c r="F184" s="83">
        <f>SUMIFS(F185:F345,K185:K345,"0",B185:B345,"5 1 2*")</f>
        <v>4508434.54</v>
      </c>
      <c r="G184" s="83">
        <f>SUMIFS(G185:G345,K185:K345,"0",B185:B345,"5 1 2*")</f>
        <v>0</v>
      </c>
      <c r="H184" s="83">
        <f t="shared" si="3"/>
        <v>4508434.54</v>
      </c>
      <c r="I184" s="83"/>
      <c r="K184" s="54" t="s">
        <v>15</v>
      </c>
    </row>
    <row r="185" spans="2:11" ht="33" x14ac:dyDescent="0.2">
      <c r="B185" s="82" t="s">
        <v>5815</v>
      </c>
      <c r="C185" s="82" t="s">
        <v>497</v>
      </c>
      <c r="D185" s="83">
        <f>SUMIFS(D186:D345,K186:K345,"0",B186:B345,"5 1 2 1*")-SUMIFS(E186:E345,K186:K345,"0",B186:B345,"5 1 2 1*")</f>
        <v>0</v>
      </c>
      <c r="E185" s="54"/>
      <c r="F185" s="83">
        <f>SUMIFS(F186:F345,K186:K345,"0",B186:B345,"5 1 2 1*")</f>
        <v>109468.04</v>
      </c>
      <c r="G185" s="83">
        <f>SUMIFS(G186:G345,K186:K345,"0",B186:B345,"5 1 2 1*")</f>
        <v>0</v>
      </c>
      <c r="H185" s="83">
        <f t="shared" si="3"/>
        <v>109468.04</v>
      </c>
      <c r="I185" s="83"/>
      <c r="K185" s="54" t="s">
        <v>15</v>
      </c>
    </row>
    <row r="186" spans="2:11" ht="41.25" x14ac:dyDescent="0.2">
      <c r="B186" s="82" t="s">
        <v>6523</v>
      </c>
      <c r="C186" s="82" t="s">
        <v>6524</v>
      </c>
      <c r="D186" s="83">
        <f>SUMIFS(D187:D345,K187:K345,"0",B187:B345,"5 1 2 1 4*")-SUMIFS(E187:E345,K187:K345,"0",B187:B345,"5 1 2 1 4*")</f>
        <v>0</v>
      </c>
      <c r="E186" s="54"/>
      <c r="F186" s="83">
        <f>SUMIFS(F187:F345,K187:K345,"0",B187:B345,"5 1 2 1 4*")</f>
        <v>109468.04</v>
      </c>
      <c r="G186" s="83">
        <f>SUMIFS(G187:G345,K187:K345,"0",B187:B345,"5 1 2 1 4*")</f>
        <v>0</v>
      </c>
      <c r="H186" s="83">
        <f t="shared" si="3"/>
        <v>109468.04</v>
      </c>
      <c r="I186" s="83"/>
      <c r="K186" s="54" t="s">
        <v>15</v>
      </c>
    </row>
    <row r="187" spans="2:11" ht="12.75" x14ac:dyDescent="0.2">
      <c r="B187" s="82" t="s">
        <v>6525</v>
      </c>
      <c r="C187" s="82" t="s">
        <v>26</v>
      </c>
      <c r="D187" s="83">
        <f>SUMIFS(D188:D345,K188:K345,"0",B188:B345,"5 1 2 1 4 12*")-SUMIFS(E188:E345,K188:K345,"0",B188:B345,"5 1 2 1 4 12*")</f>
        <v>0</v>
      </c>
      <c r="E187" s="54"/>
      <c r="F187" s="83">
        <f>SUMIFS(F188:F345,K188:K345,"0",B188:B345,"5 1 2 1 4 12*")</f>
        <v>109468.04</v>
      </c>
      <c r="G187" s="83">
        <f>SUMIFS(G188:G345,K188:K345,"0",B188:B345,"5 1 2 1 4 12*")</f>
        <v>0</v>
      </c>
      <c r="H187" s="83">
        <f t="shared" si="3"/>
        <v>109468.04</v>
      </c>
      <c r="I187" s="83"/>
      <c r="K187" s="54" t="s">
        <v>15</v>
      </c>
    </row>
    <row r="188" spans="2:11" ht="16.5" x14ac:dyDescent="0.2">
      <c r="B188" s="82" t="s">
        <v>6526</v>
      </c>
      <c r="C188" s="82" t="s">
        <v>28</v>
      </c>
      <c r="D188" s="83">
        <f>SUMIFS(D189:D345,K189:K345,"0",B189:B345,"5 1 2 1 4 12 31111*")-SUMIFS(E189:E345,K189:K345,"0",B189:B345,"5 1 2 1 4 12 31111*")</f>
        <v>0</v>
      </c>
      <c r="E188" s="54"/>
      <c r="F188" s="83">
        <f>SUMIFS(F189:F345,K189:K345,"0",B189:B345,"5 1 2 1 4 12 31111*")</f>
        <v>109468.04</v>
      </c>
      <c r="G188" s="83">
        <f>SUMIFS(G189:G345,K189:K345,"0",B189:B345,"5 1 2 1 4 12 31111*")</f>
        <v>0</v>
      </c>
      <c r="H188" s="83">
        <f t="shared" si="3"/>
        <v>109468.04</v>
      </c>
      <c r="I188" s="83"/>
      <c r="K188" s="54" t="s">
        <v>15</v>
      </c>
    </row>
    <row r="189" spans="2:11" ht="12.75" x14ac:dyDescent="0.2">
      <c r="B189" s="82" t="s">
        <v>6527</v>
      </c>
      <c r="C189" s="82" t="s">
        <v>30</v>
      </c>
      <c r="D189" s="83">
        <f>SUMIFS(D190:D345,K190:K345,"0",B190:B345,"5 1 2 1 4 12 31111 6*")-SUMIFS(E190:E345,K190:K345,"0",B190:B345,"5 1 2 1 4 12 31111 6*")</f>
        <v>0</v>
      </c>
      <c r="E189" s="54"/>
      <c r="F189" s="83">
        <f>SUMIFS(F190:F345,K190:K345,"0",B190:B345,"5 1 2 1 4 12 31111 6*")</f>
        <v>109468.04</v>
      </c>
      <c r="G189" s="83">
        <f>SUMIFS(G190:G345,K190:K345,"0",B190:B345,"5 1 2 1 4 12 31111 6*")</f>
        <v>0</v>
      </c>
      <c r="H189" s="83">
        <f t="shared" si="3"/>
        <v>109468.04</v>
      </c>
      <c r="I189" s="83"/>
      <c r="K189" s="54" t="s">
        <v>15</v>
      </c>
    </row>
    <row r="190" spans="2:11" ht="16.5" x14ac:dyDescent="0.2">
      <c r="B190" s="82" t="s">
        <v>6528</v>
      </c>
      <c r="C190" s="82" t="s">
        <v>2284</v>
      </c>
      <c r="D190" s="83">
        <f>SUMIFS(D191:D345,K191:K345,"0",B191:B345,"5 1 2 1 4 12 31111 6 M59*")-SUMIFS(E191:E345,K191:K345,"0",B191:B345,"5 1 2 1 4 12 31111 6 M59*")</f>
        <v>0</v>
      </c>
      <c r="E190" s="54"/>
      <c r="F190" s="83">
        <f>SUMIFS(F191:F345,K191:K345,"0",B191:B345,"5 1 2 1 4 12 31111 6 M59*")</f>
        <v>109468.04</v>
      </c>
      <c r="G190" s="83">
        <f>SUMIFS(G191:G345,K191:K345,"0",B191:B345,"5 1 2 1 4 12 31111 6 M59*")</f>
        <v>0</v>
      </c>
      <c r="H190" s="83">
        <f t="shared" si="3"/>
        <v>109468.04</v>
      </c>
      <c r="I190" s="83"/>
      <c r="K190" s="54" t="s">
        <v>15</v>
      </c>
    </row>
    <row r="191" spans="2:11" ht="16.5" x14ac:dyDescent="0.2">
      <c r="B191" s="82" t="s">
        <v>6552</v>
      </c>
      <c r="C191" s="82" t="s">
        <v>1061</v>
      </c>
      <c r="D191" s="83">
        <f>SUMIFS(D192:D345,K192:K345,"0",B192:B345,"5 1 2 1 4 12 31111 6 M59 20300*")-SUMIFS(E192:E345,K192:K345,"0",B192:B345,"5 1 2 1 4 12 31111 6 M59 20300*")</f>
        <v>0</v>
      </c>
      <c r="E191" s="54"/>
      <c r="F191" s="83">
        <f>SUMIFS(F192:F345,K192:K345,"0",B192:B345,"5 1 2 1 4 12 31111 6 M59 20300*")</f>
        <v>109468.04</v>
      </c>
      <c r="G191" s="83">
        <f>SUMIFS(G192:G345,K192:K345,"0",B192:B345,"5 1 2 1 4 12 31111 6 M59 20300*")</f>
        <v>0</v>
      </c>
      <c r="H191" s="83">
        <f t="shared" si="3"/>
        <v>109468.04</v>
      </c>
      <c r="I191" s="83"/>
      <c r="K191" s="54" t="s">
        <v>15</v>
      </c>
    </row>
    <row r="192" spans="2:11" ht="16.5" x14ac:dyDescent="0.2">
      <c r="B192" s="82" t="s">
        <v>6553</v>
      </c>
      <c r="C192" s="82" t="s">
        <v>1063</v>
      </c>
      <c r="D192" s="83">
        <f>SUMIFS(D193:D345,K193:K345,"0",B193:B345,"5 1 2 1 4 12 31111 6 M59 20300 000139*")-SUMIFS(E193:E345,K193:K345,"0",B193:B345,"5 1 2 1 4 12 31111 6 M59 20300 000139*")</f>
        <v>0</v>
      </c>
      <c r="E192" s="54"/>
      <c r="F192" s="83">
        <f>SUMIFS(F193:F345,K193:K345,"0",B193:B345,"5 1 2 1 4 12 31111 6 M59 20300 000139*")</f>
        <v>109468.04</v>
      </c>
      <c r="G192" s="83">
        <f>SUMIFS(G193:G345,K193:K345,"0",B193:B345,"5 1 2 1 4 12 31111 6 M59 20300 000139*")</f>
        <v>0</v>
      </c>
      <c r="H192" s="83">
        <f t="shared" si="3"/>
        <v>109468.04</v>
      </c>
      <c r="I192" s="83"/>
      <c r="K192" s="54" t="s">
        <v>15</v>
      </c>
    </row>
    <row r="193" spans="2:11" ht="24.75" x14ac:dyDescent="0.2">
      <c r="B193" s="82" t="s">
        <v>6554</v>
      </c>
      <c r="C193" s="82" t="s">
        <v>1065</v>
      </c>
      <c r="D193" s="83">
        <f>SUMIFS(D194:D345,K194:K345,"0",B194:B345,"5 1 2 1 4 12 31111 6 M59 20300 000139 0000E*")-SUMIFS(E194:E345,K194:K345,"0",B194:B345,"5 1 2 1 4 12 31111 6 M59 20300 000139 0000E*")</f>
        <v>0</v>
      </c>
      <c r="E193" s="54"/>
      <c r="F193" s="83">
        <f>SUMIFS(F194:F345,K194:K345,"0",B194:B345,"5 1 2 1 4 12 31111 6 M59 20300 000139 0000E*")</f>
        <v>109468.04</v>
      </c>
      <c r="G193" s="83">
        <f>SUMIFS(G194:G345,K194:K345,"0",B194:B345,"5 1 2 1 4 12 31111 6 M59 20300 000139 0000E*")</f>
        <v>0</v>
      </c>
      <c r="H193" s="83">
        <f t="shared" si="3"/>
        <v>109468.04</v>
      </c>
      <c r="I193" s="83"/>
      <c r="K193" s="54" t="s">
        <v>15</v>
      </c>
    </row>
    <row r="194" spans="2:11" ht="24.75" x14ac:dyDescent="0.2">
      <c r="B194" s="82" t="s">
        <v>6555</v>
      </c>
      <c r="C194" s="82" t="s">
        <v>282</v>
      </c>
      <c r="D194" s="83">
        <f>SUMIFS(D195:D345,K195:K345,"0",B195:B345,"5 1 2 1 4 12 31111 6 M59 20300 000139 0000E 00001*")-SUMIFS(E195:E345,K195:K345,"0",B195:B345,"5 1 2 1 4 12 31111 6 M59 20300 000139 0000E 00001*")</f>
        <v>0</v>
      </c>
      <c r="E194" s="54"/>
      <c r="F194" s="83">
        <f>SUMIFS(F195:F345,K195:K345,"0",B195:B345,"5 1 2 1 4 12 31111 6 M59 20300 000139 0000E 00001*")</f>
        <v>109468.04</v>
      </c>
      <c r="G194" s="83">
        <f>SUMIFS(G195:G345,K195:K345,"0",B195:B345,"5 1 2 1 4 12 31111 6 M59 20300 000139 0000E 00001*")</f>
        <v>0</v>
      </c>
      <c r="H194" s="83">
        <f t="shared" si="3"/>
        <v>109468.04</v>
      </c>
      <c r="I194" s="83"/>
      <c r="K194" s="54" t="s">
        <v>15</v>
      </c>
    </row>
    <row r="195" spans="2:11" ht="41.25" x14ac:dyDescent="0.2">
      <c r="B195" s="82" t="s">
        <v>6556</v>
      </c>
      <c r="C195" s="82" t="s">
        <v>6534</v>
      </c>
      <c r="D195" s="83">
        <f>SUMIFS(D196:D345,K196:K345,"0",B196:B345,"5 1 2 1 4 12 31111 6 M59 20300 000139 0000E 00001 00214*")-SUMIFS(E196:E345,K196:K345,"0",B196:B345,"5 1 2 1 4 12 31111 6 M59 20300 000139 0000E 00001 00214*")</f>
        <v>0</v>
      </c>
      <c r="E195" s="54"/>
      <c r="F195" s="83">
        <f>SUMIFS(F196:F345,K196:K345,"0",B196:B345,"5 1 2 1 4 12 31111 6 M59 20300 000139 0000E 00001 00214*")</f>
        <v>109468.04</v>
      </c>
      <c r="G195" s="83">
        <f>SUMIFS(G196:G345,K196:K345,"0",B196:B345,"5 1 2 1 4 12 31111 6 M59 20300 000139 0000E 00001 00214*")</f>
        <v>0</v>
      </c>
      <c r="H195" s="83">
        <f t="shared" si="3"/>
        <v>109468.04</v>
      </c>
      <c r="I195" s="83"/>
      <c r="K195" s="54" t="s">
        <v>15</v>
      </c>
    </row>
    <row r="196" spans="2:11" ht="33" x14ac:dyDescent="0.2">
      <c r="B196" s="82" t="s">
        <v>6557</v>
      </c>
      <c r="C196" s="82" t="s">
        <v>1051</v>
      </c>
      <c r="D196" s="83">
        <f>SUMIFS(D197:D345,K197:K345,"0",B197:B345,"5 1 2 1 4 12 31111 6 M59 20300 000139 0000E 00001 00214 015*")-SUMIFS(E197:E345,K197:K345,"0",B197:B345,"5 1 2 1 4 12 31111 6 M59 20300 000139 0000E 00001 00214 015*")</f>
        <v>0</v>
      </c>
      <c r="E196" s="54"/>
      <c r="F196" s="83">
        <f>SUMIFS(F197:F345,K197:K345,"0",B197:B345,"5 1 2 1 4 12 31111 6 M59 20300 000139 0000E 00001 00214 015*")</f>
        <v>109468.04</v>
      </c>
      <c r="G196" s="83">
        <f>SUMIFS(G197:G345,K197:K345,"0",B197:B345,"5 1 2 1 4 12 31111 6 M59 20300 000139 0000E 00001 00214 015*")</f>
        <v>0</v>
      </c>
      <c r="H196" s="83">
        <f t="shared" si="3"/>
        <v>109468.04</v>
      </c>
      <c r="I196" s="83"/>
      <c r="K196" s="54" t="s">
        <v>15</v>
      </c>
    </row>
    <row r="197" spans="2:11" ht="33" x14ac:dyDescent="0.2">
      <c r="B197" s="82" t="s">
        <v>6558</v>
      </c>
      <c r="C197" s="82" t="s">
        <v>5830</v>
      </c>
      <c r="D197" s="83">
        <f>SUMIFS(D198:D345,K198:K345,"0",B198:B345,"5 1 2 1 4 12 31111 6 M59 20300 000139 0000E 00001 00214 015 2112000*")-SUMIFS(E198:E345,K198:K345,"0",B198:B345,"5 1 2 1 4 12 31111 6 M59 20300 000139 0000E 00001 00214 015 2112000*")</f>
        <v>0</v>
      </c>
      <c r="E197" s="54"/>
      <c r="F197" s="83">
        <f>SUMIFS(F198:F345,K198:K345,"0",B198:B345,"5 1 2 1 4 12 31111 6 M59 20300 000139 0000E 00001 00214 015 2112000*")</f>
        <v>109468.04</v>
      </c>
      <c r="G197" s="83">
        <f>SUMIFS(G198:G345,K198:K345,"0",B198:B345,"5 1 2 1 4 12 31111 6 M59 20300 000139 0000E 00001 00214 015 2112000*")</f>
        <v>0</v>
      </c>
      <c r="H197" s="83">
        <f t="shared" si="3"/>
        <v>109468.04</v>
      </c>
      <c r="I197" s="83"/>
      <c r="K197" s="54" t="s">
        <v>15</v>
      </c>
    </row>
    <row r="198" spans="2:11" ht="33" x14ac:dyDescent="0.2">
      <c r="B198" s="82" t="s">
        <v>6559</v>
      </c>
      <c r="C198" s="82" t="s">
        <v>660</v>
      </c>
      <c r="D198" s="83">
        <f>SUMIFS(D199:D345,K199:K345,"0",B199:B345,"5 1 2 1 4 12 31111 6 M59 20300 000139 0000E 00001 00214 015 2112000 2024*")-SUMIFS(E199:E345,K199:K345,"0",B199:B345,"5 1 2 1 4 12 31111 6 M59 20300 000139 0000E 00001 00214 015 2112000 2024*")</f>
        <v>0</v>
      </c>
      <c r="E198" s="54"/>
      <c r="F198" s="83">
        <f>SUMIFS(F199:F345,K199:K345,"0",B199:B345,"5 1 2 1 4 12 31111 6 M59 20300 000139 0000E 00001 00214 015 2112000 2024*")</f>
        <v>109468.04</v>
      </c>
      <c r="G198" s="83">
        <f>SUMIFS(G199:G345,K199:K345,"0",B199:B345,"5 1 2 1 4 12 31111 6 M59 20300 000139 0000E 00001 00214 015 2112000 2024*")</f>
        <v>0</v>
      </c>
      <c r="H198" s="83">
        <f t="shared" si="3"/>
        <v>109468.04</v>
      </c>
      <c r="I198" s="83"/>
      <c r="K198" s="54" t="s">
        <v>15</v>
      </c>
    </row>
    <row r="199" spans="2:11" ht="41.25" x14ac:dyDescent="0.2">
      <c r="B199" s="82" t="s">
        <v>6560</v>
      </c>
      <c r="C199" s="82" t="s">
        <v>1073</v>
      </c>
      <c r="D199" s="83">
        <f>SUMIFS(D200:D345,K200:K345,"0",B200:B345,"5 1 2 1 4 12 31111 6 M59 20300 000139 0000E 00001 00214 015 2112000 2024 CP2DE533*")-SUMIFS(E200:E345,K200:K345,"0",B200:B345,"5 1 2 1 4 12 31111 6 M59 20300 000139 0000E 00001 00214 015 2112000 2024 CP2DE533*")</f>
        <v>0</v>
      </c>
      <c r="E199" s="54"/>
      <c r="F199" s="83">
        <f>SUMIFS(F200:F345,K200:K345,"0",B200:B345,"5 1 2 1 4 12 31111 6 M59 20300 000139 0000E 00001 00214 015 2112000 2024 CP2DE533*")</f>
        <v>109468.04</v>
      </c>
      <c r="G199" s="83">
        <f>SUMIFS(G200:G345,K200:K345,"0",B200:B345,"5 1 2 1 4 12 31111 6 M59 20300 000139 0000E 00001 00214 015 2112000 2024 CP2DE533*")</f>
        <v>0</v>
      </c>
      <c r="H199" s="83">
        <f t="shared" si="3"/>
        <v>109468.04</v>
      </c>
      <c r="I199" s="83"/>
      <c r="K199" s="54" t="s">
        <v>15</v>
      </c>
    </row>
    <row r="200" spans="2:11" ht="41.25" x14ac:dyDescent="0.2">
      <c r="B200" s="82" t="s">
        <v>6561</v>
      </c>
      <c r="C200" s="82" t="s">
        <v>1075</v>
      </c>
      <c r="D200" s="83">
        <f>SUMIFS(D201:D345,K201:K345,"0",B201:B345,"5 1 2 1 4 12 31111 6 M59 20300 000139 0000E 00001 00214 015 2112000 2024 CP2DE533 005*")-SUMIFS(E201:E345,K201:K345,"0",B201:B345,"5 1 2 1 4 12 31111 6 M59 20300 000139 0000E 00001 00214 015 2112000 2024 CP2DE533 005*")</f>
        <v>0</v>
      </c>
      <c r="E200" s="54"/>
      <c r="F200" s="83">
        <f>SUMIFS(F201:F345,K201:K345,"0",B201:B345,"5 1 2 1 4 12 31111 6 M59 20300 000139 0000E 00001 00214 015 2112000 2024 CP2DE533 005*")</f>
        <v>109468.04</v>
      </c>
      <c r="G200" s="83">
        <f>SUMIFS(G201:G345,K201:K345,"0",B201:B345,"5 1 2 1 4 12 31111 6 M59 20300 000139 0000E 00001 00214 015 2112000 2024 CP2DE533 005*")</f>
        <v>0</v>
      </c>
      <c r="H200" s="83">
        <f t="shared" si="3"/>
        <v>109468.04</v>
      </c>
      <c r="I200" s="83"/>
      <c r="K200" s="54" t="s">
        <v>15</v>
      </c>
    </row>
    <row r="201" spans="2:11" ht="33" x14ac:dyDescent="0.2">
      <c r="B201" s="84" t="s">
        <v>6562</v>
      </c>
      <c r="C201" s="84" t="s">
        <v>6563</v>
      </c>
      <c r="D201" s="85">
        <v>0</v>
      </c>
      <c r="E201" s="85"/>
      <c r="F201" s="85">
        <v>109468.04</v>
      </c>
      <c r="G201" s="85">
        <v>0</v>
      </c>
      <c r="H201" s="85">
        <f t="shared" si="3"/>
        <v>109468.04</v>
      </c>
      <c r="I201" s="85"/>
      <c r="K201" s="54" t="s">
        <v>38</v>
      </c>
    </row>
    <row r="202" spans="2:11" ht="16.5" x14ac:dyDescent="0.2">
      <c r="B202" s="82" t="s">
        <v>7500</v>
      </c>
      <c r="C202" s="82" t="s">
        <v>540</v>
      </c>
      <c r="D202" s="83">
        <f>SUMIFS(D203:D345,K203:K345,"0",B203:B345,"5 1 2 6*")-SUMIFS(E203:E345,K203:K345,"0",B203:B345,"5 1 2 6*")</f>
        <v>0</v>
      </c>
      <c r="E202" s="54"/>
      <c r="F202" s="83">
        <f>SUMIFS(F203:F345,K203:K345,"0",B203:B345,"5 1 2 6*")</f>
        <v>4398966.5</v>
      </c>
      <c r="G202" s="83">
        <f>SUMIFS(G203:G345,K203:K345,"0",B203:B345,"5 1 2 6*")</f>
        <v>0</v>
      </c>
      <c r="H202" s="83">
        <f t="shared" si="3"/>
        <v>4398966.5</v>
      </c>
      <c r="I202" s="83"/>
      <c r="K202" s="54" t="s">
        <v>15</v>
      </c>
    </row>
    <row r="203" spans="2:11" ht="16.5" x14ac:dyDescent="0.2">
      <c r="B203" s="82" t="s">
        <v>7501</v>
      </c>
      <c r="C203" s="82" t="s">
        <v>540</v>
      </c>
      <c r="D203" s="83">
        <f>SUMIFS(D204:D345,K204:K345,"0",B204:B345,"5 1 2 6 1*")-SUMIFS(E204:E345,K204:K345,"0",B204:B345,"5 1 2 6 1*")</f>
        <v>0</v>
      </c>
      <c r="E203" s="54"/>
      <c r="F203" s="83">
        <f>SUMIFS(F204:F345,K204:K345,"0",B204:B345,"5 1 2 6 1*")</f>
        <v>4398966.5</v>
      </c>
      <c r="G203" s="83">
        <f>SUMIFS(G204:G345,K204:K345,"0",B204:B345,"5 1 2 6 1*")</f>
        <v>0</v>
      </c>
      <c r="H203" s="83">
        <f t="shared" si="3"/>
        <v>4398966.5</v>
      </c>
      <c r="I203" s="83"/>
      <c r="K203" s="54" t="s">
        <v>15</v>
      </c>
    </row>
    <row r="204" spans="2:11" ht="12.75" x14ac:dyDescent="0.2">
      <c r="B204" s="82" t="s">
        <v>7502</v>
      </c>
      <c r="C204" s="82" t="s">
        <v>26</v>
      </c>
      <c r="D204" s="83">
        <f>SUMIFS(D205:D345,K205:K345,"0",B205:B345,"5 1 2 6 1 12*")-SUMIFS(E205:E345,K205:K345,"0",B205:B345,"5 1 2 6 1 12*")</f>
        <v>0</v>
      </c>
      <c r="E204" s="54"/>
      <c r="F204" s="83">
        <f>SUMIFS(F205:F345,K205:K345,"0",B205:B345,"5 1 2 6 1 12*")</f>
        <v>4398966.5</v>
      </c>
      <c r="G204" s="83">
        <f>SUMIFS(G205:G345,K205:K345,"0",B205:B345,"5 1 2 6 1 12*")</f>
        <v>0</v>
      </c>
      <c r="H204" s="83">
        <f t="shared" si="3"/>
        <v>4398966.5</v>
      </c>
      <c r="I204" s="83"/>
      <c r="K204" s="54" t="s">
        <v>15</v>
      </c>
    </row>
    <row r="205" spans="2:11" ht="16.5" x14ac:dyDescent="0.2">
      <c r="B205" s="82" t="s">
        <v>7503</v>
      </c>
      <c r="C205" s="82" t="s">
        <v>28</v>
      </c>
      <c r="D205" s="83">
        <f>SUMIFS(D206:D345,K206:K345,"0",B206:B345,"5 1 2 6 1 12 31111*")-SUMIFS(E206:E345,K206:K345,"0",B206:B345,"5 1 2 6 1 12 31111*")</f>
        <v>0</v>
      </c>
      <c r="E205" s="54"/>
      <c r="F205" s="83">
        <f>SUMIFS(F206:F345,K206:K345,"0",B206:B345,"5 1 2 6 1 12 31111*")</f>
        <v>4398966.5</v>
      </c>
      <c r="G205" s="83">
        <f>SUMIFS(G206:G345,K206:K345,"0",B206:B345,"5 1 2 6 1 12 31111*")</f>
        <v>0</v>
      </c>
      <c r="H205" s="83">
        <f t="shared" si="3"/>
        <v>4398966.5</v>
      </c>
      <c r="I205" s="83"/>
      <c r="K205" s="54" t="s">
        <v>15</v>
      </c>
    </row>
    <row r="206" spans="2:11" ht="12.75" x14ac:dyDescent="0.2">
      <c r="B206" s="82" t="s">
        <v>7504</v>
      </c>
      <c r="C206" s="82" t="s">
        <v>30</v>
      </c>
      <c r="D206" s="83">
        <f>SUMIFS(D207:D345,K207:K345,"0",B207:B345,"5 1 2 6 1 12 31111 6*")-SUMIFS(E207:E345,K207:K345,"0",B207:B345,"5 1 2 6 1 12 31111 6*")</f>
        <v>0</v>
      </c>
      <c r="E206" s="54"/>
      <c r="F206" s="83">
        <f>SUMIFS(F207:F345,K207:K345,"0",B207:B345,"5 1 2 6 1 12 31111 6*")</f>
        <v>4398966.5</v>
      </c>
      <c r="G206" s="83">
        <f>SUMIFS(G207:G345,K207:K345,"0",B207:B345,"5 1 2 6 1 12 31111 6*")</f>
        <v>0</v>
      </c>
      <c r="H206" s="83">
        <f t="shared" si="3"/>
        <v>4398966.5</v>
      </c>
      <c r="I206" s="83"/>
      <c r="K206" s="54" t="s">
        <v>15</v>
      </c>
    </row>
    <row r="207" spans="2:11" ht="16.5" x14ac:dyDescent="0.2">
      <c r="B207" s="82" t="s">
        <v>7505</v>
      </c>
      <c r="C207" s="82" t="s">
        <v>2284</v>
      </c>
      <c r="D207" s="83">
        <f>SUMIFS(D208:D345,K208:K345,"0",B208:B345,"5 1 2 6 1 12 31111 6 M59*")-SUMIFS(E208:E345,K208:K345,"0",B208:B345,"5 1 2 6 1 12 31111 6 M59*")</f>
        <v>0</v>
      </c>
      <c r="E207" s="54"/>
      <c r="F207" s="83">
        <f>SUMIFS(F208:F345,K208:K345,"0",B208:B345,"5 1 2 6 1 12 31111 6 M59*")</f>
        <v>4398966.5</v>
      </c>
      <c r="G207" s="83">
        <f>SUMIFS(G208:G345,K208:K345,"0",B208:B345,"5 1 2 6 1 12 31111 6 M59*")</f>
        <v>0</v>
      </c>
      <c r="H207" s="83">
        <f t="shared" si="3"/>
        <v>4398966.5</v>
      </c>
      <c r="I207" s="83"/>
      <c r="K207" s="54" t="s">
        <v>15</v>
      </c>
    </row>
    <row r="208" spans="2:11" ht="16.5" x14ac:dyDescent="0.2">
      <c r="B208" s="82" t="s">
        <v>7546</v>
      </c>
      <c r="C208" s="82" t="s">
        <v>1061</v>
      </c>
      <c r="D208" s="83">
        <f>SUMIFS(D209:D345,K209:K345,"0",B209:B345,"5 1 2 6 1 12 31111 6 M59 20300*")-SUMIFS(E209:E345,K209:K345,"0",B209:B345,"5 1 2 6 1 12 31111 6 M59 20300*")</f>
        <v>0</v>
      </c>
      <c r="E208" s="54"/>
      <c r="F208" s="83">
        <f>SUMIFS(F209:F345,K209:K345,"0",B209:B345,"5 1 2 6 1 12 31111 6 M59 20300*")</f>
        <v>37049.480000000003</v>
      </c>
      <c r="G208" s="83">
        <f>SUMIFS(G209:G345,K209:K345,"0",B209:B345,"5 1 2 6 1 12 31111 6 M59 20300*")</f>
        <v>0</v>
      </c>
      <c r="H208" s="83">
        <f t="shared" si="3"/>
        <v>37049.480000000003</v>
      </c>
      <c r="I208" s="83"/>
      <c r="K208" s="54" t="s">
        <v>15</v>
      </c>
    </row>
    <row r="209" spans="2:11" ht="16.5" x14ac:dyDescent="0.2">
      <c r="B209" s="82" t="s">
        <v>7557</v>
      </c>
      <c r="C209" s="82" t="s">
        <v>1063</v>
      </c>
      <c r="D209" s="83">
        <f>SUMIFS(D210:D345,K210:K345,"0",B210:B345,"5 1 2 6 1 12 31111 6 M59 20300 000139*")-SUMIFS(E210:E345,K210:K345,"0",B210:B345,"5 1 2 6 1 12 31111 6 M59 20300 000139*")</f>
        <v>0</v>
      </c>
      <c r="E209" s="54"/>
      <c r="F209" s="83">
        <f>SUMIFS(F210:F345,K210:K345,"0",B210:B345,"5 1 2 6 1 12 31111 6 M59 20300 000139*")</f>
        <v>37049.480000000003</v>
      </c>
      <c r="G209" s="83">
        <f>SUMIFS(G210:G345,K210:K345,"0",B210:B345,"5 1 2 6 1 12 31111 6 M59 20300 000139*")</f>
        <v>0</v>
      </c>
      <c r="H209" s="83">
        <f t="shared" si="3"/>
        <v>37049.480000000003</v>
      </c>
      <c r="I209" s="83"/>
      <c r="K209" s="54" t="s">
        <v>15</v>
      </c>
    </row>
    <row r="210" spans="2:11" ht="24.75" x14ac:dyDescent="0.2">
      <c r="B210" s="82" t="s">
        <v>7558</v>
      </c>
      <c r="C210" s="82" t="s">
        <v>1065</v>
      </c>
      <c r="D210" s="83">
        <f>SUMIFS(D211:D345,K211:K345,"0",B211:B345,"5 1 2 6 1 12 31111 6 M59 20300 000139 0000E*")-SUMIFS(E211:E345,K211:K345,"0",B211:B345,"5 1 2 6 1 12 31111 6 M59 20300 000139 0000E*")</f>
        <v>0</v>
      </c>
      <c r="E210" s="54"/>
      <c r="F210" s="83">
        <f>SUMIFS(F211:F345,K211:K345,"0",B211:B345,"5 1 2 6 1 12 31111 6 M59 20300 000139 0000E*")</f>
        <v>37049.480000000003</v>
      </c>
      <c r="G210" s="83">
        <f>SUMIFS(G211:G345,K211:K345,"0",B211:B345,"5 1 2 6 1 12 31111 6 M59 20300 000139 0000E*")</f>
        <v>0</v>
      </c>
      <c r="H210" s="83">
        <f t="shared" si="3"/>
        <v>37049.480000000003</v>
      </c>
      <c r="I210" s="83"/>
      <c r="K210" s="54" t="s">
        <v>15</v>
      </c>
    </row>
    <row r="211" spans="2:11" ht="24.75" x14ac:dyDescent="0.2">
      <c r="B211" s="82" t="s">
        <v>7559</v>
      </c>
      <c r="C211" s="82" t="s">
        <v>282</v>
      </c>
      <c r="D211" s="83">
        <f>SUMIFS(D212:D345,K212:K345,"0",B212:B345,"5 1 2 6 1 12 31111 6 M59 20300 000139 0000E 00001*")-SUMIFS(E212:E345,K212:K345,"0",B212:B345,"5 1 2 6 1 12 31111 6 M59 20300 000139 0000E 00001*")</f>
        <v>0</v>
      </c>
      <c r="E211" s="54"/>
      <c r="F211" s="83">
        <f>SUMIFS(F212:F345,K212:K345,"0",B212:B345,"5 1 2 6 1 12 31111 6 M59 20300 000139 0000E 00001*")</f>
        <v>37049.480000000003</v>
      </c>
      <c r="G211" s="83">
        <f>SUMIFS(G212:G345,K212:K345,"0",B212:B345,"5 1 2 6 1 12 31111 6 M59 20300 000139 0000E 00001*")</f>
        <v>0</v>
      </c>
      <c r="H211" s="83">
        <f t="shared" si="3"/>
        <v>37049.480000000003</v>
      </c>
      <c r="I211" s="83"/>
      <c r="K211" s="54" t="s">
        <v>15</v>
      </c>
    </row>
    <row r="212" spans="2:11" ht="24.75" x14ac:dyDescent="0.2">
      <c r="B212" s="82" t="s">
        <v>7560</v>
      </c>
      <c r="C212" s="82" t="s">
        <v>7511</v>
      </c>
      <c r="D212" s="83">
        <f>SUMIFS(D213:D345,K213:K345,"0",B213:B345,"5 1 2 6 1 12 31111 6 M59 20300 000139 0000E 00001 00261*")-SUMIFS(E213:E345,K213:K345,"0",B213:B345,"5 1 2 6 1 12 31111 6 M59 20300 000139 0000E 00001 00261*")</f>
        <v>0</v>
      </c>
      <c r="E212" s="54"/>
      <c r="F212" s="83">
        <f>SUMIFS(F213:F345,K213:K345,"0",B213:B345,"5 1 2 6 1 12 31111 6 M59 20300 000139 0000E 00001 00261*")</f>
        <v>37049.480000000003</v>
      </c>
      <c r="G212" s="83">
        <f>SUMIFS(G213:G345,K213:K345,"0",B213:B345,"5 1 2 6 1 12 31111 6 M59 20300 000139 0000E 00001 00261*")</f>
        <v>0</v>
      </c>
      <c r="H212" s="83">
        <f t="shared" si="3"/>
        <v>37049.480000000003</v>
      </c>
      <c r="I212" s="83"/>
      <c r="K212" s="54" t="s">
        <v>15</v>
      </c>
    </row>
    <row r="213" spans="2:11" ht="33" x14ac:dyDescent="0.2">
      <c r="B213" s="82" t="s">
        <v>7561</v>
      </c>
      <c r="C213" s="82" t="s">
        <v>1051</v>
      </c>
      <c r="D213" s="83">
        <f>SUMIFS(D214:D345,K214:K345,"0",B214:B345,"5 1 2 6 1 12 31111 6 M59 20300 000139 0000E 00001 00261 015*")-SUMIFS(E214:E345,K214:K345,"0",B214:B345,"5 1 2 6 1 12 31111 6 M59 20300 000139 0000E 00001 00261 015*")</f>
        <v>0</v>
      </c>
      <c r="E213" s="54"/>
      <c r="F213" s="83">
        <f>SUMIFS(F214:F345,K214:K345,"0",B214:B345,"5 1 2 6 1 12 31111 6 M59 20300 000139 0000E 00001 00261 015*")</f>
        <v>37049.480000000003</v>
      </c>
      <c r="G213" s="83">
        <f>SUMIFS(G214:G345,K214:K345,"0",B214:B345,"5 1 2 6 1 12 31111 6 M59 20300 000139 0000E 00001 00261 015*")</f>
        <v>0</v>
      </c>
      <c r="H213" s="83">
        <f t="shared" si="3"/>
        <v>37049.480000000003</v>
      </c>
      <c r="I213" s="83"/>
      <c r="K213" s="54" t="s">
        <v>15</v>
      </c>
    </row>
    <row r="214" spans="2:11" ht="33" x14ac:dyDescent="0.2">
      <c r="B214" s="82" t="s">
        <v>7562</v>
      </c>
      <c r="C214" s="82" t="s">
        <v>5830</v>
      </c>
      <c r="D214" s="83">
        <f>SUMIFS(D215:D345,K215:K345,"0",B215:B345,"5 1 2 6 1 12 31111 6 M59 20300 000139 0000E 00001 00261 015 2112000*")-SUMIFS(E215:E345,K215:K345,"0",B215:B345,"5 1 2 6 1 12 31111 6 M59 20300 000139 0000E 00001 00261 015 2112000*")</f>
        <v>0</v>
      </c>
      <c r="E214" s="54"/>
      <c r="F214" s="83">
        <f>SUMIFS(F215:F345,K215:K345,"0",B215:B345,"5 1 2 6 1 12 31111 6 M59 20300 000139 0000E 00001 00261 015 2112000*")</f>
        <v>37049.480000000003</v>
      </c>
      <c r="G214" s="83">
        <f>SUMIFS(G215:G345,K215:K345,"0",B215:B345,"5 1 2 6 1 12 31111 6 M59 20300 000139 0000E 00001 00261 015 2112000*")</f>
        <v>0</v>
      </c>
      <c r="H214" s="83">
        <f t="shared" si="3"/>
        <v>37049.480000000003</v>
      </c>
      <c r="I214" s="83"/>
      <c r="K214" s="54" t="s">
        <v>15</v>
      </c>
    </row>
    <row r="215" spans="2:11" ht="33" x14ac:dyDescent="0.2">
      <c r="B215" s="82" t="s">
        <v>7563</v>
      </c>
      <c r="C215" s="82" t="s">
        <v>660</v>
      </c>
      <c r="D215" s="83">
        <f>SUMIFS(D216:D345,K216:K345,"0",B216:B345,"5 1 2 6 1 12 31111 6 M59 20300 000139 0000E 00001 00261 015 2112000 2024*")-SUMIFS(E216:E345,K216:K345,"0",B216:B345,"5 1 2 6 1 12 31111 6 M59 20300 000139 0000E 00001 00261 015 2112000 2024*")</f>
        <v>0</v>
      </c>
      <c r="E215" s="54"/>
      <c r="F215" s="83">
        <f>SUMIFS(F216:F345,K216:K345,"0",B216:B345,"5 1 2 6 1 12 31111 6 M59 20300 000139 0000E 00001 00261 015 2112000 2024*")</f>
        <v>37049.480000000003</v>
      </c>
      <c r="G215" s="83">
        <f>SUMIFS(G216:G345,K216:K345,"0",B216:B345,"5 1 2 6 1 12 31111 6 M59 20300 000139 0000E 00001 00261 015 2112000 2024*")</f>
        <v>0</v>
      </c>
      <c r="H215" s="83">
        <f t="shared" si="3"/>
        <v>37049.480000000003</v>
      </c>
      <c r="I215" s="83"/>
      <c r="K215" s="54" t="s">
        <v>15</v>
      </c>
    </row>
    <row r="216" spans="2:11" ht="41.25" x14ac:dyDescent="0.2">
      <c r="B216" s="82" t="s">
        <v>7564</v>
      </c>
      <c r="C216" s="82" t="s">
        <v>1073</v>
      </c>
      <c r="D216" s="83">
        <f>SUMIFS(D217:D345,K217:K345,"0",B217:B345,"5 1 2 6 1 12 31111 6 M59 20300 000139 0000E 00001 00261 015 2112000 2024 CP2DE533*")-SUMIFS(E217:E345,K217:K345,"0",B217:B345,"5 1 2 6 1 12 31111 6 M59 20300 000139 0000E 00001 00261 015 2112000 2024 CP2DE533*")</f>
        <v>0</v>
      </c>
      <c r="E216" s="54"/>
      <c r="F216" s="83">
        <f>SUMIFS(F217:F345,K217:K345,"0",B217:B345,"5 1 2 6 1 12 31111 6 M59 20300 000139 0000E 00001 00261 015 2112000 2024 CP2DE533*")</f>
        <v>37049.480000000003</v>
      </c>
      <c r="G216" s="83">
        <f>SUMIFS(G217:G345,K217:K345,"0",B217:B345,"5 1 2 6 1 12 31111 6 M59 20300 000139 0000E 00001 00261 015 2112000 2024 CP2DE533*")</f>
        <v>0</v>
      </c>
      <c r="H216" s="83">
        <f t="shared" si="3"/>
        <v>37049.480000000003</v>
      </c>
      <c r="I216" s="83"/>
      <c r="K216" s="54" t="s">
        <v>15</v>
      </c>
    </row>
    <row r="217" spans="2:11" ht="41.25" x14ac:dyDescent="0.2">
      <c r="B217" s="82" t="s">
        <v>7565</v>
      </c>
      <c r="C217" s="82" t="s">
        <v>1075</v>
      </c>
      <c r="D217" s="83">
        <f>SUMIFS(D218:D345,K218:K345,"0",B218:B345,"5 1 2 6 1 12 31111 6 M59 20300 000139 0000E 00001 00261 015 2112000 2024 CP2DE533 005*")-SUMIFS(E218:E345,K218:K345,"0",B218:B345,"5 1 2 6 1 12 31111 6 M59 20300 000139 0000E 00001 00261 015 2112000 2024 CP2DE533 005*")</f>
        <v>0</v>
      </c>
      <c r="E217" s="54"/>
      <c r="F217" s="83">
        <f>SUMIFS(F218:F345,K218:K345,"0",B218:B345,"5 1 2 6 1 12 31111 6 M59 20300 000139 0000E 00001 00261 015 2112000 2024 CP2DE533 005*")</f>
        <v>37049.480000000003</v>
      </c>
      <c r="G217" s="83">
        <f>SUMIFS(G218:G345,K218:K345,"0",B218:B345,"5 1 2 6 1 12 31111 6 M59 20300 000139 0000E 00001 00261 015 2112000 2024 CP2DE533 005*")</f>
        <v>0</v>
      </c>
      <c r="H217" s="83">
        <f t="shared" si="3"/>
        <v>37049.480000000003</v>
      </c>
      <c r="I217" s="83"/>
      <c r="K217" s="54" t="s">
        <v>15</v>
      </c>
    </row>
    <row r="218" spans="2:11" ht="33" x14ac:dyDescent="0.2">
      <c r="B218" s="84" t="s">
        <v>7566</v>
      </c>
      <c r="C218" s="84" t="s">
        <v>540</v>
      </c>
      <c r="D218" s="85">
        <v>0</v>
      </c>
      <c r="E218" s="85"/>
      <c r="F218" s="85">
        <v>37049.480000000003</v>
      </c>
      <c r="G218" s="85">
        <v>0</v>
      </c>
      <c r="H218" s="85">
        <f t="shared" si="3"/>
        <v>37049.480000000003</v>
      </c>
      <c r="I218" s="85"/>
      <c r="K218" s="54" t="s">
        <v>38</v>
      </c>
    </row>
    <row r="219" spans="2:11" ht="16.5" x14ac:dyDescent="0.2">
      <c r="B219" s="82" t="s">
        <v>7567</v>
      </c>
      <c r="C219" s="82" t="s">
        <v>3103</v>
      </c>
      <c r="D219" s="83">
        <f>SUMIFS(D220:D345,K220:K345,"0",B220:B345,"5 1 2 6 1 12 31111 6 M59 20400*")-SUMIFS(E220:E345,K220:K345,"0",B220:B345,"5 1 2 6 1 12 31111 6 M59 20400*")</f>
        <v>0</v>
      </c>
      <c r="E219" s="54"/>
      <c r="F219" s="83">
        <f>SUMIFS(F220:F345,K220:K345,"0",B220:B345,"5 1 2 6 1 12 31111 6 M59 20400*")</f>
        <v>3548312.95</v>
      </c>
      <c r="G219" s="83">
        <f>SUMIFS(G220:G345,K220:K345,"0",B220:B345,"5 1 2 6 1 12 31111 6 M59 20400*")</f>
        <v>0</v>
      </c>
      <c r="H219" s="83">
        <f t="shared" si="3"/>
        <v>3548312.95</v>
      </c>
      <c r="I219" s="83"/>
      <c r="K219" s="54" t="s">
        <v>15</v>
      </c>
    </row>
    <row r="220" spans="2:11" ht="16.5" x14ac:dyDescent="0.2">
      <c r="B220" s="82" t="s">
        <v>7579</v>
      </c>
      <c r="C220" s="82" t="s">
        <v>1063</v>
      </c>
      <c r="D220" s="83">
        <f>SUMIFS(D221:D345,K221:K345,"0",B221:B345,"5 1 2 6 1 12 31111 6 M59 20400 000139*")-SUMIFS(E221:E345,K221:K345,"0",B221:B345,"5 1 2 6 1 12 31111 6 M59 20400 000139*")</f>
        <v>0</v>
      </c>
      <c r="E220" s="54"/>
      <c r="F220" s="83">
        <f>SUMIFS(F221:F345,K221:K345,"0",B221:B345,"5 1 2 6 1 12 31111 6 M59 20400 000139*")</f>
        <v>3548312.95</v>
      </c>
      <c r="G220" s="83">
        <f>SUMIFS(G221:G345,K221:K345,"0",B221:B345,"5 1 2 6 1 12 31111 6 M59 20400 000139*")</f>
        <v>0</v>
      </c>
      <c r="H220" s="83">
        <f t="shared" si="3"/>
        <v>3548312.95</v>
      </c>
      <c r="I220" s="83"/>
      <c r="K220" s="54" t="s">
        <v>15</v>
      </c>
    </row>
    <row r="221" spans="2:11" ht="24.75" x14ac:dyDescent="0.2">
      <c r="B221" s="82" t="s">
        <v>7580</v>
      </c>
      <c r="C221" s="82" t="s">
        <v>1065</v>
      </c>
      <c r="D221" s="83">
        <f>SUMIFS(D222:D345,K222:K345,"0",B222:B345,"5 1 2 6 1 12 31111 6 M59 20400 000139 0000E*")-SUMIFS(E222:E345,K222:K345,"0",B222:B345,"5 1 2 6 1 12 31111 6 M59 20400 000139 0000E*")</f>
        <v>0</v>
      </c>
      <c r="E221" s="54"/>
      <c r="F221" s="83">
        <f>SUMIFS(F222:F345,K222:K345,"0",B222:B345,"5 1 2 6 1 12 31111 6 M59 20400 000139 0000E*")</f>
        <v>3548312.95</v>
      </c>
      <c r="G221" s="83">
        <f>SUMIFS(G222:G345,K222:K345,"0",B222:B345,"5 1 2 6 1 12 31111 6 M59 20400 000139 0000E*")</f>
        <v>0</v>
      </c>
      <c r="H221" s="83">
        <f t="shared" si="3"/>
        <v>3548312.95</v>
      </c>
      <c r="I221" s="83"/>
      <c r="K221" s="54" t="s">
        <v>15</v>
      </c>
    </row>
    <row r="222" spans="2:11" ht="24.75" x14ac:dyDescent="0.2">
      <c r="B222" s="82" t="s">
        <v>7581</v>
      </c>
      <c r="C222" s="82" t="s">
        <v>282</v>
      </c>
      <c r="D222" s="83">
        <f>SUMIFS(D223:D345,K223:K345,"0",B223:B345,"5 1 2 6 1 12 31111 6 M59 20400 000139 0000E 00001*")-SUMIFS(E223:E345,K223:K345,"0",B223:B345,"5 1 2 6 1 12 31111 6 M59 20400 000139 0000E 00001*")</f>
        <v>0</v>
      </c>
      <c r="E222" s="54"/>
      <c r="F222" s="83">
        <f>SUMIFS(F223:F345,K223:K345,"0",B223:B345,"5 1 2 6 1 12 31111 6 M59 20400 000139 0000E 00001*")</f>
        <v>3548312.95</v>
      </c>
      <c r="G222" s="83">
        <f>SUMIFS(G223:G345,K223:K345,"0",B223:B345,"5 1 2 6 1 12 31111 6 M59 20400 000139 0000E 00001*")</f>
        <v>0</v>
      </c>
      <c r="H222" s="83">
        <f t="shared" si="3"/>
        <v>3548312.95</v>
      </c>
      <c r="I222" s="83"/>
      <c r="K222" s="54" t="s">
        <v>15</v>
      </c>
    </row>
    <row r="223" spans="2:11" ht="24.75" x14ac:dyDescent="0.2">
      <c r="B223" s="82" t="s">
        <v>7582</v>
      </c>
      <c r="C223" s="82" t="s">
        <v>7511</v>
      </c>
      <c r="D223" s="83">
        <f>SUMIFS(D224:D345,K224:K345,"0",B224:B345,"5 1 2 6 1 12 31111 6 M59 20400 000139 0000E 00001 00261*")-SUMIFS(E224:E345,K224:K345,"0",B224:B345,"5 1 2 6 1 12 31111 6 M59 20400 000139 0000E 00001 00261*")</f>
        <v>0</v>
      </c>
      <c r="E223" s="54"/>
      <c r="F223" s="83">
        <f>SUMIFS(F224:F345,K224:K345,"0",B224:B345,"5 1 2 6 1 12 31111 6 M59 20400 000139 0000E 00001 00261*")</f>
        <v>3548312.95</v>
      </c>
      <c r="G223" s="83">
        <f>SUMIFS(G224:G345,K224:K345,"0",B224:B345,"5 1 2 6 1 12 31111 6 M59 20400 000139 0000E 00001 00261*")</f>
        <v>0</v>
      </c>
      <c r="H223" s="83">
        <f t="shared" si="3"/>
        <v>3548312.95</v>
      </c>
      <c r="I223" s="83"/>
      <c r="K223" s="54" t="s">
        <v>15</v>
      </c>
    </row>
    <row r="224" spans="2:11" ht="33" x14ac:dyDescent="0.2">
      <c r="B224" s="82" t="s">
        <v>7583</v>
      </c>
      <c r="C224" s="82" t="s">
        <v>1051</v>
      </c>
      <c r="D224" s="83">
        <f>SUMIFS(D225:D345,K225:K345,"0",B225:B345,"5 1 2 6 1 12 31111 6 M59 20400 000139 0000E 00001 00261 015*")-SUMIFS(E225:E345,K225:K345,"0",B225:B345,"5 1 2 6 1 12 31111 6 M59 20400 000139 0000E 00001 00261 015*")</f>
        <v>0</v>
      </c>
      <c r="E224" s="54"/>
      <c r="F224" s="83">
        <f>SUMIFS(F225:F345,K225:K345,"0",B225:B345,"5 1 2 6 1 12 31111 6 M59 20400 000139 0000E 00001 00261 015*")</f>
        <v>3548312.95</v>
      </c>
      <c r="G224" s="83">
        <f>SUMIFS(G225:G345,K225:K345,"0",B225:B345,"5 1 2 6 1 12 31111 6 M59 20400 000139 0000E 00001 00261 015*")</f>
        <v>0</v>
      </c>
      <c r="H224" s="83">
        <f t="shared" si="3"/>
        <v>3548312.95</v>
      </c>
      <c r="I224" s="83"/>
      <c r="K224" s="54" t="s">
        <v>15</v>
      </c>
    </row>
    <row r="225" spans="2:11" ht="33" x14ac:dyDescent="0.2">
      <c r="B225" s="82" t="s">
        <v>7584</v>
      </c>
      <c r="C225" s="82" t="s">
        <v>5830</v>
      </c>
      <c r="D225" s="83">
        <f>SUMIFS(D226:D345,K226:K345,"0",B226:B345,"5 1 2 6 1 12 31111 6 M59 20400 000139 0000E 00001 00261 015 2112000*")-SUMIFS(E226:E345,K226:K345,"0",B226:B345,"5 1 2 6 1 12 31111 6 M59 20400 000139 0000E 00001 00261 015 2112000*")</f>
        <v>0</v>
      </c>
      <c r="E225" s="54"/>
      <c r="F225" s="83">
        <f>SUMIFS(F226:F345,K226:K345,"0",B226:B345,"5 1 2 6 1 12 31111 6 M59 20400 000139 0000E 00001 00261 015 2112000*")</f>
        <v>3548312.95</v>
      </c>
      <c r="G225" s="83">
        <f>SUMIFS(G226:G345,K226:K345,"0",B226:B345,"5 1 2 6 1 12 31111 6 M59 20400 000139 0000E 00001 00261 015 2112000*")</f>
        <v>0</v>
      </c>
      <c r="H225" s="83">
        <f t="shared" si="3"/>
        <v>3548312.95</v>
      </c>
      <c r="I225" s="83"/>
      <c r="K225" s="54" t="s">
        <v>15</v>
      </c>
    </row>
    <row r="226" spans="2:11" ht="33" x14ac:dyDescent="0.2">
      <c r="B226" s="82" t="s">
        <v>7585</v>
      </c>
      <c r="C226" s="82" t="s">
        <v>660</v>
      </c>
      <c r="D226" s="83">
        <f>SUMIFS(D227:D345,K227:K345,"0",B227:B345,"5 1 2 6 1 12 31111 6 M59 20400 000139 0000E 00001 00261 015 2112000 2024*")-SUMIFS(E227:E345,K227:K345,"0",B227:B345,"5 1 2 6 1 12 31111 6 M59 20400 000139 0000E 00001 00261 015 2112000 2024*")</f>
        <v>0</v>
      </c>
      <c r="E226" s="54"/>
      <c r="F226" s="83">
        <f>SUMIFS(F227:F345,K227:K345,"0",B227:B345,"5 1 2 6 1 12 31111 6 M59 20400 000139 0000E 00001 00261 015 2112000 2024*")</f>
        <v>3548312.95</v>
      </c>
      <c r="G226" s="83">
        <f>SUMIFS(G227:G345,K227:K345,"0",B227:B345,"5 1 2 6 1 12 31111 6 M59 20400 000139 0000E 00001 00261 015 2112000 2024*")</f>
        <v>0</v>
      </c>
      <c r="H226" s="83">
        <f t="shared" si="3"/>
        <v>3548312.95</v>
      </c>
      <c r="I226" s="83"/>
      <c r="K226" s="54" t="s">
        <v>15</v>
      </c>
    </row>
    <row r="227" spans="2:11" ht="41.25" x14ac:dyDescent="0.2">
      <c r="B227" s="82" t="s">
        <v>7586</v>
      </c>
      <c r="C227" s="82" t="s">
        <v>7587</v>
      </c>
      <c r="D227" s="83">
        <f>SUMIFS(D228:D345,K228:K345,"0",B228:B345,"5 1 2 6 1 12 31111 6 M59 20400 000139 0000E 00001 00261 015 2112000 2024 CP2PV529*")-SUMIFS(E228:E345,K228:K345,"0",B228:B345,"5 1 2 6 1 12 31111 6 M59 20400 000139 0000E 00001 00261 015 2112000 2024 CP2PV529*")</f>
        <v>0</v>
      </c>
      <c r="E227" s="54"/>
      <c r="F227" s="83">
        <f>SUMIFS(F228:F345,K228:K345,"0",B228:B345,"5 1 2 6 1 12 31111 6 M59 20400 000139 0000E 00001 00261 015 2112000 2024 CP2PV529*")</f>
        <v>3548312.95</v>
      </c>
      <c r="G227" s="83">
        <f>SUMIFS(G228:G345,K228:K345,"0",B228:B345,"5 1 2 6 1 12 31111 6 M59 20400 000139 0000E 00001 00261 015 2112000 2024 CP2PV529*")</f>
        <v>0</v>
      </c>
      <c r="H227" s="83">
        <f t="shared" si="3"/>
        <v>3548312.95</v>
      </c>
      <c r="I227" s="83"/>
      <c r="K227" s="54" t="s">
        <v>15</v>
      </c>
    </row>
    <row r="228" spans="2:11" ht="41.25" x14ac:dyDescent="0.2">
      <c r="B228" s="82" t="s">
        <v>7588</v>
      </c>
      <c r="C228" s="82" t="s">
        <v>1075</v>
      </c>
      <c r="D228" s="83">
        <f>SUMIFS(D229:D345,K229:K345,"0",B229:B345,"5 1 2 6 1 12 31111 6 M59 20400 000139 0000E 00001 00261 015 2112000 2024 CP2PV529 005*")-SUMIFS(E229:E345,K229:K345,"0",B229:B345,"5 1 2 6 1 12 31111 6 M59 20400 000139 0000E 00001 00261 015 2112000 2024 CP2PV529 005*")</f>
        <v>0</v>
      </c>
      <c r="E228" s="54"/>
      <c r="F228" s="83">
        <f>SUMIFS(F229:F345,K229:K345,"0",B229:B345,"5 1 2 6 1 12 31111 6 M59 20400 000139 0000E 00001 00261 015 2112000 2024 CP2PV529 005*")</f>
        <v>3548312.95</v>
      </c>
      <c r="G228" s="83">
        <f>SUMIFS(G229:G345,K229:K345,"0",B229:B345,"5 1 2 6 1 12 31111 6 M59 20400 000139 0000E 00001 00261 015 2112000 2024 CP2PV529 005*")</f>
        <v>0</v>
      </c>
      <c r="H228" s="83">
        <f t="shared" si="3"/>
        <v>3548312.95</v>
      </c>
      <c r="I228" s="83"/>
      <c r="K228" s="54" t="s">
        <v>15</v>
      </c>
    </row>
    <row r="229" spans="2:11" ht="33" x14ac:dyDescent="0.2">
      <c r="B229" s="84" t="s">
        <v>7589</v>
      </c>
      <c r="C229" s="84" t="s">
        <v>540</v>
      </c>
      <c r="D229" s="85">
        <v>0</v>
      </c>
      <c r="E229" s="85"/>
      <c r="F229" s="85">
        <v>3548312.95</v>
      </c>
      <c r="G229" s="85">
        <v>0</v>
      </c>
      <c r="H229" s="85">
        <f t="shared" si="3"/>
        <v>3548312.95</v>
      </c>
      <c r="I229" s="85"/>
      <c r="K229" s="54" t="s">
        <v>38</v>
      </c>
    </row>
    <row r="230" spans="2:11" ht="16.5" x14ac:dyDescent="0.2">
      <c r="B230" s="82" t="s">
        <v>7645</v>
      </c>
      <c r="C230" s="82" t="s">
        <v>3281</v>
      </c>
      <c r="D230" s="83">
        <f>SUMIFS(D231:D345,K231:K345,"0",B231:B345,"5 1 2 6 1 12 31111 6 M59 50000*")-SUMIFS(E231:E345,K231:K345,"0",B231:B345,"5 1 2 6 1 12 31111 6 M59 50000*")</f>
        <v>0</v>
      </c>
      <c r="E230" s="54"/>
      <c r="F230" s="83">
        <f>SUMIFS(F231:F345,K231:K345,"0",B231:B345,"5 1 2 6 1 12 31111 6 M59 50000*")</f>
        <v>37079.94</v>
      </c>
      <c r="G230" s="83">
        <f>SUMIFS(G231:G345,K231:K345,"0",B231:B345,"5 1 2 6 1 12 31111 6 M59 50000*")</f>
        <v>0</v>
      </c>
      <c r="H230" s="83">
        <f t="shared" si="3"/>
        <v>37079.94</v>
      </c>
      <c r="I230" s="83"/>
      <c r="K230" s="54" t="s">
        <v>15</v>
      </c>
    </row>
    <row r="231" spans="2:11" ht="16.5" x14ac:dyDescent="0.2">
      <c r="B231" s="82" t="s">
        <v>7646</v>
      </c>
      <c r="C231" s="82" t="s">
        <v>3283</v>
      </c>
      <c r="D231" s="83">
        <f>SUMIFS(D232:D345,K232:K345,"0",B232:B345,"5 1 2 6 1 12 31111 6 M59 50000 000223*")-SUMIFS(E232:E345,K232:K345,"0",B232:B345,"5 1 2 6 1 12 31111 6 M59 50000 000223*")</f>
        <v>0</v>
      </c>
      <c r="E231" s="54"/>
      <c r="F231" s="83">
        <f>SUMIFS(F232:F345,K232:K345,"0",B232:B345,"5 1 2 6 1 12 31111 6 M59 50000 000223*")</f>
        <v>37079.94</v>
      </c>
      <c r="G231" s="83">
        <f>SUMIFS(G232:G345,K232:K345,"0",B232:B345,"5 1 2 6 1 12 31111 6 M59 50000 000223*")</f>
        <v>0</v>
      </c>
      <c r="H231" s="83">
        <f t="shared" si="3"/>
        <v>37079.94</v>
      </c>
      <c r="I231" s="83"/>
      <c r="K231" s="54" t="s">
        <v>15</v>
      </c>
    </row>
    <row r="232" spans="2:11" ht="24.75" x14ac:dyDescent="0.2">
      <c r="B232" s="82" t="s">
        <v>7647</v>
      </c>
      <c r="C232" s="82" t="s">
        <v>1065</v>
      </c>
      <c r="D232" s="83">
        <f>SUMIFS(D233:D345,K233:K345,"0",B233:B345,"5 1 2 6 1 12 31111 6 M59 50000 000223 0000E*")-SUMIFS(E233:E345,K233:K345,"0",B233:B345,"5 1 2 6 1 12 31111 6 M59 50000 000223 0000E*")</f>
        <v>0</v>
      </c>
      <c r="E232" s="54"/>
      <c r="F232" s="83">
        <f>SUMIFS(F233:F345,K233:K345,"0",B233:B345,"5 1 2 6 1 12 31111 6 M59 50000 000223 0000E*")</f>
        <v>37079.94</v>
      </c>
      <c r="G232" s="83">
        <f>SUMIFS(G233:G345,K233:K345,"0",B233:B345,"5 1 2 6 1 12 31111 6 M59 50000 000223 0000E*")</f>
        <v>0</v>
      </c>
      <c r="H232" s="83">
        <f t="shared" si="3"/>
        <v>37079.94</v>
      </c>
      <c r="I232" s="83"/>
      <c r="K232" s="54" t="s">
        <v>15</v>
      </c>
    </row>
    <row r="233" spans="2:11" ht="24.75" x14ac:dyDescent="0.2">
      <c r="B233" s="82" t="s">
        <v>7648</v>
      </c>
      <c r="C233" s="82" t="s">
        <v>282</v>
      </c>
      <c r="D233" s="83">
        <f>SUMIFS(D234:D345,K234:K345,"0",B234:B345,"5 1 2 6 1 12 31111 6 M59 50000 000223 0000E 00001*")-SUMIFS(E234:E345,K234:K345,"0",B234:B345,"5 1 2 6 1 12 31111 6 M59 50000 000223 0000E 00001*")</f>
        <v>0</v>
      </c>
      <c r="E233" s="54"/>
      <c r="F233" s="83">
        <f>SUMIFS(F234:F345,K234:K345,"0",B234:B345,"5 1 2 6 1 12 31111 6 M59 50000 000223 0000E 00001*")</f>
        <v>37079.94</v>
      </c>
      <c r="G233" s="83">
        <f>SUMIFS(G234:G345,K234:K345,"0",B234:B345,"5 1 2 6 1 12 31111 6 M59 50000 000223 0000E 00001*")</f>
        <v>0</v>
      </c>
      <c r="H233" s="83">
        <f t="shared" si="3"/>
        <v>37079.94</v>
      </c>
      <c r="I233" s="83"/>
      <c r="K233" s="54" t="s">
        <v>15</v>
      </c>
    </row>
    <row r="234" spans="2:11" ht="24.75" x14ac:dyDescent="0.2">
      <c r="B234" s="82" t="s">
        <v>7649</v>
      </c>
      <c r="C234" s="82" t="s">
        <v>7511</v>
      </c>
      <c r="D234" s="83">
        <f>SUMIFS(D235:D345,K235:K345,"0",B235:B345,"5 1 2 6 1 12 31111 6 M59 50000 000223 0000E 00001 00261*")-SUMIFS(E235:E345,K235:K345,"0",B235:B345,"5 1 2 6 1 12 31111 6 M59 50000 000223 0000E 00001 00261*")</f>
        <v>0</v>
      </c>
      <c r="E234" s="54"/>
      <c r="F234" s="83">
        <f>SUMIFS(F235:F345,K235:K345,"0",B235:B345,"5 1 2 6 1 12 31111 6 M59 50000 000223 0000E 00001 00261*")</f>
        <v>37079.94</v>
      </c>
      <c r="G234" s="83">
        <f>SUMIFS(G235:G345,K235:K345,"0",B235:B345,"5 1 2 6 1 12 31111 6 M59 50000 000223 0000E 00001 00261*")</f>
        <v>0</v>
      </c>
      <c r="H234" s="83">
        <f t="shared" si="3"/>
        <v>37079.94</v>
      </c>
      <c r="I234" s="83"/>
      <c r="K234" s="54" t="s">
        <v>15</v>
      </c>
    </row>
    <row r="235" spans="2:11" ht="33" x14ac:dyDescent="0.2">
      <c r="B235" s="82" t="s">
        <v>7650</v>
      </c>
      <c r="C235" s="82" t="s">
        <v>1051</v>
      </c>
      <c r="D235" s="83">
        <f>SUMIFS(D236:D345,K236:K345,"0",B236:B345,"5 1 2 6 1 12 31111 6 M59 50000 000223 0000E 00001 00261 015*")-SUMIFS(E236:E345,K236:K345,"0",B236:B345,"5 1 2 6 1 12 31111 6 M59 50000 000223 0000E 00001 00261 015*")</f>
        <v>0</v>
      </c>
      <c r="E235" s="54"/>
      <c r="F235" s="83">
        <f>SUMIFS(F236:F345,K236:K345,"0",B236:B345,"5 1 2 6 1 12 31111 6 M59 50000 000223 0000E 00001 00261 015*")</f>
        <v>37079.94</v>
      </c>
      <c r="G235" s="83">
        <f>SUMIFS(G236:G345,K236:K345,"0",B236:B345,"5 1 2 6 1 12 31111 6 M59 50000 000223 0000E 00001 00261 015*")</f>
        <v>0</v>
      </c>
      <c r="H235" s="83">
        <f t="shared" si="3"/>
        <v>37079.94</v>
      </c>
      <c r="I235" s="83"/>
      <c r="K235" s="54" t="s">
        <v>15</v>
      </c>
    </row>
    <row r="236" spans="2:11" ht="33" x14ac:dyDescent="0.2">
      <c r="B236" s="82" t="s">
        <v>7651</v>
      </c>
      <c r="C236" s="82" t="s">
        <v>5830</v>
      </c>
      <c r="D236" s="83">
        <f>SUMIFS(D237:D345,K237:K345,"0",B237:B345,"5 1 2 6 1 12 31111 6 M59 50000 000223 0000E 00001 00261 015 2112000*")-SUMIFS(E237:E345,K237:K345,"0",B237:B345,"5 1 2 6 1 12 31111 6 M59 50000 000223 0000E 00001 00261 015 2112000*")</f>
        <v>0</v>
      </c>
      <c r="E236" s="54"/>
      <c r="F236" s="83">
        <f>SUMIFS(F237:F345,K237:K345,"0",B237:B345,"5 1 2 6 1 12 31111 6 M59 50000 000223 0000E 00001 00261 015 2112000*")</f>
        <v>37079.94</v>
      </c>
      <c r="G236" s="83">
        <f>SUMIFS(G237:G345,K237:K345,"0",B237:B345,"5 1 2 6 1 12 31111 6 M59 50000 000223 0000E 00001 00261 015 2112000*")</f>
        <v>0</v>
      </c>
      <c r="H236" s="83">
        <f t="shared" si="3"/>
        <v>37079.94</v>
      </c>
      <c r="I236" s="83"/>
      <c r="K236" s="54" t="s">
        <v>15</v>
      </c>
    </row>
    <row r="237" spans="2:11" ht="33" x14ac:dyDescent="0.2">
      <c r="B237" s="82" t="s">
        <v>7652</v>
      </c>
      <c r="C237" s="82" t="s">
        <v>660</v>
      </c>
      <c r="D237" s="83">
        <f>SUMIFS(D238:D345,K238:K345,"0",B238:B345,"5 1 2 6 1 12 31111 6 M59 50000 000223 0000E 00001 00261 015 2112000 2024*")-SUMIFS(E238:E345,K238:K345,"0",B238:B345,"5 1 2 6 1 12 31111 6 M59 50000 000223 0000E 00001 00261 015 2112000 2024*")</f>
        <v>0</v>
      </c>
      <c r="E237" s="54"/>
      <c r="F237" s="83">
        <f>SUMIFS(F238:F345,K238:K345,"0",B238:B345,"5 1 2 6 1 12 31111 6 M59 50000 000223 0000E 00001 00261 015 2112000 2024*")</f>
        <v>37079.94</v>
      </c>
      <c r="G237" s="83">
        <f>SUMIFS(G238:G345,K238:K345,"0",B238:B345,"5 1 2 6 1 12 31111 6 M59 50000 000223 0000E 00001 00261 015 2112000 2024*")</f>
        <v>0</v>
      </c>
      <c r="H237" s="83">
        <f t="shared" si="3"/>
        <v>37079.94</v>
      </c>
      <c r="I237" s="83"/>
      <c r="K237" s="54" t="s">
        <v>15</v>
      </c>
    </row>
    <row r="238" spans="2:11" ht="41.25" x14ac:dyDescent="0.2">
      <c r="B238" s="82" t="s">
        <v>7656</v>
      </c>
      <c r="C238" s="82" t="s">
        <v>7657</v>
      </c>
      <c r="D238" s="83">
        <f>SUMIFS(D239:D345,K239:K345,"0",B239:B345,"5 1 2 6 1 12 31111 6 M59 50000 000223 0000E 00001 00261 015 2112000 2024 CP2DA534*")-SUMIFS(E239:E345,K239:K345,"0",B239:B345,"5 1 2 6 1 12 31111 6 M59 50000 000223 0000E 00001 00261 015 2112000 2024 CP2DA534*")</f>
        <v>0</v>
      </c>
      <c r="E238" s="54"/>
      <c r="F238" s="83">
        <f>SUMIFS(F239:F345,K239:K345,"0",B239:B345,"5 1 2 6 1 12 31111 6 M59 50000 000223 0000E 00001 00261 015 2112000 2024 CP2DA534*")</f>
        <v>37079.94</v>
      </c>
      <c r="G238" s="83">
        <f>SUMIFS(G239:G345,K239:K345,"0",B239:B345,"5 1 2 6 1 12 31111 6 M59 50000 000223 0000E 00001 00261 015 2112000 2024 CP2DA534*")</f>
        <v>0</v>
      </c>
      <c r="H238" s="83">
        <f t="shared" si="3"/>
        <v>37079.94</v>
      </c>
      <c r="I238" s="83"/>
      <c r="K238" s="54" t="s">
        <v>15</v>
      </c>
    </row>
    <row r="239" spans="2:11" ht="41.25" x14ac:dyDescent="0.2">
      <c r="B239" s="82" t="s">
        <v>7658</v>
      </c>
      <c r="C239" s="82" t="s">
        <v>1075</v>
      </c>
      <c r="D239" s="83">
        <f>SUMIFS(D240:D345,K240:K345,"0",B240:B345,"5 1 2 6 1 12 31111 6 M59 50000 000223 0000E 00001 00261 015 2112000 2024 CP2DA534 005*")-SUMIFS(E240:E345,K240:K345,"0",B240:B345,"5 1 2 6 1 12 31111 6 M59 50000 000223 0000E 00001 00261 015 2112000 2024 CP2DA534 005*")</f>
        <v>0</v>
      </c>
      <c r="E239" s="54"/>
      <c r="F239" s="83">
        <f>SUMIFS(F240:F345,K240:K345,"0",B240:B345,"5 1 2 6 1 12 31111 6 M59 50000 000223 0000E 00001 00261 015 2112000 2024 CP2DA534 005*")</f>
        <v>37079.94</v>
      </c>
      <c r="G239" s="83">
        <f>SUMIFS(G240:G345,K240:K345,"0",B240:B345,"5 1 2 6 1 12 31111 6 M59 50000 000223 0000E 00001 00261 015 2112000 2024 CP2DA534 005*")</f>
        <v>0</v>
      </c>
      <c r="H239" s="83">
        <f t="shared" si="3"/>
        <v>37079.94</v>
      </c>
      <c r="I239" s="83"/>
      <c r="K239" s="54" t="s">
        <v>15</v>
      </c>
    </row>
    <row r="240" spans="2:11" ht="41.25" x14ac:dyDescent="0.2">
      <c r="B240" s="84" t="s">
        <v>7659</v>
      </c>
      <c r="C240" s="84" t="s">
        <v>540</v>
      </c>
      <c r="D240" s="85">
        <v>0</v>
      </c>
      <c r="E240" s="85"/>
      <c r="F240" s="85">
        <v>37079.94</v>
      </c>
      <c r="G240" s="85">
        <v>0</v>
      </c>
      <c r="H240" s="85">
        <f t="shared" si="3"/>
        <v>37079.94</v>
      </c>
      <c r="I240" s="85"/>
      <c r="K240" s="54" t="s">
        <v>38</v>
      </c>
    </row>
    <row r="241" spans="2:11" ht="16.5" x14ac:dyDescent="0.2">
      <c r="B241" s="82" t="s">
        <v>7704</v>
      </c>
      <c r="C241" s="82" t="s">
        <v>1308</v>
      </c>
      <c r="D241" s="83">
        <f>SUMIFS(D242:D345,K242:K345,"0",B242:B345,"5 1 2 6 1 12 31111 6 M59 96300*")-SUMIFS(E242:E345,K242:K345,"0",B242:B345,"5 1 2 6 1 12 31111 6 M59 96300*")</f>
        <v>0</v>
      </c>
      <c r="E241" s="54"/>
      <c r="F241" s="83">
        <f>SUMIFS(F242:F345,K242:K345,"0",B242:B345,"5 1 2 6 1 12 31111 6 M59 96300*")</f>
        <v>776524.13</v>
      </c>
      <c r="G241" s="83">
        <f>SUMIFS(G242:G345,K242:K345,"0",B242:B345,"5 1 2 6 1 12 31111 6 M59 96300*")</f>
        <v>0</v>
      </c>
      <c r="H241" s="83">
        <f t="shared" si="3"/>
        <v>776524.13</v>
      </c>
      <c r="I241" s="83"/>
      <c r="K241" s="54" t="s">
        <v>15</v>
      </c>
    </row>
    <row r="242" spans="2:11" ht="16.5" x14ac:dyDescent="0.2">
      <c r="B242" s="82" t="s">
        <v>7705</v>
      </c>
      <c r="C242" s="82" t="s">
        <v>1310</v>
      </c>
      <c r="D242" s="83">
        <f>SUMIFS(D243:D345,K243:K345,"0",B243:B345,"5 1 2 6 1 12 31111 6 M59 96300 000211*")-SUMIFS(E243:E345,K243:K345,"0",B243:B345,"5 1 2 6 1 12 31111 6 M59 96300 000211*")</f>
        <v>0</v>
      </c>
      <c r="E242" s="54"/>
      <c r="F242" s="83">
        <f>SUMIFS(F243:F345,K243:K345,"0",B243:B345,"5 1 2 6 1 12 31111 6 M59 96300 000211*")</f>
        <v>776524.13</v>
      </c>
      <c r="G242" s="83">
        <f>SUMIFS(G243:G345,K243:K345,"0",B243:B345,"5 1 2 6 1 12 31111 6 M59 96300 000211*")</f>
        <v>0</v>
      </c>
      <c r="H242" s="83">
        <f t="shared" si="3"/>
        <v>776524.13</v>
      </c>
      <c r="I242" s="83"/>
      <c r="K242" s="54" t="s">
        <v>15</v>
      </c>
    </row>
    <row r="243" spans="2:11" ht="24.75" x14ac:dyDescent="0.2">
      <c r="B243" s="82" t="s">
        <v>7706</v>
      </c>
      <c r="C243" s="82" t="s">
        <v>1065</v>
      </c>
      <c r="D243" s="83">
        <f>SUMIFS(D244:D345,K244:K345,"0",B244:B345,"5 1 2 6 1 12 31111 6 M59 96300 000211 0000E*")-SUMIFS(E244:E345,K244:K345,"0",B244:B345,"5 1 2 6 1 12 31111 6 M59 96300 000211 0000E*")</f>
        <v>0</v>
      </c>
      <c r="E243" s="54"/>
      <c r="F243" s="83">
        <f>SUMIFS(F244:F345,K244:K345,"0",B244:B345,"5 1 2 6 1 12 31111 6 M59 96300 000211 0000E*")</f>
        <v>776524.13</v>
      </c>
      <c r="G243" s="83">
        <f>SUMIFS(G244:G345,K244:K345,"0",B244:B345,"5 1 2 6 1 12 31111 6 M59 96300 000211 0000E*")</f>
        <v>0</v>
      </c>
      <c r="H243" s="83">
        <f t="shared" si="3"/>
        <v>776524.13</v>
      </c>
      <c r="I243" s="83"/>
      <c r="K243" s="54" t="s">
        <v>15</v>
      </c>
    </row>
    <row r="244" spans="2:11" ht="24.75" x14ac:dyDescent="0.2">
      <c r="B244" s="82" t="s">
        <v>7707</v>
      </c>
      <c r="C244" s="82" t="s">
        <v>282</v>
      </c>
      <c r="D244" s="83">
        <f>SUMIFS(D245:D345,K245:K345,"0",B245:B345,"5 1 2 6 1 12 31111 6 M59 96300 000211 0000E 00001*")-SUMIFS(E245:E345,K245:K345,"0",B245:B345,"5 1 2 6 1 12 31111 6 M59 96300 000211 0000E 00001*")</f>
        <v>0</v>
      </c>
      <c r="E244" s="54"/>
      <c r="F244" s="83">
        <f>SUMIFS(F245:F345,K245:K345,"0",B245:B345,"5 1 2 6 1 12 31111 6 M59 96300 000211 0000E 00001*")</f>
        <v>776524.13</v>
      </c>
      <c r="G244" s="83">
        <f>SUMIFS(G245:G345,K245:K345,"0",B245:B345,"5 1 2 6 1 12 31111 6 M59 96300 000211 0000E 00001*")</f>
        <v>0</v>
      </c>
      <c r="H244" s="83">
        <f t="shared" si="3"/>
        <v>776524.13</v>
      </c>
      <c r="I244" s="83"/>
      <c r="K244" s="54" t="s">
        <v>15</v>
      </c>
    </row>
    <row r="245" spans="2:11" ht="24.75" x14ac:dyDescent="0.2">
      <c r="B245" s="82" t="s">
        <v>7708</v>
      </c>
      <c r="C245" s="82" t="s">
        <v>7511</v>
      </c>
      <c r="D245" s="83">
        <f>SUMIFS(D246:D345,K246:K345,"0",B246:B345,"5 1 2 6 1 12 31111 6 M59 96300 000211 0000E 00001 00261*")-SUMIFS(E246:E345,K246:K345,"0",B246:B345,"5 1 2 6 1 12 31111 6 M59 96300 000211 0000E 00001 00261*")</f>
        <v>0</v>
      </c>
      <c r="E245" s="54"/>
      <c r="F245" s="83">
        <f>SUMIFS(F246:F345,K246:K345,"0",B246:B345,"5 1 2 6 1 12 31111 6 M59 96300 000211 0000E 00001 00261*")</f>
        <v>776524.13</v>
      </c>
      <c r="G245" s="83">
        <f>SUMIFS(G246:G345,K246:K345,"0",B246:B345,"5 1 2 6 1 12 31111 6 M59 96300 000211 0000E 00001 00261*")</f>
        <v>0</v>
      </c>
      <c r="H245" s="83">
        <f t="shared" si="3"/>
        <v>776524.13</v>
      </c>
      <c r="I245" s="83"/>
      <c r="K245" s="54" t="s">
        <v>15</v>
      </c>
    </row>
    <row r="246" spans="2:11" ht="33" x14ac:dyDescent="0.2">
      <c r="B246" s="82" t="s">
        <v>7709</v>
      </c>
      <c r="C246" s="82" t="s">
        <v>1051</v>
      </c>
      <c r="D246" s="83">
        <f>SUMIFS(D247:D345,K247:K345,"0",B247:B345,"5 1 2 6 1 12 31111 6 M59 96300 000211 0000E 00001 00261 015*")-SUMIFS(E247:E345,K247:K345,"0",B247:B345,"5 1 2 6 1 12 31111 6 M59 96300 000211 0000E 00001 00261 015*")</f>
        <v>0</v>
      </c>
      <c r="E246" s="54"/>
      <c r="F246" s="83">
        <f>SUMIFS(F247:F345,K247:K345,"0",B247:B345,"5 1 2 6 1 12 31111 6 M59 96300 000211 0000E 00001 00261 015*")</f>
        <v>776524.13</v>
      </c>
      <c r="G246" s="83">
        <f>SUMIFS(G247:G345,K247:K345,"0",B247:B345,"5 1 2 6 1 12 31111 6 M59 96300 000211 0000E 00001 00261 015*")</f>
        <v>0</v>
      </c>
      <c r="H246" s="83">
        <f t="shared" ref="H246:H309" si="4">D246 + F246 - G246</f>
        <v>776524.13</v>
      </c>
      <c r="I246" s="83"/>
      <c r="K246" s="54" t="s">
        <v>15</v>
      </c>
    </row>
    <row r="247" spans="2:11" ht="33" x14ac:dyDescent="0.2">
      <c r="B247" s="82" t="s">
        <v>7710</v>
      </c>
      <c r="C247" s="82" t="s">
        <v>5830</v>
      </c>
      <c r="D247" s="83">
        <f>SUMIFS(D248:D345,K248:K345,"0",B248:B345,"5 1 2 6 1 12 31111 6 M59 96300 000211 0000E 00001 00261 015 2112000*")-SUMIFS(E248:E345,K248:K345,"0",B248:B345,"5 1 2 6 1 12 31111 6 M59 96300 000211 0000E 00001 00261 015 2112000*")</f>
        <v>0</v>
      </c>
      <c r="E247" s="54"/>
      <c r="F247" s="83">
        <f>SUMIFS(F248:F345,K248:K345,"0",B248:B345,"5 1 2 6 1 12 31111 6 M59 96300 000211 0000E 00001 00261 015 2112000*")</f>
        <v>776524.13</v>
      </c>
      <c r="G247" s="83">
        <f>SUMIFS(G248:G345,K248:K345,"0",B248:B345,"5 1 2 6 1 12 31111 6 M59 96300 000211 0000E 00001 00261 015 2112000*")</f>
        <v>0</v>
      </c>
      <c r="H247" s="83">
        <f t="shared" si="4"/>
        <v>776524.13</v>
      </c>
      <c r="I247" s="83"/>
      <c r="K247" s="54" t="s">
        <v>15</v>
      </c>
    </row>
    <row r="248" spans="2:11" ht="33" x14ac:dyDescent="0.2">
      <c r="B248" s="82" t="s">
        <v>7711</v>
      </c>
      <c r="C248" s="82" t="s">
        <v>660</v>
      </c>
      <c r="D248" s="83">
        <f>SUMIFS(D249:D345,K249:K345,"0",B249:B345,"5 1 2 6 1 12 31111 6 M59 96300 000211 0000E 00001 00261 015 2112000 2024*")-SUMIFS(E249:E345,K249:K345,"0",B249:B345,"5 1 2 6 1 12 31111 6 M59 96300 000211 0000E 00001 00261 015 2112000 2024*")</f>
        <v>0</v>
      </c>
      <c r="E248" s="54"/>
      <c r="F248" s="83">
        <f>SUMIFS(F249:F345,K249:K345,"0",B249:B345,"5 1 2 6 1 12 31111 6 M59 96300 000211 0000E 00001 00261 015 2112000 2024*")</f>
        <v>776524.13</v>
      </c>
      <c r="G248" s="83">
        <f>SUMIFS(G249:G345,K249:K345,"0",B249:B345,"5 1 2 6 1 12 31111 6 M59 96300 000211 0000E 00001 00261 015 2112000 2024*")</f>
        <v>0</v>
      </c>
      <c r="H248" s="83">
        <f t="shared" si="4"/>
        <v>776524.13</v>
      </c>
      <c r="I248" s="83"/>
      <c r="K248" s="54" t="s">
        <v>15</v>
      </c>
    </row>
    <row r="249" spans="2:11" ht="41.25" x14ac:dyDescent="0.2">
      <c r="B249" s="82" t="s">
        <v>7712</v>
      </c>
      <c r="C249" s="82" t="s">
        <v>1056</v>
      </c>
      <c r="D249" s="83">
        <f>SUMIFS(D250:D345,K250:K345,"0",B250:B345,"5 1 2 6 1 12 31111 6 M59 96300 000211 0000E 00001 00261 015 2112000 2024 CP1SB396*")-SUMIFS(E250:E345,K250:K345,"0",B250:B345,"5 1 2 6 1 12 31111 6 M59 96300 000211 0000E 00001 00261 015 2112000 2024 CP1SB396*")</f>
        <v>0</v>
      </c>
      <c r="E249" s="54"/>
      <c r="F249" s="83">
        <f>SUMIFS(F250:F345,K250:K345,"0",B250:B345,"5 1 2 6 1 12 31111 6 M59 96300 000211 0000E 00001 00261 015 2112000 2024 CP1SB396*")</f>
        <v>776524.13</v>
      </c>
      <c r="G249" s="83">
        <f>SUMIFS(G250:G345,K250:K345,"0",B250:B345,"5 1 2 6 1 12 31111 6 M59 96300 000211 0000E 00001 00261 015 2112000 2024 CP1SB396*")</f>
        <v>0</v>
      </c>
      <c r="H249" s="83">
        <f t="shared" si="4"/>
        <v>776524.13</v>
      </c>
      <c r="I249" s="83"/>
      <c r="K249" s="54" t="s">
        <v>15</v>
      </c>
    </row>
    <row r="250" spans="2:11" ht="41.25" x14ac:dyDescent="0.2">
      <c r="B250" s="82" t="s">
        <v>7715</v>
      </c>
      <c r="C250" s="82" t="s">
        <v>1075</v>
      </c>
      <c r="D250" s="83">
        <f>SUMIFS(D251:D345,K251:K345,"0",B251:B345,"5 1 2 6 1 12 31111 6 M59 96300 000211 0000E 00001 00261 015 2112000 2024 CP1SB396 005*")-SUMIFS(E251:E345,K251:K345,"0",B251:B345,"5 1 2 6 1 12 31111 6 M59 96300 000211 0000E 00001 00261 015 2112000 2024 CP1SB396 005*")</f>
        <v>0</v>
      </c>
      <c r="E250" s="54"/>
      <c r="F250" s="83">
        <f>SUMIFS(F251:F345,K251:K345,"0",B251:B345,"5 1 2 6 1 12 31111 6 M59 96300 000211 0000E 00001 00261 015 2112000 2024 CP1SB396 005*")</f>
        <v>776524.13</v>
      </c>
      <c r="G250" s="83">
        <f>SUMIFS(G251:G345,K251:K345,"0",B251:B345,"5 1 2 6 1 12 31111 6 M59 96300 000211 0000E 00001 00261 015 2112000 2024 CP1SB396 005*")</f>
        <v>0</v>
      </c>
      <c r="H250" s="83">
        <f t="shared" si="4"/>
        <v>776524.13</v>
      </c>
      <c r="I250" s="83"/>
      <c r="K250" s="54" t="s">
        <v>15</v>
      </c>
    </row>
    <row r="251" spans="2:11" ht="33" x14ac:dyDescent="0.2">
      <c r="B251" s="84" t="s">
        <v>7716</v>
      </c>
      <c r="C251" s="84" t="s">
        <v>540</v>
      </c>
      <c r="D251" s="85">
        <v>0</v>
      </c>
      <c r="E251" s="85"/>
      <c r="F251" s="85">
        <v>776524.13</v>
      </c>
      <c r="G251" s="85">
        <v>0</v>
      </c>
      <c r="H251" s="85">
        <f t="shared" si="4"/>
        <v>776524.13</v>
      </c>
      <c r="I251" s="85"/>
      <c r="K251" s="54" t="s">
        <v>38</v>
      </c>
    </row>
    <row r="252" spans="2:11" ht="12.75" x14ac:dyDescent="0.2">
      <c r="B252" s="82" t="s">
        <v>8324</v>
      </c>
      <c r="C252" s="82" t="s">
        <v>8325</v>
      </c>
      <c r="D252" s="83">
        <f>SUMIFS(D253:D345,K253:K345,"0",B253:B345,"5 1 3*")-SUMIFS(E253:E345,K253:K345,"0",B253:B345,"5 1 3*")</f>
        <v>0</v>
      </c>
      <c r="E252" s="54"/>
      <c r="F252" s="83">
        <f>SUMIFS(F253:F345,K253:K345,"0",B253:B345,"5 1 3*")</f>
        <v>544468.69999999995</v>
      </c>
      <c r="G252" s="83">
        <f>SUMIFS(G253:G345,K253:K345,"0",B253:B345,"5 1 3*")</f>
        <v>0</v>
      </c>
      <c r="H252" s="83">
        <f t="shared" si="4"/>
        <v>544468.69999999995</v>
      </c>
      <c r="I252" s="83"/>
      <c r="K252" s="54" t="s">
        <v>15</v>
      </c>
    </row>
    <row r="253" spans="2:11" ht="24.75" x14ac:dyDescent="0.2">
      <c r="B253" s="82" t="s">
        <v>8578</v>
      </c>
      <c r="C253" s="82" t="s">
        <v>8579</v>
      </c>
      <c r="D253" s="83">
        <f>SUMIFS(D254:D345,K254:K345,"0",B254:B345,"5 1 3 3*")-SUMIFS(E254:E345,K254:K345,"0",B254:B345,"5 1 3 3*")</f>
        <v>0</v>
      </c>
      <c r="E253" s="54"/>
      <c r="F253" s="83">
        <f>SUMIFS(F254:F345,K254:K345,"0",B254:B345,"5 1 3 3*")</f>
        <v>470577.24</v>
      </c>
      <c r="G253" s="83">
        <f>SUMIFS(G254:G345,K254:K345,"0",B254:B345,"5 1 3 3*")</f>
        <v>0</v>
      </c>
      <c r="H253" s="83">
        <f t="shared" si="4"/>
        <v>470577.24</v>
      </c>
      <c r="I253" s="83"/>
      <c r="K253" s="54" t="s">
        <v>15</v>
      </c>
    </row>
    <row r="254" spans="2:11" ht="24.75" x14ac:dyDescent="0.2">
      <c r="B254" s="82" t="s">
        <v>8673</v>
      </c>
      <c r="C254" s="82" t="s">
        <v>8674</v>
      </c>
      <c r="D254" s="83">
        <f>SUMIFS(D255:D345,K255:K345,"0",B255:B345,"5 1 3 3 9*")-SUMIFS(E255:E345,K255:K345,"0",B255:B345,"5 1 3 3 9*")</f>
        <v>0</v>
      </c>
      <c r="E254" s="54"/>
      <c r="F254" s="83">
        <f>SUMIFS(F255:F345,K255:K345,"0",B255:B345,"5 1 3 3 9*")</f>
        <v>470577.24</v>
      </c>
      <c r="G254" s="83">
        <f>SUMIFS(G255:G345,K255:K345,"0",B255:B345,"5 1 3 3 9*")</f>
        <v>0</v>
      </c>
      <c r="H254" s="83">
        <f t="shared" si="4"/>
        <v>470577.24</v>
      </c>
      <c r="I254" s="83"/>
      <c r="K254" s="54" t="s">
        <v>15</v>
      </c>
    </row>
    <row r="255" spans="2:11" ht="12.75" x14ac:dyDescent="0.2">
      <c r="B255" s="82" t="s">
        <v>8675</v>
      </c>
      <c r="C255" s="82" t="s">
        <v>26</v>
      </c>
      <c r="D255" s="83">
        <f>SUMIFS(D256:D345,K256:K345,"0",B256:B345,"5 1 3 3 9 12*")-SUMIFS(E256:E345,K256:K345,"0",B256:B345,"5 1 3 3 9 12*")</f>
        <v>0</v>
      </c>
      <c r="E255" s="54"/>
      <c r="F255" s="83">
        <f>SUMIFS(F256:F345,K256:K345,"0",B256:B345,"5 1 3 3 9 12*")</f>
        <v>470577.24</v>
      </c>
      <c r="G255" s="83">
        <f>SUMIFS(G256:G345,K256:K345,"0",B256:B345,"5 1 3 3 9 12*")</f>
        <v>0</v>
      </c>
      <c r="H255" s="83">
        <f t="shared" si="4"/>
        <v>470577.24</v>
      </c>
      <c r="I255" s="83"/>
      <c r="K255" s="54" t="s">
        <v>15</v>
      </c>
    </row>
    <row r="256" spans="2:11" ht="16.5" x14ac:dyDescent="0.2">
      <c r="B256" s="82" t="s">
        <v>8676</v>
      </c>
      <c r="C256" s="82" t="s">
        <v>28</v>
      </c>
      <c r="D256" s="83">
        <f>SUMIFS(D257:D345,K257:K345,"0",B257:B345,"5 1 3 3 9 12 31111*")-SUMIFS(E257:E345,K257:K345,"0",B257:B345,"5 1 3 3 9 12 31111*")</f>
        <v>0</v>
      </c>
      <c r="E256" s="54"/>
      <c r="F256" s="83">
        <f>SUMIFS(F257:F345,K257:K345,"0",B257:B345,"5 1 3 3 9 12 31111*")</f>
        <v>470577.24</v>
      </c>
      <c r="G256" s="83">
        <f>SUMIFS(G257:G345,K257:K345,"0",B257:B345,"5 1 3 3 9 12 31111*")</f>
        <v>0</v>
      </c>
      <c r="H256" s="83">
        <f t="shared" si="4"/>
        <v>470577.24</v>
      </c>
      <c r="I256" s="83"/>
      <c r="K256" s="54" t="s">
        <v>15</v>
      </c>
    </row>
    <row r="257" spans="2:11" ht="12.75" x14ac:dyDescent="0.2">
      <c r="B257" s="82" t="s">
        <v>8677</v>
      </c>
      <c r="C257" s="82" t="s">
        <v>30</v>
      </c>
      <c r="D257" s="83">
        <f>SUMIFS(D258:D345,K258:K345,"0",B258:B345,"5 1 3 3 9 12 31111 6*")-SUMIFS(E258:E345,K258:K345,"0",B258:B345,"5 1 3 3 9 12 31111 6*")</f>
        <v>0</v>
      </c>
      <c r="E257" s="54"/>
      <c r="F257" s="83">
        <f>SUMIFS(F258:F345,K258:K345,"0",B258:B345,"5 1 3 3 9 12 31111 6*")</f>
        <v>470577.24</v>
      </c>
      <c r="G257" s="83">
        <f>SUMIFS(G258:G345,K258:K345,"0",B258:B345,"5 1 3 3 9 12 31111 6*")</f>
        <v>0</v>
      </c>
      <c r="H257" s="83">
        <f t="shared" si="4"/>
        <v>470577.24</v>
      </c>
      <c r="I257" s="83"/>
      <c r="K257" s="54" t="s">
        <v>15</v>
      </c>
    </row>
    <row r="258" spans="2:11" ht="16.5" x14ac:dyDescent="0.2">
      <c r="B258" s="82" t="s">
        <v>8678</v>
      </c>
      <c r="C258" s="82" t="s">
        <v>2284</v>
      </c>
      <c r="D258" s="83">
        <f>SUMIFS(D259:D345,K259:K345,"0",B259:B345,"5 1 3 3 9 12 31111 6 M59*")-SUMIFS(E259:E345,K259:K345,"0",B259:B345,"5 1 3 3 9 12 31111 6 M59*")</f>
        <v>0</v>
      </c>
      <c r="E258" s="54"/>
      <c r="F258" s="83">
        <f>SUMIFS(F259:F345,K259:K345,"0",B259:B345,"5 1 3 3 9 12 31111 6 M59*")</f>
        <v>470577.24</v>
      </c>
      <c r="G258" s="83">
        <f>SUMIFS(G259:G345,K259:K345,"0",B259:B345,"5 1 3 3 9 12 31111 6 M59*")</f>
        <v>0</v>
      </c>
      <c r="H258" s="83">
        <f t="shared" si="4"/>
        <v>470577.24</v>
      </c>
      <c r="I258" s="83"/>
      <c r="K258" s="54" t="s">
        <v>15</v>
      </c>
    </row>
    <row r="259" spans="2:11" ht="16.5" x14ac:dyDescent="0.2">
      <c r="B259" s="82" t="s">
        <v>8679</v>
      </c>
      <c r="C259" s="82" t="s">
        <v>3281</v>
      </c>
      <c r="D259" s="83">
        <f>SUMIFS(D260:D345,K260:K345,"0",B260:B345,"5 1 3 3 9 12 31111 6 M59 50000*")-SUMIFS(E260:E345,K260:K345,"0",B260:B345,"5 1 3 3 9 12 31111 6 M59 50000*")</f>
        <v>0</v>
      </c>
      <c r="E259" s="54"/>
      <c r="F259" s="83">
        <f>SUMIFS(F260:F345,K260:K345,"0",B260:B345,"5 1 3 3 9 12 31111 6 M59 50000*")</f>
        <v>470577.24</v>
      </c>
      <c r="G259" s="83">
        <f>SUMIFS(G260:G345,K260:K345,"0",B260:B345,"5 1 3 3 9 12 31111 6 M59 50000*")</f>
        <v>0</v>
      </c>
      <c r="H259" s="83">
        <f t="shared" si="4"/>
        <v>470577.24</v>
      </c>
      <c r="I259" s="83"/>
      <c r="K259" s="54" t="s">
        <v>15</v>
      </c>
    </row>
    <row r="260" spans="2:11" ht="16.5" x14ac:dyDescent="0.2">
      <c r="B260" s="82" t="s">
        <v>8680</v>
      </c>
      <c r="C260" s="82" t="s">
        <v>3283</v>
      </c>
      <c r="D260" s="83">
        <f>SUMIFS(D261:D345,K261:K345,"0",B261:B345,"5 1 3 3 9 12 31111 6 M59 50000 000223*")-SUMIFS(E261:E345,K261:K345,"0",B261:B345,"5 1 3 3 9 12 31111 6 M59 50000 000223*")</f>
        <v>0</v>
      </c>
      <c r="E260" s="54"/>
      <c r="F260" s="83">
        <f>SUMIFS(F261:F345,K261:K345,"0",B261:B345,"5 1 3 3 9 12 31111 6 M59 50000 000223*")</f>
        <v>470577.24</v>
      </c>
      <c r="G260" s="83">
        <f>SUMIFS(G261:G345,K261:K345,"0",B261:B345,"5 1 3 3 9 12 31111 6 M59 50000 000223*")</f>
        <v>0</v>
      </c>
      <c r="H260" s="83">
        <f t="shared" si="4"/>
        <v>470577.24</v>
      </c>
      <c r="I260" s="83"/>
      <c r="K260" s="54" t="s">
        <v>15</v>
      </c>
    </row>
    <row r="261" spans="2:11" ht="24.75" x14ac:dyDescent="0.2">
      <c r="B261" s="82" t="s">
        <v>8681</v>
      </c>
      <c r="C261" s="82" t="s">
        <v>1065</v>
      </c>
      <c r="D261" s="83">
        <f>SUMIFS(D262:D345,K262:K345,"0",B262:B345,"5 1 3 3 9 12 31111 6 M59 50000 000223 0000E*")-SUMIFS(E262:E345,K262:K345,"0",B262:B345,"5 1 3 3 9 12 31111 6 M59 50000 000223 0000E*")</f>
        <v>0</v>
      </c>
      <c r="E261" s="54"/>
      <c r="F261" s="83">
        <f>SUMIFS(F262:F345,K262:K345,"0",B262:B345,"5 1 3 3 9 12 31111 6 M59 50000 000223 0000E*")</f>
        <v>470577.24</v>
      </c>
      <c r="G261" s="83">
        <f>SUMIFS(G262:G345,K262:K345,"0",B262:B345,"5 1 3 3 9 12 31111 6 M59 50000 000223 0000E*")</f>
        <v>0</v>
      </c>
      <c r="H261" s="83">
        <f t="shared" si="4"/>
        <v>470577.24</v>
      </c>
      <c r="I261" s="83"/>
      <c r="K261" s="54" t="s">
        <v>15</v>
      </c>
    </row>
    <row r="262" spans="2:11" ht="24.75" x14ac:dyDescent="0.2">
      <c r="B262" s="82" t="s">
        <v>8682</v>
      </c>
      <c r="C262" s="82" t="s">
        <v>282</v>
      </c>
      <c r="D262" s="83">
        <f>SUMIFS(D263:D345,K263:K345,"0",B263:B345,"5 1 3 3 9 12 31111 6 M59 50000 000223 0000E 00001*")-SUMIFS(E263:E345,K263:K345,"0",B263:B345,"5 1 3 3 9 12 31111 6 M59 50000 000223 0000E 00001*")</f>
        <v>0</v>
      </c>
      <c r="E262" s="54"/>
      <c r="F262" s="83">
        <f>SUMIFS(F263:F345,K263:K345,"0",B263:B345,"5 1 3 3 9 12 31111 6 M59 50000 000223 0000E 00001*")</f>
        <v>470577.24</v>
      </c>
      <c r="G262" s="83">
        <f>SUMIFS(G263:G345,K263:K345,"0",B263:B345,"5 1 3 3 9 12 31111 6 M59 50000 000223 0000E 00001*")</f>
        <v>0</v>
      </c>
      <c r="H262" s="83">
        <f t="shared" si="4"/>
        <v>470577.24</v>
      </c>
      <c r="I262" s="83"/>
      <c r="K262" s="54" t="s">
        <v>15</v>
      </c>
    </row>
    <row r="263" spans="2:11" ht="24.75" x14ac:dyDescent="0.2">
      <c r="B263" s="82" t="s">
        <v>8683</v>
      </c>
      <c r="C263" s="82" t="s">
        <v>8684</v>
      </c>
      <c r="D263" s="83">
        <f>SUMIFS(D264:D345,K264:K345,"0",B264:B345,"5 1 3 3 9 12 31111 6 M59 50000 000223 0000E 00001 00339*")-SUMIFS(E264:E345,K264:K345,"0",B264:B345,"5 1 3 3 9 12 31111 6 M59 50000 000223 0000E 00001 00339*")</f>
        <v>0</v>
      </c>
      <c r="E263" s="54"/>
      <c r="F263" s="83">
        <f>SUMIFS(F264:F345,K264:K345,"0",B264:B345,"5 1 3 3 9 12 31111 6 M59 50000 000223 0000E 00001 00339*")</f>
        <v>470577.24</v>
      </c>
      <c r="G263" s="83">
        <f>SUMIFS(G264:G345,K264:K345,"0",B264:B345,"5 1 3 3 9 12 31111 6 M59 50000 000223 0000E 00001 00339*")</f>
        <v>0</v>
      </c>
      <c r="H263" s="83">
        <f t="shared" si="4"/>
        <v>470577.24</v>
      </c>
      <c r="I263" s="83"/>
      <c r="K263" s="54" t="s">
        <v>15</v>
      </c>
    </row>
    <row r="264" spans="2:11" ht="33" x14ac:dyDescent="0.2">
      <c r="B264" s="82" t="s">
        <v>8685</v>
      </c>
      <c r="C264" s="82" t="s">
        <v>1051</v>
      </c>
      <c r="D264" s="83">
        <f>SUMIFS(D265:D345,K265:K345,"0",B265:B345,"5 1 3 3 9 12 31111 6 M59 50000 000223 0000E 00001 00339 015*")-SUMIFS(E265:E345,K265:K345,"0",B265:B345,"5 1 3 3 9 12 31111 6 M59 50000 000223 0000E 00001 00339 015*")</f>
        <v>0</v>
      </c>
      <c r="E264" s="54"/>
      <c r="F264" s="83">
        <f>SUMIFS(F265:F345,K265:K345,"0",B265:B345,"5 1 3 3 9 12 31111 6 M59 50000 000223 0000E 00001 00339 015*")</f>
        <v>470577.24</v>
      </c>
      <c r="G264" s="83">
        <f>SUMIFS(G265:G345,K265:K345,"0",B265:B345,"5 1 3 3 9 12 31111 6 M59 50000 000223 0000E 00001 00339 015*")</f>
        <v>0</v>
      </c>
      <c r="H264" s="83">
        <f t="shared" si="4"/>
        <v>470577.24</v>
      </c>
      <c r="I264" s="83"/>
      <c r="K264" s="54" t="s">
        <v>15</v>
      </c>
    </row>
    <row r="265" spans="2:11" ht="33" x14ac:dyDescent="0.2">
      <c r="B265" s="82" t="s">
        <v>8686</v>
      </c>
      <c r="C265" s="82" t="s">
        <v>5830</v>
      </c>
      <c r="D265" s="83">
        <f>SUMIFS(D266:D345,K266:K345,"0",B266:B345,"5 1 3 3 9 12 31111 6 M59 50000 000223 0000E 00001 00339 015 2112000*")-SUMIFS(E266:E345,K266:K345,"0",B266:B345,"5 1 3 3 9 12 31111 6 M59 50000 000223 0000E 00001 00339 015 2112000*")</f>
        <v>0</v>
      </c>
      <c r="E265" s="54"/>
      <c r="F265" s="83">
        <f>SUMIFS(F266:F345,K266:K345,"0",B266:B345,"5 1 3 3 9 12 31111 6 M59 50000 000223 0000E 00001 00339 015 2112000*")</f>
        <v>470577.24</v>
      </c>
      <c r="G265" s="83">
        <f>SUMIFS(G266:G345,K266:K345,"0",B266:B345,"5 1 3 3 9 12 31111 6 M59 50000 000223 0000E 00001 00339 015 2112000*")</f>
        <v>0</v>
      </c>
      <c r="H265" s="83">
        <f t="shared" si="4"/>
        <v>470577.24</v>
      </c>
      <c r="I265" s="83"/>
      <c r="K265" s="54" t="s">
        <v>15</v>
      </c>
    </row>
    <row r="266" spans="2:11" ht="33" x14ac:dyDescent="0.2">
      <c r="B266" s="82" t="s">
        <v>8687</v>
      </c>
      <c r="C266" s="82" t="s">
        <v>660</v>
      </c>
      <c r="D266" s="83">
        <f>SUMIFS(D267:D345,K267:K345,"0",B267:B345,"5 1 3 3 9 12 31111 6 M59 50000 000223 0000E 00001 00339 015 2112000 2024*")-SUMIFS(E267:E345,K267:K345,"0",B267:B345,"5 1 3 3 9 12 31111 6 M59 50000 000223 0000E 00001 00339 015 2112000 2024*")</f>
        <v>0</v>
      </c>
      <c r="E266" s="54"/>
      <c r="F266" s="83">
        <f>SUMIFS(F267:F345,K267:K345,"0",B267:B345,"5 1 3 3 9 12 31111 6 M59 50000 000223 0000E 00001 00339 015 2112000 2024*")</f>
        <v>470577.24</v>
      </c>
      <c r="G266" s="83">
        <f>SUMIFS(G267:G345,K267:K345,"0",B267:B345,"5 1 3 3 9 12 31111 6 M59 50000 000223 0000E 00001 00339 015 2112000 2024*")</f>
        <v>0</v>
      </c>
      <c r="H266" s="83">
        <f t="shared" si="4"/>
        <v>470577.24</v>
      </c>
      <c r="I266" s="83"/>
      <c r="K266" s="54" t="s">
        <v>15</v>
      </c>
    </row>
    <row r="267" spans="2:11" ht="41.25" x14ac:dyDescent="0.2">
      <c r="B267" s="82" t="s">
        <v>8688</v>
      </c>
      <c r="C267" s="82" t="s">
        <v>7657</v>
      </c>
      <c r="D267" s="83">
        <f>SUMIFS(D268:D345,K268:K345,"0",B268:B345,"5 1 3 3 9 12 31111 6 M59 50000 000223 0000E 00001 00339 015 2112000 2024 CP2DA534*")-SUMIFS(E268:E345,K268:K345,"0",B268:B345,"5 1 3 3 9 12 31111 6 M59 50000 000223 0000E 00001 00339 015 2112000 2024 CP2DA534*")</f>
        <v>0</v>
      </c>
      <c r="E267" s="54"/>
      <c r="F267" s="83">
        <f>SUMIFS(F268:F345,K268:K345,"0",B268:B345,"5 1 3 3 9 12 31111 6 M59 50000 000223 0000E 00001 00339 015 2112000 2024 CP2DA534*")</f>
        <v>470577.24</v>
      </c>
      <c r="G267" s="83">
        <f>SUMIFS(G268:G345,K268:K345,"0",B268:B345,"5 1 3 3 9 12 31111 6 M59 50000 000223 0000E 00001 00339 015 2112000 2024 CP2DA534*")</f>
        <v>0</v>
      </c>
      <c r="H267" s="83">
        <f t="shared" si="4"/>
        <v>470577.24</v>
      </c>
      <c r="I267" s="83"/>
      <c r="K267" s="54" t="s">
        <v>15</v>
      </c>
    </row>
    <row r="268" spans="2:11" ht="41.25" x14ac:dyDescent="0.2">
      <c r="B268" s="82" t="s">
        <v>8689</v>
      </c>
      <c r="C268" s="82" t="s">
        <v>1075</v>
      </c>
      <c r="D268" s="83">
        <f>SUMIFS(D269:D345,K269:K345,"0",B269:B345,"5 1 3 3 9 12 31111 6 M59 50000 000223 0000E 00001 00339 015 2112000 2024 CP2DA534 005*")-SUMIFS(E269:E345,K269:K345,"0",B269:B345,"5 1 3 3 9 12 31111 6 M59 50000 000223 0000E 00001 00339 015 2112000 2024 CP2DA534 005*")</f>
        <v>0</v>
      </c>
      <c r="E268" s="54"/>
      <c r="F268" s="83">
        <f>SUMIFS(F269:F345,K269:K345,"0",B269:B345,"5 1 3 3 9 12 31111 6 M59 50000 000223 0000E 00001 00339 015 2112000 2024 CP2DA534 005*")</f>
        <v>470577.24</v>
      </c>
      <c r="G268" s="83">
        <f>SUMIFS(G269:G345,K269:K345,"0",B269:B345,"5 1 3 3 9 12 31111 6 M59 50000 000223 0000E 00001 00339 015 2112000 2024 CP2DA534 005*")</f>
        <v>0</v>
      </c>
      <c r="H268" s="83">
        <f t="shared" si="4"/>
        <v>470577.24</v>
      </c>
      <c r="I268" s="83"/>
      <c r="K268" s="54" t="s">
        <v>15</v>
      </c>
    </row>
    <row r="269" spans="2:11" ht="41.25" x14ac:dyDescent="0.2">
      <c r="B269" s="84" t="s">
        <v>8690</v>
      </c>
      <c r="C269" s="84" t="s">
        <v>8691</v>
      </c>
      <c r="D269" s="85">
        <v>0</v>
      </c>
      <c r="E269" s="85"/>
      <c r="F269" s="85">
        <v>470577.24</v>
      </c>
      <c r="G269" s="85">
        <v>0</v>
      </c>
      <c r="H269" s="85">
        <f t="shared" si="4"/>
        <v>470577.24</v>
      </c>
      <c r="I269" s="85"/>
      <c r="K269" s="54" t="s">
        <v>38</v>
      </c>
    </row>
    <row r="270" spans="2:11" ht="16.5" x14ac:dyDescent="0.2">
      <c r="B270" s="82" t="s">
        <v>8692</v>
      </c>
      <c r="C270" s="82" t="s">
        <v>8693</v>
      </c>
      <c r="D270" s="83">
        <f>SUMIFS(D271:D345,K271:K345,"0",B271:B345,"5 1 3 4*")-SUMIFS(E271:E345,K271:K345,"0",B271:B345,"5 1 3 4*")</f>
        <v>0</v>
      </c>
      <c r="E270" s="54"/>
      <c r="F270" s="83">
        <f>SUMIFS(F271:F345,K271:K345,"0",B271:B345,"5 1 3 4*")</f>
        <v>598.6</v>
      </c>
      <c r="G270" s="83">
        <f>SUMIFS(G271:G345,K271:K345,"0",B271:B345,"5 1 3 4*")</f>
        <v>0</v>
      </c>
      <c r="H270" s="83">
        <f t="shared" si="4"/>
        <v>598.6</v>
      </c>
      <c r="I270" s="83"/>
      <c r="K270" s="54" t="s">
        <v>15</v>
      </c>
    </row>
    <row r="271" spans="2:11" ht="16.5" x14ac:dyDescent="0.2">
      <c r="B271" s="82" t="s">
        <v>8694</v>
      </c>
      <c r="C271" s="82" t="s">
        <v>8695</v>
      </c>
      <c r="D271" s="83">
        <f>SUMIFS(D272:D345,K272:K345,"0",B272:B345,"5 1 3 4 1*")-SUMIFS(E272:E345,K272:K345,"0",B272:B345,"5 1 3 4 1*")</f>
        <v>0</v>
      </c>
      <c r="E271" s="54"/>
      <c r="F271" s="83">
        <f>SUMIFS(F272:F345,K272:K345,"0",B272:B345,"5 1 3 4 1*")</f>
        <v>598.6</v>
      </c>
      <c r="G271" s="83">
        <f>SUMIFS(G272:G345,K272:K345,"0",B272:B345,"5 1 3 4 1*")</f>
        <v>0</v>
      </c>
      <c r="H271" s="83">
        <f t="shared" si="4"/>
        <v>598.6</v>
      </c>
      <c r="I271" s="83"/>
      <c r="K271" s="54" t="s">
        <v>15</v>
      </c>
    </row>
    <row r="272" spans="2:11" ht="12.75" x14ac:dyDescent="0.2">
      <c r="B272" s="82" t="s">
        <v>8696</v>
      </c>
      <c r="C272" s="82" t="s">
        <v>26</v>
      </c>
      <c r="D272" s="83">
        <f>SUMIFS(D273:D345,K273:K345,"0",B273:B345,"5 1 3 4 1 12*")-SUMIFS(E273:E345,K273:K345,"0",B273:B345,"5 1 3 4 1 12*")</f>
        <v>0</v>
      </c>
      <c r="E272" s="54"/>
      <c r="F272" s="83">
        <f>SUMIFS(F273:F345,K273:K345,"0",B273:B345,"5 1 3 4 1 12*")</f>
        <v>598.6</v>
      </c>
      <c r="G272" s="83">
        <f>SUMIFS(G273:G345,K273:K345,"0",B273:B345,"5 1 3 4 1 12*")</f>
        <v>0</v>
      </c>
      <c r="H272" s="83">
        <f t="shared" si="4"/>
        <v>598.6</v>
      </c>
      <c r="I272" s="83"/>
      <c r="K272" s="54" t="s">
        <v>15</v>
      </c>
    </row>
    <row r="273" spans="2:11" ht="16.5" x14ac:dyDescent="0.2">
      <c r="B273" s="82" t="s">
        <v>8697</v>
      </c>
      <c r="C273" s="82" t="s">
        <v>28</v>
      </c>
      <c r="D273" s="83">
        <f>SUMIFS(D274:D345,K274:K345,"0",B274:B345,"5 1 3 4 1 12 31111*")-SUMIFS(E274:E345,K274:K345,"0",B274:B345,"5 1 3 4 1 12 31111*")</f>
        <v>0</v>
      </c>
      <c r="E273" s="54"/>
      <c r="F273" s="83">
        <f>SUMIFS(F274:F345,K274:K345,"0",B274:B345,"5 1 3 4 1 12 31111*")</f>
        <v>598.6</v>
      </c>
      <c r="G273" s="83">
        <f>SUMIFS(G274:G345,K274:K345,"0",B274:B345,"5 1 3 4 1 12 31111*")</f>
        <v>0</v>
      </c>
      <c r="H273" s="83">
        <f t="shared" si="4"/>
        <v>598.6</v>
      </c>
      <c r="I273" s="83"/>
      <c r="K273" s="54" t="s">
        <v>15</v>
      </c>
    </row>
    <row r="274" spans="2:11" ht="12.75" x14ac:dyDescent="0.2">
      <c r="B274" s="82" t="s">
        <v>8698</v>
      </c>
      <c r="C274" s="82" t="s">
        <v>30</v>
      </c>
      <c r="D274" s="83">
        <f>SUMIFS(D275:D345,K275:K345,"0",B275:B345,"5 1 3 4 1 12 31111 6*")-SUMIFS(E275:E345,K275:K345,"0",B275:B345,"5 1 3 4 1 12 31111 6*")</f>
        <v>0</v>
      </c>
      <c r="E274" s="54"/>
      <c r="F274" s="83">
        <f>SUMIFS(F275:F345,K275:K345,"0",B275:B345,"5 1 3 4 1 12 31111 6*")</f>
        <v>598.6</v>
      </c>
      <c r="G274" s="83">
        <f>SUMIFS(G275:G345,K275:K345,"0",B275:B345,"5 1 3 4 1 12 31111 6*")</f>
        <v>0</v>
      </c>
      <c r="H274" s="83">
        <f t="shared" si="4"/>
        <v>598.6</v>
      </c>
      <c r="I274" s="83"/>
      <c r="K274" s="54" t="s">
        <v>15</v>
      </c>
    </row>
    <row r="275" spans="2:11" ht="16.5" x14ac:dyDescent="0.2">
      <c r="B275" s="82" t="s">
        <v>8699</v>
      </c>
      <c r="C275" s="82" t="s">
        <v>2284</v>
      </c>
      <c r="D275" s="83">
        <f>SUMIFS(D276:D345,K276:K345,"0",B276:B345,"5 1 3 4 1 12 31111 6 M59*")-SUMIFS(E276:E345,K276:K345,"0",B276:B345,"5 1 3 4 1 12 31111 6 M59*")</f>
        <v>0</v>
      </c>
      <c r="E275" s="54"/>
      <c r="F275" s="83">
        <f>SUMIFS(F276:F345,K276:K345,"0",B276:B345,"5 1 3 4 1 12 31111 6 M59*")</f>
        <v>598.6</v>
      </c>
      <c r="G275" s="83">
        <f>SUMIFS(G276:G345,K276:K345,"0",B276:B345,"5 1 3 4 1 12 31111 6 M59*")</f>
        <v>0</v>
      </c>
      <c r="H275" s="83">
        <f t="shared" si="4"/>
        <v>598.6</v>
      </c>
      <c r="I275" s="83"/>
      <c r="K275" s="54" t="s">
        <v>15</v>
      </c>
    </row>
    <row r="276" spans="2:11" ht="16.5" x14ac:dyDescent="0.2">
      <c r="B276" s="82" t="s">
        <v>8700</v>
      </c>
      <c r="C276" s="82" t="s">
        <v>1044</v>
      </c>
      <c r="D276" s="83">
        <f>SUMIFS(D277:D345,K277:K345,"0",B277:B345,"5 1 3 4 1 12 31111 6 M59 19000*")-SUMIFS(E277:E345,K277:K345,"0",B277:B345,"5 1 3 4 1 12 31111 6 M59 19000*")</f>
        <v>0</v>
      </c>
      <c r="E276" s="54"/>
      <c r="F276" s="83">
        <f>SUMIFS(F277:F345,K277:K345,"0",B277:B345,"5 1 3 4 1 12 31111 6 M59 19000*")</f>
        <v>98.6</v>
      </c>
      <c r="G276" s="83">
        <f>SUMIFS(G277:G345,K277:K345,"0",B277:B345,"5 1 3 4 1 12 31111 6 M59 19000*")</f>
        <v>0</v>
      </c>
      <c r="H276" s="83">
        <f t="shared" si="4"/>
        <v>98.6</v>
      </c>
      <c r="I276" s="83"/>
      <c r="K276" s="54" t="s">
        <v>15</v>
      </c>
    </row>
    <row r="277" spans="2:11" ht="16.5" x14ac:dyDescent="0.2">
      <c r="B277" s="82" t="s">
        <v>8701</v>
      </c>
      <c r="C277" s="82" t="s">
        <v>648</v>
      </c>
      <c r="D277" s="83">
        <f>SUMIFS(D278:D345,K278:K345,"0",B278:B345,"5 1 3 4 1 12 31111 6 M59 19000 000132*")-SUMIFS(E278:E345,K278:K345,"0",B278:B345,"5 1 3 4 1 12 31111 6 M59 19000 000132*")</f>
        <v>0</v>
      </c>
      <c r="E277" s="54"/>
      <c r="F277" s="83">
        <f>SUMIFS(F278:F345,K278:K345,"0",B278:B345,"5 1 3 4 1 12 31111 6 M59 19000 000132*")</f>
        <v>98.6</v>
      </c>
      <c r="G277" s="83">
        <f>SUMIFS(G278:G345,K278:K345,"0",B278:B345,"5 1 3 4 1 12 31111 6 M59 19000 000132*")</f>
        <v>0</v>
      </c>
      <c r="H277" s="83">
        <f t="shared" si="4"/>
        <v>98.6</v>
      </c>
      <c r="I277" s="83"/>
      <c r="K277" s="54" t="s">
        <v>15</v>
      </c>
    </row>
    <row r="278" spans="2:11" ht="24.75" x14ac:dyDescent="0.2">
      <c r="B278" s="82" t="s">
        <v>8702</v>
      </c>
      <c r="C278" s="82" t="s">
        <v>650</v>
      </c>
      <c r="D278" s="83">
        <f>SUMIFS(D279:D345,K279:K345,"0",B279:B345,"5 1 3 4 1 12 31111 6 M59 19000 000132 0000R*")-SUMIFS(E279:E345,K279:K345,"0",B279:B345,"5 1 3 4 1 12 31111 6 M59 19000 000132 0000R*")</f>
        <v>0</v>
      </c>
      <c r="E278" s="54"/>
      <c r="F278" s="83">
        <f>SUMIFS(F279:F345,K279:K345,"0",B279:B345,"5 1 3 4 1 12 31111 6 M59 19000 000132 0000R*")</f>
        <v>98.6</v>
      </c>
      <c r="G278" s="83">
        <f>SUMIFS(G279:G345,K279:K345,"0",B279:B345,"5 1 3 4 1 12 31111 6 M59 19000 000132 0000R*")</f>
        <v>0</v>
      </c>
      <c r="H278" s="83">
        <f t="shared" si="4"/>
        <v>98.6</v>
      </c>
      <c r="I278" s="83"/>
      <c r="K278" s="54" t="s">
        <v>15</v>
      </c>
    </row>
    <row r="279" spans="2:11" ht="24.75" x14ac:dyDescent="0.2">
      <c r="B279" s="82" t="s">
        <v>8703</v>
      </c>
      <c r="C279" s="82" t="s">
        <v>282</v>
      </c>
      <c r="D279" s="83">
        <f>SUMIFS(D280:D345,K280:K345,"0",B280:B345,"5 1 3 4 1 12 31111 6 M59 19000 000132 0000R 00001*")-SUMIFS(E280:E345,K280:K345,"0",B280:B345,"5 1 3 4 1 12 31111 6 M59 19000 000132 0000R 00001*")</f>
        <v>0</v>
      </c>
      <c r="E279" s="54"/>
      <c r="F279" s="83">
        <f>SUMIFS(F280:F345,K280:K345,"0",B280:B345,"5 1 3 4 1 12 31111 6 M59 19000 000132 0000R 00001*")</f>
        <v>98.6</v>
      </c>
      <c r="G279" s="83">
        <f>SUMIFS(G280:G345,K280:K345,"0",B280:B345,"5 1 3 4 1 12 31111 6 M59 19000 000132 0000R 00001*")</f>
        <v>0</v>
      </c>
      <c r="H279" s="83">
        <f t="shared" si="4"/>
        <v>98.6</v>
      </c>
      <c r="I279" s="83"/>
      <c r="K279" s="54" t="s">
        <v>15</v>
      </c>
    </row>
    <row r="280" spans="2:11" ht="24.75" x14ac:dyDescent="0.2">
      <c r="B280" s="82" t="s">
        <v>8704</v>
      </c>
      <c r="C280" s="82" t="s">
        <v>8705</v>
      </c>
      <c r="D280" s="83">
        <f>SUMIFS(D281:D345,K281:K345,"0",B281:B345,"5 1 3 4 1 12 31111 6 M59 19000 000132 0000R 00001 00341*")-SUMIFS(E281:E345,K281:K345,"0",B281:B345,"5 1 3 4 1 12 31111 6 M59 19000 000132 0000R 00001 00341*")</f>
        <v>0</v>
      </c>
      <c r="E280" s="54"/>
      <c r="F280" s="83">
        <f>SUMIFS(F281:F345,K281:K345,"0",B281:B345,"5 1 3 4 1 12 31111 6 M59 19000 000132 0000R 00001 00341*")</f>
        <v>98.6</v>
      </c>
      <c r="G280" s="83">
        <f>SUMIFS(G281:G345,K281:K345,"0",B281:B345,"5 1 3 4 1 12 31111 6 M59 19000 000132 0000R 00001 00341*")</f>
        <v>0</v>
      </c>
      <c r="H280" s="83">
        <f t="shared" si="4"/>
        <v>98.6</v>
      </c>
      <c r="I280" s="83"/>
      <c r="K280" s="54" t="s">
        <v>15</v>
      </c>
    </row>
    <row r="281" spans="2:11" ht="33" x14ac:dyDescent="0.2">
      <c r="B281" s="82" t="s">
        <v>8712</v>
      </c>
      <c r="C281" s="82" t="s">
        <v>1051</v>
      </c>
      <c r="D281" s="83">
        <f>SUMIFS(D282:D345,K282:K345,"0",B282:B345,"5 1 3 4 1 12 31111 6 M59 19000 000132 0000R 00001 00341 015*")-SUMIFS(E282:E345,K282:K345,"0",B282:B345,"5 1 3 4 1 12 31111 6 M59 19000 000132 0000R 00001 00341 015*")</f>
        <v>0</v>
      </c>
      <c r="E281" s="54"/>
      <c r="F281" s="83">
        <f>SUMIFS(F282:F345,K282:K345,"0",B282:B345,"5 1 3 4 1 12 31111 6 M59 19000 000132 0000R 00001 00341 015*")</f>
        <v>98.6</v>
      </c>
      <c r="G281" s="83">
        <f>SUMIFS(G282:G345,K282:K345,"0",B282:B345,"5 1 3 4 1 12 31111 6 M59 19000 000132 0000R 00001 00341 015*")</f>
        <v>0</v>
      </c>
      <c r="H281" s="83">
        <f t="shared" si="4"/>
        <v>98.6</v>
      </c>
      <c r="I281" s="83"/>
      <c r="K281" s="54" t="s">
        <v>15</v>
      </c>
    </row>
    <row r="282" spans="2:11" ht="33" x14ac:dyDescent="0.2">
      <c r="B282" s="82" t="s">
        <v>8713</v>
      </c>
      <c r="C282" s="82" t="s">
        <v>5830</v>
      </c>
      <c r="D282" s="83">
        <f>SUMIFS(D283:D345,K283:K345,"0",B283:B345,"5 1 3 4 1 12 31111 6 M59 19000 000132 0000R 00001 00341 015 2112000*")-SUMIFS(E283:E345,K283:K345,"0",B283:B345,"5 1 3 4 1 12 31111 6 M59 19000 000132 0000R 00001 00341 015 2112000*")</f>
        <v>0</v>
      </c>
      <c r="E282" s="54"/>
      <c r="F282" s="83">
        <f>SUMIFS(F283:F345,K283:K345,"0",B283:B345,"5 1 3 4 1 12 31111 6 M59 19000 000132 0000R 00001 00341 015 2112000*")</f>
        <v>98.6</v>
      </c>
      <c r="G282" s="83">
        <f>SUMIFS(G283:G345,K283:K345,"0",B283:B345,"5 1 3 4 1 12 31111 6 M59 19000 000132 0000R 00001 00341 015 2112000*")</f>
        <v>0</v>
      </c>
      <c r="H282" s="83">
        <f t="shared" si="4"/>
        <v>98.6</v>
      </c>
      <c r="I282" s="83"/>
      <c r="K282" s="54" t="s">
        <v>15</v>
      </c>
    </row>
    <row r="283" spans="2:11" ht="33" x14ac:dyDescent="0.2">
      <c r="B283" s="82" t="s">
        <v>8714</v>
      </c>
      <c r="C283" s="82" t="s">
        <v>660</v>
      </c>
      <c r="D283" s="83">
        <f>SUMIFS(D284:D345,K284:K345,"0",B284:B345,"5 1 3 4 1 12 31111 6 M59 19000 000132 0000R 00001 00341 015 2112000 2024*")-SUMIFS(E284:E345,K284:K345,"0",B284:B345,"5 1 3 4 1 12 31111 6 M59 19000 000132 0000R 00001 00341 015 2112000 2024*")</f>
        <v>0</v>
      </c>
      <c r="E283" s="54"/>
      <c r="F283" s="83">
        <f>SUMIFS(F284:F345,K284:K345,"0",B284:B345,"5 1 3 4 1 12 31111 6 M59 19000 000132 0000R 00001 00341 015 2112000 2024*")</f>
        <v>98.6</v>
      </c>
      <c r="G283" s="83">
        <f>SUMIFS(G284:G345,K284:K345,"0",B284:B345,"5 1 3 4 1 12 31111 6 M59 19000 000132 0000R 00001 00341 015 2112000 2024*")</f>
        <v>0</v>
      </c>
      <c r="H283" s="83">
        <f t="shared" si="4"/>
        <v>98.6</v>
      </c>
      <c r="I283" s="83"/>
      <c r="K283" s="54" t="s">
        <v>15</v>
      </c>
    </row>
    <row r="284" spans="2:11" ht="41.25" x14ac:dyDescent="0.2">
      <c r="B284" s="82" t="s">
        <v>8715</v>
      </c>
      <c r="C284" s="82" t="s">
        <v>662</v>
      </c>
      <c r="D284" s="83">
        <f>SUMIFS(D285:D345,K285:K345,"0",B285:B345,"5 1 3 4 1 12 31111 6 M59 19000 000132 0000R 00001 00341 015 2112000 2024 CP1TM440*")-SUMIFS(E285:E345,K285:K345,"0",B285:B345,"5 1 3 4 1 12 31111 6 M59 19000 000132 0000R 00001 00341 015 2112000 2024 CP1TM440*")</f>
        <v>0</v>
      </c>
      <c r="E284" s="54"/>
      <c r="F284" s="83">
        <f>SUMIFS(F285:F345,K285:K345,"0",B285:B345,"5 1 3 4 1 12 31111 6 M59 19000 000132 0000R 00001 00341 015 2112000 2024 CP1TM440*")</f>
        <v>98.6</v>
      </c>
      <c r="G284" s="83">
        <f>SUMIFS(G285:G345,K285:K345,"0",B285:B345,"5 1 3 4 1 12 31111 6 M59 19000 000132 0000R 00001 00341 015 2112000 2024 CP1TM440*")</f>
        <v>0</v>
      </c>
      <c r="H284" s="83">
        <f t="shared" si="4"/>
        <v>98.6</v>
      </c>
      <c r="I284" s="83"/>
      <c r="K284" s="54" t="s">
        <v>15</v>
      </c>
    </row>
    <row r="285" spans="2:11" ht="41.25" x14ac:dyDescent="0.2">
      <c r="B285" s="82" t="s">
        <v>8718</v>
      </c>
      <c r="C285" s="82" t="s">
        <v>1075</v>
      </c>
      <c r="D285" s="83">
        <f>SUMIFS(D286:D345,K286:K345,"0",B286:B345,"5 1 3 4 1 12 31111 6 M59 19000 000132 0000R 00001 00341 015 2112000 2024 CP1TM440 005*")-SUMIFS(E286:E345,K286:K345,"0",B286:B345,"5 1 3 4 1 12 31111 6 M59 19000 000132 0000R 00001 00341 015 2112000 2024 CP1TM440 005*")</f>
        <v>0</v>
      </c>
      <c r="E285" s="54"/>
      <c r="F285" s="83">
        <f>SUMIFS(F286:F345,K286:K345,"0",B286:B345,"5 1 3 4 1 12 31111 6 M59 19000 000132 0000R 00001 00341 015 2112000 2024 CP1TM440 005*")</f>
        <v>98.6</v>
      </c>
      <c r="G285" s="83">
        <f>SUMIFS(G286:G345,K286:K345,"0",B286:B345,"5 1 3 4 1 12 31111 6 M59 19000 000132 0000R 00001 00341 015 2112000 2024 CP1TM440 005*")</f>
        <v>0</v>
      </c>
      <c r="H285" s="83">
        <f t="shared" si="4"/>
        <v>98.6</v>
      </c>
      <c r="I285" s="83"/>
      <c r="K285" s="54" t="s">
        <v>15</v>
      </c>
    </row>
    <row r="286" spans="2:11" ht="33" x14ac:dyDescent="0.2">
      <c r="B286" s="84" t="s">
        <v>8719</v>
      </c>
      <c r="C286" s="84" t="s">
        <v>8695</v>
      </c>
      <c r="D286" s="85">
        <v>0</v>
      </c>
      <c r="E286" s="85"/>
      <c r="F286" s="85">
        <v>98.6</v>
      </c>
      <c r="G286" s="85">
        <v>0</v>
      </c>
      <c r="H286" s="85">
        <f t="shared" si="4"/>
        <v>98.6</v>
      </c>
      <c r="I286" s="85"/>
      <c r="K286" s="54" t="s">
        <v>38</v>
      </c>
    </row>
    <row r="287" spans="2:11" ht="16.5" x14ac:dyDescent="0.2">
      <c r="B287" s="82" t="s">
        <v>8731</v>
      </c>
      <c r="C287" s="82" t="s">
        <v>1061</v>
      </c>
      <c r="D287" s="83">
        <f>SUMIFS(D288:D345,K288:K345,"0",B288:B345,"5 1 3 4 1 12 31111 6 M59 20300*")-SUMIFS(E288:E345,K288:K345,"0",B288:B345,"5 1 3 4 1 12 31111 6 M59 20300*")</f>
        <v>0</v>
      </c>
      <c r="E287" s="54"/>
      <c r="F287" s="83">
        <f>SUMIFS(F288:F345,K288:K345,"0",B288:B345,"5 1 3 4 1 12 31111 6 M59 20300*")</f>
        <v>500</v>
      </c>
      <c r="G287" s="83">
        <f>SUMIFS(G288:G345,K288:K345,"0",B288:B345,"5 1 3 4 1 12 31111 6 M59 20300*")</f>
        <v>0</v>
      </c>
      <c r="H287" s="83">
        <f t="shared" si="4"/>
        <v>500</v>
      </c>
      <c r="I287" s="83"/>
      <c r="K287" s="54" t="s">
        <v>15</v>
      </c>
    </row>
    <row r="288" spans="2:11" ht="16.5" x14ac:dyDescent="0.2">
      <c r="B288" s="82" t="s">
        <v>8742</v>
      </c>
      <c r="C288" s="82" t="s">
        <v>1063</v>
      </c>
      <c r="D288" s="83">
        <f>SUMIFS(D289:D345,K289:K345,"0",B289:B345,"5 1 3 4 1 12 31111 6 M59 20300 000139*")-SUMIFS(E289:E345,K289:K345,"0",B289:B345,"5 1 3 4 1 12 31111 6 M59 20300 000139*")</f>
        <v>0</v>
      </c>
      <c r="E288" s="54"/>
      <c r="F288" s="83">
        <f>SUMIFS(F289:F345,K289:K345,"0",B289:B345,"5 1 3 4 1 12 31111 6 M59 20300 000139*")</f>
        <v>500</v>
      </c>
      <c r="G288" s="83">
        <f>SUMIFS(G289:G345,K289:K345,"0",B289:B345,"5 1 3 4 1 12 31111 6 M59 20300 000139*")</f>
        <v>0</v>
      </c>
      <c r="H288" s="83">
        <f t="shared" si="4"/>
        <v>500</v>
      </c>
      <c r="I288" s="83"/>
      <c r="K288" s="54" t="s">
        <v>15</v>
      </c>
    </row>
    <row r="289" spans="2:11" ht="24.75" x14ac:dyDescent="0.2">
      <c r="B289" s="82" t="s">
        <v>8743</v>
      </c>
      <c r="C289" s="82" t="s">
        <v>1065</v>
      </c>
      <c r="D289" s="83">
        <f>SUMIFS(D290:D345,K290:K345,"0",B290:B345,"5 1 3 4 1 12 31111 6 M59 20300 000139 0000E*")-SUMIFS(E290:E345,K290:K345,"0",B290:B345,"5 1 3 4 1 12 31111 6 M59 20300 000139 0000E*")</f>
        <v>0</v>
      </c>
      <c r="E289" s="54"/>
      <c r="F289" s="83">
        <f>SUMIFS(F290:F345,K290:K345,"0",B290:B345,"5 1 3 4 1 12 31111 6 M59 20300 000139 0000E*")</f>
        <v>500</v>
      </c>
      <c r="G289" s="83">
        <f>SUMIFS(G290:G345,K290:K345,"0",B290:B345,"5 1 3 4 1 12 31111 6 M59 20300 000139 0000E*")</f>
        <v>0</v>
      </c>
      <c r="H289" s="83">
        <f t="shared" si="4"/>
        <v>500</v>
      </c>
      <c r="I289" s="83"/>
      <c r="K289" s="54" t="s">
        <v>15</v>
      </c>
    </row>
    <row r="290" spans="2:11" ht="24.75" x14ac:dyDescent="0.2">
      <c r="B290" s="82" t="s">
        <v>8744</v>
      </c>
      <c r="C290" s="82" t="s">
        <v>282</v>
      </c>
      <c r="D290" s="83">
        <f>SUMIFS(D291:D345,K291:K345,"0",B291:B345,"5 1 3 4 1 12 31111 6 M59 20300 000139 0000E 00001*")-SUMIFS(E291:E345,K291:K345,"0",B291:B345,"5 1 3 4 1 12 31111 6 M59 20300 000139 0000E 00001*")</f>
        <v>0</v>
      </c>
      <c r="E290" s="54"/>
      <c r="F290" s="83">
        <f>SUMIFS(F291:F345,K291:K345,"0",B291:B345,"5 1 3 4 1 12 31111 6 M59 20300 000139 0000E 00001*")</f>
        <v>500</v>
      </c>
      <c r="G290" s="83">
        <f>SUMIFS(G291:G345,K291:K345,"0",B291:B345,"5 1 3 4 1 12 31111 6 M59 20300 000139 0000E 00001*")</f>
        <v>0</v>
      </c>
      <c r="H290" s="83">
        <f t="shared" si="4"/>
        <v>500</v>
      </c>
      <c r="I290" s="83"/>
      <c r="K290" s="54" t="s">
        <v>15</v>
      </c>
    </row>
    <row r="291" spans="2:11" ht="24.75" x14ac:dyDescent="0.2">
      <c r="B291" s="82" t="s">
        <v>8745</v>
      </c>
      <c r="C291" s="82" t="s">
        <v>8705</v>
      </c>
      <c r="D291" s="83">
        <f>SUMIFS(D292:D345,K292:K345,"0",B292:B345,"5 1 3 4 1 12 31111 6 M59 20300 000139 0000E 00001 00341*")-SUMIFS(E292:E345,K292:K345,"0",B292:B345,"5 1 3 4 1 12 31111 6 M59 20300 000139 0000E 00001 00341*")</f>
        <v>0</v>
      </c>
      <c r="E291" s="54"/>
      <c r="F291" s="83">
        <f>SUMIFS(F292:F345,K292:K345,"0",B292:B345,"5 1 3 4 1 12 31111 6 M59 20300 000139 0000E 00001 00341*")</f>
        <v>500</v>
      </c>
      <c r="G291" s="83">
        <f>SUMIFS(G292:G345,K292:K345,"0",B292:B345,"5 1 3 4 1 12 31111 6 M59 20300 000139 0000E 00001 00341*")</f>
        <v>0</v>
      </c>
      <c r="H291" s="83">
        <f t="shared" si="4"/>
        <v>500</v>
      </c>
      <c r="I291" s="83"/>
      <c r="K291" s="54" t="s">
        <v>15</v>
      </c>
    </row>
    <row r="292" spans="2:11" ht="33" x14ac:dyDescent="0.2">
      <c r="B292" s="82" t="s">
        <v>8746</v>
      </c>
      <c r="C292" s="82" t="s">
        <v>1051</v>
      </c>
      <c r="D292" s="83">
        <f>SUMIFS(D293:D345,K293:K345,"0",B293:B345,"5 1 3 4 1 12 31111 6 M59 20300 000139 0000E 00001 00341 015*")-SUMIFS(E293:E345,K293:K345,"0",B293:B345,"5 1 3 4 1 12 31111 6 M59 20300 000139 0000E 00001 00341 015*")</f>
        <v>0</v>
      </c>
      <c r="E292" s="54"/>
      <c r="F292" s="83">
        <f>SUMIFS(F293:F345,K293:K345,"0",B293:B345,"5 1 3 4 1 12 31111 6 M59 20300 000139 0000E 00001 00341 015*")</f>
        <v>500</v>
      </c>
      <c r="G292" s="83">
        <f>SUMIFS(G293:G345,K293:K345,"0",B293:B345,"5 1 3 4 1 12 31111 6 M59 20300 000139 0000E 00001 00341 015*")</f>
        <v>0</v>
      </c>
      <c r="H292" s="83">
        <f t="shared" si="4"/>
        <v>500</v>
      </c>
      <c r="I292" s="83"/>
      <c r="K292" s="54" t="s">
        <v>15</v>
      </c>
    </row>
    <row r="293" spans="2:11" ht="33" x14ac:dyDescent="0.2">
      <c r="B293" s="82" t="s">
        <v>8747</v>
      </c>
      <c r="C293" s="82" t="s">
        <v>5830</v>
      </c>
      <c r="D293" s="83">
        <f>SUMIFS(D294:D345,K294:K345,"0",B294:B345,"5 1 3 4 1 12 31111 6 M59 20300 000139 0000E 00001 00341 015 2112000*")-SUMIFS(E294:E345,K294:K345,"0",B294:B345,"5 1 3 4 1 12 31111 6 M59 20300 000139 0000E 00001 00341 015 2112000*")</f>
        <v>0</v>
      </c>
      <c r="E293" s="54"/>
      <c r="F293" s="83">
        <f>SUMIFS(F294:F345,K294:K345,"0",B294:B345,"5 1 3 4 1 12 31111 6 M59 20300 000139 0000E 00001 00341 015 2112000*")</f>
        <v>500</v>
      </c>
      <c r="G293" s="83">
        <f>SUMIFS(G294:G345,K294:K345,"0",B294:B345,"5 1 3 4 1 12 31111 6 M59 20300 000139 0000E 00001 00341 015 2112000*")</f>
        <v>0</v>
      </c>
      <c r="H293" s="83">
        <f t="shared" si="4"/>
        <v>500</v>
      </c>
      <c r="I293" s="83"/>
      <c r="K293" s="54" t="s">
        <v>15</v>
      </c>
    </row>
    <row r="294" spans="2:11" ht="33" x14ac:dyDescent="0.2">
      <c r="B294" s="82" t="s">
        <v>8748</v>
      </c>
      <c r="C294" s="82" t="s">
        <v>660</v>
      </c>
      <c r="D294" s="83">
        <f>SUMIFS(D295:D345,K295:K345,"0",B295:B345,"5 1 3 4 1 12 31111 6 M59 20300 000139 0000E 00001 00341 015 2112000 2024*")-SUMIFS(E295:E345,K295:K345,"0",B295:B345,"5 1 3 4 1 12 31111 6 M59 20300 000139 0000E 00001 00341 015 2112000 2024*")</f>
        <v>0</v>
      </c>
      <c r="E294" s="54"/>
      <c r="F294" s="83">
        <f>SUMIFS(F295:F345,K295:K345,"0",B295:B345,"5 1 3 4 1 12 31111 6 M59 20300 000139 0000E 00001 00341 015 2112000 2024*")</f>
        <v>500</v>
      </c>
      <c r="G294" s="83">
        <f>SUMIFS(G295:G345,K295:K345,"0",B295:B345,"5 1 3 4 1 12 31111 6 M59 20300 000139 0000E 00001 00341 015 2112000 2024*")</f>
        <v>0</v>
      </c>
      <c r="H294" s="83">
        <f t="shared" si="4"/>
        <v>500</v>
      </c>
      <c r="I294" s="83"/>
      <c r="K294" s="54" t="s">
        <v>15</v>
      </c>
    </row>
    <row r="295" spans="2:11" ht="41.25" x14ac:dyDescent="0.2">
      <c r="B295" s="82" t="s">
        <v>8749</v>
      </c>
      <c r="C295" s="82" t="s">
        <v>1073</v>
      </c>
      <c r="D295" s="83">
        <f>SUMIFS(D296:D345,K296:K345,"0",B296:B345,"5 1 3 4 1 12 31111 6 M59 20300 000139 0000E 00001 00341 015 2112000 2024 CP2DE533*")-SUMIFS(E296:E345,K296:K345,"0",B296:B345,"5 1 3 4 1 12 31111 6 M59 20300 000139 0000E 00001 00341 015 2112000 2024 CP2DE533*")</f>
        <v>0</v>
      </c>
      <c r="E295" s="54"/>
      <c r="F295" s="83">
        <f>SUMIFS(F296:F345,K296:K345,"0",B296:B345,"5 1 3 4 1 12 31111 6 M59 20300 000139 0000E 00001 00341 015 2112000 2024 CP2DE533*")</f>
        <v>500</v>
      </c>
      <c r="G295" s="83">
        <f>SUMIFS(G296:G345,K296:K345,"0",B296:B345,"5 1 3 4 1 12 31111 6 M59 20300 000139 0000E 00001 00341 015 2112000 2024 CP2DE533*")</f>
        <v>0</v>
      </c>
      <c r="H295" s="83">
        <f t="shared" si="4"/>
        <v>500</v>
      </c>
      <c r="I295" s="83"/>
      <c r="K295" s="54" t="s">
        <v>15</v>
      </c>
    </row>
    <row r="296" spans="2:11" ht="41.25" x14ac:dyDescent="0.2">
      <c r="B296" s="82" t="s">
        <v>8750</v>
      </c>
      <c r="C296" s="82" t="s">
        <v>1075</v>
      </c>
      <c r="D296" s="83">
        <f>SUMIFS(D297:D345,K297:K345,"0",B297:B345,"5 1 3 4 1 12 31111 6 M59 20300 000139 0000E 00001 00341 015 2112000 2024 CP2DE533 005*")-SUMIFS(E297:E345,K297:K345,"0",B297:B345,"5 1 3 4 1 12 31111 6 M59 20300 000139 0000E 00001 00341 015 2112000 2024 CP2DE533 005*")</f>
        <v>0</v>
      </c>
      <c r="E296" s="54"/>
      <c r="F296" s="83">
        <f>SUMIFS(F297:F345,K297:K345,"0",B297:B345,"5 1 3 4 1 12 31111 6 M59 20300 000139 0000E 00001 00341 015 2112000 2024 CP2DE533 005*")</f>
        <v>500</v>
      </c>
      <c r="G296" s="83">
        <f>SUMIFS(G297:G345,K297:K345,"0",B297:B345,"5 1 3 4 1 12 31111 6 M59 20300 000139 0000E 00001 00341 015 2112000 2024 CP2DE533 005*")</f>
        <v>0</v>
      </c>
      <c r="H296" s="83">
        <f t="shared" si="4"/>
        <v>500</v>
      </c>
      <c r="I296" s="83"/>
      <c r="K296" s="54" t="s">
        <v>15</v>
      </c>
    </row>
    <row r="297" spans="2:11" ht="33" x14ac:dyDescent="0.2">
      <c r="B297" s="84" t="s">
        <v>8751</v>
      </c>
      <c r="C297" s="84" t="s">
        <v>8695</v>
      </c>
      <c r="D297" s="85">
        <v>0</v>
      </c>
      <c r="E297" s="85"/>
      <c r="F297" s="85">
        <v>500</v>
      </c>
      <c r="G297" s="85">
        <v>0</v>
      </c>
      <c r="H297" s="85">
        <f t="shared" si="4"/>
        <v>500</v>
      </c>
      <c r="I297" s="85"/>
      <c r="K297" s="54" t="s">
        <v>38</v>
      </c>
    </row>
    <row r="298" spans="2:11" ht="33" x14ac:dyDescent="0.2">
      <c r="B298" s="82" t="s">
        <v>8841</v>
      </c>
      <c r="C298" s="82" t="s">
        <v>8842</v>
      </c>
      <c r="D298" s="83">
        <f>SUMIFS(D299:D345,K299:K345,"0",B299:B345,"5 1 3 5*")-SUMIFS(E299:E345,K299:K345,"0",B299:B345,"5 1 3 5*")</f>
        <v>0</v>
      </c>
      <c r="E298" s="54"/>
      <c r="F298" s="83">
        <f>SUMIFS(F299:F345,K299:K345,"0",B299:B345,"5 1 3 5*")</f>
        <v>73292.86</v>
      </c>
      <c r="G298" s="83">
        <f>SUMIFS(G299:G345,K299:K345,"0",B299:B345,"5 1 3 5*")</f>
        <v>0</v>
      </c>
      <c r="H298" s="83">
        <f t="shared" si="4"/>
        <v>73292.86</v>
      </c>
      <c r="I298" s="83"/>
      <c r="K298" s="54" t="s">
        <v>15</v>
      </c>
    </row>
    <row r="299" spans="2:11" ht="24.75" x14ac:dyDescent="0.2">
      <c r="B299" s="82" t="s">
        <v>8843</v>
      </c>
      <c r="C299" s="82" t="s">
        <v>8844</v>
      </c>
      <c r="D299" s="83">
        <f>SUMIFS(D300:D345,K300:K345,"0",B300:B345,"5 1 3 5 1*")-SUMIFS(E300:E345,K300:K345,"0",B300:B345,"5 1 3 5 1*")</f>
        <v>0</v>
      </c>
      <c r="E299" s="54"/>
      <c r="F299" s="83">
        <f>SUMIFS(F300:F345,K300:K345,"0",B300:B345,"5 1 3 5 1*")</f>
        <v>3599</v>
      </c>
      <c r="G299" s="83">
        <f>SUMIFS(G300:G345,K300:K345,"0",B300:B345,"5 1 3 5 1*")</f>
        <v>0</v>
      </c>
      <c r="H299" s="83">
        <f t="shared" si="4"/>
        <v>3599</v>
      </c>
      <c r="I299" s="83"/>
      <c r="K299" s="54" t="s">
        <v>15</v>
      </c>
    </row>
    <row r="300" spans="2:11" ht="12.75" x14ac:dyDescent="0.2">
      <c r="B300" s="82" t="s">
        <v>8845</v>
      </c>
      <c r="C300" s="82" t="s">
        <v>26</v>
      </c>
      <c r="D300" s="83">
        <f>SUMIFS(D301:D345,K301:K345,"0",B301:B345,"5 1 3 5 1 12*")-SUMIFS(E301:E345,K301:K345,"0",B301:B345,"5 1 3 5 1 12*")</f>
        <v>0</v>
      </c>
      <c r="E300" s="54"/>
      <c r="F300" s="83">
        <f>SUMIFS(F301:F345,K301:K345,"0",B301:B345,"5 1 3 5 1 12*")</f>
        <v>3599</v>
      </c>
      <c r="G300" s="83">
        <f>SUMIFS(G301:G345,K301:K345,"0",B301:B345,"5 1 3 5 1 12*")</f>
        <v>0</v>
      </c>
      <c r="H300" s="83">
        <f t="shared" si="4"/>
        <v>3599</v>
      </c>
      <c r="I300" s="83"/>
      <c r="K300" s="54" t="s">
        <v>15</v>
      </c>
    </row>
    <row r="301" spans="2:11" ht="16.5" x14ac:dyDescent="0.2">
      <c r="B301" s="82" t="s">
        <v>8846</v>
      </c>
      <c r="C301" s="82" t="s">
        <v>28</v>
      </c>
      <c r="D301" s="83">
        <f>SUMIFS(D302:D345,K302:K345,"0",B302:B345,"5 1 3 5 1 12 31111*")-SUMIFS(E302:E345,K302:K345,"0",B302:B345,"5 1 3 5 1 12 31111*")</f>
        <v>0</v>
      </c>
      <c r="E301" s="54"/>
      <c r="F301" s="83">
        <f>SUMIFS(F302:F345,K302:K345,"0",B302:B345,"5 1 3 5 1 12 31111*")</f>
        <v>3599</v>
      </c>
      <c r="G301" s="83">
        <f>SUMIFS(G302:G345,K302:K345,"0",B302:B345,"5 1 3 5 1 12 31111*")</f>
        <v>0</v>
      </c>
      <c r="H301" s="83">
        <f t="shared" si="4"/>
        <v>3599</v>
      </c>
      <c r="I301" s="83"/>
      <c r="K301" s="54" t="s">
        <v>15</v>
      </c>
    </row>
    <row r="302" spans="2:11" ht="12.75" x14ac:dyDescent="0.2">
      <c r="B302" s="82" t="s">
        <v>8847</v>
      </c>
      <c r="C302" s="82" t="s">
        <v>30</v>
      </c>
      <c r="D302" s="83">
        <f>SUMIFS(D303:D345,K303:K345,"0",B303:B345,"5 1 3 5 1 12 31111 6*")-SUMIFS(E303:E345,K303:K345,"0",B303:B345,"5 1 3 5 1 12 31111 6*")</f>
        <v>0</v>
      </c>
      <c r="E302" s="54"/>
      <c r="F302" s="83">
        <f>SUMIFS(F303:F345,K303:K345,"0",B303:B345,"5 1 3 5 1 12 31111 6*")</f>
        <v>3599</v>
      </c>
      <c r="G302" s="83">
        <f>SUMIFS(G303:G345,K303:K345,"0",B303:B345,"5 1 3 5 1 12 31111 6*")</f>
        <v>0</v>
      </c>
      <c r="H302" s="83">
        <f t="shared" si="4"/>
        <v>3599</v>
      </c>
      <c r="I302" s="83"/>
      <c r="K302" s="54" t="s">
        <v>15</v>
      </c>
    </row>
    <row r="303" spans="2:11" ht="16.5" x14ac:dyDescent="0.2">
      <c r="B303" s="82" t="s">
        <v>8848</v>
      </c>
      <c r="C303" s="82" t="s">
        <v>2284</v>
      </c>
      <c r="D303" s="83">
        <f>SUMIFS(D304:D345,K304:K345,"0",B304:B345,"5 1 3 5 1 12 31111 6 M59*")-SUMIFS(E304:E345,K304:K345,"0",B304:B345,"5 1 3 5 1 12 31111 6 M59*")</f>
        <v>0</v>
      </c>
      <c r="E303" s="54"/>
      <c r="F303" s="83">
        <f>SUMIFS(F304:F345,K304:K345,"0",B304:B345,"5 1 3 5 1 12 31111 6 M59*")</f>
        <v>3599</v>
      </c>
      <c r="G303" s="83">
        <f>SUMIFS(G304:G345,K304:K345,"0",B304:B345,"5 1 3 5 1 12 31111 6 M59*")</f>
        <v>0</v>
      </c>
      <c r="H303" s="83">
        <f t="shared" si="4"/>
        <v>3599</v>
      </c>
      <c r="I303" s="83"/>
      <c r="K303" s="54" t="s">
        <v>15</v>
      </c>
    </row>
    <row r="304" spans="2:11" ht="16.5" x14ac:dyDescent="0.2">
      <c r="B304" s="82" t="s">
        <v>8849</v>
      </c>
      <c r="C304" s="82" t="s">
        <v>3644</v>
      </c>
      <c r="D304" s="83">
        <f>SUMIFS(D305:D345,K305:K345,"0",B305:B345,"5 1 3 5 1 12 31111 6 M59 94000*")-SUMIFS(E305:E345,K305:K345,"0",B305:B345,"5 1 3 5 1 12 31111 6 M59 94000*")</f>
        <v>0</v>
      </c>
      <c r="E304" s="54"/>
      <c r="F304" s="83">
        <f>SUMIFS(F305:F345,K305:K345,"0",B305:B345,"5 1 3 5 1 12 31111 6 M59 94000*")</f>
        <v>3599</v>
      </c>
      <c r="G304" s="83">
        <f>SUMIFS(G305:G345,K305:K345,"0",B305:B345,"5 1 3 5 1 12 31111 6 M59 94000*")</f>
        <v>0</v>
      </c>
      <c r="H304" s="83">
        <f t="shared" si="4"/>
        <v>3599</v>
      </c>
      <c r="I304" s="83"/>
      <c r="K304" s="54" t="s">
        <v>15</v>
      </c>
    </row>
    <row r="305" spans="2:11" ht="24.75" x14ac:dyDescent="0.2">
      <c r="B305" s="82" t="s">
        <v>8850</v>
      </c>
      <c r="C305" s="82" t="s">
        <v>3152</v>
      </c>
      <c r="D305" s="83">
        <f>SUMIFS(D306:D345,K306:K345,"0",B306:B345,"5 1 3 5 1 12 31111 6 M59 94000 000181*")-SUMIFS(E306:E345,K306:K345,"0",B306:B345,"5 1 3 5 1 12 31111 6 M59 94000 000181*")</f>
        <v>0</v>
      </c>
      <c r="E305" s="54"/>
      <c r="F305" s="83">
        <f>SUMIFS(F306:F345,K306:K345,"0",B306:B345,"5 1 3 5 1 12 31111 6 M59 94000 000181*")</f>
        <v>3599</v>
      </c>
      <c r="G305" s="83">
        <f>SUMIFS(G306:G345,K306:K345,"0",B306:B345,"5 1 3 5 1 12 31111 6 M59 94000 000181*")</f>
        <v>0</v>
      </c>
      <c r="H305" s="83">
        <f t="shared" si="4"/>
        <v>3599</v>
      </c>
      <c r="I305" s="83"/>
      <c r="K305" s="54" t="s">
        <v>15</v>
      </c>
    </row>
    <row r="306" spans="2:11" ht="16.5" x14ac:dyDescent="0.2">
      <c r="B306" s="82" t="s">
        <v>8851</v>
      </c>
      <c r="C306" s="82" t="s">
        <v>1065</v>
      </c>
      <c r="D306" s="83">
        <f>SUMIFS(D307:D345,K307:K345,"0",B307:B345,"5 1 3 5 1 12 31111 6 M59 94000 000181 0000E*")-SUMIFS(E307:E345,K307:K345,"0",B307:B345,"5 1 3 5 1 12 31111 6 M59 94000 000181 0000E*")</f>
        <v>0</v>
      </c>
      <c r="E306" s="54"/>
      <c r="F306" s="83">
        <f>SUMIFS(F307:F345,K307:K345,"0",B307:B345,"5 1 3 5 1 12 31111 6 M59 94000 000181 0000E*")</f>
        <v>3599</v>
      </c>
      <c r="G306" s="83">
        <f>SUMIFS(G307:G345,K307:K345,"0",B307:B345,"5 1 3 5 1 12 31111 6 M59 94000 000181 0000E*")</f>
        <v>0</v>
      </c>
      <c r="H306" s="83">
        <f t="shared" si="4"/>
        <v>3599</v>
      </c>
      <c r="I306" s="83"/>
      <c r="K306" s="54" t="s">
        <v>15</v>
      </c>
    </row>
    <row r="307" spans="2:11" ht="24.75" x14ac:dyDescent="0.2">
      <c r="B307" s="82" t="s">
        <v>8852</v>
      </c>
      <c r="C307" s="82" t="s">
        <v>282</v>
      </c>
      <c r="D307" s="83">
        <f>SUMIFS(D308:D345,K308:K345,"0",B308:B345,"5 1 3 5 1 12 31111 6 M59 94000 000181 0000E 00001*")-SUMIFS(E308:E345,K308:K345,"0",B308:B345,"5 1 3 5 1 12 31111 6 M59 94000 000181 0000E 00001*")</f>
        <v>0</v>
      </c>
      <c r="E307" s="54"/>
      <c r="F307" s="83">
        <f>SUMIFS(F308:F345,K308:K345,"0",B308:B345,"5 1 3 5 1 12 31111 6 M59 94000 000181 0000E 00001*")</f>
        <v>3599</v>
      </c>
      <c r="G307" s="83">
        <f>SUMIFS(G308:G345,K308:K345,"0",B308:B345,"5 1 3 5 1 12 31111 6 M59 94000 000181 0000E 00001*")</f>
        <v>0</v>
      </c>
      <c r="H307" s="83">
        <f t="shared" si="4"/>
        <v>3599</v>
      </c>
      <c r="I307" s="83"/>
      <c r="K307" s="54" t="s">
        <v>15</v>
      </c>
    </row>
    <row r="308" spans="2:11" ht="24.75" x14ac:dyDescent="0.2">
      <c r="B308" s="82" t="s">
        <v>8853</v>
      </c>
      <c r="C308" s="82" t="s">
        <v>8854</v>
      </c>
      <c r="D308" s="83">
        <f>SUMIFS(D309:D345,K309:K345,"0",B309:B345,"5 1 3 5 1 12 31111 6 M59 94000 000181 0000E 00001 00351*")-SUMIFS(E309:E345,K309:K345,"0",B309:B345,"5 1 3 5 1 12 31111 6 M59 94000 000181 0000E 00001 00351*")</f>
        <v>0</v>
      </c>
      <c r="E308" s="54"/>
      <c r="F308" s="83">
        <f>SUMIFS(F309:F345,K309:K345,"0",B309:B345,"5 1 3 5 1 12 31111 6 M59 94000 000181 0000E 00001 00351*")</f>
        <v>3599</v>
      </c>
      <c r="G308" s="83">
        <f>SUMIFS(G309:G345,K309:K345,"0",B309:B345,"5 1 3 5 1 12 31111 6 M59 94000 000181 0000E 00001 00351*")</f>
        <v>0</v>
      </c>
      <c r="H308" s="83">
        <f t="shared" si="4"/>
        <v>3599</v>
      </c>
      <c r="I308" s="83"/>
      <c r="K308" s="54" t="s">
        <v>15</v>
      </c>
    </row>
    <row r="309" spans="2:11" ht="24.75" x14ac:dyDescent="0.2">
      <c r="B309" s="82" t="s">
        <v>8855</v>
      </c>
      <c r="C309" s="82" t="s">
        <v>1051</v>
      </c>
      <c r="D309" s="83">
        <f>SUMIFS(D310:D345,K310:K345,"0",B310:B345,"5 1 3 5 1 12 31111 6 M59 94000 000181 0000E 00001 00351 015*")-SUMIFS(E310:E345,K310:K345,"0",B310:B345,"5 1 3 5 1 12 31111 6 M59 94000 000181 0000E 00001 00351 015*")</f>
        <v>0</v>
      </c>
      <c r="E309" s="54"/>
      <c r="F309" s="83">
        <f>SUMIFS(F310:F345,K310:K345,"0",B310:B345,"5 1 3 5 1 12 31111 6 M59 94000 000181 0000E 00001 00351 015*")</f>
        <v>3599</v>
      </c>
      <c r="G309" s="83">
        <f>SUMIFS(G310:G345,K310:K345,"0",B310:B345,"5 1 3 5 1 12 31111 6 M59 94000 000181 0000E 00001 00351 015*")</f>
        <v>0</v>
      </c>
      <c r="H309" s="83">
        <f t="shared" si="4"/>
        <v>3599</v>
      </c>
      <c r="I309" s="83"/>
      <c r="K309" s="54" t="s">
        <v>15</v>
      </c>
    </row>
    <row r="310" spans="2:11" ht="33" x14ac:dyDescent="0.2">
      <c r="B310" s="82" t="s">
        <v>8856</v>
      </c>
      <c r="C310" s="82" t="s">
        <v>5830</v>
      </c>
      <c r="D310" s="83">
        <f>SUMIFS(D311:D345,K311:K345,"0",B311:B345,"5 1 3 5 1 12 31111 6 M59 94000 000181 0000E 00001 00351 015 2112000*")-SUMIFS(E311:E345,K311:K345,"0",B311:B345,"5 1 3 5 1 12 31111 6 M59 94000 000181 0000E 00001 00351 015 2112000*")</f>
        <v>0</v>
      </c>
      <c r="E310" s="54"/>
      <c r="F310" s="83">
        <f>SUMIFS(F311:F345,K311:K345,"0",B311:B345,"5 1 3 5 1 12 31111 6 M59 94000 000181 0000E 00001 00351 015 2112000*")</f>
        <v>3599</v>
      </c>
      <c r="G310" s="83">
        <f>SUMIFS(G311:G345,K311:K345,"0",B311:B345,"5 1 3 5 1 12 31111 6 M59 94000 000181 0000E 00001 00351 015 2112000*")</f>
        <v>0</v>
      </c>
      <c r="H310" s="83">
        <f t="shared" ref="H310:H333" si="5">D310 + F310 - G310</f>
        <v>3599</v>
      </c>
      <c r="I310" s="83"/>
      <c r="K310" s="54" t="s">
        <v>15</v>
      </c>
    </row>
    <row r="311" spans="2:11" ht="33" x14ac:dyDescent="0.2">
      <c r="B311" s="82" t="s">
        <v>8857</v>
      </c>
      <c r="C311" s="82" t="s">
        <v>660</v>
      </c>
      <c r="D311" s="83">
        <f>SUMIFS(D312:D345,K312:K345,"0",B312:B345,"5 1 3 5 1 12 31111 6 M59 94000 000181 0000E 00001 00351 015 2112000 2024*")-SUMIFS(E312:E345,K312:K345,"0",B312:B345,"5 1 3 5 1 12 31111 6 M59 94000 000181 0000E 00001 00351 015 2112000 2024*")</f>
        <v>0</v>
      </c>
      <c r="E311" s="54"/>
      <c r="F311" s="83">
        <f>SUMIFS(F312:F345,K312:K345,"0",B312:B345,"5 1 3 5 1 12 31111 6 M59 94000 000181 0000E 00001 00351 015 2112000 2024*")</f>
        <v>3599</v>
      </c>
      <c r="G311" s="83">
        <f>SUMIFS(G312:G345,K312:K345,"0",B312:B345,"5 1 3 5 1 12 31111 6 M59 94000 000181 0000E 00001 00351 015 2112000 2024*")</f>
        <v>0</v>
      </c>
      <c r="H311" s="83">
        <f t="shared" si="5"/>
        <v>3599</v>
      </c>
      <c r="I311" s="83"/>
      <c r="K311" s="54" t="s">
        <v>15</v>
      </c>
    </row>
    <row r="312" spans="2:11" ht="41.25" x14ac:dyDescent="0.2">
      <c r="B312" s="82" t="s">
        <v>8858</v>
      </c>
      <c r="C312" s="82" t="s">
        <v>8859</v>
      </c>
      <c r="D312" s="83">
        <f>SUMIFS(D313:D345,K313:K345,"0",B313:B345,"5 1 3 5 1 12 31111 6 M59 94000 000181 0000E 00001 00351 015 2112000 2024 CP2OM530*")-SUMIFS(E313:E345,K313:K345,"0",B313:B345,"5 1 3 5 1 12 31111 6 M59 94000 000181 0000E 00001 00351 015 2112000 2024 CP2OM530*")</f>
        <v>0</v>
      </c>
      <c r="E312" s="54"/>
      <c r="F312" s="83">
        <f>SUMIFS(F313:F345,K313:K345,"0",B313:B345,"5 1 3 5 1 12 31111 6 M59 94000 000181 0000E 00001 00351 015 2112000 2024 CP2OM530*")</f>
        <v>3599</v>
      </c>
      <c r="G312" s="83">
        <f>SUMIFS(G313:G345,K313:K345,"0",B313:B345,"5 1 3 5 1 12 31111 6 M59 94000 000181 0000E 00001 00351 015 2112000 2024 CP2OM530*")</f>
        <v>0</v>
      </c>
      <c r="H312" s="83">
        <f t="shared" si="5"/>
        <v>3599</v>
      </c>
      <c r="I312" s="83"/>
      <c r="K312" s="54" t="s">
        <v>15</v>
      </c>
    </row>
    <row r="313" spans="2:11" ht="41.25" x14ac:dyDescent="0.2">
      <c r="B313" s="82" t="s">
        <v>8860</v>
      </c>
      <c r="C313" s="82" t="s">
        <v>1075</v>
      </c>
      <c r="D313" s="83">
        <f>SUMIFS(D314:D345,K314:K345,"0",B314:B345,"5 1 3 5 1 12 31111 6 M59 94000 000181 0000E 00001 00351 015 2112000 2024 CP2OM530 005*")-SUMIFS(E314:E345,K314:K345,"0",B314:B345,"5 1 3 5 1 12 31111 6 M59 94000 000181 0000E 00001 00351 015 2112000 2024 CP2OM530 005*")</f>
        <v>0</v>
      </c>
      <c r="E313" s="54"/>
      <c r="F313" s="83">
        <f>SUMIFS(F314:F345,K314:K345,"0",B314:B345,"5 1 3 5 1 12 31111 6 M59 94000 000181 0000E 00001 00351 015 2112000 2024 CP2OM530 005*")</f>
        <v>3599</v>
      </c>
      <c r="G313" s="83">
        <f>SUMIFS(G314:G345,K314:K345,"0",B314:B345,"5 1 3 5 1 12 31111 6 M59 94000 000181 0000E 00001 00351 015 2112000 2024 CP2OM530 005*")</f>
        <v>0</v>
      </c>
      <c r="H313" s="83">
        <f t="shared" si="5"/>
        <v>3599</v>
      </c>
      <c r="I313" s="83"/>
      <c r="K313" s="54" t="s">
        <v>15</v>
      </c>
    </row>
    <row r="314" spans="2:11" ht="33" x14ac:dyDescent="0.2">
      <c r="B314" s="84" t="s">
        <v>8861</v>
      </c>
      <c r="C314" s="84" t="s">
        <v>8844</v>
      </c>
      <c r="D314" s="85">
        <v>0</v>
      </c>
      <c r="E314" s="85"/>
      <c r="F314" s="85">
        <v>3599</v>
      </c>
      <c r="G314" s="85">
        <v>0</v>
      </c>
      <c r="H314" s="85">
        <f t="shared" si="5"/>
        <v>3599</v>
      </c>
      <c r="I314" s="85"/>
      <c r="K314" s="54" t="s">
        <v>38</v>
      </c>
    </row>
    <row r="315" spans="2:11" ht="24.75" x14ac:dyDescent="0.2">
      <c r="B315" s="82" t="s">
        <v>8881</v>
      </c>
      <c r="C315" s="82" t="s">
        <v>8882</v>
      </c>
      <c r="D315" s="83">
        <f>SUMIFS(D316:D345,K316:K345,"0",B316:B345,"5 1 3 5 5*")-SUMIFS(E316:E345,K316:K345,"0",B316:B345,"5 1 3 5 5*")</f>
        <v>0</v>
      </c>
      <c r="E315" s="54"/>
      <c r="F315" s="83">
        <f>SUMIFS(F316:F345,K316:K345,"0",B316:B345,"5 1 3 5 5*")</f>
        <v>69693.86</v>
      </c>
      <c r="G315" s="83">
        <f>SUMIFS(G316:G345,K316:K345,"0",B316:B345,"5 1 3 5 5*")</f>
        <v>0</v>
      </c>
      <c r="H315" s="83">
        <f t="shared" si="5"/>
        <v>69693.86</v>
      </c>
      <c r="I315" s="83"/>
      <c r="K315" s="54" t="s">
        <v>15</v>
      </c>
    </row>
    <row r="316" spans="2:11" ht="12.75" x14ac:dyDescent="0.2">
      <c r="B316" s="82" t="s">
        <v>8883</v>
      </c>
      <c r="C316" s="82" t="s">
        <v>26</v>
      </c>
      <c r="D316" s="83">
        <f>SUMIFS(D317:D345,K317:K345,"0",B317:B345,"5 1 3 5 5 12*")-SUMIFS(E317:E345,K317:K345,"0",B317:B345,"5 1 3 5 5 12*")</f>
        <v>0</v>
      </c>
      <c r="E316" s="54"/>
      <c r="F316" s="83">
        <f>SUMIFS(F317:F345,K317:K345,"0",B317:B345,"5 1 3 5 5 12*")</f>
        <v>69693.86</v>
      </c>
      <c r="G316" s="83">
        <f>SUMIFS(G317:G345,K317:K345,"0",B317:B345,"5 1 3 5 5 12*")</f>
        <v>0</v>
      </c>
      <c r="H316" s="83">
        <f t="shared" si="5"/>
        <v>69693.86</v>
      </c>
      <c r="I316" s="83"/>
      <c r="K316" s="54" t="s">
        <v>15</v>
      </c>
    </row>
    <row r="317" spans="2:11" ht="16.5" x14ac:dyDescent="0.2">
      <c r="B317" s="82" t="s">
        <v>8884</v>
      </c>
      <c r="C317" s="82" t="s">
        <v>28</v>
      </c>
      <c r="D317" s="83">
        <f>SUMIFS(D318:D345,K318:K345,"0",B318:B345,"5 1 3 5 5 12 31111*")-SUMIFS(E318:E345,K318:K345,"0",B318:B345,"5 1 3 5 5 12 31111*")</f>
        <v>0</v>
      </c>
      <c r="E317" s="54"/>
      <c r="F317" s="83">
        <f>SUMIFS(F318:F345,K318:K345,"0",B318:B345,"5 1 3 5 5 12 31111*")</f>
        <v>69693.86</v>
      </c>
      <c r="G317" s="83">
        <f>SUMIFS(G318:G345,K318:K345,"0",B318:B345,"5 1 3 5 5 12 31111*")</f>
        <v>0</v>
      </c>
      <c r="H317" s="83">
        <f t="shared" si="5"/>
        <v>69693.86</v>
      </c>
      <c r="I317" s="83"/>
      <c r="K317" s="54" t="s">
        <v>15</v>
      </c>
    </row>
    <row r="318" spans="2:11" ht="12.75" x14ac:dyDescent="0.2">
      <c r="B318" s="82" t="s">
        <v>8885</v>
      </c>
      <c r="C318" s="82" t="s">
        <v>30</v>
      </c>
      <c r="D318" s="83">
        <f>SUMIFS(D319:D345,K319:K345,"0",B319:B345,"5 1 3 5 5 12 31111 6*")-SUMIFS(E319:E345,K319:K345,"0",B319:B345,"5 1 3 5 5 12 31111 6*")</f>
        <v>0</v>
      </c>
      <c r="E318" s="54"/>
      <c r="F318" s="83">
        <f>SUMIFS(F319:F345,K319:K345,"0",B319:B345,"5 1 3 5 5 12 31111 6*")</f>
        <v>69693.86</v>
      </c>
      <c r="G318" s="83">
        <f>SUMIFS(G319:G345,K319:K345,"0",B319:B345,"5 1 3 5 5 12 31111 6*")</f>
        <v>0</v>
      </c>
      <c r="H318" s="83">
        <f t="shared" si="5"/>
        <v>69693.86</v>
      </c>
      <c r="I318" s="83"/>
      <c r="K318" s="54" t="s">
        <v>15</v>
      </c>
    </row>
    <row r="319" spans="2:11" ht="16.5" x14ac:dyDescent="0.2">
      <c r="B319" s="82" t="s">
        <v>8886</v>
      </c>
      <c r="C319" s="82" t="s">
        <v>2284</v>
      </c>
      <c r="D319" s="83">
        <f>SUMIFS(D320:D345,K320:K345,"0",B320:B345,"5 1 3 5 5 12 31111 6 M59*")-SUMIFS(E320:E345,K320:K345,"0",B320:B345,"5 1 3 5 5 12 31111 6 M59*")</f>
        <v>0</v>
      </c>
      <c r="E319" s="54"/>
      <c r="F319" s="83">
        <f>SUMIFS(F320:F345,K320:K345,"0",B320:B345,"5 1 3 5 5 12 31111 6 M59*")</f>
        <v>69693.86</v>
      </c>
      <c r="G319" s="83">
        <f>SUMIFS(G320:G345,K320:K345,"0",B320:B345,"5 1 3 5 5 12 31111 6 M59*")</f>
        <v>0</v>
      </c>
      <c r="H319" s="83">
        <f t="shared" si="5"/>
        <v>69693.86</v>
      </c>
      <c r="I319" s="83"/>
      <c r="K319" s="54" t="s">
        <v>15</v>
      </c>
    </row>
    <row r="320" spans="2:11" ht="16.5" x14ac:dyDescent="0.2">
      <c r="B320" s="82" t="s">
        <v>8887</v>
      </c>
      <c r="C320" s="82" t="s">
        <v>3103</v>
      </c>
      <c r="D320" s="83">
        <f>SUMIFS(D321:D345,K321:K345,"0",B321:B345,"5 1 3 5 5 12 31111 6 M59 20400*")-SUMIFS(E321:E345,K321:K345,"0",B321:B345,"5 1 3 5 5 12 31111 6 M59 20400*")</f>
        <v>0</v>
      </c>
      <c r="E320" s="54"/>
      <c r="F320" s="83">
        <f>SUMIFS(F321:F345,K321:K345,"0",B321:B345,"5 1 3 5 5 12 31111 6 M59 20400*")</f>
        <v>69693.86</v>
      </c>
      <c r="G320" s="83">
        <f>SUMIFS(G321:G345,K321:K345,"0",B321:B345,"5 1 3 5 5 12 31111 6 M59 20400*")</f>
        <v>0</v>
      </c>
      <c r="H320" s="83">
        <f t="shared" si="5"/>
        <v>69693.86</v>
      </c>
      <c r="I320" s="83"/>
      <c r="K320" s="54" t="s">
        <v>15</v>
      </c>
    </row>
    <row r="321" spans="2:11" ht="16.5" x14ac:dyDescent="0.2">
      <c r="B321" s="82" t="s">
        <v>8888</v>
      </c>
      <c r="C321" s="82" t="s">
        <v>1063</v>
      </c>
      <c r="D321" s="83">
        <f>SUMIFS(D322:D345,K322:K345,"0",B322:B345,"5 1 3 5 5 12 31111 6 M59 20400 000139*")-SUMIFS(E322:E345,K322:K345,"0",B322:B345,"5 1 3 5 5 12 31111 6 M59 20400 000139*")</f>
        <v>0</v>
      </c>
      <c r="E321" s="54"/>
      <c r="F321" s="83">
        <f>SUMIFS(F322:F345,K322:K345,"0",B322:B345,"5 1 3 5 5 12 31111 6 M59 20400 000139*")</f>
        <v>69693.86</v>
      </c>
      <c r="G321" s="83">
        <f>SUMIFS(G322:G345,K322:K345,"0",B322:B345,"5 1 3 5 5 12 31111 6 M59 20400 000139*")</f>
        <v>0</v>
      </c>
      <c r="H321" s="83">
        <f t="shared" si="5"/>
        <v>69693.86</v>
      </c>
      <c r="I321" s="83"/>
      <c r="K321" s="54" t="s">
        <v>15</v>
      </c>
    </row>
    <row r="322" spans="2:11" ht="24.75" x14ac:dyDescent="0.2">
      <c r="B322" s="82" t="s">
        <v>8889</v>
      </c>
      <c r="C322" s="82" t="s">
        <v>1065</v>
      </c>
      <c r="D322" s="83">
        <f>SUMIFS(D323:D345,K323:K345,"0",B323:B345,"5 1 3 5 5 12 31111 6 M59 20400 000139 0000E*")-SUMIFS(E323:E345,K323:K345,"0",B323:B345,"5 1 3 5 5 12 31111 6 M59 20400 000139 0000E*")</f>
        <v>0</v>
      </c>
      <c r="E322" s="54"/>
      <c r="F322" s="83">
        <f>SUMIFS(F323:F345,K323:K345,"0",B323:B345,"5 1 3 5 5 12 31111 6 M59 20400 000139 0000E*")</f>
        <v>69693.86</v>
      </c>
      <c r="G322" s="83">
        <f>SUMIFS(G323:G345,K323:K345,"0",B323:B345,"5 1 3 5 5 12 31111 6 M59 20400 000139 0000E*")</f>
        <v>0</v>
      </c>
      <c r="H322" s="83">
        <f t="shared" si="5"/>
        <v>69693.86</v>
      </c>
      <c r="I322" s="83"/>
      <c r="K322" s="54" t="s">
        <v>15</v>
      </c>
    </row>
    <row r="323" spans="2:11" ht="24.75" x14ac:dyDescent="0.2">
      <c r="B323" s="82" t="s">
        <v>8890</v>
      </c>
      <c r="C323" s="82" t="s">
        <v>282</v>
      </c>
      <c r="D323" s="83">
        <f>SUMIFS(D324:D345,K324:K345,"0",B324:B345,"5 1 3 5 5 12 31111 6 M59 20400 000139 0000E 00001*")-SUMIFS(E324:E345,K324:K345,"0",B324:B345,"5 1 3 5 5 12 31111 6 M59 20400 000139 0000E 00001*")</f>
        <v>0</v>
      </c>
      <c r="E323" s="54"/>
      <c r="F323" s="83">
        <f>SUMIFS(F324:F345,K324:K345,"0",B324:B345,"5 1 3 5 5 12 31111 6 M59 20400 000139 0000E 00001*")</f>
        <v>69693.86</v>
      </c>
      <c r="G323" s="83">
        <f>SUMIFS(G324:G345,K324:K345,"0",B324:B345,"5 1 3 5 5 12 31111 6 M59 20400 000139 0000E 00001*")</f>
        <v>0</v>
      </c>
      <c r="H323" s="83">
        <f t="shared" si="5"/>
        <v>69693.86</v>
      </c>
      <c r="I323" s="83"/>
      <c r="K323" s="54" t="s">
        <v>15</v>
      </c>
    </row>
    <row r="324" spans="2:11" ht="24.75" x14ac:dyDescent="0.2">
      <c r="B324" s="82" t="s">
        <v>8891</v>
      </c>
      <c r="C324" s="82" t="s">
        <v>8892</v>
      </c>
      <c r="D324" s="83">
        <f>SUMIFS(D325:D345,K325:K345,"0",B325:B345,"5 1 3 5 5 12 31111 6 M59 20400 000139 0000E 00001 00355*")-SUMIFS(E325:E345,K325:K345,"0",B325:B345,"5 1 3 5 5 12 31111 6 M59 20400 000139 0000E 00001 00355*")</f>
        <v>0</v>
      </c>
      <c r="E324" s="54"/>
      <c r="F324" s="83">
        <f>SUMIFS(F325:F345,K325:K345,"0",B325:B345,"5 1 3 5 5 12 31111 6 M59 20400 000139 0000E 00001 00355*")</f>
        <v>69693.86</v>
      </c>
      <c r="G324" s="83">
        <f>SUMIFS(G325:G345,K325:K345,"0",B325:B345,"5 1 3 5 5 12 31111 6 M59 20400 000139 0000E 00001 00355*")</f>
        <v>0</v>
      </c>
      <c r="H324" s="83">
        <f t="shared" si="5"/>
        <v>69693.86</v>
      </c>
      <c r="I324" s="83"/>
      <c r="K324" s="54" t="s">
        <v>15</v>
      </c>
    </row>
    <row r="325" spans="2:11" ht="33" x14ac:dyDescent="0.2">
      <c r="B325" s="82" t="s">
        <v>8893</v>
      </c>
      <c r="C325" s="82" t="s">
        <v>1051</v>
      </c>
      <c r="D325" s="83">
        <f>SUMIFS(D326:D345,K326:K345,"0",B326:B345,"5 1 3 5 5 12 31111 6 M59 20400 000139 0000E 00001 00355 015*")-SUMIFS(E326:E345,K326:K345,"0",B326:B345,"5 1 3 5 5 12 31111 6 M59 20400 000139 0000E 00001 00355 015*")</f>
        <v>0</v>
      </c>
      <c r="E325" s="54"/>
      <c r="F325" s="83">
        <f>SUMIFS(F326:F345,K326:K345,"0",B326:B345,"5 1 3 5 5 12 31111 6 M59 20400 000139 0000E 00001 00355 015*")</f>
        <v>69693.86</v>
      </c>
      <c r="G325" s="83">
        <f>SUMIFS(G326:G345,K326:K345,"0",B326:B345,"5 1 3 5 5 12 31111 6 M59 20400 000139 0000E 00001 00355 015*")</f>
        <v>0</v>
      </c>
      <c r="H325" s="83">
        <f t="shared" si="5"/>
        <v>69693.86</v>
      </c>
      <c r="I325" s="83"/>
      <c r="K325" s="54" t="s">
        <v>15</v>
      </c>
    </row>
    <row r="326" spans="2:11" ht="33" x14ac:dyDescent="0.2">
      <c r="B326" s="82" t="s">
        <v>8894</v>
      </c>
      <c r="C326" s="82" t="s">
        <v>5830</v>
      </c>
      <c r="D326" s="83">
        <f>SUMIFS(D327:D345,K327:K345,"0",B327:B345,"5 1 3 5 5 12 31111 6 M59 20400 000139 0000E 00001 00355 015 2112000*")-SUMIFS(E327:E345,K327:K345,"0",B327:B345,"5 1 3 5 5 12 31111 6 M59 20400 000139 0000E 00001 00355 015 2112000*")</f>
        <v>0</v>
      </c>
      <c r="E326" s="54"/>
      <c r="F326" s="83">
        <f>SUMIFS(F327:F345,K327:K345,"0",B327:B345,"5 1 3 5 5 12 31111 6 M59 20400 000139 0000E 00001 00355 015 2112000*")</f>
        <v>69693.86</v>
      </c>
      <c r="G326" s="83">
        <f>SUMIFS(G327:G345,K327:K345,"0",B327:B345,"5 1 3 5 5 12 31111 6 M59 20400 000139 0000E 00001 00355 015 2112000*")</f>
        <v>0</v>
      </c>
      <c r="H326" s="83">
        <f t="shared" si="5"/>
        <v>69693.86</v>
      </c>
      <c r="I326" s="83"/>
      <c r="K326" s="54" t="s">
        <v>15</v>
      </c>
    </row>
    <row r="327" spans="2:11" ht="33" x14ac:dyDescent="0.2">
      <c r="B327" s="82" t="s">
        <v>8895</v>
      </c>
      <c r="C327" s="82" t="s">
        <v>660</v>
      </c>
      <c r="D327" s="83">
        <f>SUMIFS(D328:D345,K328:K345,"0",B328:B345,"5 1 3 5 5 12 31111 6 M59 20400 000139 0000E 00001 00355 015 2112000 2024*")-SUMIFS(E328:E345,K328:K345,"0",B328:B345,"5 1 3 5 5 12 31111 6 M59 20400 000139 0000E 00001 00355 015 2112000 2024*")</f>
        <v>0</v>
      </c>
      <c r="E327" s="54"/>
      <c r="F327" s="83">
        <f>SUMIFS(F328:F345,K328:K345,"0",B328:B345,"5 1 3 5 5 12 31111 6 M59 20400 000139 0000E 00001 00355 015 2112000 2024*")</f>
        <v>69693.86</v>
      </c>
      <c r="G327" s="83">
        <f>SUMIFS(G328:G345,K328:K345,"0",B328:B345,"5 1 3 5 5 12 31111 6 M59 20400 000139 0000E 00001 00355 015 2112000 2024*")</f>
        <v>0</v>
      </c>
      <c r="H327" s="83">
        <f t="shared" si="5"/>
        <v>69693.86</v>
      </c>
      <c r="I327" s="83"/>
      <c r="K327" s="54" t="s">
        <v>15</v>
      </c>
    </row>
    <row r="328" spans="2:11" ht="41.25" x14ac:dyDescent="0.2">
      <c r="B328" s="82" t="s">
        <v>8896</v>
      </c>
      <c r="C328" s="82" t="s">
        <v>7587</v>
      </c>
      <c r="D328" s="83">
        <f>SUMIFS(D329:D345,K329:K345,"0",B329:B345,"5 1 3 5 5 12 31111 6 M59 20400 000139 0000E 00001 00355 015 2112000 2024 CP2PV529*")-SUMIFS(E329:E345,K329:K345,"0",B329:B345,"5 1 3 5 5 12 31111 6 M59 20400 000139 0000E 00001 00355 015 2112000 2024 CP2PV529*")</f>
        <v>0</v>
      </c>
      <c r="E328" s="54"/>
      <c r="F328" s="83">
        <f>SUMIFS(F329:F345,K329:K345,"0",B329:B345,"5 1 3 5 5 12 31111 6 M59 20400 000139 0000E 00001 00355 015 2112000 2024 CP2PV529*")</f>
        <v>69693.86</v>
      </c>
      <c r="G328" s="83">
        <f>SUMIFS(G329:G345,K329:K345,"0",B329:B345,"5 1 3 5 5 12 31111 6 M59 20400 000139 0000E 00001 00355 015 2112000 2024 CP2PV529*")</f>
        <v>0</v>
      </c>
      <c r="H328" s="83">
        <f t="shared" si="5"/>
        <v>69693.86</v>
      </c>
      <c r="I328" s="83"/>
      <c r="K328" s="54" t="s">
        <v>15</v>
      </c>
    </row>
    <row r="329" spans="2:11" ht="41.25" x14ac:dyDescent="0.2">
      <c r="B329" s="82" t="s">
        <v>8897</v>
      </c>
      <c r="C329" s="82" t="s">
        <v>1075</v>
      </c>
      <c r="D329" s="83">
        <f>SUMIFS(D330:D345,K330:K345,"0",B330:B345,"5 1 3 5 5 12 31111 6 M59 20400 000139 0000E 00001 00355 015 2112000 2024 CP2PV529 005*")-SUMIFS(E330:E345,K330:K345,"0",B330:B345,"5 1 3 5 5 12 31111 6 M59 20400 000139 0000E 00001 00355 015 2112000 2024 CP2PV529 005*")</f>
        <v>0</v>
      </c>
      <c r="E329" s="54"/>
      <c r="F329" s="83">
        <f>SUMIFS(F330:F345,K330:K345,"0",B330:B345,"5 1 3 5 5 12 31111 6 M59 20400 000139 0000E 00001 00355 015 2112000 2024 CP2PV529 005*")</f>
        <v>69693.86</v>
      </c>
      <c r="G329" s="83">
        <f>SUMIFS(G330:G345,K330:K345,"0",B330:B345,"5 1 3 5 5 12 31111 6 M59 20400 000139 0000E 00001 00355 015 2112000 2024 CP2PV529 005*")</f>
        <v>0</v>
      </c>
      <c r="H329" s="83">
        <f t="shared" si="5"/>
        <v>69693.86</v>
      </c>
      <c r="I329" s="83"/>
      <c r="K329" s="54" t="s">
        <v>15</v>
      </c>
    </row>
    <row r="330" spans="2:11" ht="33" x14ac:dyDescent="0.2">
      <c r="B330" s="84" t="s">
        <v>8898</v>
      </c>
      <c r="C330" s="84" t="s">
        <v>8882</v>
      </c>
      <c r="D330" s="85">
        <v>0</v>
      </c>
      <c r="E330" s="85"/>
      <c r="F330" s="85">
        <v>69693.86</v>
      </c>
      <c r="G330" s="85">
        <v>0</v>
      </c>
      <c r="H330" s="85">
        <f t="shared" si="5"/>
        <v>69693.86</v>
      </c>
      <c r="I330" s="85"/>
      <c r="K330" s="54" t="s">
        <v>38</v>
      </c>
    </row>
    <row r="331" spans="2:11" ht="16.5" x14ac:dyDescent="0.2">
      <c r="B331" s="82" t="s">
        <v>10160</v>
      </c>
      <c r="C331" s="82" t="s">
        <v>10161</v>
      </c>
      <c r="D331" s="83">
        <f>SUMIFS(D332:D345,K332:K345,"0",B332:B345,"8*")-SUMIFS(E332:E345,K332:K345,"0",B332:B345,"8*")</f>
        <v>0</v>
      </c>
      <c r="E331" s="54"/>
      <c r="F331" s="83">
        <f>SUMIFS(F332:F345,K332:K345,"0",B332:B345,"8*")</f>
        <v>30799691.890000001</v>
      </c>
      <c r="G331" s="83">
        <f>SUMIFS(G332:G345,K332:K345,"0",B332:B345,"8*")</f>
        <v>30799691.890000001</v>
      </c>
      <c r="H331" s="83">
        <f t="shared" si="5"/>
        <v>0</v>
      </c>
      <c r="I331" s="83"/>
      <c r="K331" s="54" t="s">
        <v>15</v>
      </c>
    </row>
    <row r="332" spans="2:11" ht="12.75" x14ac:dyDescent="0.2">
      <c r="B332" s="82" t="s">
        <v>10162</v>
      </c>
      <c r="C332" s="82" t="s">
        <v>10163</v>
      </c>
      <c r="D332" s="83">
        <f>SUMIFS(D333:D345,K333:K345,"0",B333:B345,"8 1*")-SUMIFS(E333:E345,K333:K345,"0",B333:B345,"8 1*")</f>
        <v>0</v>
      </c>
      <c r="E332" s="54"/>
      <c r="F332" s="83">
        <f>SUMIFS(F333:F345,K333:K345,"0",B333:B345,"8 1*")</f>
        <v>4803925.74</v>
      </c>
      <c r="G332" s="83">
        <f>SUMIFS(G333:G345,K333:K345,"0",B333:B345,"8 1*")</f>
        <v>4803925.74</v>
      </c>
      <c r="H332" s="83">
        <f t="shared" si="5"/>
        <v>0</v>
      </c>
      <c r="I332" s="83"/>
      <c r="K332" s="54" t="s">
        <v>15</v>
      </c>
    </row>
    <row r="333" spans="2:11" ht="12.75" x14ac:dyDescent="0.2">
      <c r="B333" s="84" t="s">
        <v>10164</v>
      </c>
      <c r="C333" s="84" t="s">
        <v>10165</v>
      </c>
      <c r="D333" s="85">
        <v>0</v>
      </c>
      <c r="E333" s="85"/>
      <c r="F333" s="85">
        <v>6983408.5999999996</v>
      </c>
      <c r="G333" s="85">
        <v>0</v>
      </c>
      <c r="H333" s="85">
        <f t="shared" si="5"/>
        <v>6983408.5999999996</v>
      </c>
      <c r="I333" s="85"/>
      <c r="K333" s="54" t="s">
        <v>38</v>
      </c>
    </row>
    <row r="334" spans="2:11" ht="12.75" x14ac:dyDescent="0.2">
      <c r="B334" s="84" t="s">
        <v>10166</v>
      </c>
      <c r="C334" s="84" t="s">
        <v>10167</v>
      </c>
      <c r="D334" s="85"/>
      <c r="E334" s="85">
        <v>0</v>
      </c>
      <c r="F334" s="85">
        <v>1601308.58</v>
      </c>
      <c r="G334" s="85">
        <v>1601308.58</v>
      </c>
      <c r="H334" s="85"/>
      <c r="I334" s="85">
        <f>E334 - F334 + G334</f>
        <v>0</v>
      </c>
      <c r="K334" s="54" t="s">
        <v>38</v>
      </c>
    </row>
    <row r="335" spans="2:11" ht="16.5" x14ac:dyDescent="0.2">
      <c r="B335" s="84" t="s">
        <v>10168</v>
      </c>
      <c r="C335" s="84" t="s">
        <v>10169</v>
      </c>
      <c r="D335" s="85">
        <v>0</v>
      </c>
      <c r="E335" s="85"/>
      <c r="F335" s="85">
        <v>-5382100.0199999996</v>
      </c>
      <c r="G335" s="85">
        <v>0</v>
      </c>
      <c r="H335" s="85">
        <f>D335 + F335 - G335</f>
        <v>-5382100.0199999996</v>
      </c>
      <c r="I335" s="85"/>
      <c r="K335" s="54" t="s">
        <v>38</v>
      </c>
    </row>
    <row r="336" spans="2:11" ht="12.75" x14ac:dyDescent="0.2">
      <c r="B336" s="84" t="s">
        <v>10170</v>
      </c>
      <c r="C336" s="84" t="s">
        <v>10171</v>
      </c>
      <c r="D336" s="85"/>
      <c r="E336" s="85">
        <v>0</v>
      </c>
      <c r="F336" s="85">
        <v>1601308.58</v>
      </c>
      <c r="G336" s="85">
        <v>1601308.58</v>
      </c>
      <c r="H336" s="85"/>
      <c r="I336" s="85">
        <f>E336 - F336 + G336</f>
        <v>0</v>
      </c>
      <c r="K336" s="54" t="s">
        <v>38</v>
      </c>
    </row>
    <row r="337" spans="2:11" ht="12.75" x14ac:dyDescent="0.2">
      <c r="B337" s="84" t="s">
        <v>10172</v>
      </c>
      <c r="C337" s="84" t="s">
        <v>10173</v>
      </c>
      <c r="D337" s="85"/>
      <c r="E337" s="85">
        <v>0</v>
      </c>
      <c r="F337" s="85">
        <v>0</v>
      </c>
      <c r="G337" s="85">
        <v>1601308.58</v>
      </c>
      <c r="H337" s="85"/>
      <c r="I337" s="85">
        <f>E337 - F337 + G337</f>
        <v>1601308.58</v>
      </c>
      <c r="K337" s="54" t="s">
        <v>38</v>
      </c>
    </row>
    <row r="338" spans="2:11" ht="12.75" x14ac:dyDescent="0.2">
      <c r="B338" s="82" t="s">
        <v>10174</v>
      </c>
      <c r="C338" s="82" t="s">
        <v>10175</v>
      </c>
      <c r="D338" s="54"/>
      <c r="E338" s="83">
        <f>SUMIFS(E339:E345,K339:K345,"0",B339:B345,"8 2*")-SUMIFS(D339:D345,K339:K345,"0",B339:B345,"8 2*")</f>
        <v>0</v>
      </c>
      <c r="F338" s="83">
        <f>SUMIFS(F339:F345,K339:K345,"0",B339:B345,"8 2*")</f>
        <v>25995766.150000002</v>
      </c>
      <c r="G338" s="83">
        <f>SUMIFS(G339:G345,K339:K345,"0",B339:B345,"8 2*")</f>
        <v>25995766.150000002</v>
      </c>
      <c r="H338" s="83"/>
      <c r="I338" s="83">
        <f>E338 - F338 + G338</f>
        <v>0</v>
      </c>
      <c r="K338" s="54" t="s">
        <v>15</v>
      </c>
    </row>
    <row r="339" spans="2:11" ht="16.5" x14ac:dyDescent="0.2">
      <c r="B339" s="84" t="s">
        <v>10176</v>
      </c>
      <c r="C339" s="84" t="s">
        <v>10177</v>
      </c>
      <c r="D339" s="85"/>
      <c r="E339" s="85">
        <v>0</v>
      </c>
      <c r="F339" s="85">
        <v>0</v>
      </c>
      <c r="G339" s="85">
        <v>6983408.5999999996</v>
      </c>
      <c r="H339" s="85"/>
      <c r="I339" s="85">
        <f>E339 - F339 + G339</f>
        <v>6983408.5999999996</v>
      </c>
      <c r="K339" s="54" t="s">
        <v>38</v>
      </c>
    </row>
    <row r="340" spans="2:11" ht="16.5" x14ac:dyDescent="0.2">
      <c r="B340" s="84" t="s">
        <v>10178</v>
      </c>
      <c r="C340" s="84" t="s">
        <v>10179</v>
      </c>
      <c r="D340" s="85">
        <v>0</v>
      </c>
      <c r="E340" s="85"/>
      <c r="F340" s="85">
        <v>5199153.2300000004</v>
      </c>
      <c r="G340" s="85">
        <v>5199153.2300000004</v>
      </c>
      <c r="H340" s="85">
        <f>D340 + F340 - G340</f>
        <v>0</v>
      </c>
      <c r="I340" s="85"/>
      <c r="K340" s="54" t="s">
        <v>38</v>
      </c>
    </row>
    <row r="341" spans="2:11" ht="16.5" x14ac:dyDescent="0.2">
      <c r="B341" s="84" t="s">
        <v>10180</v>
      </c>
      <c r="C341" s="84" t="s">
        <v>10181</v>
      </c>
      <c r="D341" s="85"/>
      <c r="E341" s="85">
        <v>0</v>
      </c>
      <c r="F341" s="85">
        <v>0</v>
      </c>
      <c r="G341" s="85">
        <v>-1784255.37</v>
      </c>
      <c r="H341" s="85"/>
      <c r="I341" s="85">
        <f>E341 - F341 + G341</f>
        <v>-1784255.37</v>
      </c>
      <c r="K341" s="54" t="s">
        <v>38</v>
      </c>
    </row>
    <row r="342" spans="2:11" ht="16.5" x14ac:dyDescent="0.2">
      <c r="B342" s="84" t="s">
        <v>10182</v>
      </c>
      <c r="C342" s="84" t="s">
        <v>10183</v>
      </c>
      <c r="D342" s="85">
        <v>0</v>
      </c>
      <c r="E342" s="85"/>
      <c r="F342" s="85">
        <v>5199153.2300000004</v>
      </c>
      <c r="G342" s="85">
        <v>5199153.2300000004</v>
      </c>
      <c r="H342" s="85">
        <f>D342 + F342 - G342</f>
        <v>0</v>
      </c>
      <c r="I342" s="85"/>
      <c r="K342" s="54" t="s">
        <v>38</v>
      </c>
    </row>
    <row r="343" spans="2:11" ht="16.5" x14ac:dyDescent="0.2">
      <c r="B343" s="84" t="s">
        <v>10184</v>
      </c>
      <c r="C343" s="84" t="s">
        <v>10185</v>
      </c>
      <c r="D343" s="85">
        <v>0</v>
      </c>
      <c r="E343" s="85"/>
      <c r="F343" s="85">
        <v>5199153.2300000004</v>
      </c>
      <c r="G343" s="85">
        <v>5199153.2300000004</v>
      </c>
      <c r="H343" s="85">
        <f>D343 + F343 - G343</f>
        <v>0</v>
      </c>
      <c r="I343" s="85"/>
      <c r="K343" s="54" t="s">
        <v>38</v>
      </c>
    </row>
    <row r="344" spans="2:11" ht="16.5" x14ac:dyDescent="0.2">
      <c r="B344" s="84" t="s">
        <v>10186</v>
      </c>
      <c r="C344" s="84" t="s">
        <v>10187</v>
      </c>
      <c r="D344" s="85">
        <v>0</v>
      </c>
      <c r="E344" s="85"/>
      <c r="F344" s="85">
        <v>5199153.2300000004</v>
      </c>
      <c r="G344" s="85">
        <v>5199153.2300000004</v>
      </c>
      <c r="H344" s="85">
        <f>D344 + F344 - G344</f>
        <v>0</v>
      </c>
      <c r="I344" s="85"/>
      <c r="K344" s="54" t="s">
        <v>38</v>
      </c>
    </row>
    <row r="345" spans="2:11" ht="12.75" x14ac:dyDescent="0.2">
      <c r="B345" s="84" t="s">
        <v>10188</v>
      </c>
      <c r="C345" s="84" t="s">
        <v>10189</v>
      </c>
      <c r="D345" s="85">
        <v>0</v>
      </c>
      <c r="E345" s="85"/>
      <c r="F345" s="85">
        <v>5199153.2300000004</v>
      </c>
      <c r="G345" s="85">
        <v>0</v>
      </c>
      <c r="H345" s="85">
        <f>D345 + F345 - G345</f>
        <v>5199153.2300000004</v>
      </c>
      <c r="I345" s="85"/>
      <c r="K345" s="54" t="s">
        <v>38</v>
      </c>
    </row>
    <row r="347" spans="2:11" x14ac:dyDescent="0.2">
      <c r="D347" s="87">
        <f>SUMIF(K12:K345,"=0",D12:D345)</f>
        <v>160334.21000000002</v>
      </c>
      <c r="E347" s="87">
        <f>SUMIF(K12:K345,"=0",E12:E345)</f>
        <v>160334.20999999996</v>
      </c>
      <c r="F347" s="87">
        <f>SUMIF(K12:K345,"=0",F12:F345)</f>
        <v>49534636.390000001</v>
      </c>
      <c r="G347" s="87">
        <f>SUMIF(K12:K345,"=0",G12:G345)</f>
        <v>49534636.390000001</v>
      </c>
      <c r="H347" s="87">
        <f>SUMIF(K12:K345,"=0",H12:H345)</f>
        <v>12159949.25</v>
      </c>
      <c r="I347" s="87">
        <f>SUMIF(K12:K345,"=0",I12:I345)</f>
        <v>12159949.25</v>
      </c>
    </row>
    <row r="351" spans="2:11" x14ac:dyDescent="0.2">
      <c r="B351" s="88" t="str">
        <f>IF(AND(ROUND(D347, 2)=ROUND(E347, 2), ROUND(F347, 2)=ROUND(G347, 2), ROUND(H347,2)=ROUND(I347, 2)), "Bajo protesta de decir verdad declaramos que los estados financieros y sus notas son correctas, verídicas y responsabilidad del emisor", "* * * * * * * * * * * * * * * * * * * * * * * * * * * * * *BALANCE DESCUADRADO* * * * * * * * * * * * * * * * * * * * * * * * * * * * * *")</f>
        <v>Bajo protesta de decir verdad declaramos que los estados financieros y sus notas son correctas, verídicas y responsabilidad del emisor</v>
      </c>
    </row>
  </sheetData>
  <mergeCells count="12">
    <mergeCell ref="D9:E9"/>
    <mergeCell ref="F9:G9"/>
    <mergeCell ref="H9:I9"/>
    <mergeCell ref="D10:E10"/>
    <mergeCell ref="F10:G10"/>
    <mergeCell ref="H10:I10"/>
    <mergeCell ref="B2:I2"/>
    <mergeCell ref="B3:I3"/>
    <mergeCell ref="B4:I4"/>
    <mergeCell ref="B5:I5"/>
    <mergeCell ref="B6:I6"/>
    <mergeCell ref="B7:I7"/>
  </mergeCells>
  <pageMargins left="0.78740157480314965" right="0.78740157480314965" top="0.39370078740157483" bottom="0.39370078740157483" header="0" footer="0"/>
  <pageSetup orientation="landscape" r:id="rId1"/>
  <headerFooter alignWithMargins="0">
    <oddFooter>&amp;C&amp;7CoRam-Contabilidad                                               &amp;T            &amp;D&amp;R&amp;7Pagina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CONSOLIDADA</vt:lpstr>
      <vt:lpstr>GASTO CORRIENTE</vt:lpstr>
      <vt:lpstr>OBRA PÚBLICA</vt:lpstr>
      <vt:lpstr>SEGURIDAD PÚBLICA</vt:lpstr>
      <vt:lpstr>INGRESOS FISCALES</vt:lpstr>
      <vt:lpstr>FAEISM</vt:lpstr>
      <vt:lpstr>CONSOLIDADA!Títulos_a_imprimir</vt:lpstr>
      <vt:lpstr>FAEISM!Títulos_a_imprimir</vt:lpstr>
      <vt:lpstr>'GASTO CORRIENTE'!Títulos_a_imprimir</vt:lpstr>
      <vt:lpstr>'INGRESOS FISCALES'!Títulos_a_imprimir</vt:lpstr>
      <vt:lpstr>'OBRA PÚBLICA'!Títulos_a_imprimir</vt:lpstr>
      <vt:lpstr>'SEGURIDAD PÚBLICA'!Títulos_a_imprimir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PC</cp:lastModifiedBy>
  <cp:lastPrinted>2017-05-29T15:22:42Z</cp:lastPrinted>
  <dcterms:created xsi:type="dcterms:W3CDTF">1996-11-27T10:00:04Z</dcterms:created>
  <dcterms:modified xsi:type="dcterms:W3CDTF">2025-04-26T01:14:02Z</dcterms:modified>
</cp:coreProperties>
</file>